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eld List" sheetId="1" r:id="rId4"/>
    <sheet state="hidden" name="Reference Validation" sheetId="2" r:id="rId5"/>
    <sheet state="visible" name="Class Def. - General Data" sheetId="3" r:id="rId6"/>
    <sheet state="visible" name="Class Def. - Desc and Keywords" sheetId="4" r:id="rId7"/>
    <sheet state="visible" name="Class Def. - Characteristics" sheetId="5" r:id="rId8"/>
    <sheet state="hidden" name="Sheet2" sheetId="6" r:id="rId9"/>
    <sheet state="visible" name="List of Values" sheetId="7" r:id="rId10"/>
  </sheets>
  <definedNames>
    <definedName name="Instructions">#REF!</definedName>
    <definedName name="Fields">'Field List'!$A$1</definedName>
    <definedName localSheetId="1" name="Instructions">#REF!</definedName>
    <definedName hidden="1" localSheetId="2" name="_xlnm._FilterDatabase">'Class Def. - General Data'!$A$19:$I$487</definedName>
    <definedName hidden="1" localSheetId="3" name="_xlnm._FilterDatabase">'Class Def. - Desc and Keywords'!$A$19:$AD$3953</definedName>
    <definedName hidden="1" localSheetId="5" name="_xlnm._FilterDatabase">Sheet2!$A$1:$Z$1016</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D-Dash will concatenate the fields for look up validation to another table
	-Feryanlie, Feryanlie
Use , to add multiple fields.
	-Feryanlie F</t>
      </text>
    </comment>
    <comment authorId="0" ref="D1">
      <text>
        <t xml:space="preserve">D-Dash will concatenate the fields as the lookup reference.
	-Feryanlie, Feryanlie
Use , to add multiple fields
	-Feryanlie F</t>
      </text>
    </comment>
  </commentList>
</comments>
</file>

<file path=xl/sharedStrings.xml><?xml version="1.0" encoding="utf-8"?>
<sst xmlns="http://schemas.openxmlformats.org/spreadsheetml/2006/main" count="65473" uniqueCount="7068">
  <si>
    <t>Field List for Migration Object: Class - Material</t>
  </si>
  <si>
    <t/>
  </si>
  <si>
    <t>Sheet Name</t>
  </si>
  <si>
    <t>Group Name</t>
  </si>
  <si>
    <t>Field Description</t>
  </si>
  <si>
    <t>Importance</t>
  </si>
  <si>
    <t>Type</t>
  </si>
  <si>
    <t>Length</t>
  </si>
  <si>
    <t>Decimal</t>
  </si>
  <si>
    <t>SAP Structure</t>
  </si>
  <si>
    <t>SAP Field</t>
  </si>
  <si>
    <t>Class Def. - General Data (mandatory)</t>
  </si>
  <si>
    <t>Key</t>
  </si>
  <si>
    <t>Class Name*</t>
  </si>
  <si>
    <t>mandatory for sheet</t>
  </si>
  <si>
    <t>Text</t>
  </si>
  <si>
    <t>18</t>
  </si>
  <si>
    <t>S_KLAH</t>
  </si>
  <si>
    <t>CLASS</t>
  </si>
  <si>
    <t>Class Type*</t>
  </si>
  <si>
    <t>3</t>
  </si>
  <si>
    <t>KLART</t>
  </si>
  <si>
    <t>Basic Data</t>
  </si>
  <si>
    <t>Class Status*</t>
  </si>
  <si>
    <t>1</t>
  </si>
  <si>
    <t>AENNR</t>
  </si>
  <si>
    <t>Valid-from Date*</t>
  </si>
  <si>
    <t>Date</t>
  </si>
  <si>
    <t>10</t>
  </si>
  <si>
    <t>STATU</t>
  </si>
  <si>
    <t>Valid-to Date</t>
  </si>
  <si>
    <t>KLAGR</t>
  </si>
  <si>
    <t>Classification</t>
  </si>
  <si>
    <t>SICHT</t>
  </si>
  <si>
    <t>Class Def. - Desc. and Keywords (mandatory)</t>
  </si>
  <si>
    <t>Class Name</t>
  </si>
  <si>
    <t xml:space="preserve">80    </t>
  </si>
  <si>
    <t>S_SWOR</t>
  </si>
  <si>
    <t>Class Type</t>
  </si>
  <si>
    <t>Language Key</t>
  </si>
  <si>
    <t>SPRAS</t>
  </si>
  <si>
    <t>Order Number of Description</t>
  </si>
  <si>
    <t xml:space="preserve">3     </t>
  </si>
  <si>
    <t>POSNR</t>
  </si>
  <si>
    <t>Keywords (Descriptions)</t>
  </si>
  <si>
    <t xml:space="preserve">40    </t>
  </si>
  <si>
    <t>KSCHL</t>
  </si>
  <si>
    <t>Class Def. - Characteristics</t>
  </si>
  <si>
    <t>S_KSML</t>
  </si>
  <si>
    <t>Characteristic Name</t>
  </si>
  <si>
    <t>30</t>
  </si>
  <si>
    <t>NAME_CHAR</t>
  </si>
  <si>
    <t>Staging Table</t>
  </si>
  <si>
    <t>Staging Field(s)</t>
  </si>
  <si>
    <t>Reference Table</t>
  </si>
  <si>
    <t>Reference Field(s)</t>
  </si>
  <si>
    <t>MDG_MAT_SWOR</t>
  </si>
  <si>
    <t>CLASS, KLART</t>
  </si>
  <si>
    <t>MDG_MAT_KLAH</t>
  </si>
  <si>
    <t>MDG_MAT_KSML</t>
  </si>
  <si>
    <t>Source Data for Migration Object:  Class</t>
  </si>
  <si>
    <t>Table Name</t>
  </si>
  <si>
    <t>Field Name Technical</t>
  </si>
  <si>
    <t>VONDT</t>
  </si>
  <si>
    <t>BISDT</t>
  </si>
  <si>
    <t>BGRKL</t>
  </si>
  <si>
    <t>LoV Table</t>
  </si>
  <si>
    <t>LV_CLASS_TYPE</t>
  </si>
  <si>
    <t>LV_CLASS_STATUS</t>
  </si>
  <si>
    <t>Mapping Table</t>
  </si>
  <si>
    <t>X</t>
  </si>
  <si>
    <t>Duplication Check</t>
  </si>
  <si>
    <t>Required / Optional</t>
  </si>
  <si>
    <t>Default Value</t>
  </si>
  <si>
    <t>001</t>
  </si>
  <si>
    <t>Field Group</t>
  </si>
  <si>
    <t>Field Name</t>
  </si>
  <si>
    <t>Validate Desc Exist</t>
  </si>
  <si>
    <t>Functional Definition</t>
  </si>
  <si>
    <t xml:space="preserve">
Name used to uniquely identify a class within a class type.
</t>
  </si>
  <si>
    <t xml:space="preserve">
The top-level unit of control for classes.
Each class must be assigned to exactly one class type. There is no connection between the individual class types.
You maintain class types in Customizing for Classification.
Possible entries for class type:
001 = Material Class
017 = Document Management
023 = Batch Class
200 = Material (Configurable Objects) Class
300 = Variants Class
052 = Customer-material info record
...
</t>
  </si>
  <si>
    <t xml:space="preserve">
This key determines:
•whether a class can be maintained
•whether objects can be allocated to a class
•whether the class can be used for selecting objects
Possible values are dependent on the class type:
'0' = In preparation
'1' = Released
'2' = Locked
If it is not filled, the released value '1' will be set automatically.
</t>
  </si>
  <si>
    <t xml:space="preserve">
The class validity starts from this date. If it is not set the current system date will be used as valid-from date.
</t>
  </si>
  <si>
    <t xml:space="preserve">
The date until the class can be used. If it is not set, HIGH-Date (31.12.9999) will be used as valid-to date.
</t>
  </si>
  <si>
    <t xml:space="preserve">
Authorization key: determines whether a user is allowed to assign objects to this class.
This authorization must be defined in the user master record. The authorization object is BGRKL.
</t>
  </si>
  <si>
    <t>Required</t>
  </si>
  <si>
    <t>Optional</t>
  </si>
  <si>
    <t>List of Values</t>
  </si>
  <si>
    <t>0' = In preparation
'1' = Released
'2' = Locked</t>
  </si>
  <si>
    <t>Status</t>
  </si>
  <si>
    <r>
      <rPr>
        <rFont val="Arial"/>
        <b/>
        <color theme="1"/>
        <sz val="10.0"/>
      </rPr>
      <t xml:space="preserve">Default Value
</t>
    </r>
    <r>
      <rPr>
        <rFont val="Arial"/>
        <b val="0"/>
        <color theme="1"/>
        <sz val="10.0"/>
      </rPr>
      <t>ex:
- "1013" (Plant)
- "A" if Plant = "1013", "B" if Plant = "1012"</t>
    </r>
  </si>
  <si>
    <t>001 - Material</t>
  </si>
  <si>
    <t>1 - Released</t>
  </si>
  <si>
    <t>Uploaded for SIT</t>
  </si>
  <si>
    <t>ZFG1_AIRFRESHENER</t>
  </si>
  <si>
    <t>ZFG1_BABYDIAPERS</t>
  </si>
  <si>
    <t>ZFG1_BABYPOWDER</t>
  </si>
  <si>
    <t>ZFG1_BARDET</t>
  </si>
  <si>
    <t>ZFG1_BLEACHING</t>
  </si>
  <si>
    <t>ZFG1_BODYBARSOAP</t>
  </si>
  <si>
    <t>ZFG1_BODYLIQSOAP</t>
  </si>
  <si>
    <t>ZFG1_CANDLEAROMA</t>
  </si>
  <si>
    <t>ZFG1_CARBOL</t>
  </si>
  <si>
    <t>ZFG1_COFFEE</t>
  </si>
  <si>
    <t>ZFG1_COLOGNE</t>
  </si>
  <si>
    <t>ZFG1_COOKINGOIL</t>
  </si>
  <si>
    <t>ZFG1_CREAMDET</t>
  </si>
  <si>
    <t>ZFG1_CUPRTD</t>
  </si>
  <si>
    <t>ZFG1_DISHWASHBAR</t>
  </si>
  <si>
    <t>ZFG1_DISHWASHLIQ</t>
  </si>
  <si>
    <t>ZFG1_DISINFECTANT</t>
  </si>
  <si>
    <t>ZFG1_DISPOSMASK</t>
  </si>
  <si>
    <t>ZFG1_ESSENTIALOIL</t>
  </si>
  <si>
    <t>ZFG1_EYESMAKEUP</t>
  </si>
  <si>
    <t>ZFG1_FACEMAKEUP</t>
  </si>
  <si>
    <t>ZFG1_FLOORCLEANER</t>
  </si>
  <si>
    <t>ZFG1_GLASSCLEANER</t>
  </si>
  <si>
    <t>ZFG1_HAIRCARE</t>
  </si>
  <si>
    <t>ZFG1_HANDLIQSOAP</t>
  </si>
  <si>
    <t>ZFG1_HANDSAN</t>
  </si>
  <si>
    <t>ZFG1_ICECREAM</t>
  </si>
  <si>
    <t>ZFG1_IRONINGAID</t>
  </si>
  <si>
    <t>ZFG1_KECAP</t>
  </si>
  <si>
    <t>ZFG1_KOPI</t>
  </si>
  <si>
    <t>ZFG1_LIPSMAKEUP</t>
  </si>
  <si>
    <t>ZFG1_LIQDET</t>
  </si>
  <si>
    <t>ZFG1_MOSQUITOREPEL</t>
  </si>
  <si>
    <t>ZFG1_NOODLES</t>
  </si>
  <si>
    <t>ZFG1_ORALCARE</t>
  </si>
  <si>
    <t>ZFG1_PETRTD</t>
  </si>
  <si>
    <t>ZFG1_PEWANGI</t>
  </si>
  <si>
    <t>ZFG1_PORCCLEANER</t>
  </si>
  <si>
    <t>ZFG1_POWDET</t>
  </si>
  <si>
    <t>ZFG1_POWDRINK</t>
  </si>
  <si>
    <t>ZFG1_REEDDIFFUSER</t>
  </si>
  <si>
    <t>ZFG1_SANITARYGEL</t>
  </si>
  <si>
    <t>ZFG1_SAVORYSNACK</t>
  </si>
  <si>
    <t>ZFG1_SEASONING</t>
  </si>
  <si>
    <t>ZFG1_SKINCARE</t>
  </si>
  <si>
    <t>ZFG1_SOFTENER</t>
  </si>
  <si>
    <t>ZFG1_STAINREMOVER</t>
  </si>
  <si>
    <t>ZFG1_TOILETCLNR</t>
  </si>
  <si>
    <t>ZFG1_TOOTHBRUSH</t>
  </si>
  <si>
    <t>ZFG1_TOPTOTOE</t>
  </si>
  <si>
    <t>ZFG1_WETWIPES</t>
  </si>
  <si>
    <t>ZBL1_PAKET</t>
  </si>
  <si>
    <t>ZPI1_PAKAIAN</t>
  </si>
  <si>
    <t>ZPI1_ACC_PAKAIAN</t>
  </si>
  <si>
    <t>ZPI1_PERLKP_HUJAN</t>
  </si>
  <si>
    <t>ZPI1_LOGAM_MULIA</t>
  </si>
  <si>
    <t>ZPI1_BANTL_SELIMUT</t>
  </si>
  <si>
    <t>ZPI1_HANDUK</t>
  </si>
  <si>
    <t>ZPI1_JAM</t>
  </si>
  <si>
    <t>ZPI1_TAS_DOMPET</t>
  </si>
  <si>
    <t>ZPI1_PERLKP_DAPUR</t>
  </si>
  <si>
    <t>ZPI1_PERLKP_OLHRGA</t>
  </si>
  <si>
    <t>ZPI1_BUKU_KERTAS</t>
  </si>
  <si>
    <t>ZPI1_ALAT_KEBRSIHN</t>
  </si>
  <si>
    <t>NEW</t>
  </si>
  <si>
    <t>ZPI1_POSM_MECHNDSE</t>
  </si>
  <si>
    <t>ZPI1_POSM_DISPLAY</t>
  </si>
  <si>
    <t>ZPI1_MAINAN_BONEKA</t>
  </si>
  <si>
    <t>ZPI1_SIGNAGE_LABEL</t>
  </si>
  <si>
    <t>ZSR3_ADVERTISING</t>
  </si>
  <si>
    <t>ZSR3_ASURANSI</t>
  </si>
  <si>
    <t>ZSR3_BUSS_TRAVEL</t>
  </si>
  <si>
    <t>ZSR3_EMP_RWD_INCTV</t>
  </si>
  <si>
    <t>ZSR3_FABRIKASI</t>
  </si>
  <si>
    <t>ZSR3_HR_DEVLOPMENT</t>
  </si>
  <si>
    <t>ZSR3_INSTALASI</t>
  </si>
  <si>
    <t>ZSR3_JASA_DESAIN</t>
  </si>
  <si>
    <t>ZSR3_JSA_PROFSIONL</t>
  </si>
  <si>
    <t>ZSR3_LEGAL_LICENSE</t>
  </si>
  <si>
    <t>ZSR3_LOGST_TRASNPT</t>
  </si>
  <si>
    <t>ZSR3_MAINTAIN</t>
  </si>
  <si>
    <t>ZSR3_OPS_SUPPORT</t>
  </si>
  <si>
    <t>ZSR3_OUTSRC_MANPWR</t>
  </si>
  <si>
    <t>ZSR3_PEMBANGUNAN</t>
  </si>
  <si>
    <t>ZSR3_PENGJN_INSPKS</t>
  </si>
  <si>
    <t>ZSR3_PERPAJAKAN</t>
  </si>
  <si>
    <t>ZSR3_REPAIR</t>
  </si>
  <si>
    <t>ZSR3_SEWA</t>
  </si>
  <si>
    <t>ZSR3_WASTE_MANGMNT</t>
  </si>
  <si>
    <t>ZSI2_PALLETS</t>
  </si>
  <si>
    <t>ZSF1_COPRODUCT</t>
  </si>
  <si>
    <t>ZSF1_INTD_DRYVEG</t>
  </si>
  <si>
    <t>ZSF1_INTD_GARNISH</t>
  </si>
  <si>
    <t>ZSF1_INTD_GOODS</t>
  </si>
  <si>
    <t>ZSF1_INTD_OIL</t>
  </si>
  <si>
    <t>ZSF1_INTD_POWDER</t>
  </si>
  <si>
    <t>ZSF1_INTD_RAWMAT</t>
  </si>
  <si>
    <t>ZSF1_INTD_SAMBAL</t>
  </si>
  <si>
    <t>ZSF1_PACK_DRYVEG</t>
  </si>
  <si>
    <t>ZSF1_PACK_POWDER</t>
  </si>
  <si>
    <t>ZSF1_PACK_SAMBAL</t>
  </si>
  <si>
    <t>ZSF1_PACK_GARNISH</t>
  </si>
  <si>
    <t>ZSF1_PACK_OIL</t>
  </si>
  <si>
    <t>ZSF1_PINTD_FRESMAT</t>
  </si>
  <si>
    <t>ZSF1_PINTD_GARNISH</t>
  </si>
  <si>
    <t>ZSF1_PINTD_OIL</t>
  </si>
  <si>
    <t>ZSF1_PINTD_PREMIX</t>
  </si>
  <si>
    <t>ZSF1_PINTD_PMX_SSN</t>
  </si>
  <si>
    <t>ZSF1_REUSEABLE_PCK</t>
  </si>
  <si>
    <t>ZSF1_SECONDARY</t>
  </si>
  <si>
    <t>ZSF1_SIDEPRODUCT</t>
  </si>
  <si>
    <t>Add New for SIT2</t>
  </si>
  <si>
    <t>ZBM1_ACCATAPGLOSSY</t>
  </si>
  <si>
    <t>ZBM1_ACCATAPMATTE</t>
  </si>
  <si>
    <t>ZBM1_ACCATAPSMALLC</t>
  </si>
  <si>
    <t>ZBM1_ACCATAPUNGLZD</t>
  </si>
  <si>
    <t>ZBM1_ATAPGLOSSY</t>
  </si>
  <si>
    <t>ZBM1_ATAPMATTE</t>
  </si>
  <si>
    <t>ZBM1_ATAPSMALLC</t>
  </si>
  <si>
    <t>ZBM1_ATAPUNGLAZED</t>
  </si>
  <si>
    <t>ZBM1_GYPSUMBOARD</t>
  </si>
  <si>
    <t>ZBM1_GYPSUMCASTING</t>
  </si>
  <si>
    <t>ZBM1_GYPSUMCOMPOND</t>
  </si>
  <si>
    <t>ZBM1_GYPSUMFRAME</t>
  </si>
  <si>
    <t>ZBM1_GYPTILE</t>
  </si>
  <si>
    <t>ZBM1_PLAINPLANK</t>
  </si>
  <si>
    <t>ZBM1_TEXTUREPLANK</t>
  </si>
  <si>
    <t>ZBM1_FIBERCEMACC</t>
  </si>
  <si>
    <t>ZSI2_POSM_EVENT</t>
  </si>
  <si>
    <t>ZRM1_NonFood_Mask</t>
  </si>
  <si>
    <t>ZRM1_Perfume</t>
  </si>
  <si>
    <t>ZRM1_Food_Mask</t>
  </si>
  <si>
    <t>ZRM1_MB_PGM</t>
  </si>
  <si>
    <t>ZRM1_Resin</t>
  </si>
  <si>
    <t>ZRM1_AddResin</t>
  </si>
  <si>
    <t>ZRM1_NoMask_Acid</t>
  </si>
  <si>
    <t>ZRM1_Spice_Solid</t>
  </si>
  <si>
    <t>ZRM1_Spice_Liq</t>
  </si>
  <si>
    <t>ZRM1_Flour_Starch</t>
  </si>
  <si>
    <t>ZRM1_NoMask_Salt</t>
  </si>
  <si>
    <t>ZRM1_Sweetener</t>
  </si>
  <si>
    <t>ZRM1_Crackers</t>
  </si>
  <si>
    <t>ZRM1_MSG</t>
  </si>
  <si>
    <t>ZRM1_Cooking_Oil</t>
  </si>
  <si>
    <t>ZRM1_Sambal</t>
  </si>
  <si>
    <t>ZRM1_NoMask_Base</t>
  </si>
  <si>
    <t>ZPM1_Isl_Tape</t>
  </si>
  <si>
    <t>ZPM1_Aero_TBHandle</t>
  </si>
  <si>
    <t>ZPM1_Ball_Holder</t>
  </si>
  <si>
    <t>ZPM1_Bottle_Ember</t>
  </si>
  <si>
    <t>ZPM1_Box</t>
  </si>
  <si>
    <t>ZPM1_Cup_Paper</t>
  </si>
  <si>
    <t>ZPM1_Cup_Plastic</t>
  </si>
  <si>
    <t>ZPM1_Drum</t>
  </si>
  <si>
    <t>ZPM1_Jerrycan</t>
  </si>
  <si>
    <t>ZPM1_BagCupLid</t>
  </si>
  <si>
    <t>ZPM1_Bag3SideSeal</t>
  </si>
  <si>
    <t>ZPM1_BIB</t>
  </si>
  <si>
    <t>ZPM1_PTP_Foil</t>
  </si>
  <si>
    <t>ZPM1_Rol_Tube</t>
  </si>
  <si>
    <t>ZPM1_SP</t>
  </si>
  <si>
    <t>ZPM1_GLSPLS_Jar</t>
  </si>
  <si>
    <t>ZPM1_Layer</t>
  </si>
  <si>
    <t>ZPM1_Label_Sticker</t>
  </si>
  <si>
    <t>ZPM1_Paper_PE</t>
  </si>
  <si>
    <t>ZPM1_Glue_Ink</t>
  </si>
  <si>
    <t>ZPM1_Partisi</t>
  </si>
  <si>
    <t>ZPM1_PotPlastic</t>
  </si>
  <si>
    <t>ZPM1_SHL_SHW</t>
  </si>
  <si>
    <t>ZPM1_SimplePlastic</t>
  </si>
  <si>
    <t>ZPM1_Spoon_Fork</t>
  </si>
  <si>
    <t>ZPM1_Stiffener</t>
  </si>
  <si>
    <t>ZPM1_RibbonBarcode</t>
  </si>
  <si>
    <t>ZPM1_SealLiner</t>
  </si>
  <si>
    <t>ZPM1_Straw</t>
  </si>
  <si>
    <t>ZPM1_TBHelm_TPCap</t>
  </si>
  <si>
    <t>ZPM1_AluCan_TinCan</t>
  </si>
  <si>
    <t>ZPM1_PackValve</t>
  </si>
  <si>
    <t>ZPM1_CB</t>
  </si>
  <si>
    <t>ZPM1_Duplex</t>
  </si>
  <si>
    <t>ZPM1_Ivory</t>
  </si>
  <si>
    <t>ZPM1_ETK_INBOX</t>
  </si>
  <si>
    <t>ZPM1_HGR</t>
  </si>
  <si>
    <t>ZWS2_Waste</t>
  </si>
  <si>
    <t>ZPM1_Isl_DT</t>
  </si>
  <si>
    <t>ZPM1_Sack</t>
  </si>
  <si>
    <t>ZPM1_SW</t>
  </si>
  <si>
    <t>ZPM1_BLS</t>
  </si>
  <si>
    <t>ZPM1_NCKTagOutSlv</t>
  </si>
  <si>
    <t>ZPM1_TRAY</t>
  </si>
  <si>
    <t>ZPM1_TAGPIN</t>
  </si>
  <si>
    <t>ZPM1_BOX_PP</t>
  </si>
  <si>
    <t>ZRM1_ROLBIB</t>
  </si>
  <si>
    <t>ZRM1_NW_Wipes</t>
  </si>
  <si>
    <t>ZPM1_SUITCASE</t>
  </si>
  <si>
    <t>ZRM1_Kecap</t>
  </si>
  <si>
    <t>ZPM1_IBCTank</t>
  </si>
  <si>
    <t>ZRM1_Vit_Nutrient</t>
  </si>
  <si>
    <t>ZRM1_Colorant_Food</t>
  </si>
  <si>
    <t>ZRM1_BB_SUBCON</t>
  </si>
  <si>
    <t>ZSI1_OEM_PART</t>
  </si>
  <si>
    <t>ZSI1_HAND_TOOL</t>
  </si>
  <si>
    <t>ZSI1_BEARING</t>
  </si>
  <si>
    <t>ZSI1_PNEU_CONN</t>
  </si>
  <si>
    <t>ZSI1_ELEC_CONTROL</t>
  </si>
  <si>
    <t>ZSI1_PWR_TRANSMISN</t>
  </si>
  <si>
    <t>ZSI1_MTR_GEN_COMP</t>
  </si>
  <si>
    <t>ZSI1_OFFICE_EQUIP</t>
  </si>
  <si>
    <t>ZSI1_CCT_PROTECT</t>
  </si>
  <si>
    <t>ZSI1_ELEC_CONN</t>
  </si>
  <si>
    <t>ZSI1_PWR_CONDITION</t>
  </si>
  <si>
    <t>ZSI1_PLC</t>
  </si>
  <si>
    <t>ZSI1_FOOD_PREP_MC</t>
  </si>
  <si>
    <t>ZSI1_MEASURE_INST</t>
  </si>
  <si>
    <t>ZSI1_BATTERY_ACCU</t>
  </si>
  <si>
    <t>ZSI1_LUB_OIL</t>
  </si>
  <si>
    <t>ZSI1_ELEC_SWITCH</t>
  </si>
  <si>
    <t>ZSI1_ELEC_DIST_CC</t>
  </si>
  <si>
    <t>ZSI1_CIRCUIT_ASSY</t>
  </si>
  <si>
    <t>ZSI1_ELEC_RELAY</t>
  </si>
  <si>
    <t>ZSI1_SEPARATOR</t>
  </si>
  <si>
    <t>ZSI1_PWR_GENERATOR</t>
  </si>
  <si>
    <t>ZSI1_ELEC_PANEL</t>
  </si>
  <si>
    <t>ZSI1_PNEU_CYLINDER</t>
  </si>
  <si>
    <t>ZSI1_LOCK_NUT</t>
  </si>
  <si>
    <t>ZSI1_PUMP</t>
  </si>
  <si>
    <t>ZSI1_PULLEY</t>
  </si>
  <si>
    <t>ZSI1_REGULATOR</t>
  </si>
  <si>
    <t>ZSI1_TABLE_STAN</t>
  </si>
  <si>
    <t>ZSI1_COMPRESSOR</t>
  </si>
  <si>
    <t>ZSI1_PLASTIC_MC</t>
  </si>
  <si>
    <t>ZSI1_GEAR</t>
  </si>
  <si>
    <t>ZSI1_ELEC_BOX</t>
  </si>
  <si>
    <t>ZSI1_ELEC_CABLE</t>
  </si>
  <si>
    <t>ZSI1_SHELV_STORAGE</t>
  </si>
  <si>
    <t>ZSI1_MATL_HANDLING</t>
  </si>
  <si>
    <t>ZSI1_WAREHSE_EQUIP</t>
  </si>
  <si>
    <t>ZSI1_VENDING_MC</t>
  </si>
  <si>
    <t>ZSI1_WIRING_HARNES</t>
  </si>
  <si>
    <t>ZSI1_MEDICAL_EQUIP</t>
  </si>
  <si>
    <t>ZSI1_LIGHT_FIXTURE</t>
  </si>
  <si>
    <t>ZSI1_VEH_SERV_MC</t>
  </si>
  <si>
    <t>ZSI1_MC_COMPONENT</t>
  </si>
  <si>
    <t>ZSI1_WASHER</t>
  </si>
  <si>
    <t>ZSI1_CLAMPS</t>
  </si>
  <si>
    <t>ZSI1_BOLT</t>
  </si>
  <si>
    <t>ZSI1_POWER_CABLE</t>
  </si>
  <si>
    <t>ZSI1_FLEXIBLE_HOSE</t>
  </si>
  <si>
    <t>ZSI1_PNEU_HOSE</t>
  </si>
  <si>
    <t>ZSI1_WATER_HOSE</t>
  </si>
  <si>
    <t>ZSI1_ANGLE_BAR</t>
  </si>
  <si>
    <t>ZSI1_PIPE_NIPPLE</t>
  </si>
  <si>
    <t>ZSI1_FIRE_DETECTOR</t>
  </si>
  <si>
    <t>ZSI1_FIRE_EXTINGSH</t>
  </si>
  <si>
    <t>ZSI1_SPROCKET</t>
  </si>
  <si>
    <t>ZSI1_FORMS</t>
  </si>
  <si>
    <t>ZSI1_ADHESIVE_LEM</t>
  </si>
  <si>
    <t>ZSI1_ADHESIVE_TAPE</t>
  </si>
  <si>
    <t>ZSI1_AIR_COOLANT</t>
  </si>
  <si>
    <t>ZSI1_AMPLAS</t>
  </si>
  <si>
    <t>ZSI1_ANCHOR</t>
  </si>
  <si>
    <t>ZSI1_ELECTRONICS</t>
  </si>
  <si>
    <t>ZSI1_BINDER_CLIP</t>
  </si>
  <si>
    <t>ZSI1_BLIND_CURTAIN</t>
  </si>
  <si>
    <t>ZSI1_BRACKET</t>
  </si>
  <si>
    <t>ZSI1_FURNITURE</t>
  </si>
  <si>
    <t>ZSI1_BRICKS</t>
  </si>
  <si>
    <t>ZSI1_C_CHANNEL</t>
  </si>
  <si>
    <t>ZSI1_CABLE_DUCT</t>
  </si>
  <si>
    <t>ZSI1_CABLE_TRAY</t>
  </si>
  <si>
    <t>ZSI1_CEMENT</t>
  </si>
  <si>
    <t>ZSI1_CHEMICAL_GAS</t>
  </si>
  <si>
    <t>ZSI1_CLEANING_EQP</t>
  </si>
  <si>
    <t>ZSI1_COMM_ACCS</t>
  </si>
  <si>
    <t>ZSI1_COMM_DEVICE</t>
  </si>
  <si>
    <t>ZSI1_COMP_HARDDISK</t>
  </si>
  <si>
    <t>ZSI1_COMP_MIX_SOLV</t>
  </si>
  <si>
    <t>ZSI1_COMP_PORT</t>
  </si>
  <si>
    <t>ZSI1_COMPUTER_EQP</t>
  </si>
  <si>
    <t>ZSI1_COMPUTER_RAM</t>
  </si>
  <si>
    <t>ZSI1_CONCR_REINFOR</t>
  </si>
  <si>
    <t>ZSI1_CONSTRCT_COIL</t>
  </si>
  <si>
    <t>ZSI1_CONSTRUCT_ROD</t>
  </si>
  <si>
    <t>ZSI1_COUPLING</t>
  </si>
  <si>
    <t>ZSI1_CPU_SET</t>
  </si>
  <si>
    <t>ZSI1_DECORATIVES</t>
  </si>
  <si>
    <t>ZSI1_DIAMOND_DRSSR</t>
  </si>
  <si>
    <t>ZSI1_DISTILLED_WTR</t>
  </si>
  <si>
    <t>ZSI1_DOM_MEASURE</t>
  </si>
  <si>
    <t>ZSI1_DOOR_WINDOW</t>
  </si>
  <si>
    <t>ZSI1_E_MONEY_CARD</t>
  </si>
  <si>
    <t>ZSI1_ELEC_CONDUIT</t>
  </si>
  <si>
    <t>ZSI1_ELECTROD_HOLD</t>
  </si>
  <si>
    <t>ZSI1_END_MILL</t>
  </si>
  <si>
    <t>ZSI1_FABRICAT_ITEM</t>
  </si>
  <si>
    <t>ZSI1_FLEXIBLE_CON</t>
  </si>
  <si>
    <t>ZSI1_FLEX_JOINT</t>
  </si>
  <si>
    <t>ZSI1_FLWR_ARRANGE</t>
  </si>
  <si>
    <t>ZSI1_FOOD_BEV</t>
  </si>
  <si>
    <t>ZSI1_FUELS</t>
  </si>
  <si>
    <t>ZSI1_GASKET_SHEET</t>
  </si>
  <si>
    <t>ZSI1_GASKET_SP_WND</t>
  </si>
  <si>
    <t>ZSI1_GAZEBO</t>
  </si>
  <si>
    <t>ZSI1_GLAND_PACKING</t>
  </si>
  <si>
    <t>ZSI1_GRIND_WHEEL</t>
  </si>
  <si>
    <t>ZSI1_GYPSUM_BOARD</t>
  </si>
  <si>
    <t>ZSI1_H_BEAM</t>
  </si>
  <si>
    <t>ZSI1_HEATING_EQP</t>
  </si>
  <si>
    <t>ZSI1_HOLLOW_STRCT</t>
  </si>
  <si>
    <t>ZSI1_KARTU</t>
  </si>
  <si>
    <t>ZSI1_KITCHEN_APPLN</t>
  </si>
  <si>
    <t>ZSI1_LAB_EQUIPMENT</t>
  </si>
  <si>
    <t>ZSI1_LAB_SIEVE</t>
  </si>
  <si>
    <t>ZSI1_LAB_GLASSWARE</t>
  </si>
  <si>
    <t>ZSI1_LADDER</t>
  </si>
  <si>
    <t>ZSI1_LAMP_COMP</t>
  </si>
  <si>
    <t>ZSI1_LAUNDRY_EQP</t>
  </si>
  <si>
    <t>ZSI1_LAUNDRY_SUPP</t>
  </si>
  <si>
    <t>ZSI1_LIFTING_EQP</t>
  </si>
  <si>
    <t>ZSI1_LIGHT_BOX</t>
  </si>
  <si>
    <t>ZSI1_LIME</t>
  </si>
  <si>
    <t>ZSI1_LOCK_KEY</t>
  </si>
  <si>
    <t>ZSI1_LOGO_PROJECT</t>
  </si>
  <si>
    <t>ZSI1_MANUAL_BOOK</t>
  </si>
  <si>
    <t>ZSI1_MDF_BOARD</t>
  </si>
  <si>
    <t>ZSI1_MECH_SEAL</t>
  </si>
  <si>
    <t>ZSI1_MED_SUPPLIES</t>
  </si>
  <si>
    <t>ZSI1_MISC_CONTAIN</t>
  </si>
  <si>
    <t>ZSI1_NAILS</t>
  </si>
  <si>
    <t>ZSI1_NETWORK_EQP</t>
  </si>
  <si>
    <t>ZSI1_NIPPLE_GREASE</t>
  </si>
  <si>
    <t>ZSI1_NON_ELEC_WIRE</t>
  </si>
  <si>
    <t>ZSI1_NUT</t>
  </si>
  <si>
    <t>ZSI1_O_RING</t>
  </si>
  <si>
    <t>ZSI1_OFFICE_BOARDS</t>
  </si>
  <si>
    <t>ZSI1_OFFICE_ORGZ</t>
  </si>
  <si>
    <t>ZSI1_OFFICE_PAPER</t>
  </si>
  <si>
    <t>ZSI1_OFFICE_SUPP</t>
  </si>
  <si>
    <t>ZSI1_OIL_SEAL</t>
  </si>
  <si>
    <t>ZSI1_PALLETS</t>
  </si>
  <si>
    <t>ZSI1_PAPER_CUTTER</t>
  </si>
  <si>
    <t>ZSI1_PERM_STRCTURE</t>
  </si>
  <si>
    <t>ZSI1_PERSONAL_SAFE</t>
  </si>
  <si>
    <t>ZSI1_PEST_CONTROL</t>
  </si>
  <si>
    <t>ZSI1_PHARMA_DRUGS</t>
  </si>
  <si>
    <t>ZSI1_PHONE_SYSTEM</t>
  </si>
  <si>
    <t>ZSI1_PIPE_CAPS</t>
  </si>
  <si>
    <t>ZSI1_PIPE_CONNECT</t>
  </si>
  <si>
    <t>ZSI1_PIPE_ELBOW</t>
  </si>
  <si>
    <t>ZSI1_PIPE_FLANGE</t>
  </si>
  <si>
    <t>ZSI1_PIPE_REDUCER</t>
  </si>
  <si>
    <t>ZSI1_PIPE_STRAINER</t>
  </si>
  <si>
    <t>ZSI1_PIPE_TEE</t>
  </si>
  <si>
    <t>ZSI1_PLAIN_PLATE</t>
  </si>
  <si>
    <t>ZSI1_PLANT</t>
  </si>
  <si>
    <t>ZSI1_PLUMBING_FXTR</t>
  </si>
  <si>
    <t>ZSI1_PRINT_INK_TON</t>
  </si>
  <si>
    <t>ZSI1_REAGEN_INDC</t>
  </si>
  <si>
    <t>ZSI1_ROAD_LANDSCAP</t>
  </si>
  <si>
    <t>ZSI1_ROD_EYE</t>
  </si>
  <si>
    <t>ZSI1_RODA_CASTER</t>
  </si>
  <si>
    <t>ZSI1_ROLL_ROOFING</t>
  </si>
  <si>
    <t>ZSI1_ROLLER_CHAIN</t>
  </si>
  <si>
    <t>ZSI1_SCREEN_CABLE</t>
  </si>
  <si>
    <t>ZSI1_SEAL</t>
  </si>
  <si>
    <t>ZSI1_SELFDRL_SCREW</t>
  </si>
  <si>
    <t>ZSI1_SELFTAP_SCREW</t>
  </si>
  <si>
    <t>ZSI1_SHEET</t>
  </si>
  <si>
    <t>ZSI1_SHOE_SANDAL</t>
  </si>
  <si>
    <t>ZSI1_SHOWCASE</t>
  </si>
  <si>
    <t>ZSI1_SIGHT_GLASS</t>
  </si>
  <si>
    <t>ZSI1_SLING</t>
  </si>
  <si>
    <t>ZSI1_SLIPSHEET</t>
  </si>
  <si>
    <t>ZSI1_SNAP_RING</t>
  </si>
  <si>
    <t>ZSI1_SPRING</t>
  </si>
  <si>
    <t>ZSI1_STORAGE_TANK</t>
  </si>
  <si>
    <t>ZSI1_SURVEILLANCE</t>
  </si>
  <si>
    <t>ZSI1_TAPE_DISPENSE</t>
  </si>
  <si>
    <t>ZSI1_TENT_CARD</t>
  </si>
  <si>
    <t>ZSI1_TEST_PAPER</t>
  </si>
  <si>
    <t>ZSI1_TILE</t>
  </si>
  <si>
    <t>ZSI1_TRAF_CONE</t>
  </si>
  <si>
    <t>ZSI1_TRIPOD</t>
  </si>
  <si>
    <t>ZSI1_U_CHANNEL</t>
  </si>
  <si>
    <t>ZSI1_V_PACKING</t>
  </si>
  <si>
    <t>ZSI1_VIS_PRESENT</t>
  </si>
  <si>
    <t>ZSI1_WALL_PANEL</t>
  </si>
  <si>
    <t>ZSI1_WATERMUR</t>
  </si>
  <si>
    <t>ZSI1_WOOD_STRCTR</t>
  </si>
  <si>
    <t>ZSI1_WRAPPING_BAND</t>
  </si>
  <si>
    <t>ZSI1_WRITE_ERASE</t>
  </si>
  <si>
    <t>ZSI1_WWT_SUPPLY</t>
  </si>
  <si>
    <t>ZSI1_FOOD_CUT_MC</t>
  </si>
  <si>
    <t>ZSI1_AC_MOTOR</t>
  </si>
  <si>
    <t>ZSI1_JUMPER_BAR</t>
  </si>
  <si>
    <t>ZSI1_ANTI_KARAT</t>
  </si>
  <si>
    <t>ZSI1_BOILERS</t>
  </si>
  <si>
    <t>ZSI1_CHAIN_BLOCK</t>
  </si>
  <si>
    <t>ZSI1_CIRC_VENT</t>
  </si>
  <si>
    <t>ZSI1_CONVEYOR_BELT</t>
  </si>
  <si>
    <t>ZSI1_COOLING_EQUIP</t>
  </si>
  <si>
    <t>ZSI1_ELEC_LUG</t>
  </si>
  <si>
    <t>ZSI1_FILTER</t>
  </si>
  <si>
    <t>ZSI1_GREASE</t>
  </si>
  <si>
    <t>ZSI1_INVERTER</t>
  </si>
  <si>
    <t>ZSI1_LAMP</t>
  </si>
  <si>
    <t>ZSI1_PACKING_SUPP</t>
  </si>
  <si>
    <t>ZSI1_PAINT_FINISH</t>
  </si>
  <si>
    <t>ZSI1_PAINT_ACCS</t>
  </si>
  <si>
    <t>ZSI1_PANEL_BOX</t>
  </si>
  <si>
    <t>ZSI1_PIPE</t>
  </si>
  <si>
    <t>ZSI1_TIMING_BELT</t>
  </si>
  <si>
    <t>ZSI1_TIRE_OUTER</t>
  </si>
  <si>
    <t>ZSI1_V_BELT</t>
  </si>
  <si>
    <t>ZSI1_VALVE</t>
  </si>
  <si>
    <t>ZSI1_KARPET</t>
  </si>
  <si>
    <t>ZSI1_ACTUATOR</t>
  </si>
  <si>
    <t>ZSI1_BRAKE_COMP</t>
  </si>
  <si>
    <t>ZSI1_BUSHING</t>
  </si>
  <si>
    <t>ZSI1_CLEANING_SUPP</t>
  </si>
  <si>
    <t>ZSI1_DOOR_ACCS</t>
  </si>
  <si>
    <t>ZSI1_ELEC_HARDWARE</t>
  </si>
  <si>
    <t>ZSI1_HYD_FITTING</t>
  </si>
  <si>
    <t>ZSI1_HYD_HOSE</t>
  </si>
  <si>
    <t>ZSI1_INSULATE_PIPE</t>
  </si>
  <si>
    <t>ZSI1_WELDSOLDER_WIRE</t>
  </si>
  <si>
    <t>ZSI1_PART_MOLDING</t>
  </si>
  <si>
    <t>ZSI1_MISC_FASTENER</t>
  </si>
  <si>
    <t>ZSI1_MIX_EQP</t>
  </si>
  <si>
    <t>ZSI1_VEHICLE</t>
  </si>
  <si>
    <t>ZSI1_PNEU_TOOL</t>
  </si>
  <si>
    <t>ZSI1_MOLDING</t>
  </si>
  <si>
    <t>ZSI1_RETAIN_HARDWR</t>
  </si>
  <si>
    <t>ZSI1_TRANSMSN_SHFT</t>
  </si>
  <si>
    <t>ZSI1_WEB_SLING</t>
  </si>
  <si>
    <t>ZSI1_SCREW</t>
  </si>
  <si>
    <t>ZSI1_WIRE_ROPE</t>
  </si>
  <si>
    <t>ZSI1_DRUM_EQP</t>
  </si>
  <si>
    <t>ZSI1_RESISTOR</t>
  </si>
  <si>
    <t>ZSI1_BLOCKS</t>
  </si>
  <si>
    <t>ZSI1_HOSE_FITTING</t>
  </si>
  <si>
    <t>ZSI1_KAIN_COVER</t>
  </si>
  <si>
    <t>ZSI1_CAPACITOR</t>
  </si>
  <si>
    <t>ZSI1_CONVEYOR_ROLL</t>
  </si>
  <si>
    <t>ZSI1_AIR_PURIF</t>
  </si>
  <si>
    <t>ZSI1_DIODE</t>
  </si>
  <si>
    <t>ZSI1_ELEC_WIRE</t>
  </si>
  <si>
    <t>ZSI1_PIPE_EXP_JOINT</t>
  </si>
  <si>
    <t>ZSI1_GASKET</t>
  </si>
  <si>
    <t>ZSI1_LAB_CULTURE</t>
  </si>
  <si>
    <t>ZSI1_KUSEN</t>
  </si>
  <si>
    <t>ZSI1_PIPE_COUPLING</t>
  </si>
  <si>
    <t>ZSI1_PIPE_WYE</t>
  </si>
  <si>
    <t>ZSI1_PUB_SAFETY_SUPP</t>
  </si>
  <si>
    <t>ZSI1_ROPE</t>
  </si>
  <si>
    <t>ZSI1_TRANSPORT_COMP</t>
  </si>
  <si>
    <t>ZSI1_SIGNAL_FILTER</t>
  </si>
  <si>
    <t>ZSI1_TRAP_STRAINER</t>
  </si>
  <si>
    <t>ZSI1_LAB_MEDIA</t>
  </si>
  <si>
    <t>ZFG1_ADULTDIAPERS</t>
  </si>
  <si>
    <t>ZFG1_COMPACTPOWDER</t>
  </si>
  <si>
    <t>ZFG1_KITCHENCLNR</t>
  </si>
  <si>
    <t>ZFG1_LOOSEPOWDER</t>
  </si>
  <si>
    <t>ZFG1_ODORABSORBER</t>
  </si>
  <si>
    <t>ZFG1_ORALCARELIQ</t>
  </si>
  <si>
    <t>ZSF1_INTD_CONTDRYER</t>
  </si>
  <si>
    <t>ZSI1_ICT_CABLE</t>
  </si>
  <si>
    <t>ZSI1_COMPUTER</t>
  </si>
  <si>
    <t>ZSI1_COM_RAM_VCARD</t>
  </si>
  <si>
    <t>ZSI1_COM_TAB_ACCS</t>
  </si>
  <si>
    <t>4</t>
  </si>
  <si>
    <t>40</t>
  </si>
  <si>
    <t>EN</t>
  </si>
  <si>
    <t>Language Key*</t>
  </si>
  <si>
    <t>Order Number of Description*</t>
  </si>
  <si>
    <t>Keywords (Descriptions)*</t>
  </si>
  <si>
    <t>Validate General Data Exist</t>
  </si>
  <si>
    <t>Class-Order Number Key</t>
  </si>
  <si>
    <t>Validate Duplicate</t>
  </si>
  <si>
    <t xml:space="preserve">
Please enter here the language of your description (ISO format).
</t>
  </si>
  <si>
    <t xml:space="preserve">
The order number is to differentiate between description and keyword.
It is necessary for the duplicate check and not mapped to a target field.
The order of appearance in the sheet is the criteria to distinguish between description and keyword.
For each class, the first record in the template of each language will be processed as description, and the other records of this language will be processed as keywords.
</t>
  </si>
  <si>
    <t xml:space="preserve">
For each class, the first record of each language will be processed as description, and the other records of this language will be processed as keywords.
For example, if you input three records of language 'EN' in a class number, then the first record will be processed as description, the second and the third one will be processed as keywords.
</t>
  </si>
  <si>
    <r>
      <rPr>
        <rFont val="Arial"/>
        <b/>
        <color theme="1"/>
        <sz val="10.0"/>
      </rPr>
      <t xml:space="preserve">Default Value
</t>
    </r>
    <r>
      <rPr>
        <rFont val="Arial"/>
        <b val="0"/>
        <color theme="1"/>
        <sz val="10.0"/>
      </rPr>
      <t>ex:
- "1013" (Plant)
- "A" if Plant = "1013", "B" if Plant = "1012"</t>
    </r>
  </si>
  <si>
    <t>EN - English</t>
  </si>
  <si>
    <t>FG Air Freshener</t>
  </si>
  <si>
    <t>FG Baby Diapers</t>
  </si>
  <si>
    <t>FG Baby Powder</t>
  </si>
  <si>
    <t>FG Bar Detergent</t>
  </si>
  <si>
    <t>FG Bleaching</t>
  </si>
  <si>
    <t>FG Body Liquid Soap</t>
  </si>
  <si>
    <t>FG Candle Aromatherapy</t>
  </si>
  <si>
    <t>FG Carbol</t>
  </si>
  <si>
    <t>FG Kopi</t>
  </si>
  <si>
    <t>FG Cologne</t>
  </si>
  <si>
    <t>FG Cooking Oil</t>
  </si>
  <si>
    <t>FG Cream Detergent</t>
  </si>
  <si>
    <t>FG Cup Rtd</t>
  </si>
  <si>
    <t>FG Dishwashing Liquid</t>
  </si>
  <si>
    <t>FG Disinfectant</t>
  </si>
  <si>
    <t>FG Disposable Mask</t>
  </si>
  <si>
    <t>FG Essential Oil</t>
  </si>
  <si>
    <t>FG Face Makeup</t>
  </si>
  <si>
    <t>FG Floor Cleaner</t>
  </si>
  <si>
    <t>FG Glass Cleaner</t>
  </si>
  <si>
    <t>FG Hair Care</t>
  </si>
  <si>
    <t>FG Hand Liquid Soap</t>
  </si>
  <si>
    <t>FG Hand Sanitizer</t>
  </si>
  <si>
    <t>FG Ice Cream</t>
  </si>
  <si>
    <t>FG Ironing Aid</t>
  </si>
  <si>
    <t>FG Kecap</t>
  </si>
  <si>
    <t>FG Lips Makeup</t>
  </si>
  <si>
    <t>FG Liquid Detergent</t>
  </si>
  <si>
    <t>FG Mosquito Repellent</t>
  </si>
  <si>
    <t>FG Noodles</t>
  </si>
  <si>
    <t>FG Oral Care</t>
  </si>
  <si>
    <t>FG Pet Rtd</t>
  </si>
  <si>
    <t>FG Pewangi</t>
  </si>
  <si>
    <t>FG Porcelain Cleaner</t>
  </si>
  <si>
    <t>FG Powder Detergent</t>
  </si>
  <si>
    <t>FG Reed Diffuser</t>
  </si>
  <si>
    <t>FG Sanitary Gel</t>
  </si>
  <si>
    <t>FG Savory Snack</t>
  </si>
  <si>
    <t>FG Seasoning</t>
  </si>
  <si>
    <t>FG Skincare</t>
  </si>
  <si>
    <t>FG Softener</t>
  </si>
  <si>
    <t>FG Stain Remover</t>
  </si>
  <si>
    <t>FG Toothbrush</t>
  </si>
  <si>
    <t>FG Top To Toe</t>
  </si>
  <si>
    <t>FG Wet Wipes</t>
  </si>
  <si>
    <t>pengharum ruangan</t>
  </si>
  <si>
    <t>air freshener</t>
  </si>
  <si>
    <t>aroma therapy</t>
  </si>
  <si>
    <t>pewangi ruangan</t>
  </si>
  <si>
    <t>popok bayi</t>
  </si>
  <si>
    <t>diapers</t>
  </si>
  <si>
    <t>pampers</t>
  </si>
  <si>
    <t>baby pants</t>
  </si>
  <si>
    <t>bedak bayi</t>
  </si>
  <si>
    <t>baby talc</t>
  </si>
  <si>
    <t>powder</t>
  </si>
  <si>
    <t>sabun batang</t>
  </si>
  <si>
    <t>detergen batangan</t>
  </si>
  <si>
    <t>sabun colek</t>
  </si>
  <si>
    <t>pemutih</t>
  </si>
  <si>
    <t>bleach</t>
  </si>
  <si>
    <t>whitener</t>
  </si>
  <si>
    <t>sabun cair</t>
  </si>
  <si>
    <t>body wash</t>
  </si>
  <si>
    <t>sabun mandi cair</t>
  </si>
  <si>
    <t>lilin aromaterapi</t>
  </si>
  <si>
    <t>aromatherapy candle</t>
  </si>
  <si>
    <t>lilin wangi</t>
  </si>
  <si>
    <t>karbol</t>
  </si>
  <si>
    <t>disinfektan lantai</t>
  </si>
  <si>
    <t>carbolic acid</t>
  </si>
  <si>
    <t>kopi</t>
  </si>
  <si>
    <t>coffee</t>
  </si>
  <si>
    <t>instant coffee</t>
  </si>
  <si>
    <t>kopi instan</t>
  </si>
  <si>
    <t>parfum</t>
  </si>
  <si>
    <t>cologne</t>
  </si>
  <si>
    <t>body spray</t>
  </si>
  <si>
    <t>minyak goreng</t>
  </si>
  <si>
    <t>cooking oil</t>
  </si>
  <si>
    <t>vegetable oil</t>
  </si>
  <si>
    <t>canola oil</t>
  </si>
  <si>
    <t>detergen krim</t>
  </si>
  <si>
    <t>cream detergent</t>
  </si>
  <si>
    <t>minuman siap minum</t>
  </si>
  <si>
    <t>ready to drink</t>
  </si>
  <si>
    <t>RTD cup</t>
  </si>
  <si>
    <t>sabun cuci piring</t>
  </si>
  <si>
    <t>dish soap</t>
  </si>
  <si>
    <t>dishwashing liquid</t>
  </si>
  <si>
    <t>disinfektan</t>
  </si>
  <si>
    <t>antiseptic</t>
  </si>
  <si>
    <t>sanitizer</t>
  </si>
  <si>
    <t>masker sekali pakai</t>
  </si>
  <si>
    <t>masker medis</t>
  </si>
  <si>
    <t>disposable mask</t>
  </si>
  <si>
    <t>minyak esensial</t>
  </si>
  <si>
    <t>essential oil</t>
  </si>
  <si>
    <t>aromatherapy oil</t>
  </si>
  <si>
    <t>makeup wajah</t>
  </si>
  <si>
    <t>foundation</t>
  </si>
  <si>
    <t>bedak</t>
  </si>
  <si>
    <t>pembersih lantai</t>
  </si>
  <si>
    <t>floor cleaner</t>
  </si>
  <si>
    <t>pembersih kaca</t>
  </si>
  <si>
    <t>glass cleaner</t>
  </si>
  <si>
    <t>spray kaca</t>
  </si>
  <si>
    <t>perawatan rambut</t>
  </si>
  <si>
    <t>shampoo</t>
  </si>
  <si>
    <t>conditioner</t>
  </si>
  <si>
    <t>sabun tangan cair</t>
  </si>
  <si>
    <t>hand wash</t>
  </si>
  <si>
    <t>hand soap</t>
  </si>
  <si>
    <t>hand sanitizer</t>
  </si>
  <si>
    <t>antiseptic gel</t>
  </si>
  <si>
    <t>gel tangan</t>
  </si>
  <si>
    <t>es krim</t>
  </si>
  <si>
    <t>ice cream</t>
  </si>
  <si>
    <t>dessert beku</t>
  </si>
  <si>
    <t>pelembut setrika</t>
  </si>
  <si>
    <t>ironing aid</t>
  </si>
  <si>
    <t>setrika</t>
  </si>
  <si>
    <t>kecap</t>
  </si>
  <si>
    <t>soy sauce</t>
  </si>
  <si>
    <t>kecap manis</t>
  </si>
  <si>
    <t>kecap asin</t>
  </si>
  <si>
    <t>lipstik</t>
  </si>
  <si>
    <t>makeup bibir</t>
  </si>
  <si>
    <t>lip cream</t>
  </si>
  <si>
    <t>detergen cair</t>
  </si>
  <si>
    <t>liquid detergent</t>
  </si>
  <si>
    <t>sabun cair cuci</t>
  </si>
  <si>
    <t>obat nyamuk</t>
  </si>
  <si>
    <t>mosquito repellent</t>
  </si>
  <si>
    <t>lotion anti nyamuk</t>
  </si>
  <si>
    <t>mi</t>
  </si>
  <si>
    <t>noodles</t>
  </si>
  <si>
    <t>instant noodles</t>
  </si>
  <si>
    <t>mie instan</t>
  </si>
  <si>
    <t>perawatan mulut</t>
  </si>
  <si>
    <t>toothpaste</t>
  </si>
  <si>
    <t>mouthwash</t>
  </si>
  <si>
    <t>RTD botol</t>
  </si>
  <si>
    <t>minuman botol</t>
  </si>
  <si>
    <t>pewangi pakaian</t>
  </si>
  <si>
    <t>softener</t>
  </si>
  <si>
    <t>fragrance</t>
  </si>
  <si>
    <t>pembersih porselen</t>
  </si>
  <si>
    <t>porcelain cleaner</t>
  </si>
  <si>
    <t>cleaner kamar mandi</t>
  </si>
  <si>
    <t>detergen bubuk</t>
  </si>
  <si>
    <t>powder detergent</t>
  </si>
  <si>
    <t>sabun bubuk</t>
  </si>
  <si>
    <t>reed diffuser</t>
  </si>
  <si>
    <t>pengharum stik</t>
  </si>
  <si>
    <t>diffuser</t>
  </si>
  <si>
    <t>gel sanitasi</t>
  </si>
  <si>
    <t>sanitary gel</t>
  </si>
  <si>
    <t>gel antiseptik</t>
  </si>
  <si>
    <t>snack asin</t>
  </si>
  <si>
    <t>savory snack</t>
  </si>
  <si>
    <t>makanan ringan</t>
  </si>
  <si>
    <t>bumbu masak</t>
  </si>
  <si>
    <t>seasoning</t>
  </si>
  <si>
    <t>penyedap rasa</t>
  </si>
  <si>
    <t>perawatan kulit</t>
  </si>
  <si>
    <t>skincare</t>
  </si>
  <si>
    <t>pelembab</t>
  </si>
  <si>
    <t>pelembut pakaian</t>
  </si>
  <si>
    <t>fabric conditioner</t>
  </si>
  <si>
    <t>penghilang noda</t>
  </si>
  <si>
    <t>stain remover</t>
  </si>
  <si>
    <t>FG Powder Drink</t>
  </si>
  <si>
    <t>FG Toilet Cleaner</t>
  </si>
  <si>
    <t>FG Body Bar Soap</t>
  </si>
  <si>
    <t>FG Eyes Make Up</t>
  </si>
  <si>
    <t>FG Dishwashing Bar</t>
  </si>
  <si>
    <t>sikat gigi</t>
  </si>
  <si>
    <t>toothbrush</t>
  </si>
  <si>
    <t>oral care</t>
  </si>
  <si>
    <t>sabun bayi</t>
  </si>
  <si>
    <t>top to toe wash</t>
  </si>
  <si>
    <t>shampoo bayi</t>
  </si>
  <si>
    <t>tisu basah</t>
  </si>
  <si>
    <t>wet wipes</t>
  </si>
  <si>
    <t>baby wipes</t>
  </si>
  <si>
    <t>BUNDLING</t>
  </si>
  <si>
    <t>PAKET</t>
  </si>
  <si>
    <t>PKT</t>
  </si>
  <si>
    <t>Co-Product</t>
  </si>
  <si>
    <t>Intermediate Dry Vegetables</t>
  </si>
  <si>
    <t>Intermediate Garnish</t>
  </si>
  <si>
    <t>Intermediate Goods</t>
  </si>
  <si>
    <t>Intermediate Oil</t>
  </si>
  <si>
    <t>Intermediate Powder</t>
  </si>
  <si>
    <t>Intermediate Raw Materials</t>
  </si>
  <si>
    <t>Intermediate Sambal</t>
  </si>
  <si>
    <t>Packed Dry Vegetables</t>
  </si>
  <si>
    <t>Packed Powder</t>
  </si>
  <si>
    <t>Packed Seasoning Garnish</t>
  </si>
  <si>
    <t>Packed Seasoning Oil</t>
  </si>
  <si>
    <t>Pre-Intermediate Fresh Mat</t>
  </si>
  <si>
    <t>Pre-Intermediate Garnish</t>
  </si>
  <si>
    <t>Pre-Intermediate Oil</t>
  </si>
  <si>
    <t>Pre-Intermediate Premix</t>
  </si>
  <si>
    <t>Pre-Intermediate Premix Seasoning</t>
  </si>
  <si>
    <t>Reuseable Pack</t>
  </si>
  <si>
    <t>Secondary Product</t>
  </si>
  <si>
    <t>Side Product</t>
  </si>
  <si>
    <t>hasil samping</t>
  </si>
  <si>
    <t>byproduct</t>
  </si>
  <si>
    <t>produk turunan</t>
  </si>
  <si>
    <t>produksi paralel</t>
  </si>
  <si>
    <t>sfg tambahan</t>
  </si>
  <si>
    <t>co-product</t>
  </si>
  <si>
    <t>coproduct</t>
  </si>
  <si>
    <t>sayur kering</t>
  </si>
  <si>
    <t>dehidrasi sayur</t>
  </si>
  <si>
    <t>dry veg</t>
  </si>
  <si>
    <t>sayuran instan</t>
  </si>
  <si>
    <t>sayuran kering</t>
  </si>
  <si>
    <t>daun kering</t>
  </si>
  <si>
    <t>pelengkap</t>
  </si>
  <si>
    <t>topping</t>
  </si>
  <si>
    <t>garnish mentah</t>
  </si>
  <si>
    <t>hiasan makanan</t>
  </si>
  <si>
    <t>garnish bahan baku</t>
  </si>
  <si>
    <t>bahan setengah jadi</t>
  </si>
  <si>
    <t>semi finished</t>
  </si>
  <si>
    <t>intermediate goods</t>
  </si>
  <si>
    <t>bahan produksi tengah</t>
  </si>
  <si>
    <t>bahan olahan</t>
  </si>
  <si>
    <t>minyak</t>
  </si>
  <si>
    <t>minyak curah</t>
  </si>
  <si>
    <t>minyak masak</t>
  </si>
  <si>
    <t>intermediate oil</t>
  </si>
  <si>
    <t>oil bahan baku</t>
  </si>
  <si>
    <t>minyak kemasan bulk</t>
  </si>
  <si>
    <t>bubuk</t>
  </si>
  <si>
    <t>serbuk</t>
  </si>
  <si>
    <t>premix</t>
  </si>
  <si>
    <t>seasoning powder</t>
  </si>
  <si>
    <t>bahan tabur</t>
  </si>
  <si>
    <t>bahan baku</t>
  </si>
  <si>
    <t>raw material</t>
  </si>
  <si>
    <t>rawmat</t>
  </si>
  <si>
    <t>bahan dasar</t>
  </si>
  <si>
    <t>bahan utama</t>
  </si>
  <si>
    <t>sambel</t>
  </si>
  <si>
    <t>saus pedas</t>
  </si>
  <si>
    <t>sambal setengah jadi</t>
  </si>
  <si>
    <t>bumbu cabai</t>
  </si>
  <si>
    <t>chili paste</t>
  </si>
  <si>
    <t>sbl</t>
  </si>
  <si>
    <t>sambal instan</t>
  </si>
  <si>
    <t>packing sayur kering</t>
  </si>
  <si>
    <t>kemasan sayuran</t>
  </si>
  <si>
    <t>dried veg pack</t>
  </si>
  <si>
    <t>sayuran sachet</t>
  </si>
  <si>
    <t>bubuk kemasan</t>
  </si>
  <si>
    <t>sachet powder</t>
  </si>
  <si>
    <t>powder pack</t>
  </si>
  <si>
    <t>bumbu bubuk</t>
  </si>
  <si>
    <t>seasoning sachet</t>
  </si>
  <si>
    <t>SFG PACK SAMBAL</t>
  </si>
  <si>
    <t>sambal kemasan</t>
  </si>
  <si>
    <t>chili pack</t>
  </si>
  <si>
    <t>sauce pouch</t>
  </si>
  <si>
    <t>sambel sachet</t>
  </si>
  <si>
    <t>bahan segar</t>
  </si>
  <si>
    <t>fresh raw material</t>
  </si>
  <si>
    <t>mat segar</t>
  </si>
  <si>
    <t>sayur segar</t>
  </si>
  <si>
    <t>garnish segar</t>
  </si>
  <si>
    <t>topping segar</t>
  </si>
  <si>
    <t>garnish instan</t>
  </si>
  <si>
    <t>garnish siap pakai</t>
  </si>
  <si>
    <t>minyak setengah jadi</t>
  </si>
  <si>
    <t>olahan minyak</t>
  </si>
  <si>
    <t>minyak siap olah</t>
  </si>
  <si>
    <t>minyak produksi</t>
  </si>
  <si>
    <t>premix bahan</t>
  </si>
  <si>
    <t>premix adonan</t>
  </si>
  <si>
    <t>premix kering</t>
  </si>
  <si>
    <t>bahan campuran</t>
  </si>
  <si>
    <t>premix mix</t>
  </si>
  <si>
    <t>seasoning base</t>
  </si>
  <si>
    <t>bumbu premix</t>
  </si>
  <si>
    <t>seasoning mix</t>
  </si>
  <si>
    <t>premix rasa</t>
  </si>
  <si>
    <t>campuran bumbu</t>
  </si>
  <si>
    <t>serbuk rasa</t>
  </si>
  <si>
    <t>kemasan ulang</t>
  </si>
  <si>
    <t>reusable</t>
  </si>
  <si>
    <t>kemasan bisa dipakai ulang</t>
  </si>
  <si>
    <t>packaging reuse</t>
  </si>
  <si>
    <t>box return</t>
  </si>
  <si>
    <t>produk sekunder</t>
  </si>
  <si>
    <t>barang tambahan</t>
  </si>
  <si>
    <t>produk tambahan</t>
  </si>
  <si>
    <t>secondary product</t>
  </si>
  <si>
    <t>hasil tambahan produksi</t>
  </si>
  <si>
    <t>produk ikutan</t>
  </si>
  <si>
    <t>produksi tambahan</t>
  </si>
  <si>
    <t>sisa olahan</t>
  </si>
  <si>
    <t>side product</t>
  </si>
  <si>
    <t>produk tidak utama</t>
  </si>
  <si>
    <t>AKSESORIS SANDAL</t>
  </si>
  <si>
    <t>BANDO</t>
  </si>
  <si>
    <t>BOTOL PARFUM</t>
  </si>
  <si>
    <t>BUCKLE</t>
  </si>
  <si>
    <t>CELEMEK BAYI</t>
  </si>
  <si>
    <t>GANTUNGAN BONEKA</t>
  </si>
  <si>
    <t>GANTUNGAN HP</t>
  </si>
  <si>
    <t>IKAT RAMBUT</t>
  </si>
  <si>
    <t>JEPIT RAMBUT</t>
  </si>
  <si>
    <t>JIBBITZ</t>
  </si>
  <si>
    <t>KEROKAN COIN</t>
  </si>
  <si>
    <t>LANYARD</t>
  </si>
  <si>
    <t>MAGNET</t>
  </si>
  <si>
    <t>PIN</t>
  </si>
  <si>
    <t>STRAP HANDPHONE</t>
  </si>
  <si>
    <t>IJUK</t>
  </si>
  <si>
    <t>KAIN LAP</t>
  </si>
  <si>
    <t>LAP KAIN</t>
  </si>
  <si>
    <t>PEL</t>
  </si>
  <si>
    <t>PENGKI</t>
  </si>
  <si>
    <t>SAPU</t>
  </si>
  <si>
    <t>SAPU IJUK</t>
  </si>
  <si>
    <t>SIKAT</t>
  </si>
  <si>
    <t>SIKAT CUCI</t>
  </si>
  <si>
    <t>SIKAT TOILET</t>
  </si>
  <si>
    <t>SPON JALA</t>
  </si>
  <si>
    <t>BANTAL</t>
  </si>
  <si>
    <t>BANTAL DUDUK</t>
  </si>
  <si>
    <t>BANTAL LEHER</t>
  </si>
  <si>
    <t>BANTAL LESEHAN</t>
  </si>
  <si>
    <t>SARUNG BANTAL</t>
  </si>
  <si>
    <t>SELIMUT</t>
  </si>
  <si>
    <t>BOOKLET</t>
  </si>
  <si>
    <t>BUKU AGENDA</t>
  </si>
  <si>
    <t>BUKU TULIS</t>
  </si>
  <si>
    <t>HANDBOOK</t>
  </si>
  <si>
    <t>KALENDER</t>
  </si>
  <si>
    <t>KARTU UCAPAN</t>
  </si>
  <si>
    <t>KERTAS FOTO</t>
  </si>
  <si>
    <t>KERTAS PARFUM</t>
  </si>
  <si>
    <t>KERTAS SLEEVE</t>
  </si>
  <si>
    <t>NOTEBOOK</t>
  </si>
  <si>
    <t>PAPERWORK</t>
  </si>
  <si>
    <t>TIKET FESTIVAL</t>
  </si>
  <si>
    <t>VOUCHER</t>
  </si>
  <si>
    <t>HANDUK</t>
  </si>
  <si>
    <t>HANDUK SPORT</t>
  </si>
  <si>
    <t>HANDUK TANGAN</t>
  </si>
  <si>
    <t>TOWEL</t>
  </si>
  <si>
    <t>JAM</t>
  </si>
  <si>
    <t>JAM DINDING</t>
  </si>
  <si>
    <t>MI BAND</t>
  </si>
  <si>
    <t>SMART WATCH</t>
  </si>
  <si>
    <t>TIMER DAPUR</t>
  </si>
  <si>
    <t>WATCH</t>
  </si>
  <si>
    <t>ANTAM</t>
  </si>
  <si>
    <t>EMAS</t>
  </si>
  <si>
    <t>LM</t>
  </si>
  <si>
    <t>LOGAM MULIA</t>
  </si>
  <si>
    <t>BALON</t>
  </si>
  <si>
    <t>BALON TEPUK</t>
  </si>
  <si>
    <t>BONEKA</t>
  </si>
  <si>
    <t>BOTOL GELEMBUNG</t>
  </si>
  <si>
    <t>DART</t>
  </si>
  <si>
    <t>GASING</t>
  </si>
  <si>
    <t>KOLAM BOLA</t>
  </si>
  <si>
    <t>KONSOL GAME</t>
  </si>
  <si>
    <t>NINTENDO</t>
  </si>
  <si>
    <t>PISTOL AIR</t>
  </si>
  <si>
    <t>PLAYSTATION</t>
  </si>
  <si>
    <t>BAJU</t>
  </si>
  <si>
    <t>BAJU KOKO</t>
  </si>
  <si>
    <t>DRESS SPG</t>
  </si>
  <si>
    <t>HIJAB</t>
  </si>
  <si>
    <t>JAKET</t>
  </si>
  <si>
    <t>JAKET BOMBER</t>
  </si>
  <si>
    <t>JAKET VARSITY</t>
  </si>
  <si>
    <t>JERSEY</t>
  </si>
  <si>
    <t>KAOS</t>
  </si>
  <si>
    <t>KAOS JERSEY</t>
  </si>
  <si>
    <t>KAOS KERAH</t>
  </si>
  <si>
    <t>KAOS POLO</t>
  </si>
  <si>
    <t>KAOS SPG</t>
  </si>
  <si>
    <t>KEMEJA</t>
  </si>
  <si>
    <t>KEMEJA SALES</t>
  </si>
  <si>
    <t>SAJADAH</t>
  </si>
  <si>
    <t>SAJADAH TRAVEL</t>
  </si>
  <si>
    <t>SARUNG</t>
  </si>
  <si>
    <t>SELENDANG</t>
  </si>
  <si>
    <t>SELENDANG SPG</t>
  </si>
  <si>
    <t>SPG</t>
  </si>
  <si>
    <t>SYAL</t>
  </si>
  <si>
    <t>ALAT MASAK SET</t>
  </si>
  <si>
    <t>APRON DAPUR</t>
  </si>
  <si>
    <t>BASKOM</t>
  </si>
  <si>
    <t>BEER TOWER</t>
  </si>
  <si>
    <t>BOTOL MINUM</t>
  </si>
  <si>
    <t>BOTOL SPRAY</t>
  </si>
  <si>
    <t>CEMPAL TANGAN</t>
  </si>
  <si>
    <t>GELAS</t>
  </si>
  <si>
    <t>KOTAK MAKAN</t>
  </si>
  <si>
    <t>KOTAK MAKAN SET</t>
  </si>
  <si>
    <t>MANGKOK</t>
  </si>
  <si>
    <t>MUG</t>
  </si>
  <si>
    <t>PAPER CUP</t>
  </si>
  <si>
    <t>PENGUPAS BUAH</t>
  </si>
  <si>
    <t>PENUTUP MEJA</t>
  </si>
  <si>
    <t>Piring</t>
  </si>
  <si>
    <t>TALENAN</t>
  </si>
  <si>
    <t>TAPLAK MEJA</t>
  </si>
  <si>
    <t>TOPLES</t>
  </si>
  <si>
    <t>TOPLES SET</t>
  </si>
  <si>
    <t>TUTUP KOTAK MAKAN</t>
  </si>
  <si>
    <t>TUTUP TOPLES</t>
  </si>
  <si>
    <t>JAS HUJAN</t>
  </si>
  <si>
    <t>PAYUNG</t>
  </si>
  <si>
    <t>PAYUNG GOLF</t>
  </si>
  <si>
    <t>PAYUNG LIPAT</t>
  </si>
  <si>
    <t>BOLA</t>
  </si>
  <si>
    <t>BOLA BASKET</t>
  </si>
  <si>
    <t>BOLA FUTSAL</t>
  </si>
  <si>
    <t>BOLA KAKI</t>
  </si>
  <si>
    <t>BOLA SEPAK</t>
  </si>
  <si>
    <t>YOGA MAT</t>
  </si>
  <si>
    <t>A BOARD</t>
  </si>
  <si>
    <t>ASONGAN</t>
  </si>
  <si>
    <t>BACKDROP</t>
  </si>
  <si>
    <t>BACKLITE</t>
  </si>
  <si>
    <t>BANNER</t>
  </si>
  <si>
    <t>BANNER EDGE</t>
  </si>
  <si>
    <t>BANNER VERTICAL</t>
  </si>
  <si>
    <t>BENDERA</t>
  </si>
  <si>
    <t>BOX</t>
  </si>
  <si>
    <t>BRANDING</t>
  </si>
  <si>
    <t>CLIPSTRIP</t>
  </si>
  <si>
    <t>DISPLAY</t>
  </si>
  <si>
    <t>DUMMY</t>
  </si>
  <si>
    <t>FLAGCHAIN</t>
  </si>
  <si>
    <t>FLAGCHAIN ROLL</t>
  </si>
  <si>
    <t>FLOOR DISPLAY</t>
  </si>
  <si>
    <t>FLOOR DISPLAY HEADER</t>
  </si>
  <si>
    <t>FLOOR DISPLAY SKIRTING</t>
  </si>
  <si>
    <t>FLYER</t>
  </si>
  <si>
    <t>FRAME</t>
  </si>
  <si>
    <t>FRAME &amp; DIVIDER</t>
  </si>
  <si>
    <t>FRAME ADJUSTABLE</t>
  </si>
  <si>
    <t>FRAME BENTOR</t>
  </si>
  <si>
    <t>FRAME GONDOLA SET</t>
  </si>
  <si>
    <t>FRAME GONDOLA TOP</t>
  </si>
  <si>
    <t>FRAME POSTER</t>
  </si>
  <si>
    <t>FRAME RAK</t>
  </si>
  <si>
    <t>FRAME TROLLEY</t>
  </si>
  <si>
    <t>GIFT BOX</t>
  </si>
  <si>
    <t>GONDOLA</t>
  </si>
  <si>
    <t>GONDOLA HEADER</t>
  </si>
  <si>
    <t>HANGER</t>
  </si>
  <si>
    <t>HANGING MOBILE</t>
  </si>
  <si>
    <t>HIASAN BOLA</t>
  </si>
  <si>
    <t>INSERT HANGER</t>
  </si>
  <si>
    <t>INSERTION FLOOR DISPLAY</t>
  </si>
  <si>
    <t>LEAFLET</t>
  </si>
  <si>
    <t>MEDALI</t>
  </si>
  <si>
    <t>NEON BOX HEADER</t>
  </si>
  <si>
    <t>ORGANIZER SEKAT</t>
  </si>
  <si>
    <t>PACER FLAG</t>
  </si>
  <si>
    <t>PARTISI BOX</t>
  </si>
  <si>
    <t>POSTER</t>
  </si>
  <si>
    <t>POSTER NEON BOX</t>
  </si>
  <si>
    <t>POSTER STICKER</t>
  </si>
  <si>
    <t>RAK DISPLAY</t>
  </si>
  <si>
    <t>REBRANDING NEON BOX</t>
  </si>
  <si>
    <t>Roll-Banner</t>
  </si>
  <si>
    <t>SELOTIP</t>
  </si>
  <si>
    <t>SHELF DIVIDER</t>
  </si>
  <si>
    <t>SHELF FRAME</t>
  </si>
  <si>
    <t>SHELFTALKER</t>
  </si>
  <si>
    <t>SHELFTALKER HEADER</t>
  </si>
  <si>
    <t>SKIRTING</t>
  </si>
  <si>
    <t>SPANDUK</t>
  </si>
  <si>
    <t>SPANDUK ROLL</t>
  </si>
  <si>
    <t>STANDEE</t>
  </si>
  <si>
    <t>STICKER</t>
  </si>
  <si>
    <t>STICKER BARCODE</t>
  </si>
  <si>
    <t>STICKER BOTOL</t>
  </si>
  <si>
    <t>Sticker Clipstrip</t>
  </si>
  <si>
    <t>STICKER COOLER BOX</t>
  </si>
  <si>
    <t>STICKER FRAME</t>
  </si>
  <si>
    <t>STICKER HANGER</t>
  </si>
  <si>
    <t>STICKER MEDALI</t>
  </si>
  <si>
    <t>STICKER PACK</t>
  </si>
  <si>
    <t>STICKER PARFUME</t>
  </si>
  <si>
    <t>STICKER ROLL</t>
  </si>
  <si>
    <t>STICKER TESTER</t>
  </si>
  <si>
    <t>Sticker Truck</t>
  </si>
  <si>
    <t>SUNBLIND</t>
  </si>
  <si>
    <t>TABLE TOP</t>
  </si>
  <si>
    <t>TAG</t>
  </si>
  <si>
    <t>TANGGA DISP</t>
  </si>
  <si>
    <t>T-BANNER</t>
  </si>
  <si>
    <t>TEMPAT KARTU</t>
  </si>
  <si>
    <t>TESTER</t>
  </si>
  <si>
    <t>TOP ROW</t>
  </si>
  <si>
    <t>UMBUL-UMBUL</t>
  </si>
  <si>
    <t>WOBBLER</t>
  </si>
  <si>
    <t>BRANDING PILAR</t>
  </si>
  <si>
    <t>COVER MEJA</t>
  </si>
  <si>
    <t>COVER PARASOL</t>
  </si>
  <si>
    <t>COVER PILAR</t>
  </si>
  <si>
    <t>COVER SAMPLING</t>
  </si>
  <si>
    <t>COVER SOUND</t>
  </si>
  <si>
    <t>COVER TENDA</t>
  </si>
  <si>
    <t>EVENT DESK</t>
  </si>
  <si>
    <t>EVENT DESK HEADER</t>
  </si>
  <si>
    <t>EVENT DESK SKIRTING</t>
  </si>
  <si>
    <t>GATE</t>
  </si>
  <si>
    <t>GONG</t>
  </si>
  <si>
    <t>MASKOT</t>
  </si>
  <si>
    <t>PARASOL</t>
  </si>
  <si>
    <t>PEMBATAS ANTRIAN</t>
  </si>
  <si>
    <t>PEMBATAS BARANG</t>
  </si>
  <si>
    <t>PEMBATAS TENDA</t>
  </si>
  <si>
    <t>PHOTO BOOTH</t>
  </si>
  <si>
    <t>SKIRTING HEADER</t>
  </si>
  <si>
    <t>SKIRTING PANGGUNG</t>
  </si>
  <si>
    <t>TENDA</t>
  </si>
  <si>
    <t>TIKAR PIKNIK</t>
  </si>
  <si>
    <t>DOMPET</t>
  </si>
  <si>
    <t>DOMPET SERUT</t>
  </si>
  <si>
    <t>GIANT BAG</t>
  </si>
  <si>
    <t>KANTONG</t>
  </si>
  <si>
    <t>KANTONG GUSSET</t>
  </si>
  <si>
    <t>KANTONG KRESEK</t>
  </si>
  <si>
    <t>KANTONG SAMPAH</t>
  </si>
  <si>
    <t>KERANJANG LAUNDRY</t>
  </si>
  <si>
    <t>KERANJANG PIKNIK</t>
  </si>
  <si>
    <t>KOPER</t>
  </si>
  <si>
    <t>PAPER BAG</t>
  </si>
  <si>
    <t>POUCH</t>
  </si>
  <si>
    <t>SARUNG KOPER</t>
  </si>
  <si>
    <t>TAG LUGGAGE</t>
  </si>
  <si>
    <t>TAS</t>
  </si>
  <si>
    <t>TAS BELANJA</t>
  </si>
  <si>
    <t>TAS LAPTOP</t>
  </si>
  <si>
    <t>TAS LAUNDRY</t>
  </si>
  <si>
    <t>TAS LIPAT</t>
  </si>
  <si>
    <t>TAS PASAR</t>
  </si>
  <si>
    <t>TAS PINGGANG</t>
  </si>
  <si>
    <t>TAS PUFFY</t>
  </si>
  <si>
    <t>TAS RANSEL</t>
  </si>
  <si>
    <t>TAS SELEMPANG</t>
  </si>
  <si>
    <t>TAS SEPATU</t>
  </si>
  <si>
    <t>TAS SERUT</t>
  </si>
  <si>
    <t>TAS TOILETRIS</t>
  </si>
  <si>
    <t>TAS TRAVEL</t>
  </si>
  <si>
    <t>TOTE BAG</t>
  </si>
  <si>
    <t>LABEL</t>
  </si>
  <si>
    <t>RAMBU</t>
  </si>
  <si>
    <t>PAPAN RAMBU</t>
  </si>
  <si>
    <t>LABEL WARNA</t>
  </si>
  <si>
    <t>TOM&amp;JERRY</t>
  </si>
  <si>
    <t>ADS</t>
  </si>
  <si>
    <t>ADV</t>
  </si>
  <si>
    <t>ADVERTISING</t>
  </si>
  <si>
    <t>ARTIS</t>
  </si>
  <si>
    <t>ATTENDANCE</t>
  </si>
  <si>
    <t>BA</t>
  </si>
  <si>
    <t>BILLBOARD</t>
  </si>
  <si>
    <t>Brand Ambasador</t>
  </si>
  <si>
    <t>BROADCAST</t>
  </si>
  <si>
    <t>BROSUR</t>
  </si>
  <si>
    <t>Catalog</t>
  </si>
  <si>
    <t>CINEMA</t>
  </si>
  <si>
    <t>COLLAB</t>
  </si>
  <si>
    <t>CONTENT</t>
  </si>
  <si>
    <t>CONTENT CREATION</t>
  </si>
  <si>
    <t>DALAM TOKO</t>
  </si>
  <si>
    <t>DIGITAL</t>
  </si>
  <si>
    <t>DISPLAY PROMOTION</t>
  </si>
  <si>
    <t>EPEN</t>
  </si>
  <si>
    <t>EVENT</t>
  </si>
  <si>
    <t>EVENT ATTENDANCE</t>
  </si>
  <si>
    <t>EVENT SPONSORSHIP</t>
  </si>
  <si>
    <t>FASHION</t>
  </si>
  <si>
    <t>FESTIVAL</t>
  </si>
  <si>
    <t>FESTIVAL MUSIK</t>
  </si>
  <si>
    <t>IKLAN</t>
  </si>
  <si>
    <t>IN-STORE MEDIA</t>
  </si>
  <si>
    <t>KATALOG</t>
  </si>
  <si>
    <t>KOL</t>
  </si>
  <si>
    <t>KOMUNITAS</t>
  </si>
  <si>
    <t>KONTEN</t>
  </si>
  <si>
    <t>KORAN</t>
  </si>
  <si>
    <t>KULINER</t>
  </si>
  <si>
    <t>LIFESTYLE</t>
  </si>
  <si>
    <t>LIVE SHOPPING</t>
  </si>
  <si>
    <t>LIVE SHOPPING COLLAB</t>
  </si>
  <si>
    <t>MAJALAH</t>
  </si>
  <si>
    <t>MEDIA PLACEMENT</t>
  </si>
  <si>
    <t>MEDIA SOSIAL</t>
  </si>
  <si>
    <t>Medsos</t>
  </si>
  <si>
    <t>OLAHRAGA</t>
  </si>
  <si>
    <t>OOH</t>
  </si>
  <si>
    <t>OUT OF HOME</t>
  </si>
  <si>
    <t>PENDIDIKAN</t>
  </si>
  <si>
    <t>POSTING</t>
  </si>
  <si>
    <t>PRINTED</t>
  </si>
  <si>
    <t>PRODUCTION COST</t>
  </si>
  <si>
    <t>PROMOTION</t>
  </si>
  <si>
    <t>PUBLIC AREA</t>
  </si>
  <si>
    <t>RADIO</t>
  </si>
  <si>
    <t>SEARCH ADS.</t>
  </si>
  <si>
    <t>SPONSORSHIP</t>
  </si>
  <si>
    <t>TALLENT ARTIS</t>
  </si>
  <si>
    <t>TALLENT BA</t>
  </si>
  <si>
    <t>TALLENT KOL</t>
  </si>
  <si>
    <t>TELEVISION</t>
  </si>
  <si>
    <t>TRANSIT BRANDING</t>
  </si>
  <si>
    <t>VIDEO ONLINE</t>
  </si>
  <si>
    <t>VIDEOTRON</t>
  </si>
  <si>
    <t>ASURANSI</t>
  </si>
  <si>
    <t>BPJS</t>
  </si>
  <si>
    <t>INSURANCE</t>
  </si>
  <si>
    <t>JAMSOSTEK</t>
  </si>
  <si>
    <t>AKOMODASI</t>
  </si>
  <si>
    <t>BUS</t>
  </si>
  <si>
    <t>DINAS</t>
  </si>
  <si>
    <t>HOTEL</t>
  </si>
  <si>
    <t>KERETA</t>
  </si>
  <si>
    <t>PERDIN</t>
  </si>
  <si>
    <t>PERJALANAN DINAS</t>
  </si>
  <si>
    <t>PESAWAT</t>
  </si>
  <si>
    <t>TIKET</t>
  </si>
  <si>
    <t>TOUR</t>
  </si>
  <si>
    <t>TOUR GUIDE</t>
  </si>
  <si>
    <t>TRAVEL</t>
  </si>
  <si>
    <t>TRAVEL AGENT</t>
  </si>
  <si>
    <t>BEASISWA</t>
  </si>
  <si>
    <t>CATERING</t>
  </si>
  <si>
    <t>Catering</t>
  </si>
  <si>
    <t>CUSTOMER REWARD</t>
  </si>
  <si>
    <t>EMPLOYEE REWARD</t>
  </si>
  <si>
    <t>HADIAH</t>
  </si>
  <si>
    <t>INSENTIVE</t>
  </si>
  <si>
    <t>KONSUMSI</t>
  </si>
  <si>
    <t>PENGHARGAAN</t>
  </si>
  <si>
    <t>REWARD</t>
  </si>
  <si>
    <t>TAXI</t>
  </si>
  <si>
    <t>TOUR DALAM NEGERI</t>
  </si>
  <si>
    <t>TOUR LUAR NEGERI</t>
  </si>
  <si>
    <t>TRANSPORTASI</t>
  </si>
  <si>
    <t>FABRIKASI</t>
  </si>
  <si>
    <t>ASSESSMENT</t>
  </si>
  <si>
    <t>DEVELOP</t>
  </si>
  <si>
    <t>HR</t>
  </si>
  <si>
    <t>HR DEVELOPMENT</t>
  </si>
  <si>
    <t>LEADERSHIP</t>
  </si>
  <si>
    <t>LICENSING</t>
  </si>
  <si>
    <t>PELATIHAN</t>
  </si>
  <si>
    <t>PENGEMBANGAN</t>
  </si>
  <si>
    <t>PSIKOTEST</t>
  </si>
  <si>
    <t>TRAINING</t>
  </si>
  <si>
    <t>TRAINING &amp; DEVLOPMENT</t>
  </si>
  <si>
    <t>ELEKTRICAL</t>
  </si>
  <si>
    <t>FIBER OPTIC</t>
  </si>
  <si>
    <t>INTALASI</t>
  </si>
  <si>
    <t>NETWORK</t>
  </si>
  <si>
    <t>PIPING</t>
  </si>
  <si>
    <t>INSTAL</t>
  </si>
  <si>
    <t>SEWA</t>
  </si>
  <si>
    <t>PINJAM</t>
  </si>
  <si>
    <t>RENT</t>
  </si>
  <si>
    <t>BOOTH</t>
  </si>
  <si>
    <t>DESAIN</t>
  </si>
  <si>
    <t>FOTOGRAFI</t>
  </si>
  <si>
    <t>FOTOGRAFI &amp; VIDEOGRAFI</t>
  </si>
  <si>
    <t>GRAFIS</t>
  </si>
  <si>
    <t>INTERIOR</t>
  </si>
  <si>
    <t>MEDIA VISUAL</t>
  </si>
  <si>
    <t>VIDEOGRAFI</t>
  </si>
  <si>
    <t>WEBSITE</t>
  </si>
  <si>
    <t>AKUNTANSI</t>
  </si>
  <si>
    <t>EVENT ORGANIZER</t>
  </si>
  <si>
    <t>EXTERNAL AUDIT</t>
  </si>
  <si>
    <t>HR &amp; REQUITMENT</t>
  </si>
  <si>
    <t>JASA AGENCY</t>
  </si>
  <si>
    <t>JASA BAHASA</t>
  </si>
  <si>
    <t>JASA HUKUM</t>
  </si>
  <si>
    <t>JASA IT</t>
  </si>
  <si>
    <t>JASA KESEHATAN</t>
  </si>
  <si>
    <t>JASA KEUANGAN</t>
  </si>
  <si>
    <t>JASA KONSULTAN</t>
  </si>
  <si>
    <t>JASA KONTRUKSI</t>
  </si>
  <si>
    <t>KONSULTASI HUKUM</t>
  </si>
  <si>
    <t>KONTRAKTOR</t>
  </si>
  <si>
    <t>LIFE COACH</t>
  </si>
  <si>
    <t>MEKANIKAL</t>
  </si>
  <si>
    <t>NOTARIS</t>
  </si>
  <si>
    <t>PENERJEMAH</t>
  </si>
  <si>
    <t>PENGACARA</t>
  </si>
  <si>
    <t>REQUITMENT</t>
  </si>
  <si>
    <t>SOFTWARE DEVELOPMENT</t>
  </si>
  <si>
    <t>TENAGA MEDIS</t>
  </si>
  <si>
    <t>ANGKUTAN</t>
  </si>
  <si>
    <t>DEMURRAGE</t>
  </si>
  <si>
    <t>EKSPEDISI</t>
  </si>
  <si>
    <t>EKSPEDISI BARANG</t>
  </si>
  <si>
    <t>EMKL</t>
  </si>
  <si>
    <t>EXPORT</t>
  </si>
  <si>
    <t>FREIGHT</t>
  </si>
  <si>
    <t>FREIGHT-IN</t>
  </si>
  <si>
    <t>FREIGHT-OUT</t>
  </si>
  <si>
    <t>HANDLING</t>
  </si>
  <si>
    <t>IMPORT</t>
  </si>
  <si>
    <t>JASA ANGKUT</t>
  </si>
  <si>
    <t>KURIR</t>
  </si>
  <si>
    <t>LOGISTIC</t>
  </si>
  <si>
    <t>LOKAL</t>
  </si>
  <si>
    <t>PENGIRIMAN</t>
  </si>
  <si>
    <t>POS</t>
  </si>
  <si>
    <t>TOWING</t>
  </si>
  <si>
    <t>TRANSPORT</t>
  </si>
  <si>
    <t>BERKALA</t>
  </si>
  <si>
    <t>CLEANING</t>
  </si>
  <si>
    <t>CLEANING SERVICE</t>
  </si>
  <si>
    <t>CUCI AC</t>
  </si>
  <si>
    <t>FASILITAS UMUM</t>
  </si>
  <si>
    <t>FASUM</t>
  </si>
  <si>
    <t>KALIBASI</t>
  </si>
  <si>
    <t>LINING</t>
  </si>
  <si>
    <t>MAINTAIN</t>
  </si>
  <si>
    <t>PENGECATAN</t>
  </si>
  <si>
    <t>PERAWATAN</t>
  </si>
  <si>
    <t>PEST</t>
  </si>
  <si>
    <t>PEST CONTROL</t>
  </si>
  <si>
    <t>RENOVASI</t>
  </si>
  <si>
    <t>RUTIN</t>
  </si>
  <si>
    <t>SERVICE BERKALA</t>
  </si>
  <si>
    <t>TIMBANGAN</t>
  </si>
  <si>
    <t>BALANCING</t>
  </si>
  <si>
    <t>SPOORING</t>
  </si>
  <si>
    <t>SPURING</t>
  </si>
  <si>
    <t>TRANSMITTER</t>
  </si>
  <si>
    <t>AGENCY</t>
  </si>
  <si>
    <t>AIR</t>
  </si>
  <si>
    <t>BIAYA OPERASINAL</t>
  </si>
  <si>
    <t>ELECTRICAL</t>
  </si>
  <si>
    <t>INTERNET</t>
  </si>
  <si>
    <t>LISTRIK</t>
  </si>
  <si>
    <t>MANAGEMENT</t>
  </si>
  <si>
    <t>MEMBERSHIP</t>
  </si>
  <si>
    <t>OPERATIONAL SUPPORT</t>
  </si>
  <si>
    <t>PARKING</t>
  </si>
  <si>
    <t>PRINTING</t>
  </si>
  <si>
    <t>PULSA</t>
  </si>
  <si>
    <t>TELEPHONE</t>
  </si>
  <si>
    <t>UTILITAS</t>
  </si>
  <si>
    <t>VOUCHER HP</t>
  </si>
  <si>
    <t>BONGKAR</t>
  </si>
  <si>
    <t>BONGKAR MUAT</t>
  </si>
  <si>
    <t>BONGKAR PASANG</t>
  </si>
  <si>
    <t>HARIAN</t>
  </si>
  <si>
    <t>MANPOWER</t>
  </si>
  <si>
    <t>MUAT</t>
  </si>
  <si>
    <t>OUTSOURCE</t>
  </si>
  <si>
    <t>PACKING</t>
  </si>
  <si>
    <t>PASANG</t>
  </si>
  <si>
    <t>SECURITY</t>
  </si>
  <si>
    <t>SECURITY GUARD</t>
  </si>
  <si>
    <t>BANGUNAN</t>
  </si>
  <si>
    <t>GEDUNG</t>
  </si>
  <si>
    <t>GUDANG</t>
  </si>
  <si>
    <t>KONSTRUKSI</t>
  </si>
  <si>
    <t>PEMBANGUNAN</t>
  </si>
  <si>
    <t>STRUKTURAL</t>
  </si>
  <si>
    <t>ACRYLAMIDE</t>
  </si>
  <si>
    <t>AIR BLANKO</t>
  </si>
  <si>
    <t>AIR KONSENTRAT</t>
  </si>
  <si>
    <t>BAKTERI</t>
  </si>
  <si>
    <t>BIODEGRADABLE</t>
  </si>
  <si>
    <t>DIETHYLENE GLYCOL</t>
  </si>
  <si>
    <t>ETHYLENE OXIDE</t>
  </si>
  <si>
    <t>HIPERKES</t>
  </si>
  <si>
    <t>INSPEKSI</t>
  </si>
  <si>
    <t>KULTUR BAKTERI</t>
  </si>
  <si>
    <t>LABORATORIUM</t>
  </si>
  <si>
    <t>LINGKUNGAN KERJA</t>
  </si>
  <si>
    <t>MIKROBIOLOGI</t>
  </si>
  <si>
    <t>PENGUJIAN</t>
  </si>
  <si>
    <t>PERALATAN KERJA</t>
  </si>
  <si>
    <t>RIKSA K3</t>
  </si>
  <si>
    <t>SOLVENT</t>
  </si>
  <si>
    <t>5 TAHUNAN</t>
  </si>
  <si>
    <t>BEA</t>
  </si>
  <si>
    <t>BEA BALIK NAMA</t>
  </si>
  <si>
    <t>BPHTB</t>
  </si>
  <si>
    <t>MOBIL</t>
  </si>
  <si>
    <t>MOTOR</t>
  </si>
  <si>
    <t>PAJAK</t>
  </si>
  <si>
    <t>PAJAK KENDARAAN</t>
  </si>
  <si>
    <t>PAJAK PROPERTI</t>
  </si>
  <si>
    <t>PBB</t>
  </si>
  <si>
    <t>PEROLEHAN</t>
  </si>
  <si>
    <t>PROPERTI</t>
  </si>
  <si>
    <t>TAHUNAN</t>
  </si>
  <si>
    <t>TANAH</t>
  </si>
  <si>
    <t>TAXES</t>
  </si>
  <si>
    <t>TRUCK</t>
  </si>
  <si>
    <t>REPAIR</t>
  </si>
  <si>
    <t>ATAP</t>
  </si>
  <si>
    <t>VULKANISIR BAN</t>
  </si>
  <si>
    <t>VULKANISIR</t>
  </si>
  <si>
    <t>BODY&amp;BOC</t>
  </si>
  <si>
    <t>BODY</t>
  </si>
  <si>
    <t>KECELAKAAN</t>
  </si>
  <si>
    <t>PERBAIKKAN</t>
  </si>
  <si>
    <t>B3</t>
  </si>
  <si>
    <t>DISPOSAL</t>
  </si>
  <si>
    <t>E-Waste</t>
  </si>
  <si>
    <t>HAZARDAOUS</t>
  </si>
  <si>
    <t>LIMBAH</t>
  </si>
  <si>
    <t>MEDIS</t>
  </si>
  <si>
    <t>Non-B3</t>
  </si>
  <si>
    <t>PEMBUANGAN</t>
  </si>
  <si>
    <t>WASTE</t>
  </si>
  <si>
    <t>WASTE MANAGEMENT</t>
  </si>
  <si>
    <t>ANNUAL FEE</t>
  </si>
  <si>
    <t>ANTIVIRUS</t>
  </si>
  <si>
    <t>BACKHAUL</t>
  </si>
  <si>
    <t>BPOM</t>
  </si>
  <si>
    <t>GSUITE</t>
  </si>
  <si>
    <t>HAK PATENT</t>
  </si>
  <si>
    <t>HALAL MUI</t>
  </si>
  <si>
    <t>IMIGRASI</t>
  </si>
  <si>
    <t>IMTA</t>
  </si>
  <si>
    <t>ISO</t>
  </si>
  <si>
    <t>KITAP</t>
  </si>
  <si>
    <t>KITAS</t>
  </si>
  <si>
    <t>LEGAL SUPPORT</t>
  </si>
  <si>
    <t>LICENSE</t>
  </si>
  <si>
    <t>LICENSING SUPPORT</t>
  </si>
  <si>
    <t>MS.OFFICE</t>
  </si>
  <si>
    <t>PENDAFTARAN</t>
  </si>
  <si>
    <t>PENGURUSAN</t>
  </si>
  <si>
    <t>PERIJINAN</t>
  </si>
  <si>
    <t>SAP</t>
  </si>
  <si>
    <t>SERTIFIKASI</t>
  </si>
  <si>
    <t>SERTIFIKAT</t>
  </si>
  <si>
    <t>SOFTWARE</t>
  </si>
  <si>
    <t>SUBSCRIPTION</t>
  </si>
  <si>
    <t>SYBER SECURITY</t>
  </si>
  <si>
    <t>VENDING MACHINE</t>
  </si>
  <si>
    <t>VPN</t>
  </si>
  <si>
    <t>PALLET</t>
  </si>
  <si>
    <t>ACC ATAP GLOSSY</t>
  </si>
  <si>
    <t>ACC ATAP MATTE</t>
  </si>
  <si>
    <t>ACC ATAP SMALL CORRUGATED</t>
  </si>
  <si>
    <t>ACC ATAP UNGLAZED</t>
  </si>
  <si>
    <t>ATAP GLOSSY</t>
  </si>
  <si>
    <t>ATAP MATTE</t>
  </si>
  <si>
    <t>ATAP SMALL CORRUGATED</t>
  </si>
  <si>
    <t>ATAP UNGLAZED</t>
  </si>
  <si>
    <t>FIBER CEMENT ACC</t>
  </si>
  <si>
    <t>GYPSUM BOARD</t>
  </si>
  <si>
    <t>GYPSUM CASTING</t>
  </si>
  <si>
    <t>GYPSUM COMPOND</t>
  </si>
  <si>
    <t>GYPSUM FRAME</t>
  </si>
  <si>
    <t>GYPTILE</t>
  </si>
  <si>
    <t>PLAIN PLANK</t>
  </si>
  <si>
    <t>TEXTURE PLANK</t>
  </si>
  <si>
    <t>Aksesoris Atap</t>
  </si>
  <si>
    <t>Glossy</t>
  </si>
  <si>
    <t>Matte</t>
  </si>
  <si>
    <t>Small Corrugated</t>
  </si>
  <si>
    <t>Unglazed</t>
  </si>
  <si>
    <t>Atap</t>
  </si>
  <si>
    <t>Gypsum Board</t>
  </si>
  <si>
    <t>Gypsum Casting</t>
  </si>
  <si>
    <t>Gypsum Compound</t>
  </si>
  <si>
    <t>Gypsum Frame</t>
  </si>
  <si>
    <t>Gyptile</t>
  </si>
  <si>
    <t>Plain Plank</t>
  </si>
  <si>
    <t>Texture Plank</t>
  </si>
  <si>
    <t>Non Food Masking</t>
  </si>
  <si>
    <t>Acid</t>
  </si>
  <si>
    <t>Asam</t>
  </si>
  <si>
    <t>Active Ingredients</t>
  </si>
  <si>
    <t>At</t>
  </si>
  <si>
    <t>Additive</t>
  </si>
  <si>
    <t>Add</t>
  </si>
  <si>
    <t>Aditif</t>
  </si>
  <si>
    <t>Anti Bactery</t>
  </si>
  <si>
    <t>Antibac</t>
  </si>
  <si>
    <t>Anti bakteri</t>
  </si>
  <si>
    <t>Anti Oxidants</t>
  </si>
  <si>
    <t>Antiox</t>
  </si>
  <si>
    <t>Anti Oksidan</t>
  </si>
  <si>
    <t>Anti UV</t>
  </si>
  <si>
    <t>UV</t>
  </si>
  <si>
    <t>Ultra Violet</t>
  </si>
  <si>
    <t>Anti Ultra Violet</t>
  </si>
  <si>
    <t>Base</t>
  </si>
  <si>
    <t>Basa</t>
  </si>
  <si>
    <t>Bleaching</t>
  </si>
  <si>
    <t>Pemutih</t>
  </si>
  <si>
    <t>Ble</t>
  </si>
  <si>
    <t>Catalyst</t>
  </si>
  <si>
    <t>Katalis</t>
  </si>
  <si>
    <t>Chelating</t>
  </si>
  <si>
    <t>Chel</t>
  </si>
  <si>
    <t>Pengkelat</t>
  </si>
  <si>
    <t>Emolient</t>
  </si>
  <si>
    <t>Emolien</t>
  </si>
  <si>
    <t>Emo</t>
  </si>
  <si>
    <t>Enzyme</t>
  </si>
  <si>
    <t>Enzy</t>
  </si>
  <si>
    <t>Enzim</t>
  </si>
  <si>
    <t>Extract</t>
  </si>
  <si>
    <t>Extra</t>
  </si>
  <si>
    <t>Ekstrak</t>
  </si>
  <si>
    <t>Fatty Acid</t>
  </si>
  <si>
    <t>FA</t>
  </si>
  <si>
    <t>Hydrotrope</t>
  </si>
  <si>
    <t>Hyd</t>
  </si>
  <si>
    <t>Metallic Soap</t>
  </si>
  <si>
    <t>metso</t>
  </si>
  <si>
    <t>Optical Brightener</t>
  </si>
  <si>
    <t>OB</t>
  </si>
  <si>
    <t>Pearlizer</t>
  </si>
  <si>
    <t>Pearl</t>
  </si>
  <si>
    <t>Polymer</t>
  </si>
  <si>
    <t>Poli</t>
  </si>
  <si>
    <t>Polimer</t>
  </si>
  <si>
    <t>Proaid</t>
  </si>
  <si>
    <t>Salt Anorganic</t>
  </si>
  <si>
    <t>Garan</t>
  </si>
  <si>
    <t>Garam Anorganik</t>
  </si>
  <si>
    <t>Silicon</t>
  </si>
  <si>
    <t>Sil</t>
  </si>
  <si>
    <t>Silikon</t>
  </si>
  <si>
    <t>Solubilizer</t>
  </si>
  <si>
    <t>Solub</t>
  </si>
  <si>
    <t>Solvent</t>
  </si>
  <si>
    <t>Solve</t>
  </si>
  <si>
    <t>Solven</t>
  </si>
  <si>
    <t>Surf Bulk</t>
  </si>
  <si>
    <t>Surfactant</t>
  </si>
  <si>
    <t>Surfaktan</t>
  </si>
  <si>
    <t>BBSUR</t>
  </si>
  <si>
    <t>Bahan Baku Surfaktan</t>
  </si>
  <si>
    <t>Surf Amphoteric</t>
  </si>
  <si>
    <t>Suram</t>
  </si>
  <si>
    <t>Surfactant Amphoteric</t>
  </si>
  <si>
    <t>Surfaktant Amfoterik</t>
  </si>
  <si>
    <t>Surf Anionic</t>
  </si>
  <si>
    <t>Suran</t>
  </si>
  <si>
    <t>Surfactant Anionic</t>
  </si>
  <si>
    <t>Surfaktan Anionik</t>
  </si>
  <si>
    <t>Surf Cationic</t>
  </si>
  <si>
    <t>Surca</t>
  </si>
  <si>
    <t>Surfactant Cationic</t>
  </si>
  <si>
    <t>Surfaktan Kationik</t>
  </si>
  <si>
    <t>Surf Non Ionic</t>
  </si>
  <si>
    <t>Surno</t>
  </si>
  <si>
    <t>Surfactant Non Ionic</t>
  </si>
  <si>
    <t>Surfaktan Non Ionik</t>
  </si>
  <si>
    <t>Thickeners</t>
  </si>
  <si>
    <t>Thi</t>
  </si>
  <si>
    <t>Pengental</t>
  </si>
  <si>
    <t>Vitamin</t>
  </si>
  <si>
    <t>Vit</t>
  </si>
  <si>
    <t>Colorant Chemical</t>
  </si>
  <si>
    <t>Color</t>
  </si>
  <si>
    <t>Col</t>
  </si>
  <si>
    <t>Pewarna</t>
  </si>
  <si>
    <t>Perfume</t>
  </si>
  <si>
    <t>Parfum</t>
  </si>
  <si>
    <t>Parfume</t>
  </si>
  <si>
    <t>Food Masking</t>
  </si>
  <si>
    <t>FLL</t>
  </si>
  <si>
    <t>FM</t>
  </si>
  <si>
    <t>FO</t>
  </si>
  <si>
    <t>GG</t>
  </si>
  <si>
    <t>HP</t>
  </si>
  <si>
    <t>LD</t>
  </si>
  <si>
    <t>LI</t>
  </si>
  <si>
    <t>MTS</t>
  </si>
  <si>
    <t>ND</t>
  </si>
  <si>
    <t>OS</t>
  </si>
  <si>
    <t>PC</t>
  </si>
  <si>
    <t>PD</t>
  </si>
  <si>
    <t>PS</t>
  </si>
  <si>
    <t>Masterbatch &amp; Pigment</t>
  </si>
  <si>
    <t>PGM</t>
  </si>
  <si>
    <t>MB</t>
  </si>
  <si>
    <t>Pigment</t>
  </si>
  <si>
    <t>Masterbatch</t>
  </si>
  <si>
    <t>Resin</t>
  </si>
  <si>
    <t>RSN</t>
  </si>
  <si>
    <t>Additive Resin</t>
  </si>
  <si>
    <t>RSNADD</t>
  </si>
  <si>
    <t>Aditif Resin</t>
  </si>
  <si>
    <t>Spices Solid</t>
  </si>
  <si>
    <t>Bumbu Padat</t>
  </si>
  <si>
    <t>Seasoning Padat</t>
  </si>
  <si>
    <t>Spices Liquid</t>
  </si>
  <si>
    <t>Bumbu Cair</t>
  </si>
  <si>
    <t>Seasoning Cair</t>
  </si>
  <si>
    <t>Flour and Milled Products</t>
  </si>
  <si>
    <t>Tepung</t>
  </si>
  <si>
    <t>Gandum</t>
  </si>
  <si>
    <t>Wheat</t>
  </si>
  <si>
    <t>Starch</t>
  </si>
  <si>
    <t>Salt</t>
  </si>
  <si>
    <t>Garam</t>
  </si>
  <si>
    <t>Sugar &amp; Sweetener</t>
  </si>
  <si>
    <t>Gula</t>
  </si>
  <si>
    <t>Pemanis Buatan</t>
  </si>
  <si>
    <t>Crackers</t>
  </si>
  <si>
    <t>Kerupuk</t>
  </si>
  <si>
    <t>MSG</t>
  </si>
  <si>
    <t>Mono Sodium Glutamate</t>
  </si>
  <si>
    <t>Penambah rasa</t>
  </si>
  <si>
    <t>Cooking Oil</t>
  </si>
  <si>
    <t>Minyak</t>
  </si>
  <si>
    <t>Oil</t>
  </si>
  <si>
    <t>Sambal Jadi</t>
  </si>
  <si>
    <t>Chilli Sauce</t>
  </si>
  <si>
    <t>Sambal</t>
  </si>
  <si>
    <t>Adhesive Tape</t>
  </si>
  <si>
    <t>Adhesive Tape Non Printing</t>
  </si>
  <si>
    <t>Adhesive Tape Printing</t>
  </si>
  <si>
    <t>Isolasi</t>
  </si>
  <si>
    <t>Isolasi Wings</t>
  </si>
  <si>
    <t>Isolasi bergambar</t>
  </si>
  <si>
    <t>Isolasi bening</t>
  </si>
  <si>
    <t>Isl</t>
  </si>
  <si>
    <t>Ist</t>
  </si>
  <si>
    <t>Adhesive Tape Double</t>
  </si>
  <si>
    <t>Double Tape</t>
  </si>
  <si>
    <t>Isolasi bolak balik</t>
  </si>
  <si>
    <t>Aero Dispenser &amp; Tooth Brush Handle</t>
  </si>
  <si>
    <t>Aero Dispenser</t>
  </si>
  <si>
    <t>Toothbrush Handle</t>
  </si>
  <si>
    <t>Gagang Sikat Gigi</t>
  </si>
  <si>
    <t>Alu Can &amp; Tin Can</t>
  </si>
  <si>
    <t>Alu Can</t>
  </si>
  <si>
    <t>Tin Can</t>
  </si>
  <si>
    <t>Aluminum can</t>
  </si>
  <si>
    <t>Kaleng Aluminium</t>
  </si>
  <si>
    <t>Kaleng</t>
  </si>
  <si>
    <t>Roll On Ball &amp; Holder</t>
  </si>
  <si>
    <t>Ball Roll On</t>
  </si>
  <si>
    <t>Ball Roll On Holder</t>
  </si>
  <si>
    <t>Bola</t>
  </si>
  <si>
    <t>Roll On</t>
  </si>
  <si>
    <t>Bottle &amp; Bucket</t>
  </si>
  <si>
    <t>Bottle Body Glass</t>
  </si>
  <si>
    <t>Bottle Body Plastic</t>
  </si>
  <si>
    <t>Bottle Cap Dishpump</t>
  </si>
  <si>
    <t>Bottle Cap Fliptop</t>
  </si>
  <si>
    <t>Bottle Cap Plastic (Screw Cap)</t>
  </si>
  <si>
    <t>Bottle Cap Plastic Inner</t>
  </si>
  <si>
    <t>Bottle Cap Spray</t>
  </si>
  <si>
    <t>Bottle Cap Spray Lock</t>
  </si>
  <si>
    <t>Bottle Set Glass Dishpump</t>
  </si>
  <si>
    <t>Bottle Set Glass Fliptop</t>
  </si>
  <si>
    <t>Bottle Set Glass Screw</t>
  </si>
  <si>
    <t>Bottle Set Glass Spray</t>
  </si>
  <si>
    <t>Bottle Set Plastic Dishpump</t>
  </si>
  <si>
    <t>Bottle Set Plastic Fliptop</t>
  </si>
  <si>
    <t>Bottle Set Plastic Screw</t>
  </si>
  <si>
    <t>Bottle Set Plastic Spray</t>
  </si>
  <si>
    <t>Bucket Body</t>
  </si>
  <si>
    <t>Bucket Cap</t>
  </si>
  <si>
    <t>Bucket Set</t>
  </si>
  <si>
    <t>Bucket Handle</t>
  </si>
  <si>
    <t>Botol</t>
  </si>
  <si>
    <t>Botol Kaca</t>
  </si>
  <si>
    <t>Botol Plastik</t>
  </si>
  <si>
    <t>Ember</t>
  </si>
  <si>
    <t>Tutup Botol</t>
  </si>
  <si>
    <t>Fliptop</t>
  </si>
  <si>
    <t>Dishpump</t>
  </si>
  <si>
    <t>Spray</t>
  </si>
  <si>
    <t>Tutup Ember</t>
  </si>
  <si>
    <t>Btl</t>
  </si>
  <si>
    <t>Emb</t>
  </si>
  <si>
    <t>Box</t>
  </si>
  <si>
    <t>Box Double Wall</t>
  </si>
  <si>
    <t>Box Single Wall</t>
  </si>
  <si>
    <t>Kardus</t>
  </si>
  <si>
    <t>Dos</t>
  </si>
  <si>
    <t>Carton</t>
  </si>
  <si>
    <t>Karton</t>
  </si>
  <si>
    <t>Corrugated</t>
  </si>
  <si>
    <t>Cup Paper</t>
  </si>
  <si>
    <t>Gelas Kertas</t>
  </si>
  <si>
    <t>Cup Plastic</t>
  </si>
  <si>
    <t>Cup Plastic Print</t>
  </si>
  <si>
    <t>Cup Plastic Putih</t>
  </si>
  <si>
    <t>Cup Plastik</t>
  </si>
  <si>
    <t>Cup Plastik Putih</t>
  </si>
  <si>
    <t>Cup</t>
  </si>
  <si>
    <t>Drum</t>
  </si>
  <si>
    <t>Drum Plastic</t>
  </si>
  <si>
    <t>Drum Iron</t>
  </si>
  <si>
    <t>Drum Plastik</t>
  </si>
  <si>
    <t>Drum Besi</t>
  </si>
  <si>
    <t>Drm</t>
  </si>
  <si>
    <t>Jerrycan</t>
  </si>
  <si>
    <t>Jerrycan Body</t>
  </si>
  <si>
    <t>Jerrycan Cap</t>
  </si>
  <si>
    <t>Jerrycan Inner Cap</t>
  </si>
  <si>
    <t>Jerrycan Seal</t>
  </si>
  <si>
    <t>Jerrycan Set</t>
  </si>
  <si>
    <t>Jerigen</t>
  </si>
  <si>
    <t>Tutup Jerigen</t>
  </si>
  <si>
    <t>Jrg</t>
  </si>
  <si>
    <t>Jrc</t>
  </si>
  <si>
    <t>Bag &amp; Cup Lid</t>
  </si>
  <si>
    <t>Bag</t>
  </si>
  <si>
    <t>Cup Lid</t>
  </si>
  <si>
    <t>Kantong</t>
  </si>
  <si>
    <t>Ktg</t>
  </si>
  <si>
    <t>Lid Cup</t>
  </si>
  <si>
    <t>Sack</t>
  </si>
  <si>
    <t>Karung</t>
  </si>
  <si>
    <t>Krg</t>
  </si>
  <si>
    <t>Zak</t>
  </si>
  <si>
    <t>Sak</t>
  </si>
  <si>
    <t>BIB</t>
  </si>
  <si>
    <t>BIB Cap</t>
  </si>
  <si>
    <t>BIB Rol</t>
  </si>
  <si>
    <t>BIB Set</t>
  </si>
  <si>
    <t>Bag in Box</t>
  </si>
  <si>
    <t>BIB Body</t>
  </si>
  <si>
    <t>Bag 3 Side Seal</t>
  </si>
  <si>
    <t>PTP Foil</t>
  </si>
  <si>
    <t>Rol, Inner, Outer, Tube</t>
  </si>
  <si>
    <t>Rol</t>
  </si>
  <si>
    <t>Inner</t>
  </si>
  <si>
    <t>Outer</t>
  </si>
  <si>
    <t>Outer Bag</t>
  </si>
  <si>
    <t>Outbag</t>
  </si>
  <si>
    <t>Tube</t>
  </si>
  <si>
    <t>Softwrap</t>
  </si>
  <si>
    <t>SW</t>
  </si>
  <si>
    <t>Standing Pouch</t>
  </si>
  <si>
    <t>SP</t>
  </si>
  <si>
    <t>Gelas Plastic &amp; Jar</t>
  </si>
  <si>
    <t>Glass Plastic</t>
  </si>
  <si>
    <t>Jar Body</t>
  </si>
  <si>
    <t>Jar Cap</t>
  </si>
  <si>
    <t>Jar Set</t>
  </si>
  <si>
    <t>Gelas</t>
  </si>
  <si>
    <t>Gelas Plastik</t>
  </si>
  <si>
    <t>Layer</t>
  </si>
  <si>
    <t>Layer Double Wall</t>
  </si>
  <si>
    <t>Layer Single Wall</t>
  </si>
  <si>
    <t>Lyr</t>
  </si>
  <si>
    <t>Lay</t>
  </si>
  <si>
    <t>Label &amp; Sticker</t>
  </si>
  <si>
    <t>Label</t>
  </si>
  <si>
    <t>Sticker</t>
  </si>
  <si>
    <t>Stiker</t>
  </si>
  <si>
    <t>Stk</t>
  </si>
  <si>
    <t>Lbl</t>
  </si>
  <si>
    <t>Grey Board, MG Paper, &amp; PE Coated Paper</t>
  </si>
  <si>
    <t>Offset Grey Board</t>
  </si>
  <si>
    <t>Offset MG Paper</t>
  </si>
  <si>
    <t>Offset PE Coated Paper</t>
  </si>
  <si>
    <t>PE</t>
  </si>
  <si>
    <t>MG</t>
  </si>
  <si>
    <t>Kertas</t>
  </si>
  <si>
    <t>Glue &amp; Ink</t>
  </si>
  <si>
    <t>Glue</t>
  </si>
  <si>
    <t>Ink</t>
  </si>
  <si>
    <t>Lem</t>
  </si>
  <si>
    <t>TInta</t>
  </si>
  <si>
    <t>Partisi</t>
  </si>
  <si>
    <t>Partisi Double Wall</t>
  </si>
  <si>
    <t>Partisi Single Wall</t>
  </si>
  <si>
    <t>Par</t>
  </si>
  <si>
    <t>PTS</t>
  </si>
  <si>
    <t>Pot Plastic</t>
  </si>
  <si>
    <t>Pot Plastic Body</t>
  </si>
  <si>
    <t>Pot Plastic Lid</t>
  </si>
  <si>
    <t>Pot Plastic Set</t>
  </si>
  <si>
    <t>Toples</t>
  </si>
  <si>
    <t>Kotak</t>
  </si>
  <si>
    <t>Lunch Box</t>
  </si>
  <si>
    <t>Shrink Label &amp; Shrink Wrap</t>
  </si>
  <si>
    <t>Shrink Label</t>
  </si>
  <si>
    <t>Shrink Wrap</t>
  </si>
  <si>
    <t>SHL</t>
  </si>
  <si>
    <t>SHW</t>
  </si>
  <si>
    <t>Simple Plastic</t>
  </si>
  <si>
    <t>Plastic</t>
  </si>
  <si>
    <t>Plastik</t>
  </si>
  <si>
    <t>PLS</t>
  </si>
  <si>
    <t>Spoon &amp; Fork</t>
  </si>
  <si>
    <t>Spoon</t>
  </si>
  <si>
    <t>Fork</t>
  </si>
  <si>
    <t>Sendok</t>
  </si>
  <si>
    <t>Garpu</t>
  </si>
  <si>
    <t>Stiffener</t>
  </si>
  <si>
    <t>STF</t>
  </si>
  <si>
    <t>Ribbon Barcode</t>
  </si>
  <si>
    <t>Seal Liner</t>
  </si>
  <si>
    <t>Straw</t>
  </si>
  <si>
    <t>Sedotan</t>
  </si>
  <si>
    <t>Toothbrush Helm &amp; Cap</t>
  </si>
  <si>
    <t>Toothbrush Helm</t>
  </si>
  <si>
    <t>Toothpaste Cap Plastic</t>
  </si>
  <si>
    <t>Toothpaste Cap Fliptop</t>
  </si>
  <si>
    <t>Tutup Sikat Gigi</t>
  </si>
  <si>
    <t>Tutup Pasta Gigi</t>
  </si>
  <si>
    <t>Chipboard</t>
  </si>
  <si>
    <t>Duplex</t>
  </si>
  <si>
    <t>Ivory</t>
  </si>
  <si>
    <t>Blister</t>
  </si>
  <si>
    <t>BLS</t>
  </si>
  <si>
    <t>Etiket &amp; Inner Box</t>
  </si>
  <si>
    <t>Etiket</t>
  </si>
  <si>
    <t>Inner Box</t>
  </si>
  <si>
    <t>ETK</t>
  </si>
  <si>
    <t>Inbox</t>
  </si>
  <si>
    <t>Hanger</t>
  </si>
  <si>
    <t>Hgr</t>
  </si>
  <si>
    <t>Necktag &amp; Outer Sleeve</t>
  </si>
  <si>
    <t>Necktag</t>
  </si>
  <si>
    <t>Outer Sleeve</t>
  </si>
  <si>
    <t>Outslv</t>
  </si>
  <si>
    <t>Pack Valve</t>
  </si>
  <si>
    <t>Valve Aktuator</t>
  </si>
  <si>
    <t>Valve Actuator</t>
  </si>
  <si>
    <t>Waste</t>
  </si>
  <si>
    <t>Sampah</t>
  </si>
  <si>
    <t>Barang Sisa</t>
  </si>
  <si>
    <t>Barang Buangan</t>
  </si>
  <si>
    <t>Tray</t>
  </si>
  <si>
    <t>Nampan</t>
  </si>
  <si>
    <t>Tag Pin</t>
  </si>
  <si>
    <t>Tagpin</t>
  </si>
  <si>
    <t>Box Pick Pack</t>
  </si>
  <si>
    <t>Pick Pack</t>
  </si>
  <si>
    <t>PP</t>
  </si>
  <si>
    <t>BOXPP</t>
  </si>
  <si>
    <t>Box PP</t>
  </si>
  <si>
    <t>ROLBIB</t>
  </si>
  <si>
    <t>Rol BIB</t>
  </si>
  <si>
    <t>RM BIB</t>
  </si>
  <si>
    <t>Non Woven Raw Mat</t>
  </si>
  <si>
    <t>NW</t>
  </si>
  <si>
    <t>NW Wipes</t>
  </si>
  <si>
    <t>Suitcase</t>
  </si>
  <si>
    <t>Koper Plastik</t>
  </si>
  <si>
    <t>Suitcase Plastic</t>
  </si>
  <si>
    <t>Tas</t>
  </si>
  <si>
    <t>Kunci Tas</t>
  </si>
  <si>
    <t>Kecap</t>
  </si>
  <si>
    <t>Soysauce</t>
  </si>
  <si>
    <t>Concentrated Soy Sauce</t>
  </si>
  <si>
    <t>IBC Tank</t>
  </si>
  <si>
    <t>IBC</t>
  </si>
  <si>
    <t>Kempu</t>
  </si>
  <si>
    <t>Vitamin &amp; Nutrient</t>
  </si>
  <si>
    <t>Nutrient</t>
  </si>
  <si>
    <t>Colorant Food</t>
  </si>
  <si>
    <t>Color Food</t>
  </si>
  <si>
    <t>Warna Makanan</t>
  </si>
  <si>
    <t>Pewarna Makanan</t>
  </si>
  <si>
    <t>Bahan Baku Subcon</t>
  </si>
  <si>
    <t>BB Subcon</t>
  </si>
  <si>
    <t>Subcon</t>
  </si>
  <si>
    <t>MOTOR AC</t>
  </si>
  <si>
    <t>MOTR</t>
  </si>
  <si>
    <t>Servo Drive</t>
  </si>
  <si>
    <t>Motor Controller</t>
  </si>
  <si>
    <t>AC MOTOR</t>
  </si>
  <si>
    <t>MOTORAC</t>
  </si>
  <si>
    <t>ACMOTOR</t>
  </si>
  <si>
    <t>AC</t>
  </si>
  <si>
    <t>ADHESIVE</t>
  </si>
  <si>
    <t>LEM</t>
  </si>
  <si>
    <t>GLUE</t>
  </si>
  <si>
    <t>GLUE STICK</t>
  </si>
  <si>
    <t>PEREKAT</t>
  </si>
  <si>
    <t>FOX</t>
  </si>
  <si>
    <t>UHU</t>
  </si>
  <si>
    <t>TAPE</t>
  </si>
  <si>
    <t>LAKBAN</t>
  </si>
  <si>
    <t>TEP</t>
  </si>
  <si>
    <t>SOLATIP</t>
  </si>
  <si>
    <t>ISOLASI</t>
  </si>
  <si>
    <t>AIR COOLANT</t>
  </si>
  <si>
    <t>AIR AKI</t>
  </si>
  <si>
    <t>COOLANT</t>
  </si>
  <si>
    <t>ANTI FREEZE</t>
  </si>
  <si>
    <t>RADIATOR</t>
  </si>
  <si>
    <t>AIR RADIATOR</t>
  </si>
  <si>
    <t>AMPLAS</t>
  </si>
  <si>
    <t>ABRASIVE</t>
  </si>
  <si>
    <t>KERTAS PASIR</t>
  </si>
  <si>
    <t>ABRASIVE PAPER</t>
  </si>
  <si>
    <t>AMPELAS</t>
  </si>
  <si>
    <t>AMRIL</t>
  </si>
  <si>
    <t>ANGKUR</t>
  </si>
  <si>
    <t>VISER</t>
  </si>
  <si>
    <t>FISCHER</t>
  </si>
  <si>
    <t>ANCHOR</t>
  </si>
  <si>
    <t>5</t>
  </si>
  <si>
    <t>ANKUR</t>
  </si>
  <si>
    <t>ANGLE BAR</t>
  </si>
  <si>
    <t>2</t>
  </si>
  <si>
    <t>SIKU</t>
  </si>
  <si>
    <t>BESI SIKU</t>
  </si>
  <si>
    <t>ANTI KARAT</t>
  </si>
  <si>
    <t>BATTERY &amp; ACCU</t>
  </si>
  <si>
    <t>BATTERY</t>
  </si>
  <si>
    <t>12</t>
  </si>
  <si>
    <t>ACCU</t>
  </si>
  <si>
    <t>AKI</t>
  </si>
  <si>
    <t>BATERE</t>
  </si>
  <si>
    <t>BATRE</t>
  </si>
  <si>
    <t>GS</t>
  </si>
  <si>
    <t>YUASA</t>
  </si>
  <si>
    <t>ACU</t>
  </si>
  <si>
    <t>AKI MOBIL</t>
  </si>
  <si>
    <t>AKI FORKLIFT</t>
  </si>
  <si>
    <t>BATTERIES</t>
  </si>
  <si>
    <t>BEARING</t>
  </si>
  <si>
    <t>BERING</t>
  </si>
  <si>
    <t>SKF</t>
  </si>
  <si>
    <t>LAHER</t>
  </si>
  <si>
    <t>BANTALAN</t>
  </si>
  <si>
    <t>BEARINGS</t>
  </si>
  <si>
    <t>LAHAR</t>
  </si>
  <si>
    <t>KLAKER</t>
  </si>
  <si>
    <t>BINDER CLIP</t>
  </si>
  <si>
    <t>CLIP</t>
  </si>
  <si>
    <t>KLIP</t>
  </si>
  <si>
    <t>KLIP BINDER</t>
  </si>
  <si>
    <t>BINDER</t>
  </si>
  <si>
    <t>BLINDS</t>
  </si>
  <si>
    <t>ROLLER BLIND</t>
  </si>
  <si>
    <t>BLIND</t>
  </si>
  <si>
    <t>CURTAIN</t>
  </si>
  <si>
    <t>TIRAI</t>
  </si>
  <si>
    <t>GORDEN</t>
  </si>
  <si>
    <t>HORDEN</t>
  </si>
  <si>
    <t>GORDAIN</t>
  </si>
  <si>
    <t>TIRAI LIPAT</t>
  </si>
  <si>
    <t>BOILER</t>
  </si>
  <si>
    <t>BOLT</t>
  </si>
  <si>
    <t>BAUT</t>
  </si>
  <si>
    <t>BRACKET</t>
  </si>
  <si>
    <t>BRAKET</t>
  </si>
  <si>
    <t>BRAKT</t>
  </si>
  <si>
    <t>PENYANGGA</t>
  </si>
  <si>
    <t>BRACKED</t>
  </si>
  <si>
    <t>BRICK</t>
  </si>
  <si>
    <t>C CHANNEL</t>
  </si>
  <si>
    <t>CHANNEL</t>
  </si>
  <si>
    <t>TIANG</t>
  </si>
  <si>
    <t>CABLE DUCT</t>
  </si>
  <si>
    <t>DUK KABEL</t>
  </si>
  <si>
    <t>PELINGDUNG KABEL</t>
  </si>
  <si>
    <t>DAK KABEL</t>
  </si>
  <si>
    <t>CABLE TRAY</t>
  </si>
  <si>
    <t>TRAY KABEL</t>
  </si>
  <si>
    <t>WIREWAY</t>
  </si>
  <si>
    <t>CIRCUIT PROTECTION DEVICE</t>
  </si>
  <si>
    <t>SEKRING</t>
  </si>
  <si>
    <t>SKRING</t>
  </si>
  <si>
    <t>MCB</t>
  </si>
  <si>
    <t>MCCB</t>
  </si>
  <si>
    <t>FUSE</t>
  </si>
  <si>
    <t>PENGAMAN CIRCUIT</t>
  </si>
  <si>
    <t>PENGAMAN SIRKUIT</t>
  </si>
  <si>
    <t>SEMEN</t>
  </si>
  <si>
    <t>CEMENT</t>
  </si>
  <si>
    <t>PASIR SEMEN</t>
  </si>
  <si>
    <t>TIGA RODA</t>
  </si>
  <si>
    <t>TIGARODA</t>
  </si>
  <si>
    <t>SEMEN PORTLAND</t>
  </si>
  <si>
    <t>CHAIN BLOCK</t>
  </si>
  <si>
    <t>GAS</t>
  </si>
  <si>
    <t>TABUNG GAS</t>
  </si>
  <si>
    <t>NITROGEN</t>
  </si>
  <si>
    <t>ARGON</t>
  </si>
  <si>
    <t>HELIUM</t>
  </si>
  <si>
    <t>TABUNG NITROGEN</t>
  </si>
  <si>
    <t>ELPIJI</t>
  </si>
  <si>
    <t>TABUNG ELPIJI</t>
  </si>
  <si>
    <t>GAS KIMIA</t>
  </si>
  <si>
    <t>VENTILASI</t>
  </si>
  <si>
    <t>CIRCUIT ASSEMBLY</t>
  </si>
  <si>
    <t>ASSEMBLY SIRKUIT</t>
  </si>
  <si>
    <t>CIRCUIT ASSY</t>
  </si>
  <si>
    <t>CLAMPS</t>
  </si>
  <si>
    <t>klem</t>
  </si>
  <si>
    <t>VACUUM</t>
  </si>
  <si>
    <t>VACCUUM</t>
  </si>
  <si>
    <t>VACUM</t>
  </si>
  <si>
    <t>ROBOT VACUUM</t>
  </si>
  <si>
    <t>ECOVACS</t>
  </si>
  <si>
    <t>KURUMI</t>
  </si>
  <si>
    <t>AKSESORIS KOMPUTER</t>
  </si>
  <si>
    <t>CASING HP</t>
  </si>
  <si>
    <t>CASE</t>
  </si>
  <si>
    <t>CASING HANDPHONE</t>
  </si>
  <si>
    <t>PHONE HOLDER</t>
  </si>
  <si>
    <t>6</t>
  </si>
  <si>
    <t>PENGENGGAM HP</t>
  </si>
  <si>
    <t>HANDPHONE</t>
  </si>
  <si>
    <t>SMARTPHONE</t>
  </si>
  <si>
    <t>PHONE</t>
  </si>
  <si>
    <t>TELEFON</t>
  </si>
  <si>
    <t>TELPON</t>
  </si>
  <si>
    <t>IPHONE</t>
  </si>
  <si>
    <t>XIAOMI</t>
  </si>
  <si>
    <t>REDMI</t>
  </si>
  <si>
    <t>HAPE</t>
  </si>
  <si>
    <t>HANDFON</t>
  </si>
  <si>
    <t>SAMSUNG</t>
  </si>
  <si>
    <t>HARDDISK</t>
  </si>
  <si>
    <t>HDD</t>
  </si>
  <si>
    <t>SSD</t>
  </si>
  <si>
    <t>HARD DISK</t>
  </si>
  <si>
    <t>KIMIA</t>
  </si>
  <si>
    <t>BAHAN KIMIA</t>
  </si>
  <si>
    <t>MIXTURE</t>
  </si>
  <si>
    <t>SENYAWA</t>
  </si>
  <si>
    <t>COMPOUND</t>
  </si>
  <si>
    <t>ASAM</t>
  </si>
  <si>
    <t>BASA</t>
  </si>
  <si>
    <t>ACID</t>
  </si>
  <si>
    <t>BASE</t>
  </si>
  <si>
    <t>LARUTAN</t>
  </si>
  <si>
    <t>PORT</t>
  </si>
  <si>
    <t>SALURAN</t>
  </si>
  <si>
    <t>SAMBUNGAN</t>
  </si>
  <si>
    <t>COLOKAN</t>
  </si>
  <si>
    <t>HDMI</t>
  </si>
  <si>
    <t>KONEKTOR</t>
  </si>
  <si>
    <t>7</t>
  </si>
  <si>
    <t>CONNECTOR</t>
  </si>
  <si>
    <t>8</t>
  </si>
  <si>
    <t>CONVERTER</t>
  </si>
  <si>
    <t>9</t>
  </si>
  <si>
    <t>RJ45</t>
  </si>
  <si>
    <t>COMPRESSOR</t>
  </si>
  <si>
    <t>KOMPRESOR</t>
  </si>
  <si>
    <t>KOMPRESSOR</t>
  </si>
  <si>
    <t>COMPRESOR</t>
  </si>
  <si>
    <t>KOMPUTER</t>
  </si>
  <si>
    <t>LAPTOP</t>
  </si>
  <si>
    <t>GAMING PC</t>
  </si>
  <si>
    <t>COMPUTER</t>
  </si>
  <si>
    <t>ULTRABOOK</t>
  </si>
  <si>
    <t>MOUSE</t>
  </si>
  <si>
    <t>KEYBOARD</t>
  </si>
  <si>
    <t>BARCODE SCANNER</t>
  </si>
  <si>
    <t>MONITOR</t>
  </si>
  <si>
    <t>LED MONITOR</t>
  </si>
  <si>
    <t>TAB</t>
  </si>
  <si>
    <t>TABLET</t>
  </si>
  <si>
    <t>UPS</t>
  </si>
  <si>
    <t>COMPUTER SPEAKER</t>
  </si>
  <si>
    <t>VIDEO BAR</t>
  </si>
  <si>
    <t>11</t>
  </si>
  <si>
    <t>RAK SERVER</t>
  </si>
  <si>
    <t>WALLMOUNT</t>
  </si>
  <si>
    <t>13</t>
  </si>
  <si>
    <t>RACK WALLMOUNT</t>
  </si>
  <si>
    <t>14</t>
  </si>
  <si>
    <t>RACK SERVER</t>
  </si>
  <si>
    <t>15</t>
  </si>
  <si>
    <t>WEBCAM</t>
  </si>
  <si>
    <t>16</t>
  </si>
  <si>
    <t>17</t>
  </si>
  <si>
    <t>LAN TESTER</t>
  </si>
  <si>
    <t>SCANNER</t>
  </si>
  <si>
    <t>GAMING LAPTOP</t>
  </si>
  <si>
    <t>RAM</t>
  </si>
  <si>
    <t>VIDEO CARD</t>
  </si>
  <si>
    <t>RANDOM ACCESS MEMORY</t>
  </si>
  <si>
    <t>SODIMM</t>
  </si>
  <si>
    <t>LONGDIMM</t>
  </si>
  <si>
    <t>NVIDIA</t>
  </si>
  <si>
    <t>GEFORCE</t>
  </si>
  <si>
    <t>CONCRETE</t>
  </si>
  <si>
    <t>WIREMESH</t>
  </si>
  <si>
    <t>BESI</t>
  </si>
  <si>
    <t>KAWAT BESI</t>
  </si>
  <si>
    <t>PENUNJANG SEMEN</t>
  </si>
  <si>
    <t>CONSTRUCTION COIL</t>
  </si>
  <si>
    <t>KOIL BESI</t>
  </si>
  <si>
    <t>KOIL BAJA</t>
  </si>
  <si>
    <t>KUMPARAN BAJA</t>
  </si>
  <si>
    <t>KOIL KONSTRUKSI</t>
  </si>
  <si>
    <t>KUMPARAN BESI</t>
  </si>
  <si>
    <t>CONSTRUCTION ROD</t>
  </si>
  <si>
    <t>ROD KONSTRUKSI</t>
  </si>
  <si>
    <t>TIANG KONSTRUKSI</t>
  </si>
  <si>
    <t>ROD</t>
  </si>
  <si>
    <t>ROD BESI</t>
  </si>
  <si>
    <t>CONVEYOR</t>
  </si>
  <si>
    <t>AIR CONDITIONER</t>
  </si>
  <si>
    <t>KOPLING</t>
  </si>
  <si>
    <t>COUPLING</t>
  </si>
  <si>
    <t>CPU</t>
  </si>
  <si>
    <t>SET KOMPUTER</t>
  </si>
  <si>
    <t>DEKOR</t>
  </si>
  <si>
    <t>DIAMOND DRESSER</t>
  </si>
  <si>
    <t>PINTU</t>
  </si>
  <si>
    <t>E MONEY</t>
  </si>
  <si>
    <t>ELECTRICAL BOX</t>
  </si>
  <si>
    <t>ELECTRICAL CABLE</t>
  </si>
  <si>
    <t>KONDUIT</t>
  </si>
  <si>
    <t>ELECTRICAL CONNECTOR</t>
  </si>
  <si>
    <t>ELECTRICAL CONTROL</t>
  </si>
  <si>
    <t>DISTRIBUTION &amp; CONTROL CENTER</t>
  </si>
  <si>
    <t>LOAD CENTER</t>
  </si>
  <si>
    <t>BUSS BAR</t>
  </si>
  <si>
    <t>DCC</t>
  </si>
  <si>
    <t>LUG</t>
  </si>
  <si>
    <t>ELECTRICAL PANEL</t>
  </si>
  <si>
    <t>ELECTRICAL RELAY</t>
  </si>
  <si>
    <t>ELECTRICAL SWITCH</t>
  </si>
  <si>
    <t>ELECTRODE HOLDER</t>
  </si>
  <si>
    <t>AUDIO VISUAL</t>
  </si>
  <si>
    <t>END MILL</t>
  </si>
  <si>
    <t>FILTER</t>
  </si>
  <si>
    <t>FIRE DETECTOR</t>
  </si>
  <si>
    <t>sensor api</t>
  </si>
  <si>
    <t>FIRE EXTINGSH</t>
  </si>
  <si>
    <t>alat pemadam</t>
  </si>
  <si>
    <t>FLEXIBLE JOINT</t>
  </si>
  <si>
    <t>FLEXIBLE CONNECTOR</t>
  </si>
  <si>
    <t>FLEXIBLE HOSE</t>
  </si>
  <si>
    <t>selang fleksibel</t>
  </si>
  <si>
    <t>KARANGAN BUNGA</t>
  </si>
  <si>
    <t>SNACK</t>
  </si>
  <si>
    <t>MESIN POTONG MAKANAN</t>
  </si>
  <si>
    <t>FOOD PREPARE MACHINE</t>
  </si>
  <si>
    <t>FORMS</t>
  </si>
  <si>
    <t>SOLAR</t>
  </si>
  <si>
    <t>FURNITURE</t>
  </si>
  <si>
    <t>MEJA</t>
  </si>
  <si>
    <t>KURSI</t>
  </si>
  <si>
    <t>DINING SET</t>
  </si>
  <si>
    <t>LEMARI</t>
  </si>
  <si>
    <t>BANGKU</t>
  </si>
  <si>
    <t>BENCH</t>
  </si>
  <si>
    <t>TABLE</t>
  </si>
  <si>
    <t>CREDENZA</t>
  </si>
  <si>
    <t>CABINET</t>
  </si>
  <si>
    <t>KURSI KANTOR</t>
  </si>
  <si>
    <t>PEDESTAL</t>
  </si>
  <si>
    <t>MORELLI</t>
  </si>
  <si>
    <t>FREESTANDING</t>
  </si>
  <si>
    <t>GASKET</t>
  </si>
  <si>
    <t>GAZEBO</t>
  </si>
  <si>
    <t>GEAR</t>
  </si>
  <si>
    <t>GLAND PACKING</t>
  </si>
  <si>
    <t>GREASE</t>
  </si>
  <si>
    <t>GRINDING WHEEL</t>
  </si>
  <si>
    <t>H BEAM</t>
  </si>
  <si>
    <t>HAND TOOL</t>
  </si>
  <si>
    <t>HEATING BAND</t>
  </si>
  <si>
    <t>HSS</t>
  </si>
  <si>
    <t>INVERTER</t>
  </si>
  <si>
    <t>JUMPER BAR</t>
  </si>
  <si>
    <t>KARPET</t>
  </si>
  <si>
    <t>CARPET</t>
  </si>
  <si>
    <t>PERMADANI</t>
  </si>
  <si>
    <t>KARTU</t>
  </si>
  <si>
    <t>ALAT DAPUR</t>
  </si>
  <si>
    <t>ALAT LAB</t>
  </si>
  <si>
    <t>GLASSWARE</t>
  </si>
  <si>
    <t>AYAKAN LAB</t>
  </si>
  <si>
    <t>TANGGA</t>
  </si>
  <si>
    <t>LAMPU</t>
  </si>
  <si>
    <t>KOMPONEN LAMPU</t>
  </si>
  <si>
    <t>MESIN CUCI</t>
  </si>
  <si>
    <t>DETERJEN</t>
  </si>
  <si>
    <t>FORKLIFT</t>
  </si>
  <si>
    <t>KOTAK LAMPU</t>
  </si>
  <si>
    <t>LIGHT FIXTURE</t>
  </si>
  <si>
    <t>LIME</t>
  </si>
  <si>
    <t>GEMBOK</t>
  </si>
  <si>
    <t>LOCK NUT</t>
  </si>
  <si>
    <t>PROJECTOR</t>
  </si>
  <si>
    <t>LUBRICANT &amp; OIL</t>
  </si>
  <si>
    <t>BUKU MANUAL</t>
  </si>
  <si>
    <t>MATERIAL HANDLING TRANSPORT</t>
  </si>
  <si>
    <t>INDUSTRIAL M/C COMPONENT</t>
  </si>
  <si>
    <t>MDF BOARD</t>
  </si>
  <si>
    <t>MEASURE &amp; TEST INSTRUMENT</t>
  </si>
  <si>
    <t>SEAL</t>
  </si>
  <si>
    <t>PERBAN</t>
  </si>
  <si>
    <t>MEDICAL EQUIPMENT</t>
  </si>
  <si>
    <t>MESIN MEDIS</t>
  </si>
  <si>
    <t>JOLLY BOX</t>
  </si>
  <si>
    <t>KOTAK KONTENER</t>
  </si>
  <si>
    <t>KOTAK CONTAINER</t>
  </si>
  <si>
    <t>MOTOR GENERATOR COMPONENT</t>
  </si>
  <si>
    <t>PAKU</t>
  </si>
  <si>
    <t>NAIL</t>
  </si>
  <si>
    <t>SWITCH</t>
  </si>
  <si>
    <t>MODEM</t>
  </si>
  <si>
    <t>ROUTER</t>
  </si>
  <si>
    <t>ACCESS POINT</t>
  </si>
  <si>
    <t>FIREWALL</t>
  </si>
  <si>
    <t>MODULE</t>
  </si>
  <si>
    <t>NIPPLE GREASE</t>
  </si>
  <si>
    <t>KAWAT</t>
  </si>
  <si>
    <t>MUR</t>
  </si>
  <si>
    <t>ORING</t>
  </si>
  <si>
    <t>OEM SPARE PART</t>
  </si>
  <si>
    <t>SPAREPART BAWAAN EQUIPMENT</t>
  </si>
  <si>
    <t>SUKU CADANG ASLI MESIN</t>
  </si>
  <si>
    <t>OIM</t>
  </si>
  <si>
    <t>PARTS</t>
  </si>
  <si>
    <t>ORIGINAL EQUIPMENT</t>
  </si>
  <si>
    <t>SPAREPART ASLI</t>
  </si>
  <si>
    <t>OEM</t>
  </si>
  <si>
    <t>PART ASLI</t>
  </si>
  <si>
    <t>BATTERY LAPTOP ORI</t>
  </si>
  <si>
    <t>CHARGER ASLI</t>
  </si>
  <si>
    <t>HEAD PRINTER</t>
  </si>
  <si>
    <t>PAPAN TULIS</t>
  </si>
  <si>
    <t>OFFICE EQUIPMENT</t>
  </si>
  <si>
    <t>MIKA</t>
  </si>
  <si>
    <t>FOLIO</t>
  </si>
  <si>
    <t>OFFICE SUPPLY</t>
  </si>
  <si>
    <t>OIL SEAL</t>
  </si>
  <si>
    <t>PACKING SUPPLIES</t>
  </si>
  <si>
    <t>AKSESORIS CAT</t>
  </si>
  <si>
    <t>FINISHING CAT</t>
  </si>
  <si>
    <t>PANEL BOX</t>
  </si>
  <si>
    <t>PEMOTONG KERTAS</t>
  </si>
  <si>
    <t>MASKER</t>
  </si>
  <si>
    <t>PESTISIDA</t>
  </si>
  <si>
    <t>OBAT</t>
  </si>
  <si>
    <t>PIPA</t>
  </si>
  <si>
    <t>KAP</t>
  </si>
  <si>
    <t>ELBOW</t>
  </si>
  <si>
    <t>FLANGE</t>
  </si>
  <si>
    <t>PIPE NIPPLE</t>
  </si>
  <si>
    <t>NEPEL</t>
  </si>
  <si>
    <t>NIPEL</t>
  </si>
  <si>
    <t>PIPA NIPEL</t>
  </si>
  <si>
    <t>PIPA NEPEL</t>
  </si>
  <si>
    <t>REDUCING</t>
  </si>
  <si>
    <t>STRAINER</t>
  </si>
  <si>
    <t>TEE</t>
  </si>
  <si>
    <t>PIPA T</t>
  </si>
  <si>
    <t>PLATE</t>
  </si>
  <si>
    <t>TUMBUHAN</t>
  </si>
  <si>
    <t>RUBBER &amp; PLASTIC MACHINE</t>
  </si>
  <si>
    <t>PLC</t>
  </si>
  <si>
    <t>TOILET</t>
  </si>
  <si>
    <t>PNEUMATIC CONNECTOR</t>
  </si>
  <si>
    <t>PNEUMATIC CYLINDER</t>
  </si>
  <si>
    <t>AIR CYLINDER</t>
  </si>
  <si>
    <t>SILINDER PNEUMATIK</t>
  </si>
  <si>
    <t>PNEUMATIK CYLINDER</t>
  </si>
  <si>
    <t>PNEUMATIC HOSE</t>
  </si>
  <si>
    <t>selang pneumatik</t>
  </si>
  <si>
    <t>POWER CABLE</t>
  </si>
  <si>
    <t>kabel power</t>
  </si>
  <si>
    <t>TINTA</t>
  </si>
  <si>
    <t>PULLEY</t>
  </si>
  <si>
    <t>PUMP</t>
  </si>
  <si>
    <t>POWER CONDITIONING DEVICE</t>
  </si>
  <si>
    <t>POWER GENERATOR</t>
  </si>
  <si>
    <t>POWER TRANSMISSION</t>
  </si>
  <si>
    <t>REAGEN</t>
  </si>
  <si>
    <t>REGULATOR</t>
  </si>
  <si>
    <t>JALANAN</t>
  </si>
  <si>
    <t>ROD EYE</t>
  </si>
  <si>
    <t>RODA CASTER</t>
  </si>
  <si>
    <t>ROOF</t>
  </si>
  <si>
    <t>ROLLER CHAIN</t>
  </si>
  <si>
    <t>SCREEN CABLE</t>
  </si>
  <si>
    <t>SELF DRILLING</t>
  </si>
  <si>
    <t>SELF TAPPING</t>
  </si>
  <si>
    <t>SEPARATOR</t>
  </si>
  <si>
    <t>SHEET</t>
  </si>
  <si>
    <t>SHELVING &amp; STORAGE</t>
  </si>
  <si>
    <t>SEPATU</t>
  </si>
  <si>
    <t>SHOWCASE</t>
  </si>
  <si>
    <t>SHOCASE</t>
  </si>
  <si>
    <t>SIGHT GLASS</t>
  </si>
  <si>
    <t>SLING</t>
  </si>
  <si>
    <t>WEBBING SLING</t>
  </si>
  <si>
    <t>THIMBLE SLING</t>
  </si>
  <si>
    <t>SLING SS</t>
  </si>
  <si>
    <t>SLIPSHEET</t>
  </si>
  <si>
    <t>SNAP RING</t>
  </si>
  <si>
    <t>SNAPRING</t>
  </si>
  <si>
    <t>PER</t>
  </si>
  <si>
    <t>SPRING</t>
  </si>
  <si>
    <t>SPROCKET</t>
  </si>
  <si>
    <t>TANK</t>
  </si>
  <si>
    <t>TANKI</t>
  </si>
  <si>
    <t>TENGKI</t>
  </si>
  <si>
    <t>CCTV</t>
  </si>
  <si>
    <t>CCTIVI</t>
  </si>
  <si>
    <t>BARRIER GATE</t>
  </si>
  <si>
    <t>NVR</t>
  </si>
  <si>
    <t>PTZ CAMERA</t>
  </si>
  <si>
    <t>FACE RECOGNITION</t>
  </si>
  <si>
    <t>CAMERA THERMAL</t>
  </si>
  <si>
    <t>ACCESS DOOR</t>
  </si>
  <si>
    <t>TABLE STAN</t>
  </si>
  <si>
    <t>TAPE DISPENSER</t>
  </si>
  <si>
    <t>KERTAS UJI</t>
  </si>
  <si>
    <t>KERAMIK</t>
  </si>
  <si>
    <t>TIMING BELT</t>
  </si>
  <si>
    <t>BAN</t>
  </si>
  <si>
    <t>CONE</t>
  </si>
  <si>
    <t>TRIPOD</t>
  </si>
  <si>
    <t>U CHANNEL</t>
  </si>
  <si>
    <t>VAN BELT</t>
  </si>
  <si>
    <t>FAN BELT</t>
  </si>
  <si>
    <t>VBELT</t>
  </si>
  <si>
    <t>V PACKING</t>
  </si>
  <si>
    <t>VALVE</t>
  </si>
  <si>
    <t>VEHICLE SERVICE MACHINE</t>
  </si>
  <si>
    <t>SEPEDA</t>
  </si>
  <si>
    <t>ALPHARD</t>
  </si>
  <si>
    <t>CAR</t>
  </si>
  <si>
    <t>VEHICLE</t>
  </si>
  <si>
    <t>KENDARAAN</t>
  </si>
  <si>
    <t>AVANZA</t>
  </si>
  <si>
    <t>INNOVA</t>
  </si>
  <si>
    <t>CRETA</t>
  </si>
  <si>
    <t>XENIA</t>
  </si>
  <si>
    <t>YARIS</t>
  </si>
  <si>
    <t>IONIQ</t>
  </si>
  <si>
    <t>MOBIL LISTRIK</t>
  </si>
  <si>
    <t>SEPEDA MOTOR</t>
  </si>
  <si>
    <t>PROYEKTOR</t>
  </si>
  <si>
    <t>PANEL</t>
  </si>
  <si>
    <t>WAREHOUSE EQUIPMENT</t>
  </si>
  <si>
    <t>WASHER</t>
  </si>
  <si>
    <t>WATER HOSE</t>
  </si>
  <si>
    <t>selang air</t>
  </si>
  <si>
    <t>WATERMUR</t>
  </si>
  <si>
    <t>WIRING HARNESS</t>
  </si>
  <si>
    <t>WOOD</t>
  </si>
  <si>
    <t>WRAPPING BAND</t>
  </si>
  <si>
    <t>PENSIL</t>
  </si>
  <si>
    <t>PEN</t>
  </si>
  <si>
    <t>BOLPEN</t>
  </si>
  <si>
    <t>BALLPOINT</t>
  </si>
  <si>
    <t>PENGHAPUS</t>
  </si>
  <si>
    <t>ERASER</t>
  </si>
  <si>
    <t>PENCIL</t>
  </si>
  <si>
    <t>PULPEN</t>
  </si>
  <si>
    <t>WATER TREATMENT</t>
  </si>
  <si>
    <t>WASTE WATER</t>
  </si>
  <si>
    <t>DENCHEM</t>
  </si>
  <si>
    <t>ALKEM</t>
  </si>
  <si>
    <t>KARBON AKTIF</t>
  </si>
  <si>
    <t>DRUM HANDLING</t>
  </si>
  <si>
    <t>DRUM LIFTER</t>
  </si>
  <si>
    <t>DRUM GRIPPER</t>
  </si>
  <si>
    <t>WINCH DRUM</t>
  </si>
  <si>
    <t>TROLLEY DRUM</t>
  </si>
  <si>
    <t>DRUM EQUIPMENT</t>
  </si>
  <si>
    <t>ELEVATED DRUM POURER</t>
  </si>
  <si>
    <t>AKTUATOR</t>
  </si>
  <si>
    <t>ACTUATOR</t>
  </si>
  <si>
    <t>REM</t>
  </si>
  <si>
    <t>BUSHING</t>
  </si>
  <si>
    <t>DETERGEN</t>
  </si>
  <si>
    <t>PEMBERSIH</t>
  </si>
  <si>
    <t>HANDLE PINTU</t>
  </si>
  <si>
    <t>ORNAMEN PINTU</t>
  </si>
  <si>
    <t>CABLE TIES</t>
  </si>
  <si>
    <t>KABEL TIES</t>
  </si>
  <si>
    <t>KABEL TIS</t>
  </si>
  <si>
    <t>CABLE MARKER</t>
  </si>
  <si>
    <t>TIE MONT</t>
  </si>
  <si>
    <t>HEAT SHRINK</t>
  </si>
  <si>
    <t>FITTING</t>
  </si>
  <si>
    <t>HIDROLIK FITTING</t>
  </si>
  <si>
    <t>SELANG HIDROLIK</t>
  </si>
  <si>
    <t>SELANG HYDRAULIC</t>
  </si>
  <si>
    <t>HYDRAULIC HOSE</t>
  </si>
  <si>
    <t>HOSE</t>
  </si>
  <si>
    <t>PIPA INSULASI</t>
  </si>
  <si>
    <t>KAWAT LAS</t>
  </si>
  <si>
    <t>WELDING WIRE</t>
  </si>
  <si>
    <t>TIMAH SOLDER</t>
  </si>
  <si>
    <t>PART DARI MOLDING</t>
  </si>
  <si>
    <t>MOLDING</t>
  </si>
  <si>
    <t>SPAREPART MOLDING</t>
  </si>
  <si>
    <t>ENGSEL</t>
  </si>
  <si>
    <t>RECOIL</t>
  </si>
  <si>
    <t>ROD CLEVIS</t>
  </si>
  <si>
    <t>AGITATOR</t>
  </si>
  <si>
    <t>ALAT PNEUMATIK</t>
  </si>
  <si>
    <t>ALAT PENAHAN</t>
  </si>
  <si>
    <t>SHAFT</t>
  </si>
  <si>
    <t>SEKRUP</t>
  </si>
  <si>
    <t>TALI TAMBANG</t>
  </si>
  <si>
    <t>RESISTOR</t>
  </si>
  <si>
    <t>BATAKO</t>
  </si>
  <si>
    <t>FITTING SELANG</t>
  </si>
  <si>
    <t>KAIN COVER</t>
  </si>
  <si>
    <t>KAPASITOR</t>
  </si>
  <si>
    <t>AIR PURIFIER</t>
  </si>
  <si>
    <t>DIODA</t>
  </si>
  <si>
    <t>KAWAT TEMBAGA</t>
  </si>
  <si>
    <t>EXPANSION JOINT</t>
  </si>
  <si>
    <t>KULTUR SEL</t>
  </si>
  <si>
    <t>KUSEN</t>
  </si>
  <si>
    <t>KOPLING PIPA</t>
  </si>
  <si>
    <t>PIPA Y</t>
  </si>
  <si>
    <t>TALI</t>
  </si>
  <si>
    <t>PART KENDARAAN</t>
  </si>
  <si>
    <t>SIGNAL SUARA</t>
  </si>
  <si>
    <t>TRAP</t>
  </si>
  <si>
    <t>MEDIA TUMBUH</t>
  </si>
  <si>
    <t>HAPPILY</t>
  </si>
  <si>
    <t>ADULT DIAPERS</t>
  </si>
  <si>
    <t>COMPACT POWDER</t>
  </si>
  <si>
    <t>KITCHEN CLEANER</t>
  </si>
  <si>
    <t>CLING</t>
  </si>
  <si>
    <t>LOOSE POWDER</t>
  </si>
  <si>
    <t>EMERON LOVELY</t>
  </si>
  <si>
    <t>EMERON WHITE</t>
  </si>
  <si>
    <t>ODOR ABSORBER</t>
  </si>
  <si>
    <t>SOKLIN FRESLY</t>
  </si>
  <si>
    <t>ORAL CARE</t>
  </si>
  <si>
    <t>ORAL LIQUID</t>
  </si>
  <si>
    <t>SYSTEMA</t>
  </si>
  <si>
    <t>SYSTEMA MOUTHWASH</t>
  </si>
  <si>
    <t>MOUTHWASH</t>
  </si>
  <si>
    <t>1 - Material</t>
  </si>
  <si>
    <t>exh tiles ats</t>
  </si>
  <si>
    <t>exh tiles ats glossy</t>
  </si>
  <si>
    <t>exh tiles bwh</t>
  </si>
  <si>
    <t>exh tiles bwh glossy</t>
  </si>
  <si>
    <t>exhaust tiles ats</t>
  </si>
  <si>
    <t>exhaust tiles ats glossy</t>
  </si>
  <si>
    <t>exhaust tiles bwh</t>
  </si>
  <si>
    <t>exhaust tiles bwh glossy</t>
  </si>
  <si>
    <t>exhausttilesats</t>
  </si>
  <si>
    <t>exhausttilesatsglossy</t>
  </si>
  <si>
    <t>exhausttilesbwh</t>
  </si>
  <si>
    <t>exhausttilesbwhglossy</t>
  </si>
  <si>
    <t>exhtilesats</t>
  </si>
  <si>
    <t>exhtilesatsglossy</t>
  </si>
  <si>
    <t>exhtilesbwh</t>
  </si>
  <si>
    <t>exhtilesbwhglossy</t>
  </si>
  <si>
    <t>genteng 2 in 1</t>
  </si>
  <si>
    <t>genteng 2 in 1 glossy</t>
  </si>
  <si>
    <t>genteng2in1</t>
  </si>
  <si>
    <t>genteng2in1glossy</t>
  </si>
  <si>
    <t>glossy</t>
  </si>
  <si>
    <t>gntg 2 in 1</t>
  </si>
  <si>
    <t>gntg 2 in 1 glossy</t>
  </si>
  <si>
    <t>gntg2in1</t>
  </si>
  <si>
    <t>gntg2in1glossy</t>
  </si>
  <si>
    <t>h ujg jurai</t>
  </si>
  <si>
    <t>h ujg jurai glossy</t>
  </si>
  <si>
    <t>h ujung jurai</t>
  </si>
  <si>
    <t>h ujung jurai glossy</t>
  </si>
  <si>
    <t>hiasan akhir</t>
  </si>
  <si>
    <t>hiasan akhir glossy</t>
  </si>
  <si>
    <t>hiasanakhir</t>
  </si>
  <si>
    <t>hiasanakhirglossy</t>
  </si>
  <si>
    <t>hujgjurai</t>
  </si>
  <si>
    <t>hujgjuraiglossy</t>
  </si>
  <si>
    <t>hujungjurai</t>
  </si>
  <si>
    <t>hujungjuraiglossy</t>
  </si>
  <si>
    <t>lisplang kanan</t>
  </si>
  <si>
    <t>lisplang kanan glossy</t>
  </si>
  <si>
    <t>lisplang ki ha</t>
  </si>
  <si>
    <t>lisplang ki ha glossy</t>
  </si>
  <si>
    <t>lisplang kiri</t>
  </si>
  <si>
    <t>lisplang kiri glossy</t>
  </si>
  <si>
    <t>lisplang kn ha</t>
  </si>
  <si>
    <t>lisplang kn ha glossy</t>
  </si>
  <si>
    <t>lisplangkanan</t>
  </si>
  <si>
    <t>lisplangkananglossy</t>
  </si>
  <si>
    <t>lisplangkiha</t>
  </si>
  <si>
    <t>lisplangkihaglossy</t>
  </si>
  <si>
    <t>lisplangkiri</t>
  </si>
  <si>
    <t>lisplangkiriglossy</t>
  </si>
  <si>
    <t>lisplangknha</t>
  </si>
  <si>
    <t>lisplangknhaglossy</t>
  </si>
  <si>
    <t>lisplg kanan</t>
  </si>
  <si>
    <t>lisplg kanan glossy</t>
  </si>
  <si>
    <t>lisplg ki ha</t>
  </si>
  <si>
    <t>lisplg ki ha glossy</t>
  </si>
  <si>
    <t>lisplg kiri</t>
  </si>
  <si>
    <t>lisplg kiri glossy</t>
  </si>
  <si>
    <t>lisplg kn ha</t>
  </si>
  <si>
    <t>lisplg kn ha glossy</t>
  </si>
  <si>
    <t>lisplgkanan</t>
  </si>
  <si>
    <t>lisplgkananglossy</t>
  </si>
  <si>
    <t>lisplgkiha</t>
  </si>
  <si>
    <t>lisplgkihaglossy</t>
  </si>
  <si>
    <t>lisplgkiri</t>
  </si>
  <si>
    <t>lisplgkiriglossy</t>
  </si>
  <si>
    <t>lisplgknha</t>
  </si>
  <si>
    <t>lisplgknhaglossy</t>
  </si>
  <si>
    <t>m class</t>
  </si>
  <si>
    <t>m class exh tiles ats</t>
  </si>
  <si>
    <t>m class exh tiles bwh</t>
  </si>
  <si>
    <t>m class exhaust tiles ats</t>
  </si>
  <si>
    <t>m class exhaust tiles bwh</t>
  </si>
  <si>
    <t>m class genteng 2 in 1</t>
  </si>
  <si>
    <t>m class glossy</t>
  </si>
  <si>
    <t>m class gntg 2 in 1</t>
  </si>
  <si>
    <t>m class h ujg jurai</t>
  </si>
  <si>
    <t>m class h ujung jurai</t>
  </si>
  <si>
    <t>m class hiasan akhir</t>
  </si>
  <si>
    <t>m class lisplang kanan</t>
  </si>
  <si>
    <t>m class lisplang ki ha</t>
  </si>
  <si>
    <t>m class lisplang kiri</t>
  </si>
  <si>
    <t>m class lisplang kn ha</t>
  </si>
  <si>
    <t>m class lisplg kanan</t>
  </si>
  <si>
    <t>m class lisplg ki ha</t>
  </si>
  <si>
    <t>m class lisplg kiri</t>
  </si>
  <si>
    <t>m class lisplg kn ha</t>
  </si>
  <si>
    <t>m class nock</t>
  </si>
  <si>
    <t>m class nock 2 arh</t>
  </si>
  <si>
    <t>m class nock 2 arh ki</t>
  </si>
  <si>
    <t>m class nock 2 arh kn</t>
  </si>
  <si>
    <t>m class nock 3 arh</t>
  </si>
  <si>
    <t>m class nock 3 arh ki</t>
  </si>
  <si>
    <t>m class nock 3 arh kn</t>
  </si>
  <si>
    <t>m class nock 4 arh</t>
  </si>
  <si>
    <t>m class nok</t>
  </si>
  <si>
    <t>m class nok 2 arh</t>
  </si>
  <si>
    <t>m class nok 2 arh ki</t>
  </si>
  <si>
    <t>m class nok 2 arh kn</t>
  </si>
  <si>
    <t>m class nok 3 arh</t>
  </si>
  <si>
    <t>m class nok 3 arh ki</t>
  </si>
  <si>
    <t>m class nok 3 arh kn</t>
  </si>
  <si>
    <t>m class nok 4 arh</t>
  </si>
  <si>
    <t>m class pemanas air</t>
  </si>
  <si>
    <t>m class penangkal petir</t>
  </si>
  <si>
    <t>m class penangkal ptr</t>
  </si>
  <si>
    <t>m class ujg jurai</t>
  </si>
  <si>
    <t>m class ujg nok ki</t>
  </si>
  <si>
    <t>m class ujg nok kn</t>
  </si>
  <si>
    <t>m class ujung jurai</t>
  </si>
  <si>
    <t>m class ujung nock ki</t>
  </si>
  <si>
    <t>m class ujung nock kn</t>
  </si>
  <si>
    <t>m class ujung nok ki</t>
  </si>
  <si>
    <t>m class ujung nok kn</t>
  </si>
  <si>
    <t>mclass</t>
  </si>
  <si>
    <t>mclassexhausttilesats</t>
  </si>
  <si>
    <t>mclassexhausttilesbwh</t>
  </si>
  <si>
    <t>mclassexhtilesats</t>
  </si>
  <si>
    <t>mclassexhtilesbwh</t>
  </si>
  <si>
    <t>mclassgenteng2in1</t>
  </si>
  <si>
    <t>mclassglossy</t>
  </si>
  <si>
    <t>mclassgntg2in1</t>
  </si>
  <si>
    <t>mclasshiasanakhir</t>
  </si>
  <si>
    <t>mclasshujgjurai</t>
  </si>
  <si>
    <t>mclasshujungjurai</t>
  </si>
  <si>
    <t>mclasslisplangkanan</t>
  </si>
  <si>
    <t>mclasslisplangkiha</t>
  </si>
  <si>
    <t>mclasslisplangkiri</t>
  </si>
  <si>
    <t>mclasslisplangknha</t>
  </si>
  <si>
    <t>mclasslisplgkanan</t>
  </si>
  <si>
    <t>mclasslisplgkiha</t>
  </si>
  <si>
    <t>mclasslisplgkiri</t>
  </si>
  <si>
    <t>mclasslisplgknha</t>
  </si>
  <si>
    <t>mclassnock</t>
  </si>
  <si>
    <t>mclassnock2arh</t>
  </si>
  <si>
    <t>mclassnock2arhki</t>
  </si>
  <si>
    <t>mclassnock2arhkn</t>
  </si>
  <si>
    <t>mclassnock3arh</t>
  </si>
  <si>
    <t>mclassnock3arhki</t>
  </si>
  <si>
    <t>mclassnock3arhkn</t>
  </si>
  <si>
    <t>mclassnock4arh</t>
  </si>
  <si>
    <t>mclassnok</t>
  </si>
  <si>
    <t>mclassnok2arh</t>
  </si>
  <si>
    <t>mclassnok2arhki</t>
  </si>
  <si>
    <t>mclassnok2arhkn</t>
  </si>
  <si>
    <t>mclassnok3arh</t>
  </si>
  <si>
    <t>mclassnok3arhki</t>
  </si>
  <si>
    <t>mclassnok3arhkn</t>
  </si>
  <si>
    <t>mclassnok4arh</t>
  </si>
  <si>
    <t>mclasspemanasair</t>
  </si>
  <si>
    <t>mclasspenangkalpetir</t>
  </si>
  <si>
    <t>mclasspenangkalptr</t>
  </si>
  <si>
    <t>mclassujgjurai</t>
  </si>
  <si>
    <t>mclassujgnokki</t>
  </si>
  <si>
    <t>mclassujgnokkn</t>
  </si>
  <si>
    <t>mclassujungjurai</t>
  </si>
  <si>
    <t>mclassujungnockki</t>
  </si>
  <si>
    <t>mclassujungnockkn</t>
  </si>
  <si>
    <t>mclassujungnokki</t>
  </si>
  <si>
    <t>mclassujungnokkn</t>
  </si>
  <si>
    <t>nock</t>
  </si>
  <si>
    <t>nock 2 arh</t>
  </si>
  <si>
    <t>nock 2 arh glossy</t>
  </si>
  <si>
    <t>nock 2 arh ki</t>
  </si>
  <si>
    <t>nock 2 arh ki glossy</t>
  </si>
  <si>
    <t>nock 2 arh kn</t>
  </si>
  <si>
    <t>nock 2 arh kn glossy</t>
  </si>
  <si>
    <t>nock 3 arh</t>
  </si>
  <si>
    <t>nock 3 arh glossy</t>
  </si>
  <si>
    <t>nock 3 arh ki</t>
  </si>
  <si>
    <t>nock 3 arh ki glossy</t>
  </si>
  <si>
    <t>nock 3 arh kn</t>
  </si>
  <si>
    <t>nock 3 arh kn glossy</t>
  </si>
  <si>
    <t>nock 4 arh</t>
  </si>
  <si>
    <t>nock 4 arh glossy</t>
  </si>
  <si>
    <t>nock glossy</t>
  </si>
  <si>
    <t>nock2arh</t>
  </si>
  <si>
    <t>nock2arhglossy</t>
  </si>
  <si>
    <t>nock2arhki</t>
  </si>
  <si>
    <t>nock2arhkiglossy</t>
  </si>
  <si>
    <t>nock2arhkn</t>
  </si>
  <si>
    <t>nock2arhknglossy</t>
  </si>
  <si>
    <t>nock3arh</t>
  </si>
  <si>
    <t>nock3arhglossy</t>
  </si>
  <si>
    <t>nock3arhki</t>
  </si>
  <si>
    <t>nock3arhkiglossy</t>
  </si>
  <si>
    <t>nock3arhkn</t>
  </si>
  <si>
    <t>nock3arhknglossy</t>
  </si>
  <si>
    <t>nock4arh</t>
  </si>
  <si>
    <t>nock4arhglossy</t>
  </si>
  <si>
    <t>nockglossy</t>
  </si>
  <si>
    <t>nok</t>
  </si>
  <si>
    <t>nok 2 arh</t>
  </si>
  <si>
    <t>nok 2 arh glossy</t>
  </si>
  <si>
    <t>nok 2 arh ki</t>
  </si>
  <si>
    <t>nok 2 arh ki glossy</t>
  </si>
  <si>
    <t>nok 2 arh kn</t>
  </si>
  <si>
    <t>nok 2 arh kn glossy</t>
  </si>
  <si>
    <t>nok 3 arh</t>
  </si>
  <si>
    <t>nok 3 arh glossy</t>
  </si>
  <si>
    <t>nok 3 arh ki</t>
  </si>
  <si>
    <t>nok 3 arh ki glossy</t>
  </si>
  <si>
    <t>nok 3 arh kn</t>
  </si>
  <si>
    <t>nok 3 arh kn glossy</t>
  </si>
  <si>
    <t>nok 4 arh</t>
  </si>
  <si>
    <t>nok 4 arh glossy</t>
  </si>
  <si>
    <t>nok glossy</t>
  </si>
  <si>
    <t>nok2arh</t>
  </si>
  <si>
    <t>nok2arhglossy</t>
  </si>
  <si>
    <t>nok2arhki</t>
  </si>
  <si>
    <t>nok2arhkiglossy</t>
  </si>
  <si>
    <t>nok2arhkn</t>
  </si>
  <si>
    <t>nok2arhknglossy</t>
  </si>
  <si>
    <t>nok3arh</t>
  </si>
  <si>
    <t>nok3arhglossy</t>
  </si>
  <si>
    <t>nok3arhki</t>
  </si>
  <si>
    <t>nok3arhkiglossy</t>
  </si>
  <si>
    <t>nok3arhkn</t>
  </si>
  <si>
    <t>nok3arhknglossy</t>
  </si>
  <si>
    <t>nok4arh</t>
  </si>
  <si>
    <t>nok4arhglossy</t>
  </si>
  <si>
    <t>nokglossy</t>
  </si>
  <si>
    <t>pemanas air</t>
  </si>
  <si>
    <t>pemanas air glossy</t>
  </si>
  <si>
    <t>pemanasair</t>
  </si>
  <si>
    <t>pemanasairglossy</t>
  </si>
  <si>
    <t>penangkal petir</t>
  </si>
  <si>
    <t>penangkal petir glossy</t>
  </si>
  <si>
    <t>penangkal ptr</t>
  </si>
  <si>
    <t>penangkal ptr glossy</t>
  </si>
  <si>
    <t>penangkalpetir</t>
  </si>
  <si>
    <t>penangkalpetirglossy</t>
  </si>
  <si>
    <t>penangkalptr</t>
  </si>
  <si>
    <t>penangkalptrglossy</t>
  </si>
  <si>
    <t>ratta</t>
  </si>
  <si>
    <t>ratta glossy</t>
  </si>
  <si>
    <t>ratta nock</t>
  </si>
  <si>
    <t>ratta nok</t>
  </si>
  <si>
    <t>rattaglossy</t>
  </si>
  <si>
    <t>rattanock</t>
  </si>
  <si>
    <t>rattanok</t>
  </si>
  <si>
    <t>ujg jurai</t>
  </si>
  <si>
    <t>ujg jurai glossy</t>
  </si>
  <si>
    <t>ujg nok ki</t>
  </si>
  <si>
    <t>ujg nok ki glossy</t>
  </si>
  <si>
    <t>ujg nok kn</t>
  </si>
  <si>
    <t>ujg nok kn glossy</t>
  </si>
  <si>
    <t>ujgjurai</t>
  </si>
  <si>
    <t>ujgjuraiglossy</t>
  </si>
  <si>
    <t>ujgnokki</t>
  </si>
  <si>
    <t>ujgnokkiglossy</t>
  </si>
  <si>
    <t>ujgnokkn</t>
  </si>
  <si>
    <t>ujgnokknglossy</t>
  </si>
  <si>
    <t>ujung jurai</t>
  </si>
  <si>
    <t>ujung jurai glossy</t>
  </si>
  <si>
    <t>ujung nock ki</t>
  </si>
  <si>
    <t>ujung nock ki glossy</t>
  </si>
  <si>
    <t>ujung nock kn</t>
  </si>
  <si>
    <t>ujung nock kn glossy</t>
  </si>
  <si>
    <t>ujung nok ki</t>
  </si>
  <si>
    <t>ujung nok ki glossy</t>
  </si>
  <si>
    <t>ujung nok kn</t>
  </si>
  <si>
    <t>ujung nok kn glossy</t>
  </si>
  <si>
    <t>ujungjurai</t>
  </si>
  <si>
    <t>ujungjuraiglossy</t>
  </si>
  <si>
    <t>ujungnockki</t>
  </si>
  <si>
    <t>ujungnockkiglossy</t>
  </si>
  <si>
    <t>ujungnockkn</t>
  </si>
  <si>
    <t>ujungnockknglossy</t>
  </si>
  <si>
    <t>ujungnokki</t>
  </si>
  <si>
    <t>ujungnokkiglossy</t>
  </si>
  <si>
    <t>ujungnokkn</t>
  </si>
  <si>
    <t>ujungnokknglossy</t>
  </si>
  <si>
    <t>exh tiles ats matte</t>
  </si>
  <si>
    <t>exh tiles bwh matte</t>
  </si>
  <si>
    <t>exhaust tiles ats matte</t>
  </si>
  <si>
    <t>exhaust tiles bwh matte</t>
  </si>
  <si>
    <t>exhausttilesatsmatte</t>
  </si>
  <si>
    <t>exhausttilesbwhmatte</t>
  </si>
  <si>
    <t>exhtilesatsmatte</t>
  </si>
  <si>
    <t>exhtilesbwhmatte</t>
  </si>
  <si>
    <t>genteng 2 in 1 matte</t>
  </si>
  <si>
    <t>genteng2in1matte</t>
  </si>
  <si>
    <t>gntg 2 in 1 matte</t>
  </si>
  <si>
    <t>gntg2in1matte</t>
  </si>
  <si>
    <t>h ujg jurai matte</t>
  </si>
  <si>
    <t>h ujung jurai matte</t>
  </si>
  <si>
    <t>hiasan akhir matte</t>
  </si>
  <si>
    <t>hiasanakhirmatte</t>
  </si>
  <si>
    <t>hujgjuraimatte</t>
  </si>
  <si>
    <t>hujungjuraimatte</t>
  </si>
  <si>
    <t>lisplang kanan matte</t>
  </si>
  <si>
    <t>lisplang ki ha matte</t>
  </si>
  <si>
    <t>lisplang kiri matte</t>
  </si>
  <si>
    <t>lisplang kn ha matte</t>
  </si>
  <si>
    <t>lisplangkananmatte</t>
  </si>
  <si>
    <t>lisplangkihamatte</t>
  </si>
  <si>
    <t>lisplangkirimatte</t>
  </si>
  <si>
    <t>lisplangknhamatte</t>
  </si>
  <si>
    <t>lisplg kanan matte</t>
  </si>
  <si>
    <t>lisplg ki ha matte</t>
  </si>
  <si>
    <t>lisplg kiri matte</t>
  </si>
  <si>
    <t>lisplg kn ha matte</t>
  </si>
  <si>
    <t>lisplgkananmatte</t>
  </si>
  <si>
    <t>lisplgkihamatte</t>
  </si>
  <si>
    <t>lisplgkirimatte</t>
  </si>
  <si>
    <t>lisplgknhamatte</t>
  </si>
  <si>
    <t>m class matte</t>
  </si>
  <si>
    <t>matte</t>
  </si>
  <si>
    <t>mclassmatte</t>
  </si>
  <si>
    <t>nock 2 arh ki matte</t>
  </si>
  <si>
    <t>nock 2 arh kn matte</t>
  </si>
  <si>
    <t>nock 2 arh matte</t>
  </si>
  <si>
    <t>nock 3 arh ki matte</t>
  </si>
  <si>
    <t>nock 3 arh kn matte</t>
  </si>
  <si>
    <t>nock 3 arh matte</t>
  </si>
  <si>
    <t>nock 4 arh matte</t>
  </si>
  <si>
    <t>nock matte</t>
  </si>
  <si>
    <t>nock2arhkimatte</t>
  </si>
  <si>
    <t>nock2arhknmatte</t>
  </si>
  <si>
    <t>nock2arhmatte</t>
  </si>
  <si>
    <t>nock3arhkimatte</t>
  </si>
  <si>
    <t>nock3arhknmatte</t>
  </si>
  <si>
    <t>nock3arhmatte</t>
  </si>
  <si>
    <t>nock4arhmatte</t>
  </si>
  <si>
    <t>nockmatte</t>
  </si>
  <si>
    <t>nok 2 arh ki matte</t>
  </si>
  <si>
    <t>nok 2 arh kn matte</t>
  </si>
  <si>
    <t>nok 2 arh matte</t>
  </si>
  <si>
    <t>nok 3 arh ki matte</t>
  </si>
  <si>
    <t>nok 3 arh kn matte</t>
  </si>
  <si>
    <t>nok 3 arh matte</t>
  </si>
  <si>
    <t>nok 4 arh matte</t>
  </si>
  <si>
    <t>nok matte</t>
  </si>
  <si>
    <t>nok2arhkimatte</t>
  </si>
  <si>
    <t>nok2arhknmatte</t>
  </si>
  <si>
    <t>nok2arhmatte</t>
  </si>
  <si>
    <t>nok3arhkimatte</t>
  </si>
  <si>
    <t>nok3arhknmatte</t>
  </si>
  <si>
    <t>nok3arhmatte</t>
  </si>
  <si>
    <t>nok4arhmatte</t>
  </si>
  <si>
    <t>nokmatte</t>
  </si>
  <si>
    <t>pemanas air matte</t>
  </si>
  <si>
    <t>pemanasairmatte</t>
  </si>
  <si>
    <t>penangkal petir matte</t>
  </si>
  <si>
    <t>penangkal ptr matte</t>
  </si>
  <si>
    <t>penangkalpetirmatte</t>
  </si>
  <si>
    <t>penangkalptrmatte</t>
  </si>
  <si>
    <t>ratta lisplang kanan</t>
  </si>
  <si>
    <t>ratta lisplang kiri</t>
  </si>
  <si>
    <t>ratta lisplg kanan</t>
  </si>
  <si>
    <t>ratta lisplg kiri</t>
  </si>
  <si>
    <t>ratta matte</t>
  </si>
  <si>
    <t>ratta nock 3 arh ki</t>
  </si>
  <si>
    <t>ratta nock 3 arh kn</t>
  </si>
  <si>
    <t>ratta nok 3 arh ki</t>
  </si>
  <si>
    <t>ratta nok 3 arh kn</t>
  </si>
  <si>
    <t>ratta penangkal petir</t>
  </si>
  <si>
    <t>ratta penangkal ptr</t>
  </si>
  <si>
    <t>ratta ujg jurai</t>
  </si>
  <si>
    <t>ratta ujg nok ki</t>
  </si>
  <si>
    <t>ratta ujg nok kn</t>
  </si>
  <si>
    <t>ratta ujung jurai</t>
  </si>
  <si>
    <t>ratta ujung nock ki</t>
  </si>
  <si>
    <t>ratta ujung nock kn</t>
  </si>
  <si>
    <t>ratta ujung nok ki</t>
  </si>
  <si>
    <t>ratta ujung nok kn</t>
  </si>
  <si>
    <t>rattalisplangkanan</t>
  </si>
  <si>
    <t>rattalisplangkiri</t>
  </si>
  <si>
    <t>rattalisplgkanan</t>
  </si>
  <si>
    <t>rattalisplgkiri</t>
  </si>
  <si>
    <t>rattamatte</t>
  </si>
  <si>
    <t>rattanock3arhki</t>
  </si>
  <si>
    <t>rattanock3arhkn</t>
  </si>
  <si>
    <t>rattanok3arhki</t>
  </si>
  <si>
    <t>rattanok3arhkn</t>
  </si>
  <si>
    <t>rattapenangkalpetir</t>
  </si>
  <si>
    <t>rattapenangkalptr</t>
  </si>
  <si>
    <t>rattaujgjurai</t>
  </si>
  <si>
    <t>rattaujgnokki</t>
  </si>
  <si>
    <t>rattaujgnokkn</t>
  </si>
  <si>
    <t>rattaujungjurai</t>
  </si>
  <si>
    <t>rattaujungnockki</t>
  </si>
  <si>
    <t>rattaujungnockkn</t>
  </si>
  <si>
    <t>rattaujungnokki</t>
  </si>
  <si>
    <t>rattaujungnokkn</t>
  </si>
  <si>
    <t>ujg jurai matte</t>
  </si>
  <si>
    <t>ujg nok ki matte</t>
  </si>
  <si>
    <t>ujg nok kn matte</t>
  </si>
  <si>
    <t>ujgjuraimatte</t>
  </si>
  <si>
    <t>ujgnokkimatte</t>
  </si>
  <si>
    <t>ujgnokknmatte</t>
  </si>
  <si>
    <t>ujung jurai matte</t>
  </si>
  <si>
    <t>ujung nock ki matte</t>
  </si>
  <si>
    <t>ujung nock kn matte</t>
  </si>
  <si>
    <t>ujung nok ki matte</t>
  </si>
  <si>
    <t>ujung nok kn matte</t>
  </si>
  <si>
    <t>ujungjuraimatte</t>
  </si>
  <si>
    <t>ujungnockkimatte</t>
  </si>
  <si>
    <t>ujungnockknmatte</t>
  </si>
  <si>
    <t>ujungnokkimatte</t>
  </si>
  <si>
    <t>ujungnokknmatte</t>
  </si>
  <si>
    <t>elephant</t>
  </si>
  <si>
    <t>elephant fc nock</t>
  </si>
  <si>
    <t>elephant fc nok</t>
  </si>
  <si>
    <t>elephant small corrugated</t>
  </si>
  <si>
    <t>elephantfcnock</t>
  </si>
  <si>
    <t>elephantfcnok</t>
  </si>
  <si>
    <t>elephantsmallcorrugated</t>
  </si>
  <si>
    <t>fc nock</t>
  </si>
  <si>
    <t>fc nock small corrugated</t>
  </si>
  <si>
    <t>fc nok</t>
  </si>
  <si>
    <t>fc nok small corrugated</t>
  </si>
  <si>
    <t>fcnock</t>
  </si>
  <si>
    <t>fcnocksmallcorrugated</t>
  </si>
  <si>
    <t>fcnok</t>
  </si>
  <si>
    <t>fcnoksmallcorrugated</t>
  </si>
  <si>
    <t>small corrugated</t>
  </si>
  <si>
    <t>smallcorrugated</t>
  </si>
  <si>
    <t>exh tiles ats un glazed</t>
  </si>
  <si>
    <t>exh tiles ats unglazed</t>
  </si>
  <si>
    <t>exh tiles ats unglzd</t>
  </si>
  <si>
    <t>exh tiles bwh un glazed</t>
  </si>
  <si>
    <t>exh tiles bwh unglazed</t>
  </si>
  <si>
    <t>exh tiles bwh unglzd</t>
  </si>
  <si>
    <t>exhaust tiles ats unglazed</t>
  </si>
  <si>
    <t>exhaust tiles bwh unglazed</t>
  </si>
  <si>
    <t>exhausttilesatsunglazed</t>
  </si>
  <si>
    <t>exhausttilesbwhunglazed</t>
  </si>
  <si>
    <t>exhtilesatsun glazed</t>
  </si>
  <si>
    <t>exhtilesatsunglazed</t>
  </si>
  <si>
    <t>exhtilesatsunglzd</t>
  </si>
  <si>
    <t>exhtilesbwhun glazed</t>
  </si>
  <si>
    <t>exhtilesbwhunglazed</t>
  </si>
  <si>
    <t>exhtilesbwhunglzd</t>
  </si>
  <si>
    <t>h ujg jurai unglazed</t>
  </si>
  <si>
    <t>h ujung jurai un glazed</t>
  </si>
  <si>
    <t>h ujung jurai unglazed</t>
  </si>
  <si>
    <t>h ujung jurai unglzd</t>
  </si>
  <si>
    <t>hiasan akhir un glazed</t>
  </si>
  <si>
    <t>hiasan akhir unglazed</t>
  </si>
  <si>
    <t>hiasan akhir unglzd</t>
  </si>
  <si>
    <t>hiasanakhirun glazed</t>
  </si>
  <si>
    <t>hiasanakhirunglazed</t>
  </si>
  <si>
    <t>hiasanakhirunglzd</t>
  </si>
  <si>
    <t>hujgjuraiunglazed</t>
  </si>
  <si>
    <t>hujungjuraiun glazed</t>
  </si>
  <si>
    <t>hujungjuraiunglazed</t>
  </si>
  <si>
    <t>hujungjuraiunglzd</t>
  </si>
  <si>
    <t>lisplang kanan unglazed</t>
  </si>
  <si>
    <t>lisplang ki ha unglazed</t>
  </si>
  <si>
    <t>lisplang kiri un glazed</t>
  </si>
  <si>
    <t>lisplang kiri unglazed</t>
  </si>
  <si>
    <t>lisplang kiri unglzd</t>
  </si>
  <si>
    <t>lisplang kn ha unglazed</t>
  </si>
  <si>
    <t>lisplangkananunglazed</t>
  </si>
  <si>
    <t>lisplangkihaunglazed</t>
  </si>
  <si>
    <t>lisplangkiriun glazed</t>
  </si>
  <si>
    <t>lisplangkiriunglazed</t>
  </si>
  <si>
    <t>lisplangkiriunglzd</t>
  </si>
  <si>
    <t>lisplangknhaunglazed</t>
  </si>
  <si>
    <t>lisplg kanan un glazed</t>
  </si>
  <si>
    <t>lisplg kanan unglazed</t>
  </si>
  <si>
    <t>lisplg kanan unglzd</t>
  </si>
  <si>
    <t>lisplg ki ha un glazed</t>
  </si>
  <si>
    <t>lisplg ki ha unglazed</t>
  </si>
  <si>
    <t>lisplg ki ha unglzd</t>
  </si>
  <si>
    <t>lisplg kiri unglazed</t>
  </si>
  <si>
    <t>lisplg kn ha un glazed</t>
  </si>
  <si>
    <t>lisplg kn ha unglazed</t>
  </si>
  <si>
    <t>lisplg kn ha unglzd</t>
  </si>
  <si>
    <t>lisplgkananun glazed</t>
  </si>
  <si>
    <t>lisplgkananunglazed</t>
  </si>
  <si>
    <t>lisplgkananunglzd</t>
  </si>
  <si>
    <t>lisplgkihaun glazed</t>
  </si>
  <si>
    <t>lisplgkihaunglazed</t>
  </si>
  <si>
    <t>lisplgkihaunglzd</t>
  </si>
  <si>
    <t>lisplgkiriunglazed</t>
  </si>
  <si>
    <t>lisplgknhaun glazed</t>
  </si>
  <si>
    <t>lisplgknhaunglazed</t>
  </si>
  <si>
    <t>lisplgknhaunglzd</t>
  </si>
  <si>
    <t>m class un glazed</t>
  </si>
  <si>
    <t>m class unglazed</t>
  </si>
  <si>
    <t>m class unglzd</t>
  </si>
  <si>
    <t>mclassun glazed</t>
  </si>
  <si>
    <t>mclassunglazed</t>
  </si>
  <si>
    <t>mclassunglzd</t>
  </si>
  <si>
    <t>nock 2 arh ki unglazed</t>
  </si>
  <si>
    <t>nock 2 arh kn unglazed</t>
  </si>
  <si>
    <t>nock 2 arh unglazed</t>
  </si>
  <si>
    <t>nock 3 arh ki unglazed</t>
  </si>
  <si>
    <t>nock 3 arh kn unglazed</t>
  </si>
  <si>
    <t>nock 4 arh unglazed</t>
  </si>
  <si>
    <t>nock unglazed</t>
  </si>
  <si>
    <t>nock2arhkiunglazed</t>
  </si>
  <si>
    <t>nock2arhknunglazed</t>
  </si>
  <si>
    <t>nock2arhunglazed</t>
  </si>
  <si>
    <t>nock3arhkiunglazed</t>
  </si>
  <si>
    <t>nock3arhknunglazed</t>
  </si>
  <si>
    <t>nock4arhunglazed</t>
  </si>
  <si>
    <t>nockunglazed</t>
  </si>
  <si>
    <t>nok 2 arh ki un glazed</t>
  </si>
  <si>
    <t>nok 2 arh ki unglazed</t>
  </si>
  <si>
    <t>nok 2 arh ki unglzd</t>
  </si>
  <si>
    <t>nok 2 arh kn un glazed</t>
  </si>
  <si>
    <t>nok 2 arh kn unglazed</t>
  </si>
  <si>
    <t>nok 2 arh kn unglzd</t>
  </si>
  <si>
    <t>nok 2 arh un glazed</t>
  </si>
  <si>
    <t>nok 2 arh unglazed</t>
  </si>
  <si>
    <t>nok 2 arh unglzd</t>
  </si>
  <si>
    <t>nok 3 arh ki un glazed</t>
  </si>
  <si>
    <t>nok 3 arh ki unglazed</t>
  </si>
  <si>
    <t>nok 3 arh ki unglzd</t>
  </si>
  <si>
    <t>nok 3 arh kn un glazed</t>
  </si>
  <si>
    <t>nok 3 arh kn unglazed</t>
  </si>
  <si>
    <t>nok 3 arh kn unglzd</t>
  </si>
  <si>
    <t>nok 4 arh un glazed</t>
  </si>
  <si>
    <t>nok 4 arh unglazed</t>
  </si>
  <si>
    <t>nok 4 arh unglzd</t>
  </si>
  <si>
    <t>nok un glazed</t>
  </si>
  <si>
    <t>nok unglazed</t>
  </si>
  <si>
    <t>nok unglzd</t>
  </si>
  <si>
    <t>nok2arhkiun glazed</t>
  </si>
  <si>
    <t>nok2arhkiunglazed</t>
  </si>
  <si>
    <t>nok2arhkiunglzd</t>
  </si>
  <si>
    <t>nok2arhknun glazed</t>
  </si>
  <si>
    <t>nok2arhknunglazed</t>
  </si>
  <si>
    <t>nok2arhknunglzd</t>
  </si>
  <si>
    <t>nok2arhun glazed</t>
  </si>
  <si>
    <t>nok2arhunglazed</t>
  </si>
  <si>
    <t>nok2arhunglzd</t>
  </si>
  <si>
    <t>nok3arhkiun glazed</t>
  </si>
  <si>
    <t>nok3arhkiunglazed</t>
  </si>
  <si>
    <t>nok3arhkiunglzd</t>
  </si>
  <si>
    <t>nok3arhknun glazed</t>
  </si>
  <si>
    <t>nok3arhknunglazed</t>
  </si>
  <si>
    <t>nok3arhknunglzd</t>
  </si>
  <si>
    <t>nok4arhun glazed</t>
  </si>
  <si>
    <t>nok4arhunglazed</t>
  </si>
  <si>
    <t>nok4arhunglzd</t>
  </si>
  <si>
    <t>nokun glazed</t>
  </si>
  <si>
    <t>nokunglazed</t>
  </si>
  <si>
    <t>nokunglzd</t>
  </si>
  <si>
    <t>pemanas air un glazed</t>
  </si>
  <si>
    <t>pemanas air unglazed</t>
  </si>
  <si>
    <t>pemanas air unglzd</t>
  </si>
  <si>
    <t>pemanasairun glazed</t>
  </si>
  <si>
    <t>pemanasairunglazed</t>
  </si>
  <si>
    <t>pemanasairunglzd</t>
  </si>
  <si>
    <t>penangkal petir unglazed</t>
  </si>
  <si>
    <t>penangkal ptr un glazed</t>
  </si>
  <si>
    <t>penangkal ptr unglazed</t>
  </si>
  <si>
    <t>penangkal ptr unglzd</t>
  </si>
  <si>
    <t>penangkalpetirunglazed</t>
  </si>
  <si>
    <t>penangkalptrun glazed</t>
  </si>
  <si>
    <t>penangkalptrunglazed</t>
  </si>
  <si>
    <t>penangkalptrunglzd</t>
  </si>
  <si>
    <t>ujg jurai unglazed</t>
  </si>
  <si>
    <t>ujg nok ki unglazed</t>
  </si>
  <si>
    <t>ujg nok kn unglazed</t>
  </si>
  <si>
    <t>ujgjuraiunglazed</t>
  </si>
  <si>
    <t>ujgnokkiunglazed</t>
  </si>
  <si>
    <t>ujgnokknunglazed</t>
  </si>
  <si>
    <t>ujung jurai un glazed</t>
  </si>
  <si>
    <t>ujung jurai unglazed</t>
  </si>
  <si>
    <t>ujung jurai unglzd</t>
  </si>
  <si>
    <t>ujung nock ki unglazed</t>
  </si>
  <si>
    <t>ujung nock kn unglazed</t>
  </si>
  <si>
    <t>ujung nok ki un glazed</t>
  </si>
  <si>
    <t>ujung nok ki unglazed</t>
  </si>
  <si>
    <t>ujung nok ki unglzd</t>
  </si>
  <si>
    <t>ujung nok kn un glazed</t>
  </si>
  <si>
    <t>ujung nok kn unglazed</t>
  </si>
  <si>
    <t>ujung nok kn unglzd</t>
  </si>
  <si>
    <t>ujungjuraiun glazed</t>
  </si>
  <si>
    <t>ujungjuraiunglazed</t>
  </si>
  <si>
    <t>ujungjuraiunglzd</t>
  </si>
  <si>
    <t>ujungnockkiunglazed</t>
  </si>
  <si>
    <t>ujungnockknunglazed</t>
  </si>
  <si>
    <t>ujungnokkiun glazed</t>
  </si>
  <si>
    <t>ujungnokkiunglazed</t>
  </si>
  <si>
    <t>ujungnokkiunglzd</t>
  </si>
  <si>
    <t>ujungnokknun glazed</t>
  </si>
  <si>
    <t>ujungnokknunglazed</t>
  </si>
  <si>
    <t>ujungnokknunglzd</t>
  </si>
  <si>
    <t>un glazed</t>
  </si>
  <si>
    <t>unglazed</t>
  </si>
  <si>
    <t>unglzd</t>
  </si>
  <si>
    <t>genteng badan</t>
  </si>
  <si>
    <t>genteng badan glossy</t>
  </si>
  <si>
    <t>gentengbadan</t>
  </si>
  <si>
    <t>gentengbadanglossy</t>
  </si>
  <si>
    <t>gntg badan</t>
  </si>
  <si>
    <t>gntg badan glossy</t>
  </si>
  <si>
    <t>gntgbadan</t>
  </si>
  <si>
    <t>gntgbadanglossy</t>
  </si>
  <si>
    <t>m class genteng badan</t>
  </si>
  <si>
    <t>m class gntg badan</t>
  </si>
  <si>
    <t>mclassgentengbadan</t>
  </si>
  <si>
    <t>mclassgntgbadan</t>
  </si>
  <si>
    <t>genteng badan matte</t>
  </si>
  <si>
    <t>gentengbadanmatte</t>
  </si>
  <si>
    <t>gntg badan matte</t>
  </si>
  <si>
    <t>gntgbadanmatte</t>
  </si>
  <si>
    <t>ratta genteng badan</t>
  </si>
  <si>
    <t>ratta gntg badan</t>
  </si>
  <si>
    <t>rattagentengbadan</t>
  </si>
  <si>
    <t>rattagntgbadan</t>
  </si>
  <si>
    <t>elephant fc glb 11</t>
  </si>
  <si>
    <t>elephant fc glb 14</t>
  </si>
  <si>
    <t>elephantfcglb11</t>
  </si>
  <si>
    <t>elephantfcglb14</t>
  </si>
  <si>
    <t>fc glb 11</t>
  </si>
  <si>
    <t>fc glb 11 small corrugated</t>
  </si>
  <si>
    <t>fc glb 14</t>
  </si>
  <si>
    <t>fc glb 14 small corrugated</t>
  </si>
  <si>
    <t>fcglb11</t>
  </si>
  <si>
    <t>fcglb11smallcorrugated</t>
  </si>
  <si>
    <t>fcglb14</t>
  </si>
  <si>
    <t>fcglb14smallcorrugated</t>
  </si>
  <si>
    <t>genteng badan un glazed</t>
  </si>
  <si>
    <t>genteng badan unglazed</t>
  </si>
  <si>
    <t>genteng badan unglzd</t>
  </si>
  <si>
    <t>gentengbadanun glazed</t>
  </si>
  <si>
    <t>gentengbadanunglazed</t>
  </si>
  <si>
    <t>gentengbadanunglzd</t>
  </si>
  <si>
    <t>gntg badan unglazed</t>
  </si>
  <si>
    <t>gntgbadanunglazed</t>
  </si>
  <si>
    <t>e board</t>
  </si>
  <si>
    <t>e board gipsum board</t>
  </si>
  <si>
    <t>e board gipsum un std</t>
  </si>
  <si>
    <t>e board gypsum board</t>
  </si>
  <si>
    <t>e board gypsum un std</t>
  </si>
  <si>
    <t>e brd</t>
  </si>
  <si>
    <t>e brd gypsum brd</t>
  </si>
  <si>
    <t>e brd gypsum un std</t>
  </si>
  <si>
    <t>eboard</t>
  </si>
  <si>
    <t>eboardgipsumboard</t>
  </si>
  <si>
    <t>eboardgipsumunstd</t>
  </si>
  <si>
    <t>eboardgypsumboard</t>
  </si>
  <si>
    <t>eboardgypsumunstd</t>
  </si>
  <si>
    <t>ebrd</t>
  </si>
  <si>
    <t>ebrdgypsumbrd</t>
  </si>
  <si>
    <t>ebrdgypsumunstd</t>
  </si>
  <si>
    <t>echoblock r1</t>
  </si>
  <si>
    <t>echoblock r1 gipsum board</t>
  </si>
  <si>
    <t>echoblock r1 gypsum board</t>
  </si>
  <si>
    <t>echoblock r1 gypsum brd</t>
  </si>
  <si>
    <t>echoblock r2</t>
  </si>
  <si>
    <t>echoblock r2 gipsum board</t>
  </si>
  <si>
    <t>echoblock r2 gypsum board</t>
  </si>
  <si>
    <t>echoblock r2 gypsum brd</t>
  </si>
  <si>
    <t>echoblock r8</t>
  </si>
  <si>
    <t>echoblock r8 gipsum board</t>
  </si>
  <si>
    <t>echoblock r8 gypsum board</t>
  </si>
  <si>
    <t>echoblock r8 gypsum brd</t>
  </si>
  <si>
    <t>echoblock rr</t>
  </si>
  <si>
    <t>echoblock rr gipsum board</t>
  </si>
  <si>
    <t>echoblock rr gypsum board</t>
  </si>
  <si>
    <t>echoblock rr gypsum brd</t>
  </si>
  <si>
    <t>echoblockr1</t>
  </si>
  <si>
    <t>echoblockr1gipsumboard</t>
  </si>
  <si>
    <t>echoblockr1gypsumboard</t>
  </si>
  <si>
    <t>echoblockr1gypsumbrd</t>
  </si>
  <si>
    <t>echoblockr2</t>
  </si>
  <si>
    <t>echoblockr2gipsumboard</t>
  </si>
  <si>
    <t>echoblockr2gypsumboard</t>
  </si>
  <si>
    <t>echoblockr2gypsumbrd</t>
  </si>
  <si>
    <t>echoblockr8</t>
  </si>
  <si>
    <t>echoblockr8gipsumboard</t>
  </si>
  <si>
    <t>echoblockr8gypsumboard</t>
  </si>
  <si>
    <t>echoblockr8gypsumbrd</t>
  </si>
  <si>
    <t>echoblockrr</t>
  </si>
  <si>
    <t>echoblockrrgipsumboard</t>
  </si>
  <si>
    <t>echoblockrrgypsumboard</t>
  </si>
  <si>
    <t>echoblockrrgypsumbrd</t>
  </si>
  <si>
    <t>elephant echoblock r1</t>
  </si>
  <si>
    <t>elephant echoblock r2</t>
  </si>
  <si>
    <t>elephant echoblock r8</t>
  </si>
  <si>
    <t>elephant echoblock rr</t>
  </si>
  <si>
    <t>elephant gipsum af brd</t>
  </si>
  <si>
    <t>elephant gipsum board</t>
  </si>
  <si>
    <t>elephant gipsum fr brd</t>
  </si>
  <si>
    <t>elephant gipsum md brd</t>
  </si>
  <si>
    <t>elephant gipsum mr brd</t>
  </si>
  <si>
    <t>elephant gipsum un prm</t>
  </si>
  <si>
    <t>elephant gipsum un se</t>
  </si>
  <si>
    <t>elephant gipsum un std</t>
  </si>
  <si>
    <t>elephant gypsum af board</t>
  </si>
  <si>
    <t>elephant gypsum af brd</t>
  </si>
  <si>
    <t>elephant gypsum board</t>
  </si>
  <si>
    <t>elephant gypsum brd</t>
  </si>
  <si>
    <t>elephant gypsum fr board</t>
  </si>
  <si>
    <t>elephant gypsum fr brd</t>
  </si>
  <si>
    <t>elephant gypsum md board</t>
  </si>
  <si>
    <t>elephant gypsum md brd</t>
  </si>
  <si>
    <t>elephant gypsum mr board</t>
  </si>
  <si>
    <t>elephant gypsum mr brd</t>
  </si>
  <si>
    <t>elephant gypsum un prm</t>
  </si>
  <si>
    <t>elephant gypsum un se</t>
  </si>
  <si>
    <t>elephant gypsum un std</t>
  </si>
  <si>
    <t>elephantechoblockr1</t>
  </si>
  <si>
    <t>elephantechoblockr2</t>
  </si>
  <si>
    <t>elephantechoblockr8</t>
  </si>
  <si>
    <t>elephantechoblockrr</t>
  </si>
  <si>
    <t>elephantgipsumafbrd</t>
  </si>
  <si>
    <t>elephantgipsumboard</t>
  </si>
  <si>
    <t>elephantgipsumfrbrd</t>
  </si>
  <si>
    <t>elephantgipsummdbrd</t>
  </si>
  <si>
    <t>elephantgipsummrbrd</t>
  </si>
  <si>
    <t>elephantgipsumunprm</t>
  </si>
  <si>
    <t>elephantgipsumunse</t>
  </si>
  <si>
    <t>elephantgipsumunstd</t>
  </si>
  <si>
    <t>elephantgypsumafboard</t>
  </si>
  <si>
    <t>elephantgypsumafbrd</t>
  </si>
  <si>
    <t>elephantgypsumboard</t>
  </si>
  <si>
    <t>elephantgypsumbrd</t>
  </si>
  <si>
    <t>elephantgypsumfrboard</t>
  </si>
  <si>
    <t>elephantgypsumfrbrd</t>
  </si>
  <si>
    <t>elephantgypsummdboard</t>
  </si>
  <si>
    <t>elephantgypsummdbrd</t>
  </si>
  <si>
    <t>elephantgypsummrboard</t>
  </si>
  <si>
    <t>elephantgypsummrbrd</t>
  </si>
  <si>
    <t>elephantgypsumunprm</t>
  </si>
  <si>
    <t>elephantgypsumunse</t>
  </si>
  <si>
    <t>elephantgypsumunstd</t>
  </si>
  <si>
    <t>gipsum af brd</t>
  </si>
  <si>
    <t>gipsum af brd gipsum board</t>
  </si>
  <si>
    <t>gipsum board</t>
  </si>
  <si>
    <t>gipsum fr brd</t>
  </si>
  <si>
    <t>gipsum fr brd gipsum board</t>
  </si>
  <si>
    <t>gipsum md brd</t>
  </si>
  <si>
    <t>gipsum md brd gipsum board</t>
  </si>
  <si>
    <t>gipsum mr brd</t>
  </si>
  <si>
    <t>gipsum mr brd gipsum board</t>
  </si>
  <si>
    <t>gipsum tp std</t>
  </si>
  <si>
    <t>gipsum tp std gipsum board</t>
  </si>
  <si>
    <t>gipsum un prm</t>
  </si>
  <si>
    <t>gipsum un prm gipsum board</t>
  </si>
  <si>
    <t>gipsum un se</t>
  </si>
  <si>
    <t>gipsum un se gipsum board</t>
  </si>
  <si>
    <t>gipsum un std</t>
  </si>
  <si>
    <t>gipsum un std gipsum board</t>
  </si>
  <si>
    <t>gipsumafbrd</t>
  </si>
  <si>
    <t>gipsumafbrdgipsumboard</t>
  </si>
  <si>
    <t>gipsumboard</t>
  </si>
  <si>
    <t>gipsumfrbrd</t>
  </si>
  <si>
    <t>gipsumfrbrdgipsumboard</t>
  </si>
  <si>
    <t>gipsummdbrd</t>
  </si>
  <si>
    <t>gipsummdbrdgipsumboard</t>
  </si>
  <si>
    <t>gipsummrbrd</t>
  </si>
  <si>
    <t>gipsummrbrdgipsumboard</t>
  </si>
  <si>
    <t>gipsumtpstd</t>
  </si>
  <si>
    <t>gipsumtpstdgipsumboard</t>
  </si>
  <si>
    <t>gipsumunprm</t>
  </si>
  <si>
    <t>gipsumunprmgipsumboard</t>
  </si>
  <si>
    <t>gipsumunse</t>
  </si>
  <si>
    <t>gipsumunsegipsumboard</t>
  </si>
  <si>
    <t>gipsumunstd</t>
  </si>
  <si>
    <t>gipsumunstdgipsumboard</t>
  </si>
  <si>
    <t>gypsum af board</t>
  </si>
  <si>
    <t>gypsum af board gypsum board</t>
  </si>
  <si>
    <t>gypsum af brd</t>
  </si>
  <si>
    <t>gypsum af brd gypsum board</t>
  </si>
  <si>
    <t>gypsum af brd gypsum brd</t>
  </si>
  <si>
    <t>gypsum board</t>
  </si>
  <si>
    <t>gypsum brd</t>
  </si>
  <si>
    <t>gypsum fr board</t>
  </si>
  <si>
    <t>gypsum fr board gypsum board</t>
  </si>
  <si>
    <t>gypsum fr brd</t>
  </si>
  <si>
    <t>gypsum fr brd gypsum board</t>
  </si>
  <si>
    <t>gypsum fr brd gypsum brd</t>
  </si>
  <si>
    <t>gypsum md board</t>
  </si>
  <si>
    <t>gypsum md board gypsum board</t>
  </si>
  <si>
    <t>gypsum md brd</t>
  </si>
  <si>
    <t>gypsum md brd gypsum board</t>
  </si>
  <si>
    <t>gypsum md brd gypsum brd</t>
  </si>
  <si>
    <t>gypsum mr board</t>
  </si>
  <si>
    <t>gypsum mr board gypsum board</t>
  </si>
  <si>
    <t>gypsum mr brd</t>
  </si>
  <si>
    <t>gypsum mr brd gypsum board</t>
  </si>
  <si>
    <t>gypsum mr brd gypsum brd</t>
  </si>
  <si>
    <t>gypsum tp std</t>
  </si>
  <si>
    <t>gypsum tp std gypsum board</t>
  </si>
  <si>
    <t>gypsum tp std gypsum brd</t>
  </si>
  <si>
    <t>gypsum un prm</t>
  </si>
  <si>
    <t>gypsum un prm gypsum board</t>
  </si>
  <si>
    <t>gypsum un prm gypsum brd</t>
  </si>
  <si>
    <t>gypsum un se</t>
  </si>
  <si>
    <t>gypsum un se gypsum board</t>
  </si>
  <si>
    <t>gypsum un se gypsum brd</t>
  </si>
  <si>
    <t>gypsum un std</t>
  </si>
  <si>
    <t>gypsum un std gypsum board</t>
  </si>
  <si>
    <t>gypsum un std gypsum brd</t>
  </si>
  <si>
    <t>gypsumafboard</t>
  </si>
  <si>
    <t>gypsumafboardgypsumboard</t>
  </si>
  <si>
    <t>gypsumafbrd</t>
  </si>
  <si>
    <t>gypsumafbrdgypsumboard</t>
  </si>
  <si>
    <t>gypsumafbrdgypsumbrd</t>
  </si>
  <si>
    <t>gypsumboard</t>
  </si>
  <si>
    <t>gypsumbrd</t>
  </si>
  <si>
    <t>gypsumfrboard</t>
  </si>
  <si>
    <t>gypsumfrboardgypsumboard</t>
  </si>
  <si>
    <t>gypsumfrbrd</t>
  </si>
  <si>
    <t>gypsumfrbrdgypsumboard</t>
  </si>
  <si>
    <t>gypsumfrbrdgypsumbrd</t>
  </si>
  <si>
    <t>gypsummdboard</t>
  </si>
  <si>
    <t>gypsummdboardgypsumboard</t>
  </si>
  <si>
    <t>gypsummdbrd</t>
  </si>
  <si>
    <t>gypsummdbrdgypsumboard</t>
  </si>
  <si>
    <t>gypsummdbrdgypsumbrd</t>
  </si>
  <si>
    <t>gypsummrboard</t>
  </si>
  <si>
    <t>gypsummrboardgypsumboard</t>
  </si>
  <si>
    <t>gypsummrbrd</t>
  </si>
  <si>
    <t>gypsummrbrdgypsumboard</t>
  </si>
  <si>
    <t>gypsummrbrdgypsumbrd</t>
  </si>
  <si>
    <t>gypsumtpstd</t>
  </si>
  <si>
    <t>gypsumtpstdgypsumboard</t>
  </si>
  <si>
    <t>gypsumtpstdgypsumbrd</t>
  </si>
  <si>
    <t>gypsumunprm</t>
  </si>
  <si>
    <t>gypsumunprmgypsumboard</t>
  </si>
  <si>
    <t>gypsumunprmgypsumbrd</t>
  </si>
  <si>
    <t>gypsumunse</t>
  </si>
  <si>
    <t>gypsumunsegypsumboard</t>
  </si>
  <si>
    <t>gypsumunsegypsumbrd</t>
  </si>
  <si>
    <t>gypsumunstd</t>
  </si>
  <si>
    <t>gypsumunstdgypsumboard</t>
  </si>
  <si>
    <t>gypsumunstdgypsumbrd</t>
  </si>
  <si>
    <t>star</t>
  </si>
  <si>
    <t>star gipsum board</t>
  </si>
  <si>
    <t>star gipsum tp std</t>
  </si>
  <si>
    <t>star gipsum un std</t>
  </si>
  <si>
    <t>star gypsum board</t>
  </si>
  <si>
    <t>star gypsum brd</t>
  </si>
  <si>
    <t>star gypsum tp std</t>
  </si>
  <si>
    <t>star gypsum un std</t>
  </si>
  <si>
    <t>stargipsumboard</t>
  </si>
  <si>
    <t>stargipsumtpstd</t>
  </si>
  <si>
    <t>stargipsumunstd</t>
  </si>
  <si>
    <t>stargypsumboard</t>
  </si>
  <si>
    <t>stargypsumbrd</t>
  </si>
  <si>
    <t>stargypsumtpstd</t>
  </si>
  <si>
    <t>stargypsumunstd</t>
  </si>
  <si>
    <t>bonding</t>
  </si>
  <si>
    <t>bonding gipsum casting</t>
  </si>
  <si>
    <t>bonding gypsum casting</t>
  </si>
  <si>
    <t>bondinggipsumcasting</t>
  </si>
  <si>
    <t>bondinggypsumcasting</t>
  </si>
  <si>
    <t>casting</t>
  </si>
  <si>
    <t>casting gipsum casting</t>
  </si>
  <si>
    <t>casting gypsum casting</t>
  </si>
  <si>
    <t>castinggipsumcasting</t>
  </si>
  <si>
    <t>castinggypsumcasting</t>
  </si>
  <si>
    <t>elephant bonding</t>
  </si>
  <si>
    <t>elephant casting</t>
  </si>
  <si>
    <t>elephant gipsum casting</t>
  </si>
  <si>
    <t>elephant gypsum casting</t>
  </si>
  <si>
    <t>elephantbonding</t>
  </si>
  <si>
    <t>elephantcasting</t>
  </si>
  <si>
    <t>elephantgipsumcasting</t>
  </si>
  <si>
    <t>elephantgypsumcasting</t>
  </si>
  <si>
    <t>gipsum casting</t>
  </si>
  <si>
    <t>gipsumcasting</t>
  </si>
  <si>
    <t>gypsum casting</t>
  </si>
  <si>
    <t>gypsumcasting</t>
  </si>
  <si>
    <t>star casting</t>
  </si>
  <si>
    <t>star gipsum casting</t>
  </si>
  <si>
    <t>star gypsum casting</t>
  </si>
  <si>
    <t>starcasting</t>
  </si>
  <si>
    <t>stargipsumcasting</t>
  </si>
  <si>
    <t>stargypsumcasting</t>
  </si>
  <si>
    <t>ZBM1_GYPSUMCOMPOUND</t>
  </si>
  <si>
    <t>elephant gipsum compond</t>
  </si>
  <si>
    <t>elephant gypsum compond</t>
  </si>
  <si>
    <t>elephant joint cornice</t>
  </si>
  <si>
    <t>elephantgipsumcompond</t>
  </si>
  <si>
    <t>elephantgypsumcompond</t>
  </si>
  <si>
    <t>elephantjointcornice</t>
  </si>
  <si>
    <t>gipsum compond</t>
  </si>
  <si>
    <t>gipsumcompond</t>
  </si>
  <si>
    <t>gypsum compond</t>
  </si>
  <si>
    <t>gypsumcompond</t>
  </si>
  <si>
    <t>joint cornice</t>
  </si>
  <si>
    <t>joint cornice gipsum compond</t>
  </si>
  <si>
    <t>joint cornice gypsum compond</t>
  </si>
  <si>
    <t>jointcornice</t>
  </si>
  <si>
    <t>jointcornicegipsumcompond</t>
  </si>
  <si>
    <t>jointcornicegypsumcompond</t>
  </si>
  <si>
    <t>c stud</t>
  </si>
  <si>
    <t>c stud gipsum frame</t>
  </si>
  <si>
    <t>c stud gypsum frame</t>
  </si>
  <si>
    <t>corner bead</t>
  </si>
  <si>
    <t>corner bead gipsum frame</t>
  </si>
  <si>
    <t>corner bead gypsum frame</t>
  </si>
  <si>
    <t>cornerbead</t>
  </si>
  <si>
    <t>cornerbeadgipsumframe</t>
  </si>
  <si>
    <t>cornerbeadgypsumframe</t>
  </si>
  <si>
    <t>cstud</t>
  </si>
  <si>
    <t>cstudgipsumframe</t>
  </si>
  <si>
    <t>cstudgypsumframe</t>
  </si>
  <si>
    <t>e c line</t>
  </si>
  <si>
    <t>e c line gipsum frame</t>
  </si>
  <si>
    <t>e c line gypsum frame</t>
  </si>
  <si>
    <t>e connector</t>
  </si>
  <si>
    <t>e connector gipsum frame</t>
  </si>
  <si>
    <t>e connector gypsum frame</t>
  </si>
  <si>
    <t>ec30 line</t>
  </si>
  <si>
    <t>ec30 line gipsum frame</t>
  </si>
  <si>
    <t>ec30 line gypsum frame</t>
  </si>
  <si>
    <t>ec30line</t>
  </si>
  <si>
    <t>ec30linegipsumframe</t>
  </si>
  <si>
    <t>ec30linegypsumframe</t>
  </si>
  <si>
    <t>ecline</t>
  </si>
  <si>
    <t>eclinegipsumframe</t>
  </si>
  <si>
    <t>eclinegypsumframe</t>
  </si>
  <si>
    <t>econnector</t>
  </si>
  <si>
    <t>econnectorgipsumframe</t>
  </si>
  <si>
    <t>econnectorgypsumframe</t>
  </si>
  <si>
    <t>elephant c stud</t>
  </si>
  <si>
    <t>elephant corner bead</t>
  </si>
  <si>
    <t>elephant e c line</t>
  </si>
  <si>
    <t>elephant e connector</t>
  </si>
  <si>
    <t>elephant ec30 line</t>
  </si>
  <si>
    <t>elephant gipsum frame</t>
  </si>
  <si>
    <t>elephant gypsum frame</t>
  </si>
  <si>
    <t>elephant shadowline</t>
  </si>
  <si>
    <t>elephant spsn bracket</t>
  </si>
  <si>
    <t>elephant spsn clip</t>
  </si>
  <si>
    <t>elephant spsn rod</t>
  </si>
  <si>
    <t>elephant u clip</t>
  </si>
  <si>
    <t>elephant u stud</t>
  </si>
  <si>
    <t>elephant wall angle</t>
  </si>
  <si>
    <t>elephantcornerbead</t>
  </si>
  <si>
    <t>elephantcstud</t>
  </si>
  <si>
    <t>elephantec30line</t>
  </si>
  <si>
    <t>elephantecline</t>
  </si>
  <si>
    <t>elephanteconnector</t>
  </si>
  <si>
    <t>elephantgipsumframe</t>
  </si>
  <si>
    <t>elephantgypsumframe</t>
  </si>
  <si>
    <t>elephantshadowline</t>
  </si>
  <si>
    <t>elephantspsnbracket</t>
  </si>
  <si>
    <t>elephantspsnclip</t>
  </si>
  <si>
    <t>elephantspsnrod</t>
  </si>
  <si>
    <t>elephantuclip</t>
  </si>
  <si>
    <t>elephantustud</t>
  </si>
  <si>
    <t>elephantwallangle</t>
  </si>
  <si>
    <t>gipsum frame</t>
  </si>
  <si>
    <t>gipsumframe</t>
  </si>
  <si>
    <t>gypsum frame</t>
  </si>
  <si>
    <t>gypsumframe</t>
  </si>
  <si>
    <t>shadowline</t>
  </si>
  <si>
    <t>shadowline gipsum frame</t>
  </si>
  <si>
    <t>shadowline gypsum frame</t>
  </si>
  <si>
    <t>shadowlinegipsumframe</t>
  </si>
  <si>
    <t>shadowlinegypsumframe</t>
  </si>
  <si>
    <t>spsn bracket</t>
  </si>
  <si>
    <t>spsn bracket gipsum frame</t>
  </si>
  <si>
    <t>spsn bracket gypsum frame</t>
  </si>
  <si>
    <t>spsn clip</t>
  </si>
  <si>
    <t>spsn clip gipsum frame</t>
  </si>
  <si>
    <t>spsn clip gypsum frame</t>
  </si>
  <si>
    <t>spsn rod</t>
  </si>
  <si>
    <t>spsn rod gipsum frame</t>
  </si>
  <si>
    <t>spsn rod gypsum frame</t>
  </si>
  <si>
    <t>spsnbracket</t>
  </si>
  <si>
    <t>spsnbracketgipsumframe</t>
  </si>
  <si>
    <t>spsnbracketgypsumframe</t>
  </si>
  <si>
    <t>spsnclip</t>
  </si>
  <si>
    <t>spsnclipgipsumframe</t>
  </si>
  <si>
    <t>spsnclipgypsumframe</t>
  </si>
  <si>
    <t>spsnrod</t>
  </si>
  <si>
    <t>spsnrodgipsumframe</t>
  </si>
  <si>
    <t>spsnrodgypsumframe</t>
  </si>
  <si>
    <t>u clip</t>
  </si>
  <si>
    <t>u clip gipsum frame</t>
  </si>
  <si>
    <t>u clip gypsum frame</t>
  </si>
  <si>
    <t>u stud</t>
  </si>
  <si>
    <t>u stud gipsum frame</t>
  </si>
  <si>
    <t>u stud gypsum frame</t>
  </si>
  <si>
    <t>uclip</t>
  </si>
  <si>
    <t>uclipgipsumframe</t>
  </si>
  <si>
    <t>uclipgypsumframe</t>
  </si>
  <si>
    <t>ustud</t>
  </si>
  <si>
    <t>ustudgipsumframe</t>
  </si>
  <si>
    <t>ustudgypsumframe</t>
  </si>
  <si>
    <t>wall angle</t>
  </si>
  <si>
    <t>wall angle gipsum frame</t>
  </si>
  <si>
    <t>wall angle gypsum frame</t>
  </si>
  <si>
    <t>wallangle</t>
  </si>
  <si>
    <t>wallanglegipsumframe</t>
  </si>
  <si>
    <t>wallanglegypsumframe</t>
  </si>
  <si>
    <t>elephant eplain board</t>
  </si>
  <si>
    <t>elephant eplain brd</t>
  </si>
  <si>
    <t>elephant epolos board</t>
  </si>
  <si>
    <t>elephant gyptile</t>
  </si>
  <si>
    <t>elephant manhole</t>
  </si>
  <si>
    <t>elephant pin hole</t>
  </si>
  <si>
    <t>elephanteplainboard</t>
  </si>
  <si>
    <t>elephanteplainbrd</t>
  </si>
  <si>
    <t>elephantepolosboard</t>
  </si>
  <si>
    <t>elephantgyptile</t>
  </si>
  <si>
    <t>elephantmanhole</t>
  </si>
  <si>
    <t>elephantpinhole</t>
  </si>
  <si>
    <t>eplain board</t>
  </si>
  <si>
    <t>eplain board gyptile</t>
  </si>
  <si>
    <t>eplain brd</t>
  </si>
  <si>
    <t>eplain brd gyptile</t>
  </si>
  <si>
    <t>eplainboard</t>
  </si>
  <si>
    <t>eplainboardgyptile</t>
  </si>
  <si>
    <t>eplainbrd</t>
  </si>
  <si>
    <t>eplainbrdgyptile</t>
  </si>
  <si>
    <t>epolos board</t>
  </si>
  <si>
    <t>epolos board gyptile</t>
  </si>
  <si>
    <t>epolosboard</t>
  </si>
  <si>
    <t>epolosboardgyptile</t>
  </si>
  <si>
    <t>gyptile</t>
  </si>
  <si>
    <t>manhole</t>
  </si>
  <si>
    <t>manhole gyptile</t>
  </si>
  <si>
    <t>manholegyptile</t>
  </si>
  <si>
    <t>pin hole</t>
  </si>
  <si>
    <t>pin hole gyptile</t>
  </si>
  <si>
    <t>pinhole</t>
  </si>
  <si>
    <t>pinholegyptile</t>
  </si>
  <si>
    <t>elephant fc floorplank</t>
  </si>
  <si>
    <t>elephant fc wall plank plain</t>
  </si>
  <si>
    <t>elephant fc wp plain</t>
  </si>
  <si>
    <t>elephant fc wp polos</t>
  </si>
  <si>
    <t>elephant plain plank</t>
  </si>
  <si>
    <t>elephant polos plank</t>
  </si>
  <si>
    <t>elephantfcfloorplank</t>
  </si>
  <si>
    <t>elephantfcwall plankplain</t>
  </si>
  <si>
    <t>elephantfcwallplankplain</t>
  </si>
  <si>
    <t>elephantfcwpplain</t>
  </si>
  <si>
    <t>elephantfcwppolos</t>
  </si>
  <si>
    <t>elephantplainplank</t>
  </si>
  <si>
    <t>elephantpolosplank</t>
  </si>
  <si>
    <t>fc floorplank</t>
  </si>
  <si>
    <t>fc floorplank plain plank</t>
  </si>
  <si>
    <t>fc floorplank polos plank</t>
  </si>
  <si>
    <t>fc wall plank plain</t>
  </si>
  <si>
    <t>fc wall plank plain plain plank</t>
  </si>
  <si>
    <t>fc wp plain</t>
  </si>
  <si>
    <t>fc wp plain plain plank</t>
  </si>
  <si>
    <t>fc wp polos</t>
  </si>
  <si>
    <t>fc wp polos polos plank</t>
  </si>
  <si>
    <t>fcfloorplank</t>
  </si>
  <si>
    <t>fcfloorplankplainplank</t>
  </si>
  <si>
    <t>fcfloorplankpolosplank</t>
  </si>
  <si>
    <t>fcwall plankplain</t>
  </si>
  <si>
    <t>fcwall plankplainplainplank</t>
  </si>
  <si>
    <t>fcwallplankplain</t>
  </si>
  <si>
    <t>fcwallplankplainplainplank</t>
  </si>
  <si>
    <t>fcwpplain</t>
  </si>
  <si>
    <t>fcwpplainplainplank</t>
  </si>
  <si>
    <t>fcwppolos</t>
  </si>
  <si>
    <t>fcwppolospolosplank</t>
  </si>
  <si>
    <t>plain plank</t>
  </si>
  <si>
    <t>plainplank</t>
  </si>
  <si>
    <t>polos plank</t>
  </si>
  <si>
    <t>polosplank</t>
  </si>
  <si>
    <t>star fc wall plank plain</t>
  </si>
  <si>
    <t>star fc wp plain</t>
  </si>
  <si>
    <t>star fc wp polos</t>
  </si>
  <si>
    <t>star plain plank</t>
  </si>
  <si>
    <t>star polos plank</t>
  </si>
  <si>
    <t>starfcwall plankplain</t>
  </si>
  <si>
    <t>starfcwallplankplain</t>
  </si>
  <si>
    <t>starfcwpplain</t>
  </si>
  <si>
    <t>starfcwppolos</t>
  </si>
  <si>
    <t>starplainplank</t>
  </si>
  <si>
    <t>starpolosplank</t>
  </si>
  <si>
    <t>elephant fc smartwood</t>
  </si>
  <si>
    <t>elephant fc wall plank texture</t>
  </si>
  <si>
    <t>elephant fc wp tekstur</t>
  </si>
  <si>
    <t>elephant fc wp texture</t>
  </si>
  <si>
    <t>elephant tekstur plank</t>
  </si>
  <si>
    <t>elephant texture plank</t>
  </si>
  <si>
    <t>elephantfcsmartwood</t>
  </si>
  <si>
    <t>elephantfcwall planktexture</t>
  </si>
  <si>
    <t>elephantfcwallplanktexture</t>
  </si>
  <si>
    <t>elephantfcwptekstur</t>
  </si>
  <si>
    <t>elephantfcwptexture</t>
  </si>
  <si>
    <t>elephantteksturplank</t>
  </si>
  <si>
    <t>elephanttextureplank</t>
  </si>
  <si>
    <t>fc smartwood</t>
  </si>
  <si>
    <t>fc smartwood tekstur plank</t>
  </si>
  <si>
    <t>fc smartwood texture plank</t>
  </si>
  <si>
    <t>fc wall plank texture</t>
  </si>
  <si>
    <t>fc wall plank texture texture plank</t>
  </si>
  <si>
    <t>fc wp tekstur</t>
  </si>
  <si>
    <t>fc wp tekstur tekstur plank</t>
  </si>
  <si>
    <t>fc wp texture</t>
  </si>
  <si>
    <t>fc wp texture texture plank</t>
  </si>
  <si>
    <t>fcsmartwood</t>
  </si>
  <si>
    <t>fcsmartwoodteksturplank</t>
  </si>
  <si>
    <t>fcsmartwoodtextureplank</t>
  </si>
  <si>
    <t>fcwall planktexture</t>
  </si>
  <si>
    <t>fcwall planktexturetextureplank</t>
  </si>
  <si>
    <t>fcwallplanktexture</t>
  </si>
  <si>
    <t>fcwallplanktexturetextureplank</t>
  </si>
  <si>
    <t>fcwptekstur</t>
  </si>
  <si>
    <t>fcwpteksturteksturplank</t>
  </si>
  <si>
    <t>fcwptexture</t>
  </si>
  <si>
    <t>fcwptexturetextureplank</t>
  </si>
  <si>
    <t>star fc wall plank texture</t>
  </si>
  <si>
    <t>star fc wp tekstur</t>
  </si>
  <si>
    <t>star fc wp texture</t>
  </si>
  <si>
    <t>star tekstur plank</t>
  </si>
  <si>
    <t>star texture plank</t>
  </si>
  <si>
    <t>starfcwall planktexture</t>
  </si>
  <si>
    <t>starfcwallplanktexture</t>
  </si>
  <si>
    <t>starfcwptekstur</t>
  </si>
  <si>
    <t>starfcwptexture</t>
  </si>
  <si>
    <t>starteksturplank</t>
  </si>
  <si>
    <t>startextureplank</t>
  </si>
  <si>
    <t>tekstur plank</t>
  </si>
  <si>
    <t>teksturplank</t>
  </si>
  <si>
    <t>texture plank</t>
  </si>
  <si>
    <t>textureplank</t>
  </si>
  <si>
    <t>Cont Dryer</t>
  </si>
  <si>
    <t>Continuous Dryer</t>
  </si>
  <si>
    <t>Dryer</t>
  </si>
  <si>
    <t>Bar Soap Dryer</t>
  </si>
  <si>
    <t>Aksesoris Computer</t>
  </si>
  <si>
    <t>Case Tablet</t>
  </si>
  <si>
    <t>Case Keyboard</t>
  </si>
  <si>
    <t>LAMP</t>
  </si>
  <si>
    <t>food prep mc</t>
  </si>
  <si>
    <t>plant</t>
  </si>
  <si>
    <r>
      <rPr>
        <rFont val="Arial"/>
        <b/>
        <color theme="1"/>
        <sz val="10.0"/>
      </rPr>
      <t xml:space="preserve">Default Value
</t>
    </r>
    <r>
      <rPr>
        <rFont val="Arial"/>
        <b val="0"/>
        <color theme="1"/>
        <sz val="10.0"/>
      </rPr>
      <t>ex:
- "1013" (Plant)
- "A" if Plant = "1013", "B" if Plant = "1012"</t>
    </r>
  </si>
  <si>
    <t>part molding</t>
  </si>
  <si>
    <t>DELETE TAPE DISPENSE</t>
  </si>
  <si>
    <t>Item Number*</t>
  </si>
  <si>
    <t>Characteristic Name*</t>
  </si>
  <si>
    <t>Validate general Data Exist</t>
  </si>
  <si>
    <t>Validate Char Exists</t>
  </si>
  <si>
    <t>The top-level unit of control for classes.
Each class must be assigned to exactly one class type. There is no connection between the individual class types.
You maintain class types in Customizing for Classification.
Possible entries for class type:
001 = Material Class
017 = Document Management
023 = Batch Class
200 = Material (Configurable Objects) Class
300 = Variants Class
052 = Customer-material info record
...</t>
  </si>
  <si>
    <t>Number that identifies the sequence of the characteristics in the class</t>
  </si>
  <si>
    <t>Name that uniquely identifies a characteristic.</t>
  </si>
  <si>
    <t>MID_ISI1</t>
  </si>
  <si>
    <t>MID_ISI2</t>
  </si>
  <si>
    <t>MID_ISI3</t>
  </si>
  <si>
    <t>MID_ISI4</t>
  </si>
  <si>
    <t>MID_ISI5</t>
  </si>
  <si>
    <t>QTY_ISI1</t>
  </si>
  <si>
    <t>QTY_ISI2</t>
  </si>
  <si>
    <t>QTY_ISI3</t>
  </si>
  <si>
    <t>QTY_ISI4</t>
  </si>
  <si>
    <t>QTY_ISI5</t>
  </si>
  <si>
    <t>SEQ</t>
  </si>
  <si>
    <t>BASE_UNIT</t>
  </si>
  <si>
    <t>SALES_UNIT</t>
  </si>
  <si>
    <t>UNIT_PER_BOX</t>
  </si>
  <si>
    <t>HS_CODE</t>
  </si>
  <si>
    <t>PLANT_PROD</t>
  </si>
  <si>
    <t>PLANT_BUY</t>
  </si>
  <si>
    <t>BM_TYPE</t>
  </si>
  <si>
    <t>BM_BRAND</t>
  </si>
  <si>
    <t>BM_VARIAN</t>
  </si>
  <si>
    <t>BM_COLOR</t>
  </si>
  <si>
    <t>BM_SIZE</t>
  </si>
  <si>
    <t>BM_GRADE</t>
  </si>
  <si>
    <t>BM_MANUFACTURE</t>
  </si>
  <si>
    <t>UOM1</t>
  </si>
  <si>
    <t>CONV1</t>
  </si>
  <si>
    <t>UOM2</t>
  </si>
  <si>
    <t>CONV2</t>
  </si>
  <si>
    <t>UOM3</t>
  </si>
  <si>
    <t>CONV3</t>
  </si>
  <si>
    <t>GROSS_WEIGHT</t>
  </si>
  <si>
    <t>NET_WEIGHT</t>
  </si>
  <si>
    <t>VOLUME</t>
  </si>
  <si>
    <t>PSHAPE_ADULTDIAPERS</t>
  </si>
  <si>
    <t>PACK_NETTO</t>
  </si>
  <si>
    <t>PUOM_ADULTDIAPERS</t>
  </si>
  <si>
    <t>VARIAN</t>
  </si>
  <si>
    <t>PROJECT_NAME</t>
  </si>
  <si>
    <t>ADDITIONAL_PROMO</t>
  </si>
  <si>
    <t>BANDED_PROMO</t>
  </si>
  <si>
    <t>LOKAL_EKSPOR</t>
  </si>
  <si>
    <t>COUNTRY_EKSPOR</t>
  </si>
  <si>
    <t>WARNA_SFG</t>
  </si>
  <si>
    <t>UNIT_PER_CTN</t>
  </si>
  <si>
    <t>UNIT_PER_BAG</t>
  </si>
  <si>
    <t>UNIT_PER_PAL</t>
  </si>
  <si>
    <t>UNIT_PER_TIER</t>
  </si>
  <si>
    <t>HEIGHT</t>
  </si>
  <si>
    <t>LENGTH</t>
  </si>
  <si>
    <t>WIDTH</t>
  </si>
  <si>
    <t>EAN_PCS</t>
  </si>
  <si>
    <t>SFG_BRAND</t>
  </si>
  <si>
    <t>LANGUAGE</t>
  </si>
  <si>
    <t>COUNTRY_REGION</t>
  </si>
  <si>
    <t>REGION_EKSPOR</t>
  </si>
  <si>
    <t>STICKER_NOT</t>
  </si>
  <si>
    <t>SHIP_MARK</t>
  </si>
  <si>
    <t>MID_CORE</t>
  </si>
  <si>
    <t>EAN_CTN</t>
  </si>
  <si>
    <t>EAN_BOX</t>
  </si>
  <si>
    <t>PSHAPE_AIRFRESHENER</t>
  </si>
  <si>
    <t>PUOM_AIRFRESHENER</t>
  </si>
  <si>
    <t>BRAND_BABYDIAPERS</t>
  </si>
  <si>
    <t>PSHAPE_BABYDIAPERS</t>
  </si>
  <si>
    <t>PUOM_BABYDIAPERS</t>
  </si>
  <si>
    <t>BRAND_BABYPOWDER</t>
  </si>
  <si>
    <t>PSHAPE_BABYPOWDER</t>
  </si>
  <si>
    <t>PUOM_BABYPOWDER</t>
  </si>
  <si>
    <t>BRAND_BARDET</t>
  </si>
  <si>
    <t>PSHAPE_BARDET</t>
  </si>
  <si>
    <t>PUOM_BARDET</t>
  </si>
  <si>
    <t>BRAND_BLEACHING</t>
  </si>
  <si>
    <t>PSHAPE_BLEACHING</t>
  </si>
  <si>
    <t>PUOM_BLEACHING</t>
  </si>
  <si>
    <t>BRAND_BODYLIQSOAP</t>
  </si>
  <si>
    <t>PSHAPE_BODYLIQSOAP</t>
  </si>
  <si>
    <t>PUOM_BODYLIQSOAP</t>
  </si>
  <si>
    <t>BRAND_CANDLEAROMA</t>
  </si>
  <si>
    <t>PSHAPE_CANDLEAROMA</t>
  </si>
  <si>
    <t>PUOM_CANDLEAROMA</t>
  </si>
  <si>
    <t>BRAND_CARBOL</t>
  </si>
  <si>
    <t>PSHAPE_CARBOL</t>
  </si>
  <si>
    <t>PUOM_CARBOL</t>
  </si>
  <si>
    <t>BRAND_COFFEE</t>
  </si>
  <si>
    <t>PSHAPE_COFFEE</t>
  </si>
  <si>
    <t>PUOM_COFFEE</t>
  </si>
  <si>
    <t>BRAND_COLOGNE</t>
  </si>
  <si>
    <t>PSHAPE_COLOGNE</t>
  </si>
  <si>
    <t>PUOM_COLOGNE</t>
  </si>
  <si>
    <t>PSHAPE_COMPACTPOWDER</t>
  </si>
  <si>
    <t>PUOM_COMPACTPOWDER</t>
  </si>
  <si>
    <t>BRAND_COOKINGOIL</t>
  </si>
  <si>
    <t>PSHAPE_COOKINGOIL</t>
  </si>
  <si>
    <t>PUOM_COOKINGOIL</t>
  </si>
  <si>
    <t>BRAND_CREAMDET</t>
  </si>
  <si>
    <t>PSHAPE_CREAMDET</t>
  </si>
  <si>
    <t>PUOM_CREAMDET</t>
  </si>
  <si>
    <t>BRAND_CUPRTD</t>
  </si>
  <si>
    <t>PSHAPE_CUPRTD</t>
  </si>
  <si>
    <t>PUOM_CUPRTD</t>
  </si>
  <si>
    <t>BRAND_DISHWASHLIQ</t>
  </si>
  <si>
    <t>PSHAPE_DISHWASHLIQ</t>
  </si>
  <si>
    <t>PUOM_DISHWASHLIQ</t>
  </si>
  <si>
    <t>BRAND_DISINFECTANT</t>
  </si>
  <si>
    <t>PSHAPE_DISINFECTANT</t>
  </si>
  <si>
    <t>PUOM_DISINFECTANT</t>
  </si>
  <si>
    <t>BRAND_DISPOSMASK</t>
  </si>
  <si>
    <t>PSHAPE_DISPOSMASK</t>
  </si>
  <si>
    <t>PUOM_DISPOSMASK</t>
  </si>
  <si>
    <t>BRAND_ESSENTIALOIL</t>
  </si>
  <si>
    <t>PSHAPE_ESSENTIALOIL</t>
  </si>
  <si>
    <t>PUOM_ESSENTIALOIL</t>
  </si>
  <si>
    <t>BRAND_FACEMAKEUP</t>
  </si>
  <si>
    <t>PSHAPE_FACEMAKEUP</t>
  </si>
  <si>
    <t>PUOM_FACEMAKEUP</t>
  </si>
  <si>
    <t>BRAND_FLOORCLEANER</t>
  </si>
  <si>
    <t>PSHAPE_FLOORCLEANER</t>
  </si>
  <si>
    <t>PUOM_FLOORCLEANER</t>
  </si>
  <si>
    <t>BRAND_GLASSCLEANER</t>
  </si>
  <si>
    <t>PSHAPE_GLASSCLEANER</t>
  </si>
  <si>
    <t>PUOM_GLASSCLEANER</t>
  </si>
  <si>
    <t>BRAND_HAIRCARE</t>
  </si>
  <si>
    <t>PSHAPE_HAIRCARE</t>
  </si>
  <si>
    <t>PUOM_HAIRCARE</t>
  </si>
  <si>
    <t>BRAND_HANDLIQSOAP</t>
  </si>
  <si>
    <t>PSHAPE_HANDLIQSOAP</t>
  </si>
  <si>
    <t>PUOM_HANDLIQSOAP</t>
  </si>
  <si>
    <t>BRAND_HANDSAN</t>
  </si>
  <si>
    <t>PSHAPE_HANDSAN</t>
  </si>
  <si>
    <t>PUOM_HANDSAN</t>
  </si>
  <si>
    <t>BRAND_ICECREAM</t>
  </si>
  <si>
    <t>PSHAPE_ICECREAM</t>
  </si>
  <si>
    <t>PUOM_ICECREAM</t>
  </si>
  <si>
    <t>BRAND_IRONINGAID</t>
  </si>
  <si>
    <t>PSHAPE_IRONINGAID</t>
  </si>
  <si>
    <t>PUOM_IRONINGAID</t>
  </si>
  <si>
    <t>BRAND_KECAP</t>
  </si>
  <si>
    <t>PSHAPE_KECAP</t>
  </si>
  <si>
    <t>PUOM_KECAP</t>
  </si>
  <si>
    <t>PSHAPE_KITCHENCLNR</t>
  </si>
  <si>
    <t>PUOM_KITCHENCLNR</t>
  </si>
  <si>
    <t>BRAND_LIPSMAKEUP</t>
  </si>
  <si>
    <t>PSHAPE_LIPSMAKEUP</t>
  </si>
  <si>
    <t>PUOM_LIPSMAKEUP</t>
  </si>
  <si>
    <t>BRAND_LIQDET</t>
  </si>
  <si>
    <t>PSHAPE_LIQDET</t>
  </si>
  <si>
    <t>PUOM_LIQDET</t>
  </si>
  <si>
    <t>PSHAPE_LOOSEPOWDER</t>
  </si>
  <si>
    <t>PUOM_LOOSEPOWDER</t>
  </si>
  <si>
    <t>BRAND_MOSQUITOREPEL</t>
  </si>
  <si>
    <t>PSHAPE_MOSQUITOREPEL</t>
  </si>
  <si>
    <t>PUOM_MOSQUITOREPEL</t>
  </si>
  <si>
    <t>BRAND_NOODLES</t>
  </si>
  <si>
    <t>PSHAPE_NOODLES</t>
  </si>
  <si>
    <t>PUOM_NOODLES</t>
  </si>
  <si>
    <t>PSHAPE_ODORABSORBER</t>
  </si>
  <si>
    <t>PUOM_ODORABSORBER</t>
  </si>
  <si>
    <t>BRAND_ORALCARE</t>
  </si>
  <si>
    <t>PSHAPE_ORALCARE</t>
  </si>
  <si>
    <t>PUOM_ORALCARE</t>
  </si>
  <si>
    <t>PSHAPE_ORALCARELIQ</t>
  </si>
  <si>
    <t>PUOM_ORALCARELIQ</t>
  </si>
  <si>
    <t>BRAND_PETRTD</t>
  </si>
  <si>
    <t>PSHAPE_PETRTD</t>
  </si>
  <si>
    <t>PUOM_PETRTD</t>
  </si>
  <si>
    <t>BRAND_PEWANGI</t>
  </si>
  <si>
    <t>PSHAPE_PEWANGI</t>
  </si>
  <si>
    <t>PUOM_PEWANGI</t>
  </si>
  <si>
    <t>BRAND_PORCCLEANER</t>
  </si>
  <si>
    <t>PSHAPE_PORCCLEANER</t>
  </si>
  <si>
    <t>PUOM_PORCCLEANER</t>
  </si>
  <si>
    <t>BRAND_POWDET</t>
  </si>
  <si>
    <t>PSHAPE_POWDET</t>
  </si>
  <si>
    <t>PUOM_POWDET</t>
  </si>
  <si>
    <t>BRAND_REEDDIFFUSER</t>
  </si>
  <si>
    <t>PSHAPE_REEDDIFFUSER</t>
  </si>
  <si>
    <t>PUOM_REEDDIFFUSER</t>
  </si>
  <si>
    <t>BRAND_SANITARYGEL</t>
  </si>
  <si>
    <t>PSHAPE_SANITARYGEL</t>
  </si>
  <si>
    <t>PUOM_SANITARYGEL</t>
  </si>
  <si>
    <t>BRAND_SAVORYSNACK</t>
  </si>
  <si>
    <t>PSHAPE_SAVORYSNACK</t>
  </si>
  <si>
    <t>PUOM_SAVORYSNACK</t>
  </si>
  <si>
    <t>BRAND_SEASONING</t>
  </si>
  <si>
    <t>PSHAPE_SEASONING</t>
  </si>
  <si>
    <t>PUOM_SEASONING</t>
  </si>
  <si>
    <t>BRAND_SKINCARE</t>
  </si>
  <si>
    <t>PSHAPE_SKINCARE</t>
  </si>
  <si>
    <t>PUOM_SKINCARE</t>
  </si>
  <si>
    <t>BRAND_SOFTENER</t>
  </si>
  <si>
    <t>PSHAPE_SOFTENER</t>
  </si>
  <si>
    <t>PUOM_SOFTENER</t>
  </si>
  <si>
    <t>BRAND_STAINREMOVER</t>
  </si>
  <si>
    <t>PSHAPE_STAINREMOVER</t>
  </si>
  <si>
    <t>PUOM_STAINREMOVER</t>
  </si>
  <si>
    <t>BRAND_TOOTHBRUSH</t>
  </si>
  <si>
    <t>PSHAPE_TOOTHBRUSH</t>
  </si>
  <si>
    <t>PUOM_TOOTHBRUSH</t>
  </si>
  <si>
    <t>V</t>
  </si>
  <si>
    <t>C</t>
  </si>
  <si>
    <t>BRAND_TOPTOTOE</t>
  </si>
  <si>
    <t>PSHAPE_TOPTOTOE</t>
  </si>
  <si>
    <t>PUOM_TOPTOTOE</t>
  </si>
  <si>
    <t>BRAND_WETWIPES</t>
  </si>
  <si>
    <t>PSHAPE_WETWIPES</t>
  </si>
  <si>
    <t>PUOM_WETWIPES</t>
  </si>
  <si>
    <t>ITEM_NAME_ACC_PAKAIAN</t>
  </si>
  <si>
    <t>SPECIAL_ACTIVITY</t>
  </si>
  <si>
    <t>EMBOSSED_BRAND_WINGS</t>
  </si>
  <si>
    <t>BRAND_WINGS_SIPI</t>
  </si>
  <si>
    <t>EXTERNAL_BRAND</t>
  </si>
  <si>
    <t>BRAND_EXTERNAL</t>
  </si>
  <si>
    <t>NO_SERI_BRAND_EXTERNAL</t>
  </si>
  <si>
    <t>MATERIAL_ACC_PAKAIAN</t>
  </si>
  <si>
    <t>ITEM_SHAPE</t>
  </si>
  <si>
    <t>SIZE_UNIT_DIMENSI</t>
  </si>
  <si>
    <t>DIAMETER_PCS</t>
  </si>
  <si>
    <t>LENGTH_PCS</t>
  </si>
  <si>
    <t>WIDTH_PCS</t>
  </si>
  <si>
    <t>HEIGHT_PCS</t>
  </si>
  <si>
    <t>HAS_SPESIFIC_COLOUR</t>
  </si>
  <si>
    <t>COLOUR</t>
  </si>
  <si>
    <t>EMBOSSED_SPESIFIC_DESAIN</t>
  </si>
  <si>
    <t>DESAIN_NAME</t>
  </si>
  <si>
    <t>DESAIN_MONTH</t>
  </si>
  <si>
    <t>DESAIN_YEAR</t>
  </si>
  <si>
    <t>SPEC_QTY_IN_ONE_BUNDLE</t>
  </si>
  <si>
    <t>QTY_IN_ONE_BUNDLE</t>
  </si>
  <si>
    <t>BASE_UNIT_ZPI1</t>
  </si>
  <si>
    <t>ORDER_UNIT_DIFF_FROM_BASIC_UOM</t>
  </si>
  <si>
    <t>ORDER_UNIT_ZPI1</t>
  </si>
  <si>
    <t>WEIGHT_UNIT_PI</t>
  </si>
  <si>
    <t>VOLUME_UNIT_PI</t>
  </si>
  <si>
    <t>ALT_UOM1_SIPI</t>
  </si>
  <si>
    <t>ALT_DENUM_UOM1</t>
  </si>
  <si>
    <t>ALT_NUM_UOM1</t>
  </si>
  <si>
    <t>ALT_UOM2_SIPI</t>
  </si>
  <si>
    <t>ALT_DENUM_UOM2</t>
  </si>
  <si>
    <t>ALT_NUM_UOM2</t>
  </si>
  <si>
    <t>ALT_UOM3_SIPI</t>
  </si>
  <si>
    <t>ALT_DENUM_UOM3</t>
  </si>
  <si>
    <t>ALT_NUM_UOM3</t>
  </si>
  <si>
    <t>ALT_UOM4_SIPI</t>
  </si>
  <si>
    <t>ALT_DENUM_UOM4</t>
  </si>
  <si>
    <t>ALT_NUM_UOM4</t>
  </si>
  <si>
    <t>ALT_UOM5_SIPI</t>
  </si>
  <si>
    <t>ALT_DENUM_UOM5</t>
  </si>
  <si>
    <t>ALT_NUM_UOM5</t>
  </si>
  <si>
    <t>ITEM_NAME_ALAT_KEBERSIHN</t>
  </si>
  <si>
    <t>MATERIAL_ALAT_KEBERSIHN</t>
  </si>
  <si>
    <t>ITEM_NAME_BANTAL_SELIMUT</t>
  </si>
  <si>
    <t>MATERIAL_BANTAL_SELIMUT</t>
  </si>
  <si>
    <t>ITEM_NAME_BUKU_KERTAS</t>
  </si>
  <si>
    <t>MATERIAL_BUKU_KERTAS</t>
  </si>
  <si>
    <t>ITEM_NAME_HANDUK</t>
  </si>
  <si>
    <t>MATERIAL_HANDUK</t>
  </si>
  <si>
    <t>ITEM_NAME_JAM</t>
  </si>
  <si>
    <t>ITEM_NAME_LOGAM_MULIA</t>
  </si>
  <si>
    <t>SIZE_UNIT_LOGAM_MULIA</t>
  </si>
  <si>
    <t>SIZE_INPUT</t>
  </si>
  <si>
    <t>ITEM_NAME_MAINAN_BONEKA</t>
  </si>
  <si>
    <t>MATERIAL_MAINAN_BONEKA</t>
  </si>
  <si>
    <t>ITEM_NAME_PAKAIAN</t>
  </si>
  <si>
    <t>MATERIAL_PAKAIAN</t>
  </si>
  <si>
    <t>SIZE_UNIT_PAKAIAN</t>
  </si>
  <si>
    <t>ITEM_NAME_PERLKP_DAPUR</t>
  </si>
  <si>
    <t>MATERIAL_PERLKP_DAPUR</t>
  </si>
  <si>
    <t>ITEM_CAPACITY_UNIT</t>
  </si>
  <si>
    <t>ITEM_CAPACITY</t>
  </si>
  <si>
    <t>ITEM_NAME_PERLKP_HUJAN</t>
  </si>
  <si>
    <t>MATERIAL_PERLKP_HUJAN</t>
  </si>
  <si>
    <t>ITEM_NAME_PERLKP_OLHRAGA</t>
  </si>
  <si>
    <t>MATERIAL_PERLKP_OLHRAGA</t>
  </si>
  <si>
    <t>ITEM_NAME_POSM_DISPLAY</t>
  </si>
  <si>
    <t>MATERIAL_POSM</t>
  </si>
  <si>
    <t>ITEM_NAME_POSM_MECHNDSE</t>
  </si>
  <si>
    <t>ITEM_NAME_SIGNAGE_LABEL</t>
  </si>
  <si>
    <t>MATERIAL_SIGNAGE_LABEL</t>
  </si>
  <si>
    <t>ITEM_NAME_TAS_DOMPET</t>
  </si>
  <si>
    <t>MATERIAL_TAS_DOMPET</t>
  </si>
  <si>
    <t>MATERIAL_CODE_AERO_TBHANDLE</t>
  </si>
  <si>
    <t>SINGLE_BRAND</t>
  </si>
  <si>
    <t>BRAND_WINGS</t>
  </si>
  <si>
    <t>SINGLE_PACK_SHAPE</t>
  </si>
  <si>
    <t>PACK_SHAPE</t>
  </si>
  <si>
    <t>SINGLE_PACK_NETTO</t>
  </si>
  <si>
    <t>PACK_UOM</t>
  </si>
  <si>
    <t>SINGLE_VARIAN</t>
  </si>
  <si>
    <t>ADA_ADDITIONAL_PROMO</t>
  </si>
  <si>
    <t>ADA_BANDED_PROMO</t>
  </si>
  <si>
    <t>Pembatas</t>
  </si>
  <si>
    <t>MONTH</t>
  </si>
  <si>
    <t>YEAR</t>
  </si>
  <si>
    <t>DIMENSION_OPT</t>
  </si>
  <si>
    <t>PLANT_PROD_OPT</t>
  </si>
  <si>
    <t>PM_SUPPLY_JKT</t>
  </si>
  <si>
    <t>PM_SUPPLY_SBY</t>
  </si>
  <si>
    <t>BASIC_UOM_RMPM</t>
  </si>
  <si>
    <t>ALT_UOM1_RMPM</t>
  </si>
  <si>
    <t>ALT_UOM2_RMPM</t>
  </si>
  <si>
    <t>ALT_UOM3_RMPM</t>
  </si>
  <si>
    <t>ALT_UOM4_RMPM</t>
  </si>
  <si>
    <t>ALT_UOM5_RMPM</t>
  </si>
  <si>
    <t>VALUATION_CATEGORY</t>
  </si>
  <si>
    <t>ORDER_UNIT_RMPM</t>
  </si>
  <si>
    <t>WEIGHT_UNIT_PM</t>
  </si>
  <si>
    <t>VOLUME_OPT</t>
  </si>
  <si>
    <t>VOLUME_UNIT</t>
  </si>
  <si>
    <t>OLD_MAT_NO_RMPM</t>
  </si>
  <si>
    <t>NOTE_PM</t>
  </si>
  <si>
    <t>BS_BERSIH</t>
  </si>
  <si>
    <t>BS_KOTOR</t>
  </si>
  <si>
    <t>BS_SCRAP</t>
  </si>
  <si>
    <t>MATERIAL_CODE_ALUCAN_TINCAN</t>
  </si>
  <si>
    <t>PACK_CODE</t>
  </si>
  <si>
    <t>COLOR_COUNT_OPT</t>
  </si>
  <si>
    <t>MATERIAL_CODE_BAG3SIDESEAL</t>
  </si>
  <si>
    <t>PACK_CODE_OPT</t>
  </si>
  <si>
    <t>PACK_CONTENT_AMOUNT_4</t>
  </si>
  <si>
    <t>EXT_MAT_GRP</t>
  </si>
  <si>
    <t>GENERAL_SPEC</t>
  </si>
  <si>
    <t>COLOR_COUNT</t>
  </si>
  <si>
    <t>FLEX_UOM</t>
  </si>
  <si>
    <t>FLEX_COMPLEXITY</t>
  </si>
  <si>
    <t>MATERIAL_CODE_BAGCUPLID</t>
  </si>
  <si>
    <t>MATERIAL_CODE_BALL_HOLDER</t>
  </si>
  <si>
    <t>COLOR_A</t>
  </si>
  <si>
    <t>DIAMETER_MM_A</t>
  </si>
  <si>
    <t>HEIGHT_MM</t>
  </si>
  <si>
    <t>PLASTIC_TYPE_OPT</t>
  </si>
  <si>
    <t>MATERIAL_CODE_BIB</t>
  </si>
  <si>
    <t>BRAND_WINGS_OPT</t>
  </si>
  <si>
    <t>ADDITIONAL_INFO_PM</t>
  </si>
  <si>
    <t>VOLUME_L_OPT</t>
  </si>
  <si>
    <t>SPEC_CODE</t>
  </si>
  <si>
    <t>MATERIAL_CODE_BLS</t>
  </si>
  <si>
    <t>FG_AMOUNT_INPACK_B</t>
  </si>
  <si>
    <t>MATERIAL_CODE_BOTTLE_BUCKET</t>
  </si>
  <si>
    <t>COLOR_A_OPT</t>
  </si>
  <si>
    <t>PACK_CONTENT_AMOUNT_4_OPT</t>
  </si>
  <si>
    <t>PLANT_BUY_OPT</t>
  </si>
  <si>
    <t>MATERIAL_CODE_BOX</t>
  </si>
  <si>
    <t>PACK_CONTENT_AMOUNT_2</t>
  </si>
  <si>
    <t>FLUTE</t>
  </si>
  <si>
    <t>FINISHING</t>
  </si>
  <si>
    <t>SUBSTANCE</t>
  </si>
  <si>
    <t>LENGTH_MM</t>
  </si>
  <si>
    <t>WIDTH_MM_3</t>
  </si>
  <si>
    <t>Pick_Pack</t>
  </si>
  <si>
    <t>Size_Chart</t>
  </si>
  <si>
    <t>MATERIAL_CODE_CB</t>
  </si>
  <si>
    <t>THICKNESS_GSM</t>
  </si>
  <si>
    <t>MATERIAL_CODE_CUP_PAPER</t>
  </si>
  <si>
    <t>MATERIAL_CODE_CUP_PLASTIC</t>
  </si>
  <si>
    <t>PACK_CONTENT_AMOUNT_3_OPT</t>
  </si>
  <si>
    <t>FLEX_UOM_OPT</t>
  </si>
  <si>
    <t>FLEX_COMPLEXITY_OPT</t>
  </si>
  <si>
    <t>MATERIAL_CODE_DRUM</t>
  </si>
  <si>
    <t>VOLUME_L</t>
  </si>
  <si>
    <t>MATERIAL_CODE_DUPLEX</t>
  </si>
  <si>
    <t>MATERIAL_CODE_ETK_INBOX</t>
  </si>
  <si>
    <t>MATERIAL_CODE_GLSPLS_JAR</t>
  </si>
  <si>
    <t>MATERIAL_CODE_GLUE_INK</t>
  </si>
  <si>
    <t>DETAILS_A</t>
  </si>
  <si>
    <t>COLOR_INK</t>
  </si>
  <si>
    <t>MATERIAL_CODE_HGR</t>
  </si>
  <si>
    <t>MATERIAL_CODE_IBCTank</t>
  </si>
  <si>
    <t>Weight_MT</t>
  </si>
  <si>
    <t>MATERIAL_CODE_ISL_DT</t>
  </si>
  <si>
    <t>WIDTH_MM_2</t>
  </si>
  <si>
    <t>LENGTH_M</t>
  </si>
  <si>
    <t>THICKNESS_MIC_OPT</t>
  </si>
  <si>
    <t>MATERIAL_CODE_ISL_TAPE</t>
  </si>
  <si>
    <t>DESIGN</t>
  </si>
  <si>
    <t>THICKNESS_MIC</t>
  </si>
  <si>
    <t>MATERIAL_CODE_IVORY</t>
  </si>
  <si>
    <t>MATERIAL_CODE_JERRYCAN</t>
  </si>
  <si>
    <t>MATERIAL_CODE_LABEL_STICKER</t>
  </si>
  <si>
    <t>MATERIAL_CODE_LAYER</t>
  </si>
  <si>
    <t>LENGTH_MM_13</t>
  </si>
  <si>
    <t>MATERIAL_CODE_NCKTAGOUTSLV</t>
  </si>
  <si>
    <t>MATERIAL_CODE_PACKVALVE</t>
  </si>
  <si>
    <t>PACK_CONTENT_AMOUNT_5_OPT</t>
  </si>
  <si>
    <t>MATERIAL_CODE_PAPER_PE</t>
  </si>
  <si>
    <t>SIDE_AMOUNT</t>
  </si>
  <si>
    <t>THICKNESS_GSM_PE1</t>
  </si>
  <si>
    <t>THICKNESS_GSM_PE2</t>
  </si>
  <si>
    <t>MATERIAL_CODE_PARTISI</t>
  </si>
  <si>
    <t>DIMENSION</t>
  </si>
  <si>
    <t>MATERIAL_CODE_POTPLASTIC</t>
  </si>
  <si>
    <t>COLOR_B_OPT</t>
  </si>
  <si>
    <t>PLASTIC_TYPE</t>
  </si>
  <si>
    <t>MATERIAL_CODE_PTP_FOIL</t>
  </si>
  <si>
    <t>MATERIAL_CODE_RIBBONBARCODE</t>
  </si>
  <si>
    <t>DETAILS_B_OPT</t>
  </si>
  <si>
    <t>MATERIAL_CODE_ROL_TUBE</t>
  </si>
  <si>
    <t>INNER_CONTENT</t>
  </si>
  <si>
    <t>MACHINE_LINES</t>
  </si>
  <si>
    <t>FRONT_BACK</t>
  </si>
  <si>
    <t>MATERIAL_CODE_SACK</t>
  </si>
  <si>
    <t>MATERIAL_CODE_SEALLINER</t>
  </si>
  <si>
    <t>DIAMETER_MM_B</t>
  </si>
  <si>
    <t>MATERIAL_CODE_SHL_SHW</t>
  </si>
  <si>
    <t>SATUAN_PM</t>
  </si>
  <si>
    <t>FG_AMOUNT_INPACK_A</t>
  </si>
  <si>
    <t>PACK_CONTENT_AMOUNT_5</t>
  </si>
  <si>
    <t>MATERIAL_CODE_SIMPLEPLASTIC</t>
  </si>
  <si>
    <t>MATERIAL_CODE_SP</t>
  </si>
  <si>
    <t>MATERIAL_CODE_SPOON_FORK</t>
  </si>
  <si>
    <t>PACK_FUNCTION</t>
  </si>
  <si>
    <t>MATERIAL_CODE_STIFFENER</t>
  </si>
  <si>
    <t>MATERIAL_CODE_STRAW</t>
  </si>
  <si>
    <t>MATERIAL_CODE_SUITCASE</t>
  </si>
  <si>
    <t>Color_B</t>
  </si>
  <si>
    <t>Set_Suitcase</t>
  </si>
  <si>
    <t>Color_B_Opt</t>
  </si>
  <si>
    <t>MATERIAL_CODE_SW</t>
  </si>
  <si>
    <t>MATERIAL_CODE_TAGPIN</t>
  </si>
  <si>
    <t>MATERIAL_CODE_TBHELM_TPCAP</t>
  </si>
  <si>
    <t>COLOR_TB</t>
  </si>
  <si>
    <t>MATERIAL_CODE_TRAY</t>
  </si>
  <si>
    <t>MATERIAL_CODE_RSNADD</t>
  </si>
  <si>
    <t>SERIAL_NO_NONFOODMASK_RESIN</t>
  </si>
  <si>
    <t>RESIN_CATEGORY</t>
  </si>
  <si>
    <t>GRADE</t>
  </si>
  <si>
    <t>WEIGHT_UNIT</t>
  </si>
  <si>
    <t>OLD_MAT_NO_RMPM_OPT</t>
  </si>
  <si>
    <t>Min_STD_WEIGHT</t>
  </si>
  <si>
    <t>Min_STD_WEIGHT_UOM</t>
  </si>
  <si>
    <t>MATERIAL_CODE_FREETEXT</t>
  </si>
  <si>
    <t>ADDITIONAL_INFO_NO_MASK</t>
  </si>
  <si>
    <t>COLOR_GENERAL</t>
  </si>
  <si>
    <t>SOURCE_SUPPLY</t>
  </si>
  <si>
    <t>BASE_MATERIAL</t>
  </si>
  <si>
    <t>NATURE_ORIGIN</t>
  </si>
  <si>
    <t>CATEGORY_ITEM</t>
  </si>
  <si>
    <t>FUNCTION1</t>
  </si>
  <si>
    <t>PREFERENSI_KURS</t>
  </si>
  <si>
    <t>NATURE_ORIGIN_FOOD</t>
  </si>
  <si>
    <t>MATERIAL_CODE_FOODDROPDOWN</t>
  </si>
  <si>
    <t>SERIAL_NO_FOODMASK</t>
  </si>
  <si>
    <t>ADDITIONAL_INFO_FOOD_MASK</t>
  </si>
  <si>
    <t>Material_Code_Soysauce</t>
  </si>
  <si>
    <t>MATERIAL_CODE_MB_PGMDROPDOWN</t>
  </si>
  <si>
    <t>COLOR_MB_PGM</t>
  </si>
  <si>
    <t>SERIAL_NO_MB_PGM</t>
  </si>
  <si>
    <t>ADDITIONAL_INFO_MB_PGM</t>
  </si>
  <si>
    <t>RESIN_SUBCATEGORY</t>
  </si>
  <si>
    <t>GENERAL_SPEC_RESIN</t>
  </si>
  <si>
    <t>RESIN_TYPE</t>
  </si>
  <si>
    <t>MATERIAL_CODE_NONFOODDROPDOWN</t>
  </si>
  <si>
    <t>APPEARANCE</t>
  </si>
  <si>
    <t>ADDITIONAL_INFO_NONFOOD_MASK</t>
  </si>
  <si>
    <t>PURITY_LEVEL</t>
  </si>
  <si>
    <t>MATERIAL_CODE_NW</t>
  </si>
  <si>
    <t>NW_TYPE</t>
  </si>
  <si>
    <t>SOFTNESS</t>
  </si>
  <si>
    <t>WIDTH_MM_4</t>
  </si>
  <si>
    <t>Hidrofobisitas</t>
  </si>
  <si>
    <t>Viscosity</t>
  </si>
  <si>
    <t>MATERIAL_CODE_PF</t>
  </si>
  <si>
    <t>PERFUME_NAME</t>
  </si>
  <si>
    <t>MATERIAL_CODE_RESIN</t>
  </si>
  <si>
    <t>APPLICATION_PROCESS</t>
  </si>
  <si>
    <t>MATERIAL_CODE_ROLBIB</t>
  </si>
  <si>
    <t>NAMA_BAHAN</t>
  </si>
  <si>
    <t>VARIAN_BAHAN</t>
  </si>
  <si>
    <t>SFG_SPEC</t>
  </si>
  <si>
    <t>SFG_DESTINATION</t>
  </si>
  <si>
    <t>OLD_MAT_SFG</t>
  </si>
  <si>
    <t>SFG_GRADE</t>
  </si>
  <si>
    <t>NAMA_RAW</t>
  </si>
  <si>
    <t>ITEM_NAME_AC_MOTOR</t>
  </si>
  <si>
    <t>MFR_NO_AC_MOTOR</t>
  </si>
  <si>
    <t>FREQUENCY_HZ_AC_MOTOR</t>
  </si>
  <si>
    <t>VOLTAGE_V_AC_MOTOR</t>
  </si>
  <si>
    <t>POWER_KW_AC_MOTOR</t>
  </si>
  <si>
    <t>NUMBER_OF_POLE_P_AC_MOTOR</t>
  </si>
  <si>
    <t>FRAME_SIZE_AC_MOTOR</t>
  </si>
  <si>
    <t>MOUNTING_AC_MOTOR</t>
  </si>
  <si>
    <t>EFFICIENCY_CLASS_AC_MOTOR</t>
  </si>
  <si>
    <t>SPEED_RPM_AC_MOTOR</t>
  </si>
  <si>
    <t>MAINTENANCE_ORDER_TYPE</t>
  </si>
  <si>
    <t>BASE_UOM_AC_MOTOR</t>
  </si>
  <si>
    <t>ORDER_UNIT_AC_MOTOR</t>
  </si>
  <si>
    <t>GROSS_WEIGHT_OPT</t>
  </si>
  <si>
    <t>NET_WEIGHT_OPT</t>
  </si>
  <si>
    <t>WEIGHT_UNIT_SI</t>
  </si>
  <si>
    <t>VOLUME_UNIT_SI</t>
  </si>
  <si>
    <t>ITEM_NAME_ACTUATOR</t>
  </si>
  <si>
    <t>MFR_NO_ACTUATOR</t>
  </si>
  <si>
    <t>ADDTIONAL_SPECIFICATION</t>
  </si>
  <si>
    <t>BASE_UOM_ACTUATOR</t>
  </si>
  <si>
    <t>ORDER_UNIT_ACTUATOR</t>
  </si>
  <si>
    <t>ITEM_NAME_ADHESIVE_LEM</t>
  </si>
  <si>
    <t>SERIES_ADHESIVE_LEM</t>
  </si>
  <si>
    <t>DIMENSION_ADHESIVE_LEM</t>
  </si>
  <si>
    <t>VOLUME_CONTENT_ML_ADHESIVE_LEM</t>
  </si>
  <si>
    <t>WEIGHT_CONTENT_G_ADHESIVE_LEM</t>
  </si>
  <si>
    <t>BASE_UOM_ADHESIVE_LEM</t>
  </si>
  <si>
    <t>ORDER_UNIT_ADHESIVE_LEM</t>
  </si>
  <si>
    <t>ITEM_NAME_ADHESIVE_TAPE</t>
  </si>
  <si>
    <t>MATERIAL_ADHESIVE_TAPE</t>
  </si>
  <si>
    <t>DESIGN_ADHESIVE_TAPE</t>
  </si>
  <si>
    <t>WIDTH_DIMENSION_ADHESIVE_TAPE</t>
  </si>
  <si>
    <t>WIDTH_MM_ADHESIVE_TAPE</t>
  </si>
  <si>
    <t>WIDTH_INCH_ADHESIVE_TAPE</t>
  </si>
  <si>
    <t>BASE_UOM_ADHESIVE_TAPE</t>
  </si>
  <si>
    <t>ORDER_UNIT_ADHESIVE_TAPE</t>
  </si>
  <si>
    <t>ITEM_NAME_AIR_COOLANT</t>
  </si>
  <si>
    <t>SERIES_AIR_COOLANT</t>
  </si>
  <si>
    <t>VOLUME_ML_AIR_COOLANT</t>
  </si>
  <si>
    <t>BASE_UOM_AIR_COOLANT</t>
  </si>
  <si>
    <t>ORDER_UNIT_AIR_COOLANT</t>
  </si>
  <si>
    <t>ITEM_NAME_AIR_PURIF</t>
  </si>
  <si>
    <t>SERIES_AIR_PURIF</t>
  </si>
  <si>
    <t>BASE_UOM_AIR_PURIF</t>
  </si>
  <si>
    <t>ORDER_UNIT_AIR_PURIF</t>
  </si>
  <si>
    <t>ITEM_NAME_AMPLAS</t>
  </si>
  <si>
    <t>GRIT_NUMBER_AMPLAS</t>
  </si>
  <si>
    <t>MATERIAL_AMPLAS</t>
  </si>
  <si>
    <t>BASE_UOM_AMPLAS</t>
  </si>
  <si>
    <t>ORDER_UNIT_AMPLAS</t>
  </si>
  <si>
    <t>ITEM_NAME_ANCHOR</t>
  </si>
  <si>
    <t>SIZE_ANCHOR</t>
  </si>
  <si>
    <t>BASE_UOM_ANCHOR</t>
  </si>
  <si>
    <t>ORDER_UNIT_ANCHOR</t>
  </si>
  <si>
    <t>ITEM_NAME_ANGLE_BAR</t>
  </si>
  <si>
    <t>BAR_PROFILE_ANGLE_BAR</t>
  </si>
  <si>
    <t>LEG_WIDTH_MM_ANGLE_BAR</t>
  </si>
  <si>
    <t>LEG_THICKNESS_MM_ANGLE_BAR</t>
  </si>
  <si>
    <t>BAR_LENGTH_M_ANGLE_BAR</t>
  </si>
  <si>
    <t>BAR_MATERIAL_ANGLE_BAR</t>
  </si>
  <si>
    <t>FINISHING_MATERIAL_ANGLE_BAR</t>
  </si>
  <si>
    <t>BASE_UOM_ANGLE_BAR</t>
  </si>
  <si>
    <t>ORDER_UNIT_ANGLE_BAR</t>
  </si>
  <si>
    <t>ITEM_NAME_ANTI_KARAT</t>
  </si>
  <si>
    <t>SERIES_ANTI_KARAT</t>
  </si>
  <si>
    <t>DIMENSION_ANTI_KARAT</t>
  </si>
  <si>
    <t>VOLUME_ML_ANTI_KARAT</t>
  </si>
  <si>
    <t>WEIGHT_G_ANTI_KARAT</t>
  </si>
  <si>
    <t>BASE_UOM_ANTI_KARAT</t>
  </si>
  <si>
    <t>ORDER_UNIT_ANTI_KARAT</t>
  </si>
  <si>
    <t>ITEM_NAME_BATTERY_ACCU</t>
  </si>
  <si>
    <t>MFR_NO_BATTERY_ACCU</t>
  </si>
  <si>
    <t>BASE_UOM_BATTERY_ACCU</t>
  </si>
  <si>
    <t>ORDER_UNIT_BATTERY_ACCU</t>
  </si>
  <si>
    <t>ITEM_NAME_BEARING</t>
  </si>
  <si>
    <t>MFR_NO_BEARING</t>
  </si>
  <si>
    <t>BASE_UOM_BEARING</t>
  </si>
  <si>
    <t>ORDER_UNIT_BEARING</t>
  </si>
  <si>
    <t>ITEM_NAME_BINDER_CLIP</t>
  </si>
  <si>
    <t>BINDER_CLIP_NO_BINDER_CLIP</t>
  </si>
  <si>
    <t>BASE_UOM_BINDER_CLIP</t>
  </si>
  <si>
    <t>ORDER_UNIT_BINDER_CLIP</t>
  </si>
  <si>
    <t>ITEM_NAME_BLIND_CURTAIN</t>
  </si>
  <si>
    <t>MATERIAL_BLIND_CURTAIN</t>
  </si>
  <si>
    <t>SERIES_BLIND_CURTAIN</t>
  </si>
  <si>
    <t>BASE_UOM_BLIND_CURTAIN</t>
  </si>
  <si>
    <t>ORDER_UNIT_BLIND_CURTAIN</t>
  </si>
  <si>
    <t>ITEM_NAME_BLOCKS</t>
  </si>
  <si>
    <t>TYPE_BLOCKS</t>
  </si>
  <si>
    <t>LENGTH_MM_BLOCKS</t>
  </si>
  <si>
    <t>WIDTH_MM_BLOCKS</t>
  </si>
  <si>
    <t>HEIGHT_MM_BLOCKS</t>
  </si>
  <si>
    <t>BASE_UOM_BLOCKS</t>
  </si>
  <si>
    <t>ORDER_UNIT_BLOCKS</t>
  </si>
  <si>
    <t>ITEM_NAME_BOILERS</t>
  </si>
  <si>
    <t>MFR_NO_BOILERS</t>
  </si>
  <si>
    <t>SIZE_DIMENSION_BOILERS</t>
  </si>
  <si>
    <t>SIZE_BOILERS_L</t>
  </si>
  <si>
    <t>SIZE_BOILERS_TON</t>
  </si>
  <si>
    <t>BASE_UOM_BOILERS</t>
  </si>
  <si>
    <t>ORDER_UNIT_BOILERS</t>
  </si>
  <si>
    <t>ITEM_NAME_BOLT</t>
  </si>
  <si>
    <t>DIMENSION_BOLT</t>
  </si>
  <si>
    <t>DIAMETER_MM_BOLT</t>
  </si>
  <si>
    <t>DIAMETER_INCH_BOLT</t>
  </si>
  <si>
    <t>THREADS_MM_BOLT</t>
  </si>
  <si>
    <t>THREADS_INCH_BOLT</t>
  </si>
  <si>
    <t>LENGTH_INCH_BOLT</t>
  </si>
  <si>
    <t>LENGTH_MM_BOLT</t>
  </si>
  <si>
    <t>MATERIAL_BOLT</t>
  </si>
  <si>
    <t>FINISHING_BOLT</t>
  </si>
  <si>
    <t>THREAD_DESIGN_BOLT</t>
  </si>
  <si>
    <t>ADDITIONAL_INFO_BOLT</t>
  </si>
  <si>
    <t>BASE_UOM_BOLT</t>
  </si>
  <si>
    <t>ORDER_UNIT_BOLT</t>
  </si>
  <si>
    <t>ZSI1_BRACKET_TRIPD</t>
  </si>
  <si>
    <t>ITEM_NAME_BRACKET</t>
  </si>
  <si>
    <t>TIPE_BRACKET</t>
  </si>
  <si>
    <t>BRACKET_ITEM_APA</t>
  </si>
  <si>
    <t>USAGE_BRACKET</t>
  </si>
  <si>
    <t>BASE_UOM_BRACKET</t>
  </si>
  <si>
    <t>ORDER_UNIT_BRACKET</t>
  </si>
  <si>
    <t>ITEM_NAME_BRAKE_COMP</t>
  </si>
  <si>
    <t>SIZE_BRAKE_COMP</t>
  </si>
  <si>
    <t>MATERIAL_BRAKE_COMP</t>
  </si>
  <si>
    <t>MFR_NO_BRAKE_COMP</t>
  </si>
  <si>
    <t>BASE_UOM_BRAKE_COMP</t>
  </si>
  <si>
    <t>ORDER_UNIT_BRAKE_COMP</t>
  </si>
  <si>
    <t>ITEM_NAME_BRICKS</t>
  </si>
  <si>
    <t>TYPE_BRICKS</t>
  </si>
  <si>
    <t>HEIGHT_MM_BRICKS</t>
  </si>
  <si>
    <t>WIDTH_MM_BRICKS</t>
  </si>
  <si>
    <t>LENGTH_MM_BRICKS</t>
  </si>
  <si>
    <t>BASE_UOM_BRICKS</t>
  </si>
  <si>
    <t>ORDER_UNIT_BRICKS</t>
  </si>
  <si>
    <t>ZSI1_BUILDING</t>
  </si>
  <si>
    <t>ITEM_NAME_BUILDING</t>
  </si>
  <si>
    <t>DESIGN_BUILDING</t>
  </si>
  <si>
    <t>LENGTH_M_BUILDING</t>
  </si>
  <si>
    <t>WIDTH_M_BUILDING</t>
  </si>
  <si>
    <t>HEIGHT_M_BUILDING</t>
  </si>
  <si>
    <t>BASE_UOM_BUILDING</t>
  </si>
  <si>
    <t>ORDER_UNIT_BUILDING</t>
  </si>
  <si>
    <t>ITEM_NAME_BUSHING</t>
  </si>
  <si>
    <t>MFR_NO_BUSHING</t>
  </si>
  <si>
    <t>BASE_UOM_BUSHING</t>
  </si>
  <si>
    <t>ORDER_UNIT_BUSHING</t>
  </si>
  <si>
    <t>ITEM_NAME_C_CHANNEL</t>
  </si>
  <si>
    <t>CHANNEL_MATERIAL_C_CHANNEL</t>
  </si>
  <si>
    <t>BASE_HEIGHT_MM_C_CHANNEL</t>
  </si>
  <si>
    <t>LEG_WIDTH_MM_C_CHANNEL</t>
  </si>
  <si>
    <t>CHANNEL_THICKNESS_MM_C_CHANNEL</t>
  </si>
  <si>
    <t>FILLET_HEIGHT_MM_C_CHANNEL</t>
  </si>
  <si>
    <t>OVERALL_LENGTH_M_C_CHANNEL</t>
  </si>
  <si>
    <t>BASE_UOM_C_CHANNEL</t>
  </si>
  <si>
    <t>ORDER_UNIT_C_CHANNEL</t>
  </si>
  <si>
    <t>ITEM_NAME_CABLE_DUCT</t>
  </si>
  <si>
    <t>MATERIAL_CABLE_DUCT</t>
  </si>
  <si>
    <t>WIDTH_MM_CABLE_DUCT</t>
  </si>
  <si>
    <t>HEIGHT_MM_CABLE_DUCT</t>
  </si>
  <si>
    <t>LENGTH_MM_CABLE_DUCT</t>
  </si>
  <si>
    <t>BASE_UOM_CABLE_DUCT</t>
  </si>
  <si>
    <t>ORDER_UNIT_CABLE_DUCT</t>
  </si>
  <si>
    <t>ITEM_NAME_CABLE_TRAY</t>
  </si>
  <si>
    <t>MATERIAL_CABLE_TRAY</t>
  </si>
  <si>
    <t>WIDTH_MM_CABLE_TRAY</t>
  </si>
  <si>
    <t>HEIGHT_MM_CABLE_TRAY</t>
  </si>
  <si>
    <t>THICKNESS_MM_CABLE_TRAY</t>
  </si>
  <si>
    <t>LENGTH_MM_CABLE_TRAY</t>
  </si>
  <si>
    <t>BASE_UOM_CABLE_TRAY</t>
  </si>
  <si>
    <t>ORDER_UNIT_CABLE_TRAY</t>
  </si>
  <si>
    <t>ITEM_NAME_CAPACITOR</t>
  </si>
  <si>
    <t>CAPACITANCE_MF_CAPACITOR</t>
  </si>
  <si>
    <t>VOLTAGE_VAC_CAPACITOR</t>
  </si>
  <si>
    <t>BASE_UOM_CAPACITOR</t>
  </si>
  <si>
    <t>ORDER_UNIT_CAPACITOR</t>
  </si>
  <si>
    <t>ITEM_NAME_CCT_PROTECT</t>
  </si>
  <si>
    <t>MFR_NO_CCT_PROTECT</t>
  </si>
  <si>
    <t>BASE_UOM_CCT_PROTECT</t>
  </si>
  <si>
    <t>ORDER_UNIT_CCT_PROTECT</t>
  </si>
  <si>
    <t>ITEM_NAME_CHAIN_BLOCK</t>
  </si>
  <si>
    <t>CAPACITY_TON_CHAIN_BLOCK</t>
  </si>
  <si>
    <t>LIFTING_HEIGHT_M_CHAIN_BLOCK</t>
  </si>
  <si>
    <t>BASE_UOM_CHAIN_BLOCK</t>
  </si>
  <si>
    <t>ORDER_UNIT_CHAIN_BLOCK</t>
  </si>
  <si>
    <t>ITEM_NAME_CHEMICAL_GAS</t>
  </si>
  <si>
    <t>GAS_NAME_CHEMICAL_GAS</t>
  </si>
  <si>
    <t>DIMENSION_CHEMICAL_GAS</t>
  </si>
  <si>
    <t>SIZE_L_CHEMICAL_GAS</t>
  </si>
  <si>
    <t>SIZE_KG_CHEMICAL_GAS</t>
  </si>
  <si>
    <t>BASE_UOM_CHEMICAL_GAS</t>
  </si>
  <si>
    <t>ORDER_UNIT_CHEMICAL_GAS</t>
  </si>
  <si>
    <t>ITEM_NAME_CIRC_VENT</t>
  </si>
  <si>
    <t>SERIAL_NUMB_CIRC_VENT</t>
  </si>
  <si>
    <t>DIMENSION_CIRC_VENT</t>
  </si>
  <si>
    <t>FAN_SIZE_DIAMETER_MM_CIRC_VENT</t>
  </si>
  <si>
    <t>FAN_SIZE_DIAMETER_IN_CIRC_VENT</t>
  </si>
  <si>
    <t>BASE_UOM_CIRC_VENT</t>
  </si>
  <si>
    <t>ORDER_UNIT_CIRC_VENT</t>
  </si>
  <si>
    <t>ITEM_NAME_CIRCUIT_ASSY</t>
  </si>
  <si>
    <t>MFR_NO_CIRCUIT_ASSY</t>
  </si>
  <si>
    <t>BASE_UOM_CIRCUIT_ASSY</t>
  </si>
  <si>
    <t>ORDER_UNIT_CIRCUIT_ASSY</t>
  </si>
  <si>
    <t>ITEM_NAME_CLAMPS</t>
  </si>
  <si>
    <t>MATERIAL_CLAMPS</t>
  </si>
  <si>
    <t>DIMENSION_CLAMPS</t>
  </si>
  <si>
    <t>SIZE_MM_CLAMPS</t>
  </si>
  <si>
    <t>SIZE_INCH_CLAMPS</t>
  </si>
  <si>
    <t>FINISHING_CLAMPS</t>
  </si>
  <si>
    <t>BASE_UOM_CLAMPS</t>
  </si>
  <si>
    <t>ORDER_UNIT_CLAMPS</t>
  </si>
  <si>
    <t>ITEM_NAME_CLEANING_EQP</t>
  </si>
  <si>
    <t>SERIES_CLEANING_EQP</t>
  </si>
  <si>
    <t>BASE_UOM_CLEANING_EQP</t>
  </si>
  <si>
    <t>ORDER_UNIT_CLEANING_EQP</t>
  </si>
  <si>
    <t>ITEM_NAME_CLEANING_SUPP</t>
  </si>
  <si>
    <t>BASE_UOM_CLEANING_SUPP</t>
  </si>
  <si>
    <t>ORDER_UNIT_CLEANING_SUPP</t>
  </si>
  <si>
    <t>ZSI1_CLUTCH</t>
  </si>
  <si>
    <t>ITEM_NAME_CLUTCH</t>
  </si>
  <si>
    <t>MFR_NO_CLUTCH</t>
  </si>
  <si>
    <t>BASE_UOM_CLUTCH</t>
  </si>
  <si>
    <t>ORDER_UNIT_CLUTCH</t>
  </si>
  <si>
    <t>ITEM_NAME_COM_RAM_VCARD</t>
  </si>
  <si>
    <t>MFR_NO_COM_RAM_VCARD</t>
  </si>
  <si>
    <t>DIMENSION_MEMORY</t>
  </si>
  <si>
    <t>MEMORY_COM_RAM_VCARD</t>
  </si>
  <si>
    <t>BASE_UOM_COM_RAM_VCARD</t>
  </si>
  <si>
    <t>ORDER_UNIT_COM_RAM_VCARD</t>
  </si>
  <si>
    <t>ITEM_NAME_COM_TAB_ACCS</t>
  </si>
  <si>
    <t>BASE_UOM_COMM_DEVICE</t>
  </si>
  <si>
    <t>ORDER_UNIT_COMM_DEVICE</t>
  </si>
  <si>
    <t>ITEM_NAME_COMM_ACCS</t>
  </si>
  <si>
    <t>BASE_UOM_COMM_ACCS</t>
  </si>
  <si>
    <t>ORDER_UNIT_COMM_ACCS</t>
  </si>
  <si>
    <t>ITEM_NAME_COMM_DEVICE</t>
  </si>
  <si>
    <t>SERIES_COMM_DEVICE</t>
  </si>
  <si>
    <t>ITEM_NAME_COMP_HARDDISK</t>
  </si>
  <si>
    <t>MFR_NO_COMP_HARDDISK</t>
  </si>
  <si>
    <t>DIMENSION_COMP_HARDDISK</t>
  </si>
  <si>
    <t>STORAGE_COMP_HARDDISK</t>
  </si>
  <si>
    <t>BASE_UOM_COMP_HARDDISK</t>
  </si>
  <si>
    <t>ORDER_UNIT_COMP_HARDDISK</t>
  </si>
  <si>
    <t>ITEM_NAME_COMP_MIX_SOLV</t>
  </si>
  <si>
    <t>CATALOGUE_NUMB_COMP_MIX_SOLV</t>
  </si>
  <si>
    <t>CONC_COM_MIX_SOLV</t>
  </si>
  <si>
    <t>SIZE_DIMENSION_COM_MIX_SOLV</t>
  </si>
  <si>
    <t>SIZE_COM_MIX_SOLV</t>
  </si>
  <si>
    <t>BASE_UOM_COMP_MIX_SOLV</t>
  </si>
  <si>
    <t>ORDER_UNIT_COMP_MIX_SOLV</t>
  </si>
  <si>
    <t>ITEM_NAME_COMP_PORT</t>
  </si>
  <si>
    <t>MFR_NO_COMP_PORT</t>
  </si>
  <si>
    <t>BASE_UOM_COMP_PORT</t>
  </si>
  <si>
    <t>ORDER_UNIT_COMP_PORT</t>
  </si>
  <si>
    <t>ITEM_NAME_COMPRESSOR</t>
  </si>
  <si>
    <t>MFR_NO_COMPRESSOR</t>
  </si>
  <si>
    <t>BASE_UOM_COMPRESSOR</t>
  </si>
  <si>
    <t>ORDER_UNIT_COMPRESSOR</t>
  </si>
  <si>
    <t>ITEM_NAME_COMPUTER</t>
  </si>
  <si>
    <t>TYPE_COMPUTER</t>
  </si>
  <si>
    <t>PROCESSOR_COMPUTER</t>
  </si>
  <si>
    <t>RAM_DIMENSION_COMPUTER</t>
  </si>
  <si>
    <t>RAM_CAPACITY_COMPUTER</t>
  </si>
  <si>
    <t>HARDDISK_DIMENSION_COMPUTER</t>
  </si>
  <si>
    <t>HARDDISK_CAPACITY_COMPUTER</t>
  </si>
  <si>
    <t>OPERATING_SYSTEM_COMPUTER</t>
  </si>
  <si>
    <t>BASE_UOM_CPU_SET</t>
  </si>
  <si>
    <t>ORDER_UNIT_CPU_SET</t>
  </si>
  <si>
    <t>ITEM_NAME_COMPUTER_EQP</t>
  </si>
  <si>
    <t>TYPE_COMPUTER_EQP</t>
  </si>
  <si>
    <t>SIZE_INCH_COMPUTER_EQP</t>
  </si>
  <si>
    <t>BASE_UOM_COMPUTER_EQP</t>
  </si>
  <si>
    <t>ORDER_UNIT_COMPUTER_EQP</t>
  </si>
  <si>
    <t>ITEM_NAME_CONCR_REINFOR</t>
  </si>
  <si>
    <t>LENGTH_MM_CONCR_REINFOR</t>
  </si>
  <si>
    <t>WIDTH_MM_CONCR_REINFOR</t>
  </si>
  <si>
    <t>HEIGHT_MM_CONCR_REINFOR</t>
  </si>
  <si>
    <t>MATERIAL_CONCR_REINFOR</t>
  </si>
  <si>
    <t>BASE_UOM_CONCR_REINFOR</t>
  </si>
  <si>
    <t>ORDER_UNIT_CONCR_REINFOR</t>
  </si>
  <si>
    <t>ZSI1_CONCRT_CEMENT</t>
  </si>
  <si>
    <t>ITEM_NAME_CEMENT</t>
  </si>
  <si>
    <t>JENIS_SEMEN_CEMENT</t>
  </si>
  <si>
    <t>SIZE_KG_CEMENT</t>
  </si>
  <si>
    <t>BASE_UOM_CEMENT</t>
  </si>
  <si>
    <t>ORDER_UNIT_CEMENT</t>
  </si>
  <si>
    <t>ITEM_NAME_CONSTRCT_COIL</t>
  </si>
  <si>
    <t>MATERIAL_CONSTRCT_COIL</t>
  </si>
  <si>
    <t>COIL_THICKNES_MM_CONSTRCT_COIL</t>
  </si>
  <si>
    <t>COIL_LENGTH_MM_CONSTRCT_COIL</t>
  </si>
  <si>
    <t>BASE_UOM_CONSTRCT_COIL</t>
  </si>
  <si>
    <t>ORDER_UNIT_CONSTRCT_COIL</t>
  </si>
  <si>
    <t>ITEM_NAME_CONSTRUCT_ROD</t>
  </si>
  <si>
    <t>MATERIAL_CONSTRUCT_ROD</t>
  </si>
  <si>
    <t>BENTUK_PENAMPANG_CONSTRUCT_ROD</t>
  </si>
  <si>
    <t>SIZE_DIMENSION_CONSTRUCT_ROD</t>
  </si>
  <si>
    <t>HEIGHT_CONSTRUCT_ROD</t>
  </si>
  <si>
    <t>WIDTH_CONSTRUCT_ROD</t>
  </si>
  <si>
    <t>DIAMETER_CONSTRUCT_ROD</t>
  </si>
  <si>
    <t>LENGTH_MM_CONSTRUCT_ROD</t>
  </si>
  <si>
    <t>BASE_UOM_CONSTRUCT_ROD</t>
  </si>
  <si>
    <t>ORDER_UNIT_CONSTRUCT_ROD</t>
  </si>
  <si>
    <t>ITEM_NAME_CONVEYOR_BELT</t>
  </si>
  <si>
    <t>WIDTH_MM_CONVEYOR_BELT</t>
  </si>
  <si>
    <t>LENGTH_MM_CONVEYOR_BELT</t>
  </si>
  <si>
    <t>THICKNESS_MM_CONVEYOR_BELT</t>
  </si>
  <si>
    <t>END_CONNECTION_CONVEYOR_BELT</t>
  </si>
  <si>
    <t>MFR_NO_CONVEYOR_BELT</t>
  </si>
  <si>
    <t>BASE_UOM_CONVEYOR_BELT</t>
  </si>
  <si>
    <t>ORDER_UNIT_CONVEYOR_BELT</t>
  </si>
  <si>
    <t>ITEM_NAME_CONVEYOR_ROLL</t>
  </si>
  <si>
    <t>MATERIAL_CONVEYOR_ROLL</t>
  </si>
  <si>
    <t>ROLLER_DIAMETER_MM_CONV_ROLL</t>
  </si>
  <si>
    <t>ROLLER_LENGTH_MM_CONV_ROLL</t>
  </si>
  <si>
    <t>ROLLER_AXLE_SIZE_MM_CONV_ROLL</t>
  </si>
  <si>
    <t>BASE_UOM_CONV_ROLL</t>
  </si>
  <si>
    <t>ORDER_UNIT_CONV_ROLL</t>
  </si>
  <si>
    <t>ITEM_NAME_COOLING_EQUIP</t>
  </si>
  <si>
    <t>MFR_NO_COOLING_EQUIP</t>
  </si>
  <si>
    <t>SIZE_DIMENSION_COOLING_EQUIP</t>
  </si>
  <si>
    <t>SIZE_COOLING_EQUIP</t>
  </si>
  <si>
    <t>BASE_UOM_COOLING_EQUIP</t>
  </si>
  <si>
    <t>ORDER_UNIT_COOLING_EQUIP</t>
  </si>
  <si>
    <t>ITEM_NAME_COUPLING</t>
  </si>
  <si>
    <t>MFR_NO_COUPLING</t>
  </si>
  <si>
    <t>BASE_UOM_COUPLING</t>
  </si>
  <si>
    <t>ORDER_UNIT_COUPLING</t>
  </si>
  <si>
    <t>ITEM_NAME_DECORATIVES</t>
  </si>
  <si>
    <t>DESIGN_DECORATIVES</t>
  </si>
  <si>
    <t>BENTUK_DECORATIVES</t>
  </si>
  <si>
    <t>DIMENSION_PLT_DECORATIVES</t>
  </si>
  <si>
    <t>DIAMETER_DECORATIVES</t>
  </si>
  <si>
    <t>LENGTH_DECORATIVES</t>
  </si>
  <si>
    <t>WIDTH_DECORATIVES</t>
  </si>
  <si>
    <t>THICKNESS_DECORATIVES</t>
  </si>
  <si>
    <t>BASE_UOM_DECORATIVES</t>
  </si>
  <si>
    <t>ORDER_UNIT_DECORATIVES</t>
  </si>
  <si>
    <t>ITEM_NAME_DIAMOND_DRSSR</t>
  </si>
  <si>
    <t>MFR_NO_DIAMOND_DRSSR</t>
  </si>
  <si>
    <t>DIAMOND_CARAT_DIAMOND_DRSSR</t>
  </si>
  <si>
    <t>BASE_UOM_DIAMOND_DRSSR</t>
  </si>
  <si>
    <t>ORDER_UNIT_DIAMOND_DRSSR</t>
  </si>
  <si>
    <t>ITEM_NAME_DIODE</t>
  </si>
  <si>
    <t>CURRENT_A_DIODE</t>
  </si>
  <si>
    <t>VOLTAGE_V_DIODE</t>
  </si>
  <si>
    <t>BASE_UOM_DIODE</t>
  </si>
  <si>
    <t>ORDER_UNIT_DIODE</t>
  </si>
  <si>
    <t>ITEM_NAME_DISTILLED_WTR</t>
  </si>
  <si>
    <t>BASE_UOM_DISTILLED_WTR</t>
  </si>
  <si>
    <t>ORDER_UNIT_DISTILLED_WTR</t>
  </si>
  <si>
    <t>ITEM_NAME_DOM_MEASURE</t>
  </si>
  <si>
    <t>TYPE_DOM_MEASURE</t>
  </si>
  <si>
    <t>BASE_UOM_DOM_MEASURE</t>
  </si>
  <si>
    <t>ORDER_UNIT_DOM_MEASURE</t>
  </si>
  <si>
    <t>ITEM_NAME_DOOR_ACCS</t>
  </si>
  <si>
    <t>TYPE_DOOR_ACCS</t>
  </si>
  <si>
    <t>MFR_NO_DOOR_ACCS</t>
  </si>
  <si>
    <t>BASE_UOM_DOOR_ACCS</t>
  </si>
  <si>
    <t>ORDER_UNIT_DOOR_ACCS</t>
  </si>
  <si>
    <t>ITEM_NAME_DOOR_WINDOW</t>
  </si>
  <si>
    <t>DESIGN_DOOR_WINDOW</t>
  </si>
  <si>
    <t>MATERIAL_DOOR_WINDOW</t>
  </si>
  <si>
    <t>THICKNESS_MM_DOOR_WINDOW</t>
  </si>
  <si>
    <t>WIDTH_MM_DOOR_WINDOW</t>
  </si>
  <si>
    <t>HEIGHT_MM_DOOR_WINDOW</t>
  </si>
  <si>
    <t>SIZE_DOOR_WINDOW</t>
  </si>
  <si>
    <t>BASE_UOM_DOOR_WINDOW</t>
  </si>
  <si>
    <t>ORDER_UNIT_DOOR_WINDOW</t>
  </si>
  <si>
    <t>ITEM_NAME_DRUM_EQP</t>
  </si>
  <si>
    <t>MFR_NO_DRUM_EQP</t>
  </si>
  <si>
    <t>BASE_UOM_DRUM_EQP</t>
  </si>
  <si>
    <t>ORDER_UNIT_DRUM_EQP</t>
  </si>
  <si>
    <t>ITEM_NAME_E_MONEY_CARD</t>
  </si>
  <si>
    <t>CURRENCY_E_MONEY_CARD</t>
  </si>
  <si>
    <t>SALDO_AWAL_E_MONEY_CARD</t>
  </si>
  <si>
    <t>BASE_UOM_E_MONEY_CARD</t>
  </si>
  <si>
    <t>ORDER_UNIT_E_MONEY_CARD</t>
  </si>
  <si>
    <t>ITEM_NAME_ELEC_BOX</t>
  </si>
  <si>
    <t>MFR_NO_ELEC_BOX</t>
  </si>
  <si>
    <t>BASE_UOM_ELEC_BOX</t>
  </si>
  <si>
    <t>ORDER_UNIT_ELEC_BOX</t>
  </si>
  <si>
    <t>ITEM_NAME_ELEC_CABLE</t>
  </si>
  <si>
    <t>MFR_NO_ELEC_CABLE</t>
  </si>
  <si>
    <t>BASE_UOM_ELEC_CABLE</t>
  </si>
  <si>
    <t>ORDER_UNIT_ELEC_CABLE</t>
  </si>
  <si>
    <t>ITEM_NAME_ELEC_CONDUIT</t>
  </si>
  <si>
    <t>TYPE_ELEC_CONDUIT</t>
  </si>
  <si>
    <t>OUTSIDE_DIAMTR_MM_ELEC_CONDUIT</t>
  </si>
  <si>
    <t>THICKNESS_MM_ELEC_CONDUIT</t>
  </si>
  <si>
    <t>LENGTH_M_ELEC_CONDUIT</t>
  </si>
  <si>
    <t>MATERIAL_ELEC_CONDUIT</t>
  </si>
  <si>
    <t>BASE_UOM_ELEC_CONDUIT</t>
  </si>
  <si>
    <t>ORDER_UNIT_ELEC_CONDUIT</t>
  </si>
  <si>
    <t>ITEM_NAME_ELEC_CONN</t>
  </si>
  <si>
    <t>MFR_NO_ELEC_CONN</t>
  </si>
  <si>
    <t>BASE_UOM_ELEC_CONN</t>
  </si>
  <si>
    <t>ORDER_UNIT_ELEC_CONN</t>
  </si>
  <si>
    <t>ITEM_NAME_ELEC_CONTROL</t>
  </si>
  <si>
    <t>MFR_NO_ELEC_CONTROL</t>
  </si>
  <si>
    <t>BASE_UOM_ELEC_CONTROL</t>
  </si>
  <si>
    <t>ORDER_UNIT_ELEC_CONTROL</t>
  </si>
  <si>
    <t>ITEM_NAME_ELEC_DIST_CC</t>
  </si>
  <si>
    <t>MFR_NO_ELEC_DIST_CC</t>
  </si>
  <si>
    <t>BASE_UOM_ELEC_DIST_CC</t>
  </si>
  <si>
    <t>ORDER_UNIT_ELEC_DIST_CC</t>
  </si>
  <si>
    <t>ITEM_NAME_ELEC_HARDWARE</t>
  </si>
  <si>
    <t>BASE_UOM_ELEC_HARDWARE</t>
  </si>
  <si>
    <t>ORDER_UNIT_ELEC_HARDWARE</t>
  </si>
  <si>
    <t>ITEM_NAME_ELEC_LUG</t>
  </si>
  <si>
    <t>DESIGN_ELEC_LUG</t>
  </si>
  <si>
    <t>CABLE_SIZE_MM2_ELEC_LUG</t>
  </si>
  <si>
    <t>STUD_SIZE_MM_ELEC_LUG</t>
  </si>
  <si>
    <t>PIN_DIAMETER_MM_ELEC_LUG</t>
  </si>
  <si>
    <t>NO_OF_STUD_HOLE_ELEC_LUG</t>
  </si>
  <si>
    <t>MATERIAL_ELEC_LUG</t>
  </si>
  <si>
    <t>INSULATION_ELEC_LUG</t>
  </si>
  <si>
    <t>BASE_UOM_ELEC_LUG</t>
  </si>
  <si>
    <t>ORDER_UNIT_ELEC_LUG</t>
  </si>
  <si>
    <t>ITEM_NAME_ELEC_PANEL</t>
  </si>
  <si>
    <t>MFR_NO_ELEC_PANEL</t>
  </si>
  <si>
    <t>BASE_UOM_ELEC_PANEL</t>
  </si>
  <si>
    <t>ORDER_UNIT_ELEC_PANEL</t>
  </si>
  <si>
    <t>ITEM_NAME_ELEC_RELAY</t>
  </si>
  <si>
    <t>MFR_NO_ELEC_RELAY</t>
  </si>
  <si>
    <t>BASE_UOM_ELEC_RELAY</t>
  </si>
  <si>
    <t>ORDER_UNIT_ELEC_RELAY</t>
  </si>
  <si>
    <t>ITEM_NAME_ELEC_SWITCH</t>
  </si>
  <si>
    <t>MFR_NO_ELEC_SWITCH</t>
  </si>
  <si>
    <t>BASE_UOM_ELEC_SWITCH</t>
  </si>
  <si>
    <t>ORDER_UNIT_ELEC_SWITCH</t>
  </si>
  <si>
    <t>WIRE_NAME_ELEC_WIRE</t>
  </si>
  <si>
    <t>DIAMETER_MM_ELEC_WIRE</t>
  </si>
  <si>
    <t>BASE_UOM_ELEC_WIRE</t>
  </si>
  <si>
    <t>ORDER_UNIT_ELEC_WIRE</t>
  </si>
  <si>
    <t>ITEM_NAME_ELECTROD_HOLD</t>
  </si>
  <si>
    <t>MFR_NO_ELECTROD_HOLD</t>
  </si>
  <si>
    <t>BASE_UOM_ELECTROD_HOLD</t>
  </si>
  <si>
    <t>ORDER_UNIT_ELECTROD_HOLD</t>
  </si>
  <si>
    <t>ITEM_NAME_ELECTRONICS</t>
  </si>
  <si>
    <t>TYPE_ELECTRONICS</t>
  </si>
  <si>
    <t>SIZE_INCH_ELECTRONICS</t>
  </si>
  <si>
    <t>IMAGE_QUALITY_ELECTRONICS</t>
  </si>
  <si>
    <t>BASE_UOM_ELECTRONICS</t>
  </si>
  <si>
    <t>ORDER_UNIT_ELECTRONICS</t>
  </si>
  <si>
    <t>ITEM_NAME_END_MILL</t>
  </si>
  <si>
    <t>MATERIAL_END_MILL</t>
  </si>
  <si>
    <t>CUTTING_DIAMETER_END_MILL</t>
  </si>
  <si>
    <t>MFR_NO_END_MILL</t>
  </si>
  <si>
    <t>BASE_UOM_END_MILL</t>
  </si>
  <si>
    <t>ORDER_UNIT_END_MILL</t>
  </si>
  <si>
    <t>ITEM_NAME_FABRICAT_ITEM</t>
  </si>
  <si>
    <t>DRAWING_NUMBER_FABRICAT_ITEM</t>
  </si>
  <si>
    <t>DRAWING_MAKER_FABRICAT_ITEM</t>
  </si>
  <si>
    <t>BASE_UOM_FABRICAT_ITEM</t>
  </si>
  <si>
    <t>ORDER_UNIT_FABRICAT_ITEM</t>
  </si>
  <si>
    <t>ITEM_NAME_FILTER</t>
  </si>
  <si>
    <t>MFR_NO_FILTER</t>
  </si>
  <si>
    <t>BASE_UOM_FILTER</t>
  </si>
  <si>
    <t>ORDER_UNIT_FILTER</t>
  </si>
  <si>
    <t>ITEM_NAME_FIRE_DETECTOR</t>
  </si>
  <si>
    <t>MFR_NO_FIRE_DETECTOR</t>
  </si>
  <si>
    <t>BASE_UOM_FIRE_DETECTOR</t>
  </si>
  <si>
    <t>ORDER_UNIT_FIRE_DETECTOR</t>
  </si>
  <si>
    <t>ITEM_NAME_FIRE_EXTINGSH</t>
  </si>
  <si>
    <t>TYPE_FIRE_EXTINGSH</t>
  </si>
  <si>
    <t>SIZE_KG_FIRE_EXTINGSH</t>
  </si>
  <si>
    <t>BASE_UOM_FIRE_EXTINGSH</t>
  </si>
  <si>
    <t>ORDER_UNIT_FIRE_EXTINGSH</t>
  </si>
  <si>
    <t>ITEM_NAME_FLEX_JOINT</t>
  </si>
  <si>
    <t>MATERIAL_FLEX_JOINT</t>
  </si>
  <si>
    <t>RATING_FLEX_JOINT</t>
  </si>
  <si>
    <t>SIZE_DIMENSION_FLEX_JOINT</t>
  </si>
  <si>
    <t>SIZE_MM_FLEX_JOINT</t>
  </si>
  <si>
    <t>SIZE_INCH_FLEX_JOINT</t>
  </si>
  <si>
    <t>BASE_UOM_FLEX_JOINT</t>
  </si>
  <si>
    <t>ORDER_UNIT_FLEX_JOINT</t>
  </si>
  <si>
    <t>ITEM_NAME_FLEXIBLE_CON</t>
  </si>
  <si>
    <t>MATERIAL_FLEXIBLE_CON</t>
  </si>
  <si>
    <t>SIZE_DESIGNATION_FLEXIBLE_CON</t>
  </si>
  <si>
    <t>BASE_UOM_FLEXIBLE_CON</t>
  </si>
  <si>
    <t>ORDER_UNIT_FLEXIBLE_CON</t>
  </si>
  <si>
    <t>ITEM_NAME_FLEXIBLE_HOSE</t>
  </si>
  <si>
    <t>DIAMETER_INCH_FLEXIBLE_HOSE</t>
  </si>
  <si>
    <t>LENGTH_MM_FLEXIBLE_HOSE</t>
  </si>
  <si>
    <t>CONNECTION_FLEXIBLE_HOSE</t>
  </si>
  <si>
    <t>RATING_FLEXIBLE_HOSE</t>
  </si>
  <si>
    <t>MATERIAL_FLEXIBLE_HOSE</t>
  </si>
  <si>
    <t>BRAIDED_MATERIAL_FLEXIBLE_HOSE</t>
  </si>
  <si>
    <t>BRAIDED_PLY_FLEXIBLE_HOSE</t>
  </si>
  <si>
    <t>FITTING_TYPE_FLEXIBLE_HOSE</t>
  </si>
  <si>
    <t>BASE_UOM_FLEXIBLE_HOSE</t>
  </si>
  <si>
    <t>ORDER_UNIT_FLEXIBLE_HOSE</t>
  </si>
  <si>
    <t>ITEM_NAME_FLWR_ARRANGE</t>
  </si>
  <si>
    <t>DESIGN_FLWR_ARRANGE</t>
  </si>
  <si>
    <t>BASE_UOM_FLWR_ARRANGE</t>
  </si>
  <si>
    <t>ORDER_UNIT_FLWR_ARRANGE</t>
  </si>
  <si>
    <t>ITEM_NAME_FOOD_BEV</t>
  </si>
  <si>
    <t>PERLU_BRAND</t>
  </si>
  <si>
    <t>SIZE_FOOD_BEV</t>
  </si>
  <si>
    <t>BASE_UOM_FOOD_BEV</t>
  </si>
  <si>
    <t>ORDER_UNIT_FOOD_BEV</t>
  </si>
  <si>
    <t>ITEM_NAME_FOOD_CUT_MC</t>
  </si>
  <si>
    <t>MFR_NO_FOOD_CUT_MC</t>
  </si>
  <si>
    <t>BASE_UOM_FOOD_CUT_MC</t>
  </si>
  <si>
    <t>ORDER_UNIT_FOOD_CUT_MC</t>
  </si>
  <si>
    <t>ITEM_NAME_FOOD_PREP_MC</t>
  </si>
  <si>
    <t>MFR_NO_FOOD_PREP_MC</t>
  </si>
  <si>
    <t>BASE_UOM_FOOD_PREP_MC</t>
  </si>
  <si>
    <t>ORDER_UNIT_FOOD_PREP_MC</t>
  </si>
  <si>
    <t>FORM_NAME_FORMS</t>
  </si>
  <si>
    <t>FORM_TYPE_FORMS</t>
  </si>
  <si>
    <t>NUMB_OF_PLY_FORMS</t>
  </si>
  <si>
    <t>DIMENSION_FORMS</t>
  </si>
  <si>
    <t>WIDTH_MM_FORMS</t>
  </si>
  <si>
    <t>WIDTH_INCH_FORMS</t>
  </si>
  <si>
    <t>LENGTH_MM_FORMS</t>
  </si>
  <si>
    <t>LENGTH_INCH_FORMS</t>
  </si>
  <si>
    <t>NCR_FORMS</t>
  </si>
  <si>
    <t>NUMB_OF_COLOR_MAX4_FRONT_FORMS</t>
  </si>
  <si>
    <t>NUMB_OF_COLORS_MAX4_BACK_FORMS</t>
  </si>
  <si>
    <t>BASE_UOM_FORMS</t>
  </si>
  <si>
    <t>ORDER_UNIT_FORMS</t>
  </si>
  <si>
    <t>ITEM_NAME_FUELS</t>
  </si>
  <si>
    <t>BASE_UOM_FUELS</t>
  </si>
  <si>
    <t>ORDER_UNIT_FUELS</t>
  </si>
  <si>
    <t>FURNITURE_TYPE_FURNITURE</t>
  </si>
  <si>
    <t>ITEM_NAME_FURNITURE</t>
  </si>
  <si>
    <t>SERI_FURNITURE</t>
  </si>
  <si>
    <t>PERLU_MAINTAIN_PXLXT</t>
  </si>
  <si>
    <t>DIMENSION_FURNITURE</t>
  </si>
  <si>
    <t>LENGTH_CM_FURNITURE</t>
  </si>
  <si>
    <t>HEIGHT_CM_FURNITURE</t>
  </si>
  <si>
    <t>WIDTH_CM_FURNITURE</t>
  </si>
  <si>
    <t>LENGTH_INCH_FURNITURE</t>
  </si>
  <si>
    <t>HEIGHT_INCH_FURNITURE</t>
  </si>
  <si>
    <t>WIDTH_INCH_FURNITURE</t>
  </si>
  <si>
    <t>BASE_UOM_FURNITURE</t>
  </si>
  <si>
    <t>ORDER_UNIT_FURNITURE</t>
  </si>
  <si>
    <t>ITEM_NAME_GASKET</t>
  </si>
  <si>
    <t>DIMENSION_GASKET</t>
  </si>
  <si>
    <t>INSIDE_DIAMETER_GASKET</t>
  </si>
  <si>
    <t>OUTSIDE_DIAMETER_GASKET</t>
  </si>
  <si>
    <t>THICKNESS_DIAMETER_GASKET</t>
  </si>
  <si>
    <t>BASE_UOM_GASKET</t>
  </si>
  <si>
    <t>ORDER_UNIT_GASKET</t>
  </si>
  <si>
    <t>ITEM_NAME_GASKET_SHEET</t>
  </si>
  <si>
    <t>THICKNESS_MM_GASKET_SHEET</t>
  </si>
  <si>
    <t>LENGTH_MM_GASKET_SHEET</t>
  </si>
  <si>
    <t>WIDTH_MM_GASKET_SHEET</t>
  </si>
  <si>
    <t>MATERIAL_GASKET_SHEET</t>
  </si>
  <si>
    <t>PRESSURE_PSI_GASKET_SHEET</t>
  </si>
  <si>
    <t>BASE_UOM_GASKET_SHEET</t>
  </si>
  <si>
    <t>ORDER_UNIT_GASKET_SHEET</t>
  </si>
  <si>
    <t>ITEM_NAME_GASKET_SP_WND</t>
  </si>
  <si>
    <t>PRESSUR_CLASS_PN_GASKET_SP_WND</t>
  </si>
  <si>
    <t>STDPIPESZ_DN_JIS_GASKET_SP_WND</t>
  </si>
  <si>
    <t>BASE_UOM_GASKET_SP_WND</t>
  </si>
  <si>
    <t>ORDER_UNIT_GASKET_SP_WND</t>
  </si>
  <si>
    <t>ITEM_NAME_GEAR</t>
  </si>
  <si>
    <t>MFR_NO_GEAR</t>
  </si>
  <si>
    <t>BASE_UOM_GEAR</t>
  </si>
  <si>
    <t>ORDER_UNIT_GEAR</t>
  </si>
  <si>
    <t>ITEM_NAME_GLAND_PACKING</t>
  </si>
  <si>
    <t>MATERIAL_GLAND_PACKING</t>
  </si>
  <si>
    <t>DIMENSION_GLAND_PACKING</t>
  </si>
  <si>
    <t>CROSS_SECT_SZ_GLAND_PACKING_MM</t>
  </si>
  <si>
    <t>CROS_SCT_SZ_GLAND_PACKING_INCH</t>
  </si>
  <si>
    <t>BASE_UOM_GLAND_PACKING</t>
  </si>
  <si>
    <t>ORDER_UNIT_GLAND_PACKING</t>
  </si>
  <si>
    <t>ITEM_NAME_GREASE</t>
  </si>
  <si>
    <t>SIZE_KG_GREASE</t>
  </si>
  <si>
    <t>MFR_NO_GREASE</t>
  </si>
  <si>
    <t>BASE_UOM_GREASE</t>
  </si>
  <si>
    <t>ORDER_UNIT_GREASE</t>
  </si>
  <si>
    <t>ITEM_NAME_GRIND_WHEEL</t>
  </si>
  <si>
    <t>WHEEL_SHAPE_GRIND_WHEEL</t>
  </si>
  <si>
    <t>DIMENSION_GRIND_WHEEL</t>
  </si>
  <si>
    <t>OUTSIDE_DIAMTR_MM_GRIND_WHEEL</t>
  </si>
  <si>
    <t>WHEEL_THICKNESS_MM_GRIND_WHEEL</t>
  </si>
  <si>
    <t>OUTSID_DIAMTR_INCH_GRIND_WHEEL</t>
  </si>
  <si>
    <t>WHL_THICKNESS_INCH_GRIND_WHEEL</t>
  </si>
  <si>
    <t>GRIT_SIZE_GRIND_WHEEL</t>
  </si>
  <si>
    <t>BASE_UOM_GRIND_WHEEL</t>
  </si>
  <si>
    <t>ORDER_UNIT_GRIND_WHEEL</t>
  </si>
  <si>
    <t>ITEM_NAME_GYPSUM_BOARD</t>
  </si>
  <si>
    <t>THICKNESS_MM_GYPSUM_BOARD</t>
  </si>
  <si>
    <t>LENGTH_MM_GYPSUM_BOARD</t>
  </si>
  <si>
    <t>WIDTH_MM_GYPSUM_BOARD</t>
  </si>
  <si>
    <t>BASE_UOM_GYPSUM_BOARD</t>
  </si>
  <si>
    <t>ORDER_UNIT_GYPSUM_BOARD</t>
  </si>
  <si>
    <t>ITEM_NAME_H_BEAM</t>
  </si>
  <si>
    <t>MATERIAL_H_BEAM</t>
  </si>
  <si>
    <t>FINISHING_H_BEAM</t>
  </si>
  <si>
    <t>WIDTH_MM_H_BEAM</t>
  </si>
  <si>
    <t>HEIGHT_MM_H_BEAM</t>
  </si>
  <si>
    <t>WIDTH_THICKNESS_MM_H_BEAM</t>
  </si>
  <si>
    <t>HEIGHT_THICKNESS_MM_H_BEAM</t>
  </si>
  <si>
    <t>LENGTH_MM_H_BEAM</t>
  </si>
  <si>
    <t>BASE_UOM_H_BEAM</t>
  </si>
  <si>
    <t>ORDER_UNIT_H_BEAM</t>
  </si>
  <si>
    <t>ITEM_NAME_HAND_TOOL</t>
  </si>
  <si>
    <t>MFR_NO_HAND_TOOL</t>
  </si>
  <si>
    <t>BASE_UOM_HAND_TOOL</t>
  </si>
  <si>
    <t>ORDER_UNIT_HAND_TOOL</t>
  </si>
  <si>
    <t>ITEM_NAME_HEATING_EQP</t>
  </si>
  <si>
    <t>MFR_NO_HEATING_EQP</t>
  </si>
  <si>
    <t>SIZE_HEATING_EQP</t>
  </si>
  <si>
    <t>POWER_W_HEATING_EQP</t>
  </si>
  <si>
    <t>VOLTAGE_V_HEATING_EQP</t>
  </si>
  <si>
    <t>BASE_UOM_HEATING_EQP</t>
  </si>
  <si>
    <t>ORDER_UNIT_HEATING_EQP</t>
  </si>
  <si>
    <t>ZSI1_HEAVY_EQP</t>
  </si>
  <si>
    <t>ITEM_NAME_HEAVY_EQP</t>
  </si>
  <si>
    <t>MFR_NO_HEAVY_EQP</t>
  </si>
  <si>
    <t>BASE_UOM_HEAVY_EQP</t>
  </si>
  <si>
    <t>ORDER_UNIT_HEAVY_EQP</t>
  </si>
  <si>
    <t>ITEM_NAME_HOLLOW_STRCT</t>
  </si>
  <si>
    <t>MATERIAL_HOLLOW_STRCT</t>
  </si>
  <si>
    <t>WIDTH_MM_HOLLOW_STRCT</t>
  </si>
  <si>
    <t>LENGTH_MM_HOLLOW_STRCT</t>
  </si>
  <si>
    <t>HEIGHT_MM_HOLLOW_STRCT</t>
  </si>
  <si>
    <t>PLATE_THICKNES_MM_HOLLOW_STRCT</t>
  </si>
  <si>
    <t>BASE_UOM_HOLLOW_STRCT</t>
  </si>
  <si>
    <t>ORDER_UNIT_HOLLOW_STRCT</t>
  </si>
  <si>
    <t>ITEM_NAME_HOSE_FITTING</t>
  </si>
  <si>
    <t>DIMENSION_HOSE_FITTING</t>
  </si>
  <si>
    <t>INSIDE_DIA_HOSE_FITTING</t>
  </si>
  <si>
    <t>THREAD_SIZE_HOSE_FITTING</t>
  </si>
  <si>
    <t>MATERIAL_HOSE_FITTING</t>
  </si>
  <si>
    <t>BASE_UOM_HOSE_FITTING</t>
  </si>
  <si>
    <t>ORDER_UNIT_HOSE_FITTING</t>
  </si>
  <si>
    <t>ZSI1_HYD_CYLINDER</t>
  </si>
  <si>
    <t>ITEM_NAME_HYD_CYL</t>
  </si>
  <si>
    <t>MFR_NO_HYD_CYL</t>
  </si>
  <si>
    <t>BASE_UOM_HYD_CYL</t>
  </si>
  <si>
    <t>ORDER_UNIT_HYD_CYL</t>
  </si>
  <si>
    <t>ITEM_NAME_HYD_FITTING</t>
  </si>
  <si>
    <t>MFR_NO_HYD_FITTING</t>
  </si>
  <si>
    <t>BASE_UOM_HYD_FITTING</t>
  </si>
  <si>
    <t>ORDER_UNIT_HYD_FITTING</t>
  </si>
  <si>
    <t>ITEM_NAME_HYD_HOSE</t>
  </si>
  <si>
    <t>SIZE_HYD_HOSE</t>
  </si>
  <si>
    <t>MATERIAL_HYD_HOSE</t>
  </si>
  <si>
    <t>MFR_NO_HYD_HOSE</t>
  </si>
  <si>
    <t>BASE_UOM_HYD_HOSE</t>
  </si>
  <si>
    <t>ORDER_UNIT_HYD_HOSE</t>
  </si>
  <si>
    <t>ITEM_NAME_ICT_CABLE</t>
  </si>
  <si>
    <t>TYPE_ICT_CABLE</t>
  </si>
  <si>
    <t>BASE_UOM_PUPUK</t>
  </si>
  <si>
    <t>ORDER_UNIT_PUPUK</t>
  </si>
  <si>
    <t>ITEM_NAME_INSULATION_PIPE</t>
  </si>
  <si>
    <t>MFR_NO_INSULATION_PIPE</t>
  </si>
  <si>
    <t>SIZE_INSULATION_PIPE</t>
  </si>
  <si>
    <t>MATERIAL_INSULATION_PIPE</t>
  </si>
  <si>
    <t>BASE_UOM_INSULATION_PIPE</t>
  </si>
  <si>
    <t>ORDER_UNIT_INSULATION_PIPE</t>
  </si>
  <si>
    <t>ITEM_NAME_INVERTER</t>
  </si>
  <si>
    <t>POWER_KW_INVERTER</t>
  </si>
  <si>
    <t>VOLTAGE_V_INVERTER</t>
  </si>
  <si>
    <t>MFR_NO_INVERTER</t>
  </si>
  <si>
    <t>BASE_UOM_INVERTER</t>
  </si>
  <si>
    <t>ORDER_UNIT_INVERTER</t>
  </si>
  <si>
    <t>ITEM_NAME_JUMPER_BAR</t>
  </si>
  <si>
    <t>MFR_NO_JUMPER_BAR</t>
  </si>
  <si>
    <t>BASE_UOM_JUMPER_BAR</t>
  </si>
  <si>
    <t>ORDER_UNIT_JUMPER_BAR</t>
  </si>
  <si>
    <t>ITEM_NAME_KAIN_COVER</t>
  </si>
  <si>
    <t>EQUIPMENT_NAME_KAIN_COVER</t>
  </si>
  <si>
    <t>BASE_UOM_KAIN_COVER</t>
  </si>
  <si>
    <t>ORDER_UNIT_KAIN_COVER</t>
  </si>
  <si>
    <t>ITEM_NAME_KARPET</t>
  </si>
  <si>
    <t>DESIGN_NAME_KARPET</t>
  </si>
  <si>
    <t>DIMENSION_KARPET</t>
  </si>
  <si>
    <t>LENGTH_KARPET</t>
  </si>
  <si>
    <t>WIDTH_KARPET</t>
  </si>
  <si>
    <t>BASE_UOM_KARPET</t>
  </si>
  <si>
    <t>ORDER_UNIT_KARPET</t>
  </si>
  <si>
    <t>ITEM_NAME_KARTU</t>
  </si>
  <si>
    <t>DESIGN_KARTU</t>
  </si>
  <si>
    <t>LENGTH_MM_KARTU</t>
  </si>
  <si>
    <t>WIDTH_MM_KARTU</t>
  </si>
  <si>
    <t>BASE_UOM_KARTU</t>
  </si>
  <si>
    <t>ORDER_UNIT_KARTU</t>
  </si>
  <si>
    <t>ITEM_NAME_KITCHEN_APPLN</t>
  </si>
  <si>
    <t>TYPE_KITCHEN_APPLN</t>
  </si>
  <si>
    <t>BASE_UOM_KITCHEN_APPLN</t>
  </si>
  <si>
    <t>ORDER_UNIT_KITCHEN_APPLN</t>
  </si>
  <si>
    <t>ITEM_NAME_KUSEN</t>
  </si>
  <si>
    <t>BASE_UOM_KUSEN</t>
  </si>
  <si>
    <t>ORDER_UNIT_KUSEN</t>
  </si>
  <si>
    <t>SPECIES_NAME_LAB_CULTURE</t>
  </si>
  <si>
    <t>CULTURE_COL_TYPE_LAB_CULTURE</t>
  </si>
  <si>
    <t>CULTURE_COL_NUMBER_LAB_CULTURE</t>
  </si>
  <si>
    <t>BASE_UOM_LAB_CULTURE</t>
  </si>
  <si>
    <t>ORDER_UNIT_LAB_CULTURE</t>
  </si>
  <si>
    <t>Item Name</t>
  </si>
  <si>
    <t>Dimension</t>
  </si>
  <si>
    <t>Tipe Rivet</t>
  </si>
  <si>
    <t>Diameter</t>
  </si>
  <si>
    <t>Material</t>
  </si>
  <si>
    <t>Finishing</t>
  </si>
  <si>
    <t>ITEM_NAME_LAB_EQUIPMENT</t>
  </si>
  <si>
    <t>SERIES_LAB_EQUIPMENT</t>
  </si>
  <si>
    <t>BASE_UOM_LAB_EQUIPMENT</t>
  </si>
  <si>
    <t>ORDER_UNIT_LAB_EQUIPMENT</t>
  </si>
  <si>
    <t>ITEM_NAME_LAB_GLASSWARE</t>
  </si>
  <si>
    <t>CATALOGUE_NUMB_LAB_GLASSWARE</t>
  </si>
  <si>
    <t>SIZE_ML_LAB_GLASSWARE</t>
  </si>
  <si>
    <t>BASE_UOM_LAB_GLASSWARE</t>
  </si>
  <si>
    <t>ORDER_UNIT_LAB_GLASSWARE</t>
  </si>
  <si>
    <t>ITEM_NAME_LAB_MEDIA</t>
  </si>
  <si>
    <t>CATALOGUE_NUM_LAB_MEDIA</t>
  </si>
  <si>
    <t>BASE_UOM_LAB_MEDIA</t>
  </si>
  <si>
    <t>ORDER_UNIT_LAB_MEDIA</t>
  </si>
  <si>
    <t>ITEM_NAME_LAB_SIEVE</t>
  </si>
  <si>
    <t>MESH_SIZE_LAB_SIEVE</t>
  </si>
  <si>
    <t>SERIES_LAB_SIEVE</t>
  </si>
  <si>
    <t>BASE_UOM_LAB_SIEVE</t>
  </si>
  <si>
    <t>ORDER_UNIT_LAB_SIEVE</t>
  </si>
  <si>
    <t>ITEM_NAME_LADDER</t>
  </si>
  <si>
    <t>MFR_NO_LADDER</t>
  </si>
  <si>
    <t>LADDER_HEIGHT_MM_LADDER</t>
  </si>
  <si>
    <t>BASE_UOM_LADDER</t>
  </si>
  <si>
    <t>ORDER_UNIT_LADDER</t>
  </si>
  <si>
    <t>ITEM_NAME_LAMP</t>
  </si>
  <si>
    <t>MFR_NO_LAMP</t>
  </si>
  <si>
    <t>BULB_SHAPE_LAMP</t>
  </si>
  <si>
    <t>WATTAGE_W_LAMP</t>
  </si>
  <si>
    <t>VOLTAGE_V_LAMP</t>
  </si>
  <si>
    <t>COLOR_LAMP</t>
  </si>
  <si>
    <t>BASE_LAMP</t>
  </si>
  <si>
    <t>TEMP_C_LAMP</t>
  </si>
  <si>
    <t>ADDITIONAL_INFO_LAMP</t>
  </si>
  <si>
    <t>BASE_UOM_LAMP</t>
  </si>
  <si>
    <t>ORDER_UNIT_LAMP</t>
  </si>
  <si>
    <t>ITEM_NAME_LAMP_COMP</t>
  </si>
  <si>
    <t>MFR_NO_LAMP_COMP</t>
  </si>
  <si>
    <t>BASE_UOM_LAMP_COMP</t>
  </si>
  <si>
    <t>ORDER_UNIT_LAMP_COMP</t>
  </si>
  <si>
    <t>ITEM_NAME_LAUNDRY_EQP</t>
  </si>
  <si>
    <t>MFR_NO_LAUNDRY_EQP</t>
  </si>
  <si>
    <t>BASE_UOM_LAUNDRY_EQP</t>
  </si>
  <si>
    <t>ORDER_UNIT_LAUNDRY_EQP</t>
  </si>
  <si>
    <t>ITEM_NAME_LAUNDRY_SUPP</t>
  </si>
  <si>
    <t>VARIANT_LAUNDRY_SUPP</t>
  </si>
  <si>
    <t>BASE_UOM_LAUNDRY_SUPP</t>
  </si>
  <si>
    <t>ORDER_UNIT_LAUNDRY_SUPP</t>
  </si>
  <si>
    <t>ITEM_NAME_LIFTING_EQP</t>
  </si>
  <si>
    <t>MFR_NO_LIFTING_EQP</t>
  </si>
  <si>
    <t>BASE_UOM_LIFTING_EQP</t>
  </si>
  <si>
    <t>ORDER_UNIT_LIFTING_EQP</t>
  </si>
  <si>
    <t>ITEM_NAME_LIGHT_BOX</t>
  </si>
  <si>
    <t>WIDTH_MM_LIGHT_BOX</t>
  </si>
  <si>
    <t>LENGTH_MM_LIGHT_BOX</t>
  </si>
  <si>
    <t>MATERIAL_LIGHT_BOX</t>
  </si>
  <si>
    <t>BASE_UOM_LIGHT_BOX</t>
  </si>
  <si>
    <t>ORDER_UNIT_LIGHT_BOX</t>
  </si>
  <si>
    <t>ITEM_NAME_LIGHT_FIXTURE</t>
  </si>
  <si>
    <t>MFR_NO_LIGHT_FIXTURE</t>
  </si>
  <si>
    <t>BASE_UOM_LIGHT_FIXTURE</t>
  </si>
  <si>
    <t>ORDER_UNIT_LIGHT_FIXTURE</t>
  </si>
  <si>
    <t>ITEM_NAME_LIME</t>
  </si>
  <si>
    <t>JENIS_LIME_LIME</t>
  </si>
  <si>
    <t>ITEM_SIZE_KG_LIME</t>
  </si>
  <si>
    <t>BASE_UOM_LIME</t>
  </si>
  <si>
    <t>ORDER_UNIT_LIME</t>
  </si>
  <si>
    <t>ITEM_NAME_LOCK_KEY</t>
  </si>
  <si>
    <t>SERIES_LOCK_KEY</t>
  </si>
  <si>
    <t>BASE_UOM_LOCK_KEY</t>
  </si>
  <si>
    <t>ORDER_UNIT_LOCK_KEY</t>
  </si>
  <si>
    <t>Ada Brand?</t>
  </si>
  <si>
    <t>Brand</t>
  </si>
  <si>
    <t>Size</t>
  </si>
  <si>
    <t>ITEM_NAME_LOCK_NUT</t>
  </si>
  <si>
    <t>MFR_NO_LOCK_NUT</t>
  </si>
  <si>
    <t>BASE_UOM_LOCK_NUT</t>
  </si>
  <si>
    <t>ORDER_UNIT_LOCK_NUT</t>
  </si>
  <si>
    <t>ITEM_NAME_LOGO_PROJECT</t>
  </si>
  <si>
    <t>BASE_UOM_LOGO_PROJECT</t>
  </si>
  <si>
    <t>ORDER_UNIT_LOGO_PROJECT</t>
  </si>
  <si>
    <t>ITEM_NAME_LUB_OIL</t>
  </si>
  <si>
    <t>MFR_NO_LUB_OIL</t>
  </si>
  <si>
    <t>SIZE_L_LUB_OIL</t>
  </si>
  <si>
    <t>BASE_UOM_LUB_OIL</t>
  </si>
  <si>
    <t>ORDER_UNIT_LUB_OIL</t>
  </si>
  <si>
    <t>ITEM_NAME_MANUAL_BOOK</t>
  </si>
  <si>
    <t>DESIGN_MANUAL_BOOK</t>
  </si>
  <si>
    <t>BASE_UOM_MANUAL_BOOK</t>
  </si>
  <si>
    <t>ORDER_UNIT_MANUAL_BOOK</t>
  </si>
  <si>
    <t>ITEM_NAME_MATL_HANDLING</t>
  </si>
  <si>
    <t>MFR_NO_MATL_HANDLING</t>
  </si>
  <si>
    <t>BASE_UOM_MATL_HANDLING</t>
  </si>
  <si>
    <t>ORDER_UNIT_MATL_HANDLING</t>
  </si>
  <si>
    <t>ITEM_NAME_MC_COMPONENT</t>
  </si>
  <si>
    <t>MFR_NO_MC_COMPONENT</t>
  </si>
  <si>
    <t>BASE_UOM_MC_COMPONENT</t>
  </si>
  <si>
    <t>ORDER_UNIT_MC_COMPONENT</t>
  </si>
  <si>
    <t>ITEM_NAME_MDF_BOARD</t>
  </si>
  <si>
    <t>MATERIAL_MDF_BOARD</t>
  </si>
  <si>
    <t>THICKNESS_MM_MDF_BOARD</t>
  </si>
  <si>
    <t>LENGTH_MM_MDF_BOARD</t>
  </si>
  <si>
    <t>WIDTH_MM_MDF_BOARD</t>
  </si>
  <si>
    <t>BASE_UOM_MDF_BOARD</t>
  </si>
  <si>
    <t>ORDER_UNIT_MDF_BOARD</t>
  </si>
  <si>
    <t>ITEM_NAME_MEASURE_INST</t>
  </si>
  <si>
    <t>MFR_NO_MEASURE_INST</t>
  </si>
  <si>
    <t>ADA_RANGE_MEASURE_INST</t>
  </si>
  <si>
    <t>RANGE1_MEASURE_INST</t>
  </si>
  <si>
    <t>SATUAN_RANGE1_MEASURE_INST</t>
  </si>
  <si>
    <t>RANGE2_MEASURE_INST</t>
  </si>
  <si>
    <t>SATUAN_RANGE2_MEASURE_INST</t>
  </si>
  <si>
    <t>BASE_UOM_MEASURE_INST</t>
  </si>
  <si>
    <t>ORDER_UNIT_MEASURE_INST</t>
  </si>
  <si>
    <t>ITEM_NAME_MECH_SEAL</t>
  </si>
  <si>
    <t>DIMENSION_MECH_SEAL</t>
  </si>
  <si>
    <t>SHAFT_SLEEVE_DIA_IN_MECH_SEAL</t>
  </si>
  <si>
    <t>SHAFT_SLEEVE_DIA_MM_MECH_SEAL</t>
  </si>
  <si>
    <t>MFR_NO_MECH_SEAL</t>
  </si>
  <si>
    <t>BASE_UOM_MECH_SEAL</t>
  </si>
  <si>
    <t>ORDER_UNIT_MECH_SEAL</t>
  </si>
  <si>
    <t>ITEM_NAME_MED_SUPPLIES</t>
  </si>
  <si>
    <t>SPECIFICATION_MED_SUPPLIES</t>
  </si>
  <si>
    <t>ISI_PER_PAC_MED_SUPPLIES</t>
  </si>
  <si>
    <t>BASE_UOM_MED_SUPPLIES</t>
  </si>
  <si>
    <t>ORDER_UNIT_MED_SUPPLIES</t>
  </si>
  <si>
    <t>ITEM_NAME_MEDICAL_EQUIP</t>
  </si>
  <si>
    <t>MFR_NO_MEDICAL_EQUIP</t>
  </si>
  <si>
    <t>BASE_UOM_MEDICAL_EQUIP</t>
  </si>
  <si>
    <t>ORDER_UNIT_MEDICAL_EQUIP</t>
  </si>
  <si>
    <t>ITEM_NAME_MISC_CONTAIN</t>
  </si>
  <si>
    <t>ITEM_DETAIL_TYPE_MISC_CONTAIN</t>
  </si>
  <si>
    <t>DIMENSION_MISC_CONTAIN</t>
  </si>
  <si>
    <t>VOLUME_L_MISC_CONTAIN</t>
  </si>
  <si>
    <t>LENGTH_CM_MISC_CONTAIN</t>
  </si>
  <si>
    <t>WIDTH_CM_MISC_CONTAIN</t>
  </si>
  <si>
    <t>HEIGHT_CM_MISC_CONTAIN</t>
  </si>
  <si>
    <t>BASE_UOM_MISC_CONTAIN</t>
  </si>
  <si>
    <t>ORDER_UNIT_MISC_CONTAIN</t>
  </si>
  <si>
    <t>MATERIAL_MISC_CONTAIN</t>
  </si>
  <si>
    <t>THICKNESS_MM_MISC_CONTAIN</t>
  </si>
  <si>
    <t>WIDTH_MM_MISC_CONTAIN</t>
  </si>
  <si>
    <t>HEIGHT_MM_MISC_CONTAIN</t>
  </si>
  <si>
    <t>ITEM_NAME_MISC_FASTENER</t>
  </si>
  <si>
    <t>SIZE_MISC_FASTENER</t>
  </si>
  <si>
    <t>MATERIAL_MISC_FASTENER</t>
  </si>
  <si>
    <t>BASE_UOM_MISC_FASTENER</t>
  </si>
  <si>
    <t>ORDER_UNIT_MISC_FASTENER</t>
  </si>
  <si>
    <t>ITEM_NAME_MIX_EQP</t>
  </si>
  <si>
    <t>MFR_NO_MIX_EQP</t>
  </si>
  <si>
    <t>SPEC_MIX_EQP</t>
  </si>
  <si>
    <t>BASE_UOM_MIX_EQP</t>
  </si>
  <si>
    <t>ORDER_UNIT_MIX_EQP</t>
  </si>
  <si>
    <t>ITEM_NAME_MOLDING</t>
  </si>
  <si>
    <t>DESIGN_MOLDING</t>
  </si>
  <si>
    <t>NUMB_CAVITIES_PREFORM_MOLD</t>
  </si>
  <si>
    <t>MOLDING_ID</t>
  </si>
  <si>
    <t>BASE_UOM_MOLDING</t>
  </si>
  <si>
    <t>ORDER_UNIT_MOLDING</t>
  </si>
  <si>
    <t>ITEM_NAME_MTR_GEN_COMP</t>
  </si>
  <si>
    <t>MFR_NO_MTR_GEN_COMP</t>
  </si>
  <si>
    <t>BASE_UOM_MTR_GEN_COMP</t>
  </si>
  <si>
    <t>ORDER_UNIT_MTR_GEN_COMP</t>
  </si>
  <si>
    <t>ITEM_NAME_NAILS</t>
  </si>
  <si>
    <t>DIMENSION_NAILS</t>
  </si>
  <si>
    <t>RIVET_TYPE_NAILS</t>
  </si>
  <si>
    <t>DIAMETER_MM_NAILS</t>
  </si>
  <si>
    <t>DIAMETER_INCH_NAILS</t>
  </si>
  <si>
    <t>LENGTH_NAILS</t>
  </si>
  <si>
    <t>MATERIAL_NAILS</t>
  </si>
  <si>
    <t>FINISHING_NAILS</t>
  </si>
  <si>
    <t>BASE_UOM_NAILS</t>
  </si>
  <si>
    <t>ORDER_UNIT_NAILS</t>
  </si>
  <si>
    <t>ITEM_NAME_NETWORK_EQP</t>
  </si>
  <si>
    <t>MFR_NO_NETWORK_EQP</t>
  </si>
  <si>
    <t>BASE_UOM_NETWORK_EQP</t>
  </si>
  <si>
    <t>ORDER_UNIT_NETWORK_EQP</t>
  </si>
  <si>
    <t>ITEM_NAME_NIPPLE_GREASE</t>
  </si>
  <si>
    <t>THREAD_DIMENSION_NIPPLE_GREASE</t>
  </si>
  <si>
    <t>THREAD_SIZE_MM_NIPPLE_GREASE</t>
  </si>
  <si>
    <t>THREAD_SIZE_INCH_NIPPLE_GREASE</t>
  </si>
  <si>
    <t>MATERIAL_NIPPLE_GREASE</t>
  </si>
  <si>
    <t>BASE_UOM_NIPPLE_GREASE</t>
  </si>
  <si>
    <t>ORDER_UNIT_NIPPLE_GREASE</t>
  </si>
  <si>
    <t>ITEM_NAME_NON_ELEC_WIRE</t>
  </si>
  <si>
    <t>MATERIAL_NON_ELEC_WIRE</t>
  </si>
  <si>
    <t>WIRE_DIAMETER_MM_NON_ELEC_WIRE</t>
  </si>
  <si>
    <t>WIRE_LENGTH_MM_NON_ELEC_WIRE</t>
  </si>
  <si>
    <t>BASE_UOM_NON_ELEC_WIRE</t>
  </si>
  <si>
    <t>ORDER_UNIT_NON_ELEC_WIRE</t>
  </si>
  <si>
    <t>ITEM_NAME_NUT</t>
  </si>
  <si>
    <t>DIMENSION_NUT</t>
  </si>
  <si>
    <t>DIAMETER_IN_NUT</t>
  </si>
  <si>
    <t>DIAMETER_MM_NUT</t>
  </si>
  <si>
    <t>THREADS_IN_NUT</t>
  </si>
  <si>
    <t>THREADS_MM_NUT</t>
  </si>
  <si>
    <t>MATERIAL_NUT</t>
  </si>
  <si>
    <t>FINISHING_NUT</t>
  </si>
  <si>
    <t>THREAD_DIRECTION_NUT</t>
  </si>
  <si>
    <t>BASE_UOM_NUT</t>
  </si>
  <si>
    <t>ORDER_UNIT_NUT</t>
  </si>
  <si>
    <t>ITEM_NAME_O_RING</t>
  </si>
  <si>
    <t>DIMENSION_O_RING</t>
  </si>
  <si>
    <t>INSIDE_DIAMETER_IN_O_RING</t>
  </si>
  <si>
    <t>INSIDE_DIAMETER_MM_O_RING</t>
  </si>
  <si>
    <t>OUTSIDE_DIAMETER_IN_O_RING</t>
  </si>
  <si>
    <t>OUTSIDE_DIAMETER_MM_O_RING</t>
  </si>
  <si>
    <t>WIDTH_IN_O_RING</t>
  </si>
  <si>
    <t>WIDTH_MM_O_RING</t>
  </si>
  <si>
    <t>MATERIAL_O_RING</t>
  </si>
  <si>
    <t>BASE_UOM_O_RING</t>
  </si>
  <si>
    <t>ORDER_UNIT_O_RING</t>
  </si>
  <si>
    <t>ITEM_NAME_OEM_PART</t>
  </si>
  <si>
    <t>MFR_NO_OEM_PART</t>
  </si>
  <si>
    <t>EQUIP_NAME_OEM_PART</t>
  </si>
  <si>
    <t>BASE_UOM_OEM_PART</t>
  </si>
  <si>
    <t>ORDER_UNIT_OEM_PART</t>
  </si>
  <si>
    <t>ITEM_NAME_OFFICE_BOARDS</t>
  </si>
  <si>
    <t>LENGTH_MM_OFFICE_BOARDS</t>
  </si>
  <si>
    <t>WIDTH_MM_OFFICE_BOARDS</t>
  </si>
  <si>
    <t>BASE_UOM_OFFICE_BOARDS</t>
  </si>
  <si>
    <t>ORDER_UNIT_OFFICE_BOARDS</t>
  </si>
  <si>
    <t>ITEM_NAME_OFFICE_EQUIP</t>
  </si>
  <si>
    <t>MFR_NO_OFFICE_EQUIP</t>
  </si>
  <si>
    <t>BASE_UOM_OFFICE_EQUIP</t>
  </si>
  <si>
    <t>ORDER_UNIT_OFFICE_EQUIP</t>
  </si>
  <si>
    <t>ITEM_NAME_OFFICE_ORGZ</t>
  </si>
  <si>
    <t>WIDTH_MM_OFFICE_ORGZ</t>
  </si>
  <si>
    <t>LENGTH_MM_OFFICE_ORGZ</t>
  </si>
  <si>
    <t>HEIGHT_MM_OFFICE_ORGZ</t>
  </si>
  <si>
    <t>MATERIAL_OFFICE_ORGZ</t>
  </si>
  <si>
    <t>ADDIITIONAL_INFO_OFFICE_ORGZ</t>
  </si>
  <si>
    <t>BASE_UOM_OFFICE_ORGZ</t>
  </si>
  <si>
    <t>ORDER_UNIT_OFFICE_ORGZ</t>
  </si>
  <si>
    <t>ITEM_NAME_OFFICE_PAPER</t>
  </si>
  <si>
    <t>PAPER_SIZE_OFFICE_PAPER</t>
  </si>
  <si>
    <t>PAPER_WEIGHT_GSM_OFFICE_PAPER</t>
  </si>
  <si>
    <t>BASE_UOM_OFFICE_PAPER</t>
  </si>
  <si>
    <t>ORDER_UNIT_OFFICE_PAPER</t>
  </si>
  <si>
    <t>ITEM_NAME_OFFICE_SUPP</t>
  </si>
  <si>
    <t>SERIES_OFFICE_SUPP</t>
  </si>
  <si>
    <t>ISI_PER_PAC_OFFICE_SUPP</t>
  </si>
  <si>
    <t>BASE_UOM_OFFICE_SUPP</t>
  </si>
  <si>
    <t>ORDER_UNIT_OFFICE_SUPP</t>
  </si>
  <si>
    <t>ITEM_NAME_OIL_SEAL</t>
  </si>
  <si>
    <t>TYPE_OIL_SEAL</t>
  </si>
  <si>
    <t>INSIDE_DIAMETER_MM_OIL_SEAL</t>
  </si>
  <si>
    <t>OUTSIDE_DIAMETER_MM_OIL_SEAL</t>
  </si>
  <si>
    <t>WIDTH_MM_OIL_SEAL</t>
  </si>
  <si>
    <t>SEAL_MATERIAL_OIL_SEAL</t>
  </si>
  <si>
    <t>BASE_UOM_OIL_SEAL</t>
  </si>
  <si>
    <t>ORDER_UNIT_OIL_SEAL</t>
  </si>
  <si>
    <t>ITEM_NAME_PACKING_SUPP</t>
  </si>
  <si>
    <t>EXTENAL_BRAND</t>
  </si>
  <si>
    <t>TYPE_PACKING_SUPP</t>
  </si>
  <si>
    <t>MATERIAL_PACKING_SUPP</t>
  </si>
  <si>
    <t>DIMENSION_SIZE_PACKING_SUPP</t>
  </si>
  <si>
    <t>SIZE_PACKING_SUPP</t>
  </si>
  <si>
    <t>BASE_UOM_PACKING_SUPP</t>
  </si>
  <si>
    <t>ORDER_UNIT_PACKING_SUPP</t>
  </si>
  <si>
    <t>ITEM_NAME_PAINT_ACCS</t>
  </si>
  <si>
    <t>MATERIAL_PAINT_ACCS</t>
  </si>
  <si>
    <t>BRUSH_DIMENSION_PAINT_ACCS</t>
  </si>
  <si>
    <t>BRUSH_SIZE_IN_PAINT_ACCS</t>
  </si>
  <si>
    <t>BRUSH_SIZE_MM_PAINT_ACCS</t>
  </si>
  <si>
    <t>BASE_UOM_PAINT_ACCS</t>
  </si>
  <si>
    <t>ORDER_UNIT_PAINT_ACCS</t>
  </si>
  <si>
    <t>ITEM_NAME_PAINT_FINISH</t>
  </si>
  <si>
    <t>SERIES_NAME_PAINT_FINISH</t>
  </si>
  <si>
    <t>SERIES_COLOR_PAINT_FINISH</t>
  </si>
  <si>
    <t>CAP_DIMENSION_PAINT_FINISH</t>
  </si>
  <si>
    <t>CAPACITY_PAINT_FINISH</t>
  </si>
  <si>
    <t>BASE_UOM_PAINT_FINISH</t>
  </si>
  <si>
    <t>ORDER_UNIT_PAINT_FINISH</t>
  </si>
  <si>
    <t>ITEM_NAME_PALLETS</t>
  </si>
  <si>
    <t>MATERIAL_PALLETS</t>
  </si>
  <si>
    <t>ITEM_DETAILED_TYPE_PALLETS</t>
  </si>
  <si>
    <t>LENGTH_MM_PALLETS</t>
  </si>
  <si>
    <t>WIDTH_MM_PALLETS</t>
  </si>
  <si>
    <t>HEIGHT_MM_PALLETS</t>
  </si>
  <si>
    <t>BASE_UOM_PALLETS</t>
  </si>
  <si>
    <t>ORDER_UNIT_PALLETS</t>
  </si>
  <si>
    <t>ITEM_NAME_PANEL_BOX</t>
  </si>
  <si>
    <t>MATERIAL_PANEL_BOX</t>
  </si>
  <si>
    <t>HEIGHT_MM_PANEL_BOX</t>
  </si>
  <si>
    <t>WIDTH_MM_PANEL_BOX</t>
  </si>
  <si>
    <t>LENGTH_MM_PANEL_BOX</t>
  </si>
  <si>
    <t>BASE_UOM_PANEL_BOX</t>
  </si>
  <si>
    <t>ORDER_UNIT_PANEL_BOX</t>
  </si>
  <si>
    <t>ITEM_NAME_PAPER_CUTTER</t>
  </si>
  <si>
    <t>CUT_SIZE_PAPER_CUTTER</t>
  </si>
  <si>
    <t>SERIES_PAPER_CUTTER</t>
  </si>
  <si>
    <t>BASE_UOM_PAPER_CUTTER</t>
  </si>
  <si>
    <t>ORDER_UNIT_PAPER_CUTTER</t>
  </si>
  <si>
    <t>PART_NAME_PART_MOLDING</t>
  </si>
  <si>
    <t>MOLD_ID_MOLDING</t>
  </si>
  <si>
    <t>BASE_UOM_PART_MOLDING</t>
  </si>
  <si>
    <t>ORDER_UNIT_PART_MOLDING</t>
  </si>
  <si>
    <t>ITEM_NAME_PERM_STRCTURE</t>
  </si>
  <si>
    <t>DIMENSION_PERM_STRCTURE</t>
  </si>
  <si>
    <t>HEIGHT_MM_PERM_STRCTURE</t>
  </si>
  <si>
    <t>HEIGHT_INCH_PERM_STRCTURE</t>
  </si>
  <si>
    <t>WIDTH_MM_PERM_STRCTURE</t>
  </si>
  <si>
    <t>WIDTH_INCH_PERM_STRCTURE</t>
  </si>
  <si>
    <t>LENGTH_MM_PERM_STRCTURE</t>
  </si>
  <si>
    <t>LENGTH_INCH_PERM_STRCTURE</t>
  </si>
  <si>
    <t>BASE_UOM_PERM_STRCTURE</t>
  </si>
  <si>
    <t>ORDER_UNIT_PERM_STRCTURE</t>
  </si>
  <si>
    <t>ITEM_NAME_PERSONAL_SAFE</t>
  </si>
  <si>
    <t>DESIGN_PERSONAL_SAFE</t>
  </si>
  <si>
    <t>SIZE_PERSONAL_SAFE</t>
  </si>
  <si>
    <t>BASE_UOM_PERSONAL_SAFE</t>
  </si>
  <si>
    <t>ORDER_UNIT_PERSONAL_SAFE</t>
  </si>
  <si>
    <t>ITEM_NAME_PEST_CONTROL</t>
  </si>
  <si>
    <t>SERIES_PEST_CONTROL</t>
  </si>
  <si>
    <t>DIMENSION_PEST_CONTROL</t>
  </si>
  <si>
    <t>SIZE_KG_PEST_CONTROL</t>
  </si>
  <si>
    <t>SIZE_L_PEST_CONTROL</t>
  </si>
  <si>
    <t>SIZE_ML_PEST_CONTROL</t>
  </si>
  <si>
    <t>SIZE_G_PEST_CONTROL</t>
  </si>
  <si>
    <t>BASE_UOM_PEST_CONTROL</t>
  </si>
  <si>
    <t>ORDER_UNIT_PEST_CONTROL</t>
  </si>
  <si>
    <t>ITEM_NAME_PHARMA_DRUGS</t>
  </si>
  <si>
    <t>VARIANT_PHARMA_DRUGS</t>
  </si>
  <si>
    <t>BASE_UOM_PHARMA_DRUGS</t>
  </si>
  <si>
    <t>ORDER_UNIT_PHARMA_DRUGS</t>
  </si>
  <si>
    <t>ITEM_NAME_PHONE_SYSTEM</t>
  </si>
  <si>
    <t>MFR_NO_PHONE_SYSTEM</t>
  </si>
  <si>
    <t>NO_OF_EXTENSION_PHONE_SYSTEM</t>
  </si>
  <si>
    <t>NO_OF_COLINE_PHONE_SYSTEM</t>
  </si>
  <si>
    <t>BASE_UOM_PHONE_SYSTEM</t>
  </si>
  <si>
    <t>ORDER_UNIT_PHONE_SYSTEM</t>
  </si>
  <si>
    <t>ZSI1_PHOTO_EQP</t>
  </si>
  <si>
    <t>ITEM_NAME_PHOTO_EQP</t>
  </si>
  <si>
    <t>ITEM_NAME_PIPE</t>
  </si>
  <si>
    <t>TYPE_PIPE</t>
  </si>
  <si>
    <t>DIMENSION_PIPE</t>
  </si>
  <si>
    <t>SIZE_IN_PIPE</t>
  </si>
  <si>
    <t>SIZE_MM_PIPE</t>
  </si>
  <si>
    <t>LENGTH_IN_PIPE</t>
  </si>
  <si>
    <t>LENGTH_MM_PIPE</t>
  </si>
  <si>
    <t>ENDS_PIPE</t>
  </si>
  <si>
    <t>STRUCTURE_PIPE</t>
  </si>
  <si>
    <t>DESIGN_RATING_SCH_PIPE</t>
  </si>
  <si>
    <t>DESIGN_RATING_PN_PIPE</t>
  </si>
  <si>
    <t>MATERIAL_PIPE</t>
  </si>
  <si>
    <t>BASE_UOM_PIPE</t>
  </si>
  <si>
    <t>ORDER_UNIT_PIPE</t>
  </si>
  <si>
    <t>ITEM_NAME_PIPE_CAPS</t>
  </si>
  <si>
    <t>MATERIAL_PIPE_CAPS</t>
  </si>
  <si>
    <t>SIZE_DIMENSION_PIPE_CAPS</t>
  </si>
  <si>
    <t>SIZE_MM_PIPE_CAPS</t>
  </si>
  <si>
    <t>SIZE_INCH_PIPE_CAPS</t>
  </si>
  <si>
    <t>BASE_UOM_PIPE_CAPS</t>
  </si>
  <si>
    <t>ORDER_UNIT_PIPE_CAPS</t>
  </si>
  <si>
    <t>ITEM_NAME_PIPE_CONNECT</t>
  </si>
  <si>
    <t>DIMENSION_PIPE_CONNECT</t>
  </si>
  <si>
    <t>PIPE_SIZE_DIAMETER_PIPE_CONN</t>
  </si>
  <si>
    <t>EXT_THREAD_DIAMETER_PIPE_CONN</t>
  </si>
  <si>
    <t>THREADED_TYPE_PIPE_CONNECT</t>
  </si>
  <si>
    <t>END_CONNECTION_PIPE_CONNECT</t>
  </si>
  <si>
    <t>RATING_PIPE_CONNECT</t>
  </si>
  <si>
    <t>MATERIAL_PIPE_CONNECT</t>
  </si>
  <si>
    <t>FINISHING_PIPE_CONNECT</t>
  </si>
  <si>
    <t>BASE_UOM_PIPE_CONNECT</t>
  </si>
  <si>
    <t>ORDER_UNIT_PIPE_CONNECT</t>
  </si>
  <si>
    <t>ITEM_NAME_PIPE_COUPLING</t>
  </si>
  <si>
    <t>TYPE_PIPE_COUPLING</t>
  </si>
  <si>
    <t>DIMENSION_PIPE_COUPLING</t>
  </si>
  <si>
    <t>DIAMETER_PIPE_COUPLING</t>
  </si>
  <si>
    <t>PRESSURE_PN_PIPE_COUPLING</t>
  </si>
  <si>
    <t>SCHEDULE_PIPE_COUPLING</t>
  </si>
  <si>
    <t>PRESSURE_KPSI_PIPE_COUPLING</t>
  </si>
  <si>
    <t>END_CONNECT_PIPE_COUPLING</t>
  </si>
  <si>
    <t>MATERIAL_PIPE_COUPLING</t>
  </si>
  <si>
    <t>BASE_UOM_PIPE_COUPLING</t>
  </si>
  <si>
    <t>ORDER_UNIT_PIPE_COUPLING</t>
  </si>
  <si>
    <t>ITEM_NAME_PIPE_ELBOW</t>
  </si>
  <si>
    <t>DIMENSION_PIPE_ELBOW</t>
  </si>
  <si>
    <t>SIZE_MM_PIPE_ELBOW</t>
  </si>
  <si>
    <t>SIZE_INCH_PIPE_ELBOW</t>
  </si>
  <si>
    <t>CONNECTION_PIPE_ELBOW</t>
  </si>
  <si>
    <t>DEGREE_PIPE_ELBOW</t>
  </si>
  <si>
    <t>RADIUS_PIPE_ELBOW</t>
  </si>
  <si>
    <t>RATING_PIPE_ELBOW</t>
  </si>
  <si>
    <t>MATERIAL_PIPE_ELBOW</t>
  </si>
  <si>
    <t>FINISHING_PIPE_ELBOW</t>
  </si>
  <si>
    <t>STRUCTURE_PIPE_ELBOW</t>
  </si>
  <si>
    <t>BASE_UOM_PIPE_ELBOW</t>
  </si>
  <si>
    <t>ORDER_UNIT_PIPE_ELBOW</t>
  </si>
  <si>
    <t>ZSI1_PIPE_EXPJOINT</t>
  </si>
  <si>
    <t>ITEM_NAME_EXP_JOINT</t>
  </si>
  <si>
    <t>DIMENSION_DIAMETER_EXP_JOINT</t>
  </si>
  <si>
    <t>DIAMETER_EXP_JOINT</t>
  </si>
  <si>
    <t>PRESS_RATING_KPSI_EXP_JOINT</t>
  </si>
  <si>
    <t>PRESSURE_RATIN_PN_EXP_JOINT</t>
  </si>
  <si>
    <t>LENGTH_MM_EXP_JOINT</t>
  </si>
  <si>
    <t>MATERIAL_EXP_JOINT</t>
  </si>
  <si>
    <t>BASE_UOM_EXP_JOINT</t>
  </si>
  <si>
    <t>ORDER_UNIT_EXP_JOINT</t>
  </si>
  <si>
    <t>ITEM_NAME_PIPE_FLANGE</t>
  </si>
  <si>
    <t>TYPE_PIPE_FLANGE</t>
  </si>
  <si>
    <t>DIMENSION_PIPE_FLANGE</t>
  </si>
  <si>
    <t>SIZE_MM_PIPE_FLANGE</t>
  </si>
  <si>
    <t>SIZE_INCH_PIPE_FLANGE</t>
  </si>
  <si>
    <t>RATING_PIPE_FLANGE</t>
  </si>
  <si>
    <t>MATERIAL_PIPE_FLANGE</t>
  </si>
  <si>
    <t>FINISHING_PIPE_FLANGE</t>
  </si>
  <si>
    <t>BASE_UOM_PIPE_FLANGE</t>
  </si>
  <si>
    <t>ORDER_UNIT_PIPE_FLANGE</t>
  </si>
  <si>
    <t>ITEM_NAME_PIPE_NIPPLE</t>
  </si>
  <si>
    <t>MATERIAL_PIPE_NIPPLE</t>
  </si>
  <si>
    <t>PITCH_DIMENSION_PIPE_NIPPLE</t>
  </si>
  <si>
    <t>PITCH_SIZE_MM_PIPE_NIPPLE</t>
  </si>
  <si>
    <t>PITCH_SIZE_INCH_PIPE_NIPPLE</t>
  </si>
  <si>
    <t>BASE_UOM_PIPE_NIPPLE</t>
  </si>
  <si>
    <t>ORDER_UNIT_PIPE_NIPPLE</t>
  </si>
  <si>
    <t>ITEM_NAME_PIPE_REDUCER</t>
  </si>
  <si>
    <t>MATERIAL_PIPE_REDUCER</t>
  </si>
  <si>
    <t>DIMENSION_TYPE_PIPE_REDUCER</t>
  </si>
  <si>
    <t>DIAMETER_1_IN_PIPE_REDUCER</t>
  </si>
  <si>
    <t>DIAMETER_2_IN_PIPE_REDUCER</t>
  </si>
  <si>
    <t>DIAMETER_1_MM_PIPE_REDUCER</t>
  </si>
  <si>
    <t>DIAMETER_2_MM_PIPE_REDUCER</t>
  </si>
  <si>
    <t>PRESSURE_K_PSI_PIPE_REDUCER</t>
  </si>
  <si>
    <t>PRESSURE_PN_PIPE_REDUCER</t>
  </si>
  <si>
    <t>END_CONNECTION_PIPE_REDUCER</t>
  </si>
  <si>
    <t>FINISHING_PIPE_REDUCER</t>
  </si>
  <si>
    <t>BASE_UOM_PIPE_REDUCER</t>
  </si>
  <si>
    <t>ORDER_UNIT_PIPE_REDUCER</t>
  </si>
  <si>
    <t>ITEM_NAME_PIPE_STRAINER</t>
  </si>
  <si>
    <t>SIZE_DIMENSION_PIPE_STRAINER</t>
  </si>
  <si>
    <t>SIZE_MM_PIPE_STRAINER</t>
  </si>
  <si>
    <t>SIZE_INCH_PIPE_STRAINER</t>
  </si>
  <si>
    <t>MATERIAL_PIPE_STRAINER</t>
  </si>
  <si>
    <t>FINISHING_PIPE_STRAINER</t>
  </si>
  <si>
    <t>CONNECTION_TYPE_PIPE_STRAINER</t>
  </si>
  <si>
    <t>BASE_UOM_PIPE_STRAINER</t>
  </si>
  <si>
    <t>ORDER_UNIT_PIPE_STRAINER</t>
  </si>
  <si>
    <t>ITEM_NAME_PIPE_TEE</t>
  </si>
  <si>
    <t>DIMENSION_PIPE_TEE</t>
  </si>
  <si>
    <t>SIZE_MM_PIPE_TEE</t>
  </si>
  <si>
    <t>SIZE_INCH_PIPE_TEE</t>
  </si>
  <si>
    <t>CONNECTION_PIPE_TEE</t>
  </si>
  <si>
    <t>RATING_PIPE_TEE</t>
  </si>
  <si>
    <t>MATERIAL_PIPE_TEE</t>
  </si>
  <si>
    <t>FINISHING_PIPE_TEE</t>
  </si>
  <si>
    <t>BASE_UOM_PIPE_TEE</t>
  </si>
  <si>
    <t>ORDER_UNIT_PIPE_TEE</t>
  </si>
  <si>
    <t>ITEM_NAME_PIPE_WYE</t>
  </si>
  <si>
    <t>DIMENSION_PIPE_WYE</t>
  </si>
  <si>
    <t>DIAMETER_PIPE_WYE</t>
  </si>
  <si>
    <t>PRESSURE_RATING_PN_PIPE_WYE</t>
  </si>
  <si>
    <t>PRESSURE_SCH_KPSI_PIPE_WYE</t>
  </si>
  <si>
    <t>BRANCH_LENGTH_PIPE_WYE</t>
  </si>
  <si>
    <t>OVERALL_LENGTH_PIPE_WYE</t>
  </si>
  <si>
    <t>END_CONNECT_PIPE_WYE</t>
  </si>
  <si>
    <t>MATERIAL_PIPE_WYE</t>
  </si>
  <si>
    <t>BASE_UOM_PIPE_WYE</t>
  </si>
  <si>
    <t>ORDER_UNIT_PIPE_WYE</t>
  </si>
  <si>
    <t>ITEM_NAME_PLAIN_PLATE</t>
  </si>
  <si>
    <t>PLATE_SURFACE_DSGN_PLAIN_PLATE</t>
  </si>
  <si>
    <t>PLATE_THICKNESS_MM_PLAIN_PLATE</t>
  </si>
  <si>
    <t>PLATE_WIDTH_FT_PLAIN_PLATE</t>
  </si>
  <si>
    <t>PLATE_LENGTH_FT_PLAIN_PLATE</t>
  </si>
  <si>
    <t>PLATE_MATERIAL_PLAIN_PLATE</t>
  </si>
  <si>
    <t>BASE_UOM_PLAIN_PLATE</t>
  </si>
  <si>
    <t>ORDER_UNIT_PLAIN_PLATE</t>
  </si>
  <si>
    <t>ITEM_NAME_PLANT</t>
  </si>
  <si>
    <t>SPECIES_PLANT</t>
  </si>
  <si>
    <t>SPEC_PLANT</t>
  </si>
  <si>
    <t>ADDITIONAL_INFO_PLANT</t>
  </si>
  <si>
    <t>BASE_UOM_PLANT</t>
  </si>
  <si>
    <t>ORDER_UNIT_PLANT</t>
  </si>
  <si>
    <t>ITEM_NAME_PLASTIC_MC</t>
  </si>
  <si>
    <t>MFR_NO_PLASTIC_MC</t>
  </si>
  <si>
    <t>BASE_UOM_PLASTIC_MC</t>
  </si>
  <si>
    <t>ORDER_UNIT_PLASTIC_MC</t>
  </si>
  <si>
    <t>ITEM_NAME_PLC</t>
  </si>
  <si>
    <t>MFR_NO_PLC</t>
  </si>
  <si>
    <t>BASE_UOM_PLC</t>
  </si>
  <si>
    <t>ORDER_UNIT_PLC</t>
  </si>
  <si>
    <t>ITEM_NAME_PLUMBING_FXTR</t>
  </si>
  <si>
    <t>MFR_NO_PLUMBING_FXTR</t>
  </si>
  <si>
    <t>BASE_UOM_PLUMBING_FXTR</t>
  </si>
  <si>
    <t>ORDER_UNIT_PLUMBING_FXTR</t>
  </si>
  <si>
    <t>ITEM_NAME_PNEU_CONN</t>
  </si>
  <si>
    <t>MFR_NO_PNEU_CONN</t>
  </si>
  <si>
    <t>BASE_UOM_PNEU_CONN</t>
  </si>
  <si>
    <t>ORDER_UNIT_PNEU_CONN</t>
  </si>
  <si>
    <t>ITEM_NAME_PNEU_CYLINDER</t>
  </si>
  <si>
    <t>MFR_NO_PNEU_CYLINDER</t>
  </si>
  <si>
    <t>BASE_UOM_PNEU_CYLINDER</t>
  </si>
  <si>
    <t>ORDER_UNIT_PNEU_CYLINDER</t>
  </si>
  <si>
    <t>ITEM_NAME_PNEU_HOSE</t>
  </si>
  <si>
    <t>MFR_NO_PNEU_HOSE</t>
  </si>
  <si>
    <t>BASE_UOM_PNEU_HOSE</t>
  </si>
  <si>
    <t>ORDER_UNIT_PNEU_HOSE</t>
  </si>
  <si>
    <t>ITEM_NAME_PNEU_TOOL</t>
  </si>
  <si>
    <t>MFR_NO_PNEU_TOOL</t>
  </si>
  <si>
    <t>BASE_UOM_PNEU_TOOL</t>
  </si>
  <si>
    <t>ORDER_UNIT_PNEU_TOOL</t>
  </si>
  <si>
    <t>ITEM_NAME_POWER_CABLE</t>
  </si>
  <si>
    <t>CABLE_DESIGNATION_POWER_CABLE</t>
  </si>
  <si>
    <t>NUMBER_CONDUCTOR_POWER_CABLE</t>
  </si>
  <si>
    <t>CONDUCTOR_SIZE_MM_POWER_CABLE</t>
  </si>
  <si>
    <t>BASE_UOM_POWER_CABLE</t>
  </si>
  <si>
    <t>ORDER_UNIT_POWER_CABLE</t>
  </si>
  <si>
    <t>ITEM_NAME_PRINT_INK_TON</t>
  </si>
  <si>
    <t>MFR_NO_PRINT_INK_TON</t>
  </si>
  <si>
    <t>COLOR_PRINT_INK_TON</t>
  </si>
  <si>
    <t>BASE_UOM_PRINT_INK_TON</t>
  </si>
  <si>
    <t>ORDER_UNIT_PRINT_INK_TON</t>
  </si>
  <si>
    <t>ZSI1_PUB_SAFE_SUPP</t>
  </si>
  <si>
    <t>ITEM_NAME_PUB_SAFE_SUP</t>
  </si>
  <si>
    <t>TYPE_PUB_SAFE_SUPP</t>
  </si>
  <si>
    <t>BASE_UOM_PUB_SAFE_SUP</t>
  </si>
  <si>
    <t>ORDER_UNIT_PUB_SAFE_SUP</t>
  </si>
  <si>
    <t>ITEM_NAME_PULLEY</t>
  </si>
  <si>
    <t>MFR_NO_PULLEY</t>
  </si>
  <si>
    <t>BASE_UOM_PULLEY</t>
  </si>
  <si>
    <t>ORDER_UNIT_PULLEY</t>
  </si>
  <si>
    <t>ITEM_NAME_PUMP</t>
  </si>
  <si>
    <t>MFR_NO_PUMP</t>
  </si>
  <si>
    <t>BASE_UOM_PUMP</t>
  </si>
  <si>
    <t>ORDER_UNIT_PUMP</t>
  </si>
  <si>
    <t>ZSI1_PUPUK</t>
  </si>
  <si>
    <t>ITEM_NAME_PUPUK</t>
  </si>
  <si>
    <t>TYPE_PUPUK</t>
  </si>
  <si>
    <t>BRAND_PUPUK</t>
  </si>
  <si>
    <t>DIMENSI_SIZE_PUPUK</t>
  </si>
  <si>
    <t>SIZE_PUPUK</t>
  </si>
  <si>
    <t>ITEM_NAME_PWR_CONDITION</t>
  </si>
  <si>
    <t>MFR_NO_PWR_CONDITION</t>
  </si>
  <si>
    <t>BASE_UOM_PWR_CONDITION</t>
  </si>
  <si>
    <t>ORDER_UNIT_PWR_CONDITION</t>
  </si>
  <si>
    <t>ITEM_NAME_PWR_GENERATOR</t>
  </si>
  <si>
    <t>MFR_NO_PWR_GENERATOR</t>
  </si>
  <si>
    <t>BASE_UOM_PWR_GENERATOR</t>
  </si>
  <si>
    <t>ORDER_UNIT_PWR_GENERATOR</t>
  </si>
  <si>
    <t>ITEM_NAME_PWR_TRANSMISN</t>
  </si>
  <si>
    <t>MFR_NO_PWR_TRANSMISN</t>
  </si>
  <si>
    <t>BASE_UOM_PWR_TRANSMISN</t>
  </si>
  <si>
    <t>ORDER_UNIT_PWR_TRANSMISN</t>
  </si>
  <si>
    <t>ZSI1_RACKING</t>
  </si>
  <si>
    <t>ITEM_NAME_RACKING</t>
  </si>
  <si>
    <t>TYPE_RACKING</t>
  </si>
  <si>
    <t>DIMENSION_UKURAN_RACKING</t>
  </si>
  <si>
    <t>HEIGHT_RACKING</t>
  </si>
  <si>
    <t>WIDTH_RACKING</t>
  </si>
  <si>
    <t>LENGTH_RACKING</t>
  </si>
  <si>
    <t>BASE_UOM_RACKING</t>
  </si>
  <si>
    <t>ORDER_UNIT_RACKING</t>
  </si>
  <si>
    <t>ITEM_NAME_REAGEN_INDC</t>
  </si>
  <si>
    <t>CATALOGUE_NUMB_REAGEN_INDC</t>
  </si>
  <si>
    <t>BASE_UOM_REAGEN_INDC</t>
  </si>
  <si>
    <t>ORDER_UNIT_REAGEN_INDC</t>
  </si>
  <si>
    <t>ITEM_NAME_REGULATOR</t>
  </si>
  <si>
    <t>MFR_NO_REGULATOR</t>
  </si>
  <si>
    <t>BASE_UOM_REGULATOR</t>
  </si>
  <si>
    <t>ORDER_UNIT_REGULATOR</t>
  </si>
  <si>
    <t>ITEM_NAME_RESISTOR</t>
  </si>
  <si>
    <t>RESISTANCE_OHM_RESISTOR</t>
  </si>
  <si>
    <t>POWER_W_RESISTOR</t>
  </si>
  <si>
    <t>MATERIAL_RESISTOR</t>
  </si>
  <si>
    <t>BASE_UOM_RESISTOR</t>
  </si>
  <si>
    <t>ORDER_UNIT_RESISTOR</t>
  </si>
  <si>
    <t>ITEM_NAME_RETAIN_HARDWARE</t>
  </si>
  <si>
    <t>MFR_NO_RETAIN_HARDWARE</t>
  </si>
  <si>
    <t>TYPE_RETAIN_HARDWARE</t>
  </si>
  <si>
    <t>SIZE_RETAIN_HARDWARE</t>
  </si>
  <si>
    <t>MATERIAL_RETAIN_HARDWARE</t>
  </si>
  <si>
    <t>FINISHING_RETAIN_HARDWARE</t>
  </si>
  <si>
    <t>BASE_UOM_RETAIN_HARDWARE</t>
  </si>
  <si>
    <t>ORDER_UNIT_RETAIN_HARDWARE</t>
  </si>
  <si>
    <t>ITEM_NAME_ROAD_LANDSCAP</t>
  </si>
  <si>
    <t>TYPE_ROAD_LANDSCAP</t>
  </si>
  <si>
    <t>BASE_UOM_ROAD_LANDSCAP</t>
  </si>
  <si>
    <t>ORDER_UNIT_ROAD_LANDSCAP</t>
  </si>
  <si>
    <t>ITEM_NAME_ROD_EYE</t>
  </si>
  <si>
    <t>PITCH_TYPE_ROD_EYE</t>
  </si>
  <si>
    <t>BORE_DIAMETER_MM_ROD_EYE</t>
  </si>
  <si>
    <t>PITCH_SIZE_MM_ROD_EYE</t>
  </si>
  <si>
    <t>PITCH_DIRECTION_ROD_EYE</t>
  </si>
  <si>
    <t>BASE_UOM_ROD_EYE</t>
  </si>
  <si>
    <t>ORDER_UNIT_ROD_EYE</t>
  </si>
  <si>
    <t>ITEM_NAME_RODA_CASTER</t>
  </si>
  <si>
    <t>MATERIAL_RODA_CASTER</t>
  </si>
  <si>
    <t>HOUSING_TYPE_RODA_CASTER</t>
  </si>
  <si>
    <t>DIAMETER_DIMENSION_RODA_CASTER</t>
  </si>
  <si>
    <t>DIAMETER_INCH_RODA_CASTER</t>
  </si>
  <si>
    <t>DIAMETER_MM_RODA_CASTER</t>
  </si>
  <si>
    <t>BASE_UOM_RODA_CASTER</t>
  </si>
  <si>
    <t>ORDER_UNIT_RODA_CASTER</t>
  </si>
  <si>
    <t>ITEM_NAME_ROLLER_CHAIN</t>
  </si>
  <si>
    <t>TYPE_ROLLER_CHAIN</t>
  </si>
  <si>
    <t>BASE_UOM_ROLLER_CHAIN</t>
  </si>
  <si>
    <t>ORDER_UNIT_ROLLER_CHAIN</t>
  </si>
  <si>
    <t>ZSI1_ROOFING</t>
  </si>
  <si>
    <t>ITEM_NAME_ROOFING</t>
  </si>
  <si>
    <t>MATERIAL_ROOFING</t>
  </si>
  <si>
    <t>LENGTH_MM_ROOFING</t>
  </si>
  <si>
    <t>WIDTH_MM_ROOFING</t>
  </si>
  <si>
    <t>THICKNESS_MM_ROOFING</t>
  </si>
  <si>
    <t>BASE_UOM_ROOFING</t>
  </si>
  <si>
    <t>ORDER_UNIT_ROOFING</t>
  </si>
  <si>
    <t>ITEM_NAME_ROPE</t>
  </si>
  <si>
    <t>MATERIAL_ROPE</t>
  </si>
  <si>
    <t>DIMENSION_DIAMETER_ROPE</t>
  </si>
  <si>
    <t>DIAMETER_ROPE</t>
  </si>
  <si>
    <t>LENGTH_M_ROPE</t>
  </si>
  <si>
    <t>BASE_UOM_ROPE</t>
  </si>
  <si>
    <t>ORDER_UNIT_ROPE</t>
  </si>
  <si>
    <t>ITEM_NAME_SCREEN_CABLE</t>
  </si>
  <si>
    <t>NUMBER_OF_CORE_SCREEN_CABLE</t>
  </si>
  <si>
    <t>CORE_DIAMETER_MM_SCREEN_CABLE</t>
  </si>
  <si>
    <t>BASE_UOM_SCREEN_CABLE</t>
  </si>
  <si>
    <t>ORDER_UNIT_SCREEN_CABLE</t>
  </si>
  <si>
    <t>ITEM_NAME_SCREW</t>
  </si>
  <si>
    <t>HEAD_TYPE_SCREW</t>
  </si>
  <si>
    <t>DIMENSION_SCREW</t>
  </si>
  <si>
    <t>DIAMETER_MM_SCREW</t>
  </si>
  <si>
    <t>DIAMETER_IN_SCREW</t>
  </si>
  <si>
    <t>LENGTH_MM_SCREW</t>
  </si>
  <si>
    <t>LENGTH_IN_SCREW</t>
  </si>
  <si>
    <t>MATERIAL_SCREW</t>
  </si>
  <si>
    <t>BASE_UOM_SCREW</t>
  </si>
  <si>
    <t>ORDER_UNIT_SCREW</t>
  </si>
  <si>
    <t>ITEM_NAME_SEAL</t>
  </si>
  <si>
    <t>TYPE_SEAL</t>
  </si>
  <si>
    <t>INSIDE_DIAMETER_MM_SEAL</t>
  </si>
  <si>
    <t>OUTSIDE_DIAMETER_MM_SEAL</t>
  </si>
  <si>
    <t>WIDTH_MM_SEAL</t>
  </si>
  <si>
    <t>SEAL_MATERIAL_SEAL</t>
  </si>
  <si>
    <t>BASE_UOM_SEAL</t>
  </si>
  <si>
    <t>ORDER_UNIT_SEAL</t>
  </si>
  <si>
    <t>ITEM_NAME_SELFDRL_SCREW</t>
  </si>
  <si>
    <t>HEAD_TYPE_SELFDRL_SCREW</t>
  </si>
  <si>
    <t>DIAMETER_MM_SELFDRL_SCREW</t>
  </si>
  <si>
    <t>LENGTH_MM_SELFDRL_SCREW</t>
  </si>
  <si>
    <t>MATERIAL_MM_SELFDRL_SCREW</t>
  </si>
  <si>
    <t>THREAD_TYPE_SELFDRL_SCREW</t>
  </si>
  <si>
    <t>BASE_UOM_SELFDRL_SCREW</t>
  </si>
  <si>
    <t>ORDER_UNIT_SELFDRL_SCREW</t>
  </si>
  <si>
    <t>ITEM_NAME_SELFTAP_SCREW</t>
  </si>
  <si>
    <t>HEAD_TYPE_SELFTAP_SCREW</t>
  </si>
  <si>
    <t>DIAMETER_MM_SELFTAP_SCREW</t>
  </si>
  <si>
    <t>LENGTH_MM_SELFTAP_SCREW</t>
  </si>
  <si>
    <t>MATERIAL_MM_SELFTAP_SCREW</t>
  </si>
  <si>
    <t>BASE_UOM_SELFTAP_SCREW</t>
  </si>
  <si>
    <t>ORDER_UNIT_SELFTAP_SCREW</t>
  </si>
  <si>
    <t>ITEM_NAME_SEPARATOR</t>
  </si>
  <si>
    <t>MFR_NO_SEPARATOR</t>
  </si>
  <si>
    <t>BASE_UOM_SEPARATOR</t>
  </si>
  <si>
    <t>ORDER_UNIT_SEPARATOR</t>
  </si>
  <si>
    <t>ITEM_NAME_SHEET</t>
  </si>
  <si>
    <t>MATERIAL_SHEET</t>
  </si>
  <si>
    <t>SHEET_THICKNESS_MM_SHEET</t>
  </si>
  <si>
    <t>SHEET_WIDTH_MM_SHEET</t>
  </si>
  <si>
    <t>SHEET_HEIGHT_MM_SHEET</t>
  </si>
  <si>
    <t>BASE_UOM_SHEET</t>
  </si>
  <si>
    <t>ORDER_UNIT_SHEET</t>
  </si>
  <si>
    <t>ITEM_NAME_SHELV_STORAGE</t>
  </si>
  <si>
    <t>MFR_NO_SHELV_STORAGE</t>
  </si>
  <si>
    <t>BASE_UOM_SHELV_STORAGE</t>
  </si>
  <si>
    <t>ORDER_UNIT_SHELV_STORAGE</t>
  </si>
  <si>
    <t>ITEM_NAME_SHOE_SANDAL</t>
  </si>
  <si>
    <t>SERIES_SHOE_SANDAL</t>
  </si>
  <si>
    <t>MATERIAL_SHOE_SANDAL</t>
  </si>
  <si>
    <t>SIZE_SHOE_SANDAL</t>
  </si>
  <si>
    <t>BASE_UOM_SHOE_SANDAL</t>
  </si>
  <si>
    <t>ORDER_UNIT_SHOE_SANDAL</t>
  </si>
  <si>
    <t>ITEM_NAME_SHOWCASE</t>
  </si>
  <si>
    <t>MFR_NO_SHOWCASE</t>
  </si>
  <si>
    <t>CAPACITY_L_SHOWCASE</t>
  </si>
  <si>
    <t>BASE_UOM_SHOWCASE</t>
  </si>
  <si>
    <t>ORDER_UNIT_SHOWCASE</t>
  </si>
  <si>
    <t>ITEM_NAME_SIGHT_GLASS</t>
  </si>
  <si>
    <t>SHAPE_SIGHT_GLASS</t>
  </si>
  <si>
    <t>SIZE_MM_SIGHT_GLASS</t>
  </si>
  <si>
    <t>COLOR_SIGHT_GLASS</t>
  </si>
  <si>
    <t>BASE_UOM_SIGHT_GLASS</t>
  </si>
  <si>
    <t>ORDER_UNIT_SIGHT_GLASS</t>
  </si>
  <si>
    <t>ITEM_NAME_SIGNAL_FILTER</t>
  </si>
  <si>
    <t>MFR_NO_SIGNAL_FILTER</t>
  </si>
  <si>
    <t>BASE_UOM_SIGNAL_FLTR</t>
  </si>
  <si>
    <t>ORDER_UNIT_SIGNAL_FLTR</t>
  </si>
  <si>
    <t>ITEM_NAME_SLING</t>
  </si>
  <si>
    <t>SLING_SHAPE_SLING</t>
  </si>
  <si>
    <t>DIAMETER_MM_SLING</t>
  </si>
  <si>
    <t>WIDTH_MM_SLING</t>
  </si>
  <si>
    <t>LENGTH_MM_SLING</t>
  </si>
  <si>
    <t>WEIGHT_CAP_T_SLING</t>
  </si>
  <si>
    <t>BASE_UOM_SLING</t>
  </si>
  <si>
    <t>ORDER_UNIT_SLING</t>
  </si>
  <si>
    <t>ITEM_NAME_SLIPSHEET</t>
  </si>
  <si>
    <t>MATERIAL_SLIPSHEET</t>
  </si>
  <si>
    <t>THICKNESS_MM_SLIPSHEET</t>
  </si>
  <si>
    <t>WIDTH_MM_SLIPSHEET</t>
  </si>
  <si>
    <t>LENGTH_MM_SLIPSHEET</t>
  </si>
  <si>
    <t>BASE_UOM_SLIPSHEET</t>
  </si>
  <si>
    <t>ORDER_UNIT_SLIPSHEET</t>
  </si>
  <si>
    <t>ITEM_NAME_SNAP_RING</t>
  </si>
  <si>
    <t>RING_TYPE_SNAP_RING</t>
  </si>
  <si>
    <t>DIAMETER_DIMENSION_SNAP_RING</t>
  </si>
  <si>
    <t>DIAMETER_MM_SNAP_RING</t>
  </si>
  <si>
    <t>DIAMETER_INCH_SNAP_RING</t>
  </si>
  <si>
    <t>MATERIAL_SNAP_RING</t>
  </si>
  <si>
    <t>FINISHING_SNAP_RING</t>
  </si>
  <si>
    <t>BASE_UOM_SNAP_RING</t>
  </si>
  <si>
    <t>ORDER_UNIT_SNAP_RING</t>
  </si>
  <si>
    <t>ITEM_NAME_SPRING</t>
  </si>
  <si>
    <t>MATERIAL_SPRING</t>
  </si>
  <si>
    <t>WIRE_DIAMETER_MM_SPRING</t>
  </si>
  <si>
    <t>SPRING_OUTSID_DIAMTR_MM_SPRING</t>
  </si>
  <si>
    <t>SPRING_LENGTH_MM_SPRING</t>
  </si>
  <si>
    <t>BASE_UOM_SPRING</t>
  </si>
  <si>
    <t>ORDER_UNIT_SPRING</t>
  </si>
  <si>
    <t>ITEM_NAME_SPROCKET</t>
  </si>
  <si>
    <t>TYPE_SPROCKET</t>
  </si>
  <si>
    <t>CHAIN_SIZE_ANSI_SPROCKET</t>
  </si>
  <si>
    <t>NUMB_OF_TEETH_SPROCKET</t>
  </si>
  <si>
    <t>ADDITIONALS_SPROCKET</t>
  </si>
  <si>
    <t>BASE_UOM_SPROCKET</t>
  </si>
  <si>
    <t>ORDER_UNIT_SPROCKET</t>
  </si>
  <si>
    <t>ITEM_NAME_STORAGE_TANK</t>
  </si>
  <si>
    <t>TANK_TYPE_STORAGE_TANK</t>
  </si>
  <si>
    <t>MATERIAL_STORAGE_TANK</t>
  </si>
  <si>
    <t>CAPACITY_L_STORAGE_TANK</t>
  </si>
  <si>
    <t>BASE_UOM_STORAGE_TANK</t>
  </si>
  <si>
    <t>ORDER_UNIT_STORAGE_TANK</t>
  </si>
  <si>
    <t>ITEM_NAME_SURVEILLANCE</t>
  </si>
  <si>
    <t>TYPE_SURVEILLANCE</t>
  </si>
  <si>
    <t>NVR_CHANNEL_SURVEILLANCE</t>
  </si>
  <si>
    <t>BASE_UOM_SURVEILLANCE</t>
  </si>
  <si>
    <t>ORDER_UNIT_SURVEILLANCE</t>
  </si>
  <si>
    <t>ITEM_NAME_TABLE_STAN</t>
  </si>
  <si>
    <t>MFR_NO_TABLE_STAN</t>
  </si>
  <si>
    <t>BASE_UOM_TABLE_STAN</t>
  </si>
  <si>
    <t>ORDER_UNIT_TABLE_STAN</t>
  </si>
  <si>
    <t>ITEM_NAME_TAPE_DISPENSE</t>
  </si>
  <si>
    <t>BASE_UOM_TAPE_DISPENSE</t>
  </si>
  <si>
    <t>ORDER_UNIT_TAPE_DISPENSE</t>
  </si>
  <si>
    <t>ITEM_NAME_TENT_CARD</t>
  </si>
  <si>
    <t>MATERIAL_TENT_CARD</t>
  </si>
  <si>
    <t>WIDTH_MM_TENT_CARD</t>
  </si>
  <si>
    <t>LENGTH_MM_TENT_CARD</t>
  </si>
  <si>
    <t>BASE_UOM_TENT_CARD</t>
  </si>
  <si>
    <t>ORDER_UNIT_TENT_CARD</t>
  </si>
  <si>
    <t>ITEM_NAME_TEST_PAPER</t>
  </si>
  <si>
    <t>SERIES_TEST_PAPER</t>
  </si>
  <si>
    <t>BASE_UOM_TEST_PAPER</t>
  </si>
  <si>
    <t>ORDER_UNIT_TEST_PAPER</t>
  </si>
  <si>
    <t>ITEM_NAME_TILE</t>
  </si>
  <si>
    <t>DESIGN_TILE</t>
  </si>
  <si>
    <t>LENGTH_MM_TILE</t>
  </si>
  <si>
    <t>WIDTH_MM_TILE</t>
  </si>
  <si>
    <t>GRADE_TILE</t>
  </si>
  <si>
    <t>BASE_UOM_TILE</t>
  </si>
  <si>
    <t>ORDER_UNIT_TILE</t>
  </si>
  <si>
    <t>ITEM_NAME_TIMING_BELT</t>
  </si>
  <si>
    <t>BELT_NUMBER_TIMING_BELT</t>
  </si>
  <si>
    <t>BASE_UOM_TIMING_BELT</t>
  </si>
  <si>
    <t>ORDER_UNIT_TIMING_BELT</t>
  </si>
  <si>
    <t>ITEM_NAME_TIRE_OUTER</t>
  </si>
  <si>
    <t>SIZE_DESIGNATION_TIRE_OUTER</t>
  </si>
  <si>
    <t>BASE_UOM_TIRE_OUTER</t>
  </si>
  <si>
    <t>ORDER_UNIT_TIRE_OUTER</t>
  </si>
  <si>
    <t>ITEM_NAME_TRAF_CONE</t>
  </si>
  <si>
    <t>HEIGHT_MM_TRAF_CONE</t>
  </si>
  <si>
    <t>MATERIAL_TRAF_CONE</t>
  </si>
  <si>
    <t>BASE_UOM_TRAF_CONE</t>
  </si>
  <si>
    <t>ORDER_UNIT_TRAF_CONE</t>
  </si>
  <si>
    <t>ZSI1_TRANSISTOR</t>
  </si>
  <si>
    <t>ITEM_NAME_TRANSISTOR</t>
  </si>
  <si>
    <t>TYPE_TRANSISTOR</t>
  </si>
  <si>
    <t>BASE_UOM_TRANSISTOR</t>
  </si>
  <si>
    <t>ORDER_UNIT_TRANSISTOR</t>
  </si>
  <si>
    <t>ITEM_NAME_TRANSMSN_SHFT</t>
  </si>
  <si>
    <t>SIZE_TRANSMSN_SHFT</t>
  </si>
  <si>
    <t>MATERIAL_TRANSMSN_SHFT</t>
  </si>
  <si>
    <t>MFR_NO_TRANSMSN_SHFT</t>
  </si>
  <si>
    <t>BASE_UOM_TRANSMSN_SHFT</t>
  </si>
  <si>
    <t>ORDER_UNIT_TRANSMSN_SHFT</t>
  </si>
  <si>
    <t>ITEM_NAME_TRAP_STRAINER</t>
  </si>
  <si>
    <t>MATERIAL_TRAP_STRAINER</t>
  </si>
  <si>
    <t>SIZE_IN_TRAP_STRAINER</t>
  </si>
  <si>
    <t>CONNECTION_TYPE_TRAP_STRAINER</t>
  </si>
  <si>
    <t>PRESSURE_RATING_TRAP_STRAINER</t>
  </si>
  <si>
    <t>BASE_UOM_TRAP_STRAINER</t>
  </si>
  <si>
    <t>ORDER_UNIT_TRAP_STRAINER</t>
  </si>
  <si>
    <t>ITEM_NAME_TRIPOD</t>
  </si>
  <si>
    <t>MFR_NO_TRIPOD</t>
  </si>
  <si>
    <t>BASE_UOM_TRIPOD</t>
  </si>
  <si>
    <t>ORDER_UNIT_TRIPOD</t>
  </si>
  <si>
    <t>ZSI1_TRP_COMP</t>
  </si>
  <si>
    <t>ITEM_NAME_TRANSPORT_COMP</t>
  </si>
  <si>
    <t>MFR_NO_TRANSPORT_COMP</t>
  </si>
  <si>
    <t>BASE_UOM_TRP_COMP</t>
  </si>
  <si>
    <t>ORDER_UNIT_TRP_COMP</t>
  </si>
  <si>
    <t>ITEM_NAME_U_CHANNEL</t>
  </si>
  <si>
    <t>CHANNEL_MATERIAL_U_CHANNEL</t>
  </si>
  <si>
    <t>LEG_HEIGHT_MM_U_CHANNEL</t>
  </si>
  <si>
    <t>BASE_WIDTH_MM_U_CHANNEL</t>
  </si>
  <si>
    <t>CHANNEL_THICKNESS_MM_U_CHANNEL</t>
  </si>
  <si>
    <t>OVERALL_LENGTH_M_U_CHANNEL</t>
  </si>
  <si>
    <t>BASE_UOM_U_CHANNEL</t>
  </si>
  <si>
    <t>ORDER_UNIT_U_CHANNEL</t>
  </si>
  <si>
    <t>ITEM_NAME_V_BELT</t>
  </si>
  <si>
    <t>BELT_NUMBER_V_BELT</t>
  </si>
  <si>
    <t>BASE_UOM_V_BELT</t>
  </si>
  <si>
    <t>ORDER_UNIT_V_BELT</t>
  </si>
  <si>
    <t>ITEM_NAME_V_PACKING</t>
  </si>
  <si>
    <t>INSIDE_DIAMETER_MM_V_PACKING</t>
  </si>
  <si>
    <t>OUTSIDE_DIAMETER_MM_V_PACKING</t>
  </si>
  <si>
    <t>HEIGHT_MM_V_PACKING</t>
  </si>
  <si>
    <t>BASE_UOM_V_PACKING</t>
  </si>
  <si>
    <t>ORDER_UNIT_V_PACKING</t>
  </si>
  <si>
    <t>ITEM_NAME_VALVE</t>
  </si>
  <si>
    <t>DIMENSION_VALVE</t>
  </si>
  <si>
    <t>SIZE_IN_VALVE</t>
  </si>
  <si>
    <t>SIZE_MM_VALVE</t>
  </si>
  <si>
    <t>DESIGN_RATING_K_PSI_VALVE</t>
  </si>
  <si>
    <t>DESIGN_RATING_PN_VALVE</t>
  </si>
  <si>
    <t>CONNECTION_VALVE</t>
  </si>
  <si>
    <t>OPERATED_VALVE</t>
  </si>
  <si>
    <t>BODY_MATERIAL_VALVE</t>
  </si>
  <si>
    <t>CONFIGURATION_VALVE</t>
  </si>
  <si>
    <t>STYLE_VALVE</t>
  </si>
  <si>
    <t>MFR_NO_VALVE</t>
  </si>
  <si>
    <t>BASE_UOM_VALVE</t>
  </si>
  <si>
    <t>ORDER_UNIT_VALVE</t>
  </si>
  <si>
    <t>ITEM_NAME_VEH_SERV_MC</t>
  </si>
  <si>
    <t>MFR_NO_VEH_SERV_MC</t>
  </si>
  <si>
    <t>BASE_UOM_VEH_SERV_MC</t>
  </si>
  <si>
    <t>ORDER_UNIT_VEH_SERV_MC</t>
  </si>
  <si>
    <t>TYPE_VEHICLE</t>
  </si>
  <si>
    <t>ITEM_NAME_VEHICLE</t>
  </si>
  <si>
    <t>SERIES_VEHICLE</t>
  </si>
  <si>
    <t>BASE_UOM_VEHICLE</t>
  </si>
  <si>
    <t>ORDER_UNIT_VEHICLE</t>
  </si>
  <si>
    <t>ITEM_NAME_VENDING_MC</t>
  </si>
  <si>
    <t>MFR_NO_VENDING_MC</t>
  </si>
  <si>
    <t>BASE_UOM_VENDING_MC</t>
  </si>
  <si>
    <t>ORDER_UNIT_VENDING_MC</t>
  </si>
  <si>
    <t>ITEM_NAME_VIS_PRESENT</t>
  </si>
  <si>
    <t>SERIES_VIS_PRESENT</t>
  </si>
  <si>
    <t>SCREEN_SIZE_INCH_VIS_PRESENT</t>
  </si>
  <si>
    <t>BASE_UOM_VIS_PRESENT</t>
  </si>
  <si>
    <t>ORDER_UNIT_VIS_PRESENT</t>
  </si>
  <si>
    <t>ITEM_NAME_WALL_PANEL</t>
  </si>
  <si>
    <t>DIMENSION_WALL_PANEL</t>
  </si>
  <si>
    <t>HEIGHT_MM_WALL_PANEL</t>
  </si>
  <si>
    <t>HEIGHT_INCH_WALL_PANEL</t>
  </si>
  <si>
    <t>WIDTH_MM_WALL_PANEL</t>
  </si>
  <si>
    <t>WIDTH_INCH_WALL_PANEL</t>
  </si>
  <si>
    <t>LENGTH_MM_WALL_PANEL</t>
  </si>
  <si>
    <t>LENGTH_INCH_WALL_PANEL</t>
  </si>
  <si>
    <t>BASE_UOM_WALL_PANEL</t>
  </si>
  <si>
    <t>ORDER_UNIT_WALL_PANEL</t>
  </si>
  <si>
    <t>ZSI1_WALLPAPER</t>
  </si>
  <si>
    <t>ITEM_NAME_WALLPAPER</t>
  </si>
  <si>
    <t>TYPE_WALLPAPER</t>
  </si>
  <si>
    <t>BASE_UOM_WALLPAPER</t>
  </si>
  <si>
    <t>ORDER_UNIT_WALLPAPER</t>
  </si>
  <si>
    <t>ITEM_NAME_WAREHSE_EQUIP</t>
  </si>
  <si>
    <t>MFR_NO_WAREHSE_EQUIP</t>
  </si>
  <si>
    <t>BASE_UOM_WAREHSE_EQUIP</t>
  </si>
  <si>
    <t>ORDER_UNIT_WAREHSE_EQUIP</t>
  </si>
  <si>
    <t>ITEM_NAME_WASHER</t>
  </si>
  <si>
    <t>DIMENSION_WASHER</t>
  </si>
  <si>
    <t>DIAMETER_INCH_WASHER</t>
  </si>
  <si>
    <t>DIAMETER_MM_WASHER</t>
  </si>
  <si>
    <t>MATERIAL_WASHER</t>
  </si>
  <si>
    <t>FINISHING_WASHER</t>
  </si>
  <si>
    <t>BASE_UOM_WASHER</t>
  </si>
  <si>
    <t>ORDER_UNIT_WASHER</t>
  </si>
  <si>
    <t>ITEM_NAME_WATER_HOSE</t>
  </si>
  <si>
    <t>DIAMETER_DIMENSION_WATER_HOSE</t>
  </si>
  <si>
    <t>DIAMETER_MM_WATER_HOSE</t>
  </si>
  <si>
    <t>DIAMETER_INCH_WATER_HOSE</t>
  </si>
  <si>
    <t>LENGTH_DIMENSION_WATER_HOSE</t>
  </si>
  <si>
    <t>LENGTH_MM_WATER_HOSE</t>
  </si>
  <si>
    <t>LENGTH_INCH_WATER_HOSE</t>
  </si>
  <si>
    <t>CONNECTION_WATER_HOSE</t>
  </si>
  <si>
    <t>STYLE_WATER_HOSE</t>
  </si>
  <si>
    <t>MATERIAL_WATER_HOSE</t>
  </si>
  <si>
    <t>BASE_UOM_WATER_HOSE</t>
  </si>
  <si>
    <t>ORDER_UNIT_WATER_HOSE</t>
  </si>
  <si>
    <t>ITEM_NAME_WATERMUR</t>
  </si>
  <si>
    <t>MATERIAL_WATERMUR</t>
  </si>
  <si>
    <t>SIZE_INCH_WATERMUR</t>
  </si>
  <si>
    <t>FINISHING_WATERMUR</t>
  </si>
  <si>
    <t>BASE_UOM_WATERMUR</t>
  </si>
  <si>
    <t>ORDER_UNIT_WATERMUR</t>
  </si>
  <si>
    <t>ITEM_NAME_WEB_SLING</t>
  </si>
  <si>
    <t>MFR_NO_WEB_SLING</t>
  </si>
  <si>
    <t>MAX_HEIGHT_MM_WEB_SLING</t>
  </si>
  <si>
    <t>MAX_WEIGHT_T_WEB_SLING</t>
  </si>
  <si>
    <t>BASE_UOM_WEB_SLING</t>
  </si>
  <si>
    <t>ORDER_UNIT_WEB_SLING</t>
  </si>
  <si>
    <t>ZSI1_WELDSLDR_WIRE</t>
  </si>
  <si>
    <t>ITEM_NAME_WELDSOLDER_WIRE</t>
  </si>
  <si>
    <t>MATERIAL_WELDSOLDER_WIRE</t>
  </si>
  <si>
    <t>DIAMETER_DIM_WELDSOLDER_WIRE</t>
  </si>
  <si>
    <t>DIAMETER_MM_WELDSOLDER_WIRE</t>
  </si>
  <si>
    <t>DIAMETER_INCH_WELDSOLDER_WIRE</t>
  </si>
  <si>
    <t>GRADE_AWS_WELDSOLDER_WIRE</t>
  </si>
  <si>
    <t>SATUAN_KEMASAN_WELDSOLDER_WIRE</t>
  </si>
  <si>
    <t>SIZE_KEMASAN_WELDSOLDER_WIRE</t>
  </si>
  <si>
    <t>BASE_UOM_WELDSOLDER</t>
  </si>
  <si>
    <t>ORDER_UNIT_WELDSOLDER</t>
  </si>
  <si>
    <t>ITEM_NAME_WIRE_ROPE</t>
  </si>
  <si>
    <t>MATERIAL_WIRE_ROPE</t>
  </si>
  <si>
    <t>ROPE_DIAMETER_MM</t>
  </si>
  <si>
    <t>BASE_UOM_WIRE_ROPE</t>
  </si>
  <si>
    <t>ORDER_UNIT_WIRE_ROPE</t>
  </si>
  <si>
    <t>ITEM_NAME_WIRING_HARNES</t>
  </si>
  <si>
    <t>MFR_NO_WIRING_HARNES</t>
  </si>
  <si>
    <t>BASE_UOM_WIRING_HARNES</t>
  </si>
  <si>
    <t>ORDER_UNIT_WIRING_HARNES</t>
  </si>
  <si>
    <t>ITEM_NAME_WOOD_STRCTR</t>
  </si>
  <si>
    <t>TYPE_WOOD_WOOD_STRCTR</t>
  </si>
  <si>
    <t>WIDTH_MM_WOOD_STRCTR</t>
  </si>
  <si>
    <t>LENGTH_MM_WOOD_STRCTR</t>
  </si>
  <si>
    <t>HEIGHT_MM_WOOD_STRCTR</t>
  </si>
  <si>
    <t>BASE_UOM_WOOD_STRCTR</t>
  </si>
  <si>
    <t>ORDER_UNIT_WOOD_STRCTR</t>
  </si>
  <si>
    <t>ITEM_NAME_WRAPPING_BAND</t>
  </si>
  <si>
    <t>SIZE_DESIGNATION_WRAPPING_BAND</t>
  </si>
  <si>
    <t>BASE_UOM_WRAPPING_BAND</t>
  </si>
  <si>
    <t>ORDER_UNIT_WRAPPING_BAND</t>
  </si>
  <si>
    <t>ITEM_NAME_WRITE_ERASE</t>
  </si>
  <si>
    <t>SERIES_WRITE_ERASE</t>
  </si>
  <si>
    <t>BASE_UOM_WRITE_ERASE</t>
  </si>
  <si>
    <t>ORDER_UNIT_WRITE_ERASE</t>
  </si>
  <si>
    <t>ITEM_NAME_WWT_SUPPLY</t>
  </si>
  <si>
    <t>MFR_NO_WWT_SUPPLY</t>
  </si>
  <si>
    <t>BASE_UOM_WWT_SUPPLY</t>
  </si>
  <si>
    <t>ORDER_UNIT_WWT_SUPPLY</t>
  </si>
  <si>
    <t>Additional Spec</t>
  </si>
  <si>
    <t>ADDITIONAL_INFO_PALLETS</t>
  </si>
  <si>
    <t>ITEM_NAME_POSM_EVENT</t>
  </si>
  <si>
    <t>ORDER_UNIT_POSM_EVENT</t>
  </si>
  <si>
    <t>ACTIVITY_ADS</t>
  </si>
  <si>
    <t>ACTIVITY_TYPE_ADS</t>
  </si>
  <si>
    <t>ACTIVITY_OBJECT_ADS</t>
  </si>
  <si>
    <t>BROADCAST_CHANNEL_ADS</t>
  </si>
  <si>
    <t>DETAIL_OBJECT_OF_ACTIVITY</t>
  </si>
  <si>
    <t>DETAIL_OBJECT_ACTIVITY</t>
  </si>
  <si>
    <t>CATEGORY_ADS</t>
  </si>
  <si>
    <t>UOM_SERVICE</t>
  </si>
  <si>
    <t>ACTIVITY_ASURANSI</t>
  </si>
  <si>
    <t>ACTIVITY_TYPE_ASURANSI</t>
  </si>
  <si>
    <t>ACTIVITY_OBJECT_ASURANSI</t>
  </si>
  <si>
    <t>ACTIVITY_BUSS_TRAVEL</t>
  </si>
  <si>
    <t>ACTIVITY_TYPE_BUSS_TRAVEL</t>
  </si>
  <si>
    <t>ACTIVITY_OBJECT_BUSS_TRAVEL</t>
  </si>
  <si>
    <t>ACTIVITY_EMPLOYEE_REWRD</t>
  </si>
  <si>
    <t>ACTIVITY_TYPE_EMPLOYEE_REWRD</t>
  </si>
  <si>
    <t>ACTIVITY_OBJECT_EMPLOYEE_REWRD</t>
  </si>
  <si>
    <t>ACTIVITY_FABRIKASI</t>
  </si>
  <si>
    <t>ACTIVITY_TYPE_FABRIKASI</t>
  </si>
  <si>
    <t>ACTIVITY_OBJECT_FABRIKASI</t>
  </si>
  <si>
    <t>ACTIVITY_HR_DEVELOPMENT</t>
  </si>
  <si>
    <t>ACTIVITY_TYPE_HR_DEVELOPMENT</t>
  </si>
  <si>
    <t>ACTIVITY_OBJECT_HR_DEVELOPMENT</t>
  </si>
  <si>
    <t>ACTIVITY_INSTALASI</t>
  </si>
  <si>
    <t>ACTIVITY_TYPE_INSTALASI</t>
  </si>
  <si>
    <t>ACTIVITY_OBJECT_INSTALASI</t>
  </si>
  <si>
    <t>ACTIVITY_JASA_DESAIN</t>
  </si>
  <si>
    <t>ACTIVITY_TYPE_JASA_DESAIN</t>
  </si>
  <si>
    <t>ACTIVITY_OBJECT_JASA_DESAIN</t>
  </si>
  <si>
    <t>ACTIVITY_JASA_PROFESINL</t>
  </si>
  <si>
    <t>ACTIVITY_TYPE_JASA_PROFESINL</t>
  </si>
  <si>
    <t>ACTIVITY_OBJECT_JASA_PROFESINL</t>
  </si>
  <si>
    <t>ACTIVITY_LEGAL_LICENSE</t>
  </si>
  <si>
    <t>ACTIVITY_TYPE_LEGAL_LICENSE</t>
  </si>
  <si>
    <t>ACTIVITY_OBJECT_LEGAL_LICENSE</t>
  </si>
  <si>
    <t>ACTIVITY_LOGIST_TRANSPT</t>
  </si>
  <si>
    <t>ACTIVITY_TYPE_LOGIST_TRANSPT</t>
  </si>
  <si>
    <t>ACTIVITY_OBJECT_LOGIST_TRANSPT</t>
  </si>
  <si>
    <t>ACTIVITY_MAINTAIN</t>
  </si>
  <si>
    <t>ACTIVITY_TYPE_MAINTAIN</t>
  </si>
  <si>
    <t>ACTIVITY_OBJECT_MAINTAIN</t>
  </si>
  <si>
    <t>ACTIVITY_OPS_SUPPORT</t>
  </si>
  <si>
    <t>ACTIVITY_TYPE_OPS_SUPPORT</t>
  </si>
  <si>
    <t>ACTIVITY_OBJECT_OPS_SUPPORT</t>
  </si>
  <si>
    <t>ACTIVITY_OUTSRCD_MANPWR</t>
  </si>
  <si>
    <t>ACTIVITY_TYPE_OUTSRCD_MANPWR</t>
  </si>
  <si>
    <t>ACTIVITY_OBJECT_OUTSRCD_MANPWR</t>
  </si>
  <si>
    <t>ACTIVITY_PEMBANGUNAN</t>
  </si>
  <si>
    <t>ACTIVITY_TYPE_PEMBANGUNAN</t>
  </si>
  <si>
    <t>ACTIVITY_OBJECT_PEMBANGUNAN</t>
  </si>
  <si>
    <t>ACTIVITY_PENGUJIAN</t>
  </si>
  <si>
    <t>ACTIVITY_TYPE_PENGUJIAN</t>
  </si>
  <si>
    <t>ACTIVITY_OBJECT_PENGUJIAN</t>
  </si>
  <si>
    <t>ACTIVITY_PERPAJAKAN</t>
  </si>
  <si>
    <t>ACTIVITY_TYPE_PERPAJAKAN</t>
  </si>
  <si>
    <t>ACTIVITY_OBJECT_PERPAJAKAN</t>
  </si>
  <si>
    <t>ACTIVITY_REPAIR</t>
  </si>
  <si>
    <t>ACTIVITY_TYPE_REPAIR</t>
  </si>
  <si>
    <t>ACTIVITY_OBJECT_REPAIR</t>
  </si>
  <si>
    <t>ACTIVITY_SEWA</t>
  </si>
  <si>
    <t>ACTIVITY_TYPE_SEWA</t>
  </si>
  <si>
    <t>ACTIVITY_OBJECT_SEWA</t>
  </si>
  <si>
    <t>ACTIVITY_WASTE_MANGEMNT</t>
  </si>
  <si>
    <t>ACTIVITY_TYPE_WASTE_MANGEMNT</t>
  </si>
  <si>
    <t>ACTIVITY_OBJECT_WASTE_MANGEMNT</t>
  </si>
  <si>
    <t>WASTE_SPEC</t>
  </si>
  <si>
    <t>MATERIAL_CODE_WST</t>
  </si>
  <si>
    <t>WASTE_FORM_BAG</t>
  </si>
  <si>
    <t>WASTE_FORM_OIL</t>
  </si>
  <si>
    <t>WASTE_FORM</t>
  </si>
  <si>
    <t>ADDITIONAL_INFO_WST</t>
  </si>
  <si>
    <t>SELLING_UNIT</t>
  </si>
  <si>
    <t>BASIC_UOM_WST</t>
  </si>
  <si>
    <t>ZFG1_</t>
  </si>
  <si>
    <t>ZFG1_PAKET</t>
  </si>
  <si>
    <t>ZBM1_</t>
  </si>
  <si>
    <t>Characteristic Status</t>
  </si>
  <si>
    <t>Characteristics Data Type</t>
  </si>
  <si>
    <t>Characteristics Exponent Format</t>
  </si>
  <si>
    <t>Characteristics Single/Multiple Value</t>
  </si>
  <si>
    <t>UoM</t>
  </si>
  <si>
    <t>Currency</t>
  </si>
  <si>
    <t>Code Value for Dependency</t>
  </si>
  <si>
    <t>Language code</t>
  </si>
  <si>
    <t>Dependency Status</t>
  </si>
  <si>
    <t>Description</t>
  </si>
  <si>
    <t>Dropdown Option</t>
  </si>
  <si>
    <t>In Preparation</t>
  </si>
  <si>
    <t xml:space="preserve">CHAR </t>
  </si>
  <si>
    <t>Character Forma</t>
  </si>
  <si>
    <t>Display w/o an exponent</t>
  </si>
  <si>
    <t>S</t>
  </si>
  <si>
    <t>Single Value</t>
  </si>
  <si>
    <t>%</t>
  </si>
  <si>
    <t>ADP</t>
  </si>
  <si>
    <t>Peseta</t>
  </si>
  <si>
    <t xml:space="preserve">EQ = </t>
  </si>
  <si>
    <t>SR</t>
  </si>
  <si>
    <t>Serbian</t>
  </si>
  <si>
    <t>Released</t>
  </si>
  <si>
    <t xml:space="preserve">CURR </t>
  </si>
  <si>
    <t>Currency Forma</t>
  </si>
  <si>
    <t>Exponent set automatically</t>
  </si>
  <si>
    <t>M</t>
  </si>
  <si>
    <t>Multiple Value</t>
  </si>
  <si>
    <t>%O</t>
  </si>
  <si>
    <t>AED</t>
  </si>
  <si>
    <t>UAE Dirham</t>
  </si>
  <si>
    <t>GE &gt;= LT &lt;</t>
  </si>
  <si>
    <t>ZH</t>
  </si>
  <si>
    <t>Chinese</t>
  </si>
  <si>
    <t>Locked</t>
  </si>
  <si>
    <t xml:space="preserve">DATE </t>
  </si>
  <si>
    <t>Date Forma</t>
  </si>
  <si>
    <t>Display w/ exponent</t>
  </si>
  <si>
    <t>ONE</t>
  </si>
  <si>
    <t>One</t>
  </si>
  <si>
    <t>AFA</t>
  </si>
  <si>
    <t>Afghani</t>
  </si>
  <si>
    <t>GE &gt;= LE &lt;=</t>
  </si>
  <si>
    <t>TH</t>
  </si>
  <si>
    <t>Thai</t>
  </si>
  <si>
    <t xml:space="preserve">NUM </t>
  </si>
  <si>
    <t>Numeric Forma</t>
  </si>
  <si>
    <t>Display in scientific format (3, 6 , 9)</t>
  </si>
  <si>
    <t>D</t>
  </si>
  <si>
    <t>Days</t>
  </si>
  <si>
    <t>AFN</t>
  </si>
  <si>
    <t>GT &gt; LT &lt;</t>
  </si>
  <si>
    <t>KO</t>
  </si>
  <si>
    <t>Korean</t>
  </si>
  <si>
    <t xml:space="preserve">TIME </t>
  </si>
  <si>
    <t>Time Forma</t>
  </si>
  <si>
    <t>026</t>
  </si>
  <si>
    <t>Week</t>
  </si>
  <si>
    <t>ALL</t>
  </si>
  <si>
    <t>Albanian Lek</t>
  </si>
  <si>
    <t>GT &gt; LE &lt;=</t>
  </si>
  <si>
    <t>RO</t>
  </si>
  <si>
    <t>Romanian</t>
  </si>
  <si>
    <t xml:space="preserve">UDEF </t>
  </si>
  <si>
    <t>User-Defined Data Typ</t>
  </si>
  <si>
    <t>025</t>
  </si>
  <si>
    <t>Month</t>
  </si>
  <si>
    <t>AMD</t>
  </si>
  <si>
    <t>Armenian Dram</t>
  </si>
  <si>
    <t>LT &lt;</t>
  </si>
  <si>
    <t>SL</t>
  </si>
  <si>
    <t>Slovenian</t>
  </si>
  <si>
    <t>024</t>
  </si>
  <si>
    <t>Year</t>
  </si>
  <si>
    <t>ANG</t>
  </si>
  <si>
    <t>N. Ant. Guilder</t>
  </si>
  <si>
    <t>LE &lt;=</t>
  </si>
  <si>
    <t>Croatian</t>
  </si>
  <si>
    <t>WEK</t>
  </si>
  <si>
    <t>AOA</t>
  </si>
  <si>
    <t>Angolan Kwanza</t>
  </si>
  <si>
    <t>GT &gt;</t>
  </si>
  <si>
    <t>MS</t>
  </si>
  <si>
    <t>Malay</t>
  </si>
  <si>
    <t>DEC</t>
  </si>
  <si>
    <t>Decade</t>
  </si>
  <si>
    <t>AON</t>
  </si>
  <si>
    <t>New Kwanza</t>
  </si>
  <si>
    <t>GE &gt;=</t>
  </si>
  <si>
    <t>UK</t>
  </si>
  <si>
    <t>Ukrainian</t>
  </si>
  <si>
    <t>22S</t>
  </si>
  <si>
    <t>mm2/s</t>
  </si>
  <si>
    <t>AOR</t>
  </si>
  <si>
    <t>Kwanza Reajust.</t>
  </si>
  <si>
    <t>ET</t>
  </si>
  <si>
    <t>Estonian</t>
  </si>
  <si>
    <t>CMS</t>
  </si>
  <si>
    <t>cm/s</t>
  </si>
  <si>
    <t>ARS</t>
  </si>
  <si>
    <t>Argentine Peso</t>
  </si>
  <si>
    <t>AR</t>
  </si>
  <si>
    <t>Arabic</t>
  </si>
  <si>
    <t>MMI</t>
  </si>
  <si>
    <t>m/min</t>
  </si>
  <si>
    <t>ATS</t>
  </si>
  <si>
    <t>Shilling</t>
  </si>
  <si>
    <t>HE</t>
  </si>
  <si>
    <t>Hebrew</t>
  </si>
  <si>
    <t>µL</t>
  </si>
  <si>
    <t>µl</t>
  </si>
  <si>
    <t>AUD</t>
  </si>
  <si>
    <t>Austr. Dollar</t>
  </si>
  <si>
    <t>CS</t>
  </si>
  <si>
    <t>Czech</t>
  </si>
  <si>
    <t>µF</t>
  </si>
  <si>
    <t>AWG</t>
  </si>
  <si>
    <t>Aruban Florin</t>
  </si>
  <si>
    <t>DE</t>
  </si>
  <si>
    <t>German</t>
  </si>
  <si>
    <t>PF</t>
  </si>
  <si>
    <t>pF</t>
  </si>
  <si>
    <t>AZM</t>
  </si>
  <si>
    <t>Manat</t>
  </si>
  <si>
    <t>English</t>
  </si>
  <si>
    <t>A</t>
  </si>
  <si>
    <t>AZN</t>
  </si>
  <si>
    <t>Azerb. Manat</t>
  </si>
  <si>
    <t>FR</t>
  </si>
  <si>
    <t>French</t>
  </si>
  <si>
    <t>GOH</t>
  </si>
  <si>
    <t>GOhm</t>
  </si>
  <si>
    <t>BAM</t>
  </si>
  <si>
    <t>B. + H. C. Mark</t>
  </si>
  <si>
    <t>EL</t>
  </si>
  <si>
    <t>Greek</t>
  </si>
  <si>
    <t>GM3</t>
  </si>
  <si>
    <t>g/m3</t>
  </si>
  <si>
    <t>BBD</t>
  </si>
  <si>
    <t>Barbados Dollar</t>
  </si>
  <si>
    <t>HU</t>
  </si>
  <si>
    <t>Hungarian</t>
  </si>
  <si>
    <t>ACR</t>
  </si>
  <si>
    <t>Acre</t>
  </si>
  <si>
    <t>BDT</t>
  </si>
  <si>
    <t>Bangladesh Taka</t>
  </si>
  <si>
    <t>IT</t>
  </si>
  <si>
    <t>Italian</t>
  </si>
  <si>
    <t>KD3</t>
  </si>
  <si>
    <t>kg/dm3</t>
  </si>
  <si>
    <t>BEF</t>
  </si>
  <si>
    <t>Belgian Franc</t>
  </si>
  <si>
    <t>JA</t>
  </si>
  <si>
    <t>Japanese</t>
  </si>
  <si>
    <t>KML</t>
  </si>
  <si>
    <t>kmol</t>
  </si>
  <si>
    <t>BGN</t>
  </si>
  <si>
    <t>Bulgarian Lev</t>
  </si>
  <si>
    <t>DA</t>
  </si>
  <si>
    <t>Danish</t>
  </si>
  <si>
    <t>NI</t>
  </si>
  <si>
    <t>BHD</t>
  </si>
  <si>
    <t>Bahrain Dinar</t>
  </si>
  <si>
    <t>PL</t>
  </si>
  <si>
    <t>Polish</t>
  </si>
  <si>
    <t>MN</t>
  </si>
  <si>
    <t>BIF</t>
  </si>
  <si>
    <t>Burundi Franc</t>
  </si>
  <si>
    <t>ZF</t>
  </si>
  <si>
    <t>Chinese trad.</t>
  </si>
  <si>
    <t>MGO</t>
  </si>
  <si>
    <t>MOhm</t>
  </si>
  <si>
    <t>BMD</t>
  </si>
  <si>
    <t>Bermudan Dollar</t>
  </si>
  <si>
    <t>NL</t>
  </si>
  <si>
    <t>Dutch</t>
  </si>
  <si>
    <t>MHV</t>
  </si>
  <si>
    <t>MV</t>
  </si>
  <si>
    <t>BND</t>
  </si>
  <si>
    <t>Brunei Dollar</t>
  </si>
  <si>
    <t>NO</t>
  </si>
  <si>
    <t>Norwegian</t>
  </si>
  <si>
    <t>µA</t>
  </si>
  <si>
    <t>BOB</t>
  </si>
  <si>
    <t>Boliviano</t>
  </si>
  <si>
    <t>PT</t>
  </si>
  <si>
    <t>Portuguese</t>
  </si>
  <si>
    <t>BAG</t>
  </si>
  <si>
    <t>BRL</t>
  </si>
  <si>
    <t>Brazilian Real</t>
  </si>
  <si>
    <t>SK</t>
  </si>
  <si>
    <t>Slovak</t>
  </si>
  <si>
    <t>BAR</t>
  </si>
  <si>
    <t>bar</t>
  </si>
  <si>
    <t>BSD</t>
  </si>
  <si>
    <t>Bahaman Dollar</t>
  </si>
  <si>
    <t>RU</t>
  </si>
  <si>
    <t>Russian</t>
  </si>
  <si>
    <t>BB6</t>
  </si>
  <si>
    <t>Barrel 60F</t>
  </si>
  <si>
    <t>BTN</t>
  </si>
  <si>
    <t>Bhutan Ngultrum</t>
  </si>
  <si>
    <t>ES</t>
  </si>
  <si>
    <t>Spanish</t>
  </si>
  <si>
    <t>BBL</t>
  </si>
  <si>
    <t>Barrels</t>
  </si>
  <si>
    <t>BWP</t>
  </si>
  <si>
    <t>Botswana Pula</t>
  </si>
  <si>
    <t>TR</t>
  </si>
  <si>
    <t>Turkish</t>
  </si>
  <si>
    <t>BC1</t>
  </si>
  <si>
    <t>BTUCF1502D</t>
  </si>
  <si>
    <t>BYB</t>
  </si>
  <si>
    <t>Belarus. Ruble</t>
  </si>
  <si>
    <t>FI</t>
  </si>
  <si>
    <t>Finnish</t>
  </si>
  <si>
    <t>BC2</t>
  </si>
  <si>
    <t>BTUCF1473D</t>
  </si>
  <si>
    <t>BYN</t>
  </si>
  <si>
    <t>SV</t>
  </si>
  <si>
    <t>Swedish</t>
  </si>
  <si>
    <t>BC3</t>
  </si>
  <si>
    <t>BTUCF1465D</t>
  </si>
  <si>
    <t>BYR</t>
  </si>
  <si>
    <t>Belorus. Ruble</t>
  </si>
  <si>
    <t>BG</t>
  </si>
  <si>
    <t>Bulgarian</t>
  </si>
  <si>
    <t>BM2</t>
  </si>
  <si>
    <t>Bq/m2</t>
  </si>
  <si>
    <t>BZD</t>
  </si>
  <si>
    <t>Belize Dollar</t>
  </si>
  <si>
    <t>LT</t>
  </si>
  <si>
    <t>Lithuanian</t>
  </si>
  <si>
    <t>BOE</t>
  </si>
  <si>
    <t>CAD</t>
  </si>
  <si>
    <t>Canadian Dollar</t>
  </si>
  <si>
    <t>LV</t>
  </si>
  <si>
    <t>Latvian</t>
  </si>
  <si>
    <t>BT</t>
  </si>
  <si>
    <t>Bottle</t>
  </si>
  <si>
    <t>CDF</t>
  </si>
  <si>
    <t>Congolese Franc</t>
  </si>
  <si>
    <t>Z1</t>
  </si>
  <si>
    <t>Customer reserve</t>
  </si>
  <si>
    <t>BQ</t>
  </si>
  <si>
    <t>Bq</t>
  </si>
  <si>
    <t>XPF</t>
  </si>
  <si>
    <t>Fr. Franc (Pac)</t>
  </si>
  <si>
    <t>AF</t>
  </si>
  <si>
    <t>Afrikaans</t>
  </si>
  <si>
    <t>BQ2</t>
  </si>
  <si>
    <t>Bq/cm2</t>
  </si>
  <si>
    <t>CHF</t>
  </si>
  <si>
    <t>Swiss Franc</t>
  </si>
  <si>
    <t>IS</t>
  </si>
  <si>
    <t>Icelandic</t>
  </si>
  <si>
    <t>BQG</t>
  </si>
  <si>
    <t>Bq/g</t>
  </si>
  <si>
    <t>CLF</t>
  </si>
  <si>
    <t>Unidad Fomento</t>
  </si>
  <si>
    <t>CA</t>
  </si>
  <si>
    <t>Catalan</t>
  </si>
  <si>
    <t>BQK</t>
  </si>
  <si>
    <t>Bq/kg</t>
  </si>
  <si>
    <t>CLP</t>
  </si>
  <si>
    <t>Chilean Peso</t>
  </si>
  <si>
    <t>SH</t>
  </si>
  <si>
    <t>Serbian (Latin)</t>
  </si>
  <si>
    <t>BTU</t>
  </si>
  <si>
    <t>CNY</t>
  </si>
  <si>
    <t>Chinese Yuan</t>
  </si>
  <si>
    <t>ID</t>
  </si>
  <si>
    <t>Indonesian</t>
  </si>
  <si>
    <t>Bqm</t>
  </si>
  <si>
    <t>Bq/m3</t>
  </si>
  <si>
    <t>COP</t>
  </si>
  <si>
    <t>Colombian Peso</t>
  </si>
  <si>
    <t>HI</t>
  </si>
  <si>
    <t>Hindi</t>
  </si>
  <si>
    <t>RF</t>
  </si>
  <si>
    <t>mF</t>
  </si>
  <si>
    <t>CRC</t>
  </si>
  <si>
    <t>Cost.Rica Colon</t>
  </si>
  <si>
    <t>KK</t>
  </si>
  <si>
    <t>Kazakh</t>
  </si>
  <si>
    <t>M/M</t>
  </si>
  <si>
    <t>Mo/m3</t>
  </si>
  <si>
    <t>CSD</t>
  </si>
  <si>
    <t>Serbian Dinar</t>
  </si>
  <si>
    <t>VI</t>
  </si>
  <si>
    <t>Vietnamese</t>
  </si>
  <si>
    <t>M/L</t>
  </si>
  <si>
    <t>Mol/Liter</t>
  </si>
  <si>
    <t>CUC</t>
  </si>
  <si>
    <t>Peso Convertib.</t>
  </si>
  <si>
    <t>NA</t>
  </si>
  <si>
    <t>nA</t>
  </si>
  <si>
    <t>CUP</t>
  </si>
  <si>
    <t>Cuban Peso</t>
  </si>
  <si>
    <t>C3S</t>
  </si>
  <si>
    <t>cm3/s</t>
  </si>
  <si>
    <t>CVE</t>
  </si>
  <si>
    <t>Cape V. Escudo</t>
  </si>
  <si>
    <t>R-U</t>
  </si>
  <si>
    <t>nF</t>
  </si>
  <si>
    <t>CYP</t>
  </si>
  <si>
    <t>Cyprus Pound</t>
  </si>
  <si>
    <t>NMM</t>
  </si>
  <si>
    <t>N/mm2</t>
  </si>
  <si>
    <t>CZK</t>
  </si>
  <si>
    <t>Czech Krona</t>
  </si>
  <si>
    <t>CCK</t>
  </si>
  <si>
    <t>CCM/KG</t>
  </si>
  <si>
    <t>DEM</t>
  </si>
  <si>
    <t>German Mark</t>
  </si>
  <si>
    <t>CCM</t>
  </si>
  <si>
    <t>cm3</t>
  </si>
  <si>
    <t>DJF</t>
  </si>
  <si>
    <t>Djibouti Franc</t>
  </si>
  <si>
    <t>CD</t>
  </si>
  <si>
    <t>cd</t>
  </si>
  <si>
    <t>DKK</t>
  </si>
  <si>
    <t>Danish Krone</t>
  </si>
  <si>
    <t>CD3</t>
  </si>
  <si>
    <t>Cubic dec.</t>
  </si>
  <si>
    <t>DOP</t>
  </si>
  <si>
    <t>Dominican Peso</t>
  </si>
  <si>
    <t>CM</t>
  </si>
  <si>
    <t>cm</t>
  </si>
  <si>
    <t>DZD</t>
  </si>
  <si>
    <t>Algerian Dinar</t>
  </si>
  <si>
    <t>CM2</t>
  </si>
  <si>
    <t>cm2</t>
  </si>
  <si>
    <t>ECS</t>
  </si>
  <si>
    <t>Sucre</t>
  </si>
  <si>
    <t>CMH</t>
  </si>
  <si>
    <t>cm/h</t>
  </si>
  <si>
    <t>EEK</t>
  </si>
  <si>
    <t>Krona</t>
  </si>
  <si>
    <t>Copies</t>
  </si>
  <si>
    <t>EGP</t>
  </si>
  <si>
    <t>Egyptian Pound</t>
  </si>
  <si>
    <t>CV</t>
  </si>
  <si>
    <t>Case</t>
  </si>
  <si>
    <t>ERN</t>
  </si>
  <si>
    <t>Eritrean Nafka</t>
  </si>
  <si>
    <t>CL</t>
  </si>
  <si>
    <t>Centiliter</t>
  </si>
  <si>
    <t>ESP</t>
  </si>
  <si>
    <t>S/M</t>
  </si>
  <si>
    <t>Siemens/m</t>
  </si>
  <si>
    <t>ETB</t>
  </si>
  <si>
    <t>Ethiopian Birr</t>
  </si>
  <si>
    <t>TOM</t>
  </si>
  <si>
    <t>t/m3</t>
  </si>
  <si>
    <t>EUR</t>
  </si>
  <si>
    <t>Euro</t>
  </si>
  <si>
    <t>VAM</t>
  </si>
  <si>
    <t>VA</t>
  </si>
  <si>
    <t>EU4</t>
  </si>
  <si>
    <t>JG</t>
  </si>
  <si>
    <t>J/G</t>
  </si>
  <si>
    <t>FIM</t>
  </si>
  <si>
    <t>Finnish markka</t>
  </si>
  <si>
    <t>dBA</t>
  </si>
  <si>
    <t>db(A)</t>
  </si>
  <si>
    <t>FJD</t>
  </si>
  <si>
    <t>Fiji Dollar</t>
  </si>
  <si>
    <t>dBC</t>
  </si>
  <si>
    <t>dB(C)</t>
  </si>
  <si>
    <t>FKP</t>
  </si>
  <si>
    <t>Falkland Pound</t>
  </si>
  <si>
    <t>DEG</t>
  </si>
  <si>
    <t>Degree</t>
  </si>
  <si>
    <t>FRF</t>
  </si>
  <si>
    <t>French Franc</t>
  </si>
  <si>
    <t>DGP</t>
  </si>
  <si>
    <t>ADR Points</t>
  </si>
  <si>
    <t>GBP</t>
  </si>
  <si>
    <t>British Pound</t>
  </si>
  <si>
    <t>DM</t>
  </si>
  <si>
    <t>dm</t>
  </si>
  <si>
    <t>GEL</t>
  </si>
  <si>
    <t>Georgian Lari</t>
  </si>
  <si>
    <t>DR</t>
  </si>
  <si>
    <t>GHC</t>
  </si>
  <si>
    <t>Cedi</t>
  </si>
  <si>
    <t>DZ</t>
  </si>
  <si>
    <t>Dozen</t>
  </si>
  <si>
    <t>GHS</t>
  </si>
  <si>
    <t>Ghanian Cedi</t>
  </si>
  <si>
    <t>EA</t>
  </si>
  <si>
    <t>Each</t>
  </si>
  <si>
    <t>GIP</t>
  </si>
  <si>
    <t>Gibraltar Pound</t>
  </si>
  <si>
    <t>EU</t>
  </si>
  <si>
    <t>Enzy.Units</t>
  </si>
  <si>
    <t>GMD</t>
  </si>
  <si>
    <t>Gambian Dalasi</t>
  </si>
  <si>
    <t>EML</t>
  </si>
  <si>
    <t>Enzyme/ml</t>
  </si>
  <si>
    <t>GNF</t>
  </si>
  <si>
    <t>Guinean Franc</t>
  </si>
  <si>
    <t>EXR</t>
  </si>
  <si>
    <t>Ex.Rate</t>
  </si>
  <si>
    <t>GRD</t>
  </si>
  <si>
    <t>Drachma</t>
  </si>
  <si>
    <t>F</t>
  </si>
  <si>
    <t>GTQ</t>
  </si>
  <si>
    <t>Guatem. Quetzal</t>
  </si>
  <si>
    <t>°F</t>
  </si>
  <si>
    <t>GWP</t>
  </si>
  <si>
    <t>Guinea Peso</t>
  </si>
  <si>
    <t>FAH</t>
  </si>
  <si>
    <t>Fahrenheit</t>
  </si>
  <si>
    <t>GYD</t>
  </si>
  <si>
    <t>Guyana Dollar</t>
  </si>
  <si>
    <t>FT</t>
  </si>
  <si>
    <t>Foot</t>
  </si>
  <si>
    <t>HKD</t>
  </si>
  <si>
    <t>H.K.Dollar</t>
  </si>
  <si>
    <t>FT2</t>
  </si>
  <si>
    <t>Square ft</t>
  </si>
  <si>
    <t>HNL</t>
  </si>
  <si>
    <t>Hond. Lempira</t>
  </si>
  <si>
    <t>FT3</t>
  </si>
  <si>
    <t>Cubic ft</t>
  </si>
  <si>
    <t>HRK</t>
  </si>
  <si>
    <t>Croatian Kuna</t>
  </si>
  <si>
    <t>G</t>
  </si>
  <si>
    <t>g</t>
  </si>
  <si>
    <t>HTG</t>
  </si>
  <si>
    <t>Haitian Gourde</t>
  </si>
  <si>
    <t>G/L</t>
  </si>
  <si>
    <t>gai/liter</t>
  </si>
  <si>
    <t>HUF</t>
  </si>
  <si>
    <t>Hung. Forint</t>
  </si>
  <si>
    <t>GAU</t>
  </si>
  <si>
    <t>Gram Gold</t>
  </si>
  <si>
    <t>IDR</t>
  </si>
  <si>
    <t>ID Rupiah</t>
  </si>
  <si>
    <t>GBQ</t>
  </si>
  <si>
    <t>GBq</t>
  </si>
  <si>
    <t>IEP</t>
  </si>
  <si>
    <t>Irish Punt</t>
  </si>
  <si>
    <t>°C</t>
  </si>
  <si>
    <t>ILS</t>
  </si>
  <si>
    <t>Israel Shekel</t>
  </si>
  <si>
    <t>GGL</t>
  </si>
  <si>
    <t>g/gal</t>
  </si>
  <si>
    <t>INR</t>
  </si>
  <si>
    <t>Indian Rupee</t>
  </si>
  <si>
    <t>GHG</t>
  </si>
  <si>
    <t>g/hg</t>
  </si>
  <si>
    <t>IQD</t>
  </si>
  <si>
    <t>Iraqui Dinar</t>
  </si>
  <si>
    <t>GJ</t>
  </si>
  <si>
    <t>Gigajoule</t>
  </si>
  <si>
    <t>IRR</t>
  </si>
  <si>
    <t>Iranian Rial</t>
  </si>
  <si>
    <t>GJC</t>
  </si>
  <si>
    <t>GJ/kl</t>
  </si>
  <si>
    <t>ISK</t>
  </si>
  <si>
    <t>Iceland Krona</t>
  </si>
  <si>
    <t>GJT</t>
  </si>
  <si>
    <t>GJ/t</t>
  </si>
  <si>
    <t>ITL</t>
  </si>
  <si>
    <t>Lire</t>
  </si>
  <si>
    <t>GKG</t>
  </si>
  <si>
    <t>g/kg</t>
  </si>
  <si>
    <t>JMD</t>
  </si>
  <si>
    <t>Jamaican Dollar</t>
  </si>
  <si>
    <t>GKH</t>
  </si>
  <si>
    <t>g/KWh</t>
  </si>
  <si>
    <t>JOD</t>
  </si>
  <si>
    <t>Jordanian Dinar</t>
  </si>
  <si>
    <t>GLI</t>
  </si>
  <si>
    <t>g/l</t>
  </si>
  <si>
    <t>JPY</t>
  </si>
  <si>
    <t>Japanese Yen</t>
  </si>
  <si>
    <t>GAL</t>
  </si>
  <si>
    <t>US Gallon</t>
  </si>
  <si>
    <t>KES</t>
  </si>
  <si>
    <t>Keny. Shilling</t>
  </si>
  <si>
    <t>GPM</t>
  </si>
  <si>
    <t>Gal/Mi(US)</t>
  </si>
  <si>
    <t>KGS</t>
  </si>
  <si>
    <t>Kyrgyzstan Som</t>
  </si>
  <si>
    <t>GM</t>
  </si>
  <si>
    <t>g/mol</t>
  </si>
  <si>
    <t>KHR</t>
  </si>
  <si>
    <t>Cambodian Riel</t>
  </si>
  <si>
    <t>GM2</t>
  </si>
  <si>
    <t>g/m2</t>
  </si>
  <si>
    <t>KMF</t>
  </si>
  <si>
    <t>Comoros Franc</t>
  </si>
  <si>
    <t>GMB</t>
  </si>
  <si>
    <t>g/MMBt</t>
  </si>
  <si>
    <t>KPW</t>
  </si>
  <si>
    <t>N. Korean Won</t>
  </si>
  <si>
    <t>GPH</t>
  </si>
  <si>
    <t>Gal/hr US</t>
  </si>
  <si>
    <t>KRW</t>
  </si>
  <si>
    <t>S. Korean Won</t>
  </si>
  <si>
    <t>µGQ</t>
  </si>
  <si>
    <t>µg/m3</t>
  </si>
  <si>
    <t>KWD</t>
  </si>
  <si>
    <t>Kuwaiti Dinar</t>
  </si>
  <si>
    <t>GRO</t>
  </si>
  <si>
    <t>Gross</t>
  </si>
  <si>
    <t>KYD</t>
  </si>
  <si>
    <t>Cayman Dollar</t>
  </si>
  <si>
    <t>GT</t>
  </si>
  <si>
    <t>g/t</t>
  </si>
  <si>
    <t>KZT</t>
  </si>
  <si>
    <t>Kazakst. Tenge</t>
  </si>
  <si>
    <t>GUT</t>
  </si>
  <si>
    <t>g/ton</t>
  </si>
  <si>
    <t>LAK</t>
  </si>
  <si>
    <t>Laotian Kip</t>
  </si>
  <si>
    <t>GAI</t>
  </si>
  <si>
    <t>g act.ing.</t>
  </si>
  <si>
    <t>LBP</t>
  </si>
  <si>
    <t>Lebanese Pound</t>
  </si>
  <si>
    <t>H</t>
  </si>
  <si>
    <t>Hours</t>
  </si>
  <si>
    <t>LKR</t>
  </si>
  <si>
    <t>Sri Lanka Rupee</t>
  </si>
  <si>
    <t>HA</t>
  </si>
  <si>
    <t>Hectare</t>
  </si>
  <si>
    <t>LRD</t>
  </si>
  <si>
    <t>Liberian Dollar</t>
  </si>
  <si>
    <t>HL</t>
  </si>
  <si>
    <t>hl</t>
  </si>
  <si>
    <t>LSL</t>
  </si>
  <si>
    <t>Lesotho Loti</t>
  </si>
  <si>
    <t>HPA</t>
  </si>
  <si>
    <t>hPa</t>
  </si>
  <si>
    <t>LTL</t>
  </si>
  <si>
    <t>Lita</t>
  </si>
  <si>
    <t>HZ</t>
  </si>
  <si>
    <t>Hz</t>
  </si>
  <si>
    <t>LUF</t>
  </si>
  <si>
    <t>Lux. Franc</t>
  </si>
  <si>
    <t>"</t>
  </si>
  <si>
    <t>Inches</t>
  </si>
  <si>
    <t>LVL</t>
  </si>
  <si>
    <t>Lat</t>
  </si>
  <si>
    <t>"2</t>
  </si>
  <si>
    <t>Inch2</t>
  </si>
  <si>
    <t>LYD</t>
  </si>
  <si>
    <t>Libyan Dinar</t>
  </si>
  <si>
    <t>"3</t>
  </si>
  <si>
    <t>Cubic inch</t>
  </si>
  <si>
    <t>MAD</t>
  </si>
  <si>
    <t>Moroccan Dirham</t>
  </si>
  <si>
    <t>J</t>
  </si>
  <si>
    <t>MDL</t>
  </si>
  <si>
    <t>Moldavian Leu</t>
  </si>
  <si>
    <t>YR</t>
  </si>
  <si>
    <t>MGA</t>
  </si>
  <si>
    <t>Madagasc.Ariary</t>
  </si>
  <si>
    <t>JKG</t>
  </si>
  <si>
    <t>J/kg</t>
  </si>
  <si>
    <t>MGF</t>
  </si>
  <si>
    <t>Madagascan Fr.</t>
  </si>
  <si>
    <t>JKK</t>
  </si>
  <si>
    <t>J/(kg*K)</t>
  </si>
  <si>
    <t>MKD</t>
  </si>
  <si>
    <t>Maced. Denar</t>
  </si>
  <si>
    <t>JM3</t>
  </si>
  <si>
    <t>Joule/m3</t>
  </si>
  <si>
    <t>MMK</t>
  </si>
  <si>
    <t>Myanmar Kyat</t>
  </si>
  <si>
    <t>JMO</t>
  </si>
  <si>
    <t>J/mol</t>
  </si>
  <si>
    <t>MNT</t>
  </si>
  <si>
    <t>Mong. Tugrik</t>
  </si>
  <si>
    <t>K</t>
  </si>
  <si>
    <t>MOP</t>
  </si>
  <si>
    <t>Macao Pataca</t>
  </si>
  <si>
    <t>KA</t>
  </si>
  <si>
    <t>kA</t>
  </si>
  <si>
    <t>MRO</t>
  </si>
  <si>
    <t>Maurit. Ouguiya</t>
  </si>
  <si>
    <t>CAN</t>
  </si>
  <si>
    <t>Canister</t>
  </si>
  <si>
    <t>MRU</t>
  </si>
  <si>
    <t>MTL</t>
  </si>
  <si>
    <t>Lira</t>
  </si>
  <si>
    <t>KB2</t>
  </si>
  <si>
    <t>kBq/c2</t>
  </si>
  <si>
    <t>Mauritian Rupee</t>
  </si>
  <si>
    <t>KBG</t>
  </si>
  <si>
    <t>kBq/g</t>
  </si>
  <si>
    <t>MVR</t>
  </si>
  <si>
    <t>Maldive Rufiyaa</t>
  </si>
  <si>
    <t>KBK</t>
  </si>
  <si>
    <t>kBq/kg</t>
  </si>
  <si>
    <t>MWK</t>
  </si>
  <si>
    <t>Malawi Kwacha</t>
  </si>
  <si>
    <t>KBQ</t>
  </si>
  <si>
    <t>kBq</t>
  </si>
  <si>
    <t>MXN</t>
  </si>
  <si>
    <t>Mexican Pesos</t>
  </si>
  <si>
    <t>KEL</t>
  </si>
  <si>
    <t>kg/KWh</t>
  </si>
  <si>
    <t>MXV</t>
  </si>
  <si>
    <t>Mexic Uni. Inv.</t>
  </si>
  <si>
    <t>KG</t>
  </si>
  <si>
    <t>kg</t>
  </si>
  <si>
    <t>MYR</t>
  </si>
  <si>
    <t>Mal. Ringgit</t>
  </si>
  <si>
    <t>KGF</t>
  </si>
  <si>
    <t>kg/m2</t>
  </si>
  <si>
    <t>MZM</t>
  </si>
  <si>
    <t>Metical</t>
  </si>
  <si>
    <t>KGH</t>
  </si>
  <si>
    <t>kg/h</t>
  </si>
  <si>
    <t>MZN</t>
  </si>
  <si>
    <t>Mozamb. Metical</t>
  </si>
  <si>
    <t>KGJ</t>
  </si>
  <si>
    <t>kg/GJ</t>
  </si>
  <si>
    <t>NAD</t>
  </si>
  <si>
    <t>Namibian Dollar</t>
  </si>
  <si>
    <t>KGK</t>
  </si>
  <si>
    <t>kg/kg</t>
  </si>
  <si>
    <t>NGN</t>
  </si>
  <si>
    <t>Nigerian Naira</t>
  </si>
  <si>
    <t>KGM</t>
  </si>
  <si>
    <t>kg/mol</t>
  </si>
  <si>
    <t>NIO</t>
  </si>
  <si>
    <t>Nicar. Cor. Oro</t>
  </si>
  <si>
    <t>kg/s</t>
  </si>
  <si>
    <t>NLG</t>
  </si>
  <si>
    <t>Guilder</t>
  </si>
  <si>
    <t>KGT</t>
  </si>
  <si>
    <t>kg/t</t>
  </si>
  <si>
    <t>NOK</t>
  </si>
  <si>
    <t>Norwegian Krone</t>
  </si>
  <si>
    <t>KGV</t>
  </si>
  <si>
    <t>kg/m3</t>
  </si>
  <si>
    <t>NPR</t>
  </si>
  <si>
    <t>Nepalese Rupee</t>
  </si>
  <si>
    <t>KAI</t>
  </si>
  <si>
    <t>kg ac.ing.</t>
  </si>
  <si>
    <t>NZD</t>
  </si>
  <si>
    <t>N. Zeal. Dollar</t>
  </si>
  <si>
    <t>KHZ</t>
  </si>
  <si>
    <t>kHz</t>
  </si>
  <si>
    <t>OMR</t>
  </si>
  <si>
    <t>Omani Rial</t>
  </si>
  <si>
    <t>CRT</t>
  </si>
  <si>
    <t>Crate</t>
  </si>
  <si>
    <t>PAB</t>
  </si>
  <si>
    <t>Panam. Balboa</t>
  </si>
  <si>
    <t>KJ</t>
  </si>
  <si>
    <t>kJ</t>
  </si>
  <si>
    <t>Peruvian Sol</t>
  </si>
  <si>
    <t>KJG</t>
  </si>
  <si>
    <t>kJ/g</t>
  </si>
  <si>
    <t>PGK</t>
  </si>
  <si>
    <t>Papua NG Kina</t>
  </si>
  <si>
    <t>KJK</t>
  </si>
  <si>
    <t>KJ/kg</t>
  </si>
  <si>
    <t>PHP</t>
  </si>
  <si>
    <t>Philippine Peso</t>
  </si>
  <si>
    <t>KJM</t>
  </si>
  <si>
    <t>KJ/mol</t>
  </si>
  <si>
    <t>PKR</t>
  </si>
  <si>
    <t>Pakistani Rupee</t>
  </si>
  <si>
    <t>KKW</t>
  </si>
  <si>
    <t>kg/MWh</t>
  </si>
  <si>
    <t>PLN</t>
  </si>
  <si>
    <t>Polish Zloty</t>
  </si>
  <si>
    <t>KM</t>
  </si>
  <si>
    <t>km</t>
  </si>
  <si>
    <t>PTE</t>
  </si>
  <si>
    <t>Escudo</t>
  </si>
  <si>
    <t>KM2</t>
  </si>
  <si>
    <t>km2</t>
  </si>
  <si>
    <t>PYG</t>
  </si>
  <si>
    <t>Parag. Guarani</t>
  </si>
  <si>
    <t>KMH</t>
  </si>
  <si>
    <t>km/h</t>
  </si>
  <si>
    <t>QAR</t>
  </si>
  <si>
    <t>Qatar Rial</t>
  </si>
  <si>
    <t>KMI</t>
  </si>
  <si>
    <t>kg/min</t>
  </si>
  <si>
    <t>ROL</t>
  </si>
  <si>
    <t>Leu (Old)</t>
  </si>
  <si>
    <t>KMK</t>
  </si>
  <si>
    <t>m3/m3</t>
  </si>
  <si>
    <t>RON</t>
  </si>
  <si>
    <t>Romanian Leu</t>
  </si>
  <si>
    <t>KMN</t>
  </si>
  <si>
    <t>K/min</t>
  </si>
  <si>
    <t>RSD</t>
  </si>
  <si>
    <t>KMS</t>
  </si>
  <si>
    <t>K/s</t>
  </si>
  <si>
    <t>RUB</t>
  </si>
  <si>
    <t>Russian Ruble</t>
  </si>
  <si>
    <t>KOH</t>
  </si>
  <si>
    <t>kOhm</t>
  </si>
  <si>
    <t>RWF</t>
  </si>
  <si>
    <t>Rwandan Franc</t>
  </si>
  <si>
    <t>KPA</t>
  </si>
  <si>
    <t>kPa</t>
  </si>
  <si>
    <t>SAR</t>
  </si>
  <si>
    <t>Saudi Riyal</t>
  </si>
  <si>
    <t>KT</t>
  </si>
  <si>
    <t>kt</t>
  </si>
  <si>
    <t>SBD</t>
  </si>
  <si>
    <t>Sol.Isl. Dollar</t>
  </si>
  <si>
    <t>KV</t>
  </si>
  <si>
    <t>kV</t>
  </si>
  <si>
    <t>SCR</t>
  </si>
  <si>
    <t>Seychel. Rupee</t>
  </si>
  <si>
    <t>KVA</t>
  </si>
  <si>
    <t>kVA</t>
  </si>
  <si>
    <t>SDD</t>
  </si>
  <si>
    <t>Dinar</t>
  </si>
  <si>
    <t>KW</t>
  </si>
  <si>
    <t>SDG</t>
  </si>
  <si>
    <t>Sudanese Pound</t>
  </si>
  <si>
    <t>KWH</t>
  </si>
  <si>
    <t>kWh</t>
  </si>
  <si>
    <t>SDP</t>
  </si>
  <si>
    <t>Pound</t>
  </si>
  <si>
    <t>KIK</t>
  </si>
  <si>
    <t>kai/kg</t>
  </si>
  <si>
    <t>SEK</t>
  </si>
  <si>
    <t>Swedish Krona</t>
  </si>
  <si>
    <t>KWM</t>
  </si>
  <si>
    <t>kWh/m3</t>
  </si>
  <si>
    <t>SGD</t>
  </si>
  <si>
    <t>Sing. Dollar</t>
  </si>
  <si>
    <t>Kcl</t>
  </si>
  <si>
    <t>kcal</t>
  </si>
  <si>
    <t>SHP</t>
  </si>
  <si>
    <t>St.Helena Pound</t>
  </si>
  <si>
    <t>L</t>
  </si>
  <si>
    <t>l</t>
  </si>
  <si>
    <t>SIT</t>
  </si>
  <si>
    <t>Tolar</t>
  </si>
  <si>
    <t>LMI</t>
  </si>
  <si>
    <t>l/min</t>
  </si>
  <si>
    <t>SKK</t>
  </si>
  <si>
    <t>LA</t>
  </si>
  <si>
    <t>SLL</t>
  </si>
  <si>
    <t>Sierra L. Leone</t>
  </si>
  <si>
    <t>LB</t>
  </si>
  <si>
    <t>SOS</t>
  </si>
  <si>
    <t>Soma. Shilling</t>
  </si>
  <si>
    <t>DYr</t>
  </si>
  <si>
    <t>Pound/Year</t>
  </si>
  <si>
    <t>SRD</t>
  </si>
  <si>
    <t>Surinam Dollar</t>
  </si>
  <si>
    <t>lbM</t>
  </si>
  <si>
    <t>Pound/Mon</t>
  </si>
  <si>
    <t>SRG</t>
  </si>
  <si>
    <t>Surinam Guilder</t>
  </si>
  <si>
    <t>AU</t>
  </si>
  <si>
    <t>SSP</t>
  </si>
  <si>
    <t>S. Sudan Pound</t>
  </si>
  <si>
    <t>LHK</t>
  </si>
  <si>
    <t>l/100 km</t>
  </si>
  <si>
    <t>STD</t>
  </si>
  <si>
    <t>Sao Tome Dobra</t>
  </si>
  <si>
    <t>m/Piece</t>
  </si>
  <si>
    <t>STN</t>
  </si>
  <si>
    <t>LMH</t>
  </si>
  <si>
    <t>lb/MWh</t>
  </si>
  <si>
    <t>SVC</t>
  </si>
  <si>
    <t>El Salv. Colon</t>
  </si>
  <si>
    <t>LMS</t>
  </si>
  <si>
    <t>l/mol.s</t>
  </si>
  <si>
    <t>SYP</t>
  </si>
  <si>
    <t>Syrian Pound</t>
  </si>
  <si>
    <t>LPH</t>
  </si>
  <si>
    <t>Liter/hr</t>
  </si>
  <si>
    <t>SZL</t>
  </si>
  <si>
    <t>Swaz. Lilangeni</t>
  </si>
  <si>
    <t>m</t>
  </si>
  <si>
    <t>THB</t>
  </si>
  <si>
    <t>Baht</t>
  </si>
  <si>
    <t>M%</t>
  </si>
  <si>
    <t>%(m)</t>
  </si>
  <si>
    <t>TJR</t>
  </si>
  <si>
    <t>Ruble</t>
  </si>
  <si>
    <t>M%O</t>
  </si>
  <si>
    <t>%0(mass)</t>
  </si>
  <si>
    <t>TJS</t>
  </si>
  <si>
    <t>Tajik. Somoni</t>
  </si>
  <si>
    <t>M/S</t>
  </si>
  <si>
    <t>m/s</t>
  </si>
  <si>
    <t>TMM</t>
  </si>
  <si>
    <t>Manat (Old)</t>
  </si>
  <si>
    <t>M2</t>
  </si>
  <si>
    <t>m2</t>
  </si>
  <si>
    <t>TMT</t>
  </si>
  <si>
    <t>Turkmen. Manat</t>
  </si>
  <si>
    <t>M2C</t>
  </si>
  <si>
    <t>m2/cm3</t>
  </si>
  <si>
    <t>TND</t>
  </si>
  <si>
    <t>Tunisian Dinar</t>
  </si>
  <si>
    <t>M2G</t>
  </si>
  <si>
    <t>m2/g</t>
  </si>
  <si>
    <t>TOP</t>
  </si>
  <si>
    <t>Tongan Pa'anga</t>
  </si>
  <si>
    <t>M-2</t>
  </si>
  <si>
    <t>1/M2</t>
  </si>
  <si>
    <t>TPE</t>
  </si>
  <si>
    <t>Timor Escudo</t>
  </si>
  <si>
    <t>M2K</t>
  </si>
  <si>
    <t>m2/kg</t>
  </si>
  <si>
    <t>TRL</t>
  </si>
  <si>
    <t>Lira (Old)</t>
  </si>
  <si>
    <t>M2M</t>
  </si>
  <si>
    <t>m2/m3</t>
  </si>
  <si>
    <t>TRY</t>
  </si>
  <si>
    <t>Turkish Lira</t>
  </si>
  <si>
    <t>M2S</t>
  </si>
  <si>
    <t>m2/s</t>
  </si>
  <si>
    <t>TTD</t>
  </si>
  <si>
    <t>T. + T. Dollar</t>
  </si>
  <si>
    <t>M3</t>
  </si>
  <si>
    <t>m3</t>
  </si>
  <si>
    <t>TWD</t>
  </si>
  <si>
    <t>Taiwan Dollar</t>
  </si>
  <si>
    <t>M3D</t>
  </si>
  <si>
    <t>m3/day</t>
  </si>
  <si>
    <t>TZS</t>
  </si>
  <si>
    <t>Tanz. Shilling</t>
  </si>
  <si>
    <t>M3S</t>
  </si>
  <si>
    <t>m3/s</t>
  </si>
  <si>
    <t>UAH</t>
  </si>
  <si>
    <t>Ukraine Hryvnia</t>
  </si>
  <si>
    <t>MA</t>
  </si>
  <si>
    <t>mA</t>
  </si>
  <si>
    <t>UGX</t>
  </si>
  <si>
    <t>Ugan. Shilling</t>
  </si>
  <si>
    <t>MB2</t>
  </si>
  <si>
    <t>MBq/c2</t>
  </si>
  <si>
    <t>USD</t>
  </si>
  <si>
    <t>US Dollar</t>
  </si>
  <si>
    <t>MBA</t>
  </si>
  <si>
    <t>mbar</t>
  </si>
  <si>
    <t>UYU</t>
  </si>
  <si>
    <t>Uruguayan Peso</t>
  </si>
  <si>
    <t>MBD</t>
  </si>
  <si>
    <t>MMBTU (SD)</t>
  </si>
  <si>
    <t>UZS</t>
  </si>
  <si>
    <t>Uzbekistan Som</t>
  </si>
  <si>
    <t>MBG</t>
  </si>
  <si>
    <t>MBq/g</t>
  </si>
  <si>
    <t>VEB</t>
  </si>
  <si>
    <t>Bolivar (Old)</t>
  </si>
  <si>
    <t>MBQ</t>
  </si>
  <si>
    <t>MBq</t>
  </si>
  <si>
    <t>VEF</t>
  </si>
  <si>
    <t>Venez. Bolivar</t>
  </si>
  <si>
    <t>MBZ</t>
  </si>
  <si>
    <t>m.bar/s</t>
  </si>
  <si>
    <t>VES</t>
  </si>
  <si>
    <t>Bolivar Sober.</t>
  </si>
  <si>
    <t>MC1</t>
  </si>
  <si>
    <t>MC1 15,025</t>
  </si>
  <si>
    <t>VND</t>
  </si>
  <si>
    <t>Vietnamese Dong</t>
  </si>
  <si>
    <t>MC2</t>
  </si>
  <si>
    <t>MC2 14,730</t>
  </si>
  <si>
    <t>VUV</t>
  </si>
  <si>
    <t>Vanuatu Vatu</t>
  </si>
  <si>
    <t>MC3</t>
  </si>
  <si>
    <t>MC3 14,650</t>
  </si>
  <si>
    <t>WST</t>
  </si>
  <si>
    <t>Samoan Tala</t>
  </si>
  <si>
    <t>MCF</t>
  </si>
  <si>
    <t>XAF</t>
  </si>
  <si>
    <t>CFA Franc BEAC</t>
  </si>
  <si>
    <t>MEJ</t>
  </si>
  <si>
    <t>MJ</t>
  </si>
  <si>
    <t>XCD</t>
  </si>
  <si>
    <t>E. Carrib. Doll</t>
  </si>
  <si>
    <t>mg</t>
  </si>
  <si>
    <t>XEU</t>
  </si>
  <si>
    <t>E.C.U.</t>
  </si>
  <si>
    <t>MGE</t>
  </si>
  <si>
    <t>mg/cm2</t>
  </si>
  <si>
    <t>XOF</t>
  </si>
  <si>
    <t>CFA Franc BCEAO</t>
  </si>
  <si>
    <t>MGG</t>
  </si>
  <si>
    <t>mg/g</t>
  </si>
  <si>
    <t>YER</t>
  </si>
  <si>
    <t>Yemeni Ryal</t>
  </si>
  <si>
    <t>MGJ</t>
  </si>
  <si>
    <t>g/m3/kpa</t>
  </si>
  <si>
    <t>YUM</t>
  </si>
  <si>
    <t>New Dinar</t>
  </si>
  <si>
    <t>MGK</t>
  </si>
  <si>
    <t>mg/kg</t>
  </si>
  <si>
    <t>ZAR</t>
  </si>
  <si>
    <t>S. Africa Rand</t>
  </si>
  <si>
    <t>MGL</t>
  </si>
  <si>
    <t>mg/l</t>
  </si>
  <si>
    <t>ZMK</t>
  </si>
  <si>
    <t>Kwacha</t>
  </si>
  <si>
    <t>MGQ</t>
  </si>
  <si>
    <t>mg/m3</t>
  </si>
  <si>
    <t>ZMW</t>
  </si>
  <si>
    <t>Zambian Kwacha</t>
  </si>
  <si>
    <t>MGT</t>
  </si>
  <si>
    <t>mg/t</t>
  </si>
  <si>
    <t>ZRN</t>
  </si>
  <si>
    <t>Zaire</t>
  </si>
  <si>
    <t>MGW</t>
  </si>
  <si>
    <t>MW</t>
  </si>
  <si>
    <t>ZWD</t>
  </si>
  <si>
    <t>Zimbabwe Dollar</t>
  </si>
  <si>
    <t>MGq</t>
  </si>
  <si>
    <t>mg/10m3</t>
  </si>
  <si>
    <t>ZWL</t>
  </si>
  <si>
    <t>MHZ</t>
  </si>
  <si>
    <t>MHz</t>
  </si>
  <si>
    <t>ZWN</t>
  </si>
  <si>
    <t>MI</t>
  </si>
  <si>
    <t>Mile</t>
  </si>
  <si>
    <t>ZWR</t>
  </si>
  <si>
    <t>MI2</t>
  </si>
  <si>
    <t>Mile2</t>
  </si>
  <si>
    <t>mil</t>
  </si>
  <si>
    <t>Milliinch</t>
  </si>
  <si>
    <t>µM</t>
  </si>
  <si>
    <t>µm</t>
  </si>
  <si>
    <t>MIN</t>
  </si>
  <si>
    <t>Minutes</t>
  </si>
  <si>
    <t>MIS</t>
  </si>
  <si>
    <t>µs</t>
  </si>
  <si>
    <t>MIJ</t>
  </si>
  <si>
    <t>mJ</t>
  </si>
  <si>
    <t>MJK</t>
  </si>
  <si>
    <t>MJ/kg</t>
  </si>
  <si>
    <t>ML</t>
  </si>
  <si>
    <t>ml</t>
  </si>
  <si>
    <t>MLK</t>
  </si>
  <si>
    <t>ml/m3</t>
  </si>
  <si>
    <t>MLR</t>
  </si>
  <si>
    <t>Mega Liter</t>
  </si>
  <si>
    <t>MLI</t>
  </si>
  <si>
    <t>ml act.in.</t>
  </si>
  <si>
    <t>MM</t>
  </si>
  <si>
    <t>mm</t>
  </si>
  <si>
    <t>MM2</t>
  </si>
  <si>
    <t>mm2</t>
  </si>
  <si>
    <t>MMA</t>
  </si>
  <si>
    <t>mm/a</t>
  </si>
  <si>
    <t>MMG</t>
  </si>
  <si>
    <t>mmol/g</t>
  </si>
  <si>
    <t>MMH</t>
  </si>
  <si>
    <t>mm/h</t>
  </si>
  <si>
    <t>mmol/kg</t>
  </si>
  <si>
    <t>MMO</t>
  </si>
  <si>
    <t>mmol</t>
  </si>
  <si>
    <t>MM3</t>
  </si>
  <si>
    <t>mm3</t>
  </si>
  <si>
    <t>MMS</t>
  </si>
  <si>
    <t>mm/s</t>
  </si>
  <si>
    <t>MNM</t>
  </si>
  <si>
    <t>mN/m</t>
  </si>
  <si>
    <t>MOK</t>
  </si>
  <si>
    <t>mol/kg</t>
  </si>
  <si>
    <t>MOL</t>
  </si>
  <si>
    <t>mol</t>
  </si>
  <si>
    <t>MON</t>
  </si>
  <si>
    <t>Months</t>
  </si>
  <si>
    <t>MPA</t>
  </si>
  <si>
    <t>MPa</t>
  </si>
  <si>
    <t>MPB</t>
  </si>
  <si>
    <t>ppb(m)</t>
  </si>
  <si>
    <t>MPG</t>
  </si>
  <si>
    <t>Mi/Gal(US)</t>
  </si>
  <si>
    <t>MPM</t>
  </si>
  <si>
    <t>ppm(m)</t>
  </si>
  <si>
    <t>MPS</t>
  </si>
  <si>
    <t>mPa.s</t>
  </si>
  <si>
    <t>MPT</t>
  </si>
  <si>
    <t>ppt(m)</t>
  </si>
  <si>
    <t>MPZ</t>
  </si>
  <si>
    <t>m.Pa/s</t>
  </si>
  <si>
    <t>M3H</t>
  </si>
  <si>
    <t>m3/h</t>
  </si>
  <si>
    <t>MSE</t>
  </si>
  <si>
    <t>ms</t>
  </si>
  <si>
    <t>MS2</t>
  </si>
  <si>
    <t>m/s2</t>
  </si>
  <si>
    <t>MSH</t>
  </si>
  <si>
    <t>mSv/h</t>
  </si>
  <si>
    <t>MTE</t>
  </si>
  <si>
    <t>mT</t>
  </si>
  <si>
    <t>MTM</t>
  </si>
  <si>
    <t>Mppcm</t>
  </si>
  <si>
    <t>M/H</t>
  </si>
  <si>
    <t>m/h</t>
  </si>
  <si>
    <t>MTf</t>
  </si>
  <si>
    <t>Mppcf</t>
  </si>
  <si>
    <t>mV</t>
  </si>
  <si>
    <t>MVA</t>
  </si>
  <si>
    <t>mW</t>
  </si>
  <si>
    <t>MWH</t>
  </si>
  <si>
    <t>Mwh</t>
  </si>
  <si>
    <t>N</t>
  </si>
  <si>
    <t>NAM</t>
  </si>
  <si>
    <t>nm</t>
  </si>
  <si>
    <t>NCH</t>
  </si>
  <si>
    <t>ng/(cm2*h)</t>
  </si>
  <si>
    <t>NGT</t>
  </si>
  <si>
    <t>ng/t</t>
  </si>
  <si>
    <t>NM</t>
  </si>
  <si>
    <t>N/m</t>
  </si>
  <si>
    <t>NS</t>
  </si>
  <si>
    <t>ns</t>
  </si>
  <si>
    <t>OCM</t>
  </si>
  <si>
    <t>Ohm*cm</t>
  </si>
  <si>
    <t>OHM</t>
  </si>
  <si>
    <t>Ohm</t>
  </si>
  <si>
    <t>OM</t>
  </si>
  <si>
    <t>Ohm*m</t>
  </si>
  <si>
    <t>OZ</t>
  </si>
  <si>
    <t>Ounce</t>
  </si>
  <si>
    <t>FOZ</t>
  </si>
  <si>
    <t>Fld.oz US</t>
  </si>
  <si>
    <t>P</t>
  </si>
  <si>
    <t>Points</t>
  </si>
  <si>
    <t>PA</t>
  </si>
  <si>
    <t>Pa</t>
  </si>
  <si>
    <t>PAA</t>
  </si>
  <si>
    <t>Pair</t>
  </si>
  <si>
    <t>PAC</t>
  </si>
  <si>
    <t>Pack</t>
  </si>
  <si>
    <t>PAL</t>
  </si>
  <si>
    <t>Pallet</t>
  </si>
  <si>
    <t>PAS</t>
  </si>
  <si>
    <t>Pascal sec</t>
  </si>
  <si>
    <t>PRC</t>
  </si>
  <si>
    <t>Group prop</t>
  </si>
  <si>
    <t>PDA</t>
  </si>
  <si>
    <t>Cons. Days</t>
  </si>
  <si>
    <t>PMI</t>
  </si>
  <si>
    <t>1/min</t>
  </si>
  <si>
    <t>PMR</t>
  </si>
  <si>
    <t>kg/m2*s</t>
  </si>
  <si>
    <t>PPB</t>
  </si>
  <si>
    <t>ppb</t>
  </si>
  <si>
    <t>PPM</t>
  </si>
  <si>
    <t>ppm</t>
  </si>
  <si>
    <t>PPT</t>
  </si>
  <si>
    <t>ppt</t>
  </si>
  <si>
    <t>PRM</t>
  </si>
  <si>
    <t>ug/cm2*min</t>
  </si>
  <si>
    <t>PRS</t>
  </si>
  <si>
    <t>Persons</t>
  </si>
  <si>
    <t>ps</t>
  </si>
  <si>
    <t>PSI</t>
  </si>
  <si>
    <t>Pint US l</t>
  </si>
  <si>
    <t>QMM</t>
  </si>
  <si>
    <t>cbm per m</t>
  </si>
  <si>
    <t>QT</t>
  </si>
  <si>
    <t>Quart US l</t>
  </si>
  <si>
    <t>RHO</t>
  </si>
  <si>
    <t>g/cm3</t>
  </si>
  <si>
    <t>RKG</t>
  </si>
  <si>
    <t>1/kg</t>
  </si>
  <si>
    <t>RQt</t>
  </si>
  <si>
    <t>1/mg</t>
  </si>
  <si>
    <t>Roll</t>
  </si>
  <si>
    <t>Seconds</t>
  </si>
  <si>
    <t>Piece</t>
  </si>
  <si>
    <t>SVH</t>
  </si>
  <si>
    <t>Sv/h</t>
  </si>
  <si>
    <t>SVS</t>
  </si>
  <si>
    <t>Sv/s</t>
  </si>
  <si>
    <t>DAY</t>
  </si>
  <si>
    <t>TBQ</t>
  </si>
  <si>
    <t>TBq</t>
  </si>
  <si>
    <t>TC3</t>
  </si>
  <si>
    <t>1/cm3</t>
  </si>
  <si>
    <t>TCM</t>
  </si>
  <si>
    <t>ppcm3</t>
  </si>
  <si>
    <t>TES</t>
  </si>
  <si>
    <t>TEU</t>
  </si>
  <si>
    <t>TS</t>
  </si>
  <si>
    <t>Thousands</t>
  </si>
  <si>
    <t>tha</t>
  </si>
  <si>
    <t>t/ha</t>
  </si>
  <si>
    <t>TYR</t>
  </si>
  <si>
    <t>t/Year</t>
  </si>
  <si>
    <t>tkl</t>
  </si>
  <si>
    <t>t/kl</t>
  </si>
  <si>
    <t>TKT</t>
  </si>
  <si>
    <t>t/kt</t>
  </si>
  <si>
    <t>TM3</t>
  </si>
  <si>
    <t>1/m3</t>
  </si>
  <si>
    <t>TO</t>
  </si>
  <si>
    <t>t</t>
  </si>
  <si>
    <t>TON</t>
  </si>
  <si>
    <t>US Ton</t>
  </si>
  <si>
    <t>TMO</t>
  </si>
  <si>
    <t>t/Month</t>
  </si>
  <si>
    <t>TPH</t>
  </si>
  <si>
    <t>t/h</t>
  </si>
  <si>
    <t>Tot</t>
  </si>
  <si>
    <t>t/ton</t>
  </si>
  <si>
    <t>UG</t>
  </si>
  <si>
    <t>µg</t>
  </si>
  <si>
    <t>UG6</t>
  </si>
  <si>
    <t>US Gal 60F</t>
  </si>
  <si>
    <t>µGL</t>
  </si>
  <si>
    <t>µg/l</t>
  </si>
  <si>
    <t>USH</t>
  </si>
  <si>
    <t>uSv/h</t>
  </si>
  <si>
    <t>V%</t>
  </si>
  <si>
    <t>%(V)</t>
  </si>
  <si>
    <t>V%O</t>
  </si>
  <si>
    <t>%O(V)</t>
  </si>
  <si>
    <t>MSC</t>
  </si>
  <si>
    <t>µS/cm</t>
  </si>
  <si>
    <t>MPL</t>
  </si>
  <si>
    <t>Millimol/l</t>
  </si>
  <si>
    <t>VAL</t>
  </si>
  <si>
    <t>Value</t>
  </si>
  <si>
    <t>VPB</t>
  </si>
  <si>
    <t>ppb(V)</t>
  </si>
  <si>
    <t>VPM</t>
  </si>
  <si>
    <t>ppm(V)</t>
  </si>
  <si>
    <t>VPT</t>
  </si>
  <si>
    <t>ppt(V)</t>
  </si>
  <si>
    <t>W</t>
  </si>
  <si>
    <t>WK</t>
  </si>
  <si>
    <t>Weeks</t>
  </si>
  <si>
    <t>WMK</t>
  </si>
  <si>
    <t>W/(m*K)</t>
  </si>
  <si>
    <t>WMP</t>
  </si>
  <si>
    <t>Wm-2 ppb-1</t>
  </si>
  <si>
    <t>WKY</t>
  </si>
  <si>
    <t>kg/s*m2</t>
  </si>
  <si>
    <t>YD</t>
  </si>
  <si>
    <t>Yards</t>
  </si>
  <si>
    <t>YD2</t>
  </si>
  <si>
    <t>Yard2</t>
  </si>
  <si>
    <t>YD3</t>
  </si>
  <si>
    <t>Cubic yard</t>
  </si>
  <si>
    <t>BYr</t>
  </si>
  <si>
    <t>BTU/Year</t>
  </si>
  <si>
    <t>Bmo</t>
  </si>
  <si>
    <t>BTU/Month</t>
  </si>
  <si>
    <t>bbl</t>
  </si>
  <si>
    <t>Btu/bbl</t>
  </si>
  <si>
    <t>bft</t>
  </si>
  <si>
    <t>Btu/ft3</t>
  </si>
  <si>
    <t>bgl</t>
  </si>
  <si>
    <t>Btu/gal</t>
  </si>
  <si>
    <t>BSC</t>
  </si>
  <si>
    <t>BTU/SCF</t>
  </si>
  <si>
    <t>btl</t>
  </si>
  <si>
    <t>Btu/lb</t>
  </si>
  <si>
    <t>fcm</t>
  </si>
  <si>
    <t>Fibers/cm3</t>
  </si>
  <si>
    <t>fm3</t>
  </si>
  <si>
    <t>Fibers/m3</t>
  </si>
  <si>
    <t>fml</t>
  </si>
  <si>
    <t>Fibers/ml</t>
  </si>
  <si>
    <t>gGJ</t>
  </si>
  <si>
    <t>g/GJ</t>
  </si>
  <si>
    <t>gj3</t>
  </si>
  <si>
    <t>GJ/1000m3</t>
  </si>
  <si>
    <t>gjm</t>
  </si>
  <si>
    <t>GJ/m3</t>
  </si>
  <si>
    <t>gjt</t>
  </si>
  <si>
    <t>GJ/ton</t>
  </si>
  <si>
    <t>GML</t>
  </si>
  <si>
    <t>g/mile</t>
  </si>
  <si>
    <t>GRH</t>
  </si>
  <si>
    <t>g/h</t>
  </si>
  <si>
    <t>jm3</t>
  </si>
  <si>
    <t>J/m3</t>
  </si>
  <si>
    <t>kgb</t>
  </si>
  <si>
    <t>kg/bbl</t>
  </si>
  <si>
    <t>kgg</t>
  </si>
  <si>
    <t>kg/gal</t>
  </si>
  <si>
    <t>kgj</t>
  </si>
  <si>
    <t>kg/J</t>
  </si>
  <si>
    <t>KGL</t>
  </si>
  <si>
    <t>kg/mile</t>
  </si>
  <si>
    <t>kgm</t>
  </si>
  <si>
    <t>kg/MMBtu</t>
  </si>
  <si>
    <t>kgs</t>
  </si>
  <si>
    <t>kg/scf</t>
  </si>
  <si>
    <t>kgt</t>
  </si>
  <si>
    <t>kg/ton</t>
  </si>
  <si>
    <t>kml</t>
  </si>
  <si>
    <t>kg/kg mole</t>
  </si>
  <si>
    <t>KMT</t>
  </si>
  <si>
    <t>kg/m</t>
  </si>
  <si>
    <t>kwk</t>
  </si>
  <si>
    <t>kWh/kg</t>
  </si>
  <si>
    <t>lbb</t>
  </si>
  <si>
    <t>lb/Btu</t>
  </si>
  <si>
    <t>lbg</t>
  </si>
  <si>
    <t>lb/gal</t>
  </si>
  <si>
    <t>lbl</t>
  </si>
  <si>
    <t>lb/lb mol</t>
  </si>
  <si>
    <t>lbm</t>
  </si>
  <si>
    <t>lb/MMBtu</t>
  </si>
  <si>
    <t>lbs</t>
  </si>
  <si>
    <t>lb/scf</t>
  </si>
  <si>
    <t>lbt</t>
  </si>
  <si>
    <t>lb/ton</t>
  </si>
  <si>
    <t>lcm</t>
  </si>
  <si>
    <t>l/cm3</t>
  </si>
  <si>
    <t>lhh</t>
  </si>
  <si>
    <t>lb/Hph</t>
  </si>
  <si>
    <t>lht</t>
  </si>
  <si>
    <t>lb/HTHph</t>
  </si>
  <si>
    <t>lmf</t>
  </si>
  <si>
    <t>lb/Mft3</t>
  </si>
  <si>
    <t>lmg</t>
  </si>
  <si>
    <t>lb/Mgal</t>
  </si>
  <si>
    <t>ltb</t>
  </si>
  <si>
    <t>lb/Tbbl</t>
  </si>
  <si>
    <t>ltf</t>
  </si>
  <si>
    <t>lb/Tft3</t>
  </si>
  <si>
    <t>ltg</t>
  </si>
  <si>
    <t>lb/Tgal</t>
  </si>
  <si>
    <t>lth</t>
  </si>
  <si>
    <t>lb/THph</t>
  </si>
  <si>
    <t>mGJ</t>
  </si>
  <si>
    <t>mg/GJ</t>
  </si>
  <si>
    <t>mHg</t>
  </si>
  <si>
    <t>mmHg</t>
  </si>
  <si>
    <t>mbb</t>
  </si>
  <si>
    <t>MMBtu/bbl</t>
  </si>
  <si>
    <t>mbg</t>
  </si>
  <si>
    <t>MMBtu/gal</t>
  </si>
  <si>
    <t>mbk</t>
  </si>
  <si>
    <t>MMBtu/kg</t>
  </si>
  <si>
    <t>mbl</t>
  </si>
  <si>
    <t>MMBTU/lb</t>
  </si>
  <si>
    <t>mbm</t>
  </si>
  <si>
    <t>MMBtu/Mscf</t>
  </si>
  <si>
    <t>mbs</t>
  </si>
  <si>
    <t>MMBtu/scf</t>
  </si>
  <si>
    <t>mbt</t>
  </si>
  <si>
    <t>MMBtu/ton</t>
  </si>
  <si>
    <t>mjm</t>
  </si>
  <si>
    <t>MJ/m3</t>
  </si>
  <si>
    <t>uGJ</t>
  </si>
  <si>
    <t>mcg/GJ</t>
  </si>
  <si>
    <t>mmB</t>
  </si>
  <si>
    <t>Mill. BTU</t>
  </si>
  <si>
    <t>nGJ</t>
  </si>
  <si>
    <t>ng/GJ</t>
  </si>
  <si>
    <t>nGQ</t>
  </si>
  <si>
    <t>ng/m3</t>
  </si>
  <si>
    <t>pGQ</t>
  </si>
  <si>
    <t>pg/m3</t>
  </si>
  <si>
    <t>sM3</t>
  </si>
  <si>
    <t>Spores/m3</t>
  </si>
  <si>
    <t>sMb</t>
  </si>
  <si>
    <t>scf/MMbbl</t>
  </si>
  <si>
    <t>scf</t>
  </si>
  <si>
    <t>SCF</t>
  </si>
  <si>
    <t>sch</t>
  </si>
  <si>
    <t>scf/h</t>
  </si>
  <si>
    <t>scy</t>
  </si>
  <si>
    <t>scf/y</t>
  </si>
  <si>
    <t>TYr</t>
  </si>
  <si>
    <t>Ton/Year</t>
  </si>
  <si>
    <t>tMb</t>
  </si>
  <si>
    <t>t/MMbbl</t>
  </si>
  <si>
    <t>tMs</t>
  </si>
  <si>
    <t>t/Mscf</t>
  </si>
  <si>
    <t>tbl</t>
  </si>
  <si>
    <t>t/bbl</t>
  </si>
  <si>
    <t>tbt</t>
  </si>
  <si>
    <t>t/Btu</t>
  </si>
  <si>
    <t>tgl</t>
  </si>
  <si>
    <t>ton/gal</t>
  </si>
  <si>
    <t>Thm</t>
  </si>
  <si>
    <t>Therm</t>
  </si>
  <si>
    <t>tjl</t>
  </si>
  <si>
    <t>t/Joule</t>
  </si>
  <si>
    <t>tm3</t>
  </si>
  <si>
    <t>t/1000m3</t>
  </si>
  <si>
    <t>T/M</t>
  </si>
  <si>
    <t>Ton/Month</t>
  </si>
  <si>
    <t>tph</t>
  </si>
  <si>
    <t>Ton/Hour</t>
  </si>
  <si>
    <t>tot</t>
  </si>
  <si>
    <t>ton/ton</t>
  </si>
  <si>
    <t>tt</t>
  </si>
  <si>
    <t>t/t</t>
  </si>
  <si>
    <t>ttj</t>
  </si>
  <si>
    <t>t/TJ</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</si>
</sst>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2">
    <font>
      <sz val="11.0"/>
      <color theme="1"/>
      <name val="Calibri"/>
      <scheme val="minor"/>
    </font>
    <font>
      <b/>
      <i/>
      <sz val="20.0"/>
      <color rgb="FFFFFFFF"/>
      <name val="Arial"/>
    </font>
    <font>
      <sz val="11.0"/>
      <color theme="1"/>
      <name val="Calibri"/>
    </font>
    <font>
      <sz val="8.0"/>
      <color rgb="FFFFFFFF"/>
      <name val="Calibri"/>
    </font>
    <font>
      <sz val="11.0"/>
      <color rgb="FF000000"/>
      <name val="Calibri"/>
    </font>
    <font/>
    <font>
      <sz val="10.0"/>
      <color rgb="FFFFFFFF"/>
      <name val="Arial"/>
    </font>
    <font>
      <sz val="10.0"/>
      <color theme="1"/>
      <name val="Arial"/>
    </font>
    <font>
      <sz val="10.0"/>
      <color rgb="FF000000"/>
      <name val="Arial"/>
    </font>
    <font>
      <b/>
      <sz val="11.0"/>
      <color theme="1"/>
      <name val="Calibri"/>
    </font>
    <font>
      <b/>
      <sz val="10.0"/>
      <color theme="1"/>
      <name val="Arial"/>
    </font>
    <font>
      <b/>
      <sz val="10.0"/>
      <color rgb="FF000000"/>
      <name val="Arial"/>
    </font>
    <font>
      <b/>
      <color rgb="FFFFFFFF"/>
      <name val="Arial"/>
    </font>
    <font>
      <sz val="11.0"/>
      <color rgb="FFFFFFFF"/>
      <name val="Calibri"/>
    </font>
    <font>
      <sz val="10.0"/>
      <color theme="1"/>
      <name val="Calibri"/>
      <scheme val="minor"/>
    </font>
    <font>
      <color theme="1"/>
      <name val="Calibri"/>
      <scheme val="minor"/>
    </font>
    <font>
      <color theme="1"/>
      <name val="Arial"/>
    </font>
    <font>
      <sz val="8.0"/>
      <color theme="1"/>
      <name val="Poppins"/>
    </font>
    <font>
      <b/>
      <i/>
      <sz val="8.0"/>
      <color rgb="FFFFFFFF"/>
      <name val="Poppins"/>
    </font>
    <font>
      <sz val="8.0"/>
      <color rgb="FFFFFFFF"/>
      <name val="Poppins"/>
    </font>
    <font>
      <sz val="8.0"/>
      <color rgb="FF000000"/>
      <name val="Poppins"/>
    </font>
    <font>
      <u/>
      <sz val="11.0"/>
      <color rgb="FF0000FF"/>
      <name val="Calibri"/>
    </font>
  </fonts>
  <fills count="15">
    <fill>
      <patternFill patternType="none"/>
    </fill>
    <fill>
      <patternFill patternType="lightGray"/>
    </fill>
    <fill>
      <patternFill patternType="solid">
        <fgColor rgb="FF427CAC"/>
        <bgColor rgb="FF427CAC"/>
      </patternFill>
    </fill>
    <fill>
      <patternFill patternType="solid">
        <fgColor rgb="FFBFBFBF"/>
        <bgColor rgb="FFBFBFBF"/>
      </patternFill>
    </fill>
    <fill>
      <patternFill patternType="solid">
        <fgColor rgb="FF666699"/>
        <bgColor rgb="FF666699"/>
      </patternFill>
    </fill>
    <fill>
      <patternFill patternType="solid">
        <fgColor rgb="FFC0C0C0"/>
        <bgColor rgb="FFC0C0C0"/>
      </patternFill>
    </fill>
    <fill>
      <patternFill patternType="solid">
        <fgColor rgb="FFFFFFFF"/>
        <bgColor rgb="FFFFFFFF"/>
      </patternFill>
    </fill>
    <fill>
      <patternFill patternType="solid">
        <fgColor rgb="FFFF9900"/>
        <bgColor rgb="FFFF9900"/>
      </patternFill>
    </fill>
    <fill>
      <patternFill patternType="solid">
        <fgColor rgb="FFFFFF00"/>
        <bgColor rgb="FFFFFF00"/>
      </patternFill>
    </fill>
    <fill>
      <patternFill patternType="solid">
        <fgColor rgb="FFEFF4F9"/>
        <bgColor rgb="FFEFF4F9"/>
      </patternFill>
    </fill>
    <fill>
      <patternFill patternType="solid">
        <fgColor rgb="FF000000"/>
        <bgColor rgb="FF000000"/>
      </patternFill>
    </fill>
    <fill>
      <patternFill patternType="solid">
        <fgColor theme="9"/>
        <bgColor theme="9"/>
      </patternFill>
    </fill>
    <fill>
      <patternFill patternType="solid">
        <fgColor rgb="FF38761D"/>
        <bgColor rgb="FF38761D"/>
      </patternFill>
    </fill>
    <fill>
      <patternFill patternType="solid">
        <fgColor rgb="FFFF00FF"/>
        <bgColor rgb="FFFF00FF"/>
      </patternFill>
    </fill>
    <fill>
      <patternFill patternType="solid">
        <fgColor rgb="FF00FFFF"/>
        <bgColor rgb="FF00FFFF"/>
      </patternFill>
    </fill>
  </fills>
  <borders count="22">
    <border/>
    <border>
      <left/>
      <right/>
      <top/>
      <bottom/>
    </border>
    <border>
      <left/>
      <right/>
      <top/>
      <bottom style="thin">
        <color rgb="FF000000"/>
      </bottom>
    </border>
    <border>
      <left/>
      <top/>
      <bottom style="thin">
        <color rgb="FF000000"/>
      </bottom>
    </border>
    <border>
      <top/>
      <bottom style="thin">
        <color rgb="FF000000"/>
      </bottom>
    </border>
    <border>
      <right/>
      <top/>
      <bottom style="thin">
        <color rgb="FF000000"/>
      </bottom>
    </border>
    <border>
      <left style="thin">
        <color rgb="FF000000"/>
      </left>
      <right style="thin">
        <color rgb="FF000000"/>
      </right>
      <top style="thin">
        <color rgb="FF000000"/>
      </top>
      <bottom style="thin">
        <color rgb="FF000000"/>
      </bottom>
    </border>
    <border>
      <left/>
      <right style="thin">
        <color rgb="FF000000"/>
      </righ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border>
    <border>
      <top style="thin">
        <color rgb="FF8EAADB"/>
      </top>
      <bottom style="thin">
        <color rgb="FF8EAADB"/>
      </bottom>
    </border>
    <border>
      <right style="thin">
        <color rgb="FF000000"/>
      </right>
      <bottom style="thin">
        <color rgb="FF000000"/>
      </bottom>
    </border>
    <border>
      <left style="thin">
        <color rgb="FF000000"/>
      </left>
      <right style="thin">
        <color rgb="FF000000"/>
      </right>
      <top/>
      <bottom style="thin">
        <color rgb="FF000000"/>
      </bottom>
    </border>
    <border>
      <left style="thin">
        <color rgb="FFFFFFFF"/>
      </left>
      <right style="thin">
        <color rgb="FFFFFFFF"/>
      </right>
    </border>
  </borders>
  <cellStyleXfs count="1">
    <xf borderId="0" fillId="0" fontId="0" numFmtId="0" applyAlignment="1" applyFont="1"/>
  </cellStyleXfs>
  <cellXfs count="175">
    <xf borderId="0" fillId="0" fontId="0" numFmtId="0" xfId="0" applyAlignment="1" applyFont="1">
      <alignment readingOrder="0" shrinkToFit="0" vertical="bottom" wrapText="0"/>
    </xf>
    <xf borderId="1" fillId="2" fontId="1" numFmtId="0" xfId="0" applyAlignment="1" applyBorder="1" applyFill="1" applyFont="1">
      <alignment horizontal="left"/>
    </xf>
    <xf borderId="0" fillId="0" fontId="2" numFmtId="0" xfId="0" applyFont="1"/>
    <xf borderId="1" fillId="2" fontId="3" numFmtId="0" xfId="0" applyAlignment="1" applyBorder="1" applyFont="1">
      <alignment horizontal="left"/>
    </xf>
    <xf borderId="2" fillId="3" fontId="4" numFmtId="0" xfId="0" applyAlignment="1" applyBorder="1" applyFill="1" applyFont="1">
      <alignment horizontal="left" shrinkToFit="0" wrapText="1"/>
    </xf>
    <xf borderId="3" fillId="3" fontId="4" numFmtId="0" xfId="0" applyAlignment="1" applyBorder="1" applyFont="1">
      <alignment horizontal="left" shrinkToFit="0" wrapText="1"/>
    </xf>
    <xf borderId="4" fillId="0" fontId="5" numFmtId="0" xfId="0" applyBorder="1" applyFont="1"/>
    <xf borderId="5" fillId="0" fontId="5" numFmtId="0" xfId="0" applyBorder="1" applyFont="1"/>
    <xf borderId="1" fillId="3" fontId="2" numFmtId="0" xfId="0" applyBorder="1" applyFont="1"/>
    <xf borderId="6" fillId="4" fontId="6" numFmtId="0" xfId="0" applyAlignment="1" applyBorder="1" applyFill="1" applyFont="1">
      <alignment horizontal="left" shrinkToFit="0" vertical="top" wrapText="1"/>
    </xf>
    <xf borderId="1" fillId="5" fontId="7" numFmtId="0" xfId="0" applyAlignment="1" applyBorder="1" applyFill="1" applyFont="1">
      <alignment vertical="center"/>
    </xf>
    <xf borderId="2" fillId="6" fontId="8" numFmtId="0" xfId="0" applyAlignment="1" applyBorder="1" applyFill="1" applyFont="1">
      <alignment horizontal="left" shrinkToFit="0" vertical="top" wrapText="1"/>
    </xf>
    <xf borderId="7" fillId="6" fontId="8" numFmtId="0" xfId="0" applyAlignment="1" applyBorder="1" applyFont="1">
      <alignment horizontal="left" shrinkToFit="0" vertical="top" wrapText="1"/>
    </xf>
    <xf borderId="8" fillId="7" fontId="6" numFmtId="0" xfId="0" applyAlignment="1" applyBorder="1" applyFill="1" applyFont="1">
      <alignment horizontal="left" shrinkToFit="0" vertical="top" wrapText="1"/>
    </xf>
    <xf borderId="9" fillId="0" fontId="5" numFmtId="0" xfId="0" applyBorder="1" applyFont="1"/>
    <xf borderId="10" fillId="0" fontId="5" numFmtId="0" xfId="0" applyBorder="1" applyFont="1"/>
    <xf borderId="11" fillId="6" fontId="8" numFmtId="0" xfId="0" applyAlignment="1" applyBorder="1" applyFont="1">
      <alignment horizontal="left" shrinkToFit="0" vertical="top" wrapText="1"/>
    </xf>
    <xf borderId="6" fillId="6" fontId="8" numFmtId="0" xfId="0" applyAlignment="1" applyBorder="1" applyFont="1">
      <alignment horizontal="left" shrinkToFit="0" vertical="top" wrapText="1"/>
    </xf>
    <xf borderId="12" fillId="0" fontId="5" numFmtId="0" xfId="0" applyBorder="1" applyFont="1"/>
    <xf borderId="13" fillId="0" fontId="5" numFmtId="0" xfId="0" applyBorder="1" applyFont="1"/>
    <xf quotePrefix="1" borderId="6" fillId="6" fontId="8" numFmtId="0" xfId="0" applyAlignment="1" applyBorder="1" applyFont="1">
      <alignment horizontal="left" shrinkToFit="0" vertical="top" wrapText="1"/>
    </xf>
    <xf borderId="14" fillId="0" fontId="5" numFmtId="0" xfId="0" applyBorder="1" applyFont="1"/>
    <xf borderId="8" fillId="2" fontId="6" numFmtId="0" xfId="0" applyAlignment="1" applyBorder="1" applyFont="1">
      <alignment horizontal="left" shrinkToFit="0" vertical="top" wrapText="1"/>
    </xf>
    <xf borderId="15" fillId="6" fontId="8" numFmtId="0" xfId="0" applyAlignment="1" applyBorder="1" applyFont="1">
      <alignment horizontal="left" shrinkToFit="0" vertical="top" wrapText="1"/>
    </xf>
    <xf borderId="16" fillId="6" fontId="8" numFmtId="0" xfId="0" applyAlignment="1" applyBorder="1" applyFont="1">
      <alignment horizontal="left" shrinkToFit="0" vertical="top" wrapText="1"/>
    </xf>
    <xf borderId="6" fillId="8" fontId="9" numFmtId="0" xfId="0" applyBorder="1" applyFill="1" applyFont="1"/>
    <xf borderId="17" fillId="8" fontId="9" numFmtId="0" xfId="0" applyBorder="1" applyFont="1"/>
    <xf borderId="0" fillId="0" fontId="2" numFmtId="0" xfId="0" applyAlignment="1" applyFont="1">
      <alignment vertical="center"/>
    </xf>
    <xf borderId="6" fillId="0" fontId="2" numFmtId="0" xfId="0" applyBorder="1" applyFont="1"/>
    <xf borderId="8" fillId="0" fontId="2" numFmtId="0" xfId="0" applyBorder="1" applyFont="1"/>
    <xf borderId="10" fillId="0" fontId="2" numFmtId="0" xfId="0" applyBorder="1" applyFont="1"/>
    <xf borderId="18" fillId="0" fontId="2" numFmtId="0" xfId="0" applyBorder="1" applyFont="1"/>
    <xf borderId="6" fillId="0" fontId="2" numFmtId="0" xfId="0" applyAlignment="1" applyBorder="1" applyFont="1">
      <alignment vertical="center"/>
    </xf>
    <xf borderId="19" fillId="0" fontId="2" numFmtId="0" xfId="0" applyBorder="1" applyFont="1"/>
    <xf borderId="0" fillId="4" fontId="1" numFmtId="0" xfId="0" applyAlignment="1" applyFont="1">
      <alignment horizontal="left"/>
    </xf>
    <xf borderId="1" fillId="4" fontId="1" numFmtId="0" xfId="0" applyAlignment="1" applyBorder="1" applyFont="1">
      <alignment horizontal="left"/>
    </xf>
    <xf borderId="0" fillId="4" fontId="3" numFmtId="0" xfId="0" applyAlignment="1" applyFont="1">
      <alignment horizontal="left"/>
    </xf>
    <xf borderId="1" fillId="4" fontId="3" numFmtId="0" xfId="0" applyAlignment="1" applyBorder="1" applyFont="1">
      <alignment horizontal="left"/>
    </xf>
    <xf borderId="0" fillId="5" fontId="7" numFmtId="0" xfId="0" applyAlignment="1" applyFont="1">
      <alignment vertical="center"/>
    </xf>
    <xf borderId="0" fillId="0" fontId="8" numFmtId="49" xfId="0" applyAlignment="1" applyFont="1" applyNumberFormat="1">
      <alignment vertical="center"/>
    </xf>
    <xf borderId="0" fillId="0" fontId="8" numFmtId="164" xfId="0" applyAlignment="1" applyFont="1" applyNumberFormat="1">
      <alignment vertical="center"/>
    </xf>
    <xf borderId="0" fillId="0" fontId="7" numFmtId="0" xfId="0" applyFont="1"/>
    <xf quotePrefix="1" borderId="0" fillId="0" fontId="8" numFmtId="49" xfId="0" applyAlignment="1" applyFont="1" applyNumberFormat="1">
      <alignment vertical="center"/>
    </xf>
    <xf borderId="0" fillId="9" fontId="10" numFmtId="0" xfId="0" applyAlignment="1" applyFill="1" applyFont="1">
      <alignment horizontal="center" shrinkToFit="0" vertical="top" wrapText="1"/>
    </xf>
    <xf borderId="6" fillId="9" fontId="10" numFmtId="0" xfId="0" applyAlignment="1" applyBorder="1" applyFont="1">
      <alignment horizontal="center" shrinkToFit="0" vertical="top" wrapText="1"/>
    </xf>
    <xf borderId="8" fillId="6" fontId="11" numFmtId="0" xfId="0" applyAlignment="1" applyBorder="1" applyFont="1">
      <alignment horizontal="center" shrinkToFit="0" vertical="top" wrapText="1"/>
    </xf>
    <xf borderId="8" fillId="0" fontId="7" numFmtId="0" xfId="0" applyAlignment="1" applyBorder="1" applyFont="1">
      <alignment horizontal="center" shrinkToFit="0" vertical="top" wrapText="1"/>
    </xf>
    <xf borderId="6" fillId="0" fontId="7" numFmtId="0" xfId="0" applyAlignment="1" applyBorder="1" applyFont="1">
      <alignment horizontal="center" shrinkToFit="0" vertical="top" wrapText="1"/>
    </xf>
    <xf borderId="0" fillId="0" fontId="7" numFmtId="0" xfId="0" applyAlignment="1" applyFont="1">
      <alignment horizontal="center" shrinkToFit="0" vertical="top" wrapText="1"/>
    </xf>
    <xf borderId="20" fillId="9" fontId="10" numFmtId="0" xfId="0" applyAlignment="1" applyBorder="1" applyFont="1">
      <alignment horizontal="center" shrinkToFit="0" vertical="top" wrapText="1"/>
    </xf>
    <xf borderId="13" fillId="0" fontId="8" numFmtId="0" xfId="0" applyAlignment="1" applyBorder="1" applyFont="1">
      <alignment horizontal="center" shrinkToFit="0" vertical="top" wrapText="1"/>
    </xf>
    <xf borderId="1" fillId="5" fontId="7" numFmtId="0" xfId="0" applyAlignment="1" applyBorder="1" applyFont="1">
      <alignment readingOrder="0" vertical="center"/>
    </xf>
    <xf borderId="0" fillId="9" fontId="10" numFmtId="49" xfId="0" applyAlignment="1" applyFont="1" applyNumberFormat="1">
      <alignment horizontal="center" shrinkToFit="0" vertical="top" wrapText="1"/>
    </xf>
    <xf borderId="6" fillId="9" fontId="10" numFmtId="49" xfId="0" applyAlignment="1" applyBorder="1" applyFont="1" applyNumberFormat="1">
      <alignment horizontal="center" shrinkToFit="0" vertical="top" wrapText="1"/>
    </xf>
    <xf borderId="6" fillId="0" fontId="8" numFmtId="0" xfId="0" applyAlignment="1" applyBorder="1" applyFont="1">
      <alignment horizontal="center" shrinkToFit="0" vertical="top" wrapText="1"/>
    </xf>
    <xf borderId="6" fillId="0" fontId="8" numFmtId="49" xfId="0" applyAlignment="1" applyBorder="1" applyFont="1" applyNumberFormat="1">
      <alignment horizontal="center" shrinkToFit="0" vertical="top" wrapText="1"/>
    </xf>
    <xf quotePrefix="1" borderId="6" fillId="0" fontId="8" numFmtId="49" xfId="0" applyAlignment="1" applyBorder="1" applyFont="1" applyNumberFormat="1">
      <alignment horizontal="center" shrinkToFit="0" vertical="top" wrapText="1"/>
    </xf>
    <xf borderId="6" fillId="0" fontId="8" numFmtId="164" xfId="0" applyAlignment="1" applyBorder="1" applyFont="1" applyNumberFormat="1">
      <alignment horizontal="center" shrinkToFit="0" vertical="top" wrapText="1"/>
    </xf>
    <xf borderId="0" fillId="10" fontId="12" numFmtId="49" xfId="0" applyAlignment="1" applyFill="1" applyFont="1" applyNumberFormat="1">
      <alignment horizontal="center" shrinkToFit="0" vertical="top" wrapText="1"/>
    </xf>
    <xf borderId="0" fillId="10" fontId="13" numFmtId="0" xfId="0" applyAlignment="1" applyFont="1">
      <alignment horizontal="center"/>
    </xf>
    <xf borderId="6" fillId="0" fontId="14" numFmtId="0" xfId="0" applyBorder="1" applyFont="1"/>
    <xf borderId="6" fillId="0" fontId="14" numFmtId="0" xfId="0" applyBorder="1" applyFont="1"/>
    <xf borderId="6" fillId="0" fontId="14" numFmtId="14" xfId="0" applyBorder="1" applyFont="1" applyNumberFormat="1"/>
    <xf borderId="0" fillId="0" fontId="15" numFmtId="0" xfId="0" applyFont="1"/>
    <xf borderId="0" fillId="11" fontId="13" numFmtId="0" xfId="0" applyAlignment="1" applyFill="1" applyFont="1">
      <alignment horizontal="center" readingOrder="0"/>
    </xf>
    <xf borderId="6" fillId="0" fontId="14" numFmtId="0" xfId="0" applyAlignment="1" applyBorder="1" applyFont="1">
      <alignment readingOrder="0"/>
    </xf>
    <xf borderId="0" fillId="12" fontId="13" numFmtId="0" xfId="0" applyAlignment="1" applyFill="1" applyFont="1">
      <alignment horizontal="center" readingOrder="0"/>
    </xf>
    <xf borderId="0" fillId="10" fontId="13" numFmtId="0" xfId="0" applyAlignment="1" applyFont="1">
      <alignment horizontal="center"/>
    </xf>
    <xf quotePrefix="1" borderId="6" fillId="0" fontId="14" numFmtId="49" xfId="0" applyBorder="1" applyFont="1" applyNumberFormat="1"/>
    <xf borderId="6" fillId="0" fontId="14" numFmtId="49" xfId="0" applyBorder="1" applyFont="1" applyNumberFormat="1"/>
    <xf borderId="6" fillId="0" fontId="14" numFmtId="49" xfId="0" applyAlignment="1" applyBorder="1" applyFont="1" applyNumberFormat="1">
      <alignment horizontal="center" shrinkToFit="0" vertical="top" wrapText="1"/>
    </xf>
    <xf quotePrefix="1" borderId="6" fillId="0" fontId="14" numFmtId="49" xfId="0" applyAlignment="1" applyBorder="1" applyFont="1" applyNumberFormat="1">
      <alignment horizontal="center" shrinkToFit="0" vertical="top" wrapText="1"/>
    </xf>
    <xf borderId="6" fillId="0" fontId="14" numFmtId="0" xfId="0" applyAlignment="1" applyBorder="1" applyFont="1">
      <alignment horizontal="center" shrinkToFit="0" vertical="top" wrapText="1"/>
    </xf>
    <xf borderId="6" fillId="0" fontId="14" numFmtId="0" xfId="0" applyAlignment="1" applyBorder="1" applyFont="1">
      <alignment horizontal="center" vertical="bottom"/>
    </xf>
    <xf borderId="0" fillId="0" fontId="16" numFmtId="0" xfId="0" applyAlignment="1" applyFont="1">
      <alignment vertical="bottom"/>
    </xf>
    <xf borderId="0" fillId="0" fontId="15" numFmtId="0" xfId="0" applyAlignment="1" applyFont="1">
      <alignment readingOrder="0"/>
    </xf>
    <xf borderId="0" fillId="0" fontId="2" numFmtId="14" xfId="0" applyFont="1" applyNumberFormat="1"/>
    <xf borderId="0" fillId="4" fontId="1" numFmtId="0" xfId="0" applyAlignment="1" applyFont="1">
      <alignment horizontal="left" vertical="center"/>
    </xf>
    <xf borderId="1" fillId="4" fontId="1" numFmtId="0" xfId="0" applyAlignment="1" applyBorder="1" applyFont="1">
      <alignment horizontal="left" vertical="center"/>
    </xf>
    <xf borderId="1" fillId="4" fontId="1" numFmtId="0" xfId="0" applyAlignment="1" applyBorder="1" applyFont="1">
      <alignment horizontal="center" vertical="center"/>
    </xf>
    <xf borderId="0" fillId="4" fontId="3" numFmtId="0" xfId="0" applyAlignment="1" applyFont="1">
      <alignment horizontal="left" vertical="center"/>
    </xf>
    <xf borderId="1" fillId="4" fontId="3" numFmtId="0" xfId="0" applyAlignment="1" applyBorder="1" applyFont="1">
      <alignment horizontal="left" vertical="center"/>
    </xf>
    <xf borderId="1" fillId="4" fontId="3" numFmtId="0" xfId="0" applyAlignment="1" applyBorder="1" applyFont="1">
      <alignment horizontal="center" vertical="center"/>
    </xf>
    <xf borderId="1" fillId="5" fontId="7" numFmtId="0" xfId="0" applyAlignment="1" applyBorder="1" applyFont="1">
      <alignment horizontal="left" vertical="center"/>
    </xf>
    <xf borderId="1" fillId="5" fontId="7" numFmtId="0" xfId="0" applyAlignment="1" applyBorder="1" applyFont="1">
      <alignment horizontal="center" vertical="center"/>
    </xf>
    <xf borderId="0" fillId="0" fontId="8" numFmtId="49" xfId="0" applyAlignment="1" applyFont="1" applyNumberFormat="1">
      <alignment horizontal="center" vertical="center"/>
    </xf>
    <xf borderId="0" fillId="0" fontId="8" numFmtId="49" xfId="0" applyAlignment="1" applyFont="1" applyNumberFormat="1">
      <alignment horizontal="center" shrinkToFit="0" vertical="center" wrapText="1"/>
    </xf>
    <xf borderId="0" fillId="0" fontId="7" numFmtId="0" xfId="0" applyAlignment="1" applyFont="1">
      <alignment horizontal="center" vertical="center"/>
    </xf>
    <xf borderId="0" fillId="0" fontId="8" numFmtId="49" xfId="0" applyAlignment="1" applyFont="1" applyNumberFormat="1">
      <alignment horizontal="left" vertical="center"/>
    </xf>
    <xf borderId="6" fillId="6" fontId="11" numFmtId="0" xfId="0" applyAlignment="1" applyBorder="1" applyFont="1">
      <alignment horizontal="center" shrinkToFit="0" vertical="top" wrapText="1"/>
    </xf>
    <xf borderId="0" fillId="5" fontId="7" numFmtId="0" xfId="0" applyAlignment="1" applyFont="1">
      <alignment horizontal="center" shrinkToFit="0" vertical="center" wrapText="1"/>
    </xf>
    <xf borderId="1" fillId="5" fontId="7" numFmtId="0" xfId="0" applyAlignment="1" applyBorder="1" applyFont="1">
      <alignment horizontal="center" shrinkToFit="0" vertical="center" wrapText="1"/>
    </xf>
    <xf borderId="0" fillId="5" fontId="7" numFmtId="0" xfId="0" applyAlignment="1" applyFont="1">
      <alignment horizontal="center" readingOrder="0" shrinkToFit="0" vertical="center" wrapText="1"/>
    </xf>
    <xf borderId="1" fillId="5" fontId="7" numFmtId="0" xfId="0" applyAlignment="1" applyBorder="1" applyFont="1">
      <alignment horizontal="center" readingOrder="0" shrinkToFit="0" vertical="center" wrapText="1"/>
    </xf>
    <xf borderId="6" fillId="0" fontId="8" numFmtId="49" xfId="0" applyAlignment="1" applyBorder="1" applyFont="1" applyNumberFormat="1">
      <alignment horizontal="left" shrinkToFit="0" vertical="top" wrapText="1"/>
    </xf>
    <xf borderId="0" fillId="0" fontId="15" numFmtId="0" xfId="0" applyAlignment="1" applyFont="1">
      <alignment horizontal="left"/>
    </xf>
    <xf borderId="0" fillId="0" fontId="15" numFmtId="0" xfId="0" applyAlignment="1" applyFont="1">
      <alignment horizontal="left" readingOrder="0"/>
    </xf>
    <xf borderId="0" fillId="0" fontId="2" numFmtId="0" xfId="0" applyAlignment="1" applyFont="1">
      <alignment horizontal="left"/>
    </xf>
    <xf quotePrefix="1" borderId="0" fillId="0" fontId="8" numFmtId="49" xfId="0" applyAlignment="1" applyFont="1" applyNumberFormat="1">
      <alignment horizontal="left" shrinkToFit="0" vertical="top" wrapText="1"/>
    </xf>
    <xf borderId="0" fillId="0" fontId="8" numFmtId="49" xfId="0" applyAlignment="1" applyFont="1" applyNumberFormat="1">
      <alignment horizontal="left" shrinkToFit="0" vertical="top" wrapText="1"/>
    </xf>
    <xf borderId="0" fillId="0" fontId="2" numFmtId="49" xfId="0" applyAlignment="1" applyFont="1" applyNumberFormat="1">
      <alignment horizontal="left" readingOrder="0"/>
    </xf>
    <xf borderId="6" fillId="0" fontId="17" numFmtId="49" xfId="0" applyAlignment="1" applyBorder="1" applyFont="1" applyNumberFormat="1">
      <alignment horizontal="center" shrinkToFit="0" vertical="top" wrapText="1"/>
    </xf>
    <xf quotePrefix="1" borderId="6" fillId="0" fontId="17" numFmtId="49" xfId="0" applyAlignment="1" applyBorder="1" applyFont="1" applyNumberFormat="1">
      <alignment horizontal="center" shrinkToFit="0" vertical="top" wrapText="1"/>
    </xf>
    <xf borderId="6" fillId="0" fontId="17" numFmtId="0" xfId="0" applyAlignment="1" applyBorder="1" applyFont="1">
      <alignment horizontal="center" shrinkToFit="0" vertical="top" wrapText="1"/>
    </xf>
    <xf borderId="6" fillId="0" fontId="17" numFmtId="49" xfId="0" applyAlignment="1" applyBorder="1" applyFont="1" applyNumberFormat="1">
      <alignment horizontal="center"/>
    </xf>
    <xf borderId="6" fillId="0" fontId="17" numFmtId="0" xfId="0" applyAlignment="1" applyBorder="1" applyFont="1">
      <alignment horizontal="center" vertical="bottom"/>
    </xf>
    <xf borderId="6" fillId="0" fontId="17" numFmtId="49" xfId="0" applyAlignment="1" applyBorder="1" applyFont="1" applyNumberFormat="1">
      <alignment horizontal="center" readingOrder="0" shrinkToFit="0" vertical="top" wrapText="1"/>
    </xf>
    <xf borderId="6" fillId="0" fontId="17" numFmtId="0" xfId="0" applyAlignment="1" applyBorder="1" applyFont="1">
      <alignment horizontal="center" readingOrder="0" vertical="bottom"/>
    </xf>
    <xf borderId="0" fillId="0" fontId="16" numFmtId="0" xfId="0" applyAlignment="1" applyFont="1">
      <alignment vertical="bottom"/>
    </xf>
    <xf borderId="0" fillId="0" fontId="17" numFmtId="49" xfId="0" applyAlignment="1" applyFont="1" applyNumberFormat="1">
      <alignment horizontal="center" readingOrder="0" shrinkToFit="0" vertical="top" wrapText="1"/>
    </xf>
    <xf borderId="0" fillId="0" fontId="16" numFmtId="49" xfId="0" applyAlignment="1" applyFont="1" applyNumberFormat="1">
      <alignment vertical="bottom"/>
    </xf>
    <xf borderId="0" fillId="0" fontId="16" numFmtId="49" xfId="0" applyAlignment="1" applyFont="1" applyNumberFormat="1">
      <alignment readingOrder="0" vertical="bottom"/>
    </xf>
    <xf borderId="6" fillId="0" fontId="17" numFmtId="0" xfId="0" applyAlignment="1" applyBorder="1" applyFont="1">
      <alignment horizontal="center" vertical="bottom"/>
    </xf>
    <xf borderId="0" fillId="0" fontId="17" numFmtId="49" xfId="0" applyAlignment="1" applyFont="1" applyNumberFormat="1">
      <alignment horizontal="center" shrinkToFit="0" vertical="top" wrapText="1"/>
    </xf>
    <xf borderId="1" fillId="4" fontId="18" numFmtId="0" xfId="0" applyAlignment="1" applyBorder="1" applyFont="1">
      <alignment horizontal="center" vertical="center"/>
    </xf>
    <xf borderId="0" fillId="0" fontId="17" numFmtId="0" xfId="0" applyAlignment="1" applyFont="1">
      <alignment horizontal="center" vertical="center"/>
    </xf>
    <xf borderId="0" fillId="4" fontId="19" numFmtId="0" xfId="0" applyAlignment="1" applyFont="1">
      <alignment horizontal="center" vertical="center"/>
    </xf>
    <xf borderId="1" fillId="4" fontId="19" numFmtId="0" xfId="0" applyAlignment="1" applyBorder="1" applyFont="1">
      <alignment horizontal="center" vertical="center"/>
    </xf>
    <xf borderId="0" fillId="5" fontId="17" numFmtId="0" xfId="0" applyAlignment="1" applyFont="1">
      <alignment horizontal="center" vertical="center"/>
    </xf>
    <xf borderId="1" fillId="5" fontId="17" numFmtId="0" xfId="0" applyAlignment="1" applyBorder="1" applyFont="1">
      <alignment horizontal="center" vertical="center"/>
    </xf>
    <xf borderId="1" fillId="5" fontId="17" numFmtId="0" xfId="0" applyAlignment="1" applyBorder="1" applyFont="1">
      <alignment horizontal="center" shrinkToFit="0" vertical="center" wrapText="1"/>
    </xf>
    <xf borderId="0" fillId="0" fontId="20" numFmtId="49" xfId="0" applyAlignment="1" applyFont="1" applyNumberFormat="1">
      <alignment horizontal="center" vertical="center"/>
    </xf>
    <xf borderId="0" fillId="5" fontId="17" numFmtId="0" xfId="0" applyAlignment="1" applyFont="1">
      <alignment horizontal="center" shrinkToFit="0" vertical="center" wrapText="1"/>
    </xf>
    <xf borderId="1" fillId="5" fontId="17" numFmtId="0" xfId="0" applyAlignment="1" applyBorder="1" applyFont="1">
      <alignment horizontal="center" readingOrder="0" shrinkToFit="0" vertical="center" wrapText="1"/>
    </xf>
    <xf borderId="0" fillId="0" fontId="17" numFmtId="0" xfId="0" applyAlignment="1" applyFont="1">
      <alignment horizontal="center" shrinkToFit="0" vertical="center" wrapText="1"/>
    </xf>
    <xf borderId="0" fillId="0" fontId="8" numFmtId="49" xfId="0" applyAlignment="1" applyFont="1" applyNumberFormat="1">
      <alignment horizontal="center" shrinkToFit="0" vertical="top" wrapText="1"/>
    </xf>
    <xf borderId="0" fillId="0" fontId="8" numFmtId="49" xfId="0" applyAlignment="1" applyFont="1" applyNumberFormat="1">
      <alignment horizontal="center" readingOrder="0" shrinkToFit="0" vertical="top" wrapText="1"/>
    </xf>
    <xf borderId="21" fillId="0" fontId="8" numFmtId="49" xfId="0" applyAlignment="1" applyBorder="1" applyFont="1" applyNumberFormat="1">
      <alignment horizontal="center" shrinkToFit="0" vertical="top" wrapText="1"/>
    </xf>
    <xf borderId="0" fillId="5" fontId="17" numFmtId="0" xfId="0" applyAlignment="1" applyFont="1">
      <alignment horizontal="center" readingOrder="0" shrinkToFit="0" vertical="center" wrapText="1"/>
    </xf>
    <xf borderId="6" fillId="0" fontId="8" numFmtId="0" xfId="0" applyAlignment="1" applyBorder="1" applyFont="1">
      <alignment horizontal="center" readingOrder="0" shrinkToFit="0" vertical="top" wrapText="1"/>
    </xf>
    <xf borderId="20" fillId="9" fontId="10" numFmtId="49" xfId="0" applyAlignment="1" applyBorder="1" applyFont="1" applyNumberFormat="1">
      <alignment horizontal="center" shrinkToFit="0" vertical="top" wrapText="1"/>
    </xf>
    <xf borderId="13" fillId="0" fontId="8" numFmtId="49" xfId="0" applyAlignment="1" applyBorder="1" applyFont="1" applyNumberFormat="1">
      <alignment horizontal="center" shrinkToFit="0" vertical="top" wrapText="1"/>
    </xf>
    <xf borderId="13" fillId="0" fontId="8" numFmtId="49" xfId="0" applyAlignment="1" applyBorder="1" applyFont="1" applyNumberFormat="1">
      <alignment horizontal="center" readingOrder="0" shrinkToFit="0" vertical="top" wrapText="1"/>
    </xf>
    <xf borderId="6" fillId="0" fontId="8" numFmtId="49" xfId="0" applyAlignment="1" applyBorder="1" applyFont="1" applyNumberFormat="1">
      <alignment horizontal="center" readingOrder="0" shrinkToFit="0" vertical="top" wrapText="1"/>
    </xf>
    <xf borderId="0" fillId="0" fontId="0" numFmtId="0" xfId="0" applyAlignment="1" applyFont="1">
      <alignment horizontal="left" vertical="top"/>
    </xf>
    <xf borderId="0" fillId="0" fontId="0" numFmtId="0" xfId="0" applyAlignment="1" applyFont="1">
      <alignment horizontal="left" readingOrder="0" vertical="top"/>
    </xf>
    <xf borderId="1" fillId="0" fontId="15" numFmtId="0" xfId="0" applyBorder="1" applyFont="1"/>
    <xf borderId="1" fillId="0" fontId="15" numFmtId="0" xfId="0" applyAlignment="1" applyBorder="1" applyFont="1">
      <alignment readingOrder="0"/>
    </xf>
    <xf borderId="0" fillId="0" fontId="2" numFmtId="0" xfId="0" applyAlignment="1" applyFont="1">
      <alignment vertical="bottom"/>
    </xf>
    <xf borderId="0" fillId="0" fontId="2" numFmtId="0" xfId="0" applyAlignment="1" applyFont="1">
      <alignment vertical="top"/>
    </xf>
    <xf borderId="0" fillId="0" fontId="2" numFmtId="0" xfId="0" applyAlignment="1" applyFont="1">
      <alignment vertical="top"/>
    </xf>
    <xf quotePrefix="1" borderId="0" fillId="0" fontId="0" numFmtId="0" xfId="0" applyAlignment="1" applyFont="1">
      <alignment horizontal="left" readingOrder="0" vertical="top"/>
    </xf>
    <xf borderId="0" fillId="10" fontId="13" numFmtId="0" xfId="0" applyAlignment="1" applyFont="1">
      <alignment horizontal="center" readingOrder="0"/>
    </xf>
    <xf borderId="6" fillId="0" fontId="0" numFmtId="0" xfId="0" applyAlignment="1" applyBorder="1" applyFont="1">
      <alignment horizontal="left" vertical="top"/>
    </xf>
    <xf borderId="6" fillId="0" fontId="0" numFmtId="0" xfId="0" applyAlignment="1" applyBorder="1" applyFont="1">
      <alignment horizontal="left" readingOrder="0" vertical="top"/>
    </xf>
    <xf borderId="6" fillId="8" fontId="0" numFmtId="0" xfId="0" applyAlignment="1" applyBorder="1" applyFont="1">
      <alignment horizontal="left" readingOrder="0" vertical="top"/>
    </xf>
    <xf borderId="6" fillId="0" fontId="0" numFmtId="0" xfId="0" applyAlignment="1" applyBorder="1" applyFont="1">
      <alignment horizontal="left" shrinkToFit="0" vertical="top" wrapText="1"/>
    </xf>
    <xf quotePrefix="1" borderId="6" fillId="0" fontId="0" numFmtId="49" xfId="0" applyAlignment="1" applyBorder="1" applyFont="1" applyNumberFormat="1">
      <alignment horizontal="left" vertical="top"/>
    </xf>
    <xf borderId="0" fillId="0" fontId="0" numFmtId="0" xfId="0" applyAlignment="1" applyFont="1">
      <alignment horizontal="left" shrinkToFit="0" vertical="top" wrapText="1"/>
    </xf>
    <xf borderId="0" fillId="0" fontId="0" numFmtId="49" xfId="0" applyAlignment="1" applyFont="1" applyNumberFormat="1">
      <alignment horizontal="left" vertical="top"/>
    </xf>
    <xf borderId="0" fillId="13" fontId="0" numFmtId="49" xfId="0" applyAlignment="1" applyFill="1" applyFont="1" applyNumberFormat="1">
      <alignment horizontal="left" vertical="top"/>
    </xf>
    <xf borderId="0" fillId="14" fontId="0" numFmtId="49" xfId="0" applyAlignment="1" applyFill="1" applyFont="1" applyNumberFormat="1">
      <alignment horizontal="left" shrinkToFit="0" vertical="top" wrapText="1"/>
    </xf>
    <xf borderId="0" fillId="0" fontId="0" numFmtId="49" xfId="0" applyAlignment="1" applyFont="1" applyNumberFormat="1">
      <alignment horizontal="left" shrinkToFit="0" vertical="top" wrapText="1"/>
    </xf>
    <xf borderId="0" fillId="14" fontId="0" numFmtId="0" xfId="0" applyAlignment="1" applyFont="1">
      <alignment horizontal="left" vertical="top"/>
    </xf>
    <xf borderId="6" fillId="0" fontId="0" numFmtId="49" xfId="0" applyAlignment="1" applyBorder="1" applyFont="1" applyNumberFormat="1">
      <alignment horizontal="left" shrinkToFit="0" vertical="top" wrapText="1"/>
    </xf>
    <xf borderId="6" fillId="13" fontId="0" numFmtId="49" xfId="0" applyAlignment="1" applyBorder="1" applyFont="1" applyNumberFormat="1">
      <alignment horizontal="left" vertical="top"/>
    </xf>
    <xf borderId="6" fillId="0" fontId="0" numFmtId="49" xfId="0" applyAlignment="1" applyBorder="1" applyFont="1" applyNumberFormat="1">
      <alignment horizontal="left" vertical="top"/>
    </xf>
    <xf borderId="6" fillId="14" fontId="0" numFmtId="49" xfId="0" applyAlignment="1" applyBorder="1" applyFont="1" applyNumberFormat="1">
      <alignment horizontal="left" shrinkToFit="0" vertical="top" wrapText="1"/>
    </xf>
    <xf borderId="0" fillId="8" fontId="15" numFmtId="0" xfId="0" applyFont="1"/>
    <xf quotePrefix="1" borderId="0" fillId="0" fontId="0" numFmtId="49" xfId="0" applyAlignment="1" applyFont="1" applyNumberFormat="1">
      <alignment horizontal="left" vertical="top"/>
    </xf>
    <xf borderId="0" fillId="0" fontId="0" numFmtId="0" xfId="0" applyAlignment="1" applyFont="1">
      <alignment horizontal="left" vertical="top"/>
    </xf>
    <xf quotePrefix="1" borderId="0" fillId="0" fontId="0" numFmtId="49" xfId="0" applyAlignment="1" applyFont="1" applyNumberFormat="1">
      <alignment horizontal="left" readingOrder="0" vertical="top"/>
    </xf>
    <xf borderId="0" fillId="8" fontId="0" numFmtId="0" xfId="0" applyAlignment="1" applyFont="1">
      <alignment horizontal="left" vertical="top"/>
    </xf>
    <xf borderId="0" fillId="8" fontId="0" numFmtId="0" xfId="0" applyAlignment="1" applyFont="1">
      <alignment horizontal="left" vertical="top"/>
    </xf>
    <xf borderId="0" fillId="8" fontId="0" numFmtId="0" xfId="0" applyAlignment="1" applyFont="1">
      <alignment horizontal="left" readingOrder="0" vertical="top"/>
    </xf>
    <xf borderId="0" fillId="10" fontId="13" numFmtId="0" xfId="0" applyAlignment="1" applyFont="1">
      <alignment horizontal="center" vertical="bottom"/>
    </xf>
    <xf borderId="1" fillId="0" fontId="2" numFmtId="0" xfId="0" applyAlignment="1" applyBorder="1" applyFont="1">
      <alignment vertical="bottom"/>
    </xf>
    <xf quotePrefix="1" borderId="6" fillId="0" fontId="0" numFmtId="0" xfId="0" applyAlignment="1" applyBorder="1" applyFont="1">
      <alignment horizontal="left" readingOrder="0" vertical="top"/>
    </xf>
    <xf borderId="0" fillId="14" fontId="0" numFmtId="49" xfId="0" applyAlignment="1" applyFont="1" applyNumberFormat="1">
      <alignment horizontal="left" readingOrder="0" shrinkToFit="0" vertical="top" wrapText="1"/>
    </xf>
    <xf borderId="0" fillId="0" fontId="9" numFmtId="0" xfId="0" applyFont="1"/>
    <xf borderId="6" fillId="0" fontId="9" numFmtId="0" xfId="0" applyBorder="1" applyFont="1"/>
    <xf borderId="6" fillId="0" fontId="2" numFmtId="0" xfId="0" applyAlignment="1" applyBorder="1" applyFont="1">
      <alignment vertical="top"/>
    </xf>
    <xf borderId="6" fillId="0" fontId="2" numFmtId="9" xfId="0" applyAlignment="1" applyBorder="1" applyFont="1" applyNumberFormat="1">
      <alignment horizontal="right" vertical="top"/>
    </xf>
    <xf quotePrefix="1" borderId="6" fillId="0" fontId="2" numFmtId="0" xfId="0" applyAlignment="1" applyBorder="1" applyFont="1">
      <alignment vertical="top"/>
    </xf>
    <xf borderId="6" fillId="0" fontId="21" numFmtId="0" xfId="0" applyAlignment="1" applyBorder="1" applyFont="1">
      <alignment vertical="top"/>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m.pa/s"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2.71"/>
    <col customWidth="1" min="2" max="2" width="12.29"/>
    <col customWidth="1" min="3" max="3" width="16.29"/>
    <col customWidth="1" min="4" max="4" width="31.71"/>
    <col customWidth="1" min="5" max="5" width="25.0"/>
    <col customWidth="1" min="6" max="6" width="15.29"/>
    <col customWidth="1" min="7" max="8" width="10.43"/>
    <col customWidth="1" hidden="1" min="9" max="10" width="10.43"/>
    <col customWidth="1" min="11" max="26" width="8.71"/>
  </cols>
  <sheetData>
    <row r="1" ht="30.0" customHeight="1">
      <c r="A1" s="1" t="s">
        <v>0</v>
      </c>
      <c r="B1" s="1"/>
      <c r="C1" s="1"/>
      <c r="D1" s="1"/>
      <c r="E1" s="1"/>
      <c r="F1" s="1"/>
      <c r="G1" s="1"/>
      <c r="H1" s="1"/>
      <c r="I1" s="2"/>
      <c r="J1" s="1"/>
      <c r="K1" s="1"/>
      <c r="L1" s="1"/>
      <c r="M1" s="1"/>
      <c r="N1" s="1"/>
      <c r="O1" s="1"/>
      <c r="P1" s="1"/>
      <c r="Q1" s="1"/>
      <c r="R1" s="1"/>
      <c r="S1" s="1"/>
      <c r="T1" s="1"/>
      <c r="U1" s="1"/>
      <c r="V1" s="1"/>
      <c r="W1" s="1"/>
      <c r="X1" s="1"/>
      <c r="Y1" s="1"/>
      <c r="Z1" s="1"/>
    </row>
    <row r="2" ht="15.0" customHeight="1">
      <c r="A2" s="3"/>
      <c r="B2" s="3"/>
      <c r="C2" s="3"/>
      <c r="D2" s="3"/>
      <c r="E2" s="3"/>
      <c r="F2" s="3"/>
      <c r="G2" s="3"/>
      <c r="H2" s="3"/>
      <c r="I2" s="2"/>
      <c r="J2" s="3"/>
      <c r="K2" s="3"/>
      <c r="L2" s="3"/>
      <c r="M2" s="3"/>
      <c r="N2" s="3"/>
      <c r="O2" s="3"/>
      <c r="P2" s="3"/>
      <c r="Q2" s="3"/>
      <c r="R2" s="3"/>
      <c r="S2" s="3"/>
      <c r="T2" s="3"/>
      <c r="U2" s="3"/>
      <c r="V2" s="3"/>
      <c r="W2" s="3"/>
      <c r="X2" s="3"/>
      <c r="Y2" s="3"/>
      <c r="Z2" s="3"/>
    </row>
    <row r="3" ht="15.0" customHeight="1">
      <c r="A3" s="4"/>
      <c r="B3" s="5" t="s">
        <v>1</v>
      </c>
      <c r="C3" s="6"/>
      <c r="D3" s="6"/>
      <c r="E3" s="6"/>
      <c r="F3" s="6"/>
      <c r="G3" s="6"/>
      <c r="H3" s="7"/>
      <c r="I3" s="4"/>
      <c r="J3" s="4"/>
      <c r="K3" s="4"/>
      <c r="L3" s="4"/>
      <c r="M3" s="4"/>
      <c r="N3" s="4"/>
      <c r="O3" s="4"/>
      <c r="P3" s="4"/>
      <c r="Q3" s="4"/>
      <c r="R3" s="4"/>
      <c r="S3" s="4"/>
      <c r="T3" s="4"/>
      <c r="U3" s="4"/>
      <c r="V3" s="4"/>
      <c r="W3" s="4"/>
      <c r="X3" s="4"/>
      <c r="Y3" s="4"/>
      <c r="Z3" s="4"/>
    </row>
    <row r="4" ht="15.0" customHeight="1">
      <c r="A4" s="8"/>
      <c r="B4" s="9" t="s">
        <v>2</v>
      </c>
      <c r="C4" s="9" t="s">
        <v>3</v>
      </c>
      <c r="D4" s="9" t="s">
        <v>4</v>
      </c>
      <c r="E4" s="9" t="s">
        <v>5</v>
      </c>
      <c r="F4" s="9" t="s">
        <v>6</v>
      </c>
      <c r="G4" s="9" t="s">
        <v>7</v>
      </c>
      <c r="H4" s="9" t="s">
        <v>8</v>
      </c>
      <c r="I4" s="9" t="s">
        <v>9</v>
      </c>
      <c r="J4" s="9" t="s">
        <v>10</v>
      </c>
      <c r="K4" s="8"/>
      <c r="L4" s="8"/>
      <c r="M4" s="8"/>
      <c r="N4" s="8"/>
      <c r="O4" s="8"/>
      <c r="P4" s="8"/>
      <c r="Q4" s="8"/>
      <c r="R4" s="8"/>
      <c r="S4" s="8"/>
      <c r="T4" s="8"/>
      <c r="U4" s="8"/>
      <c r="V4" s="8"/>
      <c r="W4" s="8"/>
      <c r="X4" s="8"/>
      <c r="Y4" s="8"/>
      <c r="Z4" s="8"/>
    </row>
    <row r="5" ht="15.0" customHeight="1">
      <c r="A5" s="8"/>
      <c r="B5" s="10"/>
      <c r="C5" s="10"/>
      <c r="D5" s="10"/>
      <c r="E5" s="10"/>
      <c r="F5" s="10"/>
      <c r="G5" s="10"/>
      <c r="H5" s="10"/>
      <c r="I5" s="11"/>
      <c r="J5" s="12"/>
      <c r="K5" s="8"/>
      <c r="L5" s="8"/>
      <c r="M5" s="8"/>
      <c r="N5" s="8"/>
      <c r="O5" s="8"/>
      <c r="P5" s="8"/>
      <c r="Q5" s="8"/>
      <c r="R5" s="8"/>
      <c r="S5" s="8"/>
      <c r="T5" s="8"/>
      <c r="U5" s="8"/>
      <c r="V5" s="8"/>
      <c r="W5" s="8"/>
      <c r="X5" s="8"/>
      <c r="Y5" s="8"/>
      <c r="Z5" s="8"/>
    </row>
    <row r="6" ht="15.0" customHeight="1">
      <c r="A6" s="8"/>
      <c r="B6" s="13" t="s">
        <v>11</v>
      </c>
      <c r="C6" s="14"/>
      <c r="D6" s="14"/>
      <c r="E6" s="14"/>
      <c r="F6" s="14"/>
      <c r="G6" s="14"/>
      <c r="H6" s="14"/>
      <c r="I6" s="14"/>
      <c r="J6" s="15"/>
      <c r="K6" s="8"/>
      <c r="L6" s="8"/>
      <c r="M6" s="8"/>
      <c r="N6" s="8"/>
      <c r="O6" s="8"/>
      <c r="P6" s="8"/>
      <c r="Q6" s="8"/>
      <c r="R6" s="8"/>
      <c r="S6" s="8"/>
      <c r="T6" s="8"/>
      <c r="U6" s="8"/>
      <c r="V6" s="8"/>
      <c r="W6" s="8"/>
      <c r="X6" s="8"/>
      <c r="Y6" s="8"/>
      <c r="Z6" s="8"/>
    </row>
    <row r="7" ht="15.0" customHeight="1">
      <c r="A7" s="8"/>
      <c r="B7" s="16"/>
      <c r="C7" s="16" t="s">
        <v>12</v>
      </c>
      <c r="D7" s="17" t="s">
        <v>13</v>
      </c>
      <c r="E7" s="17" t="s">
        <v>14</v>
      </c>
      <c r="F7" s="17" t="s">
        <v>15</v>
      </c>
      <c r="G7" s="17" t="s">
        <v>16</v>
      </c>
      <c r="H7" s="17" t="s">
        <v>1</v>
      </c>
      <c r="I7" s="17" t="s">
        <v>17</v>
      </c>
      <c r="J7" s="17" t="s">
        <v>18</v>
      </c>
      <c r="K7" s="8"/>
      <c r="L7" s="8"/>
      <c r="M7" s="8"/>
      <c r="N7" s="8"/>
      <c r="O7" s="8"/>
      <c r="P7" s="8"/>
      <c r="Q7" s="8"/>
      <c r="R7" s="8"/>
      <c r="S7" s="8"/>
      <c r="T7" s="8"/>
      <c r="U7" s="8"/>
      <c r="V7" s="8"/>
      <c r="W7" s="8"/>
      <c r="X7" s="8"/>
      <c r="Y7" s="8"/>
      <c r="Z7" s="8"/>
    </row>
    <row r="8" ht="15.0" customHeight="1">
      <c r="A8" s="8"/>
      <c r="B8" s="18"/>
      <c r="C8" s="19"/>
      <c r="D8" s="17" t="s">
        <v>19</v>
      </c>
      <c r="E8" s="17" t="s">
        <v>14</v>
      </c>
      <c r="F8" s="17" t="s">
        <v>15</v>
      </c>
      <c r="G8" s="17" t="s">
        <v>20</v>
      </c>
      <c r="H8" s="17" t="s">
        <v>1</v>
      </c>
      <c r="I8" s="17" t="s">
        <v>17</v>
      </c>
      <c r="J8" s="17" t="s">
        <v>21</v>
      </c>
      <c r="K8" s="8"/>
      <c r="L8" s="8"/>
      <c r="M8" s="8"/>
      <c r="N8" s="8"/>
      <c r="O8" s="8"/>
      <c r="P8" s="8"/>
      <c r="Q8" s="8"/>
      <c r="R8" s="8"/>
      <c r="S8" s="8"/>
      <c r="T8" s="8"/>
      <c r="U8" s="8"/>
      <c r="V8" s="8"/>
      <c r="W8" s="8"/>
      <c r="X8" s="8"/>
      <c r="Y8" s="8"/>
      <c r="Z8" s="8"/>
    </row>
    <row r="9" ht="15.0" customHeight="1">
      <c r="A9" s="8"/>
      <c r="B9" s="18"/>
      <c r="C9" s="16" t="s">
        <v>22</v>
      </c>
      <c r="D9" s="17" t="s">
        <v>23</v>
      </c>
      <c r="E9" s="17" t="s">
        <v>14</v>
      </c>
      <c r="F9" s="17" t="s">
        <v>15</v>
      </c>
      <c r="G9" s="17" t="s">
        <v>24</v>
      </c>
      <c r="H9" s="17" t="s">
        <v>1</v>
      </c>
      <c r="I9" s="17" t="s">
        <v>17</v>
      </c>
      <c r="J9" s="17" t="s">
        <v>25</v>
      </c>
      <c r="K9" s="8"/>
      <c r="L9" s="8"/>
      <c r="M9" s="8"/>
      <c r="N9" s="8"/>
      <c r="O9" s="8"/>
      <c r="P9" s="8"/>
      <c r="Q9" s="8"/>
      <c r="R9" s="8"/>
      <c r="S9" s="8"/>
      <c r="T9" s="8"/>
      <c r="U9" s="8"/>
      <c r="V9" s="8"/>
      <c r="W9" s="8"/>
      <c r="X9" s="8"/>
      <c r="Y9" s="8"/>
      <c r="Z9" s="8"/>
    </row>
    <row r="10" ht="15.0" customHeight="1">
      <c r="A10" s="8"/>
      <c r="B10" s="18"/>
      <c r="C10" s="18"/>
      <c r="D10" s="17" t="s">
        <v>26</v>
      </c>
      <c r="E10" s="17" t="s">
        <v>14</v>
      </c>
      <c r="F10" s="17" t="s">
        <v>27</v>
      </c>
      <c r="G10" s="20" t="s">
        <v>28</v>
      </c>
      <c r="H10" s="17" t="s">
        <v>1</v>
      </c>
      <c r="I10" s="17" t="s">
        <v>17</v>
      </c>
      <c r="J10" s="17" t="s">
        <v>29</v>
      </c>
      <c r="K10" s="8"/>
      <c r="L10" s="8"/>
      <c r="M10" s="8"/>
      <c r="N10" s="8"/>
      <c r="O10" s="8"/>
      <c r="P10" s="8"/>
      <c r="Q10" s="8"/>
      <c r="R10" s="8"/>
      <c r="S10" s="8"/>
      <c r="T10" s="8"/>
      <c r="U10" s="8"/>
      <c r="V10" s="8"/>
      <c r="W10" s="8"/>
      <c r="X10" s="8"/>
      <c r="Y10" s="8"/>
      <c r="Z10" s="8"/>
    </row>
    <row r="11" ht="15.0" customHeight="1">
      <c r="A11" s="8"/>
      <c r="B11" s="18"/>
      <c r="C11" s="18"/>
      <c r="D11" s="17" t="s">
        <v>30</v>
      </c>
      <c r="E11" s="17"/>
      <c r="F11" s="17" t="s">
        <v>27</v>
      </c>
      <c r="G11" s="20" t="s">
        <v>28</v>
      </c>
      <c r="H11" s="17" t="s">
        <v>1</v>
      </c>
      <c r="I11" s="17" t="s">
        <v>17</v>
      </c>
      <c r="J11" s="17" t="s">
        <v>31</v>
      </c>
      <c r="K11" s="8"/>
      <c r="L11" s="8"/>
      <c r="M11" s="8"/>
      <c r="N11" s="8"/>
      <c r="O11" s="8"/>
      <c r="P11" s="8"/>
      <c r="Q11" s="8"/>
      <c r="R11" s="8"/>
      <c r="S11" s="8"/>
      <c r="T11" s="8"/>
      <c r="U11" s="8"/>
      <c r="V11" s="8"/>
      <c r="W11" s="8"/>
      <c r="X11" s="8"/>
      <c r="Y11" s="8"/>
      <c r="Z11" s="8"/>
    </row>
    <row r="12" ht="15.0" customHeight="1">
      <c r="A12" s="8"/>
      <c r="B12" s="21"/>
      <c r="C12" s="21"/>
      <c r="D12" s="17" t="s">
        <v>32</v>
      </c>
      <c r="E12" s="17"/>
      <c r="F12" s="17" t="s">
        <v>15</v>
      </c>
      <c r="G12" s="17" t="s">
        <v>20</v>
      </c>
      <c r="H12" s="17" t="s">
        <v>1</v>
      </c>
      <c r="I12" s="17" t="s">
        <v>17</v>
      </c>
      <c r="J12" s="17" t="s">
        <v>33</v>
      </c>
      <c r="K12" s="8"/>
      <c r="L12" s="8"/>
      <c r="M12" s="8"/>
      <c r="N12" s="8"/>
      <c r="O12" s="8"/>
      <c r="P12" s="8"/>
      <c r="Q12" s="8"/>
      <c r="R12" s="8"/>
      <c r="S12" s="8"/>
      <c r="T12" s="8"/>
      <c r="U12" s="8"/>
      <c r="V12" s="8"/>
      <c r="W12" s="8"/>
      <c r="X12" s="8"/>
      <c r="Y12" s="8"/>
      <c r="Z12" s="8"/>
    </row>
    <row r="13" ht="15.0" customHeight="1">
      <c r="A13" s="8"/>
      <c r="B13" s="10"/>
      <c r="C13" s="10"/>
      <c r="D13" s="10"/>
      <c r="E13" s="10"/>
      <c r="F13" s="10"/>
      <c r="G13" s="10"/>
      <c r="H13" s="10"/>
      <c r="I13" s="10"/>
      <c r="J13" s="10"/>
      <c r="K13" s="8"/>
      <c r="L13" s="8"/>
      <c r="M13" s="8"/>
      <c r="N13" s="8"/>
      <c r="O13" s="8"/>
      <c r="P13" s="8"/>
      <c r="Q13" s="8"/>
      <c r="R13" s="8"/>
      <c r="S13" s="8"/>
      <c r="T13" s="8"/>
      <c r="U13" s="8"/>
      <c r="V13" s="8"/>
      <c r="W13" s="8"/>
      <c r="X13" s="8"/>
      <c r="Y13" s="8"/>
      <c r="Z13" s="8"/>
    </row>
    <row r="14" ht="15.0" customHeight="1">
      <c r="A14" s="8"/>
      <c r="B14" s="13" t="s">
        <v>34</v>
      </c>
      <c r="C14" s="14"/>
      <c r="D14" s="14"/>
      <c r="E14" s="14"/>
      <c r="F14" s="14"/>
      <c r="G14" s="14"/>
      <c r="H14" s="14"/>
      <c r="I14" s="14"/>
      <c r="J14" s="15"/>
      <c r="K14" s="8"/>
      <c r="L14" s="8"/>
      <c r="M14" s="8"/>
      <c r="N14" s="8"/>
      <c r="O14" s="8"/>
      <c r="P14" s="8"/>
      <c r="Q14" s="8"/>
      <c r="R14" s="8"/>
      <c r="S14" s="8"/>
      <c r="T14" s="8"/>
      <c r="U14" s="8"/>
      <c r="V14" s="8"/>
      <c r="W14" s="8"/>
      <c r="X14" s="8"/>
      <c r="Y14" s="8"/>
      <c r="Z14" s="8"/>
    </row>
    <row r="15" ht="15.0" customHeight="1">
      <c r="A15" s="8"/>
      <c r="B15" s="16"/>
      <c r="C15" s="16" t="s">
        <v>12</v>
      </c>
      <c r="D15" s="17" t="s">
        <v>35</v>
      </c>
      <c r="E15" s="17" t="s">
        <v>14</v>
      </c>
      <c r="F15" s="17" t="s">
        <v>15</v>
      </c>
      <c r="G15" s="17" t="s">
        <v>36</v>
      </c>
      <c r="H15" s="17" t="s">
        <v>1</v>
      </c>
      <c r="I15" s="17" t="s">
        <v>37</v>
      </c>
      <c r="J15" s="17" t="s">
        <v>18</v>
      </c>
      <c r="K15" s="8"/>
      <c r="L15" s="8"/>
      <c r="M15" s="8"/>
      <c r="N15" s="8"/>
      <c r="O15" s="8"/>
      <c r="P15" s="8"/>
      <c r="Q15" s="8"/>
      <c r="R15" s="8"/>
      <c r="S15" s="8"/>
      <c r="T15" s="8"/>
      <c r="U15" s="8"/>
      <c r="V15" s="8"/>
      <c r="W15" s="8"/>
      <c r="X15" s="8"/>
      <c r="Y15" s="8"/>
      <c r="Z15" s="8"/>
    </row>
    <row r="16" ht="15.0" customHeight="1">
      <c r="A16" s="8"/>
      <c r="B16" s="18"/>
      <c r="C16" s="18"/>
      <c r="D16" s="17" t="s">
        <v>38</v>
      </c>
      <c r="E16" s="17" t="s">
        <v>14</v>
      </c>
      <c r="F16" s="17" t="s">
        <v>15</v>
      </c>
      <c r="G16" s="17" t="s">
        <v>36</v>
      </c>
      <c r="H16" s="17" t="s">
        <v>1</v>
      </c>
      <c r="I16" s="17" t="s">
        <v>37</v>
      </c>
      <c r="J16" s="17" t="s">
        <v>21</v>
      </c>
      <c r="K16" s="8"/>
      <c r="L16" s="8"/>
      <c r="M16" s="8"/>
      <c r="N16" s="8"/>
      <c r="O16" s="8"/>
      <c r="P16" s="8"/>
      <c r="Q16" s="8"/>
      <c r="R16" s="8"/>
      <c r="S16" s="8"/>
      <c r="T16" s="8"/>
      <c r="U16" s="8"/>
      <c r="V16" s="8"/>
      <c r="W16" s="8"/>
      <c r="X16" s="8"/>
      <c r="Y16" s="8"/>
      <c r="Z16" s="8"/>
    </row>
    <row r="17" ht="15.0" customHeight="1">
      <c r="A17" s="8"/>
      <c r="B17" s="18"/>
      <c r="C17" s="18"/>
      <c r="D17" s="17" t="s">
        <v>39</v>
      </c>
      <c r="E17" s="17" t="s">
        <v>14</v>
      </c>
      <c r="F17" s="17" t="s">
        <v>15</v>
      </c>
      <c r="G17" s="17" t="s">
        <v>36</v>
      </c>
      <c r="H17" s="17" t="s">
        <v>1</v>
      </c>
      <c r="I17" s="17" t="s">
        <v>37</v>
      </c>
      <c r="J17" s="17" t="s">
        <v>40</v>
      </c>
      <c r="K17" s="8"/>
      <c r="L17" s="8"/>
      <c r="M17" s="8"/>
      <c r="N17" s="8"/>
      <c r="O17" s="8"/>
      <c r="P17" s="8"/>
      <c r="Q17" s="8"/>
      <c r="R17" s="8"/>
      <c r="S17" s="8"/>
      <c r="T17" s="8"/>
      <c r="U17" s="8"/>
      <c r="V17" s="8"/>
      <c r="W17" s="8"/>
      <c r="X17" s="8"/>
      <c r="Y17" s="8"/>
      <c r="Z17" s="8"/>
    </row>
    <row r="18" ht="15.0" customHeight="1">
      <c r="A18" s="8"/>
      <c r="B18" s="18"/>
      <c r="C18" s="19"/>
      <c r="D18" s="17" t="s">
        <v>41</v>
      </c>
      <c r="E18" s="17" t="s">
        <v>14</v>
      </c>
      <c r="F18" s="17" t="s">
        <v>15</v>
      </c>
      <c r="G18" s="17" t="s">
        <v>42</v>
      </c>
      <c r="H18" s="17" t="s">
        <v>1</v>
      </c>
      <c r="I18" s="17" t="s">
        <v>37</v>
      </c>
      <c r="J18" s="17" t="s">
        <v>43</v>
      </c>
      <c r="K18" s="8"/>
      <c r="L18" s="8"/>
      <c r="M18" s="8"/>
      <c r="N18" s="8"/>
      <c r="O18" s="8"/>
      <c r="P18" s="8"/>
      <c r="Q18" s="8"/>
      <c r="R18" s="8"/>
      <c r="S18" s="8"/>
      <c r="T18" s="8"/>
      <c r="U18" s="8"/>
      <c r="V18" s="8"/>
      <c r="W18" s="8"/>
      <c r="X18" s="8"/>
      <c r="Y18" s="8"/>
      <c r="Z18" s="8"/>
    </row>
    <row r="19" ht="15.0" customHeight="1">
      <c r="A19" s="8"/>
      <c r="B19" s="19"/>
      <c r="C19" s="17" t="s">
        <v>22</v>
      </c>
      <c r="D19" s="17" t="s">
        <v>44</v>
      </c>
      <c r="E19" s="17" t="s">
        <v>14</v>
      </c>
      <c r="F19" s="17" t="s">
        <v>15</v>
      </c>
      <c r="G19" s="17" t="s">
        <v>45</v>
      </c>
      <c r="H19" s="17" t="s">
        <v>1</v>
      </c>
      <c r="I19" s="17" t="s">
        <v>37</v>
      </c>
      <c r="J19" s="17" t="s">
        <v>46</v>
      </c>
      <c r="K19" s="8"/>
      <c r="L19" s="8"/>
      <c r="M19" s="8"/>
      <c r="N19" s="8"/>
      <c r="O19" s="8"/>
      <c r="P19" s="8"/>
      <c r="Q19" s="8"/>
      <c r="R19" s="8"/>
      <c r="S19" s="8"/>
      <c r="T19" s="8"/>
      <c r="U19" s="8"/>
      <c r="V19" s="8"/>
      <c r="W19" s="8"/>
      <c r="X19" s="8"/>
      <c r="Y19" s="8"/>
      <c r="Z19" s="8"/>
    </row>
    <row r="20" ht="15.0" customHeight="1">
      <c r="A20" s="8"/>
      <c r="B20" s="10"/>
      <c r="C20" s="10"/>
      <c r="D20" s="10"/>
      <c r="E20" s="10"/>
      <c r="F20" s="10"/>
      <c r="G20" s="10"/>
      <c r="H20" s="10"/>
      <c r="I20" s="10"/>
      <c r="J20" s="10"/>
      <c r="K20" s="8"/>
      <c r="L20" s="8"/>
      <c r="M20" s="8"/>
      <c r="N20" s="8"/>
      <c r="O20" s="8"/>
      <c r="P20" s="8"/>
      <c r="Q20" s="8"/>
      <c r="R20" s="8"/>
      <c r="S20" s="8"/>
      <c r="T20" s="8"/>
      <c r="U20" s="8"/>
      <c r="V20" s="8"/>
      <c r="W20" s="8"/>
      <c r="X20" s="8"/>
      <c r="Y20" s="8"/>
      <c r="Z20" s="8"/>
    </row>
    <row r="21" ht="15.0" customHeight="1">
      <c r="A21" s="8"/>
      <c r="B21" s="22" t="s">
        <v>47</v>
      </c>
      <c r="C21" s="14"/>
      <c r="D21" s="14"/>
      <c r="E21" s="14"/>
      <c r="F21" s="14"/>
      <c r="G21" s="14"/>
      <c r="H21" s="14"/>
      <c r="I21" s="14"/>
      <c r="J21" s="15"/>
      <c r="K21" s="8"/>
      <c r="L21" s="8"/>
      <c r="M21" s="8"/>
      <c r="N21" s="8"/>
      <c r="O21" s="8"/>
      <c r="P21" s="8"/>
      <c r="Q21" s="8"/>
      <c r="R21" s="8"/>
      <c r="S21" s="8"/>
      <c r="T21" s="8"/>
      <c r="U21" s="8"/>
      <c r="V21" s="8"/>
      <c r="W21" s="8"/>
      <c r="X21" s="8"/>
      <c r="Y21" s="8"/>
      <c r="Z21" s="8"/>
    </row>
    <row r="22" ht="15.0" customHeight="1">
      <c r="A22" s="8"/>
      <c r="B22" s="16"/>
      <c r="C22" s="16" t="s">
        <v>12</v>
      </c>
      <c r="D22" s="17" t="s">
        <v>35</v>
      </c>
      <c r="E22" s="17" t="s">
        <v>14</v>
      </c>
      <c r="F22" s="17" t="s">
        <v>15</v>
      </c>
      <c r="G22" s="17" t="s">
        <v>16</v>
      </c>
      <c r="H22" s="17" t="s">
        <v>1</v>
      </c>
      <c r="I22" s="17" t="s">
        <v>48</v>
      </c>
      <c r="J22" s="17" t="s">
        <v>18</v>
      </c>
      <c r="K22" s="8"/>
      <c r="L22" s="8"/>
      <c r="M22" s="8"/>
      <c r="N22" s="8"/>
      <c r="O22" s="8"/>
      <c r="P22" s="8"/>
      <c r="Q22" s="8"/>
      <c r="R22" s="8"/>
      <c r="S22" s="8"/>
      <c r="T22" s="8"/>
      <c r="U22" s="8"/>
      <c r="V22" s="8"/>
      <c r="W22" s="8"/>
      <c r="X22" s="8"/>
      <c r="Y22" s="8"/>
      <c r="Z22" s="8"/>
    </row>
    <row r="23" ht="15.0" customHeight="1">
      <c r="A23" s="8"/>
      <c r="B23" s="18"/>
      <c r="C23" s="18"/>
      <c r="D23" s="17" t="s">
        <v>38</v>
      </c>
      <c r="E23" s="17" t="s">
        <v>14</v>
      </c>
      <c r="F23" s="17" t="s">
        <v>15</v>
      </c>
      <c r="G23" s="17" t="s">
        <v>20</v>
      </c>
      <c r="H23" s="17" t="s">
        <v>1</v>
      </c>
      <c r="I23" s="17" t="s">
        <v>48</v>
      </c>
      <c r="J23" s="17" t="s">
        <v>21</v>
      </c>
      <c r="K23" s="8"/>
      <c r="L23" s="8"/>
      <c r="M23" s="8"/>
      <c r="N23" s="8"/>
      <c r="O23" s="8"/>
      <c r="P23" s="8"/>
      <c r="Q23" s="8"/>
      <c r="R23" s="8"/>
      <c r="S23" s="8"/>
      <c r="T23" s="8"/>
      <c r="U23" s="8"/>
      <c r="V23" s="8"/>
      <c r="W23" s="8"/>
      <c r="X23" s="8"/>
      <c r="Y23" s="8"/>
      <c r="Z23" s="8"/>
    </row>
    <row r="24" ht="15.0" customHeight="1">
      <c r="A24" s="8"/>
      <c r="B24" s="21"/>
      <c r="C24" s="19"/>
      <c r="D24" s="17" t="s">
        <v>49</v>
      </c>
      <c r="E24" s="17" t="s">
        <v>14</v>
      </c>
      <c r="F24" s="17" t="s">
        <v>15</v>
      </c>
      <c r="G24" s="17" t="s">
        <v>50</v>
      </c>
      <c r="H24" s="17" t="s">
        <v>1</v>
      </c>
      <c r="I24" s="17" t="s">
        <v>48</v>
      </c>
      <c r="J24" s="17" t="s">
        <v>51</v>
      </c>
      <c r="K24" s="8"/>
      <c r="L24" s="8"/>
      <c r="M24" s="8"/>
      <c r="N24" s="8"/>
      <c r="O24" s="8"/>
      <c r="P24" s="8"/>
      <c r="Q24" s="8"/>
      <c r="R24" s="8"/>
      <c r="S24" s="8"/>
      <c r="T24" s="8"/>
      <c r="U24" s="8"/>
      <c r="V24" s="8"/>
      <c r="W24" s="8"/>
      <c r="X24" s="8"/>
      <c r="Y24" s="8"/>
      <c r="Z24" s="8"/>
    </row>
    <row r="25" ht="15.0" customHeight="1">
      <c r="A25" s="8"/>
      <c r="B25" s="8"/>
      <c r="C25" s="8"/>
      <c r="D25" s="8"/>
      <c r="E25" s="8"/>
      <c r="F25" s="8"/>
      <c r="G25" s="8"/>
      <c r="H25" s="8"/>
      <c r="I25" s="23"/>
      <c r="J25" s="24"/>
      <c r="K25" s="8"/>
      <c r="L25" s="8"/>
      <c r="M25" s="8"/>
      <c r="N25" s="8"/>
      <c r="O25" s="8"/>
      <c r="P25" s="8"/>
      <c r="Q25" s="8"/>
      <c r="R25" s="8"/>
      <c r="S25" s="8"/>
      <c r="T25" s="8"/>
      <c r="U25" s="8"/>
      <c r="V25" s="8"/>
      <c r="W25" s="8"/>
      <c r="X25" s="8"/>
      <c r="Y25" s="8"/>
      <c r="Z25" s="8"/>
    </row>
    <row r="26" ht="15.0"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ht="15.0"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ht="15.0"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ht="15.0"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ht="15.0"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ht="15.0"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ht="15.0"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ht="15.0"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ht="15.0"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ht="15.0"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ht="15.0"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ht="15.0"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ht="15.0"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ht="15.0"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ht="15.0"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ht="15.0"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ht="15.0"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ht="15.0"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ht="15.0"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ht="15.0"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ht="15.0"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ht="15.0"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ht="15.0"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ht="15.0"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ht="15.0"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ht="15.0"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ht="15.0"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ht="15.0"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ht="15.0"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ht="15.0"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ht="15.0"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ht="15.0"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ht="15.0"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ht="15.0"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ht="15.0"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ht="15.0"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5.0"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5.0"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5.0"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5.0"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5.0"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5.0"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5.0"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5.0"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5.0"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5.0"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5.0"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5.0"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5.0"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5.0"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5.0"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5.0"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5.0"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5.0"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5.0"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5.0"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5.0"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5.0"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5.0"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5.0"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5.0"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5.0"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5.0"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5.0"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5.0"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5.0"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5.0"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5.0"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5.0"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5.0"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5.0"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5.0"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5.0"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5.0"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5.0"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5.0"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5.0"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5.0"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5.0"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5.0"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5.0"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5.0"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5.0"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5.0"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5.0"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5.0"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5.0"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5.0"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5.0"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5.0"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5.0"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5.0"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5.0"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5.0"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5.0"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5.0"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5.0"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5.0"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5.0"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5.0"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5.0"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5.0"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5.0"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5.0"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5.0"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5.0"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5.0"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5.0"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5.0"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5.0"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5.0"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5.0"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5.0"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5.0"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5.0"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5.0"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5.0"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5.0"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5.0"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5.0"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5.0"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5.0"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5.0"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5.0"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5.0"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5.0"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5.0"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5.0"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5.0"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5.0"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5.0"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5.0"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5.0"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5.0"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5.0"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5.0"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5.0"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5.0"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5.0"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5.0"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5.0"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5.0"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5.0"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5.0"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5.0"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5.0"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5.0"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5.0"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5.0"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5.0"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5.0"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5.0"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5.0"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5.0"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5.0"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5.0"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5.0"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5.0"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5.0"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5.0"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5.0"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5.0"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5.0"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5.0"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5.0"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5.0"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5.0"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5.0"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5.0"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5.0"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5.0"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5.0"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5.0"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5.0"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5.0"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5.0"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5.0"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5.0"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5.0"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5.0"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5.0"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5.0"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5.0"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5.0"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5.0"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5.0"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B15:B19"/>
    <mergeCell ref="B21:J21"/>
    <mergeCell ref="B22:B24"/>
    <mergeCell ref="C22:C24"/>
    <mergeCell ref="B3:H3"/>
    <mergeCell ref="B6:J6"/>
    <mergeCell ref="B7:B12"/>
    <mergeCell ref="C7:C8"/>
    <mergeCell ref="C9:C12"/>
    <mergeCell ref="B14:J14"/>
    <mergeCell ref="C15:C18"/>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14"/>
    <col customWidth="1" min="2" max="2" width="31.71"/>
    <col customWidth="1" min="3" max="3" width="19.14"/>
    <col customWidth="1" min="4" max="4" width="31.71"/>
    <col customWidth="1" min="5" max="6" width="8.71"/>
    <col customWidth="1" min="7" max="24" width="14.43"/>
  </cols>
  <sheetData>
    <row r="1">
      <c r="A1" s="25" t="s">
        <v>52</v>
      </c>
      <c r="B1" s="25" t="s">
        <v>53</v>
      </c>
      <c r="C1" s="26" t="s">
        <v>54</v>
      </c>
      <c r="D1" s="25" t="s">
        <v>55</v>
      </c>
      <c r="E1" s="27"/>
      <c r="F1" s="27"/>
      <c r="G1" s="27"/>
      <c r="H1" s="27"/>
      <c r="I1" s="27"/>
      <c r="J1" s="27"/>
      <c r="K1" s="27"/>
      <c r="L1" s="27"/>
      <c r="M1" s="27"/>
      <c r="N1" s="27"/>
      <c r="O1" s="27"/>
      <c r="P1" s="27"/>
      <c r="Q1" s="27"/>
      <c r="R1" s="27"/>
      <c r="S1" s="27"/>
      <c r="T1" s="27"/>
      <c r="U1" s="27"/>
      <c r="V1" s="27"/>
      <c r="W1" s="27"/>
      <c r="X1" s="27"/>
      <c r="Y1" s="27"/>
      <c r="Z1" s="27"/>
    </row>
    <row r="2">
      <c r="A2" s="28" t="s">
        <v>56</v>
      </c>
      <c r="B2" s="29" t="s">
        <v>57</v>
      </c>
      <c r="C2" s="28" t="s">
        <v>58</v>
      </c>
      <c r="D2" s="30" t="s">
        <v>57</v>
      </c>
      <c r="E2" s="27"/>
      <c r="F2" s="27"/>
      <c r="G2" s="27"/>
      <c r="H2" s="27"/>
      <c r="I2" s="27"/>
      <c r="J2" s="27"/>
      <c r="K2" s="27"/>
      <c r="L2" s="27"/>
      <c r="M2" s="27"/>
      <c r="N2" s="27"/>
      <c r="O2" s="27"/>
      <c r="P2" s="27"/>
      <c r="Q2" s="27"/>
      <c r="R2" s="27"/>
      <c r="S2" s="27"/>
      <c r="T2" s="27"/>
      <c r="U2" s="27"/>
      <c r="V2" s="27"/>
      <c r="W2" s="27"/>
      <c r="X2" s="27"/>
      <c r="Y2" s="27"/>
      <c r="Z2" s="27"/>
    </row>
    <row r="3">
      <c r="A3" s="31" t="s">
        <v>59</v>
      </c>
      <c r="B3" s="29" t="s">
        <v>57</v>
      </c>
      <c r="C3" s="28" t="s">
        <v>58</v>
      </c>
      <c r="D3" s="30" t="s">
        <v>57</v>
      </c>
      <c r="E3" s="27"/>
      <c r="F3" s="27"/>
      <c r="G3" s="27"/>
      <c r="H3" s="27"/>
      <c r="I3" s="27"/>
      <c r="J3" s="27"/>
      <c r="K3" s="27"/>
      <c r="L3" s="27"/>
      <c r="M3" s="27"/>
      <c r="N3" s="27"/>
      <c r="O3" s="27"/>
      <c r="P3" s="27"/>
      <c r="Q3" s="27"/>
      <c r="R3" s="27"/>
      <c r="S3" s="27"/>
      <c r="T3" s="27"/>
      <c r="U3" s="27"/>
      <c r="V3" s="27"/>
      <c r="W3" s="27"/>
      <c r="X3" s="27"/>
      <c r="Y3" s="27"/>
      <c r="Z3" s="27"/>
    </row>
    <row r="4" ht="15.0" customHeight="1">
      <c r="A4" s="32"/>
      <c r="B4" s="32"/>
      <c r="C4" s="33"/>
      <c r="D4" s="28"/>
      <c r="E4" s="27"/>
      <c r="F4" s="27"/>
      <c r="G4" s="27"/>
      <c r="H4" s="27"/>
      <c r="I4" s="27"/>
      <c r="J4" s="27"/>
      <c r="K4" s="27"/>
      <c r="L4" s="27"/>
      <c r="M4" s="27"/>
      <c r="N4" s="27"/>
      <c r="O4" s="27"/>
      <c r="P4" s="27"/>
      <c r="Q4" s="27"/>
      <c r="R4" s="27"/>
      <c r="S4" s="27"/>
      <c r="T4" s="27"/>
      <c r="U4" s="27"/>
      <c r="V4" s="27"/>
      <c r="W4" s="27"/>
      <c r="X4" s="27"/>
      <c r="Y4" s="27"/>
      <c r="Z4" s="27"/>
    </row>
    <row r="5" ht="15.0" customHeight="1">
      <c r="A5" s="32"/>
      <c r="B5" s="32"/>
      <c r="C5" s="32"/>
      <c r="D5" s="32"/>
      <c r="E5" s="27"/>
      <c r="F5" s="27"/>
      <c r="G5" s="27"/>
      <c r="H5" s="27"/>
      <c r="I5" s="27"/>
      <c r="J5" s="27"/>
      <c r="K5" s="27"/>
      <c r="L5" s="27"/>
      <c r="M5" s="27"/>
      <c r="N5" s="27"/>
      <c r="O5" s="27"/>
      <c r="P5" s="27"/>
      <c r="Q5" s="27"/>
      <c r="R5" s="27"/>
      <c r="S5" s="27"/>
      <c r="T5" s="27"/>
      <c r="U5" s="27"/>
      <c r="V5" s="27"/>
      <c r="W5" s="27"/>
      <c r="X5" s="27"/>
      <c r="Y5" s="27"/>
      <c r="Z5" s="27"/>
    </row>
    <row r="6" ht="15.0" customHeight="1">
      <c r="A6" s="32"/>
      <c r="B6" s="32"/>
      <c r="C6" s="30"/>
      <c r="D6" s="28"/>
      <c r="E6" s="27"/>
      <c r="F6" s="27"/>
      <c r="G6" s="27"/>
      <c r="H6" s="27"/>
      <c r="I6" s="27"/>
      <c r="J6" s="27"/>
      <c r="K6" s="27"/>
      <c r="L6" s="27"/>
      <c r="M6" s="27"/>
      <c r="N6" s="27"/>
      <c r="O6" s="27"/>
      <c r="P6" s="27"/>
      <c r="Q6" s="27"/>
      <c r="R6" s="27"/>
      <c r="S6" s="27"/>
      <c r="T6" s="27"/>
      <c r="U6" s="27"/>
      <c r="V6" s="27"/>
      <c r="W6" s="27"/>
      <c r="X6" s="27"/>
      <c r="Y6" s="27"/>
      <c r="Z6" s="27"/>
    </row>
    <row r="7" ht="15.0" customHeight="1">
      <c r="A7" s="32"/>
      <c r="B7" s="32"/>
      <c r="C7" s="32"/>
      <c r="D7" s="32"/>
      <c r="E7" s="27"/>
      <c r="F7" s="27"/>
      <c r="G7" s="27"/>
      <c r="H7" s="27"/>
      <c r="I7" s="27"/>
      <c r="J7" s="27"/>
      <c r="K7" s="27"/>
      <c r="L7" s="27"/>
      <c r="M7" s="27"/>
      <c r="N7" s="27"/>
      <c r="O7" s="27"/>
      <c r="P7" s="27"/>
      <c r="Q7" s="27"/>
      <c r="R7" s="27"/>
      <c r="S7" s="27"/>
      <c r="T7" s="27"/>
      <c r="U7" s="27"/>
      <c r="V7" s="27"/>
      <c r="W7" s="27"/>
      <c r="X7" s="27"/>
      <c r="Y7" s="27"/>
      <c r="Z7" s="27"/>
    </row>
    <row r="8" ht="15.0" customHeight="1">
      <c r="A8" s="32"/>
      <c r="B8" s="32"/>
      <c r="C8" s="32"/>
      <c r="D8" s="32"/>
      <c r="E8" s="27"/>
      <c r="F8" s="27"/>
      <c r="G8" s="27"/>
      <c r="H8" s="27"/>
      <c r="I8" s="27"/>
      <c r="J8" s="27"/>
      <c r="K8" s="27"/>
      <c r="L8" s="27"/>
      <c r="M8" s="27"/>
      <c r="N8" s="27"/>
      <c r="O8" s="27"/>
      <c r="P8" s="27"/>
      <c r="Q8" s="27"/>
      <c r="R8" s="27"/>
      <c r="S8" s="27"/>
      <c r="T8" s="27"/>
      <c r="U8" s="27"/>
      <c r="V8" s="27"/>
      <c r="W8" s="27"/>
      <c r="X8" s="27"/>
      <c r="Y8" s="27"/>
      <c r="Z8" s="27"/>
    </row>
    <row r="9" ht="15.0" customHeight="1">
      <c r="A9" s="32"/>
      <c r="B9" s="32"/>
      <c r="C9" s="32"/>
      <c r="D9" s="32"/>
      <c r="E9" s="27"/>
      <c r="F9" s="27"/>
      <c r="G9" s="27"/>
      <c r="H9" s="27"/>
      <c r="I9" s="27"/>
      <c r="J9" s="27"/>
      <c r="K9" s="27"/>
      <c r="L9" s="27"/>
      <c r="M9" s="27"/>
      <c r="N9" s="27"/>
      <c r="O9" s="27"/>
      <c r="P9" s="27"/>
      <c r="Q9" s="27"/>
      <c r="R9" s="27"/>
      <c r="S9" s="27"/>
      <c r="T9" s="27"/>
      <c r="U9" s="27"/>
      <c r="V9" s="27"/>
      <c r="W9" s="27"/>
      <c r="X9" s="27"/>
      <c r="Y9" s="27"/>
      <c r="Z9" s="27"/>
    </row>
    <row r="10" ht="15.0" customHeight="1">
      <c r="A10" s="32"/>
      <c r="B10" s="32"/>
      <c r="C10" s="32"/>
      <c r="D10" s="32"/>
      <c r="E10" s="27"/>
      <c r="F10" s="27"/>
      <c r="G10" s="27"/>
      <c r="H10" s="27"/>
      <c r="I10" s="27"/>
      <c r="J10" s="27"/>
      <c r="K10" s="27"/>
      <c r="L10" s="27"/>
      <c r="M10" s="27"/>
      <c r="N10" s="27"/>
      <c r="O10" s="27"/>
      <c r="P10" s="27"/>
      <c r="Q10" s="27"/>
      <c r="R10" s="27"/>
      <c r="S10" s="27"/>
      <c r="T10" s="27"/>
      <c r="U10" s="27"/>
      <c r="V10" s="27"/>
      <c r="W10" s="27"/>
      <c r="X10" s="27"/>
      <c r="Y10" s="27"/>
      <c r="Z10" s="27"/>
    </row>
    <row r="11" ht="15.0" customHeight="1">
      <c r="A11" s="32"/>
      <c r="B11" s="32"/>
      <c r="C11" s="32"/>
      <c r="D11" s="32"/>
      <c r="E11" s="27"/>
      <c r="F11" s="27"/>
      <c r="G11" s="27"/>
      <c r="H11" s="27"/>
      <c r="I11" s="27"/>
      <c r="J11" s="27"/>
      <c r="K11" s="27"/>
      <c r="L11" s="27"/>
      <c r="M11" s="27"/>
      <c r="N11" s="27"/>
      <c r="O11" s="27"/>
      <c r="P11" s="27"/>
      <c r="Q11" s="27"/>
      <c r="R11" s="27"/>
      <c r="S11" s="27"/>
      <c r="T11" s="27"/>
      <c r="U11" s="27"/>
      <c r="V11" s="27"/>
      <c r="W11" s="27"/>
      <c r="X11" s="27"/>
      <c r="Y11" s="27"/>
      <c r="Z11" s="27"/>
    </row>
    <row r="12" ht="15.0" customHeight="1">
      <c r="A12" s="32"/>
      <c r="B12" s="32"/>
      <c r="C12" s="30"/>
      <c r="D12" s="28"/>
      <c r="E12" s="27"/>
      <c r="F12" s="27"/>
      <c r="G12" s="27"/>
      <c r="H12" s="27"/>
      <c r="I12" s="27"/>
      <c r="J12" s="27"/>
      <c r="K12" s="27"/>
      <c r="L12" s="27"/>
      <c r="M12" s="27"/>
      <c r="N12" s="27"/>
      <c r="O12" s="27"/>
      <c r="P12" s="27"/>
      <c r="Q12" s="27"/>
      <c r="R12" s="27"/>
      <c r="S12" s="27"/>
      <c r="T12" s="27"/>
      <c r="U12" s="27"/>
      <c r="V12" s="27"/>
      <c r="W12" s="27"/>
      <c r="X12" s="27"/>
      <c r="Y12" s="27"/>
      <c r="Z12" s="27"/>
    </row>
    <row r="13" ht="15.0" customHeight="1">
      <c r="A13" s="32"/>
      <c r="B13" s="32"/>
      <c r="C13" s="32"/>
      <c r="D13" s="32"/>
      <c r="E13" s="27"/>
      <c r="F13" s="27"/>
      <c r="G13" s="27"/>
      <c r="H13" s="27"/>
      <c r="I13" s="27"/>
      <c r="J13" s="27"/>
      <c r="K13" s="27"/>
      <c r="L13" s="27"/>
      <c r="M13" s="27"/>
      <c r="N13" s="27"/>
      <c r="O13" s="27"/>
      <c r="P13" s="27"/>
      <c r="Q13" s="27"/>
      <c r="R13" s="27"/>
      <c r="S13" s="27"/>
      <c r="T13" s="27"/>
      <c r="U13" s="27"/>
      <c r="V13" s="27"/>
      <c r="W13" s="27"/>
      <c r="X13" s="27"/>
      <c r="Y13" s="27"/>
      <c r="Z13" s="27"/>
    </row>
    <row r="14" ht="15.0" customHeight="1">
      <c r="A14" s="32"/>
      <c r="B14" s="32"/>
      <c r="C14" s="32"/>
      <c r="D14" s="32"/>
      <c r="E14" s="27"/>
      <c r="F14" s="27"/>
      <c r="G14" s="27"/>
      <c r="H14" s="27"/>
      <c r="I14" s="27"/>
      <c r="J14" s="27"/>
      <c r="K14" s="27"/>
      <c r="L14" s="27"/>
      <c r="M14" s="27"/>
      <c r="N14" s="27"/>
      <c r="O14" s="27"/>
      <c r="P14" s="27"/>
      <c r="Q14" s="27"/>
      <c r="R14" s="27"/>
      <c r="S14" s="27"/>
      <c r="T14" s="27"/>
      <c r="U14" s="27"/>
      <c r="V14" s="27"/>
      <c r="W14" s="27"/>
      <c r="X14" s="27"/>
      <c r="Y14" s="27"/>
      <c r="Z14" s="27"/>
    </row>
    <row r="15" ht="15.0" customHeight="1">
      <c r="A15" s="32"/>
      <c r="B15" s="32"/>
      <c r="C15" s="32"/>
      <c r="D15" s="32"/>
      <c r="E15" s="27"/>
      <c r="F15" s="27"/>
      <c r="G15" s="27"/>
      <c r="H15" s="27"/>
      <c r="I15" s="27"/>
      <c r="J15" s="27"/>
      <c r="K15" s="27"/>
      <c r="L15" s="27"/>
      <c r="M15" s="27"/>
      <c r="N15" s="27"/>
      <c r="O15" s="27"/>
      <c r="P15" s="27"/>
      <c r="Q15" s="27"/>
      <c r="R15" s="27"/>
      <c r="S15" s="27"/>
      <c r="T15" s="27"/>
      <c r="U15" s="27"/>
      <c r="V15" s="27"/>
      <c r="W15" s="27"/>
      <c r="X15" s="27"/>
      <c r="Y15" s="27"/>
      <c r="Z15" s="27"/>
    </row>
    <row r="16" ht="15.0" customHeight="1">
      <c r="A16" s="32"/>
      <c r="B16" s="32"/>
      <c r="C16" s="32"/>
      <c r="D16" s="32"/>
      <c r="E16" s="27"/>
      <c r="F16" s="27"/>
      <c r="G16" s="27"/>
      <c r="H16" s="27"/>
      <c r="I16" s="27"/>
      <c r="J16" s="27"/>
      <c r="K16" s="27"/>
      <c r="L16" s="27"/>
      <c r="M16" s="27"/>
      <c r="N16" s="27"/>
      <c r="O16" s="27"/>
      <c r="P16" s="27"/>
      <c r="Q16" s="27"/>
      <c r="R16" s="27"/>
      <c r="S16" s="27"/>
      <c r="T16" s="27"/>
      <c r="U16" s="27"/>
      <c r="V16" s="27"/>
      <c r="W16" s="27"/>
      <c r="X16" s="27"/>
      <c r="Y16" s="27"/>
      <c r="Z16" s="27"/>
    </row>
    <row r="17" ht="15.0"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ht="15.0"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ht="15.0"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ht="15.75" customHeight="1">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00"/>
    <pageSetUpPr/>
  </sheetPr>
  <sheetViews>
    <sheetView workbookViewId="0">
      <pane xSplit="4.0" ySplit="19.0" topLeftCell="E20" activePane="bottomRight" state="frozen"/>
      <selection activeCell="E1" sqref="E1" pane="topRight"/>
      <selection activeCell="A20" sqref="A20" pane="bottomLeft"/>
      <selection activeCell="E20" sqref="E20" pane="bottomRight"/>
    </sheetView>
  </sheetViews>
  <sheetFormatPr customHeight="1" defaultColWidth="14.43" defaultRowHeight="15.0"/>
  <cols>
    <col customWidth="1" min="1" max="2" width="22.29"/>
    <col customWidth="1" min="3" max="3" width="34.71"/>
    <col customWidth="1" min="4" max="8" width="22.29"/>
    <col customWidth="1" min="9" max="9" width="24.0"/>
  </cols>
  <sheetData>
    <row r="1" ht="30.0" customHeight="1">
      <c r="A1" s="34"/>
      <c r="B1" s="35" t="s">
        <v>60</v>
      </c>
      <c r="C1" s="35"/>
      <c r="D1" s="35"/>
      <c r="E1" s="35"/>
      <c r="F1" s="35"/>
      <c r="G1" s="35"/>
      <c r="H1" s="35"/>
      <c r="I1" s="35"/>
      <c r="J1" s="27"/>
      <c r="K1" s="27"/>
      <c r="L1" s="27"/>
      <c r="M1" s="27"/>
      <c r="N1" s="27"/>
      <c r="O1" s="27"/>
      <c r="P1" s="27"/>
      <c r="Q1" s="27"/>
      <c r="R1" s="27"/>
      <c r="S1" s="27"/>
      <c r="T1" s="27"/>
      <c r="U1" s="27"/>
      <c r="V1" s="27"/>
      <c r="W1" s="27"/>
      <c r="X1" s="27"/>
      <c r="Y1" s="27"/>
      <c r="Z1" s="27"/>
      <c r="AA1" s="27"/>
    </row>
    <row r="2">
      <c r="A2" s="36"/>
      <c r="B2" s="37"/>
      <c r="C2" s="37"/>
      <c r="D2" s="37"/>
      <c r="E2" s="37"/>
      <c r="F2" s="37"/>
      <c r="G2" s="37"/>
      <c r="H2" s="37"/>
      <c r="I2" s="37"/>
      <c r="J2" s="27"/>
      <c r="K2" s="27"/>
      <c r="L2" s="27"/>
      <c r="M2" s="27"/>
      <c r="N2" s="27"/>
      <c r="O2" s="27"/>
      <c r="P2" s="27"/>
      <c r="Q2" s="27"/>
      <c r="R2" s="27"/>
      <c r="S2" s="27"/>
      <c r="T2" s="27"/>
      <c r="U2" s="27"/>
      <c r="V2" s="27"/>
      <c r="W2" s="27"/>
      <c r="X2" s="27"/>
      <c r="Y2" s="27"/>
      <c r="Z2" s="27"/>
      <c r="AA2" s="27"/>
    </row>
    <row r="3" ht="12.0" customHeight="1">
      <c r="A3" s="38"/>
      <c r="B3" s="10"/>
      <c r="C3" s="10"/>
      <c r="D3" s="10"/>
      <c r="E3" s="10"/>
      <c r="F3" s="10"/>
      <c r="G3" s="10"/>
      <c r="H3" s="10"/>
      <c r="I3" s="10"/>
      <c r="J3" s="27"/>
      <c r="K3" s="27"/>
      <c r="L3" s="27"/>
      <c r="M3" s="27"/>
      <c r="N3" s="27"/>
      <c r="O3" s="27"/>
      <c r="P3" s="27"/>
      <c r="Q3" s="27"/>
      <c r="R3" s="27"/>
      <c r="S3" s="27"/>
      <c r="T3" s="27"/>
      <c r="U3" s="27"/>
      <c r="V3" s="27"/>
      <c r="W3" s="27"/>
      <c r="X3" s="27"/>
      <c r="Y3" s="27"/>
      <c r="Z3" s="27"/>
      <c r="AA3" s="27"/>
    </row>
    <row r="4" ht="13.5" hidden="1" customHeight="1">
      <c r="A4" s="38"/>
      <c r="B4" s="10" t="s">
        <v>61</v>
      </c>
      <c r="C4" s="10" t="s">
        <v>58</v>
      </c>
      <c r="D4" s="10"/>
      <c r="E4" s="10"/>
      <c r="F4" s="10"/>
      <c r="G4" s="10"/>
      <c r="H4" s="10"/>
      <c r="I4" s="27"/>
      <c r="J4" s="27"/>
      <c r="K4" s="27"/>
      <c r="L4" s="27"/>
      <c r="M4" s="27"/>
      <c r="N4" s="27"/>
      <c r="O4" s="27"/>
      <c r="P4" s="27"/>
      <c r="Q4" s="27"/>
      <c r="R4" s="27"/>
      <c r="S4" s="27"/>
      <c r="T4" s="27"/>
      <c r="U4" s="27"/>
      <c r="V4" s="27"/>
      <c r="W4" s="27"/>
      <c r="X4" s="27"/>
      <c r="Y4" s="27"/>
      <c r="Z4" s="27"/>
      <c r="AA4" s="27"/>
    </row>
    <row r="5" hidden="1">
      <c r="A5" s="39"/>
      <c r="B5" s="39" t="s">
        <v>62</v>
      </c>
      <c r="C5" s="39" t="s">
        <v>18</v>
      </c>
      <c r="D5" s="39" t="s">
        <v>21</v>
      </c>
      <c r="E5" s="39" t="s">
        <v>29</v>
      </c>
      <c r="F5" s="40" t="s">
        <v>63</v>
      </c>
      <c r="G5" s="40" t="s">
        <v>64</v>
      </c>
      <c r="H5" s="39" t="s">
        <v>65</v>
      </c>
      <c r="I5" s="27"/>
      <c r="J5" s="27"/>
      <c r="K5" s="27"/>
      <c r="L5" s="27"/>
      <c r="M5" s="27"/>
      <c r="N5" s="27"/>
      <c r="O5" s="27"/>
      <c r="P5" s="27"/>
      <c r="Q5" s="27"/>
      <c r="R5" s="27"/>
      <c r="S5" s="27"/>
      <c r="T5" s="27"/>
      <c r="U5" s="27"/>
      <c r="V5" s="27"/>
      <c r="W5" s="27"/>
      <c r="X5" s="27"/>
      <c r="Y5" s="27"/>
      <c r="Z5" s="27"/>
      <c r="AA5" s="27"/>
    </row>
    <row r="6" hidden="1">
      <c r="A6" s="39"/>
      <c r="B6" s="39" t="s">
        <v>7</v>
      </c>
      <c r="C6" s="39" t="s">
        <v>16</v>
      </c>
      <c r="D6" s="39" t="s">
        <v>20</v>
      </c>
      <c r="E6" s="39" t="s">
        <v>24</v>
      </c>
      <c r="F6" s="40" t="s">
        <v>28</v>
      </c>
      <c r="G6" s="40" t="s">
        <v>28</v>
      </c>
      <c r="H6" s="39" t="s">
        <v>20</v>
      </c>
      <c r="I6" s="27"/>
      <c r="J6" s="27"/>
      <c r="K6" s="27"/>
      <c r="L6" s="27"/>
      <c r="M6" s="27"/>
      <c r="N6" s="27"/>
      <c r="O6" s="27"/>
      <c r="P6" s="27"/>
      <c r="Q6" s="27"/>
      <c r="R6" s="27"/>
      <c r="S6" s="27"/>
      <c r="T6" s="27"/>
      <c r="U6" s="27"/>
      <c r="V6" s="27"/>
      <c r="W6" s="27"/>
      <c r="X6" s="27"/>
      <c r="Y6" s="27"/>
      <c r="Z6" s="27"/>
      <c r="AA6" s="27"/>
    </row>
    <row r="7" hidden="1">
      <c r="A7" s="39"/>
      <c r="B7" s="39" t="s">
        <v>66</v>
      </c>
      <c r="C7" s="39"/>
      <c r="D7" s="41" t="s">
        <v>67</v>
      </c>
      <c r="E7" s="41" t="s">
        <v>68</v>
      </c>
      <c r="F7" s="40"/>
      <c r="G7" s="40"/>
      <c r="H7" s="39"/>
      <c r="I7" s="27"/>
      <c r="J7" s="27"/>
      <c r="K7" s="27"/>
      <c r="L7" s="27"/>
      <c r="M7" s="27"/>
      <c r="N7" s="27"/>
      <c r="O7" s="27"/>
      <c r="P7" s="27"/>
      <c r="Q7" s="27"/>
      <c r="R7" s="27"/>
      <c r="S7" s="27"/>
      <c r="T7" s="27"/>
      <c r="U7" s="27"/>
      <c r="V7" s="27"/>
      <c r="W7" s="27"/>
      <c r="X7" s="27"/>
      <c r="Y7" s="27"/>
      <c r="Z7" s="27"/>
      <c r="AA7" s="27"/>
    </row>
    <row r="8" hidden="1">
      <c r="A8" s="39"/>
      <c r="B8" s="39" t="s">
        <v>69</v>
      </c>
      <c r="C8" s="39"/>
      <c r="D8" s="39"/>
      <c r="E8" s="39"/>
      <c r="F8" s="40"/>
      <c r="G8" s="40"/>
      <c r="H8" s="39"/>
      <c r="I8" s="27"/>
      <c r="J8" s="27"/>
      <c r="K8" s="27"/>
      <c r="L8" s="27"/>
      <c r="M8" s="27"/>
      <c r="N8" s="27"/>
      <c r="O8" s="27"/>
      <c r="P8" s="27"/>
      <c r="Q8" s="27"/>
      <c r="R8" s="27"/>
      <c r="S8" s="27"/>
      <c r="T8" s="27"/>
      <c r="U8" s="27"/>
      <c r="V8" s="27"/>
      <c r="W8" s="27"/>
      <c r="X8" s="27"/>
      <c r="Y8" s="27"/>
      <c r="Z8" s="27"/>
      <c r="AA8" s="27"/>
    </row>
    <row r="9" hidden="1">
      <c r="A9" s="39"/>
      <c r="B9" s="39" t="s">
        <v>12</v>
      </c>
      <c r="C9" s="39" t="s">
        <v>70</v>
      </c>
      <c r="D9" s="39" t="s">
        <v>70</v>
      </c>
      <c r="E9" s="39"/>
      <c r="F9" s="40"/>
      <c r="G9" s="40"/>
      <c r="H9" s="39"/>
      <c r="I9" s="27"/>
      <c r="J9" s="27"/>
      <c r="K9" s="27"/>
      <c r="L9" s="27"/>
      <c r="M9" s="27"/>
      <c r="N9" s="27"/>
      <c r="O9" s="27"/>
      <c r="P9" s="27"/>
      <c r="Q9" s="27"/>
      <c r="R9" s="27"/>
      <c r="S9" s="27"/>
      <c r="T9" s="27"/>
      <c r="U9" s="27"/>
      <c r="V9" s="27"/>
      <c r="W9" s="27"/>
      <c r="X9" s="27"/>
      <c r="Y9" s="27"/>
      <c r="Z9" s="27"/>
      <c r="AA9" s="27"/>
    </row>
    <row r="10" hidden="1">
      <c r="A10" s="39"/>
      <c r="B10" s="39" t="s">
        <v>71</v>
      </c>
      <c r="C10" s="39" t="s">
        <v>70</v>
      </c>
      <c r="D10" s="39" t="s">
        <v>70</v>
      </c>
      <c r="E10" s="39"/>
      <c r="F10" s="40"/>
      <c r="G10" s="40"/>
      <c r="H10" s="39"/>
      <c r="I10" s="27"/>
      <c r="J10" s="27"/>
      <c r="K10" s="27"/>
      <c r="L10" s="27"/>
      <c r="M10" s="27"/>
      <c r="N10" s="27"/>
      <c r="O10" s="27"/>
      <c r="P10" s="27"/>
      <c r="Q10" s="27"/>
      <c r="R10" s="27"/>
      <c r="S10" s="27"/>
      <c r="T10" s="27"/>
      <c r="U10" s="27"/>
      <c r="V10" s="27"/>
      <c r="W10" s="27"/>
      <c r="X10" s="27"/>
      <c r="Y10" s="27"/>
      <c r="Z10" s="27"/>
      <c r="AA10" s="27"/>
    </row>
    <row r="11" hidden="1">
      <c r="A11" s="39"/>
      <c r="B11" s="39" t="s">
        <v>72</v>
      </c>
      <c r="C11" s="39" t="s">
        <v>70</v>
      </c>
      <c r="D11" s="39" t="s">
        <v>70</v>
      </c>
      <c r="E11" s="39" t="s">
        <v>70</v>
      </c>
      <c r="F11" s="40" t="s">
        <v>70</v>
      </c>
      <c r="G11" s="40"/>
      <c r="H11" s="39"/>
      <c r="I11" s="27"/>
      <c r="J11" s="27"/>
      <c r="K11" s="27"/>
      <c r="L11" s="27"/>
      <c r="M11" s="27"/>
      <c r="N11" s="27"/>
      <c r="O11" s="27"/>
      <c r="P11" s="27"/>
      <c r="Q11" s="27"/>
      <c r="R11" s="27"/>
      <c r="S11" s="27"/>
      <c r="T11" s="27"/>
      <c r="U11" s="27"/>
      <c r="V11" s="27"/>
      <c r="W11" s="27"/>
      <c r="X11" s="27"/>
      <c r="Y11" s="27"/>
      <c r="Z11" s="27"/>
      <c r="AA11" s="27"/>
    </row>
    <row r="12" hidden="1">
      <c r="A12" s="39"/>
      <c r="B12" s="39" t="s">
        <v>73</v>
      </c>
      <c r="C12" s="39"/>
      <c r="D12" s="42" t="s">
        <v>74</v>
      </c>
      <c r="E12" s="39" t="s">
        <v>24</v>
      </c>
      <c r="F12" s="40"/>
      <c r="G12" s="40"/>
      <c r="H12" s="39"/>
      <c r="I12" s="27"/>
      <c r="J12" s="27"/>
      <c r="K12" s="27"/>
      <c r="L12" s="27"/>
      <c r="M12" s="27"/>
      <c r="N12" s="27"/>
      <c r="O12" s="27"/>
      <c r="P12" s="27"/>
      <c r="Q12" s="27"/>
      <c r="R12" s="27"/>
      <c r="S12" s="27"/>
      <c r="T12" s="27"/>
      <c r="U12" s="27"/>
      <c r="V12" s="27"/>
      <c r="W12" s="27"/>
      <c r="X12" s="27"/>
      <c r="Y12" s="27"/>
      <c r="Z12" s="27"/>
      <c r="AA12" s="27"/>
    </row>
    <row r="13" ht="30.0" customHeight="1">
      <c r="A13" s="43"/>
      <c r="B13" s="44" t="s">
        <v>75</v>
      </c>
      <c r="C13" s="45" t="s">
        <v>12</v>
      </c>
      <c r="D13" s="15"/>
      <c r="E13" s="46"/>
      <c r="F13" s="14"/>
      <c r="G13" s="15"/>
      <c r="H13" s="47"/>
      <c r="I13" s="10"/>
      <c r="J13" s="48"/>
      <c r="K13" s="48"/>
      <c r="L13" s="48"/>
      <c r="M13" s="48"/>
      <c r="N13" s="48"/>
      <c r="O13" s="48"/>
      <c r="P13" s="48"/>
      <c r="Q13" s="48"/>
      <c r="R13" s="48"/>
      <c r="S13" s="48"/>
      <c r="T13" s="48"/>
      <c r="U13" s="48"/>
      <c r="V13" s="48"/>
      <c r="W13" s="48"/>
      <c r="X13" s="48"/>
      <c r="Y13" s="48"/>
      <c r="Z13" s="48"/>
      <c r="AA13" s="48"/>
    </row>
    <row r="14" ht="21.0" customHeight="1">
      <c r="A14" s="43"/>
      <c r="B14" s="49" t="s">
        <v>76</v>
      </c>
      <c r="C14" s="50" t="s">
        <v>13</v>
      </c>
      <c r="D14" s="50" t="s">
        <v>19</v>
      </c>
      <c r="E14" s="50" t="s">
        <v>23</v>
      </c>
      <c r="F14" s="50" t="s">
        <v>26</v>
      </c>
      <c r="G14" s="50" t="s">
        <v>30</v>
      </c>
      <c r="H14" s="50" t="s">
        <v>32</v>
      </c>
      <c r="I14" s="51" t="s">
        <v>77</v>
      </c>
      <c r="J14" s="48"/>
      <c r="K14" s="48"/>
      <c r="L14" s="48"/>
      <c r="M14" s="48"/>
      <c r="N14" s="48"/>
      <c r="O14" s="48"/>
      <c r="P14" s="48"/>
      <c r="Q14" s="48"/>
      <c r="R14" s="48"/>
      <c r="S14" s="48"/>
      <c r="T14" s="48"/>
      <c r="U14" s="48"/>
      <c r="V14" s="48"/>
      <c r="W14" s="48"/>
      <c r="X14" s="48"/>
      <c r="Y14" s="48"/>
      <c r="Z14" s="48"/>
      <c r="AA14" s="48"/>
    </row>
    <row r="15" ht="5.25" customHeight="1">
      <c r="A15" s="52"/>
      <c r="B15" s="53" t="s">
        <v>78</v>
      </c>
      <c r="C15" s="54" t="s">
        <v>79</v>
      </c>
      <c r="D15" s="54" t="s">
        <v>80</v>
      </c>
      <c r="E15" s="54" t="s">
        <v>81</v>
      </c>
      <c r="F15" s="54" t="s">
        <v>82</v>
      </c>
      <c r="G15" s="54" t="s">
        <v>83</v>
      </c>
      <c r="H15" s="54" t="s">
        <v>84</v>
      </c>
      <c r="I15" s="10"/>
      <c r="J15" s="48"/>
      <c r="K15" s="48"/>
      <c r="L15" s="48"/>
      <c r="M15" s="48"/>
      <c r="N15" s="48"/>
      <c r="O15" s="48"/>
      <c r="P15" s="48"/>
      <c r="Q15" s="48"/>
      <c r="R15" s="48"/>
      <c r="S15" s="48"/>
      <c r="T15" s="48"/>
      <c r="U15" s="48"/>
      <c r="V15" s="48"/>
      <c r="W15" s="48"/>
      <c r="X15" s="48"/>
      <c r="Y15" s="48"/>
      <c r="Z15" s="48"/>
      <c r="AA15" s="48"/>
    </row>
    <row r="16" ht="14.25" customHeight="1">
      <c r="A16" s="52"/>
      <c r="B16" s="53" t="s">
        <v>7</v>
      </c>
      <c r="C16" s="55" t="s">
        <v>16</v>
      </c>
      <c r="D16" s="55" t="s">
        <v>20</v>
      </c>
      <c r="E16" s="55" t="s">
        <v>24</v>
      </c>
      <c r="F16" s="56" t="s">
        <v>28</v>
      </c>
      <c r="G16" s="56" t="s">
        <v>28</v>
      </c>
      <c r="H16" s="55" t="s">
        <v>20</v>
      </c>
      <c r="I16" s="10"/>
      <c r="J16" s="48"/>
      <c r="K16" s="48"/>
      <c r="L16" s="48"/>
      <c r="M16" s="48"/>
      <c r="N16" s="48"/>
      <c r="O16" s="48"/>
      <c r="P16" s="48"/>
      <c r="Q16" s="48"/>
      <c r="R16" s="48"/>
      <c r="S16" s="48"/>
      <c r="T16" s="48"/>
      <c r="U16" s="48"/>
      <c r="V16" s="48"/>
      <c r="W16" s="48"/>
      <c r="X16" s="48"/>
      <c r="Y16" s="48"/>
      <c r="Z16" s="48"/>
      <c r="AA16" s="48"/>
    </row>
    <row r="17" ht="10.5" customHeight="1">
      <c r="A17" s="52"/>
      <c r="B17" s="53" t="s">
        <v>72</v>
      </c>
      <c r="C17" s="55" t="s">
        <v>85</v>
      </c>
      <c r="D17" s="55" t="s">
        <v>85</v>
      </c>
      <c r="E17" s="55" t="s">
        <v>85</v>
      </c>
      <c r="F17" s="54" t="s">
        <v>85</v>
      </c>
      <c r="G17" s="54" t="s">
        <v>86</v>
      </c>
      <c r="H17" s="55" t="s">
        <v>86</v>
      </c>
      <c r="I17" s="10"/>
      <c r="J17" s="48"/>
      <c r="K17" s="48"/>
      <c r="L17" s="48"/>
      <c r="M17" s="48"/>
      <c r="N17" s="48"/>
      <c r="O17" s="48"/>
      <c r="P17" s="48"/>
      <c r="Q17" s="48"/>
      <c r="R17" s="48"/>
      <c r="S17" s="48"/>
      <c r="T17" s="48"/>
      <c r="U17" s="48"/>
      <c r="V17" s="48"/>
      <c r="W17" s="48"/>
      <c r="X17" s="48"/>
      <c r="Y17" s="48"/>
      <c r="Z17" s="48"/>
      <c r="AA17" s="48"/>
    </row>
    <row r="18" ht="18.0" customHeight="1">
      <c r="A18" s="52"/>
      <c r="B18" s="53" t="s">
        <v>87</v>
      </c>
      <c r="C18" s="55"/>
      <c r="D18" s="55"/>
      <c r="E18" s="56" t="s">
        <v>88</v>
      </c>
      <c r="F18" s="57"/>
      <c r="G18" s="57"/>
      <c r="H18" s="55"/>
      <c r="I18" s="10"/>
      <c r="J18" s="48"/>
      <c r="K18" s="48"/>
      <c r="L18" s="48"/>
      <c r="M18" s="48"/>
      <c r="N18" s="48"/>
      <c r="O18" s="48"/>
      <c r="P18" s="48"/>
      <c r="Q18" s="48"/>
      <c r="R18" s="48"/>
      <c r="S18" s="48"/>
      <c r="T18" s="48"/>
      <c r="U18" s="48"/>
      <c r="V18" s="48"/>
      <c r="W18" s="48"/>
      <c r="X18" s="48"/>
      <c r="Y18" s="48"/>
      <c r="Z18" s="48"/>
      <c r="AA18" s="48"/>
    </row>
    <row r="19" ht="18.0" customHeight="1">
      <c r="A19" s="58" t="s">
        <v>89</v>
      </c>
      <c r="B19" s="53" t="s">
        <v>90</v>
      </c>
      <c r="C19" s="55"/>
      <c r="D19" s="56" t="s">
        <v>91</v>
      </c>
      <c r="E19" s="55" t="s">
        <v>92</v>
      </c>
      <c r="F19" s="57">
        <v>45658.0</v>
      </c>
      <c r="G19" s="57"/>
      <c r="H19" s="55"/>
      <c r="I19" s="10"/>
      <c r="J19" s="48"/>
      <c r="K19" s="48"/>
      <c r="L19" s="48"/>
      <c r="M19" s="48"/>
      <c r="N19" s="48"/>
      <c r="O19" s="48"/>
      <c r="P19" s="48"/>
      <c r="Q19" s="48"/>
      <c r="R19" s="48"/>
      <c r="S19" s="48"/>
      <c r="T19" s="48"/>
      <c r="U19" s="48"/>
      <c r="V19" s="48"/>
      <c r="W19" s="48"/>
      <c r="X19" s="48"/>
      <c r="Y19" s="48"/>
      <c r="Z19" s="48"/>
      <c r="AA19" s="48"/>
    </row>
    <row r="20" ht="15.75" customHeight="1">
      <c r="A20" s="59" t="s">
        <v>93</v>
      </c>
      <c r="B20" s="38"/>
      <c r="C20" s="60" t="s">
        <v>94</v>
      </c>
      <c r="D20" s="61" t="s">
        <v>91</v>
      </c>
      <c r="E20" s="61" t="s">
        <v>92</v>
      </c>
      <c r="F20" s="62">
        <v>45658.0</v>
      </c>
      <c r="I20" s="63" t="str">
        <f>VLOOKUP(C20, 'Class Def. - Desc and Keywords'!$C$20:$C$1940,1,false)</f>
        <v>ZFG1_AIRFRESHENER</v>
      </c>
    </row>
    <row r="21" ht="15.75" customHeight="1">
      <c r="A21" s="59" t="s">
        <v>93</v>
      </c>
      <c r="B21" s="38"/>
      <c r="C21" s="60" t="s">
        <v>95</v>
      </c>
      <c r="D21" s="61" t="s">
        <v>91</v>
      </c>
      <c r="E21" s="61" t="s">
        <v>92</v>
      </c>
      <c r="F21" s="62">
        <v>45658.0</v>
      </c>
      <c r="I21" s="63" t="str">
        <f>VLOOKUP(C21, 'Class Def. - Desc and Keywords'!$C$20:$C$1940,1,false)</f>
        <v>ZFG1_BABYDIAPERS</v>
      </c>
    </row>
    <row r="22" ht="15.75" customHeight="1">
      <c r="A22" s="59" t="s">
        <v>93</v>
      </c>
      <c r="B22" s="38"/>
      <c r="C22" s="60" t="s">
        <v>96</v>
      </c>
      <c r="D22" s="61" t="s">
        <v>91</v>
      </c>
      <c r="E22" s="61" t="s">
        <v>92</v>
      </c>
      <c r="F22" s="62">
        <v>45658.0</v>
      </c>
      <c r="I22" s="63" t="str">
        <f>VLOOKUP(C22, 'Class Def. - Desc and Keywords'!$C$20:$C$1940,1,false)</f>
        <v>ZFG1_BABYPOWDER</v>
      </c>
    </row>
    <row r="23" ht="15.75" customHeight="1">
      <c r="A23" s="59" t="s">
        <v>93</v>
      </c>
      <c r="B23" s="38"/>
      <c r="C23" s="60" t="s">
        <v>97</v>
      </c>
      <c r="D23" s="61" t="s">
        <v>91</v>
      </c>
      <c r="E23" s="61" t="s">
        <v>92</v>
      </c>
      <c r="F23" s="62">
        <v>45658.0</v>
      </c>
      <c r="I23" s="63" t="str">
        <f>VLOOKUP(C23, 'Class Def. - Desc and Keywords'!$C$20:$C$1940,1,false)</f>
        <v>ZFG1_BARDET</v>
      </c>
    </row>
    <row r="24" ht="15.75" customHeight="1">
      <c r="A24" s="59" t="s">
        <v>93</v>
      </c>
      <c r="B24" s="38"/>
      <c r="C24" s="60" t="s">
        <v>98</v>
      </c>
      <c r="D24" s="61" t="s">
        <v>91</v>
      </c>
      <c r="E24" s="61" t="s">
        <v>92</v>
      </c>
      <c r="F24" s="62">
        <v>45658.0</v>
      </c>
      <c r="I24" s="63" t="str">
        <f>VLOOKUP(C24, 'Class Def. - Desc and Keywords'!$C$20:$C$1940,1,false)</f>
        <v>ZFG1_BLEACHING</v>
      </c>
    </row>
    <row r="25" ht="15.75" customHeight="1">
      <c r="A25" s="59"/>
      <c r="B25" s="38"/>
      <c r="C25" s="60" t="s">
        <v>99</v>
      </c>
      <c r="D25" s="61" t="s">
        <v>91</v>
      </c>
      <c r="E25" s="61" t="s">
        <v>92</v>
      </c>
      <c r="F25" s="62">
        <v>45658.0</v>
      </c>
      <c r="I25" s="63" t="str">
        <f>VLOOKUP(C25, 'Class Def. - Desc and Keywords'!$C$20:$C$1940,1,false)</f>
        <v>ZFG1_BODYBARSOAP</v>
      </c>
    </row>
    <row r="26" ht="15.75" customHeight="1">
      <c r="A26" s="59" t="s">
        <v>93</v>
      </c>
      <c r="B26" s="38"/>
      <c r="C26" s="60" t="s">
        <v>100</v>
      </c>
      <c r="D26" s="61" t="s">
        <v>91</v>
      </c>
      <c r="E26" s="61" t="s">
        <v>92</v>
      </c>
      <c r="F26" s="62">
        <v>45658.0</v>
      </c>
      <c r="I26" s="63" t="str">
        <f>VLOOKUP(C26, 'Class Def. - Desc and Keywords'!$C$20:$C$1940,1,false)</f>
        <v>ZFG1_BODYLIQSOAP</v>
      </c>
    </row>
    <row r="27" ht="15.75" customHeight="1">
      <c r="A27" s="59" t="s">
        <v>93</v>
      </c>
      <c r="B27" s="38"/>
      <c r="C27" s="60" t="s">
        <v>101</v>
      </c>
      <c r="D27" s="61" t="s">
        <v>91</v>
      </c>
      <c r="E27" s="61" t="s">
        <v>92</v>
      </c>
      <c r="F27" s="62">
        <v>45658.0</v>
      </c>
      <c r="I27" s="63" t="str">
        <f>VLOOKUP(C27, 'Class Def. - Desc and Keywords'!$C$20:$C$1940,1,false)</f>
        <v>ZFG1_CANDLEAROMA</v>
      </c>
    </row>
    <row r="28" ht="15.75" customHeight="1">
      <c r="A28" s="59" t="s">
        <v>93</v>
      </c>
      <c r="B28" s="38"/>
      <c r="C28" s="60" t="s">
        <v>102</v>
      </c>
      <c r="D28" s="61" t="s">
        <v>91</v>
      </c>
      <c r="E28" s="61" t="s">
        <v>92</v>
      </c>
      <c r="F28" s="62">
        <v>45658.0</v>
      </c>
      <c r="I28" s="63" t="str">
        <f>VLOOKUP(C28, 'Class Def. - Desc and Keywords'!$C$20:$C$1940,1,false)</f>
        <v>ZFG1_CARBOL</v>
      </c>
    </row>
    <row r="29" ht="15.75" customHeight="1">
      <c r="A29" s="59" t="s">
        <v>93</v>
      </c>
      <c r="B29" s="38"/>
      <c r="C29" s="60" t="s">
        <v>103</v>
      </c>
      <c r="D29" s="61" t="s">
        <v>91</v>
      </c>
      <c r="E29" s="61" t="s">
        <v>92</v>
      </c>
      <c r="F29" s="62">
        <v>45658.0</v>
      </c>
      <c r="I29" s="63" t="str">
        <f>VLOOKUP(C29, 'Class Def. - Desc and Keywords'!$C$20:$C$1940,1,false)</f>
        <v>ZFG1_COFFEE</v>
      </c>
    </row>
    <row r="30" ht="15.75" customHeight="1">
      <c r="A30" s="59" t="s">
        <v>93</v>
      </c>
      <c r="B30" s="38"/>
      <c r="C30" s="60" t="s">
        <v>104</v>
      </c>
      <c r="D30" s="61" t="s">
        <v>91</v>
      </c>
      <c r="E30" s="61" t="s">
        <v>92</v>
      </c>
      <c r="F30" s="62">
        <v>45658.0</v>
      </c>
      <c r="I30" s="63" t="str">
        <f>VLOOKUP(C30, 'Class Def. - Desc and Keywords'!$C$20:$C$1940,1,false)</f>
        <v>ZFG1_COLOGNE</v>
      </c>
    </row>
    <row r="31" ht="15.75" customHeight="1">
      <c r="A31" s="59" t="s">
        <v>93</v>
      </c>
      <c r="B31" s="38"/>
      <c r="C31" s="60" t="s">
        <v>105</v>
      </c>
      <c r="D31" s="61" t="s">
        <v>91</v>
      </c>
      <c r="E31" s="61" t="s">
        <v>92</v>
      </c>
      <c r="F31" s="62">
        <v>45658.0</v>
      </c>
      <c r="I31" s="63" t="str">
        <f>VLOOKUP(C31, 'Class Def. - Desc and Keywords'!$C$20:$C$1940,1,false)</f>
        <v>ZFG1_COOKINGOIL</v>
      </c>
    </row>
    <row r="32" ht="15.75" customHeight="1">
      <c r="A32" s="59" t="s">
        <v>93</v>
      </c>
      <c r="B32" s="38"/>
      <c r="C32" s="60" t="s">
        <v>106</v>
      </c>
      <c r="D32" s="61" t="s">
        <v>91</v>
      </c>
      <c r="E32" s="61" t="s">
        <v>92</v>
      </c>
      <c r="F32" s="62">
        <v>45658.0</v>
      </c>
      <c r="I32" s="63" t="str">
        <f>VLOOKUP(C32, 'Class Def. - Desc and Keywords'!$C$20:$C$1940,1,false)</f>
        <v>ZFG1_CREAMDET</v>
      </c>
    </row>
    <row r="33" ht="15.75" customHeight="1">
      <c r="A33" s="59" t="s">
        <v>93</v>
      </c>
      <c r="B33" s="38"/>
      <c r="C33" s="60" t="s">
        <v>107</v>
      </c>
      <c r="D33" s="61" t="s">
        <v>91</v>
      </c>
      <c r="E33" s="61" t="s">
        <v>92</v>
      </c>
      <c r="F33" s="62">
        <v>45658.0</v>
      </c>
      <c r="I33" s="63" t="str">
        <f>VLOOKUP(C33, 'Class Def. - Desc and Keywords'!$C$20:$C$1940,1,false)</f>
        <v>ZFG1_CUPRTD</v>
      </c>
    </row>
    <row r="34" ht="15.75" customHeight="1">
      <c r="A34" s="59"/>
      <c r="B34" s="38"/>
      <c r="C34" s="60" t="s">
        <v>108</v>
      </c>
      <c r="D34" s="61" t="s">
        <v>91</v>
      </c>
      <c r="E34" s="61" t="s">
        <v>92</v>
      </c>
      <c r="F34" s="62">
        <v>45658.0</v>
      </c>
      <c r="I34" s="63" t="str">
        <f>VLOOKUP(C34, 'Class Def. - Desc and Keywords'!$C$20:$C$1940,1,false)</f>
        <v>ZFG1_DISHWASHBAR</v>
      </c>
    </row>
    <row r="35" ht="15.75" customHeight="1">
      <c r="A35" s="59" t="s">
        <v>93</v>
      </c>
      <c r="B35" s="38"/>
      <c r="C35" s="60" t="s">
        <v>109</v>
      </c>
      <c r="D35" s="61" t="s">
        <v>91</v>
      </c>
      <c r="E35" s="61" t="s">
        <v>92</v>
      </c>
      <c r="F35" s="62">
        <v>45658.0</v>
      </c>
      <c r="I35" s="63" t="str">
        <f>VLOOKUP(C35, 'Class Def. - Desc and Keywords'!$C$20:$C$1940,1,false)</f>
        <v>ZFG1_DISHWASHLIQ</v>
      </c>
    </row>
    <row r="36" ht="15.75" customHeight="1">
      <c r="A36" s="59" t="s">
        <v>93</v>
      </c>
      <c r="B36" s="38"/>
      <c r="C36" s="60" t="s">
        <v>110</v>
      </c>
      <c r="D36" s="61" t="s">
        <v>91</v>
      </c>
      <c r="E36" s="61" t="s">
        <v>92</v>
      </c>
      <c r="F36" s="62">
        <v>45658.0</v>
      </c>
      <c r="I36" s="63" t="str">
        <f>VLOOKUP(C36, 'Class Def. - Desc and Keywords'!$C$20:$C$1940,1,false)</f>
        <v>ZFG1_DISINFECTANT</v>
      </c>
    </row>
    <row r="37" ht="15.75" customHeight="1">
      <c r="A37" s="59" t="s">
        <v>93</v>
      </c>
      <c r="B37" s="38"/>
      <c r="C37" s="60" t="s">
        <v>111</v>
      </c>
      <c r="D37" s="61" t="s">
        <v>91</v>
      </c>
      <c r="E37" s="61" t="s">
        <v>92</v>
      </c>
      <c r="F37" s="62">
        <v>45658.0</v>
      </c>
      <c r="I37" s="63" t="str">
        <f>VLOOKUP(C37, 'Class Def. - Desc and Keywords'!$C$20:$C$1940,1,false)</f>
        <v>ZFG1_DISPOSMASK</v>
      </c>
    </row>
    <row r="38" ht="15.75" customHeight="1">
      <c r="A38" s="59" t="s">
        <v>93</v>
      </c>
      <c r="B38" s="38"/>
      <c r="C38" s="60" t="s">
        <v>112</v>
      </c>
      <c r="D38" s="61" t="s">
        <v>91</v>
      </c>
      <c r="E38" s="61" t="s">
        <v>92</v>
      </c>
      <c r="F38" s="62">
        <v>45658.0</v>
      </c>
      <c r="I38" s="63" t="str">
        <f>VLOOKUP(C38, 'Class Def. - Desc and Keywords'!$C$20:$C$1940,1,false)</f>
        <v>ZFG1_ESSENTIALOIL</v>
      </c>
    </row>
    <row r="39" ht="15.75" customHeight="1">
      <c r="A39" s="59"/>
      <c r="B39" s="38"/>
      <c r="C39" s="60" t="s">
        <v>113</v>
      </c>
      <c r="D39" s="61" t="s">
        <v>91</v>
      </c>
      <c r="E39" s="61" t="s">
        <v>92</v>
      </c>
      <c r="F39" s="62">
        <v>45658.0</v>
      </c>
      <c r="I39" s="63" t="str">
        <f>VLOOKUP(C39, 'Class Def. - Desc and Keywords'!$C$20:$C$1940,1,false)</f>
        <v>ZFG1_EYESMAKEUP</v>
      </c>
    </row>
    <row r="40" ht="15.75" customHeight="1">
      <c r="A40" s="59" t="s">
        <v>93</v>
      </c>
      <c r="B40" s="38"/>
      <c r="C40" s="60" t="s">
        <v>114</v>
      </c>
      <c r="D40" s="61" t="s">
        <v>91</v>
      </c>
      <c r="E40" s="61" t="s">
        <v>92</v>
      </c>
      <c r="F40" s="62">
        <v>45658.0</v>
      </c>
      <c r="I40" s="63" t="str">
        <f>VLOOKUP(C40, 'Class Def. - Desc and Keywords'!$C$20:$C$1940,1,false)</f>
        <v>ZFG1_FACEMAKEUP</v>
      </c>
    </row>
    <row r="41" ht="15.75" customHeight="1">
      <c r="A41" s="59" t="s">
        <v>93</v>
      </c>
      <c r="B41" s="38"/>
      <c r="C41" s="60" t="s">
        <v>115</v>
      </c>
      <c r="D41" s="61" t="s">
        <v>91</v>
      </c>
      <c r="E41" s="61" t="s">
        <v>92</v>
      </c>
      <c r="F41" s="62">
        <v>45658.0</v>
      </c>
      <c r="I41" s="63" t="str">
        <f>VLOOKUP(C41, 'Class Def. - Desc and Keywords'!$C$20:$C$1940,1,false)</f>
        <v>ZFG1_FLOORCLEANER</v>
      </c>
    </row>
    <row r="42" ht="15.75" customHeight="1">
      <c r="A42" s="59" t="s">
        <v>93</v>
      </c>
      <c r="B42" s="38"/>
      <c r="C42" s="60" t="s">
        <v>116</v>
      </c>
      <c r="D42" s="61" t="s">
        <v>91</v>
      </c>
      <c r="E42" s="61" t="s">
        <v>92</v>
      </c>
      <c r="F42" s="62">
        <v>45658.0</v>
      </c>
      <c r="I42" s="63" t="str">
        <f>VLOOKUP(C42, 'Class Def. - Desc and Keywords'!$C$20:$C$1940,1,false)</f>
        <v>ZFG1_GLASSCLEANER</v>
      </c>
    </row>
    <row r="43" ht="15.75" customHeight="1">
      <c r="A43" s="59" t="s">
        <v>93</v>
      </c>
      <c r="B43" s="38"/>
      <c r="C43" s="60" t="s">
        <v>117</v>
      </c>
      <c r="D43" s="61" t="s">
        <v>91</v>
      </c>
      <c r="E43" s="61" t="s">
        <v>92</v>
      </c>
      <c r="F43" s="62">
        <v>45658.0</v>
      </c>
      <c r="I43" s="63" t="str">
        <f>VLOOKUP(C43, 'Class Def. - Desc and Keywords'!$C$20:$C$1940,1,false)</f>
        <v>ZFG1_HAIRCARE</v>
      </c>
    </row>
    <row r="44" ht="15.75" customHeight="1">
      <c r="A44" s="59" t="s">
        <v>93</v>
      </c>
      <c r="B44" s="38"/>
      <c r="C44" s="60" t="s">
        <v>118</v>
      </c>
      <c r="D44" s="61" t="s">
        <v>91</v>
      </c>
      <c r="E44" s="61" t="s">
        <v>92</v>
      </c>
      <c r="F44" s="62">
        <v>45658.0</v>
      </c>
      <c r="I44" s="63" t="str">
        <f>VLOOKUP(C44, 'Class Def. - Desc and Keywords'!$C$20:$C$1940,1,false)</f>
        <v>ZFG1_HANDLIQSOAP</v>
      </c>
    </row>
    <row r="45" ht="15.75" customHeight="1">
      <c r="A45" s="59" t="s">
        <v>93</v>
      </c>
      <c r="B45" s="38"/>
      <c r="C45" s="60" t="s">
        <v>119</v>
      </c>
      <c r="D45" s="61" t="s">
        <v>91</v>
      </c>
      <c r="E45" s="61" t="s">
        <v>92</v>
      </c>
      <c r="F45" s="62">
        <v>45658.0</v>
      </c>
      <c r="I45" s="63" t="str">
        <f>VLOOKUP(C45, 'Class Def. - Desc and Keywords'!$C$20:$C$1940,1,false)</f>
        <v>ZFG1_HANDSAN</v>
      </c>
    </row>
    <row r="46" ht="15.75" customHeight="1">
      <c r="A46" s="59" t="s">
        <v>93</v>
      </c>
      <c r="B46" s="38"/>
      <c r="C46" s="60" t="s">
        <v>120</v>
      </c>
      <c r="D46" s="61" t="s">
        <v>91</v>
      </c>
      <c r="E46" s="61" t="s">
        <v>92</v>
      </c>
      <c r="F46" s="62">
        <v>45658.0</v>
      </c>
      <c r="I46" s="63" t="str">
        <f>VLOOKUP(C46, 'Class Def. - Desc and Keywords'!$C$20:$C$1940,1,false)</f>
        <v>ZFG1_ICECREAM</v>
      </c>
    </row>
    <row r="47" ht="15.75" customHeight="1">
      <c r="A47" s="59" t="s">
        <v>93</v>
      </c>
      <c r="B47" s="38"/>
      <c r="C47" s="60" t="s">
        <v>121</v>
      </c>
      <c r="D47" s="61" t="s">
        <v>91</v>
      </c>
      <c r="E47" s="61" t="s">
        <v>92</v>
      </c>
      <c r="F47" s="62">
        <v>45658.0</v>
      </c>
      <c r="I47" s="63" t="str">
        <f>VLOOKUP(C47, 'Class Def. - Desc and Keywords'!$C$20:$C$1940,1,false)</f>
        <v>ZFG1_IRONINGAID</v>
      </c>
    </row>
    <row r="48" ht="15.75" customHeight="1">
      <c r="A48" s="59" t="s">
        <v>93</v>
      </c>
      <c r="B48" s="38"/>
      <c r="C48" s="60" t="s">
        <v>122</v>
      </c>
      <c r="D48" s="61" t="s">
        <v>91</v>
      </c>
      <c r="E48" s="61" t="s">
        <v>92</v>
      </c>
      <c r="F48" s="62">
        <v>45658.0</v>
      </c>
      <c r="I48" s="63" t="str">
        <f>VLOOKUP(C48, 'Class Def. - Desc and Keywords'!$C$20:$C$1940,1,false)</f>
        <v>ZFG1_KECAP</v>
      </c>
    </row>
    <row r="49" ht="15.75" customHeight="1">
      <c r="A49" s="59"/>
      <c r="B49" s="38"/>
      <c r="C49" s="60" t="s">
        <v>123</v>
      </c>
      <c r="D49" s="61" t="s">
        <v>91</v>
      </c>
      <c r="E49" s="61" t="s">
        <v>92</v>
      </c>
      <c r="F49" s="62">
        <v>45658.0</v>
      </c>
      <c r="I49" s="63" t="str">
        <f>VLOOKUP(C49, 'Class Def. - Desc and Keywords'!$C$20:$C$1940,1,false)</f>
        <v>ZFG1_KOPI</v>
      </c>
    </row>
    <row r="50" ht="15.75" customHeight="1">
      <c r="A50" s="59" t="s">
        <v>93</v>
      </c>
      <c r="B50" s="38"/>
      <c r="C50" s="60" t="s">
        <v>124</v>
      </c>
      <c r="D50" s="61" t="s">
        <v>91</v>
      </c>
      <c r="E50" s="61" t="s">
        <v>92</v>
      </c>
      <c r="F50" s="62">
        <v>45658.0</v>
      </c>
      <c r="I50" s="63" t="str">
        <f>VLOOKUP(C50, 'Class Def. - Desc and Keywords'!$C$20:$C$1940,1,false)</f>
        <v>ZFG1_LIPSMAKEUP</v>
      </c>
    </row>
    <row r="51" ht="15.75" customHeight="1">
      <c r="A51" s="59" t="s">
        <v>93</v>
      </c>
      <c r="B51" s="38"/>
      <c r="C51" s="60" t="s">
        <v>125</v>
      </c>
      <c r="D51" s="61" t="s">
        <v>91</v>
      </c>
      <c r="E51" s="61" t="s">
        <v>92</v>
      </c>
      <c r="F51" s="62">
        <v>45658.0</v>
      </c>
      <c r="I51" s="63" t="str">
        <f>VLOOKUP(C51, 'Class Def. - Desc and Keywords'!$C$20:$C$1940,1,false)</f>
        <v>ZFG1_LIQDET</v>
      </c>
    </row>
    <row r="52" ht="15.75" customHeight="1">
      <c r="A52" s="59" t="s">
        <v>93</v>
      </c>
      <c r="B52" s="38"/>
      <c r="C52" s="60" t="s">
        <v>126</v>
      </c>
      <c r="D52" s="61" t="s">
        <v>91</v>
      </c>
      <c r="E52" s="61" t="s">
        <v>92</v>
      </c>
      <c r="F52" s="62">
        <v>45658.0</v>
      </c>
      <c r="I52" s="63" t="str">
        <f>VLOOKUP(C52, 'Class Def. - Desc and Keywords'!$C$20:$C$1940,1,false)</f>
        <v>ZFG1_MOSQUITOREPEL</v>
      </c>
    </row>
    <row r="53" ht="15.75" customHeight="1">
      <c r="A53" s="59" t="s">
        <v>93</v>
      </c>
      <c r="B53" s="38"/>
      <c r="C53" s="60" t="s">
        <v>127</v>
      </c>
      <c r="D53" s="61" t="s">
        <v>91</v>
      </c>
      <c r="E53" s="61" t="s">
        <v>92</v>
      </c>
      <c r="F53" s="62">
        <v>45658.0</v>
      </c>
      <c r="I53" s="63" t="str">
        <f>VLOOKUP(C53, 'Class Def. - Desc and Keywords'!$C$20:$C$1940,1,false)</f>
        <v>ZFG1_NOODLES</v>
      </c>
    </row>
    <row r="54" ht="15.75" customHeight="1">
      <c r="A54" s="59" t="s">
        <v>93</v>
      </c>
      <c r="B54" s="38"/>
      <c r="C54" s="60" t="s">
        <v>128</v>
      </c>
      <c r="D54" s="61" t="s">
        <v>91</v>
      </c>
      <c r="E54" s="61" t="s">
        <v>92</v>
      </c>
      <c r="F54" s="62">
        <v>45658.0</v>
      </c>
      <c r="I54" s="63" t="str">
        <f>VLOOKUP(C54, 'Class Def. - Desc and Keywords'!$C$20:$C$1940,1,false)</f>
        <v>ZFG1_ORALCARE</v>
      </c>
    </row>
    <row r="55" ht="15.75" customHeight="1">
      <c r="A55" s="59" t="s">
        <v>93</v>
      </c>
      <c r="B55" s="38"/>
      <c r="C55" s="60" t="s">
        <v>129</v>
      </c>
      <c r="D55" s="61" t="s">
        <v>91</v>
      </c>
      <c r="E55" s="61" t="s">
        <v>92</v>
      </c>
      <c r="F55" s="62">
        <v>45658.0</v>
      </c>
      <c r="I55" s="63" t="str">
        <f>VLOOKUP(C55, 'Class Def. - Desc and Keywords'!$C$20:$C$1940,1,false)</f>
        <v>ZFG1_PETRTD</v>
      </c>
    </row>
    <row r="56" ht="15.75" customHeight="1">
      <c r="A56" s="59" t="s">
        <v>93</v>
      </c>
      <c r="B56" s="38"/>
      <c r="C56" s="60" t="s">
        <v>130</v>
      </c>
      <c r="D56" s="61" t="s">
        <v>91</v>
      </c>
      <c r="E56" s="61" t="s">
        <v>92</v>
      </c>
      <c r="F56" s="62">
        <v>45658.0</v>
      </c>
      <c r="I56" s="63" t="str">
        <f>VLOOKUP(C56, 'Class Def. - Desc and Keywords'!$C$20:$C$1940,1,false)</f>
        <v>ZFG1_PEWANGI</v>
      </c>
    </row>
    <row r="57" ht="15.75" customHeight="1">
      <c r="A57" s="59" t="s">
        <v>93</v>
      </c>
      <c r="B57" s="38"/>
      <c r="C57" s="60" t="s">
        <v>131</v>
      </c>
      <c r="D57" s="61" t="s">
        <v>91</v>
      </c>
      <c r="E57" s="61" t="s">
        <v>92</v>
      </c>
      <c r="F57" s="62">
        <v>45658.0</v>
      </c>
      <c r="I57" s="63" t="str">
        <f>VLOOKUP(C57, 'Class Def. - Desc and Keywords'!$C$20:$C$1940,1,false)</f>
        <v>ZFG1_PORCCLEANER</v>
      </c>
    </row>
    <row r="58" ht="15.75" customHeight="1">
      <c r="A58" s="59" t="s">
        <v>93</v>
      </c>
      <c r="B58" s="38"/>
      <c r="C58" s="60" t="s">
        <v>132</v>
      </c>
      <c r="D58" s="61" t="s">
        <v>91</v>
      </c>
      <c r="E58" s="61" t="s">
        <v>92</v>
      </c>
      <c r="F58" s="62">
        <v>45658.0</v>
      </c>
      <c r="I58" s="63" t="str">
        <f>VLOOKUP(C58, 'Class Def. - Desc and Keywords'!$C$20:$C$1940,1,false)</f>
        <v>ZFG1_POWDET</v>
      </c>
    </row>
    <row r="59" ht="15.75" customHeight="1">
      <c r="A59" s="59"/>
      <c r="B59" s="38"/>
      <c r="C59" s="60" t="s">
        <v>133</v>
      </c>
      <c r="D59" s="61" t="s">
        <v>91</v>
      </c>
      <c r="E59" s="61" t="s">
        <v>92</v>
      </c>
      <c r="F59" s="62">
        <v>45658.0</v>
      </c>
      <c r="I59" s="63" t="str">
        <f>VLOOKUP(C59, 'Class Def. - Desc and Keywords'!$C$20:$C$1940,1,false)</f>
        <v>ZFG1_POWDRINK</v>
      </c>
    </row>
    <row r="60" ht="15.75" customHeight="1">
      <c r="A60" s="59" t="s">
        <v>93</v>
      </c>
      <c r="B60" s="38"/>
      <c r="C60" s="60" t="s">
        <v>134</v>
      </c>
      <c r="D60" s="61" t="s">
        <v>91</v>
      </c>
      <c r="E60" s="61" t="s">
        <v>92</v>
      </c>
      <c r="F60" s="62">
        <v>45658.0</v>
      </c>
      <c r="I60" s="63" t="str">
        <f>VLOOKUP(C60, 'Class Def. - Desc and Keywords'!$C$20:$C$1940,1,false)</f>
        <v>ZFG1_REEDDIFFUSER</v>
      </c>
    </row>
    <row r="61" ht="15.75" customHeight="1">
      <c r="A61" s="59" t="s">
        <v>93</v>
      </c>
      <c r="B61" s="38"/>
      <c r="C61" s="60" t="s">
        <v>135</v>
      </c>
      <c r="D61" s="61" t="s">
        <v>91</v>
      </c>
      <c r="E61" s="61" t="s">
        <v>92</v>
      </c>
      <c r="F61" s="62">
        <v>45658.0</v>
      </c>
      <c r="I61" s="63" t="str">
        <f>VLOOKUP(C61, 'Class Def. - Desc and Keywords'!$C$20:$C$1940,1,false)</f>
        <v>ZFG1_SANITARYGEL</v>
      </c>
    </row>
    <row r="62" ht="15.75" customHeight="1">
      <c r="A62" s="59" t="s">
        <v>93</v>
      </c>
      <c r="B62" s="38"/>
      <c r="C62" s="60" t="s">
        <v>136</v>
      </c>
      <c r="D62" s="61" t="s">
        <v>91</v>
      </c>
      <c r="E62" s="61" t="s">
        <v>92</v>
      </c>
      <c r="F62" s="62">
        <v>45658.0</v>
      </c>
      <c r="I62" s="63" t="str">
        <f>VLOOKUP(C62, 'Class Def. - Desc and Keywords'!$C$20:$C$1940,1,false)</f>
        <v>ZFG1_SAVORYSNACK</v>
      </c>
    </row>
    <row r="63" ht="15.75" customHeight="1">
      <c r="A63" s="59" t="s">
        <v>93</v>
      </c>
      <c r="B63" s="38"/>
      <c r="C63" s="60" t="s">
        <v>137</v>
      </c>
      <c r="D63" s="61" t="s">
        <v>91</v>
      </c>
      <c r="E63" s="61" t="s">
        <v>92</v>
      </c>
      <c r="F63" s="62">
        <v>45658.0</v>
      </c>
      <c r="I63" s="63" t="str">
        <f>VLOOKUP(C63, 'Class Def. - Desc and Keywords'!$C$20:$C$1940,1,false)</f>
        <v>ZFG1_SEASONING</v>
      </c>
    </row>
    <row r="64" ht="15.75" customHeight="1">
      <c r="A64" s="59" t="s">
        <v>93</v>
      </c>
      <c r="B64" s="38"/>
      <c r="C64" s="60" t="s">
        <v>138</v>
      </c>
      <c r="D64" s="61" t="s">
        <v>91</v>
      </c>
      <c r="E64" s="61" t="s">
        <v>92</v>
      </c>
      <c r="F64" s="62">
        <v>45658.0</v>
      </c>
      <c r="I64" s="63" t="str">
        <f>VLOOKUP(C64, 'Class Def. - Desc and Keywords'!$C$20:$C$1940,1,false)</f>
        <v>ZFG1_SKINCARE</v>
      </c>
    </row>
    <row r="65" ht="15.75" customHeight="1">
      <c r="A65" s="59" t="s">
        <v>93</v>
      </c>
      <c r="B65" s="38"/>
      <c r="C65" s="60" t="s">
        <v>139</v>
      </c>
      <c r="D65" s="61" t="s">
        <v>91</v>
      </c>
      <c r="E65" s="61" t="s">
        <v>92</v>
      </c>
      <c r="F65" s="62">
        <v>45658.0</v>
      </c>
      <c r="I65" s="63" t="str">
        <f>VLOOKUP(C65, 'Class Def. - Desc and Keywords'!$C$20:$C$1940,1,false)</f>
        <v>ZFG1_SOFTENER</v>
      </c>
    </row>
    <row r="66" ht="15.75" customHeight="1">
      <c r="A66" s="59" t="s">
        <v>93</v>
      </c>
      <c r="B66" s="38"/>
      <c r="C66" s="60" t="s">
        <v>140</v>
      </c>
      <c r="D66" s="61" t="s">
        <v>91</v>
      </c>
      <c r="E66" s="61" t="s">
        <v>92</v>
      </c>
      <c r="F66" s="62">
        <v>45658.0</v>
      </c>
      <c r="I66" s="63" t="str">
        <f>VLOOKUP(C66, 'Class Def. - Desc and Keywords'!$C$20:$C$1940,1,false)</f>
        <v>ZFG1_STAINREMOVER</v>
      </c>
    </row>
    <row r="67" ht="15.75" customHeight="1">
      <c r="A67" s="59"/>
      <c r="B67" s="38"/>
      <c r="C67" s="60" t="s">
        <v>141</v>
      </c>
      <c r="D67" s="61" t="s">
        <v>91</v>
      </c>
      <c r="E67" s="61" t="s">
        <v>92</v>
      </c>
      <c r="F67" s="62">
        <v>45658.0</v>
      </c>
      <c r="I67" s="63" t="str">
        <f>VLOOKUP(C67, 'Class Def. - Desc and Keywords'!$C$20:$C$1940,1,false)</f>
        <v>ZFG1_TOILETCLNR</v>
      </c>
    </row>
    <row r="68" ht="15.75" customHeight="1">
      <c r="A68" s="59" t="s">
        <v>93</v>
      </c>
      <c r="B68" s="38"/>
      <c r="C68" s="60" t="s">
        <v>142</v>
      </c>
      <c r="D68" s="61" t="s">
        <v>91</v>
      </c>
      <c r="E68" s="61" t="s">
        <v>92</v>
      </c>
      <c r="F68" s="62">
        <v>45658.0</v>
      </c>
      <c r="I68" s="63" t="str">
        <f>VLOOKUP(C68, 'Class Def. - Desc and Keywords'!$C$20:$C$1940,1,false)</f>
        <v>ZFG1_TOOTHBRUSH</v>
      </c>
    </row>
    <row r="69" ht="15.75" customHeight="1">
      <c r="A69" s="59" t="s">
        <v>93</v>
      </c>
      <c r="B69" s="38"/>
      <c r="C69" s="60" t="s">
        <v>143</v>
      </c>
      <c r="D69" s="61" t="s">
        <v>91</v>
      </c>
      <c r="E69" s="61" t="s">
        <v>92</v>
      </c>
      <c r="F69" s="62">
        <v>45658.0</v>
      </c>
      <c r="I69" s="63" t="str">
        <f>VLOOKUP(C69, 'Class Def. - Desc and Keywords'!$C$20:$C$1940,1,false)</f>
        <v>ZFG1_TOPTOTOE</v>
      </c>
    </row>
    <row r="70" ht="15.75" customHeight="1">
      <c r="A70" s="59" t="s">
        <v>93</v>
      </c>
      <c r="B70" s="38"/>
      <c r="C70" s="60" t="s">
        <v>144</v>
      </c>
      <c r="D70" s="61" t="s">
        <v>91</v>
      </c>
      <c r="E70" s="61" t="s">
        <v>92</v>
      </c>
      <c r="F70" s="62">
        <v>45658.0</v>
      </c>
      <c r="I70" s="63" t="str">
        <f>VLOOKUP(C70, 'Class Def. - Desc and Keywords'!$C$20:$C$1940,1,false)</f>
        <v>ZFG1_WETWIPES</v>
      </c>
    </row>
    <row r="71" ht="15.75" customHeight="1">
      <c r="A71" s="59" t="s">
        <v>93</v>
      </c>
      <c r="B71" s="38"/>
      <c r="C71" s="60" t="s">
        <v>145</v>
      </c>
      <c r="D71" s="61" t="s">
        <v>91</v>
      </c>
      <c r="E71" s="61" t="s">
        <v>92</v>
      </c>
      <c r="F71" s="62">
        <v>45658.0</v>
      </c>
      <c r="I71" s="63" t="str">
        <f>VLOOKUP(C71, 'Class Def. - Desc and Keywords'!$C$20:$C$1940,1,false)</f>
        <v>ZBL1_PAKET</v>
      </c>
    </row>
    <row r="72" ht="15.75" customHeight="1">
      <c r="A72" s="59" t="s">
        <v>93</v>
      </c>
      <c r="B72" s="38"/>
      <c r="C72" s="60" t="s">
        <v>146</v>
      </c>
      <c r="D72" s="61" t="s">
        <v>91</v>
      </c>
      <c r="E72" s="61" t="s">
        <v>92</v>
      </c>
      <c r="F72" s="62">
        <v>45658.0</v>
      </c>
      <c r="I72" s="63" t="str">
        <f>VLOOKUP(C72, 'Class Def. - Desc and Keywords'!$C$20:$C$1940,1,false)</f>
        <v>ZPI1_PAKAIAN</v>
      </c>
    </row>
    <row r="73" ht="15.75" customHeight="1">
      <c r="A73" s="59" t="s">
        <v>93</v>
      </c>
      <c r="B73" s="38"/>
      <c r="C73" s="60" t="s">
        <v>147</v>
      </c>
      <c r="D73" s="61" t="s">
        <v>91</v>
      </c>
      <c r="E73" s="61" t="s">
        <v>92</v>
      </c>
      <c r="F73" s="62">
        <v>45658.0</v>
      </c>
      <c r="I73" s="63" t="str">
        <f>VLOOKUP(C73, 'Class Def. - Desc and Keywords'!$C$20:$C$1940,1,false)</f>
        <v>ZPI1_ACC_PAKAIAN</v>
      </c>
    </row>
    <row r="74" ht="15.75" customHeight="1">
      <c r="A74" s="59" t="s">
        <v>93</v>
      </c>
      <c r="B74" s="38"/>
      <c r="C74" s="60" t="s">
        <v>148</v>
      </c>
      <c r="D74" s="61" t="s">
        <v>91</v>
      </c>
      <c r="E74" s="61" t="s">
        <v>92</v>
      </c>
      <c r="F74" s="62">
        <v>45658.0</v>
      </c>
      <c r="I74" s="63" t="str">
        <f>VLOOKUP(C74, 'Class Def. - Desc and Keywords'!$C$20:$C$1940,1,false)</f>
        <v>ZPI1_PERLKP_HUJAN</v>
      </c>
    </row>
    <row r="75" ht="15.75" customHeight="1">
      <c r="A75" s="59" t="s">
        <v>93</v>
      </c>
      <c r="B75" s="38"/>
      <c r="C75" s="60" t="s">
        <v>149</v>
      </c>
      <c r="D75" s="61" t="s">
        <v>91</v>
      </c>
      <c r="E75" s="61" t="s">
        <v>92</v>
      </c>
      <c r="F75" s="62">
        <v>45658.0</v>
      </c>
      <c r="I75" s="63" t="str">
        <f>VLOOKUP(C75, 'Class Def. - Desc and Keywords'!$C$20:$C$1940,1,false)</f>
        <v>ZPI1_LOGAM_MULIA</v>
      </c>
    </row>
    <row r="76" ht="15.75" customHeight="1">
      <c r="A76" s="59" t="s">
        <v>93</v>
      </c>
      <c r="B76" s="38"/>
      <c r="C76" s="60" t="s">
        <v>150</v>
      </c>
      <c r="D76" s="61" t="s">
        <v>91</v>
      </c>
      <c r="E76" s="61" t="s">
        <v>92</v>
      </c>
      <c r="F76" s="62">
        <v>45658.0</v>
      </c>
      <c r="I76" s="63" t="str">
        <f>VLOOKUP(C76, 'Class Def. - Desc and Keywords'!$C$20:$C$1940,1,false)</f>
        <v>ZPI1_BANTL_SELIMUT</v>
      </c>
    </row>
    <row r="77" ht="15.75" customHeight="1">
      <c r="A77" s="59" t="s">
        <v>93</v>
      </c>
      <c r="B77" s="38"/>
      <c r="C77" s="60" t="s">
        <v>151</v>
      </c>
      <c r="D77" s="61" t="s">
        <v>91</v>
      </c>
      <c r="E77" s="61" t="s">
        <v>92</v>
      </c>
      <c r="F77" s="62">
        <v>45658.0</v>
      </c>
      <c r="I77" s="63" t="str">
        <f>VLOOKUP(C77, 'Class Def. - Desc and Keywords'!$C$20:$C$1940,1,false)</f>
        <v>ZPI1_HANDUK</v>
      </c>
    </row>
    <row r="78" ht="15.75" customHeight="1">
      <c r="A78" s="59" t="s">
        <v>93</v>
      </c>
      <c r="B78" s="38"/>
      <c r="C78" s="60" t="s">
        <v>152</v>
      </c>
      <c r="D78" s="61" t="s">
        <v>91</v>
      </c>
      <c r="E78" s="61" t="s">
        <v>92</v>
      </c>
      <c r="F78" s="62">
        <v>45658.0</v>
      </c>
      <c r="I78" s="63" t="str">
        <f>VLOOKUP(C78, 'Class Def. - Desc and Keywords'!$C$20:$C$1940,1,false)</f>
        <v>ZPI1_JAM</v>
      </c>
    </row>
    <row r="79" ht="15.75" customHeight="1">
      <c r="A79" s="59" t="s">
        <v>93</v>
      </c>
      <c r="B79" s="38"/>
      <c r="C79" s="60" t="s">
        <v>153</v>
      </c>
      <c r="D79" s="61" t="s">
        <v>91</v>
      </c>
      <c r="E79" s="61" t="s">
        <v>92</v>
      </c>
      <c r="F79" s="62">
        <v>45658.0</v>
      </c>
      <c r="I79" s="63" t="str">
        <f>VLOOKUP(C79, 'Class Def. - Desc and Keywords'!$C$20:$C$1940,1,false)</f>
        <v>ZPI1_TAS_DOMPET</v>
      </c>
    </row>
    <row r="80" ht="15.75" customHeight="1">
      <c r="A80" s="59" t="s">
        <v>93</v>
      </c>
      <c r="B80" s="38"/>
      <c r="C80" s="60" t="s">
        <v>154</v>
      </c>
      <c r="D80" s="61" t="s">
        <v>91</v>
      </c>
      <c r="E80" s="61" t="s">
        <v>92</v>
      </c>
      <c r="F80" s="62">
        <v>45658.0</v>
      </c>
      <c r="I80" s="63" t="str">
        <f>VLOOKUP(C80, 'Class Def. - Desc and Keywords'!$C$20:$C$1940,1,false)</f>
        <v>ZPI1_PERLKP_DAPUR</v>
      </c>
    </row>
    <row r="81" ht="15.75" customHeight="1">
      <c r="A81" s="59" t="s">
        <v>93</v>
      </c>
      <c r="B81" s="38"/>
      <c r="C81" s="60" t="s">
        <v>155</v>
      </c>
      <c r="D81" s="61" t="s">
        <v>91</v>
      </c>
      <c r="E81" s="61" t="s">
        <v>92</v>
      </c>
      <c r="F81" s="62">
        <v>45658.0</v>
      </c>
      <c r="I81" s="63" t="str">
        <f>VLOOKUP(C81, 'Class Def. - Desc and Keywords'!$C$20:$C$1940,1,false)</f>
        <v>ZPI1_PERLKP_OLHRGA</v>
      </c>
    </row>
    <row r="82" ht="15.75" customHeight="1">
      <c r="A82" s="59" t="s">
        <v>93</v>
      </c>
      <c r="B82" s="38"/>
      <c r="C82" s="60" t="s">
        <v>156</v>
      </c>
      <c r="D82" s="61" t="s">
        <v>91</v>
      </c>
      <c r="E82" s="61" t="s">
        <v>92</v>
      </c>
      <c r="F82" s="62">
        <v>45658.0</v>
      </c>
      <c r="I82" s="63" t="str">
        <f>VLOOKUP(C82, 'Class Def. - Desc and Keywords'!$C$20:$C$1940,1,false)</f>
        <v>ZPI1_BUKU_KERTAS</v>
      </c>
    </row>
    <row r="83" ht="15.75" customHeight="1">
      <c r="A83" s="59" t="s">
        <v>93</v>
      </c>
      <c r="B83" s="38"/>
      <c r="C83" s="60" t="s">
        <v>157</v>
      </c>
      <c r="D83" s="61" t="s">
        <v>91</v>
      </c>
      <c r="E83" s="61" t="s">
        <v>92</v>
      </c>
      <c r="F83" s="62">
        <v>45658.0</v>
      </c>
      <c r="I83" s="63" t="str">
        <f>VLOOKUP(C83, 'Class Def. - Desc and Keywords'!$C$20:$C$1940,1,false)</f>
        <v>ZPI1_ALAT_KEBRSIHN</v>
      </c>
    </row>
    <row r="84" ht="15.75" customHeight="1">
      <c r="A84" s="64" t="s">
        <v>158</v>
      </c>
      <c r="B84" s="38"/>
      <c r="C84" s="65" t="s">
        <v>159</v>
      </c>
      <c r="D84" s="61" t="s">
        <v>91</v>
      </c>
      <c r="E84" s="61" t="s">
        <v>92</v>
      </c>
      <c r="F84" s="62">
        <v>45658.0</v>
      </c>
      <c r="I84" s="63" t="str">
        <f>VLOOKUP(C84, 'Class Def. - Desc and Keywords'!$C$20:$C$1940,1,false)</f>
        <v>ZPI1_POSM_MECHNDSE</v>
      </c>
    </row>
    <row r="85" ht="15.75" customHeight="1">
      <c r="A85" s="59" t="s">
        <v>93</v>
      </c>
      <c r="B85" s="38"/>
      <c r="C85" s="60" t="s">
        <v>160</v>
      </c>
      <c r="D85" s="61" t="s">
        <v>91</v>
      </c>
      <c r="E85" s="61" t="s">
        <v>92</v>
      </c>
      <c r="F85" s="62">
        <v>45658.0</v>
      </c>
      <c r="I85" s="63" t="str">
        <f>VLOOKUP(C85, 'Class Def. - Desc and Keywords'!$C$20:$C$1940,1,false)</f>
        <v>ZPI1_POSM_DISPLAY</v>
      </c>
    </row>
    <row r="86" ht="15.75" customHeight="1">
      <c r="A86" s="59" t="s">
        <v>93</v>
      </c>
      <c r="B86" s="38"/>
      <c r="C86" s="60" t="s">
        <v>161</v>
      </c>
      <c r="D86" s="61" t="s">
        <v>91</v>
      </c>
      <c r="E86" s="61" t="s">
        <v>92</v>
      </c>
      <c r="F86" s="62">
        <v>45658.0</v>
      </c>
      <c r="I86" s="63" t="str">
        <f>VLOOKUP(C86, 'Class Def. - Desc and Keywords'!$C$20:$C$1940,1,false)</f>
        <v>ZPI1_MAINAN_BONEKA</v>
      </c>
    </row>
    <row r="87" ht="15.75" customHeight="1">
      <c r="A87" s="64" t="s">
        <v>158</v>
      </c>
      <c r="B87" s="38"/>
      <c r="C87" s="65" t="s">
        <v>162</v>
      </c>
      <c r="D87" s="61" t="s">
        <v>91</v>
      </c>
      <c r="E87" s="61" t="s">
        <v>92</v>
      </c>
      <c r="F87" s="62">
        <v>45658.0</v>
      </c>
      <c r="I87" s="63" t="str">
        <f>VLOOKUP(C87, 'Class Def. - Desc and Keywords'!$C$20:$C$1940,1,false)</f>
        <v>ZPI1_SIGNAGE_LABEL</v>
      </c>
    </row>
    <row r="88" ht="15.75" customHeight="1">
      <c r="A88" s="59" t="s">
        <v>93</v>
      </c>
      <c r="B88" s="38"/>
      <c r="C88" s="60" t="s">
        <v>163</v>
      </c>
      <c r="D88" s="61" t="s">
        <v>91</v>
      </c>
      <c r="E88" s="61" t="s">
        <v>92</v>
      </c>
      <c r="F88" s="62">
        <v>45658.0</v>
      </c>
      <c r="I88" s="63" t="str">
        <f>VLOOKUP(C88, 'Class Def. - Desc and Keywords'!$C$20:$C$1940,1,false)</f>
        <v>ZSR3_ADVERTISING</v>
      </c>
    </row>
    <row r="89" ht="15.75" customHeight="1">
      <c r="A89" s="59" t="s">
        <v>93</v>
      </c>
      <c r="B89" s="38"/>
      <c r="C89" s="60" t="s">
        <v>164</v>
      </c>
      <c r="D89" s="61" t="s">
        <v>91</v>
      </c>
      <c r="E89" s="61" t="s">
        <v>92</v>
      </c>
      <c r="F89" s="62">
        <v>45658.0</v>
      </c>
      <c r="I89" s="63" t="str">
        <f>VLOOKUP(C89, 'Class Def. - Desc and Keywords'!$C$20:$C$1940,1,false)</f>
        <v>ZSR3_ASURANSI</v>
      </c>
    </row>
    <row r="90" ht="15.75" customHeight="1">
      <c r="A90" s="59" t="s">
        <v>93</v>
      </c>
      <c r="B90" s="38"/>
      <c r="C90" s="60" t="s">
        <v>165</v>
      </c>
      <c r="D90" s="61" t="s">
        <v>91</v>
      </c>
      <c r="E90" s="61" t="s">
        <v>92</v>
      </c>
      <c r="F90" s="62">
        <v>45658.0</v>
      </c>
      <c r="I90" s="63" t="str">
        <f>VLOOKUP(C90, 'Class Def. - Desc and Keywords'!$C$20:$C$1940,1,false)</f>
        <v>ZSR3_BUSS_TRAVEL</v>
      </c>
    </row>
    <row r="91" ht="15.75" customHeight="1">
      <c r="A91" s="59" t="s">
        <v>93</v>
      </c>
      <c r="B91" s="38"/>
      <c r="C91" s="60" t="s">
        <v>166</v>
      </c>
      <c r="D91" s="61" t="s">
        <v>91</v>
      </c>
      <c r="E91" s="61" t="s">
        <v>92</v>
      </c>
      <c r="F91" s="62">
        <v>45658.0</v>
      </c>
      <c r="I91" s="63" t="str">
        <f>VLOOKUP(C91, 'Class Def. - Desc and Keywords'!$C$20:$C$1940,1,false)</f>
        <v>ZSR3_EMP_RWD_INCTV</v>
      </c>
    </row>
    <row r="92" ht="15.75" customHeight="1">
      <c r="A92" s="59" t="s">
        <v>93</v>
      </c>
      <c r="B92" s="38"/>
      <c r="C92" s="60" t="s">
        <v>167</v>
      </c>
      <c r="D92" s="61" t="s">
        <v>91</v>
      </c>
      <c r="E92" s="61" t="s">
        <v>92</v>
      </c>
      <c r="F92" s="62">
        <v>45658.0</v>
      </c>
      <c r="I92" s="63" t="str">
        <f>VLOOKUP(C92, 'Class Def. - Desc and Keywords'!$C$20:$C$1940,1,false)</f>
        <v>ZSR3_FABRIKASI</v>
      </c>
    </row>
    <row r="93" ht="15.75" customHeight="1">
      <c r="A93" s="59" t="s">
        <v>93</v>
      </c>
      <c r="B93" s="38"/>
      <c r="C93" s="60" t="s">
        <v>168</v>
      </c>
      <c r="D93" s="61" t="s">
        <v>91</v>
      </c>
      <c r="E93" s="61" t="s">
        <v>92</v>
      </c>
      <c r="F93" s="62">
        <v>45658.0</v>
      </c>
      <c r="I93" s="63" t="str">
        <f>VLOOKUP(C93, 'Class Def. - Desc and Keywords'!$C$20:$C$1940,1,false)</f>
        <v>ZSR3_HR_DEVLOPMENT</v>
      </c>
    </row>
    <row r="94" ht="15.75" customHeight="1">
      <c r="A94" s="59" t="s">
        <v>93</v>
      </c>
      <c r="B94" s="38"/>
      <c r="C94" s="60" t="s">
        <v>169</v>
      </c>
      <c r="D94" s="61" t="s">
        <v>91</v>
      </c>
      <c r="E94" s="61" t="s">
        <v>92</v>
      </c>
      <c r="F94" s="62">
        <v>45658.0</v>
      </c>
      <c r="I94" s="63" t="str">
        <f>VLOOKUP(C94, 'Class Def. - Desc and Keywords'!$C$20:$C$1940,1,false)</f>
        <v>ZSR3_INSTALASI</v>
      </c>
    </row>
    <row r="95" ht="15.75" customHeight="1">
      <c r="A95" s="59" t="s">
        <v>93</v>
      </c>
      <c r="B95" s="38"/>
      <c r="C95" s="60" t="s">
        <v>170</v>
      </c>
      <c r="D95" s="61" t="s">
        <v>91</v>
      </c>
      <c r="E95" s="61" t="s">
        <v>92</v>
      </c>
      <c r="F95" s="62">
        <v>45658.0</v>
      </c>
      <c r="I95" s="63" t="str">
        <f>VLOOKUP(C95, 'Class Def. - Desc and Keywords'!$C$20:$C$1940,1,false)</f>
        <v>ZSR3_JASA_DESAIN</v>
      </c>
    </row>
    <row r="96" ht="15.75" customHeight="1">
      <c r="A96" s="59" t="s">
        <v>93</v>
      </c>
      <c r="B96" s="38"/>
      <c r="C96" s="60" t="s">
        <v>171</v>
      </c>
      <c r="D96" s="61" t="s">
        <v>91</v>
      </c>
      <c r="E96" s="61" t="s">
        <v>92</v>
      </c>
      <c r="F96" s="62">
        <v>45658.0</v>
      </c>
      <c r="I96" s="63" t="str">
        <f>VLOOKUP(C96, 'Class Def. - Desc and Keywords'!$C$20:$C$1940,1,false)</f>
        <v>ZSR3_JSA_PROFSIONL</v>
      </c>
    </row>
    <row r="97" ht="15.75" customHeight="1">
      <c r="A97" s="59" t="s">
        <v>93</v>
      </c>
      <c r="B97" s="38"/>
      <c r="C97" s="60" t="s">
        <v>172</v>
      </c>
      <c r="D97" s="61" t="s">
        <v>91</v>
      </c>
      <c r="E97" s="61" t="s">
        <v>92</v>
      </c>
      <c r="F97" s="62">
        <v>45658.0</v>
      </c>
      <c r="I97" s="63" t="str">
        <f>VLOOKUP(C97, 'Class Def. - Desc and Keywords'!$C$20:$C$1940,1,false)</f>
        <v>ZSR3_LEGAL_LICENSE</v>
      </c>
    </row>
    <row r="98" ht="15.75" customHeight="1">
      <c r="A98" s="59" t="s">
        <v>93</v>
      </c>
      <c r="B98" s="38"/>
      <c r="C98" s="60" t="s">
        <v>173</v>
      </c>
      <c r="D98" s="61" t="s">
        <v>91</v>
      </c>
      <c r="E98" s="61" t="s">
        <v>92</v>
      </c>
      <c r="F98" s="62">
        <v>45658.0</v>
      </c>
      <c r="I98" s="63" t="str">
        <f>VLOOKUP(C98, 'Class Def. - Desc and Keywords'!$C$20:$C$1940,1,false)</f>
        <v>ZSR3_LOGST_TRASNPT</v>
      </c>
    </row>
    <row r="99" ht="15.75" customHeight="1">
      <c r="A99" s="59" t="s">
        <v>93</v>
      </c>
      <c r="B99" s="38"/>
      <c r="C99" s="60" t="s">
        <v>174</v>
      </c>
      <c r="D99" s="61" t="s">
        <v>91</v>
      </c>
      <c r="E99" s="61" t="s">
        <v>92</v>
      </c>
      <c r="F99" s="62">
        <v>45658.0</v>
      </c>
      <c r="I99" s="63" t="str">
        <f>VLOOKUP(C99, 'Class Def. - Desc and Keywords'!$C$20:$C$1940,1,false)</f>
        <v>ZSR3_MAINTAIN</v>
      </c>
    </row>
    <row r="100" ht="15.75" customHeight="1">
      <c r="A100" s="59" t="s">
        <v>93</v>
      </c>
      <c r="B100" s="38"/>
      <c r="C100" s="60" t="s">
        <v>175</v>
      </c>
      <c r="D100" s="61" t="s">
        <v>91</v>
      </c>
      <c r="E100" s="61" t="s">
        <v>92</v>
      </c>
      <c r="F100" s="62">
        <v>45658.0</v>
      </c>
      <c r="I100" s="63" t="str">
        <f>VLOOKUP(C100, 'Class Def. - Desc and Keywords'!$C$20:$C$1940,1,false)</f>
        <v>ZSR3_OPS_SUPPORT</v>
      </c>
    </row>
    <row r="101" ht="15.75" customHeight="1">
      <c r="A101" s="59" t="s">
        <v>93</v>
      </c>
      <c r="B101" s="38"/>
      <c r="C101" s="60" t="s">
        <v>176</v>
      </c>
      <c r="D101" s="61" t="s">
        <v>91</v>
      </c>
      <c r="E101" s="61" t="s">
        <v>92</v>
      </c>
      <c r="F101" s="62">
        <v>45658.0</v>
      </c>
      <c r="I101" s="63" t="str">
        <f>VLOOKUP(C101, 'Class Def. - Desc and Keywords'!$C$20:$C$1940,1,false)</f>
        <v>ZSR3_OUTSRC_MANPWR</v>
      </c>
    </row>
    <row r="102" ht="15.75" customHeight="1">
      <c r="A102" s="59" t="s">
        <v>93</v>
      </c>
      <c r="B102" s="38"/>
      <c r="C102" s="60" t="s">
        <v>177</v>
      </c>
      <c r="D102" s="61" t="s">
        <v>91</v>
      </c>
      <c r="E102" s="61" t="s">
        <v>92</v>
      </c>
      <c r="F102" s="62">
        <v>45658.0</v>
      </c>
      <c r="I102" s="63" t="str">
        <f>VLOOKUP(C102, 'Class Def. - Desc and Keywords'!$C$20:$C$1940,1,false)</f>
        <v>ZSR3_PEMBANGUNAN</v>
      </c>
    </row>
    <row r="103" ht="15.75" customHeight="1">
      <c r="A103" s="59" t="s">
        <v>93</v>
      </c>
      <c r="B103" s="38"/>
      <c r="C103" s="60" t="s">
        <v>178</v>
      </c>
      <c r="D103" s="61" t="s">
        <v>91</v>
      </c>
      <c r="E103" s="61" t="s">
        <v>92</v>
      </c>
      <c r="F103" s="62">
        <v>45658.0</v>
      </c>
      <c r="I103" s="63" t="str">
        <f>VLOOKUP(C103, 'Class Def. - Desc and Keywords'!$C$20:$C$1940,1,false)</f>
        <v>ZSR3_PENGJN_INSPKS</v>
      </c>
    </row>
    <row r="104" ht="15.75" customHeight="1">
      <c r="A104" s="59" t="s">
        <v>93</v>
      </c>
      <c r="B104" s="38"/>
      <c r="C104" s="60" t="s">
        <v>179</v>
      </c>
      <c r="D104" s="61" t="s">
        <v>91</v>
      </c>
      <c r="E104" s="61" t="s">
        <v>92</v>
      </c>
      <c r="F104" s="62">
        <v>45658.0</v>
      </c>
      <c r="I104" s="63" t="str">
        <f>VLOOKUP(C104, 'Class Def. - Desc and Keywords'!$C$20:$C$1940,1,false)</f>
        <v>ZSR3_PERPAJAKAN</v>
      </c>
    </row>
    <row r="105" ht="15.75" customHeight="1">
      <c r="A105" s="59" t="s">
        <v>93</v>
      </c>
      <c r="B105" s="38"/>
      <c r="C105" s="60" t="s">
        <v>180</v>
      </c>
      <c r="D105" s="61" t="s">
        <v>91</v>
      </c>
      <c r="E105" s="61" t="s">
        <v>92</v>
      </c>
      <c r="F105" s="62">
        <v>45658.0</v>
      </c>
      <c r="I105" s="63" t="str">
        <f>VLOOKUP(C105, 'Class Def. - Desc and Keywords'!$C$20:$C$1940,1,false)</f>
        <v>ZSR3_REPAIR</v>
      </c>
    </row>
    <row r="106" ht="15.75" customHeight="1">
      <c r="A106" s="59" t="s">
        <v>93</v>
      </c>
      <c r="B106" s="38"/>
      <c r="C106" s="60" t="s">
        <v>181</v>
      </c>
      <c r="D106" s="61" t="s">
        <v>91</v>
      </c>
      <c r="E106" s="61" t="s">
        <v>92</v>
      </c>
      <c r="F106" s="62">
        <v>45658.0</v>
      </c>
      <c r="I106" s="63" t="str">
        <f>VLOOKUP(C106, 'Class Def. - Desc and Keywords'!$C$20:$C$1940,1,false)</f>
        <v>ZSR3_SEWA</v>
      </c>
    </row>
    <row r="107" ht="15.75" customHeight="1">
      <c r="A107" s="59" t="s">
        <v>93</v>
      </c>
      <c r="B107" s="38"/>
      <c r="C107" s="60" t="s">
        <v>182</v>
      </c>
      <c r="D107" s="61" t="s">
        <v>91</v>
      </c>
      <c r="E107" s="61" t="s">
        <v>92</v>
      </c>
      <c r="F107" s="62">
        <v>45658.0</v>
      </c>
      <c r="I107" s="63" t="str">
        <f>VLOOKUP(C107, 'Class Def. - Desc and Keywords'!$C$20:$C$1940,1,false)</f>
        <v>ZSR3_WASTE_MANGMNT</v>
      </c>
    </row>
    <row r="108" ht="15.75" customHeight="1">
      <c r="A108" s="59" t="s">
        <v>93</v>
      </c>
      <c r="B108" s="38"/>
      <c r="C108" s="60" t="s">
        <v>183</v>
      </c>
      <c r="D108" s="61" t="s">
        <v>91</v>
      </c>
      <c r="E108" s="61" t="s">
        <v>92</v>
      </c>
      <c r="F108" s="62">
        <v>45658.0</v>
      </c>
      <c r="I108" s="63" t="str">
        <f>VLOOKUP(C108, 'Class Def. - Desc and Keywords'!$C$20:$C$1940,1,false)</f>
        <v>ZSI2_PALLETS</v>
      </c>
    </row>
    <row r="109" ht="15.75" customHeight="1">
      <c r="A109" s="59" t="s">
        <v>93</v>
      </c>
      <c r="B109" s="38"/>
      <c r="C109" s="60" t="s">
        <v>184</v>
      </c>
      <c r="D109" s="61" t="s">
        <v>91</v>
      </c>
      <c r="E109" s="61" t="s">
        <v>92</v>
      </c>
      <c r="F109" s="62">
        <v>45658.0</v>
      </c>
      <c r="I109" s="63" t="str">
        <f>VLOOKUP(C109, 'Class Def. - Desc and Keywords'!$C$20:$C$1940,1,false)</f>
        <v>ZSF1_COPRODUCT</v>
      </c>
    </row>
    <row r="110" ht="15.75" customHeight="1">
      <c r="A110" s="59" t="s">
        <v>93</v>
      </c>
      <c r="B110" s="38"/>
      <c r="C110" s="60" t="s">
        <v>185</v>
      </c>
      <c r="D110" s="61" t="s">
        <v>91</v>
      </c>
      <c r="E110" s="61" t="s">
        <v>92</v>
      </c>
      <c r="F110" s="62">
        <v>45658.0</v>
      </c>
      <c r="I110" s="63" t="str">
        <f>VLOOKUP(C110, 'Class Def. - Desc and Keywords'!$C$20:$C$1940,1,false)</f>
        <v>ZSF1_INTD_DRYVEG</v>
      </c>
    </row>
    <row r="111" ht="15.75" customHeight="1">
      <c r="A111" s="59" t="s">
        <v>93</v>
      </c>
      <c r="B111" s="38"/>
      <c r="C111" s="60" t="s">
        <v>186</v>
      </c>
      <c r="D111" s="61" t="s">
        <v>91</v>
      </c>
      <c r="E111" s="61" t="s">
        <v>92</v>
      </c>
      <c r="F111" s="62">
        <v>45658.0</v>
      </c>
      <c r="I111" s="63" t="str">
        <f>VLOOKUP(C111, 'Class Def. - Desc and Keywords'!$C$20:$C$1940,1,false)</f>
        <v>ZSF1_INTD_GARNISH</v>
      </c>
    </row>
    <row r="112" ht="15.75" customHeight="1">
      <c r="A112" s="59" t="s">
        <v>93</v>
      </c>
      <c r="B112" s="38"/>
      <c r="C112" s="60" t="s">
        <v>187</v>
      </c>
      <c r="D112" s="61" t="s">
        <v>91</v>
      </c>
      <c r="E112" s="61" t="s">
        <v>92</v>
      </c>
      <c r="F112" s="62">
        <v>45658.0</v>
      </c>
      <c r="I112" s="63" t="str">
        <f>VLOOKUP(C112, 'Class Def. - Desc and Keywords'!$C$20:$C$1940,1,false)</f>
        <v>ZSF1_INTD_GOODS</v>
      </c>
    </row>
    <row r="113" ht="15.75" customHeight="1">
      <c r="A113" s="59" t="s">
        <v>93</v>
      </c>
      <c r="B113" s="38"/>
      <c r="C113" s="60" t="s">
        <v>188</v>
      </c>
      <c r="D113" s="61" t="s">
        <v>91</v>
      </c>
      <c r="E113" s="61" t="s">
        <v>92</v>
      </c>
      <c r="F113" s="62">
        <v>45658.0</v>
      </c>
      <c r="I113" s="63" t="str">
        <f>VLOOKUP(C113, 'Class Def. - Desc and Keywords'!$C$20:$C$1940,1,false)</f>
        <v>ZSF1_INTD_OIL</v>
      </c>
    </row>
    <row r="114" ht="15.75" customHeight="1">
      <c r="A114" s="59" t="s">
        <v>93</v>
      </c>
      <c r="B114" s="38"/>
      <c r="C114" s="60" t="s">
        <v>189</v>
      </c>
      <c r="D114" s="61" t="s">
        <v>91</v>
      </c>
      <c r="E114" s="61" t="s">
        <v>92</v>
      </c>
      <c r="F114" s="62">
        <v>45658.0</v>
      </c>
      <c r="I114" s="63" t="str">
        <f>VLOOKUP(C114, 'Class Def. - Desc and Keywords'!$C$20:$C$1940,1,false)</f>
        <v>ZSF1_INTD_POWDER</v>
      </c>
    </row>
    <row r="115" ht="15.75" customHeight="1">
      <c r="A115" s="59" t="s">
        <v>93</v>
      </c>
      <c r="B115" s="38"/>
      <c r="C115" s="60" t="s">
        <v>190</v>
      </c>
      <c r="D115" s="61" t="s">
        <v>91</v>
      </c>
      <c r="E115" s="61" t="s">
        <v>92</v>
      </c>
      <c r="F115" s="62">
        <v>45658.0</v>
      </c>
      <c r="I115" s="63" t="str">
        <f>VLOOKUP(C115, 'Class Def. - Desc and Keywords'!$C$20:$C$1940,1,false)</f>
        <v>ZSF1_INTD_RAWMAT</v>
      </c>
    </row>
    <row r="116" ht="15.75" customHeight="1">
      <c r="A116" s="59" t="s">
        <v>93</v>
      </c>
      <c r="B116" s="38"/>
      <c r="C116" s="60" t="s">
        <v>191</v>
      </c>
      <c r="D116" s="61" t="s">
        <v>91</v>
      </c>
      <c r="E116" s="61" t="s">
        <v>92</v>
      </c>
      <c r="F116" s="62">
        <v>45658.0</v>
      </c>
      <c r="I116" s="63" t="str">
        <f>VLOOKUP(C116, 'Class Def. - Desc and Keywords'!$C$20:$C$1940,1,false)</f>
        <v>ZSF1_INTD_SAMBAL</v>
      </c>
    </row>
    <row r="117" ht="15.75" customHeight="1">
      <c r="A117" s="59" t="s">
        <v>93</v>
      </c>
      <c r="B117" s="38"/>
      <c r="C117" s="60" t="s">
        <v>192</v>
      </c>
      <c r="D117" s="61" t="s">
        <v>91</v>
      </c>
      <c r="E117" s="61" t="s">
        <v>92</v>
      </c>
      <c r="F117" s="62">
        <v>45658.0</v>
      </c>
      <c r="I117" s="63" t="str">
        <f>VLOOKUP(C117, 'Class Def. - Desc and Keywords'!$C$20:$C$1940,1,false)</f>
        <v>ZSF1_PACK_DRYVEG</v>
      </c>
    </row>
    <row r="118" ht="15.75" customHeight="1">
      <c r="A118" s="59" t="s">
        <v>93</v>
      </c>
      <c r="B118" s="38"/>
      <c r="C118" s="60" t="s">
        <v>193</v>
      </c>
      <c r="D118" s="61" t="s">
        <v>91</v>
      </c>
      <c r="E118" s="61" t="s">
        <v>92</v>
      </c>
      <c r="F118" s="62">
        <v>45658.0</v>
      </c>
      <c r="I118" s="63" t="str">
        <f>VLOOKUP(C118, 'Class Def. - Desc and Keywords'!$C$20:$C$1940,1,false)</f>
        <v>ZSF1_PACK_POWDER</v>
      </c>
    </row>
    <row r="119" ht="15.75" customHeight="1">
      <c r="A119" s="59" t="s">
        <v>93</v>
      </c>
      <c r="B119" s="38"/>
      <c r="C119" s="60" t="s">
        <v>194</v>
      </c>
      <c r="D119" s="61" t="s">
        <v>91</v>
      </c>
      <c r="E119" s="61" t="s">
        <v>92</v>
      </c>
      <c r="F119" s="62">
        <v>45658.0</v>
      </c>
      <c r="I119" s="63" t="str">
        <f>VLOOKUP(C119, 'Class Def. - Desc and Keywords'!$C$20:$C$1940,1,false)</f>
        <v>ZSF1_PACK_SAMBAL</v>
      </c>
    </row>
    <row r="120" ht="15.75" customHeight="1">
      <c r="A120" s="59" t="s">
        <v>93</v>
      </c>
      <c r="B120" s="38"/>
      <c r="C120" s="60" t="s">
        <v>195</v>
      </c>
      <c r="D120" s="61" t="s">
        <v>91</v>
      </c>
      <c r="E120" s="61" t="s">
        <v>92</v>
      </c>
      <c r="F120" s="62">
        <v>45658.0</v>
      </c>
      <c r="I120" s="63" t="str">
        <f>VLOOKUP(C120, 'Class Def. - Desc and Keywords'!$C$20:$C$1940,1,false)</f>
        <v>ZSF1_PACK_GARNISH</v>
      </c>
    </row>
    <row r="121" ht="15.75" customHeight="1">
      <c r="A121" s="59" t="s">
        <v>93</v>
      </c>
      <c r="B121" s="38"/>
      <c r="C121" s="60" t="s">
        <v>196</v>
      </c>
      <c r="D121" s="61" t="s">
        <v>91</v>
      </c>
      <c r="E121" s="61" t="s">
        <v>92</v>
      </c>
      <c r="F121" s="62">
        <v>45658.0</v>
      </c>
      <c r="I121" s="63" t="str">
        <f>VLOOKUP(C121, 'Class Def. - Desc and Keywords'!$C$20:$C$1940,1,false)</f>
        <v>ZSF1_PACK_OIL</v>
      </c>
    </row>
    <row r="122" ht="15.75" customHeight="1">
      <c r="A122" s="59" t="s">
        <v>93</v>
      </c>
      <c r="B122" s="38"/>
      <c r="C122" s="60" t="s">
        <v>197</v>
      </c>
      <c r="D122" s="61" t="s">
        <v>91</v>
      </c>
      <c r="E122" s="61" t="s">
        <v>92</v>
      </c>
      <c r="F122" s="62">
        <v>45658.0</v>
      </c>
      <c r="I122" s="63" t="str">
        <f>VLOOKUP(C122, 'Class Def. - Desc and Keywords'!$C$20:$C$1940,1,false)</f>
        <v>ZSF1_PINTD_FRESMAT</v>
      </c>
    </row>
    <row r="123" ht="15.75" customHeight="1">
      <c r="A123" s="59" t="s">
        <v>93</v>
      </c>
      <c r="B123" s="38"/>
      <c r="C123" s="60" t="s">
        <v>198</v>
      </c>
      <c r="D123" s="61" t="s">
        <v>91</v>
      </c>
      <c r="E123" s="61" t="s">
        <v>92</v>
      </c>
      <c r="F123" s="62">
        <v>45658.0</v>
      </c>
      <c r="I123" s="63" t="str">
        <f>VLOOKUP(C123, 'Class Def. - Desc and Keywords'!$C$20:$C$1940,1,false)</f>
        <v>ZSF1_PINTD_GARNISH</v>
      </c>
    </row>
    <row r="124" ht="15.75" customHeight="1">
      <c r="A124" s="59" t="s">
        <v>93</v>
      </c>
      <c r="B124" s="38"/>
      <c r="C124" s="60" t="s">
        <v>199</v>
      </c>
      <c r="D124" s="61" t="s">
        <v>91</v>
      </c>
      <c r="E124" s="61" t="s">
        <v>92</v>
      </c>
      <c r="F124" s="62">
        <v>45658.0</v>
      </c>
      <c r="I124" s="63" t="str">
        <f>VLOOKUP(C124, 'Class Def. - Desc and Keywords'!$C$20:$C$1940,1,false)</f>
        <v>ZSF1_PINTD_OIL</v>
      </c>
    </row>
    <row r="125" ht="15.75" customHeight="1">
      <c r="A125" s="59" t="s">
        <v>93</v>
      </c>
      <c r="B125" s="38"/>
      <c r="C125" s="60" t="s">
        <v>200</v>
      </c>
      <c r="D125" s="61" t="s">
        <v>91</v>
      </c>
      <c r="E125" s="61" t="s">
        <v>92</v>
      </c>
      <c r="F125" s="62">
        <v>45658.0</v>
      </c>
      <c r="I125" s="63" t="str">
        <f>VLOOKUP(C125, 'Class Def. - Desc and Keywords'!$C$20:$C$1940,1,false)</f>
        <v>ZSF1_PINTD_PREMIX</v>
      </c>
    </row>
    <row r="126" ht="15.75" customHeight="1">
      <c r="A126" s="59" t="s">
        <v>93</v>
      </c>
      <c r="B126" s="38"/>
      <c r="C126" s="60" t="s">
        <v>201</v>
      </c>
      <c r="D126" s="61" t="s">
        <v>91</v>
      </c>
      <c r="E126" s="61" t="s">
        <v>92</v>
      </c>
      <c r="F126" s="62">
        <v>45658.0</v>
      </c>
      <c r="I126" s="63" t="str">
        <f>VLOOKUP(C126, 'Class Def. - Desc and Keywords'!$C$20:$C$1940,1,false)</f>
        <v>ZSF1_PINTD_PMX_SSN</v>
      </c>
    </row>
    <row r="127" ht="15.75" customHeight="1">
      <c r="A127" s="59" t="s">
        <v>93</v>
      </c>
      <c r="B127" s="38"/>
      <c r="C127" s="60" t="s">
        <v>202</v>
      </c>
      <c r="D127" s="61" t="s">
        <v>91</v>
      </c>
      <c r="E127" s="61" t="s">
        <v>92</v>
      </c>
      <c r="F127" s="62">
        <v>45658.0</v>
      </c>
      <c r="I127" s="63" t="str">
        <f>VLOOKUP(C127, 'Class Def. - Desc and Keywords'!$C$20:$C$1940,1,false)</f>
        <v>ZSF1_REUSEABLE_PCK</v>
      </c>
    </row>
    <row r="128" ht="15.75" customHeight="1">
      <c r="A128" s="59" t="s">
        <v>93</v>
      </c>
      <c r="B128" s="38"/>
      <c r="C128" s="60" t="s">
        <v>203</v>
      </c>
      <c r="D128" s="61" t="s">
        <v>91</v>
      </c>
      <c r="E128" s="61" t="s">
        <v>92</v>
      </c>
      <c r="F128" s="62">
        <v>45658.0</v>
      </c>
      <c r="I128" s="63" t="str">
        <f>VLOOKUP(C128, 'Class Def. - Desc and Keywords'!$C$20:$C$1940,1,false)</f>
        <v>ZSF1_SECONDARY</v>
      </c>
    </row>
    <row r="129" ht="15.75" customHeight="1">
      <c r="A129" s="59" t="s">
        <v>93</v>
      </c>
      <c r="B129" s="38"/>
      <c r="C129" s="60" t="s">
        <v>204</v>
      </c>
      <c r="D129" s="61" t="s">
        <v>91</v>
      </c>
      <c r="E129" s="61" t="s">
        <v>92</v>
      </c>
      <c r="F129" s="62">
        <v>45658.0</v>
      </c>
      <c r="I129" s="63" t="str">
        <f>VLOOKUP(C129, 'Class Def. - Desc and Keywords'!$C$20:$C$1940,1,false)</f>
        <v>ZSF1_SIDEPRODUCT</v>
      </c>
    </row>
    <row r="130" ht="15.75" customHeight="1">
      <c r="A130" s="66" t="s">
        <v>205</v>
      </c>
      <c r="B130" s="38"/>
      <c r="C130" s="60" t="s">
        <v>206</v>
      </c>
      <c r="D130" s="65" t="s">
        <v>91</v>
      </c>
      <c r="E130" s="65" t="s">
        <v>92</v>
      </c>
      <c r="F130" s="62">
        <v>45658.0</v>
      </c>
      <c r="I130" s="63" t="str">
        <f>VLOOKUP(C130, 'Class Def. - Desc and Keywords'!$C$20:$C$1940,1,false)</f>
        <v>ZBM1_ACCATAPGLOSSY</v>
      </c>
    </row>
    <row r="131" ht="15.75" customHeight="1">
      <c r="A131" s="66" t="s">
        <v>205</v>
      </c>
      <c r="B131" s="38"/>
      <c r="C131" s="60" t="s">
        <v>207</v>
      </c>
      <c r="D131" s="65" t="s">
        <v>91</v>
      </c>
      <c r="E131" s="65" t="s">
        <v>92</v>
      </c>
      <c r="F131" s="62">
        <v>45658.0</v>
      </c>
      <c r="I131" s="63" t="str">
        <f>VLOOKUP(C131, 'Class Def. - Desc and Keywords'!$C$20:$C$1940,1,false)</f>
        <v>ZBM1_ACCATAPMATTE</v>
      </c>
    </row>
    <row r="132" ht="15.75" customHeight="1">
      <c r="A132" s="66" t="s">
        <v>205</v>
      </c>
      <c r="B132" s="38"/>
      <c r="C132" s="60" t="s">
        <v>208</v>
      </c>
      <c r="D132" s="65" t="s">
        <v>91</v>
      </c>
      <c r="E132" s="65" t="s">
        <v>92</v>
      </c>
      <c r="F132" s="62">
        <v>45658.0</v>
      </c>
      <c r="I132" s="63" t="str">
        <f>VLOOKUP(C132, 'Class Def. - Desc and Keywords'!$C$20:$C$1940,1,false)</f>
        <v>ZBM1_ACCATAPSMALLC</v>
      </c>
    </row>
    <row r="133" ht="15.75" customHeight="1">
      <c r="A133" s="66" t="s">
        <v>205</v>
      </c>
      <c r="B133" s="38"/>
      <c r="C133" s="60" t="s">
        <v>209</v>
      </c>
      <c r="D133" s="65" t="s">
        <v>91</v>
      </c>
      <c r="E133" s="65" t="s">
        <v>92</v>
      </c>
      <c r="F133" s="62">
        <v>45658.0</v>
      </c>
      <c r="I133" s="63" t="str">
        <f>VLOOKUP(C133, 'Class Def. - Desc and Keywords'!$C$20:$C$1940,1,false)</f>
        <v>ZBM1_ACCATAPUNGLZD</v>
      </c>
    </row>
    <row r="134" ht="15.75" customHeight="1">
      <c r="A134" s="66" t="s">
        <v>205</v>
      </c>
      <c r="B134" s="38"/>
      <c r="C134" s="60" t="s">
        <v>210</v>
      </c>
      <c r="D134" s="65" t="s">
        <v>91</v>
      </c>
      <c r="E134" s="65" t="s">
        <v>92</v>
      </c>
      <c r="F134" s="62">
        <v>45658.0</v>
      </c>
      <c r="I134" s="63" t="str">
        <f>VLOOKUP(C134, 'Class Def. - Desc and Keywords'!$C$20:$C$1940,1,false)</f>
        <v>ZBM1_ATAPGLOSSY</v>
      </c>
    </row>
    <row r="135" ht="15.75" customHeight="1">
      <c r="A135" s="66" t="s">
        <v>205</v>
      </c>
      <c r="B135" s="38"/>
      <c r="C135" s="60" t="s">
        <v>211</v>
      </c>
      <c r="D135" s="65" t="s">
        <v>91</v>
      </c>
      <c r="E135" s="65" t="s">
        <v>92</v>
      </c>
      <c r="F135" s="62">
        <v>45658.0</v>
      </c>
      <c r="I135" s="63" t="str">
        <f>VLOOKUP(C135, 'Class Def. - Desc and Keywords'!$C$20:$C$1940,1,false)</f>
        <v>ZBM1_ATAPMATTE</v>
      </c>
    </row>
    <row r="136" ht="15.75" customHeight="1">
      <c r="A136" s="66" t="s">
        <v>205</v>
      </c>
      <c r="B136" s="38"/>
      <c r="C136" s="60" t="s">
        <v>212</v>
      </c>
      <c r="D136" s="65" t="s">
        <v>91</v>
      </c>
      <c r="E136" s="65" t="s">
        <v>92</v>
      </c>
      <c r="F136" s="62">
        <v>45658.0</v>
      </c>
      <c r="I136" s="63" t="str">
        <f>VLOOKUP(C136, 'Class Def. - Desc and Keywords'!$C$20:$C$1940,1,false)</f>
        <v>ZBM1_ATAPSMALLC</v>
      </c>
    </row>
    <row r="137" ht="15.75" customHeight="1">
      <c r="A137" s="66" t="s">
        <v>205</v>
      </c>
      <c r="B137" s="38"/>
      <c r="C137" s="60" t="s">
        <v>213</v>
      </c>
      <c r="D137" s="65" t="s">
        <v>91</v>
      </c>
      <c r="E137" s="65" t="s">
        <v>92</v>
      </c>
      <c r="F137" s="62">
        <v>45658.0</v>
      </c>
      <c r="I137" s="63" t="str">
        <f>VLOOKUP(C137, 'Class Def. - Desc and Keywords'!$C$20:$C$1940,1,false)</f>
        <v>ZBM1_ATAPUNGLAZED</v>
      </c>
    </row>
    <row r="138" ht="15.75" customHeight="1">
      <c r="A138" s="66" t="s">
        <v>205</v>
      </c>
      <c r="B138" s="38"/>
      <c r="C138" s="60" t="s">
        <v>214</v>
      </c>
      <c r="D138" s="65" t="s">
        <v>91</v>
      </c>
      <c r="E138" s="65" t="s">
        <v>92</v>
      </c>
      <c r="F138" s="62">
        <v>45658.0</v>
      </c>
      <c r="I138" s="63" t="str">
        <f>VLOOKUP(C138, 'Class Def. - Desc and Keywords'!$C$20:$C$1940,1,false)</f>
        <v>ZBM1_GYPSUMBOARD</v>
      </c>
    </row>
    <row r="139" ht="15.75" customHeight="1">
      <c r="A139" s="66" t="s">
        <v>205</v>
      </c>
      <c r="B139" s="38"/>
      <c r="C139" s="60" t="s">
        <v>215</v>
      </c>
      <c r="D139" s="65" t="s">
        <v>91</v>
      </c>
      <c r="E139" s="65" t="s">
        <v>92</v>
      </c>
      <c r="F139" s="62">
        <v>45658.0</v>
      </c>
      <c r="I139" s="63" t="str">
        <f>VLOOKUP(C139, 'Class Def. - Desc and Keywords'!$C$20:$C$1940,1,false)</f>
        <v>ZBM1_GYPSUMCASTING</v>
      </c>
    </row>
    <row r="140" ht="15.75" customHeight="1">
      <c r="A140" s="66" t="s">
        <v>205</v>
      </c>
      <c r="B140" s="38"/>
      <c r="C140" s="60" t="s">
        <v>216</v>
      </c>
      <c r="D140" s="65" t="s">
        <v>91</v>
      </c>
      <c r="E140" s="65" t="s">
        <v>92</v>
      </c>
      <c r="F140" s="62">
        <v>45658.0</v>
      </c>
      <c r="I140" s="63" t="str">
        <f>VLOOKUP(C140, 'Class Def. - Desc and Keywords'!$C$20:$C$1940,1,false)</f>
        <v>ZBM1_GYPSUMCOMPOND</v>
      </c>
    </row>
    <row r="141" ht="15.75" customHeight="1">
      <c r="A141" s="66" t="s">
        <v>205</v>
      </c>
      <c r="B141" s="38"/>
      <c r="C141" s="60" t="s">
        <v>217</v>
      </c>
      <c r="D141" s="65" t="s">
        <v>91</v>
      </c>
      <c r="E141" s="65" t="s">
        <v>92</v>
      </c>
      <c r="F141" s="62">
        <v>45658.0</v>
      </c>
      <c r="I141" s="63" t="str">
        <f>VLOOKUP(C141, 'Class Def. - Desc and Keywords'!$C$20:$C$1940,1,false)</f>
        <v>ZBM1_GYPSUMFRAME</v>
      </c>
    </row>
    <row r="142" ht="15.75" customHeight="1">
      <c r="A142" s="66" t="s">
        <v>205</v>
      </c>
      <c r="B142" s="38"/>
      <c r="C142" s="60" t="s">
        <v>218</v>
      </c>
      <c r="D142" s="65" t="s">
        <v>91</v>
      </c>
      <c r="E142" s="65" t="s">
        <v>92</v>
      </c>
      <c r="F142" s="62">
        <v>45658.0</v>
      </c>
      <c r="I142" s="63" t="str">
        <f>VLOOKUP(C142, 'Class Def. - Desc and Keywords'!$C$20:$C$1940,1,false)</f>
        <v>ZBM1_GYPTILE</v>
      </c>
    </row>
    <row r="143" ht="15.75" customHeight="1">
      <c r="A143" s="66" t="s">
        <v>205</v>
      </c>
      <c r="B143" s="38"/>
      <c r="C143" s="60" t="s">
        <v>219</v>
      </c>
      <c r="D143" s="65" t="s">
        <v>91</v>
      </c>
      <c r="E143" s="65" t="s">
        <v>92</v>
      </c>
      <c r="F143" s="62">
        <v>45658.0</v>
      </c>
      <c r="I143" s="63" t="str">
        <f>VLOOKUP(C143, 'Class Def. - Desc and Keywords'!$C$20:$C$1940,1,false)</f>
        <v>ZBM1_PLAINPLANK</v>
      </c>
    </row>
    <row r="144" ht="15.75" customHeight="1">
      <c r="A144" s="66" t="s">
        <v>205</v>
      </c>
      <c r="B144" s="38"/>
      <c r="C144" s="60" t="s">
        <v>220</v>
      </c>
      <c r="D144" s="65" t="s">
        <v>91</v>
      </c>
      <c r="E144" s="65" t="s">
        <v>92</v>
      </c>
      <c r="F144" s="62">
        <v>45658.0</v>
      </c>
      <c r="I144" s="63" t="str">
        <f>VLOOKUP(C144, 'Class Def. - Desc and Keywords'!$C$20:$C$1940,1,false)</f>
        <v>ZBM1_TEXTUREPLANK</v>
      </c>
    </row>
    <row r="145" ht="15.75" customHeight="1">
      <c r="A145" s="67"/>
      <c r="B145" s="38"/>
      <c r="C145" s="65" t="s">
        <v>221</v>
      </c>
      <c r="D145" s="68" t="s">
        <v>91</v>
      </c>
      <c r="E145" s="69" t="s">
        <v>92</v>
      </c>
      <c r="F145" s="62">
        <v>45658.0</v>
      </c>
      <c r="I145" s="63" t="str">
        <f>VLOOKUP(C145, 'Class Def. - Desc and Keywords'!$C$20:$C$1940,1,false)</f>
        <v>ZBM1_FIBERCEMACC</v>
      </c>
    </row>
    <row r="146" ht="15.75" customHeight="1">
      <c r="A146" s="67"/>
      <c r="B146" s="38"/>
      <c r="C146" s="60" t="s">
        <v>222</v>
      </c>
      <c r="D146" s="68" t="s">
        <v>91</v>
      </c>
      <c r="E146" s="69" t="s">
        <v>92</v>
      </c>
      <c r="F146" s="62">
        <v>45658.0</v>
      </c>
      <c r="I146" s="63" t="str">
        <f>VLOOKUP(C146, 'Class Def. - Desc and Keywords'!$C$20:$C$1940,1,false)</f>
        <v>ZSI2_POSM_EVENT</v>
      </c>
    </row>
    <row r="147" ht="15.75" customHeight="1">
      <c r="A147" s="67"/>
      <c r="B147" s="38"/>
      <c r="C147" s="70" t="s">
        <v>223</v>
      </c>
      <c r="D147" s="71" t="s">
        <v>91</v>
      </c>
      <c r="E147" s="70" t="s">
        <v>92</v>
      </c>
      <c r="F147" s="62">
        <v>45658.0</v>
      </c>
      <c r="I147" s="63" t="str">
        <f>VLOOKUP(C147, 'Class Def. - Desc and Keywords'!$C$20:$C$1940,1,false)</f>
        <v>ZRM1_NonFood_Mask</v>
      </c>
    </row>
    <row r="148" ht="15.75" customHeight="1">
      <c r="A148" s="67"/>
      <c r="B148" s="38"/>
      <c r="C148" s="70" t="s">
        <v>224</v>
      </c>
      <c r="D148" s="71" t="s">
        <v>91</v>
      </c>
      <c r="E148" s="70" t="s">
        <v>92</v>
      </c>
      <c r="F148" s="62">
        <v>45658.0</v>
      </c>
      <c r="I148" s="63" t="str">
        <f>VLOOKUP(C148, 'Class Def. - Desc and Keywords'!$C$20:$C$1940,1,false)</f>
        <v>ZRM1_Perfume</v>
      </c>
    </row>
    <row r="149" ht="15.75" customHeight="1">
      <c r="A149" s="67"/>
      <c r="B149" s="38"/>
      <c r="C149" s="70" t="s">
        <v>225</v>
      </c>
      <c r="D149" s="71" t="s">
        <v>91</v>
      </c>
      <c r="E149" s="70" t="s">
        <v>92</v>
      </c>
      <c r="F149" s="62">
        <v>45658.0</v>
      </c>
      <c r="I149" s="63" t="str">
        <f>VLOOKUP(C149, 'Class Def. - Desc and Keywords'!$C$20:$C$1940,1,false)</f>
        <v>ZRM1_Food_Mask</v>
      </c>
    </row>
    <row r="150" ht="15.75" customHeight="1">
      <c r="A150" s="67"/>
      <c r="B150" s="38"/>
      <c r="C150" s="70" t="s">
        <v>226</v>
      </c>
      <c r="D150" s="71" t="s">
        <v>91</v>
      </c>
      <c r="E150" s="70" t="s">
        <v>92</v>
      </c>
      <c r="F150" s="62">
        <v>45658.0</v>
      </c>
      <c r="I150" s="63" t="str">
        <f>VLOOKUP(C150, 'Class Def. - Desc and Keywords'!$C$20:$C$1940,1,false)</f>
        <v>ZRM1_MB_PGM</v>
      </c>
    </row>
    <row r="151" ht="15.75" customHeight="1">
      <c r="A151" s="67"/>
      <c r="B151" s="38"/>
      <c r="C151" s="70" t="s">
        <v>227</v>
      </c>
      <c r="D151" s="71" t="s">
        <v>91</v>
      </c>
      <c r="E151" s="70" t="s">
        <v>92</v>
      </c>
      <c r="F151" s="62">
        <v>45658.0</v>
      </c>
      <c r="I151" s="63" t="str">
        <f>VLOOKUP(C151, 'Class Def. - Desc and Keywords'!$C$20:$C$1940,1,false)</f>
        <v>ZRM1_Resin</v>
      </c>
    </row>
    <row r="152" ht="15.75" customHeight="1">
      <c r="A152" s="67"/>
      <c r="B152" s="38"/>
      <c r="C152" s="70" t="s">
        <v>228</v>
      </c>
      <c r="D152" s="71" t="s">
        <v>91</v>
      </c>
      <c r="E152" s="70" t="s">
        <v>92</v>
      </c>
      <c r="F152" s="62">
        <v>45658.0</v>
      </c>
      <c r="I152" s="63" t="str">
        <f>VLOOKUP(C152, 'Class Def. - Desc and Keywords'!$C$20:$C$1940,1,false)</f>
        <v>ZRM1_AddResin</v>
      </c>
    </row>
    <row r="153" ht="15.75" customHeight="1">
      <c r="A153" s="67"/>
      <c r="B153" s="38"/>
      <c r="C153" s="70" t="s">
        <v>229</v>
      </c>
      <c r="D153" s="71" t="s">
        <v>91</v>
      </c>
      <c r="E153" s="70" t="s">
        <v>92</v>
      </c>
      <c r="F153" s="62">
        <v>45658.0</v>
      </c>
      <c r="I153" s="63" t="str">
        <f>VLOOKUP(C153, 'Class Def. - Desc and Keywords'!$C$20:$C$1940,1,false)</f>
        <v>ZRM1_NoMask_Acid</v>
      </c>
    </row>
    <row r="154" ht="15.75" customHeight="1">
      <c r="A154" s="67"/>
      <c r="B154" s="38"/>
      <c r="C154" s="70" t="s">
        <v>230</v>
      </c>
      <c r="D154" s="71" t="s">
        <v>91</v>
      </c>
      <c r="E154" s="70" t="s">
        <v>92</v>
      </c>
      <c r="F154" s="62">
        <v>45658.0</v>
      </c>
      <c r="I154" s="63" t="str">
        <f>VLOOKUP(C154, 'Class Def. - Desc and Keywords'!$C$20:$C$1940,1,false)</f>
        <v>ZRM1_Spice_Solid</v>
      </c>
    </row>
    <row r="155" ht="15.75" customHeight="1">
      <c r="A155" s="67"/>
      <c r="B155" s="38"/>
      <c r="C155" s="70" t="s">
        <v>231</v>
      </c>
      <c r="D155" s="71" t="s">
        <v>91</v>
      </c>
      <c r="E155" s="70" t="s">
        <v>92</v>
      </c>
      <c r="F155" s="62">
        <v>45658.0</v>
      </c>
      <c r="I155" s="63" t="str">
        <f>VLOOKUP(C155, 'Class Def. - Desc and Keywords'!$C$20:$C$1940,1,false)</f>
        <v>ZRM1_Spice_Liq</v>
      </c>
    </row>
    <row r="156" ht="15.75" customHeight="1">
      <c r="A156" s="67"/>
      <c r="B156" s="38"/>
      <c r="C156" s="70" t="s">
        <v>232</v>
      </c>
      <c r="D156" s="71" t="s">
        <v>91</v>
      </c>
      <c r="E156" s="70" t="s">
        <v>92</v>
      </c>
      <c r="F156" s="62">
        <v>45658.0</v>
      </c>
      <c r="I156" s="63" t="str">
        <f>VLOOKUP(C156, 'Class Def. - Desc and Keywords'!$C$20:$C$1940,1,false)</f>
        <v>ZRM1_Flour_Starch</v>
      </c>
    </row>
    <row r="157" ht="15.75" customHeight="1">
      <c r="A157" s="67"/>
      <c r="B157" s="38"/>
      <c r="C157" s="70" t="s">
        <v>233</v>
      </c>
      <c r="D157" s="71" t="s">
        <v>91</v>
      </c>
      <c r="E157" s="70" t="s">
        <v>92</v>
      </c>
      <c r="F157" s="62">
        <v>45658.0</v>
      </c>
      <c r="I157" s="63" t="str">
        <f>VLOOKUP(C157, 'Class Def. - Desc and Keywords'!$C$20:$C$1940,1,false)</f>
        <v>ZRM1_NoMask_Salt</v>
      </c>
    </row>
    <row r="158" ht="15.75" customHeight="1">
      <c r="A158" s="67"/>
      <c r="B158" s="38"/>
      <c r="C158" s="70" t="s">
        <v>234</v>
      </c>
      <c r="D158" s="71" t="s">
        <v>91</v>
      </c>
      <c r="E158" s="70" t="s">
        <v>92</v>
      </c>
      <c r="F158" s="62">
        <v>45658.0</v>
      </c>
      <c r="I158" s="63" t="str">
        <f>VLOOKUP(C158, 'Class Def. - Desc and Keywords'!$C$20:$C$1940,1,false)</f>
        <v>ZRM1_Sweetener</v>
      </c>
    </row>
    <row r="159" ht="15.75" customHeight="1">
      <c r="A159" s="67"/>
      <c r="B159" s="38"/>
      <c r="C159" s="70" t="s">
        <v>235</v>
      </c>
      <c r="D159" s="71" t="s">
        <v>91</v>
      </c>
      <c r="E159" s="70" t="s">
        <v>92</v>
      </c>
      <c r="F159" s="62">
        <v>45658.0</v>
      </c>
      <c r="I159" s="63" t="str">
        <f>VLOOKUP(C159, 'Class Def. - Desc and Keywords'!$C$20:$C$1940,1,false)</f>
        <v>ZRM1_Crackers</v>
      </c>
    </row>
    <row r="160" ht="15.75" customHeight="1">
      <c r="A160" s="67"/>
      <c r="B160" s="38"/>
      <c r="C160" s="70" t="s">
        <v>236</v>
      </c>
      <c r="D160" s="71" t="s">
        <v>91</v>
      </c>
      <c r="E160" s="70" t="s">
        <v>92</v>
      </c>
      <c r="F160" s="62">
        <v>45658.0</v>
      </c>
      <c r="I160" s="63" t="str">
        <f>VLOOKUP(C160, 'Class Def. - Desc and Keywords'!$C$20:$C$1940,1,false)</f>
        <v>ZRM1_MSG</v>
      </c>
    </row>
    <row r="161" ht="15.75" customHeight="1">
      <c r="A161" s="67"/>
      <c r="B161" s="38"/>
      <c r="C161" s="70" t="s">
        <v>237</v>
      </c>
      <c r="D161" s="71" t="s">
        <v>91</v>
      </c>
      <c r="E161" s="70" t="s">
        <v>92</v>
      </c>
      <c r="F161" s="62">
        <v>45658.0</v>
      </c>
      <c r="I161" s="63" t="str">
        <f>VLOOKUP(C161, 'Class Def. - Desc and Keywords'!$C$20:$C$1940,1,false)</f>
        <v>ZRM1_Cooking_Oil</v>
      </c>
    </row>
    <row r="162" ht="15.75" customHeight="1">
      <c r="A162" s="67"/>
      <c r="B162" s="38"/>
      <c r="C162" s="70" t="s">
        <v>238</v>
      </c>
      <c r="D162" s="71" t="s">
        <v>91</v>
      </c>
      <c r="E162" s="70" t="s">
        <v>92</v>
      </c>
      <c r="F162" s="62">
        <v>45658.0</v>
      </c>
      <c r="I162" s="63" t="str">
        <f>VLOOKUP(C162, 'Class Def. - Desc and Keywords'!$C$20:$C$1940,1,false)</f>
        <v>ZRM1_Sambal</v>
      </c>
    </row>
    <row r="163" ht="15.75" customHeight="1">
      <c r="A163" s="67"/>
      <c r="B163" s="38"/>
      <c r="C163" s="70" t="s">
        <v>239</v>
      </c>
      <c r="D163" s="71" t="s">
        <v>91</v>
      </c>
      <c r="E163" s="70" t="s">
        <v>92</v>
      </c>
      <c r="F163" s="62">
        <v>45658.0</v>
      </c>
      <c r="I163" s="63" t="str">
        <f>VLOOKUP(C163, 'Class Def. - Desc and Keywords'!$C$20:$C$1940,1,false)</f>
        <v>ZRM1_NoMask_Base</v>
      </c>
    </row>
    <row r="164" ht="15.75" customHeight="1">
      <c r="A164" s="67"/>
      <c r="B164" s="38"/>
      <c r="C164" s="72" t="s">
        <v>240</v>
      </c>
      <c r="D164" s="71" t="s">
        <v>91</v>
      </c>
      <c r="E164" s="70" t="s">
        <v>92</v>
      </c>
      <c r="F164" s="62">
        <v>45658.0</v>
      </c>
      <c r="I164" s="63" t="str">
        <f>VLOOKUP(C164, 'Class Def. - Desc and Keywords'!$C$20:$C$1940,1,false)</f>
        <v>ZPM1_Isl_Tape</v>
      </c>
    </row>
    <row r="165" ht="15.75" customHeight="1">
      <c r="A165" s="67"/>
      <c r="B165" s="38"/>
      <c r="C165" s="72" t="s">
        <v>241</v>
      </c>
      <c r="D165" s="71" t="s">
        <v>91</v>
      </c>
      <c r="E165" s="70" t="s">
        <v>92</v>
      </c>
      <c r="F165" s="62">
        <v>45658.0</v>
      </c>
      <c r="I165" s="63" t="str">
        <f>VLOOKUP(C165, 'Class Def. - Desc and Keywords'!$C$20:$C$1940,1,false)</f>
        <v>ZPM1_Aero_TBHandle</v>
      </c>
    </row>
    <row r="166" ht="15.75" customHeight="1">
      <c r="A166" s="67"/>
      <c r="B166" s="38"/>
      <c r="C166" s="72" t="s">
        <v>242</v>
      </c>
      <c r="D166" s="71" t="s">
        <v>91</v>
      </c>
      <c r="E166" s="70" t="s">
        <v>92</v>
      </c>
      <c r="F166" s="62">
        <v>45658.0</v>
      </c>
      <c r="I166" s="63" t="str">
        <f>VLOOKUP(C166, 'Class Def. - Desc and Keywords'!$C$20:$C$1940,1,false)</f>
        <v>ZPM1_Ball_Holder</v>
      </c>
    </row>
    <row r="167" ht="15.75" customHeight="1">
      <c r="A167" s="67"/>
      <c r="B167" s="38"/>
      <c r="C167" s="72" t="s">
        <v>243</v>
      </c>
      <c r="D167" s="71" t="s">
        <v>91</v>
      </c>
      <c r="E167" s="70" t="s">
        <v>92</v>
      </c>
      <c r="F167" s="62">
        <v>45658.0</v>
      </c>
      <c r="I167" s="63" t="str">
        <f>VLOOKUP(C167, 'Class Def. - Desc and Keywords'!$C$20:$C$1940,1,false)</f>
        <v>ZPM1_Bottle_Ember</v>
      </c>
    </row>
    <row r="168" ht="15.75" customHeight="1">
      <c r="A168" s="67"/>
      <c r="B168" s="38"/>
      <c r="C168" s="72" t="s">
        <v>244</v>
      </c>
      <c r="D168" s="71" t="s">
        <v>91</v>
      </c>
      <c r="E168" s="70" t="s">
        <v>92</v>
      </c>
      <c r="F168" s="62">
        <v>45658.0</v>
      </c>
      <c r="I168" s="63" t="str">
        <f>VLOOKUP(C168, 'Class Def. - Desc and Keywords'!$C$20:$C$1940,1,false)</f>
        <v>ZPM1_Box</v>
      </c>
    </row>
    <row r="169" ht="15.75" customHeight="1">
      <c r="A169" s="67"/>
      <c r="B169" s="38"/>
      <c r="C169" s="72" t="s">
        <v>245</v>
      </c>
      <c r="D169" s="71" t="s">
        <v>91</v>
      </c>
      <c r="E169" s="70" t="s">
        <v>92</v>
      </c>
      <c r="F169" s="62">
        <v>45658.0</v>
      </c>
      <c r="I169" s="63" t="str">
        <f>VLOOKUP(C169, 'Class Def. - Desc and Keywords'!$C$20:$C$1940,1,false)</f>
        <v>ZPM1_Cup_Paper</v>
      </c>
    </row>
    <row r="170" ht="15.75" customHeight="1">
      <c r="A170" s="67"/>
      <c r="B170" s="38"/>
      <c r="C170" s="72" t="s">
        <v>246</v>
      </c>
      <c r="D170" s="71" t="s">
        <v>91</v>
      </c>
      <c r="E170" s="70" t="s">
        <v>92</v>
      </c>
      <c r="F170" s="62">
        <v>45658.0</v>
      </c>
      <c r="I170" s="63" t="str">
        <f>VLOOKUP(C170, 'Class Def. - Desc and Keywords'!$C$20:$C$1940,1,false)</f>
        <v>ZPM1_Cup_Plastic</v>
      </c>
    </row>
    <row r="171" ht="15.75" customHeight="1">
      <c r="A171" s="67"/>
      <c r="B171" s="38"/>
      <c r="C171" s="72" t="s">
        <v>247</v>
      </c>
      <c r="D171" s="71" t="s">
        <v>91</v>
      </c>
      <c r="E171" s="70" t="s">
        <v>92</v>
      </c>
      <c r="F171" s="62">
        <v>45658.0</v>
      </c>
      <c r="I171" s="63" t="str">
        <f>VLOOKUP(C171, 'Class Def. - Desc and Keywords'!$C$20:$C$1940,1,false)</f>
        <v>ZPM1_Drum</v>
      </c>
    </row>
    <row r="172" ht="15.75" customHeight="1">
      <c r="A172" s="67"/>
      <c r="B172" s="38"/>
      <c r="C172" s="72" t="s">
        <v>248</v>
      </c>
      <c r="D172" s="71" t="s">
        <v>91</v>
      </c>
      <c r="E172" s="70" t="s">
        <v>92</v>
      </c>
      <c r="F172" s="62">
        <v>45658.0</v>
      </c>
      <c r="I172" s="63" t="str">
        <f>VLOOKUP(C172, 'Class Def. - Desc and Keywords'!$C$20:$C$1940,1,false)</f>
        <v>ZPM1_Jerrycan</v>
      </c>
    </row>
    <row r="173" ht="15.75" customHeight="1">
      <c r="A173" s="67"/>
      <c r="B173" s="38"/>
      <c r="C173" s="72" t="s">
        <v>249</v>
      </c>
      <c r="D173" s="71" t="s">
        <v>91</v>
      </c>
      <c r="E173" s="70" t="s">
        <v>92</v>
      </c>
      <c r="F173" s="62">
        <v>45658.0</v>
      </c>
      <c r="I173" s="63" t="str">
        <f>VLOOKUP(C173, 'Class Def. - Desc and Keywords'!$C$20:$C$1940,1,false)</f>
        <v>ZPM1_BagCupLid</v>
      </c>
    </row>
    <row r="174" ht="15.75" customHeight="1">
      <c r="A174" s="67"/>
      <c r="B174" s="38"/>
      <c r="C174" s="72" t="s">
        <v>250</v>
      </c>
      <c r="D174" s="71" t="s">
        <v>91</v>
      </c>
      <c r="E174" s="70" t="s">
        <v>92</v>
      </c>
      <c r="F174" s="62">
        <v>45658.0</v>
      </c>
      <c r="I174" s="63" t="str">
        <f>VLOOKUP(C174, 'Class Def. - Desc and Keywords'!$C$20:$C$1940,1,false)</f>
        <v>ZPM1_Bag3SideSeal</v>
      </c>
    </row>
    <row r="175" ht="15.75" customHeight="1">
      <c r="A175" s="67"/>
      <c r="B175" s="38"/>
      <c r="C175" s="72" t="s">
        <v>251</v>
      </c>
      <c r="D175" s="71" t="s">
        <v>91</v>
      </c>
      <c r="E175" s="70" t="s">
        <v>92</v>
      </c>
      <c r="F175" s="62">
        <v>45658.0</v>
      </c>
      <c r="I175" s="63" t="str">
        <f>VLOOKUP(C175, 'Class Def. - Desc and Keywords'!$C$20:$C$1940,1,false)</f>
        <v>ZPM1_BIB</v>
      </c>
    </row>
    <row r="176" ht="15.75" customHeight="1">
      <c r="A176" s="67"/>
      <c r="B176" s="38"/>
      <c r="C176" s="72" t="s">
        <v>252</v>
      </c>
      <c r="D176" s="71" t="s">
        <v>91</v>
      </c>
      <c r="E176" s="70" t="s">
        <v>92</v>
      </c>
      <c r="F176" s="62">
        <v>45658.0</v>
      </c>
      <c r="I176" s="63" t="str">
        <f>VLOOKUP(C176, 'Class Def. - Desc and Keywords'!$C$20:$C$1940,1,false)</f>
        <v>ZPM1_PTP_Foil</v>
      </c>
    </row>
    <row r="177" ht="15.75" customHeight="1">
      <c r="A177" s="67"/>
      <c r="B177" s="38"/>
      <c r="C177" s="72" t="s">
        <v>253</v>
      </c>
      <c r="D177" s="71" t="s">
        <v>91</v>
      </c>
      <c r="E177" s="70" t="s">
        <v>92</v>
      </c>
      <c r="F177" s="62">
        <v>45658.0</v>
      </c>
      <c r="I177" s="63" t="str">
        <f>VLOOKUP(C177, 'Class Def. - Desc and Keywords'!$C$20:$C$1940,1,false)</f>
        <v>ZPM1_Rol_Tube</v>
      </c>
    </row>
    <row r="178" ht="15.75" customHeight="1">
      <c r="A178" s="67"/>
      <c r="B178" s="38"/>
      <c r="C178" s="72" t="s">
        <v>254</v>
      </c>
      <c r="D178" s="71" t="s">
        <v>91</v>
      </c>
      <c r="E178" s="70" t="s">
        <v>92</v>
      </c>
      <c r="F178" s="62">
        <v>45658.0</v>
      </c>
      <c r="I178" s="63" t="str">
        <f>VLOOKUP(C178, 'Class Def. - Desc and Keywords'!$C$20:$C$1940,1,false)</f>
        <v>ZPM1_SP</v>
      </c>
    </row>
    <row r="179" ht="15.75" customHeight="1">
      <c r="A179" s="67"/>
      <c r="B179" s="38"/>
      <c r="C179" s="72" t="s">
        <v>255</v>
      </c>
      <c r="D179" s="71" t="s">
        <v>91</v>
      </c>
      <c r="E179" s="70" t="s">
        <v>92</v>
      </c>
      <c r="F179" s="62">
        <v>45658.0</v>
      </c>
      <c r="I179" s="63" t="str">
        <f>VLOOKUP(C179, 'Class Def. - Desc and Keywords'!$C$20:$C$1940,1,false)</f>
        <v>ZPM1_GLSPLS_Jar</v>
      </c>
    </row>
    <row r="180" ht="15.75" customHeight="1">
      <c r="A180" s="67"/>
      <c r="B180" s="38"/>
      <c r="C180" s="72" t="s">
        <v>256</v>
      </c>
      <c r="D180" s="71" t="s">
        <v>91</v>
      </c>
      <c r="E180" s="70" t="s">
        <v>92</v>
      </c>
      <c r="F180" s="62">
        <v>45658.0</v>
      </c>
      <c r="I180" s="63" t="str">
        <f>VLOOKUP(C180, 'Class Def. - Desc and Keywords'!$C$20:$C$1940,1,false)</f>
        <v>ZPM1_Layer</v>
      </c>
    </row>
    <row r="181" ht="15.75" customHeight="1">
      <c r="A181" s="67"/>
      <c r="B181" s="38"/>
      <c r="C181" s="72" t="s">
        <v>257</v>
      </c>
      <c r="D181" s="71" t="s">
        <v>91</v>
      </c>
      <c r="E181" s="70" t="s">
        <v>92</v>
      </c>
      <c r="F181" s="62">
        <v>45658.0</v>
      </c>
      <c r="I181" s="63" t="str">
        <f>VLOOKUP(C181, 'Class Def. - Desc and Keywords'!$C$20:$C$1940,1,false)</f>
        <v>ZPM1_Label_Sticker</v>
      </c>
    </row>
    <row r="182" ht="15.75" customHeight="1">
      <c r="A182" s="67"/>
      <c r="B182" s="38"/>
      <c r="C182" s="72" t="s">
        <v>258</v>
      </c>
      <c r="D182" s="71" t="s">
        <v>91</v>
      </c>
      <c r="E182" s="70" t="s">
        <v>92</v>
      </c>
      <c r="F182" s="62">
        <v>45658.0</v>
      </c>
      <c r="I182" s="63" t="str">
        <f>VLOOKUP(C182, 'Class Def. - Desc and Keywords'!$C$20:$C$1940,1,false)</f>
        <v>ZPM1_Paper_PE</v>
      </c>
    </row>
    <row r="183" ht="15.75" customHeight="1">
      <c r="A183" s="67"/>
      <c r="B183" s="38"/>
      <c r="C183" s="72" t="s">
        <v>259</v>
      </c>
      <c r="D183" s="71" t="s">
        <v>91</v>
      </c>
      <c r="E183" s="70" t="s">
        <v>92</v>
      </c>
      <c r="F183" s="62">
        <v>45658.0</v>
      </c>
      <c r="I183" s="63" t="str">
        <f>VLOOKUP(C183, 'Class Def. - Desc and Keywords'!$C$20:$C$1940,1,false)</f>
        <v>ZPM1_Glue_Ink</v>
      </c>
    </row>
    <row r="184" ht="15.75" customHeight="1">
      <c r="A184" s="67"/>
      <c r="B184" s="38"/>
      <c r="C184" s="72" t="s">
        <v>260</v>
      </c>
      <c r="D184" s="71" t="s">
        <v>91</v>
      </c>
      <c r="E184" s="70" t="s">
        <v>92</v>
      </c>
      <c r="F184" s="62">
        <v>45658.0</v>
      </c>
      <c r="I184" s="63" t="str">
        <f>VLOOKUP(C184, 'Class Def. - Desc and Keywords'!$C$20:$C$1940,1,false)</f>
        <v>ZPM1_Partisi</v>
      </c>
    </row>
    <row r="185" ht="15.75" customHeight="1">
      <c r="A185" s="67"/>
      <c r="B185" s="38"/>
      <c r="C185" s="72" t="s">
        <v>261</v>
      </c>
      <c r="D185" s="71" t="s">
        <v>91</v>
      </c>
      <c r="E185" s="70" t="s">
        <v>92</v>
      </c>
      <c r="F185" s="62">
        <v>45658.0</v>
      </c>
      <c r="I185" s="63" t="str">
        <f>VLOOKUP(C185, 'Class Def. - Desc and Keywords'!$C$20:$C$1940,1,false)</f>
        <v>ZPM1_PotPlastic</v>
      </c>
    </row>
    <row r="186" ht="15.75" customHeight="1">
      <c r="A186" s="67"/>
      <c r="B186" s="38"/>
      <c r="C186" s="72" t="s">
        <v>262</v>
      </c>
      <c r="D186" s="71" t="s">
        <v>91</v>
      </c>
      <c r="E186" s="70" t="s">
        <v>92</v>
      </c>
      <c r="F186" s="62">
        <v>45658.0</v>
      </c>
      <c r="I186" s="63" t="str">
        <f>VLOOKUP(C186, 'Class Def. - Desc and Keywords'!$C$20:$C$1940,1,false)</f>
        <v>ZPM1_SHL_SHW</v>
      </c>
    </row>
    <row r="187" ht="15.75" customHeight="1">
      <c r="A187" s="67"/>
      <c r="B187" s="38"/>
      <c r="C187" s="72" t="s">
        <v>263</v>
      </c>
      <c r="D187" s="71" t="s">
        <v>91</v>
      </c>
      <c r="E187" s="70" t="s">
        <v>92</v>
      </c>
      <c r="F187" s="62">
        <v>45658.0</v>
      </c>
      <c r="I187" s="63" t="str">
        <f>VLOOKUP(C187, 'Class Def. - Desc and Keywords'!$C$20:$C$1940,1,false)</f>
        <v>ZPM1_SimplePlastic</v>
      </c>
    </row>
    <row r="188" ht="15.75" customHeight="1">
      <c r="A188" s="67"/>
      <c r="B188" s="38"/>
      <c r="C188" s="72" t="s">
        <v>264</v>
      </c>
      <c r="D188" s="71" t="s">
        <v>91</v>
      </c>
      <c r="E188" s="70" t="s">
        <v>92</v>
      </c>
      <c r="F188" s="62">
        <v>45658.0</v>
      </c>
      <c r="I188" s="63" t="str">
        <f>VLOOKUP(C188, 'Class Def. - Desc and Keywords'!$C$20:$C$1940,1,false)</f>
        <v>ZPM1_Spoon_Fork</v>
      </c>
    </row>
    <row r="189" ht="15.75" customHeight="1">
      <c r="A189" s="67"/>
      <c r="B189" s="38"/>
      <c r="C189" s="72" t="s">
        <v>265</v>
      </c>
      <c r="D189" s="71" t="s">
        <v>91</v>
      </c>
      <c r="E189" s="70" t="s">
        <v>92</v>
      </c>
      <c r="F189" s="62">
        <v>45658.0</v>
      </c>
      <c r="I189" s="63" t="str">
        <f>VLOOKUP(C189, 'Class Def. - Desc and Keywords'!$C$20:$C$1940,1,false)</f>
        <v>ZPM1_Stiffener</v>
      </c>
    </row>
    <row r="190" ht="15.75" customHeight="1">
      <c r="A190" s="67"/>
      <c r="B190" s="38"/>
      <c r="C190" s="72" t="s">
        <v>266</v>
      </c>
      <c r="D190" s="71" t="s">
        <v>91</v>
      </c>
      <c r="E190" s="70" t="s">
        <v>92</v>
      </c>
      <c r="F190" s="62">
        <v>45658.0</v>
      </c>
      <c r="I190" s="63" t="str">
        <f>VLOOKUP(C190, 'Class Def. - Desc and Keywords'!$C$20:$C$1940,1,false)</f>
        <v>ZPM1_RibbonBarcode</v>
      </c>
    </row>
    <row r="191" ht="15.75" customHeight="1">
      <c r="A191" s="67"/>
      <c r="B191" s="38"/>
      <c r="C191" s="72" t="s">
        <v>267</v>
      </c>
      <c r="D191" s="71" t="s">
        <v>91</v>
      </c>
      <c r="E191" s="70" t="s">
        <v>92</v>
      </c>
      <c r="F191" s="62">
        <v>45658.0</v>
      </c>
      <c r="I191" s="63" t="str">
        <f>VLOOKUP(C191, 'Class Def. - Desc and Keywords'!$C$20:$C$1940,1,false)</f>
        <v>ZPM1_SealLiner</v>
      </c>
    </row>
    <row r="192" ht="15.75" customHeight="1">
      <c r="A192" s="67"/>
      <c r="B192" s="38"/>
      <c r="C192" s="72" t="s">
        <v>268</v>
      </c>
      <c r="D192" s="71" t="s">
        <v>91</v>
      </c>
      <c r="E192" s="70" t="s">
        <v>92</v>
      </c>
      <c r="F192" s="62">
        <v>45658.0</v>
      </c>
      <c r="I192" s="63" t="str">
        <f>VLOOKUP(C192, 'Class Def. - Desc and Keywords'!$C$20:$C$1940,1,false)</f>
        <v>ZPM1_Straw</v>
      </c>
    </row>
    <row r="193" ht="15.75" customHeight="1">
      <c r="A193" s="67"/>
      <c r="B193" s="38"/>
      <c r="C193" s="72" t="s">
        <v>269</v>
      </c>
      <c r="D193" s="71" t="s">
        <v>91</v>
      </c>
      <c r="E193" s="70" t="s">
        <v>92</v>
      </c>
      <c r="F193" s="62">
        <v>45658.0</v>
      </c>
      <c r="I193" s="63" t="str">
        <f>VLOOKUP(C193, 'Class Def. - Desc and Keywords'!$C$20:$C$1940,1,false)</f>
        <v>ZPM1_TBHelm_TPCap</v>
      </c>
    </row>
    <row r="194" ht="15.75" customHeight="1">
      <c r="A194" s="67"/>
      <c r="B194" s="38"/>
      <c r="C194" s="72" t="s">
        <v>270</v>
      </c>
      <c r="D194" s="71" t="s">
        <v>91</v>
      </c>
      <c r="E194" s="70" t="s">
        <v>92</v>
      </c>
      <c r="F194" s="62">
        <v>45658.0</v>
      </c>
      <c r="I194" s="63" t="str">
        <f>VLOOKUP(C194, 'Class Def. - Desc and Keywords'!$C$20:$C$1940,1,false)</f>
        <v>ZPM1_AluCan_TinCan</v>
      </c>
    </row>
    <row r="195" ht="15.75" customHeight="1">
      <c r="A195" s="67"/>
      <c r="B195" s="38"/>
      <c r="C195" s="72" t="s">
        <v>271</v>
      </c>
      <c r="D195" s="71" t="s">
        <v>91</v>
      </c>
      <c r="E195" s="70" t="s">
        <v>92</v>
      </c>
      <c r="F195" s="62">
        <v>45658.0</v>
      </c>
      <c r="I195" s="63" t="str">
        <f>VLOOKUP(C195, 'Class Def. - Desc and Keywords'!$C$20:$C$1940,1,false)</f>
        <v>ZPM1_PackValve</v>
      </c>
    </row>
    <row r="196" ht="15.75" customHeight="1">
      <c r="A196" s="67"/>
      <c r="B196" s="38"/>
      <c r="C196" s="72" t="s">
        <v>272</v>
      </c>
      <c r="D196" s="71" t="s">
        <v>91</v>
      </c>
      <c r="E196" s="70" t="s">
        <v>92</v>
      </c>
      <c r="F196" s="62">
        <v>45658.0</v>
      </c>
      <c r="I196" s="63" t="str">
        <f>VLOOKUP(C196, 'Class Def. - Desc and Keywords'!$C$20:$C$1940,1,false)</f>
        <v>ZPM1_CB</v>
      </c>
    </row>
    <row r="197" ht="15.75" customHeight="1">
      <c r="A197" s="67"/>
      <c r="B197" s="38"/>
      <c r="C197" s="72" t="s">
        <v>273</v>
      </c>
      <c r="D197" s="71" t="s">
        <v>91</v>
      </c>
      <c r="E197" s="70" t="s">
        <v>92</v>
      </c>
      <c r="F197" s="62">
        <v>45658.0</v>
      </c>
      <c r="I197" s="63" t="str">
        <f>VLOOKUP(C197, 'Class Def. - Desc and Keywords'!$C$20:$C$1940,1,false)</f>
        <v>ZPM1_Duplex</v>
      </c>
    </row>
    <row r="198" ht="15.75" customHeight="1">
      <c r="A198" s="67"/>
      <c r="B198" s="38"/>
      <c r="C198" s="72" t="s">
        <v>274</v>
      </c>
      <c r="D198" s="71" t="s">
        <v>91</v>
      </c>
      <c r="E198" s="70" t="s">
        <v>92</v>
      </c>
      <c r="F198" s="62">
        <v>45658.0</v>
      </c>
      <c r="I198" s="63" t="str">
        <f>VLOOKUP(C198, 'Class Def. - Desc and Keywords'!$C$20:$C$1940,1,false)</f>
        <v>ZPM1_Ivory</v>
      </c>
    </row>
    <row r="199" ht="15.75" customHeight="1">
      <c r="A199" s="67"/>
      <c r="B199" s="38"/>
      <c r="C199" s="72" t="s">
        <v>275</v>
      </c>
      <c r="D199" s="71" t="s">
        <v>91</v>
      </c>
      <c r="E199" s="70" t="s">
        <v>92</v>
      </c>
      <c r="F199" s="62">
        <v>45658.0</v>
      </c>
      <c r="I199" s="63" t="str">
        <f>VLOOKUP(C199, 'Class Def. - Desc and Keywords'!$C$20:$C$1940,1,false)</f>
        <v>ZPM1_ETK_INBOX</v>
      </c>
    </row>
    <row r="200" ht="15.75" customHeight="1">
      <c r="A200" s="67"/>
      <c r="B200" s="38"/>
      <c r="C200" s="72" t="s">
        <v>276</v>
      </c>
      <c r="D200" s="71" t="s">
        <v>91</v>
      </c>
      <c r="E200" s="70" t="s">
        <v>92</v>
      </c>
      <c r="F200" s="62">
        <v>45658.0</v>
      </c>
      <c r="I200" s="63" t="str">
        <f>VLOOKUP(C200, 'Class Def. - Desc and Keywords'!$C$20:$C$1940,1,false)</f>
        <v>ZPM1_HGR</v>
      </c>
    </row>
    <row r="201" ht="15.75" customHeight="1">
      <c r="A201" s="67"/>
      <c r="B201" s="38"/>
      <c r="C201" s="70" t="s">
        <v>277</v>
      </c>
      <c r="D201" s="71" t="s">
        <v>91</v>
      </c>
      <c r="E201" s="70" t="s">
        <v>92</v>
      </c>
      <c r="F201" s="62">
        <v>45658.0</v>
      </c>
      <c r="I201" s="63" t="str">
        <f>VLOOKUP(C201, 'Class Def. - Desc and Keywords'!$C$20:$C$1940,1,false)</f>
        <v>ZWS2_Waste</v>
      </c>
    </row>
    <row r="202" ht="15.75" customHeight="1">
      <c r="A202" s="67"/>
      <c r="B202" s="38"/>
      <c r="C202" s="72" t="s">
        <v>278</v>
      </c>
      <c r="D202" s="71" t="s">
        <v>91</v>
      </c>
      <c r="E202" s="70" t="s">
        <v>92</v>
      </c>
      <c r="F202" s="62">
        <v>45658.0</v>
      </c>
      <c r="I202" s="63" t="str">
        <f>VLOOKUP(C202, 'Class Def. - Desc and Keywords'!$C$20:$C$1940,1,false)</f>
        <v>ZPM1_Isl_DT</v>
      </c>
    </row>
    <row r="203" ht="15.75" customHeight="1">
      <c r="A203" s="67"/>
      <c r="B203" s="38"/>
      <c r="C203" s="72" t="s">
        <v>279</v>
      </c>
      <c r="D203" s="71" t="s">
        <v>91</v>
      </c>
      <c r="E203" s="70" t="s">
        <v>92</v>
      </c>
      <c r="F203" s="62">
        <v>45658.0</v>
      </c>
      <c r="I203" s="63" t="str">
        <f>VLOOKUP(C203, 'Class Def. - Desc and Keywords'!$C$20:$C$1940,1,false)</f>
        <v>ZPM1_Sack</v>
      </c>
    </row>
    <row r="204" ht="15.75" customHeight="1">
      <c r="A204" s="67"/>
      <c r="B204" s="38"/>
      <c r="C204" s="72" t="s">
        <v>280</v>
      </c>
      <c r="D204" s="71" t="s">
        <v>91</v>
      </c>
      <c r="E204" s="70" t="s">
        <v>92</v>
      </c>
      <c r="F204" s="62">
        <v>45658.0</v>
      </c>
      <c r="I204" s="63" t="str">
        <f>VLOOKUP(C204, 'Class Def. - Desc and Keywords'!$C$20:$C$1940,1,false)</f>
        <v>ZPM1_SW</v>
      </c>
    </row>
    <row r="205" ht="15.75" customHeight="1">
      <c r="A205" s="67"/>
      <c r="B205" s="38"/>
      <c r="C205" s="72" t="s">
        <v>281</v>
      </c>
      <c r="D205" s="71" t="s">
        <v>91</v>
      </c>
      <c r="E205" s="70" t="s">
        <v>92</v>
      </c>
      <c r="F205" s="62">
        <v>45658.0</v>
      </c>
      <c r="I205" s="63" t="str">
        <f>VLOOKUP(C205, 'Class Def. - Desc and Keywords'!$C$20:$C$1940,1,false)</f>
        <v>ZPM1_BLS</v>
      </c>
    </row>
    <row r="206" ht="15.75" customHeight="1">
      <c r="A206" s="67"/>
      <c r="B206" s="38"/>
      <c r="C206" s="72" t="s">
        <v>282</v>
      </c>
      <c r="D206" s="71" t="s">
        <v>91</v>
      </c>
      <c r="E206" s="70" t="s">
        <v>92</v>
      </c>
      <c r="F206" s="62">
        <v>45658.0</v>
      </c>
      <c r="I206" s="63" t="str">
        <f>VLOOKUP(C206, 'Class Def. - Desc and Keywords'!$C$20:$C$1940,1,false)</f>
        <v>ZPM1_NCKTagOutSlv</v>
      </c>
    </row>
    <row r="207" ht="15.75" customHeight="1">
      <c r="A207" s="67"/>
      <c r="B207" s="38"/>
      <c r="C207" s="70" t="s">
        <v>283</v>
      </c>
      <c r="D207" s="71" t="s">
        <v>91</v>
      </c>
      <c r="E207" s="70" t="s">
        <v>92</v>
      </c>
      <c r="F207" s="62">
        <v>45658.0</v>
      </c>
      <c r="I207" s="63" t="str">
        <f>VLOOKUP(C207, 'Class Def. - Desc and Keywords'!$C$20:$C$1940,1,false)</f>
        <v>ZPM1_TRAY</v>
      </c>
    </row>
    <row r="208" ht="15.75" customHeight="1">
      <c r="A208" s="67"/>
      <c r="B208" s="38"/>
      <c r="C208" s="70" t="s">
        <v>284</v>
      </c>
      <c r="D208" s="71" t="s">
        <v>91</v>
      </c>
      <c r="E208" s="70" t="s">
        <v>92</v>
      </c>
      <c r="F208" s="62">
        <v>45658.0</v>
      </c>
      <c r="I208" s="63" t="str">
        <f>VLOOKUP(C208, 'Class Def. - Desc and Keywords'!$C$20:$C$1940,1,false)</f>
        <v>ZPM1_TAGPIN</v>
      </c>
    </row>
    <row r="209" ht="15.75" customHeight="1">
      <c r="A209" s="67"/>
      <c r="B209" s="38"/>
      <c r="C209" s="70" t="s">
        <v>285</v>
      </c>
      <c r="D209" s="71" t="s">
        <v>91</v>
      </c>
      <c r="E209" s="70" t="s">
        <v>92</v>
      </c>
      <c r="F209" s="62">
        <v>45658.0</v>
      </c>
      <c r="I209" s="63" t="str">
        <f>VLOOKUP(C209, 'Class Def. - Desc and Keywords'!$C$20:$C$1940,1,false)</f>
        <v>ZPM1_BOX_PP</v>
      </c>
    </row>
    <row r="210" ht="15.75" customHeight="1">
      <c r="A210" s="67"/>
      <c r="B210" s="38"/>
      <c r="C210" s="70" t="s">
        <v>286</v>
      </c>
      <c r="D210" s="71" t="s">
        <v>91</v>
      </c>
      <c r="E210" s="70" t="s">
        <v>92</v>
      </c>
      <c r="F210" s="62">
        <v>45658.0</v>
      </c>
      <c r="I210" s="63" t="str">
        <f>VLOOKUP(C210, 'Class Def. - Desc and Keywords'!$C$20:$C$1940,1,false)</f>
        <v>ZRM1_ROLBIB</v>
      </c>
    </row>
    <row r="211" ht="15.75" customHeight="1">
      <c r="A211" s="67"/>
      <c r="B211" s="38"/>
      <c r="C211" s="70" t="s">
        <v>287</v>
      </c>
      <c r="D211" s="71" t="s">
        <v>91</v>
      </c>
      <c r="E211" s="70" t="s">
        <v>92</v>
      </c>
      <c r="F211" s="62">
        <v>45658.0</v>
      </c>
      <c r="I211" s="63" t="str">
        <f>VLOOKUP(C211, 'Class Def. - Desc and Keywords'!$C$20:$C$1940,1,false)</f>
        <v>ZRM1_NW_Wipes</v>
      </c>
    </row>
    <row r="212" ht="15.75" customHeight="1">
      <c r="A212" s="67"/>
      <c r="B212" s="38"/>
      <c r="C212" s="70" t="s">
        <v>288</v>
      </c>
      <c r="D212" s="71" t="s">
        <v>91</v>
      </c>
      <c r="E212" s="70" t="s">
        <v>92</v>
      </c>
      <c r="F212" s="62">
        <v>45658.0</v>
      </c>
      <c r="I212" s="63" t="str">
        <f>VLOOKUP(C212, 'Class Def. - Desc and Keywords'!$C$20:$C$1940,1,false)</f>
        <v>ZPM1_SUITCASE</v>
      </c>
    </row>
    <row r="213" ht="15.75" customHeight="1">
      <c r="A213" s="67"/>
      <c r="B213" s="38"/>
      <c r="C213" s="70" t="s">
        <v>289</v>
      </c>
      <c r="D213" s="71" t="s">
        <v>91</v>
      </c>
      <c r="E213" s="70" t="s">
        <v>92</v>
      </c>
      <c r="F213" s="62">
        <v>45658.0</v>
      </c>
      <c r="I213" s="63" t="str">
        <f>VLOOKUP(C213, 'Class Def. - Desc and Keywords'!$C$20:$C$1940,1,false)</f>
        <v>ZRM1_Kecap</v>
      </c>
    </row>
    <row r="214" ht="15.75" customHeight="1">
      <c r="A214" s="67"/>
      <c r="B214" s="38"/>
      <c r="C214" s="70" t="s">
        <v>290</v>
      </c>
      <c r="D214" s="71" t="s">
        <v>91</v>
      </c>
      <c r="E214" s="70" t="s">
        <v>92</v>
      </c>
      <c r="F214" s="62">
        <v>45658.0</v>
      </c>
      <c r="I214" s="63" t="str">
        <f>VLOOKUP(C214, 'Class Def. - Desc and Keywords'!$C$20:$C$1940,1,false)</f>
        <v>ZPM1_IBCTank</v>
      </c>
    </row>
    <row r="215" ht="15.75" customHeight="1">
      <c r="A215" s="67"/>
      <c r="B215" s="38"/>
      <c r="C215" s="70" t="s">
        <v>291</v>
      </c>
      <c r="D215" s="71" t="s">
        <v>91</v>
      </c>
      <c r="E215" s="70" t="s">
        <v>92</v>
      </c>
      <c r="F215" s="62">
        <v>45658.0</v>
      </c>
      <c r="I215" s="63" t="str">
        <f>VLOOKUP(C215, 'Class Def. - Desc and Keywords'!$C$20:$C$1940,1,false)</f>
        <v>ZRM1_Vit_Nutrient</v>
      </c>
    </row>
    <row r="216" ht="15.75" customHeight="1">
      <c r="A216" s="67"/>
      <c r="B216" s="38"/>
      <c r="C216" s="70" t="s">
        <v>292</v>
      </c>
      <c r="D216" s="71" t="s">
        <v>91</v>
      </c>
      <c r="E216" s="70" t="s">
        <v>92</v>
      </c>
      <c r="F216" s="62">
        <v>45658.0</v>
      </c>
      <c r="I216" s="63" t="str">
        <f>VLOOKUP(C216, 'Class Def. - Desc and Keywords'!$C$20:$C$1940,1,false)</f>
        <v>ZRM1_Colorant_Food</v>
      </c>
    </row>
    <row r="217" ht="15.75" customHeight="1">
      <c r="A217" s="67"/>
      <c r="B217" s="38"/>
      <c r="C217" s="73" t="s">
        <v>293</v>
      </c>
      <c r="D217" s="71" t="s">
        <v>91</v>
      </c>
      <c r="E217" s="70" t="s">
        <v>92</v>
      </c>
      <c r="F217" s="62">
        <v>45658.0</v>
      </c>
      <c r="I217" s="63" t="str">
        <f>VLOOKUP(C217, 'Class Def. - Desc and Keywords'!$C$20:$C$1940,1,false)</f>
        <v>ZRM1_BB_SUBCON</v>
      </c>
    </row>
    <row r="218" ht="15.75" customHeight="1">
      <c r="A218" s="67"/>
      <c r="B218" s="38"/>
      <c r="C218" s="73" t="s">
        <v>294</v>
      </c>
      <c r="D218" s="70" t="s">
        <v>91</v>
      </c>
      <c r="E218" s="70" t="s">
        <v>92</v>
      </c>
      <c r="F218" s="62">
        <v>45658.0</v>
      </c>
      <c r="I218" s="63" t="str">
        <f>VLOOKUP(C218, 'Class Def. - Desc and Keywords'!$C$20:$C$1940,1,false)</f>
        <v>ZSI1_OEM_PART</v>
      </c>
    </row>
    <row r="219" ht="15.75" customHeight="1">
      <c r="A219" s="67"/>
      <c r="B219" s="38"/>
      <c r="C219" s="73" t="s">
        <v>295</v>
      </c>
      <c r="D219" s="70" t="s">
        <v>91</v>
      </c>
      <c r="E219" s="70" t="s">
        <v>92</v>
      </c>
      <c r="F219" s="62">
        <v>45658.0</v>
      </c>
      <c r="I219" s="63" t="str">
        <f>VLOOKUP(C219, 'Class Def. - Desc and Keywords'!$C$20:$C$1940,1,false)</f>
        <v>ZSI1_HAND_TOOL</v>
      </c>
    </row>
    <row r="220" ht="15.75" customHeight="1">
      <c r="A220" s="67"/>
      <c r="B220" s="38"/>
      <c r="C220" s="73" t="s">
        <v>296</v>
      </c>
      <c r="D220" s="70" t="s">
        <v>91</v>
      </c>
      <c r="E220" s="70" t="s">
        <v>92</v>
      </c>
      <c r="F220" s="62">
        <v>45658.0</v>
      </c>
      <c r="I220" s="63" t="str">
        <f>VLOOKUP(C220, 'Class Def. - Desc and Keywords'!$C$20:$C$1940,1,false)</f>
        <v>ZSI1_BEARING</v>
      </c>
    </row>
    <row r="221" ht="15.75" customHeight="1">
      <c r="A221" s="67"/>
      <c r="B221" s="38"/>
      <c r="C221" s="73" t="s">
        <v>297</v>
      </c>
      <c r="D221" s="70" t="s">
        <v>91</v>
      </c>
      <c r="E221" s="70" t="s">
        <v>92</v>
      </c>
      <c r="F221" s="62">
        <v>45658.0</v>
      </c>
      <c r="I221" s="63" t="str">
        <f>VLOOKUP(C221, 'Class Def. - Desc and Keywords'!$C$20:$C$1940,1,false)</f>
        <v>ZSI1_PNEU_CONN</v>
      </c>
    </row>
    <row r="222" ht="15.75" customHeight="1">
      <c r="A222" s="67"/>
      <c r="B222" s="38"/>
      <c r="C222" s="73" t="s">
        <v>298</v>
      </c>
      <c r="D222" s="70" t="s">
        <v>91</v>
      </c>
      <c r="E222" s="70" t="s">
        <v>92</v>
      </c>
      <c r="F222" s="62">
        <v>45658.0</v>
      </c>
      <c r="I222" s="63" t="str">
        <f>VLOOKUP(C222, 'Class Def. - Desc and Keywords'!$C$20:$C$1940,1,false)</f>
        <v>ZSI1_ELEC_CONTROL</v>
      </c>
    </row>
    <row r="223" ht="15.75" customHeight="1">
      <c r="A223" s="67"/>
      <c r="B223" s="38"/>
      <c r="C223" s="73" t="s">
        <v>299</v>
      </c>
      <c r="D223" s="70" t="s">
        <v>91</v>
      </c>
      <c r="E223" s="70" t="s">
        <v>92</v>
      </c>
      <c r="F223" s="62">
        <v>45658.0</v>
      </c>
      <c r="I223" s="63" t="str">
        <f>VLOOKUP(C223, 'Class Def. - Desc and Keywords'!$C$20:$C$1940,1,false)</f>
        <v>ZSI1_PWR_TRANSMISN</v>
      </c>
    </row>
    <row r="224" ht="15.75" customHeight="1">
      <c r="A224" s="67"/>
      <c r="B224" s="38"/>
      <c r="C224" s="73" t="s">
        <v>300</v>
      </c>
      <c r="D224" s="70" t="s">
        <v>91</v>
      </c>
      <c r="E224" s="70" t="s">
        <v>92</v>
      </c>
      <c r="F224" s="62">
        <v>45658.0</v>
      </c>
      <c r="I224" s="63" t="str">
        <f>VLOOKUP(C224, 'Class Def. - Desc and Keywords'!$C$20:$C$1940,1,false)</f>
        <v>ZSI1_MTR_GEN_COMP</v>
      </c>
    </row>
    <row r="225" ht="15.75" customHeight="1">
      <c r="A225" s="67"/>
      <c r="B225" s="38"/>
      <c r="C225" s="73" t="s">
        <v>301</v>
      </c>
      <c r="D225" s="70" t="s">
        <v>91</v>
      </c>
      <c r="E225" s="70" t="s">
        <v>92</v>
      </c>
      <c r="F225" s="62">
        <v>45658.0</v>
      </c>
      <c r="I225" s="63" t="str">
        <f>VLOOKUP(C225, 'Class Def. - Desc and Keywords'!$C$20:$C$1940,1,false)</f>
        <v>ZSI1_OFFICE_EQUIP</v>
      </c>
    </row>
    <row r="226" ht="15.75" customHeight="1">
      <c r="A226" s="67"/>
      <c r="B226" s="38"/>
      <c r="C226" s="73" t="s">
        <v>302</v>
      </c>
      <c r="D226" s="70" t="s">
        <v>91</v>
      </c>
      <c r="E226" s="70" t="s">
        <v>92</v>
      </c>
      <c r="F226" s="62">
        <v>45658.0</v>
      </c>
      <c r="I226" s="63" t="str">
        <f>VLOOKUP(C226, 'Class Def. - Desc and Keywords'!$C$20:$C$1940,1,false)</f>
        <v>ZSI1_CCT_PROTECT</v>
      </c>
    </row>
    <row r="227" ht="15.75" customHeight="1">
      <c r="A227" s="67"/>
      <c r="B227" s="38"/>
      <c r="C227" s="73" t="s">
        <v>303</v>
      </c>
      <c r="D227" s="70" t="s">
        <v>91</v>
      </c>
      <c r="E227" s="70" t="s">
        <v>92</v>
      </c>
      <c r="F227" s="62">
        <v>45658.0</v>
      </c>
      <c r="I227" s="63" t="str">
        <f>VLOOKUP(C227, 'Class Def. - Desc and Keywords'!$C$20:$C$1940,1,false)</f>
        <v>ZSI1_ELEC_CONN</v>
      </c>
    </row>
    <row r="228" ht="15.75" customHeight="1">
      <c r="A228" s="67"/>
      <c r="B228" s="38"/>
      <c r="C228" s="73" t="s">
        <v>304</v>
      </c>
      <c r="D228" s="70" t="s">
        <v>91</v>
      </c>
      <c r="E228" s="70" t="s">
        <v>92</v>
      </c>
      <c r="F228" s="62">
        <v>45658.0</v>
      </c>
      <c r="I228" s="63" t="str">
        <f>VLOOKUP(C228, 'Class Def. - Desc and Keywords'!$C$20:$C$1940,1,false)</f>
        <v>ZSI1_PWR_CONDITION</v>
      </c>
    </row>
    <row r="229" ht="15.75" customHeight="1">
      <c r="A229" s="67"/>
      <c r="B229" s="38"/>
      <c r="C229" s="73" t="s">
        <v>305</v>
      </c>
      <c r="D229" s="70" t="s">
        <v>91</v>
      </c>
      <c r="E229" s="70" t="s">
        <v>92</v>
      </c>
      <c r="F229" s="62">
        <v>45658.0</v>
      </c>
      <c r="I229" s="63" t="str">
        <f>VLOOKUP(C229, 'Class Def. - Desc and Keywords'!$C$20:$C$1940,1,false)</f>
        <v>ZSI1_PLC</v>
      </c>
    </row>
    <row r="230" ht="15.75" customHeight="1">
      <c r="A230" s="67"/>
      <c r="B230" s="38"/>
      <c r="C230" s="73" t="s">
        <v>306</v>
      </c>
      <c r="D230" s="70" t="s">
        <v>91</v>
      </c>
      <c r="E230" s="70" t="s">
        <v>92</v>
      </c>
      <c r="F230" s="62">
        <v>45658.0</v>
      </c>
      <c r="I230" s="63" t="str">
        <f>VLOOKUP(C230, 'Class Def. - Desc and Keywords'!$C$20:$C$1940,1,false)</f>
        <v>ZSI1_FOOD_PREP_MC</v>
      </c>
    </row>
    <row r="231" ht="15.75" customHeight="1">
      <c r="A231" s="67"/>
      <c r="B231" s="38"/>
      <c r="C231" s="73" t="s">
        <v>307</v>
      </c>
      <c r="D231" s="70" t="s">
        <v>91</v>
      </c>
      <c r="E231" s="70" t="s">
        <v>92</v>
      </c>
      <c r="F231" s="62">
        <v>45658.0</v>
      </c>
      <c r="I231" s="63" t="str">
        <f>VLOOKUP(C231, 'Class Def. - Desc and Keywords'!$C$20:$C$1940,1,false)</f>
        <v>ZSI1_MEASURE_INST</v>
      </c>
    </row>
    <row r="232" ht="15.75" customHeight="1">
      <c r="A232" s="67"/>
      <c r="B232" s="38"/>
      <c r="C232" s="73" t="s">
        <v>308</v>
      </c>
      <c r="D232" s="70" t="s">
        <v>91</v>
      </c>
      <c r="E232" s="70" t="s">
        <v>92</v>
      </c>
      <c r="F232" s="62">
        <v>45658.0</v>
      </c>
      <c r="I232" s="63" t="str">
        <f>VLOOKUP(C232, 'Class Def. - Desc and Keywords'!$C$20:$C$1940,1,false)</f>
        <v>ZSI1_BATTERY_ACCU</v>
      </c>
    </row>
    <row r="233" ht="15.75" customHeight="1">
      <c r="A233" s="67"/>
      <c r="B233" s="38"/>
      <c r="C233" s="73" t="s">
        <v>309</v>
      </c>
      <c r="D233" s="70" t="s">
        <v>91</v>
      </c>
      <c r="E233" s="70" t="s">
        <v>92</v>
      </c>
      <c r="F233" s="62">
        <v>45658.0</v>
      </c>
      <c r="I233" s="63" t="str">
        <f>VLOOKUP(C233, 'Class Def. - Desc and Keywords'!$C$20:$C$1940,1,false)</f>
        <v>ZSI1_LUB_OIL</v>
      </c>
    </row>
    <row r="234" ht="15.75" customHeight="1">
      <c r="A234" s="67"/>
      <c r="B234" s="38"/>
      <c r="C234" s="73" t="s">
        <v>310</v>
      </c>
      <c r="D234" s="70" t="s">
        <v>91</v>
      </c>
      <c r="E234" s="70" t="s">
        <v>92</v>
      </c>
      <c r="F234" s="62">
        <v>45658.0</v>
      </c>
      <c r="I234" s="63" t="str">
        <f>VLOOKUP(C234, 'Class Def. - Desc and Keywords'!$C$20:$C$1940,1,false)</f>
        <v>ZSI1_ELEC_SWITCH</v>
      </c>
    </row>
    <row r="235" ht="15.75" customHeight="1">
      <c r="A235" s="67"/>
      <c r="B235" s="38"/>
      <c r="C235" s="73" t="s">
        <v>311</v>
      </c>
      <c r="D235" s="70" t="s">
        <v>91</v>
      </c>
      <c r="E235" s="70" t="s">
        <v>92</v>
      </c>
      <c r="F235" s="62">
        <v>45658.0</v>
      </c>
      <c r="I235" s="63" t="str">
        <f>VLOOKUP(C235, 'Class Def. - Desc and Keywords'!$C$20:$C$1940,1,false)</f>
        <v>ZSI1_ELEC_DIST_CC</v>
      </c>
    </row>
    <row r="236" ht="15.75" customHeight="1">
      <c r="A236" s="67"/>
      <c r="B236" s="38"/>
      <c r="C236" s="73" t="s">
        <v>312</v>
      </c>
      <c r="D236" s="70" t="s">
        <v>91</v>
      </c>
      <c r="E236" s="70" t="s">
        <v>92</v>
      </c>
      <c r="F236" s="62">
        <v>45658.0</v>
      </c>
      <c r="I236" s="63" t="str">
        <f>VLOOKUP(C236, 'Class Def. - Desc and Keywords'!$C$20:$C$1940,1,false)</f>
        <v>ZSI1_CIRCUIT_ASSY</v>
      </c>
    </row>
    <row r="237" ht="15.75" customHeight="1">
      <c r="A237" s="67"/>
      <c r="B237" s="38"/>
      <c r="C237" s="73" t="s">
        <v>313</v>
      </c>
      <c r="D237" s="70" t="s">
        <v>91</v>
      </c>
      <c r="E237" s="70" t="s">
        <v>92</v>
      </c>
      <c r="F237" s="62">
        <v>45658.0</v>
      </c>
      <c r="I237" s="63" t="str">
        <f>VLOOKUP(C237, 'Class Def. - Desc and Keywords'!$C$20:$C$1940,1,false)</f>
        <v>ZSI1_ELEC_RELAY</v>
      </c>
    </row>
    <row r="238" ht="15.75" customHeight="1">
      <c r="A238" s="67"/>
      <c r="B238" s="38"/>
      <c r="C238" s="73" t="s">
        <v>314</v>
      </c>
      <c r="D238" s="70" t="s">
        <v>91</v>
      </c>
      <c r="E238" s="70" t="s">
        <v>92</v>
      </c>
      <c r="F238" s="62">
        <v>45658.0</v>
      </c>
      <c r="I238" s="63" t="str">
        <f>VLOOKUP(C238, 'Class Def. - Desc and Keywords'!$C$20:$C$1940,1,false)</f>
        <v>ZSI1_SEPARATOR</v>
      </c>
    </row>
    <row r="239" ht="15.75" customHeight="1">
      <c r="A239" s="67"/>
      <c r="B239" s="38"/>
      <c r="C239" s="73" t="s">
        <v>315</v>
      </c>
      <c r="D239" s="70" t="s">
        <v>91</v>
      </c>
      <c r="E239" s="70" t="s">
        <v>92</v>
      </c>
      <c r="F239" s="62">
        <v>45658.0</v>
      </c>
      <c r="I239" s="63" t="str">
        <f>VLOOKUP(C239, 'Class Def. - Desc and Keywords'!$C$20:$C$1940,1,false)</f>
        <v>ZSI1_PWR_GENERATOR</v>
      </c>
    </row>
    <row r="240" ht="15.75" customHeight="1">
      <c r="A240" s="67"/>
      <c r="B240" s="38"/>
      <c r="C240" s="73" t="s">
        <v>316</v>
      </c>
      <c r="D240" s="70" t="s">
        <v>91</v>
      </c>
      <c r="E240" s="70" t="s">
        <v>92</v>
      </c>
      <c r="F240" s="62">
        <v>45658.0</v>
      </c>
      <c r="I240" s="63" t="str">
        <f>VLOOKUP(C240, 'Class Def. - Desc and Keywords'!$C$20:$C$1940,1,false)</f>
        <v>ZSI1_ELEC_PANEL</v>
      </c>
    </row>
    <row r="241" ht="15.75" customHeight="1">
      <c r="A241" s="67"/>
      <c r="B241" s="38"/>
      <c r="C241" s="73" t="s">
        <v>317</v>
      </c>
      <c r="D241" s="70" t="s">
        <v>91</v>
      </c>
      <c r="E241" s="70" t="s">
        <v>92</v>
      </c>
      <c r="F241" s="62">
        <v>45658.0</v>
      </c>
      <c r="I241" s="63" t="str">
        <f>VLOOKUP(C241, 'Class Def. - Desc and Keywords'!$C$20:$C$1940,1,false)</f>
        <v>ZSI1_PNEU_CYLINDER</v>
      </c>
    </row>
    <row r="242" ht="15.75" customHeight="1">
      <c r="A242" s="67"/>
      <c r="B242" s="38"/>
      <c r="C242" s="73" t="s">
        <v>318</v>
      </c>
      <c r="D242" s="70" t="s">
        <v>91</v>
      </c>
      <c r="E242" s="70" t="s">
        <v>92</v>
      </c>
      <c r="F242" s="62">
        <v>45658.0</v>
      </c>
      <c r="I242" s="63" t="str">
        <f>VLOOKUP(C242, 'Class Def. - Desc and Keywords'!$C$20:$C$1940,1,false)</f>
        <v>ZSI1_LOCK_NUT</v>
      </c>
    </row>
    <row r="243" ht="15.75" customHeight="1">
      <c r="A243" s="67"/>
      <c r="B243" s="38"/>
      <c r="C243" s="73" t="s">
        <v>319</v>
      </c>
      <c r="D243" s="70" t="s">
        <v>91</v>
      </c>
      <c r="E243" s="70" t="s">
        <v>92</v>
      </c>
      <c r="F243" s="62">
        <v>45658.0</v>
      </c>
      <c r="I243" s="63" t="str">
        <f>VLOOKUP(C243, 'Class Def. - Desc and Keywords'!$C$20:$C$1940,1,false)</f>
        <v>ZSI1_PUMP</v>
      </c>
    </row>
    <row r="244" ht="15.75" customHeight="1">
      <c r="A244" s="67"/>
      <c r="B244" s="38"/>
      <c r="C244" s="73" t="s">
        <v>320</v>
      </c>
      <c r="D244" s="70" t="s">
        <v>91</v>
      </c>
      <c r="E244" s="70" t="s">
        <v>92</v>
      </c>
      <c r="F244" s="62">
        <v>45658.0</v>
      </c>
      <c r="I244" s="63" t="str">
        <f>VLOOKUP(C244, 'Class Def. - Desc and Keywords'!$C$20:$C$1940,1,false)</f>
        <v>ZSI1_PULLEY</v>
      </c>
    </row>
    <row r="245" ht="15.75" customHeight="1">
      <c r="A245" s="67"/>
      <c r="B245" s="38"/>
      <c r="C245" s="73" t="s">
        <v>321</v>
      </c>
      <c r="D245" s="70" t="s">
        <v>91</v>
      </c>
      <c r="E245" s="70" t="s">
        <v>92</v>
      </c>
      <c r="F245" s="62">
        <v>45658.0</v>
      </c>
      <c r="I245" s="63" t="str">
        <f>VLOOKUP(C245, 'Class Def. - Desc and Keywords'!$C$20:$C$1940,1,false)</f>
        <v>ZSI1_REGULATOR</v>
      </c>
    </row>
    <row r="246" ht="15.75" customHeight="1">
      <c r="A246" s="67"/>
      <c r="B246" s="38"/>
      <c r="C246" s="73" t="s">
        <v>322</v>
      </c>
      <c r="D246" s="70" t="s">
        <v>91</v>
      </c>
      <c r="E246" s="70" t="s">
        <v>92</v>
      </c>
      <c r="F246" s="62">
        <v>45658.0</v>
      </c>
      <c r="I246" s="63" t="str">
        <f>VLOOKUP(C246, 'Class Def. - Desc and Keywords'!$C$20:$C$1940,1,false)</f>
        <v>ZSI1_TABLE_STAN</v>
      </c>
    </row>
    <row r="247" ht="15.75" customHeight="1">
      <c r="A247" s="67"/>
      <c r="B247" s="38"/>
      <c r="C247" s="73" t="s">
        <v>323</v>
      </c>
      <c r="D247" s="70" t="s">
        <v>91</v>
      </c>
      <c r="E247" s="70" t="s">
        <v>92</v>
      </c>
      <c r="F247" s="62">
        <v>45658.0</v>
      </c>
      <c r="I247" s="63" t="str">
        <f>VLOOKUP(C247, 'Class Def. - Desc and Keywords'!$C$20:$C$1940,1,false)</f>
        <v>ZSI1_COMPRESSOR</v>
      </c>
    </row>
    <row r="248" ht="15.75" customHeight="1">
      <c r="A248" s="67"/>
      <c r="B248" s="38"/>
      <c r="C248" s="73" t="s">
        <v>324</v>
      </c>
      <c r="D248" s="70" t="s">
        <v>91</v>
      </c>
      <c r="E248" s="70" t="s">
        <v>92</v>
      </c>
      <c r="F248" s="62">
        <v>45658.0</v>
      </c>
      <c r="I248" s="63" t="str">
        <f>VLOOKUP(C248, 'Class Def. - Desc and Keywords'!$C$20:$C$1940,1,false)</f>
        <v>ZSI1_PLASTIC_MC</v>
      </c>
    </row>
    <row r="249" ht="15.75" customHeight="1">
      <c r="A249" s="67"/>
      <c r="B249" s="38"/>
      <c r="C249" s="73" t="s">
        <v>325</v>
      </c>
      <c r="D249" s="70" t="s">
        <v>91</v>
      </c>
      <c r="E249" s="70" t="s">
        <v>92</v>
      </c>
      <c r="F249" s="62">
        <v>45658.0</v>
      </c>
      <c r="I249" s="63" t="str">
        <f>VLOOKUP(C249, 'Class Def. - Desc and Keywords'!$C$20:$C$1940,1,false)</f>
        <v>ZSI1_GEAR</v>
      </c>
    </row>
    <row r="250" ht="15.75" customHeight="1">
      <c r="A250" s="67"/>
      <c r="B250" s="38"/>
      <c r="C250" s="73" t="s">
        <v>326</v>
      </c>
      <c r="D250" s="70" t="s">
        <v>91</v>
      </c>
      <c r="E250" s="70" t="s">
        <v>92</v>
      </c>
      <c r="F250" s="62">
        <v>45658.0</v>
      </c>
      <c r="I250" s="63" t="str">
        <f>VLOOKUP(C250, 'Class Def. - Desc and Keywords'!$C$20:$C$1940,1,false)</f>
        <v>ZSI1_ELEC_BOX</v>
      </c>
    </row>
    <row r="251" ht="15.75" customHeight="1">
      <c r="A251" s="67"/>
      <c r="B251" s="38"/>
      <c r="C251" s="73" t="s">
        <v>327</v>
      </c>
      <c r="D251" s="70" t="s">
        <v>91</v>
      </c>
      <c r="E251" s="70" t="s">
        <v>92</v>
      </c>
      <c r="F251" s="62">
        <v>45658.0</v>
      </c>
      <c r="I251" s="63" t="str">
        <f>VLOOKUP(C251, 'Class Def. - Desc and Keywords'!$C$20:$C$1940,1,false)</f>
        <v>ZSI1_ELEC_CABLE</v>
      </c>
    </row>
    <row r="252" ht="15.75" customHeight="1">
      <c r="A252" s="67"/>
      <c r="B252" s="38"/>
      <c r="C252" s="73" t="s">
        <v>328</v>
      </c>
      <c r="D252" s="70" t="s">
        <v>91</v>
      </c>
      <c r="E252" s="70" t="s">
        <v>92</v>
      </c>
      <c r="F252" s="62">
        <v>45658.0</v>
      </c>
      <c r="I252" s="63" t="str">
        <f>VLOOKUP(C252, 'Class Def. - Desc and Keywords'!$C$20:$C$1940,1,false)</f>
        <v>ZSI1_SHELV_STORAGE</v>
      </c>
    </row>
    <row r="253" ht="15.75" customHeight="1">
      <c r="A253" s="67"/>
      <c r="B253" s="38"/>
      <c r="C253" s="73" t="s">
        <v>329</v>
      </c>
      <c r="D253" s="70" t="s">
        <v>91</v>
      </c>
      <c r="E253" s="70" t="s">
        <v>92</v>
      </c>
      <c r="F253" s="62">
        <v>45658.0</v>
      </c>
      <c r="I253" s="63" t="str">
        <f>VLOOKUP(C253, 'Class Def. - Desc and Keywords'!$C$20:$C$1940,1,false)</f>
        <v>ZSI1_MATL_HANDLING</v>
      </c>
    </row>
    <row r="254" ht="15.75" customHeight="1">
      <c r="A254" s="67"/>
      <c r="B254" s="38"/>
      <c r="C254" s="73" t="s">
        <v>330</v>
      </c>
      <c r="D254" s="70" t="s">
        <v>91</v>
      </c>
      <c r="E254" s="70" t="s">
        <v>92</v>
      </c>
      <c r="F254" s="62">
        <v>45658.0</v>
      </c>
      <c r="I254" s="63" t="str">
        <f>VLOOKUP(C254, 'Class Def. - Desc and Keywords'!$C$20:$C$1940,1,false)</f>
        <v>ZSI1_WAREHSE_EQUIP</v>
      </c>
    </row>
    <row r="255" ht="15.75" customHeight="1">
      <c r="A255" s="67"/>
      <c r="B255" s="38"/>
      <c r="C255" s="73" t="s">
        <v>331</v>
      </c>
      <c r="D255" s="70" t="s">
        <v>91</v>
      </c>
      <c r="E255" s="70" t="s">
        <v>92</v>
      </c>
      <c r="F255" s="62">
        <v>45658.0</v>
      </c>
      <c r="I255" s="63" t="str">
        <f>VLOOKUP(C255, 'Class Def. - Desc and Keywords'!$C$20:$C$1940,1,false)</f>
        <v>ZSI1_VENDING_MC</v>
      </c>
    </row>
    <row r="256" ht="15.75" customHeight="1">
      <c r="A256" s="67"/>
      <c r="B256" s="38"/>
      <c r="C256" s="73" t="s">
        <v>332</v>
      </c>
      <c r="D256" s="70" t="s">
        <v>91</v>
      </c>
      <c r="E256" s="70" t="s">
        <v>92</v>
      </c>
      <c r="F256" s="62">
        <v>45658.0</v>
      </c>
      <c r="I256" s="63" t="str">
        <f>VLOOKUP(C256, 'Class Def. - Desc and Keywords'!$C$20:$C$1940,1,false)</f>
        <v>ZSI1_WIRING_HARNES</v>
      </c>
    </row>
    <row r="257" ht="15.75" customHeight="1">
      <c r="A257" s="67"/>
      <c r="B257" s="38"/>
      <c r="C257" s="73" t="s">
        <v>333</v>
      </c>
      <c r="D257" s="70" t="s">
        <v>91</v>
      </c>
      <c r="E257" s="70" t="s">
        <v>92</v>
      </c>
      <c r="F257" s="62">
        <v>45658.0</v>
      </c>
      <c r="I257" s="63" t="str">
        <f>VLOOKUP(C257, 'Class Def. - Desc and Keywords'!$C$20:$C$1940,1,false)</f>
        <v>ZSI1_MEDICAL_EQUIP</v>
      </c>
    </row>
    <row r="258" ht="15.75" customHeight="1">
      <c r="A258" s="67"/>
      <c r="B258" s="38"/>
      <c r="C258" s="73" t="s">
        <v>334</v>
      </c>
      <c r="D258" s="70" t="s">
        <v>91</v>
      </c>
      <c r="E258" s="70" t="s">
        <v>92</v>
      </c>
      <c r="F258" s="62">
        <v>45658.0</v>
      </c>
      <c r="I258" s="63" t="str">
        <f>VLOOKUP(C258, 'Class Def. - Desc and Keywords'!$C$20:$C$1940,1,false)</f>
        <v>ZSI1_LIGHT_FIXTURE</v>
      </c>
    </row>
    <row r="259" ht="15.75" customHeight="1">
      <c r="A259" s="67"/>
      <c r="B259" s="38"/>
      <c r="C259" s="73" t="s">
        <v>335</v>
      </c>
      <c r="D259" s="70" t="s">
        <v>91</v>
      </c>
      <c r="E259" s="70" t="s">
        <v>92</v>
      </c>
      <c r="F259" s="62">
        <v>45658.0</v>
      </c>
      <c r="I259" s="63" t="str">
        <f>VLOOKUP(C259, 'Class Def. - Desc and Keywords'!$C$20:$C$1940,1,false)</f>
        <v>ZSI1_VEH_SERV_MC</v>
      </c>
    </row>
    <row r="260" ht="15.75" customHeight="1">
      <c r="A260" s="67"/>
      <c r="B260" s="38"/>
      <c r="C260" s="73" t="s">
        <v>336</v>
      </c>
      <c r="D260" s="70" t="s">
        <v>91</v>
      </c>
      <c r="E260" s="70" t="s">
        <v>92</v>
      </c>
      <c r="F260" s="62">
        <v>45658.0</v>
      </c>
      <c r="I260" s="63" t="str">
        <f>VLOOKUP(C260, 'Class Def. - Desc and Keywords'!$C$20:$C$1940,1,false)</f>
        <v>ZSI1_MC_COMPONENT</v>
      </c>
    </row>
    <row r="261" ht="15.75" customHeight="1">
      <c r="A261" s="67"/>
      <c r="B261" s="38"/>
      <c r="C261" s="73" t="s">
        <v>337</v>
      </c>
      <c r="D261" s="70" t="s">
        <v>91</v>
      </c>
      <c r="E261" s="70" t="s">
        <v>92</v>
      </c>
      <c r="F261" s="62">
        <v>45658.0</v>
      </c>
      <c r="I261" s="63" t="str">
        <f>VLOOKUP(C261, 'Class Def. - Desc and Keywords'!$C$20:$C$1940,1,false)</f>
        <v>ZSI1_WASHER</v>
      </c>
    </row>
    <row r="262" ht="15.75" customHeight="1">
      <c r="A262" s="67"/>
      <c r="B262" s="38"/>
      <c r="C262" s="73" t="s">
        <v>338</v>
      </c>
      <c r="D262" s="70" t="s">
        <v>91</v>
      </c>
      <c r="E262" s="70" t="s">
        <v>92</v>
      </c>
      <c r="F262" s="62">
        <v>45658.0</v>
      </c>
      <c r="I262" s="63" t="str">
        <f>VLOOKUP(C262, 'Class Def. - Desc and Keywords'!$C$20:$C$1940,1,false)</f>
        <v>ZSI1_CLAMPS</v>
      </c>
    </row>
    <row r="263" ht="15.75" customHeight="1">
      <c r="A263" s="67"/>
      <c r="B263" s="38"/>
      <c r="C263" s="73" t="s">
        <v>339</v>
      </c>
      <c r="D263" s="70" t="s">
        <v>91</v>
      </c>
      <c r="E263" s="70" t="s">
        <v>92</v>
      </c>
      <c r="F263" s="62">
        <v>45658.0</v>
      </c>
      <c r="I263" s="63" t="str">
        <f>VLOOKUP(C263, 'Class Def. - Desc and Keywords'!$C$20:$C$1940,1,false)</f>
        <v>ZSI1_BOLT</v>
      </c>
    </row>
    <row r="264" ht="15.75" customHeight="1">
      <c r="A264" s="67"/>
      <c r="B264" s="38"/>
      <c r="C264" s="73" t="s">
        <v>340</v>
      </c>
      <c r="D264" s="70" t="s">
        <v>91</v>
      </c>
      <c r="E264" s="70" t="s">
        <v>92</v>
      </c>
      <c r="F264" s="62">
        <v>45658.0</v>
      </c>
      <c r="I264" s="63" t="str">
        <f>VLOOKUP(C264, 'Class Def. - Desc and Keywords'!$C$20:$C$1940,1,false)</f>
        <v>ZSI1_POWER_CABLE</v>
      </c>
    </row>
    <row r="265" ht="15.75" customHeight="1">
      <c r="A265" s="67"/>
      <c r="B265" s="38"/>
      <c r="C265" s="73" t="s">
        <v>341</v>
      </c>
      <c r="D265" s="70" t="s">
        <v>91</v>
      </c>
      <c r="E265" s="70" t="s">
        <v>92</v>
      </c>
      <c r="F265" s="62">
        <v>45658.0</v>
      </c>
      <c r="I265" s="63" t="str">
        <f>VLOOKUP(C265, 'Class Def. - Desc and Keywords'!$C$20:$C$1940,1,false)</f>
        <v>ZSI1_FLEXIBLE_HOSE</v>
      </c>
    </row>
    <row r="266" ht="15.75" customHeight="1">
      <c r="A266" s="67"/>
      <c r="B266" s="38"/>
      <c r="C266" s="73" t="s">
        <v>342</v>
      </c>
      <c r="D266" s="70" t="s">
        <v>91</v>
      </c>
      <c r="E266" s="70" t="s">
        <v>92</v>
      </c>
      <c r="F266" s="62">
        <v>45658.0</v>
      </c>
      <c r="I266" s="63" t="str">
        <f>VLOOKUP(C266, 'Class Def. - Desc and Keywords'!$C$20:$C$1940,1,false)</f>
        <v>ZSI1_PNEU_HOSE</v>
      </c>
    </row>
    <row r="267" ht="15.75" customHeight="1">
      <c r="A267" s="67"/>
      <c r="B267" s="38"/>
      <c r="C267" s="73" t="s">
        <v>343</v>
      </c>
      <c r="D267" s="70" t="s">
        <v>91</v>
      </c>
      <c r="E267" s="70" t="s">
        <v>92</v>
      </c>
      <c r="F267" s="62">
        <v>45658.0</v>
      </c>
      <c r="I267" s="63" t="str">
        <f>VLOOKUP(C267, 'Class Def. - Desc and Keywords'!$C$20:$C$1940,1,false)</f>
        <v>ZSI1_WATER_HOSE</v>
      </c>
    </row>
    <row r="268" ht="15.75" customHeight="1">
      <c r="A268" s="67"/>
      <c r="B268" s="38"/>
      <c r="C268" s="73" t="s">
        <v>344</v>
      </c>
      <c r="D268" s="70" t="s">
        <v>91</v>
      </c>
      <c r="E268" s="70" t="s">
        <v>92</v>
      </c>
      <c r="F268" s="62">
        <v>45658.0</v>
      </c>
      <c r="I268" s="63" t="str">
        <f>VLOOKUP(C268, 'Class Def. - Desc and Keywords'!$C$20:$C$1940,1,false)</f>
        <v>ZSI1_ANGLE_BAR</v>
      </c>
    </row>
    <row r="269" ht="15.75" customHeight="1">
      <c r="A269" s="67"/>
      <c r="B269" s="38"/>
      <c r="C269" s="73" t="s">
        <v>345</v>
      </c>
      <c r="D269" s="70" t="s">
        <v>91</v>
      </c>
      <c r="E269" s="70" t="s">
        <v>92</v>
      </c>
      <c r="F269" s="62">
        <v>45658.0</v>
      </c>
      <c r="I269" s="63" t="str">
        <f>VLOOKUP(C269, 'Class Def. - Desc and Keywords'!$C$20:$C$1940,1,false)</f>
        <v>ZSI1_PIPE_NIPPLE</v>
      </c>
    </row>
    <row r="270" ht="15.75" customHeight="1">
      <c r="A270" s="67"/>
      <c r="B270" s="38"/>
      <c r="C270" s="73" t="s">
        <v>346</v>
      </c>
      <c r="D270" s="70" t="s">
        <v>91</v>
      </c>
      <c r="E270" s="70" t="s">
        <v>92</v>
      </c>
      <c r="F270" s="62">
        <v>45658.0</v>
      </c>
      <c r="I270" s="63" t="str">
        <f>VLOOKUP(C270, 'Class Def. - Desc and Keywords'!$C$20:$C$1940,1,false)</f>
        <v>ZSI1_FIRE_DETECTOR</v>
      </c>
    </row>
    <row r="271" ht="15.75" customHeight="1">
      <c r="A271" s="67"/>
      <c r="B271" s="38"/>
      <c r="C271" s="73" t="s">
        <v>347</v>
      </c>
      <c r="D271" s="70" t="s">
        <v>91</v>
      </c>
      <c r="E271" s="70" t="s">
        <v>92</v>
      </c>
      <c r="F271" s="62">
        <v>45658.0</v>
      </c>
      <c r="I271" s="63" t="str">
        <f>VLOOKUP(C271, 'Class Def. - Desc and Keywords'!$C$20:$C$1940,1,false)</f>
        <v>ZSI1_FIRE_EXTINGSH</v>
      </c>
    </row>
    <row r="272" ht="15.75" customHeight="1">
      <c r="A272" s="67"/>
      <c r="B272" s="38"/>
      <c r="C272" s="73" t="s">
        <v>348</v>
      </c>
      <c r="D272" s="70" t="s">
        <v>91</v>
      </c>
      <c r="E272" s="70" t="s">
        <v>92</v>
      </c>
      <c r="F272" s="62">
        <v>45658.0</v>
      </c>
      <c r="I272" s="63" t="str">
        <f>VLOOKUP(C272, 'Class Def. - Desc and Keywords'!$C$20:$C$1940,1,false)</f>
        <v>ZSI1_SPROCKET</v>
      </c>
    </row>
    <row r="273" ht="15.75" customHeight="1">
      <c r="A273" s="67"/>
      <c r="B273" s="38"/>
      <c r="C273" s="73" t="s">
        <v>349</v>
      </c>
      <c r="D273" s="70" t="s">
        <v>91</v>
      </c>
      <c r="E273" s="70" t="s">
        <v>92</v>
      </c>
      <c r="F273" s="62">
        <v>45658.0</v>
      </c>
      <c r="I273" s="63" t="str">
        <f>VLOOKUP(C273, 'Class Def. - Desc and Keywords'!$C$20:$C$1940,1,false)</f>
        <v>ZSI1_FORMS</v>
      </c>
    </row>
    <row r="274" ht="15.75" customHeight="1">
      <c r="A274" s="67"/>
      <c r="B274" s="38"/>
      <c r="C274" s="73" t="s">
        <v>350</v>
      </c>
      <c r="D274" s="70" t="s">
        <v>91</v>
      </c>
      <c r="E274" s="70" t="s">
        <v>92</v>
      </c>
      <c r="F274" s="62">
        <v>45658.0</v>
      </c>
      <c r="I274" s="63" t="str">
        <f>VLOOKUP(C274, 'Class Def. - Desc and Keywords'!$C$20:$C$1940,1,false)</f>
        <v>ZSI1_ADHESIVE_LEM</v>
      </c>
    </row>
    <row r="275" ht="15.75" customHeight="1">
      <c r="A275" s="67"/>
      <c r="B275" s="38"/>
      <c r="C275" s="73" t="s">
        <v>351</v>
      </c>
      <c r="D275" s="70" t="s">
        <v>91</v>
      </c>
      <c r="E275" s="70" t="s">
        <v>92</v>
      </c>
      <c r="F275" s="62">
        <v>45658.0</v>
      </c>
      <c r="I275" s="63" t="str">
        <f>VLOOKUP(C275, 'Class Def. - Desc and Keywords'!$C$20:$C$1940,1,false)</f>
        <v>ZSI1_ADHESIVE_TAPE</v>
      </c>
    </row>
    <row r="276" ht="15.75" customHeight="1">
      <c r="A276" s="67"/>
      <c r="B276" s="38"/>
      <c r="C276" s="73" t="s">
        <v>352</v>
      </c>
      <c r="D276" s="70" t="s">
        <v>91</v>
      </c>
      <c r="E276" s="70" t="s">
        <v>92</v>
      </c>
      <c r="F276" s="62">
        <v>45658.0</v>
      </c>
      <c r="I276" s="63" t="str">
        <f>VLOOKUP(C276, 'Class Def. - Desc and Keywords'!$C$20:$C$1940,1,false)</f>
        <v>ZSI1_AIR_COOLANT</v>
      </c>
    </row>
    <row r="277" ht="15.75" customHeight="1">
      <c r="A277" s="67"/>
      <c r="B277" s="38"/>
      <c r="C277" s="73" t="s">
        <v>353</v>
      </c>
      <c r="D277" s="70" t="s">
        <v>91</v>
      </c>
      <c r="E277" s="70" t="s">
        <v>92</v>
      </c>
      <c r="F277" s="62">
        <v>45658.0</v>
      </c>
      <c r="I277" s="63" t="str">
        <f>VLOOKUP(C277, 'Class Def. - Desc and Keywords'!$C$20:$C$1940,1,false)</f>
        <v>ZSI1_AMPLAS</v>
      </c>
    </row>
    <row r="278" ht="15.75" customHeight="1">
      <c r="A278" s="67"/>
      <c r="B278" s="38"/>
      <c r="C278" s="73" t="s">
        <v>354</v>
      </c>
      <c r="D278" s="70" t="s">
        <v>91</v>
      </c>
      <c r="E278" s="70" t="s">
        <v>92</v>
      </c>
      <c r="F278" s="62">
        <v>45658.0</v>
      </c>
      <c r="I278" s="63" t="str">
        <f>VLOOKUP(C278, 'Class Def. - Desc and Keywords'!$C$20:$C$1940,1,false)</f>
        <v>ZSI1_ANCHOR</v>
      </c>
    </row>
    <row r="279" ht="15.75" customHeight="1">
      <c r="A279" s="67"/>
      <c r="B279" s="38"/>
      <c r="C279" s="73" t="s">
        <v>355</v>
      </c>
      <c r="D279" s="70" t="s">
        <v>91</v>
      </c>
      <c r="E279" s="70" t="s">
        <v>92</v>
      </c>
      <c r="F279" s="62">
        <v>45658.0</v>
      </c>
      <c r="I279" s="63" t="str">
        <f>VLOOKUP(C279, 'Class Def. - Desc and Keywords'!$C$20:$C$1940,1,false)</f>
        <v>ZSI1_ELECTRONICS</v>
      </c>
    </row>
    <row r="280" ht="15.75" customHeight="1">
      <c r="A280" s="67"/>
      <c r="B280" s="38"/>
      <c r="C280" s="73" t="s">
        <v>356</v>
      </c>
      <c r="D280" s="70" t="s">
        <v>91</v>
      </c>
      <c r="E280" s="70" t="s">
        <v>92</v>
      </c>
      <c r="F280" s="62">
        <v>45658.0</v>
      </c>
      <c r="I280" s="63" t="str">
        <f>VLOOKUP(C280, 'Class Def. - Desc and Keywords'!$C$20:$C$1940,1,false)</f>
        <v>ZSI1_BINDER_CLIP</v>
      </c>
    </row>
    <row r="281" ht="15.75" customHeight="1">
      <c r="A281" s="67"/>
      <c r="B281" s="38"/>
      <c r="C281" s="73" t="s">
        <v>357</v>
      </c>
      <c r="D281" s="70" t="s">
        <v>91</v>
      </c>
      <c r="E281" s="70" t="s">
        <v>92</v>
      </c>
      <c r="F281" s="62">
        <v>45658.0</v>
      </c>
      <c r="I281" s="63" t="str">
        <f>VLOOKUP(C281, 'Class Def. - Desc and Keywords'!$C$20:$C$1940,1,false)</f>
        <v>ZSI1_BLIND_CURTAIN</v>
      </c>
    </row>
    <row r="282" ht="15.75" customHeight="1">
      <c r="A282" s="67"/>
      <c r="B282" s="38"/>
      <c r="C282" s="73" t="s">
        <v>358</v>
      </c>
      <c r="D282" s="70" t="s">
        <v>91</v>
      </c>
      <c r="E282" s="70" t="s">
        <v>92</v>
      </c>
      <c r="F282" s="62">
        <v>45658.0</v>
      </c>
      <c r="I282" s="63" t="str">
        <f>VLOOKUP(C282, 'Class Def. - Desc and Keywords'!$C$20:$C$1940,1,false)</f>
        <v>ZSI1_BRACKET</v>
      </c>
    </row>
    <row r="283" ht="15.75" customHeight="1">
      <c r="A283" s="67"/>
      <c r="B283" s="38"/>
      <c r="C283" s="73" t="s">
        <v>359</v>
      </c>
      <c r="D283" s="70" t="s">
        <v>91</v>
      </c>
      <c r="E283" s="70" t="s">
        <v>92</v>
      </c>
      <c r="F283" s="62">
        <v>45658.0</v>
      </c>
      <c r="I283" s="63" t="str">
        <f>VLOOKUP(C283, 'Class Def. - Desc and Keywords'!$C$20:$C$1940,1,false)</f>
        <v>ZSI1_FURNITURE</v>
      </c>
    </row>
    <row r="284" ht="15.75" customHeight="1">
      <c r="A284" s="67"/>
      <c r="B284" s="38"/>
      <c r="C284" s="73" t="s">
        <v>360</v>
      </c>
      <c r="D284" s="70" t="s">
        <v>91</v>
      </c>
      <c r="E284" s="70" t="s">
        <v>92</v>
      </c>
      <c r="F284" s="62">
        <v>45658.0</v>
      </c>
      <c r="I284" s="63" t="str">
        <f>VLOOKUP(C284, 'Class Def. - Desc and Keywords'!$C$20:$C$1940,1,false)</f>
        <v>ZSI1_BRICKS</v>
      </c>
    </row>
    <row r="285" ht="15.75" customHeight="1">
      <c r="A285" s="67"/>
      <c r="B285" s="38"/>
      <c r="C285" s="73" t="s">
        <v>361</v>
      </c>
      <c r="D285" s="70" t="s">
        <v>91</v>
      </c>
      <c r="E285" s="70" t="s">
        <v>92</v>
      </c>
      <c r="F285" s="62">
        <v>45658.0</v>
      </c>
      <c r="I285" s="63" t="str">
        <f>VLOOKUP(C285, 'Class Def. - Desc and Keywords'!$C$20:$C$1940,1,false)</f>
        <v>ZSI1_C_CHANNEL</v>
      </c>
    </row>
    <row r="286" ht="15.75" customHeight="1">
      <c r="A286" s="67"/>
      <c r="B286" s="38"/>
      <c r="C286" s="73" t="s">
        <v>362</v>
      </c>
      <c r="D286" s="70" t="s">
        <v>91</v>
      </c>
      <c r="E286" s="70" t="s">
        <v>92</v>
      </c>
      <c r="F286" s="62">
        <v>45658.0</v>
      </c>
      <c r="I286" s="63" t="str">
        <f>VLOOKUP(C286, 'Class Def. - Desc and Keywords'!$C$20:$C$1940,1,false)</f>
        <v>ZSI1_CABLE_DUCT</v>
      </c>
    </row>
    <row r="287" ht="15.75" customHeight="1">
      <c r="A287" s="67"/>
      <c r="B287" s="38"/>
      <c r="C287" s="73" t="s">
        <v>363</v>
      </c>
      <c r="D287" s="70" t="s">
        <v>91</v>
      </c>
      <c r="E287" s="70" t="s">
        <v>92</v>
      </c>
      <c r="F287" s="62">
        <v>45658.0</v>
      </c>
      <c r="I287" s="63" t="str">
        <f>VLOOKUP(C287, 'Class Def. - Desc and Keywords'!$C$20:$C$1940,1,false)</f>
        <v>ZSI1_CABLE_TRAY</v>
      </c>
    </row>
    <row r="288" ht="15.75" customHeight="1">
      <c r="A288" s="67"/>
      <c r="B288" s="38"/>
      <c r="C288" s="73" t="s">
        <v>364</v>
      </c>
      <c r="D288" s="70" t="s">
        <v>91</v>
      </c>
      <c r="E288" s="70" t="s">
        <v>92</v>
      </c>
      <c r="F288" s="62">
        <v>45658.0</v>
      </c>
      <c r="I288" s="63" t="str">
        <f>VLOOKUP(C288, 'Class Def. - Desc and Keywords'!$C$20:$C$1940,1,false)</f>
        <v>ZSI1_CEMENT</v>
      </c>
    </row>
    <row r="289" ht="15.75" customHeight="1">
      <c r="A289" s="67"/>
      <c r="B289" s="38"/>
      <c r="C289" s="73" t="s">
        <v>365</v>
      </c>
      <c r="D289" s="70" t="s">
        <v>91</v>
      </c>
      <c r="E289" s="70" t="s">
        <v>92</v>
      </c>
      <c r="F289" s="62">
        <v>45658.0</v>
      </c>
      <c r="I289" s="63" t="str">
        <f>VLOOKUP(C289, 'Class Def. - Desc and Keywords'!$C$20:$C$1940,1,false)</f>
        <v>ZSI1_CHEMICAL_GAS</v>
      </c>
    </row>
    <row r="290" ht="15.75" customHeight="1">
      <c r="A290" s="67"/>
      <c r="B290" s="38"/>
      <c r="C290" s="73" t="s">
        <v>366</v>
      </c>
      <c r="D290" s="70" t="s">
        <v>91</v>
      </c>
      <c r="E290" s="70" t="s">
        <v>92</v>
      </c>
      <c r="F290" s="62">
        <v>45658.0</v>
      </c>
      <c r="I290" s="63" t="str">
        <f>VLOOKUP(C290, 'Class Def. - Desc and Keywords'!$C$20:$C$1940,1,false)</f>
        <v>ZSI1_CLEANING_EQP</v>
      </c>
    </row>
    <row r="291" ht="15.75" customHeight="1">
      <c r="A291" s="67"/>
      <c r="B291" s="38"/>
      <c r="C291" s="73" t="s">
        <v>367</v>
      </c>
      <c r="D291" s="70" t="s">
        <v>91</v>
      </c>
      <c r="E291" s="70" t="s">
        <v>92</v>
      </c>
      <c r="F291" s="62">
        <v>45658.0</v>
      </c>
      <c r="I291" s="63" t="str">
        <f>VLOOKUP(C291, 'Class Def. - Desc and Keywords'!$C$20:$C$1940,1,false)</f>
        <v>ZSI1_COMM_ACCS</v>
      </c>
    </row>
    <row r="292" ht="15.75" customHeight="1">
      <c r="A292" s="67"/>
      <c r="B292" s="38"/>
      <c r="C292" s="73" t="s">
        <v>368</v>
      </c>
      <c r="D292" s="70" t="s">
        <v>91</v>
      </c>
      <c r="E292" s="70" t="s">
        <v>92</v>
      </c>
      <c r="F292" s="62">
        <v>45658.0</v>
      </c>
      <c r="I292" s="63" t="str">
        <f>VLOOKUP(C292, 'Class Def. - Desc and Keywords'!$C$20:$C$1940,1,false)</f>
        <v>ZSI1_COMM_DEVICE</v>
      </c>
    </row>
    <row r="293" ht="15.75" customHeight="1">
      <c r="A293" s="67"/>
      <c r="B293" s="38"/>
      <c r="C293" s="73" t="s">
        <v>369</v>
      </c>
      <c r="D293" s="70" t="s">
        <v>91</v>
      </c>
      <c r="E293" s="70" t="s">
        <v>92</v>
      </c>
      <c r="F293" s="62">
        <v>45658.0</v>
      </c>
      <c r="I293" s="63" t="str">
        <f>VLOOKUP(C293, 'Class Def. - Desc and Keywords'!$C$20:$C$1940,1,false)</f>
        <v>ZSI1_COMP_HARDDISK</v>
      </c>
    </row>
    <row r="294" ht="15.75" customHeight="1">
      <c r="A294" s="67"/>
      <c r="B294" s="38"/>
      <c r="C294" s="73" t="s">
        <v>370</v>
      </c>
      <c r="D294" s="70" t="s">
        <v>91</v>
      </c>
      <c r="E294" s="70" t="s">
        <v>92</v>
      </c>
      <c r="F294" s="62">
        <v>45658.0</v>
      </c>
      <c r="I294" s="63" t="str">
        <f>VLOOKUP(C294, 'Class Def. - Desc and Keywords'!$C$20:$C$1940,1,false)</f>
        <v>ZSI1_COMP_MIX_SOLV</v>
      </c>
    </row>
    <row r="295" ht="15.75" customHeight="1">
      <c r="A295" s="67"/>
      <c r="B295" s="38"/>
      <c r="C295" s="73" t="s">
        <v>371</v>
      </c>
      <c r="D295" s="70" t="s">
        <v>91</v>
      </c>
      <c r="E295" s="70" t="s">
        <v>92</v>
      </c>
      <c r="F295" s="62">
        <v>45658.0</v>
      </c>
      <c r="I295" s="63" t="str">
        <f>VLOOKUP(C295, 'Class Def. - Desc and Keywords'!$C$20:$C$1940,1,false)</f>
        <v>#N/A</v>
      </c>
    </row>
    <row r="296" ht="15.75" customHeight="1">
      <c r="A296" s="67"/>
      <c r="B296" s="38"/>
      <c r="C296" s="73" t="s">
        <v>372</v>
      </c>
      <c r="D296" s="70" t="s">
        <v>91</v>
      </c>
      <c r="E296" s="70" t="s">
        <v>92</v>
      </c>
      <c r="F296" s="62">
        <v>45658.0</v>
      </c>
      <c r="I296" s="63" t="str">
        <f>VLOOKUP(C296, 'Class Def. - Desc and Keywords'!$C$20:$C$1940,1,false)</f>
        <v>ZSI1_COMPUTER_EQP</v>
      </c>
    </row>
    <row r="297" ht="15.75" customHeight="1">
      <c r="A297" s="67"/>
      <c r="B297" s="38"/>
      <c r="C297" s="73" t="s">
        <v>373</v>
      </c>
      <c r="D297" s="70" t="s">
        <v>91</v>
      </c>
      <c r="E297" s="70" t="s">
        <v>92</v>
      </c>
      <c r="F297" s="62">
        <v>45658.0</v>
      </c>
      <c r="I297" s="63" t="str">
        <f>VLOOKUP(C297, 'Class Def. - Desc and Keywords'!$C$20:$C$1940,1,false)</f>
        <v>#N/A</v>
      </c>
    </row>
    <row r="298" ht="15.75" customHeight="1">
      <c r="A298" s="67"/>
      <c r="B298" s="38"/>
      <c r="C298" s="73" t="s">
        <v>374</v>
      </c>
      <c r="D298" s="70" t="s">
        <v>91</v>
      </c>
      <c r="E298" s="70" t="s">
        <v>92</v>
      </c>
      <c r="F298" s="62">
        <v>45658.0</v>
      </c>
      <c r="I298" s="63" t="str">
        <f>VLOOKUP(C298, 'Class Def. - Desc and Keywords'!$C$20:$C$1940,1,false)</f>
        <v>ZSI1_CONCR_REINFOR</v>
      </c>
    </row>
    <row r="299" ht="15.75" customHeight="1">
      <c r="A299" s="67"/>
      <c r="B299" s="38"/>
      <c r="C299" s="73" t="s">
        <v>375</v>
      </c>
      <c r="D299" s="70" t="s">
        <v>91</v>
      </c>
      <c r="E299" s="70" t="s">
        <v>92</v>
      </c>
      <c r="F299" s="62">
        <v>45658.0</v>
      </c>
      <c r="I299" s="63" t="str">
        <f>VLOOKUP(C299, 'Class Def. - Desc and Keywords'!$C$20:$C$1940,1,false)</f>
        <v>ZSI1_CONSTRCT_COIL</v>
      </c>
    </row>
    <row r="300" ht="15.75" customHeight="1">
      <c r="A300" s="67"/>
      <c r="B300" s="38"/>
      <c r="C300" s="73" t="s">
        <v>376</v>
      </c>
      <c r="D300" s="70" t="s">
        <v>91</v>
      </c>
      <c r="E300" s="70" t="s">
        <v>92</v>
      </c>
      <c r="F300" s="62">
        <v>45658.0</v>
      </c>
      <c r="I300" s="63" t="str">
        <f>VLOOKUP(C300, 'Class Def. - Desc and Keywords'!$C$20:$C$1940,1,false)</f>
        <v>ZSI1_CONSTRUCT_ROD</v>
      </c>
    </row>
    <row r="301" ht="15.75" customHeight="1">
      <c r="A301" s="67"/>
      <c r="B301" s="38"/>
      <c r="C301" s="73" t="s">
        <v>377</v>
      </c>
      <c r="D301" s="70" t="s">
        <v>91</v>
      </c>
      <c r="E301" s="70" t="s">
        <v>92</v>
      </c>
      <c r="F301" s="62">
        <v>45658.0</v>
      </c>
      <c r="I301" s="63" t="str">
        <f>VLOOKUP(C301, 'Class Def. - Desc and Keywords'!$C$20:$C$1940,1,false)</f>
        <v>ZSI1_COUPLING</v>
      </c>
    </row>
    <row r="302" ht="15.75" customHeight="1">
      <c r="A302" s="67"/>
      <c r="B302" s="38"/>
      <c r="C302" s="73" t="s">
        <v>378</v>
      </c>
      <c r="D302" s="70" t="s">
        <v>91</v>
      </c>
      <c r="E302" s="70" t="s">
        <v>92</v>
      </c>
      <c r="F302" s="62">
        <v>45658.0</v>
      </c>
      <c r="I302" s="63" t="str">
        <f>VLOOKUP(C302, 'Class Def. - Desc and Keywords'!$C$20:$C$1940,1,false)</f>
        <v>ZSI1_CPU_SET</v>
      </c>
    </row>
    <row r="303" ht="15.75" customHeight="1">
      <c r="A303" s="67"/>
      <c r="B303" s="38"/>
      <c r="C303" s="73" t="s">
        <v>379</v>
      </c>
      <c r="D303" s="70" t="s">
        <v>91</v>
      </c>
      <c r="E303" s="70" t="s">
        <v>92</v>
      </c>
      <c r="F303" s="62">
        <v>45658.0</v>
      </c>
      <c r="I303" s="63" t="str">
        <f>VLOOKUP(C303, 'Class Def. - Desc and Keywords'!$C$20:$C$1940,1,false)</f>
        <v>ZSI1_DECORATIVES</v>
      </c>
    </row>
    <row r="304" ht="15.75" customHeight="1">
      <c r="A304" s="67"/>
      <c r="B304" s="38"/>
      <c r="C304" s="73" t="s">
        <v>380</v>
      </c>
      <c r="D304" s="70" t="s">
        <v>91</v>
      </c>
      <c r="E304" s="70" t="s">
        <v>92</v>
      </c>
      <c r="F304" s="62">
        <v>45658.0</v>
      </c>
      <c r="I304" s="63" t="str">
        <f>VLOOKUP(C304, 'Class Def. - Desc and Keywords'!$C$20:$C$1940,1,false)</f>
        <v>ZSI1_DIAMOND_DRSSR</v>
      </c>
    </row>
    <row r="305" ht="15.75" customHeight="1">
      <c r="A305" s="67"/>
      <c r="B305" s="38"/>
      <c r="C305" s="73" t="s">
        <v>381</v>
      </c>
      <c r="D305" s="70" t="s">
        <v>91</v>
      </c>
      <c r="E305" s="70" t="s">
        <v>92</v>
      </c>
      <c r="F305" s="62">
        <v>45658.0</v>
      </c>
      <c r="I305" s="63" t="str">
        <f>VLOOKUP(C305, 'Class Def. - Desc and Keywords'!$C$20:$C$1940,1,false)</f>
        <v>ZSI1_DISTILLED_WTR</v>
      </c>
    </row>
    <row r="306" ht="15.75" customHeight="1">
      <c r="A306" s="67"/>
      <c r="B306" s="38"/>
      <c r="C306" s="73" t="s">
        <v>382</v>
      </c>
      <c r="D306" s="70" t="s">
        <v>91</v>
      </c>
      <c r="E306" s="70" t="s">
        <v>92</v>
      </c>
      <c r="F306" s="62">
        <v>45658.0</v>
      </c>
      <c r="I306" s="63" t="str">
        <f>VLOOKUP(C306, 'Class Def. - Desc and Keywords'!$C$20:$C$1940,1,false)</f>
        <v>ZSI1_DOM_MEASURE</v>
      </c>
    </row>
    <row r="307" ht="15.75" customHeight="1">
      <c r="A307" s="67"/>
      <c r="B307" s="38"/>
      <c r="C307" s="73" t="s">
        <v>383</v>
      </c>
      <c r="D307" s="70" t="s">
        <v>91</v>
      </c>
      <c r="E307" s="70" t="s">
        <v>92</v>
      </c>
      <c r="F307" s="62">
        <v>45658.0</v>
      </c>
      <c r="I307" s="63" t="str">
        <f>VLOOKUP(C307, 'Class Def. - Desc and Keywords'!$C$20:$C$1940,1,false)</f>
        <v>ZSI1_DOOR_WINDOW</v>
      </c>
    </row>
    <row r="308" ht="15.75" customHeight="1">
      <c r="A308" s="67"/>
      <c r="B308" s="38"/>
      <c r="C308" s="73" t="s">
        <v>384</v>
      </c>
      <c r="D308" s="70" t="s">
        <v>91</v>
      </c>
      <c r="E308" s="70" t="s">
        <v>92</v>
      </c>
      <c r="F308" s="62">
        <v>45658.0</v>
      </c>
      <c r="I308" s="63" t="str">
        <f>VLOOKUP(C308, 'Class Def. - Desc and Keywords'!$C$20:$C$1940,1,false)</f>
        <v>ZSI1_E_MONEY_CARD</v>
      </c>
    </row>
    <row r="309" ht="15.75" customHeight="1">
      <c r="A309" s="67"/>
      <c r="B309" s="38"/>
      <c r="C309" s="73" t="s">
        <v>385</v>
      </c>
      <c r="D309" s="70" t="s">
        <v>91</v>
      </c>
      <c r="E309" s="70" t="s">
        <v>92</v>
      </c>
      <c r="F309" s="62">
        <v>45658.0</v>
      </c>
      <c r="I309" s="63" t="str">
        <f>VLOOKUP(C309, 'Class Def. - Desc and Keywords'!$C$20:$C$1940,1,false)</f>
        <v>ZSI1_ELEC_CONDUIT</v>
      </c>
    </row>
    <row r="310" ht="15.75" customHeight="1">
      <c r="A310" s="67"/>
      <c r="B310" s="38"/>
      <c r="C310" s="73" t="s">
        <v>386</v>
      </c>
      <c r="D310" s="70" t="s">
        <v>91</v>
      </c>
      <c r="E310" s="70" t="s">
        <v>92</v>
      </c>
      <c r="F310" s="62">
        <v>45658.0</v>
      </c>
      <c r="I310" s="63" t="str">
        <f>VLOOKUP(C310, 'Class Def. - Desc and Keywords'!$C$20:$C$1940,1,false)</f>
        <v>ZSI1_ELECTROD_HOLD</v>
      </c>
    </row>
    <row r="311" ht="15.75" customHeight="1">
      <c r="A311" s="67"/>
      <c r="B311" s="38"/>
      <c r="C311" s="73" t="s">
        <v>387</v>
      </c>
      <c r="D311" s="70" t="s">
        <v>91</v>
      </c>
      <c r="E311" s="70" t="s">
        <v>92</v>
      </c>
      <c r="F311" s="62">
        <v>45658.0</v>
      </c>
      <c r="I311" s="63" t="str">
        <f>VLOOKUP(C311, 'Class Def. - Desc and Keywords'!$C$20:$C$1940,1,false)</f>
        <v>ZSI1_END_MILL</v>
      </c>
    </row>
    <row r="312" ht="15.75" customHeight="1">
      <c r="A312" s="67"/>
      <c r="B312" s="38"/>
      <c r="C312" s="73" t="s">
        <v>388</v>
      </c>
      <c r="D312" s="70" t="s">
        <v>91</v>
      </c>
      <c r="E312" s="70" t="s">
        <v>92</v>
      </c>
      <c r="F312" s="62">
        <v>45658.0</v>
      </c>
      <c r="I312" s="63" t="str">
        <f>VLOOKUP(C312, 'Class Def. - Desc and Keywords'!$C$20:$C$1940,1,false)</f>
        <v>ZSI1_FABRICAT_ITEM</v>
      </c>
    </row>
    <row r="313" ht="15.75" customHeight="1">
      <c r="A313" s="67"/>
      <c r="B313" s="38"/>
      <c r="C313" s="73" t="s">
        <v>389</v>
      </c>
      <c r="D313" s="70" t="s">
        <v>91</v>
      </c>
      <c r="E313" s="70" t="s">
        <v>92</v>
      </c>
      <c r="F313" s="62">
        <v>45658.0</v>
      </c>
      <c r="I313" s="63" t="str">
        <f>VLOOKUP(C313, 'Class Def. - Desc and Keywords'!$C$20:$C$1940,1,false)</f>
        <v>ZSI1_FLEXIBLE_CON</v>
      </c>
    </row>
    <row r="314" ht="15.75" customHeight="1">
      <c r="A314" s="67"/>
      <c r="B314" s="38"/>
      <c r="C314" s="73" t="s">
        <v>390</v>
      </c>
      <c r="D314" s="70" t="s">
        <v>91</v>
      </c>
      <c r="E314" s="70" t="s">
        <v>92</v>
      </c>
      <c r="F314" s="62">
        <v>45658.0</v>
      </c>
      <c r="I314" s="63" t="str">
        <f>VLOOKUP(C314, 'Class Def. - Desc and Keywords'!$C$20:$C$1940,1,false)</f>
        <v>ZSI1_FLEX_JOINT</v>
      </c>
    </row>
    <row r="315" ht="15.75" customHeight="1">
      <c r="A315" s="67"/>
      <c r="B315" s="38"/>
      <c r="C315" s="73" t="s">
        <v>391</v>
      </c>
      <c r="D315" s="70" t="s">
        <v>91</v>
      </c>
      <c r="E315" s="70" t="s">
        <v>92</v>
      </c>
      <c r="F315" s="62">
        <v>45658.0</v>
      </c>
      <c r="I315" s="63" t="str">
        <f>VLOOKUP(C315, 'Class Def. - Desc and Keywords'!$C$20:$C$1940,1,false)</f>
        <v>ZSI1_FLWR_ARRANGE</v>
      </c>
    </row>
    <row r="316" ht="15.75" customHeight="1">
      <c r="A316" s="67"/>
      <c r="B316" s="38"/>
      <c r="C316" s="73" t="s">
        <v>392</v>
      </c>
      <c r="D316" s="70" t="s">
        <v>91</v>
      </c>
      <c r="E316" s="70" t="s">
        <v>92</v>
      </c>
      <c r="F316" s="62">
        <v>45658.0</v>
      </c>
      <c r="I316" s="63" t="str">
        <f>VLOOKUP(C316, 'Class Def. - Desc and Keywords'!$C$20:$C$1940,1,false)</f>
        <v>ZSI1_FOOD_BEV</v>
      </c>
    </row>
    <row r="317" ht="15.75" customHeight="1">
      <c r="A317" s="67"/>
      <c r="B317" s="38"/>
      <c r="C317" s="73" t="s">
        <v>393</v>
      </c>
      <c r="D317" s="70" t="s">
        <v>91</v>
      </c>
      <c r="E317" s="70" t="s">
        <v>92</v>
      </c>
      <c r="F317" s="62">
        <v>45658.0</v>
      </c>
      <c r="I317" s="63" t="str">
        <f>VLOOKUP(C317, 'Class Def. - Desc and Keywords'!$C$20:$C$1940,1,false)</f>
        <v>ZSI1_FUELS</v>
      </c>
    </row>
    <row r="318" ht="15.75" customHeight="1">
      <c r="A318" s="67"/>
      <c r="B318" s="38"/>
      <c r="C318" s="73" t="s">
        <v>394</v>
      </c>
      <c r="D318" s="70" t="s">
        <v>91</v>
      </c>
      <c r="E318" s="70" t="s">
        <v>92</v>
      </c>
      <c r="F318" s="62">
        <v>45658.0</v>
      </c>
      <c r="I318" s="63" t="str">
        <f>VLOOKUP(C318, 'Class Def. - Desc and Keywords'!$C$20:$C$1940,1,false)</f>
        <v>ZSI1_GASKET_SHEET</v>
      </c>
    </row>
    <row r="319" ht="15.75" customHeight="1">
      <c r="A319" s="67"/>
      <c r="B319" s="38"/>
      <c r="C319" s="73" t="s">
        <v>395</v>
      </c>
      <c r="D319" s="70" t="s">
        <v>91</v>
      </c>
      <c r="E319" s="70" t="s">
        <v>92</v>
      </c>
      <c r="F319" s="62">
        <v>45658.0</v>
      </c>
      <c r="I319" s="63" t="str">
        <f>VLOOKUP(C319, 'Class Def. - Desc and Keywords'!$C$20:$C$1940,1,false)</f>
        <v>ZSI1_GASKET_SP_WND</v>
      </c>
    </row>
    <row r="320" ht="15.75" customHeight="1">
      <c r="A320" s="67"/>
      <c r="B320" s="38"/>
      <c r="C320" s="73" t="s">
        <v>396</v>
      </c>
      <c r="D320" s="70" t="s">
        <v>91</v>
      </c>
      <c r="E320" s="70" t="s">
        <v>92</v>
      </c>
      <c r="F320" s="62">
        <v>45658.0</v>
      </c>
      <c r="I320" s="63" t="str">
        <f>VLOOKUP(C320, 'Class Def. - Desc and Keywords'!$C$20:$C$1940,1,false)</f>
        <v>ZSI1_GAZEBO</v>
      </c>
    </row>
    <row r="321" ht="15.75" customHeight="1">
      <c r="A321" s="67"/>
      <c r="B321" s="38"/>
      <c r="C321" s="73" t="s">
        <v>397</v>
      </c>
      <c r="D321" s="70" t="s">
        <v>91</v>
      </c>
      <c r="E321" s="70" t="s">
        <v>92</v>
      </c>
      <c r="F321" s="62">
        <v>45658.0</v>
      </c>
      <c r="I321" s="63" t="str">
        <f>VLOOKUP(C321, 'Class Def. - Desc and Keywords'!$C$20:$C$1940,1,false)</f>
        <v>ZSI1_GLAND_PACKING</v>
      </c>
    </row>
    <row r="322" ht="15.75" customHeight="1">
      <c r="A322" s="67"/>
      <c r="B322" s="38"/>
      <c r="C322" s="73" t="s">
        <v>398</v>
      </c>
      <c r="D322" s="70" t="s">
        <v>91</v>
      </c>
      <c r="E322" s="70" t="s">
        <v>92</v>
      </c>
      <c r="F322" s="62">
        <v>45658.0</v>
      </c>
      <c r="I322" s="63" t="str">
        <f>VLOOKUP(C322, 'Class Def. - Desc and Keywords'!$C$20:$C$1940,1,false)</f>
        <v>ZSI1_GRIND_WHEEL</v>
      </c>
    </row>
    <row r="323" ht="15.75" customHeight="1">
      <c r="A323" s="67"/>
      <c r="B323" s="38"/>
      <c r="C323" s="73" t="s">
        <v>399</v>
      </c>
      <c r="D323" s="70" t="s">
        <v>91</v>
      </c>
      <c r="E323" s="70" t="s">
        <v>92</v>
      </c>
      <c r="F323" s="62">
        <v>45658.0</v>
      </c>
      <c r="I323" s="63" t="str">
        <f>VLOOKUP(C323, 'Class Def. - Desc and Keywords'!$C$20:$C$1940,1,false)</f>
        <v>ZSI1_GYPSUM_BOARD</v>
      </c>
    </row>
    <row r="324" ht="15.75" customHeight="1">
      <c r="A324" s="67"/>
      <c r="B324" s="38"/>
      <c r="C324" s="73" t="s">
        <v>400</v>
      </c>
      <c r="D324" s="70" t="s">
        <v>91</v>
      </c>
      <c r="E324" s="70" t="s">
        <v>92</v>
      </c>
      <c r="F324" s="62">
        <v>45658.0</v>
      </c>
      <c r="I324" s="63" t="str">
        <f>VLOOKUP(C324, 'Class Def. - Desc and Keywords'!$C$20:$C$1940,1,false)</f>
        <v>ZSI1_H_BEAM</v>
      </c>
    </row>
    <row r="325" ht="15.75" customHeight="1">
      <c r="A325" s="67"/>
      <c r="B325" s="38"/>
      <c r="C325" s="73" t="s">
        <v>401</v>
      </c>
      <c r="D325" s="70" t="s">
        <v>91</v>
      </c>
      <c r="E325" s="70" t="s">
        <v>92</v>
      </c>
      <c r="F325" s="62">
        <v>45658.0</v>
      </c>
      <c r="I325" s="63" t="str">
        <f>VLOOKUP(C325, 'Class Def. - Desc and Keywords'!$C$20:$C$1940,1,false)</f>
        <v>ZSI1_HEATING_EQP</v>
      </c>
    </row>
    <row r="326" ht="15.75" customHeight="1">
      <c r="A326" s="67"/>
      <c r="B326" s="38"/>
      <c r="C326" s="73" t="s">
        <v>402</v>
      </c>
      <c r="D326" s="70" t="s">
        <v>91</v>
      </c>
      <c r="E326" s="70" t="s">
        <v>92</v>
      </c>
      <c r="F326" s="62">
        <v>45658.0</v>
      </c>
      <c r="I326" s="63" t="str">
        <f>VLOOKUP(C326, 'Class Def. - Desc and Keywords'!$C$20:$C$1940,1,false)</f>
        <v>ZSI1_HOLLOW_STRCT</v>
      </c>
    </row>
    <row r="327" ht="15.75" customHeight="1">
      <c r="A327" s="67"/>
      <c r="B327" s="38"/>
      <c r="C327" s="73" t="s">
        <v>403</v>
      </c>
      <c r="D327" s="70" t="s">
        <v>91</v>
      </c>
      <c r="E327" s="70" t="s">
        <v>92</v>
      </c>
      <c r="F327" s="62">
        <v>45658.0</v>
      </c>
      <c r="I327" s="63" t="str">
        <f>VLOOKUP(C327, 'Class Def. - Desc and Keywords'!$C$20:$C$1940,1,false)</f>
        <v>ZSI1_KARTU</v>
      </c>
    </row>
    <row r="328" ht="15.75" customHeight="1">
      <c r="A328" s="67"/>
      <c r="B328" s="38"/>
      <c r="C328" s="73" t="s">
        <v>404</v>
      </c>
      <c r="D328" s="70" t="s">
        <v>91</v>
      </c>
      <c r="E328" s="70" t="s">
        <v>92</v>
      </c>
      <c r="F328" s="62">
        <v>45658.0</v>
      </c>
      <c r="I328" s="63" t="str">
        <f>VLOOKUP(C328, 'Class Def. - Desc and Keywords'!$C$20:$C$1940,1,false)</f>
        <v>ZSI1_KITCHEN_APPLN</v>
      </c>
    </row>
    <row r="329" ht="15.75" customHeight="1">
      <c r="A329" s="67"/>
      <c r="B329" s="38"/>
      <c r="C329" s="73" t="s">
        <v>405</v>
      </c>
      <c r="D329" s="70" t="s">
        <v>91</v>
      </c>
      <c r="E329" s="70" t="s">
        <v>92</v>
      </c>
      <c r="F329" s="62">
        <v>45658.0</v>
      </c>
      <c r="I329" s="63" t="str">
        <f>VLOOKUP(C329, 'Class Def. - Desc and Keywords'!$C$20:$C$1940,1,false)</f>
        <v>ZSI1_LAB_EQUIPMENT</v>
      </c>
    </row>
    <row r="330" ht="15.75" customHeight="1">
      <c r="A330" s="67"/>
      <c r="B330" s="38"/>
      <c r="C330" s="73" t="s">
        <v>406</v>
      </c>
      <c r="D330" s="70" t="s">
        <v>91</v>
      </c>
      <c r="E330" s="70" t="s">
        <v>92</v>
      </c>
      <c r="F330" s="62">
        <v>45658.0</v>
      </c>
      <c r="I330" s="63" t="str">
        <f>VLOOKUP(C330, 'Class Def. - Desc and Keywords'!$C$20:$C$1940,1,false)</f>
        <v>ZSI1_LAB_SIEVE</v>
      </c>
    </row>
    <row r="331" ht="15.75" customHeight="1">
      <c r="A331" s="67"/>
      <c r="B331" s="38"/>
      <c r="C331" s="73" t="s">
        <v>407</v>
      </c>
      <c r="D331" s="70" t="s">
        <v>91</v>
      </c>
      <c r="E331" s="70" t="s">
        <v>92</v>
      </c>
      <c r="F331" s="62">
        <v>45658.0</v>
      </c>
      <c r="I331" s="63" t="str">
        <f>VLOOKUP(C331, 'Class Def. - Desc and Keywords'!$C$20:$C$1940,1,false)</f>
        <v>ZSI1_LAB_GLASSWARE</v>
      </c>
    </row>
    <row r="332" ht="15.75" customHeight="1">
      <c r="A332" s="67"/>
      <c r="B332" s="38"/>
      <c r="C332" s="73" t="s">
        <v>408</v>
      </c>
      <c r="D332" s="70" t="s">
        <v>91</v>
      </c>
      <c r="E332" s="70" t="s">
        <v>92</v>
      </c>
      <c r="F332" s="62">
        <v>45658.0</v>
      </c>
      <c r="I332" s="63" t="str">
        <f>VLOOKUP(C332, 'Class Def. - Desc and Keywords'!$C$20:$C$1940,1,false)</f>
        <v>ZSI1_LADDER</v>
      </c>
    </row>
    <row r="333" ht="15.75" customHeight="1">
      <c r="A333" s="67"/>
      <c r="B333" s="38"/>
      <c r="C333" s="73" t="s">
        <v>409</v>
      </c>
      <c r="D333" s="70" t="s">
        <v>91</v>
      </c>
      <c r="E333" s="70" t="s">
        <v>92</v>
      </c>
      <c r="F333" s="62">
        <v>45658.0</v>
      </c>
      <c r="I333" s="63" t="str">
        <f>VLOOKUP(C333, 'Class Def. - Desc and Keywords'!$C$20:$C$1940,1,false)</f>
        <v>ZSI1_LAMP_COMP</v>
      </c>
    </row>
    <row r="334" ht="15.75" customHeight="1">
      <c r="A334" s="67"/>
      <c r="B334" s="38"/>
      <c r="C334" s="73" t="s">
        <v>410</v>
      </c>
      <c r="D334" s="70" t="s">
        <v>91</v>
      </c>
      <c r="E334" s="70" t="s">
        <v>92</v>
      </c>
      <c r="F334" s="62">
        <v>45658.0</v>
      </c>
      <c r="I334" s="63" t="str">
        <f>VLOOKUP(C334, 'Class Def. - Desc and Keywords'!$C$20:$C$1940,1,false)</f>
        <v>ZSI1_LAUNDRY_EQP</v>
      </c>
    </row>
    <row r="335" ht="15.75" customHeight="1">
      <c r="A335" s="67"/>
      <c r="B335" s="38"/>
      <c r="C335" s="73" t="s">
        <v>411</v>
      </c>
      <c r="D335" s="70" t="s">
        <v>91</v>
      </c>
      <c r="E335" s="70" t="s">
        <v>92</v>
      </c>
      <c r="F335" s="62">
        <v>45658.0</v>
      </c>
      <c r="I335" s="63" t="str">
        <f>VLOOKUP(C335, 'Class Def. - Desc and Keywords'!$C$20:$C$1940,1,false)</f>
        <v>ZSI1_LAUNDRY_SUPP</v>
      </c>
    </row>
    <row r="336" ht="15.75" customHeight="1">
      <c r="A336" s="67"/>
      <c r="B336" s="38"/>
      <c r="C336" s="73" t="s">
        <v>412</v>
      </c>
      <c r="D336" s="70" t="s">
        <v>91</v>
      </c>
      <c r="E336" s="70" t="s">
        <v>92</v>
      </c>
      <c r="F336" s="62">
        <v>45658.0</v>
      </c>
      <c r="I336" s="63" t="str">
        <f>VLOOKUP(C336, 'Class Def. - Desc and Keywords'!$C$20:$C$1940,1,false)</f>
        <v>ZSI1_LIFTING_EQP</v>
      </c>
    </row>
    <row r="337" ht="15.75" customHeight="1">
      <c r="A337" s="67"/>
      <c r="B337" s="38"/>
      <c r="C337" s="73" t="s">
        <v>413</v>
      </c>
      <c r="D337" s="70" t="s">
        <v>91</v>
      </c>
      <c r="E337" s="70" t="s">
        <v>92</v>
      </c>
      <c r="F337" s="62">
        <v>45658.0</v>
      </c>
      <c r="I337" s="63" t="str">
        <f>VLOOKUP(C337, 'Class Def. - Desc and Keywords'!$C$20:$C$1940,1,false)</f>
        <v>ZSI1_LIGHT_BOX</v>
      </c>
    </row>
    <row r="338" ht="15.75" customHeight="1">
      <c r="A338" s="67"/>
      <c r="B338" s="38"/>
      <c r="C338" s="73" t="s">
        <v>414</v>
      </c>
      <c r="D338" s="70" t="s">
        <v>91</v>
      </c>
      <c r="E338" s="70" t="s">
        <v>92</v>
      </c>
      <c r="F338" s="62">
        <v>45658.0</v>
      </c>
      <c r="I338" s="63" t="str">
        <f>VLOOKUP(C338, 'Class Def. - Desc and Keywords'!$C$20:$C$1940,1,false)</f>
        <v>ZSI1_LIME</v>
      </c>
    </row>
    <row r="339" ht="15.75" customHeight="1">
      <c r="A339" s="67"/>
      <c r="B339" s="38"/>
      <c r="C339" s="73" t="s">
        <v>415</v>
      </c>
      <c r="D339" s="70" t="s">
        <v>91</v>
      </c>
      <c r="E339" s="70" t="s">
        <v>92</v>
      </c>
      <c r="F339" s="62">
        <v>45658.0</v>
      </c>
      <c r="I339" s="63" t="str">
        <f>VLOOKUP(C339, 'Class Def. - Desc and Keywords'!$C$20:$C$1940,1,false)</f>
        <v>ZSI1_LOCK_KEY</v>
      </c>
    </row>
    <row r="340" ht="15.75" customHeight="1">
      <c r="A340" s="67"/>
      <c r="B340" s="38"/>
      <c r="C340" s="73" t="s">
        <v>416</v>
      </c>
      <c r="D340" s="70" t="s">
        <v>91</v>
      </c>
      <c r="E340" s="70" t="s">
        <v>92</v>
      </c>
      <c r="F340" s="62">
        <v>45658.0</v>
      </c>
      <c r="I340" s="63" t="str">
        <f>VLOOKUP(C340, 'Class Def. - Desc and Keywords'!$C$20:$C$1940,1,false)</f>
        <v>ZSI1_LOGO_PROJECT</v>
      </c>
    </row>
    <row r="341" ht="15.75" customHeight="1">
      <c r="A341" s="67"/>
      <c r="B341" s="38"/>
      <c r="C341" s="73" t="s">
        <v>417</v>
      </c>
      <c r="D341" s="70" t="s">
        <v>91</v>
      </c>
      <c r="E341" s="70" t="s">
        <v>92</v>
      </c>
      <c r="F341" s="62">
        <v>45658.0</v>
      </c>
      <c r="I341" s="63" t="str">
        <f>VLOOKUP(C341, 'Class Def. - Desc and Keywords'!$C$20:$C$1940,1,false)</f>
        <v>ZSI1_MANUAL_BOOK</v>
      </c>
    </row>
    <row r="342" ht="15.75" customHeight="1">
      <c r="A342" s="67"/>
      <c r="B342" s="38"/>
      <c r="C342" s="73" t="s">
        <v>418</v>
      </c>
      <c r="D342" s="70" t="s">
        <v>91</v>
      </c>
      <c r="E342" s="70" t="s">
        <v>92</v>
      </c>
      <c r="F342" s="62">
        <v>45658.0</v>
      </c>
      <c r="I342" s="63" t="str">
        <f>VLOOKUP(C342, 'Class Def. - Desc and Keywords'!$C$20:$C$1940,1,false)</f>
        <v>ZSI1_MDF_BOARD</v>
      </c>
    </row>
    <row r="343" ht="15.75" customHeight="1">
      <c r="A343" s="67"/>
      <c r="B343" s="38"/>
      <c r="C343" s="73" t="s">
        <v>419</v>
      </c>
      <c r="D343" s="70" t="s">
        <v>91</v>
      </c>
      <c r="E343" s="70" t="s">
        <v>92</v>
      </c>
      <c r="F343" s="62">
        <v>45658.0</v>
      </c>
      <c r="I343" s="63" t="str">
        <f>VLOOKUP(C343, 'Class Def. - Desc and Keywords'!$C$20:$C$1940,1,false)</f>
        <v>ZSI1_MECH_SEAL</v>
      </c>
    </row>
    <row r="344" ht="15.75" customHeight="1">
      <c r="A344" s="67"/>
      <c r="B344" s="38"/>
      <c r="C344" s="73" t="s">
        <v>420</v>
      </c>
      <c r="D344" s="70" t="s">
        <v>91</v>
      </c>
      <c r="E344" s="70" t="s">
        <v>92</v>
      </c>
      <c r="F344" s="62">
        <v>45658.0</v>
      </c>
      <c r="I344" s="63" t="str">
        <f>VLOOKUP(C344, 'Class Def. - Desc and Keywords'!$C$20:$C$1940,1,false)</f>
        <v>ZSI1_MED_SUPPLIES</v>
      </c>
    </row>
    <row r="345" ht="15.75" customHeight="1">
      <c r="A345" s="67"/>
      <c r="B345" s="38"/>
      <c r="C345" s="73" t="s">
        <v>421</v>
      </c>
      <c r="D345" s="70" t="s">
        <v>91</v>
      </c>
      <c r="E345" s="70" t="s">
        <v>92</v>
      </c>
      <c r="F345" s="62">
        <v>45658.0</v>
      </c>
      <c r="I345" s="63" t="str">
        <f>VLOOKUP(C345, 'Class Def. - Desc and Keywords'!$C$20:$C$1940,1,false)</f>
        <v>ZSI1_MISC_CONTAIN</v>
      </c>
    </row>
    <row r="346" ht="15.75" customHeight="1">
      <c r="A346" s="67"/>
      <c r="B346" s="38"/>
      <c r="C346" s="73" t="s">
        <v>422</v>
      </c>
      <c r="D346" s="70" t="s">
        <v>91</v>
      </c>
      <c r="E346" s="70" t="s">
        <v>92</v>
      </c>
      <c r="F346" s="62">
        <v>45658.0</v>
      </c>
      <c r="I346" s="63" t="str">
        <f>VLOOKUP(C346, 'Class Def. - Desc and Keywords'!$C$20:$C$1940,1,false)</f>
        <v>ZSI1_NAILS</v>
      </c>
    </row>
    <row r="347" ht="15.75" customHeight="1">
      <c r="A347" s="67"/>
      <c r="B347" s="38"/>
      <c r="C347" s="73" t="s">
        <v>423</v>
      </c>
      <c r="D347" s="70" t="s">
        <v>91</v>
      </c>
      <c r="E347" s="70" t="s">
        <v>92</v>
      </c>
      <c r="F347" s="62">
        <v>45658.0</v>
      </c>
      <c r="I347" s="63" t="str">
        <f>VLOOKUP(C347, 'Class Def. - Desc and Keywords'!$C$20:$C$1940,1,false)</f>
        <v>ZSI1_NETWORK_EQP</v>
      </c>
    </row>
    <row r="348" ht="15.75" customHeight="1">
      <c r="A348" s="67"/>
      <c r="B348" s="38"/>
      <c r="C348" s="73" t="s">
        <v>424</v>
      </c>
      <c r="D348" s="70" t="s">
        <v>91</v>
      </c>
      <c r="E348" s="70" t="s">
        <v>92</v>
      </c>
      <c r="F348" s="62">
        <v>45658.0</v>
      </c>
      <c r="I348" s="63" t="str">
        <f>VLOOKUP(C348, 'Class Def. - Desc and Keywords'!$C$20:$C$1940,1,false)</f>
        <v>ZSI1_NIPPLE_GREASE</v>
      </c>
    </row>
    <row r="349" ht="15.75" customHeight="1">
      <c r="A349" s="67"/>
      <c r="B349" s="38"/>
      <c r="C349" s="73" t="s">
        <v>425</v>
      </c>
      <c r="D349" s="70" t="s">
        <v>91</v>
      </c>
      <c r="E349" s="70" t="s">
        <v>92</v>
      </c>
      <c r="F349" s="62">
        <v>45658.0</v>
      </c>
      <c r="I349" s="63" t="str">
        <f>VLOOKUP(C349, 'Class Def. - Desc and Keywords'!$C$20:$C$1940,1,false)</f>
        <v>ZSI1_NON_ELEC_WIRE</v>
      </c>
    </row>
    <row r="350" ht="15.75" customHeight="1">
      <c r="A350" s="67"/>
      <c r="B350" s="38"/>
      <c r="C350" s="73" t="s">
        <v>426</v>
      </c>
      <c r="D350" s="70" t="s">
        <v>91</v>
      </c>
      <c r="E350" s="70" t="s">
        <v>92</v>
      </c>
      <c r="F350" s="62">
        <v>45658.0</v>
      </c>
      <c r="I350" s="63" t="str">
        <f>VLOOKUP(C350, 'Class Def. - Desc and Keywords'!$C$20:$C$1940,1,false)</f>
        <v>ZSI1_NUT</v>
      </c>
    </row>
    <row r="351" ht="15.75" customHeight="1">
      <c r="A351" s="67"/>
      <c r="B351" s="38"/>
      <c r="C351" s="73" t="s">
        <v>427</v>
      </c>
      <c r="D351" s="70" t="s">
        <v>91</v>
      </c>
      <c r="E351" s="70" t="s">
        <v>92</v>
      </c>
      <c r="F351" s="62">
        <v>45658.0</v>
      </c>
      <c r="I351" s="63" t="str">
        <f>VLOOKUP(C351, 'Class Def. - Desc and Keywords'!$C$20:$C$1940,1,false)</f>
        <v>ZSI1_O_RING</v>
      </c>
    </row>
    <row r="352" ht="15.75" customHeight="1">
      <c r="A352" s="67"/>
      <c r="B352" s="38"/>
      <c r="C352" s="73" t="s">
        <v>428</v>
      </c>
      <c r="D352" s="70" t="s">
        <v>91</v>
      </c>
      <c r="E352" s="70" t="s">
        <v>92</v>
      </c>
      <c r="F352" s="62">
        <v>45658.0</v>
      </c>
      <c r="I352" s="63" t="str">
        <f>VLOOKUP(C352, 'Class Def. - Desc and Keywords'!$C$20:$C$1940,1,false)</f>
        <v>ZSI1_OFFICE_BOARDS</v>
      </c>
    </row>
    <row r="353" ht="15.75" customHeight="1">
      <c r="A353" s="67"/>
      <c r="B353" s="38"/>
      <c r="C353" s="73" t="s">
        <v>429</v>
      </c>
      <c r="D353" s="70" t="s">
        <v>91</v>
      </c>
      <c r="E353" s="70" t="s">
        <v>92</v>
      </c>
      <c r="F353" s="62">
        <v>45658.0</v>
      </c>
      <c r="I353" s="63" t="str">
        <f>VLOOKUP(C353, 'Class Def. - Desc and Keywords'!$C$20:$C$1940,1,false)</f>
        <v>ZSI1_OFFICE_ORGZ</v>
      </c>
    </row>
    <row r="354" ht="15.75" customHeight="1">
      <c r="A354" s="67"/>
      <c r="B354" s="38"/>
      <c r="C354" s="73" t="s">
        <v>430</v>
      </c>
      <c r="D354" s="70" t="s">
        <v>91</v>
      </c>
      <c r="E354" s="70" t="s">
        <v>92</v>
      </c>
      <c r="F354" s="62">
        <v>45658.0</v>
      </c>
      <c r="I354" s="63" t="str">
        <f>VLOOKUP(C354, 'Class Def. - Desc and Keywords'!$C$20:$C$1940,1,false)</f>
        <v>ZSI1_OFFICE_PAPER</v>
      </c>
    </row>
    <row r="355" ht="15.75" customHeight="1">
      <c r="A355" s="67"/>
      <c r="B355" s="38"/>
      <c r="C355" s="73" t="s">
        <v>431</v>
      </c>
      <c r="D355" s="70" t="s">
        <v>91</v>
      </c>
      <c r="E355" s="70" t="s">
        <v>92</v>
      </c>
      <c r="F355" s="62">
        <v>45658.0</v>
      </c>
      <c r="I355" s="63" t="str">
        <f>VLOOKUP(C355, 'Class Def. - Desc and Keywords'!$C$20:$C$1940,1,false)</f>
        <v>ZSI1_OFFICE_SUPP</v>
      </c>
    </row>
    <row r="356" ht="15.75" customHeight="1">
      <c r="A356" s="67"/>
      <c r="B356" s="38"/>
      <c r="C356" s="73" t="s">
        <v>432</v>
      </c>
      <c r="D356" s="70" t="s">
        <v>91</v>
      </c>
      <c r="E356" s="70" t="s">
        <v>92</v>
      </c>
      <c r="F356" s="62">
        <v>45658.0</v>
      </c>
      <c r="I356" s="63" t="str">
        <f>VLOOKUP(C356, 'Class Def. - Desc and Keywords'!$C$20:$C$1940,1,false)</f>
        <v>ZSI1_OIL_SEAL</v>
      </c>
    </row>
    <row r="357" ht="15.75" customHeight="1">
      <c r="A357" s="67"/>
      <c r="B357" s="38"/>
      <c r="C357" s="73" t="s">
        <v>433</v>
      </c>
      <c r="D357" s="70" t="s">
        <v>91</v>
      </c>
      <c r="E357" s="70" t="s">
        <v>92</v>
      </c>
      <c r="F357" s="62">
        <v>45658.0</v>
      </c>
      <c r="I357" s="63" t="str">
        <f>VLOOKUP(C357, 'Class Def. - Desc and Keywords'!$C$20:$C$1940,1,false)</f>
        <v>ZSI1_PALLETS</v>
      </c>
    </row>
    <row r="358" ht="15.75" customHeight="1">
      <c r="A358" s="67"/>
      <c r="B358" s="38"/>
      <c r="C358" s="73" t="s">
        <v>434</v>
      </c>
      <c r="D358" s="70" t="s">
        <v>91</v>
      </c>
      <c r="E358" s="70" t="s">
        <v>92</v>
      </c>
      <c r="F358" s="62">
        <v>45658.0</v>
      </c>
      <c r="I358" s="63" t="str">
        <f>VLOOKUP(C358, 'Class Def. - Desc and Keywords'!$C$20:$C$1940,1,false)</f>
        <v>ZSI1_PAPER_CUTTER</v>
      </c>
    </row>
    <row r="359" ht="15.75" customHeight="1">
      <c r="A359" s="67"/>
      <c r="B359" s="38"/>
      <c r="C359" s="73" t="s">
        <v>435</v>
      </c>
      <c r="D359" s="70" t="s">
        <v>91</v>
      </c>
      <c r="E359" s="70" t="s">
        <v>92</v>
      </c>
      <c r="F359" s="62">
        <v>45658.0</v>
      </c>
      <c r="I359" s="63" t="str">
        <f>VLOOKUP(C359, 'Class Def. - Desc and Keywords'!$C$20:$C$1940,1,false)</f>
        <v>ZSI1_PERM_STRCTURE</v>
      </c>
    </row>
    <row r="360" ht="15.75" customHeight="1">
      <c r="A360" s="67"/>
      <c r="B360" s="38"/>
      <c r="C360" s="73" t="s">
        <v>436</v>
      </c>
      <c r="D360" s="70" t="s">
        <v>91</v>
      </c>
      <c r="E360" s="70" t="s">
        <v>92</v>
      </c>
      <c r="F360" s="62">
        <v>45658.0</v>
      </c>
      <c r="I360" s="63" t="str">
        <f>VLOOKUP(C360, 'Class Def. - Desc and Keywords'!$C$20:$C$1940,1,false)</f>
        <v>ZSI1_PERSONAL_SAFE</v>
      </c>
    </row>
    <row r="361" ht="15.75" customHeight="1">
      <c r="A361" s="67"/>
      <c r="B361" s="38"/>
      <c r="C361" s="73" t="s">
        <v>437</v>
      </c>
      <c r="D361" s="70" t="s">
        <v>91</v>
      </c>
      <c r="E361" s="70" t="s">
        <v>92</v>
      </c>
      <c r="F361" s="62">
        <v>45658.0</v>
      </c>
      <c r="I361" s="63" t="str">
        <f>VLOOKUP(C361, 'Class Def. - Desc and Keywords'!$C$20:$C$1940,1,false)</f>
        <v>ZSI1_PEST_CONTROL</v>
      </c>
    </row>
    <row r="362" ht="15.75" customHeight="1">
      <c r="A362" s="67"/>
      <c r="B362" s="38"/>
      <c r="C362" s="73" t="s">
        <v>438</v>
      </c>
      <c r="D362" s="70" t="s">
        <v>91</v>
      </c>
      <c r="E362" s="70" t="s">
        <v>92</v>
      </c>
      <c r="F362" s="62">
        <v>45658.0</v>
      </c>
      <c r="I362" s="63" t="str">
        <f>VLOOKUP(C362, 'Class Def. - Desc and Keywords'!$C$20:$C$1940,1,false)</f>
        <v>ZSI1_PHARMA_DRUGS</v>
      </c>
    </row>
    <row r="363" ht="15.75" customHeight="1">
      <c r="A363" s="67"/>
      <c r="B363" s="38"/>
      <c r="C363" s="73" t="s">
        <v>439</v>
      </c>
      <c r="D363" s="70" t="s">
        <v>91</v>
      </c>
      <c r="E363" s="70" t="s">
        <v>92</v>
      </c>
      <c r="F363" s="62">
        <v>45658.0</v>
      </c>
      <c r="I363" s="63" t="str">
        <f>VLOOKUP(C363, 'Class Def. - Desc and Keywords'!$C$20:$C$1940,1,false)</f>
        <v>ZSI1_PHONE_SYSTEM</v>
      </c>
    </row>
    <row r="364" ht="15.75" customHeight="1">
      <c r="A364" s="67"/>
      <c r="B364" s="38"/>
      <c r="C364" s="73" t="s">
        <v>440</v>
      </c>
      <c r="D364" s="70" t="s">
        <v>91</v>
      </c>
      <c r="E364" s="70" t="s">
        <v>92</v>
      </c>
      <c r="F364" s="62">
        <v>45658.0</v>
      </c>
      <c r="I364" s="63" t="str">
        <f>VLOOKUP(C364, 'Class Def. - Desc and Keywords'!$C$20:$C$1940,1,false)</f>
        <v>ZSI1_PIPE_CAPS</v>
      </c>
    </row>
    <row r="365" ht="15.75" customHeight="1">
      <c r="A365" s="67"/>
      <c r="B365" s="38"/>
      <c r="C365" s="73" t="s">
        <v>441</v>
      </c>
      <c r="D365" s="70" t="s">
        <v>91</v>
      </c>
      <c r="E365" s="70" t="s">
        <v>92</v>
      </c>
      <c r="F365" s="62">
        <v>45658.0</v>
      </c>
      <c r="I365" s="63" t="str">
        <f>VLOOKUP(C365, 'Class Def. - Desc and Keywords'!$C$20:$C$1940,1,false)</f>
        <v>ZSI1_PIPE_CONNECT</v>
      </c>
    </row>
    <row r="366" ht="15.75" customHeight="1">
      <c r="A366" s="67"/>
      <c r="B366" s="38"/>
      <c r="C366" s="73" t="s">
        <v>442</v>
      </c>
      <c r="D366" s="70" t="s">
        <v>91</v>
      </c>
      <c r="E366" s="70" t="s">
        <v>92</v>
      </c>
      <c r="F366" s="62">
        <v>45658.0</v>
      </c>
      <c r="I366" s="63" t="str">
        <f>VLOOKUP(C366, 'Class Def. - Desc and Keywords'!$C$20:$C$1940,1,false)</f>
        <v>ZSI1_PIPE_ELBOW</v>
      </c>
    </row>
    <row r="367" ht="15.75" customHeight="1">
      <c r="A367" s="67"/>
      <c r="B367" s="38"/>
      <c r="C367" s="73" t="s">
        <v>443</v>
      </c>
      <c r="D367" s="70" t="s">
        <v>91</v>
      </c>
      <c r="E367" s="70" t="s">
        <v>92</v>
      </c>
      <c r="F367" s="62">
        <v>45658.0</v>
      </c>
      <c r="I367" s="63" t="str">
        <f>VLOOKUP(C367, 'Class Def. - Desc and Keywords'!$C$20:$C$1940,1,false)</f>
        <v>ZSI1_PIPE_FLANGE</v>
      </c>
    </row>
    <row r="368" ht="15.75" customHeight="1">
      <c r="A368" s="67"/>
      <c r="B368" s="38"/>
      <c r="C368" s="73" t="s">
        <v>444</v>
      </c>
      <c r="D368" s="70" t="s">
        <v>91</v>
      </c>
      <c r="E368" s="70" t="s">
        <v>92</v>
      </c>
      <c r="F368" s="62">
        <v>45658.0</v>
      </c>
      <c r="I368" s="63" t="str">
        <f>VLOOKUP(C368, 'Class Def. - Desc and Keywords'!$C$20:$C$1940,1,false)</f>
        <v>ZSI1_PIPE_REDUCER</v>
      </c>
    </row>
    <row r="369" ht="15.75" customHeight="1">
      <c r="A369" s="67"/>
      <c r="B369" s="38"/>
      <c r="C369" s="73" t="s">
        <v>445</v>
      </c>
      <c r="D369" s="70" t="s">
        <v>91</v>
      </c>
      <c r="E369" s="70" t="s">
        <v>92</v>
      </c>
      <c r="F369" s="62">
        <v>45658.0</v>
      </c>
      <c r="I369" s="63" t="str">
        <f>VLOOKUP(C369, 'Class Def. - Desc and Keywords'!$C$20:$C$1940,1,false)</f>
        <v>ZSI1_PIPE_STRAINER</v>
      </c>
    </row>
    <row r="370" ht="15.75" customHeight="1">
      <c r="A370" s="67"/>
      <c r="B370" s="38"/>
      <c r="C370" s="73" t="s">
        <v>446</v>
      </c>
      <c r="D370" s="70" t="s">
        <v>91</v>
      </c>
      <c r="E370" s="70" t="s">
        <v>92</v>
      </c>
      <c r="F370" s="62">
        <v>45658.0</v>
      </c>
      <c r="I370" s="63" t="str">
        <f>VLOOKUP(C370, 'Class Def. - Desc and Keywords'!$C$20:$C$1940,1,false)</f>
        <v>ZSI1_PIPE_TEE</v>
      </c>
    </row>
    <row r="371" ht="15.75" customHeight="1">
      <c r="A371" s="67"/>
      <c r="B371" s="38"/>
      <c r="C371" s="73" t="s">
        <v>447</v>
      </c>
      <c r="D371" s="70" t="s">
        <v>91</v>
      </c>
      <c r="E371" s="70" t="s">
        <v>92</v>
      </c>
      <c r="F371" s="62">
        <v>45658.0</v>
      </c>
      <c r="I371" s="63" t="str">
        <f>VLOOKUP(C371, 'Class Def. - Desc and Keywords'!$C$20:$C$1940,1,false)</f>
        <v>ZSI1_PLAIN_PLATE</v>
      </c>
    </row>
    <row r="372" ht="15.75" customHeight="1">
      <c r="A372" s="67"/>
      <c r="B372" s="38"/>
      <c r="C372" s="73" t="s">
        <v>448</v>
      </c>
      <c r="D372" s="70" t="s">
        <v>91</v>
      </c>
      <c r="E372" s="70" t="s">
        <v>92</v>
      </c>
      <c r="F372" s="62">
        <v>45658.0</v>
      </c>
      <c r="I372" s="63" t="str">
        <f>VLOOKUP(C372, 'Class Def. - Desc and Keywords'!$C$20:$C$1940,1,false)</f>
        <v>ZSI1_PLANT</v>
      </c>
    </row>
    <row r="373" ht="15.75" customHeight="1">
      <c r="A373" s="67"/>
      <c r="B373" s="38"/>
      <c r="C373" s="73" t="s">
        <v>449</v>
      </c>
      <c r="D373" s="70" t="s">
        <v>91</v>
      </c>
      <c r="E373" s="70" t="s">
        <v>92</v>
      </c>
      <c r="F373" s="62">
        <v>45658.0</v>
      </c>
      <c r="I373" s="63" t="str">
        <f>VLOOKUP(C373, 'Class Def. - Desc and Keywords'!$C$20:$C$1940,1,false)</f>
        <v>ZSI1_PLUMBING_FXTR</v>
      </c>
    </row>
    <row r="374" ht="15.75" customHeight="1">
      <c r="A374" s="67"/>
      <c r="B374" s="38"/>
      <c r="C374" s="73" t="s">
        <v>450</v>
      </c>
      <c r="D374" s="70" t="s">
        <v>91</v>
      </c>
      <c r="E374" s="70" t="s">
        <v>92</v>
      </c>
      <c r="F374" s="62">
        <v>45658.0</v>
      </c>
      <c r="I374" s="63" t="str">
        <f>VLOOKUP(C374, 'Class Def. - Desc and Keywords'!$C$20:$C$1940,1,false)</f>
        <v>ZSI1_PRINT_INK_TON</v>
      </c>
    </row>
    <row r="375" ht="15.75" customHeight="1">
      <c r="A375" s="67"/>
      <c r="B375" s="38"/>
      <c r="C375" s="73" t="s">
        <v>451</v>
      </c>
      <c r="D375" s="70" t="s">
        <v>91</v>
      </c>
      <c r="E375" s="70" t="s">
        <v>92</v>
      </c>
      <c r="F375" s="62">
        <v>45658.0</v>
      </c>
      <c r="I375" s="63" t="str">
        <f>VLOOKUP(C375, 'Class Def. - Desc and Keywords'!$C$20:$C$1940,1,false)</f>
        <v>ZSI1_REAGEN_INDC</v>
      </c>
    </row>
    <row r="376" ht="15.75" customHeight="1">
      <c r="A376" s="67"/>
      <c r="B376" s="38"/>
      <c r="C376" s="73" t="s">
        <v>452</v>
      </c>
      <c r="D376" s="70" t="s">
        <v>91</v>
      </c>
      <c r="E376" s="70" t="s">
        <v>92</v>
      </c>
      <c r="F376" s="62">
        <v>45658.0</v>
      </c>
      <c r="I376" s="63" t="str">
        <f>VLOOKUP(C376, 'Class Def. - Desc and Keywords'!$C$20:$C$1940,1,false)</f>
        <v>ZSI1_ROAD_LANDSCAP</v>
      </c>
    </row>
    <row r="377" ht="15.75" customHeight="1">
      <c r="A377" s="67"/>
      <c r="B377" s="38"/>
      <c r="C377" s="73" t="s">
        <v>453</v>
      </c>
      <c r="D377" s="70" t="s">
        <v>91</v>
      </c>
      <c r="E377" s="70" t="s">
        <v>92</v>
      </c>
      <c r="F377" s="62">
        <v>45658.0</v>
      </c>
      <c r="I377" s="63" t="str">
        <f>VLOOKUP(C377, 'Class Def. - Desc and Keywords'!$C$20:$C$1940,1,false)</f>
        <v>ZSI1_ROD_EYE</v>
      </c>
    </row>
    <row r="378" ht="15.75" customHeight="1">
      <c r="A378" s="67"/>
      <c r="B378" s="38"/>
      <c r="C378" s="73" t="s">
        <v>454</v>
      </c>
      <c r="D378" s="70" t="s">
        <v>91</v>
      </c>
      <c r="E378" s="70" t="s">
        <v>92</v>
      </c>
      <c r="F378" s="62">
        <v>45658.0</v>
      </c>
      <c r="I378" s="63" t="str">
        <f>VLOOKUP(C378, 'Class Def. - Desc and Keywords'!$C$20:$C$1940,1,false)</f>
        <v>ZSI1_RODA_CASTER</v>
      </c>
    </row>
    <row r="379" ht="15.75" customHeight="1">
      <c r="A379" s="67"/>
      <c r="B379" s="38"/>
      <c r="C379" s="73" t="s">
        <v>455</v>
      </c>
      <c r="D379" s="70" t="s">
        <v>91</v>
      </c>
      <c r="E379" s="70" t="s">
        <v>92</v>
      </c>
      <c r="F379" s="62">
        <v>45658.0</v>
      </c>
      <c r="I379" s="63" t="str">
        <f>VLOOKUP(C379, 'Class Def. - Desc and Keywords'!$C$20:$C$1940,1,false)</f>
        <v>ZSI1_ROLL_ROOFING</v>
      </c>
    </row>
    <row r="380" ht="15.75" customHeight="1">
      <c r="A380" s="67"/>
      <c r="B380" s="38"/>
      <c r="C380" s="73" t="s">
        <v>456</v>
      </c>
      <c r="D380" s="70" t="s">
        <v>91</v>
      </c>
      <c r="E380" s="70" t="s">
        <v>92</v>
      </c>
      <c r="F380" s="62">
        <v>45658.0</v>
      </c>
      <c r="I380" s="63" t="str">
        <f>VLOOKUP(C380, 'Class Def. - Desc and Keywords'!$C$20:$C$1940,1,false)</f>
        <v>ZSI1_ROLLER_CHAIN</v>
      </c>
    </row>
    <row r="381" ht="15.75" customHeight="1">
      <c r="A381" s="67"/>
      <c r="B381" s="38"/>
      <c r="C381" s="73" t="s">
        <v>457</v>
      </c>
      <c r="D381" s="70" t="s">
        <v>91</v>
      </c>
      <c r="E381" s="70" t="s">
        <v>92</v>
      </c>
      <c r="F381" s="62">
        <v>45658.0</v>
      </c>
      <c r="I381" s="63" t="str">
        <f>VLOOKUP(C381, 'Class Def. - Desc and Keywords'!$C$20:$C$1940,1,false)</f>
        <v>ZSI1_SCREEN_CABLE</v>
      </c>
    </row>
    <row r="382" ht="15.75" customHeight="1">
      <c r="A382" s="67"/>
      <c r="B382" s="38"/>
      <c r="C382" s="73" t="s">
        <v>458</v>
      </c>
      <c r="D382" s="70" t="s">
        <v>91</v>
      </c>
      <c r="E382" s="70" t="s">
        <v>92</v>
      </c>
      <c r="F382" s="62">
        <v>45658.0</v>
      </c>
      <c r="I382" s="63" t="str">
        <f>VLOOKUP(C382, 'Class Def. - Desc and Keywords'!$C$20:$C$1940,1,false)</f>
        <v>ZSI1_SEAL</v>
      </c>
    </row>
    <row r="383" ht="15.75" customHeight="1">
      <c r="A383" s="67"/>
      <c r="B383" s="38"/>
      <c r="C383" s="73" t="s">
        <v>459</v>
      </c>
      <c r="D383" s="70" t="s">
        <v>91</v>
      </c>
      <c r="E383" s="70" t="s">
        <v>92</v>
      </c>
      <c r="F383" s="62">
        <v>45658.0</v>
      </c>
      <c r="I383" s="63" t="str">
        <f>VLOOKUP(C383, 'Class Def. - Desc and Keywords'!$C$20:$C$1940,1,false)</f>
        <v>ZSI1_SELFDRL_SCREW</v>
      </c>
    </row>
    <row r="384" ht="15.75" customHeight="1">
      <c r="A384" s="67"/>
      <c r="B384" s="38"/>
      <c r="C384" s="73" t="s">
        <v>460</v>
      </c>
      <c r="D384" s="70" t="s">
        <v>91</v>
      </c>
      <c r="E384" s="70" t="s">
        <v>92</v>
      </c>
      <c r="F384" s="62">
        <v>45658.0</v>
      </c>
      <c r="I384" s="63" t="str">
        <f>VLOOKUP(C384, 'Class Def. - Desc and Keywords'!$C$20:$C$1940,1,false)</f>
        <v>ZSI1_SELFTAP_SCREW</v>
      </c>
    </row>
    <row r="385" ht="15.75" customHeight="1">
      <c r="A385" s="67"/>
      <c r="B385" s="38"/>
      <c r="C385" s="73" t="s">
        <v>461</v>
      </c>
      <c r="D385" s="70" t="s">
        <v>91</v>
      </c>
      <c r="E385" s="70" t="s">
        <v>92</v>
      </c>
      <c r="F385" s="62">
        <v>45658.0</v>
      </c>
      <c r="I385" s="63" t="str">
        <f>VLOOKUP(C385, 'Class Def. - Desc and Keywords'!$C$20:$C$1940,1,false)</f>
        <v>ZSI1_SHEET</v>
      </c>
    </row>
    <row r="386" ht="15.75" customHeight="1">
      <c r="A386" s="67"/>
      <c r="B386" s="38"/>
      <c r="C386" s="73" t="s">
        <v>462</v>
      </c>
      <c r="D386" s="70" t="s">
        <v>91</v>
      </c>
      <c r="E386" s="70" t="s">
        <v>92</v>
      </c>
      <c r="F386" s="62">
        <v>45658.0</v>
      </c>
      <c r="I386" s="63" t="str">
        <f>VLOOKUP(C386, 'Class Def. - Desc and Keywords'!$C$20:$C$1940,1,false)</f>
        <v>ZSI1_SHOE_SANDAL</v>
      </c>
    </row>
    <row r="387" ht="15.75" customHeight="1">
      <c r="A387" s="67"/>
      <c r="B387" s="38"/>
      <c r="C387" s="73" t="s">
        <v>463</v>
      </c>
      <c r="D387" s="70" t="s">
        <v>91</v>
      </c>
      <c r="E387" s="70" t="s">
        <v>92</v>
      </c>
      <c r="F387" s="62">
        <v>45658.0</v>
      </c>
      <c r="I387" s="63" t="str">
        <f>VLOOKUP(C387, 'Class Def. - Desc and Keywords'!$C$20:$C$1940,1,false)</f>
        <v>ZSI1_SHOWCASE</v>
      </c>
    </row>
    <row r="388" ht="15.75" customHeight="1">
      <c r="A388" s="67"/>
      <c r="B388" s="38"/>
      <c r="C388" s="73" t="s">
        <v>464</v>
      </c>
      <c r="D388" s="70" t="s">
        <v>91</v>
      </c>
      <c r="E388" s="70" t="s">
        <v>92</v>
      </c>
      <c r="F388" s="62">
        <v>45658.0</v>
      </c>
      <c r="I388" s="63" t="str">
        <f>VLOOKUP(C388, 'Class Def. - Desc and Keywords'!$C$20:$C$1940,1,false)</f>
        <v>ZSI1_SIGHT_GLASS</v>
      </c>
    </row>
    <row r="389" ht="15.75" customHeight="1">
      <c r="A389" s="67"/>
      <c r="B389" s="38"/>
      <c r="C389" s="73" t="s">
        <v>465</v>
      </c>
      <c r="D389" s="70" t="s">
        <v>91</v>
      </c>
      <c r="E389" s="70" t="s">
        <v>92</v>
      </c>
      <c r="F389" s="62">
        <v>45658.0</v>
      </c>
      <c r="I389" s="63" t="str">
        <f>VLOOKUP(C389, 'Class Def. - Desc and Keywords'!$C$20:$C$1940,1,false)</f>
        <v>ZSI1_SLING</v>
      </c>
    </row>
    <row r="390" ht="15.75" customHeight="1">
      <c r="A390" s="67"/>
      <c r="B390" s="38"/>
      <c r="C390" s="73" t="s">
        <v>466</v>
      </c>
      <c r="D390" s="70" t="s">
        <v>91</v>
      </c>
      <c r="E390" s="70" t="s">
        <v>92</v>
      </c>
      <c r="F390" s="62">
        <v>45658.0</v>
      </c>
      <c r="I390" s="63" t="str">
        <f>VLOOKUP(C390, 'Class Def. - Desc and Keywords'!$C$20:$C$1940,1,false)</f>
        <v>ZSI1_SLIPSHEET</v>
      </c>
    </row>
    <row r="391" ht="15.75" customHeight="1">
      <c r="A391" s="67"/>
      <c r="B391" s="38"/>
      <c r="C391" s="73" t="s">
        <v>467</v>
      </c>
      <c r="D391" s="70" t="s">
        <v>91</v>
      </c>
      <c r="E391" s="70" t="s">
        <v>92</v>
      </c>
      <c r="F391" s="62">
        <v>45658.0</v>
      </c>
      <c r="I391" s="63" t="str">
        <f>VLOOKUP(C391, 'Class Def. - Desc and Keywords'!$C$20:$C$1940,1,false)</f>
        <v>ZSI1_SNAP_RING</v>
      </c>
    </row>
    <row r="392" ht="15.75" customHeight="1">
      <c r="A392" s="67"/>
      <c r="B392" s="38"/>
      <c r="C392" s="73" t="s">
        <v>468</v>
      </c>
      <c r="D392" s="70" t="s">
        <v>91</v>
      </c>
      <c r="E392" s="70" t="s">
        <v>92</v>
      </c>
      <c r="F392" s="62">
        <v>45658.0</v>
      </c>
      <c r="I392" s="63" t="str">
        <f>VLOOKUP(C392, 'Class Def. - Desc and Keywords'!$C$20:$C$1940,1,false)</f>
        <v>ZSI1_SPRING</v>
      </c>
    </row>
    <row r="393" ht="15.75" customHeight="1">
      <c r="A393" s="67"/>
      <c r="B393" s="38"/>
      <c r="C393" s="73" t="s">
        <v>469</v>
      </c>
      <c r="D393" s="70" t="s">
        <v>91</v>
      </c>
      <c r="E393" s="70" t="s">
        <v>92</v>
      </c>
      <c r="F393" s="62">
        <v>45658.0</v>
      </c>
      <c r="I393" s="63" t="str">
        <f>VLOOKUP(C393, 'Class Def. - Desc and Keywords'!$C$20:$C$1940,1,false)</f>
        <v>ZSI1_STORAGE_TANK</v>
      </c>
    </row>
    <row r="394" ht="15.75" customHeight="1">
      <c r="A394" s="67"/>
      <c r="B394" s="38"/>
      <c r="C394" s="73" t="s">
        <v>470</v>
      </c>
      <c r="D394" s="70" t="s">
        <v>91</v>
      </c>
      <c r="E394" s="70" t="s">
        <v>92</v>
      </c>
      <c r="F394" s="62">
        <v>45658.0</v>
      </c>
      <c r="I394" s="63" t="str">
        <f>VLOOKUP(C394, 'Class Def. - Desc and Keywords'!$C$20:$C$1940,1,false)</f>
        <v>ZSI1_SURVEILLANCE</v>
      </c>
    </row>
    <row r="395" ht="15.75" customHeight="1">
      <c r="A395" s="67"/>
      <c r="B395" s="38"/>
      <c r="C395" s="73" t="s">
        <v>471</v>
      </c>
      <c r="D395" s="70" t="s">
        <v>91</v>
      </c>
      <c r="E395" s="70" t="s">
        <v>92</v>
      </c>
      <c r="F395" s="62">
        <v>45658.0</v>
      </c>
      <c r="I395" s="63" t="str">
        <f>VLOOKUP(C395, 'Class Def. - Desc and Keywords'!$C$20:$C$1940,1,false)</f>
        <v>ZSI1_TAPE_DISPENSE</v>
      </c>
    </row>
    <row r="396" ht="15.75" customHeight="1">
      <c r="A396" s="67"/>
      <c r="B396" s="38"/>
      <c r="C396" s="73" t="s">
        <v>472</v>
      </c>
      <c r="D396" s="70" t="s">
        <v>91</v>
      </c>
      <c r="E396" s="70" t="s">
        <v>92</v>
      </c>
      <c r="F396" s="62">
        <v>45658.0</v>
      </c>
      <c r="I396" s="63" t="str">
        <f>VLOOKUP(C396, 'Class Def. - Desc and Keywords'!$C$20:$C$1940,1,false)</f>
        <v>ZSI1_TENT_CARD</v>
      </c>
    </row>
    <row r="397" ht="15.75" customHeight="1">
      <c r="A397" s="67"/>
      <c r="B397" s="38"/>
      <c r="C397" s="73" t="s">
        <v>473</v>
      </c>
      <c r="D397" s="70" t="s">
        <v>91</v>
      </c>
      <c r="E397" s="70" t="s">
        <v>92</v>
      </c>
      <c r="F397" s="62">
        <v>45658.0</v>
      </c>
      <c r="I397" s="63" t="str">
        <f>VLOOKUP(C397, 'Class Def. - Desc and Keywords'!$C$20:$C$1940,1,false)</f>
        <v>ZSI1_TEST_PAPER</v>
      </c>
    </row>
    <row r="398" ht="15.75" customHeight="1">
      <c r="A398" s="67"/>
      <c r="B398" s="38"/>
      <c r="C398" s="73" t="s">
        <v>474</v>
      </c>
      <c r="D398" s="70" t="s">
        <v>91</v>
      </c>
      <c r="E398" s="70" t="s">
        <v>92</v>
      </c>
      <c r="F398" s="62">
        <v>45658.0</v>
      </c>
      <c r="I398" s="63" t="str">
        <f>VLOOKUP(C398, 'Class Def. - Desc and Keywords'!$C$20:$C$1940,1,false)</f>
        <v>ZSI1_TILE</v>
      </c>
    </row>
    <row r="399" ht="15.75" customHeight="1">
      <c r="A399" s="67"/>
      <c r="B399" s="38"/>
      <c r="C399" s="73" t="s">
        <v>475</v>
      </c>
      <c r="D399" s="70" t="s">
        <v>91</v>
      </c>
      <c r="E399" s="70" t="s">
        <v>92</v>
      </c>
      <c r="F399" s="62">
        <v>45658.0</v>
      </c>
      <c r="I399" s="63" t="str">
        <f>VLOOKUP(C399, 'Class Def. - Desc and Keywords'!$C$20:$C$1940,1,false)</f>
        <v>ZSI1_TRAF_CONE</v>
      </c>
    </row>
    <row r="400" ht="15.75" customHeight="1">
      <c r="A400" s="67"/>
      <c r="B400" s="38"/>
      <c r="C400" s="73" t="s">
        <v>476</v>
      </c>
      <c r="D400" s="70" t="s">
        <v>91</v>
      </c>
      <c r="E400" s="70" t="s">
        <v>92</v>
      </c>
      <c r="F400" s="62">
        <v>45658.0</v>
      </c>
      <c r="I400" s="63" t="str">
        <f>VLOOKUP(C400, 'Class Def. - Desc and Keywords'!$C$20:$C$1940,1,false)</f>
        <v>ZSI1_TRIPOD</v>
      </c>
    </row>
    <row r="401" ht="15.75" customHeight="1">
      <c r="A401" s="67"/>
      <c r="B401" s="38"/>
      <c r="C401" s="73" t="s">
        <v>477</v>
      </c>
      <c r="D401" s="70" t="s">
        <v>91</v>
      </c>
      <c r="E401" s="70" t="s">
        <v>92</v>
      </c>
      <c r="F401" s="62">
        <v>45658.0</v>
      </c>
      <c r="I401" s="63" t="str">
        <f>VLOOKUP(C401, 'Class Def. - Desc and Keywords'!$C$20:$C$1940,1,false)</f>
        <v>ZSI1_U_CHANNEL</v>
      </c>
    </row>
    <row r="402" ht="15.75" customHeight="1">
      <c r="A402" s="67"/>
      <c r="B402" s="38"/>
      <c r="C402" s="73" t="s">
        <v>478</v>
      </c>
      <c r="D402" s="70" t="s">
        <v>91</v>
      </c>
      <c r="E402" s="70" t="s">
        <v>92</v>
      </c>
      <c r="F402" s="62">
        <v>45658.0</v>
      </c>
      <c r="I402" s="63" t="str">
        <f>VLOOKUP(C402, 'Class Def. - Desc and Keywords'!$C$20:$C$1940,1,false)</f>
        <v>ZSI1_V_PACKING</v>
      </c>
    </row>
    <row r="403" ht="15.75" customHeight="1">
      <c r="A403" s="67"/>
      <c r="B403" s="38"/>
      <c r="C403" s="73" t="s">
        <v>479</v>
      </c>
      <c r="D403" s="70" t="s">
        <v>91</v>
      </c>
      <c r="E403" s="70" t="s">
        <v>92</v>
      </c>
      <c r="F403" s="62">
        <v>45658.0</v>
      </c>
      <c r="I403" s="63" t="str">
        <f>VLOOKUP(C403, 'Class Def. - Desc and Keywords'!$C$20:$C$1940,1,false)</f>
        <v>ZSI1_VIS_PRESENT</v>
      </c>
    </row>
    <row r="404" ht="15.75" customHeight="1">
      <c r="A404" s="67"/>
      <c r="B404" s="38"/>
      <c r="C404" s="73" t="s">
        <v>480</v>
      </c>
      <c r="D404" s="70" t="s">
        <v>91</v>
      </c>
      <c r="E404" s="70" t="s">
        <v>92</v>
      </c>
      <c r="F404" s="62">
        <v>45658.0</v>
      </c>
      <c r="I404" s="63" t="str">
        <f>VLOOKUP(C404, 'Class Def. - Desc and Keywords'!$C$20:$C$1940,1,false)</f>
        <v>ZSI1_WALL_PANEL</v>
      </c>
    </row>
    <row r="405" ht="15.75" customHeight="1">
      <c r="A405" s="67"/>
      <c r="B405" s="38"/>
      <c r="C405" s="73" t="s">
        <v>481</v>
      </c>
      <c r="D405" s="70" t="s">
        <v>91</v>
      </c>
      <c r="E405" s="70" t="s">
        <v>92</v>
      </c>
      <c r="F405" s="62">
        <v>45658.0</v>
      </c>
      <c r="I405" s="63" t="str">
        <f>VLOOKUP(C405, 'Class Def. - Desc and Keywords'!$C$20:$C$1940,1,false)</f>
        <v>ZSI1_WATERMUR</v>
      </c>
    </row>
    <row r="406" ht="15.75" customHeight="1">
      <c r="A406" s="67"/>
      <c r="B406" s="38"/>
      <c r="C406" s="73" t="s">
        <v>482</v>
      </c>
      <c r="D406" s="70" t="s">
        <v>91</v>
      </c>
      <c r="E406" s="70" t="s">
        <v>92</v>
      </c>
      <c r="F406" s="62">
        <v>45658.0</v>
      </c>
      <c r="I406" s="63" t="str">
        <f>VLOOKUP(C406, 'Class Def. - Desc and Keywords'!$C$20:$C$1940,1,false)</f>
        <v>ZSI1_WOOD_STRCTR</v>
      </c>
    </row>
    <row r="407" ht="15.75" customHeight="1">
      <c r="A407" s="67"/>
      <c r="B407" s="38"/>
      <c r="C407" s="73" t="s">
        <v>483</v>
      </c>
      <c r="D407" s="70" t="s">
        <v>91</v>
      </c>
      <c r="E407" s="70" t="s">
        <v>92</v>
      </c>
      <c r="F407" s="62">
        <v>45658.0</v>
      </c>
      <c r="I407" s="63" t="str">
        <f>VLOOKUP(C407, 'Class Def. - Desc and Keywords'!$C$20:$C$1940,1,false)</f>
        <v>ZSI1_WRAPPING_BAND</v>
      </c>
    </row>
    <row r="408" ht="15.75" customHeight="1">
      <c r="A408" s="67"/>
      <c r="B408" s="38"/>
      <c r="C408" s="73" t="s">
        <v>484</v>
      </c>
      <c r="D408" s="70" t="s">
        <v>91</v>
      </c>
      <c r="E408" s="70" t="s">
        <v>92</v>
      </c>
      <c r="F408" s="62">
        <v>45658.0</v>
      </c>
      <c r="I408" s="63" t="str">
        <f>VLOOKUP(C408, 'Class Def. - Desc and Keywords'!$C$20:$C$1940,1,false)</f>
        <v>ZSI1_WRITE_ERASE</v>
      </c>
    </row>
    <row r="409" ht="15.75" customHeight="1">
      <c r="A409" s="67"/>
      <c r="B409" s="38"/>
      <c r="C409" s="73" t="s">
        <v>485</v>
      </c>
      <c r="D409" s="70" t="s">
        <v>91</v>
      </c>
      <c r="E409" s="70" t="s">
        <v>92</v>
      </c>
      <c r="F409" s="62">
        <v>45658.0</v>
      </c>
      <c r="I409" s="63" t="str">
        <f>VLOOKUP(C409, 'Class Def. - Desc and Keywords'!$C$20:$C$1940,1,false)</f>
        <v>ZSI1_WWT_SUPPLY</v>
      </c>
    </row>
    <row r="410" ht="15.75" customHeight="1">
      <c r="A410" s="67"/>
      <c r="B410" s="38"/>
      <c r="C410" s="73" t="s">
        <v>486</v>
      </c>
      <c r="D410" s="70" t="s">
        <v>91</v>
      </c>
      <c r="E410" s="70" t="s">
        <v>92</v>
      </c>
      <c r="F410" s="62">
        <v>45658.0</v>
      </c>
      <c r="I410" s="63" t="str">
        <f>VLOOKUP(C410, 'Class Def. - Desc and Keywords'!$C$20:$C$1940,1,false)</f>
        <v>ZSI1_FOOD_CUT_MC</v>
      </c>
    </row>
    <row r="411" ht="15.75" customHeight="1">
      <c r="A411" s="67"/>
      <c r="B411" s="38"/>
      <c r="C411" s="73" t="s">
        <v>487</v>
      </c>
      <c r="D411" s="70" t="s">
        <v>91</v>
      </c>
      <c r="E411" s="70" t="s">
        <v>92</v>
      </c>
      <c r="F411" s="62">
        <v>45658.0</v>
      </c>
      <c r="I411" s="63" t="str">
        <f>VLOOKUP(C411, 'Class Def. - Desc and Keywords'!$C$20:$C$1940,1,false)</f>
        <v>ZSI1_AC_MOTOR</v>
      </c>
    </row>
    <row r="412" ht="15.75" customHeight="1">
      <c r="A412" s="67"/>
      <c r="B412" s="38"/>
      <c r="C412" s="73" t="s">
        <v>488</v>
      </c>
      <c r="D412" s="70" t="s">
        <v>91</v>
      </c>
      <c r="E412" s="70" t="s">
        <v>92</v>
      </c>
      <c r="F412" s="62">
        <v>45658.0</v>
      </c>
      <c r="I412" s="63" t="str">
        <f>VLOOKUP(C412, 'Class Def. - Desc and Keywords'!$C$20:$C$1940,1,false)</f>
        <v>ZSI1_JUMPER_BAR</v>
      </c>
    </row>
    <row r="413" ht="15.75" customHeight="1">
      <c r="A413" s="67"/>
      <c r="B413" s="38"/>
      <c r="C413" s="73" t="s">
        <v>489</v>
      </c>
      <c r="D413" s="70" t="s">
        <v>91</v>
      </c>
      <c r="E413" s="70" t="s">
        <v>92</v>
      </c>
      <c r="F413" s="62">
        <v>45658.0</v>
      </c>
      <c r="I413" s="63" t="str">
        <f>VLOOKUP(C413, 'Class Def. - Desc and Keywords'!$C$20:$C$1940,1,false)</f>
        <v>ZSI1_ANTI_KARAT</v>
      </c>
    </row>
    <row r="414" ht="15.75" customHeight="1">
      <c r="A414" s="67"/>
      <c r="B414" s="38"/>
      <c r="C414" s="73" t="s">
        <v>490</v>
      </c>
      <c r="D414" s="70" t="s">
        <v>91</v>
      </c>
      <c r="E414" s="70" t="s">
        <v>92</v>
      </c>
      <c r="F414" s="62">
        <v>45658.0</v>
      </c>
      <c r="I414" s="63" t="str">
        <f>VLOOKUP(C414, 'Class Def. - Desc and Keywords'!$C$20:$C$1940,1,false)</f>
        <v>ZSI1_BOILERS</v>
      </c>
    </row>
    <row r="415" ht="15.75" customHeight="1">
      <c r="A415" s="67"/>
      <c r="B415" s="38"/>
      <c r="C415" s="73" t="s">
        <v>491</v>
      </c>
      <c r="D415" s="70" t="s">
        <v>91</v>
      </c>
      <c r="E415" s="70" t="s">
        <v>92</v>
      </c>
      <c r="F415" s="62">
        <v>45658.0</v>
      </c>
      <c r="I415" s="63" t="str">
        <f>VLOOKUP(C415, 'Class Def. - Desc and Keywords'!$C$20:$C$1940,1,false)</f>
        <v>ZSI1_CHAIN_BLOCK</v>
      </c>
    </row>
    <row r="416" ht="15.75" customHeight="1">
      <c r="A416" s="67"/>
      <c r="B416" s="38"/>
      <c r="C416" s="73" t="s">
        <v>492</v>
      </c>
      <c r="D416" s="70" t="s">
        <v>91</v>
      </c>
      <c r="E416" s="70" t="s">
        <v>92</v>
      </c>
      <c r="F416" s="62">
        <v>45658.0</v>
      </c>
      <c r="I416" s="63" t="str">
        <f>VLOOKUP(C416, 'Class Def. - Desc and Keywords'!$C$20:$C$1940,1,false)</f>
        <v>ZSI1_CIRC_VENT</v>
      </c>
    </row>
    <row r="417" ht="15.75" customHeight="1">
      <c r="A417" s="67"/>
      <c r="B417" s="38"/>
      <c r="C417" s="73" t="s">
        <v>493</v>
      </c>
      <c r="D417" s="70" t="s">
        <v>91</v>
      </c>
      <c r="E417" s="70" t="s">
        <v>92</v>
      </c>
      <c r="F417" s="62">
        <v>45658.0</v>
      </c>
      <c r="I417" s="63" t="str">
        <f>VLOOKUP(C417, 'Class Def. - Desc and Keywords'!$C$20:$C$1940,1,false)</f>
        <v>ZSI1_CONVEYOR_BELT</v>
      </c>
    </row>
    <row r="418" ht="15.75" customHeight="1">
      <c r="A418" s="67"/>
      <c r="B418" s="38"/>
      <c r="C418" s="73" t="s">
        <v>494</v>
      </c>
      <c r="D418" s="70" t="s">
        <v>91</v>
      </c>
      <c r="E418" s="70" t="s">
        <v>92</v>
      </c>
      <c r="F418" s="62">
        <v>45658.0</v>
      </c>
      <c r="I418" s="63" t="str">
        <f>VLOOKUP(C418, 'Class Def. - Desc and Keywords'!$C$20:$C$1940,1,false)</f>
        <v>ZSI1_COOLING_EQUIP</v>
      </c>
    </row>
    <row r="419" ht="15.75" customHeight="1">
      <c r="A419" s="67"/>
      <c r="B419" s="38"/>
      <c r="C419" s="73" t="s">
        <v>495</v>
      </c>
      <c r="D419" s="70" t="s">
        <v>91</v>
      </c>
      <c r="E419" s="70" t="s">
        <v>92</v>
      </c>
      <c r="F419" s="62">
        <v>45658.0</v>
      </c>
      <c r="I419" s="63" t="str">
        <f>VLOOKUP(C419, 'Class Def. - Desc and Keywords'!$C$20:$C$1940,1,false)</f>
        <v>ZSI1_ELEC_LUG</v>
      </c>
    </row>
    <row r="420" ht="15.75" customHeight="1">
      <c r="A420" s="67"/>
      <c r="B420" s="38"/>
      <c r="C420" s="73" t="s">
        <v>496</v>
      </c>
      <c r="D420" s="70" t="s">
        <v>91</v>
      </c>
      <c r="E420" s="70" t="s">
        <v>92</v>
      </c>
      <c r="F420" s="62">
        <v>45658.0</v>
      </c>
      <c r="I420" s="63" t="str">
        <f>VLOOKUP(C420, 'Class Def. - Desc and Keywords'!$C$20:$C$1940,1,false)</f>
        <v>ZSI1_FILTER</v>
      </c>
    </row>
    <row r="421" ht="15.75" customHeight="1">
      <c r="A421" s="67"/>
      <c r="B421" s="38"/>
      <c r="C421" s="73" t="s">
        <v>497</v>
      </c>
      <c r="D421" s="70" t="s">
        <v>91</v>
      </c>
      <c r="E421" s="70" t="s">
        <v>92</v>
      </c>
      <c r="F421" s="62">
        <v>45658.0</v>
      </c>
      <c r="I421" s="63" t="str">
        <f>VLOOKUP(C421, 'Class Def. - Desc and Keywords'!$C$20:$C$1940,1,false)</f>
        <v>ZSI1_GREASE</v>
      </c>
    </row>
    <row r="422" ht="15.75" customHeight="1">
      <c r="A422" s="67"/>
      <c r="B422" s="38"/>
      <c r="C422" s="73" t="s">
        <v>498</v>
      </c>
      <c r="D422" s="70" t="s">
        <v>91</v>
      </c>
      <c r="E422" s="70" t="s">
        <v>92</v>
      </c>
      <c r="F422" s="62">
        <v>45658.0</v>
      </c>
      <c r="I422" s="63" t="str">
        <f>VLOOKUP(C422, 'Class Def. - Desc and Keywords'!$C$20:$C$1940,1,false)</f>
        <v>ZSI1_INVERTER</v>
      </c>
    </row>
    <row r="423" ht="15.75" customHeight="1">
      <c r="A423" s="67"/>
      <c r="B423" s="38"/>
      <c r="C423" s="73" t="s">
        <v>499</v>
      </c>
      <c r="D423" s="70" t="s">
        <v>91</v>
      </c>
      <c r="E423" s="70" t="s">
        <v>92</v>
      </c>
      <c r="F423" s="62">
        <v>45658.0</v>
      </c>
      <c r="I423" s="63" t="str">
        <f>VLOOKUP(C423, 'Class Def. - Desc and Keywords'!$C$20:$C$1940,1,false)</f>
        <v>ZSI1_LAMP</v>
      </c>
    </row>
    <row r="424" ht="15.75" customHeight="1">
      <c r="A424" s="67"/>
      <c r="B424" s="38"/>
      <c r="C424" s="73" t="s">
        <v>500</v>
      </c>
      <c r="D424" s="70" t="s">
        <v>91</v>
      </c>
      <c r="E424" s="70" t="s">
        <v>92</v>
      </c>
      <c r="F424" s="62">
        <v>45658.0</v>
      </c>
      <c r="I424" s="63" t="str">
        <f>VLOOKUP(C424, 'Class Def. - Desc and Keywords'!$C$20:$C$1940,1,false)</f>
        <v>ZSI1_PACKING_SUPP</v>
      </c>
    </row>
    <row r="425" ht="15.75" customHeight="1">
      <c r="A425" s="67"/>
      <c r="B425" s="38"/>
      <c r="C425" s="73" t="s">
        <v>501</v>
      </c>
      <c r="D425" s="70" t="s">
        <v>91</v>
      </c>
      <c r="E425" s="70" t="s">
        <v>92</v>
      </c>
      <c r="F425" s="62">
        <v>45658.0</v>
      </c>
      <c r="I425" s="63" t="str">
        <f>VLOOKUP(C425, 'Class Def. - Desc and Keywords'!$C$20:$C$1940,1,false)</f>
        <v>ZSI1_PAINT_FINISH</v>
      </c>
    </row>
    <row r="426" ht="15.75" customHeight="1">
      <c r="A426" s="67"/>
      <c r="B426" s="38"/>
      <c r="C426" s="73" t="s">
        <v>502</v>
      </c>
      <c r="D426" s="70" t="s">
        <v>91</v>
      </c>
      <c r="E426" s="70" t="s">
        <v>92</v>
      </c>
      <c r="F426" s="62">
        <v>45658.0</v>
      </c>
      <c r="I426" s="63" t="str">
        <f>VLOOKUP(C426, 'Class Def. - Desc and Keywords'!$C$20:$C$1940,1,false)</f>
        <v>ZSI1_PAINT_ACCS</v>
      </c>
    </row>
    <row r="427" ht="15.75" customHeight="1">
      <c r="A427" s="67"/>
      <c r="B427" s="38"/>
      <c r="C427" s="73" t="s">
        <v>503</v>
      </c>
      <c r="D427" s="70" t="s">
        <v>91</v>
      </c>
      <c r="E427" s="70" t="s">
        <v>92</v>
      </c>
      <c r="F427" s="62">
        <v>45658.0</v>
      </c>
      <c r="I427" s="63" t="str">
        <f>VLOOKUP(C427, 'Class Def. - Desc and Keywords'!$C$20:$C$1940,1,false)</f>
        <v>ZSI1_PANEL_BOX</v>
      </c>
    </row>
    <row r="428" ht="15.75" customHeight="1">
      <c r="A428" s="67"/>
      <c r="B428" s="38"/>
      <c r="C428" s="73" t="s">
        <v>504</v>
      </c>
      <c r="D428" s="70" t="s">
        <v>91</v>
      </c>
      <c r="E428" s="70" t="s">
        <v>92</v>
      </c>
      <c r="F428" s="62">
        <v>45658.0</v>
      </c>
      <c r="I428" s="63" t="str">
        <f>VLOOKUP(C428, 'Class Def. - Desc and Keywords'!$C$20:$C$1940,1,false)</f>
        <v>ZSI1_PIPE</v>
      </c>
    </row>
    <row r="429" ht="15.75" customHeight="1">
      <c r="A429" s="67"/>
      <c r="B429" s="38"/>
      <c r="C429" s="73" t="s">
        <v>505</v>
      </c>
      <c r="D429" s="70" t="s">
        <v>91</v>
      </c>
      <c r="E429" s="70" t="s">
        <v>92</v>
      </c>
      <c r="F429" s="62">
        <v>45658.0</v>
      </c>
      <c r="I429" s="63" t="str">
        <f>VLOOKUP(C429, 'Class Def. - Desc and Keywords'!$C$20:$C$1940,1,false)</f>
        <v>ZSI1_TIMING_BELT</v>
      </c>
    </row>
    <row r="430" ht="15.75" customHeight="1">
      <c r="A430" s="67"/>
      <c r="B430" s="38"/>
      <c r="C430" s="73" t="s">
        <v>506</v>
      </c>
      <c r="D430" s="70" t="s">
        <v>91</v>
      </c>
      <c r="E430" s="70" t="s">
        <v>92</v>
      </c>
      <c r="F430" s="62">
        <v>45658.0</v>
      </c>
      <c r="I430" s="63" t="str">
        <f>VLOOKUP(C430, 'Class Def. - Desc and Keywords'!$C$20:$C$1940,1,false)</f>
        <v>ZSI1_TIRE_OUTER</v>
      </c>
    </row>
    <row r="431" ht="15.75" customHeight="1">
      <c r="A431" s="67"/>
      <c r="B431" s="38"/>
      <c r="C431" s="73" t="s">
        <v>507</v>
      </c>
      <c r="D431" s="70" t="s">
        <v>91</v>
      </c>
      <c r="E431" s="70" t="s">
        <v>92</v>
      </c>
      <c r="F431" s="62">
        <v>45658.0</v>
      </c>
      <c r="I431" s="63" t="str">
        <f>VLOOKUP(C431, 'Class Def. - Desc and Keywords'!$C$20:$C$1940,1,false)</f>
        <v>ZSI1_V_BELT</v>
      </c>
    </row>
    <row r="432" ht="15.75" customHeight="1">
      <c r="A432" s="67"/>
      <c r="B432" s="38"/>
      <c r="C432" s="73" t="s">
        <v>508</v>
      </c>
      <c r="D432" s="70" t="s">
        <v>91</v>
      </c>
      <c r="E432" s="70" t="s">
        <v>92</v>
      </c>
      <c r="F432" s="62">
        <v>45658.0</v>
      </c>
      <c r="I432" s="63" t="str">
        <f>VLOOKUP(C432, 'Class Def. - Desc and Keywords'!$C$20:$C$1940,1,false)</f>
        <v>ZSI1_VALVE</v>
      </c>
    </row>
    <row r="433" ht="15.75" customHeight="1">
      <c r="A433" s="67"/>
      <c r="B433" s="38"/>
      <c r="C433" s="73" t="s">
        <v>509</v>
      </c>
      <c r="D433" s="70" t="s">
        <v>91</v>
      </c>
      <c r="E433" s="70" t="s">
        <v>92</v>
      </c>
      <c r="F433" s="62">
        <v>45658.0</v>
      </c>
      <c r="I433" s="63" t="str">
        <f>VLOOKUP(C433, 'Class Def. - Desc and Keywords'!$C$20:$C$1940,1,false)</f>
        <v>ZSI1_KARPET</v>
      </c>
    </row>
    <row r="434" ht="15.75" customHeight="1">
      <c r="A434" s="67"/>
      <c r="B434" s="38"/>
      <c r="C434" s="73" t="s">
        <v>510</v>
      </c>
      <c r="D434" s="70" t="s">
        <v>91</v>
      </c>
      <c r="E434" s="70" t="s">
        <v>92</v>
      </c>
      <c r="F434" s="62">
        <v>45658.0</v>
      </c>
      <c r="I434" s="63" t="str">
        <f>VLOOKUP(C434, 'Class Def. - Desc and Keywords'!$C$20:$C$1940,1,false)</f>
        <v>ZSI1_ACTUATOR</v>
      </c>
    </row>
    <row r="435" ht="15.75" customHeight="1">
      <c r="A435" s="67"/>
      <c r="B435" s="38"/>
      <c r="C435" s="73" t="s">
        <v>511</v>
      </c>
      <c r="D435" s="70" t="s">
        <v>91</v>
      </c>
      <c r="E435" s="70" t="s">
        <v>92</v>
      </c>
      <c r="F435" s="62">
        <v>45658.0</v>
      </c>
      <c r="I435" s="63" t="str">
        <f>VLOOKUP(C435, 'Class Def. - Desc and Keywords'!$C$20:$C$1940,1,false)</f>
        <v>ZSI1_BRAKE_COMP</v>
      </c>
    </row>
    <row r="436" ht="15.75" customHeight="1">
      <c r="A436" s="67"/>
      <c r="B436" s="38"/>
      <c r="C436" s="73" t="s">
        <v>512</v>
      </c>
      <c r="D436" s="70" t="s">
        <v>91</v>
      </c>
      <c r="E436" s="70" t="s">
        <v>92</v>
      </c>
      <c r="F436" s="62">
        <v>45658.0</v>
      </c>
      <c r="I436" s="63" t="str">
        <f>VLOOKUP(C436, 'Class Def. - Desc and Keywords'!$C$20:$C$1940,1,false)</f>
        <v>ZSI1_BUSHING</v>
      </c>
    </row>
    <row r="437" ht="15.75" customHeight="1">
      <c r="A437" s="67"/>
      <c r="B437" s="38"/>
      <c r="C437" s="73" t="s">
        <v>513</v>
      </c>
      <c r="D437" s="70" t="s">
        <v>91</v>
      </c>
      <c r="E437" s="70" t="s">
        <v>92</v>
      </c>
      <c r="F437" s="62">
        <v>45658.0</v>
      </c>
      <c r="I437" s="63" t="str">
        <f>VLOOKUP(C437, 'Class Def. - Desc and Keywords'!$C$20:$C$1940,1,false)</f>
        <v>ZSI1_CLEANING_SUPP</v>
      </c>
    </row>
    <row r="438" ht="15.75" customHeight="1">
      <c r="A438" s="67"/>
      <c r="B438" s="38"/>
      <c r="C438" s="73" t="s">
        <v>514</v>
      </c>
      <c r="D438" s="70" t="s">
        <v>91</v>
      </c>
      <c r="E438" s="70" t="s">
        <v>92</v>
      </c>
      <c r="F438" s="62">
        <v>45658.0</v>
      </c>
      <c r="I438" s="63" t="str">
        <f>VLOOKUP(C438, 'Class Def. - Desc and Keywords'!$C$20:$C$1940,1,false)</f>
        <v>ZSI1_DOOR_ACCS</v>
      </c>
    </row>
    <row r="439" ht="15.75" customHeight="1">
      <c r="A439" s="67"/>
      <c r="B439" s="38"/>
      <c r="C439" s="73" t="s">
        <v>515</v>
      </c>
      <c r="D439" s="70" t="s">
        <v>91</v>
      </c>
      <c r="E439" s="70" t="s">
        <v>92</v>
      </c>
      <c r="F439" s="62">
        <v>45658.0</v>
      </c>
      <c r="I439" s="63" t="str">
        <f>VLOOKUP(C439, 'Class Def. - Desc and Keywords'!$C$20:$C$1940,1,false)</f>
        <v>ZSI1_ELEC_HARDWARE</v>
      </c>
    </row>
    <row r="440" ht="15.75" customHeight="1">
      <c r="A440" s="67"/>
      <c r="B440" s="38"/>
      <c r="C440" s="73" t="s">
        <v>516</v>
      </c>
      <c r="D440" s="70" t="s">
        <v>91</v>
      </c>
      <c r="E440" s="70" t="s">
        <v>92</v>
      </c>
      <c r="F440" s="62">
        <v>45658.0</v>
      </c>
      <c r="I440" s="63" t="str">
        <f>VLOOKUP(C440, 'Class Def. - Desc and Keywords'!$C$20:$C$1940,1,false)</f>
        <v>ZSI1_HYD_FITTING</v>
      </c>
    </row>
    <row r="441" ht="15.75" customHeight="1">
      <c r="A441" s="67"/>
      <c r="B441" s="38"/>
      <c r="C441" s="73" t="s">
        <v>517</v>
      </c>
      <c r="D441" s="70" t="s">
        <v>91</v>
      </c>
      <c r="E441" s="70" t="s">
        <v>92</v>
      </c>
      <c r="F441" s="62">
        <v>45658.0</v>
      </c>
      <c r="I441" s="63" t="str">
        <f>VLOOKUP(C441, 'Class Def. - Desc and Keywords'!$C$20:$C$1940,1,false)</f>
        <v>ZSI1_HYD_HOSE</v>
      </c>
    </row>
    <row r="442" ht="15.75" customHeight="1">
      <c r="A442" s="67"/>
      <c r="B442" s="38"/>
      <c r="C442" s="73" t="s">
        <v>518</v>
      </c>
      <c r="D442" s="70" t="s">
        <v>91</v>
      </c>
      <c r="E442" s="70" t="s">
        <v>92</v>
      </c>
      <c r="F442" s="62">
        <v>45658.0</v>
      </c>
      <c r="I442" s="63" t="str">
        <f>VLOOKUP(C442, 'Class Def. - Desc and Keywords'!$C$20:$C$1940,1,false)</f>
        <v>ZSI1_INSULATE_PIPE</v>
      </c>
    </row>
    <row r="443" ht="15.75" customHeight="1">
      <c r="A443" s="67"/>
      <c r="B443" s="38"/>
      <c r="C443" s="73" t="s">
        <v>519</v>
      </c>
      <c r="D443" s="70" t="s">
        <v>91</v>
      </c>
      <c r="E443" s="70" t="s">
        <v>92</v>
      </c>
      <c r="F443" s="62">
        <v>45658.0</v>
      </c>
      <c r="I443" s="63" t="str">
        <f>VLOOKUP(C443, 'Class Def. - Desc and Keywords'!$C$20:$C$1940,1,false)</f>
        <v>ZSI1_WELDSOLDER_WIRE</v>
      </c>
    </row>
    <row r="444" ht="15.75" customHeight="1">
      <c r="A444" s="67"/>
      <c r="B444" s="38"/>
      <c r="C444" s="73" t="s">
        <v>520</v>
      </c>
      <c r="D444" s="70" t="s">
        <v>91</v>
      </c>
      <c r="E444" s="70" t="s">
        <v>92</v>
      </c>
      <c r="F444" s="62">
        <v>45658.0</v>
      </c>
      <c r="I444" s="63" t="str">
        <f>VLOOKUP(C444, 'Class Def. - Desc and Keywords'!$C$20:$C$1940,1,false)</f>
        <v>ZSI1_PART_MOLDING</v>
      </c>
    </row>
    <row r="445" ht="15.75" customHeight="1">
      <c r="A445" s="67"/>
      <c r="B445" s="38"/>
      <c r="C445" s="73" t="s">
        <v>521</v>
      </c>
      <c r="D445" s="70" t="s">
        <v>91</v>
      </c>
      <c r="E445" s="70" t="s">
        <v>92</v>
      </c>
      <c r="F445" s="62">
        <v>45658.0</v>
      </c>
      <c r="I445" s="63" t="str">
        <f>VLOOKUP(C445, 'Class Def. - Desc and Keywords'!$C$20:$C$1940,1,false)</f>
        <v>ZSI1_MISC_FASTENER</v>
      </c>
    </row>
    <row r="446" ht="15.75" customHeight="1">
      <c r="A446" s="67"/>
      <c r="B446" s="38"/>
      <c r="C446" s="73" t="s">
        <v>522</v>
      </c>
      <c r="D446" s="70" t="s">
        <v>91</v>
      </c>
      <c r="E446" s="70" t="s">
        <v>92</v>
      </c>
      <c r="F446" s="62">
        <v>45658.0</v>
      </c>
      <c r="I446" s="63" t="str">
        <f>VLOOKUP(C446, 'Class Def. - Desc and Keywords'!$C$20:$C$1940,1,false)</f>
        <v>ZSI1_MIX_EQP</v>
      </c>
    </row>
    <row r="447" ht="15.75" customHeight="1">
      <c r="A447" s="67"/>
      <c r="B447" s="38"/>
      <c r="C447" s="73" t="s">
        <v>523</v>
      </c>
      <c r="D447" s="70" t="s">
        <v>91</v>
      </c>
      <c r="E447" s="70" t="s">
        <v>92</v>
      </c>
      <c r="F447" s="62">
        <v>45658.0</v>
      </c>
      <c r="I447" s="63" t="str">
        <f>VLOOKUP(C447, 'Class Def. - Desc and Keywords'!$C$20:$C$1940,1,false)</f>
        <v>ZSI1_VEHICLE</v>
      </c>
    </row>
    <row r="448" ht="15.75" customHeight="1">
      <c r="A448" s="67"/>
      <c r="B448" s="38"/>
      <c r="C448" s="73" t="s">
        <v>524</v>
      </c>
      <c r="D448" s="70" t="s">
        <v>91</v>
      </c>
      <c r="E448" s="70" t="s">
        <v>92</v>
      </c>
      <c r="F448" s="62">
        <v>45658.0</v>
      </c>
      <c r="I448" s="63" t="str">
        <f>VLOOKUP(C448, 'Class Def. - Desc and Keywords'!$C$20:$C$1940,1,false)</f>
        <v>ZSI1_PNEU_TOOL</v>
      </c>
    </row>
    <row r="449" ht="15.75" customHeight="1">
      <c r="A449" s="67"/>
      <c r="B449" s="38"/>
      <c r="C449" s="73" t="s">
        <v>525</v>
      </c>
      <c r="D449" s="70" t="s">
        <v>91</v>
      </c>
      <c r="E449" s="70" t="s">
        <v>92</v>
      </c>
      <c r="F449" s="62">
        <v>45658.0</v>
      </c>
      <c r="I449" s="63" t="str">
        <f>VLOOKUP(C449, 'Class Def. - Desc and Keywords'!$C$20:$C$1940,1,false)</f>
        <v>ZSI1_MOLDING</v>
      </c>
    </row>
    <row r="450" ht="15.75" customHeight="1">
      <c r="A450" s="67"/>
      <c r="B450" s="38"/>
      <c r="C450" s="73" t="s">
        <v>526</v>
      </c>
      <c r="D450" s="70" t="s">
        <v>91</v>
      </c>
      <c r="E450" s="70" t="s">
        <v>92</v>
      </c>
      <c r="F450" s="62">
        <v>45658.0</v>
      </c>
      <c r="I450" s="63" t="str">
        <f>VLOOKUP(C450, 'Class Def. - Desc and Keywords'!$C$20:$C$1940,1,false)</f>
        <v>ZSI1_RETAIN_HARDWR</v>
      </c>
    </row>
    <row r="451" ht="15.75" customHeight="1">
      <c r="A451" s="67"/>
      <c r="B451" s="38"/>
      <c r="C451" s="73" t="s">
        <v>527</v>
      </c>
      <c r="D451" s="70" t="s">
        <v>91</v>
      </c>
      <c r="E451" s="70" t="s">
        <v>92</v>
      </c>
      <c r="F451" s="62">
        <v>45658.0</v>
      </c>
      <c r="I451" s="63" t="str">
        <f>VLOOKUP(C451, 'Class Def. - Desc and Keywords'!$C$20:$C$1940,1,false)</f>
        <v>ZSI1_TRANSMSN_SHFT</v>
      </c>
    </row>
    <row r="452" ht="15.75" customHeight="1">
      <c r="A452" s="67"/>
      <c r="B452" s="38"/>
      <c r="C452" s="73" t="s">
        <v>528</v>
      </c>
      <c r="D452" s="70" t="s">
        <v>91</v>
      </c>
      <c r="E452" s="70" t="s">
        <v>92</v>
      </c>
      <c r="F452" s="62">
        <v>45658.0</v>
      </c>
      <c r="I452" s="63" t="str">
        <f>VLOOKUP(C452, 'Class Def. - Desc and Keywords'!$C$20:$C$1940,1,false)</f>
        <v>ZSI1_WEB_SLING</v>
      </c>
    </row>
    <row r="453" ht="15.75" customHeight="1">
      <c r="A453" s="67"/>
      <c r="B453" s="38"/>
      <c r="C453" s="73" t="s">
        <v>529</v>
      </c>
      <c r="D453" s="70" t="s">
        <v>91</v>
      </c>
      <c r="E453" s="70" t="s">
        <v>92</v>
      </c>
      <c r="F453" s="62">
        <v>45658.0</v>
      </c>
      <c r="I453" s="63" t="str">
        <f>VLOOKUP(C453, 'Class Def. - Desc and Keywords'!$C$20:$C$1940,1,false)</f>
        <v>ZSI1_SCREW</v>
      </c>
    </row>
    <row r="454" ht="15.75" customHeight="1">
      <c r="A454" s="67"/>
      <c r="B454" s="38"/>
      <c r="C454" s="73" t="s">
        <v>530</v>
      </c>
      <c r="D454" s="70" t="s">
        <v>91</v>
      </c>
      <c r="E454" s="70" t="s">
        <v>92</v>
      </c>
      <c r="F454" s="62">
        <v>45658.0</v>
      </c>
      <c r="I454" s="63" t="str">
        <f>VLOOKUP(C454, 'Class Def. - Desc and Keywords'!$C$20:$C$1940,1,false)</f>
        <v>ZSI1_WIRE_ROPE</v>
      </c>
    </row>
    <row r="455" ht="15.75" customHeight="1">
      <c r="A455" s="67"/>
      <c r="B455" s="38"/>
      <c r="C455" s="73" t="s">
        <v>531</v>
      </c>
      <c r="D455" s="70" t="s">
        <v>91</v>
      </c>
      <c r="E455" s="70" t="s">
        <v>92</v>
      </c>
      <c r="F455" s="62">
        <v>45658.0</v>
      </c>
      <c r="I455" s="63" t="str">
        <f>VLOOKUP(C455, 'Class Def. - Desc and Keywords'!$C$20:$C$1940,1,false)</f>
        <v>ZSI1_DRUM_EQP</v>
      </c>
    </row>
    <row r="456" ht="15.75" customHeight="1">
      <c r="A456" s="67"/>
      <c r="B456" s="38"/>
      <c r="C456" s="73" t="s">
        <v>532</v>
      </c>
      <c r="D456" s="70" t="s">
        <v>91</v>
      </c>
      <c r="E456" s="70" t="s">
        <v>92</v>
      </c>
      <c r="F456" s="62">
        <v>45658.0</v>
      </c>
      <c r="I456" s="63" t="str">
        <f>VLOOKUP(C456, 'Class Def. - Desc and Keywords'!$C$20:$C$1940,1,false)</f>
        <v>ZSI1_RESISTOR</v>
      </c>
    </row>
    <row r="457" ht="15.75" customHeight="1">
      <c r="A457" s="67"/>
      <c r="B457" s="38"/>
      <c r="C457" s="73" t="s">
        <v>533</v>
      </c>
      <c r="D457" s="70" t="s">
        <v>91</v>
      </c>
      <c r="E457" s="70" t="s">
        <v>92</v>
      </c>
      <c r="F457" s="62">
        <v>45658.0</v>
      </c>
      <c r="I457" s="63" t="str">
        <f>VLOOKUP(C457, 'Class Def. - Desc and Keywords'!$C$20:$C$1940,1,false)</f>
        <v>ZSI1_BLOCKS</v>
      </c>
    </row>
    <row r="458" ht="15.75" customHeight="1">
      <c r="A458" s="67"/>
      <c r="B458" s="38"/>
      <c r="C458" s="73" t="s">
        <v>534</v>
      </c>
      <c r="D458" s="70" t="s">
        <v>91</v>
      </c>
      <c r="E458" s="70" t="s">
        <v>92</v>
      </c>
      <c r="F458" s="62">
        <v>45658.0</v>
      </c>
      <c r="I458" s="63" t="str">
        <f>VLOOKUP(C458, 'Class Def. - Desc and Keywords'!$C$20:$C$1940,1,false)</f>
        <v>ZSI1_HOSE_FITTING</v>
      </c>
    </row>
    <row r="459" ht="15.75" customHeight="1">
      <c r="A459" s="67"/>
      <c r="B459" s="38"/>
      <c r="C459" s="73" t="s">
        <v>535</v>
      </c>
      <c r="D459" s="70" t="s">
        <v>91</v>
      </c>
      <c r="E459" s="70" t="s">
        <v>92</v>
      </c>
      <c r="F459" s="62">
        <v>45658.0</v>
      </c>
      <c r="I459" s="63" t="str">
        <f>VLOOKUP(C459, 'Class Def. - Desc and Keywords'!$C$20:$C$1940,1,false)</f>
        <v>ZSI1_KAIN_COVER</v>
      </c>
    </row>
    <row r="460" ht="15.75" customHeight="1">
      <c r="A460" s="67"/>
      <c r="B460" s="38"/>
      <c r="C460" s="73" t="s">
        <v>536</v>
      </c>
      <c r="D460" s="70" t="s">
        <v>91</v>
      </c>
      <c r="E460" s="70" t="s">
        <v>92</v>
      </c>
      <c r="F460" s="62">
        <v>45658.0</v>
      </c>
      <c r="I460" s="63" t="str">
        <f>VLOOKUP(C460, 'Class Def. - Desc and Keywords'!$C$20:$C$1940,1,false)</f>
        <v>ZSI1_CAPACITOR</v>
      </c>
    </row>
    <row r="461" ht="15.75" customHeight="1">
      <c r="A461" s="67"/>
      <c r="B461" s="38"/>
      <c r="C461" s="73" t="s">
        <v>537</v>
      </c>
      <c r="D461" s="70" t="s">
        <v>91</v>
      </c>
      <c r="E461" s="70" t="s">
        <v>92</v>
      </c>
      <c r="F461" s="62">
        <v>45658.0</v>
      </c>
      <c r="I461" s="63" t="str">
        <f>VLOOKUP(C461, 'Class Def. - Desc and Keywords'!$C$20:$C$1940,1,false)</f>
        <v>ZSI1_CONVEYOR_ROLL</v>
      </c>
    </row>
    <row r="462" ht="15.75" customHeight="1">
      <c r="A462" s="67"/>
      <c r="B462" s="38"/>
      <c r="C462" s="73" t="s">
        <v>538</v>
      </c>
      <c r="D462" s="70" t="s">
        <v>91</v>
      </c>
      <c r="E462" s="70" t="s">
        <v>92</v>
      </c>
      <c r="F462" s="62">
        <v>45658.0</v>
      </c>
      <c r="I462" s="63" t="str">
        <f>VLOOKUP(C462, 'Class Def. - Desc and Keywords'!$C$20:$C$1940,1,false)</f>
        <v>ZSI1_AIR_PURIF</v>
      </c>
    </row>
    <row r="463" ht="15.75" customHeight="1">
      <c r="A463" s="67"/>
      <c r="B463" s="38"/>
      <c r="C463" s="73" t="s">
        <v>539</v>
      </c>
      <c r="D463" s="70" t="s">
        <v>91</v>
      </c>
      <c r="E463" s="70" t="s">
        <v>92</v>
      </c>
      <c r="F463" s="62">
        <v>45658.0</v>
      </c>
      <c r="I463" s="63" t="str">
        <f>VLOOKUP(C463, 'Class Def. - Desc and Keywords'!$C$20:$C$1940,1,false)</f>
        <v>ZSI1_DIODE</v>
      </c>
    </row>
    <row r="464" ht="15.75" customHeight="1">
      <c r="A464" s="67"/>
      <c r="B464" s="38"/>
      <c r="C464" s="73" t="s">
        <v>540</v>
      </c>
      <c r="D464" s="70" t="s">
        <v>91</v>
      </c>
      <c r="E464" s="70" t="s">
        <v>92</v>
      </c>
      <c r="F464" s="62">
        <v>45658.0</v>
      </c>
      <c r="I464" s="63" t="str">
        <f>VLOOKUP(C464, 'Class Def. - Desc and Keywords'!$C$20:$C$1940,1,false)</f>
        <v>ZSI1_ELEC_WIRE</v>
      </c>
    </row>
    <row r="465" ht="15.75" customHeight="1">
      <c r="A465" s="67"/>
      <c r="B465" s="38"/>
      <c r="C465" s="73" t="s">
        <v>541</v>
      </c>
      <c r="D465" s="70" t="s">
        <v>91</v>
      </c>
      <c r="E465" s="70" t="s">
        <v>92</v>
      </c>
      <c r="F465" s="62">
        <v>45658.0</v>
      </c>
      <c r="I465" s="63" t="str">
        <f>VLOOKUP(C465, 'Class Def. - Desc and Keywords'!$C$20:$C$1940,1,false)</f>
        <v>ZSI1_PIPE_EXP_JOINT</v>
      </c>
    </row>
    <row r="466" ht="15.75" customHeight="1">
      <c r="A466" s="67"/>
      <c r="B466" s="38"/>
      <c r="C466" s="73" t="s">
        <v>542</v>
      </c>
      <c r="D466" s="70" t="s">
        <v>91</v>
      </c>
      <c r="E466" s="70" t="s">
        <v>92</v>
      </c>
      <c r="F466" s="62">
        <v>45658.0</v>
      </c>
      <c r="I466" s="63" t="str">
        <f>VLOOKUP(C466, 'Class Def. - Desc and Keywords'!$C$20:$C$1940,1,false)</f>
        <v>ZSI1_GASKET</v>
      </c>
    </row>
    <row r="467" ht="15.75" customHeight="1">
      <c r="A467" s="67"/>
      <c r="B467" s="38"/>
      <c r="C467" s="73" t="s">
        <v>543</v>
      </c>
      <c r="D467" s="70" t="s">
        <v>91</v>
      </c>
      <c r="E467" s="70" t="s">
        <v>92</v>
      </c>
      <c r="F467" s="62">
        <v>45658.0</v>
      </c>
      <c r="I467" s="63" t="str">
        <f>VLOOKUP(C467, 'Class Def. - Desc and Keywords'!$C$20:$C$1940,1,false)</f>
        <v>ZSI1_LAB_CULTURE</v>
      </c>
    </row>
    <row r="468" ht="15.75" customHeight="1">
      <c r="A468" s="67"/>
      <c r="B468" s="38"/>
      <c r="C468" s="73" t="s">
        <v>544</v>
      </c>
      <c r="D468" s="70" t="s">
        <v>91</v>
      </c>
      <c r="E468" s="70" t="s">
        <v>92</v>
      </c>
      <c r="F468" s="62">
        <v>45658.0</v>
      </c>
      <c r="I468" s="63" t="str">
        <f>VLOOKUP(C468, 'Class Def. - Desc and Keywords'!$C$20:$C$1940,1,false)</f>
        <v>ZSI1_KUSEN</v>
      </c>
    </row>
    <row r="469" ht="15.75" customHeight="1">
      <c r="A469" s="67"/>
      <c r="B469" s="38"/>
      <c r="C469" s="73" t="s">
        <v>545</v>
      </c>
      <c r="D469" s="70" t="s">
        <v>91</v>
      </c>
      <c r="E469" s="70" t="s">
        <v>92</v>
      </c>
      <c r="F469" s="62">
        <v>45658.0</v>
      </c>
      <c r="I469" s="63" t="str">
        <f>VLOOKUP(C469, 'Class Def. - Desc and Keywords'!$C$20:$C$1940,1,false)</f>
        <v>ZSI1_PIPE_COUPLING</v>
      </c>
    </row>
    <row r="470" ht="15.75" customHeight="1">
      <c r="A470" s="67"/>
      <c r="B470" s="38"/>
      <c r="C470" s="73" t="s">
        <v>546</v>
      </c>
      <c r="D470" s="70" t="s">
        <v>91</v>
      </c>
      <c r="E470" s="70" t="s">
        <v>92</v>
      </c>
      <c r="F470" s="62">
        <v>45658.0</v>
      </c>
      <c r="I470" s="63" t="str">
        <f>VLOOKUP(C470, 'Class Def. - Desc and Keywords'!$C$20:$C$1940,1,false)</f>
        <v>ZSI1_PIPE_WYE</v>
      </c>
    </row>
    <row r="471" ht="15.75" customHeight="1">
      <c r="A471" s="67"/>
      <c r="B471" s="38"/>
      <c r="C471" s="73" t="s">
        <v>547</v>
      </c>
      <c r="D471" s="70" t="s">
        <v>91</v>
      </c>
      <c r="E471" s="70" t="s">
        <v>92</v>
      </c>
      <c r="F471" s="62">
        <v>45658.0</v>
      </c>
      <c r="I471" s="63" t="str">
        <f>VLOOKUP(C471, 'Class Def. - Desc and Keywords'!$C$20:$C$1940,1,false)</f>
        <v>ZSI1_PUB_SAFETY_SUPP</v>
      </c>
    </row>
    <row r="472" ht="15.75" customHeight="1">
      <c r="A472" s="67"/>
      <c r="B472" s="38"/>
      <c r="C472" s="73" t="s">
        <v>548</v>
      </c>
      <c r="D472" s="70" t="s">
        <v>91</v>
      </c>
      <c r="E472" s="70" t="s">
        <v>92</v>
      </c>
      <c r="F472" s="62">
        <v>45658.0</v>
      </c>
      <c r="I472" s="63" t="str">
        <f>VLOOKUP(C472, 'Class Def. - Desc and Keywords'!$C$20:$C$1940,1,false)</f>
        <v>ZSI1_ROPE</v>
      </c>
    </row>
    <row r="473" ht="15.75" customHeight="1">
      <c r="A473" s="67"/>
      <c r="B473" s="38"/>
      <c r="C473" s="73" t="s">
        <v>549</v>
      </c>
      <c r="D473" s="70" t="s">
        <v>91</v>
      </c>
      <c r="E473" s="70" t="s">
        <v>92</v>
      </c>
      <c r="F473" s="62">
        <v>45658.0</v>
      </c>
      <c r="I473" s="63" t="str">
        <f>VLOOKUP(C473, 'Class Def. - Desc and Keywords'!$C$20:$C$1940,1,false)</f>
        <v>ZSI1_TRANSPORT_COMP</v>
      </c>
    </row>
    <row r="474" ht="15.75" customHeight="1">
      <c r="A474" s="67"/>
      <c r="B474" s="38"/>
      <c r="C474" s="73" t="s">
        <v>550</v>
      </c>
      <c r="D474" s="70" t="s">
        <v>91</v>
      </c>
      <c r="E474" s="70" t="s">
        <v>92</v>
      </c>
      <c r="F474" s="62">
        <v>45658.0</v>
      </c>
      <c r="I474" s="63" t="str">
        <f>VLOOKUP(C474, 'Class Def. - Desc and Keywords'!$C$20:$C$1940,1,false)</f>
        <v>ZSI1_SIGNAL_FILTER</v>
      </c>
    </row>
    <row r="475" ht="15.75" customHeight="1">
      <c r="A475" s="67"/>
      <c r="B475" s="38"/>
      <c r="C475" s="73" t="s">
        <v>551</v>
      </c>
      <c r="D475" s="70" t="s">
        <v>91</v>
      </c>
      <c r="E475" s="70" t="s">
        <v>92</v>
      </c>
      <c r="F475" s="62">
        <v>45658.0</v>
      </c>
      <c r="I475" s="63" t="str">
        <f>VLOOKUP(C475, 'Class Def. - Desc and Keywords'!$C$20:$C$1940,1,false)</f>
        <v>ZSI1_TRAP_STRAINER</v>
      </c>
    </row>
    <row r="476" ht="15.75" customHeight="1">
      <c r="A476" s="67"/>
      <c r="B476" s="38"/>
      <c r="C476" s="73" t="s">
        <v>552</v>
      </c>
      <c r="D476" s="70" t="s">
        <v>91</v>
      </c>
      <c r="E476" s="70" t="s">
        <v>92</v>
      </c>
      <c r="F476" s="62">
        <v>45658.0</v>
      </c>
      <c r="I476" s="63" t="str">
        <f>VLOOKUP(C476, 'Class Def. - Desc and Keywords'!$C$20:$C$1940,1,false)</f>
        <v>ZSI1_LAB_MEDIA</v>
      </c>
    </row>
    <row r="477" ht="15.75" customHeight="1">
      <c r="A477" s="67"/>
      <c r="B477" s="38"/>
      <c r="C477" s="74" t="s">
        <v>553</v>
      </c>
      <c r="D477" s="70" t="s">
        <v>91</v>
      </c>
      <c r="E477" s="70" t="s">
        <v>92</v>
      </c>
      <c r="F477" s="62">
        <v>45658.0</v>
      </c>
      <c r="I477" s="38"/>
    </row>
    <row r="478" ht="15.75" customHeight="1">
      <c r="A478" s="67"/>
      <c r="B478" s="38"/>
      <c r="C478" s="74" t="s">
        <v>554</v>
      </c>
      <c r="D478" s="70" t="s">
        <v>91</v>
      </c>
      <c r="E478" s="70" t="s">
        <v>92</v>
      </c>
      <c r="F478" s="62">
        <v>45658.0</v>
      </c>
      <c r="I478" s="38"/>
    </row>
    <row r="479" ht="15.75" customHeight="1">
      <c r="A479" s="67"/>
      <c r="B479" s="38"/>
      <c r="C479" s="74" t="s">
        <v>555</v>
      </c>
      <c r="D479" s="70" t="s">
        <v>91</v>
      </c>
      <c r="E479" s="70" t="s">
        <v>92</v>
      </c>
      <c r="F479" s="62">
        <v>45658.0</v>
      </c>
      <c r="I479" s="38"/>
    </row>
    <row r="480" ht="15.75" customHeight="1">
      <c r="A480" s="67"/>
      <c r="B480" s="38"/>
      <c r="C480" s="74" t="s">
        <v>556</v>
      </c>
      <c r="D480" s="70" t="s">
        <v>91</v>
      </c>
      <c r="E480" s="70" t="s">
        <v>92</v>
      </c>
      <c r="F480" s="62">
        <v>45658.0</v>
      </c>
      <c r="I480" s="38"/>
    </row>
    <row r="481" ht="15.75" customHeight="1">
      <c r="A481" s="67"/>
      <c r="B481" s="38"/>
      <c r="C481" s="74" t="s">
        <v>557</v>
      </c>
      <c r="D481" s="70" t="s">
        <v>91</v>
      </c>
      <c r="E481" s="70" t="s">
        <v>92</v>
      </c>
      <c r="F481" s="62">
        <v>45658.0</v>
      </c>
      <c r="I481" s="38"/>
    </row>
    <row r="482" ht="15.75" customHeight="1">
      <c r="A482" s="67"/>
      <c r="B482" s="38"/>
      <c r="C482" s="74" t="s">
        <v>558</v>
      </c>
      <c r="D482" s="70" t="s">
        <v>91</v>
      </c>
      <c r="E482" s="70" t="s">
        <v>92</v>
      </c>
      <c r="F482" s="62">
        <v>45658.0</v>
      </c>
      <c r="I482" s="38"/>
    </row>
    <row r="483" ht="15.75" customHeight="1">
      <c r="A483" s="67"/>
      <c r="B483" s="38"/>
      <c r="C483" s="75" t="s">
        <v>559</v>
      </c>
      <c r="D483" s="70" t="s">
        <v>91</v>
      </c>
      <c r="E483" s="70" t="s">
        <v>92</v>
      </c>
      <c r="F483" s="62">
        <v>45658.0</v>
      </c>
      <c r="I483" s="38">
        <f>LEN(C483)</f>
        <v>19</v>
      </c>
    </row>
    <row r="484" ht="15.75" customHeight="1">
      <c r="A484" s="67"/>
      <c r="B484" s="38"/>
      <c r="C484" s="75" t="s">
        <v>560</v>
      </c>
      <c r="D484" s="70" t="s">
        <v>91</v>
      </c>
      <c r="E484" s="70" t="s">
        <v>92</v>
      </c>
      <c r="F484" s="62">
        <v>45658.0</v>
      </c>
      <c r="I484" s="38"/>
    </row>
    <row r="485" ht="15.75" customHeight="1">
      <c r="A485" s="67"/>
      <c r="B485" s="38"/>
      <c r="C485" s="75" t="s">
        <v>561</v>
      </c>
      <c r="D485" s="70" t="s">
        <v>91</v>
      </c>
      <c r="E485" s="70" t="s">
        <v>92</v>
      </c>
      <c r="F485" s="62">
        <v>45658.0</v>
      </c>
      <c r="I485" s="38"/>
    </row>
    <row r="486" ht="15.75" customHeight="1">
      <c r="A486" s="67"/>
      <c r="B486" s="38"/>
      <c r="C486" s="75" t="s">
        <v>562</v>
      </c>
      <c r="D486" s="70" t="s">
        <v>91</v>
      </c>
      <c r="E486" s="70" t="s">
        <v>92</v>
      </c>
      <c r="F486" s="62">
        <v>45658.0</v>
      </c>
      <c r="I486" s="38"/>
    </row>
    <row r="487" ht="15.75" customHeight="1">
      <c r="A487" s="67"/>
      <c r="B487" s="38"/>
      <c r="C487" s="75" t="s">
        <v>563</v>
      </c>
      <c r="D487" s="70" t="s">
        <v>91</v>
      </c>
      <c r="E487" s="70" t="s">
        <v>92</v>
      </c>
      <c r="F487" s="62">
        <v>45658.0</v>
      </c>
      <c r="I487" s="38"/>
    </row>
    <row r="488" ht="15.75" customHeight="1">
      <c r="A488" s="67"/>
      <c r="B488" s="38"/>
      <c r="D488" s="75"/>
      <c r="E488" s="75"/>
      <c r="F488" s="76"/>
      <c r="I488" s="38"/>
    </row>
    <row r="489" ht="15.75" customHeight="1">
      <c r="A489" s="67"/>
      <c r="B489" s="38"/>
      <c r="D489" s="75"/>
      <c r="E489" s="75"/>
      <c r="F489" s="76"/>
      <c r="I489" s="38"/>
    </row>
    <row r="490" ht="15.75" customHeight="1">
      <c r="A490" s="67"/>
      <c r="B490" s="38"/>
      <c r="D490" s="75"/>
      <c r="E490" s="75"/>
      <c r="F490" s="76"/>
      <c r="I490" s="38"/>
    </row>
    <row r="491" ht="15.75" customHeight="1">
      <c r="A491" s="67"/>
      <c r="B491" s="38"/>
      <c r="D491" s="75"/>
      <c r="E491" s="75"/>
      <c r="F491" s="76"/>
      <c r="I491" s="38"/>
    </row>
    <row r="492" ht="15.75" customHeight="1">
      <c r="A492" s="67"/>
      <c r="B492" s="38"/>
      <c r="D492" s="75"/>
      <c r="E492" s="75"/>
      <c r="F492" s="76"/>
      <c r="I492" s="38"/>
    </row>
    <row r="493" ht="15.75" customHeight="1">
      <c r="A493" s="67"/>
      <c r="B493" s="38"/>
      <c r="D493" s="75"/>
      <c r="E493" s="75"/>
      <c r="F493" s="76"/>
      <c r="I493" s="38"/>
    </row>
    <row r="494" ht="15.75" customHeight="1">
      <c r="A494" s="67"/>
      <c r="B494" s="38"/>
      <c r="D494" s="75"/>
      <c r="E494" s="75"/>
      <c r="F494" s="76"/>
      <c r="I494" s="38"/>
    </row>
    <row r="495" ht="15.75" customHeight="1">
      <c r="A495" s="67"/>
      <c r="B495" s="38"/>
      <c r="D495" s="75"/>
      <c r="E495" s="75"/>
      <c r="F495" s="76"/>
      <c r="I495" s="38"/>
    </row>
    <row r="496" ht="15.75" customHeight="1">
      <c r="A496" s="67"/>
      <c r="B496" s="38"/>
      <c r="D496" s="75"/>
      <c r="E496" s="75"/>
      <c r="F496" s="76"/>
      <c r="I496" s="38"/>
    </row>
    <row r="497" ht="15.75" customHeight="1">
      <c r="A497" s="67"/>
      <c r="B497" s="38"/>
      <c r="D497" s="75"/>
      <c r="E497" s="75"/>
      <c r="F497" s="76"/>
      <c r="I497" s="38"/>
    </row>
    <row r="498" ht="15.75" customHeight="1">
      <c r="A498" s="67"/>
      <c r="B498" s="38"/>
      <c r="D498" s="75"/>
      <c r="E498" s="75"/>
      <c r="F498" s="76"/>
      <c r="I498" s="38"/>
    </row>
    <row r="499" ht="15.75" customHeight="1">
      <c r="A499" s="67"/>
      <c r="B499" s="38"/>
      <c r="D499" s="75"/>
      <c r="E499" s="75"/>
      <c r="F499" s="76"/>
      <c r="I499" s="38"/>
    </row>
    <row r="500" ht="15.75" customHeight="1">
      <c r="A500" s="67"/>
      <c r="B500" s="38"/>
      <c r="D500" s="75"/>
      <c r="E500" s="75"/>
      <c r="F500" s="76"/>
      <c r="I500" s="38"/>
    </row>
    <row r="501" ht="15.75" customHeight="1">
      <c r="A501" s="67"/>
      <c r="B501" s="38"/>
      <c r="D501" s="75"/>
      <c r="E501" s="75"/>
      <c r="F501" s="76"/>
      <c r="I501" s="38"/>
    </row>
    <row r="502" ht="15.75" customHeight="1">
      <c r="A502" s="67"/>
      <c r="B502" s="38"/>
      <c r="D502" s="75"/>
      <c r="E502" s="75"/>
      <c r="F502" s="76"/>
      <c r="I502" s="38"/>
    </row>
    <row r="503" ht="15.75" customHeight="1">
      <c r="A503" s="67"/>
      <c r="B503" s="38"/>
      <c r="D503" s="75"/>
      <c r="E503" s="75"/>
      <c r="F503" s="76"/>
      <c r="I503" s="38"/>
    </row>
  </sheetData>
  <autoFilter ref="$A$19:$I$487">
    <sortState ref="A19:I487">
      <sortCondition ref="C19:C487"/>
    </sortState>
  </autoFilter>
  <mergeCells count="2">
    <mergeCell ref="C13:D13"/>
    <mergeCell ref="E13:G13"/>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00"/>
    <pageSetUpPr/>
  </sheetPr>
  <sheetViews>
    <sheetView workbookViewId="0">
      <pane ySplit="19.0" topLeftCell="A20" activePane="bottomLeft" state="frozen"/>
      <selection activeCell="B21" sqref="B21" pane="bottomLeft"/>
    </sheetView>
  </sheetViews>
  <sheetFormatPr customHeight="1" defaultColWidth="14.43" defaultRowHeight="15.0"/>
  <cols>
    <col customWidth="1" min="1" max="2" width="22.29"/>
    <col customWidth="1" min="3" max="3" width="30.57"/>
    <col customWidth="1" min="4" max="5" width="22.29"/>
    <col customWidth="1" min="6" max="6" width="22.57"/>
    <col customWidth="1" min="7" max="7" width="31.14"/>
    <col customWidth="1" min="8" max="10" width="10.0"/>
    <col customWidth="1" min="11" max="11" width="8.0"/>
    <col customWidth="1" min="12" max="12" width="35.57"/>
    <col customWidth="1" min="13" max="29" width="8.0"/>
  </cols>
  <sheetData>
    <row r="1" ht="30.0" customHeight="1">
      <c r="A1" s="77"/>
      <c r="B1" s="78" t="s">
        <v>60</v>
      </c>
      <c r="C1" s="78"/>
      <c r="D1" s="78"/>
      <c r="E1" s="78"/>
      <c r="F1" s="79"/>
      <c r="G1" s="78"/>
      <c r="H1" s="78"/>
      <c r="I1" s="78"/>
      <c r="J1" s="78"/>
      <c r="K1" s="78"/>
      <c r="L1" s="78"/>
      <c r="M1" s="78"/>
      <c r="N1" s="78"/>
      <c r="O1" s="78"/>
      <c r="P1" s="78"/>
      <c r="Q1" s="78"/>
      <c r="R1" s="78"/>
      <c r="S1" s="78"/>
      <c r="T1" s="78"/>
      <c r="U1" s="78"/>
      <c r="V1" s="78"/>
      <c r="W1" s="78"/>
      <c r="X1" s="78"/>
      <c r="Y1" s="78"/>
      <c r="Z1" s="78"/>
      <c r="AA1" s="78"/>
      <c r="AB1" s="78"/>
      <c r="AC1" s="78"/>
      <c r="AD1" s="78"/>
    </row>
    <row r="2">
      <c r="A2" s="80"/>
      <c r="B2" s="81"/>
      <c r="C2" s="81"/>
      <c r="D2" s="81"/>
      <c r="E2" s="81"/>
      <c r="F2" s="82"/>
      <c r="G2" s="81"/>
      <c r="H2" s="81"/>
      <c r="I2" s="81"/>
      <c r="J2" s="81"/>
      <c r="K2" s="81"/>
      <c r="L2" s="81"/>
      <c r="M2" s="81"/>
      <c r="N2" s="81"/>
      <c r="O2" s="81"/>
      <c r="P2" s="81"/>
      <c r="Q2" s="81"/>
      <c r="R2" s="81"/>
      <c r="S2" s="81"/>
      <c r="T2" s="81"/>
      <c r="U2" s="81"/>
      <c r="V2" s="81"/>
      <c r="W2" s="81"/>
      <c r="X2" s="81"/>
      <c r="Y2" s="81"/>
      <c r="Z2" s="81"/>
      <c r="AA2" s="81"/>
      <c r="AB2" s="81"/>
      <c r="AC2" s="81"/>
      <c r="AD2" s="81"/>
    </row>
    <row r="3" ht="12.0" customHeight="1">
      <c r="A3" s="38"/>
      <c r="B3" s="10"/>
      <c r="C3" s="83"/>
      <c r="D3" s="10"/>
      <c r="E3" s="10"/>
      <c r="F3" s="84"/>
      <c r="G3" s="10"/>
      <c r="H3" s="10"/>
      <c r="I3" s="10"/>
      <c r="J3" s="10"/>
      <c r="K3" s="10"/>
      <c r="L3" s="10"/>
      <c r="M3" s="10"/>
      <c r="N3" s="10"/>
      <c r="O3" s="10"/>
      <c r="P3" s="10"/>
      <c r="Q3" s="10"/>
      <c r="R3" s="10"/>
      <c r="S3" s="10"/>
      <c r="T3" s="10"/>
      <c r="U3" s="10"/>
      <c r="V3" s="10"/>
      <c r="W3" s="10"/>
      <c r="X3" s="10"/>
      <c r="Y3" s="10"/>
      <c r="Z3" s="10"/>
      <c r="AA3" s="10"/>
      <c r="AB3" s="10"/>
      <c r="AC3" s="10"/>
      <c r="AD3" s="10"/>
    </row>
    <row r="4" ht="13.5" hidden="1" customHeight="1">
      <c r="A4" s="38"/>
      <c r="B4" s="10" t="s">
        <v>61</v>
      </c>
      <c r="C4" s="83" t="s">
        <v>56</v>
      </c>
      <c r="D4" s="10"/>
      <c r="E4" s="10"/>
      <c r="F4" s="84"/>
      <c r="G4" s="10"/>
      <c r="H4" s="10"/>
      <c r="I4" s="10"/>
      <c r="J4" s="10"/>
      <c r="K4" s="10"/>
      <c r="L4" s="10"/>
      <c r="M4" s="10"/>
      <c r="N4" s="10"/>
      <c r="O4" s="10"/>
      <c r="P4" s="10"/>
      <c r="Q4" s="10"/>
      <c r="R4" s="10"/>
      <c r="S4" s="10"/>
      <c r="T4" s="10"/>
      <c r="U4" s="10"/>
      <c r="V4" s="10"/>
      <c r="W4" s="10"/>
      <c r="X4" s="10"/>
      <c r="Y4" s="10"/>
      <c r="Z4" s="10"/>
      <c r="AA4" s="10"/>
      <c r="AB4" s="10"/>
      <c r="AC4" s="10"/>
      <c r="AD4" s="10"/>
    </row>
    <row r="5" hidden="1">
      <c r="A5" s="39"/>
      <c r="B5" s="39" t="s">
        <v>62</v>
      </c>
      <c r="C5" s="85" t="s">
        <v>18</v>
      </c>
      <c r="D5" s="85" t="s">
        <v>21</v>
      </c>
      <c r="E5" s="85" t="s">
        <v>40</v>
      </c>
      <c r="F5" s="85" t="s">
        <v>43</v>
      </c>
      <c r="G5" s="85" t="s">
        <v>46</v>
      </c>
      <c r="H5" s="38"/>
      <c r="I5" s="38"/>
      <c r="J5" s="10"/>
      <c r="K5" s="10"/>
      <c r="L5" s="10"/>
      <c r="M5" s="10"/>
      <c r="N5" s="10"/>
      <c r="O5" s="10"/>
      <c r="P5" s="10"/>
      <c r="Q5" s="10"/>
      <c r="R5" s="10"/>
      <c r="S5" s="10"/>
      <c r="T5" s="10"/>
      <c r="U5" s="10"/>
      <c r="V5" s="10"/>
      <c r="W5" s="10"/>
      <c r="X5" s="10"/>
      <c r="Y5" s="10"/>
      <c r="Z5" s="10"/>
      <c r="AA5" s="10"/>
      <c r="AB5" s="10"/>
      <c r="AC5" s="10"/>
      <c r="AD5" s="10"/>
    </row>
    <row r="6" hidden="1">
      <c r="A6" s="39"/>
      <c r="B6" s="39" t="s">
        <v>7</v>
      </c>
      <c r="C6" s="86" t="s">
        <v>16</v>
      </c>
      <c r="D6" s="86" t="s">
        <v>20</v>
      </c>
      <c r="E6" s="86" t="s">
        <v>24</v>
      </c>
      <c r="F6" s="86" t="s">
        <v>564</v>
      </c>
      <c r="G6" s="86" t="s">
        <v>565</v>
      </c>
      <c r="H6" s="38"/>
      <c r="I6" s="38"/>
      <c r="J6" s="10"/>
      <c r="K6" s="10"/>
      <c r="L6" s="10"/>
      <c r="M6" s="10"/>
      <c r="N6" s="10"/>
      <c r="O6" s="10"/>
      <c r="P6" s="10"/>
      <c r="Q6" s="10"/>
      <c r="R6" s="10"/>
      <c r="S6" s="10"/>
      <c r="T6" s="10"/>
      <c r="U6" s="10"/>
      <c r="V6" s="10"/>
      <c r="W6" s="10"/>
      <c r="X6" s="10"/>
      <c r="Y6" s="10"/>
      <c r="Z6" s="10"/>
      <c r="AA6" s="10"/>
      <c r="AB6" s="10"/>
      <c r="AC6" s="10"/>
      <c r="AD6" s="10"/>
    </row>
    <row r="7" hidden="1">
      <c r="A7" s="39"/>
      <c r="B7" s="39" t="s">
        <v>66</v>
      </c>
      <c r="C7" s="85"/>
      <c r="D7" s="87" t="s">
        <v>67</v>
      </c>
      <c r="E7" s="85"/>
      <c r="F7" s="85"/>
      <c r="G7" s="85"/>
      <c r="H7" s="38"/>
      <c r="I7" s="38"/>
      <c r="J7" s="10"/>
      <c r="K7" s="10"/>
      <c r="L7" s="10"/>
      <c r="M7" s="10"/>
      <c r="N7" s="10"/>
      <c r="O7" s="10"/>
      <c r="P7" s="10"/>
      <c r="Q7" s="10"/>
      <c r="R7" s="10"/>
      <c r="S7" s="10"/>
      <c r="T7" s="10"/>
      <c r="U7" s="10"/>
      <c r="V7" s="10"/>
      <c r="W7" s="10"/>
      <c r="X7" s="10"/>
      <c r="Y7" s="10"/>
      <c r="Z7" s="10"/>
      <c r="AA7" s="10"/>
      <c r="AB7" s="10"/>
      <c r="AC7" s="10"/>
      <c r="AD7" s="10"/>
    </row>
    <row r="8" hidden="1">
      <c r="A8" s="39"/>
      <c r="B8" s="39" t="s">
        <v>69</v>
      </c>
      <c r="C8" s="85"/>
      <c r="D8" s="85"/>
      <c r="E8" s="85"/>
      <c r="F8" s="85"/>
      <c r="G8" s="85"/>
      <c r="H8" s="38"/>
      <c r="I8" s="38"/>
      <c r="J8" s="10"/>
      <c r="K8" s="10"/>
      <c r="L8" s="10"/>
      <c r="M8" s="10"/>
      <c r="N8" s="10"/>
      <c r="O8" s="10"/>
      <c r="P8" s="10"/>
      <c r="Q8" s="10"/>
      <c r="R8" s="10"/>
      <c r="S8" s="10"/>
      <c r="T8" s="10"/>
      <c r="U8" s="10"/>
      <c r="V8" s="10"/>
      <c r="W8" s="10"/>
      <c r="X8" s="10"/>
      <c r="Y8" s="10"/>
      <c r="Z8" s="10"/>
      <c r="AA8" s="10"/>
      <c r="AB8" s="10"/>
      <c r="AC8" s="10"/>
      <c r="AD8" s="10"/>
    </row>
    <row r="9" hidden="1">
      <c r="A9" s="39"/>
      <c r="B9" s="39" t="s">
        <v>12</v>
      </c>
      <c r="C9" s="85" t="s">
        <v>70</v>
      </c>
      <c r="D9" s="85" t="s">
        <v>70</v>
      </c>
      <c r="E9" s="85" t="s">
        <v>70</v>
      </c>
      <c r="F9" s="85" t="s">
        <v>70</v>
      </c>
      <c r="G9" s="85"/>
      <c r="H9" s="38"/>
      <c r="I9" s="38"/>
      <c r="J9" s="10"/>
      <c r="K9" s="10"/>
      <c r="L9" s="10"/>
      <c r="M9" s="10"/>
      <c r="N9" s="10"/>
      <c r="O9" s="10"/>
      <c r="P9" s="10"/>
      <c r="Q9" s="10"/>
      <c r="R9" s="10"/>
      <c r="S9" s="10"/>
      <c r="T9" s="10"/>
      <c r="U9" s="10"/>
      <c r="V9" s="10"/>
      <c r="W9" s="10"/>
      <c r="X9" s="10"/>
      <c r="Y9" s="10"/>
      <c r="Z9" s="10"/>
      <c r="AA9" s="10"/>
      <c r="AB9" s="10"/>
      <c r="AC9" s="10"/>
      <c r="AD9" s="10"/>
    </row>
    <row r="10" hidden="1">
      <c r="A10" s="39"/>
      <c r="B10" s="39" t="s">
        <v>71</v>
      </c>
      <c r="C10" s="85" t="s">
        <v>70</v>
      </c>
      <c r="D10" s="85" t="s">
        <v>70</v>
      </c>
      <c r="E10" s="85" t="s">
        <v>70</v>
      </c>
      <c r="F10" s="85" t="s">
        <v>70</v>
      </c>
      <c r="G10" s="85"/>
      <c r="H10" s="38"/>
      <c r="I10" s="38"/>
      <c r="J10" s="10"/>
      <c r="K10" s="10"/>
      <c r="L10" s="10"/>
      <c r="M10" s="10"/>
      <c r="N10" s="10"/>
      <c r="O10" s="10"/>
      <c r="P10" s="10"/>
      <c r="Q10" s="10"/>
      <c r="R10" s="10"/>
      <c r="S10" s="10"/>
      <c r="T10" s="10"/>
      <c r="U10" s="10"/>
      <c r="V10" s="10"/>
      <c r="W10" s="10"/>
      <c r="X10" s="10"/>
      <c r="Y10" s="10"/>
      <c r="Z10" s="10"/>
      <c r="AA10" s="10"/>
      <c r="AB10" s="10"/>
      <c r="AC10" s="10"/>
      <c r="AD10" s="10"/>
    </row>
    <row r="11" hidden="1">
      <c r="A11" s="39"/>
      <c r="B11" s="39" t="s">
        <v>72</v>
      </c>
      <c r="C11" s="85" t="s">
        <v>70</v>
      </c>
      <c r="D11" s="85" t="s">
        <v>70</v>
      </c>
      <c r="E11" s="85" t="s">
        <v>70</v>
      </c>
      <c r="F11" s="85" t="s">
        <v>70</v>
      </c>
      <c r="G11" s="85" t="s">
        <v>70</v>
      </c>
      <c r="H11" s="38"/>
      <c r="I11" s="38"/>
      <c r="J11" s="10"/>
      <c r="K11" s="10"/>
      <c r="L11" s="10"/>
      <c r="M11" s="10"/>
      <c r="N11" s="10"/>
      <c r="O11" s="10"/>
      <c r="P11" s="10"/>
      <c r="Q11" s="10"/>
      <c r="R11" s="10"/>
      <c r="S11" s="10"/>
      <c r="T11" s="10"/>
      <c r="U11" s="10"/>
      <c r="V11" s="10"/>
      <c r="W11" s="10"/>
      <c r="X11" s="10"/>
      <c r="Y11" s="10"/>
      <c r="Z11" s="10"/>
      <c r="AA11" s="10"/>
      <c r="AB11" s="10"/>
      <c r="AC11" s="10"/>
      <c r="AD11" s="10"/>
    </row>
    <row r="12" hidden="1">
      <c r="A12" s="39"/>
      <c r="B12" s="39" t="s">
        <v>73</v>
      </c>
      <c r="C12" s="88"/>
      <c r="D12" s="39"/>
      <c r="E12" s="39" t="s">
        <v>566</v>
      </c>
      <c r="F12" s="85"/>
      <c r="G12" s="39"/>
      <c r="H12" s="38"/>
      <c r="I12" s="38"/>
      <c r="J12" s="10"/>
      <c r="K12" s="10"/>
      <c r="L12" s="10"/>
      <c r="M12" s="10"/>
      <c r="N12" s="10"/>
      <c r="O12" s="10"/>
      <c r="P12" s="10"/>
      <c r="Q12" s="10"/>
      <c r="R12" s="10"/>
      <c r="S12" s="10"/>
      <c r="T12" s="10"/>
      <c r="U12" s="10"/>
      <c r="V12" s="10"/>
      <c r="W12" s="10"/>
      <c r="X12" s="10"/>
      <c r="Y12" s="10"/>
      <c r="Z12" s="10"/>
      <c r="AA12" s="10"/>
      <c r="AB12" s="10"/>
      <c r="AC12" s="10"/>
      <c r="AD12" s="10"/>
    </row>
    <row r="13" ht="30.0" customHeight="1">
      <c r="A13" s="43"/>
      <c r="B13" s="44" t="s">
        <v>75</v>
      </c>
      <c r="C13" s="45" t="s">
        <v>12</v>
      </c>
      <c r="D13" s="14"/>
      <c r="E13" s="14"/>
      <c r="F13" s="15"/>
      <c r="G13" s="89" t="s">
        <v>22</v>
      </c>
      <c r="H13" s="90"/>
      <c r="I13" s="90"/>
      <c r="J13" s="91"/>
      <c r="K13" s="91"/>
      <c r="L13" s="91"/>
      <c r="M13" s="91"/>
      <c r="N13" s="91"/>
      <c r="O13" s="91"/>
      <c r="P13" s="91"/>
      <c r="Q13" s="91"/>
      <c r="R13" s="91"/>
      <c r="S13" s="91"/>
      <c r="T13" s="91"/>
      <c r="U13" s="91"/>
      <c r="V13" s="91"/>
      <c r="W13" s="91"/>
      <c r="X13" s="91"/>
      <c r="Y13" s="91"/>
      <c r="Z13" s="91"/>
      <c r="AA13" s="91"/>
      <c r="AB13" s="91"/>
      <c r="AC13" s="91"/>
      <c r="AD13" s="91"/>
    </row>
    <row r="14" ht="30.0" customHeight="1">
      <c r="A14" s="43"/>
      <c r="B14" s="49" t="s">
        <v>76</v>
      </c>
      <c r="C14" s="50" t="s">
        <v>13</v>
      </c>
      <c r="D14" s="50" t="s">
        <v>19</v>
      </c>
      <c r="E14" s="50" t="s">
        <v>567</v>
      </c>
      <c r="F14" s="50" t="s">
        <v>568</v>
      </c>
      <c r="G14" s="50" t="s">
        <v>569</v>
      </c>
      <c r="H14" s="92" t="s">
        <v>570</v>
      </c>
      <c r="I14" s="92" t="s">
        <v>571</v>
      </c>
      <c r="J14" s="93" t="s">
        <v>572</v>
      </c>
      <c r="K14" s="91"/>
      <c r="L14" s="91"/>
      <c r="M14" s="91"/>
      <c r="N14" s="91"/>
      <c r="O14" s="91"/>
      <c r="P14" s="91"/>
      <c r="Q14" s="91"/>
      <c r="R14" s="91"/>
      <c r="S14" s="91"/>
      <c r="T14" s="91"/>
      <c r="U14" s="91"/>
      <c r="V14" s="91"/>
      <c r="W14" s="91"/>
      <c r="X14" s="91"/>
      <c r="Y14" s="91"/>
      <c r="Z14" s="91"/>
      <c r="AA14" s="91"/>
      <c r="AB14" s="91"/>
      <c r="AC14" s="91"/>
      <c r="AD14" s="91"/>
    </row>
    <row r="15" ht="30.0" customHeight="1">
      <c r="A15" s="52"/>
      <c r="B15" s="53" t="s">
        <v>78</v>
      </c>
      <c r="C15" s="94" t="s">
        <v>79</v>
      </c>
      <c r="D15" s="55" t="s">
        <v>80</v>
      </c>
      <c r="E15" s="55" t="s">
        <v>573</v>
      </c>
      <c r="F15" s="55" t="s">
        <v>574</v>
      </c>
      <c r="G15" s="55" t="s">
        <v>575</v>
      </c>
      <c r="H15" s="90"/>
      <c r="I15" s="90"/>
      <c r="J15" s="91"/>
      <c r="K15" s="91"/>
      <c r="L15" s="91"/>
      <c r="M15" s="91"/>
      <c r="N15" s="91"/>
      <c r="O15" s="91"/>
      <c r="P15" s="91"/>
      <c r="Q15" s="91"/>
      <c r="R15" s="91"/>
      <c r="S15" s="91"/>
      <c r="T15" s="91"/>
      <c r="U15" s="91"/>
      <c r="V15" s="91"/>
      <c r="W15" s="91"/>
      <c r="X15" s="91"/>
      <c r="Y15" s="91"/>
      <c r="Z15" s="91"/>
      <c r="AA15" s="91"/>
      <c r="AB15" s="91"/>
      <c r="AC15" s="91"/>
      <c r="AD15" s="91"/>
    </row>
    <row r="16" ht="30.0" customHeight="1">
      <c r="A16" s="52"/>
      <c r="B16" s="53" t="s">
        <v>7</v>
      </c>
      <c r="C16" s="94" t="s">
        <v>16</v>
      </c>
      <c r="D16" s="55" t="s">
        <v>20</v>
      </c>
      <c r="E16" s="55" t="s">
        <v>24</v>
      </c>
      <c r="F16" s="55" t="s">
        <v>564</v>
      </c>
      <c r="G16" s="55" t="s">
        <v>565</v>
      </c>
      <c r="H16" s="38"/>
      <c r="I16" s="38"/>
      <c r="J16" s="10"/>
      <c r="K16" s="91"/>
      <c r="L16" s="91"/>
      <c r="M16" s="91"/>
      <c r="N16" s="91"/>
      <c r="O16" s="91"/>
      <c r="P16" s="91"/>
      <c r="Q16" s="91"/>
      <c r="R16" s="91"/>
      <c r="S16" s="91"/>
      <c r="T16" s="91"/>
      <c r="U16" s="91"/>
      <c r="V16" s="91"/>
      <c r="W16" s="91"/>
      <c r="X16" s="91"/>
      <c r="Y16" s="91"/>
      <c r="Z16" s="91"/>
      <c r="AA16" s="91"/>
      <c r="AB16" s="91"/>
      <c r="AC16" s="91"/>
      <c r="AD16" s="91"/>
    </row>
    <row r="17" ht="30.0" customHeight="1">
      <c r="A17" s="52"/>
      <c r="B17" s="53" t="s">
        <v>72</v>
      </c>
      <c r="C17" s="94" t="s">
        <v>85</v>
      </c>
      <c r="D17" s="55" t="s">
        <v>85</v>
      </c>
      <c r="E17" s="55" t="s">
        <v>85</v>
      </c>
      <c r="F17" s="55" t="s">
        <v>85</v>
      </c>
      <c r="G17" s="55" t="s">
        <v>85</v>
      </c>
      <c r="H17" s="38"/>
      <c r="I17" s="38"/>
      <c r="J17" s="10"/>
      <c r="K17" s="91"/>
      <c r="L17" s="91"/>
      <c r="M17" s="91"/>
      <c r="N17" s="91"/>
      <c r="O17" s="91"/>
      <c r="P17" s="91"/>
      <c r="Q17" s="91"/>
      <c r="R17" s="91"/>
      <c r="S17" s="91"/>
      <c r="T17" s="91"/>
      <c r="U17" s="91"/>
      <c r="V17" s="91"/>
      <c r="W17" s="91"/>
      <c r="X17" s="91"/>
      <c r="Y17" s="91"/>
      <c r="Z17" s="91"/>
      <c r="AA17" s="91"/>
      <c r="AB17" s="91"/>
      <c r="AC17" s="91"/>
      <c r="AD17" s="91"/>
    </row>
    <row r="18" ht="30.0" customHeight="1">
      <c r="A18" s="52"/>
      <c r="B18" s="53" t="s">
        <v>87</v>
      </c>
      <c r="C18" s="94"/>
      <c r="D18" s="55"/>
      <c r="E18" s="55"/>
      <c r="F18" s="55"/>
      <c r="G18" s="55"/>
      <c r="H18" s="38"/>
      <c r="I18" s="38"/>
      <c r="J18" s="10"/>
      <c r="K18" s="91"/>
      <c r="L18" s="91"/>
      <c r="M18" s="91"/>
      <c r="N18" s="91"/>
      <c r="O18" s="91"/>
      <c r="P18" s="91"/>
      <c r="Q18" s="91"/>
      <c r="R18" s="91"/>
      <c r="S18" s="91"/>
      <c r="T18" s="91"/>
      <c r="U18" s="91"/>
      <c r="V18" s="91"/>
      <c r="W18" s="91"/>
      <c r="X18" s="91"/>
      <c r="Y18" s="91"/>
      <c r="Z18" s="91"/>
      <c r="AA18" s="91"/>
      <c r="AB18" s="91"/>
      <c r="AC18" s="91"/>
      <c r="AD18" s="91"/>
    </row>
    <row r="19" ht="30.0" customHeight="1">
      <c r="A19" s="58" t="s">
        <v>89</v>
      </c>
      <c r="B19" s="53" t="s">
        <v>576</v>
      </c>
      <c r="C19" s="94"/>
      <c r="D19" s="56" t="s">
        <v>91</v>
      </c>
      <c r="E19" s="55" t="s">
        <v>577</v>
      </c>
      <c r="F19" s="55"/>
      <c r="G19" s="55"/>
      <c r="H19" s="38"/>
      <c r="I19" s="38"/>
      <c r="J19" s="10"/>
      <c r="K19" s="91"/>
      <c r="L19" s="91"/>
      <c r="M19" s="91"/>
      <c r="N19" s="91"/>
      <c r="O19" s="91"/>
      <c r="P19" s="91"/>
      <c r="Q19" s="91"/>
      <c r="R19" s="91"/>
      <c r="S19" s="91"/>
      <c r="T19" s="91"/>
      <c r="U19" s="91"/>
      <c r="V19" s="91"/>
      <c r="W19" s="91"/>
      <c r="X19" s="91"/>
      <c r="Y19" s="91"/>
      <c r="Z19" s="91"/>
      <c r="AA19" s="91"/>
      <c r="AB19" s="91"/>
      <c r="AC19" s="91"/>
      <c r="AD19" s="91"/>
    </row>
    <row r="20" ht="15.75" customHeight="1">
      <c r="A20" s="59" t="s">
        <v>93</v>
      </c>
      <c r="B20" s="95"/>
      <c r="C20" s="95" t="s">
        <v>94</v>
      </c>
      <c r="D20" s="95" t="s">
        <v>91</v>
      </c>
      <c r="E20" s="95" t="s">
        <v>577</v>
      </c>
      <c r="F20" s="95">
        <v>1.0</v>
      </c>
      <c r="G20" s="95" t="s">
        <v>578</v>
      </c>
      <c r="H20" s="63" t="str">
        <f>VLOOKUP(C20, 'Class Def. - General Data'!$C$20:$C$476,1,false)</f>
        <v>ZFG1_AIRFRESHENER</v>
      </c>
      <c r="I20" s="63" t="str">
        <f t="shared" ref="I20:I1535" si="1">C20&amp;F20</f>
        <v>ZFG1_AIRFRESHENER1</v>
      </c>
      <c r="J20" s="63">
        <f t="shared" ref="J20:J1535" si="2">COUNTIF($I$20:$I$1940, I20)</f>
        <v>1</v>
      </c>
    </row>
    <row r="21" ht="15.75" customHeight="1">
      <c r="A21" s="59" t="s">
        <v>93</v>
      </c>
      <c r="B21" s="95"/>
      <c r="C21" s="95" t="s">
        <v>95</v>
      </c>
      <c r="D21" s="95" t="s">
        <v>91</v>
      </c>
      <c r="E21" s="95" t="s">
        <v>577</v>
      </c>
      <c r="F21" s="95">
        <v>1.0</v>
      </c>
      <c r="G21" s="95" t="s">
        <v>579</v>
      </c>
      <c r="H21" s="63" t="str">
        <f>VLOOKUP(C21, 'Class Def. - General Data'!$C$20:$C$476,1,false)</f>
        <v>ZFG1_BABYDIAPERS</v>
      </c>
      <c r="I21" s="63" t="str">
        <f t="shared" si="1"/>
        <v>ZFG1_BABYDIAPERS1</v>
      </c>
      <c r="J21" s="63">
        <f t="shared" si="2"/>
        <v>1</v>
      </c>
    </row>
    <row r="22" ht="15.75" customHeight="1">
      <c r="A22" s="59" t="s">
        <v>93</v>
      </c>
      <c r="B22" s="95"/>
      <c r="C22" s="95" t="s">
        <v>96</v>
      </c>
      <c r="D22" s="95" t="s">
        <v>91</v>
      </c>
      <c r="E22" s="95" t="s">
        <v>577</v>
      </c>
      <c r="F22" s="95">
        <v>1.0</v>
      </c>
      <c r="G22" s="95" t="s">
        <v>580</v>
      </c>
      <c r="H22" s="63" t="str">
        <f>VLOOKUP(C22, 'Class Def. - General Data'!$C$20:$C$476,1,false)</f>
        <v>ZFG1_BABYPOWDER</v>
      </c>
      <c r="I22" s="63" t="str">
        <f t="shared" si="1"/>
        <v>ZFG1_BABYPOWDER1</v>
      </c>
      <c r="J22" s="63">
        <f t="shared" si="2"/>
        <v>1</v>
      </c>
    </row>
    <row r="23" ht="15.75" customHeight="1">
      <c r="A23" s="59" t="s">
        <v>93</v>
      </c>
      <c r="B23" s="95"/>
      <c r="C23" s="95" t="s">
        <v>97</v>
      </c>
      <c r="D23" s="95" t="s">
        <v>91</v>
      </c>
      <c r="E23" s="95" t="s">
        <v>577</v>
      </c>
      <c r="F23" s="95">
        <v>1.0</v>
      </c>
      <c r="G23" s="95" t="s">
        <v>581</v>
      </c>
      <c r="H23" s="63" t="str">
        <f>VLOOKUP(C23, 'Class Def. - General Data'!$C$20:$C$476,1,false)</f>
        <v>ZFG1_BARDET</v>
      </c>
      <c r="I23" s="63" t="str">
        <f t="shared" si="1"/>
        <v>ZFG1_BARDET1</v>
      </c>
      <c r="J23" s="63">
        <f t="shared" si="2"/>
        <v>1</v>
      </c>
    </row>
    <row r="24" ht="15.75" customHeight="1">
      <c r="A24" s="59" t="s">
        <v>93</v>
      </c>
      <c r="B24" s="95"/>
      <c r="C24" s="95" t="s">
        <v>98</v>
      </c>
      <c r="D24" s="95" t="s">
        <v>91</v>
      </c>
      <c r="E24" s="95" t="s">
        <v>577</v>
      </c>
      <c r="F24" s="95">
        <v>1.0</v>
      </c>
      <c r="G24" s="95" t="s">
        <v>582</v>
      </c>
      <c r="H24" s="63" t="str">
        <f>VLOOKUP(C24, 'Class Def. - General Data'!$C$20:$C$476,1,false)</f>
        <v>ZFG1_BLEACHING</v>
      </c>
      <c r="I24" s="63" t="str">
        <f t="shared" si="1"/>
        <v>ZFG1_BLEACHING1</v>
      </c>
      <c r="J24" s="63">
        <f t="shared" si="2"/>
        <v>1</v>
      </c>
    </row>
    <row r="25" ht="15.75" customHeight="1">
      <c r="A25" s="59" t="s">
        <v>93</v>
      </c>
      <c r="B25" s="95"/>
      <c r="C25" s="95" t="s">
        <v>100</v>
      </c>
      <c r="D25" s="95" t="s">
        <v>91</v>
      </c>
      <c r="E25" s="95" t="s">
        <v>577</v>
      </c>
      <c r="F25" s="95">
        <v>1.0</v>
      </c>
      <c r="G25" s="95" t="s">
        <v>583</v>
      </c>
      <c r="H25" s="63" t="str">
        <f>VLOOKUP(C25, 'Class Def. - General Data'!$C$20:$C$476,1,false)</f>
        <v>ZFG1_BODYLIQSOAP</v>
      </c>
      <c r="I25" s="63" t="str">
        <f t="shared" si="1"/>
        <v>ZFG1_BODYLIQSOAP1</v>
      </c>
      <c r="J25" s="63">
        <f t="shared" si="2"/>
        <v>1</v>
      </c>
    </row>
    <row r="26" ht="15.75" customHeight="1">
      <c r="A26" s="59" t="s">
        <v>93</v>
      </c>
      <c r="B26" s="95"/>
      <c r="C26" s="95" t="s">
        <v>101</v>
      </c>
      <c r="D26" s="95" t="s">
        <v>91</v>
      </c>
      <c r="E26" s="95" t="s">
        <v>577</v>
      </c>
      <c r="F26" s="95">
        <v>1.0</v>
      </c>
      <c r="G26" s="95" t="s">
        <v>584</v>
      </c>
      <c r="H26" s="63" t="str">
        <f>VLOOKUP(C26, 'Class Def. - General Data'!$C$20:$C$476,1,false)</f>
        <v>ZFG1_CANDLEAROMA</v>
      </c>
      <c r="I26" s="63" t="str">
        <f t="shared" si="1"/>
        <v>ZFG1_CANDLEAROMA1</v>
      </c>
      <c r="J26" s="63">
        <f t="shared" si="2"/>
        <v>1</v>
      </c>
    </row>
    <row r="27" ht="15.75" customHeight="1">
      <c r="A27" s="59" t="s">
        <v>93</v>
      </c>
      <c r="B27" s="95"/>
      <c r="C27" s="95" t="s">
        <v>102</v>
      </c>
      <c r="D27" s="95" t="s">
        <v>91</v>
      </c>
      <c r="E27" s="95" t="s">
        <v>577</v>
      </c>
      <c r="F27" s="95">
        <v>1.0</v>
      </c>
      <c r="G27" s="95" t="s">
        <v>585</v>
      </c>
      <c r="H27" s="63" t="str">
        <f>VLOOKUP(C27, 'Class Def. - General Data'!$C$20:$C$476,1,false)</f>
        <v>ZFG1_CARBOL</v>
      </c>
      <c r="I27" s="63" t="str">
        <f t="shared" si="1"/>
        <v>ZFG1_CARBOL1</v>
      </c>
      <c r="J27" s="63">
        <f t="shared" si="2"/>
        <v>1</v>
      </c>
    </row>
    <row r="28" ht="15.75" customHeight="1">
      <c r="A28" s="59" t="s">
        <v>93</v>
      </c>
      <c r="B28" s="95"/>
      <c r="C28" s="95" t="s">
        <v>103</v>
      </c>
      <c r="D28" s="95" t="s">
        <v>91</v>
      </c>
      <c r="E28" s="95" t="s">
        <v>577</v>
      </c>
      <c r="F28" s="95">
        <v>1.0</v>
      </c>
      <c r="G28" s="95" t="s">
        <v>586</v>
      </c>
      <c r="H28" s="63" t="str">
        <f>VLOOKUP(C28, 'Class Def. - General Data'!$C$20:$C$476,1,false)</f>
        <v>ZFG1_COFFEE</v>
      </c>
      <c r="I28" s="63" t="str">
        <f t="shared" si="1"/>
        <v>ZFG1_COFFEE1</v>
      </c>
      <c r="J28" s="63">
        <f t="shared" si="2"/>
        <v>1</v>
      </c>
    </row>
    <row r="29" ht="15.75" customHeight="1">
      <c r="A29" s="59" t="s">
        <v>93</v>
      </c>
      <c r="B29" s="95"/>
      <c r="C29" s="95" t="s">
        <v>104</v>
      </c>
      <c r="D29" s="95" t="s">
        <v>91</v>
      </c>
      <c r="E29" s="95" t="s">
        <v>577</v>
      </c>
      <c r="F29" s="95">
        <v>1.0</v>
      </c>
      <c r="G29" s="95" t="s">
        <v>587</v>
      </c>
      <c r="H29" s="63" t="str">
        <f>VLOOKUP(C29, 'Class Def. - General Data'!$C$20:$C$476,1,false)</f>
        <v>ZFG1_COLOGNE</v>
      </c>
      <c r="I29" s="63" t="str">
        <f t="shared" si="1"/>
        <v>ZFG1_COLOGNE1</v>
      </c>
      <c r="J29" s="63">
        <f t="shared" si="2"/>
        <v>1</v>
      </c>
    </row>
    <row r="30" ht="15.75" customHeight="1">
      <c r="A30" s="59" t="s">
        <v>93</v>
      </c>
      <c r="B30" s="95"/>
      <c r="C30" s="95" t="s">
        <v>105</v>
      </c>
      <c r="D30" s="95" t="s">
        <v>91</v>
      </c>
      <c r="E30" s="95" t="s">
        <v>577</v>
      </c>
      <c r="F30" s="95">
        <v>1.0</v>
      </c>
      <c r="G30" s="95" t="s">
        <v>588</v>
      </c>
      <c r="H30" s="63" t="str">
        <f>VLOOKUP(C30, 'Class Def. - General Data'!$C$20:$C$476,1,false)</f>
        <v>ZFG1_COOKINGOIL</v>
      </c>
      <c r="I30" s="63" t="str">
        <f t="shared" si="1"/>
        <v>ZFG1_COOKINGOIL1</v>
      </c>
      <c r="J30" s="63">
        <f t="shared" si="2"/>
        <v>1</v>
      </c>
    </row>
    <row r="31" ht="15.75" customHeight="1">
      <c r="A31" s="59" t="s">
        <v>93</v>
      </c>
      <c r="B31" s="95"/>
      <c r="C31" s="95" t="s">
        <v>106</v>
      </c>
      <c r="D31" s="95" t="s">
        <v>91</v>
      </c>
      <c r="E31" s="95" t="s">
        <v>577</v>
      </c>
      <c r="F31" s="95">
        <v>1.0</v>
      </c>
      <c r="G31" s="95" t="s">
        <v>589</v>
      </c>
      <c r="H31" s="63" t="str">
        <f>VLOOKUP(C31, 'Class Def. - General Data'!$C$20:$C$476,1,false)</f>
        <v>ZFG1_CREAMDET</v>
      </c>
      <c r="I31" s="63" t="str">
        <f t="shared" si="1"/>
        <v>ZFG1_CREAMDET1</v>
      </c>
      <c r="J31" s="63">
        <f t="shared" si="2"/>
        <v>1</v>
      </c>
    </row>
    <row r="32" ht="15.75" customHeight="1">
      <c r="A32" s="59" t="s">
        <v>93</v>
      </c>
      <c r="B32" s="95"/>
      <c r="C32" s="95" t="s">
        <v>107</v>
      </c>
      <c r="D32" s="95" t="s">
        <v>91</v>
      </c>
      <c r="E32" s="95" t="s">
        <v>577</v>
      </c>
      <c r="F32" s="95">
        <v>1.0</v>
      </c>
      <c r="G32" s="95" t="s">
        <v>590</v>
      </c>
      <c r="H32" s="63" t="str">
        <f>VLOOKUP(C32, 'Class Def. - General Data'!$C$20:$C$476,1,false)</f>
        <v>ZFG1_CUPRTD</v>
      </c>
      <c r="I32" s="63" t="str">
        <f t="shared" si="1"/>
        <v>ZFG1_CUPRTD1</v>
      </c>
      <c r="J32" s="63">
        <f t="shared" si="2"/>
        <v>1</v>
      </c>
    </row>
    <row r="33" ht="15.75" customHeight="1">
      <c r="A33" s="59" t="s">
        <v>93</v>
      </c>
      <c r="B33" s="95"/>
      <c r="C33" s="95" t="s">
        <v>109</v>
      </c>
      <c r="D33" s="95" t="s">
        <v>91</v>
      </c>
      <c r="E33" s="95" t="s">
        <v>577</v>
      </c>
      <c r="F33" s="95">
        <v>1.0</v>
      </c>
      <c r="G33" s="95" t="s">
        <v>591</v>
      </c>
      <c r="H33" s="63" t="str">
        <f>VLOOKUP(C33, 'Class Def. - General Data'!$C$20:$C$476,1,false)</f>
        <v>ZFG1_DISHWASHLIQ</v>
      </c>
      <c r="I33" s="63" t="str">
        <f t="shared" si="1"/>
        <v>ZFG1_DISHWASHLIQ1</v>
      </c>
      <c r="J33" s="63">
        <f t="shared" si="2"/>
        <v>1</v>
      </c>
    </row>
    <row r="34" ht="15.75" customHeight="1">
      <c r="A34" s="59" t="s">
        <v>93</v>
      </c>
      <c r="B34" s="95"/>
      <c r="C34" s="95" t="s">
        <v>110</v>
      </c>
      <c r="D34" s="95" t="s">
        <v>91</v>
      </c>
      <c r="E34" s="95" t="s">
        <v>577</v>
      </c>
      <c r="F34" s="95">
        <v>1.0</v>
      </c>
      <c r="G34" s="95" t="s">
        <v>592</v>
      </c>
      <c r="H34" s="63" t="str">
        <f>VLOOKUP(C34, 'Class Def. - General Data'!$C$20:$C$476,1,false)</f>
        <v>ZFG1_DISINFECTANT</v>
      </c>
      <c r="I34" s="63" t="str">
        <f t="shared" si="1"/>
        <v>ZFG1_DISINFECTANT1</v>
      </c>
      <c r="J34" s="63">
        <f t="shared" si="2"/>
        <v>1</v>
      </c>
    </row>
    <row r="35" ht="15.75" customHeight="1">
      <c r="A35" s="59" t="s">
        <v>93</v>
      </c>
      <c r="B35" s="95"/>
      <c r="C35" s="95" t="s">
        <v>111</v>
      </c>
      <c r="D35" s="95" t="s">
        <v>91</v>
      </c>
      <c r="E35" s="95" t="s">
        <v>577</v>
      </c>
      <c r="F35" s="95">
        <v>1.0</v>
      </c>
      <c r="G35" s="95" t="s">
        <v>593</v>
      </c>
      <c r="H35" s="63" t="str">
        <f>VLOOKUP(C35, 'Class Def. - General Data'!$C$20:$C$476,1,false)</f>
        <v>ZFG1_DISPOSMASK</v>
      </c>
      <c r="I35" s="63" t="str">
        <f t="shared" si="1"/>
        <v>ZFG1_DISPOSMASK1</v>
      </c>
      <c r="J35" s="63">
        <f t="shared" si="2"/>
        <v>1</v>
      </c>
    </row>
    <row r="36" ht="15.75" customHeight="1">
      <c r="A36" s="59" t="s">
        <v>93</v>
      </c>
      <c r="B36" s="95"/>
      <c r="C36" s="95" t="s">
        <v>112</v>
      </c>
      <c r="D36" s="95" t="s">
        <v>91</v>
      </c>
      <c r="E36" s="95" t="s">
        <v>577</v>
      </c>
      <c r="F36" s="95">
        <v>1.0</v>
      </c>
      <c r="G36" s="95" t="s">
        <v>594</v>
      </c>
      <c r="H36" s="63" t="str">
        <f>VLOOKUP(C36, 'Class Def. - General Data'!$C$20:$C$476,1,false)</f>
        <v>ZFG1_ESSENTIALOIL</v>
      </c>
      <c r="I36" s="63" t="str">
        <f t="shared" si="1"/>
        <v>ZFG1_ESSENTIALOIL1</v>
      </c>
      <c r="J36" s="63">
        <f t="shared" si="2"/>
        <v>1</v>
      </c>
    </row>
    <row r="37" ht="15.75" customHeight="1">
      <c r="A37" s="59" t="s">
        <v>93</v>
      </c>
      <c r="B37" s="95"/>
      <c r="C37" s="95" t="s">
        <v>114</v>
      </c>
      <c r="D37" s="95" t="s">
        <v>91</v>
      </c>
      <c r="E37" s="95" t="s">
        <v>577</v>
      </c>
      <c r="F37" s="95">
        <v>1.0</v>
      </c>
      <c r="G37" s="95" t="s">
        <v>595</v>
      </c>
      <c r="H37" s="63" t="str">
        <f>VLOOKUP(C37, 'Class Def. - General Data'!$C$20:$C$476,1,false)</f>
        <v>ZFG1_FACEMAKEUP</v>
      </c>
      <c r="I37" s="63" t="str">
        <f t="shared" si="1"/>
        <v>ZFG1_FACEMAKEUP1</v>
      </c>
      <c r="J37" s="63">
        <f t="shared" si="2"/>
        <v>1</v>
      </c>
    </row>
    <row r="38" ht="15.75" customHeight="1">
      <c r="A38" s="59" t="s">
        <v>93</v>
      </c>
      <c r="B38" s="95"/>
      <c r="C38" s="95" t="s">
        <v>115</v>
      </c>
      <c r="D38" s="95" t="s">
        <v>91</v>
      </c>
      <c r="E38" s="95" t="s">
        <v>577</v>
      </c>
      <c r="F38" s="95">
        <v>1.0</v>
      </c>
      <c r="G38" s="95" t="s">
        <v>596</v>
      </c>
      <c r="H38" s="63" t="str">
        <f>VLOOKUP(C38, 'Class Def. - General Data'!$C$20:$C$476,1,false)</f>
        <v>ZFG1_FLOORCLEANER</v>
      </c>
      <c r="I38" s="63" t="str">
        <f t="shared" si="1"/>
        <v>ZFG1_FLOORCLEANER1</v>
      </c>
      <c r="J38" s="63">
        <f t="shared" si="2"/>
        <v>1</v>
      </c>
    </row>
    <row r="39" ht="15.75" customHeight="1">
      <c r="A39" s="59" t="s">
        <v>93</v>
      </c>
      <c r="B39" s="95"/>
      <c r="C39" s="95" t="s">
        <v>116</v>
      </c>
      <c r="D39" s="95" t="s">
        <v>91</v>
      </c>
      <c r="E39" s="95" t="s">
        <v>577</v>
      </c>
      <c r="F39" s="95">
        <v>1.0</v>
      </c>
      <c r="G39" s="95" t="s">
        <v>597</v>
      </c>
      <c r="H39" s="63" t="str">
        <f>VLOOKUP(C39, 'Class Def. - General Data'!$C$20:$C$476,1,false)</f>
        <v>ZFG1_GLASSCLEANER</v>
      </c>
      <c r="I39" s="63" t="str">
        <f t="shared" si="1"/>
        <v>ZFG1_GLASSCLEANER1</v>
      </c>
      <c r="J39" s="63">
        <f t="shared" si="2"/>
        <v>1</v>
      </c>
    </row>
    <row r="40" ht="15.75" customHeight="1">
      <c r="A40" s="59" t="s">
        <v>93</v>
      </c>
      <c r="B40" s="95"/>
      <c r="C40" s="95" t="s">
        <v>117</v>
      </c>
      <c r="D40" s="95" t="s">
        <v>91</v>
      </c>
      <c r="E40" s="95" t="s">
        <v>577</v>
      </c>
      <c r="F40" s="95">
        <v>1.0</v>
      </c>
      <c r="G40" s="95" t="s">
        <v>598</v>
      </c>
      <c r="H40" s="63" t="str">
        <f>VLOOKUP(C40, 'Class Def. - General Data'!$C$20:$C$476,1,false)</f>
        <v>ZFG1_HAIRCARE</v>
      </c>
      <c r="I40" s="63" t="str">
        <f t="shared" si="1"/>
        <v>ZFG1_HAIRCARE1</v>
      </c>
      <c r="J40" s="63">
        <f t="shared" si="2"/>
        <v>1</v>
      </c>
    </row>
    <row r="41" ht="15.75" customHeight="1">
      <c r="A41" s="59" t="s">
        <v>93</v>
      </c>
      <c r="B41" s="95"/>
      <c r="C41" s="95" t="s">
        <v>118</v>
      </c>
      <c r="D41" s="95" t="s">
        <v>91</v>
      </c>
      <c r="E41" s="95" t="s">
        <v>577</v>
      </c>
      <c r="F41" s="95">
        <v>1.0</v>
      </c>
      <c r="G41" s="95" t="s">
        <v>599</v>
      </c>
      <c r="H41" s="63" t="str">
        <f>VLOOKUP(C41, 'Class Def. - General Data'!$C$20:$C$476,1,false)</f>
        <v>ZFG1_HANDLIQSOAP</v>
      </c>
      <c r="I41" s="63" t="str">
        <f t="shared" si="1"/>
        <v>ZFG1_HANDLIQSOAP1</v>
      </c>
      <c r="J41" s="63">
        <f t="shared" si="2"/>
        <v>1</v>
      </c>
    </row>
    <row r="42" ht="15.75" customHeight="1">
      <c r="A42" s="59" t="s">
        <v>93</v>
      </c>
      <c r="B42" s="95"/>
      <c r="C42" s="95" t="s">
        <v>119</v>
      </c>
      <c r="D42" s="95" t="s">
        <v>91</v>
      </c>
      <c r="E42" s="95" t="s">
        <v>577</v>
      </c>
      <c r="F42" s="95">
        <v>1.0</v>
      </c>
      <c r="G42" s="95" t="s">
        <v>600</v>
      </c>
      <c r="H42" s="63" t="str">
        <f>VLOOKUP(C42, 'Class Def. - General Data'!$C$20:$C$476,1,false)</f>
        <v>ZFG1_HANDSAN</v>
      </c>
      <c r="I42" s="63" t="str">
        <f t="shared" si="1"/>
        <v>ZFG1_HANDSAN1</v>
      </c>
      <c r="J42" s="63">
        <f t="shared" si="2"/>
        <v>1</v>
      </c>
    </row>
    <row r="43" ht="15.75" customHeight="1">
      <c r="A43" s="59" t="s">
        <v>93</v>
      </c>
      <c r="B43" s="95"/>
      <c r="C43" s="95" t="s">
        <v>120</v>
      </c>
      <c r="D43" s="95" t="s">
        <v>91</v>
      </c>
      <c r="E43" s="95" t="s">
        <v>577</v>
      </c>
      <c r="F43" s="95">
        <v>1.0</v>
      </c>
      <c r="G43" s="95" t="s">
        <v>601</v>
      </c>
      <c r="H43" s="63" t="str">
        <f>VLOOKUP(C43, 'Class Def. - General Data'!$C$20:$C$476,1,false)</f>
        <v>ZFG1_ICECREAM</v>
      </c>
      <c r="I43" s="63" t="str">
        <f t="shared" si="1"/>
        <v>ZFG1_ICECREAM1</v>
      </c>
      <c r="J43" s="63">
        <f t="shared" si="2"/>
        <v>1</v>
      </c>
    </row>
    <row r="44" ht="15.75" customHeight="1">
      <c r="A44" s="59" t="s">
        <v>93</v>
      </c>
      <c r="B44" s="95"/>
      <c r="C44" s="95" t="s">
        <v>121</v>
      </c>
      <c r="D44" s="95" t="s">
        <v>91</v>
      </c>
      <c r="E44" s="95" t="s">
        <v>577</v>
      </c>
      <c r="F44" s="95">
        <v>1.0</v>
      </c>
      <c r="G44" s="95" t="s">
        <v>602</v>
      </c>
      <c r="H44" s="63" t="str">
        <f>VLOOKUP(C44, 'Class Def. - General Data'!$C$20:$C$476,1,false)</f>
        <v>ZFG1_IRONINGAID</v>
      </c>
      <c r="I44" s="63" t="str">
        <f t="shared" si="1"/>
        <v>ZFG1_IRONINGAID1</v>
      </c>
      <c r="J44" s="63">
        <f t="shared" si="2"/>
        <v>1</v>
      </c>
    </row>
    <row r="45" ht="15.75" customHeight="1">
      <c r="A45" s="59" t="s">
        <v>93</v>
      </c>
      <c r="B45" s="95"/>
      <c r="C45" s="95" t="s">
        <v>122</v>
      </c>
      <c r="D45" s="95" t="s">
        <v>91</v>
      </c>
      <c r="E45" s="95" t="s">
        <v>577</v>
      </c>
      <c r="F45" s="95">
        <v>1.0</v>
      </c>
      <c r="G45" s="95" t="s">
        <v>603</v>
      </c>
      <c r="H45" s="63" t="str">
        <f>VLOOKUP(C45, 'Class Def. - General Data'!$C$20:$C$476,1,false)</f>
        <v>ZFG1_KECAP</v>
      </c>
      <c r="I45" s="63" t="str">
        <f t="shared" si="1"/>
        <v>ZFG1_KECAP1</v>
      </c>
      <c r="J45" s="63">
        <f t="shared" si="2"/>
        <v>1</v>
      </c>
    </row>
    <row r="46" ht="15.75" customHeight="1">
      <c r="A46" s="59" t="s">
        <v>93</v>
      </c>
      <c r="B46" s="95"/>
      <c r="C46" s="95" t="s">
        <v>124</v>
      </c>
      <c r="D46" s="95" t="s">
        <v>91</v>
      </c>
      <c r="E46" s="95" t="s">
        <v>577</v>
      </c>
      <c r="F46" s="95">
        <v>1.0</v>
      </c>
      <c r="G46" s="95" t="s">
        <v>604</v>
      </c>
      <c r="H46" s="63" t="str">
        <f>VLOOKUP(C46, 'Class Def. - General Data'!$C$20:$C$476,1,false)</f>
        <v>ZFG1_LIPSMAKEUP</v>
      </c>
      <c r="I46" s="63" t="str">
        <f t="shared" si="1"/>
        <v>ZFG1_LIPSMAKEUP1</v>
      </c>
      <c r="J46" s="63">
        <f t="shared" si="2"/>
        <v>1</v>
      </c>
    </row>
    <row r="47" ht="15.75" customHeight="1">
      <c r="A47" s="59" t="s">
        <v>93</v>
      </c>
      <c r="B47" s="95"/>
      <c r="C47" s="95" t="s">
        <v>125</v>
      </c>
      <c r="D47" s="95" t="s">
        <v>91</v>
      </c>
      <c r="E47" s="95" t="s">
        <v>577</v>
      </c>
      <c r="F47" s="95">
        <v>1.0</v>
      </c>
      <c r="G47" s="95" t="s">
        <v>605</v>
      </c>
      <c r="H47" s="63" t="str">
        <f>VLOOKUP(C47, 'Class Def. - General Data'!$C$20:$C$476,1,false)</f>
        <v>ZFG1_LIQDET</v>
      </c>
      <c r="I47" s="63" t="str">
        <f t="shared" si="1"/>
        <v>ZFG1_LIQDET1</v>
      </c>
      <c r="J47" s="63">
        <f t="shared" si="2"/>
        <v>1</v>
      </c>
    </row>
    <row r="48" ht="15.75" customHeight="1">
      <c r="A48" s="59" t="s">
        <v>93</v>
      </c>
      <c r="B48" s="95"/>
      <c r="C48" s="95" t="s">
        <v>126</v>
      </c>
      <c r="D48" s="95" t="s">
        <v>91</v>
      </c>
      <c r="E48" s="95" t="s">
        <v>577</v>
      </c>
      <c r="F48" s="95">
        <v>1.0</v>
      </c>
      <c r="G48" s="95" t="s">
        <v>606</v>
      </c>
      <c r="H48" s="63" t="str">
        <f>VLOOKUP(C48, 'Class Def. - General Data'!$C$20:$C$476,1,false)</f>
        <v>ZFG1_MOSQUITOREPEL</v>
      </c>
      <c r="I48" s="63" t="str">
        <f t="shared" si="1"/>
        <v>ZFG1_MOSQUITOREPEL1</v>
      </c>
      <c r="J48" s="63">
        <f t="shared" si="2"/>
        <v>1</v>
      </c>
    </row>
    <row r="49" ht="15.75" customHeight="1">
      <c r="A49" s="59" t="s">
        <v>93</v>
      </c>
      <c r="B49" s="95"/>
      <c r="C49" s="95" t="s">
        <v>127</v>
      </c>
      <c r="D49" s="95" t="s">
        <v>91</v>
      </c>
      <c r="E49" s="95" t="s">
        <v>577</v>
      </c>
      <c r="F49" s="95">
        <v>1.0</v>
      </c>
      <c r="G49" s="95" t="s">
        <v>607</v>
      </c>
      <c r="H49" s="63" t="str">
        <f>VLOOKUP(C49, 'Class Def. - General Data'!$C$20:$C$476,1,false)</f>
        <v>ZFG1_NOODLES</v>
      </c>
      <c r="I49" s="63" t="str">
        <f t="shared" si="1"/>
        <v>ZFG1_NOODLES1</v>
      </c>
      <c r="J49" s="63">
        <f t="shared" si="2"/>
        <v>1</v>
      </c>
    </row>
    <row r="50" ht="15.75" customHeight="1">
      <c r="A50" s="59" t="s">
        <v>93</v>
      </c>
      <c r="B50" s="95"/>
      <c r="C50" s="95" t="s">
        <v>128</v>
      </c>
      <c r="D50" s="95" t="s">
        <v>91</v>
      </c>
      <c r="E50" s="95" t="s">
        <v>577</v>
      </c>
      <c r="F50" s="95">
        <v>1.0</v>
      </c>
      <c r="G50" s="95" t="s">
        <v>608</v>
      </c>
      <c r="H50" s="63" t="str">
        <f>VLOOKUP(C50, 'Class Def. - General Data'!$C$20:$C$476,1,false)</f>
        <v>ZFG1_ORALCARE</v>
      </c>
      <c r="I50" s="63" t="str">
        <f t="shared" si="1"/>
        <v>ZFG1_ORALCARE1</v>
      </c>
      <c r="J50" s="63">
        <f t="shared" si="2"/>
        <v>1</v>
      </c>
    </row>
    <row r="51" ht="15.75" customHeight="1">
      <c r="A51" s="59" t="s">
        <v>93</v>
      </c>
      <c r="B51" s="95"/>
      <c r="C51" s="95" t="s">
        <v>129</v>
      </c>
      <c r="D51" s="95" t="s">
        <v>91</v>
      </c>
      <c r="E51" s="95" t="s">
        <v>577</v>
      </c>
      <c r="F51" s="95">
        <v>1.0</v>
      </c>
      <c r="G51" s="95" t="s">
        <v>609</v>
      </c>
      <c r="H51" s="63" t="str">
        <f>VLOOKUP(C51, 'Class Def. - General Data'!$C$20:$C$476,1,false)</f>
        <v>ZFG1_PETRTD</v>
      </c>
      <c r="I51" s="63" t="str">
        <f t="shared" si="1"/>
        <v>ZFG1_PETRTD1</v>
      </c>
      <c r="J51" s="63">
        <f t="shared" si="2"/>
        <v>1</v>
      </c>
    </row>
    <row r="52" ht="15.75" customHeight="1">
      <c r="A52" s="59" t="s">
        <v>93</v>
      </c>
      <c r="B52" s="95"/>
      <c r="C52" s="95" t="s">
        <v>130</v>
      </c>
      <c r="D52" s="95" t="s">
        <v>91</v>
      </c>
      <c r="E52" s="95" t="s">
        <v>577</v>
      </c>
      <c r="F52" s="95">
        <v>1.0</v>
      </c>
      <c r="G52" s="95" t="s">
        <v>610</v>
      </c>
      <c r="H52" s="63" t="str">
        <f>VLOOKUP(C52, 'Class Def. - General Data'!$C$20:$C$476,1,false)</f>
        <v>ZFG1_PEWANGI</v>
      </c>
      <c r="I52" s="63" t="str">
        <f t="shared" si="1"/>
        <v>ZFG1_PEWANGI1</v>
      </c>
      <c r="J52" s="63">
        <f t="shared" si="2"/>
        <v>1</v>
      </c>
    </row>
    <row r="53" ht="15.75" customHeight="1">
      <c r="A53" s="59" t="s">
        <v>93</v>
      </c>
      <c r="B53" s="95"/>
      <c r="C53" s="95" t="s">
        <v>131</v>
      </c>
      <c r="D53" s="95" t="s">
        <v>91</v>
      </c>
      <c r="E53" s="95" t="s">
        <v>577</v>
      </c>
      <c r="F53" s="95">
        <v>1.0</v>
      </c>
      <c r="G53" s="95" t="s">
        <v>611</v>
      </c>
      <c r="H53" s="63" t="str">
        <f>VLOOKUP(C53, 'Class Def. - General Data'!$C$20:$C$476,1,false)</f>
        <v>ZFG1_PORCCLEANER</v>
      </c>
      <c r="I53" s="63" t="str">
        <f t="shared" si="1"/>
        <v>ZFG1_PORCCLEANER1</v>
      </c>
      <c r="J53" s="63">
        <f t="shared" si="2"/>
        <v>1</v>
      </c>
    </row>
    <row r="54" ht="15.75" customHeight="1">
      <c r="A54" s="59" t="s">
        <v>93</v>
      </c>
      <c r="B54" s="95"/>
      <c r="C54" s="95" t="s">
        <v>132</v>
      </c>
      <c r="D54" s="95" t="s">
        <v>91</v>
      </c>
      <c r="E54" s="95" t="s">
        <v>577</v>
      </c>
      <c r="F54" s="95">
        <v>1.0</v>
      </c>
      <c r="G54" s="95" t="s">
        <v>612</v>
      </c>
      <c r="H54" s="63" t="str">
        <f>VLOOKUP(C54, 'Class Def. - General Data'!$C$20:$C$476,1,false)</f>
        <v>ZFG1_POWDET</v>
      </c>
      <c r="I54" s="63" t="str">
        <f t="shared" si="1"/>
        <v>ZFG1_POWDET1</v>
      </c>
      <c r="J54" s="63">
        <f t="shared" si="2"/>
        <v>1</v>
      </c>
    </row>
    <row r="55" ht="15.75" customHeight="1">
      <c r="A55" s="59" t="s">
        <v>93</v>
      </c>
      <c r="B55" s="95"/>
      <c r="C55" s="95" t="s">
        <v>134</v>
      </c>
      <c r="D55" s="95" t="s">
        <v>91</v>
      </c>
      <c r="E55" s="95" t="s">
        <v>577</v>
      </c>
      <c r="F55" s="95">
        <v>1.0</v>
      </c>
      <c r="G55" s="95" t="s">
        <v>613</v>
      </c>
      <c r="H55" s="63" t="str">
        <f>VLOOKUP(C55, 'Class Def. - General Data'!$C$20:$C$476,1,false)</f>
        <v>ZFG1_REEDDIFFUSER</v>
      </c>
      <c r="I55" s="63" t="str">
        <f t="shared" si="1"/>
        <v>ZFG1_REEDDIFFUSER1</v>
      </c>
      <c r="J55" s="63">
        <f t="shared" si="2"/>
        <v>1</v>
      </c>
    </row>
    <row r="56" ht="15.75" customHeight="1">
      <c r="A56" s="59" t="s">
        <v>93</v>
      </c>
      <c r="B56" s="95"/>
      <c r="C56" s="95" t="s">
        <v>135</v>
      </c>
      <c r="D56" s="95" t="s">
        <v>91</v>
      </c>
      <c r="E56" s="95" t="s">
        <v>577</v>
      </c>
      <c r="F56" s="95">
        <v>1.0</v>
      </c>
      <c r="G56" s="95" t="s">
        <v>614</v>
      </c>
      <c r="H56" s="63" t="str">
        <f>VLOOKUP(C56, 'Class Def. - General Data'!$C$20:$C$476,1,false)</f>
        <v>ZFG1_SANITARYGEL</v>
      </c>
      <c r="I56" s="63" t="str">
        <f t="shared" si="1"/>
        <v>ZFG1_SANITARYGEL1</v>
      </c>
      <c r="J56" s="63">
        <f t="shared" si="2"/>
        <v>1</v>
      </c>
    </row>
    <row r="57" ht="15.75" customHeight="1">
      <c r="A57" s="59" t="s">
        <v>93</v>
      </c>
      <c r="B57" s="95"/>
      <c r="C57" s="95" t="s">
        <v>136</v>
      </c>
      <c r="D57" s="95" t="s">
        <v>91</v>
      </c>
      <c r="E57" s="95" t="s">
        <v>577</v>
      </c>
      <c r="F57" s="95">
        <v>1.0</v>
      </c>
      <c r="G57" s="95" t="s">
        <v>615</v>
      </c>
      <c r="H57" s="63" t="str">
        <f>VLOOKUP(C57, 'Class Def. - General Data'!$C$20:$C$476,1,false)</f>
        <v>ZFG1_SAVORYSNACK</v>
      </c>
      <c r="I57" s="63" t="str">
        <f t="shared" si="1"/>
        <v>ZFG1_SAVORYSNACK1</v>
      </c>
      <c r="J57" s="63">
        <f t="shared" si="2"/>
        <v>1</v>
      </c>
    </row>
    <row r="58" ht="15.75" customHeight="1">
      <c r="A58" s="59" t="s">
        <v>93</v>
      </c>
      <c r="B58" s="95"/>
      <c r="C58" s="95" t="s">
        <v>137</v>
      </c>
      <c r="D58" s="95" t="s">
        <v>91</v>
      </c>
      <c r="E58" s="95" t="s">
        <v>577</v>
      </c>
      <c r="F58" s="95">
        <v>1.0</v>
      </c>
      <c r="G58" s="95" t="s">
        <v>616</v>
      </c>
      <c r="H58" s="63" t="str">
        <f>VLOOKUP(C58, 'Class Def. - General Data'!$C$20:$C$476,1,false)</f>
        <v>ZFG1_SEASONING</v>
      </c>
      <c r="I58" s="63" t="str">
        <f t="shared" si="1"/>
        <v>ZFG1_SEASONING1</v>
      </c>
      <c r="J58" s="63">
        <f t="shared" si="2"/>
        <v>1</v>
      </c>
    </row>
    <row r="59" ht="15.75" customHeight="1">
      <c r="A59" s="59" t="s">
        <v>93</v>
      </c>
      <c r="B59" s="95"/>
      <c r="C59" s="95" t="s">
        <v>138</v>
      </c>
      <c r="D59" s="95" t="s">
        <v>91</v>
      </c>
      <c r="E59" s="95" t="s">
        <v>577</v>
      </c>
      <c r="F59" s="95">
        <v>1.0</v>
      </c>
      <c r="G59" s="95" t="s">
        <v>617</v>
      </c>
      <c r="H59" s="63" t="str">
        <f>VLOOKUP(C59, 'Class Def. - General Data'!$C$20:$C$476,1,false)</f>
        <v>ZFG1_SKINCARE</v>
      </c>
      <c r="I59" s="63" t="str">
        <f t="shared" si="1"/>
        <v>ZFG1_SKINCARE1</v>
      </c>
      <c r="J59" s="63">
        <f t="shared" si="2"/>
        <v>1</v>
      </c>
    </row>
    <row r="60" ht="15.75" customHeight="1">
      <c r="A60" s="59" t="s">
        <v>93</v>
      </c>
      <c r="B60" s="95"/>
      <c r="C60" s="95" t="s">
        <v>139</v>
      </c>
      <c r="D60" s="95" t="s">
        <v>91</v>
      </c>
      <c r="E60" s="95" t="s">
        <v>577</v>
      </c>
      <c r="F60" s="95">
        <v>1.0</v>
      </c>
      <c r="G60" s="95" t="s">
        <v>618</v>
      </c>
      <c r="H60" s="63" t="str">
        <f>VLOOKUP(C60, 'Class Def. - General Data'!$C$20:$C$476,1,false)</f>
        <v>ZFG1_SOFTENER</v>
      </c>
      <c r="I60" s="63" t="str">
        <f t="shared" si="1"/>
        <v>ZFG1_SOFTENER1</v>
      </c>
      <c r="J60" s="63">
        <f t="shared" si="2"/>
        <v>1</v>
      </c>
    </row>
    <row r="61" ht="15.75" customHeight="1">
      <c r="A61" s="59" t="s">
        <v>93</v>
      </c>
      <c r="B61" s="95"/>
      <c r="C61" s="95" t="s">
        <v>140</v>
      </c>
      <c r="D61" s="95" t="s">
        <v>91</v>
      </c>
      <c r="E61" s="95" t="s">
        <v>577</v>
      </c>
      <c r="F61" s="95">
        <v>1.0</v>
      </c>
      <c r="G61" s="95" t="s">
        <v>619</v>
      </c>
      <c r="H61" s="63" t="str">
        <f>VLOOKUP(C61, 'Class Def. - General Data'!$C$20:$C$476,1,false)</f>
        <v>ZFG1_STAINREMOVER</v>
      </c>
      <c r="I61" s="63" t="str">
        <f t="shared" si="1"/>
        <v>ZFG1_STAINREMOVER1</v>
      </c>
      <c r="J61" s="63">
        <f t="shared" si="2"/>
        <v>1</v>
      </c>
    </row>
    <row r="62" ht="15.75" customHeight="1">
      <c r="A62" s="59" t="s">
        <v>93</v>
      </c>
      <c r="B62" s="95"/>
      <c r="C62" s="95" t="s">
        <v>142</v>
      </c>
      <c r="D62" s="95" t="s">
        <v>91</v>
      </c>
      <c r="E62" s="95" t="s">
        <v>577</v>
      </c>
      <c r="F62" s="95">
        <v>1.0</v>
      </c>
      <c r="G62" s="95" t="s">
        <v>620</v>
      </c>
      <c r="H62" s="63" t="str">
        <f>VLOOKUP(C62, 'Class Def. - General Data'!$C$20:$C$476,1,false)</f>
        <v>ZFG1_TOOTHBRUSH</v>
      </c>
      <c r="I62" s="63" t="str">
        <f t="shared" si="1"/>
        <v>ZFG1_TOOTHBRUSH1</v>
      </c>
      <c r="J62" s="63">
        <f t="shared" si="2"/>
        <v>1</v>
      </c>
    </row>
    <row r="63" ht="15.75" customHeight="1">
      <c r="A63" s="59" t="s">
        <v>93</v>
      </c>
      <c r="B63" s="95"/>
      <c r="C63" s="95" t="s">
        <v>143</v>
      </c>
      <c r="D63" s="95" t="s">
        <v>91</v>
      </c>
      <c r="E63" s="95" t="s">
        <v>577</v>
      </c>
      <c r="F63" s="95">
        <v>1.0</v>
      </c>
      <c r="G63" s="95" t="s">
        <v>621</v>
      </c>
      <c r="H63" s="63" t="str">
        <f>VLOOKUP(C63, 'Class Def. - General Data'!$C$20:$C$476,1,false)</f>
        <v>ZFG1_TOPTOTOE</v>
      </c>
      <c r="I63" s="63" t="str">
        <f t="shared" si="1"/>
        <v>ZFG1_TOPTOTOE1</v>
      </c>
      <c r="J63" s="63">
        <f t="shared" si="2"/>
        <v>1</v>
      </c>
    </row>
    <row r="64" ht="15.75" customHeight="1">
      <c r="A64" s="59" t="s">
        <v>93</v>
      </c>
      <c r="B64" s="95"/>
      <c r="C64" s="95" t="s">
        <v>144</v>
      </c>
      <c r="D64" s="95" t="s">
        <v>91</v>
      </c>
      <c r="E64" s="95" t="s">
        <v>577</v>
      </c>
      <c r="F64" s="95">
        <v>1.0</v>
      </c>
      <c r="G64" s="95" t="s">
        <v>622</v>
      </c>
      <c r="H64" s="63" t="str">
        <f>VLOOKUP(C64, 'Class Def. - General Data'!$C$20:$C$476,1,false)</f>
        <v>ZFG1_WETWIPES</v>
      </c>
      <c r="I64" s="63" t="str">
        <f t="shared" si="1"/>
        <v>ZFG1_WETWIPES1</v>
      </c>
      <c r="J64" s="63">
        <f t="shared" si="2"/>
        <v>1</v>
      </c>
    </row>
    <row r="65" ht="15.75" customHeight="1">
      <c r="A65" s="59" t="s">
        <v>93</v>
      </c>
      <c r="B65" s="95"/>
      <c r="C65" s="95" t="s">
        <v>94</v>
      </c>
      <c r="D65" s="95" t="s">
        <v>91</v>
      </c>
      <c r="E65" s="95" t="s">
        <v>577</v>
      </c>
      <c r="F65" s="95">
        <v>2.0</v>
      </c>
      <c r="G65" s="95" t="s">
        <v>623</v>
      </c>
      <c r="H65" s="63" t="str">
        <f>VLOOKUP(C65, 'Class Def. - General Data'!$C$20:$C$476,1,false)</f>
        <v>ZFG1_AIRFRESHENER</v>
      </c>
      <c r="I65" s="63" t="str">
        <f t="shared" si="1"/>
        <v>ZFG1_AIRFRESHENER2</v>
      </c>
      <c r="J65" s="63">
        <f t="shared" si="2"/>
        <v>1</v>
      </c>
    </row>
    <row r="66" ht="15.75" customHeight="1">
      <c r="A66" s="59" t="s">
        <v>93</v>
      </c>
      <c r="B66" s="95"/>
      <c r="C66" s="95" t="s">
        <v>94</v>
      </c>
      <c r="D66" s="95" t="s">
        <v>91</v>
      </c>
      <c r="E66" s="95" t="s">
        <v>577</v>
      </c>
      <c r="F66" s="95">
        <v>3.0</v>
      </c>
      <c r="G66" s="95" t="s">
        <v>624</v>
      </c>
      <c r="H66" s="63" t="str">
        <f>VLOOKUP(C66, 'Class Def. - General Data'!$C$20:$C$476,1,false)</f>
        <v>ZFG1_AIRFRESHENER</v>
      </c>
      <c r="I66" s="63" t="str">
        <f t="shared" si="1"/>
        <v>ZFG1_AIRFRESHENER3</v>
      </c>
      <c r="J66" s="63">
        <f t="shared" si="2"/>
        <v>1</v>
      </c>
    </row>
    <row r="67" ht="15.75" customHeight="1">
      <c r="A67" s="59" t="s">
        <v>93</v>
      </c>
      <c r="B67" s="95"/>
      <c r="C67" s="95" t="s">
        <v>94</v>
      </c>
      <c r="D67" s="95" t="s">
        <v>91</v>
      </c>
      <c r="E67" s="95" t="s">
        <v>577</v>
      </c>
      <c r="F67" s="95">
        <v>4.0</v>
      </c>
      <c r="G67" s="95" t="s">
        <v>625</v>
      </c>
      <c r="H67" s="63" t="str">
        <f>VLOOKUP(C67, 'Class Def. - General Data'!$C$20:$C$476,1,false)</f>
        <v>ZFG1_AIRFRESHENER</v>
      </c>
      <c r="I67" s="63" t="str">
        <f t="shared" si="1"/>
        <v>ZFG1_AIRFRESHENER4</v>
      </c>
      <c r="J67" s="63">
        <f t="shared" si="2"/>
        <v>1</v>
      </c>
    </row>
    <row r="68" ht="15.75" customHeight="1">
      <c r="A68" s="59" t="s">
        <v>93</v>
      </c>
      <c r="B68" s="95"/>
      <c r="C68" s="95" t="s">
        <v>94</v>
      </c>
      <c r="D68" s="95" t="s">
        <v>91</v>
      </c>
      <c r="E68" s="95" t="s">
        <v>577</v>
      </c>
      <c r="F68" s="95">
        <v>5.0</v>
      </c>
      <c r="G68" s="95" t="s">
        <v>626</v>
      </c>
      <c r="H68" s="63" t="str">
        <f>VLOOKUP(C68, 'Class Def. - General Data'!$C$20:$C$476,1,false)</f>
        <v>ZFG1_AIRFRESHENER</v>
      </c>
      <c r="I68" s="63" t="str">
        <f t="shared" si="1"/>
        <v>ZFG1_AIRFRESHENER5</v>
      </c>
      <c r="J68" s="63">
        <f t="shared" si="2"/>
        <v>1</v>
      </c>
    </row>
    <row r="69" ht="15.75" customHeight="1">
      <c r="A69" s="59" t="s">
        <v>93</v>
      </c>
      <c r="B69" s="95"/>
      <c r="C69" s="95" t="s">
        <v>95</v>
      </c>
      <c r="D69" s="95" t="s">
        <v>91</v>
      </c>
      <c r="E69" s="95" t="s">
        <v>577</v>
      </c>
      <c r="F69" s="95">
        <v>2.0</v>
      </c>
      <c r="G69" s="95" t="s">
        <v>627</v>
      </c>
      <c r="H69" s="63" t="str">
        <f>VLOOKUP(C69, 'Class Def. - General Data'!$C$20:$C$476,1,false)</f>
        <v>ZFG1_BABYDIAPERS</v>
      </c>
      <c r="I69" s="63" t="str">
        <f t="shared" si="1"/>
        <v>ZFG1_BABYDIAPERS2</v>
      </c>
      <c r="J69" s="63">
        <f t="shared" si="2"/>
        <v>1</v>
      </c>
    </row>
    <row r="70" ht="15.75" customHeight="1">
      <c r="A70" s="59" t="s">
        <v>93</v>
      </c>
      <c r="B70" s="95"/>
      <c r="C70" s="95" t="s">
        <v>95</v>
      </c>
      <c r="D70" s="95" t="s">
        <v>91</v>
      </c>
      <c r="E70" s="95" t="s">
        <v>577</v>
      </c>
      <c r="F70" s="95">
        <v>3.0</v>
      </c>
      <c r="G70" s="95" t="s">
        <v>628</v>
      </c>
      <c r="H70" s="63" t="str">
        <f>VLOOKUP(C70, 'Class Def. - General Data'!$C$20:$C$476,1,false)</f>
        <v>ZFG1_BABYDIAPERS</v>
      </c>
      <c r="I70" s="63" t="str">
        <f t="shared" si="1"/>
        <v>ZFG1_BABYDIAPERS3</v>
      </c>
      <c r="J70" s="63">
        <f t="shared" si="2"/>
        <v>1</v>
      </c>
    </row>
    <row r="71" ht="15.75" customHeight="1">
      <c r="A71" s="59" t="s">
        <v>93</v>
      </c>
      <c r="B71" s="95"/>
      <c r="C71" s="95" t="s">
        <v>95</v>
      </c>
      <c r="D71" s="95" t="s">
        <v>91</v>
      </c>
      <c r="E71" s="95" t="s">
        <v>577</v>
      </c>
      <c r="F71" s="95">
        <v>4.0</v>
      </c>
      <c r="G71" s="95" t="s">
        <v>629</v>
      </c>
      <c r="H71" s="63" t="str">
        <f>VLOOKUP(C71, 'Class Def. - General Data'!$C$20:$C$476,1,false)</f>
        <v>ZFG1_BABYDIAPERS</v>
      </c>
      <c r="I71" s="63" t="str">
        <f t="shared" si="1"/>
        <v>ZFG1_BABYDIAPERS4</v>
      </c>
      <c r="J71" s="63">
        <f t="shared" si="2"/>
        <v>1</v>
      </c>
    </row>
    <row r="72" ht="15.75" customHeight="1">
      <c r="A72" s="59" t="s">
        <v>93</v>
      </c>
      <c r="B72" s="95"/>
      <c r="C72" s="95" t="s">
        <v>95</v>
      </c>
      <c r="D72" s="95" t="s">
        <v>91</v>
      </c>
      <c r="E72" s="95" t="s">
        <v>577</v>
      </c>
      <c r="F72" s="95">
        <v>5.0</v>
      </c>
      <c r="G72" s="95" t="s">
        <v>630</v>
      </c>
      <c r="H72" s="63" t="str">
        <f>VLOOKUP(C72, 'Class Def. - General Data'!$C$20:$C$476,1,false)</f>
        <v>ZFG1_BABYDIAPERS</v>
      </c>
      <c r="I72" s="63" t="str">
        <f t="shared" si="1"/>
        <v>ZFG1_BABYDIAPERS5</v>
      </c>
      <c r="J72" s="63">
        <f t="shared" si="2"/>
        <v>1</v>
      </c>
    </row>
    <row r="73" ht="15.75" customHeight="1">
      <c r="A73" s="59" t="s">
        <v>93</v>
      </c>
      <c r="B73" s="95"/>
      <c r="C73" s="95" t="s">
        <v>96</v>
      </c>
      <c r="D73" s="95" t="s">
        <v>91</v>
      </c>
      <c r="E73" s="95" t="s">
        <v>577</v>
      </c>
      <c r="F73" s="95">
        <v>2.0</v>
      </c>
      <c r="G73" s="95" t="s">
        <v>631</v>
      </c>
      <c r="H73" s="63" t="str">
        <f>VLOOKUP(C73, 'Class Def. - General Data'!$C$20:$C$476,1,false)</f>
        <v>ZFG1_BABYPOWDER</v>
      </c>
      <c r="I73" s="63" t="str">
        <f t="shared" si="1"/>
        <v>ZFG1_BABYPOWDER2</v>
      </c>
      <c r="J73" s="63">
        <f t="shared" si="2"/>
        <v>1</v>
      </c>
    </row>
    <row r="74" ht="15.75" customHeight="1">
      <c r="A74" s="59" t="s">
        <v>93</v>
      </c>
      <c r="B74" s="95"/>
      <c r="C74" s="95" t="s">
        <v>96</v>
      </c>
      <c r="D74" s="95" t="s">
        <v>91</v>
      </c>
      <c r="E74" s="95" t="s">
        <v>577</v>
      </c>
      <c r="F74" s="95">
        <v>3.0</v>
      </c>
      <c r="G74" s="95" t="s">
        <v>632</v>
      </c>
      <c r="H74" s="63" t="str">
        <f>VLOOKUP(C74, 'Class Def. - General Data'!$C$20:$C$476,1,false)</f>
        <v>ZFG1_BABYPOWDER</v>
      </c>
      <c r="I74" s="63" t="str">
        <f t="shared" si="1"/>
        <v>ZFG1_BABYPOWDER3</v>
      </c>
      <c r="J74" s="63">
        <f t="shared" si="2"/>
        <v>1</v>
      </c>
    </row>
    <row r="75" ht="15.75" customHeight="1">
      <c r="A75" s="59" t="s">
        <v>93</v>
      </c>
      <c r="B75" s="95"/>
      <c r="C75" s="95" t="s">
        <v>96</v>
      </c>
      <c r="D75" s="95" t="s">
        <v>91</v>
      </c>
      <c r="E75" s="95" t="s">
        <v>577</v>
      </c>
      <c r="F75" s="95">
        <v>4.0</v>
      </c>
      <c r="G75" s="95" t="s">
        <v>633</v>
      </c>
      <c r="H75" s="63" t="str">
        <f>VLOOKUP(C75, 'Class Def. - General Data'!$C$20:$C$476,1,false)</f>
        <v>ZFG1_BABYPOWDER</v>
      </c>
      <c r="I75" s="63" t="str">
        <f t="shared" si="1"/>
        <v>ZFG1_BABYPOWDER4</v>
      </c>
      <c r="J75" s="63">
        <f t="shared" si="2"/>
        <v>1</v>
      </c>
    </row>
    <row r="76" ht="15.75" customHeight="1">
      <c r="A76" s="59" t="s">
        <v>93</v>
      </c>
      <c r="B76" s="95"/>
      <c r="C76" s="95" t="s">
        <v>97</v>
      </c>
      <c r="D76" s="95" t="s">
        <v>91</v>
      </c>
      <c r="E76" s="95" t="s">
        <v>577</v>
      </c>
      <c r="F76" s="95">
        <v>2.0</v>
      </c>
      <c r="G76" s="95" t="s">
        <v>634</v>
      </c>
      <c r="H76" s="63" t="str">
        <f>VLOOKUP(C76, 'Class Def. - General Data'!$C$20:$C$476,1,false)</f>
        <v>ZFG1_BARDET</v>
      </c>
      <c r="I76" s="63" t="str">
        <f t="shared" si="1"/>
        <v>ZFG1_BARDET2</v>
      </c>
      <c r="J76" s="63">
        <f t="shared" si="2"/>
        <v>1</v>
      </c>
    </row>
    <row r="77" ht="15.75" customHeight="1">
      <c r="A77" s="59" t="s">
        <v>93</v>
      </c>
      <c r="B77" s="95"/>
      <c r="C77" s="95" t="s">
        <v>97</v>
      </c>
      <c r="D77" s="95" t="s">
        <v>91</v>
      </c>
      <c r="E77" s="95" t="s">
        <v>577</v>
      </c>
      <c r="F77" s="95">
        <v>3.0</v>
      </c>
      <c r="G77" s="95" t="s">
        <v>635</v>
      </c>
      <c r="H77" s="63" t="str">
        <f>VLOOKUP(C77, 'Class Def. - General Data'!$C$20:$C$476,1,false)</f>
        <v>ZFG1_BARDET</v>
      </c>
      <c r="I77" s="63" t="str">
        <f t="shared" si="1"/>
        <v>ZFG1_BARDET3</v>
      </c>
      <c r="J77" s="63">
        <f t="shared" si="2"/>
        <v>1</v>
      </c>
    </row>
    <row r="78" ht="15.75" customHeight="1">
      <c r="A78" s="59" t="s">
        <v>93</v>
      </c>
      <c r="B78" s="95"/>
      <c r="C78" s="95" t="s">
        <v>97</v>
      </c>
      <c r="D78" s="95" t="s">
        <v>91</v>
      </c>
      <c r="E78" s="95" t="s">
        <v>577</v>
      </c>
      <c r="F78" s="95">
        <v>4.0</v>
      </c>
      <c r="G78" s="95" t="s">
        <v>636</v>
      </c>
      <c r="H78" s="63" t="str">
        <f>VLOOKUP(C78, 'Class Def. - General Data'!$C$20:$C$476,1,false)</f>
        <v>ZFG1_BARDET</v>
      </c>
      <c r="I78" s="63" t="str">
        <f t="shared" si="1"/>
        <v>ZFG1_BARDET4</v>
      </c>
      <c r="J78" s="63">
        <f t="shared" si="2"/>
        <v>1</v>
      </c>
    </row>
    <row r="79" ht="15.75" customHeight="1">
      <c r="A79" s="59" t="s">
        <v>93</v>
      </c>
      <c r="B79" s="95"/>
      <c r="C79" s="95" t="s">
        <v>98</v>
      </c>
      <c r="D79" s="95" t="s">
        <v>91</v>
      </c>
      <c r="E79" s="95" t="s">
        <v>577</v>
      </c>
      <c r="F79" s="95">
        <v>2.0</v>
      </c>
      <c r="G79" s="95" t="s">
        <v>637</v>
      </c>
      <c r="H79" s="63" t="str">
        <f>VLOOKUP(C79, 'Class Def. - General Data'!$C$20:$C$476,1,false)</f>
        <v>ZFG1_BLEACHING</v>
      </c>
      <c r="I79" s="63" t="str">
        <f t="shared" si="1"/>
        <v>ZFG1_BLEACHING2</v>
      </c>
      <c r="J79" s="63">
        <f t="shared" si="2"/>
        <v>1</v>
      </c>
    </row>
    <row r="80" ht="15.75" customHeight="1">
      <c r="A80" s="59" t="s">
        <v>93</v>
      </c>
      <c r="B80" s="95"/>
      <c r="C80" s="95" t="s">
        <v>98</v>
      </c>
      <c r="D80" s="95" t="s">
        <v>91</v>
      </c>
      <c r="E80" s="95" t="s">
        <v>577</v>
      </c>
      <c r="F80" s="95">
        <v>3.0</v>
      </c>
      <c r="G80" s="95" t="s">
        <v>638</v>
      </c>
      <c r="H80" s="63" t="str">
        <f>VLOOKUP(C80, 'Class Def. - General Data'!$C$20:$C$476,1,false)</f>
        <v>ZFG1_BLEACHING</v>
      </c>
      <c r="I80" s="63" t="str">
        <f t="shared" si="1"/>
        <v>ZFG1_BLEACHING3</v>
      </c>
      <c r="J80" s="63">
        <f t="shared" si="2"/>
        <v>1</v>
      </c>
    </row>
    <row r="81" ht="15.75" customHeight="1">
      <c r="A81" s="59" t="s">
        <v>93</v>
      </c>
      <c r="B81" s="95"/>
      <c r="C81" s="95" t="s">
        <v>98</v>
      </c>
      <c r="D81" s="95" t="s">
        <v>91</v>
      </c>
      <c r="E81" s="95" t="s">
        <v>577</v>
      </c>
      <c r="F81" s="95">
        <v>4.0</v>
      </c>
      <c r="G81" s="95" t="s">
        <v>639</v>
      </c>
      <c r="H81" s="63" t="str">
        <f>VLOOKUP(C81, 'Class Def. - General Data'!$C$20:$C$476,1,false)</f>
        <v>ZFG1_BLEACHING</v>
      </c>
      <c r="I81" s="63" t="str">
        <f t="shared" si="1"/>
        <v>ZFG1_BLEACHING4</v>
      </c>
      <c r="J81" s="63">
        <f t="shared" si="2"/>
        <v>1</v>
      </c>
    </row>
    <row r="82" ht="15.75" customHeight="1">
      <c r="A82" s="59" t="s">
        <v>93</v>
      </c>
      <c r="B82" s="95"/>
      <c r="C82" s="95" t="s">
        <v>100</v>
      </c>
      <c r="D82" s="95" t="s">
        <v>91</v>
      </c>
      <c r="E82" s="95" t="s">
        <v>577</v>
      </c>
      <c r="F82" s="95">
        <v>2.0</v>
      </c>
      <c r="G82" s="95" t="s">
        <v>640</v>
      </c>
      <c r="H82" s="63" t="str">
        <f>VLOOKUP(C82, 'Class Def. - General Data'!$C$20:$C$476,1,false)</f>
        <v>ZFG1_BODYLIQSOAP</v>
      </c>
      <c r="I82" s="63" t="str">
        <f t="shared" si="1"/>
        <v>ZFG1_BODYLIQSOAP2</v>
      </c>
      <c r="J82" s="63">
        <f t="shared" si="2"/>
        <v>1</v>
      </c>
    </row>
    <row r="83" ht="15.75" customHeight="1">
      <c r="A83" s="59" t="s">
        <v>93</v>
      </c>
      <c r="B83" s="95"/>
      <c r="C83" s="95" t="s">
        <v>100</v>
      </c>
      <c r="D83" s="95" t="s">
        <v>91</v>
      </c>
      <c r="E83" s="95" t="s">
        <v>577</v>
      </c>
      <c r="F83" s="95">
        <v>3.0</v>
      </c>
      <c r="G83" s="95" t="s">
        <v>641</v>
      </c>
      <c r="H83" s="63" t="str">
        <f>VLOOKUP(C83, 'Class Def. - General Data'!$C$20:$C$476,1,false)</f>
        <v>ZFG1_BODYLIQSOAP</v>
      </c>
      <c r="I83" s="63" t="str">
        <f t="shared" si="1"/>
        <v>ZFG1_BODYLIQSOAP3</v>
      </c>
      <c r="J83" s="63">
        <f t="shared" si="2"/>
        <v>1</v>
      </c>
    </row>
    <row r="84" ht="15.75" customHeight="1">
      <c r="A84" s="59" t="s">
        <v>93</v>
      </c>
      <c r="B84" s="95"/>
      <c r="C84" s="95" t="s">
        <v>100</v>
      </c>
      <c r="D84" s="95" t="s">
        <v>91</v>
      </c>
      <c r="E84" s="95" t="s">
        <v>577</v>
      </c>
      <c r="F84" s="95">
        <v>4.0</v>
      </c>
      <c r="G84" s="95" t="s">
        <v>642</v>
      </c>
      <c r="H84" s="63" t="str">
        <f>VLOOKUP(C84, 'Class Def. - General Data'!$C$20:$C$476,1,false)</f>
        <v>ZFG1_BODYLIQSOAP</v>
      </c>
      <c r="I84" s="63" t="str">
        <f t="shared" si="1"/>
        <v>ZFG1_BODYLIQSOAP4</v>
      </c>
      <c r="J84" s="63">
        <f t="shared" si="2"/>
        <v>1</v>
      </c>
    </row>
    <row r="85" ht="15.75" customHeight="1">
      <c r="A85" s="59" t="s">
        <v>93</v>
      </c>
      <c r="B85" s="95"/>
      <c r="C85" s="95" t="s">
        <v>101</v>
      </c>
      <c r="D85" s="95" t="s">
        <v>91</v>
      </c>
      <c r="E85" s="95" t="s">
        <v>577</v>
      </c>
      <c r="F85" s="95">
        <v>2.0</v>
      </c>
      <c r="G85" s="95" t="s">
        <v>643</v>
      </c>
      <c r="H85" s="63" t="str">
        <f>VLOOKUP(C85, 'Class Def. - General Data'!$C$20:$C$476,1,false)</f>
        <v>ZFG1_CANDLEAROMA</v>
      </c>
      <c r="I85" s="63" t="str">
        <f t="shared" si="1"/>
        <v>ZFG1_CANDLEAROMA2</v>
      </c>
      <c r="J85" s="63">
        <f t="shared" si="2"/>
        <v>1</v>
      </c>
    </row>
    <row r="86" ht="15.75" customHeight="1">
      <c r="A86" s="59" t="s">
        <v>93</v>
      </c>
      <c r="B86" s="95"/>
      <c r="C86" s="95" t="s">
        <v>101</v>
      </c>
      <c r="D86" s="95" t="s">
        <v>91</v>
      </c>
      <c r="E86" s="95" t="s">
        <v>577</v>
      </c>
      <c r="F86" s="95">
        <v>3.0</v>
      </c>
      <c r="G86" s="95" t="s">
        <v>644</v>
      </c>
      <c r="H86" s="63" t="str">
        <f>VLOOKUP(C86, 'Class Def. - General Data'!$C$20:$C$476,1,false)</f>
        <v>ZFG1_CANDLEAROMA</v>
      </c>
      <c r="I86" s="63" t="str">
        <f t="shared" si="1"/>
        <v>ZFG1_CANDLEAROMA3</v>
      </c>
      <c r="J86" s="63">
        <f t="shared" si="2"/>
        <v>1</v>
      </c>
    </row>
    <row r="87" ht="15.75" customHeight="1">
      <c r="A87" s="59" t="s">
        <v>93</v>
      </c>
      <c r="B87" s="95"/>
      <c r="C87" s="95" t="s">
        <v>101</v>
      </c>
      <c r="D87" s="95" t="s">
        <v>91</v>
      </c>
      <c r="E87" s="95" t="s">
        <v>577</v>
      </c>
      <c r="F87" s="95">
        <v>4.0</v>
      </c>
      <c r="G87" s="95" t="s">
        <v>645</v>
      </c>
      <c r="H87" s="63" t="str">
        <f>VLOOKUP(C87, 'Class Def. - General Data'!$C$20:$C$476,1,false)</f>
        <v>ZFG1_CANDLEAROMA</v>
      </c>
      <c r="I87" s="63" t="str">
        <f t="shared" si="1"/>
        <v>ZFG1_CANDLEAROMA4</v>
      </c>
      <c r="J87" s="63">
        <f t="shared" si="2"/>
        <v>1</v>
      </c>
    </row>
    <row r="88" ht="15.75" customHeight="1">
      <c r="A88" s="59" t="s">
        <v>93</v>
      </c>
      <c r="B88" s="95"/>
      <c r="C88" s="95" t="s">
        <v>102</v>
      </c>
      <c r="D88" s="95" t="s">
        <v>91</v>
      </c>
      <c r="E88" s="95" t="s">
        <v>577</v>
      </c>
      <c r="F88" s="95">
        <v>2.0</v>
      </c>
      <c r="G88" s="95" t="s">
        <v>646</v>
      </c>
      <c r="H88" s="63" t="str">
        <f>VLOOKUP(C88, 'Class Def. - General Data'!$C$20:$C$476,1,false)</f>
        <v>ZFG1_CARBOL</v>
      </c>
      <c r="I88" s="63" t="str">
        <f t="shared" si="1"/>
        <v>ZFG1_CARBOL2</v>
      </c>
      <c r="J88" s="63">
        <f t="shared" si="2"/>
        <v>1</v>
      </c>
    </row>
    <row r="89" ht="15.75" customHeight="1">
      <c r="A89" s="59" t="s">
        <v>93</v>
      </c>
      <c r="B89" s="95"/>
      <c r="C89" s="95" t="s">
        <v>102</v>
      </c>
      <c r="D89" s="95" t="s">
        <v>91</v>
      </c>
      <c r="E89" s="95" t="s">
        <v>577</v>
      </c>
      <c r="F89" s="95">
        <v>3.0</v>
      </c>
      <c r="G89" s="95" t="s">
        <v>647</v>
      </c>
      <c r="H89" s="63" t="str">
        <f>VLOOKUP(C89, 'Class Def. - General Data'!$C$20:$C$476,1,false)</f>
        <v>ZFG1_CARBOL</v>
      </c>
      <c r="I89" s="63" t="str">
        <f t="shared" si="1"/>
        <v>ZFG1_CARBOL3</v>
      </c>
      <c r="J89" s="63">
        <f t="shared" si="2"/>
        <v>1</v>
      </c>
    </row>
    <row r="90" ht="15.75" customHeight="1">
      <c r="A90" s="59" t="s">
        <v>93</v>
      </c>
      <c r="B90" s="95"/>
      <c r="C90" s="95" t="s">
        <v>102</v>
      </c>
      <c r="D90" s="95" t="s">
        <v>91</v>
      </c>
      <c r="E90" s="95" t="s">
        <v>577</v>
      </c>
      <c r="F90" s="95">
        <v>4.0</v>
      </c>
      <c r="G90" s="95" t="s">
        <v>648</v>
      </c>
      <c r="H90" s="63" t="str">
        <f>VLOOKUP(C90, 'Class Def. - General Data'!$C$20:$C$476,1,false)</f>
        <v>ZFG1_CARBOL</v>
      </c>
      <c r="I90" s="63" t="str">
        <f t="shared" si="1"/>
        <v>ZFG1_CARBOL4</v>
      </c>
      <c r="J90" s="63">
        <f t="shared" si="2"/>
        <v>1</v>
      </c>
    </row>
    <row r="91" ht="15.75" customHeight="1">
      <c r="A91" s="59" t="s">
        <v>93</v>
      </c>
      <c r="B91" s="95"/>
      <c r="C91" s="95" t="s">
        <v>103</v>
      </c>
      <c r="D91" s="95" t="s">
        <v>91</v>
      </c>
      <c r="E91" s="95" t="s">
        <v>577</v>
      </c>
      <c r="F91" s="95">
        <v>2.0</v>
      </c>
      <c r="G91" s="95" t="s">
        <v>649</v>
      </c>
      <c r="H91" s="63" t="str">
        <f>VLOOKUP(C91, 'Class Def. - General Data'!$C$20:$C$476,1,false)</f>
        <v>ZFG1_COFFEE</v>
      </c>
      <c r="I91" s="63" t="str">
        <f t="shared" si="1"/>
        <v>ZFG1_COFFEE2</v>
      </c>
      <c r="J91" s="63">
        <f t="shared" si="2"/>
        <v>1</v>
      </c>
    </row>
    <row r="92" ht="15.75" customHeight="1">
      <c r="A92" s="59" t="s">
        <v>93</v>
      </c>
      <c r="B92" s="95"/>
      <c r="C92" s="95" t="s">
        <v>103</v>
      </c>
      <c r="D92" s="95" t="s">
        <v>91</v>
      </c>
      <c r="E92" s="95" t="s">
        <v>577</v>
      </c>
      <c r="F92" s="95">
        <v>3.0</v>
      </c>
      <c r="G92" s="95" t="s">
        <v>650</v>
      </c>
      <c r="H92" s="63" t="str">
        <f>VLOOKUP(C92, 'Class Def. - General Data'!$C$20:$C$476,1,false)</f>
        <v>ZFG1_COFFEE</v>
      </c>
      <c r="I92" s="63" t="str">
        <f t="shared" si="1"/>
        <v>ZFG1_COFFEE3</v>
      </c>
      <c r="J92" s="63">
        <f t="shared" si="2"/>
        <v>1</v>
      </c>
    </row>
    <row r="93" ht="15.75" customHeight="1">
      <c r="A93" s="59" t="s">
        <v>93</v>
      </c>
      <c r="B93" s="95"/>
      <c r="C93" s="95" t="s">
        <v>103</v>
      </c>
      <c r="D93" s="95" t="s">
        <v>91</v>
      </c>
      <c r="E93" s="95" t="s">
        <v>577</v>
      </c>
      <c r="F93" s="95">
        <v>4.0</v>
      </c>
      <c r="G93" s="95" t="s">
        <v>651</v>
      </c>
      <c r="H93" s="63" t="str">
        <f>VLOOKUP(C93, 'Class Def. - General Data'!$C$20:$C$476,1,false)</f>
        <v>ZFG1_COFFEE</v>
      </c>
      <c r="I93" s="63" t="str">
        <f t="shared" si="1"/>
        <v>ZFG1_COFFEE4</v>
      </c>
      <c r="J93" s="63">
        <f t="shared" si="2"/>
        <v>1</v>
      </c>
    </row>
    <row r="94" ht="15.75" customHeight="1">
      <c r="A94" s="59" t="s">
        <v>93</v>
      </c>
      <c r="B94" s="95"/>
      <c r="C94" s="95" t="s">
        <v>103</v>
      </c>
      <c r="D94" s="95" t="s">
        <v>91</v>
      </c>
      <c r="E94" s="95" t="s">
        <v>577</v>
      </c>
      <c r="F94" s="95">
        <v>5.0</v>
      </c>
      <c r="G94" s="95" t="s">
        <v>652</v>
      </c>
      <c r="H94" s="63" t="str">
        <f>VLOOKUP(C94, 'Class Def. - General Data'!$C$20:$C$476,1,false)</f>
        <v>ZFG1_COFFEE</v>
      </c>
      <c r="I94" s="63" t="str">
        <f t="shared" si="1"/>
        <v>ZFG1_COFFEE5</v>
      </c>
      <c r="J94" s="63">
        <f t="shared" si="2"/>
        <v>1</v>
      </c>
    </row>
    <row r="95" ht="15.75" customHeight="1">
      <c r="A95" s="59" t="s">
        <v>93</v>
      </c>
      <c r="B95" s="95"/>
      <c r="C95" s="95" t="s">
        <v>104</v>
      </c>
      <c r="D95" s="95" t="s">
        <v>91</v>
      </c>
      <c r="E95" s="95" t="s">
        <v>577</v>
      </c>
      <c r="F95" s="95">
        <v>2.0</v>
      </c>
      <c r="G95" s="95" t="s">
        <v>653</v>
      </c>
      <c r="H95" s="63" t="str">
        <f>VLOOKUP(C95, 'Class Def. - General Data'!$C$20:$C$476,1,false)</f>
        <v>ZFG1_COLOGNE</v>
      </c>
      <c r="I95" s="63" t="str">
        <f t="shared" si="1"/>
        <v>ZFG1_COLOGNE2</v>
      </c>
      <c r="J95" s="63">
        <f t="shared" si="2"/>
        <v>1</v>
      </c>
    </row>
    <row r="96" ht="15.75" customHeight="1">
      <c r="A96" s="59" t="s">
        <v>93</v>
      </c>
      <c r="B96" s="95"/>
      <c r="C96" s="95" t="s">
        <v>104</v>
      </c>
      <c r="D96" s="95" t="s">
        <v>91</v>
      </c>
      <c r="E96" s="95" t="s">
        <v>577</v>
      </c>
      <c r="F96" s="95">
        <v>3.0</v>
      </c>
      <c r="G96" s="95" t="s">
        <v>654</v>
      </c>
      <c r="H96" s="63" t="str">
        <f>VLOOKUP(C96, 'Class Def. - General Data'!$C$20:$C$476,1,false)</f>
        <v>ZFG1_COLOGNE</v>
      </c>
      <c r="I96" s="63" t="str">
        <f t="shared" si="1"/>
        <v>ZFG1_COLOGNE3</v>
      </c>
      <c r="J96" s="63">
        <f t="shared" si="2"/>
        <v>1</v>
      </c>
    </row>
    <row r="97" ht="15.75" customHeight="1">
      <c r="A97" s="59" t="s">
        <v>93</v>
      </c>
      <c r="B97" s="95"/>
      <c r="C97" s="95" t="s">
        <v>104</v>
      </c>
      <c r="D97" s="95" t="s">
        <v>91</v>
      </c>
      <c r="E97" s="95" t="s">
        <v>577</v>
      </c>
      <c r="F97" s="95">
        <v>4.0</v>
      </c>
      <c r="G97" s="95" t="s">
        <v>655</v>
      </c>
      <c r="H97" s="63" t="str">
        <f>VLOOKUP(C97, 'Class Def. - General Data'!$C$20:$C$476,1,false)</f>
        <v>ZFG1_COLOGNE</v>
      </c>
      <c r="I97" s="63" t="str">
        <f t="shared" si="1"/>
        <v>ZFG1_COLOGNE4</v>
      </c>
      <c r="J97" s="63">
        <f t="shared" si="2"/>
        <v>1</v>
      </c>
    </row>
    <row r="98" ht="15.75" customHeight="1">
      <c r="A98" s="59" t="s">
        <v>93</v>
      </c>
      <c r="B98" s="95"/>
      <c r="C98" s="95" t="s">
        <v>105</v>
      </c>
      <c r="D98" s="95" t="s">
        <v>91</v>
      </c>
      <c r="E98" s="95" t="s">
        <v>577</v>
      </c>
      <c r="F98" s="95">
        <v>2.0</v>
      </c>
      <c r="G98" s="95" t="s">
        <v>656</v>
      </c>
      <c r="H98" s="63" t="str">
        <f>VLOOKUP(C98, 'Class Def. - General Data'!$C$20:$C$476,1,false)</f>
        <v>ZFG1_COOKINGOIL</v>
      </c>
      <c r="I98" s="63" t="str">
        <f t="shared" si="1"/>
        <v>ZFG1_COOKINGOIL2</v>
      </c>
      <c r="J98" s="63">
        <f t="shared" si="2"/>
        <v>1</v>
      </c>
    </row>
    <row r="99" ht="15.75" customHeight="1">
      <c r="A99" s="59" t="s">
        <v>93</v>
      </c>
      <c r="B99" s="95"/>
      <c r="C99" s="95" t="s">
        <v>105</v>
      </c>
      <c r="D99" s="95" t="s">
        <v>91</v>
      </c>
      <c r="E99" s="95" t="s">
        <v>577</v>
      </c>
      <c r="F99" s="95">
        <v>3.0</v>
      </c>
      <c r="G99" s="95" t="s">
        <v>657</v>
      </c>
      <c r="H99" s="63" t="str">
        <f>VLOOKUP(C99, 'Class Def. - General Data'!$C$20:$C$476,1,false)</f>
        <v>ZFG1_COOKINGOIL</v>
      </c>
      <c r="I99" s="63" t="str">
        <f t="shared" si="1"/>
        <v>ZFG1_COOKINGOIL3</v>
      </c>
      <c r="J99" s="63">
        <f t="shared" si="2"/>
        <v>1</v>
      </c>
    </row>
    <row r="100" ht="15.75" customHeight="1">
      <c r="A100" s="59" t="s">
        <v>93</v>
      </c>
      <c r="B100" s="95"/>
      <c r="C100" s="95" t="s">
        <v>105</v>
      </c>
      <c r="D100" s="95" t="s">
        <v>91</v>
      </c>
      <c r="E100" s="95" t="s">
        <v>577</v>
      </c>
      <c r="F100" s="95">
        <v>4.0</v>
      </c>
      <c r="G100" s="95" t="s">
        <v>658</v>
      </c>
      <c r="H100" s="63" t="str">
        <f>VLOOKUP(C100, 'Class Def. - General Data'!$C$20:$C$476,1,false)</f>
        <v>ZFG1_COOKINGOIL</v>
      </c>
      <c r="I100" s="63" t="str">
        <f t="shared" si="1"/>
        <v>ZFG1_COOKINGOIL4</v>
      </c>
      <c r="J100" s="63">
        <f t="shared" si="2"/>
        <v>1</v>
      </c>
    </row>
    <row r="101" ht="15.75" customHeight="1">
      <c r="A101" s="59" t="s">
        <v>93</v>
      </c>
      <c r="B101" s="95"/>
      <c r="C101" s="95" t="s">
        <v>105</v>
      </c>
      <c r="D101" s="95" t="s">
        <v>91</v>
      </c>
      <c r="E101" s="95" t="s">
        <v>577</v>
      </c>
      <c r="F101" s="95">
        <v>5.0</v>
      </c>
      <c r="G101" s="95" t="s">
        <v>659</v>
      </c>
      <c r="H101" s="63" t="str">
        <f>VLOOKUP(C101, 'Class Def. - General Data'!$C$20:$C$476,1,false)</f>
        <v>ZFG1_COOKINGOIL</v>
      </c>
      <c r="I101" s="63" t="str">
        <f t="shared" si="1"/>
        <v>ZFG1_COOKINGOIL5</v>
      </c>
      <c r="J101" s="63">
        <f t="shared" si="2"/>
        <v>1</v>
      </c>
    </row>
    <row r="102" ht="15.75" customHeight="1">
      <c r="A102" s="59" t="s">
        <v>93</v>
      </c>
      <c r="B102" s="95"/>
      <c r="C102" s="95" t="s">
        <v>106</v>
      </c>
      <c r="D102" s="95" t="s">
        <v>91</v>
      </c>
      <c r="E102" s="95" t="s">
        <v>577</v>
      </c>
      <c r="F102" s="95">
        <v>2.0</v>
      </c>
      <c r="G102" s="95" t="s">
        <v>660</v>
      </c>
      <c r="H102" s="63" t="str">
        <f>VLOOKUP(C102, 'Class Def. - General Data'!$C$20:$C$476,1,false)</f>
        <v>ZFG1_CREAMDET</v>
      </c>
      <c r="I102" s="63" t="str">
        <f t="shared" si="1"/>
        <v>ZFG1_CREAMDET2</v>
      </c>
      <c r="J102" s="63">
        <f t="shared" si="2"/>
        <v>1</v>
      </c>
    </row>
    <row r="103" ht="15.75" customHeight="1">
      <c r="A103" s="59" t="s">
        <v>93</v>
      </c>
      <c r="B103" s="95"/>
      <c r="C103" s="95" t="s">
        <v>106</v>
      </c>
      <c r="D103" s="95" t="s">
        <v>91</v>
      </c>
      <c r="E103" s="95" t="s">
        <v>577</v>
      </c>
      <c r="F103" s="95">
        <v>3.0</v>
      </c>
      <c r="G103" s="95" t="s">
        <v>661</v>
      </c>
      <c r="H103" s="63" t="str">
        <f>VLOOKUP(C103, 'Class Def. - General Data'!$C$20:$C$476,1,false)</f>
        <v>ZFG1_CREAMDET</v>
      </c>
      <c r="I103" s="63" t="str">
        <f t="shared" si="1"/>
        <v>ZFG1_CREAMDET3</v>
      </c>
      <c r="J103" s="63">
        <f t="shared" si="2"/>
        <v>1</v>
      </c>
    </row>
    <row r="104" ht="15.75" customHeight="1">
      <c r="A104" s="59" t="s">
        <v>93</v>
      </c>
      <c r="B104" s="95"/>
      <c r="C104" s="95" t="s">
        <v>106</v>
      </c>
      <c r="D104" s="95" t="s">
        <v>91</v>
      </c>
      <c r="E104" s="95" t="s">
        <v>577</v>
      </c>
      <c r="F104" s="95">
        <v>4.0</v>
      </c>
      <c r="G104" s="95" t="s">
        <v>636</v>
      </c>
      <c r="H104" s="63" t="str">
        <f>VLOOKUP(C104, 'Class Def. - General Data'!$C$20:$C$476,1,false)</f>
        <v>ZFG1_CREAMDET</v>
      </c>
      <c r="I104" s="63" t="str">
        <f t="shared" si="1"/>
        <v>ZFG1_CREAMDET4</v>
      </c>
      <c r="J104" s="63">
        <f t="shared" si="2"/>
        <v>1</v>
      </c>
    </row>
    <row r="105" ht="15.75" customHeight="1">
      <c r="A105" s="59" t="s">
        <v>93</v>
      </c>
      <c r="B105" s="95"/>
      <c r="C105" s="95" t="s">
        <v>107</v>
      </c>
      <c r="D105" s="95" t="s">
        <v>91</v>
      </c>
      <c r="E105" s="95" t="s">
        <v>577</v>
      </c>
      <c r="F105" s="95">
        <v>2.0</v>
      </c>
      <c r="G105" s="95" t="s">
        <v>662</v>
      </c>
      <c r="H105" s="63" t="str">
        <f>VLOOKUP(C105, 'Class Def. - General Data'!$C$20:$C$476,1,false)</f>
        <v>ZFG1_CUPRTD</v>
      </c>
      <c r="I105" s="63" t="str">
        <f t="shared" si="1"/>
        <v>ZFG1_CUPRTD2</v>
      </c>
      <c r="J105" s="63">
        <f t="shared" si="2"/>
        <v>1</v>
      </c>
    </row>
    <row r="106" ht="15.75" customHeight="1">
      <c r="A106" s="59" t="s">
        <v>93</v>
      </c>
      <c r="B106" s="95"/>
      <c r="C106" s="95" t="s">
        <v>107</v>
      </c>
      <c r="D106" s="95" t="s">
        <v>91</v>
      </c>
      <c r="E106" s="95" t="s">
        <v>577</v>
      </c>
      <c r="F106" s="95">
        <v>3.0</v>
      </c>
      <c r="G106" s="95" t="s">
        <v>663</v>
      </c>
      <c r="H106" s="63" t="str">
        <f>VLOOKUP(C106, 'Class Def. - General Data'!$C$20:$C$476,1,false)</f>
        <v>ZFG1_CUPRTD</v>
      </c>
      <c r="I106" s="63" t="str">
        <f t="shared" si="1"/>
        <v>ZFG1_CUPRTD3</v>
      </c>
      <c r="J106" s="63">
        <f t="shared" si="2"/>
        <v>1</v>
      </c>
    </row>
    <row r="107" ht="15.75" customHeight="1">
      <c r="A107" s="59" t="s">
        <v>93</v>
      </c>
      <c r="B107" s="95"/>
      <c r="C107" s="95" t="s">
        <v>107</v>
      </c>
      <c r="D107" s="95" t="s">
        <v>91</v>
      </c>
      <c r="E107" s="95" t="s">
        <v>577</v>
      </c>
      <c r="F107" s="95">
        <v>4.0</v>
      </c>
      <c r="G107" s="95" t="s">
        <v>664</v>
      </c>
      <c r="H107" s="63" t="str">
        <f>VLOOKUP(C107, 'Class Def. - General Data'!$C$20:$C$476,1,false)</f>
        <v>ZFG1_CUPRTD</v>
      </c>
      <c r="I107" s="63" t="str">
        <f t="shared" si="1"/>
        <v>ZFG1_CUPRTD4</v>
      </c>
      <c r="J107" s="63">
        <f t="shared" si="2"/>
        <v>1</v>
      </c>
    </row>
    <row r="108" ht="15.75" customHeight="1">
      <c r="A108" s="59" t="s">
        <v>93</v>
      </c>
      <c r="B108" s="95"/>
      <c r="C108" s="95" t="s">
        <v>109</v>
      </c>
      <c r="D108" s="95" t="s">
        <v>91</v>
      </c>
      <c r="E108" s="95" t="s">
        <v>577</v>
      </c>
      <c r="F108" s="95">
        <v>2.0</v>
      </c>
      <c r="G108" s="95" t="s">
        <v>665</v>
      </c>
      <c r="H108" s="63" t="str">
        <f>VLOOKUP(C108, 'Class Def. - General Data'!$C$20:$C$476,1,false)</f>
        <v>ZFG1_DISHWASHLIQ</v>
      </c>
      <c r="I108" s="63" t="str">
        <f t="shared" si="1"/>
        <v>ZFG1_DISHWASHLIQ2</v>
      </c>
      <c r="J108" s="63">
        <f t="shared" si="2"/>
        <v>1</v>
      </c>
    </row>
    <row r="109" ht="15.75" customHeight="1">
      <c r="A109" s="59" t="s">
        <v>93</v>
      </c>
      <c r="B109" s="95"/>
      <c r="C109" s="95" t="s">
        <v>109</v>
      </c>
      <c r="D109" s="95" t="s">
        <v>91</v>
      </c>
      <c r="E109" s="95" t="s">
        <v>577</v>
      </c>
      <c r="F109" s="95">
        <v>3.0</v>
      </c>
      <c r="G109" s="95" t="s">
        <v>666</v>
      </c>
      <c r="H109" s="63" t="str">
        <f>VLOOKUP(C109, 'Class Def. - General Data'!$C$20:$C$476,1,false)</f>
        <v>ZFG1_DISHWASHLIQ</v>
      </c>
      <c r="I109" s="63" t="str">
        <f t="shared" si="1"/>
        <v>ZFG1_DISHWASHLIQ3</v>
      </c>
      <c r="J109" s="63">
        <f t="shared" si="2"/>
        <v>1</v>
      </c>
    </row>
    <row r="110" ht="15.75" customHeight="1">
      <c r="A110" s="59" t="s">
        <v>93</v>
      </c>
      <c r="B110" s="95"/>
      <c r="C110" s="95" t="s">
        <v>109</v>
      </c>
      <c r="D110" s="95" t="s">
        <v>91</v>
      </c>
      <c r="E110" s="95" t="s">
        <v>577</v>
      </c>
      <c r="F110" s="95">
        <v>4.0</v>
      </c>
      <c r="G110" s="95" t="s">
        <v>667</v>
      </c>
      <c r="H110" s="63" t="str">
        <f>VLOOKUP(C110, 'Class Def. - General Data'!$C$20:$C$476,1,false)</f>
        <v>ZFG1_DISHWASHLIQ</v>
      </c>
      <c r="I110" s="63" t="str">
        <f t="shared" si="1"/>
        <v>ZFG1_DISHWASHLIQ4</v>
      </c>
      <c r="J110" s="63">
        <f t="shared" si="2"/>
        <v>1</v>
      </c>
    </row>
    <row r="111" ht="15.75" customHeight="1">
      <c r="A111" s="59" t="s">
        <v>93</v>
      </c>
      <c r="B111" s="95"/>
      <c r="C111" s="95" t="s">
        <v>110</v>
      </c>
      <c r="D111" s="95" t="s">
        <v>91</v>
      </c>
      <c r="E111" s="95" t="s">
        <v>577</v>
      </c>
      <c r="F111" s="95">
        <v>2.0</v>
      </c>
      <c r="G111" s="95" t="s">
        <v>668</v>
      </c>
      <c r="H111" s="63" t="str">
        <f>VLOOKUP(C111, 'Class Def. - General Data'!$C$20:$C$476,1,false)</f>
        <v>ZFG1_DISINFECTANT</v>
      </c>
      <c r="I111" s="63" t="str">
        <f t="shared" si="1"/>
        <v>ZFG1_DISINFECTANT2</v>
      </c>
      <c r="J111" s="63">
        <f t="shared" si="2"/>
        <v>1</v>
      </c>
    </row>
    <row r="112" ht="15.75" customHeight="1">
      <c r="A112" s="59" t="s">
        <v>93</v>
      </c>
      <c r="B112" s="95"/>
      <c r="C112" s="95" t="s">
        <v>110</v>
      </c>
      <c r="D112" s="95" t="s">
        <v>91</v>
      </c>
      <c r="E112" s="95" t="s">
        <v>577</v>
      </c>
      <c r="F112" s="95">
        <v>3.0</v>
      </c>
      <c r="G112" s="95" t="s">
        <v>669</v>
      </c>
      <c r="H112" s="63" t="str">
        <f>VLOOKUP(C112, 'Class Def. - General Data'!$C$20:$C$476,1,false)</f>
        <v>ZFG1_DISINFECTANT</v>
      </c>
      <c r="I112" s="63" t="str">
        <f t="shared" si="1"/>
        <v>ZFG1_DISINFECTANT3</v>
      </c>
      <c r="J112" s="63">
        <f t="shared" si="2"/>
        <v>1</v>
      </c>
    </row>
    <row r="113" ht="15.75" customHeight="1">
      <c r="A113" s="59" t="s">
        <v>93</v>
      </c>
      <c r="B113" s="95"/>
      <c r="C113" s="95" t="s">
        <v>110</v>
      </c>
      <c r="D113" s="95" t="s">
        <v>91</v>
      </c>
      <c r="E113" s="95" t="s">
        <v>577</v>
      </c>
      <c r="F113" s="95">
        <v>4.0</v>
      </c>
      <c r="G113" s="95" t="s">
        <v>670</v>
      </c>
      <c r="H113" s="63" t="str">
        <f>VLOOKUP(C113, 'Class Def. - General Data'!$C$20:$C$476,1,false)</f>
        <v>ZFG1_DISINFECTANT</v>
      </c>
      <c r="I113" s="63" t="str">
        <f t="shared" si="1"/>
        <v>ZFG1_DISINFECTANT4</v>
      </c>
      <c r="J113" s="63">
        <f t="shared" si="2"/>
        <v>1</v>
      </c>
    </row>
    <row r="114" ht="15.75" customHeight="1">
      <c r="A114" s="59" t="s">
        <v>93</v>
      </c>
      <c r="B114" s="95"/>
      <c r="C114" s="95" t="s">
        <v>111</v>
      </c>
      <c r="D114" s="95" t="s">
        <v>91</v>
      </c>
      <c r="E114" s="95" t="s">
        <v>577</v>
      </c>
      <c r="F114" s="95">
        <v>2.0</v>
      </c>
      <c r="G114" s="95" t="s">
        <v>671</v>
      </c>
      <c r="H114" s="63" t="str">
        <f>VLOOKUP(C114, 'Class Def. - General Data'!$C$20:$C$476,1,false)</f>
        <v>ZFG1_DISPOSMASK</v>
      </c>
      <c r="I114" s="63" t="str">
        <f t="shared" si="1"/>
        <v>ZFG1_DISPOSMASK2</v>
      </c>
      <c r="J114" s="63">
        <f t="shared" si="2"/>
        <v>1</v>
      </c>
    </row>
    <row r="115" ht="15.75" customHeight="1">
      <c r="A115" s="59" t="s">
        <v>93</v>
      </c>
      <c r="B115" s="95"/>
      <c r="C115" s="95" t="s">
        <v>111</v>
      </c>
      <c r="D115" s="95" t="s">
        <v>91</v>
      </c>
      <c r="E115" s="95" t="s">
        <v>577</v>
      </c>
      <c r="F115" s="95">
        <v>3.0</v>
      </c>
      <c r="G115" s="95" t="s">
        <v>672</v>
      </c>
      <c r="H115" s="63" t="str">
        <f>VLOOKUP(C115, 'Class Def. - General Data'!$C$20:$C$476,1,false)</f>
        <v>ZFG1_DISPOSMASK</v>
      </c>
      <c r="I115" s="63" t="str">
        <f t="shared" si="1"/>
        <v>ZFG1_DISPOSMASK3</v>
      </c>
      <c r="J115" s="63">
        <f t="shared" si="2"/>
        <v>1</v>
      </c>
    </row>
    <row r="116" ht="15.75" customHeight="1">
      <c r="A116" s="59" t="s">
        <v>93</v>
      </c>
      <c r="B116" s="95"/>
      <c r="C116" s="95" t="s">
        <v>111</v>
      </c>
      <c r="D116" s="95" t="s">
        <v>91</v>
      </c>
      <c r="E116" s="95" t="s">
        <v>577</v>
      </c>
      <c r="F116" s="95">
        <v>4.0</v>
      </c>
      <c r="G116" s="95" t="s">
        <v>673</v>
      </c>
      <c r="H116" s="63" t="str">
        <f>VLOOKUP(C116, 'Class Def. - General Data'!$C$20:$C$476,1,false)</f>
        <v>ZFG1_DISPOSMASK</v>
      </c>
      <c r="I116" s="63" t="str">
        <f t="shared" si="1"/>
        <v>ZFG1_DISPOSMASK4</v>
      </c>
      <c r="J116" s="63">
        <f t="shared" si="2"/>
        <v>1</v>
      </c>
    </row>
    <row r="117" ht="15.75" customHeight="1">
      <c r="A117" s="59" t="s">
        <v>93</v>
      </c>
      <c r="B117" s="95"/>
      <c r="C117" s="95" t="s">
        <v>112</v>
      </c>
      <c r="D117" s="95" t="s">
        <v>91</v>
      </c>
      <c r="E117" s="95" t="s">
        <v>577</v>
      </c>
      <c r="F117" s="95">
        <v>2.0</v>
      </c>
      <c r="G117" s="95" t="s">
        <v>674</v>
      </c>
      <c r="H117" s="63" t="str">
        <f>VLOOKUP(C117, 'Class Def. - General Data'!$C$20:$C$476,1,false)</f>
        <v>ZFG1_ESSENTIALOIL</v>
      </c>
      <c r="I117" s="63" t="str">
        <f t="shared" si="1"/>
        <v>ZFG1_ESSENTIALOIL2</v>
      </c>
      <c r="J117" s="63">
        <f t="shared" si="2"/>
        <v>1</v>
      </c>
    </row>
    <row r="118" ht="15.75" customHeight="1">
      <c r="A118" s="59" t="s">
        <v>93</v>
      </c>
      <c r="B118" s="95"/>
      <c r="C118" s="95" t="s">
        <v>112</v>
      </c>
      <c r="D118" s="95" t="s">
        <v>91</v>
      </c>
      <c r="E118" s="95" t="s">
        <v>577</v>
      </c>
      <c r="F118" s="95">
        <v>3.0</v>
      </c>
      <c r="G118" s="95" t="s">
        <v>675</v>
      </c>
      <c r="H118" s="63" t="str">
        <f>VLOOKUP(C118, 'Class Def. - General Data'!$C$20:$C$476,1,false)</f>
        <v>ZFG1_ESSENTIALOIL</v>
      </c>
      <c r="I118" s="63" t="str">
        <f t="shared" si="1"/>
        <v>ZFG1_ESSENTIALOIL3</v>
      </c>
      <c r="J118" s="63">
        <f t="shared" si="2"/>
        <v>1</v>
      </c>
    </row>
    <row r="119" ht="15.75" customHeight="1">
      <c r="A119" s="59" t="s">
        <v>93</v>
      </c>
      <c r="B119" s="95"/>
      <c r="C119" s="95" t="s">
        <v>112</v>
      </c>
      <c r="D119" s="95" t="s">
        <v>91</v>
      </c>
      <c r="E119" s="95" t="s">
        <v>577</v>
      </c>
      <c r="F119" s="95">
        <v>4.0</v>
      </c>
      <c r="G119" s="95" t="s">
        <v>676</v>
      </c>
      <c r="H119" s="63" t="str">
        <f>VLOOKUP(C119, 'Class Def. - General Data'!$C$20:$C$476,1,false)</f>
        <v>ZFG1_ESSENTIALOIL</v>
      </c>
      <c r="I119" s="63" t="str">
        <f t="shared" si="1"/>
        <v>ZFG1_ESSENTIALOIL4</v>
      </c>
      <c r="J119" s="63">
        <f t="shared" si="2"/>
        <v>1</v>
      </c>
    </row>
    <row r="120" ht="15.75" customHeight="1">
      <c r="A120" s="59" t="s">
        <v>93</v>
      </c>
      <c r="B120" s="95"/>
      <c r="C120" s="95" t="s">
        <v>114</v>
      </c>
      <c r="D120" s="95" t="s">
        <v>91</v>
      </c>
      <c r="E120" s="95" t="s">
        <v>577</v>
      </c>
      <c r="F120" s="95">
        <v>2.0</v>
      </c>
      <c r="G120" s="95" t="s">
        <v>677</v>
      </c>
      <c r="H120" s="63" t="str">
        <f>VLOOKUP(C120, 'Class Def. - General Data'!$C$20:$C$476,1,false)</f>
        <v>ZFG1_FACEMAKEUP</v>
      </c>
      <c r="I120" s="63" t="str">
        <f t="shared" si="1"/>
        <v>ZFG1_FACEMAKEUP2</v>
      </c>
      <c r="J120" s="63">
        <f t="shared" si="2"/>
        <v>1</v>
      </c>
    </row>
    <row r="121" ht="15.75" customHeight="1">
      <c r="A121" s="59" t="s">
        <v>93</v>
      </c>
      <c r="B121" s="95"/>
      <c r="C121" s="95" t="s">
        <v>114</v>
      </c>
      <c r="D121" s="95" t="s">
        <v>91</v>
      </c>
      <c r="E121" s="95" t="s">
        <v>577</v>
      </c>
      <c r="F121" s="95">
        <v>3.0</v>
      </c>
      <c r="G121" s="95" t="s">
        <v>678</v>
      </c>
      <c r="H121" s="63" t="str">
        <f>VLOOKUP(C121, 'Class Def. - General Data'!$C$20:$C$476,1,false)</f>
        <v>ZFG1_FACEMAKEUP</v>
      </c>
      <c r="I121" s="63" t="str">
        <f t="shared" si="1"/>
        <v>ZFG1_FACEMAKEUP3</v>
      </c>
      <c r="J121" s="63">
        <f t="shared" si="2"/>
        <v>1</v>
      </c>
    </row>
    <row r="122" ht="15.75" customHeight="1">
      <c r="A122" s="59" t="s">
        <v>93</v>
      </c>
      <c r="B122" s="95"/>
      <c r="C122" s="95" t="s">
        <v>114</v>
      </c>
      <c r="D122" s="95" t="s">
        <v>91</v>
      </c>
      <c r="E122" s="95" t="s">
        <v>577</v>
      </c>
      <c r="F122" s="95">
        <v>4.0</v>
      </c>
      <c r="G122" s="95" t="s">
        <v>679</v>
      </c>
      <c r="H122" s="63" t="str">
        <f>VLOOKUP(C122, 'Class Def. - General Data'!$C$20:$C$476,1,false)</f>
        <v>ZFG1_FACEMAKEUP</v>
      </c>
      <c r="I122" s="63" t="str">
        <f t="shared" si="1"/>
        <v>ZFG1_FACEMAKEUP4</v>
      </c>
      <c r="J122" s="63">
        <f t="shared" si="2"/>
        <v>1</v>
      </c>
    </row>
    <row r="123" ht="15.75" customHeight="1">
      <c r="A123" s="59" t="s">
        <v>93</v>
      </c>
      <c r="B123" s="95"/>
      <c r="C123" s="95" t="s">
        <v>115</v>
      </c>
      <c r="D123" s="95" t="s">
        <v>91</v>
      </c>
      <c r="E123" s="95" t="s">
        <v>577</v>
      </c>
      <c r="F123" s="95">
        <v>2.0</v>
      </c>
      <c r="G123" s="95" t="s">
        <v>680</v>
      </c>
      <c r="H123" s="63" t="str">
        <f>VLOOKUP(C123, 'Class Def. - General Data'!$C$20:$C$476,1,false)</f>
        <v>ZFG1_FLOORCLEANER</v>
      </c>
      <c r="I123" s="63" t="str">
        <f t="shared" si="1"/>
        <v>ZFG1_FLOORCLEANER2</v>
      </c>
      <c r="J123" s="63">
        <f t="shared" si="2"/>
        <v>1</v>
      </c>
    </row>
    <row r="124" ht="15.75" customHeight="1">
      <c r="A124" s="59" t="s">
        <v>93</v>
      </c>
      <c r="B124" s="95"/>
      <c r="C124" s="95" t="s">
        <v>115</v>
      </c>
      <c r="D124" s="95" t="s">
        <v>91</v>
      </c>
      <c r="E124" s="95" t="s">
        <v>577</v>
      </c>
      <c r="F124" s="95">
        <v>3.0</v>
      </c>
      <c r="G124" s="95" t="s">
        <v>681</v>
      </c>
      <c r="H124" s="63" t="str">
        <f>VLOOKUP(C124, 'Class Def. - General Data'!$C$20:$C$476,1,false)</f>
        <v>ZFG1_FLOORCLEANER</v>
      </c>
      <c r="I124" s="63" t="str">
        <f t="shared" si="1"/>
        <v>ZFG1_FLOORCLEANER3</v>
      </c>
      <c r="J124" s="63">
        <f t="shared" si="2"/>
        <v>1</v>
      </c>
    </row>
    <row r="125" ht="15.75" customHeight="1">
      <c r="A125" s="59" t="s">
        <v>93</v>
      </c>
      <c r="B125" s="95"/>
      <c r="C125" s="95" t="s">
        <v>115</v>
      </c>
      <c r="D125" s="95" t="s">
        <v>91</v>
      </c>
      <c r="E125" s="95" t="s">
        <v>577</v>
      </c>
      <c r="F125" s="95">
        <v>4.0</v>
      </c>
      <c r="G125" s="95" t="s">
        <v>646</v>
      </c>
      <c r="H125" s="63" t="str">
        <f>VLOOKUP(C125, 'Class Def. - General Data'!$C$20:$C$476,1,false)</f>
        <v>ZFG1_FLOORCLEANER</v>
      </c>
      <c r="I125" s="63" t="str">
        <f t="shared" si="1"/>
        <v>ZFG1_FLOORCLEANER4</v>
      </c>
      <c r="J125" s="63">
        <f t="shared" si="2"/>
        <v>1</v>
      </c>
    </row>
    <row r="126" ht="15.75" customHeight="1">
      <c r="A126" s="59" t="s">
        <v>93</v>
      </c>
      <c r="B126" s="95"/>
      <c r="C126" s="95" t="s">
        <v>116</v>
      </c>
      <c r="D126" s="95" t="s">
        <v>91</v>
      </c>
      <c r="E126" s="95" t="s">
        <v>577</v>
      </c>
      <c r="F126" s="95">
        <v>2.0</v>
      </c>
      <c r="G126" s="95" t="s">
        <v>682</v>
      </c>
      <c r="H126" s="63" t="str">
        <f>VLOOKUP(C126, 'Class Def. - General Data'!$C$20:$C$476,1,false)</f>
        <v>ZFG1_GLASSCLEANER</v>
      </c>
      <c r="I126" s="63" t="str">
        <f t="shared" si="1"/>
        <v>ZFG1_GLASSCLEANER2</v>
      </c>
      <c r="J126" s="63">
        <f t="shared" si="2"/>
        <v>1</v>
      </c>
    </row>
    <row r="127" ht="15.75" customHeight="1">
      <c r="A127" s="59" t="s">
        <v>93</v>
      </c>
      <c r="B127" s="95"/>
      <c r="C127" s="95" t="s">
        <v>116</v>
      </c>
      <c r="D127" s="95" t="s">
        <v>91</v>
      </c>
      <c r="E127" s="95" t="s">
        <v>577</v>
      </c>
      <c r="F127" s="95">
        <v>3.0</v>
      </c>
      <c r="G127" s="95" t="s">
        <v>683</v>
      </c>
      <c r="H127" s="63" t="str">
        <f>VLOOKUP(C127, 'Class Def. - General Data'!$C$20:$C$476,1,false)</f>
        <v>ZFG1_GLASSCLEANER</v>
      </c>
      <c r="I127" s="63" t="str">
        <f t="shared" si="1"/>
        <v>ZFG1_GLASSCLEANER3</v>
      </c>
      <c r="J127" s="63">
        <f t="shared" si="2"/>
        <v>1</v>
      </c>
    </row>
    <row r="128" ht="15.75" customHeight="1">
      <c r="A128" s="59" t="s">
        <v>93</v>
      </c>
      <c r="B128" s="95"/>
      <c r="C128" s="95" t="s">
        <v>116</v>
      </c>
      <c r="D128" s="95" t="s">
        <v>91</v>
      </c>
      <c r="E128" s="95" t="s">
        <v>577</v>
      </c>
      <c r="F128" s="95">
        <v>4.0</v>
      </c>
      <c r="G128" s="95" t="s">
        <v>684</v>
      </c>
      <c r="H128" s="63" t="str">
        <f>VLOOKUP(C128, 'Class Def. - General Data'!$C$20:$C$476,1,false)</f>
        <v>ZFG1_GLASSCLEANER</v>
      </c>
      <c r="I128" s="63" t="str">
        <f t="shared" si="1"/>
        <v>ZFG1_GLASSCLEANER4</v>
      </c>
      <c r="J128" s="63">
        <f t="shared" si="2"/>
        <v>1</v>
      </c>
    </row>
    <row r="129" ht="15.75" customHeight="1">
      <c r="A129" s="59" t="s">
        <v>93</v>
      </c>
      <c r="B129" s="95"/>
      <c r="C129" s="95" t="s">
        <v>117</v>
      </c>
      <c r="D129" s="95" t="s">
        <v>91</v>
      </c>
      <c r="E129" s="95" t="s">
        <v>577</v>
      </c>
      <c r="F129" s="95">
        <v>2.0</v>
      </c>
      <c r="G129" s="95" t="s">
        <v>685</v>
      </c>
      <c r="H129" s="63" t="str">
        <f>VLOOKUP(C129, 'Class Def. - General Data'!$C$20:$C$476,1,false)</f>
        <v>ZFG1_HAIRCARE</v>
      </c>
      <c r="I129" s="63" t="str">
        <f t="shared" si="1"/>
        <v>ZFG1_HAIRCARE2</v>
      </c>
      <c r="J129" s="63">
        <f t="shared" si="2"/>
        <v>1</v>
      </c>
    </row>
    <row r="130" ht="15.75" customHeight="1">
      <c r="A130" s="59" t="s">
        <v>93</v>
      </c>
      <c r="B130" s="95"/>
      <c r="C130" s="95" t="s">
        <v>117</v>
      </c>
      <c r="D130" s="95" t="s">
        <v>91</v>
      </c>
      <c r="E130" s="95" t="s">
        <v>577</v>
      </c>
      <c r="F130" s="95">
        <v>3.0</v>
      </c>
      <c r="G130" s="95" t="s">
        <v>686</v>
      </c>
      <c r="H130" s="63" t="str">
        <f>VLOOKUP(C130, 'Class Def. - General Data'!$C$20:$C$476,1,false)</f>
        <v>ZFG1_HAIRCARE</v>
      </c>
      <c r="I130" s="63" t="str">
        <f t="shared" si="1"/>
        <v>ZFG1_HAIRCARE3</v>
      </c>
      <c r="J130" s="63">
        <f t="shared" si="2"/>
        <v>1</v>
      </c>
    </row>
    <row r="131" ht="15.75" customHeight="1">
      <c r="A131" s="59" t="s">
        <v>93</v>
      </c>
      <c r="B131" s="95"/>
      <c r="C131" s="95" t="s">
        <v>117</v>
      </c>
      <c r="D131" s="95" t="s">
        <v>91</v>
      </c>
      <c r="E131" s="95" t="s">
        <v>577</v>
      </c>
      <c r="F131" s="95">
        <v>4.0</v>
      </c>
      <c r="G131" s="95" t="s">
        <v>687</v>
      </c>
      <c r="H131" s="63" t="str">
        <f>VLOOKUP(C131, 'Class Def. - General Data'!$C$20:$C$476,1,false)</f>
        <v>ZFG1_HAIRCARE</v>
      </c>
      <c r="I131" s="63" t="str">
        <f t="shared" si="1"/>
        <v>ZFG1_HAIRCARE4</v>
      </c>
      <c r="J131" s="63">
        <f t="shared" si="2"/>
        <v>1</v>
      </c>
    </row>
    <row r="132" ht="15.75" customHeight="1">
      <c r="A132" s="59" t="s">
        <v>93</v>
      </c>
      <c r="B132" s="95"/>
      <c r="C132" s="95" t="s">
        <v>118</v>
      </c>
      <c r="D132" s="95" t="s">
        <v>91</v>
      </c>
      <c r="E132" s="95" t="s">
        <v>577</v>
      </c>
      <c r="F132" s="95">
        <v>2.0</v>
      </c>
      <c r="G132" s="95" t="s">
        <v>688</v>
      </c>
      <c r="H132" s="63" t="str">
        <f>VLOOKUP(C132, 'Class Def. - General Data'!$C$20:$C$476,1,false)</f>
        <v>ZFG1_HANDLIQSOAP</v>
      </c>
      <c r="I132" s="63" t="str">
        <f t="shared" si="1"/>
        <v>ZFG1_HANDLIQSOAP2</v>
      </c>
      <c r="J132" s="63">
        <f t="shared" si="2"/>
        <v>1</v>
      </c>
    </row>
    <row r="133" ht="15.75" customHeight="1">
      <c r="A133" s="59" t="s">
        <v>93</v>
      </c>
      <c r="B133" s="95"/>
      <c r="C133" s="95" t="s">
        <v>118</v>
      </c>
      <c r="D133" s="95" t="s">
        <v>91</v>
      </c>
      <c r="E133" s="95" t="s">
        <v>577</v>
      </c>
      <c r="F133" s="95">
        <v>3.0</v>
      </c>
      <c r="G133" s="95" t="s">
        <v>689</v>
      </c>
      <c r="H133" s="63" t="str">
        <f>VLOOKUP(C133, 'Class Def. - General Data'!$C$20:$C$476,1,false)</f>
        <v>ZFG1_HANDLIQSOAP</v>
      </c>
      <c r="I133" s="63" t="str">
        <f t="shared" si="1"/>
        <v>ZFG1_HANDLIQSOAP3</v>
      </c>
      <c r="J133" s="63">
        <f t="shared" si="2"/>
        <v>1</v>
      </c>
    </row>
    <row r="134" ht="15.75" customHeight="1">
      <c r="A134" s="59" t="s">
        <v>93</v>
      </c>
      <c r="B134" s="95"/>
      <c r="C134" s="95" t="s">
        <v>118</v>
      </c>
      <c r="D134" s="95" t="s">
        <v>91</v>
      </c>
      <c r="E134" s="95" t="s">
        <v>577</v>
      </c>
      <c r="F134" s="95">
        <v>4.0</v>
      </c>
      <c r="G134" s="95" t="s">
        <v>690</v>
      </c>
      <c r="H134" s="63" t="str">
        <f>VLOOKUP(C134, 'Class Def. - General Data'!$C$20:$C$476,1,false)</f>
        <v>ZFG1_HANDLIQSOAP</v>
      </c>
      <c r="I134" s="63" t="str">
        <f t="shared" si="1"/>
        <v>ZFG1_HANDLIQSOAP4</v>
      </c>
      <c r="J134" s="63">
        <f t="shared" si="2"/>
        <v>1</v>
      </c>
    </row>
    <row r="135" ht="15.75" customHeight="1">
      <c r="A135" s="59" t="s">
        <v>93</v>
      </c>
      <c r="B135" s="95"/>
      <c r="C135" s="95" t="s">
        <v>119</v>
      </c>
      <c r="D135" s="95" t="s">
        <v>91</v>
      </c>
      <c r="E135" s="95" t="s">
        <v>577</v>
      </c>
      <c r="F135" s="95">
        <v>2.0</v>
      </c>
      <c r="G135" s="95" t="s">
        <v>691</v>
      </c>
      <c r="H135" s="63" t="str">
        <f>VLOOKUP(C135, 'Class Def. - General Data'!$C$20:$C$476,1,false)</f>
        <v>ZFG1_HANDSAN</v>
      </c>
      <c r="I135" s="63" t="str">
        <f t="shared" si="1"/>
        <v>ZFG1_HANDSAN2</v>
      </c>
      <c r="J135" s="63">
        <f t="shared" si="2"/>
        <v>1</v>
      </c>
    </row>
    <row r="136" ht="15.75" customHeight="1">
      <c r="A136" s="59" t="s">
        <v>93</v>
      </c>
      <c r="B136" s="95"/>
      <c r="C136" s="95" t="s">
        <v>119</v>
      </c>
      <c r="D136" s="95" t="s">
        <v>91</v>
      </c>
      <c r="E136" s="95" t="s">
        <v>577</v>
      </c>
      <c r="F136" s="95">
        <v>3.0</v>
      </c>
      <c r="G136" s="95" t="s">
        <v>692</v>
      </c>
      <c r="H136" s="63" t="str">
        <f>VLOOKUP(C136, 'Class Def. - General Data'!$C$20:$C$476,1,false)</f>
        <v>ZFG1_HANDSAN</v>
      </c>
      <c r="I136" s="63" t="str">
        <f t="shared" si="1"/>
        <v>ZFG1_HANDSAN3</v>
      </c>
      <c r="J136" s="63">
        <f t="shared" si="2"/>
        <v>1</v>
      </c>
    </row>
    <row r="137" ht="15.75" customHeight="1">
      <c r="A137" s="59" t="s">
        <v>93</v>
      </c>
      <c r="B137" s="95"/>
      <c r="C137" s="95" t="s">
        <v>119</v>
      </c>
      <c r="D137" s="95" t="s">
        <v>91</v>
      </c>
      <c r="E137" s="95" t="s">
        <v>577</v>
      </c>
      <c r="F137" s="95">
        <v>4.0</v>
      </c>
      <c r="G137" s="95" t="s">
        <v>693</v>
      </c>
      <c r="H137" s="63" t="str">
        <f>VLOOKUP(C137, 'Class Def. - General Data'!$C$20:$C$476,1,false)</f>
        <v>ZFG1_HANDSAN</v>
      </c>
      <c r="I137" s="63" t="str">
        <f t="shared" si="1"/>
        <v>ZFG1_HANDSAN4</v>
      </c>
      <c r="J137" s="63">
        <f t="shared" si="2"/>
        <v>1</v>
      </c>
    </row>
    <row r="138" ht="15.75" customHeight="1">
      <c r="A138" s="59" t="s">
        <v>93</v>
      </c>
      <c r="B138" s="95"/>
      <c r="C138" s="95" t="s">
        <v>120</v>
      </c>
      <c r="D138" s="95" t="s">
        <v>91</v>
      </c>
      <c r="E138" s="95" t="s">
        <v>577</v>
      </c>
      <c r="F138" s="95">
        <v>2.0</v>
      </c>
      <c r="G138" s="95" t="s">
        <v>694</v>
      </c>
      <c r="H138" s="63" t="str">
        <f>VLOOKUP(C138, 'Class Def. - General Data'!$C$20:$C$476,1,false)</f>
        <v>ZFG1_ICECREAM</v>
      </c>
      <c r="I138" s="63" t="str">
        <f t="shared" si="1"/>
        <v>ZFG1_ICECREAM2</v>
      </c>
      <c r="J138" s="63">
        <f t="shared" si="2"/>
        <v>1</v>
      </c>
    </row>
    <row r="139" ht="15.75" customHeight="1">
      <c r="A139" s="59" t="s">
        <v>93</v>
      </c>
      <c r="B139" s="95"/>
      <c r="C139" s="95" t="s">
        <v>120</v>
      </c>
      <c r="D139" s="95" t="s">
        <v>91</v>
      </c>
      <c r="E139" s="95" t="s">
        <v>577</v>
      </c>
      <c r="F139" s="95">
        <v>3.0</v>
      </c>
      <c r="G139" s="95" t="s">
        <v>695</v>
      </c>
      <c r="H139" s="63" t="str">
        <f>VLOOKUP(C139, 'Class Def. - General Data'!$C$20:$C$476,1,false)</f>
        <v>ZFG1_ICECREAM</v>
      </c>
      <c r="I139" s="63" t="str">
        <f t="shared" si="1"/>
        <v>ZFG1_ICECREAM3</v>
      </c>
      <c r="J139" s="63">
        <f t="shared" si="2"/>
        <v>1</v>
      </c>
    </row>
    <row r="140" ht="15.75" customHeight="1">
      <c r="A140" s="59" t="s">
        <v>93</v>
      </c>
      <c r="B140" s="95"/>
      <c r="C140" s="95" t="s">
        <v>120</v>
      </c>
      <c r="D140" s="95" t="s">
        <v>91</v>
      </c>
      <c r="E140" s="95" t="s">
        <v>577</v>
      </c>
      <c r="F140" s="95">
        <v>4.0</v>
      </c>
      <c r="G140" s="95" t="s">
        <v>696</v>
      </c>
      <c r="H140" s="63" t="str">
        <f>VLOOKUP(C140, 'Class Def. - General Data'!$C$20:$C$476,1,false)</f>
        <v>ZFG1_ICECREAM</v>
      </c>
      <c r="I140" s="63" t="str">
        <f t="shared" si="1"/>
        <v>ZFG1_ICECREAM4</v>
      </c>
      <c r="J140" s="63">
        <f t="shared" si="2"/>
        <v>1</v>
      </c>
    </row>
    <row r="141" ht="15.75" customHeight="1">
      <c r="A141" s="59" t="s">
        <v>93</v>
      </c>
      <c r="B141" s="95"/>
      <c r="C141" s="95" t="s">
        <v>121</v>
      </c>
      <c r="D141" s="95" t="s">
        <v>91</v>
      </c>
      <c r="E141" s="95" t="s">
        <v>577</v>
      </c>
      <c r="F141" s="95">
        <v>2.0</v>
      </c>
      <c r="G141" s="95" t="s">
        <v>697</v>
      </c>
      <c r="H141" s="63" t="str">
        <f>VLOOKUP(C141, 'Class Def. - General Data'!$C$20:$C$476,1,false)</f>
        <v>ZFG1_IRONINGAID</v>
      </c>
      <c r="I141" s="63" t="str">
        <f t="shared" si="1"/>
        <v>ZFG1_IRONINGAID2</v>
      </c>
      <c r="J141" s="63">
        <f t="shared" si="2"/>
        <v>1</v>
      </c>
    </row>
    <row r="142" ht="15.75" customHeight="1">
      <c r="A142" s="59" t="s">
        <v>93</v>
      </c>
      <c r="B142" s="95"/>
      <c r="C142" s="95" t="s">
        <v>121</v>
      </c>
      <c r="D142" s="95" t="s">
        <v>91</v>
      </c>
      <c r="E142" s="95" t="s">
        <v>577</v>
      </c>
      <c r="F142" s="95">
        <v>3.0</v>
      </c>
      <c r="G142" s="95" t="s">
        <v>698</v>
      </c>
      <c r="H142" s="63" t="str">
        <f>VLOOKUP(C142, 'Class Def. - General Data'!$C$20:$C$476,1,false)</f>
        <v>ZFG1_IRONINGAID</v>
      </c>
      <c r="I142" s="63" t="str">
        <f t="shared" si="1"/>
        <v>ZFG1_IRONINGAID3</v>
      </c>
      <c r="J142" s="63">
        <f t="shared" si="2"/>
        <v>1</v>
      </c>
    </row>
    <row r="143" ht="15.75" customHeight="1">
      <c r="A143" s="59" t="s">
        <v>93</v>
      </c>
      <c r="B143" s="95"/>
      <c r="C143" s="95" t="s">
        <v>121</v>
      </c>
      <c r="D143" s="95" t="s">
        <v>91</v>
      </c>
      <c r="E143" s="95" t="s">
        <v>577</v>
      </c>
      <c r="F143" s="95">
        <v>4.0</v>
      </c>
      <c r="G143" s="95" t="s">
        <v>699</v>
      </c>
      <c r="H143" s="63" t="str">
        <f>VLOOKUP(C143, 'Class Def. - General Data'!$C$20:$C$476,1,false)</f>
        <v>ZFG1_IRONINGAID</v>
      </c>
      <c r="I143" s="63" t="str">
        <f t="shared" si="1"/>
        <v>ZFG1_IRONINGAID4</v>
      </c>
      <c r="J143" s="63">
        <f t="shared" si="2"/>
        <v>1</v>
      </c>
    </row>
    <row r="144" ht="15.75" customHeight="1">
      <c r="A144" s="59" t="s">
        <v>93</v>
      </c>
      <c r="B144" s="95"/>
      <c r="C144" s="95" t="s">
        <v>122</v>
      </c>
      <c r="D144" s="95" t="s">
        <v>91</v>
      </c>
      <c r="E144" s="95" t="s">
        <v>577</v>
      </c>
      <c r="F144" s="95">
        <v>2.0</v>
      </c>
      <c r="G144" s="95" t="s">
        <v>700</v>
      </c>
      <c r="H144" s="63" t="str">
        <f>VLOOKUP(C144, 'Class Def. - General Data'!$C$20:$C$476,1,false)</f>
        <v>ZFG1_KECAP</v>
      </c>
      <c r="I144" s="63" t="str">
        <f t="shared" si="1"/>
        <v>ZFG1_KECAP2</v>
      </c>
      <c r="J144" s="63">
        <f t="shared" si="2"/>
        <v>1</v>
      </c>
    </row>
    <row r="145" ht="15.75" customHeight="1">
      <c r="A145" s="59" t="s">
        <v>93</v>
      </c>
      <c r="B145" s="95"/>
      <c r="C145" s="95" t="s">
        <v>122</v>
      </c>
      <c r="D145" s="95" t="s">
        <v>91</v>
      </c>
      <c r="E145" s="95" t="s">
        <v>577</v>
      </c>
      <c r="F145" s="95">
        <v>3.0</v>
      </c>
      <c r="G145" s="95" t="s">
        <v>701</v>
      </c>
      <c r="H145" s="63" t="str">
        <f>VLOOKUP(C145, 'Class Def. - General Data'!$C$20:$C$476,1,false)</f>
        <v>ZFG1_KECAP</v>
      </c>
      <c r="I145" s="63" t="str">
        <f t="shared" si="1"/>
        <v>ZFG1_KECAP3</v>
      </c>
      <c r="J145" s="63">
        <f t="shared" si="2"/>
        <v>1</v>
      </c>
    </row>
    <row r="146" ht="15.75" customHeight="1">
      <c r="A146" s="59" t="s">
        <v>93</v>
      </c>
      <c r="B146" s="95"/>
      <c r="C146" s="95" t="s">
        <v>122</v>
      </c>
      <c r="D146" s="95" t="s">
        <v>91</v>
      </c>
      <c r="E146" s="95" t="s">
        <v>577</v>
      </c>
      <c r="F146" s="95">
        <v>4.0</v>
      </c>
      <c r="G146" s="95" t="s">
        <v>702</v>
      </c>
      <c r="H146" s="63" t="str">
        <f>VLOOKUP(C146, 'Class Def. - General Data'!$C$20:$C$476,1,false)</f>
        <v>ZFG1_KECAP</v>
      </c>
      <c r="I146" s="63" t="str">
        <f t="shared" si="1"/>
        <v>ZFG1_KECAP4</v>
      </c>
      <c r="J146" s="63">
        <f t="shared" si="2"/>
        <v>1</v>
      </c>
    </row>
    <row r="147" ht="15.75" customHeight="1">
      <c r="A147" s="59" t="s">
        <v>93</v>
      </c>
      <c r="B147" s="95"/>
      <c r="C147" s="95" t="s">
        <v>122</v>
      </c>
      <c r="D147" s="95" t="s">
        <v>91</v>
      </c>
      <c r="E147" s="95" t="s">
        <v>577</v>
      </c>
      <c r="F147" s="95">
        <v>5.0</v>
      </c>
      <c r="G147" s="95" t="s">
        <v>703</v>
      </c>
      <c r="H147" s="63" t="str">
        <f>VLOOKUP(C147, 'Class Def. - General Data'!$C$20:$C$476,1,false)</f>
        <v>ZFG1_KECAP</v>
      </c>
      <c r="I147" s="63" t="str">
        <f t="shared" si="1"/>
        <v>ZFG1_KECAP5</v>
      </c>
      <c r="J147" s="63">
        <f t="shared" si="2"/>
        <v>1</v>
      </c>
    </row>
    <row r="148" ht="15.75" customHeight="1">
      <c r="A148" s="59" t="s">
        <v>93</v>
      </c>
      <c r="B148" s="95"/>
      <c r="C148" s="95" t="s">
        <v>124</v>
      </c>
      <c r="D148" s="95" t="s">
        <v>91</v>
      </c>
      <c r="E148" s="95" t="s">
        <v>577</v>
      </c>
      <c r="F148" s="95">
        <v>2.0</v>
      </c>
      <c r="G148" s="95" t="s">
        <v>704</v>
      </c>
      <c r="H148" s="63" t="str">
        <f>VLOOKUP(C148, 'Class Def. - General Data'!$C$20:$C$476,1,false)</f>
        <v>ZFG1_LIPSMAKEUP</v>
      </c>
      <c r="I148" s="63" t="str">
        <f t="shared" si="1"/>
        <v>ZFG1_LIPSMAKEUP2</v>
      </c>
      <c r="J148" s="63">
        <f t="shared" si="2"/>
        <v>1</v>
      </c>
    </row>
    <row r="149" ht="15.75" customHeight="1">
      <c r="A149" s="59" t="s">
        <v>93</v>
      </c>
      <c r="B149" s="95"/>
      <c r="C149" s="95" t="s">
        <v>124</v>
      </c>
      <c r="D149" s="95" t="s">
        <v>91</v>
      </c>
      <c r="E149" s="95" t="s">
        <v>577</v>
      </c>
      <c r="F149" s="95">
        <v>3.0</v>
      </c>
      <c r="G149" s="95" t="s">
        <v>705</v>
      </c>
      <c r="H149" s="63" t="str">
        <f>VLOOKUP(C149, 'Class Def. - General Data'!$C$20:$C$476,1,false)</f>
        <v>ZFG1_LIPSMAKEUP</v>
      </c>
      <c r="I149" s="63" t="str">
        <f t="shared" si="1"/>
        <v>ZFG1_LIPSMAKEUP3</v>
      </c>
      <c r="J149" s="63">
        <f t="shared" si="2"/>
        <v>1</v>
      </c>
    </row>
    <row r="150" ht="15.75" customHeight="1">
      <c r="A150" s="59" t="s">
        <v>93</v>
      </c>
      <c r="B150" s="95"/>
      <c r="C150" s="95" t="s">
        <v>124</v>
      </c>
      <c r="D150" s="95" t="s">
        <v>91</v>
      </c>
      <c r="E150" s="95" t="s">
        <v>577</v>
      </c>
      <c r="F150" s="95">
        <v>4.0</v>
      </c>
      <c r="G150" s="95" t="s">
        <v>706</v>
      </c>
      <c r="H150" s="63" t="str">
        <f>VLOOKUP(C150, 'Class Def. - General Data'!$C$20:$C$476,1,false)</f>
        <v>ZFG1_LIPSMAKEUP</v>
      </c>
      <c r="I150" s="63" t="str">
        <f t="shared" si="1"/>
        <v>ZFG1_LIPSMAKEUP4</v>
      </c>
      <c r="J150" s="63">
        <f t="shared" si="2"/>
        <v>1</v>
      </c>
    </row>
    <row r="151" ht="15.75" customHeight="1">
      <c r="A151" s="59" t="s">
        <v>93</v>
      </c>
      <c r="B151" s="95"/>
      <c r="C151" s="95" t="s">
        <v>125</v>
      </c>
      <c r="D151" s="95" t="s">
        <v>91</v>
      </c>
      <c r="E151" s="95" t="s">
        <v>577</v>
      </c>
      <c r="F151" s="95">
        <v>2.0</v>
      </c>
      <c r="G151" s="95" t="s">
        <v>707</v>
      </c>
      <c r="H151" s="63" t="str">
        <f>VLOOKUP(C151, 'Class Def. - General Data'!$C$20:$C$476,1,false)</f>
        <v>ZFG1_LIQDET</v>
      </c>
      <c r="I151" s="63" t="str">
        <f t="shared" si="1"/>
        <v>ZFG1_LIQDET2</v>
      </c>
      <c r="J151" s="63">
        <f t="shared" si="2"/>
        <v>1</v>
      </c>
    </row>
    <row r="152" ht="15.75" customHeight="1">
      <c r="A152" s="59" t="s">
        <v>93</v>
      </c>
      <c r="B152" s="95"/>
      <c r="C152" s="95" t="s">
        <v>125</v>
      </c>
      <c r="D152" s="95" t="s">
        <v>91</v>
      </c>
      <c r="E152" s="95" t="s">
        <v>577</v>
      </c>
      <c r="F152" s="95">
        <v>3.0</v>
      </c>
      <c r="G152" s="95" t="s">
        <v>708</v>
      </c>
      <c r="H152" s="63" t="str">
        <f>VLOOKUP(C152, 'Class Def. - General Data'!$C$20:$C$476,1,false)</f>
        <v>ZFG1_LIQDET</v>
      </c>
      <c r="I152" s="63" t="str">
        <f t="shared" si="1"/>
        <v>ZFG1_LIQDET3</v>
      </c>
      <c r="J152" s="63">
        <f t="shared" si="2"/>
        <v>1</v>
      </c>
    </row>
    <row r="153" ht="15.75" customHeight="1">
      <c r="A153" s="59" t="s">
        <v>93</v>
      </c>
      <c r="B153" s="95"/>
      <c r="C153" s="95" t="s">
        <v>125</v>
      </c>
      <c r="D153" s="95" t="s">
        <v>91</v>
      </c>
      <c r="E153" s="95" t="s">
        <v>577</v>
      </c>
      <c r="F153" s="95">
        <v>4.0</v>
      </c>
      <c r="G153" s="95" t="s">
        <v>709</v>
      </c>
      <c r="H153" s="63" t="str">
        <f>VLOOKUP(C153, 'Class Def. - General Data'!$C$20:$C$476,1,false)</f>
        <v>ZFG1_LIQDET</v>
      </c>
      <c r="I153" s="63" t="str">
        <f t="shared" si="1"/>
        <v>ZFG1_LIQDET4</v>
      </c>
      <c r="J153" s="63">
        <f t="shared" si="2"/>
        <v>1</v>
      </c>
    </row>
    <row r="154" ht="15.75" customHeight="1">
      <c r="A154" s="59" t="s">
        <v>93</v>
      </c>
      <c r="B154" s="95"/>
      <c r="C154" s="95" t="s">
        <v>126</v>
      </c>
      <c r="D154" s="95" t="s">
        <v>91</v>
      </c>
      <c r="E154" s="95" t="s">
        <v>577</v>
      </c>
      <c r="F154" s="95">
        <v>2.0</v>
      </c>
      <c r="G154" s="95" t="s">
        <v>710</v>
      </c>
      <c r="H154" s="63" t="str">
        <f>VLOOKUP(C154, 'Class Def. - General Data'!$C$20:$C$476,1,false)</f>
        <v>ZFG1_MOSQUITOREPEL</v>
      </c>
      <c r="I154" s="63" t="str">
        <f t="shared" si="1"/>
        <v>ZFG1_MOSQUITOREPEL2</v>
      </c>
      <c r="J154" s="63">
        <f t="shared" si="2"/>
        <v>1</v>
      </c>
    </row>
    <row r="155" ht="15.75" customHeight="1">
      <c r="A155" s="59" t="s">
        <v>93</v>
      </c>
      <c r="B155" s="95"/>
      <c r="C155" s="95" t="s">
        <v>126</v>
      </c>
      <c r="D155" s="95" t="s">
        <v>91</v>
      </c>
      <c r="E155" s="95" t="s">
        <v>577</v>
      </c>
      <c r="F155" s="95">
        <v>3.0</v>
      </c>
      <c r="G155" s="95" t="s">
        <v>711</v>
      </c>
      <c r="H155" s="63" t="str">
        <f>VLOOKUP(C155, 'Class Def. - General Data'!$C$20:$C$476,1,false)</f>
        <v>ZFG1_MOSQUITOREPEL</v>
      </c>
      <c r="I155" s="63" t="str">
        <f t="shared" si="1"/>
        <v>ZFG1_MOSQUITOREPEL3</v>
      </c>
      <c r="J155" s="63">
        <f t="shared" si="2"/>
        <v>1</v>
      </c>
    </row>
    <row r="156" ht="15.75" customHeight="1">
      <c r="A156" s="59" t="s">
        <v>93</v>
      </c>
      <c r="B156" s="95"/>
      <c r="C156" s="95" t="s">
        <v>126</v>
      </c>
      <c r="D156" s="95" t="s">
        <v>91</v>
      </c>
      <c r="E156" s="95" t="s">
        <v>577</v>
      </c>
      <c r="F156" s="95">
        <v>4.0</v>
      </c>
      <c r="G156" s="95" t="s">
        <v>712</v>
      </c>
      <c r="H156" s="63" t="str">
        <f>VLOOKUP(C156, 'Class Def. - General Data'!$C$20:$C$476,1,false)</f>
        <v>ZFG1_MOSQUITOREPEL</v>
      </c>
      <c r="I156" s="63" t="str">
        <f t="shared" si="1"/>
        <v>ZFG1_MOSQUITOREPEL4</v>
      </c>
      <c r="J156" s="63">
        <f t="shared" si="2"/>
        <v>1</v>
      </c>
    </row>
    <row r="157" ht="15.75" customHeight="1">
      <c r="A157" s="59" t="s">
        <v>93</v>
      </c>
      <c r="B157" s="95"/>
      <c r="C157" s="95" t="s">
        <v>127</v>
      </c>
      <c r="D157" s="95" t="s">
        <v>91</v>
      </c>
      <c r="E157" s="95" t="s">
        <v>577</v>
      </c>
      <c r="F157" s="95">
        <v>2.0</v>
      </c>
      <c r="G157" s="95" t="s">
        <v>713</v>
      </c>
      <c r="H157" s="63" t="str">
        <f>VLOOKUP(C157, 'Class Def. - General Data'!$C$20:$C$476,1,false)</f>
        <v>ZFG1_NOODLES</v>
      </c>
      <c r="I157" s="63" t="str">
        <f t="shared" si="1"/>
        <v>ZFG1_NOODLES2</v>
      </c>
      <c r="J157" s="63">
        <f t="shared" si="2"/>
        <v>1</v>
      </c>
    </row>
    <row r="158" ht="15.75" customHeight="1">
      <c r="A158" s="59" t="s">
        <v>93</v>
      </c>
      <c r="B158" s="95"/>
      <c r="C158" s="95" t="s">
        <v>127</v>
      </c>
      <c r="D158" s="95" t="s">
        <v>91</v>
      </c>
      <c r="E158" s="95" t="s">
        <v>577</v>
      </c>
      <c r="F158" s="95">
        <v>3.0</v>
      </c>
      <c r="G158" s="95" t="s">
        <v>714</v>
      </c>
      <c r="H158" s="63" t="str">
        <f>VLOOKUP(C158, 'Class Def. - General Data'!$C$20:$C$476,1,false)</f>
        <v>ZFG1_NOODLES</v>
      </c>
      <c r="I158" s="63" t="str">
        <f t="shared" si="1"/>
        <v>ZFG1_NOODLES3</v>
      </c>
      <c r="J158" s="63">
        <f t="shared" si="2"/>
        <v>1</v>
      </c>
    </row>
    <row r="159" ht="15.75" customHeight="1">
      <c r="A159" s="59" t="s">
        <v>93</v>
      </c>
      <c r="B159" s="95"/>
      <c r="C159" s="95" t="s">
        <v>127</v>
      </c>
      <c r="D159" s="95" t="s">
        <v>91</v>
      </c>
      <c r="E159" s="95" t="s">
        <v>577</v>
      </c>
      <c r="F159" s="95">
        <v>4.0</v>
      </c>
      <c r="G159" s="95" t="s">
        <v>715</v>
      </c>
      <c r="H159" s="63" t="str">
        <f>VLOOKUP(C159, 'Class Def. - General Data'!$C$20:$C$476,1,false)</f>
        <v>ZFG1_NOODLES</v>
      </c>
      <c r="I159" s="63" t="str">
        <f t="shared" si="1"/>
        <v>ZFG1_NOODLES4</v>
      </c>
      <c r="J159" s="63">
        <f t="shared" si="2"/>
        <v>1</v>
      </c>
    </row>
    <row r="160" ht="15.75" customHeight="1">
      <c r="A160" s="59" t="s">
        <v>93</v>
      </c>
      <c r="B160" s="95"/>
      <c r="C160" s="95" t="s">
        <v>127</v>
      </c>
      <c r="D160" s="95" t="s">
        <v>91</v>
      </c>
      <c r="E160" s="95" t="s">
        <v>577</v>
      </c>
      <c r="F160" s="95">
        <v>5.0</v>
      </c>
      <c r="G160" s="95" t="s">
        <v>716</v>
      </c>
      <c r="H160" s="63" t="str">
        <f>VLOOKUP(C160, 'Class Def. - General Data'!$C$20:$C$476,1,false)</f>
        <v>ZFG1_NOODLES</v>
      </c>
      <c r="I160" s="63" t="str">
        <f t="shared" si="1"/>
        <v>ZFG1_NOODLES5</v>
      </c>
      <c r="J160" s="63">
        <f t="shared" si="2"/>
        <v>1</v>
      </c>
    </row>
    <row r="161" ht="15.75" customHeight="1">
      <c r="A161" s="59" t="s">
        <v>93</v>
      </c>
      <c r="B161" s="95"/>
      <c r="C161" s="95" t="s">
        <v>128</v>
      </c>
      <c r="D161" s="95" t="s">
        <v>91</v>
      </c>
      <c r="E161" s="95" t="s">
        <v>577</v>
      </c>
      <c r="F161" s="95">
        <v>2.0</v>
      </c>
      <c r="G161" s="95" t="s">
        <v>717</v>
      </c>
      <c r="H161" s="63" t="str">
        <f>VLOOKUP(C161, 'Class Def. - General Data'!$C$20:$C$476,1,false)</f>
        <v>ZFG1_ORALCARE</v>
      </c>
      <c r="I161" s="63" t="str">
        <f t="shared" si="1"/>
        <v>ZFG1_ORALCARE2</v>
      </c>
      <c r="J161" s="63">
        <f t="shared" si="2"/>
        <v>1</v>
      </c>
    </row>
    <row r="162" ht="15.75" customHeight="1">
      <c r="A162" s="59" t="s">
        <v>93</v>
      </c>
      <c r="B162" s="95"/>
      <c r="C162" s="95" t="s">
        <v>128</v>
      </c>
      <c r="D162" s="95" t="s">
        <v>91</v>
      </c>
      <c r="E162" s="95" t="s">
        <v>577</v>
      </c>
      <c r="F162" s="95">
        <v>3.0</v>
      </c>
      <c r="G162" s="95" t="s">
        <v>718</v>
      </c>
      <c r="H162" s="63" t="str">
        <f>VLOOKUP(C162, 'Class Def. - General Data'!$C$20:$C$476,1,false)</f>
        <v>ZFG1_ORALCARE</v>
      </c>
      <c r="I162" s="63" t="str">
        <f t="shared" si="1"/>
        <v>ZFG1_ORALCARE3</v>
      </c>
      <c r="J162" s="63">
        <f t="shared" si="2"/>
        <v>1</v>
      </c>
    </row>
    <row r="163" ht="15.75" customHeight="1">
      <c r="A163" s="59" t="s">
        <v>93</v>
      </c>
      <c r="B163" s="95"/>
      <c r="C163" s="95" t="s">
        <v>128</v>
      </c>
      <c r="D163" s="95" t="s">
        <v>91</v>
      </c>
      <c r="E163" s="95" t="s">
        <v>577</v>
      </c>
      <c r="F163" s="95">
        <v>4.0</v>
      </c>
      <c r="G163" s="95" t="s">
        <v>719</v>
      </c>
      <c r="H163" s="63" t="str">
        <f>VLOOKUP(C163, 'Class Def. - General Data'!$C$20:$C$476,1,false)</f>
        <v>ZFG1_ORALCARE</v>
      </c>
      <c r="I163" s="63" t="str">
        <f t="shared" si="1"/>
        <v>ZFG1_ORALCARE4</v>
      </c>
      <c r="J163" s="63">
        <f t="shared" si="2"/>
        <v>1</v>
      </c>
    </row>
    <row r="164" ht="15.75" customHeight="1">
      <c r="A164" s="59" t="s">
        <v>93</v>
      </c>
      <c r="B164" s="95"/>
      <c r="C164" s="95" t="s">
        <v>129</v>
      </c>
      <c r="D164" s="95" t="s">
        <v>91</v>
      </c>
      <c r="E164" s="95" t="s">
        <v>577</v>
      </c>
      <c r="F164" s="95">
        <v>2.0</v>
      </c>
      <c r="G164" s="95" t="s">
        <v>720</v>
      </c>
      <c r="H164" s="63" t="str">
        <f>VLOOKUP(C164, 'Class Def. - General Data'!$C$20:$C$476,1,false)</f>
        <v>ZFG1_PETRTD</v>
      </c>
      <c r="I164" s="63" t="str">
        <f t="shared" si="1"/>
        <v>ZFG1_PETRTD2</v>
      </c>
      <c r="J164" s="63">
        <f t="shared" si="2"/>
        <v>1</v>
      </c>
    </row>
    <row r="165" ht="15.75" customHeight="1">
      <c r="A165" s="59" t="s">
        <v>93</v>
      </c>
      <c r="B165" s="95"/>
      <c r="C165" s="95" t="s">
        <v>129</v>
      </c>
      <c r="D165" s="95" t="s">
        <v>91</v>
      </c>
      <c r="E165" s="95" t="s">
        <v>577</v>
      </c>
      <c r="F165" s="95">
        <v>3.0</v>
      </c>
      <c r="G165" s="95" t="s">
        <v>663</v>
      </c>
      <c r="H165" s="63" t="str">
        <f>VLOOKUP(C165, 'Class Def. - General Data'!$C$20:$C$476,1,false)</f>
        <v>ZFG1_PETRTD</v>
      </c>
      <c r="I165" s="63" t="str">
        <f t="shared" si="1"/>
        <v>ZFG1_PETRTD3</v>
      </c>
      <c r="J165" s="63">
        <f t="shared" si="2"/>
        <v>1</v>
      </c>
    </row>
    <row r="166" ht="15.75" customHeight="1">
      <c r="A166" s="59" t="s">
        <v>93</v>
      </c>
      <c r="B166" s="95"/>
      <c r="C166" s="95" t="s">
        <v>129</v>
      </c>
      <c r="D166" s="95" t="s">
        <v>91</v>
      </c>
      <c r="E166" s="95" t="s">
        <v>577</v>
      </c>
      <c r="F166" s="95">
        <v>4.0</v>
      </c>
      <c r="G166" s="95" t="s">
        <v>721</v>
      </c>
      <c r="H166" s="63" t="str">
        <f>VLOOKUP(C166, 'Class Def. - General Data'!$C$20:$C$476,1,false)</f>
        <v>ZFG1_PETRTD</v>
      </c>
      <c r="I166" s="63" t="str">
        <f t="shared" si="1"/>
        <v>ZFG1_PETRTD4</v>
      </c>
      <c r="J166" s="63">
        <f t="shared" si="2"/>
        <v>1</v>
      </c>
    </row>
    <row r="167" ht="15.75" customHeight="1">
      <c r="A167" s="59" t="s">
        <v>93</v>
      </c>
      <c r="B167" s="95"/>
      <c r="C167" s="95" t="s">
        <v>130</v>
      </c>
      <c r="D167" s="95" t="s">
        <v>91</v>
      </c>
      <c r="E167" s="95" t="s">
        <v>577</v>
      </c>
      <c r="F167" s="95">
        <v>2.0</v>
      </c>
      <c r="G167" s="95" t="s">
        <v>722</v>
      </c>
      <c r="H167" s="63" t="str">
        <f>VLOOKUP(C167, 'Class Def. - General Data'!$C$20:$C$476,1,false)</f>
        <v>ZFG1_PEWANGI</v>
      </c>
      <c r="I167" s="63" t="str">
        <f t="shared" si="1"/>
        <v>ZFG1_PEWANGI2</v>
      </c>
      <c r="J167" s="63">
        <f t="shared" si="2"/>
        <v>1</v>
      </c>
    </row>
    <row r="168" ht="15.75" customHeight="1">
      <c r="A168" s="59" t="s">
        <v>93</v>
      </c>
      <c r="B168" s="95"/>
      <c r="C168" s="95" t="s">
        <v>130</v>
      </c>
      <c r="D168" s="95" t="s">
        <v>91</v>
      </c>
      <c r="E168" s="95" t="s">
        <v>577</v>
      </c>
      <c r="F168" s="95">
        <v>3.0</v>
      </c>
      <c r="G168" s="95" t="s">
        <v>723</v>
      </c>
      <c r="H168" s="63" t="str">
        <f>VLOOKUP(C168, 'Class Def. - General Data'!$C$20:$C$476,1,false)</f>
        <v>ZFG1_PEWANGI</v>
      </c>
      <c r="I168" s="63" t="str">
        <f t="shared" si="1"/>
        <v>ZFG1_PEWANGI3</v>
      </c>
      <c r="J168" s="63">
        <f t="shared" si="2"/>
        <v>1</v>
      </c>
    </row>
    <row r="169" ht="15.75" customHeight="1">
      <c r="A169" s="59" t="s">
        <v>93</v>
      </c>
      <c r="B169" s="95"/>
      <c r="C169" s="95" t="s">
        <v>130</v>
      </c>
      <c r="D169" s="95" t="s">
        <v>91</v>
      </c>
      <c r="E169" s="95" t="s">
        <v>577</v>
      </c>
      <c r="F169" s="95">
        <v>4.0</v>
      </c>
      <c r="G169" s="95" t="s">
        <v>724</v>
      </c>
      <c r="H169" s="63" t="str">
        <f>VLOOKUP(C169, 'Class Def. - General Data'!$C$20:$C$476,1,false)</f>
        <v>ZFG1_PEWANGI</v>
      </c>
      <c r="I169" s="63" t="str">
        <f t="shared" si="1"/>
        <v>ZFG1_PEWANGI4</v>
      </c>
      <c r="J169" s="63">
        <f t="shared" si="2"/>
        <v>1</v>
      </c>
    </row>
    <row r="170" ht="15.75" customHeight="1">
      <c r="A170" s="59" t="s">
        <v>93</v>
      </c>
      <c r="B170" s="95"/>
      <c r="C170" s="95" t="s">
        <v>131</v>
      </c>
      <c r="D170" s="95" t="s">
        <v>91</v>
      </c>
      <c r="E170" s="95" t="s">
        <v>577</v>
      </c>
      <c r="F170" s="95">
        <v>2.0</v>
      </c>
      <c r="G170" s="95" t="s">
        <v>725</v>
      </c>
      <c r="H170" s="63" t="str">
        <f>VLOOKUP(C170, 'Class Def. - General Data'!$C$20:$C$476,1,false)</f>
        <v>ZFG1_PORCCLEANER</v>
      </c>
      <c r="I170" s="63" t="str">
        <f t="shared" si="1"/>
        <v>ZFG1_PORCCLEANER2</v>
      </c>
      <c r="J170" s="63">
        <f t="shared" si="2"/>
        <v>1</v>
      </c>
    </row>
    <row r="171" ht="15.75" customHeight="1">
      <c r="A171" s="59" t="s">
        <v>93</v>
      </c>
      <c r="B171" s="95"/>
      <c r="C171" s="95" t="s">
        <v>131</v>
      </c>
      <c r="D171" s="95" t="s">
        <v>91</v>
      </c>
      <c r="E171" s="95" t="s">
        <v>577</v>
      </c>
      <c r="F171" s="95">
        <v>3.0</v>
      </c>
      <c r="G171" s="95" t="s">
        <v>726</v>
      </c>
      <c r="H171" s="63" t="str">
        <f>VLOOKUP(C171, 'Class Def. - General Data'!$C$20:$C$476,1,false)</f>
        <v>ZFG1_PORCCLEANER</v>
      </c>
      <c r="I171" s="63" t="str">
        <f t="shared" si="1"/>
        <v>ZFG1_PORCCLEANER3</v>
      </c>
      <c r="J171" s="63">
        <f t="shared" si="2"/>
        <v>1</v>
      </c>
    </row>
    <row r="172" ht="15.75" customHeight="1">
      <c r="A172" s="59" t="s">
        <v>93</v>
      </c>
      <c r="B172" s="95"/>
      <c r="C172" s="95" t="s">
        <v>131</v>
      </c>
      <c r="D172" s="95" t="s">
        <v>91</v>
      </c>
      <c r="E172" s="95" t="s">
        <v>577</v>
      </c>
      <c r="F172" s="95">
        <v>4.0</v>
      </c>
      <c r="G172" s="95" t="s">
        <v>727</v>
      </c>
      <c r="H172" s="63" t="str">
        <f>VLOOKUP(C172, 'Class Def. - General Data'!$C$20:$C$476,1,false)</f>
        <v>ZFG1_PORCCLEANER</v>
      </c>
      <c r="I172" s="63" t="str">
        <f t="shared" si="1"/>
        <v>ZFG1_PORCCLEANER4</v>
      </c>
      <c r="J172" s="63">
        <f t="shared" si="2"/>
        <v>1</v>
      </c>
    </row>
    <row r="173" ht="15.75" customHeight="1">
      <c r="A173" s="59" t="s">
        <v>93</v>
      </c>
      <c r="B173" s="95"/>
      <c r="C173" s="95" t="s">
        <v>132</v>
      </c>
      <c r="D173" s="95" t="s">
        <v>91</v>
      </c>
      <c r="E173" s="95" t="s">
        <v>577</v>
      </c>
      <c r="F173" s="95">
        <v>2.0</v>
      </c>
      <c r="G173" s="95" t="s">
        <v>728</v>
      </c>
      <c r="H173" s="63" t="str">
        <f>VLOOKUP(C173, 'Class Def. - General Data'!$C$20:$C$476,1,false)</f>
        <v>ZFG1_POWDET</v>
      </c>
      <c r="I173" s="63" t="str">
        <f t="shared" si="1"/>
        <v>ZFG1_POWDET2</v>
      </c>
      <c r="J173" s="63">
        <f t="shared" si="2"/>
        <v>1</v>
      </c>
    </row>
    <row r="174" ht="15.75" customHeight="1">
      <c r="A174" s="59" t="s">
        <v>93</v>
      </c>
      <c r="B174" s="95"/>
      <c r="C174" s="95" t="s">
        <v>132</v>
      </c>
      <c r="D174" s="95" t="s">
        <v>91</v>
      </c>
      <c r="E174" s="95" t="s">
        <v>577</v>
      </c>
      <c r="F174" s="95">
        <v>3.0</v>
      </c>
      <c r="G174" s="95" t="s">
        <v>729</v>
      </c>
      <c r="H174" s="63" t="str">
        <f>VLOOKUP(C174, 'Class Def. - General Data'!$C$20:$C$476,1,false)</f>
        <v>ZFG1_POWDET</v>
      </c>
      <c r="I174" s="63" t="str">
        <f t="shared" si="1"/>
        <v>ZFG1_POWDET3</v>
      </c>
      <c r="J174" s="63">
        <f t="shared" si="2"/>
        <v>1</v>
      </c>
    </row>
    <row r="175" ht="15.75" customHeight="1">
      <c r="A175" s="59" t="s">
        <v>93</v>
      </c>
      <c r="B175" s="95"/>
      <c r="C175" s="95" t="s">
        <v>132</v>
      </c>
      <c r="D175" s="95" t="s">
        <v>91</v>
      </c>
      <c r="E175" s="95" t="s">
        <v>577</v>
      </c>
      <c r="F175" s="95">
        <v>4.0</v>
      </c>
      <c r="G175" s="95" t="s">
        <v>730</v>
      </c>
      <c r="H175" s="63" t="str">
        <f>VLOOKUP(C175, 'Class Def. - General Data'!$C$20:$C$476,1,false)</f>
        <v>ZFG1_POWDET</v>
      </c>
      <c r="I175" s="63" t="str">
        <f t="shared" si="1"/>
        <v>ZFG1_POWDET4</v>
      </c>
      <c r="J175" s="63">
        <f t="shared" si="2"/>
        <v>1</v>
      </c>
    </row>
    <row r="176" ht="15.75" customHeight="1">
      <c r="A176" s="59" t="s">
        <v>93</v>
      </c>
      <c r="B176" s="95"/>
      <c r="C176" s="95" t="s">
        <v>134</v>
      </c>
      <c r="D176" s="95" t="s">
        <v>91</v>
      </c>
      <c r="E176" s="95" t="s">
        <v>577</v>
      </c>
      <c r="F176" s="95">
        <v>2.0</v>
      </c>
      <c r="G176" s="95" t="s">
        <v>731</v>
      </c>
      <c r="H176" s="63" t="str">
        <f>VLOOKUP(C176, 'Class Def. - General Data'!$C$20:$C$476,1,false)</f>
        <v>ZFG1_REEDDIFFUSER</v>
      </c>
      <c r="I176" s="63" t="str">
        <f t="shared" si="1"/>
        <v>ZFG1_REEDDIFFUSER2</v>
      </c>
      <c r="J176" s="63">
        <f t="shared" si="2"/>
        <v>1</v>
      </c>
    </row>
    <row r="177" ht="15.75" customHeight="1">
      <c r="A177" s="59" t="s">
        <v>93</v>
      </c>
      <c r="B177" s="95"/>
      <c r="C177" s="95" t="s">
        <v>134</v>
      </c>
      <c r="D177" s="95" t="s">
        <v>91</v>
      </c>
      <c r="E177" s="95" t="s">
        <v>577</v>
      </c>
      <c r="F177" s="95">
        <v>3.0</v>
      </c>
      <c r="G177" s="95" t="s">
        <v>732</v>
      </c>
      <c r="H177" s="63" t="str">
        <f>VLOOKUP(C177, 'Class Def. - General Data'!$C$20:$C$476,1,false)</f>
        <v>ZFG1_REEDDIFFUSER</v>
      </c>
      <c r="I177" s="63" t="str">
        <f t="shared" si="1"/>
        <v>ZFG1_REEDDIFFUSER3</v>
      </c>
      <c r="J177" s="63">
        <f t="shared" si="2"/>
        <v>1</v>
      </c>
    </row>
    <row r="178" ht="15.75" customHeight="1">
      <c r="A178" s="59" t="s">
        <v>93</v>
      </c>
      <c r="B178" s="95"/>
      <c r="C178" s="95" t="s">
        <v>134</v>
      </c>
      <c r="D178" s="95" t="s">
        <v>91</v>
      </c>
      <c r="E178" s="95" t="s">
        <v>577</v>
      </c>
      <c r="F178" s="95">
        <v>4.0</v>
      </c>
      <c r="G178" s="95" t="s">
        <v>733</v>
      </c>
      <c r="H178" s="63" t="str">
        <f>VLOOKUP(C178, 'Class Def. - General Data'!$C$20:$C$476,1,false)</f>
        <v>ZFG1_REEDDIFFUSER</v>
      </c>
      <c r="I178" s="63" t="str">
        <f t="shared" si="1"/>
        <v>ZFG1_REEDDIFFUSER4</v>
      </c>
      <c r="J178" s="63">
        <f t="shared" si="2"/>
        <v>1</v>
      </c>
    </row>
    <row r="179" ht="15.75" customHeight="1">
      <c r="A179" s="59" t="s">
        <v>93</v>
      </c>
      <c r="B179" s="95"/>
      <c r="C179" s="95" t="s">
        <v>135</v>
      </c>
      <c r="D179" s="95" t="s">
        <v>91</v>
      </c>
      <c r="E179" s="95" t="s">
        <v>577</v>
      </c>
      <c r="F179" s="95">
        <v>2.0</v>
      </c>
      <c r="G179" s="95" t="s">
        <v>734</v>
      </c>
      <c r="H179" s="63" t="str">
        <f>VLOOKUP(C179, 'Class Def. - General Data'!$C$20:$C$476,1,false)</f>
        <v>ZFG1_SANITARYGEL</v>
      </c>
      <c r="I179" s="63" t="str">
        <f t="shared" si="1"/>
        <v>ZFG1_SANITARYGEL2</v>
      </c>
      <c r="J179" s="63">
        <f t="shared" si="2"/>
        <v>1</v>
      </c>
    </row>
    <row r="180" ht="15.75" customHeight="1">
      <c r="A180" s="59" t="s">
        <v>93</v>
      </c>
      <c r="B180" s="95"/>
      <c r="C180" s="95" t="s">
        <v>135</v>
      </c>
      <c r="D180" s="95" t="s">
        <v>91</v>
      </c>
      <c r="E180" s="95" t="s">
        <v>577</v>
      </c>
      <c r="F180" s="95">
        <v>3.0</v>
      </c>
      <c r="G180" s="95" t="s">
        <v>735</v>
      </c>
      <c r="H180" s="63" t="str">
        <f>VLOOKUP(C180, 'Class Def. - General Data'!$C$20:$C$476,1,false)</f>
        <v>ZFG1_SANITARYGEL</v>
      </c>
      <c r="I180" s="63" t="str">
        <f t="shared" si="1"/>
        <v>ZFG1_SANITARYGEL3</v>
      </c>
      <c r="J180" s="63">
        <f t="shared" si="2"/>
        <v>1</v>
      </c>
    </row>
    <row r="181" ht="15.75" customHeight="1">
      <c r="A181" s="59" t="s">
        <v>93</v>
      </c>
      <c r="B181" s="95"/>
      <c r="C181" s="95" t="s">
        <v>135</v>
      </c>
      <c r="D181" s="95" t="s">
        <v>91</v>
      </c>
      <c r="E181" s="95" t="s">
        <v>577</v>
      </c>
      <c r="F181" s="95">
        <v>4.0</v>
      </c>
      <c r="G181" s="95" t="s">
        <v>736</v>
      </c>
      <c r="H181" s="63" t="str">
        <f>VLOOKUP(C181, 'Class Def. - General Data'!$C$20:$C$476,1,false)</f>
        <v>ZFG1_SANITARYGEL</v>
      </c>
      <c r="I181" s="63" t="str">
        <f t="shared" si="1"/>
        <v>ZFG1_SANITARYGEL4</v>
      </c>
      <c r="J181" s="63">
        <f t="shared" si="2"/>
        <v>1</v>
      </c>
    </row>
    <row r="182" ht="15.75" customHeight="1">
      <c r="A182" s="59" t="s">
        <v>93</v>
      </c>
      <c r="B182" s="95"/>
      <c r="C182" s="95" t="s">
        <v>136</v>
      </c>
      <c r="D182" s="95" t="s">
        <v>91</v>
      </c>
      <c r="E182" s="95" t="s">
        <v>577</v>
      </c>
      <c r="F182" s="95">
        <v>2.0</v>
      </c>
      <c r="G182" s="95" t="s">
        <v>737</v>
      </c>
      <c r="H182" s="63" t="str">
        <f>VLOOKUP(C182, 'Class Def. - General Data'!$C$20:$C$476,1,false)</f>
        <v>ZFG1_SAVORYSNACK</v>
      </c>
      <c r="I182" s="63" t="str">
        <f t="shared" si="1"/>
        <v>ZFG1_SAVORYSNACK2</v>
      </c>
      <c r="J182" s="63">
        <f t="shared" si="2"/>
        <v>1</v>
      </c>
    </row>
    <row r="183" ht="15.75" customHeight="1">
      <c r="A183" s="59" t="s">
        <v>93</v>
      </c>
      <c r="B183" s="95"/>
      <c r="C183" s="95" t="s">
        <v>136</v>
      </c>
      <c r="D183" s="95" t="s">
        <v>91</v>
      </c>
      <c r="E183" s="95" t="s">
        <v>577</v>
      </c>
      <c r="F183" s="95">
        <v>3.0</v>
      </c>
      <c r="G183" s="95" t="s">
        <v>738</v>
      </c>
      <c r="H183" s="63" t="str">
        <f>VLOOKUP(C183, 'Class Def. - General Data'!$C$20:$C$476,1,false)</f>
        <v>ZFG1_SAVORYSNACK</v>
      </c>
      <c r="I183" s="63" t="str">
        <f t="shared" si="1"/>
        <v>ZFG1_SAVORYSNACK3</v>
      </c>
      <c r="J183" s="63">
        <f t="shared" si="2"/>
        <v>1</v>
      </c>
    </row>
    <row r="184" ht="15.75" customHeight="1">
      <c r="A184" s="59" t="s">
        <v>93</v>
      </c>
      <c r="B184" s="95"/>
      <c r="C184" s="95" t="s">
        <v>136</v>
      </c>
      <c r="D184" s="95" t="s">
        <v>91</v>
      </c>
      <c r="E184" s="95" t="s">
        <v>577</v>
      </c>
      <c r="F184" s="95">
        <v>4.0</v>
      </c>
      <c r="G184" s="95" t="s">
        <v>739</v>
      </c>
      <c r="H184" s="63" t="str">
        <f>VLOOKUP(C184, 'Class Def. - General Data'!$C$20:$C$476,1,false)</f>
        <v>ZFG1_SAVORYSNACK</v>
      </c>
      <c r="I184" s="63" t="str">
        <f t="shared" si="1"/>
        <v>ZFG1_SAVORYSNACK4</v>
      </c>
      <c r="J184" s="63">
        <f t="shared" si="2"/>
        <v>1</v>
      </c>
    </row>
    <row r="185" ht="15.75" customHeight="1">
      <c r="A185" s="59" t="s">
        <v>93</v>
      </c>
      <c r="B185" s="95"/>
      <c r="C185" s="95" t="s">
        <v>137</v>
      </c>
      <c r="D185" s="95" t="s">
        <v>91</v>
      </c>
      <c r="E185" s="95" t="s">
        <v>577</v>
      </c>
      <c r="F185" s="95">
        <v>2.0</v>
      </c>
      <c r="G185" s="95" t="s">
        <v>740</v>
      </c>
      <c r="H185" s="63" t="str">
        <f>VLOOKUP(C185, 'Class Def. - General Data'!$C$20:$C$476,1,false)</f>
        <v>ZFG1_SEASONING</v>
      </c>
      <c r="I185" s="63" t="str">
        <f t="shared" si="1"/>
        <v>ZFG1_SEASONING2</v>
      </c>
      <c r="J185" s="63">
        <f t="shared" si="2"/>
        <v>1</v>
      </c>
    </row>
    <row r="186" ht="15.75" customHeight="1">
      <c r="A186" s="59" t="s">
        <v>93</v>
      </c>
      <c r="B186" s="95"/>
      <c r="C186" s="95" t="s">
        <v>137</v>
      </c>
      <c r="D186" s="95" t="s">
        <v>91</v>
      </c>
      <c r="E186" s="95" t="s">
        <v>577</v>
      </c>
      <c r="F186" s="95">
        <v>3.0</v>
      </c>
      <c r="G186" s="95" t="s">
        <v>741</v>
      </c>
      <c r="H186" s="63" t="str">
        <f>VLOOKUP(C186, 'Class Def. - General Data'!$C$20:$C$476,1,false)</f>
        <v>ZFG1_SEASONING</v>
      </c>
      <c r="I186" s="63" t="str">
        <f t="shared" si="1"/>
        <v>ZFG1_SEASONING3</v>
      </c>
      <c r="J186" s="63">
        <f t="shared" si="2"/>
        <v>1</v>
      </c>
    </row>
    <row r="187" ht="15.75" customHeight="1">
      <c r="A187" s="59" t="s">
        <v>93</v>
      </c>
      <c r="B187" s="95"/>
      <c r="C187" s="95" t="s">
        <v>137</v>
      </c>
      <c r="D187" s="95" t="s">
        <v>91</v>
      </c>
      <c r="E187" s="95" t="s">
        <v>577</v>
      </c>
      <c r="F187" s="95">
        <v>4.0</v>
      </c>
      <c r="G187" s="95" t="s">
        <v>742</v>
      </c>
      <c r="H187" s="63" t="str">
        <f>VLOOKUP(C187, 'Class Def. - General Data'!$C$20:$C$476,1,false)</f>
        <v>ZFG1_SEASONING</v>
      </c>
      <c r="I187" s="63" t="str">
        <f t="shared" si="1"/>
        <v>ZFG1_SEASONING4</v>
      </c>
      <c r="J187" s="63">
        <f t="shared" si="2"/>
        <v>1</v>
      </c>
    </row>
    <row r="188" ht="15.75" customHeight="1">
      <c r="A188" s="59" t="s">
        <v>93</v>
      </c>
      <c r="B188" s="95"/>
      <c r="C188" s="95" t="s">
        <v>138</v>
      </c>
      <c r="D188" s="95" t="s">
        <v>91</v>
      </c>
      <c r="E188" s="95" t="s">
        <v>577</v>
      </c>
      <c r="F188" s="95">
        <v>2.0</v>
      </c>
      <c r="G188" s="95" t="s">
        <v>743</v>
      </c>
      <c r="H188" s="63" t="str">
        <f>VLOOKUP(C188, 'Class Def. - General Data'!$C$20:$C$476,1,false)</f>
        <v>ZFG1_SKINCARE</v>
      </c>
      <c r="I188" s="63" t="str">
        <f t="shared" si="1"/>
        <v>ZFG1_SKINCARE2</v>
      </c>
      <c r="J188" s="63">
        <f t="shared" si="2"/>
        <v>1</v>
      </c>
    </row>
    <row r="189" ht="15.75" customHeight="1">
      <c r="A189" s="59" t="s">
        <v>93</v>
      </c>
      <c r="B189" s="95"/>
      <c r="C189" s="95" t="s">
        <v>138</v>
      </c>
      <c r="D189" s="95" t="s">
        <v>91</v>
      </c>
      <c r="E189" s="95" t="s">
        <v>577</v>
      </c>
      <c r="F189" s="95">
        <v>3.0</v>
      </c>
      <c r="G189" s="95" t="s">
        <v>744</v>
      </c>
      <c r="H189" s="63" t="str">
        <f>VLOOKUP(C189, 'Class Def. - General Data'!$C$20:$C$476,1,false)</f>
        <v>ZFG1_SKINCARE</v>
      </c>
      <c r="I189" s="63" t="str">
        <f t="shared" si="1"/>
        <v>ZFG1_SKINCARE3</v>
      </c>
      <c r="J189" s="63">
        <f t="shared" si="2"/>
        <v>1</v>
      </c>
    </row>
    <row r="190" ht="15.75" customHeight="1">
      <c r="A190" s="59" t="s">
        <v>93</v>
      </c>
      <c r="B190" s="95"/>
      <c r="C190" s="95" t="s">
        <v>138</v>
      </c>
      <c r="D190" s="95" t="s">
        <v>91</v>
      </c>
      <c r="E190" s="95" t="s">
        <v>577</v>
      </c>
      <c r="F190" s="95">
        <v>4.0</v>
      </c>
      <c r="G190" s="95" t="s">
        <v>745</v>
      </c>
      <c r="H190" s="63" t="str">
        <f>VLOOKUP(C190, 'Class Def. - General Data'!$C$20:$C$476,1,false)</f>
        <v>ZFG1_SKINCARE</v>
      </c>
      <c r="I190" s="63" t="str">
        <f t="shared" si="1"/>
        <v>ZFG1_SKINCARE4</v>
      </c>
      <c r="J190" s="63">
        <f t="shared" si="2"/>
        <v>1</v>
      </c>
    </row>
    <row r="191" ht="15.75" customHeight="1">
      <c r="A191" s="59" t="s">
        <v>93</v>
      </c>
      <c r="B191" s="95"/>
      <c r="C191" s="95" t="s">
        <v>139</v>
      </c>
      <c r="D191" s="95" t="s">
        <v>91</v>
      </c>
      <c r="E191" s="95" t="s">
        <v>577</v>
      </c>
      <c r="F191" s="95">
        <v>2.0</v>
      </c>
      <c r="G191" s="95" t="s">
        <v>746</v>
      </c>
      <c r="H191" s="63" t="str">
        <f>VLOOKUP(C191, 'Class Def. - General Data'!$C$20:$C$476,1,false)</f>
        <v>ZFG1_SOFTENER</v>
      </c>
      <c r="I191" s="63" t="str">
        <f t="shared" si="1"/>
        <v>ZFG1_SOFTENER2</v>
      </c>
      <c r="J191" s="63">
        <f t="shared" si="2"/>
        <v>1</v>
      </c>
    </row>
    <row r="192" ht="15.75" customHeight="1">
      <c r="A192" s="59" t="s">
        <v>93</v>
      </c>
      <c r="B192" s="95"/>
      <c r="C192" s="95" t="s">
        <v>139</v>
      </c>
      <c r="D192" s="95" t="s">
        <v>91</v>
      </c>
      <c r="E192" s="95" t="s">
        <v>577</v>
      </c>
      <c r="F192" s="95">
        <v>3.0</v>
      </c>
      <c r="G192" s="95" t="s">
        <v>723</v>
      </c>
      <c r="H192" s="63" t="str">
        <f>VLOOKUP(C192, 'Class Def. - General Data'!$C$20:$C$476,1,false)</f>
        <v>ZFG1_SOFTENER</v>
      </c>
      <c r="I192" s="63" t="str">
        <f t="shared" si="1"/>
        <v>ZFG1_SOFTENER3</v>
      </c>
      <c r="J192" s="63">
        <f t="shared" si="2"/>
        <v>1</v>
      </c>
    </row>
    <row r="193" ht="15.75" customHeight="1">
      <c r="A193" s="59" t="s">
        <v>93</v>
      </c>
      <c r="B193" s="95"/>
      <c r="C193" s="95" t="s">
        <v>139</v>
      </c>
      <c r="D193" s="95" t="s">
        <v>91</v>
      </c>
      <c r="E193" s="95" t="s">
        <v>577</v>
      </c>
      <c r="F193" s="95">
        <v>4.0</v>
      </c>
      <c r="G193" s="95" t="s">
        <v>747</v>
      </c>
      <c r="H193" s="63" t="str">
        <f>VLOOKUP(C193, 'Class Def. - General Data'!$C$20:$C$476,1,false)</f>
        <v>ZFG1_SOFTENER</v>
      </c>
      <c r="I193" s="63" t="str">
        <f t="shared" si="1"/>
        <v>ZFG1_SOFTENER4</v>
      </c>
      <c r="J193" s="63">
        <f t="shared" si="2"/>
        <v>1</v>
      </c>
    </row>
    <row r="194" ht="15.75" customHeight="1">
      <c r="A194" s="59" t="s">
        <v>93</v>
      </c>
      <c r="B194" s="95"/>
      <c r="C194" s="95" t="s">
        <v>140</v>
      </c>
      <c r="D194" s="95" t="s">
        <v>91</v>
      </c>
      <c r="E194" s="95" t="s">
        <v>577</v>
      </c>
      <c r="F194" s="95">
        <v>2.0</v>
      </c>
      <c r="G194" s="95" t="s">
        <v>748</v>
      </c>
      <c r="H194" s="63" t="str">
        <f>VLOOKUP(C194, 'Class Def. - General Data'!$C$20:$C$476,1,false)</f>
        <v>ZFG1_STAINREMOVER</v>
      </c>
      <c r="I194" s="63" t="str">
        <f t="shared" si="1"/>
        <v>ZFG1_STAINREMOVER2</v>
      </c>
      <c r="J194" s="63">
        <f t="shared" si="2"/>
        <v>1</v>
      </c>
    </row>
    <row r="195" ht="15.75" customHeight="1">
      <c r="A195" s="59" t="s">
        <v>93</v>
      </c>
      <c r="B195" s="95"/>
      <c r="C195" s="95" t="s">
        <v>140</v>
      </c>
      <c r="D195" s="95" t="s">
        <v>91</v>
      </c>
      <c r="E195" s="95" t="s">
        <v>577</v>
      </c>
      <c r="F195" s="95">
        <v>3.0</v>
      </c>
      <c r="G195" s="95" t="s">
        <v>749</v>
      </c>
      <c r="H195" s="63" t="str">
        <f>VLOOKUP(C195, 'Class Def. - General Data'!$C$20:$C$476,1,false)</f>
        <v>ZFG1_STAINREMOVER</v>
      </c>
      <c r="I195" s="63" t="str">
        <f t="shared" si="1"/>
        <v>ZFG1_STAINREMOVER3</v>
      </c>
      <c r="J195" s="63">
        <f t="shared" si="2"/>
        <v>1</v>
      </c>
    </row>
    <row r="196" ht="15.75" customHeight="1">
      <c r="A196" s="59" t="s">
        <v>93</v>
      </c>
      <c r="B196" s="95"/>
      <c r="C196" s="95" t="s">
        <v>140</v>
      </c>
      <c r="D196" s="95" t="s">
        <v>91</v>
      </c>
      <c r="E196" s="95" t="s">
        <v>577</v>
      </c>
      <c r="F196" s="96">
        <v>4.0</v>
      </c>
      <c r="G196" s="95" t="s">
        <v>749</v>
      </c>
      <c r="H196" s="63" t="str">
        <f>VLOOKUP(C196, 'Class Def. - General Data'!$C$20:$C$476,1,false)</f>
        <v>ZFG1_STAINREMOVER</v>
      </c>
      <c r="I196" s="63" t="str">
        <f t="shared" si="1"/>
        <v>ZFG1_STAINREMOVER4</v>
      </c>
      <c r="J196" s="63">
        <f t="shared" si="2"/>
        <v>1</v>
      </c>
    </row>
    <row r="197" ht="15.75" customHeight="1">
      <c r="A197" s="59"/>
      <c r="B197" s="95"/>
      <c r="C197" s="95" t="s">
        <v>133</v>
      </c>
      <c r="D197" s="95" t="s">
        <v>91</v>
      </c>
      <c r="E197" s="95" t="s">
        <v>577</v>
      </c>
      <c r="F197" s="96">
        <v>1.0</v>
      </c>
      <c r="G197" s="96" t="s">
        <v>750</v>
      </c>
      <c r="H197" s="63" t="str">
        <f>VLOOKUP(C197, 'Class Def. - General Data'!$C$20:$C$476,1,false)</f>
        <v>ZFG1_POWDRINK</v>
      </c>
      <c r="I197" s="63" t="str">
        <f t="shared" si="1"/>
        <v>ZFG1_POWDRINK1</v>
      </c>
      <c r="J197" s="63">
        <f t="shared" si="2"/>
        <v>1</v>
      </c>
    </row>
    <row r="198" ht="15.75" customHeight="1">
      <c r="A198" s="59"/>
      <c r="B198" s="95"/>
      <c r="C198" s="95" t="s">
        <v>141</v>
      </c>
      <c r="D198" s="95" t="s">
        <v>91</v>
      </c>
      <c r="E198" s="95" t="s">
        <v>577</v>
      </c>
      <c r="F198" s="96">
        <v>1.0</v>
      </c>
      <c r="G198" s="96" t="s">
        <v>751</v>
      </c>
      <c r="H198" s="63" t="str">
        <f>VLOOKUP(C198, 'Class Def. - General Data'!$C$20:$C$476,1,false)</f>
        <v>ZFG1_TOILETCLNR</v>
      </c>
      <c r="I198" s="63" t="str">
        <f t="shared" si="1"/>
        <v>ZFG1_TOILETCLNR1</v>
      </c>
      <c r="J198" s="63">
        <f t="shared" si="2"/>
        <v>1</v>
      </c>
    </row>
    <row r="199" ht="15.75" customHeight="1">
      <c r="A199" s="59"/>
      <c r="B199" s="95"/>
      <c r="C199" s="95" t="s">
        <v>99</v>
      </c>
      <c r="D199" s="95" t="s">
        <v>91</v>
      </c>
      <c r="E199" s="95" t="s">
        <v>577</v>
      </c>
      <c r="F199" s="96">
        <v>1.0</v>
      </c>
      <c r="G199" s="96" t="s">
        <v>752</v>
      </c>
      <c r="H199" s="63" t="str">
        <f>VLOOKUP(C199, 'Class Def. - General Data'!$C$20:$C$476,1,false)</f>
        <v>ZFG1_BODYBARSOAP</v>
      </c>
      <c r="I199" s="63" t="str">
        <f t="shared" si="1"/>
        <v>ZFG1_BODYBARSOAP1</v>
      </c>
      <c r="J199" s="63">
        <f t="shared" si="2"/>
        <v>1</v>
      </c>
    </row>
    <row r="200" ht="15.75" customHeight="1">
      <c r="A200" s="59"/>
      <c r="B200" s="95"/>
      <c r="C200" s="95" t="s">
        <v>113</v>
      </c>
      <c r="D200" s="95" t="s">
        <v>91</v>
      </c>
      <c r="E200" s="95" t="s">
        <v>577</v>
      </c>
      <c r="F200" s="96">
        <v>1.0</v>
      </c>
      <c r="G200" s="96" t="s">
        <v>753</v>
      </c>
      <c r="H200" s="63" t="str">
        <f>VLOOKUP(C200, 'Class Def. - General Data'!$C$20:$C$476,1,false)</f>
        <v>ZFG1_EYESMAKEUP</v>
      </c>
      <c r="I200" s="63" t="str">
        <f t="shared" si="1"/>
        <v>ZFG1_EYESMAKEUP1</v>
      </c>
      <c r="J200" s="63">
        <f t="shared" si="2"/>
        <v>1</v>
      </c>
    </row>
    <row r="201" ht="15.75" customHeight="1">
      <c r="A201" s="59"/>
      <c r="B201" s="95"/>
      <c r="C201" s="95" t="s">
        <v>108</v>
      </c>
      <c r="D201" s="95" t="s">
        <v>91</v>
      </c>
      <c r="E201" s="95" t="s">
        <v>577</v>
      </c>
      <c r="F201" s="96">
        <v>1.0</v>
      </c>
      <c r="G201" s="96" t="s">
        <v>754</v>
      </c>
      <c r="H201" s="63" t="str">
        <f>VLOOKUP(C201, 'Class Def. - General Data'!$C$20:$C$476,1,false)</f>
        <v>ZFG1_DISHWASHBAR</v>
      </c>
      <c r="I201" s="63" t="str">
        <f t="shared" si="1"/>
        <v>ZFG1_DISHWASHBAR1</v>
      </c>
      <c r="J201" s="63">
        <f t="shared" si="2"/>
        <v>1</v>
      </c>
    </row>
    <row r="202" ht="15.75" customHeight="1">
      <c r="A202" s="59"/>
      <c r="B202" s="95"/>
      <c r="C202" s="95" t="s">
        <v>123</v>
      </c>
      <c r="D202" s="95" t="s">
        <v>91</v>
      </c>
      <c r="E202" s="95" t="s">
        <v>577</v>
      </c>
      <c r="F202" s="96">
        <v>1.0</v>
      </c>
      <c r="G202" s="96" t="s">
        <v>586</v>
      </c>
      <c r="H202" s="63" t="str">
        <f>VLOOKUP(C202, 'Class Def. - General Data'!$C$20:$C$476,1,false)</f>
        <v>ZFG1_KOPI</v>
      </c>
      <c r="I202" s="63" t="str">
        <f t="shared" si="1"/>
        <v>ZFG1_KOPI1</v>
      </c>
      <c r="J202" s="63">
        <f t="shared" si="2"/>
        <v>1</v>
      </c>
    </row>
    <row r="203" ht="15.75" customHeight="1">
      <c r="A203" s="59" t="s">
        <v>93</v>
      </c>
      <c r="B203" s="95"/>
      <c r="C203" s="95" t="s">
        <v>142</v>
      </c>
      <c r="D203" s="95" t="s">
        <v>91</v>
      </c>
      <c r="E203" s="95" t="s">
        <v>577</v>
      </c>
      <c r="F203" s="95">
        <v>2.0</v>
      </c>
      <c r="G203" s="95" t="s">
        <v>755</v>
      </c>
      <c r="H203" s="63" t="str">
        <f>VLOOKUP(C203, 'Class Def. - General Data'!$C$20:$C$476,1,false)</f>
        <v>ZFG1_TOOTHBRUSH</v>
      </c>
      <c r="I203" s="63" t="str">
        <f t="shared" si="1"/>
        <v>ZFG1_TOOTHBRUSH2</v>
      </c>
      <c r="J203" s="63">
        <f t="shared" si="2"/>
        <v>1</v>
      </c>
    </row>
    <row r="204" ht="15.75" customHeight="1">
      <c r="A204" s="59" t="s">
        <v>93</v>
      </c>
      <c r="B204" s="95"/>
      <c r="C204" s="95" t="s">
        <v>142</v>
      </c>
      <c r="D204" s="95" t="s">
        <v>91</v>
      </c>
      <c r="E204" s="95" t="s">
        <v>577</v>
      </c>
      <c r="F204" s="95">
        <v>3.0</v>
      </c>
      <c r="G204" s="95" t="s">
        <v>756</v>
      </c>
      <c r="H204" s="63" t="str">
        <f>VLOOKUP(C204, 'Class Def. - General Data'!$C$20:$C$476,1,false)</f>
        <v>ZFG1_TOOTHBRUSH</v>
      </c>
      <c r="I204" s="63" t="str">
        <f t="shared" si="1"/>
        <v>ZFG1_TOOTHBRUSH3</v>
      </c>
      <c r="J204" s="63">
        <f t="shared" si="2"/>
        <v>1</v>
      </c>
    </row>
    <row r="205" ht="15.75" customHeight="1">
      <c r="A205" s="59" t="s">
        <v>93</v>
      </c>
      <c r="B205" s="95"/>
      <c r="C205" s="95" t="s">
        <v>142</v>
      </c>
      <c r="D205" s="95" t="s">
        <v>91</v>
      </c>
      <c r="E205" s="95" t="s">
        <v>577</v>
      </c>
      <c r="F205" s="95">
        <v>4.0</v>
      </c>
      <c r="G205" s="95" t="s">
        <v>757</v>
      </c>
      <c r="H205" s="63" t="str">
        <f>VLOOKUP(C205, 'Class Def. - General Data'!$C$20:$C$476,1,false)</f>
        <v>ZFG1_TOOTHBRUSH</v>
      </c>
      <c r="I205" s="63" t="str">
        <f t="shared" si="1"/>
        <v>ZFG1_TOOTHBRUSH4</v>
      </c>
      <c r="J205" s="63">
        <f t="shared" si="2"/>
        <v>1</v>
      </c>
    </row>
    <row r="206" ht="15.75" customHeight="1">
      <c r="A206" s="59" t="s">
        <v>93</v>
      </c>
      <c r="B206" s="95"/>
      <c r="C206" s="95" t="s">
        <v>143</v>
      </c>
      <c r="D206" s="95" t="s">
        <v>91</v>
      </c>
      <c r="E206" s="95" t="s">
        <v>577</v>
      </c>
      <c r="F206" s="95">
        <v>2.0</v>
      </c>
      <c r="G206" s="95" t="s">
        <v>758</v>
      </c>
      <c r="H206" s="63" t="str">
        <f>VLOOKUP(C206, 'Class Def. - General Data'!$C$20:$C$476,1,false)</f>
        <v>ZFG1_TOPTOTOE</v>
      </c>
      <c r="I206" s="63" t="str">
        <f t="shared" si="1"/>
        <v>ZFG1_TOPTOTOE2</v>
      </c>
      <c r="J206" s="63">
        <f t="shared" si="2"/>
        <v>1</v>
      </c>
    </row>
    <row r="207" ht="15.75" customHeight="1">
      <c r="A207" s="59" t="s">
        <v>93</v>
      </c>
      <c r="B207" s="95"/>
      <c r="C207" s="95" t="s">
        <v>143</v>
      </c>
      <c r="D207" s="95" t="s">
        <v>91</v>
      </c>
      <c r="E207" s="95" t="s">
        <v>577</v>
      </c>
      <c r="F207" s="95">
        <v>3.0</v>
      </c>
      <c r="G207" s="95" t="s">
        <v>759</v>
      </c>
      <c r="H207" s="63" t="str">
        <f>VLOOKUP(C207, 'Class Def. - General Data'!$C$20:$C$476,1,false)</f>
        <v>ZFG1_TOPTOTOE</v>
      </c>
      <c r="I207" s="63" t="str">
        <f t="shared" si="1"/>
        <v>ZFG1_TOPTOTOE3</v>
      </c>
      <c r="J207" s="63">
        <f t="shared" si="2"/>
        <v>1</v>
      </c>
    </row>
    <row r="208" ht="15.75" customHeight="1">
      <c r="A208" s="59" t="s">
        <v>93</v>
      </c>
      <c r="B208" s="95"/>
      <c r="C208" s="95" t="s">
        <v>143</v>
      </c>
      <c r="D208" s="95" t="s">
        <v>91</v>
      </c>
      <c r="E208" s="95" t="s">
        <v>577</v>
      </c>
      <c r="F208" s="95">
        <v>4.0</v>
      </c>
      <c r="G208" s="95" t="s">
        <v>760</v>
      </c>
      <c r="H208" s="63" t="str">
        <f>VLOOKUP(C208, 'Class Def. - General Data'!$C$20:$C$476,1,false)</f>
        <v>ZFG1_TOPTOTOE</v>
      </c>
      <c r="I208" s="63" t="str">
        <f t="shared" si="1"/>
        <v>ZFG1_TOPTOTOE4</v>
      </c>
      <c r="J208" s="63">
        <f t="shared" si="2"/>
        <v>1</v>
      </c>
    </row>
    <row r="209" ht="15.75" customHeight="1">
      <c r="A209" s="59" t="s">
        <v>93</v>
      </c>
      <c r="B209" s="95"/>
      <c r="C209" s="95" t="s">
        <v>144</v>
      </c>
      <c r="D209" s="95" t="s">
        <v>91</v>
      </c>
      <c r="E209" s="95" t="s">
        <v>577</v>
      </c>
      <c r="F209" s="95">
        <v>2.0</v>
      </c>
      <c r="G209" s="95" t="s">
        <v>761</v>
      </c>
      <c r="H209" s="63" t="str">
        <f>VLOOKUP(C209, 'Class Def. - General Data'!$C$20:$C$476,1,false)</f>
        <v>ZFG1_WETWIPES</v>
      </c>
      <c r="I209" s="63" t="str">
        <f t="shared" si="1"/>
        <v>ZFG1_WETWIPES2</v>
      </c>
      <c r="J209" s="63">
        <f t="shared" si="2"/>
        <v>1</v>
      </c>
    </row>
    <row r="210" ht="15.75" customHeight="1">
      <c r="A210" s="59" t="s">
        <v>93</v>
      </c>
      <c r="B210" s="95"/>
      <c r="C210" s="95" t="s">
        <v>144</v>
      </c>
      <c r="D210" s="95" t="s">
        <v>91</v>
      </c>
      <c r="E210" s="95" t="s">
        <v>577</v>
      </c>
      <c r="F210" s="95">
        <v>3.0</v>
      </c>
      <c r="G210" s="95" t="s">
        <v>762</v>
      </c>
      <c r="H210" s="63" t="str">
        <f>VLOOKUP(C210, 'Class Def. - General Data'!$C$20:$C$476,1,false)</f>
        <v>ZFG1_WETWIPES</v>
      </c>
      <c r="I210" s="63" t="str">
        <f t="shared" si="1"/>
        <v>ZFG1_WETWIPES3</v>
      </c>
      <c r="J210" s="63">
        <f t="shared" si="2"/>
        <v>1</v>
      </c>
    </row>
    <row r="211" ht="15.75" customHeight="1">
      <c r="A211" s="59" t="s">
        <v>93</v>
      </c>
      <c r="B211" s="95"/>
      <c r="C211" s="95" t="s">
        <v>144</v>
      </c>
      <c r="D211" s="95" t="s">
        <v>91</v>
      </c>
      <c r="E211" s="95" t="s">
        <v>577</v>
      </c>
      <c r="F211" s="95">
        <v>4.0</v>
      </c>
      <c r="G211" s="95" t="s">
        <v>763</v>
      </c>
      <c r="H211" s="63" t="str">
        <f>VLOOKUP(C211, 'Class Def. - General Data'!$C$20:$C$476,1,false)</f>
        <v>ZFG1_WETWIPES</v>
      </c>
      <c r="I211" s="63" t="str">
        <f t="shared" si="1"/>
        <v>ZFG1_WETWIPES4</v>
      </c>
      <c r="J211" s="63">
        <f t="shared" si="2"/>
        <v>1</v>
      </c>
    </row>
    <row r="212" ht="15.75" customHeight="1">
      <c r="A212" s="59" t="s">
        <v>93</v>
      </c>
      <c r="B212" s="95"/>
      <c r="C212" s="95" t="s">
        <v>145</v>
      </c>
      <c r="D212" s="95" t="s">
        <v>91</v>
      </c>
      <c r="E212" s="95" t="s">
        <v>577</v>
      </c>
      <c r="F212" s="95">
        <v>1.0</v>
      </c>
      <c r="G212" s="95" t="s">
        <v>764</v>
      </c>
      <c r="H212" s="63" t="str">
        <f>VLOOKUP(C212, 'Class Def. - General Data'!$C$20:$C$476,1,false)</f>
        <v>ZBL1_PAKET</v>
      </c>
      <c r="I212" s="63" t="str">
        <f t="shared" si="1"/>
        <v>ZBL1_PAKET1</v>
      </c>
      <c r="J212" s="63">
        <f t="shared" si="2"/>
        <v>1</v>
      </c>
    </row>
    <row r="213" ht="15.75" customHeight="1">
      <c r="A213" s="59" t="s">
        <v>93</v>
      </c>
      <c r="B213" s="95"/>
      <c r="C213" s="95" t="s">
        <v>145</v>
      </c>
      <c r="D213" s="95" t="s">
        <v>91</v>
      </c>
      <c r="E213" s="95" t="s">
        <v>577</v>
      </c>
      <c r="F213" s="95">
        <v>2.0</v>
      </c>
      <c r="G213" s="95" t="s">
        <v>765</v>
      </c>
      <c r="H213" s="63" t="str">
        <f>VLOOKUP(C213, 'Class Def. - General Data'!$C$20:$C$476,1,false)</f>
        <v>ZBL1_PAKET</v>
      </c>
      <c r="I213" s="63" t="str">
        <f t="shared" si="1"/>
        <v>ZBL1_PAKET2</v>
      </c>
      <c r="J213" s="63">
        <f t="shared" si="2"/>
        <v>1</v>
      </c>
    </row>
    <row r="214" ht="15.75" customHeight="1">
      <c r="A214" s="59" t="s">
        <v>93</v>
      </c>
      <c r="B214" s="95"/>
      <c r="C214" s="95" t="s">
        <v>145</v>
      </c>
      <c r="D214" s="95" t="s">
        <v>91</v>
      </c>
      <c r="E214" s="95" t="s">
        <v>577</v>
      </c>
      <c r="F214" s="95">
        <v>3.0</v>
      </c>
      <c r="G214" s="95" t="s">
        <v>766</v>
      </c>
      <c r="H214" s="63" t="str">
        <f>VLOOKUP(C214, 'Class Def. - General Data'!$C$20:$C$476,1,false)</f>
        <v>ZBL1_PAKET</v>
      </c>
      <c r="I214" s="63" t="str">
        <f t="shared" si="1"/>
        <v>ZBL1_PAKET3</v>
      </c>
      <c r="J214" s="63">
        <f t="shared" si="2"/>
        <v>1</v>
      </c>
    </row>
    <row r="215" ht="15.75" customHeight="1">
      <c r="A215" s="59" t="s">
        <v>93</v>
      </c>
      <c r="B215" s="95"/>
      <c r="C215" s="95" t="s">
        <v>184</v>
      </c>
      <c r="D215" s="95" t="s">
        <v>91</v>
      </c>
      <c r="E215" s="95" t="s">
        <v>577</v>
      </c>
      <c r="F215" s="95">
        <v>1.0</v>
      </c>
      <c r="G215" s="95" t="s">
        <v>767</v>
      </c>
      <c r="H215" s="63" t="str">
        <f>VLOOKUP(C215, 'Class Def. - General Data'!$C$20:$C$476,1,false)</f>
        <v>ZSF1_COPRODUCT</v>
      </c>
      <c r="I215" s="63" t="str">
        <f t="shared" si="1"/>
        <v>ZSF1_COPRODUCT1</v>
      </c>
      <c r="J215" s="63">
        <f t="shared" si="2"/>
        <v>1</v>
      </c>
    </row>
    <row r="216" ht="15.75" customHeight="1">
      <c r="A216" s="59" t="s">
        <v>93</v>
      </c>
      <c r="B216" s="95"/>
      <c r="C216" s="95" t="s">
        <v>185</v>
      </c>
      <c r="D216" s="95" t="s">
        <v>91</v>
      </c>
      <c r="E216" s="95" t="s">
        <v>577</v>
      </c>
      <c r="F216" s="95">
        <v>1.0</v>
      </c>
      <c r="G216" s="95" t="s">
        <v>768</v>
      </c>
      <c r="H216" s="63" t="str">
        <f>VLOOKUP(C216, 'Class Def. - General Data'!$C$20:$C$476,1,false)</f>
        <v>ZSF1_INTD_DRYVEG</v>
      </c>
      <c r="I216" s="63" t="str">
        <f t="shared" si="1"/>
        <v>ZSF1_INTD_DRYVEG1</v>
      </c>
      <c r="J216" s="63">
        <f t="shared" si="2"/>
        <v>1</v>
      </c>
    </row>
    <row r="217" ht="15.75" customHeight="1">
      <c r="A217" s="59" t="s">
        <v>93</v>
      </c>
      <c r="B217" s="95"/>
      <c r="C217" s="95" t="s">
        <v>186</v>
      </c>
      <c r="D217" s="95" t="s">
        <v>91</v>
      </c>
      <c r="E217" s="95" t="s">
        <v>577</v>
      </c>
      <c r="F217" s="95">
        <v>1.0</v>
      </c>
      <c r="G217" s="95" t="s">
        <v>769</v>
      </c>
      <c r="H217" s="63" t="str">
        <f>VLOOKUP(C217, 'Class Def. - General Data'!$C$20:$C$476,1,false)</f>
        <v>ZSF1_INTD_GARNISH</v>
      </c>
      <c r="I217" s="63" t="str">
        <f t="shared" si="1"/>
        <v>ZSF1_INTD_GARNISH1</v>
      </c>
      <c r="J217" s="63">
        <f t="shared" si="2"/>
        <v>1</v>
      </c>
    </row>
    <row r="218" ht="15.75" customHeight="1">
      <c r="A218" s="59" t="s">
        <v>93</v>
      </c>
      <c r="B218" s="95"/>
      <c r="C218" s="95" t="s">
        <v>187</v>
      </c>
      <c r="D218" s="95" t="s">
        <v>91</v>
      </c>
      <c r="E218" s="95" t="s">
        <v>577</v>
      </c>
      <c r="F218" s="95">
        <v>1.0</v>
      </c>
      <c r="G218" s="95" t="s">
        <v>770</v>
      </c>
      <c r="H218" s="63" t="str">
        <f>VLOOKUP(C218, 'Class Def. - General Data'!$C$20:$C$476,1,false)</f>
        <v>ZSF1_INTD_GOODS</v>
      </c>
      <c r="I218" s="63" t="str">
        <f t="shared" si="1"/>
        <v>ZSF1_INTD_GOODS1</v>
      </c>
      <c r="J218" s="63">
        <f t="shared" si="2"/>
        <v>1</v>
      </c>
    </row>
    <row r="219" ht="15.75" customHeight="1">
      <c r="A219" s="59" t="s">
        <v>93</v>
      </c>
      <c r="B219" s="95"/>
      <c r="C219" s="95" t="s">
        <v>188</v>
      </c>
      <c r="D219" s="95" t="s">
        <v>91</v>
      </c>
      <c r="E219" s="95" t="s">
        <v>577</v>
      </c>
      <c r="F219" s="95">
        <v>1.0</v>
      </c>
      <c r="G219" s="95" t="s">
        <v>771</v>
      </c>
      <c r="H219" s="63" t="str">
        <f>VLOOKUP(C219, 'Class Def. - General Data'!$C$20:$C$476,1,false)</f>
        <v>ZSF1_INTD_OIL</v>
      </c>
      <c r="I219" s="63" t="str">
        <f t="shared" si="1"/>
        <v>ZSF1_INTD_OIL1</v>
      </c>
      <c r="J219" s="63">
        <f t="shared" si="2"/>
        <v>1</v>
      </c>
    </row>
    <row r="220" ht="15.75" customHeight="1">
      <c r="A220" s="59" t="s">
        <v>93</v>
      </c>
      <c r="B220" s="95"/>
      <c r="C220" s="95" t="s">
        <v>189</v>
      </c>
      <c r="D220" s="95" t="s">
        <v>91</v>
      </c>
      <c r="E220" s="95" t="s">
        <v>577</v>
      </c>
      <c r="F220" s="95">
        <v>1.0</v>
      </c>
      <c r="G220" s="95" t="s">
        <v>772</v>
      </c>
      <c r="H220" s="63" t="str">
        <f>VLOOKUP(C220, 'Class Def. - General Data'!$C$20:$C$476,1,false)</f>
        <v>ZSF1_INTD_POWDER</v>
      </c>
      <c r="I220" s="63" t="str">
        <f t="shared" si="1"/>
        <v>ZSF1_INTD_POWDER1</v>
      </c>
      <c r="J220" s="63">
        <f t="shared" si="2"/>
        <v>1</v>
      </c>
    </row>
    <row r="221" ht="15.75" customHeight="1">
      <c r="A221" s="59" t="s">
        <v>93</v>
      </c>
      <c r="B221" s="95"/>
      <c r="C221" s="95" t="s">
        <v>190</v>
      </c>
      <c r="D221" s="95" t="s">
        <v>91</v>
      </c>
      <c r="E221" s="95" t="s">
        <v>577</v>
      </c>
      <c r="F221" s="95">
        <v>1.0</v>
      </c>
      <c r="G221" s="95" t="s">
        <v>773</v>
      </c>
      <c r="H221" s="63" t="str">
        <f>VLOOKUP(C221, 'Class Def. - General Data'!$C$20:$C$476,1,false)</f>
        <v>ZSF1_INTD_RAWMAT</v>
      </c>
      <c r="I221" s="63" t="str">
        <f t="shared" si="1"/>
        <v>ZSF1_INTD_RAWMAT1</v>
      </c>
      <c r="J221" s="63">
        <f t="shared" si="2"/>
        <v>1</v>
      </c>
    </row>
    <row r="222" ht="15.75" customHeight="1">
      <c r="A222" s="59" t="s">
        <v>93</v>
      </c>
      <c r="B222" s="95"/>
      <c r="C222" s="95" t="s">
        <v>191</v>
      </c>
      <c r="D222" s="95" t="s">
        <v>91</v>
      </c>
      <c r="E222" s="95" t="s">
        <v>577</v>
      </c>
      <c r="F222" s="95">
        <v>1.0</v>
      </c>
      <c r="G222" s="95" t="s">
        <v>774</v>
      </c>
      <c r="H222" s="63" t="str">
        <f>VLOOKUP(C222, 'Class Def. - General Data'!$C$20:$C$476,1,false)</f>
        <v>ZSF1_INTD_SAMBAL</v>
      </c>
      <c r="I222" s="63" t="str">
        <f t="shared" si="1"/>
        <v>ZSF1_INTD_SAMBAL1</v>
      </c>
      <c r="J222" s="63">
        <f t="shared" si="2"/>
        <v>1</v>
      </c>
    </row>
    <row r="223" ht="15.75" customHeight="1">
      <c r="A223" s="59" t="s">
        <v>93</v>
      </c>
      <c r="B223" s="95"/>
      <c r="C223" s="95" t="s">
        <v>192</v>
      </c>
      <c r="D223" s="95" t="s">
        <v>91</v>
      </c>
      <c r="E223" s="95" t="s">
        <v>577</v>
      </c>
      <c r="F223" s="95">
        <v>1.0</v>
      </c>
      <c r="G223" s="95" t="s">
        <v>775</v>
      </c>
      <c r="H223" s="63" t="str">
        <f>VLOOKUP(C223, 'Class Def. - General Data'!$C$20:$C$476,1,false)</f>
        <v>ZSF1_PACK_DRYVEG</v>
      </c>
      <c r="I223" s="63" t="str">
        <f t="shared" si="1"/>
        <v>ZSF1_PACK_DRYVEG1</v>
      </c>
      <c r="J223" s="63">
        <f t="shared" si="2"/>
        <v>1</v>
      </c>
    </row>
    <row r="224" ht="15.75" customHeight="1">
      <c r="A224" s="59" t="s">
        <v>93</v>
      </c>
      <c r="B224" s="95"/>
      <c r="C224" s="95" t="s">
        <v>193</v>
      </c>
      <c r="D224" s="95" t="s">
        <v>91</v>
      </c>
      <c r="E224" s="95" t="s">
        <v>577</v>
      </c>
      <c r="F224" s="95">
        <v>1.0</v>
      </c>
      <c r="G224" s="95" t="s">
        <v>776</v>
      </c>
      <c r="H224" s="63" t="str">
        <f>VLOOKUP(C224, 'Class Def. - General Data'!$C$20:$C$476,1,false)</f>
        <v>ZSF1_PACK_POWDER</v>
      </c>
      <c r="I224" s="63" t="str">
        <f t="shared" si="1"/>
        <v>ZSF1_PACK_POWDER1</v>
      </c>
      <c r="J224" s="63">
        <f t="shared" si="2"/>
        <v>1</v>
      </c>
    </row>
    <row r="225" ht="15.75" customHeight="1">
      <c r="A225" s="59" t="s">
        <v>93</v>
      </c>
      <c r="B225" s="95"/>
      <c r="C225" s="95" t="s">
        <v>195</v>
      </c>
      <c r="D225" s="95" t="s">
        <v>91</v>
      </c>
      <c r="E225" s="95" t="s">
        <v>577</v>
      </c>
      <c r="F225" s="95">
        <v>1.0</v>
      </c>
      <c r="G225" s="96" t="s">
        <v>777</v>
      </c>
      <c r="H225" s="63" t="str">
        <f>VLOOKUP(C225, 'Class Def. - General Data'!$C$20:$C$476,1,false)</f>
        <v>ZSF1_PACK_GARNISH</v>
      </c>
      <c r="I225" s="63" t="str">
        <f t="shared" si="1"/>
        <v>ZSF1_PACK_GARNISH1</v>
      </c>
      <c r="J225" s="63">
        <f t="shared" si="2"/>
        <v>1</v>
      </c>
    </row>
    <row r="226" ht="15.75" customHeight="1">
      <c r="A226" s="59" t="s">
        <v>93</v>
      </c>
      <c r="B226" s="95"/>
      <c r="C226" s="95" t="s">
        <v>196</v>
      </c>
      <c r="D226" s="95" t="s">
        <v>91</v>
      </c>
      <c r="E226" s="95" t="s">
        <v>577</v>
      </c>
      <c r="F226" s="95">
        <v>1.0</v>
      </c>
      <c r="G226" s="96" t="s">
        <v>778</v>
      </c>
      <c r="H226" s="63" t="str">
        <f>VLOOKUP(C226, 'Class Def. - General Data'!$C$20:$C$476,1,false)</f>
        <v>ZSF1_PACK_OIL</v>
      </c>
      <c r="I226" s="63" t="str">
        <f t="shared" si="1"/>
        <v>ZSF1_PACK_OIL1</v>
      </c>
      <c r="J226" s="63">
        <f t="shared" si="2"/>
        <v>1</v>
      </c>
    </row>
    <row r="227" ht="15.75" customHeight="1">
      <c r="A227" s="59" t="s">
        <v>93</v>
      </c>
      <c r="B227" s="95"/>
      <c r="C227" s="95" t="s">
        <v>197</v>
      </c>
      <c r="D227" s="95" t="s">
        <v>91</v>
      </c>
      <c r="E227" s="95" t="s">
        <v>577</v>
      </c>
      <c r="F227" s="95">
        <v>1.0</v>
      </c>
      <c r="G227" s="95" t="s">
        <v>779</v>
      </c>
      <c r="H227" s="63" t="str">
        <f>VLOOKUP(C227, 'Class Def. - General Data'!$C$20:$C$476,1,false)</f>
        <v>ZSF1_PINTD_FRESMAT</v>
      </c>
      <c r="I227" s="63" t="str">
        <f t="shared" si="1"/>
        <v>ZSF1_PINTD_FRESMAT1</v>
      </c>
      <c r="J227" s="63">
        <f t="shared" si="2"/>
        <v>1</v>
      </c>
    </row>
    <row r="228" ht="15.75" customHeight="1">
      <c r="A228" s="59" t="s">
        <v>93</v>
      </c>
      <c r="B228" s="95"/>
      <c r="C228" s="95" t="s">
        <v>198</v>
      </c>
      <c r="D228" s="95" t="s">
        <v>91</v>
      </c>
      <c r="E228" s="95" t="s">
        <v>577</v>
      </c>
      <c r="F228" s="95">
        <v>1.0</v>
      </c>
      <c r="G228" s="95" t="s">
        <v>780</v>
      </c>
      <c r="H228" s="63" t="str">
        <f>VLOOKUP(C228, 'Class Def. - General Data'!$C$20:$C$476,1,false)</f>
        <v>ZSF1_PINTD_GARNISH</v>
      </c>
      <c r="I228" s="63" t="str">
        <f t="shared" si="1"/>
        <v>ZSF1_PINTD_GARNISH1</v>
      </c>
      <c r="J228" s="63">
        <f t="shared" si="2"/>
        <v>1</v>
      </c>
    </row>
    <row r="229" ht="15.75" customHeight="1">
      <c r="A229" s="59" t="s">
        <v>93</v>
      </c>
      <c r="B229" s="95"/>
      <c r="C229" s="95" t="s">
        <v>199</v>
      </c>
      <c r="D229" s="95" t="s">
        <v>91</v>
      </c>
      <c r="E229" s="95" t="s">
        <v>577</v>
      </c>
      <c r="F229" s="95">
        <v>1.0</v>
      </c>
      <c r="G229" s="95" t="s">
        <v>781</v>
      </c>
      <c r="H229" s="63" t="str">
        <f>VLOOKUP(C229, 'Class Def. - General Data'!$C$20:$C$476,1,false)</f>
        <v>ZSF1_PINTD_OIL</v>
      </c>
      <c r="I229" s="63" t="str">
        <f t="shared" si="1"/>
        <v>ZSF1_PINTD_OIL1</v>
      </c>
      <c r="J229" s="63">
        <f t="shared" si="2"/>
        <v>1</v>
      </c>
    </row>
    <row r="230" ht="15.75" customHeight="1">
      <c r="A230" s="59" t="s">
        <v>93</v>
      </c>
      <c r="B230" s="95"/>
      <c r="C230" s="95" t="s">
        <v>200</v>
      </c>
      <c r="D230" s="95" t="s">
        <v>91</v>
      </c>
      <c r="E230" s="95" t="s">
        <v>577</v>
      </c>
      <c r="F230" s="95">
        <v>1.0</v>
      </c>
      <c r="G230" s="95" t="s">
        <v>782</v>
      </c>
      <c r="H230" s="63" t="str">
        <f>VLOOKUP(C230, 'Class Def. - General Data'!$C$20:$C$476,1,false)</f>
        <v>ZSF1_PINTD_PREMIX</v>
      </c>
      <c r="I230" s="63" t="str">
        <f t="shared" si="1"/>
        <v>ZSF1_PINTD_PREMIX1</v>
      </c>
      <c r="J230" s="63">
        <f t="shared" si="2"/>
        <v>1</v>
      </c>
    </row>
    <row r="231" ht="15.75" customHeight="1">
      <c r="A231" s="59" t="s">
        <v>93</v>
      </c>
      <c r="B231" s="95"/>
      <c r="C231" s="95" t="s">
        <v>201</v>
      </c>
      <c r="D231" s="95" t="s">
        <v>91</v>
      </c>
      <c r="E231" s="95" t="s">
        <v>577</v>
      </c>
      <c r="F231" s="95">
        <v>1.0</v>
      </c>
      <c r="G231" s="95" t="s">
        <v>783</v>
      </c>
      <c r="H231" s="63" t="str">
        <f>VLOOKUP(C231, 'Class Def. - General Data'!$C$20:$C$476,1,false)</f>
        <v>ZSF1_PINTD_PMX_SSN</v>
      </c>
      <c r="I231" s="63" t="str">
        <f t="shared" si="1"/>
        <v>ZSF1_PINTD_PMX_SSN1</v>
      </c>
      <c r="J231" s="63">
        <f t="shared" si="2"/>
        <v>1</v>
      </c>
    </row>
    <row r="232" ht="15.75" customHeight="1">
      <c r="A232" s="59" t="s">
        <v>93</v>
      </c>
      <c r="B232" s="95"/>
      <c r="C232" s="95" t="s">
        <v>202</v>
      </c>
      <c r="D232" s="95" t="s">
        <v>91</v>
      </c>
      <c r="E232" s="95" t="s">
        <v>577</v>
      </c>
      <c r="F232" s="95">
        <v>1.0</v>
      </c>
      <c r="G232" s="95" t="s">
        <v>784</v>
      </c>
      <c r="H232" s="63" t="str">
        <f>VLOOKUP(C232, 'Class Def. - General Data'!$C$20:$C$476,1,false)</f>
        <v>ZSF1_REUSEABLE_PCK</v>
      </c>
      <c r="I232" s="63" t="str">
        <f t="shared" si="1"/>
        <v>ZSF1_REUSEABLE_PCK1</v>
      </c>
      <c r="J232" s="63">
        <f t="shared" si="2"/>
        <v>1</v>
      </c>
    </row>
    <row r="233" ht="15.75" customHeight="1">
      <c r="A233" s="59" t="s">
        <v>93</v>
      </c>
      <c r="B233" s="95"/>
      <c r="C233" s="95" t="s">
        <v>203</v>
      </c>
      <c r="D233" s="95" t="s">
        <v>91</v>
      </c>
      <c r="E233" s="95" t="s">
        <v>577</v>
      </c>
      <c r="F233" s="95">
        <v>1.0</v>
      </c>
      <c r="G233" s="95" t="s">
        <v>785</v>
      </c>
      <c r="H233" s="63" t="str">
        <f>VLOOKUP(C233, 'Class Def. - General Data'!$C$20:$C$476,1,false)</f>
        <v>ZSF1_SECONDARY</v>
      </c>
      <c r="I233" s="63" t="str">
        <f t="shared" si="1"/>
        <v>ZSF1_SECONDARY1</v>
      </c>
      <c r="J233" s="63">
        <f t="shared" si="2"/>
        <v>1</v>
      </c>
    </row>
    <row r="234" ht="15.75" customHeight="1">
      <c r="A234" s="59" t="s">
        <v>93</v>
      </c>
      <c r="B234" s="95"/>
      <c r="C234" s="95" t="s">
        <v>204</v>
      </c>
      <c r="D234" s="95" t="s">
        <v>91</v>
      </c>
      <c r="E234" s="95" t="s">
        <v>577</v>
      </c>
      <c r="F234" s="95">
        <v>1.0</v>
      </c>
      <c r="G234" s="95" t="s">
        <v>786</v>
      </c>
      <c r="H234" s="63" t="str">
        <f>VLOOKUP(C234, 'Class Def. - General Data'!$C$20:$C$476,1,false)</f>
        <v>ZSF1_SIDEPRODUCT</v>
      </c>
      <c r="I234" s="63" t="str">
        <f t="shared" si="1"/>
        <v>ZSF1_SIDEPRODUCT1</v>
      </c>
      <c r="J234" s="63">
        <f t="shared" si="2"/>
        <v>1</v>
      </c>
    </row>
    <row r="235" ht="15.75" customHeight="1">
      <c r="A235" s="59" t="s">
        <v>93</v>
      </c>
      <c r="B235" s="95"/>
      <c r="C235" s="95" t="s">
        <v>184</v>
      </c>
      <c r="D235" s="95" t="s">
        <v>91</v>
      </c>
      <c r="E235" s="95" t="s">
        <v>577</v>
      </c>
      <c r="F235" s="95">
        <v>2.0</v>
      </c>
      <c r="G235" s="95" t="s">
        <v>787</v>
      </c>
      <c r="H235" s="63" t="str">
        <f>VLOOKUP(C235, 'Class Def. - General Data'!$C$20:$C$476,1,false)</f>
        <v>ZSF1_COPRODUCT</v>
      </c>
      <c r="I235" s="63" t="str">
        <f t="shared" si="1"/>
        <v>ZSF1_COPRODUCT2</v>
      </c>
      <c r="J235" s="63">
        <f t="shared" si="2"/>
        <v>1</v>
      </c>
    </row>
    <row r="236" ht="15.75" customHeight="1">
      <c r="A236" s="59" t="s">
        <v>93</v>
      </c>
      <c r="B236" s="95"/>
      <c r="C236" s="95" t="s">
        <v>184</v>
      </c>
      <c r="D236" s="95" t="s">
        <v>91</v>
      </c>
      <c r="E236" s="95" t="s">
        <v>577</v>
      </c>
      <c r="F236" s="95">
        <v>3.0</v>
      </c>
      <c r="G236" s="95" t="s">
        <v>788</v>
      </c>
      <c r="H236" s="63" t="str">
        <f>VLOOKUP(C236, 'Class Def. - General Data'!$C$20:$C$476,1,false)</f>
        <v>ZSF1_COPRODUCT</v>
      </c>
      <c r="I236" s="63" t="str">
        <f t="shared" si="1"/>
        <v>ZSF1_COPRODUCT3</v>
      </c>
      <c r="J236" s="63">
        <f t="shared" si="2"/>
        <v>1</v>
      </c>
    </row>
    <row r="237" ht="15.75" customHeight="1">
      <c r="A237" s="59" t="s">
        <v>93</v>
      </c>
      <c r="B237" s="95"/>
      <c r="C237" s="95" t="s">
        <v>184</v>
      </c>
      <c r="D237" s="95" t="s">
        <v>91</v>
      </c>
      <c r="E237" s="95" t="s">
        <v>577</v>
      </c>
      <c r="F237" s="95">
        <v>4.0</v>
      </c>
      <c r="G237" s="95" t="s">
        <v>789</v>
      </c>
      <c r="H237" s="63" t="str">
        <f>VLOOKUP(C237, 'Class Def. - General Data'!$C$20:$C$476,1,false)</f>
        <v>ZSF1_COPRODUCT</v>
      </c>
      <c r="I237" s="63" t="str">
        <f t="shared" si="1"/>
        <v>ZSF1_COPRODUCT4</v>
      </c>
      <c r="J237" s="63">
        <f t="shared" si="2"/>
        <v>1</v>
      </c>
    </row>
    <row r="238" ht="15.75" customHeight="1">
      <c r="A238" s="59" t="s">
        <v>93</v>
      </c>
      <c r="B238" s="95"/>
      <c r="C238" s="95" t="s">
        <v>184</v>
      </c>
      <c r="D238" s="95" t="s">
        <v>91</v>
      </c>
      <c r="E238" s="95" t="s">
        <v>577</v>
      </c>
      <c r="F238" s="95">
        <v>5.0</v>
      </c>
      <c r="G238" s="95" t="s">
        <v>790</v>
      </c>
      <c r="H238" s="63" t="str">
        <f>VLOOKUP(C238, 'Class Def. - General Data'!$C$20:$C$476,1,false)</f>
        <v>ZSF1_COPRODUCT</v>
      </c>
      <c r="I238" s="63" t="str">
        <f t="shared" si="1"/>
        <v>ZSF1_COPRODUCT5</v>
      </c>
      <c r="J238" s="63">
        <f t="shared" si="2"/>
        <v>1</v>
      </c>
    </row>
    <row r="239" ht="15.75" customHeight="1">
      <c r="A239" s="59" t="s">
        <v>93</v>
      </c>
      <c r="B239" s="95"/>
      <c r="C239" s="95" t="s">
        <v>184</v>
      </c>
      <c r="D239" s="95" t="s">
        <v>91</v>
      </c>
      <c r="E239" s="95" t="s">
        <v>577</v>
      </c>
      <c r="F239" s="95">
        <v>6.0</v>
      </c>
      <c r="G239" s="95" t="s">
        <v>791</v>
      </c>
      <c r="H239" s="63" t="str">
        <f>VLOOKUP(C239, 'Class Def. - General Data'!$C$20:$C$476,1,false)</f>
        <v>ZSF1_COPRODUCT</v>
      </c>
      <c r="I239" s="63" t="str">
        <f t="shared" si="1"/>
        <v>ZSF1_COPRODUCT6</v>
      </c>
      <c r="J239" s="63">
        <f t="shared" si="2"/>
        <v>1</v>
      </c>
    </row>
    <row r="240" ht="15.75" customHeight="1">
      <c r="A240" s="59" t="s">
        <v>93</v>
      </c>
      <c r="B240" s="95"/>
      <c r="C240" s="95" t="s">
        <v>184</v>
      </c>
      <c r="D240" s="95" t="s">
        <v>91</v>
      </c>
      <c r="E240" s="95" t="s">
        <v>577</v>
      </c>
      <c r="F240" s="95">
        <v>7.0</v>
      </c>
      <c r="G240" s="95" t="s">
        <v>792</v>
      </c>
      <c r="H240" s="63" t="str">
        <f>VLOOKUP(C240, 'Class Def. - General Data'!$C$20:$C$476,1,false)</f>
        <v>ZSF1_COPRODUCT</v>
      </c>
      <c r="I240" s="63" t="str">
        <f t="shared" si="1"/>
        <v>ZSF1_COPRODUCT7</v>
      </c>
      <c r="J240" s="63">
        <f t="shared" si="2"/>
        <v>1</v>
      </c>
    </row>
    <row r="241" ht="15.75" customHeight="1">
      <c r="A241" s="59" t="s">
        <v>93</v>
      </c>
      <c r="B241" s="95"/>
      <c r="C241" s="95" t="s">
        <v>184</v>
      </c>
      <c r="D241" s="95" t="s">
        <v>91</v>
      </c>
      <c r="E241" s="95" t="s">
        <v>577</v>
      </c>
      <c r="F241" s="95">
        <v>8.0</v>
      </c>
      <c r="G241" s="95" t="s">
        <v>793</v>
      </c>
      <c r="H241" s="63" t="str">
        <f>VLOOKUP(C241, 'Class Def. - General Data'!$C$20:$C$476,1,false)</f>
        <v>ZSF1_COPRODUCT</v>
      </c>
      <c r="I241" s="63" t="str">
        <f t="shared" si="1"/>
        <v>ZSF1_COPRODUCT8</v>
      </c>
      <c r="J241" s="63">
        <f t="shared" si="2"/>
        <v>1</v>
      </c>
    </row>
    <row r="242" ht="15.75" customHeight="1">
      <c r="A242" s="59" t="s">
        <v>93</v>
      </c>
      <c r="B242" s="95"/>
      <c r="C242" s="95" t="s">
        <v>185</v>
      </c>
      <c r="D242" s="95" t="s">
        <v>91</v>
      </c>
      <c r="E242" s="95" t="s">
        <v>577</v>
      </c>
      <c r="F242" s="95">
        <v>2.0</v>
      </c>
      <c r="G242" s="95" t="s">
        <v>794</v>
      </c>
      <c r="H242" s="63" t="str">
        <f>VLOOKUP(C242, 'Class Def. - General Data'!$C$20:$C$476,1,false)</f>
        <v>ZSF1_INTD_DRYVEG</v>
      </c>
      <c r="I242" s="63" t="str">
        <f t="shared" si="1"/>
        <v>ZSF1_INTD_DRYVEG2</v>
      </c>
      <c r="J242" s="63">
        <f t="shared" si="2"/>
        <v>1</v>
      </c>
    </row>
    <row r="243" ht="15.75" customHeight="1">
      <c r="A243" s="59" t="s">
        <v>93</v>
      </c>
      <c r="B243" s="95"/>
      <c r="C243" s="95" t="s">
        <v>185</v>
      </c>
      <c r="D243" s="95" t="s">
        <v>91</v>
      </c>
      <c r="E243" s="95" t="s">
        <v>577</v>
      </c>
      <c r="F243" s="95">
        <v>3.0</v>
      </c>
      <c r="G243" s="95" t="s">
        <v>795</v>
      </c>
      <c r="H243" s="63" t="str">
        <f>VLOOKUP(C243, 'Class Def. - General Data'!$C$20:$C$476,1,false)</f>
        <v>ZSF1_INTD_DRYVEG</v>
      </c>
      <c r="I243" s="63" t="str">
        <f t="shared" si="1"/>
        <v>ZSF1_INTD_DRYVEG3</v>
      </c>
      <c r="J243" s="63">
        <f t="shared" si="2"/>
        <v>1</v>
      </c>
    </row>
    <row r="244" ht="15.75" customHeight="1">
      <c r="A244" s="59" t="s">
        <v>93</v>
      </c>
      <c r="B244" s="95"/>
      <c r="C244" s="95" t="s">
        <v>185</v>
      </c>
      <c r="D244" s="95" t="s">
        <v>91</v>
      </c>
      <c r="E244" s="95" t="s">
        <v>577</v>
      </c>
      <c r="F244" s="95">
        <v>4.0</v>
      </c>
      <c r="G244" s="95" t="s">
        <v>796</v>
      </c>
      <c r="H244" s="63" t="str">
        <f>VLOOKUP(C244, 'Class Def. - General Data'!$C$20:$C$476,1,false)</f>
        <v>ZSF1_INTD_DRYVEG</v>
      </c>
      <c r="I244" s="63" t="str">
        <f t="shared" si="1"/>
        <v>ZSF1_INTD_DRYVEG4</v>
      </c>
      <c r="J244" s="63">
        <f t="shared" si="2"/>
        <v>1</v>
      </c>
    </row>
    <row r="245" ht="15.75" customHeight="1">
      <c r="A245" s="59" t="s">
        <v>93</v>
      </c>
      <c r="B245" s="95"/>
      <c r="C245" s="95" t="s">
        <v>185</v>
      </c>
      <c r="D245" s="95" t="s">
        <v>91</v>
      </c>
      <c r="E245" s="95" t="s">
        <v>577</v>
      </c>
      <c r="F245" s="95">
        <v>5.0</v>
      </c>
      <c r="G245" s="95" t="s">
        <v>797</v>
      </c>
      <c r="H245" s="63" t="str">
        <f>VLOOKUP(C245, 'Class Def. - General Data'!$C$20:$C$476,1,false)</f>
        <v>ZSF1_INTD_DRYVEG</v>
      </c>
      <c r="I245" s="63" t="str">
        <f t="shared" si="1"/>
        <v>ZSF1_INTD_DRYVEG5</v>
      </c>
      <c r="J245" s="63">
        <f t="shared" si="2"/>
        <v>1</v>
      </c>
    </row>
    <row r="246" ht="15.75" customHeight="1">
      <c r="A246" s="59" t="s">
        <v>93</v>
      </c>
      <c r="B246" s="95"/>
      <c r="C246" s="95" t="s">
        <v>185</v>
      </c>
      <c r="D246" s="95" t="s">
        <v>91</v>
      </c>
      <c r="E246" s="95" t="s">
        <v>577</v>
      </c>
      <c r="F246" s="95">
        <v>6.0</v>
      </c>
      <c r="G246" s="95" t="s">
        <v>798</v>
      </c>
      <c r="H246" s="63" t="str">
        <f>VLOOKUP(C246, 'Class Def. - General Data'!$C$20:$C$476,1,false)</f>
        <v>ZSF1_INTD_DRYVEG</v>
      </c>
      <c r="I246" s="63" t="str">
        <f t="shared" si="1"/>
        <v>ZSF1_INTD_DRYVEG6</v>
      </c>
      <c r="J246" s="63">
        <f t="shared" si="2"/>
        <v>1</v>
      </c>
    </row>
    <row r="247" ht="15.75" customHeight="1">
      <c r="A247" s="59" t="s">
        <v>93</v>
      </c>
      <c r="B247" s="95"/>
      <c r="C247" s="95" t="s">
        <v>185</v>
      </c>
      <c r="D247" s="95" t="s">
        <v>91</v>
      </c>
      <c r="E247" s="95" t="s">
        <v>577</v>
      </c>
      <c r="F247" s="95">
        <v>7.0</v>
      </c>
      <c r="G247" s="95" t="s">
        <v>799</v>
      </c>
      <c r="H247" s="63" t="str">
        <f>VLOOKUP(C247, 'Class Def. - General Data'!$C$20:$C$476,1,false)</f>
        <v>ZSF1_INTD_DRYVEG</v>
      </c>
      <c r="I247" s="63" t="str">
        <f t="shared" si="1"/>
        <v>ZSF1_INTD_DRYVEG7</v>
      </c>
      <c r="J247" s="63">
        <f t="shared" si="2"/>
        <v>1</v>
      </c>
    </row>
    <row r="248" ht="15.75" customHeight="1">
      <c r="A248" s="59" t="s">
        <v>93</v>
      </c>
      <c r="B248" s="95"/>
      <c r="C248" s="95" t="s">
        <v>186</v>
      </c>
      <c r="D248" s="95" t="s">
        <v>91</v>
      </c>
      <c r="E248" s="95" t="s">
        <v>577</v>
      </c>
      <c r="F248" s="95">
        <v>2.0</v>
      </c>
      <c r="G248" s="95" t="s">
        <v>800</v>
      </c>
      <c r="H248" s="63" t="str">
        <f>VLOOKUP(C248, 'Class Def. - General Data'!$C$20:$C$476,1,false)</f>
        <v>ZSF1_INTD_GARNISH</v>
      </c>
      <c r="I248" s="63" t="str">
        <f t="shared" si="1"/>
        <v>ZSF1_INTD_GARNISH2</v>
      </c>
      <c r="J248" s="63">
        <f t="shared" si="2"/>
        <v>1</v>
      </c>
    </row>
    <row r="249" ht="15.75" customHeight="1">
      <c r="A249" s="59" t="s">
        <v>93</v>
      </c>
      <c r="B249" s="95"/>
      <c r="C249" s="95" t="s">
        <v>186</v>
      </c>
      <c r="D249" s="95" t="s">
        <v>91</v>
      </c>
      <c r="E249" s="95" t="s">
        <v>577</v>
      </c>
      <c r="F249" s="95">
        <v>3.0</v>
      </c>
      <c r="G249" s="95" t="s">
        <v>801</v>
      </c>
      <c r="H249" s="63" t="str">
        <f>VLOOKUP(C249, 'Class Def. - General Data'!$C$20:$C$476,1,false)</f>
        <v>ZSF1_INTD_GARNISH</v>
      </c>
      <c r="I249" s="63" t="str">
        <f t="shared" si="1"/>
        <v>ZSF1_INTD_GARNISH3</v>
      </c>
      <c r="J249" s="63">
        <f t="shared" si="2"/>
        <v>1</v>
      </c>
    </row>
    <row r="250" ht="15.75" customHeight="1">
      <c r="A250" s="59" t="s">
        <v>93</v>
      </c>
      <c r="B250" s="95"/>
      <c r="C250" s="95" t="s">
        <v>186</v>
      </c>
      <c r="D250" s="95" t="s">
        <v>91</v>
      </c>
      <c r="E250" s="95" t="s">
        <v>577</v>
      </c>
      <c r="F250" s="95">
        <v>4.0</v>
      </c>
      <c r="G250" s="95" t="s">
        <v>802</v>
      </c>
      <c r="H250" s="63" t="str">
        <f>VLOOKUP(C250, 'Class Def. - General Data'!$C$20:$C$476,1,false)</f>
        <v>ZSF1_INTD_GARNISH</v>
      </c>
      <c r="I250" s="63" t="str">
        <f t="shared" si="1"/>
        <v>ZSF1_INTD_GARNISH4</v>
      </c>
      <c r="J250" s="63">
        <f t="shared" si="2"/>
        <v>1</v>
      </c>
    </row>
    <row r="251" ht="15.75" customHeight="1">
      <c r="A251" s="59" t="s">
        <v>93</v>
      </c>
      <c r="B251" s="95"/>
      <c r="C251" s="95" t="s">
        <v>186</v>
      </c>
      <c r="D251" s="95" t="s">
        <v>91</v>
      </c>
      <c r="E251" s="95" t="s">
        <v>577</v>
      </c>
      <c r="F251" s="95">
        <v>5.0</v>
      </c>
      <c r="G251" s="95" t="s">
        <v>803</v>
      </c>
      <c r="H251" s="63" t="str">
        <f>VLOOKUP(C251, 'Class Def. - General Data'!$C$20:$C$476,1,false)</f>
        <v>ZSF1_INTD_GARNISH</v>
      </c>
      <c r="I251" s="63" t="str">
        <f t="shared" si="1"/>
        <v>ZSF1_INTD_GARNISH5</v>
      </c>
      <c r="J251" s="63">
        <f t="shared" si="2"/>
        <v>1</v>
      </c>
    </row>
    <row r="252" ht="15.75" customHeight="1">
      <c r="A252" s="59" t="s">
        <v>93</v>
      </c>
      <c r="B252" s="95"/>
      <c r="C252" s="95" t="s">
        <v>186</v>
      </c>
      <c r="D252" s="95" t="s">
        <v>91</v>
      </c>
      <c r="E252" s="95" t="s">
        <v>577</v>
      </c>
      <c r="F252" s="95">
        <v>6.0</v>
      </c>
      <c r="G252" s="95" t="s">
        <v>804</v>
      </c>
      <c r="H252" s="63" t="str">
        <f>VLOOKUP(C252, 'Class Def. - General Data'!$C$20:$C$476,1,false)</f>
        <v>ZSF1_INTD_GARNISH</v>
      </c>
      <c r="I252" s="63" t="str">
        <f t="shared" si="1"/>
        <v>ZSF1_INTD_GARNISH6</v>
      </c>
      <c r="J252" s="63">
        <f t="shared" si="2"/>
        <v>1</v>
      </c>
    </row>
    <row r="253" ht="15.75" customHeight="1">
      <c r="A253" s="59" t="s">
        <v>93</v>
      </c>
      <c r="B253" s="95"/>
      <c r="C253" s="95" t="s">
        <v>187</v>
      </c>
      <c r="D253" s="95" t="s">
        <v>91</v>
      </c>
      <c r="E253" s="95" t="s">
        <v>577</v>
      </c>
      <c r="F253" s="95">
        <v>2.0</v>
      </c>
      <c r="G253" s="95" t="s">
        <v>805</v>
      </c>
      <c r="H253" s="63" t="str">
        <f>VLOOKUP(C253, 'Class Def. - General Data'!$C$20:$C$476,1,false)</f>
        <v>ZSF1_INTD_GOODS</v>
      </c>
      <c r="I253" s="63" t="str">
        <f t="shared" si="1"/>
        <v>ZSF1_INTD_GOODS2</v>
      </c>
      <c r="J253" s="63">
        <f t="shared" si="2"/>
        <v>1</v>
      </c>
    </row>
    <row r="254" ht="15.75" customHeight="1">
      <c r="A254" s="59" t="s">
        <v>93</v>
      </c>
      <c r="B254" s="95"/>
      <c r="C254" s="95" t="s">
        <v>187</v>
      </c>
      <c r="D254" s="95" t="s">
        <v>91</v>
      </c>
      <c r="E254" s="95" t="s">
        <v>577</v>
      </c>
      <c r="F254" s="95">
        <v>3.0</v>
      </c>
      <c r="G254" s="95" t="s">
        <v>806</v>
      </c>
      <c r="H254" s="63" t="str">
        <f>VLOOKUP(C254, 'Class Def. - General Data'!$C$20:$C$476,1,false)</f>
        <v>ZSF1_INTD_GOODS</v>
      </c>
      <c r="I254" s="63" t="str">
        <f t="shared" si="1"/>
        <v>ZSF1_INTD_GOODS3</v>
      </c>
      <c r="J254" s="63">
        <f t="shared" si="2"/>
        <v>1</v>
      </c>
    </row>
    <row r="255" ht="15.75" customHeight="1">
      <c r="A255" s="59" t="s">
        <v>93</v>
      </c>
      <c r="B255" s="95"/>
      <c r="C255" s="95" t="s">
        <v>187</v>
      </c>
      <c r="D255" s="95" t="s">
        <v>91</v>
      </c>
      <c r="E255" s="95" t="s">
        <v>577</v>
      </c>
      <c r="F255" s="95">
        <v>4.0</v>
      </c>
      <c r="G255" s="95" t="s">
        <v>807</v>
      </c>
      <c r="H255" s="63" t="str">
        <f>VLOOKUP(C255, 'Class Def. - General Data'!$C$20:$C$476,1,false)</f>
        <v>ZSF1_INTD_GOODS</v>
      </c>
      <c r="I255" s="63" t="str">
        <f t="shared" si="1"/>
        <v>ZSF1_INTD_GOODS4</v>
      </c>
      <c r="J255" s="63">
        <f t="shared" si="2"/>
        <v>1</v>
      </c>
    </row>
    <row r="256" ht="15.75" customHeight="1">
      <c r="A256" s="59" t="s">
        <v>93</v>
      </c>
      <c r="B256" s="95"/>
      <c r="C256" s="95" t="s">
        <v>187</v>
      </c>
      <c r="D256" s="95" t="s">
        <v>91</v>
      </c>
      <c r="E256" s="95" t="s">
        <v>577</v>
      </c>
      <c r="F256" s="95">
        <v>5.0</v>
      </c>
      <c r="G256" s="95" t="s">
        <v>808</v>
      </c>
      <c r="H256" s="63" t="str">
        <f>VLOOKUP(C256, 'Class Def. - General Data'!$C$20:$C$476,1,false)</f>
        <v>ZSF1_INTD_GOODS</v>
      </c>
      <c r="I256" s="63" t="str">
        <f t="shared" si="1"/>
        <v>ZSF1_INTD_GOODS5</v>
      </c>
      <c r="J256" s="63">
        <f t="shared" si="2"/>
        <v>1</v>
      </c>
    </row>
    <row r="257" ht="15.75" customHeight="1">
      <c r="A257" s="59" t="s">
        <v>93</v>
      </c>
      <c r="B257" s="95"/>
      <c r="C257" s="95" t="s">
        <v>187</v>
      </c>
      <c r="D257" s="95" t="s">
        <v>91</v>
      </c>
      <c r="E257" s="95" t="s">
        <v>577</v>
      </c>
      <c r="F257" s="95">
        <v>6.0</v>
      </c>
      <c r="G257" s="95" t="s">
        <v>809</v>
      </c>
      <c r="H257" s="63" t="str">
        <f>VLOOKUP(C257, 'Class Def. - General Data'!$C$20:$C$476,1,false)</f>
        <v>ZSF1_INTD_GOODS</v>
      </c>
      <c r="I257" s="63" t="str">
        <f t="shared" si="1"/>
        <v>ZSF1_INTD_GOODS6</v>
      </c>
      <c r="J257" s="63">
        <f t="shared" si="2"/>
        <v>1</v>
      </c>
    </row>
    <row r="258" ht="15.75" customHeight="1">
      <c r="A258" s="59" t="s">
        <v>93</v>
      </c>
      <c r="B258" s="95"/>
      <c r="C258" s="95" t="s">
        <v>188</v>
      </c>
      <c r="D258" s="95" t="s">
        <v>91</v>
      </c>
      <c r="E258" s="95" t="s">
        <v>577</v>
      </c>
      <c r="F258" s="95">
        <v>2.0</v>
      </c>
      <c r="G258" s="95" t="s">
        <v>810</v>
      </c>
      <c r="H258" s="63" t="str">
        <f>VLOOKUP(C258, 'Class Def. - General Data'!$C$20:$C$476,1,false)</f>
        <v>ZSF1_INTD_OIL</v>
      </c>
      <c r="I258" s="63" t="str">
        <f t="shared" si="1"/>
        <v>ZSF1_INTD_OIL2</v>
      </c>
      <c r="J258" s="63">
        <f t="shared" si="2"/>
        <v>1</v>
      </c>
    </row>
    <row r="259" ht="15.75" customHeight="1">
      <c r="A259" s="59" t="s">
        <v>93</v>
      </c>
      <c r="B259" s="95"/>
      <c r="C259" s="95" t="s">
        <v>188</v>
      </c>
      <c r="D259" s="95" t="s">
        <v>91</v>
      </c>
      <c r="E259" s="95" t="s">
        <v>577</v>
      </c>
      <c r="F259" s="95">
        <v>3.0</v>
      </c>
      <c r="G259" s="95" t="s">
        <v>811</v>
      </c>
      <c r="H259" s="63" t="str">
        <f>VLOOKUP(C259, 'Class Def. - General Data'!$C$20:$C$476,1,false)</f>
        <v>ZSF1_INTD_OIL</v>
      </c>
      <c r="I259" s="63" t="str">
        <f t="shared" si="1"/>
        <v>ZSF1_INTD_OIL3</v>
      </c>
      <c r="J259" s="63">
        <f t="shared" si="2"/>
        <v>1</v>
      </c>
    </row>
    <row r="260" ht="15.75" customHeight="1">
      <c r="A260" s="59" t="s">
        <v>93</v>
      </c>
      <c r="B260" s="95"/>
      <c r="C260" s="95" t="s">
        <v>188</v>
      </c>
      <c r="D260" s="95" t="s">
        <v>91</v>
      </c>
      <c r="E260" s="95" t="s">
        <v>577</v>
      </c>
      <c r="F260" s="95">
        <v>4.0</v>
      </c>
      <c r="G260" s="95" t="s">
        <v>812</v>
      </c>
      <c r="H260" s="63" t="str">
        <f>VLOOKUP(C260, 'Class Def. - General Data'!$C$20:$C$476,1,false)</f>
        <v>ZSF1_INTD_OIL</v>
      </c>
      <c r="I260" s="63" t="str">
        <f t="shared" si="1"/>
        <v>ZSF1_INTD_OIL4</v>
      </c>
      <c r="J260" s="63">
        <f t="shared" si="2"/>
        <v>1</v>
      </c>
    </row>
    <row r="261" ht="15.75" customHeight="1">
      <c r="A261" s="59" t="s">
        <v>93</v>
      </c>
      <c r="B261" s="95"/>
      <c r="C261" s="95" t="s">
        <v>188</v>
      </c>
      <c r="D261" s="95" t="s">
        <v>91</v>
      </c>
      <c r="E261" s="95" t="s">
        <v>577</v>
      </c>
      <c r="F261" s="95">
        <v>5.0</v>
      </c>
      <c r="G261" s="95" t="s">
        <v>813</v>
      </c>
      <c r="H261" s="63" t="str">
        <f>VLOOKUP(C261, 'Class Def. - General Data'!$C$20:$C$476,1,false)</f>
        <v>ZSF1_INTD_OIL</v>
      </c>
      <c r="I261" s="63" t="str">
        <f t="shared" si="1"/>
        <v>ZSF1_INTD_OIL5</v>
      </c>
      <c r="J261" s="63">
        <f t="shared" si="2"/>
        <v>1</v>
      </c>
    </row>
    <row r="262" ht="15.75" customHeight="1">
      <c r="A262" s="59" t="s">
        <v>93</v>
      </c>
      <c r="B262" s="95"/>
      <c r="C262" s="95" t="s">
        <v>188</v>
      </c>
      <c r="D262" s="95" t="s">
        <v>91</v>
      </c>
      <c r="E262" s="95" t="s">
        <v>577</v>
      </c>
      <c r="F262" s="95">
        <v>6.0</v>
      </c>
      <c r="G262" s="95" t="s">
        <v>814</v>
      </c>
      <c r="H262" s="63" t="str">
        <f>VLOOKUP(C262, 'Class Def. - General Data'!$C$20:$C$476,1,false)</f>
        <v>ZSF1_INTD_OIL</v>
      </c>
      <c r="I262" s="63" t="str">
        <f t="shared" si="1"/>
        <v>ZSF1_INTD_OIL6</v>
      </c>
      <c r="J262" s="63">
        <f t="shared" si="2"/>
        <v>1</v>
      </c>
    </row>
    <row r="263" ht="15.75" customHeight="1">
      <c r="A263" s="59" t="s">
        <v>93</v>
      </c>
      <c r="B263" s="95"/>
      <c r="C263" s="95" t="s">
        <v>188</v>
      </c>
      <c r="D263" s="95" t="s">
        <v>91</v>
      </c>
      <c r="E263" s="95" t="s">
        <v>577</v>
      </c>
      <c r="F263" s="95">
        <v>7.0</v>
      </c>
      <c r="G263" s="95" t="s">
        <v>815</v>
      </c>
      <c r="H263" s="63" t="str">
        <f>VLOOKUP(C263, 'Class Def. - General Data'!$C$20:$C$476,1,false)</f>
        <v>ZSF1_INTD_OIL</v>
      </c>
      <c r="I263" s="63" t="str">
        <f t="shared" si="1"/>
        <v>ZSF1_INTD_OIL7</v>
      </c>
      <c r="J263" s="63">
        <f t="shared" si="2"/>
        <v>1</v>
      </c>
    </row>
    <row r="264" ht="15.75" customHeight="1">
      <c r="A264" s="59" t="s">
        <v>93</v>
      </c>
      <c r="B264" s="95"/>
      <c r="C264" s="95" t="s">
        <v>189</v>
      </c>
      <c r="D264" s="95" t="s">
        <v>91</v>
      </c>
      <c r="E264" s="95" t="s">
        <v>577</v>
      </c>
      <c r="F264" s="95">
        <v>2.0</v>
      </c>
      <c r="G264" s="95" t="s">
        <v>816</v>
      </c>
      <c r="H264" s="63" t="str">
        <f>VLOOKUP(C264, 'Class Def. - General Data'!$C$20:$C$476,1,false)</f>
        <v>ZSF1_INTD_POWDER</v>
      </c>
      <c r="I264" s="63" t="str">
        <f t="shared" si="1"/>
        <v>ZSF1_INTD_POWDER2</v>
      </c>
      <c r="J264" s="63">
        <f t="shared" si="2"/>
        <v>1</v>
      </c>
    </row>
    <row r="265" ht="15.75" customHeight="1">
      <c r="A265" s="59" t="s">
        <v>93</v>
      </c>
      <c r="B265" s="95"/>
      <c r="C265" s="95" t="s">
        <v>189</v>
      </c>
      <c r="D265" s="95" t="s">
        <v>91</v>
      </c>
      <c r="E265" s="95" t="s">
        <v>577</v>
      </c>
      <c r="F265" s="95">
        <v>3.0</v>
      </c>
      <c r="G265" s="95" t="s">
        <v>633</v>
      </c>
      <c r="H265" s="63" t="str">
        <f>VLOOKUP(C265, 'Class Def. - General Data'!$C$20:$C$476,1,false)</f>
        <v>ZSF1_INTD_POWDER</v>
      </c>
      <c r="I265" s="63" t="str">
        <f t="shared" si="1"/>
        <v>ZSF1_INTD_POWDER3</v>
      </c>
      <c r="J265" s="63">
        <f t="shared" si="2"/>
        <v>1</v>
      </c>
    </row>
    <row r="266" ht="15.75" customHeight="1">
      <c r="A266" s="59" t="s">
        <v>93</v>
      </c>
      <c r="B266" s="95"/>
      <c r="C266" s="95" t="s">
        <v>189</v>
      </c>
      <c r="D266" s="95" t="s">
        <v>91</v>
      </c>
      <c r="E266" s="95" t="s">
        <v>577</v>
      </c>
      <c r="F266" s="95">
        <v>4.0</v>
      </c>
      <c r="G266" s="95" t="s">
        <v>817</v>
      </c>
      <c r="H266" s="63" t="str">
        <f>VLOOKUP(C266, 'Class Def. - General Data'!$C$20:$C$476,1,false)</f>
        <v>ZSF1_INTD_POWDER</v>
      </c>
      <c r="I266" s="63" t="str">
        <f t="shared" si="1"/>
        <v>ZSF1_INTD_POWDER4</v>
      </c>
      <c r="J266" s="63">
        <f t="shared" si="2"/>
        <v>1</v>
      </c>
    </row>
    <row r="267" ht="15.75" customHeight="1">
      <c r="A267" s="59" t="s">
        <v>93</v>
      </c>
      <c r="B267" s="95"/>
      <c r="C267" s="95" t="s">
        <v>189</v>
      </c>
      <c r="D267" s="95" t="s">
        <v>91</v>
      </c>
      <c r="E267" s="95" t="s">
        <v>577</v>
      </c>
      <c r="F267" s="95">
        <v>5.0</v>
      </c>
      <c r="G267" s="95" t="s">
        <v>818</v>
      </c>
      <c r="H267" s="63" t="str">
        <f>VLOOKUP(C267, 'Class Def. - General Data'!$C$20:$C$476,1,false)</f>
        <v>ZSF1_INTD_POWDER</v>
      </c>
      <c r="I267" s="63" t="str">
        <f t="shared" si="1"/>
        <v>ZSF1_INTD_POWDER5</v>
      </c>
      <c r="J267" s="63">
        <f t="shared" si="2"/>
        <v>1</v>
      </c>
    </row>
    <row r="268" ht="15.75" customHeight="1">
      <c r="A268" s="59" t="s">
        <v>93</v>
      </c>
      <c r="B268" s="95"/>
      <c r="C268" s="95" t="s">
        <v>189</v>
      </c>
      <c r="D268" s="95" t="s">
        <v>91</v>
      </c>
      <c r="E268" s="95" t="s">
        <v>577</v>
      </c>
      <c r="F268" s="95">
        <v>6.0</v>
      </c>
      <c r="G268" s="95" t="s">
        <v>819</v>
      </c>
      <c r="H268" s="63" t="str">
        <f>VLOOKUP(C268, 'Class Def. - General Data'!$C$20:$C$476,1,false)</f>
        <v>ZSF1_INTD_POWDER</v>
      </c>
      <c r="I268" s="63" t="str">
        <f t="shared" si="1"/>
        <v>ZSF1_INTD_POWDER6</v>
      </c>
      <c r="J268" s="63">
        <f t="shared" si="2"/>
        <v>1</v>
      </c>
    </row>
    <row r="269" ht="15.75" customHeight="1">
      <c r="A269" s="59" t="s">
        <v>93</v>
      </c>
      <c r="B269" s="95"/>
      <c r="C269" s="95" t="s">
        <v>189</v>
      </c>
      <c r="D269" s="95" t="s">
        <v>91</v>
      </c>
      <c r="E269" s="95" t="s">
        <v>577</v>
      </c>
      <c r="F269" s="95">
        <v>7.0</v>
      </c>
      <c r="G269" s="95" t="s">
        <v>820</v>
      </c>
      <c r="H269" s="63" t="str">
        <f>VLOOKUP(C269, 'Class Def. - General Data'!$C$20:$C$476,1,false)</f>
        <v>ZSF1_INTD_POWDER</v>
      </c>
      <c r="I269" s="63" t="str">
        <f t="shared" si="1"/>
        <v>ZSF1_INTD_POWDER7</v>
      </c>
      <c r="J269" s="63">
        <f t="shared" si="2"/>
        <v>1</v>
      </c>
    </row>
    <row r="270" ht="15.75" customHeight="1">
      <c r="A270" s="59" t="s">
        <v>93</v>
      </c>
      <c r="B270" s="95"/>
      <c r="C270" s="95" t="s">
        <v>190</v>
      </c>
      <c r="D270" s="95" t="s">
        <v>91</v>
      </c>
      <c r="E270" s="95" t="s">
        <v>577</v>
      </c>
      <c r="F270" s="95">
        <v>2.0</v>
      </c>
      <c r="G270" s="95" t="s">
        <v>821</v>
      </c>
      <c r="H270" s="63" t="str">
        <f>VLOOKUP(C270, 'Class Def. - General Data'!$C$20:$C$476,1,false)</f>
        <v>ZSF1_INTD_RAWMAT</v>
      </c>
      <c r="I270" s="63" t="str">
        <f t="shared" si="1"/>
        <v>ZSF1_INTD_RAWMAT2</v>
      </c>
      <c r="J270" s="63">
        <f t="shared" si="2"/>
        <v>1</v>
      </c>
    </row>
    <row r="271" ht="15.75" customHeight="1">
      <c r="A271" s="59" t="s">
        <v>93</v>
      </c>
      <c r="B271" s="95"/>
      <c r="C271" s="95" t="s">
        <v>190</v>
      </c>
      <c r="D271" s="95" t="s">
        <v>91</v>
      </c>
      <c r="E271" s="95" t="s">
        <v>577</v>
      </c>
      <c r="F271" s="95">
        <v>3.0</v>
      </c>
      <c r="G271" s="95" t="s">
        <v>822</v>
      </c>
      <c r="H271" s="63" t="str">
        <f>VLOOKUP(C271, 'Class Def. - General Data'!$C$20:$C$476,1,false)</f>
        <v>ZSF1_INTD_RAWMAT</v>
      </c>
      <c r="I271" s="63" t="str">
        <f t="shared" si="1"/>
        <v>ZSF1_INTD_RAWMAT3</v>
      </c>
      <c r="J271" s="63">
        <f t="shared" si="2"/>
        <v>1</v>
      </c>
    </row>
    <row r="272" ht="15.75" customHeight="1">
      <c r="A272" s="59" t="s">
        <v>93</v>
      </c>
      <c r="B272" s="95"/>
      <c r="C272" s="95" t="s">
        <v>190</v>
      </c>
      <c r="D272" s="95" t="s">
        <v>91</v>
      </c>
      <c r="E272" s="95" t="s">
        <v>577</v>
      </c>
      <c r="F272" s="95">
        <v>4.0</v>
      </c>
      <c r="G272" s="95" t="s">
        <v>823</v>
      </c>
      <c r="H272" s="63" t="str">
        <f>VLOOKUP(C272, 'Class Def. - General Data'!$C$20:$C$476,1,false)</f>
        <v>ZSF1_INTD_RAWMAT</v>
      </c>
      <c r="I272" s="63" t="str">
        <f t="shared" si="1"/>
        <v>ZSF1_INTD_RAWMAT4</v>
      </c>
      <c r="J272" s="63">
        <f t="shared" si="2"/>
        <v>1</v>
      </c>
    </row>
    <row r="273" ht="15.75" customHeight="1">
      <c r="A273" s="59" t="s">
        <v>93</v>
      </c>
      <c r="B273" s="95"/>
      <c r="C273" s="95" t="s">
        <v>190</v>
      </c>
      <c r="D273" s="95" t="s">
        <v>91</v>
      </c>
      <c r="E273" s="95" t="s">
        <v>577</v>
      </c>
      <c r="F273" s="95">
        <v>5.0</v>
      </c>
      <c r="G273" s="95" t="s">
        <v>824</v>
      </c>
      <c r="H273" s="63" t="str">
        <f>VLOOKUP(C273, 'Class Def. - General Data'!$C$20:$C$476,1,false)</f>
        <v>ZSF1_INTD_RAWMAT</v>
      </c>
      <c r="I273" s="63" t="str">
        <f t="shared" si="1"/>
        <v>ZSF1_INTD_RAWMAT5</v>
      </c>
      <c r="J273" s="63">
        <f t="shared" si="2"/>
        <v>1</v>
      </c>
    </row>
    <row r="274" ht="15.75" customHeight="1">
      <c r="A274" s="59" t="s">
        <v>93</v>
      </c>
      <c r="B274" s="95"/>
      <c r="C274" s="95" t="s">
        <v>190</v>
      </c>
      <c r="D274" s="95" t="s">
        <v>91</v>
      </c>
      <c r="E274" s="95" t="s">
        <v>577</v>
      </c>
      <c r="F274" s="95">
        <v>6.0</v>
      </c>
      <c r="G274" s="95" t="s">
        <v>825</v>
      </c>
      <c r="H274" s="63" t="str">
        <f>VLOOKUP(C274, 'Class Def. - General Data'!$C$20:$C$476,1,false)</f>
        <v>ZSF1_INTD_RAWMAT</v>
      </c>
      <c r="I274" s="63" t="str">
        <f t="shared" si="1"/>
        <v>ZSF1_INTD_RAWMAT6</v>
      </c>
      <c r="J274" s="63">
        <f t="shared" si="2"/>
        <v>1</v>
      </c>
    </row>
    <row r="275" ht="15.75" customHeight="1">
      <c r="A275" s="59" t="s">
        <v>93</v>
      </c>
      <c r="B275" s="95"/>
      <c r="C275" s="95" t="s">
        <v>191</v>
      </c>
      <c r="D275" s="95" t="s">
        <v>91</v>
      </c>
      <c r="E275" s="95" t="s">
        <v>577</v>
      </c>
      <c r="F275" s="95">
        <v>2.0</v>
      </c>
      <c r="G275" s="95" t="s">
        <v>826</v>
      </c>
      <c r="H275" s="63" t="str">
        <f>VLOOKUP(C275, 'Class Def. - General Data'!$C$20:$C$476,1,false)</f>
        <v>ZSF1_INTD_SAMBAL</v>
      </c>
      <c r="I275" s="63" t="str">
        <f t="shared" si="1"/>
        <v>ZSF1_INTD_SAMBAL2</v>
      </c>
      <c r="J275" s="63">
        <f t="shared" si="2"/>
        <v>1</v>
      </c>
    </row>
    <row r="276" ht="15.75" customHeight="1">
      <c r="A276" s="59" t="s">
        <v>93</v>
      </c>
      <c r="B276" s="95"/>
      <c r="C276" s="95" t="s">
        <v>191</v>
      </c>
      <c r="D276" s="95" t="s">
        <v>91</v>
      </c>
      <c r="E276" s="95" t="s">
        <v>577</v>
      </c>
      <c r="F276" s="95">
        <v>3.0</v>
      </c>
      <c r="G276" s="95" t="s">
        <v>827</v>
      </c>
      <c r="H276" s="63" t="str">
        <f>VLOOKUP(C276, 'Class Def. - General Data'!$C$20:$C$476,1,false)</f>
        <v>ZSF1_INTD_SAMBAL</v>
      </c>
      <c r="I276" s="63" t="str">
        <f t="shared" si="1"/>
        <v>ZSF1_INTD_SAMBAL3</v>
      </c>
      <c r="J276" s="63">
        <f t="shared" si="2"/>
        <v>1</v>
      </c>
    </row>
    <row r="277" ht="15.75" customHeight="1">
      <c r="A277" s="59" t="s">
        <v>93</v>
      </c>
      <c r="B277" s="95"/>
      <c r="C277" s="95" t="s">
        <v>191</v>
      </c>
      <c r="D277" s="95" t="s">
        <v>91</v>
      </c>
      <c r="E277" s="95" t="s">
        <v>577</v>
      </c>
      <c r="F277" s="95">
        <v>4.0</v>
      </c>
      <c r="G277" s="95" t="s">
        <v>828</v>
      </c>
      <c r="H277" s="63" t="str">
        <f>VLOOKUP(C277, 'Class Def. - General Data'!$C$20:$C$476,1,false)</f>
        <v>ZSF1_INTD_SAMBAL</v>
      </c>
      <c r="I277" s="63" t="str">
        <f t="shared" si="1"/>
        <v>ZSF1_INTD_SAMBAL4</v>
      </c>
      <c r="J277" s="63">
        <f t="shared" si="2"/>
        <v>1</v>
      </c>
    </row>
    <row r="278" ht="15.75" customHeight="1">
      <c r="A278" s="59" t="s">
        <v>93</v>
      </c>
      <c r="B278" s="95"/>
      <c r="C278" s="95" t="s">
        <v>191</v>
      </c>
      <c r="D278" s="95" t="s">
        <v>91</v>
      </c>
      <c r="E278" s="95" t="s">
        <v>577</v>
      </c>
      <c r="F278" s="95">
        <v>5.0</v>
      </c>
      <c r="G278" s="95" t="s">
        <v>829</v>
      </c>
      <c r="H278" s="63" t="str">
        <f>VLOOKUP(C278, 'Class Def. - General Data'!$C$20:$C$476,1,false)</f>
        <v>ZSF1_INTD_SAMBAL</v>
      </c>
      <c r="I278" s="63" t="str">
        <f t="shared" si="1"/>
        <v>ZSF1_INTD_SAMBAL5</v>
      </c>
      <c r="J278" s="63">
        <f t="shared" si="2"/>
        <v>1</v>
      </c>
    </row>
    <row r="279" ht="15.75" customHeight="1">
      <c r="A279" s="59" t="s">
        <v>93</v>
      </c>
      <c r="B279" s="95"/>
      <c r="C279" s="95" t="s">
        <v>191</v>
      </c>
      <c r="D279" s="95" t="s">
        <v>91</v>
      </c>
      <c r="E279" s="95" t="s">
        <v>577</v>
      </c>
      <c r="F279" s="95">
        <v>6.0</v>
      </c>
      <c r="G279" s="95" t="s">
        <v>830</v>
      </c>
      <c r="H279" s="63" t="str">
        <f>VLOOKUP(C279, 'Class Def. - General Data'!$C$20:$C$476,1,false)</f>
        <v>ZSF1_INTD_SAMBAL</v>
      </c>
      <c r="I279" s="63" t="str">
        <f t="shared" si="1"/>
        <v>ZSF1_INTD_SAMBAL6</v>
      </c>
      <c r="J279" s="63">
        <f t="shared" si="2"/>
        <v>1</v>
      </c>
    </row>
    <row r="280" ht="15.75" customHeight="1">
      <c r="A280" s="59" t="s">
        <v>93</v>
      </c>
      <c r="B280" s="95"/>
      <c r="C280" s="95" t="s">
        <v>191</v>
      </c>
      <c r="D280" s="95" t="s">
        <v>91</v>
      </c>
      <c r="E280" s="95" t="s">
        <v>577</v>
      </c>
      <c r="F280" s="95">
        <v>7.0</v>
      </c>
      <c r="G280" s="95" t="s">
        <v>831</v>
      </c>
      <c r="H280" s="63" t="str">
        <f>VLOOKUP(C280, 'Class Def. - General Data'!$C$20:$C$476,1,false)</f>
        <v>ZSF1_INTD_SAMBAL</v>
      </c>
      <c r="I280" s="63" t="str">
        <f t="shared" si="1"/>
        <v>ZSF1_INTD_SAMBAL7</v>
      </c>
      <c r="J280" s="63">
        <f t="shared" si="2"/>
        <v>1</v>
      </c>
    </row>
    <row r="281" ht="15.75" customHeight="1">
      <c r="A281" s="59" t="s">
        <v>93</v>
      </c>
      <c r="B281" s="95"/>
      <c r="C281" s="95" t="s">
        <v>191</v>
      </c>
      <c r="D281" s="95" t="s">
        <v>91</v>
      </c>
      <c r="E281" s="95" t="s">
        <v>577</v>
      </c>
      <c r="F281" s="95">
        <v>8.0</v>
      </c>
      <c r="G281" s="95" t="s">
        <v>832</v>
      </c>
      <c r="H281" s="63" t="str">
        <f>VLOOKUP(C281, 'Class Def. - General Data'!$C$20:$C$476,1,false)</f>
        <v>ZSF1_INTD_SAMBAL</v>
      </c>
      <c r="I281" s="63" t="str">
        <f t="shared" si="1"/>
        <v>ZSF1_INTD_SAMBAL8</v>
      </c>
      <c r="J281" s="63">
        <f t="shared" si="2"/>
        <v>1</v>
      </c>
    </row>
    <row r="282" ht="15.75" customHeight="1">
      <c r="A282" s="59" t="s">
        <v>93</v>
      </c>
      <c r="B282" s="95"/>
      <c r="C282" s="95" t="s">
        <v>192</v>
      </c>
      <c r="D282" s="95" t="s">
        <v>91</v>
      </c>
      <c r="E282" s="95" t="s">
        <v>577</v>
      </c>
      <c r="F282" s="95">
        <v>2.0</v>
      </c>
      <c r="G282" s="95" t="s">
        <v>833</v>
      </c>
      <c r="H282" s="63" t="str">
        <f>VLOOKUP(C282, 'Class Def. - General Data'!$C$20:$C$476,1,false)</f>
        <v>ZSF1_PACK_DRYVEG</v>
      </c>
      <c r="I282" s="63" t="str">
        <f t="shared" si="1"/>
        <v>ZSF1_PACK_DRYVEG2</v>
      </c>
      <c r="J282" s="63">
        <f t="shared" si="2"/>
        <v>1</v>
      </c>
    </row>
    <row r="283" ht="15.75" customHeight="1">
      <c r="A283" s="59" t="s">
        <v>93</v>
      </c>
      <c r="B283" s="95"/>
      <c r="C283" s="95" t="s">
        <v>192</v>
      </c>
      <c r="D283" s="95" t="s">
        <v>91</v>
      </c>
      <c r="E283" s="95" t="s">
        <v>577</v>
      </c>
      <c r="F283" s="95">
        <v>3.0</v>
      </c>
      <c r="G283" s="95" t="s">
        <v>834</v>
      </c>
      <c r="H283" s="63" t="str">
        <f>VLOOKUP(C283, 'Class Def. - General Data'!$C$20:$C$476,1,false)</f>
        <v>ZSF1_PACK_DRYVEG</v>
      </c>
      <c r="I283" s="63" t="str">
        <f t="shared" si="1"/>
        <v>ZSF1_PACK_DRYVEG3</v>
      </c>
      <c r="J283" s="63">
        <f t="shared" si="2"/>
        <v>1</v>
      </c>
    </row>
    <row r="284" ht="15.75" customHeight="1">
      <c r="A284" s="59" t="s">
        <v>93</v>
      </c>
      <c r="B284" s="95"/>
      <c r="C284" s="95" t="s">
        <v>192</v>
      </c>
      <c r="D284" s="95" t="s">
        <v>91</v>
      </c>
      <c r="E284" s="95" t="s">
        <v>577</v>
      </c>
      <c r="F284" s="95">
        <v>4.0</v>
      </c>
      <c r="G284" s="95" t="s">
        <v>835</v>
      </c>
      <c r="H284" s="63" t="str">
        <f>VLOOKUP(C284, 'Class Def. - General Data'!$C$20:$C$476,1,false)</f>
        <v>ZSF1_PACK_DRYVEG</v>
      </c>
      <c r="I284" s="63" t="str">
        <f t="shared" si="1"/>
        <v>ZSF1_PACK_DRYVEG4</v>
      </c>
      <c r="J284" s="63">
        <f t="shared" si="2"/>
        <v>1</v>
      </c>
    </row>
    <row r="285" ht="15.75" customHeight="1">
      <c r="A285" s="59" t="s">
        <v>93</v>
      </c>
      <c r="B285" s="95"/>
      <c r="C285" s="95" t="s">
        <v>192</v>
      </c>
      <c r="D285" s="95" t="s">
        <v>91</v>
      </c>
      <c r="E285" s="95" t="s">
        <v>577</v>
      </c>
      <c r="F285" s="95">
        <v>5.0</v>
      </c>
      <c r="G285" s="95" t="s">
        <v>836</v>
      </c>
      <c r="H285" s="63" t="str">
        <f>VLOOKUP(C285, 'Class Def. - General Data'!$C$20:$C$476,1,false)</f>
        <v>ZSF1_PACK_DRYVEG</v>
      </c>
      <c r="I285" s="63" t="str">
        <f t="shared" si="1"/>
        <v>ZSF1_PACK_DRYVEG5</v>
      </c>
      <c r="J285" s="63">
        <f t="shared" si="2"/>
        <v>1</v>
      </c>
    </row>
    <row r="286" ht="15.75" customHeight="1">
      <c r="A286" s="59" t="s">
        <v>93</v>
      </c>
      <c r="B286" s="95"/>
      <c r="C286" s="95" t="s">
        <v>193</v>
      </c>
      <c r="D286" s="95" t="s">
        <v>91</v>
      </c>
      <c r="E286" s="95" t="s">
        <v>577</v>
      </c>
      <c r="F286" s="95">
        <v>2.0</v>
      </c>
      <c r="G286" s="95" t="s">
        <v>837</v>
      </c>
      <c r="H286" s="63" t="str">
        <f>VLOOKUP(C286, 'Class Def. - General Data'!$C$20:$C$476,1,false)</f>
        <v>ZSF1_PACK_POWDER</v>
      </c>
      <c r="I286" s="63" t="str">
        <f t="shared" si="1"/>
        <v>ZSF1_PACK_POWDER2</v>
      </c>
      <c r="J286" s="63">
        <f t="shared" si="2"/>
        <v>1</v>
      </c>
    </row>
    <row r="287" ht="15.75" customHeight="1">
      <c r="A287" s="59" t="s">
        <v>93</v>
      </c>
      <c r="B287" s="95"/>
      <c r="C287" s="95" t="s">
        <v>193</v>
      </c>
      <c r="D287" s="95" t="s">
        <v>91</v>
      </c>
      <c r="E287" s="95" t="s">
        <v>577</v>
      </c>
      <c r="F287" s="95">
        <v>3.0</v>
      </c>
      <c r="G287" s="95" t="s">
        <v>838</v>
      </c>
      <c r="H287" s="63" t="str">
        <f>VLOOKUP(C287, 'Class Def. - General Data'!$C$20:$C$476,1,false)</f>
        <v>ZSF1_PACK_POWDER</v>
      </c>
      <c r="I287" s="63" t="str">
        <f t="shared" si="1"/>
        <v>ZSF1_PACK_POWDER3</v>
      </c>
      <c r="J287" s="63">
        <f t="shared" si="2"/>
        <v>1</v>
      </c>
    </row>
    <row r="288" ht="15.75" customHeight="1">
      <c r="A288" s="59" t="s">
        <v>93</v>
      </c>
      <c r="B288" s="95"/>
      <c r="C288" s="95" t="s">
        <v>193</v>
      </c>
      <c r="D288" s="95" t="s">
        <v>91</v>
      </c>
      <c r="E288" s="95" t="s">
        <v>577</v>
      </c>
      <c r="F288" s="95">
        <v>4.0</v>
      </c>
      <c r="G288" s="95" t="s">
        <v>839</v>
      </c>
      <c r="H288" s="63" t="str">
        <f>VLOOKUP(C288, 'Class Def. - General Data'!$C$20:$C$476,1,false)</f>
        <v>ZSF1_PACK_POWDER</v>
      </c>
      <c r="I288" s="63" t="str">
        <f t="shared" si="1"/>
        <v>ZSF1_PACK_POWDER4</v>
      </c>
      <c r="J288" s="63">
        <f t="shared" si="2"/>
        <v>1</v>
      </c>
    </row>
    <row r="289" ht="15.75" customHeight="1">
      <c r="A289" s="59" t="s">
        <v>93</v>
      </c>
      <c r="B289" s="95"/>
      <c r="C289" s="95" t="s">
        <v>193</v>
      </c>
      <c r="D289" s="95" t="s">
        <v>91</v>
      </c>
      <c r="E289" s="95" t="s">
        <v>577</v>
      </c>
      <c r="F289" s="95">
        <v>5.0</v>
      </c>
      <c r="G289" s="95" t="s">
        <v>840</v>
      </c>
      <c r="H289" s="63" t="str">
        <f>VLOOKUP(C289, 'Class Def. - General Data'!$C$20:$C$476,1,false)</f>
        <v>ZSF1_PACK_POWDER</v>
      </c>
      <c r="I289" s="63" t="str">
        <f t="shared" si="1"/>
        <v>ZSF1_PACK_POWDER5</v>
      </c>
      <c r="J289" s="63">
        <f t="shared" si="2"/>
        <v>1</v>
      </c>
    </row>
    <row r="290" ht="15.75" customHeight="1">
      <c r="A290" s="59" t="s">
        <v>93</v>
      </c>
      <c r="B290" s="95"/>
      <c r="C290" s="95" t="s">
        <v>193</v>
      </c>
      <c r="D290" s="95" t="s">
        <v>91</v>
      </c>
      <c r="E290" s="95" t="s">
        <v>577</v>
      </c>
      <c r="F290" s="95">
        <v>6.0</v>
      </c>
      <c r="G290" s="95" t="s">
        <v>841</v>
      </c>
      <c r="H290" s="63" t="str">
        <f>VLOOKUP(C290, 'Class Def. - General Data'!$C$20:$C$476,1,false)</f>
        <v>ZSF1_PACK_POWDER</v>
      </c>
      <c r="I290" s="63" t="str">
        <f t="shared" si="1"/>
        <v>ZSF1_PACK_POWDER6</v>
      </c>
      <c r="J290" s="63">
        <f t="shared" si="2"/>
        <v>1</v>
      </c>
    </row>
    <row r="291" ht="15.75" customHeight="1">
      <c r="A291" s="59" t="s">
        <v>93</v>
      </c>
      <c r="B291" s="95"/>
      <c r="C291" s="95" t="s">
        <v>194</v>
      </c>
      <c r="D291" s="95" t="s">
        <v>91</v>
      </c>
      <c r="E291" s="95" t="s">
        <v>577</v>
      </c>
      <c r="F291" s="96">
        <v>1.0</v>
      </c>
      <c r="G291" s="96" t="s">
        <v>842</v>
      </c>
      <c r="H291" s="63" t="str">
        <f>VLOOKUP(C291, 'Class Def. - General Data'!$C$20:$C$476,1,false)</f>
        <v>ZSF1_PACK_SAMBAL</v>
      </c>
      <c r="I291" s="63" t="str">
        <f t="shared" si="1"/>
        <v>ZSF1_PACK_SAMBAL1</v>
      </c>
      <c r="J291" s="63">
        <f t="shared" si="2"/>
        <v>1</v>
      </c>
    </row>
    <row r="292" ht="15.75" customHeight="1">
      <c r="A292" s="59" t="s">
        <v>93</v>
      </c>
      <c r="B292" s="95"/>
      <c r="C292" s="95" t="s">
        <v>194</v>
      </c>
      <c r="D292" s="95" t="s">
        <v>91</v>
      </c>
      <c r="E292" s="95" t="s">
        <v>577</v>
      </c>
      <c r="F292" s="95">
        <v>2.0</v>
      </c>
      <c r="G292" s="95" t="s">
        <v>843</v>
      </c>
      <c r="H292" s="63" t="str">
        <f>VLOOKUP(C292, 'Class Def. - General Data'!$C$20:$C$476,1,false)</f>
        <v>ZSF1_PACK_SAMBAL</v>
      </c>
      <c r="I292" s="63" t="str">
        <f t="shared" si="1"/>
        <v>ZSF1_PACK_SAMBAL2</v>
      </c>
      <c r="J292" s="63">
        <f t="shared" si="2"/>
        <v>1</v>
      </c>
    </row>
    <row r="293" ht="15.75" customHeight="1">
      <c r="A293" s="59" t="s">
        <v>93</v>
      </c>
      <c r="B293" s="95"/>
      <c r="C293" s="95" t="s">
        <v>194</v>
      </c>
      <c r="D293" s="95" t="s">
        <v>91</v>
      </c>
      <c r="E293" s="95" t="s">
        <v>577</v>
      </c>
      <c r="F293" s="95">
        <v>3.0</v>
      </c>
      <c r="G293" s="95" t="s">
        <v>844</v>
      </c>
      <c r="H293" s="63" t="str">
        <f>VLOOKUP(C293, 'Class Def. - General Data'!$C$20:$C$476,1,false)</f>
        <v>ZSF1_PACK_SAMBAL</v>
      </c>
      <c r="I293" s="63" t="str">
        <f t="shared" si="1"/>
        <v>ZSF1_PACK_SAMBAL3</v>
      </c>
      <c r="J293" s="63">
        <f t="shared" si="2"/>
        <v>1</v>
      </c>
    </row>
    <row r="294" ht="15.75" customHeight="1">
      <c r="A294" s="59" t="s">
        <v>93</v>
      </c>
      <c r="B294" s="95"/>
      <c r="C294" s="95" t="s">
        <v>194</v>
      </c>
      <c r="D294" s="95" t="s">
        <v>91</v>
      </c>
      <c r="E294" s="95" t="s">
        <v>577</v>
      </c>
      <c r="F294" s="95">
        <v>4.0</v>
      </c>
      <c r="G294" s="95" t="s">
        <v>845</v>
      </c>
      <c r="H294" s="63" t="str">
        <f>VLOOKUP(C294, 'Class Def. - General Data'!$C$20:$C$476,1,false)</f>
        <v>ZSF1_PACK_SAMBAL</v>
      </c>
      <c r="I294" s="63" t="str">
        <f t="shared" si="1"/>
        <v>ZSF1_PACK_SAMBAL4</v>
      </c>
      <c r="J294" s="63">
        <f t="shared" si="2"/>
        <v>1</v>
      </c>
    </row>
    <row r="295" ht="15.75" customHeight="1">
      <c r="A295" s="59" t="s">
        <v>93</v>
      </c>
      <c r="B295" s="95"/>
      <c r="C295" s="95" t="s">
        <v>194</v>
      </c>
      <c r="D295" s="95" t="s">
        <v>91</v>
      </c>
      <c r="E295" s="95" t="s">
        <v>577</v>
      </c>
      <c r="F295" s="95">
        <v>5.0</v>
      </c>
      <c r="G295" s="95" t="s">
        <v>846</v>
      </c>
      <c r="H295" s="63" t="str">
        <f>VLOOKUP(C295, 'Class Def. - General Data'!$C$20:$C$476,1,false)</f>
        <v>ZSF1_PACK_SAMBAL</v>
      </c>
      <c r="I295" s="63" t="str">
        <f t="shared" si="1"/>
        <v>ZSF1_PACK_SAMBAL5</v>
      </c>
      <c r="J295" s="63">
        <f t="shared" si="2"/>
        <v>1</v>
      </c>
    </row>
    <row r="296" ht="15.75" customHeight="1">
      <c r="A296" s="59" t="s">
        <v>93</v>
      </c>
      <c r="B296" s="95"/>
      <c r="C296" s="95" t="s">
        <v>197</v>
      </c>
      <c r="D296" s="95" t="s">
        <v>91</v>
      </c>
      <c r="E296" s="95" t="s">
        <v>577</v>
      </c>
      <c r="F296" s="95">
        <v>2.0</v>
      </c>
      <c r="G296" s="95" t="s">
        <v>847</v>
      </c>
      <c r="H296" s="63" t="str">
        <f>VLOOKUP(C296, 'Class Def. - General Data'!$C$20:$C$476,1,false)</f>
        <v>ZSF1_PINTD_FRESMAT</v>
      </c>
      <c r="I296" s="63" t="str">
        <f t="shared" si="1"/>
        <v>ZSF1_PINTD_FRESMAT2</v>
      </c>
      <c r="J296" s="63">
        <f t="shared" si="2"/>
        <v>1</v>
      </c>
    </row>
    <row r="297" ht="15.75" customHeight="1">
      <c r="A297" s="59" t="s">
        <v>93</v>
      </c>
      <c r="B297" s="95"/>
      <c r="C297" s="95" t="s">
        <v>197</v>
      </c>
      <c r="D297" s="95" t="s">
        <v>91</v>
      </c>
      <c r="E297" s="95" t="s">
        <v>577</v>
      </c>
      <c r="F297" s="95">
        <v>3.0</v>
      </c>
      <c r="G297" s="95" t="s">
        <v>848</v>
      </c>
      <c r="H297" s="63" t="str">
        <f>VLOOKUP(C297, 'Class Def. - General Data'!$C$20:$C$476,1,false)</f>
        <v>ZSF1_PINTD_FRESMAT</v>
      </c>
      <c r="I297" s="63" t="str">
        <f t="shared" si="1"/>
        <v>ZSF1_PINTD_FRESMAT3</v>
      </c>
      <c r="J297" s="63">
        <f t="shared" si="2"/>
        <v>1</v>
      </c>
    </row>
    <row r="298" ht="15.75" customHeight="1">
      <c r="A298" s="59" t="s">
        <v>93</v>
      </c>
      <c r="B298" s="95"/>
      <c r="C298" s="95" t="s">
        <v>197</v>
      </c>
      <c r="D298" s="95" t="s">
        <v>91</v>
      </c>
      <c r="E298" s="95" t="s">
        <v>577</v>
      </c>
      <c r="F298" s="95">
        <v>4.0</v>
      </c>
      <c r="G298" s="95" t="s">
        <v>849</v>
      </c>
      <c r="H298" s="63" t="str">
        <f>VLOOKUP(C298, 'Class Def. - General Data'!$C$20:$C$476,1,false)</f>
        <v>ZSF1_PINTD_FRESMAT</v>
      </c>
      <c r="I298" s="63" t="str">
        <f t="shared" si="1"/>
        <v>ZSF1_PINTD_FRESMAT4</v>
      </c>
      <c r="J298" s="63">
        <f t="shared" si="2"/>
        <v>1</v>
      </c>
    </row>
    <row r="299" ht="15.75" customHeight="1">
      <c r="A299" s="59" t="s">
        <v>93</v>
      </c>
      <c r="B299" s="95"/>
      <c r="C299" s="95" t="s">
        <v>197</v>
      </c>
      <c r="D299" s="95" t="s">
        <v>91</v>
      </c>
      <c r="E299" s="95" t="s">
        <v>577</v>
      </c>
      <c r="F299" s="95">
        <v>5.0</v>
      </c>
      <c r="G299" s="95" t="s">
        <v>850</v>
      </c>
      <c r="H299" s="63" t="str">
        <f>VLOOKUP(C299, 'Class Def. - General Data'!$C$20:$C$476,1,false)</f>
        <v>ZSF1_PINTD_FRESMAT</v>
      </c>
      <c r="I299" s="63" t="str">
        <f t="shared" si="1"/>
        <v>ZSF1_PINTD_FRESMAT5</v>
      </c>
      <c r="J299" s="63">
        <f t="shared" si="2"/>
        <v>1</v>
      </c>
    </row>
    <row r="300" ht="15.75" customHeight="1">
      <c r="A300" s="59" t="s">
        <v>93</v>
      </c>
      <c r="B300" s="95"/>
      <c r="C300" s="95" t="s">
        <v>197</v>
      </c>
      <c r="D300" s="95" t="s">
        <v>91</v>
      </c>
      <c r="E300" s="95" t="s">
        <v>577</v>
      </c>
      <c r="F300" s="95">
        <v>6.0</v>
      </c>
      <c r="G300" s="95" t="s">
        <v>851</v>
      </c>
      <c r="H300" s="63" t="str">
        <f>VLOOKUP(C300, 'Class Def. - General Data'!$C$20:$C$476,1,false)</f>
        <v>ZSF1_PINTD_FRESMAT</v>
      </c>
      <c r="I300" s="63" t="str">
        <f t="shared" si="1"/>
        <v>ZSF1_PINTD_FRESMAT6</v>
      </c>
      <c r="J300" s="63">
        <f t="shared" si="2"/>
        <v>1</v>
      </c>
    </row>
    <row r="301" ht="15.75" customHeight="1">
      <c r="A301" s="59" t="s">
        <v>93</v>
      </c>
      <c r="B301" s="95"/>
      <c r="C301" s="95" t="s">
        <v>198</v>
      </c>
      <c r="D301" s="95" t="s">
        <v>91</v>
      </c>
      <c r="E301" s="95" t="s">
        <v>577</v>
      </c>
      <c r="F301" s="95">
        <v>2.0</v>
      </c>
      <c r="G301" s="95" t="s">
        <v>851</v>
      </c>
      <c r="H301" s="63" t="str">
        <f>VLOOKUP(C301, 'Class Def. - General Data'!$C$20:$C$476,1,false)</f>
        <v>ZSF1_PINTD_GARNISH</v>
      </c>
      <c r="I301" s="63" t="str">
        <f t="shared" si="1"/>
        <v>ZSF1_PINTD_GARNISH2</v>
      </c>
      <c r="J301" s="63">
        <f t="shared" si="2"/>
        <v>1</v>
      </c>
    </row>
    <row r="302" ht="15.75" customHeight="1">
      <c r="A302" s="59" t="s">
        <v>93</v>
      </c>
      <c r="B302" s="95"/>
      <c r="C302" s="95" t="s">
        <v>198</v>
      </c>
      <c r="D302" s="95" t="s">
        <v>91</v>
      </c>
      <c r="E302" s="95" t="s">
        <v>577</v>
      </c>
      <c r="F302" s="95">
        <v>3.0</v>
      </c>
      <c r="G302" s="95" t="s">
        <v>852</v>
      </c>
      <c r="H302" s="63" t="str">
        <f>VLOOKUP(C302, 'Class Def. - General Data'!$C$20:$C$476,1,false)</f>
        <v>ZSF1_PINTD_GARNISH</v>
      </c>
      <c r="I302" s="63" t="str">
        <f t="shared" si="1"/>
        <v>ZSF1_PINTD_GARNISH3</v>
      </c>
      <c r="J302" s="63">
        <f t="shared" si="2"/>
        <v>1</v>
      </c>
    </row>
    <row r="303" ht="15.75" customHeight="1">
      <c r="A303" s="59" t="s">
        <v>93</v>
      </c>
      <c r="B303" s="95"/>
      <c r="C303" s="95" t="s">
        <v>198</v>
      </c>
      <c r="D303" s="95" t="s">
        <v>91</v>
      </c>
      <c r="E303" s="95" t="s">
        <v>577</v>
      </c>
      <c r="F303" s="95">
        <v>4.0</v>
      </c>
      <c r="G303" s="95" t="s">
        <v>853</v>
      </c>
      <c r="H303" s="63" t="str">
        <f>VLOOKUP(C303, 'Class Def. - General Data'!$C$20:$C$476,1,false)</f>
        <v>ZSF1_PINTD_GARNISH</v>
      </c>
      <c r="I303" s="63" t="str">
        <f t="shared" si="1"/>
        <v>ZSF1_PINTD_GARNISH4</v>
      </c>
      <c r="J303" s="63">
        <f t="shared" si="2"/>
        <v>1</v>
      </c>
    </row>
    <row r="304" ht="15.75" customHeight="1">
      <c r="A304" s="59" t="s">
        <v>93</v>
      </c>
      <c r="B304" s="95"/>
      <c r="C304" s="95" t="s">
        <v>198</v>
      </c>
      <c r="D304" s="95" t="s">
        <v>91</v>
      </c>
      <c r="E304" s="95" t="s">
        <v>577</v>
      </c>
      <c r="F304" s="95">
        <v>5.0</v>
      </c>
      <c r="G304" s="95" t="s">
        <v>854</v>
      </c>
      <c r="H304" s="63" t="str">
        <f>VLOOKUP(C304, 'Class Def. - General Data'!$C$20:$C$476,1,false)</f>
        <v>ZSF1_PINTD_GARNISH</v>
      </c>
      <c r="I304" s="63" t="str">
        <f t="shared" si="1"/>
        <v>ZSF1_PINTD_GARNISH5</v>
      </c>
      <c r="J304" s="63">
        <f t="shared" si="2"/>
        <v>1</v>
      </c>
    </row>
    <row r="305" ht="15.75" customHeight="1">
      <c r="A305" s="59" t="s">
        <v>93</v>
      </c>
      <c r="B305" s="95"/>
      <c r="C305" s="95" t="s">
        <v>199</v>
      </c>
      <c r="D305" s="95" t="s">
        <v>91</v>
      </c>
      <c r="E305" s="95" t="s">
        <v>577</v>
      </c>
      <c r="F305" s="95">
        <v>2.0</v>
      </c>
      <c r="G305" s="95" t="s">
        <v>855</v>
      </c>
      <c r="H305" s="63" t="str">
        <f>VLOOKUP(C305, 'Class Def. - General Data'!$C$20:$C$476,1,false)</f>
        <v>ZSF1_PINTD_OIL</v>
      </c>
      <c r="I305" s="63" t="str">
        <f t="shared" si="1"/>
        <v>ZSF1_PINTD_OIL2</v>
      </c>
      <c r="J305" s="63">
        <f t="shared" si="2"/>
        <v>1</v>
      </c>
    </row>
    <row r="306" ht="15.75" customHeight="1">
      <c r="A306" s="59" t="s">
        <v>93</v>
      </c>
      <c r="B306" s="95"/>
      <c r="C306" s="95" t="s">
        <v>199</v>
      </c>
      <c r="D306" s="95" t="s">
        <v>91</v>
      </c>
      <c r="E306" s="95" t="s">
        <v>577</v>
      </c>
      <c r="F306" s="95">
        <v>3.0</v>
      </c>
      <c r="G306" s="95" t="s">
        <v>856</v>
      </c>
      <c r="H306" s="63" t="str">
        <f>VLOOKUP(C306, 'Class Def. - General Data'!$C$20:$C$476,1,false)</f>
        <v>ZSF1_PINTD_OIL</v>
      </c>
      <c r="I306" s="63" t="str">
        <f t="shared" si="1"/>
        <v>ZSF1_PINTD_OIL3</v>
      </c>
      <c r="J306" s="63">
        <f t="shared" si="2"/>
        <v>1</v>
      </c>
    </row>
    <row r="307" ht="15.75" customHeight="1">
      <c r="A307" s="59" t="s">
        <v>93</v>
      </c>
      <c r="B307" s="95"/>
      <c r="C307" s="95" t="s">
        <v>199</v>
      </c>
      <c r="D307" s="95" t="s">
        <v>91</v>
      </c>
      <c r="E307" s="95" t="s">
        <v>577</v>
      </c>
      <c r="F307" s="95">
        <v>4.0</v>
      </c>
      <c r="G307" s="95" t="s">
        <v>857</v>
      </c>
      <c r="H307" s="63" t="str">
        <f>VLOOKUP(C307, 'Class Def. - General Data'!$C$20:$C$476,1,false)</f>
        <v>ZSF1_PINTD_OIL</v>
      </c>
      <c r="I307" s="63" t="str">
        <f t="shared" si="1"/>
        <v>ZSF1_PINTD_OIL4</v>
      </c>
      <c r="J307" s="63">
        <f t="shared" si="2"/>
        <v>1</v>
      </c>
    </row>
    <row r="308" ht="15.75" customHeight="1">
      <c r="A308" s="59" t="s">
        <v>93</v>
      </c>
      <c r="B308" s="95"/>
      <c r="C308" s="95" t="s">
        <v>199</v>
      </c>
      <c r="D308" s="95" t="s">
        <v>91</v>
      </c>
      <c r="E308" s="95" t="s">
        <v>577</v>
      </c>
      <c r="F308" s="95">
        <v>5.0</v>
      </c>
      <c r="G308" s="95" t="s">
        <v>858</v>
      </c>
      <c r="H308" s="63" t="str">
        <f>VLOOKUP(C308, 'Class Def. - General Data'!$C$20:$C$476,1,false)</f>
        <v>ZSF1_PINTD_OIL</v>
      </c>
      <c r="I308" s="63" t="str">
        <f t="shared" si="1"/>
        <v>ZSF1_PINTD_OIL5</v>
      </c>
      <c r="J308" s="63">
        <f t="shared" si="2"/>
        <v>1</v>
      </c>
    </row>
    <row r="309" ht="15.75" customHeight="1">
      <c r="A309" s="59" t="s">
        <v>93</v>
      </c>
      <c r="B309" s="95"/>
      <c r="C309" s="95" t="s">
        <v>200</v>
      </c>
      <c r="D309" s="95" t="s">
        <v>91</v>
      </c>
      <c r="E309" s="95" t="s">
        <v>577</v>
      </c>
      <c r="F309" s="95">
        <v>2.0</v>
      </c>
      <c r="G309" s="95" t="s">
        <v>859</v>
      </c>
      <c r="H309" s="63" t="str">
        <f>VLOOKUP(C309, 'Class Def. - General Data'!$C$20:$C$476,1,false)</f>
        <v>ZSF1_PINTD_PREMIX</v>
      </c>
      <c r="I309" s="63" t="str">
        <f t="shared" si="1"/>
        <v>ZSF1_PINTD_PREMIX2</v>
      </c>
      <c r="J309" s="63">
        <f t="shared" si="2"/>
        <v>1</v>
      </c>
    </row>
    <row r="310" ht="15.75" customHeight="1">
      <c r="A310" s="59" t="s">
        <v>93</v>
      </c>
      <c r="B310" s="95"/>
      <c r="C310" s="95" t="s">
        <v>200</v>
      </c>
      <c r="D310" s="95" t="s">
        <v>91</v>
      </c>
      <c r="E310" s="95" t="s">
        <v>577</v>
      </c>
      <c r="F310" s="95">
        <v>3.0</v>
      </c>
      <c r="G310" s="95" t="s">
        <v>860</v>
      </c>
      <c r="H310" s="63" t="str">
        <f>VLOOKUP(C310, 'Class Def. - General Data'!$C$20:$C$476,1,false)</f>
        <v>ZSF1_PINTD_PREMIX</v>
      </c>
      <c r="I310" s="63" t="str">
        <f t="shared" si="1"/>
        <v>ZSF1_PINTD_PREMIX3</v>
      </c>
      <c r="J310" s="63">
        <f t="shared" si="2"/>
        <v>1</v>
      </c>
    </row>
    <row r="311" ht="15.75" customHeight="1">
      <c r="A311" s="59" t="s">
        <v>93</v>
      </c>
      <c r="B311" s="95"/>
      <c r="C311" s="95" t="s">
        <v>200</v>
      </c>
      <c r="D311" s="95" t="s">
        <v>91</v>
      </c>
      <c r="E311" s="95" t="s">
        <v>577</v>
      </c>
      <c r="F311" s="95">
        <v>4.0</v>
      </c>
      <c r="G311" s="95" t="s">
        <v>861</v>
      </c>
      <c r="H311" s="63" t="str">
        <f>VLOOKUP(C311, 'Class Def. - General Data'!$C$20:$C$476,1,false)</f>
        <v>ZSF1_PINTD_PREMIX</v>
      </c>
      <c r="I311" s="63" t="str">
        <f t="shared" si="1"/>
        <v>ZSF1_PINTD_PREMIX4</v>
      </c>
      <c r="J311" s="63">
        <f t="shared" si="2"/>
        <v>1</v>
      </c>
    </row>
    <row r="312" ht="15.75" customHeight="1">
      <c r="A312" s="59" t="s">
        <v>93</v>
      </c>
      <c r="B312" s="95"/>
      <c r="C312" s="95" t="s">
        <v>200</v>
      </c>
      <c r="D312" s="95" t="s">
        <v>91</v>
      </c>
      <c r="E312" s="95" t="s">
        <v>577</v>
      </c>
      <c r="F312" s="95">
        <v>5.0</v>
      </c>
      <c r="G312" s="95" t="s">
        <v>862</v>
      </c>
      <c r="H312" s="63" t="str">
        <f>VLOOKUP(C312, 'Class Def. - General Data'!$C$20:$C$476,1,false)</f>
        <v>ZSF1_PINTD_PREMIX</v>
      </c>
      <c r="I312" s="63" t="str">
        <f t="shared" si="1"/>
        <v>ZSF1_PINTD_PREMIX5</v>
      </c>
      <c r="J312" s="63">
        <f t="shared" si="2"/>
        <v>1</v>
      </c>
    </row>
    <row r="313" ht="15.75" customHeight="1">
      <c r="A313" s="59" t="s">
        <v>93</v>
      </c>
      <c r="B313" s="95"/>
      <c r="C313" s="95" t="s">
        <v>200</v>
      </c>
      <c r="D313" s="95" t="s">
        <v>91</v>
      </c>
      <c r="E313" s="95" t="s">
        <v>577</v>
      </c>
      <c r="F313" s="95">
        <v>6.0</v>
      </c>
      <c r="G313" s="95" t="s">
        <v>863</v>
      </c>
      <c r="H313" s="63" t="str">
        <f>VLOOKUP(C313, 'Class Def. - General Data'!$C$20:$C$476,1,false)</f>
        <v>ZSF1_PINTD_PREMIX</v>
      </c>
      <c r="I313" s="63" t="str">
        <f t="shared" si="1"/>
        <v>ZSF1_PINTD_PREMIX6</v>
      </c>
      <c r="J313" s="63">
        <f t="shared" si="2"/>
        <v>1</v>
      </c>
    </row>
    <row r="314" ht="15.75" customHeight="1">
      <c r="A314" s="59" t="s">
        <v>93</v>
      </c>
      <c r="B314" s="95"/>
      <c r="C314" s="95" t="s">
        <v>200</v>
      </c>
      <c r="D314" s="95" t="s">
        <v>91</v>
      </c>
      <c r="E314" s="95" t="s">
        <v>577</v>
      </c>
      <c r="F314" s="95">
        <v>7.0</v>
      </c>
      <c r="G314" s="95" t="s">
        <v>864</v>
      </c>
      <c r="H314" s="63" t="str">
        <f>VLOOKUP(C314, 'Class Def. - General Data'!$C$20:$C$476,1,false)</f>
        <v>ZSF1_PINTD_PREMIX</v>
      </c>
      <c r="I314" s="63" t="str">
        <f t="shared" si="1"/>
        <v>ZSF1_PINTD_PREMIX7</v>
      </c>
      <c r="J314" s="63">
        <f t="shared" si="2"/>
        <v>1</v>
      </c>
    </row>
    <row r="315" ht="15.75" customHeight="1">
      <c r="A315" s="59" t="s">
        <v>93</v>
      </c>
      <c r="B315" s="95"/>
      <c r="C315" s="95" t="s">
        <v>201</v>
      </c>
      <c r="D315" s="95" t="s">
        <v>91</v>
      </c>
      <c r="E315" s="95" t="s">
        <v>577</v>
      </c>
      <c r="F315" s="95">
        <v>2.0</v>
      </c>
      <c r="G315" s="95" t="s">
        <v>865</v>
      </c>
      <c r="H315" s="63" t="str">
        <f>VLOOKUP(C315, 'Class Def. - General Data'!$C$20:$C$476,1,false)</f>
        <v>ZSF1_PINTD_PMX_SSN</v>
      </c>
      <c r="I315" s="63" t="str">
        <f t="shared" si="1"/>
        <v>ZSF1_PINTD_PMX_SSN2</v>
      </c>
      <c r="J315" s="63">
        <f t="shared" si="2"/>
        <v>1</v>
      </c>
    </row>
    <row r="316" ht="15.75" customHeight="1">
      <c r="A316" s="59" t="s">
        <v>93</v>
      </c>
      <c r="B316" s="95"/>
      <c r="C316" s="95" t="s">
        <v>201</v>
      </c>
      <c r="D316" s="95" t="s">
        <v>91</v>
      </c>
      <c r="E316" s="95" t="s">
        <v>577</v>
      </c>
      <c r="F316" s="95">
        <v>3.0</v>
      </c>
      <c r="G316" s="95" t="s">
        <v>866</v>
      </c>
      <c r="H316" s="63" t="str">
        <f>VLOOKUP(C316, 'Class Def. - General Data'!$C$20:$C$476,1,false)</f>
        <v>ZSF1_PINTD_PMX_SSN</v>
      </c>
      <c r="I316" s="63" t="str">
        <f t="shared" si="1"/>
        <v>ZSF1_PINTD_PMX_SSN3</v>
      </c>
      <c r="J316" s="63">
        <f t="shared" si="2"/>
        <v>1</v>
      </c>
    </row>
    <row r="317" ht="15.75" customHeight="1">
      <c r="A317" s="59" t="s">
        <v>93</v>
      </c>
      <c r="B317" s="95"/>
      <c r="C317" s="95" t="s">
        <v>201</v>
      </c>
      <c r="D317" s="95" t="s">
        <v>91</v>
      </c>
      <c r="E317" s="95" t="s">
        <v>577</v>
      </c>
      <c r="F317" s="95">
        <v>4.0</v>
      </c>
      <c r="G317" s="95" t="s">
        <v>867</v>
      </c>
      <c r="H317" s="63" t="str">
        <f>VLOOKUP(C317, 'Class Def. - General Data'!$C$20:$C$476,1,false)</f>
        <v>ZSF1_PINTD_PMX_SSN</v>
      </c>
      <c r="I317" s="63" t="str">
        <f t="shared" si="1"/>
        <v>ZSF1_PINTD_PMX_SSN4</v>
      </c>
      <c r="J317" s="63">
        <f t="shared" si="2"/>
        <v>1</v>
      </c>
    </row>
    <row r="318" ht="15.75" customHeight="1">
      <c r="A318" s="59" t="s">
        <v>93</v>
      </c>
      <c r="B318" s="95"/>
      <c r="C318" s="95" t="s">
        <v>201</v>
      </c>
      <c r="D318" s="95" t="s">
        <v>91</v>
      </c>
      <c r="E318" s="95" t="s">
        <v>577</v>
      </c>
      <c r="F318" s="95">
        <v>5.0</v>
      </c>
      <c r="G318" s="95" t="s">
        <v>868</v>
      </c>
      <c r="H318" s="63" t="str">
        <f>VLOOKUP(C318, 'Class Def. - General Data'!$C$20:$C$476,1,false)</f>
        <v>ZSF1_PINTD_PMX_SSN</v>
      </c>
      <c r="I318" s="63" t="str">
        <f t="shared" si="1"/>
        <v>ZSF1_PINTD_PMX_SSN5</v>
      </c>
      <c r="J318" s="63">
        <f t="shared" si="2"/>
        <v>1</v>
      </c>
    </row>
    <row r="319" ht="15.75" customHeight="1">
      <c r="A319" s="59" t="s">
        <v>93</v>
      </c>
      <c r="B319" s="95"/>
      <c r="C319" s="95" t="s">
        <v>201</v>
      </c>
      <c r="D319" s="95" t="s">
        <v>91</v>
      </c>
      <c r="E319" s="95" t="s">
        <v>577</v>
      </c>
      <c r="F319" s="95">
        <v>6.0</v>
      </c>
      <c r="G319" s="95" t="s">
        <v>869</v>
      </c>
      <c r="H319" s="63" t="str">
        <f>VLOOKUP(C319, 'Class Def. - General Data'!$C$20:$C$476,1,false)</f>
        <v>ZSF1_PINTD_PMX_SSN</v>
      </c>
      <c r="I319" s="63" t="str">
        <f t="shared" si="1"/>
        <v>ZSF1_PINTD_PMX_SSN6</v>
      </c>
      <c r="J319" s="63">
        <f t="shared" si="2"/>
        <v>1</v>
      </c>
    </row>
    <row r="320" ht="15.75" customHeight="1">
      <c r="A320" s="59" t="s">
        <v>93</v>
      </c>
      <c r="B320" s="95"/>
      <c r="C320" s="95" t="s">
        <v>202</v>
      </c>
      <c r="D320" s="95" t="s">
        <v>91</v>
      </c>
      <c r="E320" s="95" t="s">
        <v>577</v>
      </c>
      <c r="F320" s="95">
        <v>2.0</v>
      </c>
      <c r="G320" s="95" t="s">
        <v>870</v>
      </c>
      <c r="H320" s="63" t="str">
        <f>VLOOKUP(C320, 'Class Def. - General Data'!$C$20:$C$476,1,false)</f>
        <v>ZSF1_REUSEABLE_PCK</v>
      </c>
      <c r="I320" s="63" t="str">
        <f t="shared" si="1"/>
        <v>ZSF1_REUSEABLE_PCK2</v>
      </c>
      <c r="J320" s="63">
        <f t="shared" si="2"/>
        <v>1</v>
      </c>
    </row>
    <row r="321" ht="15.75" customHeight="1">
      <c r="A321" s="59" t="s">
        <v>93</v>
      </c>
      <c r="B321" s="95"/>
      <c r="C321" s="95" t="s">
        <v>202</v>
      </c>
      <c r="D321" s="95" t="s">
        <v>91</v>
      </c>
      <c r="E321" s="95" t="s">
        <v>577</v>
      </c>
      <c r="F321" s="95">
        <v>3.0</v>
      </c>
      <c r="G321" s="95" t="s">
        <v>871</v>
      </c>
      <c r="H321" s="63" t="str">
        <f>VLOOKUP(C321, 'Class Def. - General Data'!$C$20:$C$476,1,false)</f>
        <v>ZSF1_REUSEABLE_PCK</v>
      </c>
      <c r="I321" s="63" t="str">
        <f t="shared" si="1"/>
        <v>ZSF1_REUSEABLE_PCK3</v>
      </c>
      <c r="J321" s="63">
        <f t="shared" si="2"/>
        <v>1</v>
      </c>
    </row>
    <row r="322" ht="15.75" customHeight="1">
      <c r="A322" s="59" t="s">
        <v>93</v>
      </c>
      <c r="B322" s="95"/>
      <c r="C322" s="95" t="s">
        <v>202</v>
      </c>
      <c r="D322" s="95" t="s">
        <v>91</v>
      </c>
      <c r="E322" s="95" t="s">
        <v>577</v>
      </c>
      <c r="F322" s="95">
        <v>4.0</v>
      </c>
      <c r="G322" s="95" t="s">
        <v>872</v>
      </c>
      <c r="H322" s="63" t="str">
        <f>VLOOKUP(C322, 'Class Def. - General Data'!$C$20:$C$476,1,false)</f>
        <v>ZSF1_REUSEABLE_PCK</v>
      </c>
      <c r="I322" s="63" t="str">
        <f t="shared" si="1"/>
        <v>ZSF1_REUSEABLE_PCK4</v>
      </c>
      <c r="J322" s="63">
        <f t="shared" si="2"/>
        <v>1</v>
      </c>
    </row>
    <row r="323" ht="15.75" customHeight="1">
      <c r="A323" s="59" t="s">
        <v>93</v>
      </c>
      <c r="B323" s="95"/>
      <c r="C323" s="95" t="s">
        <v>202</v>
      </c>
      <c r="D323" s="95" t="s">
        <v>91</v>
      </c>
      <c r="E323" s="95" t="s">
        <v>577</v>
      </c>
      <c r="F323" s="95">
        <v>5.0</v>
      </c>
      <c r="G323" s="95" t="s">
        <v>873</v>
      </c>
      <c r="H323" s="63" t="str">
        <f>VLOOKUP(C323, 'Class Def. - General Data'!$C$20:$C$476,1,false)</f>
        <v>ZSF1_REUSEABLE_PCK</v>
      </c>
      <c r="I323" s="63" t="str">
        <f t="shared" si="1"/>
        <v>ZSF1_REUSEABLE_PCK5</v>
      </c>
      <c r="J323" s="63">
        <f t="shared" si="2"/>
        <v>1</v>
      </c>
    </row>
    <row r="324" ht="15.75" customHeight="1">
      <c r="A324" s="59" t="s">
        <v>93</v>
      </c>
      <c r="B324" s="95"/>
      <c r="C324" s="95" t="s">
        <v>202</v>
      </c>
      <c r="D324" s="95" t="s">
        <v>91</v>
      </c>
      <c r="E324" s="95" t="s">
        <v>577</v>
      </c>
      <c r="F324" s="95">
        <v>6.0</v>
      </c>
      <c r="G324" s="95" t="s">
        <v>874</v>
      </c>
      <c r="H324" s="63" t="str">
        <f>VLOOKUP(C324, 'Class Def. - General Data'!$C$20:$C$476,1,false)</f>
        <v>ZSF1_REUSEABLE_PCK</v>
      </c>
      <c r="I324" s="63" t="str">
        <f t="shared" si="1"/>
        <v>ZSF1_REUSEABLE_PCK6</v>
      </c>
      <c r="J324" s="63">
        <f t="shared" si="2"/>
        <v>1</v>
      </c>
    </row>
    <row r="325" ht="15.75" customHeight="1">
      <c r="A325" s="59" t="s">
        <v>93</v>
      </c>
      <c r="B325" s="95"/>
      <c r="C325" s="95" t="s">
        <v>203</v>
      </c>
      <c r="D325" s="95" t="s">
        <v>91</v>
      </c>
      <c r="E325" s="95" t="s">
        <v>577</v>
      </c>
      <c r="F325" s="95">
        <v>2.0</v>
      </c>
      <c r="G325" s="95" t="s">
        <v>875</v>
      </c>
      <c r="H325" s="63" t="str">
        <f>VLOOKUP(C325, 'Class Def. - General Data'!$C$20:$C$476,1,false)</f>
        <v>ZSF1_SECONDARY</v>
      </c>
      <c r="I325" s="63" t="str">
        <f t="shared" si="1"/>
        <v>ZSF1_SECONDARY2</v>
      </c>
      <c r="J325" s="63">
        <f t="shared" si="2"/>
        <v>1</v>
      </c>
    </row>
    <row r="326" ht="15.75" customHeight="1">
      <c r="A326" s="59" t="s">
        <v>93</v>
      </c>
      <c r="B326" s="95"/>
      <c r="C326" s="95" t="s">
        <v>203</v>
      </c>
      <c r="D326" s="95" t="s">
        <v>91</v>
      </c>
      <c r="E326" s="95" t="s">
        <v>577</v>
      </c>
      <c r="F326" s="95">
        <v>3.0</v>
      </c>
      <c r="G326" s="95" t="s">
        <v>876</v>
      </c>
      <c r="H326" s="63" t="str">
        <f>VLOOKUP(C326, 'Class Def. - General Data'!$C$20:$C$476,1,false)</f>
        <v>ZSF1_SECONDARY</v>
      </c>
      <c r="I326" s="63" t="str">
        <f t="shared" si="1"/>
        <v>ZSF1_SECONDARY3</v>
      </c>
      <c r="J326" s="63">
        <f t="shared" si="2"/>
        <v>1</v>
      </c>
    </row>
    <row r="327" ht="15.75" customHeight="1">
      <c r="A327" s="59" t="s">
        <v>93</v>
      </c>
      <c r="B327" s="95"/>
      <c r="C327" s="95" t="s">
        <v>203</v>
      </c>
      <c r="D327" s="95" t="s">
        <v>91</v>
      </c>
      <c r="E327" s="95" t="s">
        <v>577</v>
      </c>
      <c r="F327" s="95">
        <v>4.0</v>
      </c>
      <c r="G327" s="95" t="s">
        <v>877</v>
      </c>
      <c r="H327" s="63" t="str">
        <f>VLOOKUP(C327, 'Class Def. - General Data'!$C$20:$C$476,1,false)</f>
        <v>ZSF1_SECONDARY</v>
      </c>
      <c r="I327" s="63" t="str">
        <f t="shared" si="1"/>
        <v>ZSF1_SECONDARY4</v>
      </c>
      <c r="J327" s="63">
        <f t="shared" si="2"/>
        <v>1</v>
      </c>
    </row>
    <row r="328" ht="15.75" customHeight="1">
      <c r="A328" s="59" t="s">
        <v>93</v>
      </c>
      <c r="B328" s="95"/>
      <c r="C328" s="95" t="s">
        <v>203</v>
      </c>
      <c r="D328" s="95" t="s">
        <v>91</v>
      </c>
      <c r="E328" s="95" t="s">
        <v>577</v>
      </c>
      <c r="F328" s="95">
        <v>5.0</v>
      </c>
      <c r="G328" s="95" t="s">
        <v>878</v>
      </c>
      <c r="H328" s="63" t="str">
        <f>VLOOKUP(C328, 'Class Def. - General Data'!$C$20:$C$476,1,false)</f>
        <v>ZSF1_SECONDARY</v>
      </c>
      <c r="I328" s="63" t="str">
        <f t="shared" si="1"/>
        <v>ZSF1_SECONDARY5</v>
      </c>
      <c r="J328" s="63">
        <f t="shared" si="2"/>
        <v>1</v>
      </c>
    </row>
    <row r="329" ht="15.75" customHeight="1">
      <c r="A329" s="59" t="s">
        <v>93</v>
      </c>
      <c r="B329" s="95"/>
      <c r="C329" s="95" t="s">
        <v>203</v>
      </c>
      <c r="D329" s="95" t="s">
        <v>91</v>
      </c>
      <c r="E329" s="95" t="s">
        <v>577</v>
      </c>
      <c r="F329" s="95">
        <v>6.0</v>
      </c>
      <c r="G329" s="95" t="s">
        <v>879</v>
      </c>
      <c r="H329" s="63" t="str">
        <f>VLOOKUP(C329, 'Class Def. - General Data'!$C$20:$C$476,1,false)</f>
        <v>ZSF1_SECONDARY</v>
      </c>
      <c r="I329" s="63" t="str">
        <f t="shared" si="1"/>
        <v>ZSF1_SECONDARY6</v>
      </c>
      <c r="J329" s="63">
        <f t="shared" si="2"/>
        <v>1</v>
      </c>
    </row>
    <row r="330" ht="15.75" customHeight="1">
      <c r="A330" s="59" t="s">
        <v>93</v>
      </c>
      <c r="B330" s="95"/>
      <c r="C330" s="95" t="s">
        <v>204</v>
      </c>
      <c r="D330" s="95" t="s">
        <v>91</v>
      </c>
      <c r="E330" s="95" t="s">
        <v>577</v>
      </c>
      <c r="F330" s="95">
        <v>2.0</v>
      </c>
      <c r="G330" s="95" t="s">
        <v>787</v>
      </c>
      <c r="H330" s="63" t="str">
        <f>VLOOKUP(C330, 'Class Def. - General Data'!$C$20:$C$476,1,false)</f>
        <v>ZSF1_SIDEPRODUCT</v>
      </c>
      <c r="I330" s="63" t="str">
        <f t="shared" si="1"/>
        <v>ZSF1_SIDEPRODUCT2</v>
      </c>
      <c r="J330" s="63">
        <f t="shared" si="2"/>
        <v>1</v>
      </c>
    </row>
    <row r="331" ht="15.75" customHeight="1">
      <c r="A331" s="59" t="s">
        <v>93</v>
      </c>
      <c r="B331" s="95"/>
      <c r="C331" s="95" t="s">
        <v>204</v>
      </c>
      <c r="D331" s="95" t="s">
        <v>91</v>
      </c>
      <c r="E331" s="95" t="s">
        <v>577</v>
      </c>
      <c r="F331" s="95">
        <v>3.0</v>
      </c>
      <c r="G331" s="95" t="s">
        <v>880</v>
      </c>
      <c r="H331" s="63" t="str">
        <f>VLOOKUP(C331, 'Class Def. - General Data'!$C$20:$C$476,1,false)</f>
        <v>ZSF1_SIDEPRODUCT</v>
      </c>
      <c r="I331" s="63" t="str">
        <f t="shared" si="1"/>
        <v>ZSF1_SIDEPRODUCT3</v>
      </c>
      <c r="J331" s="63">
        <f t="shared" si="2"/>
        <v>1</v>
      </c>
    </row>
    <row r="332" ht="15.75" customHeight="1">
      <c r="A332" s="59" t="s">
        <v>93</v>
      </c>
      <c r="B332" s="95"/>
      <c r="C332" s="95" t="s">
        <v>204</v>
      </c>
      <c r="D332" s="95" t="s">
        <v>91</v>
      </c>
      <c r="E332" s="95" t="s">
        <v>577</v>
      </c>
      <c r="F332" s="95">
        <v>4.0</v>
      </c>
      <c r="G332" s="95" t="s">
        <v>881</v>
      </c>
      <c r="H332" s="63" t="str">
        <f>VLOOKUP(C332, 'Class Def. - General Data'!$C$20:$C$476,1,false)</f>
        <v>ZSF1_SIDEPRODUCT</v>
      </c>
      <c r="I332" s="63" t="str">
        <f t="shared" si="1"/>
        <v>ZSF1_SIDEPRODUCT4</v>
      </c>
      <c r="J332" s="63">
        <f t="shared" si="2"/>
        <v>1</v>
      </c>
    </row>
    <row r="333" ht="15.75" customHeight="1">
      <c r="A333" s="59" t="s">
        <v>93</v>
      </c>
      <c r="B333" s="95"/>
      <c r="C333" s="95" t="s">
        <v>204</v>
      </c>
      <c r="D333" s="95" t="s">
        <v>91</v>
      </c>
      <c r="E333" s="95" t="s">
        <v>577</v>
      </c>
      <c r="F333" s="95">
        <v>5.0</v>
      </c>
      <c r="G333" s="95" t="s">
        <v>882</v>
      </c>
      <c r="H333" s="63" t="str">
        <f>VLOOKUP(C333, 'Class Def. - General Data'!$C$20:$C$476,1,false)</f>
        <v>ZSF1_SIDEPRODUCT</v>
      </c>
      <c r="I333" s="63" t="str">
        <f t="shared" si="1"/>
        <v>ZSF1_SIDEPRODUCT5</v>
      </c>
      <c r="J333" s="63">
        <f t="shared" si="2"/>
        <v>1</v>
      </c>
    </row>
    <row r="334" ht="15.75" customHeight="1">
      <c r="A334" s="59" t="s">
        <v>93</v>
      </c>
      <c r="B334" s="95"/>
      <c r="C334" s="95" t="s">
        <v>204</v>
      </c>
      <c r="D334" s="95" t="s">
        <v>91</v>
      </c>
      <c r="E334" s="95" t="s">
        <v>577</v>
      </c>
      <c r="F334" s="95">
        <v>6.0</v>
      </c>
      <c r="G334" s="95" t="s">
        <v>883</v>
      </c>
      <c r="H334" s="63" t="str">
        <f>VLOOKUP(C334, 'Class Def. - General Data'!$C$20:$C$476,1,false)</f>
        <v>ZSF1_SIDEPRODUCT</v>
      </c>
      <c r="I334" s="63" t="str">
        <f t="shared" si="1"/>
        <v>ZSF1_SIDEPRODUCT6</v>
      </c>
      <c r="J334" s="63">
        <f t="shared" si="2"/>
        <v>1</v>
      </c>
    </row>
    <row r="335" ht="15.75" customHeight="1">
      <c r="A335" s="59" t="s">
        <v>93</v>
      </c>
      <c r="B335" s="95"/>
      <c r="C335" s="95" t="s">
        <v>204</v>
      </c>
      <c r="D335" s="95" t="s">
        <v>91</v>
      </c>
      <c r="E335" s="95" t="s">
        <v>577</v>
      </c>
      <c r="F335" s="95">
        <v>7.0</v>
      </c>
      <c r="G335" s="95" t="s">
        <v>884</v>
      </c>
      <c r="H335" s="63" t="str">
        <f>VLOOKUP(C335, 'Class Def. - General Data'!$C$20:$C$476,1,false)</f>
        <v>ZSF1_SIDEPRODUCT</v>
      </c>
      <c r="I335" s="63" t="str">
        <f t="shared" si="1"/>
        <v>ZSF1_SIDEPRODUCT7</v>
      </c>
      <c r="J335" s="63">
        <f t="shared" si="2"/>
        <v>1</v>
      </c>
    </row>
    <row r="336" ht="15.75" customHeight="1">
      <c r="A336" s="59" t="s">
        <v>93</v>
      </c>
      <c r="B336" s="95"/>
      <c r="C336" s="95" t="s">
        <v>147</v>
      </c>
      <c r="D336" s="95" t="s">
        <v>91</v>
      </c>
      <c r="E336" s="95" t="s">
        <v>577</v>
      </c>
      <c r="F336" s="95">
        <v>1.0</v>
      </c>
      <c r="G336" s="95" t="s">
        <v>885</v>
      </c>
      <c r="H336" s="63" t="str">
        <f>VLOOKUP(C336, 'Class Def. - General Data'!$C$20:$C$476,1,false)</f>
        <v>ZPI1_ACC_PAKAIAN</v>
      </c>
      <c r="I336" s="63" t="str">
        <f t="shared" si="1"/>
        <v>ZPI1_ACC_PAKAIAN1</v>
      </c>
      <c r="J336" s="63">
        <f t="shared" si="2"/>
        <v>1</v>
      </c>
    </row>
    <row r="337" ht="15.75" customHeight="1">
      <c r="A337" s="59" t="s">
        <v>93</v>
      </c>
      <c r="B337" s="95"/>
      <c r="C337" s="95" t="s">
        <v>147</v>
      </c>
      <c r="D337" s="95" t="s">
        <v>91</v>
      </c>
      <c r="E337" s="95" t="s">
        <v>577</v>
      </c>
      <c r="F337" s="95">
        <v>2.0</v>
      </c>
      <c r="G337" s="95" t="s">
        <v>886</v>
      </c>
      <c r="H337" s="63" t="str">
        <f>VLOOKUP(C337, 'Class Def. - General Data'!$C$20:$C$476,1,false)</f>
        <v>ZPI1_ACC_PAKAIAN</v>
      </c>
      <c r="I337" s="63" t="str">
        <f t="shared" si="1"/>
        <v>ZPI1_ACC_PAKAIAN2</v>
      </c>
      <c r="J337" s="63">
        <f t="shared" si="2"/>
        <v>1</v>
      </c>
    </row>
    <row r="338" ht="15.75" customHeight="1">
      <c r="A338" s="59" t="s">
        <v>93</v>
      </c>
      <c r="B338" s="95"/>
      <c r="C338" s="95" t="s">
        <v>147</v>
      </c>
      <c r="D338" s="95" t="s">
        <v>91</v>
      </c>
      <c r="E338" s="95" t="s">
        <v>577</v>
      </c>
      <c r="F338" s="95">
        <v>3.0</v>
      </c>
      <c r="G338" s="95" t="s">
        <v>887</v>
      </c>
      <c r="H338" s="63" t="str">
        <f>VLOOKUP(C338, 'Class Def. - General Data'!$C$20:$C$476,1,false)</f>
        <v>ZPI1_ACC_PAKAIAN</v>
      </c>
      <c r="I338" s="63" t="str">
        <f t="shared" si="1"/>
        <v>ZPI1_ACC_PAKAIAN3</v>
      </c>
      <c r="J338" s="63">
        <f t="shared" si="2"/>
        <v>1</v>
      </c>
    </row>
    <row r="339" ht="15.75" customHeight="1">
      <c r="A339" s="59" t="s">
        <v>93</v>
      </c>
      <c r="B339" s="95"/>
      <c r="C339" s="95" t="s">
        <v>147</v>
      </c>
      <c r="D339" s="95" t="s">
        <v>91</v>
      </c>
      <c r="E339" s="95" t="s">
        <v>577</v>
      </c>
      <c r="F339" s="95">
        <v>4.0</v>
      </c>
      <c r="G339" s="95" t="s">
        <v>888</v>
      </c>
      <c r="H339" s="63" t="str">
        <f>VLOOKUP(C339, 'Class Def. - General Data'!$C$20:$C$476,1,false)</f>
        <v>ZPI1_ACC_PAKAIAN</v>
      </c>
      <c r="I339" s="63" t="str">
        <f t="shared" si="1"/>
        <v>ZPI1_ACC_PAKAIAN4</v>
      </c>
      <c r="J339" s="63">
        <f t="shared" si="2"/>
        <v>1</v>
      </c>
    </row>
    <row r="340" ht="15.75" customHeight="1">
      <c r="A340" s="59" t="s">
        <v>93</v>
      </c>
      <c r="B340" s="95"/>
      <c r="C340" s="95" t="s">
        <v>147</v>
      </c>
      <c r="D340" s="95" t="s">
        <v>91</v>
      </c>
      <c r="E340" s="95" t="s">
        <v>577</v>
      </c>
      <c r="F340" s="95">
        <v>5.0</v>
      </c>
      <c r="G340" s="95" t="s">
        <v>889</v>
      </c>
      <c r="H340" s="63" t="str">
        <f>VLOOKUP(C340, 'Class Def. - General Data'!$C$20:$C$476,1,false)</f>
        <v>ZPI1_ACC_PAKAIAN</v>
      </c>
      <c r="I340" s="63" t="str">
        <f t="shared" si="1"/>
        <v>ZPI1_ACC_PAKAIAN5</v>
      </c>
      <c r="J340" s="63">
        <f t="shared" si="2"/>
        <v>1</v>
      </c>
    </row>
    <row r="341" ht="15.75" customHeight="1">
      <c r="A341" s="59" t="s">
        <v>93</v>
      </c>
      <c r="B341" s="95"/>
      <c r="C341" s="95" t="s">
        <v>147</v>
      </c>
      <c r="D341" s="95" t="s">
        <v>91</v>
      </c>
      <c r="E341" s="95" t="s">
        <v>577</v>
      </c>
      <c r="F341" s="95">
        <v>6.0</v>
      </c>
      <c r="G341" s="95" t="s">
        <v>890</v>
      </c>
      <c r="H341" s="63" t="str">
        <f>VLOOKUP(C341, 'Class Def. - General Data'!$C$20:$C$476,1,false)</f>
        <v>ZPI1_ACC_PAKAIAN</v>
      </c>
      <c r="I341" s="63" t="str">
        <f t="shared" si="1"/>
        <v>ZPI1_ACC_PAKAIAN6</v>
      </c>
      <c r="J341" s="63">
        <f t="shared" si="2"/>
        <v>1</v>
      </c>
    </row>
    <row r="342" ht="15.75" customHeight="1">
      <c r="A342" s="59" t="s">
        <v>93</v>
      </c>
      <c r="B342" s="95"/>
      <c r="C342" s="95" t="s">
        <v>147</v>
      </c>
      <c r="D342" s="95" t="s">
        <v>91</v>
      </c>
      <c r="E342" s="95" t="s">
        <v>577</v>
      </c>
      <c r="F342" s="95">
        <v>7.0</v>
      </c>
      <c r="G342" s="95" t="s">
        <v>891</v>
      </c>
      <c r="H342" s="63" t="str">
        <f>VLOOKUP(C342, 'Class Def. - General Data'!$C$20:$C$476,1,false)</f>
        <v>ZPI1_ACC_PAKAIAN</v>
      </c>
      <c r="I342" s="63" t="str">
        <f t="shared" si="1"/>
        <v>ZPI1_ACC_PAKAIAN7</v>
      </c>
      <c r="J342" s="63">
        <f t="shared" si="2"/>
        <v>1</v>
      </c>
    </row>
    <row r="343" ht="15.75" customHeight="1">
      <c r="A343" s="59" t="s">
        <v>93</v>
      </c>
      <c r="B343" s="95"/>
      <c r="C343" s="95" t="s">
        <v>147</v>
      </c>
      <c r="D343" s="95" t="s">
        <v>91</v>
      </c>
      <c r="E343" s="95" t="s">
        <v>577</v>
      </c>
      <c r="F343" s="95">
        <v>8.0</v>
      </c>
      <c r="G343" s="95" t="s">
        <v>892</v>
      </c>
      <c r="H343" s="63" t="str">
        <f>VLOOKUP(C343, 'Class Def. - General Data'!$C$20:$C$476,1,false)</f>
        <v>ZPI1_ACC_PAKAIAN</v>
      </c>
      <c r="I343" s="63" t="str">
        <f t="shared" si="1"/>
        <v>ZPI1_ACC_PAKAIAN8</v>
      </c>
      <c r="J343" s="63">
        <f t="shared" si="2"/>
        <v>1</v>
      </c>
    </row>
    <row r="344" ht="15.75" customHeight="1">
      <c r="A344" s="59" t="s">
        <v>93</v>
      </c>
      <c r="B344" s="95"/>
      <c r="C344" s="95" t="s">
        <v>147</v>
      </c>
      <c r="D344" s="95" t="s">
        <v>91</v>
      </c>
      <c r="E344" s="95" t="s">
        <v>577</v>
      </c>
      <c r="F344" s="95">
        <v>9.0</v>
      </c>
      <c r="G344" s="95" t="s">
        <v>893</v>
      </c>
      <c r="H344" s="63" t="str">
        <f>VLOOKUP(C344, 'Class Def. - General Data'!$C$20:$C$476,1,false)</f>
        <v>ZPI1_ACC_PAKAIAN</v>
      </c>
      <c r="I344" s="63" t="str">
        <f t="shared" si="1"/>
        <v>ZPI1_ACC_PAKAIAN9</v>
      </c>
      <c r="J344" s="63">
        <f t="shared" si="2"/>
        <v>1</v>
      </c>
    </row>
    <row r="345" ht="15.75" customHeight="1">
      <c r="A345" s="59" t="s">
        <v>93</v>
      </c>
      <c r="B345" s="95"/>
      <c r="C345" s="95" t="s">
        <v>147</v>
      </c>
      <c r="D345" s="95" t="s">
        <v>91</v>
      </c>
      <c r="E345" s="95" t="s">
        <v>577</v>
      </c>
      <c r="F345" s="95">
        <v>10.0</v>
      </c>
      <c r="G345" s="95" t="s">
        <v>894</v>
      </c>
      <c r="H345" s="63" t="str">
        <f>VLOOKUP(C345, 'Class Def. - General Data'!$C$20:$C$476,1,false)</f>
        <v>ZPI1_ACC_PAKAIAN</v>
      </c>
      <c r="I345" s="63" t="str">
        <f t="shared" si="1"/>
        <v>ZPI1_ACC_PAKAIAN10</v>
      </c>
      <c r="J345" s="63">
        <f t="shared" si="2"/>
        <v>1</v>
      </c>
    </row>
    <row r="346" ht="15.75" customHeight="1">
      <c r="A346" s="59" t="s">
        <v>93</v>
      </c>
      <c r="B346" s="95"/>
      <c r="C346" s="95" t="s">
        <v>147</v>
      </c>
      <c r="D346" s="95" t="s">
        <v>91</v>
      </c>
      <c r="E346" s="95" t="s">
        <v>577</v>
      </c>
      <c r="F346" s="95">
        <v>11.0</v>
      </c>
      <c r="G346" s="95" t="s">
        <v>895</v>
      </c>
      <c r="H346" s="63" t="str">
        <f>VLOOKUP(C346, 'Class Def. - General Data'!$C$20:$C$476,1,false)</f>
        <v>ZPI1_ACC_PAKAIAN</v>
      </c>
      <c r="I346" s="63" t="str">
        <f t="shared" si="1"/>
        <v>ZPI1_ACC_PAKAIAN11</v>
      </c>
      <c r="J346" s="63">
        <f t="shared" si="2"/>
        <v>1</v>
      </c>
    </row>
    <row r="347" ht="15.75" customHeight="1">
      <c r="A347" s="59" t="s">
        <v>93</v>
      </c>
      <c r="B347" s="95"/>
      <c r="C347" s="95" t="s">
        <v>147</v>
      </c>
      <c r="D347" s="95" t="s">
        <v>91</v>
      </c>
      <c r="E347" s="95" t="s">
        <v>577</v>
      </c>
      <c r="F347" s="95">
        <v>12.0</v>
      </c>
      <c r="G347" s="95" t="s">
        <v>896</v>
      </c>
      <c r="H347" s="63" t="str">
        <f>VLOOKUP(C347, 'Class Def. - General Data'!$C$20:$C$476,1,false)</f>
        <v>ZPI1_ACC_PAKAIAN</v>
      </c>
      <c r="I347" s="63" t="str">
        <f t="shared" si="1"/>
        <v>ZPI1_ACC_PAKAIAN12</v>
      </c>
      <c r="J347" s="63">
        <f t="shared" si="2"/>
        <v>1</v>
      </c>
    </row>
    <row r="348" ht="15.75" customHeight="1">
      <c r="A348" s="59" t="s">
        <v>93</v>
      </c>
      <c r="B348" s="95"/>
      <c r="C348" s="95" t="s">
        <v>147</v>
      </c>
      <c r="D348" s="95" t="s">
        <v>91</v>
      </c>
      <c r="E348" s="95" t="s">
        <v>577</v>
      </c>
      <c r="F348" s="95">
        <v>13.0</v>
      </c>
      <c r="G348" s="95" t="s">
        <v>897</v>
      </c>
      <c r="H348" s="63" t="str">
        <f>VLOOKUP(C348, 'Class Def. - General Data'!$C$20:$C$476,1,false)</f>
        <v>ZPI1_ACC_PAKAIAN</v>
      </c>
      <c r="I348" s="63" t="str">
        <f t="shared" si="1"/>
        <v>ZPI1_ACC_PAKAIAN13</v>
      </c>
      <c r="J348" s="63">
        <f t="shared" si="2"/>
        <v>1</v>
      </c>
    </row>
    <row r="349" ht="15.75" customHeight="1">
      <c r="A349" s="59" t="s">
        <v>93</v>
      </c>
      <c r="B349" s="95"/>
      <c r="C349" s="95" t="s">
        <v>147</v>
      </c>
      <c r="D349" s="95" t="s">
        <v>91</v>
      </c>
      <c r="E349" s="95" t="s">
        <v>577</v>
      </c>
      <c r="F349" s="95">
        <v>14.0</v>
      </c>
      <c r="G349" s="95" t="s">
        <v>898</v>
      </c>
      <c r="H349" s="63" t="str">
        <f>VLOOKUP(C349, 'Class Def. - General Data'!$C$20:$C$476,1,false)</f>
        <v>ZPI1_ACC_PAKAIAN</v>
      </c>
      <c r="I349" s="63" t="str">
        <f t="shared" si="1"/>
        <v>ZPI1_ACC_PAKAIAN14</v>
      </c>
      <c r="J349" s="63">
        <f t="shared" si="2"/>
        <v>1</v>
      </c>
    </row>
    <row r="350" ht="15.75" customHeight="1">
      <c r="A350" s="59" t="s">
        <v>93</v>
      </c>
      <c r="B350" s="95"/>
      <c r="C350" s="95" t="s">
        <v>147</v>
      </c>
      <c r="D350" s="95" t="s">
        <v>91</v>
      </c>
      <c r="E350" s="95" t="s">
        <v>577</v>
      </c>
      <c r="F350" s="95">
        <v>15.0</v>
      </c>
      <c r="G350" s="95" t="s">
        <v>899</v>
      </c>
      <c r="H350" s="63" t="str">
        <f>VLOOKUP(C350, 'Class Def. - General Data'!$C$20:$C$476,1,false)</f>
        <v>ZPI1_ACC_PAKAIAN</v>
      </c>
      <c r="I350" s="63" t="str">
        <f t="shared" si="1"/>
        <v>ZPI1_ACC_PAKAIAN15</v>
      </c>
      <c r="J350" s="63">
        <f t="shared" si="2"/>
        <v>1</v>
      </c>
    </row>
    <row r="351" ht="15.75" customHeight="1">
      <c r="A351" s="59" t="s">
        <v>93</v>
      </c>
      <c r="B351" s="95"/>
      <c r="C351" s="95" t="s">
        <v>157</v>
      </c>
      <c r="D351" s="95" t="s">
        <v>91</v>
      </c>
      <c r="E351" s="95" t="s">
        <v>577</v>
      </c>
      <c r="F351" s="95">
        <v>1.0</v>
      </c>
      <c r="G351" s="95" t="s">
        <v>900</v>
      </c>
      <c r="H351" s="63" t="str">
        <f>VLOOKUP(C351, 'Class Def. - General Data'!$C$20:$C$476,1,false)</f>
        <v>ZPI1_ALAT_KEBRSIHN</v>
      </c>
      <c r="I351" s="63" t="str">
        <f t="shared" si="1"/>
        <v>ZPI1_ALAT_KEBRSIHN1</v>
      </c>
      <c r="J351" s="63">
        <f t="shared" si="2"/>
        <v>1</v>
      </c>
    </row>
    <row r="352" ht="15.75" customHeight="1">
      <c r="A352" s="59" t="s">
        <v>93</v>
      </c>
      <c r="B352" s="95"/>
      <c r="C352" s="95" t="s">
        <v>157</v>
      </c>
      <c r="D352" s="95" t="s">
        <v>91</v>
      </c>
      <c r="E352" s="95" t="s">
        <v>577</v>
      </c>
      <c r="F352" s="95">
        <v>2.0</v>
      </c>
      <c r="G352" s="95" t="s">
        <v>901</v>
      </c>
      <c r="H352" s="63" t="str">
        <f>VLOOKUP(C352, 'Class Def. - General Data'!$C$20:$C$476,1,false)</f>
        <v>ZPI1_ALAT_KEBRSIHN</v>
      </c>
      <c r="I352" s="63" t="str">
        <f t="shared" si="1"/>
        <v>ZPI1_ALAT_KEBRSIHN2</v>
      </c>
      <c r="J352" s="63">
        <f t="shared" si="2"/>
        <v>1</v>
      </c>
    </row>
    <row r="353" ht="15.75" customHeight="1">
      <c r="A353" s="59" t="s">
        <v>93</v>
      </c>
      <c r="B353" s="95"/>
      <c r="C353" s="95" t="s">
        <v>157</v>
      </c>
      <c r="D353" s="95" t="s">
        <v>91</v>
      </c>
      <c r="E353" s="95" t="s">
        <v>577</v>
      </c>
      <c r="F353" s="95">
        <v>3.0</v>
      </c>
      <c r="G353" s="95" t="s">
        <v>902</v>
      </c>
      <c r="H353" s="63" t="str">
        <f>VLOOKUP(C353, 'Class Def. - General Data'!$C$20:$C$476,1,false)</f>
        <v>ZPI1_ALAT_KEBRSIHN</v>
      </c>
      <c r="I353" s="63" t="str">
        <f t="shared" si="1"/>
        <v>ZPI1_ALAT_KEBRSIHN3</v>
      </c>
      <c r="J353" s="63">
        <f t="shared" si="2"/>
        <v>1</v>
      </c>
    </row>
    <row r="354" ht="15.75" customHeight="1">
      <c r="A354" s="59" t="s">
        <v>93</v>
      </c>
      <c r="B354" s="95"/>
      <c r="C354" s="95" t="s">
        <v>157</v>
      </c>
      <c r="D354" s="95" t="s">
        <v>91</v>
      </c>
      <c r="E354" s="95" t="s">
        <v>577</v>
      </c>
      <c r="F354" s="95">
        <v>4.0</v>
      </c>
      <c r="G354" s="95" t="s">
        <v>903</v>
      </c>
      <c r="H354" s="63" t="str">
        <f>VLOOKUP(C354, 'Class Def. - General Data'!$C$20:$C$476,1,false)</f>
        <v>ZPI1_ALAT_KEBRSIHN</v>
      </c>
      <c r="I354" s="63" t="str">
        <f t="shared" si="1"/>
        <v>ZPI1_ALAT_KEBRSIHN4</v>
      </c>
      <c r="J354" s="63">
        <f t="shared" si="2"/>
        <v>1</v>
      </c>
    </row>
    <row r="355" ht="15.75" customHeight="1">
      <c r="A355" s="59" t="s">
        <v>93</v>
      </c>
      <c r="B355" s="95"/>
      <c r="C355" s="95" t="s">
        <v>157</v>
      </c>
      <c r="D355" s="95" t="s">
        <v>91</v>
      </c>
      <c r="E355" s="95" t="s">
        <v>577</v>
      </c>
      <c r="F355" s="95">
        <v>5.0</v>
      </c>
      <c r="G355" s="95" t="s">
        <v>904</v>
      </c>
      <c r="H355" s="63" t="str">
        <f>VLOOKUP(C355, 'Class Def. - General Data'!$C$20:$C$476,1,false)</f>
        <v>ZPI1_ALAT_KEBRSIHN</v>
      </c>
      <c r="I355" s="63" t="str">
        <f t="shared" si="1"/>
        <v>ZPI1_ALAT_KEBRSIHN5</v>
      </c>
      <c r="J355" s="63">
        <f t="shared" si="2"/>
        <v>1</v>
      </c>
    </row>
    <row r="356" ht="15.75" customHeight="1">
      <c r="A356" s="59" t="s">
        <v>93</v>
      </c>
      <c r="B356" s="95"/>
      <c r="C356" s="95" t="s">
        <v>157</v>
      </c>
      <c r="D356" s="95" t="s">
        <v>91</v>
      </c>
      <c r="E356" s="95" t="s">
        <v>577</v>
      </c>
      <c r="F356" s="95">
        <v>6.0</v>
      </c>
      <c r="G356" s="95" t="s">
        <v>905</v>
      </c>
      <c r="H356" s="63" t="str">
        <f>VLOOKUP(C356, 'Class Def. - General Data'!$C$20:$C$476,1,false)</f>
        <v>ZPI1_ALAT_KEBRSIHN</v>
      </c>
      <c r="I356" s="63" t="str">
        <f t="shared" si="1"/>
        <v>ZPI1_ALAT_KEBRSIHN6</v>
      </c>
      <c r="J356" s="63">
        <f t="shared" si="2"/>
        <v>1</v>
      </c>
    </row>
    <row r="357" ht="15.75" customHeight="1">
      <c r="A357" s="59" t="s">
        <v>93</v>
      </c>
      <c r="B357" s="95"/>
      <c r="C357" s="95" t="s">
        <v>157</v>
      </c>
      <c r="D357" s="95" t="s">
        <v>91</v>
      </c>
      <c r="E357" s="95" t="s">
        <v>577</v>
      </c>
      <c r="F357" s="95">
        <v>7.0</v>
      </c>
      <c r="G357" s="95" t="s">
        <v>906</v>
      </c>
      <c r="H357" s="63" t="str">
        <f>VLOOKUP(C357, 'Class Def. - General Data'!$C$20:$C$476,1,false)</f>
        <v>ZPI1_ALAT_KEBRSIHN</v>
      </c>
      <c r="I357" s="63" t="str">
        <f t="shared" si="1"/>
        <v>ZPI1_ALAT_KEBRSIHN7</v>
      </c>
      <c r="J357" s="63">
        <f t="shared" si="2"/>
        <v>1</v>
      </c>
    </row>
    <row r="358" ht="15.75" customHeight="1">
      <c r="A358" s="59" t="s">
        <v>93</v>
      </c>
      <c r="B358" s="95"/>
      <c r="C358" s="95" t="s">
        <v>157</v>
      </c>
      <c r="D358" s="95" t="s">
        <v>91</v>
      </c>
      <c r="E358" s="95" t="s">
        <v>577</v>
      </c>
      <c r="F358" s="95">
        <v>8.0</v>
      </c>
      <c r="G358" s="95" t="s">
        <v>907</v>
      </c>
      <c r="H358" s="63" t="str">
        <f>VLOOKUP(C358, 'Class Def. - General Data'!$C$20:$C$476,1,false)</f>
        <v>ZPI1_ALAT_KEBRSIHN</v>
      </c>
      <c r="I358" s="63" t="str">
        <f t="shared" si="1"/>
        <v>ZPI1_ALAT_KEBRSIHN8</v>
      </c>
      <c r="J358" s="63">
        <f t="shared" si="2"/>
        <v>1</v>
      </c>
    </row>
    <row r="359" ht="15.75" customHeight="1">
      <c r="A359" s="59" t="s">
        <v>93</v>
      </c>
      <c r="B359" s="95"/>
      <c r="C359" s="95" t="s">
        <v>157</v>
      </c>
      <c r="D359" s="95" t="s">
        <v>91</v>
      </c>
      <c r="E359" s="95" t="s">
        <v>577</v>
      </c>
      <c r="F359" s="95">
        <v>9.0</v>
      </c>
      <c r="G359" s="95" t="s">
        <v>908</v>
      </c>
      <c r="H359" s="63" t="str">
        <f>VLOOKUP(C359, 'Class Def. - General Data'!$C$20:$C$476,1,false)</f>
        <v>ZPI1_ALAT_KEBRSIHN</v>
      </c>
      <c r="I359" s="63" t="str">
        <f t="shared" si="1"/>
        <v>ZPI1_ALAT_KEBRSIHN9</v>
      </c>
      <c r="J359" s="63">
        <f t="shared" si="2"/>
        <v>1</v>
      </c>
    </row>
    <row r="360" ht="15.75" customHeight="1">
      <c r="A360" s="59" t="s">
        <v>93</v>
      </c>
      <c r="B360" s="95"/>
      <c r="C360" s="95" t="s">
        <v>157</v>
      </c>
      <c r="D360" s="95" t="s">
        <v>91</v>
      </c>
      <c r="E360" s="95" t="s">
        <v>577</v>
      </c>
      <c r="F360" s="95">
        <v>10.0</v>
      </c>
      <c r="G360" s="95" t="s">
        <v>909</v>
      </c>
      <c r="H360" s="63" t="str">
        <f>VLOOKUP(C360, 'Class Def. - General Data'!$C$20:$C$476,1,false)</f>
        <v>ZPI1_ALAT_KEBRSIHN</v>
      </c>
      <c r="I360" s="63" t="str">
        <f t="shared" si="1"/>
        <v>ZPI1_ALAT_KEBRSIHN10</v>
      </c>
      <c r="J360" s="63">
        <f t="shared" si="2"/>
        <v>1</v>
      </c>
    </row>
    <row r="361" ht="15.75" customHeight="1">
      <c r="A361" s="59" t="s">
        <v>93</v>
      </c>
      <c r="B361" s="95"/>
      <c r="C361" s="95" t="s">
        <v>157</v>
      </c>
      <c r="D361" s="95" t="s">
        <v>91</v>
      </c>
      <c r="E361" s="95" t="s">
        <v>577</v>
      </c>
      <c r="F361" s="95">
        <v>11.0</v>
      </c>
      <c r="G361" s="95" t="s">
        <v>910</v>
      </c>
      <c r="H361" s="63" t="str">
        <f>VLOOKUP(C361, 'Class Def. - General Data'!$C$20:$C$476,1,false)</f>
        <v>ZPI1_ALAT_KEBRSIHN</v>
      </c>
      <c r="I361" s="63" t="str">
        <f t="shared" si="1"/>
        <v>ZPI1_ALAT_KEBRSIHN11</v>
      </c>
      <c r="J361" s="63">
        <f t="shared" si="2"/>
        <v>1</v>
      </c>
    </row>
    <row r="362" ht="15.75" customHeight="1">
      <c r="A362" s="59" t="s">
        <v>93</v>
      </c>
      <c r="B362" s="95"/>
      <c r="C362" s="95" t="s">
        <v>150</v>
      </c>
      <c r="D362" s="95" t="s">
        <v>91</v>
      </c>
      <c r="E362" s="95" t="s">
        <v>577</v>
      </c>
      <c r="F362" s="95">
        <v>1.0</v>
      </c>
      <c r="G362" s="95" t="s">
        <v>911</v>
      </c>
      <c r="H362" s="63" t="str">
        <f>VLOOKUP(C362, 'Class Def. - General Data'!$C$20:$C$476,1,false)</f>
        <v>ZPI1_BANTL_SELIMUT</v>
      </c>
      <c r="I362" s="63" t="str">
        <f t="shared" si="1"/>
        <v>ZPI1_BANTL_SELIMUT1</v>
      </c>
      <c r="J362" s="63">
        <f t="shared" si="2"/>
        <v>1</v>
      </c>
    </row>
    <row r="363" ht="15.75" customHeight="1">
      <c r="A363" s="59" t="s">
        <v>93</v>
      </c>
      <c r="B363" s="95"/>
      <c r="C363" s="95" t="s">
        <v>150</v>
      </c>
      <c r="D363" s="95" t="s">
        <v>91</v>
      </c>
      <c r="E363" s="95" t="s">
        <v>577</v>
      </c>
      <c r="F363" s="95">
        <v>2.0</v>
      </c>
      <c r="G363" s="95" t="s">
        <v>912</v>
      </c>
      <c r="H363" s="63" t="str">
        <f>VLOOKUP(C363, 'Class Def. - General Data'!$C$20:$C$476,1,false)</f>
        <v>ZPI1_BANTL_SELIMUT</v>
      </c>
      <c r="I363" s="63" t="str">
        <f t="shared" si="1"/>
        <v>ZPI1_BANTL_SELIMUT2</v>
      </c>
      <c r="J363" s="63">
        <f t="shared" si="2"/>
        <v>1</v>
      </c>
    </row>
    <row r="364" ht="15.75" customHeight="1">
      <c r="A364" s="59" t="s">
        <v>93</v>
      </c>
      <c r="B364" s="95"/>
      <c r="C364" s="95" t="s">
        <v>150</v>
      </c>
      <c r="D364" s="95" t="s">
        <v>91</v>
      </c>
      <c r="E364" s="95" t="s">
        <v>577</v>
      </c>
      <c r="F364" s="95">
        <v>3.0</v>
      </c>
      <c r="G364" s="95" t="s">
        <v>913</v>
      </c>
      <c r="H364" s="63" t="str">
        <f>VLOOKUP(C364, 'Class Def. - General Data'!$C$20:$C$476,1,false)</f>
        <v>ZPI1_BANTL_SELIMUT</v>
      </c>
      <c r="I364" s="63" t="str">
        <f t="shared" si="1"/>
        <v>ZPI1_BANTL_SELIMUT3</v>
      </c>
      <c r="J364" s="63">
        <f t="shared" si="2"/>
        <v>1</v>
      </c>
    </row>
    <row r="365" ht="15.75" customHeight="1">
      <c r="A365" s="59" t="s">
        <v>93</v>
      </c>
      <c r="B365" s="95"/>
      <c r="C365" s="95" t="s">
        <v>150</v>
      </c>
      <c r="D365" s="95" t="s">
        <v>91</v>
      </c>
      <c r="E365" s="95" t="s">
        <v>577</v>
      </c>
      <c r="F365" s="95">
        <v>4.0</v>
      </c>
      <c r="G365" s="95" t="s">
        <v>914</v>
      </c>
      <c r="H365" s="63" t="str">
        <f>VLOOKUP(C365, 'Class Def. - General Data'!$C$20:$C$476,1,false)</f>
        <v>ZPI1_BANTL_SELIMUT</v>
      </c>
      <c r="I365" s="63" t="str">
        <f t="shared" si="1"/>
        <v>ZPI1_BANTL_SELIMUT4</v>
      </c>
      <c r="J365" s="63">
        <f t="shared" si="2"/>
        <v>1</v>
      </c>
    </row>
    <row r="366" ht="15.75" customHeight="1">
      <c r="A366" s="59" t="s">
        <v>93</v>
      </c>
      <c r="B366" s="95"/>
      <c r="C366" s="95" t="s">
        <v>150</v>
      </c>
      <c r="D366" s="95" t="s">
        <v>91</v>
      </c>
      <c r="E366" s="95" t="s">
        <v>577</v>
      </c>
      <c r="F366" s="95">
        <v>5.0</v>
      </c>
      <c r="G366" s="95" t="s">
        <v>915</v>
      </c>
      <c r="H366" s="63" t="str">
        <f>VLOOKUP(C366, 'Class Def. - General Data'!$C$20:$C$476,1,false)</f>
        <v>ZPI1_BANTL_SELIMUT</v>
      </c>
      <c r="I366" s="63" t="str">
        <f t="shared" si="1"/>
        <v>ZPI1_BANTL_SELIMUT5</v>
      </c>
      <c r="J366" s="63">
        <f t="shared" si="2"/>
        <v>1</v>
      </c>
    </row>
    <row r="367" ht="15.75" customHeight="1">
      <c r="A367" s="59" t="s">
        <v>93</v>
      </c>
      <c r="B367" s="95"/>
      <c r="C367" s="95" t="s">
        <v>150</v>
      </c>
      <c r="D367" s="95" t="s">
        <v>91</v>
      </c>
      <c r="E367" s="95" t="s">
        <v>577</v>
      </c>
      <c r="F367" s="95">
        <v>6.0</v>
      </c>
      <c r="G367" s="95" t="s">
        <v>916</v>
      </c>
      <c r="H367" s="63" t="str">
        <f>VLOOKUP(C367, 'Class Def. - General Data'!$C$20:$C$476,1,false)</f>
        <v>ZPI1_BANTL_SELIMUT</v>
      </c>
      <c r="I367" s="63" t="str">
        <f t="shared" si="1"/>
        <v>ZPI1_BANTL_SELIMUT6</v>
      </c>
      <c r="J367" s="63">
        <f t="shared" si="2"/>
        <v>1</v>
      </c>
    </row>
    <row r="368" ht="15.75" customHeight="1">
      <c r="A368" s="59" t="s">
        <v>93</v>
      </c>
      <c r="B368" s="95"/>
      <c r="C368" s="95" t="s">
        <v>156</v>
      </c>
      <c r="D368" s="95" t="s">
        <v>91</v>
      </c>
      <c r="E368" s="95" t="s">
        <v>577</v>
      </c>
      <c r="F368" s="95">
        <v>1.0</v>
      </c>
      <c r="G368" s="95" t="s">
        <v>917</v>
      </c>
      <c r="H368" s="63" t="str">
        <f>VLOOKUP(C368, 'Class Def. - General Data'!$C$20:$C$476,1,false)</f>
        <v>ZPI1_BUKU_KERTAS</v>
      </c>
      <c r="I368" s="63" t="str">
        <f t="shared" si="1"/>
        <v>ZPI1_BUKU_KERTAS1</v>
      </c>
      <c r="J368" s="63">
        <f t="shared" si="2"/>
        <v>1</v>
      </c>
    </row>
    <row r="369" ht="15.75" customHeight="1">
      <c r="A369" s="59" t="s">
        <v>93</v>
      </c>
      <c r="B369" s="95"/>
      <c r="C369" s="95" t="s">
        <v>156</v>
      </c>
      <c r="D369" s="95" t="s">
        <v>91</v>
      </c>
      <c r="E369" s="95" t="s">
        <v>577</v>
      </c>
      <c r="F369" s="95">
        <v>2.0</v>
      </c>
      <c r="G369" s="95" t="s">
        <v>918</v>
      </c>
      <c r="H369" s="63" t="str">
        <f>VLOOKUP(C369, 'Class Def. - General Data'!$C$20:$C$476,1,false)</f>
        <v>ZPI1_BUKU_KERTAS</v>
      </c>
      <c r="I369" s="63" t="str">
        <f t="shared" si="1"/>
        <v>ZPI1_BUKU_KERTAS2</v>
      </c>
      <c r="J369" s="63">
        <f t="shared" si="2"/>
        <v>1</v>
      </c>
    </row>
    <row r="370" ht="15.75" customHeight="1">
      <c r="A370" s="59" t="s">
        <v>93</v>
      </c>
      <c r="B370" s="95"/>
      <c r="C370" s="95" t="s">
        <v>156</v>
      </c>
      <c r="D370" s="95" t="s">
        <v>91</v>
      </c>
      <c r="E370" s="95" t="s">
        <v>577</v>
      </c>
      <c r="F370" s="95">
        <v>3.0</v>
      </c>
      <c r="G370" s="95" t="s">
        <v>919</v>
      </c>
      <c r="H370" s="63" t="str">
        <f>VLOOKUP(C370, 'Class Def. - General Data'!$C$20:$C$476,1,false)</f>
        <v>ZPI1_BUKU_KERTAS</v>
      </c>
      <c r="I370" s="63" t="str">
        <f t="shared" si="1"/>
        <v>ZPI1_BUKU_KERTAS3</v>
      </c>
      <c r="J370" s="63">
        <f t="shared" si="2"/>
        <v>1</v>
      </c>
    </row>
    <row r="371" ht="15.75" customHeight="1">
      <c r="A371" s="59" t="s">
        <v>93</v>
      </c>
      <c r="B371" s="95"/>
      <c r="C371" s="95" t="s">
        <v>156</v>
      </c>
      <c r="D371" s="95" t="s">
        <v>91</v>
      </c>
      <c r="E371" s="95" t="s">
        <v>577</v>
      </c>
      <c r="F371" s="95">
        <v>4.0</v>
      </c>
      <c r="G371" s="95" t="s">
        <v>920</v>
      </c>
      <c r="H371" s="63" t="str">
        <f>VLOOKUP(C371, 'Class Def. - General Data'!$C$20:$C$476,1,false)</f>
        <v>ZPI1_BUKU_KERTAS</v>
      </c>
      <c r="I371" s="63" t="str">
        <f t="shared" si="1"/>
        <v>ZPI1_BUKU_KERTAS4</v>
      </c>
      <c r="J371" s="63">
        <f t="shared" si="2"/>
        <v>1</v>
      </c>
    </row>
    <row r="372" ht="15.75" customHeight="1">
      <c r="A372" s="59" t="s">
        <v>93</v>
      </c>
      <c r="B372" s="95"/>
      <c r="C372" s="95" t="s">
        <v>156</v>
      </c>
      <c r="D372" s="95" t="s">
        <v>91</v>
      </c>
      <c r="E372" s="95" t="s">
        <v>577</v>
      </c>
      <c r="F372" s="95">
        <v>5.0</v>
      </c>
      <c r="G372" s="95" t="s">
        <v>921</v>
      </c>
      <c r="H372" s="63" t="str">
        <f>VLOOKUP(C372, 'Class Def. - General Data'!$C$20:$C$476,1,false)</f>
        <v>ZPI1_BUKU_KERTAS</v>
      </c>
      <c r="I372" s="63" t="str">
        <f t="shared" si="1"/>
        <v>ZPI1_BUKU_KERTAS5</v>
      </c>
      <c r="J372" s="63">
        <f t="shared" si="2"/>
        <v>1</v>
      </c>
    </row>
    <row r="373" ht="15.75" customHeight="1">
      <c r="A373" s="59" t="s">
        <v>93</v>
      </c>
      <c r="B373" s="95"/>
      <c r="C373" s="95" t="s">
        <v>156</v>
      </c>
      <c r="D373" s="95" t="s">
        <v>91</v>
      </c>
      <c r="E373" s="95" t="s">
        <v>577</v>
      </c>
      <c r="F373" s="95">
        <v>6.0</v>
      </c>
      <c r="G373" s="95" t="s">
        <v>922</v>
      </c>
      <c r="H373" s="63" t="str">
        <f>VLOOKUP(C373, 'Class Def. - General Data'!$C$20:$C$476,1,false)</f>
        <v>ZPI1_BUKU_KERTAS</v>
      </c>
      <c r="I373" s="63" t="str">
        <f t="shared" si="1"/>
        <v>ZPI1_BUKU_KERTAS6</v>
      </c>
      <c r="J373" s="63">
        <f t="shared" si="2"/>
        <v>1</v>
      </c>
    </row>
    <row r="374" ht="15.75" customHeight="1">
      <c r="A374" s="59" t="s">
        <v>93</v>
      </c>
      <c r="B374" s="95"/>
      <c r="C374" s="95" t="s">
        <v>156</v>
      </c>
      <c r="D374" s="95" t="s">
        <v>91</v>
      </c>
      <c r="E374" s="95" t="s">
        <v>577</v>
      </c>
      <c r="F374" s="95">
        <v>7.0</v>
      </c>
      <c r="G374" s="95" t="s">
        <v>923</v>
      </c>
      <c r="H374" s="63" t="str">
        <f>VLOOKUP(C374, 'Class Def. - General Data'!$C$20:$C$476,1,false)</f>
        <v>ZPI1_BUKU_KERTAS</v>
      </c>
      <c r="I374" s="63" t="str">
        <f t="shared" si="1"/>
        <v>ZPI1_BUKU_KERTAS7</v>
      </c>
      <c r="J374" s="63">
        <f t="shared" si="2"/>
        <v>1</v>
      </c>
    </row>
    <row r="375" ht="15.75" customHeight="1">
      <c r="A375" s="59" t="s">
        <v>93</v>
      </c>
      <c r="B375" s="95"/>
      <c r="C375" s="95" t="s">
        <v>156</v>
      </c>
      <c r="D375" s="95" t="s">
        <v>91</v>
      </c>
      <c r="E375" s="95" t="s">
        <v>577</v>
      </c>
      <c r="F375" s="95">
        <v>8.0</v>
      </c>
      <c r="G375" s="95" t="s">
        <v>924</v>
      </c>
      <c r="H375" s="63" t="str">
        <f>VLOOKUP(C375, 'Class Def. - General Data'!$C$20:$C$476,1,false)</f>
        <v>ZPI1_BUKU_KERTAS</v>
      </c>
      <c r="I375" s="63" t="str">
        <f t="shared" si="1"/>
        <v>ZPI1_BUKU_KERTAS8</v>
      </c>
      <c r="J375" s="63">
        <f t="shared" si="2"/>
        <v>1</v>
      </c>
    </row>
    <row r="376" ht="15.75" customHeight="1">
      <c r="A376" s="59" t="s">
        <v>93</v>
      </c>
      <c r="B376" s="95"/>
      <c r="C376" s="95" t="s">
        <v>156</v>
      </c>
      <c r="D376" s="95" t="s">
        <v>91</v>
      </c>
      <c r="E376" s="95" t="s">
        <v>577</v>
      </c>
      <c r="F376" s="95">
        <v>9.0</v>
      </c>
      <c r="G376" s="95" t="s">
        <v>925</v>
      </c>
      <c r="H376" s="63" t="str">
        <f>VLOOKUP(C376, 'Class Def. - General Data'!$C$20:$C$476,1,false)</f>
        <v>ZPI1_BUKU_KERTAS</v>
      </c>
      <c r="I376" s="63" t="str">
        <f t="shared" si="1"/>
        <v>ZPI1_BUKU_KERTAS9</v>
      </c>
      <c r="J376" s="63">
        <f t="shared" si="2"/>
        <v>1</v>
      </c>
    </row>
    <row r="377" ht="15.75" customHeight="1">
      <c r="A377" s="59" t="s">
        <v>93</v>
      </c>
      <c r="B377" s="95"/>
      <c r="C377" s="95" t="s">
        <v>156</v>
      </c>
      <c r="D377" s="95" t="s">
        <v>91</v>
      </c>
      <c r="E377" s="95" t="s">
        <v>577</v>
      </c>
      <c r="F377" s="95">
        <v>10.0</v>
      </c>
      <c r="G377" s="95" t="s">
        <v>926</v>
      </c>
      <c r="H377" s="63" t="str">
        <f>VLOOKUP(C377, 'Class Def. - General Data'!$C$20:$C$476,1,false)</f>
        <v>ZPI1_BUKU_KERTAS</v>
      </c>
      <c r="I377" s="63" t="str">
        <f t="shared" si="1"/>
        <v>ZPI1_BUKU_KERTAS10</v>
      </c>
      <c r="J377" s="63">
        <f t="shared" si="2"/>
        <v>1</v>
      </c>
    </row>
    <row r="378" ht="15.75" customHeight="1">
      <c r="A378" s="59" t="s">
        <v>93</v>
      </c>
      <c r="B378" s="95"/>
      <c r="C378" s="95" t="s">
        <v>156</v>
      </c>
      <c r="D378" s="95" t="s">
        <v>91</v>
      </c>
      <c r="E378" s="95" t="s">
        <v>577</v>
      </c>
      <c r="F378" s="95">
        <v>11.0</v>
      </c>
      <c r="G378" s="95" t="s">
        <v>927</v>
      </c>
      <c r="H378" s="63" t="str">
        <f>VLOOKUP(C378, 'Class Def. - General Data'!$C$20:$C$476,1,false)</f>
        <v>ZPI1_BUKU_KERTAS</v>
      </c>
      <c r="I378" s="63" t="str">
        <f t="shared" si="1"/>
        <v>ZPI1_BUKU_KERTAS11</v>
      </c>
      <c r="J378" s="63">
        <f t="shared" si="2"/>
        <v>1</v>
      </c>
    </row>
    <row r="379" ht="15.75" customHeight="1">
      <c r="A379" s="59" t="s">
        <v>93</v>
      </c>
      <c r="B379" s="95"/>
      <c r="C379" s="95" t="s">
        <v>156</v>
      </c>
      <c r="D379" s="95" t="s">
        <v>91</v>
      </c>
      <c r="E379" s="95" t="s">
        <v>577</v>
      </c>
      <c r="F379" s="95">
        <v>12.0</v>
      </c>
      <c r="G379" s="95" t="s">
        <v>928</v>
      </c>
      <c r="H379" s="63" t="str">
        <f>VLOOKUP(C379, 'Class Def. - General Data'!$C$20:$C$476,1,false)</f>
        <v>ZPI1_BUKU_KERTAS</v>
      </c>
      <c r="I379" s="63" t="str">
        <f t="shared" si="1"/>
        <v>ZPI1_BUKU_KERTAS12</v>
      </c>
      <c r="J379" s="63">
        <f t="shared" si="2"/>
        <v>1</v>
      </c>
    </row>
    <row r="380" ht="15.75" customHeight="1">
      <c r="A380" s="59" t="s">
        <v>93</v>
      </c>
      <c r="B380" s="95"/>
      <c r="C380" s="95" t="s">
        <v>156</v>
      </c>
      <c r="D380" s="95" t="s">
        <v>91</v>
      </c>
      <c r="E380" s="95" t="s">
        <v>577</v>
      </c>
      <c r="F380" s="95">
        <v>13.0</v>
      </c>
      <c r="G380" s="95" t="s">
        <v>929</v>
      </c>
      <c r="H380" s="63" t="str">
        <f>VLOOKUP(C380, 'Class Def. - General Data'!$C$20:$C$476,1,false)</f>
        <v>ZPI1_BUKU_KERTAS</v>
      </c>
      <c r="I380" s="63" t="str">
        <f t="shared" si="1"/>
        <v>ZPI1_BUKU_KERTAS13</v>
      </c>
      <c r="J380" s="63">
        <f t="shared" si="2"/>
        <v>1</v>
      </c>
    </row>
    <row r="381" ht="15.75" customHeight="1">
      <c r="A381" s="59" t="s">
        <v>93</v>
      </c>
      <c r="B381" s="95"/>
      <c r="C381" s="95" t="s">
        <v>151</v>
      </c>
      <c r="D381" s="95" t="s">
        <v>91</v>
      </c>
      <c r="E381" s="95" t="s">
        <v>577</v>
      </c>
      <c r="F381" s="95">
        <v>1.0</v>
      </c>
      <c r="G381" s="95" t="s">
        <v>930</v>
      </c>
      <c r="H381" s="63" t="str">
        <f>VLOOKUP(C381, 'Class Def. - General Data'!$C$20:$C$476,1,false)</f>
        <v>ZPI1_HANDUK</v>
      </c>
      <c r="I381" s="63" t="str">
        <f t="shared" si="1"/>
        <v>ZPI1_HANDUK1</v>
      </c>
      <c r="J381" s="63">
        <f t="shared" si="2"/>
        <v>1</v>
      </c>
    </row>
    <row r="382" ht="15.75" customHeight="1">
      <c r="A382" s="59" t="s">
        <v>93</v>
      </c>
      <c r="B382" s="95"/>
      <c r="C382" s="95" t="s">
        <v>151</v>
      </c>
      <c r="D382" s="95" t="s">
        <v>91</v>
      </c>
      <c r="E382" s="95" t="s">
        <v>577</v>
      </c>
      <c r="F382" s="95">
        <v>2.0</v>
      </c>
      <c r="G382" s="95" t="s">
        <v>931</v>
      </c>
      <c r="H382" s="63" t="str">
        <f>VLOOKUP(C382, 'Class Def. - General Data'!$C$20:$C$476,1,false)</f>
        <v>ZPI1_HANDUK</v>
      </c>
      <c r="I382" s="63" t="str">
        <f t="shared" si="1"/>
        <v>ZPI1_HANDUK2</v>
      </c>
      <c r="J382" s="63">
        <f t="shared" si="2"/>
        <v>1</v>
      </c>
    </row>
    <row r="383" ht="15.75" customHeight="1">
      <c r="A383" s="59" t="s">
        <v>93</v>
      </c>
      <c r="B383" s="95"/>
      <c r="C383" s="95" t="s">
        <v>151</v>
      </c>
      <c r="D383" s="95" t="s">
        <v>91</v>
      </c>
      <c r="E383" s="95" t="s">
        <v>577</v>
      </c>
      <c r="F383" s="95">
        <v>3.0</v>
      </c>
      <c r="G383" s="95" t="s">
        <v>932</v>
      </c>
      <c r="H383" s="63" t="str">
        <f>VLOOKUP(C383, 'Class Def. - General Data'!$C$20:$C$476,1,false)</f>
        <v>ZPI1_HANDUK</v>
      </c>
      <c r="I383" s="63" t="str">
        <f t="shared" si="1"/>
        <v>ZPI1_HANDUK3</v>
      </c>
      <c r="J383" s="63">
        <f t="shared" si="2"/>
        <v>1</v>
      </c>
    </row>
    <row r="384" ht="15.75" customHeight="1">
      <c r="A384" s="59" t="s">
        <v>93</v>
      </c>
      <c r="B384" s="95"/>
      <c r="C384" s="95" t="s">
        <v>151</v>
      </c>
      <c r="D384" s="95" t="s">
        <v>91</v>
      </c>
      <c r="E384" s="95" t="s">
        <v>577</v>
      </c>
      <c r="F384" s="95">
        <v>4.0</v>
      </c>
      <c r="G384" s="95" t="s">
        <v>933</v>
      </c>
      <c r="H384" s="63" t="str">
        <f>VLOOKUP(C384, 'Class Def. - General Data'!$C$20:$C$476,1,false)</f>
        <v>ZPI1_HANDUK</v>
      </c>
      <c r="I384" s="63" t="str">
        <f t="shared" si="1"/>
        <v>ZPI1_HANDUK4</v>
      </c>
      <c r="J384" s="63">
        <f t="shared" si="2"/>
        <v>1</v>
      </c>
    </row>
    <row r="385" ht="15.75" customHeight="1">
      <c r="A385" s="59" t="s">
        <v>93</v>
      </c>
      <c r="B385" s="95"/>
      <c r="C385" s="95" t="s">
        <v>152</v>
      </c>
      <c r="D385" s="95" t="s">
        <v>91</v>
      </c>
      <c r="E385" s="95" t="s">
        <v>577</v>
      </c>
      <c r="F385" s="95">
        <v>1.0</v>
      </c>
      <c r="G385" s="95" t="s">
        <v>934</v>
      </c>
      <c r="H385" s="63" t="str">
        <f>VLOOKUP(C385, 'Class Def. - General Data'!$C$20:$C$476,1,false)</f>
        <v>ZPI1_JAM</v>
      </c>
      <c r="I385" s="63" t="str">
        <f t="shared" si="1"/>
        <v>ZPI1_JAM1</v>
      </c>
      <c r="J385" s="63">
        <f t="shared" si="2"/>
        <v>1</v>
      </c>
    </row>
    <row r="386" ht="15.75" customHeight="1">
      <c r="A386" s="59" t="s">
        <v>93</v>
      </c>
      <c r="B386" s="95"/>
      <c r="C386" s="95" t="s">
        <v>152</v>
      </c>
      <c r="D386" s="95" t="s">
        <v>91</v>
      </c>
      <c r="E386" s="95" t="s">
        <v>577</v>
      </c>
      <c r="F386" s="95">
        <v>2.0</v>
      </c>
      <c r="G386" s="95" t="s">
        <v>935</v>
      </c>
      <c r="H386" s="63" t="str">
        <f>VLOOKUP(C386, 'Class Def. - General Data'!$C$20:$C$476,1,false)</f>
        <v>ZPI1_JAM</v>
      </c>
      <c r="I386" s="63" t="str">
        <f t="shared" si="1"/>
        <v>ZPI1_JAM2</v>
      </c>
      <c r="J386" s="63">
        <f t="shared" si="2"/>
        <v>1</v>
      </c>
    </row>
    <row r="387" ht="15.75" customHeight="1">
      <c r="A387" s="59" t="s">
        <v>93</v>
      </c>
      <c r="B387" s="95"/>
      <c r="C387" s="95" t="s">
        <v>152</v>
      </c>
      <c r="D387" s="95" t="s">
        <v>91</v>
      </c>
      <c r="E387" s="95" t="s">
        <v>577</v>
      </c>
      <c r="F387" s="95">
        <v>3.0</v>
      </c>
      <c r="G387" s="95" t="s">
        <v>936</v>
      </c>
      <c r="H387" s="63" t="str">
        <f>VLOOKUP(C387, 'Class Def. - General Data'!$C$20:$C$476,1,false)</f>
        <v>ZPI1_JAM</v>
      </c>
      <c r="I387" s="63" t="str">
        <f t="shared" si="1"/>
        <v>ZPI1_JAM3</v>
      </c>
      <c r="J387" s="63">
        <f t="shared" si="2"/>
        <v>1</v>
      </c>
    </row>
    <row r="388" ht="15.75" customHeight="1">
      <c r="A388" s="59" t="s">
        <v>93</v>
      </c>
      <c r="B388" s="95"/>
      <c r="C388" s="95" t="s">
        <v>152</v>
      </c>
      <c r="D388" s="95" t="s">
        <v>91</v>
      </c>
      <c r="E388" s="95" t="s">
        <v>577</v>
      </c>
      <c r="F388" s="95">
        <v>4.0</v>
      </c>
      <c r="G388" s="95" t="s">
        <v>937</v>
      </c>
      <c r="H388" s="63" t="str">
        <f>VLOOKUP(C388, 'Class Def. - General Data'!$C$20:$C$476,1,false)</f>
        <v>ZPI1_JAM</v>
      </c>
      <c r="I388" s="63" t="str">
        <f t="shared" si="1"/>
        <v>ZPI1_JAM4</v>
      </c>
      <c r="J388" s="63">
        <f t="shared" si="2"/>
        <v>1</v>
      </c>
    </row>
    <row r="389" ht="15.75" customHeight="1">
      <c r="A389" s="59" t="s">
        <v>93</v>
      </c>
      <c r="B389" s="95"/>
      <c r="C389" s="95" t="s">
        <v>152</v>
      </c>
      <c r="D389" s="95" t="s">
        <v>91</v>
      </c>
      <c r="E389" s="95" t="s">
        <v>577</v>
      </c>
      <c r="F389" s="95">
        <v>5.0</v>
      </c>
      <c r="G389" s="95" t="s">
        <v>938</v>
      </c>
      <c r="H389" s="63" t="str">
        <f>VLOOKUP(C389, 'Class Def. - General Data'!$C$20:$C$476,1,false)</f>
        <v>ZPI1_JAM</v>
      </c>
      <c r="I389" s="63" t="str">
        <f t="shared" si="1"/>
        <v>ZPI1_JAM5</v>
      </c>
      <c r="J389" s="63">
        <f t="shared" si="2"/>
        <v>1</v>
      </c>
    </row>
    <row r="390" ht="15.75" customHeight="1">
      <c r="A390" s="59" t="s">
        <v>93</v>
      </c>
      <c r="B390" s="95"/>
      <c r="C390" s="95" t="s">
        <v>152</v>
      </c>
      <c r="D390" s="95" t="s">
        <v>91</v>
      </c>
      <c r="E390" s="95" t="s">
        <v>577</v>
      </c>
      <c r="F390" s="95">
        <v>6.0</v>
      </c>
      <c r="G390" s="95" t="s">
        <v>939</v>
      </c>
      <c r="H390" s="63" t="str">
        <f>VLOOKUP(C390, 'Class Def. - General Data'!$C$20:$C$476,1,false)</f>
        <v>ZPI1_JAM</v>
      </c>
      <c r="I390" s="63" t="str">
        <f t="shared" si="1"/>
        <v>ZPI1_JAM6</v>
      </c>
      <c r="J390" s="63">
        <f t="shared" si="2"/>
        <v>1</v>
      </c>
    </row>
    <row r="391" ht="15.75" customHeight="1">
      <c r="A391" s="59" t="s">
        <v>93</v>
      </c>
      <c r="B391" s="95"/>
      <c r="C391" s="95" t="s">
        <v>149</v>
      </c>
      <c r="D391" s="95" t="s">
        <v>91</v>
      </c>
      <c r="E391" s="95" t="s">
        <v>577</v>
      </c>
      <c r="F391" s="95">
        <v>1.0</v>
      </c>
      <c r="G391" s="95" t="s">
        <v>940</v>
      </c>
      <c r="H391" s="63" t="str">
        <f>VLOOKUP(C391, 'Class Def. - General Data'!$C$20:$C$476,1,false)</f>
        <v>ZPI1_LOGAM_MULIA</v>
      </c>
      <c r="I391" s="63" t="str">
        <f t="shared" si="1"/>
        <v>ZPI1_LOGAM_MULIA1</v>
      </c>
      <c r="J391" s="63">
        <f t="shared" si="2"/>
        <v>1</v>
      </c>
    </row>
    <row r="392" ht="15.75" customHeight="1">
      <c r="A392" s="59" t="s">
        <v>93</v>
      </c>
      <c r="B392" s="95"/>
      <c r="C392" s="95" t="s">
        <v>149</v>
      </c>
      <c r="D392" s="95" t="s">
        <v>91</v>
      </c>
      <c r="E392" s="95" t="s">
        <v>577</v>
      </c>
      <c r="F392" s="95">
        <v>2.0</v>
      </c>
      <c r="G392" s="95" t="s">
        <v>941</v>
      </c>
      <c r="H392" s="63" t="str">
        <f>VLOOKUP(C392, 'Class Def. - General Data'!$C$20:$C$476,1,false)</f>
        <v>ZPI1_LOGAM_MULIA</v>
      </c>
      <c r="I392" s="63" t="str">
        <f t="shared" si="1"/>
        <v>ZPI1_LOGAM_MULIA2</v>
      </c>
      <c r="J392" s="63">
        <f t="shared" si="2"/>
        <v>1</v>
      </c>
    </row>
    <row r="393" ht="15.75" customHeight="1">
      <c r="A393" s="59" t="s">
        <v>93</v>
      </c>
      <c r="B393" s="95"/>
      <c r="C393" s="95" t="s">
        <v>149</v>
      </c>
      <c r="D393" s="95" t="s">
        <v>91</v>
      </c>
      <c r="E393" s="95" t="s">
        <v>577</v>
      </c>
      <c r="F393" s="95">
        <v>3.0</v>
      </c>
      <c r="G393" s="95" t="s">
        <v>942</v>
      </c>
      <c r="H393" s="63" t="str">
        <f>VLOOKUP(C393, 'Class Def. - General Data'!$C$20:$C$476,1,false)</f>
        <v>ZPI1_LOGAM_MULIA</v>
      </c>
      <c r="I393" s="63" t="str">
        <f t="shared" si="1"/>
        <v>ZPI1_LOGAM_MULIA3</v>
      </c>
      <c r="J393" s="63">
        <f t="shared" si="2"/>
        <v>1</v>
      </c>
    </row>
    <row r="394" ht="15.75" customHeight="1">
      <c r="A394" s="59" t="s">
        <v>93</v>
      </c>
      <c r="B394" s="95"/>
      <c r="C394" s="95" t="s">
        <v>149</v>
      </c>
      <c r="D394" s="95" t="s">
        <v>91</v>
      </c>
      <c r="E394" s="95" t="s">
        <v>577</v>
      </c>
      <c r="F394" s="95">
        <v>4.0</v>
      </c>
      <c r="G394" s="95" t="s">
        <v>943</v>
      </c>
      <c r="H394" s="63" t="str">
        <f>VLOOKUP(C394, 'Class Def. - General Data'!$C$20:$C$476,1,false)</f>
        <v>ZPI1_LOGAM_MULIA</v>
      </c>
      <c r="I394" s="63" t="str">
        <f t="shared" si="1"/>
        <v>ZPI1_LOGAM_MULIA4</v>
      </c>
      <c r="J394" s="63">
        <f t="shared" si="2"/>
        <v>1</v>
      </c>
    </row>
    <row r="395" ht="15.75" customHeight="1">
      <c r="A395" s="59" t="s">
        <v>93</v>
      </c>
      <c r="B395" s="95"/>
      <c r="C395" s="95" t="s">
        <v>161</v>
      </c>
      <c r="D395" s="95" t="s">
        <v>91</v>
      </c>
      <c r="E395" s="95" t="s">
        <v>577</v>
      </c>
      <c r="F395" s="95">
        <v>1.0</v>
      </c>
      <c r="G395" s="95" t="s">
        <v>944</v>
      </c>
      <c r="H395" s="63" t="str">
        <f>VLOOKUP(C395, 'Class Def. - General Data'!$C$20:$C$476,1,false)</f>
        <v>ZPI1_MAINAN_BONEKA</v>
      </c>
      <c r="I395" s="63" t="str">
        <f t="shared" si="1"/>
        <v>ZPI1_MAINAN_BONEKA1</v>
      </c>
      <c r="J395" s="63">
        <f t="shared" si="2"/>
        <v>1</v>
      </c>
    </row>
    <row r="396" ht="15.75" customHeight="1">
      <c r="A396" s="59" t="s">
        <v>93</v>
      </c>
      <c r="B396" s="95"/>
      <c r="C396" s="95" t="s">
        <v>161</v>
      </c>
      <c r="D396" s="95" t="s">
        <v>91</v>
      </c>
      <c r="E396" s="95" t="s">
        <v>577</v>
      </c>
      <c r="F396" s="95">
        <v>2.0</v>
      </c>
      <c r="G396" s="95" t="s">
        <v>945</v>
      </c>
      <c r="H396" s="63" t="str">
        <f>VLOOKUP(C396, 'Class Def. - General Data'!$C$20:$C$476,1,false)</f>
        <v>ZPI1_MAINAN_BONEKA</v>
      </c>
      <c r="I396" s="63" t="str">
        <f t="shared" si="1"/>
        <v>ZPI1_MAINAN_BONEKA2</v>
      </c>
      <c r="J396" s="63">
        <f t="shared" si="2"/>
        <v>1</v>
      </c>
    </row>
    <row r="397" ht="15.75" customHeight="1">
      <c r="A397" s="59" t="s">
        <v>93</v>
      </c>
      <c r="B397" s="95"/>
      <c r="C397" s="95" t="s">
        <v>161</v>
      </c>
      <c r="D397" s="95" t="s">
        <v>91</v>
      </c>
      <c r="E397" s="95" t="s">
        <v>577</v>
      </c>
      <c r="F397" s="95">
        <v>3.0</v>
      </c>
      <c r="G397" s="95" t="s">
        <v>946</v>
      </c>
      <c r="H397" s="63" t="str">
        <f>VLOOKUP(C397, 'Class Def. - General Data'!$C$20:$C$476,1,false)</f>
        <v>ZPI1_MAINAN_BONEKA</v>
      </c>
      <c r="I397" s="63" t="str">
        <f t="shared" si="1"/>
        <v>ZPI1_MAINAN_BONEKA3</v>
      </c>
      <c r="J397" s="63">
        <f t="shared" si="2"/>
        <v>1</v>
      </c>
    </row>
    <row r="398" ht="15.75" customHeight="1">
      <c r="A398" s="59" t="s">
        <v>93</v>
      </c>
      <c r="B398" s="95"/>
      <c r="C398" s="95" t="s">
        <v>161</v>
      </c>
      <c r="D398" s="95" t="s">
        <v>91</v>
      </c>
      <c r="E398" s="95" t="s">
        <v>577</v>
      </c>
      <c r="F398" s="95">
        <v>4.0</v>
      </c>
      <c r="G398" s="95" t="s">
        <v>947</v>
      </c>
      <c r="H398" s="63" t="str">
        <f>VLOOKUP(C398, 'Class Def. - General Data'!$C$20:$C$476,1,false)</f>
        <v>ZPI1_MAINAN_BONEKA</v>
      </c>
      <c r="I398" s="63" t="str">
        <f t="shared" si="1"/>
        <v>ZPI1_MAINAN_BONEKA4</v>
      </c>
      <c r="J398" s="63">
        <f t="shared" si="2"/>
        <v>1</v>
      </c>
    </row>
    <row r="399" ht="15.75" customHeight="1">
      <c r="A399" s="59" t="s">
        <v>93</v>
      </c>
      <c r="B399" s="95"/>
      <c r="C399" s="95" t="s">
        <v>161</v>
      </c>
      <c r="D399" s="95" t="s">
        <v>91</v>
      </c>
      <c r="E399" s="95" t="s">
        <v>577</v>
      </c>
      <c r="F399" s="95">
        <v>5.0</v>
      </c>
      <c r="G399" s="95" t="s">
        <v>948</v>
      </c>
      <c r="H399" s="63" t="str">
        <f>VLOOKUP(C399, 'Class Def. - General Data'!$C$20:$C$476,1,false)</f>
        <v>ZPI1_MAINAN_BONEKA</v>
      </c>
      <c r="I399" s="63" t="str">
        <f t="shared" si="1"/>
        <v>ZPI1_MAINAN_BONEKA5</v>
      </c>
      <c r="J399" s="63">
        <f t="shared" si="2"/>
        <v>1</v>
      </c>
    </row>
    <row r="400" ht="15.75" customHeight="1">
      <c r="A400" s="59" t="s">
        <v>93</v>
      </c>
      <c r="B400" s="95"/>
      <c r="C400" s="95" t="s">
        <v>161</v>
      </c>
      <c r="D400" s="95" t="s">
        <v>91</v>
      </c>
      <c r="E400" s="95" t="s">
        <v>577</v>
      </c>
      <c r="F400" s="95">
        <v>6.0</v>
      </c>
      <c r="G400" s="95" t="s">
        <v>949</v>
      </c>
      <c r="H400" s="63" t="str">
        <f>VLOOKUP(C400, 'Class Def. - General Data'!$C$20:$C$476,1,false)</f>
        <v>ZPI1_MAINAN_BONEKA</v>
      </c>
      <c r="I400" s="63" t="str">
        <f t="shared" si="1"/>
        <v>ZPI1_MAINAN_BONEKA6</v>
      </c>
      <c r="J400" s="63">
        <f t="shared" si="2"/>
        <v>1</v>
      </c>
    </row>
    <row r="401" ht="15.75" customHeight="1">
      <c r="A401" s="59" t="s">
        <v>93</v>
      </c>
      <c r="B401" s="95"/>
      <c r="C401" s="95" t="s">
        <v>161</v>
      </c>
      <c r="D401" s="95" t="s">
        <v>91</v>
      </c>
      <c r="E401" s="95" t="s">
        <v>577</v>
      </c>
      <c r="F401" s="95">
        <v>7.0</v>
      </c>
      <c r="G401" s="95" t="s">
        <v>950</v>
      </c>
      <c r="H401" s="63" t="str">
        <f>VLOOKUP(C401, 'Class Def. - General Data'!$C$20:$C$476,1,false)</f>
        <v>ZPI1_MAINAN_BONEKA</v>
      </c>
      <c r="I401" s="63" t="str">
        <f t="shared" si="1"/>
        <v>ZPI1_MAINAN_BONEKA7</v>
      </c>
      <c r="J401" s="63">
        <f t="shared" si="2"/>
        <v>1</v>
      </c>
    </row>
    <row r="402" ht="15.75" customHeight="1">
      <c r="A402" s="59" t="s">
        <v>93</v>
      </c>
      <c r="B402" s="95"/>
      <c r="C402" s="95" t="s">
        <v>161</v>
      </c>
      <c r="D402" s="95" t="s">
        <v>91</v>
      </c>
      <c r="E402" s="95" t="s">
        <v>577</v>
      </c>
      <c r="F402" s="95">
        <v>8.0</v>
      </c>
      <c r="G402" s="95" t="s">
        <v>951</v>
      </c>
      <c r="H402" s="63" t="str">
        <f>VLOOKUP(C402, 'Class Def. - General Data'!$C$20:$C$476,1,false)</f>
        <v>ZPI1_MAINAN_BONEKA</v>
      </c>
      <c r="I402" s="63" t="str">
        <f t="shared" si="1"/>
        <v>ZPI1_MAINAN_BONEKA8</v>
      </c>
      <c r="J402" s="63">
        <f t="shared" si="2"/>
        <v>1</v>
      </c>
    </row>
    <row r="403" ht="15.75" customHeight="1">
      <c r="A403" s="59" t="s">
        <v>93</v>
      </c>
      <c r="B403" s="95"/>
      <c r="C403" s="95" t="s">
        <v>161</v>
      </c>
      <c r="D403" s="95" t="s">
        <v>91</v>
      </c>
      <c r="E403" s="95" t="s">
        <v>577</v>
      </c>
      <c r="F403" s="95">
        <v>9.0</v>
      </c>
      <c r="G403" s="95" t="s">
        <v>952</v>
      </c>
      <c r="H403" s="63" t="str">
        <f>VLOOKUP(C403, 'Class Def. - General Data'!$C$20:$C$476,1,false)</f>
        <v>ZPI1_MAINAN_BONEKA</v>
      </c>
      <c r="I403" s="63" t="str">
        <f t="shared" si="1"/>
        <v>ZPI1_MAINAN_BONEKA9</v>
      </c>
      <c r="J403" s="63">
        <f t="shared" si="2"/>
        <v>1</v>
      </c>
    </row>
    <row r="404" ht="15.75" customHeight="1">
      <c r="A404" s="59" t="s">
        <v>93</v>
      </c>
      <c r="B404" s="95"/>
      <c r="C404" s="95" t="s">
        <v>161</v>
      </c>
      <c r="D404" s="95" t="s">
        <v>91</v>
      </c>
      <c r="E404" s="95" t="s">
        <v>577</v>
      </c>
      <c r="F404" s="95">
        <v>10.0</v>
      </c>
      <c r="G404" s="95" t="s">
        <v>953</v>
      </c>
      <c r="H404" s="63" t="str">
        <f>VLOOKUP(C404, 'Class Def. - General Data'!$C$20:$C$476,1,false)</f>
        <v>ZPI1_MAINAN_BONEKA</v>
      </c>
      <c r="I404" s="63" t="str">
        <f t="shared" si="1"/>
        <v>ZPI1_MAINAN_BONEKA10</v>
      </c>
      <c r="J404" s="63">
        <f t="shared" si="2"/>
        <v>1</v>
      </c>
    </row>
    <row r="405" ht="15.75" customHeight="1">
      <c r="A405" s="59" t="s">
        <v>93</v>
      </c>
      <c r="B405" s="95"/>
      <c r="C405" s="95" t="s">
        <v>161</v>
      </c>
      <c r="D405" s="95" t="s">
        <v>91</v>
      </c>
      <c r="E405" s="95" t="s">
        <v>577</v>
      </c>
      <c r="F405" s="95">
        <v>11.0</v>
      </c>
      <c r="G405" s="95" t="s">
        <v>954</v>
      </c>
      <c r="H405" s="63" t="str">
        <f>VLOOKUP(C405, 'Class Def. - General Data'!$C$20:$C$476,1,false)</f>
        <v>ZPI1_MAINAN_BONEKA</v>
      </c>
      <c r="I405" s="63" t="str">
        <f t="shared" si="1"/>
        <v>ZPI1_MAINAN_BONEKA11</v>
      </c>
      <c r="J405" s="63">
        <f t="shared" si="2"/>
        <v>1</v>
      </c>
    </row>
    <row r="406" ht="15.75" customHeight="1">
      <c r="A406" s="59" t="s">
        <v>93</v>
      </c>
      <c r="B406" s="95"/>
      <c r="C406" s="95" t="s">
        <v>146</v>
      </c>
      <c r="D406" s="95" t="s">
        <v>91</v>
      </c>
      <c r="E406" s="95" t="s">
        <v>577</v>
      </c>
      <c r="F406" s="95">
        <v>1.0</v>
      </c>
      <c r="G406" s="95" t="s">
        <v>955</v>
      </c>
      <c r="H406" s="63" t="str">
        <f>VLOOKUP(C406, 'Class Def. - General Data'!$C$20:$C$476,1,false)</f>
        <v>ZPI1_PAKAIAN</v>
      </c>
      <c r="I406" s="63" t="str">
        <f t="shared" si="1"/>
        <v>ZPI1_PAKAIAN1</v>
      </c>
      <c r="J406" s="63">
        <f t="shared" si="2"/>
        <v>1</v>
      </c>
    </row>
    <row r="407" ht="15.75" customHeight="1">
      <c r="A407" s="59" t="s">
        <v>93</v>
      </c>
      <c r="B407" s="95"/>
      <c r="C407" s="95" t="s">
        <v>146</v>
      </c>
      <c r="D407" s="95" t="s">
        <v>91</v>
      </c>
      <c r="E407" s="95" t="s">
        <v>577</v>
      </c>
      <c r="F407" s="95">
        <v>2.0</v>
      </c>
      <c r="G407" s="95" t="s">
        <v>956</v>
      </c>
      <c r="H407" s="63" t="str">
        <f>VLOOKUP(C407, 'Class Def. - General Data'!$C$20:$C$476,1,false)</f>
        <v>ZPI1_PAKAIAN</v>
      </c>
      <c r="I407" s="63" t="str">
        <f t="shared" si="1"/>
        <v>ZPI1_PAKAIAN2</v>
      </c>
      <c r="J407" s="63">
        <f t="shared" si="2"/>
        <v>1</v>
      </c>
    </row>
    <row r="408" ht="15.75" customHeight="1">
      <c r="A408" s="59" t="s">
        <v>93</v>
      </c>
      <c r="B408" s="95"/>
      <c r="C408" s="95" t="s">
        <v>146</v>
      </c>
      <c r="D408" s="95" t="s">
        <v>91</v>
      </c>
      <c r="E408" s="95" t="s">
        <v>577</v>
      </c>
      <c r="F408" s="95">
        <v>3.0</v>
      </c>
      <c r="G408" s="95" t="s">
        <v>957</v>
      </c>
      <c r="H408" s="63" t="str">
        <f>VLOOKUP(C408, 'Class Def. - General Data'!$C$20:$C$476,1,false)</f>
        <v>ZPI1_PAKAIAN</v>
      </c>
      <c r="I408" s="63" t="str">
        <f t="shared" si="1"/>
        <v>ZPI1_PAKAIAN3</v>
      </c>
      <c r="J408" s="63">
        <f t="shared" si="2"/>
        <v>1</v>
      </c>
    </row>
    <row r="409" ht="15.75" customHeight="1">
      <c r="A409" s="59" t="s">
        <v>93</v>
      </c>
      <c r="B409" s="95"/>
      <c r="C409" s="95" t="s">
        <v>146</v>
      </c>
      <c r="D409" s="95" t="s">
        <v>91</v>
      </c>
      <c r="E409" s="95" t="s">
        <v>577</v>
      </c>
      <c r="F409" s="95">
        <v>4.0</v>
      </c>
      <c r="G409" s="95" t="s">
        <v>958</v>
      </c>
      <c r="H409" s="63" t="str">
        <f>VLOOKUP(C409, 'Class Def. - General Data'!$C$20:$C$476,1,false)</f>
        <v>ZPI1_PAKAIAN</v>
      </c>
      <c r="I409" s="63" t="str">
        <f t="shared" si="1"/>
        <v>ZPI1_PAKAIAN4</v>
      </c>
      <c r="J409" s="63">
        <f t="shared" si="2"/>
        <v>1</v>
      </c>
    </row>
    <row r="410" ht="15.75" customHeight="1">
      <c r="A410" s="59" t="s">
        <v>93</v>
      </c>
      <c r="B410" s="95"/>
      <c r="C410" s="95" t="s">
        <v>146</v>
      </c>
      <c r="D410" s="95" t="s">
        <v>91</v>
      </c>
      <c r="E410" s="95" t="s">
        <v>577</v>
      </c>
      <c r="F410" s="95">
        <v>5.0</v>
      </c>
      <c r="G410" s="95" t="s">
        <v>959</v>
      </c>
      <c r="H410" s="63" t="str">
        <f>VLOOKUP(C410, 'Class Def. - General Data'!$C$20:$C$476,1,false)</f>
        <v>ZPI1_PAKAIAN</v>
      </c>
      <c r="I410" s="63" t="str">
        <f t="shared" si="1"/>
        <v>ZPI1_PAKAIAN5</v>
      </c>
      <c r="J410" s="63">
        <f t="shared" si="2"/>
        <v>1</v>
      </c>
    </row>
    <row r="411" ht="15.75" customHeight="1">
      <c r="A411" s="59" t="s">
        <v>93</v>
      </c>
      <c r="B411" s="95"/>
      <c r="C411" s="95" t="s">
        <v>146</v>
      </c>
      <c r="D411" s="95" t="s">
        <v>91</v>
      </c>
      <c r="E411" s="95" t="s">
        <v>577</v>
      </c>
      <c r="F411" s="95">
        <v>6.0</v>
      </c>
      <c r="G411" s="95" t="s">
        <v>960</v>
      </c>
      <c r="H411" s="63" t="str">
        <f>VLOOKUP(C411, 'Class Def. - General Data'!$C$20:$C$476,1,false)</f>
        <v>ZPI1_PAKAIAN</v>
      </c>
      <c r="I411" s="63" t="str">
        <f t="shared" si="1"/>
        <v>ZPI1_PAKAIAN6</v>
      </c>
      <c r="J411" s="63">
        <f t="shared" si="2"/>
        <v>1</v>
      </c>
    </row>
    <row r="412" ht="15.75" customHeight="1">
      <c r="A412" s="59" t="s">
        <v>93</v>
      </c>
      <c r="B412" s="95"/>
      <c r="C412" s="95" t="s">
        <v>146</v>
      </c>
      <c r="D412" s="95" t="s">
        <v>91</v>
      </c>
      <c r="E412" s="95" t="s">
        <v>577</v>
      </c>
      <c r="F412" s="95">
        <v>7.0</v>
      </c>
      <c r="G412" s="95" t="s">
        <v>961</v>
      </c>
      <c r="H412" s="63" t="str">
        <f>VLOOKUP(C412, 'Class Def. - General Data'!$C$20:$C$476,1,false)</f>
        <v>ZPI1_PAKAIAN</v>
      </c>
      <c r="I412" s="63" t="str">
        <f t="shared" si="1"/>
        <v>ZPI1_PAKAIAN7</v>
      </c>
      <c r="J412" s="63">
        <f t="shared" si="2"/>
        <v>1</v>
      </c>
    </row>
    <row r="413" ht="15.75" customHeight="1">
      <c r="A413" s="59" t="s">
        <v>93</v>
      </c>
      <c r="B413" s="95"/>
      <c r="C413" s="95" t="s">
        <v>146</v>
      </c>
      <c r="D413" s="95" t="s">
        <v>91</v>
      </c>
      <c r="E413" s="95" t="s">
        <v>577</v>
      </c>
      <c r="F413" s="95">
        <v>8.0</v>
      </c>
      <c r="G413" s="95" t="s">
        <v>962</v>
      </c>
      <c r="H413" s="63" t="str">
        <f>VLOOKUP(C413, 'Class Def. - General Data'!$C$20:$C$476,1,false)</f>
        <v>ZPI1_PAKAIAN</v>
      </c>
      <c r="I413" s="63" t="str">
        <f t="shared" si="1"/>
        <v>ZPI1_PAKAIAN8</v>
      </c>
      <c r="J413" s="63">
        <f t="shared" si="2"/>
        <v>1</v>
      </c>
    </row>
    <row r="414" ht="15.75" customHeight="1">
      <c r="A414" s="59" t="s">
        <v>93</v>
      </c>
      <c r="B414" s="95"/>
      <c r="C414" s="95" t="s">
        <v>146</v>
      </c>
      <c r="D414" s="95" t="s">
        <v>91</v>
      </c>
      <c r="E414" s="95" t="s">
        <v>577</v>
      </c>
      <c r="F414" s="95">
        <v>9.0</v>
      </c>
      <c r="G414" s="95" t="s">
        <v>963</v>
      </c>
      <c r="H414" s="63" t="str">
        <f>VLOOKUP(C414, 'Class Def. - General Data'!$C$20:$C$476,1,false)</f>
        <v>ZPI1_PAKAIAN</v>
      </c>
      <c r="I414" s="63" t="str">
        <f t="shared" si="1"/>
        <v>ZPI1_PAKAIAN9</v>
      </c>
      <c r="J414" s="63">
        <f t="shared" si="2"/>
        <v>1</v>
      </c>
    </row>
    <row r="415" ht="15.75" customHeight="1">
      <c r="A415" s="59" t="s">
        <v>93</v>
      </c>
      <c r="B415" s="95"/>
      <c r="C415" s="95" t="s">
        <v>146</v>
      </c>
      <c r="D415" s="95" t="s">
        <v>91</v>
      </c>
      <c r="E415" s="95" t="s">
        <v>577</v>
      </c>
      <c r="F415" s="95">
        <v>10.0</v>
      </c>
      <c r="G415" s="95" t="s">
        <v>964</v>
      </c>
      <c r="H415" s="63" t="str">
        <f>VLOOKUP(C415, 'Class Def. - General Data'!$C$20:$C$476,1,false)</f>
        <v>ZPI1_PAKAIAN</v>
      </c>
      <c r="I415" s="63" t="str">
        <f t="shared" si="1"/>
        <v>ZPI1_PAKAIAN10</v>
      </c>
      <c r="J415" s="63">
        <f t="shared" si="2"/>
        <v>1</v>
      </c>
    </row>
    <row r="416" ht="15.75" customHeight="1">
      <c r="A416" s="59" t="s">
        <v>93</v>
      </c>
      <c r="B416" s="95"/>
      <c r="C416" s="95" t="s">
        <v>146</v>
      </c>
      <c r="D416" s="95" t="s">
        <v>91</v>
      </c>
      <c r="E416" s="95" t="s">
        <v>577</v>
      </c>
      <c r="F416" s="95">
        <v>11.0</v>
      </c>
      <c r="G416" s="95" t="s">
        <v>965</v>
      </c>
      <c r="H416" s="63" t="str">
        <f>VLOOKUP(C416, 'Class Def. - General Data'!$C$20:$C$476,1,false)</f>
        <v>ZPI1_PAKAIAN</v>
      </c>
      <c r="I416" s="63" t="str">
        <f t="shared" si="1"/>
        <v>ZPI1_PAKAIAN11</v>
      </c>
      <c r="J416" s="63">
        <f t="shared" si="2"/>
        <v>1</v>
      </c>
    </row>
    <row r="417" ht="15.75" customHeight="1">
      <c r="A417" s="59" t="s">
        <v>93</v>
      </c>
      <c r="B417" s="95"/>
      <c r="C417" s="95" t="s">
        <v>146</v>
      </c>
      <c r="D417" s="95" t="s">
        <v>91</v>
      </c>
      <c r="E417" s="95" t="s">
        <v>577</v>
      </c>
      <c r="F417" s="95">
        <v>12.0</v>
      </c>
      <c r="G417" s="95" t="s">
        <v>966</v>
      </c>
      <c r="H417" s="63" t="str">
        <f>VLOOKUP(C417, 'Class Def. - General Data'!$C$20:$C$476,1,false)</f>
        <v>ZPI1_PAKAIAN</v>
      </c>
      <c r="I417" s="63" t="str">
        <f t="shared" si="1"/>
        <v>ZPI1_PAKAIAN12</v>
      </c>
      <c r="J417" s="63">
        <f t="shared" si="2"/>
        <v>1</v>
      </c>
    </row>
    <row r="418" ht="15.75" customHeight="1">
      <c r="A418" s="59" t="s">
        <v>93</v>
      </c>
      <c r="B418" s="95"/>
      <c r="C418" s="95" t="s">
        <v>146</v>
      </c>
      <c r="D418" s="95" t="s">
        <v>91</v>
      </c>
      <c r="E418" s="95" t="s">
        <v>577</v>
      </c>
      <c r="F418" s="95">
        <v>13.0</v>
      </c>
      <c r="G418" s="95" t="s">
        <v>967</v>
      </c>
      <c r="H418" s="63" t="str">
        <f>VLOOKUP(C418, 'Class Def. - General Data'!$C$20:$C$476,1,false)</f>
        <v>ZPI1_PAKAIAN</v>
      </c>
      <c r="I418" s="63" t="str">
        <f t="shared" si="1"/>
        <v>ZPI1_PAKAIAN13</v>
      </c>
      <c r="J418" s="63">
        <f t="shared" si="2"/>
        <v>1</v>
      </c>
    </row>
    <row r="419" ht="15.75" customHeight="1">
      <c r="A419" s="59" t="s">
        <v>93</v>
      </c>
      <c r="B419" s="95"/>
      <c r="C419" s="95" t="s">
        <v>146</v>
      </c>
      <c r="D419" s="95" t="s">
        <v>91</v>
      </c>
      <c r="E419" s="95" t="s">
        <v>577</v>
      </c>
      <c r="F419" s="95">
        <v>14.0</v>
      </c>
      <c r="G419" s="95" t="s">
        <v>968</v>
      </c>
      <c r="H419" s="63" t="str">
        <f>VLOOKUP(C419, 'Class Def. - General Data'!$C$20:$C$476,1,false)</f>
        <v>ZPI1_PAKAIAN</v>
      </c>
      <c r="I419" s="63" t="str">
        <f t="shared" si="1"/>
        <v>ZPI1_PAKAIAN14</v>
      </c>
      <c r="J419" s="63">
        <f t="shared" si="2"/>
        <v>1</v>
      </c>
    </row>
    <row r="420" ht="15.75" customHeight="1">
      <c r="A420" s="59" t="s">
        <v>93</v>
      </c>
      <c r="B420" s="95"/>
      <c r="C420" s="95" t="s">
        <v>146</v>
      </c>
      <c r="D420" s="95" t="s">
        <v>91</v>
      </c>
      <c r="E420" s="95" t="s">
        <v>577</v>
      </c>
      <c r="F420" s="95">
        <v>15.0</v>
      </c>
      <c r="G420" s="95" t="s">
        <v>969</v>
      </c>
      <c r="H420" s="63" t="str">
        <f>VLOOKUP(C420, 'Class Def. - General Data'!$C$20:$C$476,1,false)</f>
        <v>ZPI1_PAKAIAN</v>
      </c>
      <c r="I420" s="63" t="str">
        <f t="shared" si="1"/>
        <v>ZPI1_PAKAIAN15</v>
      </c>
      <c r="J420" s="63">
        <f t="shared" si="2"/>
        <v>1</v>
      </c>
    </row>
    <row r="421" ht="15.75" customHeight="1">
      <c r="A421" s="59" t="s">
        <v>93</v>
      </c>
      <c r="B421" s="95"/>
      <c r="C421" s="95" t="s">
        <v>146</v>
      </c>
      <c r="D421" s="95" t="s">
        <v>91</v>
      </c>
      <c r="E421" s="95" t="s">
        <v>577</v>
      </c>
      <c r="F421" s="95">
        <v>16.0</v>
      </c>
      <c r="G421" s="95" t="s">
        <v>970</v>
      </c>
      <c r="H421" s="63" t="str">
        <f>VLOOKUP(C421, 'Class Def. - General Data'!$C$20:$C$476,1,false)</f>
        <v>ZPI1_PAKAIAN</v>
      </c>
      <c r="I421" s="63" t="str">
        <f t="shared" si="1"/>
        <v>ZPI1_PAKAIAN16</v>
      </c>
      <c r="J421" s="63">
        <f t="shared" si="2"/>
        <v>1</v>
      </c>
    </row>
    <row r="422" ht="15.75" customHeight="1">
      <c r="A422" s="59" t="s">
        <v>93</v>
      </c>
      <c r="B422" s="95"/>
      <c r="C422" s="95" t="s">
        <v>146</v>
      </c>
      <c r="D422" s="95" t="s">
        <v>91</v>
      </c>
      <c r="E422" s="95" t="s">
        <v>577</v>
      </c>
      <c r="F422" s="95">
        <v>17.0</v>
      </c>
      <c r="G422" s="95" t="s">
        <v>971</v>
      </c>
      <c r="H422" s="63" t="str">
        <f>VLOOKUP(C422, 'Class Def. - General Data'!$C$20:$C$476,1,false)</f>
        <v>ZPI1_PAKAIAN</v>
      </c>
      <c r="I422" s="63" t="str">
        <f t="shared" si="1"/>
        <v>ZPI1_PAKAIAN17</v>
      </c>
      <c r="J422" s="63">
        <f t="shared" si="2"/>
        <v>1</v>
      </c>
    </row>
    <row r="423" ht="15.75" customHeight="1">
      <c r="A423" s="59" t="s">
        <v>93</v>
      </c>
      <c r="B423" s="95"/>
      <c r="C423" s="95" t="s">
        <v>146</v>
      </c>
      <c r="D423" s="95" t="s">
        <v>91</v>
      </c>
      <c r="E423" s="95" t="s">
        <v>577</v>
      </c>
      <c r="F423" s="95">
        <v>18.0</v>
      </c>
      <c r="G423" s="95" t="s">
        <v>972</v>
      </c>
      <c r="H423" s="63" t="str">
        <f>VLOOKUP(C423, 'Class Def. - General Data'!$C$20:$C$476,1,false)</f>
        <v>ZPI1_PAKAIAN</v>
      </c>
      <c r="I423" s="63" t="str">
        <f t="shared" si="1"/>
        <v>ZPI1_PAKAIAN18</v>
      </c>
      <c r="J423" s="63">
        <f t="shared" si="2"/>
        <v>1</v>
      </c>
    </row>
    <row r="424" ht="15.75" customHeight="1">
      <c r="A424" s="59" t="s">
        <v>93</v>
      </c>
      <c r="B424" s="95"/>
      <c r="C424" s="95" t="s">
        <v>146</v>
      </c>
      <c r="D424" s="95" t="s">
        <v>91</v>
      </c>
      <c r="E424" s="95" t="s">
        <v>577</v>
      </c>
      <c r="F424" s="95">
        <v>19.0</v>
      </c>
      <c r="G424" s="95" t="s">
        <v>973</v>
      </c>
      <c r="H424" s="63" t="str">
        <f>VLOOKUP(C424, 'Class Def. - General Data'!$C$20:$C$476,1,false)</f>
        <v>ZPI1_PAKAIAN</v>
      </c>
      <c r="I424" s="63" t="str">
        <f t="shared" si="1"/>
        <v>ZPI1_PAKAIAN19</v>
      </c>
      <c r="J424" s="63">
        <f t="shared" si="2"/>
        <v>1</v>
      </c>
    </row>
    <row r="425" ht="15.75" customHeight="1">
      <c r="A425" s="59" t="s">
        <v>93</v>
      </c>
      <c r="B425" s="95"/>
      <c r="C425" s="95" t="s">
        <v>146</v>
      </c>
      <c r="D425" s="95" t="s">
        <v>91</v>
      </c>
      <c r="E425" s="95" t="s">
        <v>577</v>
      </c>
      <c r="F425" s="95">
        <v>20.0</v>
      </c>
      <c r="G425" s="95" t="s">
        <v>974</v>
      </c>
      <c r="H425" s="63" t="str">
        <f>VLOOKUP(C425, 'Class Def. - General Data'!$C$20:$C$476,1,false)</f>
        <v>ZPI1_PAKAIAN</v>
      </c>
      <c r="I425" s="63" t="str">
        <f t="shared" si="1"/>
        <v>ZPI1_PAKAIAN20</v>
      </c>
      <c r="J425" s="63">
        <f t="shared" si="2"/>
        <v>1</v>
      </c>
    </row>
    <row r="426" ht="15.75" customHeight="1">
      <c r="A426" s="59" t="s">
        <v>93</v>
      </c>
      <c r="B426" s="95"/>
      <c r="C426" s="95" t="s">
        <v>146</v>
      </c>
      <c r="D426" s="95" t="s">
        <v>91</v>
      </c>
      <c r="E426" s="95" t="s">
        <v>577</v>
      </c>
      <c r="F426" s="95">
        <v>21.0</v>
      </c>
      <c r="G426" s="95" t="s">
        <v>975</v>
      </c>
      <c r="H426" s="63" t="str">
        <f>VLOOKUP(C426, 'Class Def. - General Data'!$C$20:$C$476,1,false)</f>
        <v>ZPI1_PAKAIAN</v>
      </c>
      <c r="I426" s="63" t="str">
        <f t="shared" si="1"/>
        <v>ZPI1_PAKAIAN21</v>
      </c>
      <c r="J426" s="63">
        <f t="shared" si="2"/>
        <v>1</v>
      </c>
    </row>
    <row r="427" ht="15.75" customHeight="1">
      <c r="A427" s="59" t="s">
        <v>93</v>
      </c>
      <c r="B427" s="95"/>
      <c r="C427" s="95" t="s">
        <v>146</v>
      </c>
      <c r="D427" s="95" t="s">
        <v>91</v>
      </c>
      <c r="E427" s="95" t="s">
        <v>577</v>
      </c>
      <c r="F427" s="95">
        <v>22.0</v>
      </c>
      <c r="G427" s="95" t="s">
        <v>976</v>
      </c>
      <c r="H427" s="63" t="str">
        <f>VLOOKUP(C427, 'Class Def. - General Data'!$C$20:$C$476,1,false)</f>
        <v>ZPI1_PAKAIAN</v>
      </c>
      <c r="I427" s="63" t="str">
        <f t="shared" si="1"/>
        <v>ZPI1_PAKAIAN22</v>
      </c>
      <c r="J427" s="63">
        <f t="shared" si="2"/>
        <v>1</v>
      </c>
    </row>
    <row r="428" ht="15.75" customHeight="1">
      <c r="A428" s="59" t="s">
        <v>93</v>
      </c>
      <c r="B428" s="95"/>
      <c r="C428" s="95" t="s">
        <v>154</v>
      </c>
      <c r="D428" s="95" t="s">
        <v>91</v>
      </c>
      <c r="E428" s="95" t="s">
        <v>577</v>
      </c>
      <c r="F428" s="95">
        <v>1.0</v>
      </c>
      <c r="G428" s="95" t="s">
        <v>977</v>
      </c>
      <c r="H428" s="63" t="str">
        <f>VLOOKUP(C428, 'Class Def. - General Data'!$C$20:$C$476,1,false)</f>
        <v>ZPI1_PERLKP_DAPUR</v>
      </c>
      <c r="I428" s="63" t="str">
        <f t="shared" si="1"/>
        <v>ZPI1_PERLKP_DAPUR1</v>
      </c>
      <c r="J428" s="63">
        <f t="shared" si="2"/>
        <v>1</v>
      </c>
    </row>
    <row r="429" ht="15.75" customHeight="1">
      <c r="A429" s="59" t="s">
        <v>93</v>
      </c>
      <c r="B429" s="95"/>
      <c r="C429" s="95" t="s">
        <v>154</v>
      </c>
      <c r="D429" s="95" t="s">
        <v>91</v>
      </c>
      <c r="E429" s="95" t="s">
        <v>577</v>
      </c>
      <c r="F429" s="95">
        <v>2.0</v>
      </c>
      <c r="G429" s="95" t="s">
        <v>978</v>
      </c>
      <c r="H429" s="63" t="str">
        <f>VLOOKUP(C429, 'Class Def. - General Data'!$C$20:$C$476,1,false)</f>
        <v>ZPI1_PERLKP_DAPUR</v>
      </c>
      <c r="I429" s="63" t="str">
        <f t="shared" si="1"/>
        <v>ZPI1_PERLKP_DAPUR2</v>
      </c>
      <c r="J429" s="63">
        <f t="shared" si="2"/>
        <v>1</v>
      </c>
    </row>
    <row r="430" ht="15.75" customHeight="1">
      <c r="A430" s="59" t="s">
        <v>93</v>
      </c>
      <c r="B430" s="95"/>
      <c r="C430" s="95" t="s">
        <v>154</v>
      </c>
      <c r="D430" s="95" t="s">
        <v>91</v>
      </c>
      <c r="E430" s="95" t="s">
        <v>577</v>
      </c>
      <c r="F430" s="95">
        <v>3.0</v>
      </c>
      <c r="G430" s="95" t="s">
        <v>979</v>
      </c>
      <c r="H430" s="63" t="str">
        <f>VLOOKUP(C430, 'Class Def. - General Data'!$C$20:$C$476,1,false)</f>
        <v>ZPI1_PERLKP_DAPUR</v>
      </c>
      <c r="I430" s="63" t="str">
        <f t="shared" si="1"/>
        <v>ZPI1_PERLKP_DAPUR3</v>
      </c>
      <c r="J430" s="63">
        <f t="shared" si="2"/>
        <v>1</v>
      </c>
    </row>
    <row r="431" ht="15.75" customHeight="1">
      <c r="A431" s="59" t="s">
        <v>93</v>
      </c>
      <c r="B431" s="95"/>
      <c r="C431" s="95" t="s">
        <v>154</v>
      </c>
      <c r="D431" s="95" t="s">
        <v>91</v>
      </c>
      <c r="E431" s="95" t="s">
        <v>577</v>
      </c>
      <c r="F431" s="95">
        <v>4.0</v>
      </c>
      <c r="G431" s="95" t="s">
        <v>980</v>
      </c>
      <c r="H431" s="63" t="str">
        <f>VLOOKUP(C431, 'Class Def. - General Data'!$C$20:$C$476,1,false)</f>
        <v>ZPI1_PERLKP_DAPUR</v>
      </c>
      <c r="I431" s="63" t="str">
        <f t="shared" si="1"/>
        <v>ZPI1_PERLKP_DAPUR4</v>
      </c>
      <c r="J431" s="63">
        <f t="shared" si="2"/>
        <v>1</v>
      </c>
    </row>
    <row r="432" ht="15.75" customHeight="1">
      <c r="A432" s="59" t="s">
        <v>93</v>
      </c>
      <c r="B432" s="95"/>
      <c r="C432" s="95" t="s">
        <v>154</v>
      </c>
      <c r="D432" s="95" t="s">
        <v>91</v>
      </c>
      <c r="E432" s="95" t="s">
        <v>577</v>
      </c>
      <c r="F432" s="95">
        <v>5.0</v>
      </c>
      <c r="G432" s="95" t="s">
        <v>981</v>
      </c>
      <c r="H432" s="63" t="str">
        <f>VLOOKUP(C432, 'Class Def. - General Data'!$C$20:$C$476,1,false)</f>
        <v>ZPI1_PERLKP_DAPUR</v>
      </c>
      <c r="I432" s="63" t="str">
        <f t="shared" si="1"/>
        <v>ZPI1_PERLKP_DAPUR5</v>
      </c>
      <c r="J432" s="63">
        <f t="shared" si="2"/>
        <v>1</v>
      </c>
    </row>
    <row r="433" ht="15.75" customHeight="1">
      <c r="A433" s="59" t="s">
        <v>93</v>
      </c>
      <c r="B433" s="95"/>
      <c r="C433" s="95" t="s">
        <v>154</v>
      </c>
      <c r="D433" s="95" t="s">
        <v>91</v>
      </c>
      <c r="E433" s="95" t="s">
        <v>577</v>
      </c>
      <c r="F433" s="95">
        <v>6.0</v>
      </c>
      <c r="G433" s="95" t="s">
        <v>982</v>
      </c>
      <c r="H433" s="63" t="str">
        <f>VLOOKUP(C433, 'Class Def. - General Data'!$C$20:$C$476,1,false)</f>
        <v>ZPI1_PERLKP_DAPUR</v>
      </c>
      <c r="I433" s="63" t="str">
        <f t="shared" si="1"/>
        <v>ZPI1_PERLKP_DAPUR6</v>
      </c>
      <c r="J433" s="63">
        <f t="shared" si="2"/>
        <v>1</v>
      </c>
    </row>
    <row r="434" ht="15.75" customHeight="1">
      <c r="A434" s="59" t="s">
        <v>93</v>
      </c>
      <c r="B434" s="95"/>
      <c r="C434" s="95" t="s">
        <v>154</v>
      </c>
      <c r="D434" s="95" t="s">
        <v>91</v>
      </c>
      <c r="E434" s="95" t="s">
        <v>577</v>
      </c>
      <c r="F434" s="95">
        <v>7.0</v>
      </c>
      <c r="G434" s="95" t="s">
        <v>983</v>
      </c>
      <c r="H434" s="63" t="str">
        <f>VLOOKUP(C434, 'Class Def. - General Data'!$C$20:$C$476,1,false)</f>
        <v>ZPI1_PERLKP_DAPUR</v>
      </c>
      <c r="I434" s="63" t="str">
        <f t="shared" si="1"/>
        <v>ZPI1_PERLKP_DAPUR7</v>
      </c>
      <c r="J434" s="63">
        <f t="shared" si="2"/>
        <v>1</v>
      </c>
    </row>
    <row r="435" ht="15.75" customHeight="1">
      <c r="A435" s="59" t="s">
        <v>93</v>
      </c>
      <c r="B435" s="95"/>
      <c r="C435" s="95" t="s">
        <v>154</v>
      </c>
      <c r="D435" s="95" t="s">
        <v>91</v>
      </c>
      <c r="E435" s="95" t="s">
        <v>577</v>
      </c>
      <c r="F435" s="95">
        <v>8.0</v>
      </c>
      <c r="G435" s="95" t="s">
        <v>984</v>
      </c>
      <c r="H435" s="63" t="str">
        <f>VLOOKUP(C435, 'Class Def. - General Data'!$C$20:$C$476,1,false)</f>
        <v>ZPI1_PERLKP_DAPUR</v>
      </c>
      <c r="I435" s="63" t="str">
        <f t="shared" si="1"/>
        <v>ZPI1_PERLKP_DAPUR8</v>
      </c>
      <c r="J435" s="63">
        <f t="shared" si="2"/>
        <v>1</v>
      </c>
    </row>
    <row r="436" ht="15.75" customHeight="1">
      <c r="A436" s="59" t="s">
        <v>93</v>
      </c>
      <c r="B436" s="95"/>
      <c r="C436" s="95" t="s">
        <v>154</v>
      </c>
      <c r="D436" s="95" t="s">
        <v>91</v>
      </c>
      <c r="E436" s="95" t="s">
        <v>577</v>
      </c>
      <c r="F436" s="95">
        <v>9.0</v>
      </c>
      <c r="G436" s="95" t="s">
        <v>985</v>
      </c>
      <c r="H436" s="63" t="str">
        <f>VLOOKUP(C436, 'Class Def. - General Data'!$C$20:$C$476,1,false)</f>
        <v>ZPI1_PERLKP_DAPUR</v>
      </c>
      <c r="I436" s="63" t="str">
        <f t="shared" si="1"/>
        <v>ZPI1_PERLKP_DAPUR9</v>
      </c>
      <c r="J436" s="63">
        <f t="shared" si="2"/>
        <v>1</v>
      </c>
    </row>
    <row r="437" ht="15.75" customHeight="1">
      <c r="A437" s="59" t="s">
        <v>93</v>
      </c>
      <c r="B437" s="95"/>
      <c r="C437" s="95" t="s">
        <v>154</v>
      </c>
      <c r="D437" s="95" t="s">
        <v>91</v>
      </c>
      <c r="E437" s="95" t="s">
        <v>577</v>
      </c>
      <c r="F437" s="95">
        <v>10.0</v>
      </c>
      <c r="G437" s="95" t="s">
        <v>986</v>
      </c>
      <c r="H437" s="63" t="str">
        <f>VLOOKUP(C437, 'Class Def. - General Data'!$C$20:$C$476,1,false)</f>
        <v>ZPI1_PERLKP_DAPUR</v>
      </c>
      <c r="I437" s="63" t="str">
        <f t="shared" si="1"/>
        <v>ZPI1_PERLKP_DAPUR10</v>
      </c>
      <c r="J437" s="63">
        <f t="shared" si="2"/>
        <v>1</v>
      </c>
    </row>
    <row r="438" ht="15.75" customHeight="1">
      <c r="A438" s="59" t="s">
        <v>93</v>
      </c>
      <c r="B438" s="95"/>
      <c r="C438" s="95" t="s">
        <v>154</v>
      </c>
      <c r="D438" s="95" t="s">
        <v>91</v>
      </c>
      <c r="E438" s="95" t="s">
        <v>577</v>
      </c>
      <c r="F438" s="95">
        <v>11.0</v>
      </c>
      <c r="G438" s="95" t="s">
        <v>987</v>
      </c>
      <c r="H438" s="63" t="str">
        <f>VLOOKUP(C438, 'Class Def. - General Data'!$C$20:$C$476,1,false)</f>
        <v>ZPI1_PERLKP_DAPUR</v>
      </c>
      <c r="I438" s="63" t="str">
        <f t="shared" si="1"/>
        <v>ZPI1_PERLKP_DAPUR11</v>
      </c>
      <c r="J438" s="63">
        <f t="shared" si="2"/>
        <v>1</v>
      </c>
    </row>
    <row r="439" ht="15.75" customHeight="1">
      <c r="A439" s="59" t="s">
        <v>93</v>
      </c>
      <c r="B439" s="95"/>
      <c r="C439" s="95" t="s">
        <v>154</v>
      </c>
      <c r="D439" s="95" t="s">
        <v>91</v>
      </c>
      <c r="E439" s="95" t="s">
        <v>577</v>
      </c>
      <c r="F439" s="95">
        <v>12.0</v>
      </c>
      <c r="G439" s="95" t="s">
        <v>988</v>
      </c>
      <c r="H439" s="63" t="str">
        <f>VLOOKUP(C439, 'Class Def. - General Data'!$C$20:$C$476,1,false)</f>
        <v>ZPI1_PERLKP_DAPUR</v>
      </c>
      <c r="I439" s="63" t="str">
        <f t="shared" si="1"/>
        <v>ZPI1_PERLKP_DAPUR12</v>
      </c>
      <c r="J439" s="63">
        <f t="shared" si="2"/>
        <v>1</v>
      </c>
    </row>
    <row r="440" ht="15.75" customHeight="1">
      <c r="A440" s="59" t="s">
        <v>93</v>
      </c>
      <c r="B440" s="95"/>
      <c r="C440" s="95" t="s">
        <v>154</v>
      </c>
      <c r="D440" s="95" t="s">
        <v>91</v>
      </c>
      <c r="E440" s="95" t="s">
        <v>577</v>
      </c>
      <c r="F440" s="95">
        <v>13.0</v>
      </c>
      <c r="G440" s="95" t="s">
        <v>989</v>
      </c>
      <c r="H440" s="63" t="str">
        <f>VLOOKUP(C440, 'Class Def. - General Data'!$C$20:$C$476,1,false)</f>
        <v>ZPI1_PERLKP_DAPUR</v>
      </c>
      <c r="I440" s="63" t="str">
        <f t="shared" si="1"/>
        <v>ZPI1_PERLKP_DAPUR13</v>
      </c>
      <c r="J440" s="63">
        <f t="shared" si="2"/>
        <v>1</v>
      </c>
    </row>
    <row r="441" ht="15.75" customHeight="1">
      <c r="A441" s="59" t="s">
        <v>93</v>
      </c>
      <c r="B441" s="95"/>
      <c r="C441" s="95" t="s">
        <v>154</v>
      </c>
      <c r="D441" s="95" t="s">
        <v>91</v>
      </c>
      <c r="E441" s="95" t="s">
        <v>577</v>
      </c>
      <c r="F441" s="95">
        <v>14.0</v>
      </c>
      <c r="G441" s="95" t="s">
        <v>990</v>
      </c>
      <c r="H441" s="63" t="str">
        <f>VLOOKUP(C441, 'Class Def. - General Data'!$C$20:$C$476,1,false)</f>
        <v>ZPI1_PERLKP_DAPUR</v>
      </c>
      <c r="I441" s="63" t="str">
        <f t="shared" si="1"/>
        <v>ZPI1_PERLKP_DAPUR14</v>
      </c>
      <c r="J441" s="63">
        <f t="shared" si="2"/>
        <v>1</v>
      </c>
    </row>
    <row r="442" ht="15.75" customHeight="1">
      <c r="A442" s="59" t="s">
        <v>93</v>
      </c>
      <c r="B442" s="95"/>
      <c r="C442" s="95" t="s">
        <v>154</v>
      </c>
      <c r="D442" s="95" t="s">
        <v>91</v>
      </c>
      <c r="E442" s="95" t="s">
        <v>577</v>
      </c>
      <c r="F442" s="95">
        <v>15.0</v>
      </c>
      <c r="G442" s="95" t="s">
        <v>991</v>
      </c>
      <c r="H442" s="63" t="str">
        <f>VLOOKUP(C442, 'Class Def. - General Data'!$C$20:$C$476,1,false)</f>
        <v>ZPI1_PERLKP_DAPUR</v>
      </c>
      <c r="I442" s="63" t="str">
        <f t="shared" si="1"/>
        <v>ZPI1_PERLKP_DAPUR15</v>
      </c>
      <c r="J442" s="63">
        <f t="shared" si="2"/>
        <v>1</v>
      </c>
    </row>
    <row r="443" ht="15.75" customHeight="1">
      <c r="A443" s="59" t="s">
        <v>93</v>
      </c>
      <c r="B443" s="95"/>
      <c r="C443" s="95" t="s">
        <v>154</v>
      </c>
      <c r="D443" s="95" t="s">
        <v>91</v>
      </c>
      <c r="E443" s="95" t="s">
        <v>577</v>
      </c>
      <c r="F443" s="95">
        <v>16.0</v>
      </c>
      <c r="G443" s="95" t="s">
        <v>992</v>
      </c>
      <c r="H443" s="63" t="str">
        <f>VLOOKUP(C443, 'Class Def. - General Data'!$C$20:$C$476,1,false)</f>
        <v>ZPI1_PERLKP_DAPUR</v>
      </c>
      <c r="I443" s="63" t="str">
        <f t="shared" si="1"/>
        <v>ZPI1_PERLKP_DAPUR16</v>
      </c>
      <c r="J443" s="63">
        <f t="shared" si="2"/>
        <v>1</v>
      </c>
    </row>
    <row r="444" ht="15.75" customHeight="1">
      <c r="A444" s="59" t="s">
        <v>93</v>
      </c>
      <c r="B444" s="95"/>
      <c r="C444" s="95" t="s">
        <v>154</v>
      </c>
      <c r="D444" s="95" t="s">
        <v>91</v>
      </c>
      <c r="E444" s="95" t="s">
        <v>577</v>
      </c>
      <c r="F444" s="95">
        <v>17.0</v>
      </c>
      <c r="G444" s="95" t="s">
        <v>993</v>
      </c>
      <c r="H444" s="63" t="str">
        <f>VLOOKUP(C444, 'Class Def. - General Data'!$C$20:$C$476,1,false)</f>
        <v>ZPI1_PERLKP_DAPUR</v>
      </c>
      <c r="I444" s="63" t="str">
        <f t="shared" si="1"/>
        <v>ZPI1_PERLKP_DAPUR17</v>
      </c>
      <c r="J444" s="63">
        <f t="shared" si="2"/>
        <v>1</v>
      </c>
    </row>
    <row r="445" ht="15.75" customHeight="1">
      <c r="A445" s="59" t="s">
        <v>93</v>
      </c>
      <c r="B445" s="95"/>
      <c r="C445" s="95" t="s">
        <v>154</v>
      </c>
      <c r="D445" s="95" t="s">
        <v>91</v>
      </c>
      <c r="E445" s="95" t="s">
        <v>577</v>
      </c>
      <c r="F445" s="95">
        <v>18.0</v>
      </c>
      <c r="G445" s="95" t="s">
        <v>994</v>
      </c>
      <c r="H445" s="63" t="str">
        <f>VLOOKUP(C445, 'Class Def. - General Data'!$C$20:$C$476,1,false)</f>
        <v>ZPI1_PERLKP_DAPUR</v>
      </c>
      <c r="I445" s="63" t="str">
        <f t="shared" si="1"/>
        <v>ZPI1_PERLKP_DAPUR18</v>
      </c>
      <c r="J445" s="63">
        <f t="shared" si="2"/>
        <v>1</v>
      </c>
    </row>
    <row r="446" ht="15.75" customHeight="1">
      <c r="A446" s="59" t="s">
        <v>93</v>
      </c>
      <c r="B446" s="95"/>
      <c r="C446" s="95" t="s">
        <v>154</v>
      </c>
      <c r="D446" s="95" t="s">
        <v>91</v>
      </c>
      <c r="E446" s="95" t="s">
        <v>577</v>
      </c>
      <c r="F446" s="95">
        <v>19.0</v>
      </c>
      <c r="G446" s="95" t="s">
        <v>995</v>
      </c>
      <c r="H446" s="63" t="str">
        <f>VLOOKUP(C446, 'Class Def. - General Data'!$C$20:$C$476,1,false)</f>
        <v>ZPI1_PERLKP_DAPUR</v>
      </c>
      <c r="I446" s="63" t="str">
        <f t="shared" si="1"/>
        <v>ZPI1_PERLKP_DAPUR19</v>
      </c>
      <c r="J446" s="63">
        <f t="shared" si="2"/>
        <v>1</v>
      </c>
    </row>
    <row r="447" ht="15.75" customHeight="1">
      <c r="A447" s="59" t="s">
        <v>93</v>
      </c>
      <c r="B447" s="95"/>
      <c r="C447" s="95" t="s">
        <v>154</v>
      </c>
      <c r="D447" s="95" t="s">
        <v>91</v>
      </c>
      <c r="E447" s="95" t="s">
        <v>577</v>
      </c>
      <c r="F447" s="95">
        <v>20.0</v>
      </c>
      <c r="G447" s="95" t="s">
        <v>996</v>
      </c>
      <c r="H447" s="63" t="str">
        <f>VLOOKUP(C447, 'Class Def. - General Data'!$C$20:$C$476,1,false)</f>
        <v>ZPI1_PERLKP_DAPUR</v>
      </c>
      <c r="I447" s="63" t="str">
        <f t="shared" si="1"/>
        <v>ZPI1_PERLKP_DAPUR20</v>
      </c>
      <c r="J447" s="63">
        <f t="shared" si="2"/>
        <v>1</v>
      </c>
    </row>
    <row r="448" ht="15.75" customHeight="1">
      <c r="A448" s="59" t="s">
        <v>93</v>
      </c>
      <c r="B448" s="95"/>
      <c r="C448" s="95" t="s">
        <v>154</v>
      </c>
      <c r="D448" s="95" t="s">
        <v>91</v>
      </c>
      <c r="E448" s="95" t="s">
        <v>577</v>
      </c>
      <c r="F448" s="95">
        <v>21.0</v>
      </c>
      <c r="G448" s="95" t="s">
        <v>997</v>
      </c>
      <c r="H448" s="63" t="str">
        <f>VLOOKUP(C448, 'Class Def. - General Data'!$C$20:$C$476,1,false)</f>
        <v>ZPI1_PERLKP_DAPUR</v>
      </c>
      <c r="I448" s="63" t="str">
        <f t="shared" si="1"/>
        <v>ZPI1_PERLKP_DAPUR21</v>
      </c>
      <c r="J448" s="63">
        <f t="shared" si="2"/>
        <v>1</v>
      </c>
    </row>
    <row r="449" ht="15.75" customHeight="1">
      <c r="A449" s="59" t="s">
        <v>93</v>
      </c>
      <c r="B449" s="95"/>
      <c r="C449" s="95" t="s">
        <v>154</v>
      </c>
      <c r="D449" s="95" t="s">
        <v>91</v>
      </c>
      <c r="E449" s="95" t="s">
        <v>577</v>
      </c>
      <c r="F449" s="95">
        <v>22.0</v>
      </c>
      <c r="G449" s="95" t="s">
        <v>998</v>
      </c>
      <c r="H449" s="63" t="str">
        <f>VLOOKUP(C449, 'Class Def. - General Data'!$C$20:$C$476,1,false)</f>
        <v>ZPI1_PERLKP_DAPUR</v>
      </c>
      <c r="I449" s="63" t="str">
        <f t="shared" si="1"/>
        <v>ZPI1_PERLKP_DAPUR22</v>
      </c>
      <c r="J449" s="63">
        <f t="shared" si="2"/>
        <v>1</v>
      </c>
    </row>
    <row r="450" ht="15.75" customHeight="1">
      <c r="A450" s="59" t="s">
        <v>93</v>
      </c>
      <c r="B450" s="95"/>
      <c r="C450" s="95" t="s">
        <v>148</v>
      </c>
      <c r="D450" s="95" t="s">
        <v>91</v>
      </c>
      <c r="E450" s="95" t="s">
        <v>577</v>
      </c>
      <c r="F450" s="95">
        <v>1.0</v>
      </c>
      <c r="G450" s="95" t="s">
        <v>999</v>
      </c>
      <c r="H450" s="63" t="str">
        <f>VLOOKUP(C450, 'Class Def. - General Data'!$C$20:$C$476,1,false)</f>
        <v>ZPI1_PERLKP_HUJAN</v>
      </c>
      <c r="I450" s="63" t="str">
        <f t="shared" si="1"/>
        <v>ZPI1_PERLKP_HUJAN1</v>
      </c>
      <c r="J450" s="63">
        <f t="shared" si="2"/>
        <v>1</v>
      </c>
    </row>
    <row r="451" ht="15.75" customHeight="1">
      <c r="A451" s="59" t="s">
        <v>93</v>
      </c>
      <c r="B451" s="95"/>
      <c r="C451" s="95" t="s">
        <v>148</v>
      </c>
      <c r="D451" s="95" t="s">
        <v>91</v>
      </c>
      <c r="E451" s="95" t="s">
        <v>577</v>
      </c>
      <c r="F451" s="95">
        <v>2.0</v>
      </c>
      <c r="G451" s="95" t="s">
        <v>1000</v>
      </c>
      <c r="H451" s="63" t="str">
        <f>VLOOKUP(C451, 'Class Def. - General Data'!$C$20:$C$476,1,false)</f>
        <v>ZPI1_PERLKP_HUJAN</v>
      </c>
      <c r="I451" s="63" t="str">
        <f t="shared" si="1"/>
        <v>ZPI1_PERLKP_HUJAN2</v>
      </c>
      <c r="J451" s="63">
        <f t="shared" si="2"/>
        <v>1</v>
      </c>
    </row>
    <row r="452" ht="15.75" customHeight="1">
      <c r="A452" s="59" t="s">
        <v>93</v>
      </c>
      <c r="B452" s="95"/>
      <c r="C452" s="95" t="s">
        <v>148</v>
      </c>
      <c r="D452" s="95" t="s">
        <v>91</v>
      </c>
      <c r="E452" s="95" t="s">
        <v>577</v>
      </c>
      <c r="F452" s="95">
        <v>3.0</v>
      </c>
      <c r="G452" s="95" t="s">
        <v>1001</v>
      </c>
      <c r="H452" s="63" t="str">
        <f>VLOOKUP(C452, 'Class Def. - General Data'!$C$20:$C$476,1,false)</f>
        <v>ZPI1_PERLKP_HUJAN</v>
      </c>
      <c r="I452" s="63" t="str">
        <f t="shared" si="1"/>
        <v>ZPI1_PERLKP_HUJAN3</v>
      </c>
      <c r="J452" s="63">
        <f t="shared" si="2"/>
        <v>1</v>
      </c>
    </row>
    <row r="453" ht="15.75" customHeight="1">
      <c r="A453" s="59" t="s">
        <v>93</v>
      </c>
      <c r="B453" s="95"/>
      <c r="C453" s="95" t="s">
        <v>148</v>
      </c>
      <c r="D453" s="95" t="s">
        <v>91</v>
      </c>
      <c r="E453" s="95" t="s">
        <v>577</v>
      </c>
      <c r="F453" s="95">
        <v>4.0</v>
      </c>
      <c r="G453" s="95" t="s">
        <v>1002</v>
      </c>
      <c r="H453" s="63" t="str">
        <f>VLOOKUP(C453, 'Class Def. - General Data'!$C$20:$C$476,1,false)</f>
        <v>ZPI1_PERLKP_HUJAN</v>
      </c>
      <c r="I453" s="63" t="str">
        <f t="shared" si="1"/>
        <v>ZPI1_PERLKP_HUJAN4</v>
      </c>
      <c r="J453" s="63">
        <f t="shared" si="2"/>
        <v>1</v>
      </c>
    </row>
    <row r="454" ht="15.75" customHeight="1">
      <c r="A454" s="59" t="s">
        <v>93</v>
      </c>
      <c r="B454" s="95"/>
      <c r="C454" s="95" t="s">
        <v>155</v>
      </c>
      <c r="D454" s="95" t="s">
        <v>91</v>
      </c>
      <c r="E454" s="95" t="s">
        <v>577</v>
      </c>
      <c r="F454" s="95">
        <v>1.0</v>
      </c>
      <c r="G454" s="95" t="s">
        <v>1003</v>
      </c>
      <c r="H454" s="63" t="str">
        <f>VLOOKUP(C454, 'Class Def. - General Data'!$C$20:$C$476,1,false)</f>
        <v>ZPI1_PERLKP_OLHRGA</v>
      </c>
      <c r="I454" s="63" t="str">
        <f t="shared" si="1"/>
        <v>ZPI1_PERLKP_OLHRGA1</v>
      </c>
      <c r="J454" s="63">
        <f t="shared" si="2"/>
        <v>1</v>
      </c>
    </row>
    <row r="455" ht="15.75" customHeight="1">
      <c r="A455" s="59" t="s">
        <v>93</v>
      </c>
      <c r="B455" s="95"/>
      <c r="C455" s="95" t="s">
        <v>155</v>
      </c>
      <c r="D455" s="95" t="s">
        <v>91</v>
      </c>
      <c r="E455" s="95" t="s">
        <v>577</v>
      </c>
      <c r="F455" s="95">
        <v>2.0</v>
      </c>
      <c r="G455" s="95" t="s">
        <v>1004</v>
      </c>
      <c r="H455" s="63" t="str">
        <f>VLOOKUP(C455, 'Class Def. - General Data'!$C$20:$C$476,1,false)</f>
        <v>ZPI1_PERLKP_OLHRGA</v>
      </c>
      <c r="I455" s="63" t="str">
        <f t="shared" si="1"/>
        <v>ZPI1_PERLKP_OLHRGA2</v>
      </c>
      <c r="J455" s="63">
        <f t="shared" si="2"/>
        <v>1</v>
      </c>
    </row>
    <row r="456" ht="15.75" customHeight="1">
      <c r="A456" s="59" t="s">
        <v>93</v>
      </c>
      <c r="B456" s="95"/>
      <c r="C456" s="95" t="s">
        <v>155</v>
      </c>
      <c r="D456" s="95" t="s">
        <v>91</v>
      </c>
      <c r="E456" s="95" t="s">
        <v>577</v>
      </c>
      <c r="F456" s="95">
        <v>3.0</v>
      </c>
      <c r="G456" s="95" t="s">
        <v>1005</v>
      </c>
      <c r="H456" s="63" t="str">
        <f>VLOOKUP(C456, 'Class Def. - General Data'!$C$20:$C$476,1,false)</f>
        <v>ZPI1_PERLKP_OLHRGA</v>
      </c>
      <c r="I456" s="63" t="str">
        <f t="shared" si="1"/>
        <v>ZPI1_PERLKP_OLHRGA3</v>
      </c>
      <c r="J456" s="63">
        <f t="shared" si="2"/>
        <v>1</v>
      </c>
    </row>
    <row r="457" ht="15.75" customHeight="1">
      <c r="A457" s="59" t="s">
        <v>93</v>
      </c>
      <c r="B457" s="95"/>
      <c r="C457" s="95" t="s">
        <v>155</v>
      </c>
      <c r="D457" s="95" t="s">
        <v>91</v>
      </c>
      <c r="E457" s="95" t="s">
        <v>577</v>
      </c>
      <c r="F457" s="95">
        <v>4.0</v>
      </c>
      <c r="G457" s="95" t="s">
        <v>1006</v>
      </c>
      <c r="H457" s="63" t="str">
        <f>VLOOKUP(C457, 'Class Def. - General Data'!$C$20:$C$476,1,false)</f>
        <v>ZPI1_PERLKP_OLHRGA</v>
      </c>
      <c r="I457" s="63" t="str">
        <f t="shared" si="1"/>
        <v>ZPI1_PERLKP_OLHRGA4</v>
      </c>
      <c r="J457" s="63">
        <f t="shared" si="2"/>
        <v>1</v>
      </c>
    </row>
    <row r="458" ht="15.75" customHeight="1">
      <c r="A458" s="59" t="s">
        <v>93</v>
      </c>
      <c r="B458" s="95"/>
      <c r="C458" s="95" t="s">
        <v>155</v>
      </c>
      <c r="D458" s="95" t="s">
        <v>91</v>
      </c>
      <c r="E458" s="95" t="s">
        <v>577</v>
      </c>
      <c r="F458" s="95">
        <v>5.0</v>
      </c>
      <c r="G458" s="95" t="s">
        <v>1007</v>
      </c>
      <c r="H458" s="63" t="str">
        <f>VLOOKUP(C458, 'Class Def. - General Data'!$C$20:$C$476,1,false)</f>
        <v>ZPI1_PERLKP_OLHRGA</v>
      </c>
      <c r="I458" s="63" t="str">
        <f t="shared" si="1"/>
        <v>ZPI1_PERLKP_OLHRGA5</v>
      </c>
      <c r="J458" s="63">
        <f t="shared" si="2"/>
        <v>1</v>
      </c>
    </row>
    <row r="459" ht="15.75" customHeight="1">
      <c r="A459" s="59" t="s">
        <v>93</v>
      </c>
      <c r="B459" s="95"/>
      <c r="C459" s="95" t="s">
        <v>155</v>
      </c>
      <c r="D459" s="95" t="s">
        <v>91</v>
      </c>
      <c r="E459" s="95" t="s">
        <v>577</v>
      </c>
      <c r="F459" s="95">
        <v>6.0</v>
      </c>
      <c r="G459" s="95" t="s">
        <v>1008</v>
      </c>
      <c r="H459" s="63" t="str">
        <f>VLOOKUP(C459, 'Class Def. - General Data'!$C$20:$C$476,1,false)</f>
        <v>ZPI1_PERLKP_OLHRGA</v>
      </c>
      <c r="I459" s="63" t="str">
        <f t="shared" si="1"/>
        <v>ZPI1_PERLKP_OLHRGA6</v>
      </c>
      <c r="J459" s="63">
        <f t="shared" si="2"/>
        <v>1</v>
      </c>
    </row>
    <row r="460" ht="15.75" customHeight="1">
      <c r="A460" s="59" t="s">
        <v>93</v>
      </c>
      <c r="B460" s="95"/>
      <c r="C460" s="95" t="s">
        <v>160</v>
      </c>
      <c r="D460" s="95" t="s">
        <v>91</v>
      </c>
      <c r="E460" s="95" t="s">
        <v>577</v>
      </c>
      <c r="F460" s="95">
        <v>1.0</v>
      </c>
      <c r="G460" s="95" t="s">
        <v>1009</v>
      </c>
      <c r="H460" s="63" t="str">
        <f>VLOOKUP(C460, 'Class Def. - General Data'!$C$20:$C$476,1,false)</f>
        <v>ZPI1_POSM_DISPLAY</v>
      </c>
      <c r="I460" s="63" t="str">
        <f t="shared" si="1"/>
        <v>ZPI1_POSM_DISPLAY1</v>
      </c>
      <c r="J460" s="63">
        <f t="shared" si="2"/>
        <v>1</v>
      </c>
    </row>
    <row r="461" ht="15.75" customHeight="1">
      <c r="A461" s="59" t="s">
        <v>93</v>
      </c>
      <c r="B461" s="95"/>
      <c r="C461" s="95" t="s">
        <v>160</v>
      </c>
      <c r="D461" s="95" t="s">
        <v>91</v>
      </c>
      <c r="E461" s="95" t="s">
        <v>577</v>
      </c>
      <c r="F461" s="95">
        <v>2.0</v>
      </c>
      <c r="G461" s="95" t="s">
        <v>1010</v>
      </c>
      <c r="H461" s="63" t="str">
        <f>VLOOKUP(C461, 'Class Def. - General Data'!$C$20:$C$476,1,false)</f>
        <v>ZPI1_POSM_DISPLAY</v>
      </c>
      <c r="I461" s="63" t="str">
        <f t="shared" si="1"/>
        <v>ZPI1_POSM_DISPLAY2</v>
      </c>
      <c r="J461" s="63">
        <f t="shared" si="2"/>
        <v>1</v>
      </c>
    </row>
    <row r="462" ht="15.75" customHeight="1">
      <c r="A462" s="59" t="s">
        <v>93</v>
      </c>
      <c r="B462" s="95"/>
      <c r="C462" s="95" t="s">
        <v>160</v>
      </c>
      <c r="D462" s="95" t="s">
        <v>91</v>
      </c>
      <c r="E462" s="95" t="s">
        <v>577</v>
      </c>
      <c r="F462" s="95">
        <v>3.0</v>
      </c>
      <c r="G462" s="95" t="s">
        <v>1011</v>
      </c>
      <c r="H462" s="63" t="str">
        <f>VLOOKUP(C462, 'Class Def. - General Data'!$C$20:$C$476,1,false)</f>
        <v>ZPI1_POSM_DISPLAY</v>
      </c>
      <c r="I462" s="63" t="str">
        <f t="shared" si="1"/>
        <v>ZPI1_POSM_DISPLAY3</v>
      </c>
      <c r="J462" s="63">
        <f t="shared" si="2"/>
        <v>1</v>
      </c>
    </row>
    <row r="463" ht="15.75" customHeight="1">
      <c r="A463" s="59" t="s">
        <v>93</v>
      </c>
      <c r="B463" s="95"/>
      <c r="C463" s="95" t="s">
        <v>160</v>
      </c>
      <c r="D463" s="95" t="s">
        <v>91</v>
      </c>
      <c r="E463" s="95" t="s">
        <v>577</v>
      </c>
      <c r="F463" s="95">
        <v>4.0</v>
      </c>
      <c r="G463" s="95" t="s">
        <v>1012</v>
      </c>
      <c r="H463" s="63" t="str">
        <f>VLOOKUP(C463, 'Class Def. - General Data'!$C$20:$C$476,1,false)</f>
        <v>ZPI1_POSM_DISPLAY</v>
      </c>
      <c r="I463" s="63" t="str">
        <f t="shared" si="1"/>
        <v>ZPI1_POSM_DISPLAY4</v>
      </c>
      <c r="J463" s="63">
        <f t="shared" si="2"/>
        <v>1</v>
      </c>
    </row>
    <row r="464" ht="15.75" customHeight="1">
      <c r="A464" s="59" t="s">
        <v>93</v>
      </c>
      <c r="B464" s="95"/>
      <c r="C464" s="95" t="s">
        <v>160</v>
      </c>
      <c r="D464" s="95" t="s">
        <v>91</v>
      </c>
      <c r="E464" s="95" t="s">
        <v>577</v>
      </c>
      <c r="F464" s="95">
        <v>5.0</v>
      </c>
      <c r="G464" s="95" t="s">
        <v>1013</v>
      </c>
      <c r="H464" s="63" t="str">
        <f>VLOOKUP(C464, 'Class Def. - General Data'!$C$20:$C$476,1,false)</f>
        <v>ZPI1_POSM_DISPLAY</v>
      </c>
      <c r="I464" s="63" t="str">
        <f t="shared" si="1"/>
        <v>ZPI1_POSM_DISPLAY5</v>
      </c>
      <c r="J464" s="63">
        <f t="shared" si="2"/>
        <v>1</v>
      </c>
    </row>
    <row r="465" ht="15.75" customHeight="1">
      <c r="A465" s="59" t="s">
        <v>93</v>
      </c>
      <c r="B465" s="95"/>
      <c r="C465" s="95" t="s">
        <v>160</v>
      </c>
      <c r="D465" s="95" t="s">
        <v>91</v>
      </c>
      <c r="E465" s="95" t="s">
        <v>577</v>
      </c>
      <c r="F465" s="95">
        <v>6.0</v>
      </c>
      <c r="G465" s="95" t="s">
        <v>1014</v>
      </c>
      <c r="H465" s="63" t="str">
        <f>VLOOKUP(C465, 'Class Def. - General Data'!$C$20:$C$476,1,false)</f>
        <v>ZPI1_POSM_DISPLAY</v>
      </c>
      <c r="I465" s="63" t="str">
        <f t="shared" si="1"/>
        <v>ZPI1_POSM_DISPLAY6</v>
      </c>
      <c r="J465" s="63">
        <f t="shared" si="2"/>
        <v>1</v>
      </c>
    </row>
    <row r="466" ht="15.75" customHeight="1">
      <c r="A466" s="59" t="s">
        <v>93</v>
      </c>
      <c r="B466" s="95"/>
      <c r="C466" s="95" t="s">
        <v>160</v>
      </c>
      <c r="D466" s="95" t="s">
        <v>91</v>
      </c>
      <c r="E466" s="95" t="s">
        <v>577</v>
      </c>
      <c r="F466" s="95">
        <v>7.0</v>
      </c>
      <c r="G466" s="95" t="s">
        <v>1015</v>
      </c>
      <c r="H466" s="63" t="str">
        <f>VLOOKUP(C466, 'Class Def. - General Data'!$C$20:$C$476,1,false)</f>
        <v>ZPI1_POSM_DISPLAY</v>
      </c>
      <c r="I466" s="63" t="str">
        <f t="shared" si="1"/>
        <v>ZPI1_POSM_DISPLAY7</v>
      </c>
      <c r="J466" s="63">
        <f t="shared" si="2"/>
        <v>1</v>
      </c>
    </row>
    <row r="467" ht="15.75" customHeight="1">
      <c r="A467" s="59" t="s">
        <v>93</v>
      </c>
      <c r="B467" s="95"/>
      <c r="C467" s="95" t="s">
        <v>160</v>
      </c>
      <c r="D467" s="95" t="s">
        <v>91</v>
      </c>
      <c r="E467" s="95" t="s">
        <v>577</v>
      </c>
      <c r="F467" s="95">
        <v>8.0</v>
      </c>
      <c r="G467" s="95" t="s">
        <v>1016</v>
      </c>
      <c r="H467" s="63" t="str">
        <f>VLOOKUP(C467, 'Class Def. - General Data'!$C$20:$C$476,1,false)</f>
        <v>ZPI1_POSM_DISPLAY</v>
      </c>
      <c r="I467" s="63" t="str">
        <f t="shared" si="1"/>
        <v>ZPI1_POSM_DISPLAY8</v>
      </c>
      <c r="J467" s="63">
        <f t="shared" si="2"/>
        <v>1</v>
      </c>
    </row>
    <row r="468" ht="15.75" customHeight="1">
      <c r="A468" s="59" t="s">
        <v>93</v>
      </c>
      <c r="B468" s="95"/>
      <c r="C468" s="95" t="s">
        <v>160</v>
      </c>
      <c r="D468" s="95" t="s">
        <v>91</v>
      </c>
      <c r="E468" s="95" t="s">
        <v>577</v>
      </c>
      <c r="F468" s="95">
        <v>9.0</v>
      </c>
      <c r="G468" s="95" t="s">
        <v>1017</v>
      </c>
      <c r="H468" s="63" t="str">
        <f>VLOOKUP(C468, 'Class Def. - General Data'!$C$20:$C$476,1,false)</f>
        <v>ZPI1_POSM_DISPLAY</v>
      </c>
      <c r="I468" s="63" t="str">
        <f t="shared" si="1"/>
        <v>ZPI1_POSM_DISPLAY9</v>
      </c>
      <c r="J468" s="63">
        <f t="shared" si="2"/>
        <v>1</v>
      </c>
    </row>
    <row r="469" ht="15.75" customHeight="1">
      <c r="A469" s="59" t="s">
        <v>93</v>
      </c>
      <c r="B469" s="95"/>
      <c r="C469" s="95" t="s">
        <v>160</v>
      </c>
      <c r="D469" s="95" t="s">
        <v>91</v>
      </c>
      <c r="E469" s="95" t="s">
        <v>577</v>
      </c>
      <c r="F469" s="95">
        <v>10.0</v>
      </c>
      <c r="G469" s="95" t="s">
        <v>1018</v>
      </c>
      <c r="H469" s="63" t="str">
        <f>VLOOKUP(C469, 'Class Def. - General Data'!$C$20:$C$476,1,false)</f>
        <v>ZPI1_POSM_DISPLAY</v>
      </c>
      <c r="I469" s="63" t="str">
        <f t="shared" si="1"/>
        <v>ZPI1_POSM_DISPLAY10</v>
      </c>
      <c r="J469" s="63">
        <f t="shared" si="2"/>
        <v>1</v>
      </c>
    </row>
    <row r="470" ht="15.75" customHeight="1">
      <c r="A470" s="59" t="s">
        <v>93</v>
      </c>
      <c r="B470" s="95"/>
      <c r="C470" s="95" t="s">
        <v>160</v>
      </c>
      <c r="D470" s="95" t="s">
        <v>91</v>
      </c>
      <c r="E470" s="95" t="s">
        <v>577</v>
      </c>
      <c r="F470" s="95">
        <v>11.0</v>
      </c>
      <c r="G470" s="95" t="s">
        <v>1019</v>
      </c>
      <c r="H470" s="63" t="str">
        <f>VLOOKUP(C470, 'Class Def. - General Data'!$C$20:$C$476,1,false)</f>
        <v>ZPI1_POSM_DISPLAY</v>
      </c>
      <c r="I470" s="63" t="str">
        <f t="shared" si="1"/>
        <v>ZPI1_POSM_DISPLAY11</v>
      </c>
      <c r="J470" s="63">
        <f t="shared" si="2"/>
        <v>1</v>
      </c>
    </row>
    <row r="471" ht="15.75" customHeight="1">
      <c r="A471" s="59" t="s">
        <v>93</v>
      </c>
      <c r="B471" s="95"/>
      <c r="C471" s="95" t="s">
        <v>160</v>
      </c>
      <c r="D471" s="95" t="s">
        <v>91</v>
      </c>
      <c r="E471" s="95" t="s">
        <v>577</v>
      </c>
      <c r="F471" s="95">
        <v>12.0</v>
      </c>
      <c r="G471" s="95" t="s">
        <v>1020</v>
      </c>
      <c r="H471" s="63" t="str">
        <f>VLOOKUP(C471, 'Class Def. - General Data'!$C$20:$C$476,1,false)</f>
        <v>ZPI1_POSM_DISPLAY</v>
      </c>
      <c r="I471" s="63" t="str">
        <f t="shared" si="1"/>
        <v>ZPI1_POSM_DISPLAY12</v>
      </c>
      <c r="J471" s="63">
        <f t="shared" si="2"/>
        <v>1</v>
      </c>
    </row>
    <row r="472" ht="15.75" customHeight="1">
      <c r="A472" s="59" t="s">
        <v>93</v>
      </c>
      <c r="B472" s="95"/>
      <c r="C472" s="95" t="s">
        <v>160</v>
      </c>
      <c r="D472" s="95" t="s">
        <v>91</v>
      </c>
      <c r="E472" s="95" t="s">
        <v>577</v>
      </c>
      <c r="F472" s="95">
        <v>13.0</v>
      </c>
      <c r="G472" s="95" t="s">
        <v>1021</v>
      </c>
      <c r="H472" s="63" t="str">
        <f>VLOOKUP(C472, 'Class Def. - General Data'!$C$20:$C$476,1,false)</f>
        <v>ZPI1_POSM_DISPLAY</v>
      </c>
      <c r="I472" s="63" t="str">
        <f t="shared" si="1"/>
        <v>ZPI1_POSM_DISPLAY13</v>
      </c>
      <c r="J472" s="63">
        <f t="shared" si="2"/>
        <v>1</v>
      </c>
    </row>
    <row r="473" ht="15.75" customHeight="1">
      <c r="A473" s="59" t="s">
        <v>93</v>
      </c>
      <c r="B473" s="95"/>
      <c r="C473" s="95" t="s">
        <v>160</v>
      </c>
      <c r="D473" s="95" t="s">
        <v>91</v>
      </c>
      <c r="E473" s="95" t="s">
        <v>577</v>
      </c>
      <c r="F473" s="95">
        <v>14.0</v>
      </c>
      <c r="G473" s="95" t="s">
        <v>1022</v>
      </c>
      <c r="H473" s="63" t="str">
        <f>VLOOKUP(C473, 'Class Def. - General Data'!$C$20:$C$476,1,false)</f>
        <v>ZPI1_POSM_DISPLAY</v>
      </c>
      <c r="I473" s="63" t="str">
        <f t="shared" si="1"/>
        <v>ZPI1_POSM_DISPLAY14</v>
      </c>
      <c r="J473" s="63">
        <f t="shared" si="2"/>
        <v>1</v>
      </c>
    </row>
    <row r="474" ht="15.75" customHeight="1">
      <c r="A474" s="59" t="s">
        <v>93</v>
      </c>
      <c r="B474" s="95"/>
      <c r="C474" s="95" t="s">
        <v>160</v>
      </c>
      <c r="D474" s="95" t="s">
        <v>91</v>
      </c>
      <c r="E474" s="95" t="s">
        <v>577</v>
      </c>
      <c r="F474" s="95">
        <v>15.0</v>
      </c>
      <c r="G474" s="95" t="s">
        <v>1023</v>
      </c>
      <c r="H474" s="63" t="str">
        <f>VLOOKUP(C474, 'Class Def. - General Data'!$C$20:$C$476,1,false)</f>
        <v>ZPI1_POSM_DISPLAY</v>
      </c>
      <c r="I474" s="63" t="str">
        <f t="shared" si="1"/>
        <v>ZPI1_POSM_DISPLAY15</v>
      </c>
      <c r="J474" s="63">
        <f t="shared" si="2"/>
        <v>1</v>
      </c>
    </row>
    <row r="475" ht="15.75" customHeight="1">
      <c r="A475" s="59" t="s">
        <v>93</v>
      </c>
      <c r="B475" s="95"/>
      <c r="C475" s="95" t="s">
        <v>160</v>
      </c>
      <c r="D475" s="95" t="s">
        <v>91</v>
      </c>
      <c r="E475" s="95" t="s">
        <v>577</v>
      </c>
      <c r="F475" s="95">
        <v>16.0</v>
      </c>
      <c r="G475" s="95" t="s">
        <v>1024</v>
      </c>
      <c r="H475" s="63" t="str">
        <f>VLOOKUP(C475, 'Class Def. - General Data'!$C$20:$C$476,1,false)</f>
        <v>ZPI1_POSM_DISPLAY</v>
      </c>
      <c r="I475" s="63" t="str">
        <f t="shared" si="1"/>
        <v>ZPI1_POSM_DISPLAY16</v>
      </c>
      <c r="J475" s="63">
        <f t="shared" si="2"/>
        <v>1</v>
      </c>
    </row>
    <row r="476" ht="15.75" customHeight="1">
      <c r="A476" s="59" t="s">
        <v>93</v>
      </c>
      <c r="B476" s="95"/>
      <c r="C476" s="95" t="s">
        <v>160</v>
      </c>
      <c r="D476" s="95" t="s">
        <v>91</v>
      </c>
      <c r="E476" s="95" t="s">
        <v>577</v>
      </c>
      <c r="F476" s="95">
        <v>17.0</v>
      </c>
      <c r="G476" s="95" t="s">
        <v>1025</v>
      </c>
      <c r="H476" s="63" t="str">
        <f>VLOOKUP(C476, 'Class Def. - General Data'!$C$20:$C$476,1,false)</f>
        <v>ZPI1_POSM_DISPLAY</v>
      </c>
      <c r="I476" s="63" t="str">
        <f t="shared" si="1"/>
        <v>ZPI1_POSM_DISPLAY17</v>
      </c>
      <c r="J476" s="63">
        <f t="shared" si="2"/>
        <v>1</v>
      </c>
    </row>
    <row r="477" ht="15.75" customHeight="1">
      <c r="A477" s="59" t="s">
        <v>93</v>
      </c>
      <c r="B477" s="95"/>
      <c r="C477" s="95" t="s">
        <v>160</v>
      </c>
      <c r="D477" s="95" t="s">
        <v>91</v>
      </c>
      <c r="E477" s="95" t="s">
        <v>577</v>
      </c>
      <c r="F477" s="95">
        <v>18.0</v>
      </c>
      <c r="G477" s="95" t="s">
        <v>1026</v>
      </c>
      <c r="H477" s="63" t="str">
        <f>VLOOKUP(C477, 'Class Def. - General Data'!$C$20:$C$476,1,false)</f>
        <v>ZPI1_POSM_DISPLAY</v>
      </c>
      <c r="I477" s="63" t="str">
        <f t="shared" si="1"/>
        <v>ZPI1_POSM_DISPLAY18</v>
      </c>
      <c r="J477" s="63">
        <f t="shared" si="2"/>
        <v>1</v>
      </c>
    </row>
    <row r="478" ht="15.75" customHeight="1">
      <c r="A478" s="59" t="s">
        <v>93</v>
      </c>
      <c r="B478" s="95"/>
      <c r="C478" s="95" t="s">
        <v>160</v>
      </c>
      <c r="D478" s="95" t="s">
        <v>91</v>
      </c>
      <c r="E478" s="95" t="s">
        <v>577</v>
      </c>
      <c r="F478" s="95">
        <v>19.0</v>
      </c>
      <c r="G478" s="95" t="s">
        <v>1027</v>
      </c>
      <c r="H478" s="63" t="str">
        <f>VLOOKUP(C478, 'Class Def. - General Data'!$C$20:$C$476,1,false)</f>
        <v>ZPI1_POSM_DISPLAY</v>
      </c>
      <c r="I478" s="63" t="str">
        <f t="shared" si="1"/>
        <v>ZPI1_POSM_DISPLAY19</v>
      </c>
      <c r="J478" s="63">
        <f t="shared" si="2"/>
        <v>1</v>
      </c>
    </row>
    <row r="479" ht="15.75" customHeight="1">
      <c r="A479" s="59" t="s">
        <v>93</v>
      </c>
      <c r="B479" s="95"/>
      <c r="C479" s="95" t="s">
        <v>160</v>
      </c>
      <c r="D479" s="95" t="s">
        <v>91</v>
      </c>
      <c r="E479" s="95" t="s">
        <v>577</v>
      </c>
      <c r="F479" s="95">
        <v>20.0</v>
      </c>
      <c r="G479" s="95" t="s">
        <v>1028</v>
      </c>
      <c r="H479" s="63" t="str">
        <f>VLOOKUP(C479, 'Class Def. - General Data'!$C$20:$C$476,1,false)</f>
        <v>ZPI1_POSM_DISPLAY</v>
      </c>
      <c r="I479" s="63" t="str">
        <f t="shared" si="1"/>
        <v>ZPI1_POSM_DISPLAY20</v>
      </c>
      <c r="J479" s="63">
        <f t="shared" si="2"/>
        <v>1</v>
      </c>
    </row>
    <row r="480" ht="15.75" customHeight="1">
      <c r="A480" s="59" t="s">
        <v>93</v>
      </c>
      <c r="B480" s="95"/>
      <c r="C480" s="95" t="s">
        <v>160</v>
      </c>
      <c r="D480" s="95" t="s">
        <v>91</v>
      </c>
      <c r="E480" s="95" t="s">
        <v>577</v>
      </c>
      <c r="F480" s="95">
        <v>21.0</v>
      </c>
      <c r="G480" s="95" t="s">
        <v>1029</v>
      </c>
      <c r="H480" s="63" t="str">
        <f>VLOOKUP(C480, 'Class Def. - General Data'!$C$20:$C$476,1,false)</f>
        <v>ZPI1_POSM_DISPLAY</v>
      </c>
      <c r="I480" s="63" t="str">
        <f t="shared" si="1"/>
        <v>ZPI1_POSM_DISPLAY21</v>
      </c>
      <c r="J480" s="63">
        <f t="shared" si="2"/>
        <v>1</v>
      </c>
    </row>
    <row r="481" ht="15.75" customHeight="1">
      <c r="A481" s="59" t="s">
        <v>93</v>
      </c>
      <c r="B481" s="95"/>
      <c r="C481" s="95" t="s">
        <v>160</v>
      </c>
      <c r="D481" s="95" t="s">
        <v>91</v>
      </c>
      <c r="E481" s="95" t="s">
        <v>577</v>
      </c>
      <c r="F481" s="95">
        <v>22.0</v>
      </c>
      <c r="G481" s="95" t="s">
        <v>1030</v>
      </c>
      <c r="H481" s="63" t="str">
        <f>VLOOKUP(C481, 'Class Def. - General Data'!$C$20:$C$476,1,false)</f>
        <v>ZPI1_POSM_DISPLAY</v>
      </c>
      <c r="I481" s="63" t="str">
        <f t="shared" si="1"/>
        <v>ZPI1_POSM_DISPLAY22</v>
      </c>
      <c r="J481" s="63">
        <f t="shared" si="2"/>
        <v>1</v>
      </c>
    </row>
    <row r="482" ht="15.75" customHeight="1">
      <c r="A482" s="59" t="s">
        <v>93</v>
      </c>
      <c r="B482" s="95"/>
      <c r="C482" s="95" t="s">
        <v>160</v>
      </c>
      <c r="D482" s="95" t="s">
        <v>91</v>
      </c>
      <c r="E482" s="95" t="s">
        <v>577</v>
      </c>
      <c r="F482" s="95">
        <v>23.0</v>
      </c>
      <c r="G482" s="95" t="s">
        <v>1031</v>
      </c>
      <c r="H482" s="63" t="str">
        <f>VLOOKUP(C482, 'Class Def. - General Data'!$C$20:$C$476,1,false)</f>
        <v>ZPI1_POSM_DISPLAY</v>
      </c>
      <c r="I482" s="63" t="str">
        <f t="shared" si="1"/>
        <v>ZPI1_POSM_DISPLAY23</v>
      </c>
      <c r="J482" s="63">
        <f t="shared" si="2"/>
        <v>1</v>
      </c>
    </row>
    <row r="483" ht="15.75" customHeight="1">
      <c r="A483" s="59" t="s">
        <v>93</v>
      </c>
      <c r="B483" s="95"/>
      <c r="C483" s="95" t="s">
        <v>160</v>
      </c>
      <c r="D483" s="95" t="s">
        <v>91</v>
      </c>
      <c r="E483" s="95" t="s">
        <v>577</v>
      </c>
      <c r="F483" s="95">
        <v>24.0</v>
      </c>
      <c r="G483" s="95" t="s">
        <v>1032</v>
      </c>
      <c r="H483" s="63" t="str">
        <f>VLOOKUP(C483, 'Class Def. - General Data'!$C$20:$C$476,1,false)</f>
        <v>ZPI1_POSM_DISPLAY</v>
      </c>
      <c r="I483" s="63" t="str">
        <f t="shared" si="1"/>
        <v>ZPI1_POSM_DISPLAY24</v>
      </c>
      <c r="J483" s="63">
        <f t="shared" si="2"/>
        <v>1</v>
      </c>
    </row>
    <row r="484" ht="15.75" customHeight="1">
      <c r="A484" s="59" t="s">
        <v>93</v>
      </c>
      <c r="B484" s="95"/>
      <c r="C484" s="95" t="s">
        <v>160</v>
      </c>
      <c r="D484" s="95" t="s">
        <v>91</v>
      </c>
      <c r="E484" s="95" t="s">
        <v>577</v>
      </c>
      <c r="F484" s="95">
        <v>25.0</v>
      </c>
      <c r="G484" s="95" t="s">
        <v>1033</v>
      </c>
      <c r="H484" s="63" t="str">
        <f>VLOOKUP(C484, 'Class Def. - General Data'!$C$20:$C$476,1,false)</f>
        <v>ZPI1_POSM_DISPLAY</v>
      </c>
      <c r="I484" s="63" t="str">
        <f t="shared" si="1"/>
        <v>ZPI1_POSM_DISPLAY25</v>
      </c>
      <c r="J484" s="63">
        <f t="shared" si="2"/>
        <v>1</v>
      </c>
    </row>
    <row r="485" ht="15.75" customHeight="1">
      <c r="A485" s="59" t="s">
        <v>93</v>
      </c>
      <c r="B485" s="95"/>
      <c r="C485" s="95" t="s">
        <v>160</v>
      </c>
      <c r="D485" s="95" t="s">
        <v>91</v>
      </c>
      <c r="E485" s="95" t="s">
        <v>577</v>
      </c>
      <c r="F485" s="95">
        <v>26.0</v>
      </c>
      <c r="G485" s="95" t="s">
        <v>1034</v>
      </c>
      <c r="H485" s="63" t="str">
        <f>VLOOKUP(C485, 'Class Def. - General Data'!$C$20:$C$476,1,false)</f>
        <v>ZPI1_POSM_DISPLAY</v>
      </c>
      <c r="I485" s="63" t="str">
        <f t="shared" si="1"/>
        <v>ZPI1_POSM_DISPLAY26</v>
      </c>
      <c r="J485" s="63">
        <f t="shared" si="2"/>
        <v>1</v>
      </c>
    </row>
    <row r="486" ht="15.75" customHeight="1">
      <c r="A486" s="59" t="s">
        <v>93</v>
      </c>
      <c r="B486" s="95"/>
      <c r="C486" s="95" t="s">
        <v>160</v>
      </c>
      <c r="D486" s="95" t="s">
        <v>91</v>
      </c>
      <c r="E486" s="95" t="s">
        <v>577</v>
      </c>
      <c r="F486" s="95">
        <v>27.0</v>
      </c>
      <c r="G486" s="95" t="s">
        <v>1035</v>
      </c>
      <c r="H486" s="63" t="str">
        <f>VLOOKUP(C486, 'Class Def. - General Data'!$C$20:$C$476,1,false)</f>
        <v>ZPI1_POSM_DISPLAY</v>
      </c>
      <c r="I486" s="63" t="str">
        <f t="shared" si="1"/>
        <v>ZPI1_POSM_DISPLAY27</v>
      </c>
      <c r="J486" s="63">
        <f t="shared" si="2"/>
        <v>1</v>
      </c>
    </row>
    <row r="487" ht="15.75" customHeight="1">
      <c r="A487" s="59" t="s">
        <v>93</v>
      </c>
      <c r="B487" s="95"/>
      <c r="C487" s="95" t="s">
        <v>160</v>
      </c>
      <c r="D487" s="95" t="s">
        <v>91</v>
      </c>
      <c r="E487" s="95" t="s">
        <v>577</v>
      </c>
      <c r="F487" s="95">
        <v>28.0</v>
      </c>
      <c r="G487" s="95" t="s">
        <v>1036</v>
      </c>
      <c r="H487" s="63" t="str">
        <f>VLOOKUP(C487, 'Class Def. - General Data'!$C$20:$C$476,1,false)</f>
        <v>ZPI1_POSM_DISPLAY</v>
      </c>
      <c r="I487" s="63" t="str">
        <f t="shared" si="1"/>
        <v>ZPI1_POSM_DISPLAY28</v>
      </c>
      <c r="J487" s="63">
        <f t="shared" si="2"/>
        <v>1</v>
      </c>
    </row>
    <row r="488" ht="15.75" customHeight="1">
      <c r="A488" s="59" t="s">
        <v>93</v>
      </c>
      <c r="B488" s="95"/>
      <c r="C488" s="95" t="s">
        <v>160</v>
      </c>
      <c r="D488" s="95" t="s">
        <v>91</v>
      </c>
      <c r="E488" s="95" t="s">
        <v>577</v>
      </c>
      <c r="F488" s="95">
        <v>29.0</v>
      </c>
      <c r="G488" s="95" t="s">
        <v>1037</v>
      </c>
      <c r="H488" s="63" t="str">
        <f>VLOOKUP(C488, 'Class Def. - General Data'!$C$20:$C$476,1,false)</f>
        <v>ZPI1_POSM_DISPLAY</v>
      </c>
      <c r="I488" s="63" t="str">
        <f t="shared" si="1"/>
        <v>ZPI1_POSM_DISPLAY29</v>
      </c>
      <c r="J488" s="63">
        <f t="shared" si="2"/>
        <v>1</v>
      </c>
    </row>
    <row r="489" ht="15.75" customHeight="1">
      <c r="A489" s="59" t="s">
        <v>93</v>
      </c>
      <c r="B489" s="95"/>
      <c r="C489" s="95" t="s">
        <v>160</v>
      </c>
      <c r="D489" s="95" t="s">
        <v>91</v>
      </c>
      <c r="E489" s="95" t="s">
        <v>577</v>
      </c>
      <c r="F489" s="95">
        <v>30.0</v>
      </c>
      <c r="G489" s="95" t="s">
        <v>1038</v>
      </c>
      <c r="H489" s="63" t="str">
        <f>VLOOKUP(C489, 'Class Def. - General Data'!$C$20:$C$476,1,false)</f>
        <v>ZPI1_POSM_DISPLAY</v>
      </c>
      <c r="I489" s="63" t="str">
        <f t="shared" si="1"/>
        <v>ZPI1_POSM_DISPLAY30</v>
      </c>
      <c r="J489" s="63">
        <f t="shared" si="2"/>
        <v>1</v>
      </c>
    </row>
    <row r="490" ht="15.75" customHeight="1">
      <c r="A490" s="59" t="s">
        <v>93</v>
      </c>
      <c r="B490" s="95"/>
      <c r="C490" s="95" t="s">
        <v>160</v>
      </c>
      <c r="D490" s="95" t="s">
        <v>91</v>
      </c>
      <c r="E490" s="95" t="s">
        <v>577</v>
      </c>
      <c r="F490" s="95">
        <v>31.0</v>
      </c>
      <c r="G490" s="95" t="s">
        <v>1039</v>
      </c>
      <c r="H490" s="63" t="str">
        <f>VLOOKUP(C490, 'Class Def. - General Data'!$C$20:$C$476,1,false)</f>
        <v>ZPI1_POSM_DISPLAY</v>
      </c>
      <c r="I490" s="63" t="str">
        <f t="shared" si="1"/>
        <v>ZPI1_POSM_DISPLAY31</v>
      </c>
      <c r="J490" s="63">
        <f t="shared" si="2"/>
        <v>1</v>
      </c>
    </row>
    <row r="491" ht="15.75" customHeight="1">
      <c r="A491" s="59" t="s">
        <v>93</v>
      </c>
      <c r="B491" s="95"/>
      <c r="C491" s="95" t="s">
        <v>160</v>
      </c>
      <c r="D491" s="95" t="s">
        <v>91</v>
      </c>
      <c r="E491" s="95" t="s">
        <v>577</v>
      </c>
      <c r="F491" s="95">
        <v>32.0</v>
      </c>
      <c r="G491" s="95" t="s">
        <v>1040</v>
      </c>
      <c r="H491" s="63" t="str">
        <f>VLOOKUP(C491, 'Class Def. - General Data'!$C$20:$C$476,1,false)</f>
        <v>ZPI1_POSM_DISPLAY</v>
      </c>
      <c r="I491" s="63" t="str">
        <f t="shared" si="1"/>
        <v>ZPI1_POSM_DISPLAY32</v>
      </c>
      <c r="J491" s="63">
        <f t="shared" si="2"/>
        <v>1</v>
      </c>
    </row>
    <row r="492" ht="15.75" customHeight="1">
      <c r="A492" s="59" t="s">
        <v>93</v>
      </c>
      <c r="B492" s="95"/>
      <c r="C492" s="95" t="s">
        <v>160</v>
      </c>
      <c r="D492" s="95" t="s">
        <v>91</v>
      </c>
      <c r="E492" s="95" t="s">
        <v>577</v>
      </c>
      <c r="F492" s="95">
        <v>33.0</v>
      </c>
      <c r="G492" s="95" t="s">
        <v>1041</v>
      </c>
      <c r="H492" s="63" t="str">
        <f>VLOOKUP(C492, 'Class Def. - General Data'!$C$20:$C$476,1,false)</f>
        <v>ZPI1_POSM_DISPLAY</v>
      </c>
      <c r="I492" s="63" t="str">
        <f t="shared" si="1"/>
        <v>ZPI1_POSM_DISPLAY33</v>
      </c>
      <c r="J492" s="63">
        <f t="shared" si="2"/>
        <v>1</v>
      </c>
    </row>
    <row r="493" ht="15.75" customHeight="1">
      <c r="A493" s="59" t="s">
        <v>93</v>
      </c>
      <c r="B493" s="95"/>
      <c r="C493" s="95" t="s">
        <v>160</v>
      </c>
      <c r="D493" s="95" t="s">
        <v>91</v>
      </c>
      <c r="E493" s="95" t="s">
        <v>577</v>
      </c>
      <c r="F493" s="95">
        <v>34.0</v>
      </c>
      <c r="G493" s="95" t="s">
        <v>1042</v>
      </c>
      <c r="H493" s="63" t="str">
        <f>VLOOKUP(C493, 'Class Def. - General Data'!$C$20:$C$476,1,false)</f>
        <v>ZPI1_POSM_DISPLAY</v>
      </c>
      <c r="I493" s="63" t="str">
        <f t="shared" si="1"/>
        <v>ZPI1_POSM_DISPLAY34</v>
      </c>
      <c r="J493" s="63">
        <f t="shared" si="2"/>
        <v>1</v>
      </c>
    </row>
    <row r="494" ht="15.75" customHeight="1">
      <c r="A494" s="59" t="s">
        <v>93</v>
      </c>
      <c r="B494" s="95"/>
      <c r="C494" s="95" t="s">
        <v>160</v>
      </c>
      <c r="D494" s="95" t="s">
        <v>91</v>
      </c>
      <c r="E494" s="95" t="s">
        <v>577</v>
      </c>
      <c r="F494" s="95">
        <v>35.0</v>
      </c>
      <c r="G494" s="95" t="s">
        <v>1043</v>
      </c>
      <c r="H494" s="63" t="str">
        <f>VLOOKUP(C494, 'Class Def. - General Data'!$C$20:$C$476,1,false)</f>
        <v>ZPI1_POSM_DISPLAY</v>
      </c>
      <c r="I494" s="63" t="str">
        <f t="shared" si="1"/>
        <v>ZPI1_POSM_DISPLAY35</v>
      </c>
      <c r="J494" s="63">
        <f t="shared" si="2"/>
        <v>1</v>
      </c>
    </row>
    <row r="495" ht="15.75" customHeight="1">
      <c r="A495" s="59" t="s">
        <v>93</v>
      </c>
      <c r="B495" s="95"/>
      <c r="C495" s="95" t="s">
        <v>160</v>
      </c>
      <c r="D495" s="95" t="s">
        <v>91</v>
      </c>
      <c r="E495" s="95" t="s">
        <v>577</v>
      </c>
      <c r="F495" s="95">
        <v>36.0</v>
      </c>
      <c r="G495" s="95" t="s">
        <v>1044</v>
      </c>
      <c r="H495" s="63" t="str">
        <f>VLOOKUP(C495, 'Class Def. - General Data'!$C$20:$C$476,1,false)</f>
        <v>ZPI1_POSM_DISPLAY</v>
      </c>
      <c r="I495" s="63" t="str">
        <f t="shared" si="1"/>
        <v>ZPI1_POSM_DISPLAY36</v>
      </c>
      <c r="J495" s="63">
        <f t="shared" si="2"/>
        <v>1</v>
      </c>
    </row>
    <row r="496" ht="15.75" customHeight="1">
      <c r="A496" s="59" t="s">
        <v>93</v>
      </c>
      <c r="B496" s="95"/>
      <c r="C496" s="95" t="s">
        <v>160</v>
      </c>
      <c r="D496" s="95" t="s">
        <v>91</v>
      </c>
      <c r="E496" s="95" t="s">
        <v>577</v>
      </c>
      <c r="F496" s="95">
        <v>37.0</v>
      </c>
      <c r="G496" s="95" t="s">
        <v>1045</v>
      </c>
      <c r="H496" s="63" t="str">
        <f>VLOOKUP(C496, 'Class Def. - General Data'!$C$20:$C$476,1,false)</f>
        <v>ZPI1_POSM_DISPLAY</v>
      </c>
      <c r="I496" s="63" t="str">
        <f t="shared" si="1"/>
        <v>ZPI1_POSM_DISPLAY37</v>
      </c>
      <c r="J496" s="63">
        <f t="shared" si="2"/>
        <v>1</v>
      </c>
    </row>
    <row r="497" ht="15.75" customHeight="1">
      <c r="A497" s="59" t="s">
        <v>93</v>
      </c>
      <c r="B497" s="95"/>
      <c r="C497" s="95" t="s">
        <v>160</v>
      </c>
      <c r="D497" s="95" t="s">
        <v>91</v>
      </c>
      <c r="E497" s="95" t="s">
        <v>577</v>
      </c>
      <c r="F497" s="95">
        <v>38.0</v>
      </c>
      <c r="G497" s="95" t="s">
        <v>1046</v>
      </c>
      <c r="H497" s="63" t="str">
        <f>VLOOKUP(C497, 'Class Def. - General Data'!$C$20:$C$476,1,false)</f>
        <v>ZPI1_POSM_DISPLAY</v>
      </c>
      <c r="I497" s="63" t="str">
        <f t="shared" si="1"/>
        <v>ZPI1_POSM_DISPLAY38</v>
      </c>
      <c r="J497" s="63">
        <f t="shared" si="2"/>
        <v>1</v>
      </c>
    </row>
    <row r="498" ht="15.75" customHeight="1">
      <c r="A498" s="59" t="s">
        <v>93</v>
      </c>
      <c r="B498" s="95"/>
      <c r="C498" s="95" t="s">
        <v>160</v>
      </c>
      <c r="D498" s="95" t="s">
        <v>91</v>
      </c>
      <c r="E498" s="95" t="s">
        <v>577</v>
      </c>
      <c r="F498" s="95">
        <v>39.0</v>
      </c>
      <c r="G498" s="95" t="s">
        <v>1047</v>
      </c>
      <c r="H498" s="63" t="str">
        <f>VLOOKUP(C498, 'Class Def. - General Data'!$C$20:$C$476,1,false)</f>
        <v>ZPI1_POSM_DISPLAY</v>
      </c>
      <c r="I498" s="63" t="str">
        <f t="shared" si="1"/>
        <v>ZPI1_POSM_DISPLAY39</v>
      </c>
      <c r="J498" s="63">
        <f t="shared" si="2"/>
        <v>1</v>
      </c>
    </row>
    <row r="499" ht="15.75" customHeight="1">
      <c r="A499" s="59" t="s">
        <v>93</v>
      </c>
      <c r="B499" s="95"/>
      <c r="C499" s="95" t="s">
        <v>160</v>
      </c>
      <c r="D499" s="95" t="s">
        <v>91</v>
      </c>
      <c r="E499" s="95" t="s">
        <v>577</v>
      </c>
      <c r="F499" s="95">
        <v>40.0</v>
      </c>
      <c r="G499" s="95" t="s">
        <v>1048</v>
      </c>
      <c r="H499" s="63" t="str">
        <f>VLOOKUP(C499, 'Class Def. - General Data'!$C$20:$C$476,1,false)</f>
        <v>ZPI1_POSM_DISPLAY</v>
      </c>
      <c r="I499" s="63" t="str">
        <f t="shared" si="1"/>
        <v>ZPI1_POSM_DISPLAY40</v>
      </c>
      <c r="J499" s="63">
        <f t="shared" si="2"/>
        <v>1</v>
      </c>
    </row>
    <row r="500" ht="15.75" customHeight="1">
      <c r="A500" s="59" t="s">
        <v>93</v>
      </c>
      <c r="B500" s="95"/>
      <c r="C500" s="95" t="s">
        <v>160</v>
      </c>
      <c r="D500" s="95" t="s">
        <v>91</v>
      </c>
      <c r="E500" s="95" t="s">
        <v>577</v>
      </c>
      <c r="F500" s="95">
        <v>41.0</v>
      </c>
      <c r="G500" s="95" t="s">
        <v>1049</v>
      </c>
      <c r="H500" s="63" t="str">
        <f>VLOOKUP(C500, 'Class Def. - General Data'!$C$20:$C$476,1,false)</f>
        <v>ZPI1_POSM_DISPLAY</v>
      </c>
      <c r="I500" s="63" t="str">
        <f t="shared" si="1"/>
        <v>ZPI1_POSM_DISPLAY41</v>
      </c>
      <c r="J500" s="63">
        <f t="shared" si="2"/>
        <v>1</v>
      </c>
    </row>
    <row r="501" ht="15.75" customHeight="1">
      <c r="A501" s="59" t="s">
        <v>93</v>
      </c>
      <c r="B501" s="95"/>
      <c r="C501" s="95" t="s">
        <v>160</v>
      </c>
      <c r="D501" s="95" t="s">
        <v>91</v>
      </c>
      <c r="E501" s="95" t="s">
        <v>577</v>
      </c>
      <c r="F501" s="95">
        <v>42.0</v>
      </c>
      <c r="G501" s="95" t="s">
        <v>1050</v>
      </c>
      <c r="H501" s="63" t="str">
        <f>VLOOKUP(C501, 'Class Def. - General Data'!$C$20:$C$476,1,false)</f>
        <v>ZPI1_POSM_DISPLAY</v>
      </c>
      <c r="I501" s="63" t="str">
        <f t="shared" si="1"/>
        <v>ZPI1_POSM_DISPLAY42</v>
      </c>
      <c r="J501" s="63">
        <f t="shared" si="2"/>
        <v>1</v>
      </c>
    </row>
    <row r="502" ht="15.75" customHeight="1">
      <c r="A502" s="59" t="s">
        <v>93</v>
      </c>
      <c r="B502" s="95"/>
      <c r="C502" s="95" t="s">
        <v>160</v>
      </c>
      <c r="D502" s="95" t="s">
        <v>91</v>
      </c>
      <c r="E502" s="95" t="s">
        <v>577</v>
      </c>
      <c r="F502" s="95">
        <v>43.0</v>
      </c>
      <c r="G502" s="95" t="s">
        <v>1051</v>
      </c>
      <c r="H502" s="63" t="str">
        <f>VLOOKUP(C502, 'Class Def. - General Data'!$C$20:$C$476,1,false)</f>
        <v>ZPI1_POSM_DISPLAY</v>
      </c>
      <c r="I502" s="63" t="str">
        <f t="shared" si="1"/>
        <v>ZPI1_POSM_DISPLAY43</v>
      </c>
      <c r="J502" s="63">
        <f t="shared" si="2"/>
        <v>1</v>
      </c>
    </row>
    <row r="503" ht="15.75" customHeight="1">
      <c r="A503" s="59" t="s">
        <v>93</v>
      </c>
      <c r="B503" s="95"/>
      <c r="C503" s="95" t="s">
        <v>160</v>
      </c>
      <c r="D503" s="95" t="s">
        <v>91</v>
      </c>
      <c r="E503" s="95" t="s">
        <v>577</v>
      </c>
      <c r="F503" s="95">
        <v>44.0</v>
      </c>
      <c r="G503" s="95" t="s">
        <v>1052</v>
      </c>
      <c r="H503" s="63" t="str">
        <f>VLOOKUP(C503, 'Class Def. - General Data'!$C$20:$C$476,1,false)</f>
        <v>ZPI1_POSM_DISPLAY</v>
      </c>
      <c r="I503" s="63" t="str">
        <f t="shared" si="1"/>
        <v>ZPI1_POSM_DISPLAY44</v>
      </c>
      <c r="J503" s="63">
        <f t="shared" si="2"/>
        <v>1</v>
      </c>
    </row>
    <row r="504" ht="15.75" customHeight="1">
      <c r="A504" s="59" t="s">
        <v>93</v>
      </c>
      <c r="B504" s="95"/>
      <c r="C504" s="95" t="s">
        <v>160</v>
      </c>
      <c r="D504" s="95" t="s">
        <v>91</v>
      </c>
      <c r="E504" s="95" t="s">
        <v>577</v>
      </c>
      <c r="F504" s="95">
        <v>45.0</v>
      </c>
      <c r="G504" s="95" t="s">
        <v>1053</v>
      </c>
      <c r="H504" s="63" t="str">
        <f>VLOOKUP(C504, 'Class Def. - General Data'!$C$20:$C$476,1,false)</f>
        <v>ZPI1_POSM_DISPLAY</v>
      </c>
      <c r="I504" s="63" t="str">
        <f t="shared" si="1"/>
        <v>ZPI1_POSM_DISPLAY45</v>
      </c>
      <c r="J504" s="63">
        <f t="shared" si="2"/>
        <v>1</v>
      </c>
    </row>
    <row r="505" ht="15.75" customHeight="1">
      <c r="A505" s="59" t="s">
        <v>93</v>
      </c>
      <c r="B505" s="95"/>
      <c r="C505" s="95" t="s">
        <v>160</v>
      </c>
      <c r="D505" s="95" t="s">
        <v>91</v>
      </c>
      <c r="E505" s="95" t="s">
        <v>577</v>
      </c>
      <c r="F505" s="95">
        <v>46.0</v>
      </c>
      <c r="G505" s="95" t="s">
        <v>1054</v>
      </c>
      <c r="H505" s="63" t="str">
        <f>VLOOKUP(C505, 'Class Def. - General Data'!$C$20:$C$476,1,false)</f>
        <v>ZPI1_POSM_DISPLAY</v>
      </c>
      <c r="I505" s="63" t="str">
        <f t="shared" si="1"/>
        <v>ZPI1_POSM_DISPLAY46</v>
      </c>
      <c r="J505" s="63">
        <f t="shared" si="2"/>
        <v>1</v>
      </c>
    </row>
    <row r="506" ht="15.75" customHeight="1">
      <c r="A506" s="59" t="s">
        <v>93</v>
      </c>
      <c r="B506" s="95"/>
      <c r="C506" s="95" t="s">
        <v>160</v>
      </c>
      <c r="D506" s="95" t="s">
        <v>91</v>
      </c>
      <c r="E506" s="95" t="s">
        <v>577</v>
      </c>
      <c r="F506" s="95">
        <v>47.0</v>
      </c>
      <c r="G506" s="95" t="s">
        <v>1055</v>
      </c>
      <c r="H506" s="63" t="str">
        <f>VLOOKUP(C506, 'Class Def. - General Data'!$C$20:$C$476,1,false)</f>
        <v>ZPI1_POSM_DISPLAY</v>
      </c>
      <c r="I506" s="63" t="str">
        <f t="shared" si="1"/>
        <v>ZPI1_POSM_DISPLAY47</v>
      </c>
      <c r="J506" s="63">
        <f t="shared" si="2"/>
        <v>1</v>
      </c>
    </row>
    <row r="507" ht="15.75" customHeight="1">
      <c r="A507" s="59" t="s">
        <v>93</v>
      </c>
      <c r="B507" s="95"/>
      <c r="C507" s="95" t="s">
        <v>160</v>
      </c>
      <c r="D507" s="95" t="s">
        <v>91</v>
      </c>
      <c r="E507" s="95" t="s">
        <v>577</v>
      </c>
      <c r="F507" s="95">
        <v>48.0</v>
      </c>
      <c r="G507" s="95" t="s">
        <v>1056</v>
      </c>
      <c r="H507" s="63" t="str">
        <f>VLOOKUP(C507, 'Class Def. - General Data'!$C$20:$C$476,1,false)</f>
        <v>ZPI1_POSM_DISPLAY</v>
      </c>
      <c r="I507" s="63" t="str">
        <f t="shared" si="1"/>
        <v>ZPI1_POSM_DISPLAY48</v>
      </c>
      <c r="J507" s="63">
        <f t="shared" si="2"/>
        <v>1</v>
      </c>
    </row>
    <row r="508" ht="15.75" customHeight="1">
      <c r="A508" s="59" t="s">
        <v>93</v>
      </c>
      <c r="B508" s="95"/>
      <c r="C508" s="95" t="s">
        <v>160</v>
      </c>
      <c r="D508" s="95" t="s">
        <v>91</v>
      </c>
      <c r="E508" s="95" t="s">
        <v>577</v>
      </c>
      <c r="F508" s="95">
        <v>49.0</v>
      </c>
      <c r="G508" s="95" t="s">
        <v>1057</v>
      </c>
      <c r="H508" s="63" t="str">
        <f>VLOOKUP(C508, 'Class Def. - General Data'!$C$20:$C$476,1,false)</f>
        <v>ZPI1_POSM_DISPLAY</v>
      </c>
      <c r="I508" s="63" t="str">
        <f t="shared" si="1"/>
        <v>ZPI1_POSM_DISPLAY49</v>
      </c>
      <c r="J508" s="63">
        <f t="shared" si="2"/>
        <v>1</v>
      </c>
    </row>
    <row r="509" ht="15.75" customHeight="1">
      <c r="A509" s="59" t="s">
        <v>93</v>
      </c>
      <c r="B509" s="95"/>
      <c r="C509" s="95" t="s">
        <v>160</v>
      </c>
      <c r="D509" s="95" t="s">
        <v>91</v>
      </c>
      <c r="E509" s="95" t="s">
        <v>577</v>
      </c>
      <c r="F509" s="95">
        <v>50.0</v>
      </c>
      <c r="G509" s="95" t="s">
        <v>1058</v>
      </c>
      <c r="H509" s="63" t="str">
        <f>VLOOKUP(C509, 'Class Def. - General Data'!$C$20:$C$476,1,false)</f>
        <v>ZPI1_POSM_DISPLAY</v>
      </c>
      <c r="I509" s="63" t="str">
        <f t="shared" si="1"/>
        <v>ZPI1_POSM_DISPLAY50</v>
      </c>
      <c r="J509" s="63">
        <f t="shared" si="2"/>
        <v>1</v>
      </c>
    </row>
    <row r="510" ht="15.75" customHeight="1">
      <c r="A510" s="59" t="s">
        <v>93</v>
      </c>
      <c r="B510" s="95"/>
      <c r="C510" s="95" t="s">
        <v>160</v>
      </c>
      <c r="D510" s="95" t="s">
        <v>91</v>
      </c>
      <c r="E510" s="95" t="s">
        <v>577</v>
      </c>
      <c r="F510" s="95">
        <v>51.0</v>
      </c>
      <c r="G510" s="95" t="s">
        <v>1059</v>
      </c>
      <c r="H510" s="63" t="str">
        <f>VLOOKUP(C510, 'Class Def. - General Data'!$C$20:$C$476,1,false)</f>
        <v>ZPI1_POSM_DISPLAY</v>
      </c>
      <c r="I510" s="63" t="str">
        <f t="shared" si="1"/>
        <v>ZPI1_POSM_DISPLAY51</v>
      </c>
      <c r="J510" s="63">
        <f t="shared" si="2"/>
        <v>1</v>
      </c>
    </row>
    <row r="511" ht="15.75" customHeight="1">
      <c r="A511" s="59" t="s">
        <v>93</v>
      </c>
      <c r="B511" s="95"/>
      <c r="C511" s="95" t="s">
        <v>160</v>
      </c>
      <c r="D511" s="95" t="s">
        <v>91</v>
      </c>
      <c r="E511" s="95" t="s">
        <v>577</v>
      </c>
      <c r="F511" s="95">
        <v>52.0</v>
      </c>
      <c r="G511" s="95" t="s">
        <v>1060</v>
      </c>
      <c r="H511" s="63" t="str">
        <f>VLOOKUP(C511, 'Class Def. - General Data'!$C$20:$C$476,1,false)</f>
        <v>ZPI1_POSM_DISPLAY</v>
      </c>
      <c r="I511" s="63" t="str">
        <f t="shared" si="1"/>
        <v>ZPI1_POSM_DISPLAY52</v>
      </c>
      <c r="J511" s="63">
        <f t="shared" si="2"/>
        <v>1</v>
      </c>
    </row>
    <row r="512" ht="15.75" customHeight="1">
      <c r="A512" s="59" t="s">
        <v>93</v>
      </c>
      <c r="B512" s="95"/>
      <c r="C512" s="95" t="s">
        <v>160</v>
      </c>
      <c r="D512" s="95" t="s">
        <v>91</v>
      </c>
      <c r="E512" s="95" t="s">
        <v>577</v>
      </c>
      <c r="F512" s="95">
        <v>53.0</v>
      </c>
      <c r="G512" s="95" t="s">
        <v>1061</v>
      </c>
      <c r="H512" s="63" t="str">
        <f>VLOOKUP(C512, 'Class Def. - General Data'!$C$20:$C$476,1,false)</f>
        <v>ZPI1_POSM_DISPLAY</v>
      </c>
      <c r="I512" s="63" t="str">
        <f t="shared" si="1"/>
        <v>ZPI1_POSM_DISPLAY53</v>
      </c>
      <c r="J512" s="63">
        <f t="shared" si="2"/>
        <v>1</v>
      </c>
    </row>
    <row r="513" ht="15.75" customHeight="1">
      <c r="A513" s="59" t="s">
        <v>93</v>
      </c>
      <c r="B513" s="95"/>
      <c r="C513" s="95" t="s">
        <v>160</v>
      </c>
      <c r="D513" s="95" t="s">
        <v>91</v>
      </c>
      <c r="E513" s="95" t="s">
        <v>577</v>
      </c>
      <c r="F513" s="95">
        <v>54.0</v>
      </c>
      <c r="G513" s="95" t="s">
        <v>1062</v>
      </c>
      <c r="H513" s="63" t="str">
        <f>VLOOKUP(C513, 'Class Def. - General Data'!$C$20:$C$476,1,false)</f>
        <v>ZPI1_POSM_DISPLAY</v>
      </c>
      <c r="I513" s="63" t="str">
        <f t="shared" si="1"/>
        <v>ZPI1_POSM_DISPLAY54</v>
      </c>
      <c r="J513" s="63">
        <f t="shared" si="2"/>
        <v>1</v>
      </c>
    </row>
    <row r="514" ht="15.75" customHeight="1">
      <c r="A514" s="59" t="s">
        <v>93</v>
      </c>
      <c r="B514" s="95"/>
      <c r="C514" s="95" t="s">
        <v>160</v>
      </c>
      <c r="D514" s="95" t="s">
        <v>91</v>
      </c>
      <c r="E514" s="95" t="s">
        <v>577</v>
      </c>
      <c r="F514" s="95">
        <v>55.0</v>
      </c>
      <c r="G514" s="95" t="s">
        <v>1063</v>
      </c>
      <c r="H514" s="63" t="str">
        <f>VLOOKUP(C514, 'Class Def. - General Data'!$C$20:$C$476,1,false)</f>
        <v>ZPI1_POSM_DISPLAY</v>
      </c>
      <c r="I514" s="63" t="str">
        <f t="shared" si="1"/>
        <v>ZPI1_POSM_DISPLAY55</v>
      </c>
      <c r="J514" s="63">
        <f t="shared" si="2"/>
        <v>1</v>
      </c>
    </row>
    <row r="515" ht="15.75" customHeight="1">
      <c r="A515" s="59" t="s">
        <v>93</v>
      </c>
      <c r="B515" s="95"/>
      <c r="C515" s="95" t="s">
        <v>160</v>
      </c>
      <c r="D515" s="95" t="s">
        <v>91</v>
      </c>
      <c r="E515" s="95" t="s">
        <v>577</v>
      </c>
      <c r="F515" s="95">
        <v>56.0</v>
      </c>
      <c r="G515" s="95" t="s">
        <v>1064</v>
      </c>
      <c r="H515" s="63" t="str">
        <f>VLOOKUP(C515, 'Class Def. - General Data'!$C$20:$C$476,1,false)</f>
        <v>ZPI1_POSM_DISPLAY</v>
      </c>
      <c r="I515" s="63" t="str">
        <f t="shared" si="1"/>
        <v>ZPI1_POSM_DISPLAY56</v>
      </c>
      <c r="J515" s="63">
        <f t="shared" si="2"/>
        <v>1</v>
      </c>
    </row>
    <row r="516" ht="15.75" customHeight="1">
      <c r="A516" s="59" t="s">
        <v>93</v>
      </c>
      <c r="B516" s="95"/>
      <c r="C516" s="95" t="s">
        <v>160</v>
      </c>
      <c r="D516" s="95" t="s">
        <v>91</v>
      </c>
      <c r="E516" s="95" t="s">
        <v>577</v>
      </c>
      <c r="F516" s="95">
        <v>57.0</v>
      </c>
      <c r="G516" s="95" t="s">
        <v>1065</v>
      </c>
      <c r="H516" s="63" t="str">
        <f>VLOOKUP(C516, 'Class Def. - General Data'!$C$20:$C$476,1,false)</f>
        <v>ZPI1_POSM_DISPLAY</v>
      </c>
      <c r="I516" s="63" t="str">
        <f t="shared" si="1"/>
        <v>ZPI1_POSM_DISPLAY57</v>
      </c>
      <c r="J516" s="63">
        <f t="shared" si="2"/>
        <v>1</v>
      </c>
    </row>
    <row r="517" ht="15.75" customHeight="1">
      <c r="A517" s="59" t="s">
        <v>93</v>
      </c>
      <c r="B517" s="95"/>
      <c r="C517" s="95" t="s">
        <v>160</v>
      </c>
      <c r="D517" s="95" t="s">
        <v>91</v>
      </c>
      <c r="E517" s="95" t="s">
        <v>577</v>
      </c>
      <c r="F517" s="95">
        <v>58.0</v>
      </c>
      <c r="G517" s="95" t="s">
        <v>1066</v>
      </c>
      <c r="H517" s="63" t="str">
        <f>VLOOKUP(C517, 'Class Def. - General Data'!$C$20:$C$476,1,false)</f>
        <v>ZPI1_POSM_DISPLAY</v>
      </c>
      <c r="I517" s="63" t="str">
        <f t="shared" si="1"/>
        <v>ZPI1_POSM_DISPLAY58</v>
      </c>
      <c r="J517" s="63">
        <f t="shared" si="2"/>
        <v>1</v>
      </c>
    </row>
    <row r="518" ht="15.75" customHeight="1">
      <c r="A518" s="59" t="s">
        <v>93</v>
      </c>
      <c r="B518" s="95"/>
      <c r="C518" s="95" t="s">
        <v>160</v>
      </c>
      <c r="D518" s="95" t="s">
        <v>91</v>
      </c>
      <c r="E518" s="95" t="s">
        <v>577</v>
      </c>
      <c r="F518" s="95">
        <v>59.0</v>
      </c>
      <c r="G518" s="95" t="s">
        <v>1067</v>
      </c>
      <c r="H518" s="63" t="str">
        <f>VLOOKUP(C518, 'Class Def. - General Data'!$C$20:$C$476,1,false)</f>
        <v>ZPI1_POSM_DISPLAY</v>
      </c>
      <c r="I518" s="63" t="str">
        <f t="shared" si="1"/>
        <v>ZPI1_POSM_DISPLAY59</v>
      </c>
      <c r="J518" s="63">
        <f t="shared" si="2"/>
        <v>1</v>
      </c>
    </row>
    <row r="519" ht="15.75" customHeight="1">
      <c r="A519" s="59" t="s">
        <v>93</v>
      </c>
      <c r="B519" s="95"/>
      <c r="C519" s="95" t="s">
        <v>160</v>
      </c>
      <c r="D519" s="95" t="s">
        <v>91</v>
      </c>
      <c r="E519" s="95" t="s">
        <v>577</v>
      </c>
      <c r="F519" s="95">
        <v>60.0</v>
      </c>
      <c r="G519" s="95" t="s">
        <v>1068</v>
      </c>
      <c r="H519" s="63" t="str">
        <f>VLOOKUP(C519, 'Class Def. - General Data'!$C$20:$C$476,1,false)</f>
        <v>ZPI1_POSM_DISPLAY</v>
      </c>
      <c r="I519" s="63" t="str">
        <f t="shared" si="1"/>
        <v>ZPI1_POSM_DISPLAY60</v>
      </c>
      <c r="J519" s="63">
        <f t="shared" si="2"/>
        <v>1</v>
      </c>
    </row>
    <row r="520" ht="15.75" customHeight="1">
      <c r="A520" s="59" t="s">
        <v>93</v>
      </c>
      <c r="B520" s="95"/>
      <c r="C520" s="95" t="s">
        <v>160</v>
      </c>
      <c r="D520" s="95" t="s">
        <v>91</v>
      </c>
      <c r="E520" s="95" t="s">
        <v>577</v>
      </c>
      <c r="F520" s="95">
        <v>61.0</v>
      </c>
      <c r="G520" s="95" t="s">
        <v>1069</v>
      </c>
      <c r="H520" s="63" t="str">
        <f>VLOOKUP(C520, 'Class Def. - General Data'!$C$20:$C$476,1,false)</f>
        <v>ZPI1_POSM_DISPLAY</v>
      </c>
      <c r="I520" s="63" t="str">
        <f t="shared" si="1"/>
        <v>ZPI1_POSM_DISPLAY61</v>
      </c>
      <c r="J520" s="63">
        <f t="shared" si="2"/>
        <v>1</v>
      </c>
    </row>
    <row r="521" ht="15.75" customHeight="1">
      <c r="A521" s="59" t="s">
        <v>93</v>
      </c>
      <c r="B521" s="95"/>
      <c r="C521" s="95" t="s">
        <v>160</v>
      </c>
      <c r="D521" s="95" t="s">
        <v>91</v>
      </c>
      <c r="E521" s="95" t="s">
        <v>577</v>
      </c>
      <c r="F521" s="95">
        <v>62.0</v>
      </c>
      <c r="G521" s="95" t="s">
        <v>1070</v>
      </c>
      <c r="H521" s="63" t="str">
        <f>VLOOKUP(C521, 'Class Def. - General Data'!$C$20:$C$476,1,false)</f>
        <v>ZPI1_POSM_DISPLAY</v>
      </c>
      <c r="I521" s="63" t="str">
        <f t="shared" si="1"/>
        <v>ZPI1_POSM_DISPLAY62</v>
      </c>
      <c r="J521" s="63">
        <f t="shared" si="2"/>
        <v>1</v>
      </c>
    </row>
    <row r="522" ht="15.75" customHeight="1">
      <c r="A522" s="59" t="s">
        <v>93</v>
      </c>
      <c r="B522" s="95"/>
      <c r="C522" s="95" t="s">
        <v>160</v>
      </c>
      <c r="D522" s="95" t="s">
        <v>91</v>
      </c>
      <c r="E522" s="95" t="s">
        <v>577</v>
      </c>
      <c r="F522" s="95">
        <v>63.0</v>
      </c>
      <c r="G522" s="95" t="s">
        <v>1071</v>
      </c>
      <c r="H522" s="63" t="str">
        <f>VLOOKUP(C522, 'Class Def. - General Data'!$C$20:$C$476,1,false)</f>
        <v>ZPI1_POSM_DISPLAY</v>
      </c>
      <c r="I522" s="63" t="str">
        <f t="shared" si="1"/>
        <v>ZPI1_POSM_DISPLAY63</v>
      </c>
      <c r="J522" s="63">
        <f t="shared" si="2"/>
        <v>1</v>
      </c>
    </row>
    <row r="523" ht="15.75" customHeight="1">
      <c r="A523" s="59" t="s">
        <v>93</v>
      </c>
      <c r="B523" s="95"/>
      <c r="C523" s="95" t="s">
        <v>160</v>
      </c>
      <c r="D523" s="95" t="s">
        <v>91</v>
      </c>
      <c r="E523" s="95" t="s">
        <v>577</v>
      </c>
      <c r="F523" s="95">
        <v>64.0</v>
      </c>
      <c r="G523" s="95" t="s">
        <v>1072</v>
      </c>
      <c r="H523" s="63" t="str">
        <f>VLOOKUP(C523, 'Class Def. - General Data'!$C$20:$C$476,1,false)</f>
        <v>ZPI1_POSM_DISPLAY</v>
      </c>
      <c r="I523" s="63" t="str">
        <f t="shared" si="1"/>
        <v>ZPI1_POSM_DISPLAY64</v>
      </c>
      <c r="J523" s="63">
        <f t="shared" si="2"/>
        <v>1</v>
      </c>
    </row>
    <row r="524" ht="15.75" customHeight="1">
      <c r="A524" s="59" t="s">
        <v>93</v>
      </c>
      <c r="B524" s="95"/>
      <c r="C524" s="95" t="s">
        <v>160</v>
      </c>
      <c r="D524" s="95" t="s">
        <v>91</v>
      </c>
      <c r="E524" s="95" t="s">
        <v>577</v>
      </c>
      <c r="F524" s="95">
        <v>65.0</v>
      </c>
      <c r="G524" s="95" t="s">
        <v>1073</v>
      </c>
      <c r="H524" s="63" t="str">
        <f>VLOOKUP(C524, 'Class Def. - General Data'!$C$20:$C$476,1,false)</f>
        <v>ZPI1_POSM_DISPLAY</v>
      </c>
      <c r="I524" s="63" t="str">
        <f t="shared" si="1"/>
        <v>ZPI1_POSM_DISPLAY65</v>
      </c>
      <c r="J524" s="63">
        <f t="shared" si="2"/>
        <v>1</v>
      </c>
    </row>
    <row r="525" ht="15.75" customHeight="1">
      <c r="A525" s="59" t="s">
        <v>93</v>
      </c>
      <c r="B525" s="95"/>
      <c r="C525" s="95" t="s">
        <v>160</v>
      </c>
      <c r="D525" s="95" t="s">
        <v>91</v>
      </c>
      <c r="E525" s="95" t="s">
        <v>577</v>
      </c>
      <c r="F525" s="95">
        <v>66.0</v>
      </c>
      <c r="G525" s="95" t="s">
        <v>1074</v>
      </c>
      <c r="H525" s="63" t="str">
        <f>VLOOKUP(C525, 'Class Def. - General Data'!$C$20:$C$476,1,false)</f>
        <v>ZPI1_POSM_DISPLAY</v>
      </c>
      <c r="I525" s="63" t="str">
        <f t="shared" si="1"/>
        <v>ZPI1_POSM_DISPLAY66</v>
      </c>
      <c r="J525" s="63">
        <f t="shared" si="2"/>
        <v>1</v>
      </c>
    </row>
    <row r="526" ht="15.75" customHeight="1">
      <c r="A526" s="59" t="s">
        <v>93</v>
      </c>
      <c r="B526" s="95"/>
      <c r="C526" s="95" t="s">
        <v>160</v>
      </c>
      <c r="D526" s="95" t="s">
        <v>91</v>
      </c>
      <c r="E526" s="95" t="s">
        <v>577</v>
      </c>
      <c r="F526" s="95">
        <v>67.0</v>
      </c>
      <c r="G526" s="95" t="s">
        <v>1075</v>
      </c>
      <c r="H526" s="63" t="str">
        <f>VLOOKUP(C526, 'Class Def. - General Data'!$C$20:$C$476,1,false)</f>
        <v>ZPI1_POSM_DISPLAY</v>
      </c>
      <c r="I526" s="63" t="str">
        <f t="shared" si="1"/>
        <v>ZPI1_POSM_DISPLAY67</v>
      </c>
      <c r="J526" s="63">
        <f t="shared" si="2"/>
        <v>1</v>
      </c>
    </row>
    <row r="527" ht="15.75" customHeight="1">
      <c r="A527" s="59" t="s">
        <v>93</v>
      </c>
      <c r="B527" s="95"/>
      <c r="C527" s="95" t="s">
        <v>160</v>
      </c>
      <c r="D527" s="95" t="s">
        <v>91</v>
      </c>
      <c r="E527" s="95" t="s">
        <v>577</v>
      </c>
      <c r="F527" s="95">
        <v>68.0</v>
      </c>
      <c r="G527" s="95" t="s">
        <v>1076</v>
      </c>
      <c r="H527" s="63" t="str">
        <f>VLOOKUP(C527, 'Class Def. - General Data'!$C$20:$C$476,1,false)</f>
        <v>ZPI1_POSM_DISPLAY</v>
      </c>
      <c r="I527" s="63" t="str">
        <f t="shared" si="1"/>
        <v>ZPI1_POSM_DISPLAY68</v>
      </c>
      <c r="J527" s="63">
        <f t="shared" si="2"/>
        <v>1</v>
      </c>
    </row>
    <row r="528" ht="15.75" customHeight="1">
      <c r="A528" s="59" t="s">
        <v>93</v>
      </c>
      <c r="B528" s="95"/>
      <c r="C528" s="95" t="s">
        <v>160</v>
      </c>
      <c r="D528" s="95" t="s">
        <v>91</v>
      </c>
      <c r="E528" s="95" t="s">
        <v>577</v>
      </c>
      <c r="F528" s="95">
        <v>69.0</v>
      </c>
      <c r="G528" s="95" t="s">
        <v>1077</v>
      </c>
      <c r="H528" s="63" t="str">
        <f>VLOOKUP(C528, 'Class Def. - General Data'!$C$20:$C$476,1,false)</f>
        <v>ZPI1_POSM_DISPLAY</v>
      </c>
      <c r="I528" s="63" t="str">
        <f t="shared" si="1"/>
        <v>ZPI1_POSM_DISPLAY69</v>
      </c>
      <c r="J528" s="63">
        <f t="shared" si="2"/>
        <v>1</v>
      </c>
    </row>
    <row r="529" ht="15.75" customHeight="1">
      <c r="A529" s="59" t="s">
        <v>93</v>
      </c>
      <c r="B529" s="95"/>
      <c r="C529" s="95" t="s">
        <v>160</v>
      </c>
      <c r="D529" s="95" t="s">
        <v>91</v>
      </c>
      <c r="E529" s="95" t="s">
        <v>577</v>
      </c>
      <c r="F529" s="95">
        <v>70.0</v>
      </c>
      <c r="G529" s="95" t="s">
        <v>1078</v>
      </c>
      <c r="H529" s="63" t="str">
        <f>VLOOKUP(C529, 'Class Def. - General Data'!$C$20:$C$476,1,false)</f>
        <v>ZPI1_POSM_DISPLAY</v>
      </c>
      <c r="I529" s="63" t="str">
        <f t="shared" si="1"/>
        <v>ZPI1_POSM_DISPLAY70</v>
      </c>
      <c r="J529" s="63">
        <f t="shared" si="2"/>
        <v>1</v>
      </c>
    </row>
    <row r="530" ht="15.75" customHeight="1">
      <c r="A530" s="59" t="s">
        <v>93</v>
      </c>
      <c r="B530" s="95"/>
      <c r="C530" s="95" t="s">
        <v>160</v>
      </c>
      <c r="D530" s="95" t="s">
        <v>91</v>
      </c>
      <c r="E530" s="95" t="s">
        <v>577</v>
      </c>
      <c r="F530" s="95">
        <v>71.0</v>
      </c>
      <c r="G530" s="95" t="s">
        <v>1079</v>
      </c>
      <c r="H530" s="63" t="str">
        <f>VLOOKUP(C530, 'Class Def. - General Data'!$C$20:$C$476,1,false)</f>
        <v>ZPI1_POSM_DISPLAY</v>
      </c>
      <c r="I530" s="63" t="str">
        <f t="shared" si="1"/>
        <v>ZPI1_POSM_DISPLAY71</v>
      </c>
      <c r="J530" s="63">
        <f t="shared" si="2"/>
        <v>1</v>
      </c>
    </row>
    <row r="531" ht="15.75" customHeight="1">
      <c r="A531" s="59" t="s">
        <v>93</v>
      </c>
      <c r="B531" s="95"/>
      <c r="C531" s="95" t="s">
        <v>160</v>
      </c>
      <c r="D531" s="95" t="s">
        <v>91</v>
      </c>
      <c r="E531" s="95" t="s">
        <v>577</v>
      </c>
      <c r="F531" s="95">
        <v>72.0</v>
      </c>
      <c r="G531" s="95" t="s">
        <v>1080</v>
      </c>
      <c r="H531" s="63" t="str">
        <f>VLOOKUP(C531, 'Class Def. - General Data'!$C$20:$C$476,1,false)</f>
        <v>ZPI1_POSM_DISPLAY</v>
      </c>
      <c r="I531" s="63" t="str">
        <f t="shared" si="1"/>
        <v>ZPI1_POSM_DISPLAY72</v>
      </c>
      <c r="J531" s="63">
        <f t="shared" si="2"/>
        <v>1</v>
      </c>
    </row>
    <row r="532" ht="15.75" customHeight="1">
      <c r="A532" s="59" t="s">
        <v>93</v>
      </c>
      <c r="B532" s="95"/>
      <c r="C532" s="95" t="s">
        <v>160</v>
      </c>
      <c r="D532" s="95" t="s">
        <v>91</v>
      </c>
      <c r="E532" s="95" t="s">
        <v>577</v>
      </c>
      <c r="F532" s="95">
        <v>73.0</v>
      </c>
      <c r="G532" s="95" t="s">
        <v>1081</v>
      </c>
      <c r="H532" s="63" t="str">
        <f>VLOOKUP(C532, 'Class Def. - General Data'!$C$20:$C$476,1,false)</f>
        <v>ZPI1_POSM_DISPLAY</v>
      </c>
      <c r="I532" s="63" t="str">
        <f t="shared" si="1"/>
        <v>ZPI1_POSM_DISPLAY73</v>
      </c>
      <c r="J532" s="63">
        <f t="shared" si="2"/>
        <v>1</v>
      </c>
    </row>
    <row r="533" ht="15.75" customHeight="1">
      <c r="A533" s="59" t="s">
        <v>93</v>
      </c>
      <c r="B533" s="95"/>
      <c r="C533" s="95" t="s">
        <v>160</v>
      </c>
      <c r="D533" s="95" t="s">
        <v>91</v>
      </c>
      <c r="E533" s="95" t="s">
        <v>577</v>
      </c>
      <c r="F533" s="95">
        <v>74.0</v>
      </c>
      <c r="G533" s="95" t="s">
        <v>1082</v>
      </c>
      <c r="H533" s="63" t="str">
        <f>VLOOKUP(C533, 'Class Def. - General Data'!$C$20:$C$476,1,false)</f>
        <v>ZPI1_POSM_DISPLAY</v>
      </c>
      <c r="I533" s="63" t="str">
        <f t="shared" si="1"/>
        <v>ZPI1_POSM_DISPLAY74</v>
      </c>
      <c r="J533" s="63">
        <f t="shared" si="2"/>
        <v>1</v>
      </c>
    </row>
    <row r="534" ht="15.75" customHeight="1">
      <c r="A534" s="59" t="s">
        <v>93</v>
      </c>
      <c r="B534" s="95"/>
      <c r="C534" s="95" t="s">
        <v>160</v>
      </c>
      <c r="D534" s="95" t="s">
        <v>91</v>
      </c>
      <c r="E534" s="95" t="s">
        <v>577</v>
      </c>
      <c r="F534" s="95">
        <v>75.0</v>
      </c>
      <c r="G534" s="95" t="s">
        <v>1083</v>
      </c>
      <c r="H534" s="63" t="str">
        <f>VLOOKUP(C534, 'Class Def. - General Data'!$C$20:$C$476,1,false)</f>
        <v>ZPI1_POSM_DISPLAY</v>
      </c>
      <c r="I534" s="63" t="str">
        <f t="shared" si="1"/>
        <v>ZPI1_POSM_DISPLAY75</v>
      </c>
      <c r="J534" s="63">
        <f t="shared" si="2"/>
        <v>1</v>
      </c>
    </row>
    <row r="535" ht="15.75" customHeight="1">
      <c r="A535" s="59" t="s">
        <v>93</v>
      </c>
      <c r="B535" s="95"/>
      <c r="C535" s="95" t="s">
        <v>160</v>
      </c>
      <c r="D535" s="95" t="s">
        <v>91</v>
      </c>
      <c r="E535" s="95" t="s">
        <v>577</v>
      </c>
      <c r="F535" s="95">
        <v>76.0</v>
      </c>
      <c r="G535" s="95" t="s">
        <v>1084</v>
      </c>
      <c r="H535" s="63" t="str">
        <f>VLOOKUP(C535, 'Class Def. - General Data'!$C$20:$C$476,1,false)</f>
        <v>ZPI1_POSM_DISPLAY</v>
      </c>
      <c r="I535" s="63" t="str">
        <f t="shared" si="1"/>
        <v>ZPI1_POSM_DISPLAY76</v>
      </c>
      <c r="J535" s="63">
        <f t="shared" si="2"/>
        <v>1</v>
      </c>
    </row>
    <row r="536" ht="15.75" customHeight="1">
      <c r="A536" s="59" t="s">
        <v>93</v>
      </c>
      <c r="B536" s="95"/>
      <c r="C536" s="95" t="s">
        <v>160</v>
      </c>
      <c r="D536" s="95" t="s">
        <v>91</v>
      </c>
      <c r="E536" s="95" t="s">
        <v>577</v>
      </c>
      <c r="F536" s="95">
        <v>77.0</v>
      </c>
      <c r="G536" s="95" t="s">
        <v>1085</v>
      </c>
      <c r="H536" s="63" t="str">
        <f>VLOOKUP(C536, 'Class Def. - General Data'!$C$20:$C$476,1,false)</f>
        <v>ZPI1_POSM_DISPLAY</v>
      </c>
      <c r="I536" s="63" t="str">
        <f t="shared" si="1"/>
        <v>ZPI1_POSM_DISPLAY77</v>
      </c>
      <c r="J536" s="63">
        <f t="shared" si="2"/>
        <v>1</v>
      </c>
    </row>
    <row r="537" ht="15.75" customHeight="1">
      <c r="A537" s="59" t="s">
        <v>93</v>
      </c>
      <c r="B537" s="95"/>
      <c r="C537" s="95" t="s">
        <v>160</v>
      </c>
      <c r="D537" s="95" t="s">
        <v>91</v>
      </c>
      <c r="E537" s="95" t="s">
        <v>577</v>
      </c>
      <c r="F537" s="95">
        <v>78.0</v>
      </c>
      <c r="G537" s="95" t="s">
        <v>1086</v>
      </c>
      <c r="H537" s="63" t="str">
        <f>VLOOKUP(C537, 'Class Def. - General Data'!$C$20:$C$476,1,false)</f>
        <v>ZPI1_POSM_DISPLAY</v>
      </c>
      <c r="I537" s="63" t="str">
        <f t="shared" si="1"/>
        <v>ZPI1_POSM_DISPLAY78</v>
      </c>
      <c r="J537" s="63">
        <f t="shared" si="2"/>
        <v>1</v>
      </c>
    </row>
    <row r="538" ht="15.75" customHeight="1">
      <c r="A538" s="59" t="s">
        <v>93</v>
      </c>
      <c r="B538" s="95"/>
      <c r="C538" s="95" t="s">
        <v>160</v>
      </c>
      <c r="D538" s="95" t="s">
        <v>91</v>
      </c>
      <c r="E538" s="95" t="s">
        <v>577</v>
      </c>
      <c r="F538" s="95">
        <v>79.0</v>
      </c>
      <c r="G538" s="95" t="s">
        <v>1087</v>
      </c>
      <c r="H538" s="63" t="str">
        <f>VLOOKUP(C538, 'Class Def. - General Data'!$C$20:$C$476,1,false)</f>
        <v>ZPI1_POSM_DISPLAY</v>
      </c>
      <c r="I538" s="63" t="str">
        <f t="shared" si="1"/>
        <v>ZPI1_POSM_DISPLAY79</v>
      </c>
      <c r="J538" s="63">
        <f t="shared" si="2"/>
        <v>1</v>
      </c>
    </row>
    <row r="539" ht="15.75" customHeight="1">
      <c r="A539" s="59" t="s">
        <v>93</v>
      </c>
      <c r="B539" s="95"/>
      <c r="C539" s="95" t="s">
        <v>160</v>
      </c>
      <c r="D539" s="95" t="s">
        <v>91</v>
      </c>
      <c r="E539" s="95" t="s">
        <v>577</v>
      </c>
      <c r="F539" s="95">
        <v>80.0</v>
      </c>
      <c r="G539" s="95" t="s">
        <v>1088</v>
      </c>
      <c r="H539" s="63" t="str">
        <f>VLOOKUP(C539, 'Class Def. - General Data'!$C$20:$C$476,1,false)</f>
        <v>ZPI1_POSM_DISPLAY</v>
      </c>
      <c r="I539" s="63" t="str">
        <f t="shared" si="1"/>
        <v>ZPI1_POSM_DISPLAY80</v>
      </c>
      <c r="J539" s="63">
        <f t="shared" si="2"/>
        <v>1</v>
      </c>
    </row>
    <row r="540" ht="15.75" customHeight="1">
      <c r="A540" s="59" t="s">
        <v>93</v>
      </c>
      <c r="B540" s="95"/>
      <c r="C540" s="96" t="s">
        <v>159</v>
      </c>
      <c r="D540" s="95" t="s">
        <v>91</v>
      </c>
      <c r="E540" s="95" t="s">
        <v>577</v>
      </c>
      <c r="F540" s="95">
        <v>1.0</v>
      </c>
      <c r="G540" s="95" t="s">
        <v>1089</v>
      </c>
      <c r="H540" s="63" t="str">
        <f>VLOOKUP(C540, 'Class Def. - General Data'!$C$20:$C$476,1,false)</f>
        <v>ZPI1_POSM_MECHNDSE</v>
      </c>
      <c r="I540" s="63" t="str">
        <f t="shared" si="1"/>
        <v>ZPI1_POSM_MECHNDSE1</v>
      </c>
      <c r="J540" s="63">
        <f t="shared" si="2"/>
        <v>1</v>
      </c>
    </row>
    <row r="541" ht="15.75" customHeight="1">
      <c r="A541" s="59" t="s">
        <v>93</v>
      </c>
      <c r="B541" s="95"/>
      <c r="C541" s="96" t="s">
        <v>159</v>
      </c>
      <c r="D541" s="95" t="s">
        <v>91</v>
      </c>
      <c r="E541" s="95" t="s">
        <v>577</v>
      </c>
      <c r="F541" s="95">
        <v>2.0</v>
      </c>
      <c r="G541" s="95" t="s">
        <v>1090</v>
      </c>
      <c r="H541" s="63" t="str">
        <f>VLOOKUP(C541, 'Class Def. - General Data'!$C$20:$C$476,1,false)</f>
        <v>ZPI1_POSM_MECHNDSE</v>
      </c>
      <c r="I541" s="63" t="str">
        <f t="shared" si="1"/>
        <v>ZPI1_POSM_MECHNDSE2</v>
      </c>
      <c r="J541" s="63">
        <f t="shared" si="2"/>
        <v>1</v>
      </c>
    </row>
    <row r="542" ht="15.75" customHeight="1">
      <c r="A542" s="59" t="s">
        <v>93</v>
      </c>
      <c r="B542" s="95"/>
      <c r="C542" s="96" t="s">
        <v>159</v>
      </c>
      <c r="D542" s="95" t="s">
        <v>91</v>
      </c>
      <c r="E542" s="95" t="s">
        <v>577</v>
      </c>
      <c r="F542" s="95">
        <v>3.0</v>
      </c>
      <c r="G542" s="95" t="s">
        <v>1091</v>
      </c>
      <c r="H542" s="63" t="str">
        <f>VLOOKUP(C542, 'Class Def. - General Data'!$C$20:$C$476,1,false)</f>
        <v>ZPI1_POSM_MECHNDSE</v>
      </c>
      <c r="I542" s="63" t="str">
        <f t="shared" si="1"/>
        <v>ZPI1_POSM_MECHNDSE3</v>
      </c>
      <c r="J542" s="63">
        <f t="shared" si="2"/>
        <v>1</v>
      </c>
    </row>
    <row r="543" ht="15.75" customHeight="1">
      <c r="A543" s="59" t="s">
        <v>93</v>
      </c>
      <c r="B543" s="95"/>
      <c r="C543" s="96" t="s">
        <v>159</v>
      </c>
      <c r="D543" s="95" t="s">
        <v>91</v>
      </c>
      <c r="E543" s="95" t="s">
        <v>577</v>
      </c>
      <c r="F543" s="95">
        <v>4.0</v>
      </c>
      <c r="G543" s="95" t="s">
        <v>1092</v>
      </c>
      <c r="H543" s="63" t="str">
        <f>VLOOKUP(C543, 'Class Def. - General Data'!$C$20:$C$476,1,false)</f>
        <v>ZPI1_POSM_MECHNDSE</v>
      </c>
      <c r="I543" s="63" t="str">
        <f t="shared" si="1"/>
        <v>ZPI1_POSM_MECHNDSE4</v>
      </c>
      <c r="J543" s="63">
        <f t="shared" si="2"/>
        <v>1</v>
      </c>
    </row>
    <row r="544" ht="15.75" customHeight="1">
      <c r="A544" s="59" t="s">
        <v>93</v>
      </c>
      <c r="B544" s="95"/>
      <c r="C544" s="96" t="s">
        <v>159</v>
      </c>
      <c r="D544" s="95" t="s">
        <v>91</v>
      </c>
      <c r="E544" s="95" t="s">
        <v>577</v>
      </c>
      <c r="F544" s="95">
        <v>5.0</v>
      </c>
      <c r="G544" s="95" t="s">
        <v>1093</v>
      </c>
      <c r="H544" s="63" t="str">
        <f>VLOOKUP(C544, 'Class Def. - General Data'!$C$20:$C$476,1,false)</f>
        <v>ZPI1_POSM_MECHNDSE</v>
      </c>
      <c r="I544" s="63" t="str">
        <f t="shared" si="1"/>
        <v>ZPI1_POSM_MECHNDSE5</v>
      </c>
      <c r="J544" s="63">
        <f t="shared" si="2"/>
        <v>1</v>
      </c>
    </row>
    <row r="545" ht="15.75" customHeight="1">
      <c r="A545" s="59" t="s">
        <v>93</v>
      </c>
      <c r="B545" s="95"/>
      <c r="C545" s="96" t="s">
        <v>159</v>
      </c>
      <c r="D545" s="95" t="s">
        <v>91</v>
      </c>
      <c r="E545" s="95" t="s">
        <v>577</v>
      </c>
      <c r="F545" s="95">
        <v>6.0</v>
      </c>
      <c r="G545" s="95" t="s">
        <v>1094</v>
      </c>
      <c r="H545" s="63" t="str">
        <f>VLOOKUP(C545, 'Class Def. - General Data'!$C$20:$C$476,1,false)</f>
        <v>ZPI1_POSM_MECHNDSE</v>
      </c>
      <c r="I545" s="63" t="str">
        <f t="shared" si="1"/>
        <v>ZPI1_POSM_MECHNDSE6</v>
      </c>
      <c r="J545" s="63">
        <f t="shared" si="2"/>
        <v>1</v>
      </c>
    </row>
    <row r="546" ht="15.75" customHeight="1">
      <c r="A546" s="59" t="s">
        <v>93</v>
      </c>
      <c r="B546" s="95"/>
      <c r="C546" s="96" t="s">
        <v>159</v>
      </c>
      <c r="D546" s="95" t="s">
        <v>91</v>
      </c>
      <c r="E546" s="95" t="s">
        <v>577</v>
      </c>
      <c r="F546" s="95">
        <v>7.0</v>
      </c>
      <c r="G546" s="95" t="s">
        <v>1095</v>
      </c>
      <c r="H546" s="63" t="str">
        <f>VLOOKUP(C546, 'Class Def. - General Data'!$C$20:$C$476,1,false)</f>
        <v>ZPI1_POSM_MECHNDSE</v>
      </c>
      <c r="I546" s="63" t="str">
        <f t="shared" si="1"/>
        <v>ZPI1_POSM_MECHNDSE7</v>
      </c>
      <c r="J546" s="63">
        <f t="shared" si="2"/>
        <v>1</v>
      </c>
    </row>
    <row r="547" ht="15.75" customHeight="1">
      <c r="A547" s="59" t="s">
        <v>93</v>
      </c>
      <c r="B547" s="95"/>
      <c r="C547" s="96" t="s">
        <v>159</v>
      </c>
      <c r="D547" s="95" t="s">
        <v>91</v>
      </c>
      <c r="E547" s="95" t="s">
        <v>577</v>
      </c>
      <c r="F547" s="95">
        <v>8.0</v>
      </c>
      <c r="G547" s="95" t="s">
        <v>1096</v>
      </c>
      <c r="H547" s="63" t="str">
        <f>VLOOKUP(C547, 'Class Def. - General Data'!$C$20:$C$476,1,false)</f>
        <v>ZPI1_POSM_MECHNDSE</v>
      </c>
      <c r="I547" s="63" t="str">
        <f t="shared" si="1"/>
        <v>ZPI1_POSM_MECHNDSE8</v>
      </c>
      <c r="J547" s="63">
        <f t="shared" si="2"/>
        <v>1</v>
      </c>
    </row>
    <row r="548" ht="15.75" customHeight="1">
      <c r="A548" s="59" t="s">
        <v>93</v>
      </c>
      <c r="B548" s="95"/>
      <c r="C548" s="96" t="s">
        <v>159</v>
      </c>
      <c r="D548" s="95" t="s">
        <v>91</v>
      </c>
      <c r="E548" s="95" t="s">
        <v>577</v>
      </c>
      <c r="F548" s="95">
        <v>9.0</v>
      </c>
      <c r="G548" s="95" t="s">
        <v>1097</v>
      </c>
      <c r="H548" s="63" t="str">
        <f>VLOOKUP(C548, 'Class Def. - General Data'!$C$20:$C$476,1,false)</f>
        <v>ZPI1_POSM_MECHNDSE</v>
      </c>
      <c r="I548" s="63" t="str">
        <f t="shared" si="1"/>
        <v>ZPI1_POSM_MECHNDSE9</v>
      </c>
      <c r="J548" s="63">
        <f t="shared" si="2"/>
        <v>1</v>
      </c>
    </row>
    <row r="549" ht="15.75" customHeight="1">
      <c r="A549" s="59" t="s">
        <v>93</v>
      </c>
      <c r="B549" s="95"/>
      <c r="C549" s="96" t="s">
        <v>159</v>
      </c>
      <c r="D549" s="95" t="s">
        <v>91</v>
      </c>
      <c r="E549" s="95" t="s">
        <v>577</v>
      </c>
      <c r="F549" s="95">
        <v>10.0</v>
      </c>
      <c r="G549" s="95" t="s">
        <v>1098</v>
      </c>
      <c r="H549" s="63" t="str">
        <f>VLOOKUP(C549, 'Class Def. - General Data'!$C$20:$C$476,1,false)</f>
        <v>ZPI1_POSM_MECHNDSE</v>
      </c>
      <c r="I549" s="63" t="str">
        <f t="shared" si="1"/>
        <v>ZPI1_POSM_MECHNDSE10</v>
      </c>
      <c r="J549" s="63">
        <f t="shared" si="2"/>
        <v>1</v>
      </c>
    </row>
    <row r="550" ht="15.75" customHeight="1">
      <c r="A550" s="59" t="s">
        <v>93</v>
      </c>
      <c r="B550" s="95"/>
      <c r="C550" s="96" t="s">
        <v>159</v>
      </c>
      <c r="D550" s="95" t="s">
        <v>91</v>
      </c>
      <c r="E550" s="95" t="s">
        <v>577</v>
      </c>
      <c r="F550" s="95">
        <v>11.0</v>
      </c>
      <c r="G550" s="95" t="s">
        <v>1099</v>
      </c>
      <c r="H550" s="63" t="str">
        <f>VLOOKUP(C550, 'Class Def. - General Data'!$C$20:$C$476,1,false)</f>
        <v>ZPI1_POSM_MECHNDSE</v>
      </c>
      <c r="I550" s="63" t="str">
        <f t="shared" si="1"/>
        <v>ZPI1_POSM_MECHNDSE11</v>
      </c>
      <c r="J550" s="63">
        <f t="shared" si="2"/>
        <v>1</v>
      </c>
    </row>
    <row r="551" ht="15.75" customHeight="1">
      <c r="A551" s="59" t="s">
        <v>93</v>
      </c>
      <c r="B551" s="95"/>
      <c r="C551" s="96" t="s">
        <v>159</v>
      </c>
      <c r="D551" s="95" t="s">
        <v>91</v>
      </c>
      <c r="E551" s="95" t="s">
        <v>577</v>
      </c>
      <c r="F551" s="95">
        <v>12.0</v>
      </c>
      <c r="G551" s="95" t="s">
        <v>1100</v>
      </c>
      <c r="H551" s="63" t="str">
        <f>VLOOKUP(C551, 'Class Def. - General Data'!$C$20:$C$476,1,false)</f>
        <v>ZPI1_POSM_MECHNDSE</v>
      </c>
      <c r="I551" s="63" t="str">
        <f t="shared" si="1"/>
        <v>ZPI1_POSM_MECHNDSE12</v>
      </c>
      <c r="J551" s="63">
        <f t="shared" si="2"/>
        <v>1</v>
      </c>
    </row>
    <row r="552" ht="15.75" customHeight="1">
      <c r="A552" s="59" t="s">
        <v>93</v>
      </c>
      <c r="B552" s="95"/>
      <c r="C552" s="96" t="s">
        <v>159</v>
      </c>
      <c r="D552" s="95" t="s">
        <v>91</v>
      </c>
      <c r="E552" s="95" t="s">
        <v>577</v>
      </c>
      <c r="F552" s="95">
        <v>13.0</v>
      </c>
      <c r="G552" s="95" t="s">
        <v>1101</v>
      </c>
      <c r="H552" s="63" t="str">
        <f>VLOOKUP(C552, 'Class Def. - General Data'!$C$20:$C$476,1,false)</f>
        <v>ZPI1_POSM_MECHNDSE</v>
      </c>
      <c r="I552" s="63" t="str">
        <f t="shared" si="1"/>
        <v>ZPI1_POSM_MECHNDSE13</v>
      </c>
      <c r="J552" s="63">
        <f t="shared" si="2"/>
        <v>1</v>
      </c>
    </row>
    <row r="553" ht="15.75" customHeight="1">
      <c r="A553" s="59" t="s">
        <v>93</v>
      </c>
      <c r="B553" s="95"/>
      <c r="C553" s="96" t="s">
        <v>159</v>
      </c>
      <c r="D553" s="95" t="s">
        <v>91</v>
      </c>
      <c r="E553" s="95" t="s">
        <v>577</v>
      </c>
      <c r="F553" s="95">
        <v>14.0</v>
      </c>
      <c r="G553" s="95" t="s">
        <v>1102</v>
      </c>
      <c r="H553" s="63" t="str">
        <f>VLOOKUP(C553, 'Class Def. - General Data'!$C$20:$C$476,1,false)</f>
        <v>ZPI1_POSM_MECHNDSE</v>
      </c>
      <c r="I553" s="63" t="str">
        <f t="shared" si="1"/>
        <v>ZPI1_POSM_MECHNDSE14</v>
      </c>
      <c r="J553" s="63">
        <f t="shared" si="2"/>
        <v>1</v>
      </c>
    </row>
    <row r="554" ht="15.75" customHeight="1">
      <c r="A554" s="59" t="s">
        <v>93</v>
      </c>
      <c r="B554" s="95"/>
      <c r="C554" s="96" t="s">
        <v>159</v>
      </c>
      <c r="D554" s="95" t="s">
        <v>91</v>
      </c>
      <c r="E554" s="95" t="s">
        <v>577</v>
      </c>
      <c r="F554" s="95">
        <v>15.0</v>
      </c>
      <c r="G554" s="95" t="s">
        <v>1103</v>
      </c>
      <c r="H554" s="63" t="str">
        <f>VLOOKUP(C554, 'Class Def. - General Data'!$C$20:$C$476,1,false)</f>
        <v>ZPI1_POSM_MECHNDSE</v>
      </c>
      <c r="I554" s="63" t="str">
        <f t="shared" si="1"/>
        <v>ZPI1_POSM_MECHNDSE15</v>
      </c>
      <c r="J554" s="63">
        <f t="shared" si="2"/>
        <v>1</v>
      </c>
    </row>
    <row r="555" ht="15.75" customHeight="1">
      <c r="A555" s="59" t="s">
        <v>93</v>
      </c>
      <c r="B555" s="95"/>
      <c r="C555" s="96" t="s">
        <v>159</v>
      </c>
      <c r="D555" s="95" t="s">
        <v>91</v>
      </c>
      <c r="E555" s="95" t="s">
        <v>577</v>
      </c>
      <c r="F555" s="95">
        <v>16.0</v>
      </c>
      <c r="G555" s="95" t="s">
        <v>1104</v>
      </c>
      <c r="H555" s="63" t="str">
        <f>VLOOKUP(C555, 'Class Def. - General Data'!$C$20:$C$476,1,false)</f>
        <v>ZPI1_POSM_MECHNDSE</v>
      </c>
      <c r="I555" s="63" t="str">
        <f t="shared" si="1"/>
        <v>ZPI1_POSM_MECHNDSE16</v>
      </c>
      <c r="J555" s="63">
        <f t="shared" si="2"/>
        <v>1</v>
      </c>
    </row>
    <row r="556" ht="15.75" customHeight="1">
      <c r="A556" s="59" t="s">
        <v>93</v>
      </c>
      <c r="B556" s="95"/>
      <c r="C556" s="96" t="s">
        <v>159</v>
      </c>
      <c r="D556" s="95" t="s">
        <v>91</v>
      </c>
      <c r="E556" s="95" t="s">
        <v>577</v>
      </c>
      <c r="F556" s="95">
        <v>17.0</v>
      </c>
      <c r="G556" s="95" t="s">
        <v>1105</v>
      </c>
      <c r="H556" s="63" t="str">
        <f>VLOOKUP(C556, 'Class Def. - General Data'!$C$20:$C$476,1,false)</f>
        <v>ZPI1_POSM_MECHNDSE</v>
      </c>
      <c r="I556" s="63" t="str">
        <f t="shared" si="1"/>
        <v>ZPI1_POSM_MECHNDSE17</v>
      </c>
      <c r="J556" s="63">
        <f t="shared" si="2"/>
        <v>1</v>
      </c>
    </row>
    <row r="557" ht="15.75" customHeight="1">
      <c r="A557" s="59" t="s">
        <v>93</v>
      </c>
      <c r="B557" s="95"/>
      <c r="C557" s="96" t="s">
        <v>159</v>
      </c>
      <c r="D557" s="95" t="s">
        <v>91</v>
      </c>
      <c r="E557" s="95" t="s">
        <v>577</v>
      </c>
      <c r="F557" s="95">
        <v>18.0</v>
      </c>
      <c r="G557" s="95" t="s">
        <v>1106</v>
      </c>
      <c r="H557" s="63" t="str">
        <f>VLOOKUP(C557, 'Class Def. - General Data'!$C$20:$C$476,1,false)</f>
        <v>ZPI1_POSM_MECHNDSE</v>
      </c>
      <c r="I557" s="63" t="str">
        <f t="shared" si="1"/>
        <v>ZPI1_POSM_MECHNDSE18</v>
      </c>
      <c r="J557" s="63">
        <f t="shared" si="2"/>
        <v>1</v>
      </c>
    </row>
    <row r="558" ht="15.75" customHeight="1">
      <c r="A558" s="59" t="s">
        <v>93</v>
      </c>
      <c r="B558" s="95"/>
      <c r="C558" s="96" t="s">
        <v>159</v>
      </c>
      <c r="D558" s="95" t="s">
        <v>91</v>
      </c>
      <c r="E558" s="95" t="s">
        <v>577</v>
      </c>
      <c r="F558" s="95">
        <v>19.0</v>
      </c>
      <c r="G558" s="95" t="s">
        <v>1107</v>
      </c>
      <c r="H558" s="63" t="str">
        <f>VLOOKUP(C558, 'Class Def. - General Data'!$C$20:$C$476,1,false)</f>
        <v>ZPI1_POSM_MECHNDSE</v>
      </c>
      <c r="I558" s="63" t="str">
        <f t="shared" si="1"/>
        <v>ZPI1_POSM_MECHNDSE19</v>
      </c>
      <c r="J558" s="63">
        <f t="shared" si="2"/>
        <v>1</v>
      </c>
    </row>
    <row r="559" ht="15.75" customHeight="1">
      <c r="A559" s="59" t="s">
        <v>93</v>
      </c>
      <c r="B559" s="95"/>
      <c r="C559" s="96" t="s">
        <v>159</v>
      </c>
      <c r="D559" s="95" t="s">
        <v>91</v>
      </c>
      <c r="E559" s="95" t="s">
        <v>577</v>
      </c>
      <c r="F559" s="95">
        <v>20.0</v>
      </c>
      <c r="G559" s="95" t="s">
        <v>1108</v>
      </c>
      <c r="H559" s="63" t="str">
        <f>VLOOKUP(C559, 'Class Def. - General Data'!$C$20:$C$476,1,false)</f>
        <v>ZPI1_POSM_MECHNDSE</v>
      </c>
      <c r="I559" s="63" t="str">
        <f t="shared" si="1"/>
        <v>ZPI1_POSM_MECHNDSE20</v>
      </c>
      <c r="J559" s="63">
        <f t="shared" si="2"/>
        <v>1</v>
      </c>
    </row>
    <row r="560" ht="15.75" customHeight="1">
      <c r="A560" s="59" t="s">
        <v>93</v>
      </c>
      <c r="B560" s="95"/>
      <c r="C560" s="96" t="s">
        <v>159</v>
      </c>
      <c r="D560" s="95" t="s">
        <v>91</v>
      </c>
      <c r="E560" s="95" t="s">
        <v>577</v>
      </c>
      <c r="F560" s="95">
        <v>21.0</v>
      </c>
      <c r="G560" s="95" t="s">
        <v>1109</v>
      </c>
      <c r="H560" s="63" t="str">
        <f>VLOOKUP(C560, 'Class Def. - General Data'!$C$20:$C$476,1,false)</f>
        <v>ZPI1_POSM_MECHNDSE</v>
      </c>
      <c r="I560" s="63" t="str">
        <f t="shared" si="1"/>
        <v>ZPI1_POSM_MECHNDSE21</v>
      </c>
      <c r="J560" s="63">
        <f t="shared" si="2"/>
        <v>1</v>
      </c>
    </row>
    <row r="561" ht="15.75" customHeight="1">
      <c r="A561" s="59" t="s">
        <v>93</v>
      </c>
      <c r="B561" s="95"/>
      <c r="C561" s="96" t="s">
        <v>159</v>
      </c>
      <c r="D561" s="95" t="s">
        <v>91</v>
      </c>
      <c r="E561" s="95" t="s">
        <v>577</v>
      </c>
      <c r="F561" s="95">
        <v>22.0</v>
      </c>
      <c r="G561" s="95" t="s">
        <v>1110</v>
      </c>
      <c r="H561" s="63" t="str">
        <f>VLOOKUP(C561, 'Class Def. - General Data'!$C$20:$C$476,1,false)</f>
        <v>ZPI1_POSM_MECHNDSE</v>
      </c>
      <c r="I561" s="63" t="str">
        <f t="shared" si="1"/>
        <v>ZPI1_POSM_MECHNDSE22</v>
      </c>
      <c r="J561" s="63">
        <f t="shared" si="2"/>
        <v>1</v>
      </c>
    </row>
    <row r="562" ht="15.75" customHeight="1">
      <c r="A562" s="59" t="s">
        <v>93</v>
      </c>
      <c r="B562" s="95"/>
      <c r="C562" s="95" t="s">
        <v>153</v>
      </c>
      <c r="D562" s="95" t="s">
        <v>91</v>
      </c>
      <c r="E562" s="95" t="s">
        <v>577</v>
      </c>
      <c r="F562" s="95">
        <v>1.0</v>
      </c>
      <c r="G562" s="95" t="s">
        <v>1111</v>
      </c>
      <c r="H562" s="63" t="str">
        <f>VLOOKUP(C562, 'Class Def. - General Data'!$C$20:$C$476,1,false)</f>
        <v>ZPI1_TAS_DOMPET</v>
      </c>
      <c r="I562" s="63" t="str">
        <f t="shared" si="1"/>
        <v>ZPI1_TAS_DOMPET1</v>
      </c>
      <c r="J562" s="63">
        <f t="shared" si="2"/>
        <v>1</v>
      </c>
    </row>
    <row r="563" ht="15.75" customHeight="1">
      <c r="A563" s="59" t="s">
        <v>93</v>
      </c>
      <c r="B563" s="95"/>
      <c r="C563" s="95" t="s">
        <v>153</v>
      </c>
      <c r="D563" s="95" t="s">
        <v>91</v>
      </c>
      <c r="E563" s="95" t="s">
        <v>577</v>
      </c>
      <c r="F563" s="95">
        <v>2.0</v>
      </c>
      <c r="G563" s="95" t="s">
        <v>1112</v>
      </c>
      <c r="H563" s="63" t="str">
        <f>VLOOKUP(C563, 'Class Def. - General Data'!$C$20:$C$476,1,false)</f>
        <v>ZPI1_TAS_DOMPET</v>
      </c>
      <c r="I563" s="63" t="str">
        <f t="shared" si="1"/>
        <v>ZPI1_TAS_DOMPET2</v>
      </c>
      <c r="J563" s="63">
        <f t="shared" si="2"/>
        <v>1</v>
      </c>
    </row>
    <row r="564" ht="15.75" customHeight="1">
      <c r="A564" s="59" t="s">
        <v>93</v>
      </c>
      <c r="B564" s="95"/>
      <c r="C564" s="95" t="s">
        <v>153</v>
      </c>
      <c r="D564" s="95" t="s">
        <v>91</v>
      </c>
      <c r="E564" s="95" t="s">
        <v>577</v>
      </c>
      <c r="F564" s="95">
        <v>3.0</v>
      </c>
      <c r="G564" s="95" t="s">
        <v>1113</v>
      </c>
      <c r="H564" s="63" t="str">
        <f>VLOOKUP(C564, 'Class Def. - General Data'!$C$20:$C$476,1,false)</f>
        <v>ZPI1_TAS_DOMPET</v>
      </c>
      <c r="I564" s="63" t="str">
        <f t="shared" si="1"/>
        <v>ZPI1_TAS_DOMPET3</v>
      </c>
      <c r="J564" s="63">
        <f t="shared" si="2"/>
        <v>1</v>
      </c>
    </row>
    <row r="565" ht="15.75" customHeight="1">
      <c r="A565" s="59" t="s">
        <v>93</v>
      </c>
      <c r="B565" s="95"/>
      <c r="C565" s="95" t="s">
        <v>153</v>
      </c>
      <c r="D565" s="95" t="s">
        <v>91</v>
      </c>
      <c r="E565" s="95" t="s">
        <v>577</v>
      </c>
      <c r="F565" s="95">
        <v>4.0</v>
      </c>
      <c r="G565" s="95" t="s">
        <v>1114</v>
      </c>
      <c r="H565" s="63" t="str">
        <f>VLOOKUP(C565, 'Class Def. - General Data'!$C$20:$C$476,1,false)</f>
        <v>ZPI1_TAS_DOMPET</v>
      </c>
      <c r="I565" s="63" t="str">
        <f t="shared" si="1"/>
        <v>ZPI1_TAS_DOMPET4</v>
      </c>
      <c r="J565" s="63">
        <f t="shared" si="2"/>
        <v>1</v>
      </c>
    </row>
    <row r="566" ht="15.75" customHeight="1">
      <c r="A566" s="59" t="s">
        <v>93</v>
      </c>
      <c r="B566" s="95"/>
      <c r="C566" s="95" t="s">
        <v>153</v>
      </c>
      <c r="D566" s="95" t="s">
        <v>91</v>
      </c>
      <c r="E566" s="95" t="s">
        <v>577</v>
      </c>
      <c r="F566" s="95">
        <v>5.0</v>
      </c>
      <c r="G566" s="95" t="s">
        <v>1115</v>
      </c>
      <c r="H566" s="63" t="str">
        <f>VLOOKUP(C566, 'Class Def. - General Data'!$C$20:$C$476,1,false)</f>
        <v>ZPI1_TAS_DOMPET</v>
      </c>
      <c r="I566" s="63" t="str">
        <f t="shared" si="1"/>
        <v>ZPI1_TAS_DOMPET5</v>
      </c>
      <c r="J566" s="63">
        <f t="shared" si="2"/>
        <v>1</v>
      </c>
    </row>
    <row r="567" ht="15.75" customHeight="1">
      <c r="A567" s="59" t="s">
        <v>93</v>
      </c>
      <c r="B567" s="95"/>
      <c r="C567" s="95" t="s">
        <v>153</v>
      </c>
      <c r="D567" s="95" t="s">
        <v>91</v>
      </c>
      <c r="E567" s="95" t="s">
        <v>577</v>
      </c>
      <c r="F567" s="95">
        <v>6.0</v>
      </c>
      <c r="G567" s="95" t="s">
        <v>1116</v>
      </c>
      <c r="H567" s="63" t="str">
        <f>VLOOKUP(C567, 'Class Def. - General Data'!$C$20:$C$476,1,false)</f>
        <v>ZPI1_TAS_DOMPET</v>
      </c>
      <c r="I567" s="63" t="str">
        <f t="shared" si="1"/>
        <v>ZPI1_TAS_DOMPET6</v>
      </c>
      <c r="J567" s="63">
        <f t="shared" si="2"/>
        <v>1</v>
      </c>
    </row>
    <row r="568" ht="15.75" customHeight="1">
      <c r="A568" s="59" t="s">
        <v>93</v>
      </c>
      <c r="B568" s="95"/>
      <c r="C568" s="95" t="s">
        <v>153</v>
      </c>
      <c r="D568" s="95" t="s">
        <v>91</v>
      </c>
      <c r="E568" s="95" t="s">
        <v>577</v>
      </c>
      <c r="F568" s="95">
        <v>7.0</v>
      </c>
      <c r="G568" s="95" t="s">
        <v>1117</v>
      </c>
      <c r="H568" s="63" t="str">
        <f>VLOOKUP(C568, 'Class Def. - General Data'!$C$20:$C$476,1,false)</f>
        <v>ZPI1_TAS_DOMPET</v>
      </c>
      <c r="I568" s="63" t="str">
        <f t="shared" si="1"/>
        <v>ZPI1_TAS_DOMPET7</v>
      </c>
      <c r="J568" s="63">
        <f t="shared" si="2"/>
        <v>1</v>
      </c>
    </row>
    <row r="569" ht="15.75" customHeight="1">
      <c r="A569" s="59" t="s">
        <v>93</v>
      </c>
      <c r="B569" s="95"/>
      <c r="C569" s="95" t="s">
        <v>153</v>
      </c>
      <c r="D569" s="95" t="s">
        <v>91</v>
      </c>
      <c r="E569" s="95" t="s">
        <v>577</v>
      </c>
      <c r="F569" s="95">
        <v>8.0</v>
      </c>
      <c r="G569" s="95" t="s">
        <v>1118</v>
      </c>
      <c r="H569" s="63" t="str">
        <f>VLOOKUP(C569, 'Class Def. - General Data'!$C$20:$C$476,1,false)</f>
        <v>ZPI1_TAS_DOMPET</v>
      </c>
      <c r="I569" s="63" t="str">
        <f t="shared" si="1"/>
        <v>ZPI1_TAS_DOMPET8</v>
      </c>
      <c r="J569" s="63">
        <f t="shared" si="2"/>
        <v>1</v>
      </c>
    </row>
    <row r="570" ht="15.75" customHeight="1">
      <c r="A570" s="59" t="s">
        <v>93</v>
      </c>
      <c r="B570" s="95"/>
      <c r="C570" s="95" t="s">
        <v>153</v>
      </c>
      <c r="D570" s="95" t="s">
        <v>91</v>
      </c>
      <c r="E570" s="95" t="s">
        <v>577</v>
      </c>
      <c r="F570" s="95">
        <v>9.0</v>
      </c>
      <c r="G570" s="95" t="s">
        <v>1119</v>
      </c>
      <c r="H570" s="63" t="str">
        <f>VLOOKUP(C570, 'Class Def. - General Data'!$C$20:$C$476,1,false)</f>
        <v>ZPI1_TAS_DOMPET</v>
      </c>
      <c r="I570" s="63" t="str">
        <f t="shared" si="1"/>
        <v>ZPI1_TAS_DOMPET9</v>
      </c>
      <c r="J570" s="63">
        <f t="shared" si="2"/>
        <v>1</v>
      </c>
    </row>
    <row r="571" ht="15.75" customHeight="1">
      <c r="A571" s="59" t="s">
        <v>93</v>
      </c>
      <c r="B571" s="95"/>
      <c r="C571" s="95" t="s">
        <v>153</v>
      </c>
      <c r="D571" s="95" t="s">
        <v>91</v>
      </c>
      <c r="E571" s="95" t="s">
        <v>577</v>
      </c>
      <c r="F571" s="95">
        <v>10.0</v>
      </c>
      <c r="G571" s="95" t="s">
        <v>1120</v>
      </c>
      <c r="H571" s="63" t="str">
        <f>VLOOKUP(C571, 'Class Def. - General Data'!$C$20:$C$476,1,false)</f>
        <v>ZPI1_TAS_DOMPET</v>
      </c>
      <c r="I571" s="63" t="str">
        <f t="shared" si="1"/>
        <v>ZPI1_TAS_DOMPET10</v>
      </c>
      <c r="J571" s="63">
        <f t="shared" si="2"/>
        <v>1</v>
      </c>
    </row>
    <row r="572" ht="15.75" customHeight="1">
      <c r="A572" s="59" t="s">
        <v>93</v>
      </c>
      <c r="B572" s="95"/>
      <c r="C572" s="95" t="s">
        <v>153</v>
      </c>
      <c r="D572" s="95" t="s">
        <v>91</v>
      </c>
      <c r="E572" s="95" t="s">
        <v>577</v>
      </c>
      <c r="F572" s="95">
        <v>11.0</v>
      </c>
      <c r="G572" s="95" t="s">
        <v>1121</v>
      </c>
      <c r="H572" s="63" t="str">
        <f>VLOOKUP(C572, 'Class Def. - General Data'!$C$20:$C$476,1,false)</f>
        <v>ZPI1_TAS_DOMPET</v>
      </c>
      <c r="I572" s="63" t="str">
        <f t="shared" si="1"/>
        <v>ZPI1_TAS_DOMPET11</v>
      </c>
      <c r="J572" s="63">
        <f t="shared" si="2"/>
        <v>1</v>
      </c>
    </row>
    <row r="573" ht="15.75" customHeight="1">
      <c r="A573" s="59" t="s">
        <v>93</v>
      </c>
      <c r="B573" s="95"/>
      <c r="C573" s="95" t="s">
        <v>153</v>
      </c>
      <c r="D573" s="95" t="s">
        <v>91</v>
      </c>
      <c r="E573" s="95" t="s">
        <v>577</v>
      </c>
      <c r="F573" s="95">
        <v>12.0</v>
      </c>
      <c r="G573" s="95" t="s">
        <v>1122</v>
      </c>
      <c r="H573" s="63" t="str">
        <f>VLOOKUP(C573, 'Class Def. - General Data'!$C$20:$C$476,1,false)</f>
        <v>ZPI1_TAS_DOMPET</v>
      </c>
      <c r="I573" s="63" t="str">
        <f t="shared" si="1"/>
        <v>ZPI1_TAS_DOMPET12</v>
      </c>
      <c r="J573" s="63">
        <f t="shared" si="2"/>
        <v>1</v>
      </c>
    </row>
    <row r="574" ht="15.75" customHeight="1">
      <c r="A574" s="59" t="s">
        <v>93</v>
      </c>
      <c r="B574" s="95"/>
      <c r="C574" s="95" t="s">
        <v>153</v>
      </c>
      <c r="D574" s="95" t="s">
        <v>91</v>
      </c>
      <c r="E574" s="95" t="s">
        <v>577</v>
      </c>
      <c r="F574" s="95">
        <v>13.0</v>
      </c>
      <c r="G574" s="95" t="s">
        <v>1123</v>
      </c>
      <c r="H574" s="63" t="str">
        <f>VLOOKUP(C574, 'Class Def. - General Data'!$C$20:$C$476,1,false)</f>
        <v>ZPI1_TAS_DOMPET</v>
      </c>
      <c r="I574" s="63" t="str">
        <f t="shared" si="1"/>
        <v>ZPI1_TAS_DOMPET13</v>
      </c>
      <c r="J574" s="63">
        <f t="shared" si="2"/>
        <v>1</v>
      </c>
    </row>
    <row r="575" ht="15.75" customHeight="1">
      <c r="A575" s="59" t="s">
        <v>93</v>
      </c>
      <c r="B575" s="95"/>
      <c r="C575" s="95" t="s">
        <v>153</v>
      </c>
      <c r="D575" s="95" t="s">
        <v>91</v>
      </c>
      <c r="E575" s="95" t="s">
        <v>577</v>
      </c>
      <c r="F575" s="95">
        <v>14.0</v>
      </c>
      <c r="G575" s="95" t="s">
        <v>1124</v>
      </c>
      <c r="H575" s="63" t="str">
        <f>VLOOKUP(C575, 'Class Def. - General Data'!$C$20:$C$476,1,false)</f>
        <v>ZPI1_TAS_DOMPET</v>
      </c>
      <c r="I575" s="63" t="str">
        <f t="shared" si="1"/>
        <v>ZPI1_TAS_DOMPET14</v>
      </c>
      <c r="J575" s="63">
        <f t="shared" si="2"/>
        <v>1</v>
      </c>
    </row>
    <row r="576" ht="15.75" customHeight="1">
      <c r="A576" s="59" t="s">
        <v>93</v>
      </c>
      <c r="B576" s="95"/>
      <c r="C576" s="95" t="s">
        <v>153</v>
      </c>
      <c r="D576" s="95" t="s">
        <v>91</v>
      </c>
      <c r="E576" s="95" t="s">
        <v>577</v>
      </c>
      <c r="F576" s="95">
        <v>15.0</v>
      </c>
      <c r="G576" s="95" t="s">
        <v>1125</v>
      </c>
      <c r="H576" s="63" t="str">
        <f>VLOOKUP(C576, 'Class Def. - General Data'!$C$20:$C$476,1,false)</f>
        <v>ZPI1_TAS_DOMPET</v>
      </c>
      <c r="I576" s="63" t="str">
        <f t="shared" si="1"/>
        <v>ZPI1_TAS_DOMPET15</v>
      </c>
      <c r="J576" s="63">
        <f t="shared" si="2"/>
        <v>1</v>
      </c>
    </row>
    <row r="577" ht="15.75" customHeight="1">
      <c r="A577" s="59" t="s">
        <v>93</v>
      </c>
      <c r="B577" s="95"/>
      <c r="C577" s="95" t="s">
        <v>153</v>
      </c>
      <c r="D577" s="95" t="s">
        <v>91</v>
      </c>
      <c r="E577" s="95" t="s">
        <v>577</v>
      </c>
      <c r="F577" s="95">
        <v>16.0</v>
      </c>
      <c r="G577" s="95" t="s">
        <v>1126</v>
      </c>
      <c r="H577" s="63" t="str">
        <f>VLOOKUP(C577, 'Class Def. - General Data'!$C$20:$C$476,1,false)</f>
        <v>ZPI1_TAS_DOMPET</v>
      </c>
      <c r="I577" s="63" t="str">
        <f t="shared" si="1"/>
        <v>ZPI1_TAS_DOMPET16</v>
      </c>
      <c r="J577" s="63">
        <f t="shared" si="2"/>
        <v>1</v>
      </c>
    </row>
    <row r="578" ht="15.75" customHeight="1">
      <c r="A578" s="59" t="s">
        <v>93</v>
      </c>
      <c r="B578" s="95"/>
      <c r="C578" s="95" t="s">
        <v>153</v>
      </c>
      <c r="D578" s="95" t="s">
        <v>91</v>
      </c>
      <c r="E578" s="95" t="s">
        <v>577</v>
      </c>
      <c r="F578" s="95">
        <v>17.0</v>
      </c>
      <c r="G578" s="95" t="s">
        <v>1127</v>
      </c>
      <c r="H578" s="63" t="str">
        <f>VLOOKUP(C578, 'Class Def. - General Data'!$C$20:$C$476,1,false)</f>
        <v>ZPI1_TAS_DOMPET</v>
      </c>
      <c r="I578" s="63" t="str">
        <f t="shared" si="1"/>
        <v>ZPI1_TAS_DOMPET17</v>
      </c>
      <c r="J578" s="63">
        <f t="shared" si="2"/>
        <v>1</v>
      </c>
    </row>
    <row r="579" ht="15.75" customHeight="1">
      <c r="A579" s="59" t="s">
        <v>93</v>
      </c>
      <c r="B579" s="95"/>
      <c r="C579" s="95" t="s">
        <v>153</v>
      </c>
      <c r="D579" s="95" t="s">
        <v>91</v>
      </c>
      <c r="E579" s="95" t="s">
        <v>577</v>
      </c>
      <c r="F579" s="95">
        <v>18.0</v>
      </c>
      <c r="G579" s="95" t="s">
        <v>1128</v>
      </c>
      <c r="H579" s="63" t="str">
        <f>VLOOKUP(C579, 'Class Def. - General Data'!$C$20:$C$476,1,false)</f>
        <v>ZPI1_TAS_DOMPET</v>
      </c>
      <c r="I579" s="63" t="str">
        <f t="shared" si="1"/>
        <v>ZPI1_TAS_DOMPET18</v>
      </c>
      <c r="J579" s="63">
        <f t="shared" si="2"/>
        <v>1</v>
      </c>
    </row>
    <row r="580" ht="15.75" customHeight="1">
      <c r="A580" s="59" t="s">
        <v>93</v>
      </c>
      <c r="B580" s="95"/>
      <c r="C580" s="95" t="s">
        <v>153</v>
      </c>
      <c r="D580" s="95" t="s">
        <v>91</v>
      </c>
      <c r="E580" s="95" t="s">
        <v>577</v>
      </c>
      <c r="F580" s="95">
        <v>19.0</v>
      </c>
      <c r="G580" s="95" t="s">
        <v>1129</v>
      </c>
      <c r="H580" s="63" t="str">
        <f>VLOOKUP(C580, 'Class Def. - General Data'!$C$20:$C$476,1,false)</f>
        <v>ZPI1_TAS_DOMPET</v>
      </c>
      <c r="I580" s="63" t="str">
        <f t="shared" si="1"/>
        <v>ZPI1_TAS_DOMPET19</v>
      </c>
      <c r="J580" s="63">
        <f t="shared" si="2"/>
        <v>1</v>
      </c>
    </row>
    <row r="581" ht="15.75" customHeight="1">
      <c r="A581" s="59" t="s">
        <v>93</v>
      </c>
      <c r="B581" s="95"/>
      <c r="C581" s="95" t="s">
        <v>153</v>
      </c>
      <c r="D581" s="95" t="s">
        <v>91</v>
      </c>
      <c r="E581" s="95" t="s">
        <v>577</v>
      </c>
      <c r="F581" s="95">
        <v>20.0</v>
      </c>
      <c r="G581" s="95" t="s">
        <v>1130</v>
      </c>
      <c r="H581" s="63" t="str">
        <f>VLOOKUP(C581, 'Class Def. - General Data'!$C$20:$C$476,1,false)</f>
        <v>ZPI1_TAS_DOMPET</v>
      </c>
      <c r="I581" s="63" t="str">
        <f t="shared" si="1"/>
        <v>ZPI1_TAS_DOMPET20</v>
      </c>
      <c r="J581" s="63">
        <f t="shared" si="2"/>
        <v>1</v>
      </c>
    </row>
    <row r="582" ht="15.75" customHeight="1">
      <c r="A582" s="59" t="s">
        <v>93</v>
      </c>
      <c r="B582" s="95"/>
      <c r="C582" s="95" t="s">
        <v>153</v>
      </c>
      <c r="D582" s="95" t="s">
        <v>91</v>
      </c>
      <c r="E582" s="95" t="s">
        <v>577</v>
      </c>
      <c r="F582" s="95">
        <v>21.0</v>
      </c>
      <c r="G582" s="95" t="s">
        <v>1131</v>
      </c>
      <c r="H582" s="63" t="str">
        <f>VLOOKUP(C582, 'Class Def. - General Data'!$C$20:$C$476,1,false)</f>
        <v>ZPI1_TAS_DOMPET</v>
      </c>
      <c r="I582" s="63" t="str">
        <f t="shared" si="1"/>
        <v>ZPI1_TAS_DOMPET21</v>
      </c>
      <c r="J582" s="63">
        <f t="shared" si="2"/>
        <v>1</v>
      </c>
    </row>
    <row r="583" ht="15.75" customHeight="1">
      <c r="A583" s="59" t="s">
        <v>93</v>
      </c>
      <c r="B583" s="95"/>
      <c r="C583" s="95" t="s">
        <v>153</v>
      </c>
      <c r="D583" s="95" t="s">
        <v>91</v>
      </c>
      <c r="E583" s="95" t="s">
        <v>577</v>
      </c>
      <c r="F583" s="95">
        <v>22.0</v>
      </c>
      <c r="G583" s="95" t="s">
        <v>1132</v>
      </c>
      <c r="H583" s="63" t="str">
        <f>VLOOKUP(C583, 'Class Def. - General Data'!$C$20:$C$476,1,false)</f>
        <v>ZPI1_TAS_DOMPET</v>
      </c>
      <c r="I583" s="63" t="str">
        <f t="shared" si="1"/>
        <v>ZPI1_TAS_DOMPET22</v>
      </c>
      <c r="J583" s="63">
        <f t="shared" si="2"/>
        <v>1</v>
      </c>
    </row>
    <row r="584" ht="15.75" customHeight="1">
      <c r="A584" s="59" t="s">
        <v>93</v>
      </c>
      <c r="B584" s="95"/>
      <c r="C584" s="95" t="s">
        <v>153</v>
      </c>
      <c r="D584" s="95" t="s">
        <v>91</v>
      </c>
      <c r="E584" s="95" t="s">
        <v>577</v>
      </c>
      <c r="F584" s="95">
        <v>23.0</v>
      </c>
      <c r="G584" s="95" t="s">
        <v>1133</v>
      </c>
      <c r="H584" s="63" t="str">
        <f>VLOOKUP(C584, 'Class Def. - General Data'!$C$20:$C$476,1,false)</f>
        <v>ZPI1_TAS_DOMPET</v>
      </c>
      <c r="I584" s="63" t="str">
        <f t="shared" si="1"/>
        <v>ZPI1_TAS_DOMPET23</v>
      </c>
      <c r="J584" s="63">
        <f t="shared" si="2"/>
        <v>1</v>
      </c>
    </row>
    <row r="585" ht="15.75" customHeight="1">
      <c r="A585" s="59" t="s">
        <v>93</v>
      </c>
      <c r="B585" s="95"/>
      <c r="C585" s="95" t="s">
        <v>153</v>
      </c>
      <c r="D585" s="95" t="s">
        <v>91</v>
      </c>
      <c r="E585" s="95" t="s">
        <v>577</v>
      </c>
      <c r="F585" s="95">
        <v>24.0</v>
      </c>
      <c r="G585" s="95" t="s">
        <v>1134</v>
      </c>
      <c r="H585" s="63" t="str">
        <f>VLOOKUP(C585, 'Class Def. - General Data'!$C$20:$C$476,1,false)</f>
        <v>ZPI1_TAS_DOMPET</v>
      </c>
      <c r="I585" s="63" t="str">
        <f t="shared" si="1"/>
        <v>ZPI1_TAS_DOMPET24</v>
      </c>
      <c r="J585" s="63">
        <f t="shared" si="2"/>
        <v>1</v>
      </c>
    </row>
    <row r="586" ht="15.75" customHeight="1">
      <c r="A586" s="59" t="s">
        <v>93</v>
      </c>
      <c r="B586" s="95"/>
      <c r="C586" s="95" t="s">
        <v>153</v>
      </c>
      <c r="D586" s="95" t="s">
        <v>91</v>
      </c>
      <c r="E586" s="95" t="s">
        <v>577</v>
      </c>
      <c r="F586" s="95">
        <v>25.0</v>
      </c>
      <c r="G586" s="95" t="s">
        <v>1135</v>
      </c>
      <c r="H586" s="63" t="str">
        <f>VLOOKUP(C586, 'Class Def. - General Data'!$C$20:$C$476,1,false)</f>
        <v>ZPI1_TAS_DOMPET</v>
      </c>
      <c r="I586" s="63" t="str">
        <f t="shared" si="1"/>
        <v>ZPI1_TAS_DOMPET25</v>
      </c>
      <c r="J586" s="63">
        <f t="shared" si="2"/>
        <v>1</v>
      </c>
    </row>
    <row r="587" ht="15.75" customHeight="1">
      <c r="A587" s="59" t="s">
        <v>93</v>
      </c>
      <c r="B587" s="95"/>
      <c r="C587" s="95" t="s">
        <v>153</v>
      </c>
      <c r="D587" s="95" t="s">
        <v>91</v>
      </c>
      <c r="E587" s="95" t="s">
        <v>577</v>
      </c>
      <c r="F587" s="95">
        <v>26.0</v>
      </c>
      <c r="G587" s="95" t="s">
        <v>1136</v>
      </c>
      <c r="H587" s="63" t="str">
        <f>VLOOKUP(C587, 'Class Def. - General Data'!$C$20:$C$476,1,false)</f>
        <v>ZPI1_TAS_DOMPET</v>
      </c>
      <c r="I587" s="63" t="str">
        <f t="shared" si="1"/>
        <v>ZPI1_TAS_DOMPET26</v>
      </c>
      <c r="J587" s="63">
        <f t="shared" si="2"/>
        <v>1</v>
      </c>
    </row>
    <row r="588" ht="15.75" customHeight="1">
      <c r="A588" s="59" t="s">
        <v>93</v>
      </c>
      <c r="B588" s="95"/>
      <c r="C588" s="95" t="s">
        <v>153</v>
      </c>
      <c r="D588" s="95" t="s">
        <v>91</v>
      </c>
      <c r="E588" s="95" t="s">
        <v>577</v>
      </c>
      <c r="F588" s="95">
        <v>27.0</v>
      </c>
      <c r="G588" s="95" t="s">
        <v>1137</v>
      </c>
      <c r="H588" s="63" t="str">
        <f>VLOOKUP(C588, 'Class Def. - General Data'!$C$20:$C$476,1,false)</f>
        <v>ZPI1_TAS_DOMPET</v>
      </c>
      <c r="I588" s="63" t="str">
        <f t="shared" si="1"/>
        <v>ZPI1_TAS_DOMPET27</v>
      </c>
      <c r="J588" s="63">
        <f t="shared" si="2"/>
        <v>1</v>
      </c>
    </row>
    <row r="589" ht="15.75" customHeight="1">
      <c r="A589" s="59" t="s">
        <v>93</v>
      </c>
      <c r="B589" s="95"/>
      <c r="C589" s="95" t="s">
        <v>153</v>
      </c>
      <c r="D589" s="95" t="s">
        <v>91</v>
      </c>
      <c r="E589" s="95" t="s">
        <v>577</v>
      </c>
      <c r="F589" s="95">
        <v>28.0</v>
      </c>
      <c r="G589" s="95" t="s">
        <v>1138</v>
      </c>
      <c r="H589" s="63" t="str">
        <f>VLOOKUP(C589, 'Class Def. - General Data'!$C$20:$C$476,1,false)</f>
        <v>ZPI1_TAS_DOMPET</v>
      </c>
      <c r="I589" s="63" t="str">
        <f t="shared" si="1"/>
        <v>ZPI1_TAS_DOMPET28</v>
      </c>
      <c r="J589" s="63">
        <f t="shared" si="2"/>
        <v>1</v>
      </c>
    </row>
    <row r="590" ht="15.75" customHeight="1">
      <c r="A590" s="59" t="s">
        <v>93</v>
      </c>
      <c r="B590" s="95"/>
      <c r="C590" s="95" t="s">
        <v>153</v>
      </c>
      <c r="D590" s="95" t="s">
        <v>91</v>
      </c>
      <c r="E590" s="95" t="s">
        <v>577</v>
      </c>
      <c r="F590" s="95">
        <v>29.0</v>
      </c>
      <c r="G590" s="95" t="s">
        <v>1139</v>
      </c>
      <c r="H590" s="63" t="str">
        <f>VLOOKUP(C590, 'Class Def. - General Data'!$C$20:$C$476,1,false)</f>
        <v>ZPI1_TAS_DOMPET</v>
      </c>
      <c r="I590" s="63" t="str">
        <f t="shared" si="1"/>
        <v>ZPI1_TAS_DOMPET29</v>
      </c>
      <c r="J590" s="63">
        <f t="shared" si="2"/>
        <v>1</v>
      </c>
    </row>
    <row r="591" ht="15.75" customHeight="1">
      <c r="A591" s="59" t="s">
        <v>93</v>
      </c>
      <c r="B591" s="95"/>
      <c r="C591" s="96" t="s">
        <v>162</v>
      </c>
      <c r="D591" s="95" t="s">
        <v>91</v>
      </c>
      <c r="E591" s="95" t="s">
        <v>577</v>
      </c>
      <c r="F591" s="96">
        <v>1.0</v>
      </c>
      <c r="G591" s="96" t="s">
        <v>1140</v>
      </c>
      <c r="H591" s="63" t="str">
        <f>VLOOKUP(C591, 'Class Def. - General Data'!$C$20:$C$476,1,false)</f>
        <v>ZPI1_SIGNAGE_LABEL</v>
      </c>
      <c r="I591" s="63" t="str">
        <f t="shared" si="1"/>
        <v>ZPI1_SIGNAGE_LABEL1</v>
      </c>
      <c r="J591" s="63">
        <f t="shared" si="2"/>
        <v>1</v>
      </c>
    </row>
    <row r="592" ht="15.75" customHeight="1">
      <c r="A592" s="59" t="s">
        <v>93</v>
      </c>
      <c r="B592" s="95"/>
      <c r="C592" s="96" t="s">
        <v>162</v>
      </c>
      <c r="D592" s="95" t="s">
        <v>91</v>
      </c>
      <c r="E592" s="95" t="s">
        <v>577</v>
      </c>
      <c r="F592" s="96">
        <v>2.0</v>
      </c>
      <c r="G592" s="96" t="s">
        <v>1066</v>
      </c>
      <c r="H592" s="63" t="str">
        <f>VLOOKUP(C592, 'Class Def. - General Data'!$C$20:$C$476,1,false)</f>
        <v>ZPI1_SIGNAGE_LABEL</v>
      </c>
      <c r="I592" s="63" t="str">
        <f t="shared" si="1"/>
        <v>ZPI1_SIGNAGE_LABEL2</v>
      </c>
      <c r="J592" s="63">
        <f t="shared" si="2"/>
        <v>1</v>
      </c>
    </row>
    <row r="593" ht="15.75" customHeight="1">
      <c r="A593" s="59" t="s">
        <v>93</v>
      </c>
      <c r="B593" s="95"/>
      <c r="C593" s="96" t="s">
        <v>162</v>
      </c>
      <c r="D593" s="95" t="s">
        <v>91</v>
      </c>
      <c r="E593" s="95" t="s">
        <v>577</v>
      </c>
      <c r="F593" s="96">
        <v>3.0</v>
      </c>
      <c r="G593" s="96" t="s">
        <v>1141</v>
      </c>
      <c r="H593" s="63" t="str">
        <f>VLOOKUP(C593, 'Class Def. - General Data'!$C$20:$C$476,1,false)</f>
        <v>ZPI1_SIGNAGE_LABEL</v>
      </c>
      <c r="I593" s="63" t="str">
        <f t="shared" si="1"/>
        <v>ZPI1_SIGNAGE_LABEL3</v>
      </c>
      <c r="J593" s="63">
        <f t="shared" si="2"/>
        <v>1</v>
      </c>
    </row>
    <row r="594" ht="15.75" customHeight="1">
      <c r="A594" s="59" t="s">
        <v>93</v>
      </c>
      <c r="B594" s="95"/>
      <c r="C594" s="96" t="s">
        <v>162</v>
      </c>
      <c r="D594" s="95" t="s">
        <v>91</v>
      </c>
      <c r="E594" s="95" t="s">
        <v>577</v>
      </c>
      <c r="F594" s="96">
        <v>4.0</v>
      </c>
      <c r="G594" s="96" t="s">
        <v>1142</v>
      </c>
      <c r="H594" s="63" t="str">
        <f>VLOOKUP(C594, 'Class Def. - General Data'!$C$20:$C$476,1,false)</f>
        <v>ZPI1_SIGNAGE_LABEL</v>
      </c>
      <c r="I594" s="63" t="str">
        <f t="shared" si="1"/>
        <v>ZPI1_SIGNAGE_LABEL4</v>
      </c>
      <c r="J594" s="63">
        <f t="shared" si="2"/>
        <v>1</v>
      </c>
    </row>
    <row r="595" ht="15.75" customHeight="1">
      <c r="A595" s="59" t="s">
        <v>93</v>
      </c>
      <c r="B595" s="95"/>
      <c r="C595" s="96" t="s">
        <v>162</v>
      </c>
      <c r="D595" s="95" t="s">
        <v>91</v>
      </c>
      <c r="E595" s="95" t="s">
        <v>577</v>
      </c>
      <c r="F595" s="96">
        <v>5.0</v>
      </c>
      <c r="G595" s="96" t="s">
        <v>1143</v>
      </c>
      <c r="H595" s="63" t="str">
        <f>VLOOKUP(C595, 'Class Def. - General Data'!$C$20:$C$476,1,false)</f>
        <v>ZPI1_SIGNAGE_LABEL</v>
      </c>
      <c r="I595" s="63" t="str">
        <f t="shared" si="1"/>
        <v>ZPI1_SIGNAGE_LABEL5</v>
      </c>
      <c r="J595" s="63">
        <f t="shared" si="2"/>
        <v>1</v>
      </c>
    </row>
    <row r="596" ht="15.75" customHeight="1">
      <c r="A596" s="59" t="s">
        <v>93</v>
      </c>
      <c r="B596" s="95"/>
      <c r="C596" s="96" t="s">
        <v>162</v>
      </c>
      <c r="D596" s="95" t="s">
        <v>91</v>
      </c>
      <c r="E596" s="95" t="s">
        <v>577</v>
      </c>
      <c r="F596" s="96">
        <v>6.0</v>
      </c>
      <c r="G596" s="96" t="s">
        <v>1144</v>
      </c>
      <c r="H596" s="63" t="str">
        <f>VLOOKUP(C596, 'Class Def. - General Data'!$C$20:$C$476,1,false)</f>
        <v>ZPI1_SIGNAGE_LABEL</v>
      </c>
      <c r="I596" s="63" t="str">
        <f t="shared" si="1"/>
        <v>ZPI1_SIGNAGE_LABEL6</v>
      </c>
      <c r="J596" s="63">
        <f t="shared" si="2"/>
        <v>1</v>
      </c>
    </row>
    <row r="597" ht="15.75" customHeight="1">
      <c r="A597" s="59" t="s">
        <v>93</v>
      </c>
      <c r="B597" s="95"/>
      <c r="C597" s="95" t="s">
        <v>163</v>
      </c>
      <c r="D597" s="95" t="s">
        <v>91</v>
      </c>
      <c r="E597" s="95" t="s">
        <v>577</v>
      </c>
      <c r="F597" s="95">
        <v>1.0</v>
      </c>
      <c r="G597" s="95" t="s">
        <v>1145</v>
      </c>
      <c r="H597" s="63" t="str">
        <f>VLOOKUP(C597, 'Class Def. - General Data'!$C$20:$C$476,1,false)</f>
        <v>ZSR3_ADVERTISING</v>
      </c>
      <c r="I597" s="63" t="str">
        <f t="shared" si="1"/>
        <v>ZSR3_ADVERTISING1</v>
      </c>
      <c r="J597" s="63">
        <f t="shared" si="2"/>
        <v>1</v>
      </c>
    </row>
    <row r="598" ht="15.75" customHeight="1">
      <c r="A598" s="59" t="s">
        <v>93</v>
      </c>
      <c r="B598" s="95"/>
      <c r="C598" s="95" t="s">
        <v>163</v>
      </c>
      <c r="D598" s="95" t="s">
        <v>91</v>
      </c>
      <c r="E598" s="95" t="s">
        <v>577</v>
      </c>
      <c r="F598" s="96">
        <v>2.0</v>
      </c>
      <c r="G598" s="95" t="s">
        <v>1146</v>
      </c>
      <c r="H598" s="63" t="str">
        <f>VLOOKUP(C598, 'Class Def. - General Data'!$C$20:$C$476,1,false)</f>
        <v>ZSR3_ADVERTISING</v>
      </c>
      <c r="I598" s="63" t="str">
        <f t="shared" si="1"/>
        <v>ZSR3_ADVERTISING2</v>
      </c>
      <c r="J598" s="63">
        <f t="shared" si="2"/>
        <v>1</v>
      </c>
    </row>
    <row r="599" ht="15.75" customHeight="1">
      <c r="A599" s="59" t="s">
        <v>93</v>
      </c>
      <c r="B599" s="95"/>
      <c r="C599" s="95" t="s">
        <v>163</v>
      </c>
      <c r="D599" s="95" t="s">
        <v>91</v>
      </c>
      <c r="E599" s="95" t="s">
        <v>577</v>
      </c>
      <c r="F599" s="95">
        <v>3.0</v>
      </c>
      <c r="G599" s="95" t="s">
        <v>1147</v>
      </c>
      <c r="H599" s="63" t="str">
        <f>VLOOKUP(C599, 'Class Def. - General Data'!$C$20:$C$476,1,false)</f>
        <v>ZSR3_ADVERTISING</v>
      </c>
      <c r="I599" s="63" t="str">
        <f t="shared" si="1"/>
        <v>ZSR3_ADVERTISING3</v>
      </c>
      <c r="J599" s="63">
        <f t="shared" si="2"/>
        <v>1</v>
      </c>
    </row>
    <row r="600" ht="15.75" customHeight="1">
      <c r="A600" s="59" t="s">
        <v>93</v>
      </c>
      <c r="B600" s="95"/>
      <c r="C600" s="95" t="s">
        <v>163</v>
      </c>
      <c r="D600" s="95" t="s">
        <v>91</v>
      </c>
      <c r="E600" s="95" t="s">
        <v>577</v>
      </c>
      <c r="F600" s="96">
        <v>4.0</v>
      </c>
      <c r="G600" s="96" t="s">
        <v>1148</v>
      </c>
      <c r="H600" s="63" t="str">
        <f>VLOOKUP(C600, 'Class Def. - General Data'!$C$20:$C$476,1,false)</f>
        <v>ZSR3_ADVERTISING</v>
      </c>
      <c r="I600" s="63" t="str">
        <f t="shared" si="1"/>
        <v>ZSR3_ADVERTISING4</v>
      </c>
      <c r="J600" s="63">
        <f t="shared" si="2"/>
        <v>1</v>
      </c>
    </row>
    <row r="601" ht="15.75" customHeight="1">
      <c r="A601" s="59" t="s">
        <v>93</v>
      </c>
      <c r="B601" s="95"/>
      <c r="C601" s="95" t="s">
        <v>163</v>
      </c>
      <c r="D601" s="95" t="s">
        <v>91</v>
      </c>
      <c r="E601" s="95" t="s">
        <v>577</v>
      </c>
      <c r="F601" s="95">
        <v>5.0</v>
      </c>
      <c r="G601" s="95" t="s">
        <v>1149</v>
      </c>
      <c r="H601" s="63" t="str">
        <f>VLOOKUP(C601, 'Class Def. - General Data'!$C$20:$C$476,1,false)</f>
        <v>ZSR3_ADVERTISING</v>
      </c>
      <c r="I601" s="63" t="str">
        <f t="shared" si="1"/>
        <v>ZSR3_ADVERTISING5</v>
      </c>
      <c r="J601" s="63">
        <f t="shared" si="2"/>
        <v>1</v>
      </c>
    </row>
    <row r="602" ht="15.75" customHeight="1">
      <c r="A602" s="59" t="s">
        <v>93</v>
      </c>
      <c r="B602" s="95"/>
      <c r="C602" s="95" t="s">
        <v>163</v>
      </c>
      <c r="D602" s="95" t="s">
        <v>91</v>
      </c>
      <c r="E602" s="95" t="s">
        <v>577</v>
      </c>
      <c r="F602" s="96">
        <v>6.0</v>
      </c>
      <c r="G602" s="95" t="s">
        <v>1150</v>
      </c>
      <c r="H602" s="63" t="str">
        <f>VLOOKUP(C602, 'Class Def. - General Data'!$C$20:$C$476,1,false)</f>
        <v>ZSR3_ADVERTISING</v>
      </c>
      <c r="I602" s="63" t="str">
        <f t="shared" si="1"/>
        <v>ZSR3_ADVERTISING6</v>
      </c>
      <c r="J602" s="63">
        <f t="shared" si="2"/>
        <v>1</v>
      </c>
    </row>
    <row r="603" ht="15.75" customHeight="1">
      <c r="A603" s="59" t="s">
        <v>93</v>
      </c>
      <c r="B603" s="95"/>
      <c r="C603" s="95" t="s">
        <v>163</v>
      </c>
      <c r="D603" s="95" t="s">
        <v>91</v>
      </c>
      <c r="E603" s="95" t="s">
        <v>577</v>
      </c>
      <c r="F603" s="95">
        <v>7.0</v>
      </c>
      <c r="G603" s="95" t="s">
        <v>1013</v>
      </c>
      <c r="H603" s="63" t="str">
        <f>VLOOKUP(C603, 'Class Def. - General Data'!$C$20:$C$476,1,false)</f>
        <v>ZSR3_ADVERTISING</v>
      </c>
      <c r="I603" s="63" t="str">
        <f t="shared" si="1"/>
        <v>ZSR3_ADVERTISING7</v>
      </c>
      <c r="J603" s="63">
        <f t="shared" si="2"/>
        <v>1</v>
      </c>
    </row>
    <row r="604" ht="15.75" customHeight="1">
      <c r="A604" s="59" t="s">
        <v>93</v>
      </c>
      <c r="B604" s="95"/>
      <c r="C604" s="95" t="s">
        <v>163</v>
      </c>
      <c r="D604" s="95" t="s">
        <v>91</v>
      </c>
      <c r="E604" s="95" t="s">
        <v>577</v>
      </c>
      <c r="F604" s="96">
        <v>8.0</v>
      </c>
      <c r="G604" s="95" t="s">
        <v>1151</v>
      </c>
      <c r="H604" s="63" t="str">
        <f>VLOOKUP(C604, 'Class Def. - General Data'!$C$20:$C$476,1,false)</f>
        <v>ZSR3_ADVERTISING</v>
      </c>
      <c r="I604" s="63" t="str">
        <f t="shared" si="1"/>
        <v>ZSR3_ADVERTISING8</v>
      </c>
      <c r="J604" s="63">
        <f t="shared" si="2"/>
        <v>1</v>
      </c>
    </row>
    <row r="605" ht="15.75" customHeight="1">
      <c r="A605" s="59" t="s">
        <v>93</v>
      </c>
      <c r="B605" s="95"/>
      <c r="C605" s="95" t="s">
        <v>163</v>
      </c>
      <c r="D605" s="95" t="s">
        <v>91</v>
      </c>
      <c r="E605" s="95" t="s">
        <v>577</v>
      </c>
      <c r="F605" s="95">
        <v>9.0</v>
      </c>
      <c r="G605" s="95" t="s">
        <v>1152</v>
      </c>
      <c r="H605" s="63" t="str">
        <f>VLOOKUP(C605, 'Class Def. - General Data'!$C$20:$C$476,1,false)</f>
        <v>ZSR3_ADVERTISING</v>
      </c>
      <c r="I605" s="63" t="str">
        <f t="shared" si="1"/>
        <v>ZSR3_ADVERTISING9</v>
      </c>
      <c r="J605" s="63">
        <f t="shared" si="2"/>
        <v>1</v>
      </c>
    </row>
    <row r="606" ht="15.75" customHeight="1">
      <c r="A606" s="59" t="s">
        <v>93</v>
      </c>
      <c r="B606" s="95"/>
      <c r="C606" s="95" t="s">
        <v>163</v>
      </c>
      <c r="D606" s="95" t="s">
        <v>91</v>
      </c>
      <c r="E606" s="95" t="s">
        <v>577</v>
      </c>
      <c r="F606" s="96">
        <v>10.0</v>
      </c>
      <c r="G606" s="96" t="s">
        <v>1018</v>
      </c>
      <c r="H606" s="63" t="str">
        <f>VLOOKUP(C606, 'Class Def. - General Data'!$C$20:$C$476,1,false)</f>
        <v>ZSR3_ADVERTISING</v>
      </c>
      <c r="I606" s="63" t="str">
        <f t="shared" si="1"/>
        <v>ZSR3_ADVERTISING10</v>
      </c>
      <c r="J606" s="63">
        <f t="shared" si="2"/>
        <v>1</v>
      </c>
    </row>
    <row r="607" ht="15.75" customHeight="1">
      <c r="A607" s="59" t="s">
        <v>93</v>
      </c>
      <c r="B607" s="95"/>
      <c r="C607" s="95" t="s">
        <v>163</v>
      </c>
      <c r="D607" s="95" t="s">
        <v>91</v>
      </c>
      <c r="E607" s="95" t="s">
        <v>577</v>
      </c>
      <c r="F607" s="95">
        <v>11.0</v>
      </c>
      <c r="G607" s="95" t="s">
        <v>1153</v>
      </c>
      <c r="H607" s="63" t="str">
        <f>VLOOKUP(C607, 'Class Def. - General Data'!$C$20:$C$476,1,false)</f>
        <v>ZSR3_ADVERTISING</v>
      </c>
      <c r="I607" s="63" t="str">
        <f t="shared" si="1"/>
        <v>ZSR3_ADVERTISING11</v>
      </c>
      <c r="J607" s="63">
        <f t="shared" si="2"/>
        <v>1</v>
      </c>
    </row>
    <row r="608" ht="15.75" customHeight="1">
      <c r="A608" s="59" t="s">
        <v>93</v>
      </c>
      <c r="B608" s="95"/>
      <c r="C608" s="95" t="s">
        <v>163</v>
      </c>
      <c r="D608" s="95" t="s">
        <v>91</v>
      </c>
      <c r="E608" s="95" t="s">
        <v>577</v>
      </c>
      <c r="F608" s="96">
        <v>12.0</v>
      </c>
      <c r="G608" s="95" t="s">
        <v>1154</v>
      </c>
      <c r="H608" s="63" t="str">
        <f>VLOOKUP(C608, 'Class Def. - General Data'!$C$20:$C$476,1,false)</f>
        <v>ZSR3_ADVERTISING</v>
      </c>
      <c r="I608" s="63" t="str">
        <f t="shared" si="1"/>
        <v>ZSR3_ADVERTISING12</v>
      </c>
      <c r="J608" s="63">
        <f t="shared" si="2"/>
        <v>1</v>
      </c>
    </row>
    <row r="609" ht="15.75" customHeight="1">
      <c r="A609" s="59" t="s">
        <v>93</v>
      </c>
      <c r="B609" s="95"/>
      <c r="C609" s="95" t="s">
        <v>163</v>
      </c>
      <c r="D609" s="95" t="s">
        <v>91</v>
      </c>
      <c r="E609" s="95" t="s">
        <v>577</v>
      </c>
      <c r="F609" s="95">
        <v>13.0</v>
      </c>
      <c r="G609" s="95" t="s">
        <v>1155</v>
      </c>
      <c r="H609" s="63" t="str">
        <f>VLOOKUP(C609, 'Class Def. - General Data'!$C$20:$C$476,1,false)</f>
        <v>ZSR3_ADVERTISING</v>
      </c>
      <c r="I609" s="63" t="str">
        <f t="shared" si="1"/>
        <v>ZSR3_ADVERTISING13</v>
      </c>
      <c r="J609" s="63">
        <f t="shared" si="2"/>
        <v>1</v>
      </c>
    </row>
    <row r="610" ht="15.75" customHeight="1">
      <c r="A610" s="59" t="s">
        <v>93</v>
      </c>
      <c r="B610" s="95"/>
      <c r="C610" s="95" t="s">
        <v>163</v>
      </c>
      <c r="D610" s="95" t="s">
        <v>91</v>
      </c>
      <c r="E610" s="95" t="s">
        <v>577</v>
      </c>
      <c r="F610" s="96">
        <v>14.0</v>
      </c>
      <c r="G610" s="95" t="s">
        <v>1156</v>
      </c>
      <c r="H610" s="63" t="str">
        <f>VLOOKUP(C610, 'Class Def. - General Data'!$C$20:$C$476,1,false)</f>
        <v>ZSR3_ADVERTISING</v>
      </c>
      <c r="I610" s="63" t="str">
        <f t="shared" si="1"/>
        <v>ZSR3_ADVERTISING14</v>
      </c>
      <c r="J610" s="63">
        <f t="shared" si="2"/>
        <v>1</v>
      </c>
    </row>
    <row r="611" ht="15.75" customHeight="1">
      <c r="A611" s="59" t="s">
        <v>93</v>
      </c>
      <c r="B611" s="95"/>
      <c r="C611" s="95" t="s">
        <v>163</v>
      </c>
      <c r="D611" s="95" t="s">
        <v>91</v>
      </c>
      <c r="E611" s="95" t="s">
        <v>577</v>
      </c>
      <c r="F611" s="95">
        <v>15.0</v>
      </c>
      <c r="G611" s="96" t="s">
        <v>1157</v>
      </c>
      <c r="H611" s="63" t="str">
        <f>VLOOKUP(C611, 'Class Def. - General Data'!$C$20:$C$476,1,false)</f>
        <v>ZSR3_ADVERTISING</v>
      </c>
      <c r="I611" s="63" t="str">
        <f t="shared" si="1"/>
        <v>ZSR3_ADVERTISING15</v>
      </c>
      <c r="J611" s="63">
        <f t="shared" si="2"/>
        <v>1</v>
      </c>
    </row>
    <row r="612" ht="15.75" customHeight="1">
      <c r="A612" s="59" t="s">
        <v>93</v>
      </c>
      <c r="B612" s="95"/>
      <c r="C612" s="95" t="s">
        <v>163</v>
      </c>
      <c r="D612" s="95" t="s">
        <v>91</v>
      </c>
      <c r="E612" s="95" t="s">
        <v>577</v>
      </c>
      <c r="F612" s="96">
        <v>16.0</v>
      </c>
      <c r="G612" s="95" t="s">
        <v>1158</v>
      </c>
      <c r="H612" s="63" t="str">
        <f>VLOOKUP(C612, 'Class Def. - General Data'!$C$20:$C$476,1,false)</f>
        <v>ZSR3_ADVERTISING</v>
      </c>
      <c r="I612" s="63" t="str">
        <f t="shared" si="1"/>
        <v>ZSR3_ADVERTISING16</v>
      </c>
      <c r="J612" s="63">
        <f t="shared" si="2"/>
        <v>1</v>
      </c>
    </row>
    <row r="613" ht="15.75" customHeight="1">
      <c r="A613" s="59" t="s">
        <v>93</v>
      </c>
      <c r="B613" s="95"/>
      <c r="C613" s="95" t="s">
        <v>163</v>
      </c>
      <c r="D613" s="95" t="s">
        <v>91</v>
      </c>
      <c r="E613" s="95" t="s">
        <v>577</v>
      </c>
      <c r="F613" s="95">
        <v>17.0</v>
      </c>
      <c r="G613" s="95" t="s">
        <v>1159</v>
      </c>
      <c r="H613" s="63" t="str">
        <f>VLOOKUP(C613, 'Class Def. - General Data'!$C$20:$C$476,1,false)</f>
        <v>ZSR3_ADVERTISING</v>
      </c>
      <c r="I613" s="63" t="str">
        <f t="shared" si="1"/>
        <v>ZSR3_ADVERTISING17</v>
      </c>
      <c r="J613" s="63">
        <f t="shared" si="2"/>
        <v>1</v>
      </c>
    </row>
    <row r="614" ht="15.75" customHeight="1">
      <c r="A614" s="59" t="s">
        <v>93</v>
      </c>
      <c r="B614" s="95"/>
      <c r="C614" s="95" t="s">
        <v>163</v>
      </c>
      <c r="D614" s="95" t="s">
        <v>91</v>
      </c>
      <c r="E614" s="95" t="s">
        <v>577</v>
      </c>
      <c r="F614" s="96">
        <v>18.0</v>
      </c>
      <c r="G614" s="96" t="s">
        <v>1160</v>
      </c>
      <c r="H614" s="63" t="str">
        <f>VLOOKUP(C614, 'Class Def. - General Data'!$C$20:$C$476,1,false)</f>
        <v>ZSR3_ADVERTISING</v>
      </c>
      <c r="I614" s="63" t="str">
        <f t="shared" si="1"/>
        <v>ZSR3_ADVERTISING18</v>
      </c>
      <c r="J614" s="63">
        <f t="shared" si="2"/>
        <v>1</v>
      </c>
    </row>
    <row r="615" ht="15.75" customHeight="1">
      <c r="A615" s="59" t="s">
        <v>93</v>
      </c>
      <c r="B615" s="95"/>
      <c r="C615" s="95" t="s">
        <v>163</v>
      </c>
      <c r="D615" s="95" t="s">
        <v>91</v>
      </c>
      <c r="E615" s="95" t="s">
        <v>577</v>
      </c>
      <c r="F615" s="95">
        <v>19.0</v>
      </c>
      <c r="G615" s="95" t="s">
        <v>1161</v>
      </c>
      <c r="H615" s="63" t="str">
        <f>VLOOKUP(C615, 'Class Def. - General Data'!$C$20:$C$476,1,false)</f>
        <v>ZSR3_ADVERTISING</v>
      </c>
      <c r="I615" s="63" t="str">
        <f t="shared" si="1"/>
        <v>ZSR3_ADVERTISING19</v>
      </c>
      <c r="J615" s="63">
        <f t="shared" si="2"/>
        <v>1</v>
      </c>
    </row>
    <row r="616" ht="15.75" customHeight="1">
      <c r="A616" s="59" t="s">
        <v>93</v>
      </c>
      <c r="B616" s="95"/>
      <c r="C616" s="95" t="s">
        <v>163</v>
      </c>
      <c r="D616" s="95" t="s">
        <v>91</v>
      </c>
      <c r="E616" s="95" t="s">
        <v>577</v>
      </c>
      <c r="F616" s="96">
        <v>20.0</v>
      </c>
      <c r="G616" s="95" t="s">
        <v>1162</v>
      </c>
      <c r="H616" s="63" t="str">
        <f>VLOOKUP(C616, 'Class Def. - General Data'!$C$20:$C$476,1,false)</f>
        <v>ZSR3_ADVERTISING</v>
      </c>
      <c r="I616" s="63" t="str">
        <f t="shared" si="1"/>
        <v>ZSR3_ADVERTISING20</v>
      </c>
      <c r="J616" s="63">
        <f t="shared" si="2"/>
        <v>1</v>
      </c>
    </row>
    <row r="617" ht="15.75" customHeight="1">
      <c r="A617" s="59" t="s">
        <v>93</v>
      </c>
      <c r="B617" s="95"/>
      <c r="C617" s="95" t="s">
        <v>163</v>
      </c>
      <c r="D617" s="95" t="s">
        <v>91</v>
      </c>
      <c r="E617" s="95" t="s">
        <v>577</v>
      </c>
      <c r="F617" s="95">
        <v>21.0</v>
      </c>
      <c r="G617" s="96" t="s">
        <v>1163</v>
      </c>
      <c r="H617" s="63" t="str">
        <f>VLOOKUP(C617, 'Class Def. - General Data'!$C$20:$C$476,1,false)</f>
        <v>ZSR3_ADVERTISING</v>
      </c>
      <c r="I617" s="63" t="str">
        <f t="shared" si="1"/>
        <v>ZSR3_ADVERTISING21</v>
      </c>
      <c r="J617" s="63">
        <f t="shared" si="2"/>
        <v>1</v>
      </c>
    </row>
    <row r="618" ht="15.75" customHeight="1">
      <c r="A618" s="59" t="s">
        <v>93</v>
      </c>
      <c r="B618" s="95"/>
      <c r="C618" s="95" t="s">
        <v>163</v>
      </c>
      <c r="D618" s="95" t="s">
        <v>91</v>
      </c>
      <c r="E618" s="95" t="s">
        <v>577</v>
      </c>
      <c r="F618" s="96">
        <v>22.0</v>
      </c>
      <c r="G618" s="95" t="s">
        <v>1164</v>
      </c>
      <c r="H618" s="63" t="str">
        <f>VLOOKUP(C618, 'Class Def. - General Data'!$C$20:$C$476,1,false)</f>
        <v>ZSR3_ADVERTISING</v>
      </c>
      <c r="I618" s="63" t="str">
        <f t="shared" si="1"/>
        <v>ZSR3_ADVERTISING22</v>
      </c>
      <c r="J618" s="63">
        <f t="shared" si="2"/>
        <v>1</v>
      </c>
    </row>
    <row r="619" ht="15.75" customHeight="1">
      <c r="A619" s="59" t="s">
        <v>93</v>
      </c>
      <c r="B619" s="95"/>
      <c r="C619" s="95" t="s">
        <v>163</v>
      </c>
      <c r="D619" s="95" t="s">
        <v>91</v>
      </c>
      <c r="E619" s="95" t="s">
        <v>577</v>
      </c>
      <c r="F619" s="95">
        <v>23.0</v>
      </c>
      <c r="G619" s="95" t="s">
        <v>1165</v>
      </c>
      <c r="H619" s="63" t="str">
        <f>VLOOKUP(C619, 'Class Def. - General Data'!$C$20:$C$476,1,false)</f>
        <v>ZSR3_ADVERTISING</v>
      </c>
      <c r="I619" s="63" t="str">
        <f t="shared" si="1"/>
        <v>ZSR3_ADVERTISING23</v>
      </c>
      <c r="J619" s="63">
        <f t="shared" si="2"/>
        <v>1</v>
      </c>
    </row>
    <row r="620" ht="15.75" customHeight="1">
      <c r="A620" s="59" t="s">
        <v>93</v>
      </c>
      <c r="B620" s="95"/>
      <c r="C620" s="95" t="s">
        <v>163</v>
      </c>
      <c r="D620" s="95" t="s">
        <v>91</v>
      </c>
      <c r="E620" s="95" t="s">
        <v>577</v>
      </c>
      <c r="F620" s="96">
        <v>24.0</v>
      </c>
      <c r="G620" s="95" t="s">
        <v>1166</v>
      </c>
      <c r="H620" s="63" t="str">
        <f>VLOOKUP(C620, 'Class Def. - General Data'!$C$20:$C$476,1,false)</f>
        <v>ZSR3_ADVERTISING</v>
      </c>
      <c r="I620" s="63" t="str">
        <f t="shared" si="1"/>
        <v>ZSR3_ADVERTISING24</v>
      </c>
      <c r="J620" s="63">
        <f t="shared" si="2"/>
        <v>1</v>
      </c>
    </row>
    <row r="621" ht="15.75" customHeight="1">
      <c r="A621" s="59" t="s">
        <v>93</v>
      </c>
      <c r="B621" s="95"/>
      <c r="C621" s="95" t="s">
        <v>163</v>
      </c>
      <c r="D621" s="95" t="s">
        <v>91</v>
      </c>
      <c r="E621" s="95" t="s">
        <v>577</v>
      </c>
      <c r="F621" s="95">
        <v>25.0</v>
      </c>
      <c r="G621" s="95" t="s">
        <v>1167</v>
      </c>
      <c r="H621" s="63" t="str">
        <f>VLOOKUP(C621, 'Class Def. - General Data'!$C$20:$C$476,1,false)</f>
        <v>ZSR3_ADVERTISING</v>
      </c>
      <c r="I621" s="63" t="str">
        <f t="shared" si="1"/>
        <v>ZSR3_ADVERTISING25</v>
      </c>
      <c r="J621" s="63">
        <f t="shared" si="2"/>
        <v>1</v>
      </c>
    </row>
    <row r="622" ht="15.75" customHeight="1">
      <c r="A622" s="59" t="s">
        <v>93</v>
      </c>
      <c r="B622" s="95"/>
      <c r="C622" s="95" t="s">
        <v>163</v>
      </c>
      <c r="D622" s="95" t="s">
        <v>91</v>
      </c>
      <c r="E622" s="95" t="s">
        <v>577</v>
      </c>
      <c r="F622" s="96">
        <v>26.0</v>
      </c>
      <c r="G622" s="95" t="s">
        <v>1168</v>
      </c>
      <c r="H622" s="63" t="str">
        <f>VLOOKUP(C622, 'Class Def. - General Data'!$C$20:$C$476,1,false)</f>
        <v>ZSR3_ADVERTISING</v>
      </c>
      <c r="I622" s="63" t="str">
        <f t="shared" si="1"/>
        <v>ZSR3_ADVERTISING26</v>
      </c>
      <c r="J622" s="63">
        <f t="shared" si="2"/>
        <v>1</v>
      </c>
    </row>
    <row r="623" ht="15.75" customHeight="1">
      <c r="A623" s="59" t="s">
        <v>93</v>
      </c>
      <c r="B623" s="95"/>
      <c r="C623" s="95" t="s">
        <v>163</v>
      </c>
      <c r="D623" s="95" t="s">
        <v>91</v>
      </c>
      <c r="E623" s="95" t="s">
        <v>577</v>
      </c>
      <c r="F623" s="95">
        <v>27.0</v>
      </c>
      <c r="G623" s="95" t="s">
        <v>1169</v>
      </c>
      <c r="H623" s="63" t="str">
        <f>VLOOKUP(C623, 'Class Def. - General Data'!$C$20:$C$476,1,false)</f>
        <v>ZSR3_ADVERTISING</v>
      </c>
      <c r="I623" s="63" t="str">
        <f t="shared" si="1"/>
        <v>ZSR3_ADVERTISING27</v>
      </c>
      <c r="J623" s="63">
        <f t="shared" si="2"/>
        <v>1</v>
      </c>
    </row>
    <row r="624" ht="15.75" customHeight="1">
      <c r="A624" s="59" t="s">
        <v>93</v>
      </c>
      <c r="B624" s="95"/>
      <c r="C624" s="95" t="s">
        <v>163</v>
      </c>
      <c r="D624" s="95" t="s">
        <v>91</v>
      </c>
      <c r="E624" s="95" t="s">
        <v>577</v>
      </c>
      <c r="F624" s="96">
        <v>28.0</v>
      </c>
      <c r="G624" s="96" t="s">
        <v>1170</v>
      </c>
      <c r="H624" s="63" t="str">
        <f>VLOOKUP(C624, 'Class Def. - General Data'!$C$20:$C$476,1,false)</f>
        <v>ZSR3_ADVERTISING</v>
      </c>
      <c r="I624" s="63" t="str">
        <f t="shared" si="1"/>
        <v>ZSR3_ADVERTISING28</v>
      </c>
      <c r="J624" s="63">
        <f t="shared" si="2"/>
        <v>1</v>
      </c>
    </row>
    <row r="625" ht="15.75" customHeight="1">
      <c r="A625" s="59" t="s">
        <v>93</v>
      </c>
      <c r="B625" s="95"/>
      <c r="C625" s="95" t="s">
        <v>163</v>
      </c>
      <c r="D625" s="95" t="s">
        <v>91</v>
      </c>
      <c r="E625" s="95" t="s">
        <v>577</v>
      </c>
      <c r="F625" s="95">
        <v>29.0</v>
      </c>
      <c r="G625" s="95" t="s">
        <v>1171</v>
      </c>
      <c r="H625" s="63" t="str">
        <f>VLOOKUP(C625, 'Class Def. - General Data'!$C$20:$C$476,1,false)</f>
        <v>ZSR3_ADVERTISING</v>
      </c>
      <c r="I625" s="63" t="str">
        <f t="shared" si="1"/>
        <v>ZSR3_ADVERTISING29</v>
      </c>
      <c r="J625" s="63">
        <f t="shared" si="2"/>
        <v>1</v>
      </c>
    </row>
    <row r="626" ht="15.75" customHeight="1">
      <c r="A626" s="59" t="s">
        <v>93</v>
      </c>
      <c r="B626" s="95"/>
      <c r="C626" s="95" t="s">
        <v>163</v>
      </c>
      <c r="D626" s="95" t="s">
        <v>91</v>
      </c>
      <c r="E626" s="95" t="s">
        <v>577</v>
      </c>
      <c r="F626" s="96">
        <v>30.0</v>
      </c>
      <c r="G626" s="95" t="s">
        <v>1172</v>
      </c>
      <c r="H626" s="63" t="str">
        <f>VLOOKUP(C626, 'Class Def. - General Data'!$C$20:$C$476,1,false)</f>
        <v>ZSR3_ADVERTISING</v>
      </c>
      <c r="I626" s="63" t="str">
        <f t="shared" si="1"/>
        <v>ZSR3_ADVERTISING30</v>
      </c>
      <c r="J626" s="63">
        <f t="shared" si="2"/>
        <v>1</v>
      </c>
    </row>
    <row r="627" ht="15.75" customHeight="1">
      <c r="A627" s="59" t="s">
        <v>93</v>
      </c>
      <c r="B627" s="95"/>
      <c r="C627" s="95" t="s">
        <v>163</v>
      </c>
      <c r="D627" s="95" t="s">
        <v>91</v>
      </c>
      <c r="E627" s="95" t="s">
        <v>577</v>
      </c>
      <c r="F627" s="95">
        <v>31.0</v>
      </c>
      <c r="G627" s="95" t="s">
        <v>1173</v>
      </c>
      <c r="H627" s="63" t="str">
        <f>VLOOKUP(C627, 'Class Def. - General Data'!$C$20:$C$476,1,false)</f>
        <v>ZSR3_ADVERTISING</v>
      </c>
      <c r="I627" s="63" t="str">
        <f t="shared" si="1"/>
        <v>ZSR3_ADVERTISING31</v>
      </c>
      <c r="J627" s="63">
        <f t="shared" si="2"/>
        <v>1</v>
      </c>
    </row>
    <row r="628" ht="15.75" customHeight="1">
      <c r="A628" s="59" t="s">
        <v>93</v>
      </c>
      <c r="B628" s="95"/>
      <c r="C628" s="95" t="s">
        <v>163</v>
      </c>
      <c r="D628" s="95" t="s">
        <v>91</v>
      </c>
      <c r="E628" s="95" t="s">
        <v>577</v>
      </c>
      <c r="F628" s="96">
        <v>32.0</v>
      </c>
      <c r="G628" s="95" t="s">
        <v>1174</v>
      </c>
      <c r="H628" s="63" t="str">
        <f>VLOOKUP(C628, 'Class Def. - General Data'!$C$20:$C$476,1,false)</f>
        <v>ZSR3_ADVERTISING</v>
      </c>
      <c r="I628" s="63" t="str">
        <f t="shared" si="1"/>
        <v>ZSR3_ADVERTISING32</v>
      </c>
      <c r="J628" s="63">
        <f t="shared" si="2"/>
        <v>1</v>
      </c>
    </row>
    <row r="629" ht="15.75" customHeight="1">
      <c r="A629" s="59" t="s">
        <v>93</v>
      </c>
      <c r="B629" s="95"/>
      <c r="C629" s="95" t="s">
        <v>163</v>
      </c>
      <c r="D629" s="95" t="s">
        <v>91</v>
      </c>
      <c r="E629" s="95" t="s">
        <v>577</v>
      </c>
      <c r="F629" s="95">
        <v>33.0</v>
      </c>
      <c r="G629" s="96" t="s">
        <v>1175</v>
      </c>
      <c r="H629" s="63" t="str">
        <f>VLOOKUP(C629, 'Class Def. - General Data'!$C$20:$C$476,1,false)</f>
        <v>ZSR3_ADVERTISING</v>
      </c>
      <c r="I629" s="63" t="str">
        <f t="shared" si="1"/>
        <v>ZSR3_ADVERTISING33</v>
      </c>
      <c r="J629" s="63">
        <f t="shared" si="2"/>
        <v>1</v>
      </c>
    </row>
    <row r="630" ht="15.75" customHeight="1">
      <c r="A630" s="59" t="s">
        <v>93</v>
      </c>
      <c r="B630" s="95"/>
      <c r="C630" s="95" t="s">
        <v>163</v>
      </c>
      <c r="D630" s="95" t="s">
        <v>91</v>
      </c>
      <c r="E630" s="95" t="s">
        <v>577</v>
      </c>
      <c r="F630" s="96">
        <v>34.0</v>
      </c>
      <c r="G630" s="95" t="s">
        <v>1176</v>
      </c>
      <c r="H630" s="63" t="str">
        <f>VLOOKUP(C630, 'Class Def. - General Data'!$C$20:$C$476,1,false)</f>
        <v>ZSR3_ADVERTISING</v>
      </c>
      <c r="I630" s="63" t="str">
        <f t="shared" si="1"/>
        <v>ZSR3_ADVERTISING34</v>
      </c>
      <c r="J630" s="63">
        <f t="shared" si="2"/>
        <v>1</v>
      </c>
    </row>
    <row r="631" ht="15.75" customHeight="1">
      <c r="A631" s="59" t="s">
        <v>93</v>
      </c>
      <c r="B631" s="95"/>
      <c r="C631" s="95" t="s">
        <v>163</v>
      </c>
      <c r="D631" s="95" t="s">
        <v>91</v>
      </c>
      <c r="E631" s="95" t="s">
        <v>577</v>
      </c>
      <c r="F631" s="95">
        <v>35.0</v>
      </c>
      <c r="G631" s="95" t="s">
        <v>1177</v>
      </c>
      <c r="H631" s="63" t="str">
        <f>VLOOKUP(C631, 'Class Def. - General Data'!$C$20:$C$476,1,false)</f>
        <v>ZSR3_ADVERTISING</v>
      </c>
      <c r="I631" s="63" t="str">
        <f t="shared" si="1"/>
        <v>ZSR3_ADVERTISING35</v>
      </c>
      <c r="J631" s="63">
        <f t="shared" si="2"/>
        <v>1</v>
      </c>
    </row>
    <row r="632" ht="15.75" customHeight="1">
      <c r="A632" s="59" t="s">
        <v>93</v>
      </c>
      <c r="B632" s="95"/>
      <c r="C632" s="95" t="s">
        <v>163</v>
      </c>
      <c r="D632" s="95" t="s">
        <v>91</v>
      </c>
      <c r="E632" s="95" t="s">
        <v>577</v>
      </c>
      <c r="F632" s="96">
        <v>36.0</v>
      </c>
      <c r="G632" s="95" t="s">
        <v>1178</v>
      </c>
      <c r="H632" s="63" t="str">
        <f>VLOOKUP(C632, 'Class Def. - General Data'!$C$20:$C$476,1,false)</f>
        <v>ZSR3_ADVERTISING</v>
      </c>
      <c r="I632" s="63" t="str">
        <f t="shared" si="1"/>
        <v>ZSR3_ADVERTISING36</v>
      </c>
      <c r="J632" s="63">
        <f t="shared" si="2"/>
        <v>1</v>
      </c>
    </row>
    <row r="633" ht="15.75" customHeight="1">
      <c r="A633" s="59" t="s">
        <v>93</v>
      </c>
      <c r="B633" s="95"/>
      <c r="C633" s="95" t="s">
        <v>163</v>
      </c>
      <c r="D633" s="95" t="s">
        <v>91</v>
      </c>
      <c r="E633" s="95" t="s">
        <v>577</v>
      </c>
      <c r="F633" s="95">
        <v>37.0</v>
      </c>
      <c r="G633" s="96" t="s">
        <v>1179</v>
      </c>
      <c r="H633" s="63" t="str">
        <f>VLOOKUP(C633, 'Class Def. - General Data'!$C$20:$C$476,1,false)</f>
        <v>ZSR3_ADVERTISING</v>
      </c>
      <c r="I633" s="63" t="str">
        <f t="shared" si="1"/>
        <v>ZSR3_ADVERTISING37</v>
      </c>
      <c r="J633" s="63">
        <f t="shared" si="2"/>
        <v>1</v>
      </c>
    </row>
    <row r="634" ht="15.75" customHeight="1">
      <c r="A634" s="59" t="s">
        <v>93</v>
      </c>
      <c r="B634" s="95"/>
      <c r="C634" s="95" t="s">
        <v>163</v>
      </c>
      <c r="D634" s="95" t="s">
        <v>91</v>
      </c>
      <c r="E634" s="95" t="s">
        <v>577</v>
      </c>
      <c r="F634" s="96">
        <v>38.0</v>
      </c>
      <c r="G634" s="95" t="s">
        <v>1180</v>
      </c>
      <c r="H634" s="63" t="str">
        <f>VLOOKUP(C634, 'Class Def. - General Data'!$C$20:$C$476,1,false)</f>
        <v>ZSR3_ADVERTISING</v>
      </c>
      <c r="I634" s="63" t="str">
        <f t="shared" si="1"/>
        <v>ZSR3_ADVERTISING38</v>
      </c>
      <c r="J634" s="63">
        <f t="shared" si="2"/>
        <v>1</v>
      </c>
    </row>
    <row r="635" ht="15.75" customHeight="1">
      <c r="A635" s="59" t="s">
        <v>93</v>
      </c>
      <c r="B635" s="95"/>
      <c r="C635" s="95" t="s">
        <v>163</v>
      </c>
      <c r="D635" s="95" t="s">
        <v>91</v>
      </c>
      <c r="E635" s="95" t="s">
        <v>577</v>
      </c>
      <c r="F635" s="95">
        <v>39.0</v>
      </c>
      <c r="G635" s="95" t="s">
        <v>1181</v>
      </c>
      <c r="H635" s="63" t="str">
        <f>VLOOKUP(C635, 'Class Def. - General Data'!$C$20:$C$476,1,false)</f>
        <v>ZSR3_ADVERTISING</v>
      </c>
      <c r="I635" s="63" t="str">
        <f t="shared" si="1"/>
        <v>ZSR3_ADVERTISING39</v>
      </c>
      <c r="J635" s="63">
        <f t="shared" si="2"/>
        <v>1</v>
      </c>
    </row>
    <row r="636" ht="15.75" customHeight="1">
      <c r="A636" s="59" t="s">
        <v>93</v>
      </c>
      <c r="B636" s="95"/>
      <c r="C636" s="95" t="s">
        <v>163</v>
      </c>
      <c r="D636" s="95" t="s">
        <v>91</v>
      </c>
      <c r="E636" s="95" t="s">
        <v>577</v>
      </c>
      <c r="F636" s="96">
        <v>40.0</v>
      </c>
      <c r="G636" s="95" t="s">
        <v>1182</v>
      </c>
      <c r="H636" s="63" t="str">
        <f>VLOOKUP(C636, 'Class Def. - General Data'!$C$20:$C$476,1,false)</f>
        <v>ZSR3_ADVERTISING</v>
      </c>
      <c r="I636" s="63" t="str">
        <f t="shared" si="1"/>
        <v>ZSR3_ADVERTISING40</v>
      </c>
      <c r="J636" s="63">
        <f t="shared" si="2"/>
        <v>1</v>
      </c>
    </row>
    <row r="637" ht="15.75" customHeight="1">
      <c r="A637" s="59" t="s">
        <v>93</v>
      </c>
      <c r="B637" s="95"/>
      <c r="C637" s="95" t="s">
        <v>163</v>
      </c>
      <c r="D637" s="95" t="s">
        <v>91</v>
      </c>
      <c r="E637" s="95" t="s">
        <v>577</v>
      </c>
      <c r="F637" s="95">
        <v>41.0</v>
      </c>
      <c r="G637" s="95" t="s">
        <v>1183</v>
      </c>
      <c r="H637" s="63" t="str">
        <f>VLOOKUP(C637, 'Class Def. - General Data'!$C$20:$C$476,1,false)</f>
        <v>ZSR3_ADVERTISING</v>
      </c>
      <c r="I637" s="63" t="str">
        <f t="shared" si="1"/>
        <v>ZSR3_ADVERTISING41</v>
      </c>
      <c r="J637" s="63">
        <f t="shared" si="2"/>
        <v>1</v>
      </c>
    </row>
    <row r="638" ht="15.75" customHeight="1">
      <c r="A638" s="59" t="s">
        <v>93</v>
      </c>
      <c r="B638" s="95"/>
      <c r="C638" s="95" t="s">
        <v>163</v>
      </c>
      <c r="D638" s="95" t="s">
        <v>91</v>
      </c>
      <c r="E638" s="95" t="s">
        <v>577</v>
      </c>
      <c r="F638" s="96">
        <v>42.0</v>
      </c>
      <c r="G638" s="95" t="s">
        <v>1184</v>
      </c>
      <c r="H638" s="63" t="str">
        <f>VLOOKUP(C638, 'Class Def. - General Data'!$C$20:$C$476,1,false)</f>
        <v>ZSR3_ADVERTISING</v>
      </c>
      <c r="I638" s="63" t="str">
        <f t="shared" si="1"/>
        <v>ZSR3_ADVERTISING42</v>
      </c>
      <c r="J638" s="63">
        <f t="shared" si="2"/>
        <v>1</v>
      </c>
    </row>
    <row r="639" ht="15.75" customHeight="1">
      <c r="A639" s="59" t="s">
        <v>93</v>
      </c>
      <c r="B639" s="95"/>
      <c r="C639" s="95" t="s">
        <v>163</v>
      </c>
      <c r="D639" s="95" t="s">
        <v>91</v>
      </c>
      <c r="E639" s="95" t="s">
        <v>577</v>
      </c>
      <c r="F639" s="95">
        <v>43.0</v>
      </c>
      <c r="G639" s="95" t="s">
        <v>1185</v>
      </c>
      <c r="H639" s="63" t="str">
        <f>VLOOKUP(C639, 'Class Def. - General Data'!$C$20:$C$476,1,false)</f>
        <v>ZSR3_ADVERTISING</v>
      </c>
      <c r="I639" s="63" t="str">
        <f t="shared" si="1"/>
        <v>ZSR3_ADVERTISING43</v>
      </c>
      <c r="J639" s="63">
        <f t="shared" si="2"/>
        <v>1</v>
      </c>
    </row>
    <row r="640" ht="15.75" customHeight="1">
      <c r="A640" s="59" t="s">
        <v>93</v>
      </c>
      <c r="B640" s="95"/>
      <c r="C640" s="95" t="s">
        <v>163</v>
      </c>
      <c r="D640" s="95" t="s">
        <v>91</v>
      </c>
      <c r="E640" s="95" t="s">
        <v>577</v>
      </c>
      <c r="F640" s="96">
        <v>44.0</v>
      </c>
      <c r="G640" s="96" t="s">
        <v>1186</v>
      </c>
      <c r="H640" s="63" t="str">
        <f>VLOOKUP(C640, 'Class Def. - General Data'!$C$20:$C$476,1,false)</f>
        <v>ZSR3_ADVERTISING</v>
      </c>
      <c r="I640" s="63" t="str">
        <f t="shared" si="1"/>
        <v>ZSR3_ADVERTISING44</v>
      </c>
      <c r="J640" s="63">
        <f t="shared" si="2"/>
        <v>1</v>
      </c>
    </row>
    <row r="641" ht="15.75" customHeight="1">
      <c r="A641" s="59" t="s">
        <v>93</v>
      </c>
      <c r="B641" s="95"/>
      <c r="C641" s="95" t="s">
        <v>163</v>
      </c>
      <c r="D641" s="95" t="s">
        <v>91</v>
      </c>
      <c r="E641" s="95" t="s">
        <v>577</v>
      </c>
      <c r="F641" s="95">
        <v>45.0</v>
      </c>
      <c r="G641" s="95" t="s">
        <v>1187</v>
      </c>
      <c r="H641" s="63" t="str">
        <f>VLOOKUP(C641, 'Class Def. - General Data'!$C$20:$C$476,1,false)</f>
        <v>ZSR3_ADVERTISING</v>
      </c>
      <c r="I641" s="63" t="str">
        <f t="shared" si="1"/>
        <v>ZSR3_ADVERTISING45</v>
      </c>
      <c r="J641" s="63">
        <f t="shared" si="2"/>
        <v>1</v>
      </c>
    </row>
    <row r="642" ht="15.75" customHeight="1">
      <c r="A642" s="59" t="s">
        <v>93</v>
      </c>
      <c r="B642" s="95"/>
      <c r="C642" s="95" t="s">
        <v>163</v>
      </c>
      <c r="D642" s="95" t="s">
        <v>91</v>
      </c>
      <c r="E642" s="95" t="s">
        <v>577</v>
      </c>
      <c r="F642" s="96">
        <v>46.0</v>
      </c>
      <c r="G642" s="95" t="s">
        <v>1188</v>
      </c>
      <c r="H642" s="63" t="str">
        <f>VLOOKUP(C642, 'Class Def. - General Data'!$C$20:$C$476,1,false)</f>
        <v>ZSR3_ADVERTISING</v>
      </c>
      <c r="I642" s="63" t="str">
        <f t="shared" si="1"/>
        <v>ZSR3_ADVERTISING46</v>
      </c>
      <c r="J642" s="63">
        <f t="shared" si="2"/>
        <v>1</v>
      </c>
    </row>
    <row r="643" ht="15.75" customHeight="1">
      <c r="A643" s="59" t="s">
        <v>93</v>
      </c>
      <c r="B643" s="95"/>
      <c r="C643" s="95" t="s">
        <v>163</v>
      </c>
      <c r="D643" s="95" t="s">
        <v>91</v>
      </c>
      <c r="E643" s="95" t="s">
        <v>577</v>
      </c>
      <c r="F643" s="95">
        <v>47.0</v>
      </c>
      <c r="G643" s="95" t="s">
        <v>1051</v>
      </c>
      <c r="H643" s="63" t="str">
        <f>VLOOKUP(C643, 'Class Def. - General Data'!$C$20:$C$476,1,false)</f>
        <v>ZSR3_ADVERTISING</v>
      </c>
      <c r="I643" s="63" t="str">
        <f t="shared" si="1"/>
        <v>ZSR3_ADVERTISING47</v>
      </c>
      <c r="J643" s="63">
        <f t="shared" si="2"/>
        <v>1</v>
      </c>
    </row>
    <row r="644" ht="15.75" customHeight="1">
      <c r="A644" s="59" t="s">
        <v>93</v>
      </c>
      <c r="B644" s="95"/>
      <c r="C644" s="95" t="s">
        <v>163</v>
      </c>
      <c r="D644" s="95" t="s">
        <v>91</v>
      </c>
      <c r="E644" s="95" t="s">
        <v>577</v>
      </c>
      <c r="F644" s="96">
        <v>48.0</v>
      </c>
      <c r="G644" s="95" t="s">
        <v>1189</v>
      </c>
      <c r="H644" s="63" t="str">
        <f>VLOOKUP(C644, 'Class Def. - General Data'!$C$20:$C$476,1,false)</f>
        <v>ZSR3_ADVERTISING</v>
      </c>
      <c r="I644" s="63" t="str">
        <f t="shared" si="1"/>
        <v>ZSR3_ADVERTISING48</v>
      </c>
      <c r="J644" s="63">
        <f t="shared" si="2"/>
        <v>1</v>
      </c>
    </row>
    <row r="645" ht="15.75" customHeight="1">
      <c r="A645" s="59" t="s">
        <v>93</v>
      </c>
      <c r="B645" s="95"/>
      <c r="C645" s="95" t="s">
        <v>163</v>
      </c>
      <c r="D645" s="95" t="s">
        <v>91</v>
      </c>
      <c r="E645" s="95" t="s">
        <v>577</v>
      </c>
      <c r="F645" s="95">
        <v>49.0</v>
      </c>
      <c r="G645" s="95" t="s">
        <v>1190</v>
      </c>
      <c r="H645" s="63" t="str">
        <f>VLOOKUP(C645, 'Class Def. - General Data'!$C$20:$C$476,1,false)</f>
        <v>ZSR3_ADVERTISING</v>
      </c>
      <c r="I645" s="63" t="str">
        <f t="shared" si="1"/>
        <v>ZSR3_ADVERTISING49</v>
      </c>
      <c r="J645" s="63">
        <f t="shared" si="2"/>
        <v>1</v>
      </c>
    </row>
    <row r="646" ht="15.75" customHeight="1">
      <c r="A646" s="59" t="s">
        <v>93</v>
      </c>
      <c r="B646" s="95"/>
      <c r="C646" s="95" t="s">
        <v>163</v>
      </c>
      <c r="D646" s="95" t="s">
        <v>91</v>
      </c>
      <c r="E646" s="95" t="s">
        <v>577</v>
      </c>
      <c r="F646" s="96">
        <v>50.0</v>
      </c>
      <c r="G646" s="95" t="s">
        <v>1191</v>
      </c>
      <c r="H646" s="63" t="str">
        <f>VLOOKUP(C646, 'Class Def. - General Data'!$C$20:$C$476,1,false)</f>
        <v>ZSR3_ADVERTISING</v>
      </c>
      <c r="I646" s="63" t="str">
        <f t="shared" si="1"/>
        <v>ZSR3_ADVERTISING50</v>
      </c>
      <c r="J646" s="63">
        <f t="shared" si="2"/>
        <v>1</v>
      </c>
    </row>
    <row r="647" ht="15.75" customHeight="1">
      <c r="A647" s="59" t="s">
        <v>93</v>
      </c>
      <c r="B647" s="95"/>
      <c r="C647" s="95" t="s">
        <v>163</v>
      </c>
      <c r="D647" s="95" t="s">
        <v>91</v>
      </c>
      <c r="E647" s="95" t="s">
        <v>577</v>
      </c>
      <c r="F647" s="95">
        <v>51.0</v>
      </c>
      <c r="G647" s="95" t="s">
        <v>1192</v>
      </c>
      <c r="H647" s="63" t="str">
        <f>VLOOKUP(C647, 'Class Def. - General Data'!$C$20:$C$476,1,false)</f>
        <v>ZSR3_ADVERTISING</v>
      </c>
      <c r="I647" s="63" t="str">
        <f t="shared" si="1"/>
        <v>ZSR3_ADVERTISING51</v>
      </c>
      <c r="J647" s="63">
        <f t="shared" si="2"/>
        <v>1</v>
      </c>
    </row>
    <row r="648" ht="15.75" customHeight="1">
      <c r="A648" s="59" t="s">
        <v>93</v>
      </c>
      <c r="B648" s="95"/>
      <c r="C648" s="95" t="s">
        <v>163</v>
      </c>
      <c r="D648" s="95" t="s">
        <v>91</v>
      </c>
      <c r="E648" s="95" t="s">
        <v>577</v>
      </c>
      <c r="F648" s="96">
        <v>52.0</v>
      </c>
      <c r="G648" s="95" t="s">
        <v>1193</v>
      </c>
      <c r="H648" s="63" t="str">
        <f>VLOOKUP(C648, 'Class Def. - General Data'!$C$20:$C$476,1,false)</f>
        <v>ZSR3_ADVERTISING</v>
      </c>
      <c r="I648" s="63" t="str">
        <f t="shared" si="1"/>
        <v>ZSR3_ADVERTISING52</v>
      </c>
      <c r="J648" s="63">
        <f t="shared" si="2"/>
        <v>1</v>
      </c>
    </row>
    <row r="649" ht="15.75" customHeight="1">
      <c r="A649" s="59" t="s">
        <v>93</v>
      </c>
      <c r="B649" s="95"/>
      <c r="C649" s="95" t="s">
        <v>163</v>
      </c>
      <c r="D649" s="95" t="s">
        <v>91</v>
      </c>
      <c r="E649" s="95" t="s">
        <v>577</v>
      </c>
      <c r="F649" s="95">
        <v>53.0</v>
      </c>
      <c r="G649" s="95" t="s">
        <v>1194</v>
      </c>
      <c r="H649" s="63" t="str">
        <f>VLOOKUP(C649, 'Class Def. - General Data'!$C$20:$C$476,1,false)</f>
        <v>ZSR3_ADVERTISING</v>
      </c>
      <c r="I649" s="63" t="str">
        <f t="shared" si="1"/>
        <v>ZSR3_ADVERTISING53</v>
      </c>
      <c r="J649" s="63">
        <f t="shared" si="2"/>
        <v>1</v>
      </c>
    </row>
    <row r="650" ht="15.75" customHeight="1">
      <c r="A650" s="59" t="s">
        <v>93</v>
      </c>
      <c r="B650" s="95"/>
      <c r="C650" s="95" t="s">
        <v>163</v>
      </c>
      <c r="D650" s="95" t="s">
        <v>91</v>
      </c>
      <c r="E650" s="95" t="s">
        <v>577</v>
      </c>
      <c r="F650" s="96">
        <v>54.0</v>
      </c>
      <c r="G650" s="95" t="s">
        <v>1195</v>
      </c>
      <c r="H650" s="63" t="str">
        <f>VLOOKUP(C650, 'Class Def. - General Data'!$C$20:$C$476,1,false)</f>
        <v>ZSR3_ADVERTISING</v>
      </c>
      <c r="I650" s="63" t="str">
        <f t="shared" si="1"/>
        <v>ZSR3_ADVERTISING54</v>
      </c>
      <c r="J650" s="63">
        <f t="shared" si="2"/>
        <v>1</v>
      </c>
    </row>
    <row r="651" ht="15.75" customHeight="1">
      <c r="A651" s="59" t="s">
        <v>93</v>
      </c>
      <c r="B651" s="95"/>
      <c r="C651" s="95" t="s">
        <v>163</v>
      </c>
      <c r="D651" s="95" t="s">
        <v>91</v>
      </c>
      <c r="E651" s="95" t="s">
        <v>577</v>
      </c>
      <c r="F651" s="95">
        <v>55.0</v>
      </c>
      <c r="G651" s="95" t="s">
        <v>1196</v>
      </c>
      <c r="H651" s="63" t="str">
        <f>VLOOKUP(C651, 'Class Def. - General Data'!$C$20:$C$476,1,false)</f>
        <v>ZSR3_ADVERTISING</v>
      </c>
      <c r="I651" s="63" t="str">
        <f t="shared" si="1"/>
        <v>ZSR3_ADVERTISING55</v>
      </c>
      <c r="J651" s="63">
        <f t="shared" si="2"/>
        <v>1</v>
      </c>
    </row>
    <row r="652" ht="15.75" customHeight="1">
      <c r="A652" s="59" t="s">
        <v>93</v>
      </c>
      <c r="B652" s="95"/>
      <c r="C652" s="95" t="s">
        <v>163</v>
      </c>
      <c r="D652" s="95" t="s">
        <v>91</v>
      </c>
      <c r="E652" s="95" t="s">
        <v>577</v>
      </c>
      <c r="F652" s="96">
        <v>56.0</v>
      </c>
      <c r="G652" s="95" t="s">
        <v>1197</v>
      </c>
      <c r="H652" s="63" t="str">
        <f>VLOOKUP(C652, 'Class Def. - General Data'!$C$20:$C$476,1,false)</f>
        <v>ZSR3_ADVERTISING</v>
      </c>
      <c r="I652" s="63" t="str">
        <f t="shared" si="1"/>
        <v>ZSR3_ADVERTISING56</v>
      </c>
      <c r="J652" s="63">
        <f t="shared" si="2"/>
        <v>1</v>
      </c>
    </row>
    <row r="653" ht="15.75" customHeight="1">
      <c r="A653" s="59" t="s">
        <v>93</v>
      </c>
      <c r="B653" s="95"/>
      <c r="C653" s="95" t="s">
        <v>163</v>
      </c>
      <c r="D653" s="95" t="s">
        <v>91</v>
      </c>
      <c r="E653" s="95" t="s">
        <v>577</v>
      </c>
      <c r="F653" s="95">
        <v>57.0</v>
      </c>
      <c r="G653" s="95" t="s">
        <v>1198</v>
      </c>
      <c r="H653" s="63" t="str">
        <f>VLOOKUP(C653, 'Class Def. - General Data'!$C$20:$C$476,1,false)</f>
        <v>ZSR3_ADVERTISING</v>
      </c>
      <c r="I653" s="63" t="str">
        <f t="shared" si="1"/>
        <v>ZSR3_ADVERTISING57</v>
      </c>
      <c r="J653" s="63">
        <f t="shared" si="2"/>
        <v>1</v>
      </c>
    </row>
    <row r="654" ht="15.75" customHeight="1">
      <c r="A654" s="59" t="s">
        <v>93</v>
      </c>
      <c r="B654" s="95"/>
      <c r="C654" s="95" t="s">
        <v>163</v>
      </c>
      <c r="D654" s="95" t="s">
        <v>91</v>
      </c>
      <c r="E654" s="95" t="s">
        <v>577</v>
      </c>
      <c r="F654" s="96">
        <v>58.0</v>
      </c>
      <c r="G654" s="95" t="s">
        <v>1199</v>
      </c>
      <c r="H654" s="63" t="str">
        <f>VLOOKUP(C654, 'Class Def. - General Data'!$C$20:$C$476,1,false)</f>
        <v>ZSR3_ADVERTISING</v>
      </c>
      <c r="I654" s="63" t="str">
        <f t="shared" si="1"/>
        <v>ZSR3_ADVERTISING58</v>
      </c>
      <c r="J654" s="63">
        <f t="shared" si="2"/>
        <v>1</v>
      </c>
    </row>
    <row r="655" ht="15.75" customHeight="1">
      <c r="A655" s="59" t="s">
        <v>93</v>
      </c>
      <c r="B655" s="95"/>
      <c r="C655" s="95" t="s">
        <v>163</v>
      </c>
      <c r="D655" s="95" t="s">
        <v>91</v>
      </c>
      <c r="E655" s="95" t="s">
        <v>577</v>
      </c>
      <c r="F655" s="95">
        <v>59.0</v>
      </c>
      <c r="G655" s="95" t="s">
        <v>1200</v>
      </c>
      <c r="H655" s="63" t="str">
        <f>VLOOKUP(C655, 'Class Def. - General Data'!$C$20:$C$476,1,false)</f>
        <v>ZSR3_ADVERTISING</v>
      </c>
      <c r="I655" s="63" t="str">
        <f t="shared" si="1"/>
        <v>ZSR3_ADVERTISING59</v>
      </c>
      <c r="J655" s="63">
        <f t="shared" si="2"/>
        <v>1</v>
      </c>
    </row>
    <row r="656" ht="15.75" customHeight="1">
      <c r="A656" s="59" t="s">
        <v>93</v>
      </c>
      <c r="B656" s="95"/>
      <c r="C656" s="95" t="s">
        <v>163</v>
      </c>
      <c r="D656" s="95" t="s">
        <v>91</v>
      </c>
      <c r="E656" s="95" t="s">
        <v>577</v>
      </c>
      <c r="F656" s="96">
        <v>60.0</v>
      </c>
      <c r="G656" s="95" t="s">
        <v>1201</v>
      </c>
      <c r="H656" s="63" t="str">
        <f>VLOOKUP(C656, 'Class Def. - General Data'!$C$20:$C$476,1,false)</f>
        <v>ZSR3_ADVERTISING</v>
      </c>
      <c r="I656" s="63" t="str">
        <f t="shared" si="1"/>
        <v>ZSR3_ADVERTISING60</v>
      </c>
      <c r="J656" s="63">
        <f t="shared" si="2"/>
        <v>1</v>
      </c>
    </row>
    <row r="657" ht="15.75" customHeight="1">
      <c r="A657" s="59" t="s">
        <v>93</v>
      </c>
      <c r="B657" s="95"/>
      <c r="C657" s="95" t="s">
        <v>163</v>
      </c>
      <c r="D657" s="95" t="s">
        <v>91</v>
      </c>
      <c r="E657" s="95" t="s">
        <v>577</v>
      </c>
      <c r="F657" s="95">
        <v>61.0</v>
      </c>
      <c r="G657" s="95" t="s">
        <v>1202</v>
      </c>
      <c r="H657" s="63" t="str">
        <f>VLOOKUP(C657, 'Class Def. - General Data'!$C$20:$C$476,1,false)</f>
        <v>ZSR3_ADVERTISING</v>
      </c>
      <c r="I657" s="63" t="str">
        <f t="shared" si="1"/>
        <v>ZSR3_ADVERTISING61</v>
      </c>
      <c r="J657" s="63">
        <f t="shared" si="2"/>
        <v>1</v>
      </c>
    </row>
    <row r="658" ht="15.75" customHeight="1">
      <c r="A658" s="59" t="s">
        <v>93</v>
      </c>
      <c r="B658" s="95"/>
      <c r="C658" s="95" t="s">
        <v>163</v>
      </c>
      <c r="D658" s="95" t="s">
        <v>91</v>
      </c>
      <c r="E658" s="95" t="s">
        <v>577</v>
      </c>
      <c r="F658" s="96">
        <v>62.0</v>
      </c>
      <c r="G658" s="95" t="s">
        <v>1203</v>
      </c>
      <c r="H658" s="63" t="str">
        <f>VLOOKUP(C658, 'Class Def. - General Data'!$C$20:$C$476,1,false)</f>
        <v>ZSR3_ADVERTISING</v>
      </c>
      <c r="I658" s="63" t="str">
        <f t="shared" si="1"/>
        <v>ZSR3_ADVERTISING62</v>
      </c>
      <c r="J658" s="63">
        <f t="shared" si="2"/>
        <v>1</v>
      </c>
    </row>
    <row r="659" ht="15.75" customHeight="1">
      <c r="A659" s="59" t="s">
        <v>93</v>
      </c>
      <c r="B659" s="95"/>
      <c r="C659" s="95" t="s">
        <v>164</v>
      </c>
      <c r="D659" s="95" t="s">
        <v>91</v>
      </c>
      <c r="E659" s="95" t="s">
        <v>577</v>
      </c>
      <c r="F659" s="95">
        <v>1.0</v>
      </c>
      <c r="G659" s="95" t="s">
        <v>1204</v>
      </c>
      <c r="H659" s="63" t="str">
        <f>VLOOKUP(C659, 'Class Def. - General Data'!$C$20:$C$476,1,false)</f>
        <v>ZSR3_ASURANSI</v>
      </c>
      <c r="I659" s="63" t="str">
        <f t="shared" si="1"/>
        <v>ZSR3_ASURANSI1</v>
      </c>
      <c r="J659" s="63">
        <f t="shared" si="2"/>
        <v>1</v>
      </c>
    </row>
    <row r="660" ht="15.75" customHeight="1">
      <c r="A660" s="59" t="s">
        <v>93</v>
      </c>
      <c r="B660" s="95"/>
      <c r="C660" s="95" t="s">
        <v>164</v>
      </c>
      <c r="D660" s="95" t="s">
        <v>91</v>
      </c>
      <c r="E660" s="95" t="s">
        <v>577</v>
      </c>
      <c r="F660" s="95">
        <v>2.0</v>
      </c>
      <c r="G660" s="95" t="s">
        <v>1205</v>
      </c>
      <c r="H660" s="63" t="str">
        <f>VLOOKUP(C660, 'Class Def. - General Data'!$C$20:$C$476,1,false)</f>
        <v>ZSR3_ASURANSI</v>
      </c>
      <c r="I660" s="63" t="str">
        <f t="shared" si="1"/>
        <v>ZSR3_ASURANSI2</v>
      </c>
      <c r="J660" s="63">
        <f t="shared" si="2"/>
        <v>1</v>
      </c>
    </row>
    <row r="661" ht="15.75" customHeight="1">
      <c r="A661" s="59" t="s">
        <v>93</v>
      </c>
      <c r="B661" s="95"/>
      <c r="C661" s="95" t="s">
        <v>164</v>
      </c>
      <c r="D661" s="95" t="s">
        <v>91</v>
      </c>
      <c r="E661" s="95" t="s">
        <v>577</v>
      </c>
      <c r="F661" s="95">
        <v>3.0</v>
      </c>
      <c r="G661" s="95" t="s">
        <v>1206</v>
      </c>
      <c r="H661" s="63" t="str">
        <f>VLOOKUP(C661, 'Class Def. - General Data'!$C$20:$C$476,1,false)</f>
        <v>ZSR3_ASURANSI</v>
      </c>
      <c r="I661" s="63" t="str">
        <f t="shared" si="1"/>
        <v>ZSR3_ASURANSI3</v>
      </c>
      <c r="J661" s="63">
        <f t="shared" si="2"/>
        <v>1</v>
      </c>
    </row>
    <row r="662" ht="15.75" customHeight="1">
      <c r="A662" s="59" t="s">
        <v>93</v>
      </c>
      <c r="B662" s="95"/>
      <c r="C662" s="95" t="s">
        <v>164</v>
      </c>
      <c r="D662" s="95" t="s">
        <v>91</v>
      </c>
      <c r="E662" s="95" t="s">
        <v>577</v>
      </c>
      <c r="F662" s="95">
        <v>4.0</v>
      </c>
      <c r="G662" s="95" t="s">
        <v>1207</v>
      </c>
      <c r="H662" s="63" t="str">
        <f>VLOOKUP(C662, 'Class Def. - General Data'!$C$20:$C$476,1,false)</f>
        <v>ZSR3_ASURANSI</v>
      </c>
      <c r="I662" s="63" t="str">
        <f t="shared" si="1"/>
        <v>ZSR3_ASURANSI4</v>
      </c>
      <c r="J662" s="63">
        <f t="shared" si="2"/>
        <v>1</v>
      </c>
    </row>
    <row r="663" ht="15.75" customHeight="1">
      <c r="A663" s="59" t="s">
        <v>93</v>
      </c>
      <c r="B663" s="95"/>
      <c r="C663" s="95" t="s">
        <v>165</v>
      </c>
      <c r="D663" s="95" t="s">
        <v>91</v>
      </c>
      <c r="E663" s="95" t="s">
        <v>577</v>
      </c>
      <c r="F663" s="95">
        <v>1.0</v>
      </c>
      <c r="G663" s="95" t="s">
        <v>1208</v>
      </c>
      <c r="H663" s="63" t="str">
        <f>VLOOKUP(C663, 'Class Def. - General Data'!$C$20:$C$476,1,false)</f>
        <v>ZSR3_BUSS_TRAVEL</v>
      </c>
      <c r="I663" s="63" t="str">
        <f t="shared" si="1"/>
        <v>ZSR3_BUSS_TRAVEL1</v>
      </c>
      <c r="J663" s="63">
        <f t="shared" si="2"/>
        <v>1</v>
      </c>
    </row>
    <row r="664" ht="15.75" customHeight="1">
      <c r="A664" s="59" t="s">
        <v>93</v>
      </c>
      <c r="B664" s="95"/>
      <c r="C664" s="95" t="s">
        <v>165</v>
      </c>
      <c r="D664" s="95" t="s">
        <v>91</v>
      </c>
      <c r="E664" s="95" t="s">
        <v>577</v>
      </c>
      <c r="F664" s="95">
        <v>2.0</v>
      </c>
      <c r="G664" s="95" t="s">
        <v>1209</v>
      </c>
      <c r="H664" s="63" t="str">
        <f>VLOOKUP(C664, 'Class Def. - General Data'!$C$20:$C$476,1,false)</f>
        <v>ZSR3_BUSS_TRAVEL</v>
      </c>
      <c r="I664" s="63" t="str">
        <f t="shared" si="1"/>
        <v>ZSR3_BUSS_TRAVEL2</v>
      </c>
      <c r="J664" s="63">
        <f t="shared" si="2"/>
        <v>1</v>
      </c>
    </row>
    <row r="665" ht="15.75" customHeight="1">
      <c r="A665" s="59" t="s">
        <v>93</v>
      </c>
      <c r="B665" s="95"/>
      <c r="C665" s="95" t="s">
        <v>165</v>
      </c>
      <c r="D665" s="95" t="s">
        <v>91</v>
      </c>
      <c r="E665" s="95" t="s">
        <v>577</v>
      </c>
      <c r="F665" s="95">
        <v>3.0</v>
      </c>
      <c r="G665" s="96" t="s">
        <v>1210</v>
      </c>
      <c r="H665" s="63" t="str">
        <f>VLOOKUP(C665, 'Class Def. - General Data'!$C$20:$C$476,1,false)</f>
        <v>ZSR3_BUSS_TRAVEL</v>
      </c>
      <c r="I665" s="63" t="str">
        <f t="shared" si="1"/>
        <v>ZSR3_BUSS_TRAVEL3</v>
      </c>
      <c r="J665" s="63">
        <f t="shared" si="2"/>
        <v>1</v>
      </c>
    </row>
    <row r="666" ht="15.75" customHeight="1">
      <c r="A666" s="59" t="s">
        <v>93</v>
      </c>
      <c r="B666" s="95"/>
      <c r="C666" s="95" t="s">
        <v>165</v>
      </c>
      <c r="D666" s="95" t="s">
        <v>91</v>
      </c>
      <c r="E666" s="95" t="s">
        <v>577</v>
      </c>
      <c r="F666" s="95">
        <v>4.0</v>
      </c>
      <c r="G666" s="95" t="s">
        <v>1211</v>
      </c>
      <c r="H666" s="63" t="str">
        <f>VLOOKUP(C666, 'Class Def. - General Data'!$C$20:$C$476,1,false)</f>
        <v>ZSR3_BUSS_TRAVEL</v>
      </c>
      <c r="I666" s="63" t="str">
        <f t="shared" si="1"/>
        <v>ZSR3_BUSS_TRAVEL4</v>
      </c>
      <c r="J666" s="63">
        <f t="shared" si="2"/>
        <v>1</v>
      </c>
    </row>
    <row r="667" ht="15.75" customHeight="1">
      <c r="A667" s="59" t="s">
        <v>93</v>
      </c>
      <c r="B667" s="95"/>
      <c r="C667" s="95" t="s">
        <v>165</v>
      </c>
      <c r="D667" s="95" t="s">
        <v>91</v>
      </c>
      <c r="E667" s="95" t="s">
        <v>577</v>
      </c>
      <c r="F667" s="95">
        <v>5.0</v>
      </c>
      <c r="G667" s="95" t="s">
        <v>1212</v>
      </c>
      <c r="H667" s="63" t="str">
        <f>VLOOKUP(C667, 'Class Def. - General Data'!$C$20:$C$476,1,false)</f>
        <v>ZSR3_BUSS_TRAVEL</v>
      </c>
      <c r="I667" s="63" t="str">
        <f t="shared" si="1"/>
        <v>ZSR3_BUSS_TRAVEL5</v>
      </c>
      <c r="J667" s="63">
        <f t="shared" si="2"/>
        <v>1</v>
      </c>
    </row>
    <row r="668" ht="15.75" customHeight="1">
      <c r="A668" s="59" t="s">
        <v>93</v>
      </c>
      <c r="B668" s="95"/>
      <c r="C668" s="95" t="s">
        <v>165</v>
      </c>
      <c r="D668" s="95" t="s">
        <v>91</v>
      </c>
      <c r="E668" s="95" t="s">
        <v>577</v>
      </c>
      <c r="F668" s="95">
        <v>6.0</v>
      </c>
      <c r="G668" s="96" t="s">
        <v>1213</v>
      </c>
      <c r="H668" s="63" t="str">
        <f>VLOOKUP(C668, 'Class Def. - General Data'!$C$20:$C$476,1,false)</f>
        <v>ZSR3_BUSS_TRAVEL</v>
      </c>
      <c r="I668" s="63" t="str">
        <f t="shared" si="1"/>
        <v>ZSR3_BUSS_TRAVEL6</v>
      </c>
      <c r="J668" s="63">
        <f t="shared" si="2"/>
        <v>1</v>
      </c>
    </row>
    <row r="669" ht="15.75" customHeight="1">
      <c r="A669" s="59" t="s">
        <v>93</v>
      </c>
      <c r="B669" s="95"/>
      <c r="C669" s="95" t="s">
        <v>165</v>
      </c>
      <c r="D669" s="95" t="s">
        <v>91</v>
      </c>
      <c r="E669" s="95" t="s">
        <v>577</v>
      </c>
      <c r="F669" s="95">
        <v>7.0</v>
      </c>
      <c r="G669" s="95" t="s">
        <v>1214</v>
      </c>
      <c r="H669" s="63" t="str">
        <f>VLOOKUP(C669, 'Class Def. - General Data'!$C$20:$C$476,1,false)</f>
        <v>ZSR3_BUSS_TRAVEL</v>
      </c>
      <c r="I669" s="63" t="str">
        <f t="shared" si="1"/>
        <v>ZSR3_BUSS_TRAVEL7</v>
      </c>
      <c r="J669" s="63">
        <f t="shared" si="2"/>
        <v>1</v>
      </c>
    </row>
    <row r="670" ht="15.75" customHeight="1">
      <c r="A670" s="59" t="s">
        <v>93</v>
      </c>
      <c r="B670" s="95"/>
      <c r="C670" s="95" t="s">
        <v>165</v>
      </c>
      <c r="D670" s="95" t="s">
        <v>91</v>
      </c>
      <c r="E670" s="95" t="s">
        <v>577</v>
      </c>
      <c r="F670" s="95">
        <v>8.0</v>
      </c>
      <c r="G670" s="95" t="s">
        <v>1215</v>
      </c>
      <c r="H670" s="63" t="str">
        <f>VLOOKUP(C670, 'Class Def. - General Data'!$C$20:$C$476,1,false)</f>
        <v>ZSR3_BUSS_TRAVEL</v>
      </c>
      <c r="I670" s="63" t="str">
        <f t="shared" si="1"/>
        <v>ZSR3_BUSS_TRAVEL8</v>
      </c>
      <c r="J670" s="63">
        <f t="shared" si="2"/>
        <v>1</v>
      </c>
    </row>
    <row r="671" ht="15.75" customHeight="1">
      <c r="A671" s="59" t="s">
        <v>93</v>
      </c>
      <c r="B671" s="95"/>
      <c r="C671" s="95" t="s">
        <v>165</v>
      </c>
      <c r="D671" s="95" t="s">
        <v>91</v>
      </c>
      <c r="E671" s="95" t="s">
        <v>577</v>
      </c>
      <c r="F671" s="95">
        <v>9.0</v>
      </c>
      <c r="G671" s="95" t="s">
        <v>1216</v>
      </c>
      <c r="H671" s="63" t="str">
        <f>VLOOKUP(C671, 'Class Def. - General Data'!$C$20:$C$476,1,false)</f>
        <v>ZSR3_BUSS_TRAVEL</v>
      </c>
      <c r="I671" s="63" t="str">
        <f t="shared" si="1"/>
        <v>ZSR3_BUSS_TRAVEL9</v>
      </c>
      <c r="J671" s="63">
        <f t="shared" si="2"/>
        <v>1</v>
      </c>
    </row>
    <row r="672" ht="15.75" customHeight="1">
      <c r="A672" s="59" t="s">
        <v>93</v>
      </c>
      <c r="B672" s="95"/>
      <c r="C672" s="95" t="s">
        <v>165</v>
      </c>
      <c r="D672" s="95" t="s">
        <v>91</v>
      </c>
      <c r="E672" s="95" t="s">
        <v>577</v>
      </c>
      <c r="F672" s="95">
        <v>10.0</v>
      </c>
      <c r="G672" s="96" t="s">
        <v>1217</v>
      </c>
      <c r="H672" s="63" t="str">
        <f>VLOOKUP(C672, 'Class Def. - General Data'!$C$20:$C$476,1,false)</f>
        <v>ZSR3_BUSS_TRAVEL</v>
      </c>
      <c r="I672" s="63" t="str">
        <f t="shared" si="1"/>
        <v>ZSR3_BUSS_TRAVEL10</v>
      </c>
      <c r="J672" s="63">
        <f t="shared" si="2"/>
        <v>1</v>
      </c>
    </row>
    <row r="673" ht="15.75" customHeight="1">
      <c r="A673" s="59" t="s">
        <v>93</v>
      </c>
      <c r="B673" s="95"/>
      <c r="C673" s="95" t="s">
        <v>165</v>
      </c>
      <c r="D673" s="95" t="s">
        <v>91</v>
      </c>
      <c r="E673" s="95" t="s">
        <v>577</v>
      </c>
      <c r="F673" s="95">
        <v>11.0</v>
      </c>
      <c r="G673" s="95" t="s">
        <v>1218</v>
      </c>
      <c r="H673" s="63" t="str">
        <f>VLOOKUP(C673, 'Class Def. - General Data'!$C$20:$C$476,1,false)</f>
        <v>ZSR3_BUSS_TRAVEL</v>
      </c>
      <c r="I673" s="63" t="str">
        <f t="shared" si="1"/>
        <v>ZSR3_BUSS_TRAVEL11</v>
      </c>
      <c r="J673" s="63">
        <f t="shared" si="2"/>
        <v>1</v>
      </c>
    </row>
    <row r="674" ht="15.75" customHeight="1">
      <c r="A674" s="59" t="s">
        <v>93</v>
      </c>
      <c r="B674" s="95"/>
      <c r="C674" s="95" t="s">
        <v>165</v>
      </c>
      <c r="D674" s="95" t="s">
        <v>91</v>
      </c>
      <c r="E674" s="95" t="s">
        <v>577</v>
      </c>
      <c r="F674" s="95">
        <v>12.0</v>
      </c>
      <c r="G674" s="95" t="s">
        <v>1219</v>
      </c>
      <c r="H674" s="63" t="str">
        <f>VLOOKUP(C674, 'Class Def. - General Data'!$C$20:$C$476,1,false)</f>
        <v>ZSR3_BUSS_TRAVEL</v>
      </c>
      <c r="I674" s="63" t="str">
        <f t="shared" si="1"/>
        <v>ZSR3_BUSS_TRAVEL12</v>
      </c>
      <c r="J674" s="63">
        <f t="shared" si="2"/>
        <v>1</v>
      </c>
    </row>
    <row r="675" ht="15.75" customHeight="1">
      <c r="A675" s="59" t="s">
        <v>93</v>
      </c>
      <c r="B675" s="95"/>
      <c r="C675" s="95" t="s">
        <v>165</v>
      </c>
      <c r="D675" s="95" t="s">
        <v>91</v>
      </c>
      <c r="E675" s="95" t="s">
        <v>577</v>
      </c>
      <c r="F675" s="95">
        <v>13.0</v>
      </c>
      <c r="G675" s="95" t="s">
        <v>1220</v>
      </c>
      <c r="H675" s="63" t="str">
        <f>VLOOKUP(C675, 'Class Def. - General Data'!$C$20:$C$476,1,false)</f>
        <v>ZSR3_BUSS_TRAVEL</v>
      </c>
      <c r="I675" s="63" t="str">
        <f t="shared" si="1"/>
        <v>ZSR3_BUSS_TRAVEL13</v>
      </c>
      <c r="J675" s="63">
        <f t="shared" si="2"/>
        <v>1</v>
      </c>
    </row>
    <row r="676" ht="15.75" customHeight="1">
      <c r="A676" s="59" t="s">
        <v>93</v>
      </c>
      <c r="B676" s="95"/>
      <c r="C676" s="95" t="s">
        <v>166</v>
      </c>
      <c r="D676" s="95" t="s">
        <v>91</v>
      </c>
      <c r="E676" s="95" t="s">
        <v>577</v>
      </c>
      <c r="F676" s="95">
        <v>1.0</v>
      </c>
      <c r="G676" s="95" t="s">
        <v>1221</v>
      </c>
      <c r="H676" s="63" t="str">
        <f>VLOOKUP(C676, 'Class Def. - General Data'!$C$20:$C$476,1,false)</f>
        <v>ZSR3_EMP_RWD_INCTV</v>
      </c>
      <c r="I676" s="63" t="str">
        <f t="shared" si="1"/>
        <v>ZSR3_EMP_RWD_INCTV1</v>
      </c>
      <c r="J676" s="63">
        <f t="shared" si="2"/>
        <v>1</v>
      </c>
    </row>
    <row r="677" ht="15.75" customHeight="1">
      <c r="A677" s="59" t="s">
        <v>93</v>
      </c>
      <c r="B677" s="95"/>
      <c r="C677" s="95" t="s">
        <v>166</v>
      </c>
      <c r="D677" s="95" t="s">
        <v>91</v>
      </c>
      <c r="E677" s="95" t="s">
        <v>577</v>
      </c>
      <c r="F677" s="95">
        <v>2.0</v>
      </c>
      <c r="G677" s="95" t="s">
        <v>1222</v>
      </c>
      <c r="H677" s="63" t="str">
        <f>VLOOKUP(C677, 'Class Def. - General Data'!$C$20:$C$476,1,false)</f>
        <v>ZSR3_EMP_RWD_INCTV</v>
      </c>
      <c r="I677" s="63" t="str">
        <f t="shared" si="1"/>
        <v>ZSR3_EMP_RWD_INCTV2</v>
      </c>
      <c r="J677" s="63">
        <f t="shared" si="2"/>
        <v>1</v>
      </c>
    </row>
    <row r="678" ht="15.75" customHeight="1">
      <c r="A678" s="59" t="s">
        <v>93</v>
      </c>
      <c r="B678" s="95"/>
      <c r="C678" s="95" t="s">
        <v>166</v>
      </c>
      <c r="D678" s="95" t="s">
        <v>91</v>
      </c>
      <c r="E678" s="95" t="s">
        <v>577</v>
      </c>
      <c r="F678" s="95">
        <v>3.0</v>
      </c>
      <c r="G678" s="95" t="s">
        <v>1223</v>
      </c>
      <c r="H678" s="63" t="str">
        <f>VLOOKUP(C678, 'Class Def. - General Data'!$C$20:$C$476,1,false)</f>
        <v>ZSR3_EMP_RWD_INCTV</v>
      </c>
      <c r="I678" s="63" t="str">
        <f t="shared" si="1"/>
        <v>ZSR3_EMP_RWD_INCTV3</v>
      </c>
      <c r="J678" s="63">
        <f t="shared" si="2"/>
        <v>1</v>
      </c>
    </row>
    <row r="679" ht="15.75" customHeight="1">
      <c r="A679" s="59" t="s">
        <v>93</v>
      </c>
      <c r="B679" s="95"/>
      <c r="C679" s="95" t="s">
        <v>166</v>
      </c>
      <c r="D679" s="95" t="s">
        <v>91</v>
      </c>
      <c r="E679" s="95" t="s">
        <v>577</v>
      </c>
      <c r="F679" s="95">
        <v>4.0</v>
      </c>
      <c r="G679" s="96" t="s">
        <v>1224</v>
      </c>
      <c r="H679" s="63" t="str">
        <f>VLOOKUP(C679, 'Class Def. - General Data'!$C$20:$C$476,1,false)</f>
        <v>ZSR3_EMP_RWD_INCTV</v>
      </c>
      <c r="I679" s="63" t="str">
        <f t="shared" si="1"/>
        <v>ZSR3_EMP_RWD_INCTV4</v>
      </c>
      <c r="J679" s="63">
        <f t="shared" si="2"/>
        <v>1</v>
      </c>
    </row>
    <row r="680" ht="15.75" customHeight="1">
      <c r="A680" s="59" t="s">
        <v>93</v>
      </c>
      <c r="B680" s="95"/>
      <c r="C680" s="95" t="s">
        <v>166</v>
      </c>
      <c r="D680" s="95" t="s">
        <v>91</v>
      </c>
      <c r="E680" s="95" t="s">
        <v>577</v>
      </c>
      <c r="F680" s="95">
        <v>5.0</v>
      </c>
      <c r="G680" s="95" t="s">
        <v>1225</v>
      </c>
      <c r="H680" s="63" t="str">
        <f>VLOOKUP(C680, 'Class Def. - General Data'!$C$20:$C$476,1,false)</f>
        <v>ZSR3_EMP_RWD_INCTV</v>
      </c>
      <c r="I680" s="63" t="str">
        <f t="shared" si="1"/>
        <v>ZSR3_EMP_RWD_INCTV5</v>
      </c>
      <c r="J680" s="63">
        <f t="shared" si="2"/>
        <v>1</v>
      </c>
    </row>
    <row r="681" ht="15.75" customHeight="1">
      <c r="A681" s="59" t="s">
        <v>93</v>
      </c>
      <c r="B681" s="95"/>
      <c r="C681" s="95" t="s">
        <v>166</v>
      </c>
      <c r="D681" s="95" t="s">
        <v>91</v>
      </c>
      <c r="E681" s="95" t="s">
        <v>577</v>
      </c>
      <c r="F681" s="95">
        <v>6.0</v>
      </c>
      <c r="G681" s="96" t="s">
        <v>1226</v>
      </c>
      <c r="H681" s="63" t="str">
        <f>VLOOKUP(C681, 'Class Def. - General Data'!$C$20:$C$476,1,false)</f>
        <v>ZSR3_EMP_RWD_INCTV</v>
      </c>
      <c r="I681" s="63" t="str">
        <f t="shared" si="1"/>
        <v>ZSR3_EMP_RWD_INCTV6</v>
      </c>
      <c r="J681" s="63">
        <f t="shared" si="2"/>
        <v>1</v>
      </c>
    </row>
    <row r="682" ht="15.75" customHeight="1">
      <c r="A682" s="59" t="s">
        <v>93</v>
      </c>
      <c r="B682" s="95"/>
      <c r="C682" s="95" t="s">
        <v>166</v>
      </c>
      <c r="D682" s="95" t="s">
        <v>91</v>
      </c>
      <c r="E682" s="95" t="s">
        <v>577</v>
      </c>
      <c r="F682" s="95">
        <v>7.0</v>
      </c>
      <c r="G682" s="95" t="s">
        <v>1227</v>
      </c>
      <c r="H682" s="63" t="str">
        <f>VLOOKUP(C682, 'Class Def. - General Data'!$C$20:$C$476,1,false)</f>
        <v>ZSR3_EMP_RWD_INCTV</v>
      </c>
      <c r="I682" s="63" t="str">
        <f t="shared" si="1"/>
        <v>ZSR3_EMP_RWD_INCTV7</v>
      </c>
      <c r="J682" s="63">
        <f t="shared" si="2"/>
        <v>1</v>
      </c>
    </row>
    <row r="683" ht="15.75" customHeight="1">
      <c r="A683" s="59" t="s">
        <v>93</v>
      </c>
      <c r="B683" s="95"/>
      <c r="C683" s="95" t="s">
        <v>166</v>
      </c>
      <c r="D683" s="95" t="s">
        <v>91</v>
      </c>
      <c r="E683" s="95" t="s">
        <v>577</v>
      </c>
      <c r="F683" s="95">
        <v>8.0</v>
      </c>
      <c r="G683" s="95" t="s">
        <v>1228</v>
      </c>
      <c r="H683" s="63" t="str">
        <f>VLOOKUP(C683, 'Class Def. - General Data'!$C$20:$C$476,1,false)</f>
        <v>ZSR3_EMP_RWD_INCTV</v>
      </c>
      <c r="I683" s="63" t="str">
        <f t="shared" si="1"/>
        <v>ZSR3_EMP_RWD_INCTV8</v>
      </c>
      <c r="J683" s="63">
        <f t="shared" si="2"/>
        <v>1</v>
      </c>
    </row>
    <row r="684" ht="15.75" customHeight="1">
      <c r="A684" s="59" t="s">
        <v>93</v>
      </c>
      <c r="B684" s="95"/>
      <c r="C684" s="95" t="s">
        <v>166</v>
      </c>
      <c r="D684" s="95" t="s">
        <v>91</v>
      </c>
      <c r="E684" s="95" t="s">
        <v>577</v>
      </c>
      <c r="F684" s="95">
        <v>9.0</v>
      </c>
      <c r="G684" s="96" t="s">
        <v>1229</v>
      </c>
      <c r="H684" s="63" t="str">
        <f>VLOOKUP(C684, 'Class Def. - General Data'!$C$20:$C$476,1,false)</f>
        <v>ZSR3_EMP_RWD_INCTV</v>
      </c>
      <c r="I684" s="63" t="str">
        <f t="shared" si="1"/>
        <v>ZSR3_EMP_RWD_INCTV9</v>
      </c>
      <c r="J684" s="63">
        <f t="shared" si="2"/>
        <v>1</v>
      </c>
    </row>
    <row r="685" ht="15.75" customHeight="1">
      <c r="A685" s="59" t="s">
        <v>93</v>
      </c>
      <c r="B685" s="95"/>
      <c r="C685" s="95" t="s">
        <v>166</v>
      </c>
      <c r="D685" s="95" t="s">
        <v>91</v>
      </c>
      <c r="E685" s="95" t="s">
        <v>577</v>
      </c>
      <c r="F685" s="95">
        <v>10.0</v>
      </c>
      <c r="G685" s="95" t="s">
        <v>1229</v>
      </c>
      <c r="H685" s="63" t="str">
        <f>VLOOKUP(C685, 'Class Def. - General Data'!$C$20:$C$476,1,false)</f>
        <v>ZSR3_EMP_RWD_INCTV</v>
      </c>
      <c r="I685" s="63" t="str">
        <f t="shared" si="1"/>
        <v>ZSR3_EMP_RWD_INCTV10</v>
      </c>
      <c r="J685" s="63">
        <f t="shared" si="2"/>
        <v>1</v>
      </c>
    </row>
    <row r="686" ht="15.75" customHeight="1">
      <c r="A686" s="59" t="s">
        <v>93</v>
      </c>
      <c r="B686" s="95"/>
      <c r="C686" s="95" t="s">
        <v>166</v>
      </c>
      <c r="D686" s="95" t="s">
        <v>91</v>
      </c>
      <c r="E686" s="95" t="s">
        <v>577</v>
      </c>
      <c r="F686" s="95">
        <v>11.0</v>
      </c>
      <c r="G686" s="95" t="s">
        <v>1230</v>
      </c>
      <c r="H686" s="63" t="str">
        <f>VLOOKUP(C686, 'Class Def. - General Data'!$C$20:$C$476,1,false)</f>
        <v>ZSR3_EMP_RWD_INCTV</v>
      </c>
      <c r="I686" s="63" t="str">
        <f t="shared" si="1"/>
        <v>ZSR3_EMP_RWD_INCTV11</v>
      </c>
      <c r="J686" s="63">
        <f t="shared" si="2"/>
        <v>1</v>
      </c>
    </row>
    <row r="687" ht="15.75" customHeight="1">
      <c r="A687" s="59" t="s">
        <v>93</v>
      </c>
      <c r="B687" s="95"/>
      <c r="C687" s="95" t="s">
        <v>166</v>
      </c>
      <c r="D687" s="95" t="s">
        <v>91</v>
      </c>
      <c r="E687" s="95" t="s">
        <v>577</v>
      </c>
      <c r="F687" s="95">
        <v>12.0</v>
      </c>
      <c r="G687" s="95" t="s">
        <v>1231</v>
      </c>
      <c r="H687" s="63" t="str">
        <f>VLOOKUP(C687, 'Class Def. - General Data'!$C$20:$C$476,1,false)</f>
        <v>ZSR3_EMP_RWD_INCTV</v>
      </c>
      <c r="I687" s="63" t="str">
        <f t="shared" si="1"/>
        <v>ZSR3_EMP_RWD_INCTV12</v>
      </c>
      <c r="J687" s="63">
        <f t="shared" si="2"/>
        <v>1</v>
      </c>
    </row>
    <row r="688" ht="15.75" customHeight="1">
      <c r="A688" s="59" t="s">
        <v>93</v>
      </c>
      <c r="B688" s="95"/>
      <c r="C688" s="95" t="s">
        <v>166</v>
      </c>
      <c r="D688" s="95" t="s">
        <v>91</v>
      </c>
      <c r="E688" s="95" t="s">
        <v>577</v>
      </c>
      <c r="F688" s="95">
        <v>13.0</v>
      </c>
      <c r="G688" s="95" t="s">
        <v>1217</v>
      </c>
      <c r="H688" s="63" t="str">
        <f>VLOOKUP(C688, 'Class Def. - General Data'!$C$20:$C$476,1,false)</f>
        <v>ZSR3_EMP_RWD_INCTV</v>
      </c>
      <c r="I688" s="63" t="str">
        <f t="shared" si="1"/>
        <v>ZSR3_EMP_RWD_INCTV13</v>
      </c>
      <c r="J688" s="63">
        <f t="shared" si="2"/>
        <v>1</v>
      </c>
    </row>
    <row r="689" ht="15.75" customHeight="1">
      <c r="A689" s="59" t="s">
        <v>93</v>
      </c>
      <c r="B689" s="95"/>
      <c r="C689" s="95" t="s">
        <v>166</v>
      </c>
      <c r="D689" s="95" t="s">
        <v>91</v>
      </c>
      <c r="E689" s="95" t="s">
        <v>577</v>
      </c>
      <c r="F689" s="95">
        <v>14.0</v>
      </c>
      <c r="G689" s="96" t="s">
        <v>1232</v>
      </c>
      <c r="H689" s="63" t="str">
        <f>VLOOKUP(C689, 'Class Def. - General Data'!$C$20:$C$476,1,false)</f>
        <v>ZSR3_EMP_RWD_INCTV</v>
      </c>
      <c r="I689" s="63" t="str">
        <f t="shared" si="1"/>
        <v>ZSR3_EMP_RWD_INCTV14</v>
      </c>
      <c r="J689" s="63">
        <f t="shared" si="2"/>
        <v>1</v>
      </c>
    </row>
    <row r="690" ht="15.75" customHeight="1">
      <c r="A690" s="59" t="s">
        <v>93</v>
      </c>
      <c r="B690" s="95"/>
      <c r="C690" s="95" t="s">
        <v>166</v>
      </c>
      <c r="D690" s="95" t="s">
        <v>91</v>
      </c>
      <c r="E690" s="95" t="s">
        <v>577</v>
      </c>
      <c r="F690" s="95">
        <v>15.0</v>
      </c>
      <c r="G690" s="96" t="s">
        <v>1233</v>
      </c>
      <c r="H690" s="63" t="str">
        <f>VLOOKUP(C690, 'Class Def. - General Data'!$C$20:$C$476,1,false)</f>
        <v>ZSR3_EMP_RWD_INCTV</v>
      </c>
      <c r="I690" s="63" t="str">
        <f t="shared" si="1"/>
        <v>ZSR3_EMP_RWD_INCTV15</v>
      </c>
      <c r="J690" s="63">
        <f t="shared" si="2"/>
        <v>1</v>
      </c>
    </row>
    <row r="691" ht="15.75" customHeight="1">
      <c r="A691" s="59" t="s">
        <v>93</v>
      </c>
      <c r="B691" s="95"/>
      <c r="C691" s="95" t="s">
        <v>166</v>
      </c>
      <c r="D691" s="95" t="s">
        <v>91</v>
      </c>
      <c r="E691" s="95" t="s">
        <v>577</v>
      </c>
      <c r="F691" s="95">
        <v>16.0</v>
      </c>
      <c r="G691" s="95" t="s">
        <v>1234</v>
      </c>
      <c r="H691" s="63" t="str">
        <f>VLOOKUP(C691, 'Class Def. - General Data'!$C$20:$C$476,1,false)</f>
        <v>ZSR3_EMP_RWD_INCTV</v>
      </c>
      <c r="I691" s="63" t="str">
        <f t="shared" si="1"/>
        <v>ZSR3_EMP_RWD_INCTV16</v>
      </c>
      <c r="J691" s="63">
        <f t="shared" si="2"/>
        <v>1</v>
      </c>
    </row>
    <row r="692" ht="15.75" customHeight="1">
      <c r="A692" s="59" t="s">
        <v>93</v>
      </c>
      <c r="B692" s="95"/>
      <c r="C692" s="95" t="s">
        <v>167</v>
      </c>
      <c r="D692" s="95" t="s">
        <v>91</v>
      </c>
      <c r="E692" s="95" t="s">
        <v>577</v>
      </c>
      <c r="F692" s="95">
        <v>1.0</v>
      </c>
      <c r="G692" s="95" t="s">
        <v>1235</v>
      </c>
      <c r="H692" s="63" t="str">
        <f>VLOOKUP(C692, 'Class Def. - General Data'!$C$20:$C$476,1,false)</f>
        <v>ZSR3_FABRIKASI</v>
      </c>
      <c r="I692" s="63" t="str">
        <f t="shared" si="1"/>
        <v>ZSR3_FABRIKASI1</v>
      </c>
      <c r="J692" s="63">
        <f t="shared" si="2"/>
        <v>1</v>
      </c>
    </row>
    <row r="693" ht="15.75" customHeight="1">
      <c r="A693" s="59" t="s">
        <v>93</v>
      </c>
      <c r="B693" s="95"/>
      <c r="C693" s="95" t="s">
        <v>168</v>
      </c>
      <c r="D693" s="95" t="s">
        <v>91</v>
      </c>
      <c r="E693" s="95" t="s">
        <v>577</v>
      </c>
      <c r="F693" s="95">
        <v>1.0</v>
      </c>
      <c r="G693" s="95" t="s">
        <v>1236</v>
      </c>
      <c r="H693" s="63" t="str">
        <f>VLOOKUP(C693, 'Class Def. - General Data'!$C$20:$C$476,1,false)</f>
        <v>ZSR3_HR_DEVLOPMENT</v>
      </c>
      <c r="I693" s="63" t="str">
        <f t="shared" si="1"/>
        <v>ZSR3_HR_DEVLOPMENT1</v>
      </c>
      <c r="J693" s="63">
        <f t="shared" si="2"/>
        <v>1</v>
      </c>
    </row>
    <row r="694" ht="15.75" customHeight="1">
      <c r="A694" s="59" t="s">
        <v>93</v>
      </c>
      <c r="B694" s="95"/>
      <c r="C694" s="95" t="s">
        <v>168</v>
      </c>
      <c r="D694" s="95" t="s">
        <v>91</v>
      </c>
      <c r="E694" s="95" t="s">
        <v>577</v>
      </c>
      <c r="F694" s="95">
        <v>2.0</v>
      </c>
      <c r="G694" s="95" t="s">
        <v>1237</v>
      </c>
      <c r="H694" s="63" t="str">
        <f>VLOOKUP(C694, 'Class Def. - General Data'!$C$20:$C$476,1,false)</f>
        <v>ZSR3_HR_DEVLOPMENT</v>
      </c>
      <c r="I694" s="63" t="str">
        <f t="shared" si="1"/>
        <v>ZSR3_HR_DEVLOPMENT2</v>
      </c>
      <c r="J694" s="63">
        <f t="shared" si="2"/>
        <v>1</v>
      </c>
    </row>
    <row r="695" ht="15.75" customHeight="1">
      <c r="A695" s="59" t="s">
        <v>93</v>
      </c>
      <c r="B695" s="95"/>
      <c r="C695" s="95" t="s">
        <v>168</v>
      </c>
      <c r="D695" s="95" t="s">
        <v>91</v>
      </c>
      <c r="E695" s="95" t="s">
        <v>577</v>
      </c>
      <c r="F695" s="95">
        <v>3.0</v>
      </c>
      <c r="G695" s="95" t="s">
        <v>1238</v>
      </c>
      <c r="H695" s="63" t="str">
        <f>VLOOKUP(C695, 'Class Def. - General Data'!$C$20:$C$476,1,false)</f>
        <v>ZSR3_HR_DEVLOPMENT</v>
      </c>
      <c r="I695" s="63" t="str">
        <f t="shared" si="1"/>
        <v>ZSR3_HR_DEVLOPMENT3</v>
      </c>
      <c r="J695" s="63">
        <f t="shared" si="2"/>
        <v>1</v>
      </c>
    </row>
    <row r="696" ht="15.75" customHeight="1">
      <c r="A696" s="59" t="s">
        <v>93</v>
      </c>
      <c r="B696" s="95"/>
      <c r="C696" s="95" t="s">
        <v>168</v>
      </c>
      <c r="D696" s="95" t="s">
        <v>91</v>
      </c>
      <c r="E696" s="95" t="s">
        <v>577</v>
      </c>
      <c r="F696" s="95">
        <v>4.0</v>
      </c>
      <c r="G696" s="95" t="s">
        <v>1239</v>
      </c>
      <c r="H696" s="63" t="str">
        <f>VLOOKUP(C696, 'Class Def. - General Data'!$C$20:$C$476,1,false)</f>
        <v>ZSR3_HR_DEVLOPMENT</v>
      </c>
      <c r="I696" s="63" t="str">
        <f t="shared" si="1"/>
        <v>ZSR3_HR_DEVLOPMENT4</v>
      </c>
      <c r="J696" s="63">
        <f t="shared" si="2"/>
        <v>1</v>
      </c>
    </row>
    <row r="697" ht="15.75" customHeight="1">
      <c r="A697" s="59" t="s">
        <v>93</v>
      </c>
      <c r="B697" s="95"/>
      <c r="C697" s="95" t="s">
        <v>168</v>
      </c>
      <c r="D697" s="95" t="s">
        <v>91</v>
      </c>
      <c r="E697" s="95" t="s">
        <v>577</v>
      </c>
      <c r="F697" s="95">
        <v>5.0</v>
      </c>
      <c r="G697" s="95" t="s">
        <v>1240</v>
      </c>
      <c r="H697" s="63" t="str">
        <f>VLOOKUP(C697, 'Class Def. - General Data'!$C$20:$C$476,1,false)</f>
        <v>ZSR3_HR_DEVLOPMENT</v>
      </c>
      <c r="I697" s="63" t="str">
        <f t="shared" si="1"/>
        <v>ZSR3_HR_DEVLOPMENT5</v>
      </c>
      <c r="J697" s="63">
        <f t="shared" si="2"/>
        <v>1</v>
      </c>
    </row>
    <row r="698" ht="15.75" customHeight="1">
      <c r="A698" s="59" t="s">
        <v>93</v>
      </c>
      <c r="B698" s="95"/>
      <c r="C698" s="95" t="s">
        <v>168</v>
      </c>
      <c r="D698" s="95" t="s">
        <v>91</v>
      </c>
      <c r="E698" s="95" t="s">
        <v>577</v>
      </c>
      <c r="F698" s="95">
        <v>6.0</v>
      </c>
      <c r="G698" s="95" t="s">
        <v>1241</v>
      </c>
      <c r="H698" s="63" t="str">
        <f>VLOOKUP(C698, 'Class Def. - General Data'!$C$20:$C$476,1,false)</f>
        <v>ZSR3_HR_DEVLOPMENT</v>
      </c>
      <c r="I698" s="63" t="str">
        <f t="shared" si="1"/>
        <v>ZSR3_HR_DEVLOPMENT6</v>
      </c>
      <c r="J698" s="63">
        <f t="shared" si="2"/>
        <v>1</v>
      </c>
    </row>
    <row r="699" ht="15.75" customHeight="1">
      <c r="A699" s="59" t="s">
        <v>93</v>
      </c>
      <c r="B699" s="95"/>
      <c r="C699" s="95" t="s">
        <v>168</v>
      </c>
      <c r="D699" s="95" t="s">
        <v>91</v>
      </c>
      <c r="E699" s="95" t="s">
        <v>577</v>
      </c>
      <c r="F699" s="95">
        <v>7.0</v>
      </c>
      <c r="G699" s="96" t="s">
        <v>1242</v>
      </c>
      <c r="H699" s="63" t="str">
        <f>VLOOKUP(C699, 'Class Def. - General Data'!$C$20:$C$476,1,false)</f>
        <v>ZSR3_HR_DEVLOPMENT</v>
      </c>
      <c r="I699" s="63" t="str">
        <f t="shared" si="1"/>
        <v>ZSR3_HR_DEVLOPMENT7</v>
      </c>
      <c r="J699" s="63">
        <f t="shared" si="2"/>
        <v>1</v>
      </c>
    </row>
    <row r="700" ht="15.75" customHeight="1">
      <c r="A700" s="59" t="s">
        <v>93</v>
      </c>
      <c r="B700" s="95"/>
      <c r="C700" s="95" t="s">
        <v>168</v>
      </c>
      <c r="D700" s="95" t="s">
        <v>91</v>
      </c>
      <c r="E700" s="95" t="s">
        <v>577</v>
      </c>
      <c r="F700" s="95">
        <v>8.0</v>
      </c>
      <c r="G700" s="96" t="s">
        <v>1243</v>
      </c>
      <c r="H700" s="63" t="str">
        <f>VLOOKUP(C700, 'Class Def. - General Data'!$C$20:$C$476,1,false)</f>
        <v>ZSR3_HR_DEVLOPMENT</v>
      </c>
      <c r="I700" s="63" t="str">
        <f t="shared" si="1"/>
        <v>ZSR3_HR_DEVLOPMENT8</v>
      </c>
      <c r="J700" s="63">
        <f t="shared" si="2"/>
        <v>1</v>
      </c>
    </row>
    <row r="701" ht="15.75" customHeight="1">
      <c r="A701" s="59" t="s">
        <v>93</v>
      </c>
      <c r="B701" s="95"/>
      <c r="C701" s="95" t="s">
        <v>168</v>
      </c>
      <c r="D701" s="95" t="s">
        <v>91</v>
      </c>
      <c r="E701" s="95" t="s">
        <v>577</v>
      </c>
      <c r="F701" s="95">
        <v>9.0</v>
      </c>
      <c r="G701" s="95" t="s">
        <v>1244</v>
      </c>
      <c r="H701" s="63" t="str">
        <f>VLOOKUP(C701, 'Class Def. - General Data'!$C$20:$C$476,1,false)</f>
        <v>ZSR3_HR_DEVLOPMENT</v>
      </c>
      <c r="I701" s="63" t="str">
        <f t="shared" si="1"/>
        <v>ZSR3_HR_DEVLOPMENT9</v>
      </c>
      <c r="J701" s="63">
        <f t="shared" si="2"/>
        <v>1</v>
      </c>
    </row>
    <row r="702" ht="15.75" customHeight="1">
      <c r="A702" s="59" t="s">
        <v>93</v>
      </c>
      <c r="B702" s="95"/>
      <c r="C702" s="95" t="s">
        <v>168</v>
      </c>
      <c r="D702" s="95" t="s">
        <v>91</v>
      </c>
      <c r="E702" s="95" t="s">
        <v>577</v>
      </c>
      <c r="F702" s="95">
        <v>10.0</v>
      </c>
      <c r="G702" s="95" t="s">
        <v>1245</v>
      </c>
      <c r="H702" s="63" t="str">
        <f>VLOOKUP(C702, 'Class Def. - General Data'!$C$20:$C$476,1,false)</f>
        <v>ZSR3_HR_DEVLOPMENT</v>
      </c>
      <c r="I702" s="63" t="str">
        <f t="shared" si="1"/>
        <v>ZSR3_HR_DEVLOPMENT10</v>
      </c>
      <c r="J702" s="63">
        <f t="shared" si="2"/>
        <v>1</v>
      </c>
    </row>
    <row r="703" ht="15.75" customHeight="1">
      <c r="A703" s="59" t="s">
        <v>93</v>
      </c>
      <c r="B703" s="95"/>
      <c r="C703" s="95" t="s">
        <v>168</v>
      </c>
      <c r="D703" s="95" t="s">
        <v>91</v>
      </c>
      <c r="E703" s="95" t="s">
        <v>577</v>
      </c>
      <c r="F703" s="95">
        <v>11.0</v>
      </c>
      <c r="G703" s="95" t="s">
        <v>1246</v>
      </c>
      <c r="H703" s="63" t="str">
        <f>VLOOKUP(C703, 'Class Def. - General Data'!$C$20:$C$476,1,false)</f>
        <v>ZSR3_HR_DEVLOPMENT</v>
      </c>
      <c r="I703" s="63" t="str">
        <f t="shared" si="1"/>
        <v>ZSR3_HR_DEVLOPMENT11</v>
      </c>
      <c r="J703" s="63">
        <f t="shared" si="2"/>
        <v>1</v>
      </c>
    </row>
    <row r="704" ht="15.75" customHeight="1">
      <c r="A704" s="59" t="s">
        <v>93</v>
      </c>
      <c r="B704" s="95"/>
      <c r="C704" s="95" t="s">
        <v>169</v>
      </c>
      <c r="D704" s="95" t="s">
        <v>91</v>
      </c>
      <c r="E704" s="95" t="s">
        <v>577</v>
      </c>
      <c r="F704" s="95">
        <v>1.0</v>
      </c>
      <c r="G704" s="95" t="s">
        <v>1247</v>
      </c>
      <c r="H704" s="63" t="str">
        <f>VLOOKUP(C704, 'Class Def. - General Data'!$C$20:$C$476,1,false)</f>
        <v>ZSR3_INSTALASI</v>
      </c>
      <c r="I704" s="63" t="str">
        <f t="shared" si="1"/>
        <v>ZSR3_INSTALASI1</v>
      </c>
      <c r="J704" s="63">
        <f t="shared" si="2"/>
        <v>1</v>
      </c>
    </row>
    <row r="705" ht="15.75" customHeight="1">
      <c r="A705" s="59" t="s">
        <v>93</v>
      </c>
      <c r="B705" s="95"/>
      <c r="C705" s="95" t="s">
        <v>169</v>
      </c>
      <c r="D705" s="95" t="s">
        <v>91</v>
      </c>
      <c r="E705" s="95" t="s">
        <v>577</v>
      </c>
      <c r="F705" s="95">
        <v>2.0</v>
      </c>
      <c r="G705" s="95" t="s">
        <v>1248</v>
      </c>
      <c r="H705" s="63" t="str">
        <f>VLOOKUP(C705, 'Class Def. - General Data'!$C$20:$C$476,1,false)</f>
        <v>ZSR3_INSTALASI</v>
      </c>
      <c r="I705" s="63" t="str">
        <f t="shared" si="1"/>
        <v>ZSR3_INSTALASI2</v>
      </c>
      <c r="J705" s="63">
        <f t="shared" si="2"/>
        <v>1</v>
      </c>
    </row>
    <row r="706" ht="15.75" customHeight="1">
      <c r="A706" s="59" t="s">
        <v>93</v>
      </c>
      <c r="B706" s="95"/>
      <c r="C706" s="95" t="s">
        <v>169</v>
      </c>
      <c r="D706" s="95" t="s">
        <v>91</v>
      </c>
      <c r="E706" s="95" t="s">
        <v>577</v>
      </c>
      <c r="F706" s="95">
        <v>3.0</v>
      </c>
      <c r="G706" s="95" t="s">
        <v>1249</v>
      </c>
      <c r="H706" s="63" t="str">
        <f>VLOOKUP(C706, 'Class Def. - General Data'!$C$20:$C$476,1,false)</f>
        <v>ZSR3_INSTALASI</v>
      </c>
      <c r="I706" s="63" t="str">
        <f t="shared" si="1"/>
        <v>ZSR3_INSTALASI3</v>
      </c>
      <c r="J706" s="63">
        <f t="shared" si="2"/>
        <v>1</v>
      </c>
    </row>
    <row r="707" ht="15.75" customHeight="1">
      <c r="A707" s="59" t="s">
        <v>93</v>
      </c>
      <c r="B707" s="95"/>
      <c r="C707" s="95" t="s">
        <v>169</v>
      </c>
      <c r="D707" s="95" t="s">
        <v>91</v>
      </c>
      <c r="E707" s="95" t="s">
        <v>577</v>
      </c>
      <c r="F707" s="95">
        <v>4.0</v>
      </c>
      <c r="G707" s="95" t="s">
        <v>1250</v>
      </c>
      <c r="H707" s="63" t="str">
        <f>VLOOKUP(C707, 'Class Def. - General Data'!$C$20:$C$476,1,false)</f>
        <v>ZSR3_INSTALASI</v>
      </c>
      <c r="I707" s="63" t="str">
        <f t="shared" si="1"/>
        <v>ZSR3_INSTALASI4</v>
      </c>
      <c r="J707" s="63">
        <f t="shared" si="2"/>
        <v>1</v>
      </c>
    </row>
    <row r="708" ht="15.75" customHeight="1">
      <c r="A708" s="59" t="s">
        <v>93</v>
      </c>
      <c r="B708" s="95"/>
      <c r="C708" s="95" t="s">
        <v>169</v>
      </c>
      <c r="D708" s="95" t="s">
        <v>91</v>
      </c>
      <c r="E708" s="95" t="s">
        <v>577</v>
      </c>
      <c r="F708" s="95">
        <v>5.0</v>
      </c>
      <c r="G708" s="95" t="s">
        <v>1251</v>
      </c>
      <c r="H708" s="63" t="str">
        <f>VLOOKUP(C708, 'Class Def. - General Data'!$C$20:$C$476,1,false)</f>
        <v>ZSR3_INSTALASI</v>
      </c>
      <c r="I708" s="63" t="str">
        <f t="shared" si="1"/>
        <v>ZSR3_INSTALASI5</v>
      </c>
      <c r="J708" s="63">
        <f t="shared" si="2"/>
        <v>1</v>
      </c>
    </row>
    <row r="709" ht="15.75" customHeight="1">
      <c r="A709" s="59" t="s">
        <v>93</v>
      </c>
      <c r="B709" s="95"/>
      <c r="C709" s="95" t="s">
        <v>169</v>
      </c>
      <c r="D709" s="95" t="s">
        <v>91</v>
      </c>
      <c r="E709" s="95" t="s">
        <v>577</v>
      </c>
      <c r="F709" s="95">
        <v>6.0</v>
      </c>
      <c r="G709" s="95" t="s">
        <v>1252</v>
      </c>
      <c r="H709" s="63" t="str">
        <f>VLOOKUP(C709, 'Class Def. - General Data'!$C$20:$C$476,1,false)</f>
        <v>ZSR3_INSTALASI</v>
      </c>
      <c r="I709" s="63" t="str">
        <f t="shared" si="1"/>
        <v>ZSR3_INSTALASI6</v>
      </c>
      <c r="J709" s="63">
        <f t="shared" si="2"/>
        <v>1</v>
      </c>
    </row>
    <row r="710" ht="15.75" customHeight="1">
      <c r="A710" s="59" t="s">
        <v>93</v>
      </c>
      <c r="B710" s="95"/>
      <c r="C710" s="95" t="s">
        <v>181</v>
      </c>
      <c r="D710" s="95" t="s">
        <v>91</v>
      </c>
      <c r="E710" s="95" t="s">
        <v>577</v>
      </c>
      <c r="F710" s="95">
        <v>1.0</v>
      </c>
      <c r="G710" s="95" t="s">
        <v>1253</v>
      </c>
      <c r="H710" s="63" t="str">
        <f>VLOOKUP(C710, 'Class Def. - General Data'!$C$20:$C$476,1,false)</f>
        <v>ZSR3_SEWA</v>
      </c>
      <c r="I710" s="63" t="str">
        <f t="shared" si="1"/>
        <v>ZSR3_SEWA1</v>
      </c>
      <c r="J710" s="63">
        <f t="shared" si="2"/>
        <v>1</v>
      </c>
    </row>
    <row r="711" ht="15.75" customHeight="1">
      <c r="A711" s="59" t="s">
        <v>93</v>
      </c>
      <c r="B711" s="95"/>
      <c r="C711" s="95" t="s">
        <v>181</v>
      </c>
      <c r="D711" s="95" t="s">
        <v>91</v>
      </c>
      <c r="E711" s="95" t="s">
        <v>577</v>
      </c>
      <c r="F711" s="95">
        <v>2.0</v>
      </c>
      <c r="G711" s="96" t="s">
        <v>1254</v>
      </c>
      <c r="H711" s="63" t="str">
        <f>VLOOKUP(C711, 'Class Def. - General Data'!$C$20:$C$476,1,false)</f>
        <v>ZSR3_SEWA</v>
      </c>
      <c r="I711" s="63" t="str">
        <f t="shared" si="1"/>
        <v>ZSR3_SEWA2</v>
      </c>
      <c r="J711" s="63">
        <f t="shared" si="2"/>
        <v>1</v>
      </c>
    </row>
    <row r="712" ht="15.75" customHeight="1">
      <c r="A712" s="59" t="s">
        <v>93</v>
      </c>
      <c r="B712" s="95"/>
      <c r="C712" s="95" t="s">
        <v>181</v>
      </c>
      <c r="D712" s="95" t="s">
        <v>91</v>
      </c>
      <c r="E712" s="95" t="s">
        <v>577</v>
      </c>
      <c r="F712" s="96">
        <v>3.0</v>
      </c>
      <c r="G712" s="95" t="s">
        <v>1255</v>
      </c>
      <c r="H712" s="63" t="str">
        <f>VLOOKUP(C712, 'Class Def. - General Data'!$C$20:$C$476,1,false)</f>
        <v>ZSR3_SEWA</v>
      </c>
      <c r="I712" s="63" t="str">
        <f t="shared" si="1"/>
        <v>ZSR3_SEWA3</v>
      </c>
      <c r="J712" s="63">
        <f t="shared" si="2"/>
        <v>1</v>
      </c>
    </row>
    <row r="713" ht="15.75" customHeight="1">
      <c r="A713" s="59" t="s">
        <v>93</v>
      </c>
      <c r="B713" s="95"/>
      <c r="C713" s="95" t="s">
        <v>170</v>
      </c>
      <c r="D713" s="95" t="s">
        <v>91</v>
      </c>
      <c r="E713" s="95" t="s">
        <v>577</v>
      </c>
      <c r="F713" s="95">
        <v>1.0</v>
      </c>
      <c r="G713" s="95" t="s">
        <v>1256</v>
      </c>
      <c r="H713" s="63" t="str">
        <f>VLOOKUP(C713, 'Class Def. - General Data'!$C$20:$C$476,1,false)</f>
        <v>ZSR3_JASA_DESAIN</v>
      </c>
      <c r="I713" s="63" t="str">
        <f t="shared" si="1"/>
        <v>ZSR3_JASA_DESAIN1</v>
      </c>
      <c r="J713" s="63">
        <f t="shared" si="2"/>
        <v>1</v>
      </c>
    </row>
    <row r="714" ht="15.75" customHeight="1">
      <c r="A714" s="59" t="s">
        <v>93</v>
      </c>
      <c r="B714" s="95"/>
      <c r="C714" s="95" t="s">
        <v>170</v>
      </c>
      <c r="D714" s="95" t="s">
        <v>91</v>
      </c>
      <c r="E714" s="95" t="s">
        <v>577</v>
      </c>
      <c r="F714" s="95">
        <v>2.0</v>
      </c>
      <c r="G714" s="95" t="s">
        <v>1257</v>
      </c>
      <c r="H714" s="63" t="str">
        <f>VLOOKUP(C714, 'Class Def. - General Data'!$C$20:$C$476,1,false)</f>
        <v>ZSR3_JASA_DESAIN</v>
      </c>
      <c r="I714" s="63" t="str">
        <f t="shared" si="1"/>
        <v>ZSR3_JASA_DESAIN2</v>
      </c>
      <c r="J714" s="63">
        <f t="shared" si="2"/>
        <v>1</v>
      </c>
    </row>
    <row r="715" ht="15.75" customHeight="1">
      <c r="A715" s="59" t="s">
        <v>93</v>
      </c>
      <c r="B715" s="95"/>
      <c r="C715" s="95" t="s">
        <v>170</v>
      </c>
      <c r="D715" s="95" t="s">
        <v>91</v>
      </c>
      <c r="E715" s="95" t="s">
        <v>577</v>
      </c>
      <c r="F715" s="95">
        <v>3.0</v>
      </c>
      <c r="G715" s="95" t="s">
        <v>1258</v>
      </c>
      <c r="H715" s="63" t="str">
        <f>VLOOKUP(C715, 'Class Def. - General Data'!$C$20:$C$476,1,false)</f>
        <v>ZSR3_JASA_DESAIN</v>
      </c>
      <c r="I715" s="63" t="str">
        <f t="shared" si="1"/>
        <v>ZSR3_JASA_DESAIN3</v>
      </c>
      <c r="J715" s="63">
        <f t="shared" si="2"/>
        <v>1</v>
      </c>
    </row>
    <row r="716" ht="15.75" customHeight="1">
      <c r="A716" s="59" t="s">
        <v>93</v>
      </c>
      <c r="B716" s="95"/>
      <c r="C716" s="95" t="s">
        <v>170</v>
      </c>
      <c r="D716" s="95" t="s">
        <v>91</v>
      </c>
      <c r="E716" s="95" t="s">
        <v>577</v>
      </c>
      <c r="F716" s="95">
        <v>4.0</v>
      </c>
      <c r="G716" s="95" t="s">
        <v>1259</v>
      </c>
      <c r="H716" s="63" t="str">
        <f>VLOOKUP(C716, 'Class Def. - General Data'!$C$20:$C$476,1,false)</f>
        <v>ZSR3_JASA_DESAIN</v>
      </c>
      <c r="I716" s="63" t="str">
        <f t="shared" si="1"/>
        <v>ZSR3_JASA_DESAIN4</v>
      </c>
      <c r="J716" s="63">
        <f t="shared" si="2"/>
        <v>1</v>
      </c>
    </row>
    <row r="717" ht="15.75" customHeight="1">
      <c r="A717" s="59" t="s">
        <v>93</v>
      </c>
      <c r="B717" s="95"/>
      <c r="C717" s="95" t="s">
        <v>170</v>
      </c>
      <c r="D717" s="95" t="s">
        <v>91</v>
      </c>
      <c r="E717" s="95" t="s">
        <v>577</v>
      </c>
      <c r="F717" s="95">
        <v>5.0</v>
      </c>
      <c r="G717" s="95" t="s">
        <v>1260</v>
      </c>
      <c r="H717" s="63" t="str">
        <f>VLOOKUP(C717, 'Class Def. - General Data'!$C$20:$C$476,1,false)</f>
        <v>ZSR3_JASA_DESAIN</v>
      </c>
      <c r="I717" s="63" t="str">
        <f t="shared" si="1"/>
        <v>ZSR3_JASA_DESAIN5</v>
      </c>
      <c r="J717" s="63">
        <f t="shared" si="2"/>
        <v>1</v>
      </c>
    </row>
    <row r="718" ht="15.75" customHeight="1">
      <c r="A718" s="59" t="s">
        <v>93</v>
      </c>
      <c r="B718" s="95"/>
      <c r="C718" s="95" t="s">
        <v>170</v>
      </c>
      <c r="D718" s="95" t="s">
        <v>91</v>
      </c>
      <c r="E718" s="95" t="s">
        <v>577</v>
      </c>
      <c r="F718" s="95">
        <v>6.0</v>
      </c>
      <c r="G718" s="95" t="s">
        <v>1261</v>
      </c>
      <c r="H718" s="63" t="str">
        <f>VLOOKUP(C718, 'Class Def. - General Data'!$C$20:$C$476,1,false)</f>
        <v>ZSR3_JASA_DESAIN</v>
      </c>
      <c r="I718" s="63" t="str">
        <f t="shared" si="1"/>
        <v>ZSR3_JASA_DESAIN6</v>
      </c>
      <c r="J718" s="63">
        <f t="shared" si="2"/>
        <v>1</v>
      </c>
    </row>
    <row r="719" ht="15.75" customHeight="1">
      <c r="A719" s="59" t="s">
        <v>93</v>
      </c>
      <c r="B719" s="95"/>
      <c r="C719" s="95" t="s">
        <v>170</v>
      </c>
      <c r="D719" s="95" t="s">
        <v>91</v>
      </c>
      <c r="E719" s="95" t="s">
        <v>577</v>
      </c>
      <c r="F719" s="95">
        <v>7.0</v>
      </c>
      <c r="G719" s="95" t="s">
        <v>1262</v>
      </c>
      <c r="H719" s="63" t="str">
        <f>VLOOKUP(C719, 'Class Def. - General Data'!$C$20:$C$476,1,false)</f>
        <v>ZSR3_JASA_DESAIN</v>
      </c>
      <c r="I719" s="63" t="str">
        <f t="shared" si="1"/>
        <v>ZSR3_JASA_DESAIN7</v>
      </c>
      <c r="J719" s="63">
        <f t="shared" si="2"/>
        <v>1</v>
      </c>
    </row>
    <row r="720" ht="15.75" customHeight="1">
      <c r="A720" s="59" t="s">
        <v>93</v>
      </c>
      <c r="B720" s="95"/>
      <c r="C720" s="95" t="s">
        <v>170</v>
      </c>
      <c r="D720" s="95" t="s">
        <v>91</v>
      </c>
      <c r="E720" s="95" t="s">
        <v>577</v>
      </c>
      <c r="F720" s="95">
        <v>8.0</v>
      </c>
      <c r="G720" s="95" t="s">
        <v>1263</v>
      </c>
      <c r="H720" s="63" t="str">
        <f>VLOOKUP(C720, 'Class Def. - General Data'!$C$20:$C$476,1,false)</f>
        <v>ZSR3_JASA_DESAIN</v>
      </c>
      <c r="I720" s="63" t="str">
        <f t="shared" si="1"/>
        <v>ZSR3_JASA_DESAIN8</v>
      </c>
      <c r="J720" s="63">
        <f t="shared" si="2"/>
        <v>1</v>
      </c>
    </row>
    <row r="721" ht="15.75" customHeight="1">
      <c r="A721" s="59" t="s">
        <v>93</v>
      </c>
      <c r="B721" s="95"/>
      <c r="C721" s="95" t="s">
        <v>170</v>
      </c>
      <c r="D721" s="95" t="s">
        <v>91</v>
      </c>
      <c r="E721" s="95" t="s">
        <v>577</v>
      </c>
      <c r="F721" s="95">
        <v>9.0</v>
      </c>
      <c r="G721" s="95" t="s">
        <v>1264</v>
      </c>
      <c r="H721" s="63" t="str">
        <f>VLOOKUP(C721, 'Class Def. - General Data'!$C$20:$C$476,1,false)</f>
        <v>ZSR3_JASA_DESAIN</v>
      </c>
      <c r="I721" s="63" t="str">
        <f t="shared" si="1"/>
        <v>ZSR3_JASA_DESAIN9</v>
      </c>
      <c r="J721" s="63">
        <f t="shared" si="2"/>
        <v>1</v>
      </c>
    </row>
    <row r="722" ht="15.75" customHeight="1">
      <c r="A722" s="59" t="s">
        <v>93</v>
      </c>
      <c r="B722" s="95"/>
      <c r="C722" s="95" t="s">
        <v>171</v>
      </c>
      <c r="D722" s="95" t="s">
        <v>91</v>
      </c>
      <c r="E722" s="95" t="s">
        <v>577</v>
      </c>
      <c r="F722" s="95">
        <v>1.0</v>
      </c>
      <c r="G722" s="96" t="s">
        <v>1265</v>
      </c>
      <c r="H722" s="63" t="str">
        <f>VLOOKUP(C722, 'Class Def. - General Data'!$C$20:$C$476,1,false)</f>
        <v>ZSR3_JSA_PROFSIONL</v>
      </c>
      <c r="I722" s="63" t="str">
        <f t="shared" si="1"/>
        <v>ZSR3_JSA_PROFSIONL1</v>
      </c>
      <c r="J722" s="63">
        <f t="shared" si="2"/>
        <v>1</v>
      </c>
    </row>
    <row r="723" ht="15.75" customHeight="1">
      <c r="A723" s="59" t="s">
        <v>93</v>
      </c>
      <c r="B723" s="95"/>
      <c r="C723" s="95" t="s">
        <v>171</v>
      </c>
      <c r="D723" s="95" t="s">
        <v>91</v>
      </c>
      <c r="E723" s="95" t="s">
        <v>577</v>
      </c>
      <c r="F723" s="95">
        <v>2.0</v>
      </c>
      <c r="G723" s="95" t="s">
        <v>1266</v>
      </c>
      <c r="H723" s="63" t="str">
        <f>VLOOKUP(C723, 'Class Def. - General Data'!$C$20:$C$476,1,false)</f>
        <v>ZSR3_JSA_PROFSIONL</v>
      </c>
      <c r="I723" s="63" t="str">
        <f t="shared" si="1"/>
        <v>ZSR3_JSA_PROFSIONL2</v>
      </c>
      <c r="J723" s="63">
        <f t="shared" si="2"/>
        <v>1</v>
      </c>
    </row>
    <row r="724" ht="15.75" customHeight="1">
      <c r="A724" s="59" t="s">
        <v>93</v>
      </c>
      <c r="B724" s="95"/>
      <c r="C724" s="95" t="s">
        <v>171</v>
      </c>
      <c r="D724" s="95" t="s">
        <v>91</v>
      </c>
      <c r="E724" s="95" t="s">
        <v>577</v>
      </c>
      <c r="F724" s="95">
        <v>3.0</v>
      </c>
      <c r="G724" s="95" t="s">
        <v>1267</v>
      </c>
      <c r="H724" s="63" t="str">
        <f>VLOOKUP(C724, 'Class Def. - General Data'!$C$20:$C$476,1,false)</f>
        <v>ZSR3_JSA_PROFSIONL</v>
      </c>
      <c r="I724" s="63" t="str">
        <f t="shared" si="1"/>
        <v>ZSR3_JSA_PROFSIONL3</v>
      </c>
      <c r="J724" s="63">
        <f t="shared" si="2"/>
        <v>1</v>
      </c>
    </row>
    <row r="725" ht="15.75" customHeight="1">
      <c r="A725" s="59" t="s">
        <v>93</v>
      </c>
      <c r="B725" s="95"/>
      <c r="C725" s="95" t="s">
        <v>171</v>
      </c>
      <c r="D725" s="95" t="s">
        <v>91</v>
      </c>
      <c r="E725" s="95" t="s">
        <v>577</v>
      </c>
      <c r="F725" s="95">
        <v>4.0</v>
      </c>
      <c r="G725" s="95" t="s">
        <v>1238</v>
      </c>
      <c r="H725" s="63" t="str">
        <f>VLOOKUP(C725, 'Class Def. - General Data'!$C$20:$C$476,1,false)</f>
        <v>ZSR3_JSA_PROFSIONL</v>
      </c>
      <c r="I725" s="63" t="str">
        <f t="shared" si="1"/>
        <v>ZSR3_JSA_PROFSIONL4</v>
      </c>
      <c r="J725" s="63">
        <f t="shared" si="2"/>
        <v>1</v>
      </c>
    </row>
    <row r="726" ht="15.75" customHeight="1">
      <c r="A726" s="59" t="s">
        <v>93</v>
      </c>
      <c r="B726" s="95"/>
      <c r="C726" s="95" t="s">
        <v>171</v>
      </c>
      <c r="D726" s="95" t="s">
        <v>91</v>
      </c>
      <c r="E726" s="95" t="s">
        <v>577</v>
      </c>
      <c r="F726" s="95">
        <v>5.0</v>
      </c>
      <c r="G726" s="95" t="s">
        <v>1268</v>
      </c>
      <c r="H726" s="63" t="str">
        <f>VLOOKUP(C726, 'Class Def. - General Data'!$C$20:$C$476,1,false)</f>
        <v>ZSR3_JSA_PROFSIONL</v>
      </c>
      <c r="I726" s="63" t="str">
        <f t="shared" si="1"/>
        <v>ZSR3_JSA_PROFSIONL5</v>
      </c>
      <c r="J726" s="63">
        <f t="shared" si="2"/>
        <v>1</v>
      </c>
    </row>
    <row r="727" ht="15.75" customHeight="1">
      <c r="A727" s="59" t="s">
        <v>93</v>
      </c>
      <c r="B727" s="95"/>
      <c r="C727" s="95" t="s">
        <v>171</v>
      </c>
      <c r="D727" s="95" t="s">
        <v>91</v>
      </c>
      <c r="E727" s="95" t="s">
        <v>577</v>
      </c>
      <c r="F727" s="95">
        <v>6.0</v>
      </c>
      <c r="G727" s="95" t="s">
        <v>1269</v>
      </c>
      <c r="H727" s="63" t="str">
        <f>VLOOKUP(C727, 'Class Def. - General Data'!$C$20:$C$476,1,false)</f>
        <v>ZSR3_JSA_PROFSIONL</v>
      </c>
      <c r="I727" s="63" t="str">
        <f t="shared" si="1"/>
        <v>ZSR3_JSA_PROFSIONL6</v>
      </c>
      <c r="J727" s="63">
        <f t="shared" si="2"/>
        <v>1</v>
      </c>
    </row>
    <row r="728" ht="15.75" customHeight="1">
      <c r="A728" s="59" t="s">
        <v>93</v>
      </c>
      <c r="B728" s="95"/>
      <c r="C728" s="95" t="s">
        <v>171</v>
      </c>
      <c r="D728" s="95" t="s">
        <v>91</v>
      </c>
      <c r="E728" s="95" t="s">
        <v>577</v>
      </c>
      <c r="F728" s="95">
        <v>7.0</v>
      </c>
      <c r="G728" s="95" t="s">
        <v>1270</v>
      </c>
      <c r="H728" s="63" t="str">
        <f>VLOOKUP(C728, 'Class Def. - General Data'!$C$20:$C$476,1,false)</f>
        <v>ZSR3_JSA_PROFSIONL</v>
      </c>
      <c r="I728" s="63" t="str">
        <f t="shared" si="1"/>
        <v>ZSR3_JSA_PROFSIONL7</v>
      </c>
      <c r="J728" s="63">
        <f t="shared" si="2"/>
        <v>1</v>
      </c>
    </row>
    <row r="729" ht="15.75" customHeight="1">
      <c r="A729" s="59" t="s">
        <v>93</v>
      </c>
      <c r="B729" s="95"/>
      <c r="C729" s="95" t="s">
        <v>171</v>
      </c>
      <c r="D729" s="95" t="s">
        <v>91</v>
      </c>
      <c r="E729" s="95" t="s">
        <v>577</v>
      </c>
      <c r="F729" s="95">
        <v>8.0</v>
      </c>
      <c r="G729" s="95" t="s">
        <v>1271</v>
      </c>
      <c r="H729" s="63" t="str">
        <f>VLOOKUP(C729, 'Class Def. - General Data'!$C$20:$C$476,1,false)</f>
        <v>ZSR3_JSA_PROFSIONL</v>
      </c>
      <c r="I729" s="63" t="str">
        <f t="shared" si="1"/>
        <v>ZSR3_JSA_PROFSIONL8</v>
      </c>
      <c r="J729" s="63">
        <f t="shared" si="2"/>
        <v>1</v>
      </c>
    </row>
    <row r="730" ht="15.75" customHeight="1">
      <c r="A730" s="59" t="s">
        <v>93</v>
      </c>
      <c r="B730" s="95"/>
      <c r="C730" s="95" t="s">
        <v>171</v>
      </c>
      <c r="D730" s="95" t="s">
        <v>91</v>
      </c>
      <c r="E730" s="95" t="s">
        <v>577</v>
      </c>
      <c r="F730" s="95">
        <v>9.0</v>
      </c>
      <c r="G730" s="95" t="s">
        <v>1272</v>
      </c>
      <c r="H730" s="63" t="str">
        <f>VLOOKUP(C730, 'Class Def. - General Data'!$C$20:$C$476,1,false)</f>
        <v>ZSR3_JSA_PROFSIONL</v>
      </c>
      <c r="I730" s="63" t="str">
        <f t="shared" si="1"/>
        <v>ZSR3_JSA_PROFSIONL9</v>
      </c>
      <c r="J730" s="63">
        <f t="shared" si="2"/>
        <v>1</v>
      </c>
    </row>
    <row r="731" ht="15.75" customHeight="1">
      <c r="A731" s="59" t="s">
        <v>93</v>
      </c>
      <c r="B731" s="95"/>
      <c r="C731" s="95" t="s">
        <v>171</v>
      </c>
      <c r="D731" s="95" t="s">
        <v>91</v>
      </c>
      <c r="E731" s="95" t="s">
        <v>577</v>
      </c>
      <c r="F731" s="95">
        <v>10.0</v>
      </c>
      <c r="G731" s="95" t="s">
        <v>1273</v>
      </c>
      <c r="H731" s="63" t="str">
        <f>VLOOKUP(C731, 'Class Def. - General Data'!$C$20:$C$476,1,false)</f>
        <v>ZSR3_JSA_PROFSIONL</v>
      </c>
      <c r="I731" s="63" t="str">
        <f t="shared" si="1"/>
        <v>ZSR3_JSA_PROFSIONL10</v>
      </c>
      <c r="J731" s="63">
        <f t="shared" si="2"/>
        <v>1</v>
      </c>
    </row>
    <row r="732" ht="15.75" customHeight="1">
      <c r="A732" s="59" t="s">
        <v>93</v>
      </c>
      <c r="B732" s="95"/>
      <c r="C732" s="95" t="s">
        <v>171</v>
      </c>
      <c r="D732" s="95" t="s">
        <v>91</v>
      </c>
      <c r="E732" s="95" t="s">
        <v>577</v>
      </c>
      <c r="F732" s="95">
        <v>11.0</v>
      </c>
      <c r="G732" s="95" t="s">
        <v>1274</v>
      </c>
      <c r="H732" s="63" t="str">
        <f>VLOOKUP(C732, 'Class Def. - General Data'!$C$20:$C$476,1,false)</f>
        <v>ZSR3_JSA_PROFSIONL</v>
      </c>
      <c r="I732" s="63" t="str">
        <f t="shared" si="1"/>
        <v>ZSR3_JSA_PROFSIONL11</v>
      </c>
      <c r="J732" s="63">
        <f t="shared" si="2"/>
        <v>1</v>
      </c>
    </row>
    <row r="733" ht="15.75" customHeight="1">
      <c r="A733" s="59" t="s">
        <v>93</v>
      </c>
      <c r="B733" s="95"/>
      <c r="C733" s="95" t="s">
        <v>171</v>
      </c>
      <c r="D733" s="95" t="s">
        <v>91</v>
      </c>
      <c r="E733" s="95" t="s">
        <v>577</v>
      </c>
      <c r="F733" s="95">
        <v>12.0</v>
      </c>
      <c r="G733" s="95" t="s">
        <v>1275</v>
      </c>
      <c r="H733" s="63" t="str">
        <f>VLOOKUP(C733, 'Class Def. - General Data'!$C$20:$C$476,1,false)</f>
        <v>ZSR3_JSA_PROFSIONL</v>
      </c>
      <c r="I733" s="63" t="str">
        <f t="shared" si="1"/>
        <v>ZSR3_JSA_PROFSIONL12</v>
      </c>
      <c r="J733" s="63">
        <f t="shared" si="2"/>
        <v>1</v>
      </c>
    </row>
    <row r="734" ht="15.75" customHeight="1">
      <c r="A734" s="59" t="s">
        <v>93</v>
      </c>
      <c r="B734" s="95"/>
      <c r="C734" s="95" t="s">
        <v>171</v>
      </c>
      <c r="D734" s="95" t="s">
        <v>91</v>
      </c>
      <c r="E734" s="95" t="s">
        <v>577</v>
      </c>
      <c r="F734" s="95">
        <v>13.0</v>
      </c>
      <c r="G734" s="95" t="s">
        <v>1276</v>
      </c>
      <c r="H734" s="63" t="str">
        <f>VLOOKUP(C734, 'Class Def. - General Data'!$C$20:$C$476,1,false)</f>
        <v>ZSR3_JSA_PROFSIONL</v>
      </c>
      <c r="I734" s="63" t="str">
        <f t="shared" si="1"/>
        <v>ZSR3_JSA_PROFSIONL13</v>
      </c>
      <c r="J734" s="63">
        <f t="shared" si="2"/>
        <v>1</v>
      </c>
    </row>
    <row r="735" ht="15.75" customHeight="1">
      <c r="A735" s="59" t="s">
        <v>93</v>
      </c>
      <c r="B735" s="95"/>
      <c r="C735" s="95" t="s">
        <v>171</v>
      </c>
      <c r="D735" s="95" t="s">
        <v>91</v>
      </c>
      <c r="E735" s="95" t="s">
        <v>577</v>
      </c>
      <c r="F735" s="95">
        <v>14.0</v>
      </c>
      <c r="G735" s="95" t="s">
        <v>1277</v>
      </c>
      <c r="H735" s="63" t="str">
        <f>VLOOKUP(C735, 'Class Def. - General Data'!$C$20:$C$476,1,false)</f>
        <v>ZSR3_JSA_PROFSIONL</v>
      </c>
      <c r="I735" s="63" t="str">
        <f t="shared" si="1"/>
        <v>ZSR3_JSA_PROFSIONL14</v>
      </c>
      <c r="J735" s="63">
        <f t="shared" si="2"/>
        <v>1</v>
      </c>
    </row>
    <row r="736" ht="15.75" customHeight="1">
      <c r="A736" s="59" t="s">
        <v>93</v>
      </c>
      <c r="B736" s="95"/>
      <c r="C736" s="95" t="s">
        <v>171</v>
      </c>
      <c r="D736" s="95" t="s">
        <v>91</v>
      </c>
      <c r="E736" s="95" t="s">
        <v>577</v>
      </c>
      <c r="F736" s="95">
        <v>15.0</v>
      </c>
      <c r="G736" s="95" t="s">
        <v>1278</v>
      </c>
      <c r="H736" s="63" t="str">
        <f>VLOOKUP(C736, 'Class Def. - General Data'!$C$20:$C$476,1,false)</f>
        <v>ZSR3_JSA_PROFSIONL</v>
      </c>
      <c r="I736" s="63" t="str">
        <f t="shared" si="1"/>
        <v>ZSR3_JSA_PROFSIONL15</v>
      </c>
      <c r="J736" s="63">
        <f t="shared" si="2"/>
        <v>1</v>
      </c>
    </row>
    <row r="737" ht="15.75" customHeight="1">
      <c r="A737" s="59" t="s">
        <v>93</v>
      </c>
      <c r="B737" s="95"/>
      <c r="C737" s="95" t="s">
        <v>171</v>
      </c>
      <c r="D737" s="95" t="s">
        <v>91</v>
      </c>
      <c r="E737" s="95" t="s">
        <v>577</v>
      </c>
      <c r="F737" s="95">
        <v>16.0</v>
      </c>
      <c r="G737" s="95" t="s">
        <v>1279</v>
      </c>
      <c r="H737" s="63" t="str">
        <f>VLOOKUP(C737, 'Class Def. - General Data'!$C$20:$C$476,1,false)</f>
        <v>ZSR3_JSA_PROFSIONL</v>
      </c>
      <c r="I737" s="63" t="str">
        <f t="shared" si="1"/>
        <v>ZSR3_JSA_PROFSIONL16</v>
      </c>
      <c r="J737" s="63">
        <f t="shared" si="2"/>
        <v>1</v>
      </c>
    </row>
    <row r="738" ht="15.75" customHeight="1">
      <c r="A738" s="59" t="s">
        <v>93</v>
      </c>
      <c r="B738" s="95"/>
      <c r="C738" s="95" t="s">
        <v>171</v>
      </c>
      <c r="D738" s="95" t="s">
        <v>91</v>
      </c>
      <c r="E738" s="95" t="s">
        <v>577</v>
      </c>
      <c r="F738" s="95">
        <v>17.0</v>
      </c>
      <c r="G738" s="95" t="s">
        <v>1280</v>
      </c>
      <c r="H738" s="63" t="str">
        <f>VLOOKUP(C738, 'Class Def. - General Data'!$C$20:$C$476,1,false)</f>
        <v>ZSR3_JSA_PROFSIONL</v>
      </c>
      <c r="I738" s="63" t="str">
        <f t="shared" si="1"/>
        <v>ZSR3_JSA_PROFSIONL17</v>
      </c>
      <c r="J738" s="63">
        <f t="shared" si="2"/>
        <v>1</v>
      </c>
    </row>
    <row r="739" ht="15.75" customHeight="1">
      <c r="A739" s="59" t="s">
        <v>93</v>
      </c>
      <c r="B739" s="95"/>
      <c r="C739" s="95" t="s">
        <v>171</v>
      </c>
      <c r="D739" s="95" t="s">
        <v>91</v>
      </c>
      <c r="E739" s="95" t="s">
        <v>577</v>
      </c>
      <c r="F739" s="95">
        <v>18.0</v>
      </c>
      <c r="G739" s="95" t="s">
        <v>1281</v>
      </c>
      <c r="H739" s="63" t="str">
        <f>VLOOKUP(C739, 'Class Def. - General Data'!$C$20:$C$476,1,false)</f>
        <v>ZSR3_JSA_PROFSIONL</v>
      </c>
      <c r="I739" s="63" t="str">
        <f t="shared" si="1"/>
        <v>ZSR3_JSA_PROFSIONL18</v>
      </c>
      <c r="J739" s="63">
        <f t="shared" si="2"/>
        <v>1</v>
      </c>
    </row>
    <row r="740" ht="15.75" customHeight="1">
      <c r="A740" s="59" t="s">
        <v>93</v>
      </c>
      <c r="B740" s="95"/>
      <c r="C740" s="95" t="s">
        <v>171</v>
      </c>
      <c r="D740" s="95" t="s">
        <v>91</v>
      </c>
      <c r="E740" s="95" t="s">
        <v>577</v>
      </c>
      <c r="F740" s="95">
        <v>19.0</v>
      </c>
      <c r="G740" s="95" t="s">
        <v>1282</v>
      </c>
      <c r="H740" s="63" t="str">
        <f>VLOOKUP(C740, 'Class Def. - General Data'!$C$20:$C$476,1,false)</f>
        <v>ZSR3_JSA_PROFSIONL</v>
      </c>
      <c r="I740" s="63" t="str">
        <f t="shared" si="1"/>
        <v>ZSR3_JSA_PROFSIONL19</v>
      </c>
      <c r="J740" s="63">
        <f t="shared" si="2"/>
        <v>1</v>
      </c>
    </row>
    <row r="741" ht="15.75" customHeight="1">
      <c r="A741" s="59" t="s">
        <v>93</v>
      </c>
      <c r="B741" s="95"/>
      <c r="C741" s="95" t="s">
        <v>171</v>
      </c>
      <c r="D741" s="95" t="s">
        <v>91</v>
      </c>
      <c r="E741" s="95" t="s">
        <v>577</v>
      </c>
      <c r="F741" s="95">
        <v>20.0</v>
      </c>
      <c r="G741" s="95" t="s">
        <v>1283</v>
      </c>
      <c r="H741" s="63" t="str">
        <f>VLOOKUP(C741, 'Class Def. - General Data'!$C$20:$C$476,1,false)</f>
        <v>ZSR3_JSA_PROFSIONL</v>
      </c>
      <c r="I741" s="63" t="str">
        <f t="shared" si="1"/>
        <v>ZSR3_JSA_PROFSIONL20</v>
      </c>
      <c r="J741" s="63">
        <f t="shared" si="2"/>
        <v>1</v>
      </c>
    </row>
    <row r="742" ht="15.75" customHeight="1">
      <c r="A742" s="59" t="s">
        <v>93</v>
      </c>
      <c r="B742" s="95"/>
      <c r="C742" s="95" t="s">
        <v>171</v>
      </c>
      <c r="D742" s="95" t="s">
        <v>91</v>
      </c>
      <c r="E742" s="95" t="s">
        <v>577</v>
      </c>
      <c r="F742" s="95">
        <v>21.0</v>
      </c>
      <c r="G742" s="95" t="s">
        <v>1284</v>
      </c>
      <c r="H742" s="63" t="str">
        <f>VLOOKUP(C742, 'Class Def. - General Data'!$C$20:$C$476,1,false)</f>
        <v>ZSR3_JSA_PROFSIONL</v>
      </c>
      <c r="I742" s="63" t="str">
        <f t="shared" si="1"/>
        <v>ZSR3_JSA_PROFSIONL21</v>
      </c>
      <c r="J742" s="63">
        <f t="shared" si="2"/>
        <v>1</v>
      </c>
    </row>
    <row r="743" ht="15.75" customHeight="1">
      <c r="A743" s="59" t="s">
        <v>93</v>
      </c>
      <c r="B743" s="95"/>
      <c r="C743" s="95" t="s">
        <v>171</v>
      </c>
      <c r="D743" s="95" t="s">
        <v>91</v>
      </c>
      <c r="E743" s="95" t="s">
        <v>577</v>
      </c>
      <c r="F743" s="95">
        <v>22.0</v>
      </c>
      <c r="G743" s="95" t="s">
        <v>1285</v>
      </c>
      <c r="H743" s="63" t="str">
        <f>VLOOKUP(C743, 'Class Def. - General Data'!$C$20:$C$476,1,false)</f>
        <v>ZSR3_JSA_PROFSIONL</v>
      </c>
      <c r="I743" s="63" t="str">
        <f t="shared" si="1"/>
        <v>ZSR3_JSA_PROFSIONL22</v>
      </c>
      <c r="J743" s="63">
        <f t="shared" si="2"/>
        <v>1</v>
      </c>
    </row>
    <row r="744" ht="15.75" customHeight="1">
      <c r="A744" s="59" t="s">
        <v>93</v>
      </c>
      <c r="B744" s="95"/>
      <c r="C744" s="95" t="s">
        <v>171</v>
      </c>
      <c r="D744" s="95" t="s">
        <v>91</v>
      </c>
      <c r="E744" s="95" t="s">
        <v>577</v>
      </c>
      <c r="F744" s="95">
        <v>23.0</v>
      </c>
      <c r="G744" s="95" t="s">
        <v>1286</v>
      </c>
      <c r="H744" s="63" t="str">
        <f>VLOOKUP(C744, 'Class Def. - General Data'!$C$20:$C$476,1,false)</f>
        <v>ZSR3_JSA_PROFSIONL</v>
      </c>
      <c r="I744" s="63" t="str">
        <f t="shared" si="1"/>
        <v>ZSR3_JSA_PROFSIONL23</v>
      </c>
      <c r="J744" s="63">
        <f t="shared" si="2"/>
        <v>1</v>
      </c>
    </row>
    <row r="745" ht="15.75" customHeight="1">
      <c r="A745" s="59" t="s">
        <v>93</v>
      </c>
      <c r="B745" s="95"/>
      <c r="C745" s="95" t="s">
        <v>173</v>
      </c>
      <c r="D745" s="95" t="s">
        <v>91</v>
      </c>
      <c r="E745" s="95" t="s">
        <v>577</v>
      </c>
      <c r="F745" s="95">
        <v>1.0</v>
      </c>
      <c r="G745" s="96" t="s">
        <v>1287</v>
      </c>
      <c r="H745" s="63" t="str">
        <f>VLOOKUP(C745, 'Class Def. - General Data'!$C$20:$C$476,1,false)</f>
        <v>ZSR3_LOGST_TRASNPT</v>
      </c>
      <c r="I745" s="63" t="str">
        <f t="shared" si="1"/>
        <v>ZSR3_LOGST_TRASNPT1</v>
      </c>
      <c r="J745" s="63">
        <f t="shared" si="2"/>
        <v>1</v>
      </c>
    </row>
    <row r="746" ht="15.75" customHeight="1">
      <c r="A746" s="59" t="s">
        <v>93</v>
      </c>
      <c r="B746" s="95"/>
      <c r="C746" s="95" t="s">
        <v>173</v>
      </c>
      <c r="D746" s="95" t="s">
        <v>91</v>
      </c>
      <c r="E746" s="95" t="s">
        <v>577</v>
      </c>
      <c r="F746" s="95">
        <v>2.0</v>
      </c>
      <c r="G746" s="96" t="s">
        <v>1288</v>
      </c>
      <c r="H746" s="63" t="str">
        <f>VLOOKUP(C746, 'Class Def. - General Data'!$C$20:$C$476,1,false)</f>
        <v>ZSR3_LOGST_TRASNPT</v>
      </c>
      <c r="I746" s="63" t="str">
        <f t="shared" si="1"/>
        <v>ZSR3_LOGST_TRASNPT2</v>
      </c>
      <c r="J746" s="63">
        <f t="shared" si="2"/>
        <v>1</v>
      </c>
    </row>
    <row r="747" ht="15.75" customHeight="1">
      <c r="A747" s="59" t="s">
        <v>93</v>
      </c>
      <c r="B747" s="95"/>
      <c r="C747" s="95" t="s">
        <v>173</v>
      </c>
      <c r="D747" s="95" t="s">
        <v>91</v>
      </c>
      <c r="E747" s="95" t="s">
        <v>577</v>
      </c>
      <c r="F747" s="95">
        <v>3.0</v>
      </c>
      <c r="G747" s="95" t="s">
        <v>1289</v>
      </c>
      <c r="H747" s="63" t="str">
        <f>VLOOKUP(C747, 'Class Def. - General Data'!$C$20:$C$476,1,false)</f>
        <v>ZSR3_LOGST_TRASNPT</v>
      </c>
      <c r="I747" s="63" t="str">
        <f t="shared" si="1"/>
        <v>ZSR3_LOGST_TRASNPT3</v>
      </c>
      <c r="J747" s="63">
        <f t="shared" si="2"/>
        <v>1</v>
      </c>
    </row>
    <row r="748" ht="15.75" customHeight="1">
      <c r="A748" s="59" t="s">
        <v>93</v>
      </c>
      <c r="B748" s="95"/>
      <c r="C748" s="95" t="s">
        <v>173</v>
      </c>
      <c r="D748" s="95" t="s">
        <v>91</v>
      </c>
      <c r="E748" s="95" t="s">
        <v>577</v>
      </c>
      <c r="F748" s="95">
        <v>4.0</v>
      </c>
      <c r="G748" s="95" t="s">
        <v>1290</v>
      </c>
      <c r="H748" s="63" t="str">
        <f>VLOOKUP(C748, 'Class Def. - General Data'!$C$20:$C$476,1,false)</f>
        <v>ZSR3_LOGST_TRASNPT</v>
      </c>
      <c r="I748" s="63" t="str">
        <f t="shared" si="1"/>
        <v>ZSR3_LOGST_TRASNPT4</v>
      </c>
      <c r="J748" s="63">
        <f t="shared" si="2"/>
        <v>1</v>
      </c>
    </row>
    <row r="749" ht="15.75" customHeight="1">
      <c r="A749" s="59" t="s">
        <v>93</v>
      </c>
      <c r="B749" s="95"/>
      <c r="C749" s="95" t="s">
        <v>173</v>
      </c>
      <c r="D749" s="95" t="s">
        <v>91</v>
      </c>
      <c r="E749" s="95" t="s">
        <v>577</v>
      </c>
      <c r="F749" s="95">
        <v>5.0</v>
      </c>
      <c r="G749" s="95" t="s">
        <v>1291</v>
      </c>
      <c r="H749" s="63" t="str">
        <f>VLOOKUP(C749, 'Class Def. - General Data'!$C$20:$C$476,1,false)</f>
        <v>ZSR3_LOGST_TRASNPT</v>
      </c>
      <c r="I749" s="63" t="str">
        <f t="shared" si="1"/>
        <v>ZSR3_LOGST_TRASNPT5</v>
      </c>
      <c r="J749" s="63">
        <f t="shared" si="2"/>
        <v>1</v>
      </c>
    </row>
    <row r="750" ht="15.75" customHeight="1">
      <c r="A750" s="59" t="s">
        <v>93</v>
      </c>
      <c r="B750" s="95"/>
      <c r="C750" s="95" t="s">
        <v>173</v>
      </c>
      <c r="D750" s="95" t="s">
        <v>91</v>
      </c>
      <c r="E750" s="95" t="s">
        <v>577</v>
      </c>
      <c r="F750" s="95">
        <v>6.0</v>
      </c>
      <c r="G750" s="95" t="s">
        <v>1292</v>
      </c>
      <c r="H750" s="63" t="str">
        <f>VLOOKUP(C750, 'Class Def. - General Data'!$C$20:$C$476,1,false)</f>
        <v>ZSR3_LOGST_TRASNPT</v>
      </c>
      <c r="I750" s="63" t="str">
        <f t="shared" si="1"/>
        <v>ZSR3_LOGST_TRASNPT6</v>
      </c>
      <c r="J750" s="63">
        <f t="shared" si="2"/>
        <v>1</v>
      </c>
    </row>
    <row r="751" ht="15.75" customHeight="1">
      <c r="A751" s="59" t="s">
        <v>93</v>
      </c>
      <c r="B751" s="95"/>
      <c r="C751" s="95" t="s">
        <v>173</v>
      </c>
      <c r="D751" s="95" t="s">
        <v>91</v>
      </c>
      <c r="E751" s="95" t="s">
        <v>577</v>
      </c>
      <c r="F751" s="95">
        <v>7.0</v>
      </c>
      <c r="G751" s="95" t="s">
        <v>1293</v>
      </c>
      <c r="H751" s="63" t="str">
        <f>VLOOKUP(C751, 'Class Def. - General Data'!$C$20:$C$476,1,false)</f>
        <v>ZSR3_LOGST_TRASNPT</v>
      </c>
      <c r="I751" s="63" t="str">
        <f t="shared" si="1"/>
        <v>ZSR3_LOGST_TRASNPT7</v>
      </c>
      <c r="J751" s="63">
        <f t="shared" si="2"/>
        <v>1</v>
      </c>
    </row>
    <row r="752" ht="15.75" customHeight="1">
      <c r="A752" s="59" t="s">
        <v>93</v>
      </c>
      <c r="B752" s="95"/>
      <c r="C752" s="95" t="s">
        <v>173</v>
      </c>
      <c r="D752" s="95" t="s">
        <v>91</v>
      </c>
      <c r="E752" s="95" t="s">
        <v>577</v>
      </c>
      <c r="F752" s="95">
        <v>8.0</v>
      </c>
      <c r="G752" s="95" t="s">
        <v>1294</v>
      </c>
      <c r="H752" s="63" t="str">
        <f>VLOOKUP(C752, 'Class Def. - General Data'!$C$20:$C$476,1,false)</f>
        <v>ZSR3_LOGST_TRASNPT</v>
      </c>
      <c r="I752" s="63" t="str">
        <f t="shared" si="1"/>
        <v>ZSR3_LOGST_TRASNPT8</v>
      </c>
      <c r="J752" s="63">
        <f t="shared" si="2"/>
        <v>1</v>
      </c>
    </row>
    <row r="753" ht="15.75" customHeight="1">
      <c r="A753" s="59" t="s">
        <v>93</v>
      </c>
      <c r="B753" s="95"/>
      <c r="C753" s="95" t="s">
        <v>173</v>
      </c>
      <c r="D753" s="95" t="s">
        <v>91</v>
      </c>
      <c r="E753" s="95" t="s">
        <v>577</v>
      </c>
      <c r="F753" s="95">
        <v>9.0</v>
      </c>
      <c r="G753" s="95" t="s">
        <v>1295</v>
      </c>
      <c r="H753" s="63" t="str">
        <f>VLOOKUP(C753, 'Class Def. - General Data'!$C$20:$C$476,1,false)</f>
        <v>ZSR3_LOGST_TRASNPT</v>
      </c>
      <c r="I753" s="63" t="str">
        <f t="shared" si="1"/>
        <v>ZSR3_LOGST_TRASNPT9</v>
      </c>
      <c r="J753" s="63">
        <f t="shared" si="2"/>
        <v>1</v>
      </c>
    </row>
    <row r="754" ht="15.75" customHeight="1">
      <c r="A754" s="59" t="s">
        <v>93</v>
      </c>
      <c r="B754" s="95"/>
      <c r="C754" s="95" t="s">
        <v>173</v>
      </c>
      <c r="D754" s="95" t="s">
        <v>91</v>
      </c>
      <c r="E754" s="95" t="s">
        <v>577</v>
      </c>
      <c r="F754" s="95">
        <v>10.0</v>
      </c>
      <c r="G754" s="96" t="s">
        <v>1296</v>
      </c>
      <c r="H754" s="63" t="str">
        <f>VLOOKUP(C754, 'Class Def. - General Data'!$C$20:$C$476,1,false)</f>
        <v>ZSR3_LOGST_TRASNPT</v>
      </c>
      <c r="I754" s="63" t="str">
        <f t="shared" si="1"/>
        <v>ZSR3_LOGST_TRASNPT10</v>
      </c>
      <c r="J754" s="63">
        <f t="shared" si="2"/>
        <v>1</v>
      </c>
    </row>
    <row r="755" ht="15.75" customHeight="1">
      <c r="A755" s="59" t="s">
        <v>93</v>
      </c>
      <c r="B755" s="95"/>
      <c r="C755" s="95" t="s">
        <v>173</v>
      </c>
      <c r="D755" s="95" t="s">
        <v>91</v>
      </c>
      <c r="E755" s="95" t="s">
        <v>577</v>
      </c>
      <c r="F755" s="95">
        <v>11.0</v>
      </c>
      <c r="G755" s="95" t="s">
        <v>1297</v>
      </c>
      <c r="H755" s="63" t="str">
        <f>VLOOKUP(C755, 'Class Def. - General Data'!$C$20:$C$476,1,false)</f>
        <v>ZSR3_LOGST_TRASNPT</v>
      </c>
      <c r="I755" s="63" t="str">
        <f t="shared" si="1"/>
        <v>ZSR3_LOGST_TRASNPT11</v>
      </c>
      <c r="J755" s="63">
        <f t="shared" si="2"/>
        <v>1</v>
      </c>
    </row>
    <row r="756" ht="15.75" customHeight="1">
      <c r="A756" s="59" t="s">
        <v>93</v>
      </c>
      <c r="B756" s="95"/>
      <c r="C756" s="95" t="s">
        <v>173</v>
      </c>
      <c r="D756" s="95" t="s">
        <v>91</v>
      </c>
      <c r="E756" s="95" t="s">
        <v>577</v>
      </c>
      <c r="F756" s="95">
        <v>12.0</v>
      </c>
      <c r="G756" s="96" t="s">
        <v>1298</v>
      </c>
      <c r="H756" s="63" t="str">
        <f>VLOOKUP(C756, 'Class Def. - General Data'!$C$20:$C$476,1,false)</f>
        <v>ZSR3_LOGST_TRASNPT</v>
      </c>
      <c r="I756" s="63" t="str">
        <f t="shared" si="1"/>
        <v>ZSR3_LOGST_TRASNPT12</v>
      </c>
      <c r="J756" s="63">
        <f t="shared" si="2"/>
        <v>1</v>
      </c>
    </row>
    <row r="757" ht="15.75" customHeight="1">
      <c r="A757" s="59" t="s">
        <v>93</v>
      </c>
      <c r="B757" s="95"/>
      <c r="C757" s="95" t="s">
        <v>173</v>
      </c>
      <c r="D757" s="95" t="s">
        <v>91</v>
      </c>
      <c r="E757" s="95" t="s">
        <v>577</v>
      </c>
      <c r="F757" s="95">
        <v>13.0</v>
      </c>
      <c r="G757" s="95" t="s">
        <v>1299</v>
      </c>
      <c r="H757" s="63" t="str">
        <f>VLOOKUP(C757, 'Class Def. - General Data'!$C$20:$C$476,1,false)</f>
        <v>ZSR3_LOGST_TRASNPT</v>
      </c>
      <c r="I757" s="63" t="str">
        <f t="shared" si="1"/>
        <v>ZSR3_LOGST_TRASNPT13</v>
      </c>
      <c r="J757" s="63">
        <f t="shared" si="2"/>
        <v>1</v>
      </c>
    </row>
    <row r="758" ht="15.75" customHeight="1">
      <c r="A758" s="59" t="s">
        <v>93</v>
      </c>
      <c r="B758" s="95"/>
      <c r="C758" s="95" t="s">
        <v>173</v>
      </c>
      <c r="D758" s="95" t="s">
        <v>91</v>
      </c>
      <c r="E758" s="95" t="s">
        <v>577</v>
      </c>
      <c r="F758" s="95">
        <v>14.0</v>
      </c>
      <c r="G758" s="95" t="s">
        <v>1300</v>
      </c>
      <c r="H758" s="63" t="str">
        <f>VLOOKUP(C758, 'Class Def. - General Data'!$C$20:$C$476,1,false)</f>
        <v>ZSR3_LOGST_TRASNPT</v>
      </c>
      <c r="I758" s="63" t="str">
        <f t="shared" si="1"/>
        <v>ZSR3_LOGST_TRASNPT14</v>
      </c>
      <c r="J758" s="63">
        <f t="shared" si="2"/>
        <v>1</v>
      </c>
    </row>
    <row r="759" ht="15.75" customHeight="1">
      <c r="A759" s="59" t="s">
        <v>93</v>
      </c>
      <c r="B759" s="95"/>
      <c r="C759" s="95" t="s">
        <v>173</v>
      </c>
      <c r="D759" s="95" t="s">
        <v>91</v>
      </c>
      <c r="E759" s="95" t="s">
        <v>577</v>
      </c>
      <c r="F759" s="95">
        <v>15.0</v>
      </c>
      <c r="G759" s="96" t="s">
        <v>1301</v>
      </c>
      <c r="H759" s="63" t="str">
        <f>VLOOKUP(C759, 'Class Def. - General Data'!$C$20:$C$476,1,false)</f>
        <v>ZSR3_LOGST_TRASNPT</v>
      </c>
      <c r="I759" s="63" t="str">
        <f t="shared" si="1"/>
        <v>ZSR3_LOGST_TRASNPT15</v>
      </c>
      <c r="J759" s="63">
        <f t="shared" si="2"/>
        <v>1</v>
      </c>
    </row>
    <row r="760" ht="15.75" customHeight="1">
      <c r="A760" s="59" t="s">
        <v>93</v>
      </c>
      <c r="B760" s="95"/>
      <c r="C760" s="95" t="s">
        <v>173</v>
      </c>
      <c r="D760" s="95" t="s">
        <v>91</v>
      </c>
      <c r="E760" s="95" t="s">
        <v>577</v>
      </c>
      <c r="F760" s="95">
        <v>16.0</v>
      </c>
      <c r="G760" s="95" t="s">
        <v>1302</v>
      </c>
      <c r="H760" s="63" t="str">
        <f>VLOOKUP(C760, 'Class Def. - General Data'!$C$20:$C$476,1,false)</f>
        <v>ZSR3_LOGST_TRASNPT</v>
      </c>
      <c r="I760" s="63" t="str">
        <f t="shared" si="1"/>
        <v>ZSR3_LOGST_TRASNPT16</v>
      </c>
      <c r="J760" s="63">
        <f t="shared" si="2"/>
        <v>1</v>
      </c>
    </row>
    <row r="761" ht="15.75" customHeight="1">
      <c r="A761" s="59" t="s">
        <v>93</v>
      </c>
      <c r="B761" s="95"/>
      <c r="C761" s="95" t="s">
        <v>173</v>
      </c>
      <c r="D761" s="95" t="s">
        <v>91</v>
      </c>
      <c r="E761" s="95" t="s">
        <v>577</v>
      </c>
      <c r="F761" s="95">
        <v>17.0</v>
      </c>
      <c r="G761" s="96" t="s">
        <v>1303</v>
      </c>
      <c r="H761" s="63" t="str">
        <f>VLOOKUP(C761, 'Class Def. - General Data'!$C$20:$C$476,1,false)</f>
        <v>ZSR3_LOGST_TRASNPT</v>
      </c>
      <c r="I761" s="63" t="str">
        <f t="shared" si="1"/>
        <v>ZSR3_LOGST_TRASNPT17</v>
      </c>
      <c r="J761" s="63">
        <f t="shared" si="2"/>
        <v>1</v>
      </c>
    </row>
    <row r="762" ht="15.75" customHeight="1">
      <c r="A762" s="59" t="s">
        <v>93</v>
      </c>
      <c r="B762" s="95"/>
      <c r="C762" s="95" t="s">
        <v>173</v>
      </c>
      <c r="D762" s="95" t="s">
        <v>91</v>
      </c>
      <c r="E762" s="95" t="s">
        <v>577</v>
      </c>
      <c r="F762" s="95">
        <v>18.0</v>
      </c>
      <c r="G762" s="95" t="s">
        <v>1304</v>
      </c>
      <c r="H762" s="63" t="str">
        <f>VLOOKUP(C762, 'Class Def. - General Data'!$C$20:$C$476,1,false)</f>
        <v>ZSR3_LOGST_TRASNPT</v>
      </c>
      <c r="I762" s="63" t="str">
        <f t="shared" si="1"/>
        <v>ZSR3_LOGST_TRASNPT18</v>
      </c>
      <c r="J762" s="63">
        <f t="shared" si="2"/>
        <v>1</v>
      </c>
    </row>
    <row r="763" ht="15.75" customHeight="1">
      <c r="A763" s="59" t="s">
        <v>93</v>
      </c>
      <c r="B763" s="95"/>
      <c r="C763" s="95" t="s">
        <v>173</v>
      </c>
      <c r="D763" s="95" t="s">
        <v>91</v>
      </c>
      <c r="E763" s="95" t="s">
        <v>577</v>
      </c>
      <c r="F763" s="95">
        <v>19.0</v>
      </c>
      <c r="G763" s="95" t="s">
        <v>1305</v>
      </c>
      <c r="H763" s="63" t="str">
        <f>VLOOKUP(C763, 'Class Def. - General Data'!$C$20:$C$476,1,false)</f>
        <v>ZSR3_LOGST_TRASNPT</v>
      </c>
      <c r="I763" s="63" t="str">
        <f t="shared" si="1"/>
        <v>ZSR3_LOGST_TRASNPT19</v>
      </c>
      <c r="J763" s="63">
        <f t="shared" si="2"/>
        <v>1</v>
      </c>
    </row>
    <row r="764" ht="15.75" customHeight="1">
      <c r="A764" s="59" t="s">
        <v>93</v>
      </c>
      <c r="B764" s="95"/>
      <c r="C764" s="95" t="s">
        <v>174</v>
      </c>
      <c r="D764" s="95" t="s">
        <v>91</v>
      </c>
      <c r="E764" s="95" t="s">
        <v>577</v>
      </c>
      <c r="F764" s="95">
        <v>1.0</v>
      </c>
      <c r="G764" s="96" t="s">
        <v>1306</v>
      </c>
      <c r="H764" s="63" t="str">
        <f>VLOOKUP(C764, 'Class Def. - General Data'!$C$20:$C$476,1,false)</f>
        <v>ZSR3_MAINTAIN</v>
      </c>
      <c r="I764" s="63" t="str">
        <f t="shared" si="1"/>
        <v>ZSR3_MAINTAIN1</v>
      </c>
      <c r="J764" s="63">
        <f t="shared" si="2"/>
        <v>1</v>
      </c>
    </row>
    <row r="765" ht="15.75" customHeight="1">
      <c r="A765" s="59" t="s">
        <v>93</v>
      </c>
      <c r="B765" s="95"/>
      <c r="C765" s="95" t="s">
        <v>174</v>
      </c>
      <c r="D765" s="95" t="s">
        <v>91</v>
      </c>
      <c r="E765" s="95" t="s">
        <v>577</v>
      </c>
      <c r="F765" s="95">
        <v>2.0</v>
      </c>
      <c r="G765" s="95" t="s">
        <v>1307</v>
      </c>
      <c r="H765" s="63" t="str">
        <f>VLOOKUP(C765, 'Class Def. - General Data'!$C$20:$C$476,1,false)</f>
        <v>ZSR3_MAINTAIN</v>
      </c>
      <c r="I765" s="63" t="str">
        <f t="shared" si="1"/>
        <v>ZSR3_MAINTAIN2</v>
      </c>
      <c r="J765" s="63">
        <f t="shared" si="2"/>
        <v>1</v>
      </c>
    </row>
    <row r="766" ht="15.75" customHeight="1">
      <c r="A766" s="59" t="s">
        <v>93</v>
      </c>
      <c r="B766" s="95"/>
      <c r="C766" s="95" t="s">
        <v>174</v>
      </c>
      <c r="D766" s="95" t="s">
        <v>91</v>
      </c>
      <c r="E766" s="95" t="s">
        <v>577</v>
      </c>
      <c r="F766" s="95">
        <v>3.0</v>
      </c>
      <c r="G766" s="96" t="s">
        <v>1308</v>
      </c>
      <c r="H766" s="63" t="str">
        <f>VLOOKUP(C766, 'Class Def. - General Data'!$C$20:$C$476,1,false)</f>
        <v>ZSR3_MAINTAIN</v>
      </c>
      <c r="I766" s="63" t="str">
        <f t="shared" si="1"/>
        <v>ZSR3_MAINTAIN3</v>
      </c>
      <c r="J766" s="63">
        <f t="shared" si="2"/>
        <v>1</v>
      </c>
    </row>
    <row r="767" ht="15.75" customHeight="1">
      <c r="A767" s="59" t="s">
        <v>93</v>
      </c>
      <c r="B767" s="95"/>
      <c r="C767" s="95" t="s">
        <v>174</v>
      </c>
      <c r="D767" s="95" t="s">
        <v>91</v>
      </c>
      <c r="E767" s="95" t="s">
        <v>577</v>
      </c>
      <c r="F767" s="95">
        <v>4.0</v>
      </c>
      <c r="G767" s="96" t="s">
        <v>1309</v>
      </c>
      <c r="H767" s="63" t="str">
        <f>VLOOKUP(C767, 'Class Def. - General Data'!$C$20:$C$476,1,false)</f>
        <v>ZSR3_MAINTAIN</v>
      </c>
      <c r="I767" s="63" t="str">
        <f t="shared" si="1"/>
        <v>ZSR3_MAINTAIN4</v>
      </c>
      <c r="J767" s="63">
        <f t="shared" si="2"/>
        <v>1</v>
      </c>
    </row>
    <row r="768" ht="15.75" customHeight="1">
      <c r="A768" s="59" t="s">
        <v>93</v>
      </c>
      <c r="B768" s="95"/>
      <c r="C768" s="95" t="s">
        <v>174</v>
      </c>
      <c r="D768" s="95" t="s">
        <v>91</v>
      </c>
      <c r="E768" s="95" t="s">
        <v>577</v>
      </c>
      <c r="F768" s="95">
        <v>5.0</v>
      </c>
      <c r="G768" s="95" t="s">
        <v>1310</v>
      </c>
      <c r="H768" s="63" t="str">
        <f>VLOOKUP(C768, 'Class Def. - General Data'!$C$20:$C$476,1,false)</f>
        <v>ZSR3_MAINTAIN</v>
      </c>
      <c r="I768" s="63" t="str">
        <f t="shared" si="1"/>
        <v>ZSR3_MAINTAIN5</v>
      </c>
      <c r="J768" s="63">
        <f t="shared" si="2"/>
        <v>1</v>
      </c>
    </row>
    <row r="769" ht="15.75" customHeight="1">
      <c r="A769" s="59" t="s">
        <v>93</v>
      </c>
      <c r="B769" s="95"/>
      <c r="C769" s="95" t="s">
        <v>174</v>
      </c>
      <c r="D769" s="95" t="s">
        <v>91</v>
      </c>
      <c r="E769" s="95" t="s">
        <v>577</v>
      </c>
      <c r="F769" s="95">
        <v>6.0</v>
      </c>
      <c r="G769" s="95" t="s">
        <v>1311</v>
      </c>
      <c r="H769" s="63" t="str">
        <f>VLOOKUP(C769, 'Class Def. - General Data'!$C$20:$C$476,1,false)</f>
        <v>ZSR3_MAINTAIN</v>
      </c>
      <c r="I769" s="63" t="str">
        <f t="shared" si="1"/>
        <v>ZSR3_MAINTAIN6</v>
      </c>
      <c r="J769" s="63">
        <f t="shared" si="2"/>
        <v>1</v>
      </c>
    </row>
    <row r="770" ht="15.0" customHeight="1">
      <c r="A770" s="59" t="s">
        <v>93</v>
      </c>
      <c r="B770" s="95"/>
      <c r="C770" s="95" t="s">
        <v>174</v>
      </c>
      <c r="D770" s="95" t="s">
        <v>91</v>
      </c>
      <c r="E770" s="95" t="s">
        <v>577</v>
      </c>
      <c r="F770" s="95">
        <v>7.0</v>
      </c>
      <c r="G770" s="95" t="s">
        <v>1312</v>
      </c>
      <c r="H770" s="63" t="str">
        <f>VLOOKUP(C770, 'Class Def. - General Data'!$C$20:$C$476,1,false)</f>
        <v>ZSR3_MAINTAIN</v>
      </c>
      <c r="I770" s="63" t="str">
        <f t="shared" si="1"/>
        <v>ZSR3_MAINTAIN7</v>
      </c>
      <c r="J770" s="63">
        <f t="shared" si="2"/>
        <v>1</v>
      </c>
    </row>
    <row r="771" ht="15.0" customHeight="1">
      <c r="A771" s="59" t="s">
        <v>93</v>
      </c>
      <c r="B771" s="95"/>
      <c r="C771" s="95" t="s">
        <v>174</v>
      </c>
      <c r="D771" s="95" t="s">
        <v>91</v>
      </c>
      <c r="E771" s="95" t="s">
        <v>577</v>
      </c>
      <c r="F771" s="95">
        <v>8.0</v>
      </c>
      <c r="G771" s="95" t="s">
        <v>1313</v>
      </c>
      <c r="H771" s="63" t="str">
        <f>VLOOKUP(C771, 'Class Def. - General Data'!$C$20:$C$476,1,false)</f>
        <v>ZSR3_MAINTAIN</v>
      </c>
      <c r="I771" s="63" t="str">
        <f t="shared" si="1"/>
        <v>ZSR3_MAINTAIN8</v>
      </c>
      <c r="J771" s="63">
        <f t="shared" si="2"/>
        <v>1</v>
      </c>
    </row>
    <row r="772" ht="15.0" customHeight="1">
      <c r="A772" s="59" t="s">
        <v>93</v>
      </c>
      <c r="B772" s="95"/>
      <c r="C772" s="95" t="s">
        <v>174</v>
      </c>
      <c r="D772" s="95" t="s">
        <v>91</v>
      </c>
      <c r="E772" s="95" t="s">
        <v>577</v>
      </c>
      <c r="F772" s="95">
        <v>9.0</v>
      </c>
      <c r="G772" s="95" t="s">
        <v>1314</v>
      </c>
      <c r="H772" s="63" t="str">
        <f>VLOOKUP(C772, 'Class Def. - General Data'!$C$20:$C$476,1,false)</f>
        <v>ZSR3_MAINTAIN</v>
      </c>
      <c r="I772" s="63" t="str">
        <f t="shared" si="1"/>
        <v>ZSR3_MAINTAIN9</v>
      </c>
      <c r="J772" s="63">
        <f t="shared" si="2"/>
        <v>1</v>
      </c>
    </row>
    <row r="773" ht="15.75" customHeight="1">
      <c r="A773" s="59" t="s">
        <v>93</v>
      </c>
      <c r="B773" s="95"/>
      <c r="C773" s="95" t="s">
        <v>174</v>
      </c>
      <c r="D773" s="95" t="s">
        <v>91</v>
      </c>
      <c r="E773" s="95" t="s">
        <v>577</v>
      </c>
      <c r="F773" s="95">
        <v>10.0</v>
      </c>
      <c r="G773" s="95" t="s">
        <v>1315</v>
      </c>
      <c r="H773" s="63" t="str">
        <f>VLOOKUP(C773, 'Class Def. - General Data'!$C$20:$C$476,1,false)</f>
        <v>ZSR3_MAINTAIN</v>
      </c>
      <c r="I773" s="63" t="str">
        <f t="shared" si="1"/>
        <v>ZSR3_MAINTAIN10</v>
      </c>
      <c r="J773" s="63">
        <f t="shared" si="2"/>
        <v>1</v>
      </c>
    </row>
    <row r="774" ht="15.75" customHeight="1">
      <c r="A774" s="59" t="s">
        <v>93</v>
      </c>
      <c r="B774" s="95"/>
      <c r="C774" s="95" t="s">
        <v>174</v>
      </c>
      <c r="D774" s="95" t="s">
        <v>91</v>
      </c>
      <c r="E774" s="95" t="s">
        <v>577</v>
      </c>
      <c r="F774" s="95">
        <v>11.0</v>
      </c>
      <c r="G774" s="96" t="s">
        <v>1316</v>
      </c>
      <c r="H774" s="63" t="str">
        <f>VLOOKUP(C774, 'Class Def. - General Data'!$C$20:$C$476,1,false)</f>
        <v>ZSR3_MAINTAIN</v>
      </c>
      <c r="I774" s="63" t="str">
        <f t="shared" si="1"/>
        <v>ZSR3_MAINTAIN11</v>
      </c>
      <c r="J774" s="63">
        <f t="shared" si="2"/>
        <v>1</v>
      </c>
    </row>
    <row r="775" ht="15.75" customHeight="1">
      <c r="A775" s="59" t="s">
        <v>93</v>
      </c>
      <c r="B775" s="95"/>
      <c r="C775" s="95" t="s">
        <v>174</v>
      </c>
      <c r="D775" s="95" t="s">
        <v>91</v>
      </c>
      <c r="E775" s="95" t="s">
        <v>577</v>
      </c>
      <c r="F775" s="95">
        <v>12.0</v>
      </c>
      <c r="G775" s="95" t="s">
        <v>1317</v>
      </c>
      <c r="H775" s="63" t="str">
        <f>VLOOKUP(C775, 'Class Def. - General Data'!$C$20:$C$476,1,false)</f>
        <v>ZSR3_MAINTAIN</v>
      </c>
      <c r="I775" s="63" t="str">
        <f t="shared" si="1"/>
        <v>ZSR3_MAINTAIN12</v>
      </c>
      <c r="J775" s="63">
        <f t="shared" si="2"/>
        <v>1</v>
      </c>
    </row>
    <row r="776" ht="15.75" customHeight="1">
      <c r="A776" s="59" t="s">
        <v>93</v>
      </c>
      <c r="B776" s="95"/>
      <c r="C776" s="95" t="s">
        <v>174</v>
      </c>
      <c r="D776" s="95" t="s">
        <v>91</v>
      </c>
      <c r="E776" s="95" t="s">
        <v>577</v>
      </c>
      <c r="F776" s="95">
        <v>13.0</v>
      </c>
      <c r="G776" s="95" t="s">
        <v>1318</v>
      </c>
      <c r="H776" s="63" t="str">
        <f>VLOOKUP(C776, 'Class Def. - General Data'!$C$20:$C$476,1,false)</f>
        <v>ZSR3_MAINTAIN</v>
      </c>
      <c r="I776" s="63" t="str">
        <f t="shared" si="1"/>
        <v>ZSR3_MAINTAIN13</v>
      </c>
      <c r="J776" s="63">
        <f t="shared" si="2"/>
        <v>1</v>
      </c>
    </row>
    <row r="777" ht="15.75" customHeight="1">
      <c r="A777" s="59" t="s">
        <v>93</v>
      </c>
      <c r="B777" s="95"/>
      <c r="C777" s="95" t="s">
        <v>174</v>
      </c>
      <c r="D777" s="95" t="s">
        <v>91</v>
      </c>
      <c r="E777" s="95" t="s">
        <v>577</v>
      </c>
      <c r="F777" s="95">
        <v>14.0</v>
      </c>
      <c r="G777" s="95" t="s">
        <v>1319</v>
      </c>
      <c r="H777" s="63" t="str">
        <f>VLOOKUP(C777, 'Class Def. - General Data'!$C$20:$C$476,1,false)</f>
        <v>ZSR3_MAINTAIN</v>
      </c>
      <c r="I777" s="63" t="str">
        <f t="shared" si="1"/>
        <v>ZSR3_MAINTAIN14</v>
      </c>
      <c r="J777" s="63">
        <f t="shared" si="2"/>
        <v>1</v>
      </c>
    </row>
    <row r="778" ht="15.75" customHeight="1">
      <c r="A778" s="59" t="s">
        <v>93</v>
      </c>
      <c r="B778" s="95"/>
      <c r="C778" s="95" t="s">
        <v>174</v>
      </c>
      <c r="D778" s="95" t="s">
        <v>91</v>
      </c>
      <c r="E778" s="95" t="s">
        <v>577</v>
      </c>
      <c r="F778" s="95">
        <v>15.0</v>
      </c>
      <c r="G778" s="96" t="s">
        <v>1320</v>
      </c>
      <c r="H778" s="63" t="str">
        <f>VLOOKUP(C778, 'Class Def. - General Data'!$C$20:$C$476,1,false)</f>
        <v>ZSR3_MAINTAIN</v>
      </c>
      <c r="I778" s="63" t="str">
        <f t="shared" si="1"/>
        <v>ZSR3_MAINTAIN15</v>
      </c>
      <c r="J778" s="63">
        <f t="shared" si="2"/>
        <v>1</v>
      </c>
    </row>
    <row r="779" ht="15.75" customHeight="1">
      <c r="A779" s="59" t="s">
        <v>93</v>
      </c>
      <c r="B779" s="95"/>
      <c r="C779" s="95" t="s">
        <v>174</v>
      </c>
      <c r="D779" s="95" t="s">
        <v>91</v>
      </c>
      <c r="E779" s="95" t="s">
        <v>577</v>
      </c>
      <c r="F779" s="95">
        <v>16.0</v>
      </c>
      <c r="G779" s="96" t="s">
        <v>1321</v>
      </c>
      <c r="H779" s="63" t="str">
        <f>VLOOKUP(C779, 'Class Def. - General Data'!$C$20:$C$476,1,false)</f>
        <v>ZSR3_MAINTAIN</v>
      </c>
      <c r="I779" s="63" t="str">
        <f t="shared" si="1"/>
        <v>ZSR3_MAINTAIN16</v>
      </c>
      <c r="J779" s="63">
        <f t="shared" si="2"/>
        <v>1</v>
      </c>
    </row>
    <row r="780" ht="15.75" customHeight="1">
      <c r="A780" s="59" t="s">
        <v>93</v>
      </c>
      <c r="B780" s="95"/>
      <c r="C780" s="95" t="s">
        <v>174</v>
      </c>
      <c r="D780" s="95" t="s">
        <v>91</v>
      </c>
      <c r="E780" s="95" t="s">
        <v>577</v>
      </c>
      <c r="F780" s="95">
        <v>17.0</v>
      </c>
      <c r="G780" s="96" t="s">
        <v>1306</v>
      </c>
      <c r="H780" s="63" t="str">
        <f>VLOOKUP(C780, 'Class Def. - General Data'!$C$20:$C$476,1,false)</f>
        <v>ZSR3_MAINTAIN</v>
      </c>
      <c r="I780" s="63" t="str">
        <f t="shared" si="1"/>
        <v>ZSR3_MAINTAIN17</v>
      </c>
      <c r="J780" s="63">
        <f t="shared" si="2"/>
        <v>1</v>
      </c>
    </row>
    <row r="781" ht="15.75" customHeight="1">
      <c r="A781" s="59" t="s">
        <v>93</v>
      </c>
      <c r="B781" s="95"/>
      <c r="C781" s="95" t="s">
        <v>174</v>
      </c>
      <c r="D781" s="95" t="s">
        <v>91</v>
      </c>
      <c r="E781" s="95" t="s">
        <v>577</v>
      </c>
      <c r="F781" s="95">
        <v>18.0</v>
      </c>
      <c r="G781" s="96" t="s">
        <v>1322</v>
      </c>
      <c r="H781" s="63" t="str">
        <f>VLOOKUP(C781, 'Class Def. - General Data'!$C$20:$C$476,1,false)</f>
        <v>ZSR3_MAINTAIN</v>
      </c>
      <c r="I781" s="63" t="str">
        <f t="shared" si="1"/>
        <v>ZSR3_MAINTAIN18</v>
      </c>
      <c r="J781" s="63">
        <f t="shared" si="2"/>
        <v>1</v>
      </c>
    </row>
    <row r="782" ht="15.75" customHeight="1">
      <c r="A782" s="59" t="s">
        <v>93</v>
      </c>
      <c r="B782" s="95"/>
      <c r="C782" s="95" t="s">
        <v>174</v>
      </c>
      <c r="D782" s="95" t="s">
        <v>91</v>
      </c>
      <c r="E782" s="95" t="s">
        <v>577</v>
      </c>
      <c r="F782" s="95">
        <v>19.0</v>
      </c>
      <c r="G782" s="96" t="s">
        <v>1323</v>
      </c>
      <c r="H782" s="63" t="str">
        <f>VLOOKUP(C782, 'Class Def. - General Data'!$C$20:$C$476,1,false)</f>
        <v>ZSR3_MAINTAIN</v>
      </c>
      <c r="I782" s="63" t="str">
        <f t="shared" si="1"/>
        <v>ZSR3_MAINTAIN19</v>
      </c>
      <c r="J782" s="63">
        <f t="shared" si="2"/>
        <v>1</v>
      </c>
    </row>
    <row r="783" ht="15.75" customHeight="1">
      <c r="A783" s="59" t="s">
        <v>93</v>
      </c>
      <c r="B783" s="95"/>
      <c r="C783" s="95" t="s">
        <v>174</v>
      </c>
      <c r="D783" s="95" t="s">
        <v>91</v>
      </c>
      <c r="E783" s="95" t="s">
        <v>577</v>
      </c>
      <c r="F783" s="95">
        <v>20.0</v>
      </c>
      <c r="G783" s="96" t="s">
        <v>1324</v>
      </c>
      <c r="H783" s="63" t="str">
        <f>VLOOKUP(C783, 'Class Def. - General Data'!$C$20:$C$476,1,false)</f>
        <v>ZSR3_MAINTAIN</v>
      </c>
      <c r="I783" s="63" t="str">
        <f t="shared" si="1"/>
        <v>ZSR3_MAINTAIN20</v>
      </c>
      <c r="J783" s="63">
        <f t="shared" si="2"/>
        <v>1</v>
      </c>
    </row>
    <row r="784" ht="15.75" customHeight="1">
      <c r="A784" s="59" t="s">
        <v>93</v>
      </c>
      <c r="B784" s="95"/>
      <c r="C784" s="95" t="s">
        <v>174</v>
      </c>
      <c r="D784" s="95" t="s">
        <v>91</v>
      </c>
      <c r="E784" s="95" t="s">
        <v>577</v>
      </c>
      <c r="F784" s="95">
        <v>21.0</v>
      </c>
      <c r="G784" s="96" t="s">
        <v>1325</v>
      </c>
      <c r="H784" s="63" t="str">
        <f>VLOOKUP(C784, 'Class Def. - General Data'!$C$20:$C$476,1,false)</f>
        <v>ZSR3_MAINTAIN</v>
      </c>
      <c r="I784" s="63" t="str">
        <f t="shared" si="1"/>
        <v>ZSR3_MAINTAIN21</v>
      </c>
      <c r="J784" s="63">
        <f t="shared" si="2"/>
        <v>1</v>
      </c>
    </row>
    <row r="785" ht="15.75" customHeight="1">
      <c r="A785" s="59" t="s">
        <v>93</v>
      </c>
      <c r="B785" s="95"/>
      <c r="C785" s="95" t="s">
        <v>174</v>
      </c>
      <c r="D785" s="95" t="s">
        <v>91</v>
      </c>
      <c r="E785" s="95" t="s">
        <v>577</v>
      </c>
      <c r="F785" s="95">
        <v>22.0</v>
      </c>
      <c r="G785" s="96" t="s">
        <v>1326</v>
      </c>
      <c r="H785" s="63" t="str">
        <f>VLOOKUP(C785, 'Class Def. - General Data'!$C$20:$C$476,1,false)</f>
        <v>ZSR3_MAINTAIN</v>
      </c>
      <c r="I785" s="63" t="str">
        <f t="shared" si="1"/>
        <v>ZSR3_MAINTAIN22</v>
      </c>
      <c r="J785" s="63">
        <f t="shared" si="2"/>
        <v>1</v>
      </c>
    </row>
    <row r="786" ht="15.75" customHeight="1">
      <c r="A786" s="59" t="s">
        <v>93</v>
      </c>
      <c r="B786" s="95"/>
      <c r="C786" s="95" t="s">
        <v>175</v>
      </c>
      <c r="D786" s="95" t="s">
        <v>91</v>
      </c>
      <c r="E786" s="95" t="s">
        <v>577</v>
      </c>
      <c r="F786" s="96">
        <v>1.0</v>
      </c>
      <c r="G786" s="95" t="s">
        <v>1327</v>
      </c>
      <c r="H786" s="63" t="str">
        <f>VLOOKUP(C786, 'Class Def. - General Data'!$C$20:$C$476,1,false)</f>
        <v>ZSR3_OPS_SUPPORT</v>
      </c>
      <c r="I786" s="63" t="str">
        <f t="shared" si="1"/>
        <v>ZSR3_OPS_SUPPORT1</v>
      </c>
      <c r="J786" s="63">
        <f t="shared" si="2"/>
        <v>1</v>
      </c>
    </row>
    <row r="787" ht="15.75" customHeight="1">
      <c r="A787" s="59" t="s">
        <v>93</v>
      </c>
      <c r="B787" s="95"/>
      <c r="C787" s="95" t="s">
        <v>175</v>
      </c>
      <c r="D787" s="95" t="s">
        <v>91</v>
      </c>
      <c r="E787" s="95" t="s">
        <v>577</v>
      </c>
      <c r="F787" s="96">
        <v>2.0</v>
      </c>
      <c r="G787" s="96" t="s">
        <v>1328</v>
      </c>
      <c r="H787" s="63" t="str">
        <f>VLOOKUP(C787, 'Class Def. - General Data'!$C$20:$C$476,1,false)</f>
        <v>ZSR3_OPS_SUPPORT</v>
      </c>
      <c r="I787" s="63" t="str">
        <f t="shared" si="1"/>
        <v>ZSR3_OPS_SUPPORT2</v>
      </c>
      <c r="J787" s="63">
        <f t="shared" si="2"/>
        <v>1</v>
      </c>
    </row>
    <row r="788" ht="15.75" customHeight="1">
      <c r="A788" s="59" t="s">
        <v>93</v>
      </c>
      <c r="B788" s="95"/>
      <c r="C788" s="95" t="s">
        <v>175</v>
      </c>
      <c r="D788" s="95" t="s">
        <v>91</v>
      </c>
      <c r="E788" s="95" t="s">
        <v>577</v>
      </c>
      <c r="F788" s="96">
        <v>3.0</v>
      </c>
      <c r="G788" s="96" t="s">
        <v>1329</v>
      </c>
      <c r="H788" s="63" t="str">
        <f>VLOOKUP(C788, 'Class Def. - General Data'!$C$20:$C$476,1,false)</f>
        <v>ZSR3_OPS_SUPPORT</v>
      </c>
      <c r="I788" s="63" t="str">
        <f t="shared" si="1"/>
        <v>ZSR3_OPS_SUPPORT3</v>
      </c>
      <c r="J788" s="63">
        <f t="shared" si="2"/>
        <v>1</v>
      </c>
    </row>
    <row r="789" ht="15.75" customHeight="1">
      <c r="A789" s="59" t="s">
        <v>93</v>
      </c>
      <c r="B789" s="95"/>
      <c r="C789" s="95" t="s">
        <v>175</v>
      </c>
      <c r="D789" s="95" t="s">
        <v>91</v>
      </c>
      <c r="E789" s="95" t="s">
        <v>577</v>
      </c>
      <c r="F789" s="96">
        <v>4.0</v>
      </c>
      <c r="G789" s="95" t="s">
        <v>1330</v>
      </c>
      <c r="H789" s="63" t="str">
        <f>VLOOKUP(C789, 'Class Def. - General Data'!$C$20:$C$476,1,false)</f>
        <v>ZSR3_OPS_SUPPORT</v>
      </c>
      <c r="I789" s="63" t="str">
        <f t="shared" si="1"/>
        <v>ZSR3_OPS_SUPPORT4</v>
      </c>
      <c r="J789" s="63">
        <f t="shared" si="2"/>
        <v>1</v>
      </c>
    </row>
    <row r="790" ht="15.75" customHeight="1">
      <c r="A790" s="59" t="s">
        <v>93</v>
      </c>
      <c r="B790" s="95"/>
      <c r="C790" s="95" t="s">
        <v>175</v>
      </c>
      <c r="D790" s="95" t="s">
        <v>91</v>
      </c>
      <c r="E790" s="95" t="s">
        <v>577</v>
      </c>
      <c r="F790" s="96">
        <v>5.0</v>
      </c>
      <c r="G790" s="95" t="s">
        <v>1331</v>
      </c>
      <c r="H790" s="63" t="str">
        <f>VLOOKUP(C790, 'Class Def. - General Data'!$C$20:$C$476,1,false)</f>
        <v>ZSR3_OPS_SUPPORT</v>
      </c>
      <c r="I790" s="63" t="str">
        <f t="shared" si="1"/>
        <v>ZSR3_OPS_SUPPORT5</v>
      </c>
      <c r="J790" s="63">
        <f t="shared" si="2"/>
        <v>1</v>
      </c>
    </row>
    <row r="791" ht="15.75" customHeight="1">
      <c r="A791" s="59" t="s">
        <v>93</v>
      </c>
      <c r="B791" s="95"/>
      <c r="C791" s="95" t="s">
        <v>175</v>
      </c>
      <c r="D791" s="95" t="s">
        <v>91</v>
      </c>
      <c r="E791" s="95" t="s">
        <v>577</v>
      </c>
      <c r="F791" s="96">
        <v>6.0</v>
      </c>
      <c r="G791" s="96" t="s">
        <v>1332</v>
      </c>
      <c r="H791" s="63" t="str">
        <f>VLOOKUP(C791, 'Class Def. - General Data'!$C$20:$C$476,1,false)</f>
        <v>ZSR3_OPS_SUPPORT</v>
      </c>
      <c r="I791" s="63" t="str">
        <f t="shared" si="1"/>
        <v>ZSR3_OPS_SUPPORT6</v>
      </c>
      <c r="J791" s="63">
        <f t="shared" si="2"/>
        <v>1</v>
      </c>
    </row>
    <row r="792" ht="15.75" customHeight="1">
      <c r="A792" s="59" t="s">
        <v>93</v>
      </c>
      <c r="B792" s="95"/>
      <c r="C792" s="95" t="s">
        <v>175</v>
      </c>
      <c r="D792" s="95" t="s">
        <v>91</v>
      </c>
      <c r="E792" s="95" t="s">
        <v>577</v>
      </c>
      <c r="F792" s="96">
        <v>7.0</v>
      </c>
      <c r="G792" s="95" t="s">
        <v>1333</v>
      </c>
      <c r="H792" s="63" t="str">
        <f>VLOOKUP(C792, 'Class Def. - General Data'!$C$20:$C$476,1,false)</f>
        <v>ZSR3_OPS_SUPPORT</v>
      </c>
      <c r="I792" s="63" t="str">
        <f t="shared" si="1"/>
        <v>ZSR3_OPS_SUPPORT7</v>
      </c>
      <c r="J792" s="63">
        <f t="shared" si="2"/>
        <v>1</v>
      </c>
    </row>
    <row r="793" ht="15.75" customHeight="1">
      <c r="A793" s="59" t="s">
        <v>93</v>
      </c>
      <c r="B793" s="95"/>
      <c r="C793" s="95" t="s">
        <v>175</v>
      </c>
      <c r="D793" s="95" t="s">
        <v>91</v>
      </c>
      <c r="E793" s="95" t="s">
        <v>577</v>
      </c>
      <c r="F793" s="96">
        <v>8.0</v>
      </c>
      <c r="G793" s="95" t="s">
        <v>1334</v>
      </c>
      <c r="H793" s="63" t="str">
        <f>VLOOKUP(C793, 'Class Def. - General Data'!$C$20:$C$476,1,false)</f>
        <v>ZSR3_OPS_SUPPORT</v>
      </c>
      <c r="I793" s="63" t="str">
        <f t="shared" si="1"/>
        <v>ZSR3_OPS_SUPPORT8</v>
      </c>
      <c r="J793" s="63">
        <f t="shared" si="2"/>
        <v>1</v>
      </c>
    </row>
    <row r="794" ht="15.75" customHeight="1">
      <c r="A794" s="59" t="s">
        <v>93</v>
      </c>
      <c r="B794" s="95"/>
      <c r="C794" s="95" t="s">
        <v>175</v>
      </c>
      <c r="D794" s="95" t="s">
        <v>91</v>
      </c>
      <c r="E794" s="95" t="s">
        <v>577</v>
      </c>
      <c r="F794" s="96">
        <v>9.0</v>
      </c>
      <c r="G794" s="95" t="s">
        <v>1335</v>
      </c>
      <c r="H794" s="63" t="str">
        <f>VLOOKUP(C794, 'Class Def. - General Data'!$C$20:$C$476,1,false)</f>
        <v>ZSR3_OPS_SUPPORT</v>
      </c>
      <c r="I794" s="63" t="str">
        <f t="shared" si="1"/>
        <v>ZSR3_OPS_SUPPORT9</v>
      </c>
      <c r="J794" s="63">
        <f t="shared" si="2"/>
        <v>1</v>
      </c>
    </row>
    <row r="795" ht="15.75" customHeight="1">
      <c r="A795" s="59" t="s">
        <v>93</v>
      </c>
      <c r="B795" s="95"/>
      <c r="C795" s="95" t="s">
        <v>175</v>
      </c>
      <c r="D795" s="95" t="s">
        <v>91</v>
      </c>
      <c r="E795" s="95" t="s">
        <v>577</v>
      </c>
      <c r="F795" s="96">
        <v>10.0</v>
      </c>
      <c r="G795" s="95" t="s">
        <v>1336</v>
      </c>
      <c r="H795" s="63" t="str">
        <f>VLOOKUP(C795, 'Class Def. - General Data'!$C$20:$C$476,1,false)</f>
        <v>ZSR3_OPS_SUPPORT</v>
      </c>
      <c r="I795" s="63" t="str">
        <f t="shared" si="1"/>
        <v>ZSR3_OPS_SUPPORT10</v>
      </c>
      <c r="J795" s="63">
        <f t="shared" si="2"/>
        <v>1</v>
      </c>
    </row>
    <row r="796" ht="15.75" customHeight="1">
      <c r="A796" s="59" t="s">
        <v>93</v>
      </c>
      <c r="B796" s="95"/>
      <c r="C796" s="95" t="s">
        <v>175</v>
      </c>
      <c r="D796" s="95" t="s">
        <v>91</v>
      </c>
      <c r="E796" s="95" t="s">
        <v>577</v>
      </c>
      <c r="F796" s="96">
        <v>11.0</v>
      </c>
      <c r="G796" s="95" t="s">
        <v>1337</v>
      </c>
      <c r="H796" s="63" t="str">
        <f>VLOOKUP(C796, 'Class Def. - General Data'!$C$20:$C$476,1,false)</f>
        <v>ZSR3_OPS_SUPPORT</v>
      </c>
      <c r="I796" s="63" t="str">
        <f t="shared" si="1"/>
        <v>ZSR3_OPS_SUPPORT11</v>
      </c>
      <c r="J796" s="63">
        <f t="shared" si="2"/>
        <v>1</v>
      </c>
    </row>
    <row r="797" ht="15.75" customHeight="1">
      <c r="A797" s="59"/>
      <c r="B797" s="95"/>
      <c r="C797" s="95" t="s">
        <v>175</v>
      </c>
      <c r="D797" s="95" t="s">
        <v>91</v>
      </c>
      <c r="E797" s="95" t="s">
        <v>577</v>
      </c>
      <c r="F797" s="96">
        <v>12.0</v>
      </c>
      <c r="G797" s="96" t="s">
        <v>1338</v>
      </c>
      <c r="H797" s="63" t="str">
        <f>VLOOKUP(C797, 'Class Def. - General Data'!$C$20:$C$476,1,false)</f>
        <v>ZSR3_OPS_SUPPORT</v>
      </c>
      <c r="I797" s="63" t="str">
        <f t="shared" si="1"/>
        <v>ZSR3_OPS_SUPPORT12</v>
      </c>
      <c r="J797" s="63">
        <f t="shared" si="2"/>
        <v>1</v>
      </c>
    </row>
    <row r="798" ht="15.75" customHeight="1">
      <c r="A798" s="59" t="s">
        <v>93</v>
      </c>
      <c r="B798" s="95"/>
      <c r="C798" s="95" t="s">
        <v>175</v>
      </c>
      <c r="D798" s="95" t="s">
        <v>91</v>
      </c>
      <c r="E798" s="95" t="s">
        <v>577</v>
      </c>
      <c r="F798" s="96">
        <v>13.0</v>
      </c>
      <c r="G798" s="96" t="s">
        <v>1339</v>
      </c>
      <c r="H798" s="63" t="str">
        <f>VLOOKUP(C798, 'Class Def. - General Data'!$C$20:$C$476,1,false)</f>
        <v>ZSR3_OPS_SUPPORT</v>
      </c>
      <c r="I798" s="63" t="str">
        <f t="shared" si="1"/>
        <v>ZSR3_OPS_SUPPORT13</v>
      </c>
      <c r="J798" s="63">
        <f t="shared" si="2"/>
        <v>1</v>
      </c>
    </row>
    <row r="799" ht="15.75" customHeight="1">
      <c r="A799" s="59" t="s">
        <v>93</v>
      </c>
      <c r="B799" s="95"/>
      <c r="C799" s="95" t="s">
        <v>175</v>
      </c>
      <c r="D799" s="95" t="s">
        <v>91</v>
      </c>
      <c r="E799" s="95" t="s">
        <v>577</v>
      </c>
      <c r="F799" s="96">
        <v>14.0</v>
      </c>
      <c r="G799" s="96" t="s">
        <v>1340</v>
      </c>
      <c r="H799" s="63" t="str">
        <f>VLOOKUP(C799, 'Class Def. - General Data'!$C$20:$C$476,1,false)</f>
        <v>ZSR3_OPS_SUPPORT</v>
      </c>
      <c r="I799" s="63" t="str">
        <f t="shared" si="1"/>
        <v>ZSR3_OPS_SUPPORT14</v>
      </c>
      <c r="J799" s="63">
        <f t="shared" si="2"/>
        <v>1</v>
      </c>
    </row>
    <row r="800" ht="15.75" customHeight="1">
      <c r="A800" s="59" t="s">
        <v>93</v>
      </c>
      <c r="B800" s="95"/>
      <c r="C800" s="95" t="s">
        <v>175</v>
      </c>
      <c r="D800" s="95" t="s">
        <v>91</v>
      </c>
      <c r="E800" s="95" t="s">
        <v>577</v>
      </c>
      <c r="F800" s="96">
        <v>15.0</v>
      </c>
      <c r="G800" s="96" t="s">
        <v>1341</v>
      </c>
      <c r="H800" s="63" t="str">
        <f>VLOOKUP(C800, 'Class Def. - General Data'!$C$20:$C$476,1,false)</f>
        <v>ZSR3_OPS_SUPPORT</v>
      </c>
      <c r="I800" s="63" t="str">
        <f t="shared" si="1"/>
        <v>ZSR3_OPS_SUPPORT15</v>
      </c>
      <c r="J800" s="63">
        <f t="shared" si="2"/>
        <v>1</v>
      </c>
    </row>
    <row r="801" ht="15.75" customHeight="1">
      <c r="A801" s="59" t="s">
        <v>93</v>
      </c>
      <c r="B801" s="95"/>
      <c r="C801" s="95" t="s">
        <v>176</v>
      </c>
      <c r="D801" s="95" t="s">
        <v>91</v>
      </c>
      <c r="E801" s="95" t="s">
        <v>577</v>
      </c>
      <c r="F801" s="95">
        <v>1.0</v>
      </c>
      <c r="G801" s="95" t="s">
        <v>1342</v>
      </c>
      <c r="H801" s="63" t="str">
        <f>VLOOKUP(C801, 'Class Def. - General Data'!$C$20:$C$476,1,false)</f>
        <v>ZSR3_OUTSRC_MANPWR</v>
      </c>
      <c r="I801" s="63" t="str">
        <f t="shared" si="1"/>
        <v>ZSR3_OUTSRC_MANPWR1</v>
      </c>
      <c r="J801" s="63">
        <f t="shared" si="2"/>
        <v>1</v>
      </c>
    </row>
    <row r="802" ht="15.75" customHeight="1">
      <c r="A802" s="59" t="s">
        <v>93</v>
      </c>
      <c r="B802" s="95"/>
      <c r="C802" s="95" t="s">
        <v>176</v>
      </c>
      <c r="D802" s="95" t="s">
        <v>91</v>
      </c>
      <c r="E802" s="95" t="s">
        <v>577</v>
      </c>
      <c r="F802" s="95">
        <v>2.0</v>
      </c>
      <c r="G802" s="95" t="s">
        <v>1343</v>
      </c>
      <c r="H802" s="63" t="str">
        <f>VLOOKUP(C802, 'Class Def. - General Data'!$C$20:$C$476,1,false)</f>
        <v>ZSR3_OUTSRC_MANPWR</v>
      </c>
      <c r="I802" s="63" t="str">
        <f t="shared" si="1"/>
        <v>ZSR3_OUTSRC_MANPWR2</v>
      </c>
      <c r="J802" s="63">
        <f t="shared" si="2"/>
        <v>1</v>
      </c>
    </row>
    <row r="803" ht="15.75" customHeight="1">
      <c r="A803" s="59" t="s">
        <v>93</v>
      </c>
      <c r="B803" s="95"/>
      <c r="C803" s="95" t="s">
        <v>176</v>
      </c>
      <c r="D803" s="95" t="s">
        <v>91</v>
      </c>
      <c r="E803" s="95" t="s">
        <v>577</v>
      </c>
      <c r="F803" s="95">
        <v>3.0</v>
      </c>
      <c r="G803" s="95" t="s">
        <v>1344</v>
      </c>
      <c r="H803" s="63" t="str">
        <f>VLOOKUP(C803, 'Class Def. - General Data'!$C$20:$C$476,1,false)</f>
        <v>ZSR3_OUTSRC_MANPWR</v>
      </c>
      <c r="I803" s="63" t="str">
        <f t="shared" si="1"/>
        <v>ZSR3_OUTSRC_MANPWR3</v>
      </c>
      <c r="J803" s="63">
        <f t="shared" si="2"/>
        <v>1</v>
      </c>
    </row>
    <row r="804" ht="15.75" customHeight="1">
      <c r="A804" s="59" t="s">
        <v>93</v>
      </c>
      <c r="B804" s="95"/>
      <c r="C804" s="95" t="s">
        <v>176</v>
      </c>
      <c r="D804" s="95" t="s">
        <v>91</v>
      </c>
      <c r="E804" s="95" t="s">
        <v>577</v>
      </c>
      <c r="F804" s="95">
        <v>4.0</v>
      </c>
      <c r="G804" s="95" t="s">
        <v>1345</v>
      </c>
      <c r="H804" s="63" t="str">
        <f>VLOOKUP(C804, 'Class Def. - General Data'!$C$20:$C$476,1,false)</f>
        <v>ZSR3_OUTSRC_MANPWR</v>
      </c>
      <c r="I804" s="63" t="str">
        <f t="shared" si="1"/>
        <v>ZSR3_OUTSRC_MANPWR4</v>
      </c>
      <c r="J804" s="63">
        <f t="shared" si="2"/>
        <v>1</v>
      </c>
    </row>
    <row r="805" ht="15.75" customHeight="1">
      <c r="A805" s="59" t="s">
        <v>93</v>
      </c>
      <c r="B805" s="95"/>
      <c r="C805" s="95" t="s">
        <v>176</v>
      </c>
      <c r="D805" s="95" t="s">
        <v>91</v>
      </c>
      <c r="E805" s="95" t="s">
        <v>577</v>
      </c>
      <c r="F805" s="95">
        <v>5.0</v>
      </c>
      <c r="G805" s="95" t="s">
        <v>1346</v>
      </c>
      <c r="H805" s="63" t="str">
        <f>VLOOKUP(C805, 'Class Def. - General Data'!$C$20:$C$476,1,false)</f>
        <v>ZSR3_OUTSRC_MANPWR</v>
      </c>
      <c r="I805" s="63" t="str">
        <f t="shared" si="1"/>
        <v>ZSR3_OUTSRC_MANPWR5</v>
      </c>
      <c r="J805" s="63">
        <f t="shared" si="2"/>
        <v>1</v>
      </c>
    </row>
    <row r="806" ht="15.75" customHeight="1">
      <c r="A806" s="59" t="s">
        <v>93</v>
      </c>
      <c r="B806" s="95"/>
      <c r="C806" s="95" t="s">
        <v>176</v>
      </c>
      <c r="D806" s="95" t="s">
        <v>91</v>
      </c>
      <c r="E806" s="95" t="s">
        <v>577</v>
      </c>
      <c r="F806" s="95">
        <v>6.0</v>
      </c>
      <c r="G806" s="95" t="s">
        <v>1347</v>
      </c>
      <c r="H806" s="63" t="str">
        <f>VLOOKUP(C806, 'Class Def. - General Data'!$C$20:$C$476,1,false)</f>
        <v>ZSR3_OUTSRC_MANPWR</v>
      </c>
      <c r="I806" s="63" t="str">
        <f t="shared" si="1"/>
        <v>ZSR3_OUTSRC_MANPWR6</v>
      </c>
      <c r="J806" s="63">
        <f t="shared" si="2"/>
        <v>1</v>
      </c>
    </row>
    <row r="807" ht="15.75" customHeight="1">
      <c r="A807" s="59" t="s">
        <v>93</v>
      </c>
      <c r="B807" s="95"/>
      <c r="C807" s="95" t="s">
        <v>176</v>
      </c>
      <c r="D807" s="95" t="s">
        <v>91</v>
      </c>
      <c r="E807" s="95" t="s">
        <v>577</v>
      </c>
      <c r="F807" s="95">
        <v>7.0</v>
      </c>
      <c r="G807" s="95" t="s">
        <v>1348</v>
      </c>
      <c r="H807" s="63" t="str">
        <f>VLOOKUP(C807, 'Class Def. - General Data'!$C$20:$C$476,1,false)</f>
        <v>ZSR3_OUTSRC_MANPWR</v>
      </c>
      <c r="I807" s="63" t="str">
        <f t="shared" si="1"/>
        <v>ZSR3_OUTSRC_MANPWR7</v>
      </c>
      <c r="J807" s="63">
        <f t="shared" si="2"/>
        <v>1</v>
      </c>
    </row>
    <row r="808" ht="15.75" customHeight="1">
      <c r="A808" s="59" t="s">
        <v>93</v>
      </c>
      <c r="B808" s="95"/>
      <c r="C808" s="95" t="s">
        <v>176</v>
      </c>
      <c r="D808" s="95" t="s">
        <v>91</v>
      </c>
      <c r="E808" s="95" t="s">
        <v>577</v>
      </c>
      <c r="F808" s="95">
        <v>8.0</v>
      </c>
      <c r="G808" s="95" t="s">
        <v>1349</v>
      </c>
      <c r="H808" s="63" t="str">
        <f>VLOOKUP(C808, 'Class Def. - General Data'!$C$20:$C$476,1,false)</f>
        <v>ZSR3_OUTSRC_MANPWR</v>
      </c>
      <c r="I808" s="63" t="str">
        <f t="shared" si="1"/>
        <v>ZSR3_OUTSRC_MANPWR8</v>
      </c>
      <c r="J808" s="63">
        <f t="shared" si="2"/>
        <v>1</v>
      </c>
    </row>
    <row r="809" ht="15.75" customHeight="1">
      <c r="A809" s="59" t="s">
        <v>93</v>
      </c>
      <c r="B809" s="95"/>
      <c r="C809" s="95" t="s">
        <v>176</v>
      </c>
      <c r="D809" s="95" t="s">
        <v>91</v>
      </c>
      <c r="E809" s="95" t="s">
        <v>577</v>
      </c>
      <c r="F809" s="95">
        <v>9.0</v>
      </c>
      <c r="G809" s="95" t="s">
        <v>1350</v>
      </c>
      <c r="H809" s="63" t="str">
        <f>VLOOKUP(C809, 'Class Def. - General Data'!$C$20:$C$476,1,false)</f>
        <v>ZSR3_OUTSRC_MANPWR</v>
      </c>
      <c r="I809" s="63" t="str">
        <f t="shared" si="1"/>
        <v>ZSR3_OUTSRC_MANPWR9</v>
      </c>
      <c r="J809" s="63">
        <f t="shared" si="2"/>
        <v>1</v>
      </c>
    </row>
    <row r="810" ht="15.75" customHeight="1">
      <c r="A810" s="59" t="s">
        <v>93</v>
      </c>
      <c r="B810" s="95"/>
      <c r="C810" s="95" t="s">
        <v>176</v>
      </c>
      <c r="D810" s="95" t="s">
        <v>91</v>
      </c>
      <c r="E810" s="95" t="s">
        <v>577</v>
      </c>
      <c r="F810" s="95">
        <v>10.0</v>
      </c>
      <c r="G810" s="96" t="s">
        <v>1351</v>
      </c>
      <c r="H810" s="63" t="str">
        <f>VLOOKUP(C810, 'Class Def. - General Data'!$C$20:$C$476,1,false)</f>
        <v>ZSR3_OUTSRC_MANPWR</v>
      </c>
      <c r="I810" s="63" t="str">
        <f t="shared" si="1"/>
        <v>ZSR3_OUTSRC_MANPWR10</v>
      </c>
      <c r="J810" s="63">
        <f t="shared" si="2"/>
        <v>1</v>
      </c>
    </row>
    <row r="811" ht="15.75" customHeight="1">
      <c r="A811" s="59" t="s">
        <v>93</v>
      </c>
      <c r="B811" s="95"/>
      <c r="C811" s="95" t="s">
        <v>176</v>
      </c>
      <c r="D811" s="95" t="s">
        <v>91</v>
      </c>
      <c r="E811" s="95" t="s">
        <v>577</v>
      </c>
      <c r="F811" s="95">
        <v>11.0</v>
      </c>
      <c r="G811" s="96" t="s">
        <v>1352</v>
      </c>
      <c r="H811" s="63" t="str">
        <f>VLOOKUP(C811, 'Class Def. - General Data'!$C$20:$C$476,1,false)</f>
        <v>ZSR3_OUTSRC_MANPWR</v>
      </c>
      <c r="I811" s="63" t="str">
        <f t="shared" si="1"/>
        <v>ZSR3_OUTSRC_MANPWR11</v>
      </c>
      <c r="J811" s="63">
        <f t="shared" si="2"/>
        <v>1</v>
      </c>
    </row>
    <row r="812" ht="15.75" customHeight="1">
      <c r="A812" s="59" t="s">
        <v>93</v>
      </c>
      <c r="B812" s="95"/>
      <c r="C812" s="95" t="s">
        <v>176</v>
      </c>
      <c r="D812" s="95" t="s">
        <v>91</v>
      </c>
      <c r="E812" s="95" t="s">
        <v>577</v>
      </c>
      <c r="F812" s="96">
        <v>12.0</v>
      </c>
      <c r="G812" s="95" t="s">
        <v>975</v>
      </c>
      <c r="H812" s="63" t="str">
        <f>VLOOKUP(C812, 'Class Def. - General Data'!$C$20:$C$476,1,false)</f>
        <v>ZSR3_OUTSRC_MANPWR</v>
      </c>
      <c r="I812" s="63" t="str">
        <f t="shared" si="1"/>
        <v>ZSR3_OUTSRC_MANPWR12</v>
      </c>
      <c r="J812" s="63">
        <f t="shared" si="2"/>
        <v>1</v>
      </c>
    </row>
    <row r="813" ht="15.75" customHeight="1">
      <c r="A813" s="59" t="s">
        <v>93</v>
      </c>
      <c r="B813" s="95"/>
      <c r="C813" s="95" t="s">
        <v>177</v>
      </c>
      <c r="D813" s="95" t="s">
        <v>91</v>
      </c>
      <c r="E813" s="95" t="s">
        <v>577</v>
      </c>
      <c r="F813" s="95">
        <v>1.0</v>
      </c>
      <c r="G813" s="95" t="s">
        <v>1353</v>
      </c>
      <c r="H813" s="63" t="str">
        <f>VLOOKUP(C813, 'Class Def. - General Data'!$C$20:$C$476,1,false)</f>
        <v>ZSR3_PEMBANGUNAN</v>
      </c>
      <c r="I813" s="63" t="str">
        <f t="shared" si="1"/>
        <v>ZSR3_PEMBANGUNAN1</v>
      </c>
      <c r="J813" s="63">
        <f t="shared" si="2"/>
        <v>1</v>
      </c>
    </row>
    <row r="814" ht="15.75" customHeight="1">
      <c r="A814" s="59" t="s">
        <v>93</v>
      </c>
      <c r="B814" s="95"/>
      <c r="C814" s="95" t="s">
        <v>177</v>
      </c>
      <c r="D814" s="95" t="s">
        <v>91</v>
      </c>
      <c r="E814" s="95" t="s">
        <v>577</v>
      </c>
      <c r="F814" s="95">
        <v>2.0</v>
      </c>
      <c r="G814" s="96" t="s">
        <v>1354</v>
      </c>
      <c r="H814" s="63" t="str">
        <f>VLOOKUP(C814, 'Class Def. - General Data'!$C$20:$C$476,1,false)</f>
        <v>ZSR3_PEMBANGUNAN</v>
      </c>
      <c r="I814" s="63" t="str">
        <f t="shared" si="1"/>
        <v>ZSR3_PEMBANGUNAN2</v>
      </c>
      <c r="J814" s="63">
        <f t="shared" si="2"/>
        <v>1</v>
      </c>
    </row>
    <row r="815" ht="15.75" customHeight="1">
      <c r="A815" s="59" t="s">
        <v>93</v>
      </c>
      <c r="B815" s="95"/>
      <c r="C815" s="95" t="s">
        <v>177</v>
      </c>
      <c r="D815" s="95" t="s">
        <v>91</v>
      </c>
      <c r="E815" s="95" t="s">
        <v>577</v>
      </c>
      <c r="F815" s="95">
        <v>3.0</v>
      </c>
      <c r="G815" s="96" t="s">
        <v>1355</v>
      </c>
      <c r="H815" s="63" t="str">
        <f>VLOOKUP(C815, 'Class Def. - General Data'!$C$20:$C$476,1,false)</f>
        <v>ZSR3_PEMBANGUNAN</v>
      </c>
      <c r="I815" s="63" t="str">
        <f t="shared" si="1"/>
        <v>ZSR3_PEMBANGUNAN3</v>
      </c>
      <c r="J815" s="63">
        <f t="shared" si="2"/>
        <v>1</v>
      </c>
    </row>
    <row r="816" ht="15.75" customHeight="1">
      <c r="A816" s="59" t="s">
        <v>93</v>
      </c>
      <c r="B816" s="95"/>
      <c r="C816" s="95" t="s">
        <v>177</v>
      </c>
      <c r="D816" s="95" t="s">
        <v>91</v>
      </c>
      <c r="E816" s="95" t="s">
        <v>577</v>
      </c>
      <c r="F816" s="95">
        <v>4.0</v>
      </c>
      <c r="G816" s="96" t="s">
        <v>1356</v>
      </c>
      <c r="H816" s="63" t="str">
        <f>VLOOKUP(C816, 'Class Def. - General Data'!$C$20:$C$476,1,false)</f>
        <v>ZSR3_PEMBANGUNAN</v>
      </c>
      <c r="I816" s="63" t="str">
        <f t="shared" si="1"/>
        <v>ZSR3_PEMBANGUNAN4</v>
      </c>
      <c r="J816" s="63">
        <f t="shared" si="2"/>
        <v>1</v>
      </c>
    </row>
    <row r="817" ht="15.75" customHeight="1">
      <c r="A817" s="59" t="s">
        <v>93</v>
      </c>
      <c r="B817" s="95"/>
      <c r="C817" s="95" t="s">
        <v>177</v>
      </c>
      <c r="D817" s="95" t="s">
        <v>91</v>
      </c>
      <c r="E817" s="95" t="s">
        <v>577</v>
      </c>
      <c r="F817" s="96">
        <v>5.0</v>
      </c>
      <c r="G817" s="95" t="s">
        <v>1357</v>
      </c>
      <c r="H817" s="63" t="str">
        <f>VLOOKUP(C817, 'Class Def. - General Data'!$C$20:$C$476,1,false)</f>
        <v>ZSR3_PEMBANGUNAN</v>
      </c>
      <c r="I817" s="63" t="str">
        <f t="shared" si="1"/>
        <v>ZSR3_PEMBANGUNAN5</v>
      </c>
      <c r="J817" s="63">
        <f t="shared" si="2"/>
        <v>1</v>
      </c>
    </row>
    <row r="818" ht="15.75" customHeight="1">
      <c r="A818" s="59" t="s">
        <v>93</v>
      </c>
      <c r="B818" s="95"/>
      <c r="C818" s="95" t="s">
        <v>177</v>
      </c>
      <c r="D818" s="95" t="s">
        <v>91</v>
      </c>
      <c r="E818" s="95" t="s">
        <v>577</v>
      </c>
      <c r="F818" s="95">
        <v>6.0</v>
      </c>
      <c r="G818" s="95" t="s">
        <v>1358</v>
      </c>
      <c r="H818" s="63" t="str">
        <f>VLOOKUP(C818, 'Class Def. - General Data'!$C$20:$C$476,1,false)</f>
        <v>ZSR3_PEMBANGUNAN</v>
      </c>
      <c r="I818" s="63" t="str">
        <f t="shared" si="1"/>
        <v>ZSR3_PEMBANGUNAN6</v>
      </c>
      <c r="J818" s="63">
        <f t="shared" si="2"/>
        <v>1</v>
      </c>
    </row>
    <row r="819" ht="15.75" customHeight="1">
      <c r="A819" s="59" t="s">
        <v>93</v>
      </c>
      <c r="B819" s="95"/>
      <c r="C819" s="95" t="s">
        <v>178</v>
      </c>
      <c r="D819" s="95" t="s">
        <v>91</v>
      </c>
      <c r="E819" s="95" t="s">
        <v>577</v>
      </c>
      <c r="F819" s="95">
        <v>1.0</v>
      </c>
      <c r="G819" s="95" t="s">
        <v>1359</v>
      </c>
      <c r="H819" s="63" t="str">
        <f>VLOOKUP(C819, 'Class Def. - General Data'!$C$20:$C$476,1,false)</f>
        <v>ZSR3_PENGJN_INSPKS</v>
      </c>
      <c r="I819" s="63" t="str">
        <f t="shared" si="1"/>
        <v>ZSR3_PENGJN_INSPKS1</v>
      </c>
      <c r="J819" s="63">
        <f t="shared" si="2"/>
        <v>1</v>
      </c>
    </row>
    <row r="820" ht="15.75" customHeight="1">
      <c r="A820" s="59" t="s">
        <v>93</v>
      </c>
      <c r="B820" s="95"/>
      <c r="C820" s="95" t="s">
        <v>178</v>
      </c>
      <c r="D820" s="95" t="s">
        <v>91</v>
      </c>
      <c r="E820" s="95" t="s">
        <v>577</v>
      </c>
      <c r="F820" s="95">
        <v>2.0</v>
      </c>
      <c r="G820" s="95" t="s">
        <v>1360</v>
      </c>
      <c r="H820" s="63" t="str">
        <f>VLOOKUP(C820, 'Class Def. - General Data'!$C$20:$C$476,1,false)</f>
        <v>ZSR3_PENGJN_INSPKS</v>
      </c>
      <c r="I820" s="63" t="str">
        <f t="shared" si="1"/>
        <v>ZSR3_PENGJN_INSPKS2</v>
      </c>
      <c r="J820" s="63">
        <f t="shared" si="2"/>
        <v>1</v>
      </c>
    </row>
    <row r="821" ht="15.75" customHeight="1">
      <c r="A821" s="59" t="s">
        <v>93</v>
      </c>
      <c r="B821" s="95"/>
      <c r="C821" s="95" t="s">
        <v>178</v>
      </c>
      <c r="D821" s="95" t="s">
        <v>91</v>
      </c>
      <c r="E821" s="95" t="s">
        <v>577</v>
      </c>
      <c r="F821" s="95">
        <v>3.0</v>
      </c>
      <c r="G821" s="95" t="s">
        <v>1361</v>
      </c>
      <c r="H821" s="63" t="str">
        <f>VLOOKUP(C821, 'Class Def. - General Data'!$C$20:$C$476,1,false)</f>
        <v>ZSR3_PENGJN_INSPKS</v>
      </c>
      <c r="I821" s="63" t="str">
        <f t="shared" si="1"/>
        <v>ZSR3_PENGJN_INSPKS3</v>
      </c>
      <c r="J821" s="63">
        <f t="shared" si="2"/>
        <v>1</v>
      </c>
    </row>
    <row r="822" ht="15.75" customHeight="1">
      <c r="A822" s="59" t="s">
        <v>93</v>
      </c>
      <c r="B822" s="95"/>
      <c r="C822" s="95" t="s">
        <v>178</v>
      </c>
      <c r="D822" s="95" t="s">
        <v>91</v>
      </c>
      <c r="E822" s="95" t="s">
        <v>577</v>
      </c>
      <c r="F822" s="95">
        <v>4.0</v>
      </c>
      <c r="G822" s="95" t="s">
        <v>1362</v>
      </c>
      <c r="H822" s="63" t="str">
        <f>VLOOKUP(C822, 'Class Def. - General Data'!$C$20:$C$476,1,false)</f>
        <v>ZSR3_PENGJN_INSPKS</v>
      </c>
      <c r="I822" s="63" t="str">
        <f t="shared" si="1"/>
        <v>ZSR3_PENGJN_INSPKS4</v>
      </c>
      <c r="J822" s="63">
        <f t="shared" si="2"/>
        <v>1</v>
      </c>
    </row>
    <row r="823" ht="15.75" customHeight="1">
      <c r="A823" s="59" t="s">
        <v>93</v>
      </c>
      <c r="B823" s="95"/>
      <c r="C823" s="95" t="s">
        <v>178</v>
      </c>
      <c r="D823" s="95" t="s">
        <v>91</v>
      </c>
      <c r="E823" s="95" t="s">
        <v>577</v>
      </c>
      <c r="F823" s="95">
        <v>5.0</v>
      </c>
      <c r="G823" s="95" t="s">
        <v>1363</v>
      </c>
      <c r="H823" s="63" t="str">
        <f>VLOOKUP(C823, 'Class Def. - General Data'!$C$20:$C$476,1,false)</f>
        <v>ZSR3_PENGJN_INSPKS</v>
      </c>
      <c r="I823" s="63" t="str">
        <f t="shared" si="1"/>
        <v>ZSR3_PENGJN_INSPKS5</v>
      </c>
      <c r="J823" s="63">
        <f t="shared" si="2"/>
        <v>1</v>
      </c>
    </row>
    <row r="824" ht="15.75" customHeight="1">
      <c r="A824" s="59" t="s">
        <v>93</v>
      </c>
      <c r="B824" s="95"/>
      <c r="C824" s="95" t="s">
        <v>178</v>
      </c>
      <c r="D824" s="95" t="s">
        <v>91</v>
      </c>
      <c r="E824" s="95" t="s">
        <v>577</v>
      </c>
      <c r="F824" s="95">
        <v>6.0</v>
      </c>
      <c r="G824" s="95" t="s">
        <v>1364</v>
      </c>
      <c r="H824" s="63" t="str">
        <f>VLOOKUP(C824, 'Class Def. - General Data'!$C$20:$C$476,1,false)</f>
        <v>ZSR3_PENGJN_INSPKS</v>
      </c>
      <c r="I824" s="63" t="str">
        <f t="shared" si="1"/>
        <v>ZSR3_PENGJN_INSPKS6</v>
      </c>
      <c r="J824" s="63">
        <f t="shared" si="2"/>
        <v>1</v>
      </c>
    </row>
    <row r="825" ht="15.75" customHeight="1">
      <c r="A825" s="59" t="s">
        <v>93</v>
      </c>
      <c r="B825" s="95"/>
      <c r="C825" s="95" t="s">
        <v>178</v>
      </c>
      <c r="D825" s="95" t="s">
        <v>91</v>
      </c>
      <c r="E825" s="95" t="s">
        <v>577</v>
      </c>
      <c r="F825" s="95">
        <v>7.0</v>
      </c>
      <c r="G825" s="95" t="s">
        <v>1365</v>
      </c>
      <c r="H825" s="63" t="str">
        <f>VLOOKUP(C825, 'Class Def. - General Data'!$C$20:$C$476,1,false)</f>
        <v>ZSR3_PENGJN_INSPKS</v>
      </c>
      <c r="I825" s="63" t="str">
        <f t="shared" si="1"/>
        <v>ZSR3_PENGJN_INSPKS7</v>
      </c>
      <c r="J825" s="63">
        <f t="shared" si="2"/>
        <v>1</v>
      </c>
    </row>
    <row r="826" ht="15.75" customHeight="1">
      <c r="A826" s="59" t="s">
        <v>93</v>
      </c>
      <c r="B826" s="95"/>
      <c r="C826" s="95" t="s">
        <v>178</v>
      </c>
      <c r="D826" s="95" t="s">
        <v>91</v>
      </c>
      <c r="E826" s="95" t="s">
        <v>577</v>
      </c>
      <c r="F826" s="95">
        <v>8.0</v>
      </c>
      <c r="G826" s="95" t="s">
        <v>1366</v>
      </c>
      <c r="H826" s="63" t="str">
        <f>VLOOKUP(C826, 'Class Def. - General Data'!$C$20:$C$476,1,false)</f>
        <v>ZSR3_PENGJN_INSPKS</v>
      </c>
      <c r="I826" s="63" t="str">
        <f t="shared" si="1"/>
        <v>ZSR3_PENGJN_INSPKS8</v>
      </c>
      <c r="J826" s="63">
        <f t="shared" si="2"/>
        <v>1</v>
      </c>
    </row>
    <row r="827" ht="15.75" customHeight="1">
      <c r="A827" s="59" t="s">
        <v>93</v>
      </c>
      <c r="B827" s="95"/>
      <c r="C827" s="95" t="s">
        <v>178</v>
      </c>
      <c r="D827" s="95" t="s">
        <v>91</v>
      </c>
      <c r="E827" s="95" t="s">
        <v>577</v>
      </c>
      <c r="F827" s="95">
        <v>9.0</v>
      </c>
      <c r="G827" s="95" t="s">
        <v>1367</v>
      </c>
      <c r="H827" s="63" t="str">
        <f>VLOOKUP(C827, 'Class Def. - General Data'!$C$20:$C$476,1,false)</f>
        <v>ZSR3_PENGJN_INSPKS</v>
      </c>
      <c r="I827" s="63" t="str">
        <f t="shared" si="1"/>
        <v>ZSR3_PENGJN_INSPKS9</v>
      </c>
      <c r="J827" s="63">
        <f t="shared" si="2"/>
        <v>1</v>
      </c>
    </row>
    <row r="828" ht="15.75" customHeight="1">
      <c r="A828" s="59" t="s">
        <v>93</v>
      </c>
      <c r="B828" s="95"/>
      <c r="C828" s="95" t="s">
        <v>178</v>
      </c>
      <c r="D828" s="95" t="s">
        <v>91</v>
      </c>
      <c r="E828" s="95" t="s">
        <v>577</v>
      </c>
      <c r="F828" s="95">
        <v>10.0</v>
      </c>
      <c r="G828" s="95" t="s">
        <v>1368</v>
      </c>
      <c r="H828" s="63" t="str">
        <f>VLOOKUP(C828, 'Class Def. - General Data'!$C$20:$C$476,1,false)</f>
        <v>ZSR3_PENGJN_INSPKS</v>
      </c>
      <c r="I828" s="63" t="str">
        <f t="shared" si="1"/>
        <v>ZSR3_PENGJN_INSPKS10</v>
      </c>
      <c r="J828" s="63">
        <f t="shared" si="2"/>
        <v>1</v>
      </c>
    </row>
    <row r="829" ht="15.75" customHeight="1">
      <c r="A829" s="59" t="s">
        <v>93</v>
      </c>
      <c r="B829" s="95"/>
      <c r="C829" s="95" t="s">
        <v>178</v>
      </c>
      <c r="D829" s="95" t="s">
        <v>91</v>
      </c>
      <c r="E829" s="95" t="s">
        <v>577</v>
      </c>
      <c r="F829" s="95">
        <v>11.0</v>
      </c>
      <c r="G829" s="95" t="s">
        <v>1369</v>
      </c>
      <c r="H829" s="63" t="str">
        <f>VLOOKUP(C829, 'Class Def. - General Data'!$C$20:$C$476,1,false)</f>
        <v>ZSR3_PENGJN_INSPKS</v>
      </c>
      <c r="I829" s="63" t="str">
        <f t="shared" si="1"/>
        <v>ZSR3_PENGJN_INSPKS11</v>
      </c>
      <c r="J829" s="63">
        <f t="shared" si="2"/>
        <v>1</v>
      </c>
    </row>
    <row r="830" ht="15.75" customHeight="1">
      <c r="A830" s="59" t="s">
        <v>93</v>
      </c>
      <c r="B830" s="95"/>
      <c r="C830" s="95" t="s">
        <v>178</v>
      </c>
      <c r="D830" s="95" t="s">
        <v>91</v>
      </c>
      <c r="E830" s="95" t="s">
        <v>577</v>
      </c>
      <c r="F830" s="95">
        <v>12.0</v>
      </c>
      <c r="G830" s="95" t="s">
        <v>1370</v>
      </c>
      <c r="H830" s="63" t="str">
        <f>VLOOKUP(C830, 'Class Def. - General Data'!$C$20:$C$476,1,false)</f>
        <v>ZSR3_PENGJN_INSPKS</v>
      </c>
      <c r="I830" s="63" t="str">
        <f t="shared" si="1"/>
        <v>ZSR3_PENGJN_INSPKS12</v>
      </c>
      <c r="J830" s="63">
        <f t="shared" si="2"/>
        <v>1</v>
      </c>
    </row>
    <row r="831" ht="15.75" customHeight="1">
      <c r="A831" s="59" t="s">
        <v>93</v>
      </c>
      <c r="B831" s="95"/>
      <c r="C831" s="95" t="s">
        <v>178</v>
      </c>
      <c r="D831" s="95" t="s">
        <v>91</v>
      </c>
      <c r="E831" s="95" t="s">
        <v>577</v>
      </c>
      <c r="F831" s="95">
        <v>13.0</v>
      </c>
      <c r="G831" s="95" t="s">
        <v>1371</v>
      </c>
      <c r="H831" s="63" t="str">
        <f>VLOOKUP(C831, 'Class Def. - General Data'!$C$20:$C$476,1,false)</f>
        <v>ZSR3_PENGJN_INSPKS</v>
      </c>
      <c r="I831" s="63" t="str">
        <f t="shared" si="1"/>
        <v>ZSR3_PENGJN_INSPKS13</v>
      </c>
      <c r="J831" s="63">
        <f t="shared" si="2"/>
        <v>1</v>
      </c>
    </row>
    <row r="832" ht="15.75" customHeight="1">
      <c r="A832" s="59" t="s">
        <v>93</v>
      </c>
      <c r="B832" s="95"/>
      <c r="C832" s="95" t="s">
        <v>178</v>
      </c>
      <c r="D832" s="95" t="s">
        <v>91</v>
      </c>
      <c r="E832" s="95" t="s">
        <v>577</v>
      </c>
      <c r="F832" s="95">
        <v>14.0</v>
      </c>
      <c r="G832" s="95" t="s">
        <v>1372</v>
      </c>
      <c r="H832" s="63" t="str">
        <f>VLOOKUP(C832, 'Class Def. - General Data'!$C$20:$C$476,1,false)</f>
        <v>ZSR3_PENGJN_INSPKS</v>
      </c>
      <c r="I832" s="63" t="str">
        <f t="shared" si="1"/>
        <v>ZSR3_PENGJN_INSPKS14</v>
      </c>
      <c r="J832" s="63">
        <f t="shared" si="2"/>
        <v>1</v>
      </c>
    </row>
    <row r="833" ht="15.75" customHeight="1">
      <c r="A833" s="59" t="s">
        <v>93</v>
      </c>
      <c r="B833" s="95"/>
      <c r="C833" s="95" t="s">
        <v>178</v>
      </c>
      <c r="D833" s="95" t="s">
        <v>91</v>
      </c>
      <c r="E833" s="95" t="s">
        <v>577</v>
      </c>
      <c r="F833" s="95">
        <v>15.0</v>
      </c>
      <c r="G833" s="95" t="s">
        <v>1373</v>
      </c>
      <c r="H833" s="63" t="str">
        <f>VLOOKUP(C833, 'Class Def. - General Data'!$C$20:$C$476,1,false)</f>
        <v>ZSR3_PENGJN_INSPKS</v>
      </c>
      <c r="I833" s="63" t="str">
        <f t="shared" si="1"/>
        <v>ZSR3_PENGJN_INSPKS15</v>
      </c>
      <c r="J833" s="63">
        <f t="shared" si="2"/>
        <v>1</v>
      </c>
    </row>
    <row r="834" ht="15.75" customHeight="1">
      <c r="A834" s="59" t="s">
        <v>93</v>
      </c>
      <c r="B834" s="95"/>
      <c r="C834" s="95" t="s">
        <v>178</v>
      </c>
      <c r="D834" s="95" t="s">
        <v>91</v>
      </c>
      <c r="E834" s="95" t="s">
        <v>577</v>
      </c>
      <c r="F834" s="95">
        <v>16.0</v>
      </c>
      <c r="G834" s="95" t="s">
        <v>1374</v>
      </c>
      <c r="H834" s="63" t="str">
        <f>VLOOKUP(C834, 'Class Def. - General Data'!$C$20:$C$476,1,false)</f>
        <v>ZSR3_PENGJN_INSPKS</v>
      </c>
      <c r="I834" s="63" t="str">
        <f t="shared" si="1"/>
        <v>ZSR3_PENGJN_INSPKS16</v>
      </c>
      <c r="J834" s="63">
        <f t="shared" si="2"/>
        <v>1</v>
      </c>
    </row>
    <row r="835" ht="15.75" customHeight="1">
      <c r="A835" s="59" t="s">
        <v>93</v>
      </c>
      <c r="B835" s="95"/>
      <c r="C835" s="95" t="s">
        <v>178</v>
      </c>
      <c r="D835" s="95" t="s">
        <v>91</v>
      </c>
      <c r="E835" s="95" t="s">
        <v>577</v>
      </c>
      <c r="F835" s="95">
        <v>17.0</v>
      </c>
      <c r="G835" s="95" t="s">
        <v>1375</v>
      </c>
      <c r="H835" s="63" t="str">
        <f>VLOOKUP(C835, 'Class Def. - General Data'!$C$20:$C$476,1,false)</f>
        <v>ZSR3_PENGJN_INSPKS</v>
      </c>
      <c r="I835" s="63" t="str">
        <f t="shared" si="1"/>
        <v>ZSR3_PENGJN_INSPKS17</v>
      </c>
      <c r="J835" s="63">
        <f t="shared" si="2"/>
        <v>1</v>
      </c>
    </row>
    <row r="836" ht="15.75" customHeight="1">
      <c r="A836" s="59" t="s">
        <v>93</v>
      </c>
      <c r="B836" s="95"/>
      <c r="C836" s="95" t="s">
        <v>179</v>
      </c>
      <c r="D836" s="95" t="s">
        <v>91</v>
      </c>
      <c r="E836" s="95" t="s">
        <v>577</v>
      </c>
      <c r="F836" s="95">
        <v>1.0</v>
      </c>
      <c r="G836" s="96" t="s">
        <v>1376</v>
      </c>
      <c r="H836" s="63" t="str">
        <f>VLOOKUP(C836, 'Class Def. - General Data'!$C$20:$C$476,1,false)</f>
        <v>ZSR3_PERPAJAKAN</v>
      </c>
      <c r="I836" s="63" t="str">
        <f t="shared" si="1"/>
        <v>ZSR3_PERPAJAKAN1</v>
      </c>
      <c r="J836" s="63">
        <f t="shared" si="2"/>
        <v>1</v>
      </c>
    </row>
    <row r="837" ht="15.75" customHeight="1">
      <c r="A837" s="59" t="s">
        <v>93</v>
      </c>
      <c r="B837" s="95"/>
      <c r="C837" s="95" t="s">
        <v>179</v>
      </c>
      <c r="D837" s="95" t="s">
        <v>91</v>
      </c>
      <c r="E837" s="95" t="s">
        <v>577</v>
      </c>
      <c r="F837" s="95">
        <v>2.0</v>
      </c>
      <c r="G837" s="96" t="s">
        <v>1353</v>
      </c>
      <c r="H837" s="63" t="str">
        <f>VLOOKUP(C837, 'Class Def. - General Data'!$C$20:$C$476,1,false)</f>
        <v>ZSR3_PERPAJAKAN</v>
      </c>
      <c r="I837" s="63" t="str">
        <f t="shared" si="1"/>
        <v>ZSR3_PERPAJAKAN2</v>
      </c>
      <c r="J837" s="63">
        <f t="shared" si="2"/>
        <v>1</v>
      </c>
    </row>
    <row r="838" ht="15.75" customHeight="1">
      <c r="A838" s="59" t="s">
        <v>93</v>
      </c>
      <c r="B838" s="95"/>
      <c r="C838" s="95" t="s">
        <v>179</v>
      </c>
      <c r="D838" s="95" t="s">
        <v>91</v>
      </c>
      <c r="E838" s="95" t="s">
        <v>577</v>
      </c>
      <c r="F838" s="95">
        <v>3.0</v>
      </c>
      <c r="G838" s="96" t="s">
        <v>1377</v>
      </c>
      <c r="H838" s="63" t="str">
        <f>VLOOKUP(C838, 'Class Def. - General Data'!$C$20:$C$476,1,false)</f>
        <v>ZSR3_PERPAJAKAN</v>
      </c>
      <c r="I838" s="63" t="str">
        <f t="shared" si="1"/>
        <v>ZSR3_PERPAJAKAN3</v>
      </c>
      <c r="J838" s="63">
        <f t="shared" si="2"/>
        <v>1</v>
      </c>
    </row>
    <row r="839" ht="15.75" customHeight="1">
      <c r="A839" s="59" t="s">
        <v>93</v>
      </c>
      <c r="B839" s="95"/>
      <c r="C839" s="95" t="s">
        <v>179</v>
      </c>
      <c r="D839" s="95" t="s">
        <v>91</v>
      </c>
      <c r="E839" s="95" t="s">
        <v>577</v>
      </c>
      <c r="F839" s="95">
        <v>4.0</v>
      </c>
      <c r="G839" s="95" t="s">
        <v>1378</v>
      </c>
      <c r="H839" s="63" t="str">
        <f>VLOOKUP(C839, 'Class Def. - General Data'!$C$20:$C$476,1,false)</f>
        <v>ZSR3_PERPAJAKAN</v>
      </c>
      <c r="I839" s="63" t="str">
        <f t="shared" si="1"/>
        <v>ZSR3_PERPAJAKAN4</v>
      </c>
      <c r="J839" s="63">
        <f t="shared" si="2"/>
        <v>1</v>
      </c>
    </row>
    <row r="840" ht="15.75" customHeight="1">
      <c r="A840" s="59" t="s">
        <v>93</v>
      </c>
      <c r="B840" s="95"/>
      <c r="C840" s="95" t="s">
        <v>179</v>
      </c>
      <c r="D840" s="95" t="s">
        <v>91</v>
      </c>
      <c r="E840" s="95" t="s">
        <v>577</v>
      </c>
      <c r="F840" s="95">
        <v>5.0</v>
      </c>
      <c r="G840" s="96" t="s">
        <v>1379</v>
      </c>
      <c r="H840" s="63" t="str">
        <f>VLOOKUP(C840, 'Class Def. - General Data'!$C$20:$C$476,1,false)</f>
        <v>ZSR3_PERPAJAKAN</v>
      </c>
      <c r="I840" s="63" t="str">
        <f t="shared" si="1"/>
        <v>ZSR3_PERPAJAKAN5</v>
      </c>
      <c r="J840" s="63">
        <f t="shared" si="2"/>
        <v>1</v>
      </c>
    </row>
    <row r="841" ht="15.75" customHeight="1">
      <c r="A841" s="59" t="s">
        <v>93</v>
      </c>
      <c r="B841" s="95"/>
      <c r="C841" s="95" t="s">
        <v>179</v>
      </c>
      <c r="D841" s="95" t="s">
        <v>91</v>
      </c>
      <c r="E841" s="95" t="s">
        <v>577</v>
      </c>
      <c r="F841" s="95">
        <v>6.0</v>
      </c>
      <c r="G841" s="96" t="s">
        <v>1380</v>
      </c>
      <c r="H841" s="63" t="str">
        <f>VLOOKUP(C841, 'Class Def. - General Data'!$C$20:$C$476,1,false)</f>
        <v>ZSR3_PERPAJAKAN</v>
      </c>
      <c r="I841" s="63" t="str">
        <f t="shared" si="1"/>
        <v>ZSR3_PERPAJAKAN6</v>
      </c>
      <c r="J841" s="63">
        <f t="shared" si="2"/>
        <v>1</v>
      </c>
    </row>
    <row r="842" ht="15.75" customHeight="1">
      <c r="A842" s="59" t="s">
        <v>93</v>
      </c>
      <c r="B842" s="95"/>
      <c r="C842" s="95" t="s">
        <v>179</v>
      </c>
      <c r="D842" s="95" t="s">
        <v>91</v>
      </c>
      <c r="E842" s="95" t="s">
        <v>577</v>
      </c>
      <c r="F842" s="95">
        <v>7.0</v>
      </c>
      <c r="G842" s="96" t="s">
        <v>1381</v>
      </c>
      <c r="H842" s="63" t="str">
        <f>VLOOKUP(C842, 'Class Def. - General Data'!$C$20:$C$476,1,false)</f>
        <v>ZSR3_PERPAJAKAN</v>
      </c>
      <c r="I842" s="63" t="str">
        <f t="shared" si="1"/>
        <v>ZSR3_PERPAJAKAN7</v>
      </c>
      <c r="J842" s="63">
        <f t="shared" si="2"/>
        <v>1</v>
      </c>
    </row>
    <row r="843" ht="15.75" customHeight="1">
      <c r="A843" s="59" t="s">
        <v>93</v>
      </c>
      <c r="B843" s="95"/>
      <c r="C843" s="95" t="s">
        <v>179</v>
      </c>
      <c r="D843" s="95" t="s">
        <v>91</v>
      </c>
      <c r="E843" s="95" t="s">
        <v>577</v>
      </c>
      <c r="F843" s="95">
        <v>8.0</v>
      </c>
      <c r="G843" s="95" t="s">
        <v>1382</v>
      </c>
      <c r="H843" s="63" t="str">
        <f>VLOOKUP(C843, 'Class Def. - General Data'!$C$20:$C$476,1,false)</f>
        <v>ZSR3_PERPAJAKAN</v>
      </c>
      <c r="I843" s="63" t="str">
        <f t="shared" si="1"/>
        <v>ZSR3_PERPAJAKAN8</v>
      </c>
      <c r="J843" s="63">
        <f t="shared" si="2"/>
        <v>1</v>
      </c>
    </row>
    <row r="844" ht="15.75" customHeight="1">
      <c r="A844" s="59" t="s">
        <v>93</v>
      </c>
      <c r="B844" s="95"/>
      <c r="C844" s="95" t="s">
        <v>179</v>
      </c>
      <c r="D844" s="95" t="s">
        <v>91</v>
      </c>
      <c r="E844" s="95" t="s">
        <v>577</v>
      </c>
      <c r="F844" s="95">
        <v>9.0</v>
      </c>
      <c r="G844" s="96" t="s">
        <v>1383</v>
      </c>
      <c r="H844" s="63" t="str">
        <f>VLOOKUP(C844, 'Class Def. - General Data'!$C$20:$C$476,1,false)</f>
        <v>ZSR3_PERPAJAKAN</v>
      </c>
      <c r="I844" s="63" t="str">
        <f t="shared" si="1"/>
        <v>ZSR3_PERPAJAKAN9</v>
      </c>
      <c r="J844" s="63">
        <f t="shared" si="2"/>
        <v>1</v>
      </c>
    </row>
    <row r="845" ht="15.75" customHeight="1">
      <c r="A845" s="59" t="s">
        <v>93</v>
      </c>
      <c r="B845" s="95"/>
      <c r="C845" s="95" t="s">
        <v>179</v>
      </c>
      <c r="D845" s="95" t="s">
        <v>91</v>
      </c>
      <c r="E845" s="95" t="s">
        <v>577</v>
      </c>
      <c r="F845" s="95">
        <v>10.0</v>
      </c>
      <c r="G845" s="96" t="s">
        <v>1384</v>
      </c>
      <c r="H845" s="63" t="str">
        <f>VLOOKUP(C845, 'Class Def. - General Data'!$C$20:$C$476,1,false)</f>
        <v>ZSR3_PERPAJAKAN</v>
      </c>
      <c r="I845" s="63" t="str">
        <f t="shared" si="1"/>
        <v>ZSR3_PERPAJAKAN10</v>
      </c>
      <c r="J845" s="63">
        <f t="shared" si="2"/>
        <v>1</v>
      </c>
    </row>
    <row r="846" ht="15.75" customHeight="1">
      <c r="A846" s="59" t="s">
        <v>93</v>
      </c>
      <c r="B846" s="95"/>
      <c r="C846" s="95" t="s">
        <v>179</v>
      </c>
      <c r="D846" s="95" t="s">
        <v>91</v>
      </c>
      <c r="E846" s="95" t="s">
        <v>577</v>
      </c>
      <c r="F846" s="95">
        <v>11.0</v>
      </c>
      <c r="G846" s="96" t="s">
        <v>1385</v>
      </c>
      <c r="H846" s="63" t="str">
        <f>VLOOKUP(C846, 'Class Def. - General Data'!$C$20:$C$476,1,false)</f>
        <v>ZSR3_PERPAJAKAN</v>
      </c>
      <c r="I846" s="63" t="str">
        <f t="shared" si="1"/>
        <v>ZSR3_PERPAJAKAN11</v>
      </c>
      <c r="J846" s="63">
        <f t="shared" si="2"/>
        <v>1</v>
      </c>
    </row>
    <row r="847" ht="15.75" customHeight="1">
      <c r="A847" s="59" t="s">
        <v>93</v>
      </c>
      <c r="B847" s="95"/>
      <c r="C847" s="95" t="s">
        <v>179</v>
      </c>
      <c r="D847" s="95" t="s">
        <v>91</v>
      </c>
      <c r="E847" s="95" t="s">
        <v>577</v>
      </c>
      <c r="F847" s="95">
        <v>12.0</v>
      </c>
      <c r="G847" s="96" t="s">
        <v>1386</v>
      </c>
      <c r="H847" s="63" t="str">
        <f>VLOOKUP(C847, 'Class Def. - General Data'!$C$20:$C$476,1,false)</f>
        <v>ZSR3_PERPAJAKAN</v>
      </c>
      <c r="I847" s="63" t="str">
        <f t="shared" si="1"/>
        <v>ZSR3_PERPAJAKAN12</v>
      </c>
      <c r="J847" s="63">
        <f t="shared" si="2"/>
        <v>1</v>
      </c>
    </row>
    <row r="848" ht="15.75" customHeight="1">
      <c r="A848" s="59" t="s">
        <v>93</v>
      </c>
      <c r="B848" s="95"/>
      <c r="C848" s="95" t="s">
        <v>179</v>
      </c>
      <c r="D848" s="95" t="s">
        <v>91</v>
      </c>
      <c r="E848" s="95" t="s">
        <v>577</v>
      </c>
      <c r="F848" s="95">
        <v>13.0</v>
      </c>
      <c r="G848" s="96" t="s">
        <v>1387</v>
      </c>
      <c r="H848" s="63" t="str">
        <f>VLOOKUP(C848, 'Class Def. - General Data'!$C$20:$C$476,1,false)</f>
        <v>ZSR3_PERPAJAKAN</v>
      </c>
      <c r="I848" s="63" t="str">
        <f t="shared" si="1"/>
        <v>ZSR3_PERPAJAKAN13</v>
      </c>
      <c r="J848" s="63">
        <f t="shared" si="2"/>
        <v>1</v>
      </c>
    </row>
    <row r="849" ht="15.75" customHeight="1">
      <c r="A849" s="59" t="s">
        <v>93</v>
      </c>
      <c r="B849" s="95"/>
      <c r="C849" s="95" t="s">
        <v>179</v>
      </c>
      <c r="D849" s="95" t="s">
        <v>91</v>
      </c>
      <c r="E849" s="95" t="s">
        <v>577</v>
      </c>
      <c r="F849" s="95">
        <v>14.0</v>
      </c>
      <c r="G849" s="96" t="s">
        <v>1388</v>
      </c>
      <c r="H849" s="63" t="str">
        <f>VLOOKUP(C849, 'Class Def. - General Data'!$C$20:$C$476,1,false)</f>
        <v>ZSR3_PERPAJAKAN</v>
      </c>
      <c r="I849" s="63" t="str">
        <f t="shared" si="1"/>
        <v>ZSR3_PERPAJAKAN14</v>
      </c>
      <c r="J849" s="63">
        <f t="shared" si="2"/>
        <v>1</v>
      </c>
    </row>
    <row r="850" ht="15.75" customHeight="1">
      <c r="A850" s="59" t="s">
        <v>93</v>
      </c>
      <c r="B850" s="95"/>
      <c r="C850" s="95" t="s">
        <v>179</v>
      </c>
      <c r="D850" s="95" t="s">
        <v>91</v>
      </c>
      <c r="E850" s="95" t="s">
        <v>577</v>
      </c>
      <c r="F850" s="95">
        <v>15.0</v>
      </c>
      <c r="G850" s="96" t="s">
        <v>1389</v>
      </c>
      <c r="H850" s="63" t="str">
        <f>VLOOKUP(C850, 'Class Def. - General Data'!$C$20:$C$476,1,false)</f>
        <v>ZSR3_PERPAJAKAN</v>
      </c>
      <c r="I850" s="63" t="str">
        <f t="shared" si="1"/>
        <v>ZSR3_PERPAJAKAN15</v>
      </c>
      <c r="J850" s="63">
        <f t="shared" si="2"/>
        <v>1</v>
      </c>
    </row>
    <row r="851" ht="15.75" customHeight="1">
      <c r="A851" s="59" t="s">
        <v>93</v>
      </c>
      <c r="B851" s="95"/>
      <c r="C851" s="95" t="s">
        <v>179</v>
      </c>
      <c r="D851" s="95" t="s">
        <v>91</v>
      </c>
      <c r="E851" s="95" t="s">
        <v>577</v>
      </c>
      <c r="F851" s="95">
        <v>16.0</v>
      </c>
      <c r="G851" s="95" t="s">
        <v>1390</v>
      </c>
      <c r="H851" s="63" t="str">
        <f>VLOOKUP(C851, 'Class Def. - General Data'!$C$20:$C$476,1,false)</f>
        <v>ZSR3_PERPAJAKAN</v>
      </c>
      <c r="I851" s="63" t="str">
        <f t="shared" si="1"/>
        <v>ZSR3_PERPAJAKAN16</v>
      </c>
      <c r="J851" s="63">
        <f t="shared" si="2"/>
        <v>1</v>
      </c>
    </row>
    <row r="852" ht="15.75" customHeight="1">
      <c r="A852" s="59" t="s">
        <v>93</v>
      </c>
      <c r="B852" s="95"/>
      <c r="C852" s="95" t="s">
        <v>179</v>
      </c>
      <c r="D852" s="95" t="s">
        <v>91</v>
      </c>
      <c r="E852" s="95" t="s">
        <v>577</v>
      </c>
      <c r="F852" s="95">
        <v>17.0</v>
      </c>
      <c r="G852" s="96" t="s">
        <v>1391</v>
      </c>
      <c r="H852" s="63" t="str">
        <f>VLOOKUP(C852, 'Class Def. - General Data'!$C$20:$C$476,1,false)</f>
        <v>ZSR3_PERPAJAKAN</v>
      </c>
      <c r="I852" s="63" t="str">
        <f t="shared" si="1"/>
        <v>ZSR3_PERPAJAKAN17</v>
      </c>
      <c r="J852" s="63">
        <f t="shared" si="2"/>
        <v>1</v>
      </c>
    </row>
    <row r="853" ht="15.75" customHeight="1">
      <c r="A853" s="59" t="s">
        <v>93</v>
      </c>
      <c r="B853" s="95"/>
      <c r="C853" s="95" t="s">
        <v>180</v>
      </c>
      <c r="D853" s="95" t="s">
        <v>91</v>
      </c>
      <c r="E853" s="95" t="s">
        <v>577</v>
      </c>
      <c r="F853" s="95">
        <v>1.0</v>
      </c>
      <c r="G853" s="95" t="s">
        <v>1392</v>
      </c>
      <c r="H853" s="63" t="str">
        <f>VLOOKUP(C853, 'Class Def. - General Data'!$C$20:$C$476,1,false)</f>
        <v>ZSR3_REPAIR</v>
      </c>
      <c r="I853" s="63" t="str">
        <f t="shared" si="1"/>
        <v>ZSR3_REPAIR1</v>
      </c>
      <c r="J853" s="63">
        <f t="shared" si="2"/>
        <v>1</v>
      </c>
    </row>
    <row r="854" ht="15.75" customHeight="1">
      <c r="A854" s="59" t="s">
        <v>93</v>
      </c>
      <c r="B854" s="95"/>
      <c r="C854" s="95" t="s">
        <v>180</v>
      </c>
      <c r="D854" s="95" t="s">
        <v>91</v>
      </c>
      <c r="E854" s="95" t="s">
        <v>577</v>
      </c>
      <c r="F854" s="95">
        <v>2.0</v>
      </c>
      <c r="G854" s="95" t="s">
        <v>1393</v>
      </c>
      <c r="H854" s="63" t="str">
        <f>VLOOKUP(C854, 'Class Def. - General Data'!$C$20:$C$476,1,false)</f>
        <v>ZSR3_REPAIR</v>
      </c>
      <c r="I854" s="63" t="str">
        <f t="shared" si="1"/>
        <v>ZSR3_REPAIR2</v>
      </c>
      <c r="J854" s="63">
        <f t="shared" si="2"/>
        <v>1</v>
      </c>
    </row>
    <row r="855" ht="15.75" customHeight="1">
      <c r="A855" s="59" t="s">
        <v>93</v>
      </c>
      <c r="B855" s="95"/>
      <c r="C855" s="95" t="s">
        <v>180</v>
      </c>
      <c r="D855" s="95" t="s">
        <v>91</v>
      </c>
      <c r="E855" s="95" t="s">
        <v>577</v>
      </c>
      <c r="F855" s="95">
        <v>3.0</v>
      </c>
      <c r="G855" s="95" t="s">
        <v>1394</v>
      </c>
      <c r="H855" s="63" t="str">
        <f>VLOOKUP(C855, 'Class Def. - General Data'!$C$20:$C$476,1,false)</f>
        <v>ZSR3_REPAIR</v>
      </c>
      <c r="I855" s="63" t="str">
        <f t="shared" si="1"/>
        <v>ZSR3_REPAIR3</v>
      </c>
      <c r="J855" s="63">
        <f t="shared" si="2"/>
        <v>1</v>
      </c>
    </row>
    <row r="856" ht="15.75" customHeight="1">
      <c r="A856" s="59" t="s">
        <v>93</v>
      </c>
      <c r="B856" s="95"/>
      <c r="C856" s="95" t="s">
        <v>180</v>
      </c>
      <c r="D856" s="95" t="s">
        <v>91</v>
      </c>
      <c r="E856" s="95" t="s">
        <v>577</v>
      </c>
      <c r="F856" s="95">
        <v>4.0</v>
      </c>
      <c r="G856" s="95" t="s">
        <v>1395</v>
      </c>
      <c r="H856" s="63" t="str">
        <f>VLOOKUP(C856, 'Class Def. - General Data'!$C$20:$C$476,1,false)</f>
        <v>ZSR3_REPAIR</v>
      </c>
      <c r="I856" s="63" t="str">
        <f t="shared" si="1"/>
        <v>ZSR3_REPAIR4</v>
      </c>
      <c r="J856" s="63">
        <f t="shared" si="2"/>
        <v>1</v>
      </c>
    </row>
    <row r="857" ht="15.75" customHeight="1">
      <c r="A857" s="59" t="s">
        <v>93</v>
      </c>
      <c r="B857" s="95"/>
      <c r="C857" s="95" t="s">
        <v>180</v>
      </c>
      <c r="D857" s="95" t="s">
        <v>91</v>
      </c>
      <c r="E857" s="95" t="s">
        <v>577</v>
      </c>
      <c r="F857" s="95">
        <v>5.0</v>
      </c>
      <c r="G857" s="96" t="s">
        <v>1396</v>
      </c>
      <c r="H857" s="63" t="str">
        <f>VLOOKUP(C857, 'Class Def. - General Data'!$C$20:$C$476,1,false)</f>
        <v>ZSR3_REPAIR</v>
      </c>
      <c r="I857" s="63" t="str">
        <f t="shared" si="1"/>
        <v>ZSR3_REPAIR5</v>
      </c>
      <c r="J857" s="63">
        <f t="shared" si="2"/>
        <v>1</v>
      </c>
    </row>
    <row r="858" ht="15.75" customHeight="1">
      <c r="A858" s="59" t="s">
        <v>93</v>
      </c>
      <c r="B858" s="95"/>
      <c r="C858" s="95" t="s">
        <v>180</v>
      </c>
      <c r="D858" s="95" t="s">
        <v>91</v>
      </c>
      <c r="E858" s="95" t="s">
        <v>577</v>
      </c>
      <c r="F858" s="95">
        <v>6.0</v>
      </c>
      <c r="G858" s="96" t="s">
        <v>1397</v>
      </c>
      <c r="H858" s="63" t="str">
        <f>VLOOKUP(C858, 'Class Def. - General Data'!$C$20:$C$476,1,false)</f>
        <v>ZSR3_REPAIR</v>
      </c>
      <c r="I858" s="63" t="str">
        <f t="shared" si="1"/>
        <v>ZSR3_REPAIR6</v>
      </c>
      <c r="J858" s="63">
        <f t="shared" si="2"/>
        <v>1</v>
      </c>
    </row>
    <row r="859" ht="15.75" customHeight="1">
      <c r="A859" s="59" t="s">
        <v>93</v>
      </c>
      <c r="B859" s="95"/>
      <c r="C859" s="95" t="s">
        <v>180</v>
      </c>
      <c r="D859" s="95" t="s">
        <v>91</v>
      </c>
      <c r="E859" s="95" t="s">
        <v>577</v>
      </c>
      <c r="F859" s="95">
        <v>7.0</v>
      </c>
      <c r="G859" s="96" t="s">
        <v>1398</v>
      </c>
      <c r="H859" s="63" t="str">
        <f>VLOOKUP(C859, 'Class Def. - General Data'!$C$20:$C$476,1,false)</f>
        <v>ZSR3_REPAIR</v>
      </c>
      <c r="I859" s="63" t="str">
        <f t="shared" si="1"/>
        <v>ZSR3_REPAIR7</v>
      </c>
      <c r="J859" s="63">
        <f t="shared" si="2"/>
        <v>1</v>
      </c>
    </row>
    <row r="860" ht="15.75" customHeight="1">
      <c r="A860" s="59" t="s">
        <v>93</v>
      </c>
      <c r="B860" s="95"/>
      <c r="C860" s="95" t="s">
        <v>180</v>
      </c>
      <c r="D860" s="95" t="s">
        <v>91</v>
      </c>
      <c r="E860" s="95" t="s">
        <v>577</v>
      </c>
      <c r="F860" s="95">
        <v>8.0</v>
      </c>
      <c r="G860" s="96" t="s">
        <v>1315</v>
      </c>
      <c r="H860" s="63" t="str">
        <f>VLOOKUP(C860, 'Class Def. - General Data'!$C$20:$C$476,1,false)</f>
        <v>ZSR3_REPAIR</v>
      </c>
      <c r="I860" s="63" t="str">
        <f t="shared" si="1"/>
        <v>ZSR3_REPAIR8</v>
      </c>
      <c r="J860" s="63">
        <f t="shared" si="2"/>
        <v>1</v>
      </c>
    </row>
    <row r="861" ht="15.75" customHeight="1">
      <c r="A861" s="59" t="s">
        <v>93</v>
      </c>
      <c r="B861" s="95"/>
      <c r="C861" s="95" t="s">
        <v>180</v>
      </c>
      <c r="D861" s="95" t="s">
        <v>91</v>
      </c>
      <c r="E861" s="95" t="s">
        <v>577</v>
      </c>
      <c r="F861" s="95">
        <v>9.0</v>
      </c>
      <c r="G861" s="95" t="s">
        <v>1399</v>
      </c>
      <c r="H861" s="63" t="str">
        <f>VLOOKUP(C861, 'Class Def. - General Data'!$C$20:$C$476,1,false)</f>
        <v>ZSR3_REPAIR</v>
      </c>
      <c r="I861" s="63" t="str">
        <f t="shared" si="1"/>
        <v>ZSR3_REPAIR9</v>
      </c>
      <c r="J861" s="63">
        <f t="shared" si="2"/>
        <v>1</v>
      </c>
    </row>
    <row r="862" ht="15.75" customHeight="1">
      <c r="A862" s="59" t="s">
        <v>93</v>
      </c>
      <c r="B862" s="95"/>
      <c r="C862" s="95" t="s">
        <v>182</v>
      </c>
      <c r="D862" s="95" t="s">
        <v>91</v>
      </c>
      <c r="E862" s="95" t="s">
        <v>577</v>
      </c>
      <c r="F862" s="95">
        <v>1.0</v>
      </c>
      <c r="G862" s="95" t="s">
        <v>1400</v>
      </c>
      <c r="H862" s="63" t="str">
        <f>VLOOKUP(C862, 'Class Def. - General Data'!$C$20:$C$476,1,false)</f>
        <v>ZSR3_WASTE_MANGMNT</v>
      </c>
      <c r="I862" s="63" t="str">
        <f t="shared" si="1"/>
        <v>ZSR3_WASTE_MANGMNT1</v>
      </c>
      <c r="J862" s="63">
        <f t="shared" si="2"/>
        <v>1</v>
      </c>
    </row>
    <row r="863" ht="15.75" customHeight="1">
      <c r="A863" s="59" t="s">
        <v>93</v>
      </c>
      <c r="B863" s="95"/>
      <c r="C863" s="95" t="s">
        <v>182</v>
      </c>
      <c r="D863" s="95" t="s">
        <v>91</v>
      </c>
      <c r="E863" s="95" t="s">
        <v>577</v>
      </c>
      <c r="F863" s="95">
        <v>2.0</v>
      </c>
      <c r="G863" s="95" t="s">
        <v>1401</v>
      </c>
      <c r="H863" s="63" t="str">
        <f>VLOOKUP(C863, 'Class Def. - General Data'!$C$20:$C$476,1,false)</f>
        <v>ZSR3_WASTE_MANGMNT</v>
      </c>
      <c r="I863" s="63" t="str">
        <f t="shared" si="1"/>
        <v>ZSR3_WASTE_MANGMNT2</v>
      </c>
      <c r="J863" s="63">
        <f t="shared" si="2"/>
        <v>1</v>
      </c>
    </row>
    <row r="864" ht="15.75" customHeight="1">
      <c r="A864" s="59" t="s">
        <v>93</v>
      </c>
      <c r="B864" s="95"/>
      <c r="C864" s="95" t="s">
        <v>182</v>
      </c>
      <c r="D864" s="95" t="s">
        <v>91</v>
      </c>
      <c r="E864" s="95" t="s">
        <v>577</v>
      </c>
      <c r="F864" s="95">
        <v>3.0</v>
      </c>
      <c r="G864" s="95" t="s">
        <v>1402</v>
      </c>
      <c r="H864" s="63" t="str">
        <f>VLOOKUP(C864, 'Class Def. - General Data'!$C$20:$C$476,1,false)</f>
        <v>ZSR3_WASTE_MANGMNT</v>
      </c>
      <c r="I864" s="63" t="str">
        <f t="shared" si="1"/>
        <v>ZSR3_WASTE_MANGMNT3</v>
      </c>
      <c r="J864" s="63">
        <f t="shared" si="2"/>
        <v>1</v>
      </c>
    </row>
    <row r="865" ht="15.75" customHeight="1">
      <c r="A865" s="59" t="s">
        <v>93</v>
      </c>
      <c r="B865" s="95"/>
      <c r="C865" s="95" t="s">
        <v>182</v>
      </c>
      <c r="D865" s="95" t="s">
        <v>91</v>
      </c>
      <c r="E865" s="95" t="s">
        <v>577</v>
      </c>
      <c r="F865" s="95">
        <v>4.0</v>
      </c>
      <c r="G865" s="95" t="s">
        <v>1403</v>
      </c>
      <c r="H865" s="63" t="str">
        <f>VLOOKUP(C865, 'Class Def. - General Data'!$C$20:$C$476,1,false)</f>
        <v>ZSR3_WASTE_MANGMNT</v>
      </c>
      <c r="I865" s="63" t="str">
        <f t="shared" si="1"/>
        <v>ZSR3_WASTE_MANGMNT4</v>
      </c>
      <c r="J865" s="63">
        <f t="shared" si="2"/>
        <v>1</v>
      </c>
    </row>
    <row r="866" ht="15.75" customHeight="1">
      <c r="A866" s="59" t="s">
        <v>93</v>
      </c>
      <c r="B866" s="95"/>
      <c r="C866" s="95" t="s">
        <v>182</v>
      </c>
      <c r="D866" s="95" t="s">
        <v>91</v>
      </c>
      <c r="E866" s="95" t="s">
        <v>577</v>
      </c>
      <c r="F866" s="95">
        <v>5.0</v>
      </c>
      <c r="G866" s="95" t="s">
        <v>1404</v>
      </c>
      <c r="H866" s="63" t="str">
        <f>VLOOKUP(C866, 'Class Def. - General Data'!$C$20:$C$476,1,false)</f>
        <v>ZSR3_WASTE_MANGMNT</v>
      </c>
      <c r="I866" s="63" t="str">
        <f t="shared" si="1"/>
        <v>ZSR3_WASTE_MANGMNT5</v>
      </c>
      <c r="J866" s="63">
        <f t="shared" si="2"/>
        <v>1</v>
      </c>
    </row>
    <row r="867" ht="15.75" customHeight="1">
      <c r="A867" s="59" t="s">
        <v>93</v>
      </c>
      <c r="B867" s="95"/>
      <c r="C867" s="95" t="s">
        <v>182</v>
      </c>
      <c r="D867" s="95" t="s">
        <v>91</v>
      </c>
      <c r="E867" s="95" t="s">
        <v>577</v>
      </c>
      <c r="F867" s="95">
        <v>6.0</v>
      </c>
      <c r="G867" s="96" t="s">
        <v>1405</v>
      </c>
      <c r="H867" s="63" t="str">
        <f>VLOOKUP(C867, 'Class Def. - General Data'!$C$20:$C$476,1,false)</f>
        <v>ZSR3_WASTE_MANGMNT</v>
      </c>
      <c r="I867" s="63" t="str">
        <f t="shared" si="1"/>
        <v>ZSR3_WASTE_MANGMNT6</v>
      </c>
      <c r="J867" s="63">
        <f t="shared" si="2"/>
        <v>1</v>
      </c>
    </row>
    <row r="868" ht="15.75" customHeight="1">
      <c r="A868" s="59" t="s">
        <v>93</v>
      </c>
      <c r="B868" s="95"/>
      <c r="C868" s="95" t="s">
        <v>182</v>
      </c>
      <c r="D868" s="95" t="s">
        <v>91</v>
      </c>
      <c r="E868" s="95" t="s">
        <v>577</v>
      </c>
      <c r="F868" s="95">
        <v>7.0</v>
      </c>
      <c r="G868" s="95" t="s">
        <v>1406</v>
      </c>
      <c r="H868" s="63" t="str">
        <f>VLOOKUP(C868, 'Class Def. - General Data'!$C$20:$C$476,1,false)</f>
        <v>ZSR3_WASTE_MANGMNT</v>
      </c>
      <c r="I868" s="63" t="str">
        <f t="shared" si="1"/>
        <v>ZSR3_WASTE_MANGMNT7</v>
      </c>
      <c r="J868" s="63">
        <f t="shared" si="2"/>
        <v>1</v>
      </c>
    </row>
    <row r="869" ht="15.75" customHeight="1">
      <c r="A869" s="59" t="s">
        <v>93</v>
      </c>
      <c r="B869" s="95"/>
      <c r="C869" s="95" t="s">
        <v>182</v>
      </c>
      <c r="D869" s="95" t="s">
        <v>91</v>
      </c>
      <c r="E869" s="95" t="s">
        <v>577</v>
      </c>
      <c r="F869" s="95">
        <v>8.0</v>
      </c>
      <c r="G869" s="95" t="s">
        <v>1407</v>
      </c>
      <c r="H869" s="63" t="str">
        <f>VLOOKUP(C869, 'Class Def. - General Data'!$C$20:$C$476,1,false)</f>
        <v>ZSR3_WASTE_MANGMNT</v>
      </c>
      <c r="I869" s="63" t="str">
        <f t="shared" si="1"/>
        <v>ZSR3_WASTE_MANGMNT8</v>
      </c>
      <c r="J869" s="63">
        <f t="shared" si="2"/>
        <v>1</v>
      </c>
    </row>
    <row r="870" ht="15.75" customHeight="1">
      <c r="A870" s="59" t="s">
        <v>93</v>
      </c>
      <c r="B870" s="95"/>
      <c r="C870" s="95" t="s">
        <v>182</v>
      </c>
      <c r="D870" s="95" t="s">
        <v>91</v>
      </c>
      <c r="E870" s="95" t="s">
        <v>577</v>
      </c>
      <c r="F870" s="95">
        <v>9.0</v>
      </c>
      <c r="G870" s="95" t="s">
        <v>1408</v>
      </c>
      <c r="H870" s="63" t="str">
        <f>VLOOKUP(C870, 'Class Def. - General Data'!$C$20:$C$476,1,false)</f>
        <v>ZSR3_WASTE_MANGMNT</v>
      </c>
      <c r="I870" s="63" t="str">
        <f t="shared" si="1"/>
        <v>ZSR3_WASTE_MANGMNT9</v>
      </c>
      <c r="J870" s="63">
        <f t="shared" si="2"/>
        <v>1</v>
      </c>
    </row>
    <row r="871" ht="15.75" customHeight="1">
      <c r="A871" s="59" t="s">
        <v>93</v>
      </c>
      <c r="B871" s="95"/>
      <c r="C871" s="95" t="s">
        <v>182</v>
      </c>
      <c r="D871" s="95" t="s">
        <v>91</v>
      </c>
      <c r="E871" s="95" t="s">
        <v>577</v>
      </c>
      <c r="F871" s="95">
        <v>10.0</v>
      </c>
      <c r="G871" s="95" t="s">
        <v>1409</v>
      </c>
      <c r="H871" s="63" t="str">
        <f>VLOOKUP(C871, 'Class Def. - General Data'!$C$20:$C$476,1,false)</f>
        <v>ZSR3_WASTE_MANGMNT</v>
      </c>
      <c r="I871" s="63" t="str">
        <f t="shared" si="1"/>
        <v>ZSR3_WASTE_MANGMNT10</v>
      </c>
      <c r="J871" s="63">
        <f t="shared" si="2"/>
        <v>1</v>
      </c>
    </row>
    <row r="872" ht="15.75" customHeight="1">
      <c r="A872" s="59" t="s">
        <v>93</v>
      </c>
      <c r="B872" s="95"/>
      <c r="C872" s="95" t="s">
        <v>172</v>
      </c>
      <c r="D872" s="95" t="s">
        <v>91</v>
      </c>
      <c r="E872" s="95" t="s">
        <v>577</v>
      </c>
      <c r="F872" s="95">
        <v>1.0</v>
      </c>
      <c r="G872" s="95" t="s">
        <v>1410</v>
      </c>
      <c r="H872" s="63" t="str">
        <f>VLOOKUP(C872, 'Class Def. - General Data'!$C$20:$C$476,1,false)</f>
        <v>ZSR3_LEGAL_LICENSE</v>
      </c>
      <c r="I872" s="63" t="str">
        <f t="shared" si="1"/>
        <v>ZSR3_LEGAL_LICENSE1</v>
      </c>
      <c r="J872" s="63">
        <f t="shared" si="2"/>
        <v>1</v>
      </c>
    </row>
    <row r="873" ht="15.75" customHeight="1">
      <c r="A873" s="59" t="s">
        <v>93</v>
      </c>
      <c r="B873" s="95"/>
      <c r="C873" s="95" t="s">
        <v>172</v>
      </c>
      <c r="D873" s="95" t="s">
        <v>91</v>
      </c>
      <c r="E873" s="95" t="s">
        <v>577</v>
      </c>
      <c r="F873" s="95">
        <v>2.0</v>
      </c>
      <c r="G873" s="95" t="s">
        <v>1411</v>
      </c>
      <c r="H873" s="63" t="str">
        <f>VLOOKUP(C873, 'Class Def. - General Data'!$C$20:$C$476,1,false)</f>
        <v>ZSR3_LEGAL_LICENSE</v>
      </c>
      <c r="I873" s="63" t="str">
        <f t="shared" si="1"/>
        <v>ZSR3_LEGAL_LICENSE2</v>
      </c>
      <c r="J873" s="63">
        <f t="shared" si="2"/>
        <v>1</v>
      </c>
    </row>
    <row r="874" ht="15.75" customHeight="1">
      <c r="A874" s="59" t="s">
        <v>93</v>
      </c>
      <c r="B874" s="95"/>
      <c r="C874" s="95" t="s">
        <v>172</v>
      </c>
      <c r="D874" s="95" t="s">
        <v>91</v>
      </c>
      <c r="E874" s="95" t="s">
        <v>577</v>
      </c>
      <c r="F874" s="95">
        <v>3.0</v>
      </c>
      <c r="G874" s="95" t="s">
        <v>1412</v>
      </c>
      <c r="H874" s="63" t="str">
        <f>VLOOKUP(C874, 'Class Def. - General Data'!$C$20:$C$476,1,false)</f>
        <v>ZSR3_LEGAL_LICENSE</v>
      </c>
      <c r="I874" s="63" t="str">
        <f t="shared" si="1"/>
        <v>ZSR3_LEGAL_LICENSE3</v>
      </c>
      <c r="J874" s="63">
        <f t="shared" si="2"/>
        <v>1</v>
      </c>
    </row>
    <row r="875" ht="15.75" customHeight="1">
      <c r="A875" s="59" t="s">
        <v>93</v>
      </c>
      <c r="B875" s="95"/>
      <c r="C875" s="95" t="s">
        <v>172</v>
      </c>
      <c r="D875" s="95" t="s">
        <v>91</v>
      </c>
      <c r="E875" s="95" t="s">
        <v>577</v>
      </c>
      <c r="F875" s="95">
        <v>4.0</v>
      </c>
      <c r="G875" s="95" t="s">
        <v>1413</v>
      </c>
      <c r="H875" s="63" t="str">
        <f>VLOOKUP(C875, 'Class Def. - General Data'!$C$20:$C$476,1,false)</f>
        <v>ZSR3_LEGAL_LICENSE</v>
      </c>
      <c r="I875" s="63" t="str">
        <f t="shared" si="1"/>
        <v>ZSR3_LEGAL_LICENSE4</v>
      </c>
      <c r="J875" s="63">
        <f t="shared" si="2"/>
        <v>1</v>
      </c>
    </row>
    <row r="876" ht="15.75" customHeight="1">
      <c r="A876" s="59" t="s">
        <v>93</v>
      </c>
      <c r="B876" s="95"/>
      <c r="C876" s="95" t="s">
        <v>172</v>
      </c>
      <c r="D876" s="95" t="s">
        <v>91</v>
      </c>
      <c r="E876" s="95" t="s">
        <v>577</v>
      </c>
      <c r="F876" s="95">
        <v>5.0</v>
      </c>
      <c r="G876" s="95" t="s">
        <v>1414</v>
      </c>
      <c r="H876" s="63" t="str">
        <f>VLOOKUP(C876, 'Class Def. - General Data'!$C$20:$C$476,1,false)</f>
        <v>ZSR3_LEGAL_LICENSE</v>
      </c>
      <c r="I876" s="63" t="str">
        <f t="shared" si="1"/>
        <v>ZSR3_LEGAL_LICENSE5</v>
      </c>
      <c r="J876" s="63">
        <f t="shared" si="2"/>
        <v>1</v>
      </c>
    </row>
    <row r="877" ht="15.75" customHeight="1">
      <c r="A877" s="59" t="s">
        <v>93</v>
      </c>
      <c r="B877" s="95"/>
      <c r="C877" s="95" t="s">
        <v>172</v>
      </c>
      <c r="D877" s="95" t="s">
        <v>91</v>
      </c>
      <c r="E877" s="95" t="s">
        <v>577</v>
      </c>
      <c r="F877" s="95">
        <v>6.0</v>
      </c>
      <c r="G877" s="95" t="s">
        <v>1415</v>
      </c>
      <c r="H877" s="63" t="str">
        <f>VLOOKUP(C877, 'Class Def. - General Data'!$C$20:$C$476,1,false)</f>
        <v>ZSR3_LEGAL_LICENSE</v>
      </c>
      <c r="I877" s="63" t="str">
        <f t="shared" si="1"/>
        <v>ZSR3_LEGAL_LICENSE6</v>
      </c>
      <c r="J877" s="63">
        <f t="shared" si="2"/>
        <v>1</v>
      </c>
    </row>
    <row r="878" ht="15.75" customHeight="1">
      <c r="A878" s="59" t="s">
        <v>93</v>
      </c>
      <c r="B878" s="95"/>
      <c r="C878" s="95" t="s">
        <v>172</v>
      </c>
      <c r="D878" s="95" t="s">
        <v>91</v>
      </c>
      <c r="E878" s="95" t="s">
        <v>577</v>
      </c>
      <c r="F878" s="95">
        <v>7.0</v>
      </c>
      <c r="G878" s="95" t="s">
        <v>1416</v>
      </c>
      <c r="H878" s="63" t="str">
        <f>VLOOKUP(C878, 'Class Def. - General Data'!$C$20:$C$476,1,false)</f>
        <v>ZSR3_LEGAL_LICENSE</v>
      </c>
      <c r="I878" s="63" t="str">
        <f t="shared" si="1"/>
        <v>ZSR3_LEGAL_LICENSE7</v>
      </c>
      <c r="J878" s="63">
        <f t="shared" si="2"/>
        <v>1</v>
      </c>
    </row>
    <row r="879" ht="15.75" customHeight="1">
      <c r="A879" s="59" t="s">
        <v>93</v>
      </c>
      <c r="B879" s="95"/>
      <c r="C879" s="95" t="s">
        <v>172</v>
      </c>
      <c r="D879" s="95" t="s">
        <v>91</v>
      </c>
      <c r="E879" s="95" t="s">
        <v>577</v>
      </c>
      <c r="F879" s="95">
        <v>8.0</v>
      </c>
      <c r="G879" s="95" t="s">
        <v>1417</v>
      </c>
      <c r="H879" s="63" t="str">
        <f>VLOOKUP(C879, 'Class Def. - General Data'!$C$20:$C$476,1,false)</f>
        <v>ZSR3_LEGAL_LICENSE</v>
      </c>
      <c r="I879" s="63" t="str">
        <f t="shared" si="1"/>
        <v>ZSR3_LEGAL_LICENSE8</v>
      </c>
      <c r="J879" s="63">
        <f t="shared" si="2"/>
        <v>1</v>
      </c>
    </row>
    <row r="880" ht="15.75" customHeight="1">
      <c r="A880" s="59" t="s">
        <v>93</v>
      </c>
      <c r="B880" s="95"/>
      <c r="C880" s="95" t="s">
        <v>172</v>
      </c>
      <c r="D880" s="95" t="s">
        <v>91</v>
      </c>
      <c r="E880" s="95" t="s">
        <v>577</v>
      </c>
      <c r="F880" s="95">
        <v>9.0</v>
      </c>
      <c r="G880" s="95" t="s">
        <v>1418</v>
      </c>
      <c r="H880" s="63" t="str">
        <f>VLOOKUP(C880, 'Class Def. - General Data'!$C$20:$C$476,1,false)</f>
        <v>ZSR3_LEGAL_LICENSE</v>
      </c>
      <c r="I880" s="63" t="str">
        <f t="shared" si="1"/>
        <v>ZSR3_LEGAL_LICENSE9</v>
      </c>
      <c r="J880" s="63">
        <f t="shared" si="2"/>
        <v>1</v>
      </c>
    </row>
    <row r="881" ht="15.75" customHeight="1">
      <c r="A881" s="59" t="s">
        <v>93</v>
      </c>
      <c r="B881" s="95"/>
      <c r="C881" s="95" t="s">
        <v>172</v>
      </c>
      <c r="D881" s="95" t="s">
        <v>91</v>
      </c>
      <c r="E881" s="95" t="s">
        <v>577</v>
      </c>
      <c r="F881" s="95">
        <v>10.0</v>
      </c>
      <c r="G881" s="95" t="s">
        <v>1419</v>
      </c>
      <c r="H881" s="63" t="str">
        <f>VLOOKUP(C881, 'Class Def. - General Data'!$C$20:$C$476,1,false)</f>
        <v>ZSR3_LEGAL_LICENSE</v>
      </c>
      <c r="I881" s="63" t="str">
        <f t="shared" si="1"/>
        <v>ZSR3_LEGAL_LICENSE10</v>
      </c>
      <c r="J881" s="63">
        <f t="shared" si="2"/>
        <v>1</v>
      </c>
    </row>
    <row r="882" ht="15.75" customHeight="1">
      <c r="A882" s="59" t="s">
        <v>93</v>
      </c>
      <c r="B882" s="95"/>
      <c r="C882" s="95" t="s">
        <v>172</v>
      </c>
      <c r="D882" s="95" t="s">
        <v>91</v>
      </c>
      <c r="E882" s="95" t="s">
        <v>577</v>
      </c>
      <c r="F882" s="95">
        <v>11.0</v>
      </c>
      <c r="G882" s="95" t="s">
        <v>1419</v>
      </c>
      <c r="H882" s="63" t="str">
        <f>VLOOKUP(C882, 'Class Def. - General Data'!$C$20:$C$476,1,false)</f>
        <v>ZSR3_LEGAL_LICENSE</v>
      </c>
      <c r="I882" s="63" t="str">
        <f t="shared" si="1"/>
        <v>ZSR3_LEGAL_LICENSE11</v>
      </c>
      <c r="J882" s="63">
        <f t="shared" si="2"/>
        <v>1</v>
      </c>
    </row>
    <row r="883" ht="15.75" customHeight="1">
      <c r="A883" s="59" t="s">
        <v>93</v>
      </c>
      <c r="B883" s="95"/>
      <c r="C883" s="95" t="s">
        <v>172</v>
      </c>
      <c r="D883" s="95" t="s">
        <v>91</v>
      </c>
      <c r="E883" s="95" t="s">
        <v>577</v>
      </c>
      <c r="F883" s="95">
        <v>12.0</v>
      </c>
      <c r="G883" s="95" t="s">
        <v>1420</v>
      </c>
      <c r="H883" s="63" t="str">
        <f>VLOOKUP(C883, 'Class Def. - General Data'!$C$20:$C$476,1,false)</f>
        <v>ZSR3_LEGAL_LICENSE</v>
      </c>
      <c r="I883" s="63" t="str">
        <f t="shared" si="1"/>
        <v>ZSR3_LEGAL_LICENSE12</v>
      </c>
      <c r="J883" s="63">
        <f t="shared" si="2"/>
        <v>1</v>
      </c>
    </row>
    <row r="884" ht="15.75" customHeight="1">
      <c r="A884" s="59" t="s">
        <v>93</v>
      </c>
      <c r="B884" s="95"/>
      <c r="C884" s="95" t="s">
        <v>172</v>
      </c>
      <c r="D884" s="95" t="s">
        <v>91</v>
      </c>
      <c r="E884" s="95" t="s">
        <v>577</v>
      </c>
      <c r="F884" s="95">
        <v>13.0</v>
      </c>
      <c r="G884" s="95" t="s">
        <v>1421</v>
      </c>
      <c r="H884" s="63" t="str">
        <f>VLOOKUP(C884, 'Class Def. - General Data'!$C$20:$C$476,1,false)</f>
        <v>ZSR3_LEGAL_LICENSE</v>
      </c>
      <c r="I884" s="63" t="str">
        <f t="shared" si="1"/>
        <v>ZSR3_LEGAL_LICENSE13</v>
      </c>
      <c r="J884" s="63">
        <f t="shared" si="2"/>
        <v>1</v>
      </c>
    </row>
    <row r="885" ht="15.75" customHeight="1">
      <c r="A885" s="59" t="s">
        <v>93</v>
      </c>
      <c r="B885" s="95"/>
      <c r="C885" s="95" t="s">
        <v>172</v>
      </c>
      <c r="D885" s="95" t="s">
        <v>91</v>
      </c>
      <c r="E885" s="95" t="s">
        <v>577</v>
      </c>
      <c r="F885" s="95">
        <v>14.0</v>
      </c>
      <c r="G885" s="95" t="s">
        <v>1422</v>
      </c>
      <c r="H885" s="63" t="str">
        <f>VLOOKUP(C885, 'Class Def. - General Data'!$C$20:$C$476,1,false)</f>
        <v>ZSR3_LEGAL_LICENSE</v>
      </c>
      <c r="I885" s="63" t="str">
        <f t="shared" si="1"/>
        <v>ZSR3_LEGAL_LICENSE14</v>
      </c>
      <c r="J885" s="63">
        <f t="shared" si="2"/>
        <v>1</v>
      </c>
    </row>
    <row r="886" ht="15.75" customHeight="1">
      <c r="A886" s="59" t="s">
        <v>93</v>
      </c>
      <c r="B886" s="95"/>
      <c r="C886" s="95" t="s">
        <v>172</v>
      </c>
      <c r="D886" s="95" t="s">
        <v>91</v>
      </c>
      <c r="E886" s="95" t="s">
        <v>577</v>
      </c>
      <c r="F886" s="95">
        <v>15.0</v>
      </c>
      <c r="G886" s="95" t="s">
        <v>1423</v>
      </c>
      <c r="H886" s="63" t="str">
        <f>VLOOKUP(C886, 'Class Def. - General Data'!$C$20:$C$476,1,false)</f>
        <v>ZSR3_LEGAL_LICENSE</v>
      </c>
      <c r="I886" s="63" t="str">
        <f t="shared" si="1"/>
        <v>ZSR3_LEGAL_LICENSE15</v>
      </c>
      <c r="J886" s="63">
        <f t="shared" si="2"/>
        <v>1</v>
      </c>
    </row>
    <row r="887" ht="15.75" customHeight="1">
      <c r="A887" s="59" t="s">
        <v>93</v>
      </c>
      <c r="B887" s="95"/>
      <c r="C887" s="95" t="s">
        <v>172</v>
      </c>
      <c r="D887" s="95" t="s">
        <v>91</v>
      </c>
      <c r="E887" s="95" t="s">
        <v>577</v>
      </c>
      <c r="F887" s="95">
        <v>16.0</v>
      </c>
      <c r="G887" s="95" t="s">
        <v>1424</v>
      </c>
      <c r="H887" s="63" t="str">
        <f>VLOOKUP(C887, 'Class Def. - General Data'!$C$20:$C$476,1,false)</f>
        <v>ZSR3_LEGAL_LICENSE</v>
      </c>
      <c r="I887" s="63" t="str">
        <f t="shared" si="1"/>
        <v>ZSR3_LEGAL_LICENSE16</v>
      </c>
      <c r="J887" s="63">
        <f t="shared" si="2"/>
        <v>1</v>
      </c>
    </row>
    <row r="888" ht="15.75" customHeight="1">
      <c r="A888" s="59" t="s">
        <v>93</v>
      </c>
      <c r="B888" s="95"/>
      <c r="C888" s="95" t="s">
        <v>172</v>
      </c>
      <c r="D888" s="95" t="s">
        <v>91</v>
      </c>
      <c r="E888" s="95" t="s">
        <v>577</v>
      </c>
      <c r="F888" s="95">
        <v>17.0</v>
      </c>
      <c r="G888" s="95" t="s">
        <v>1425</v>
      </c>
      <c r="H888" s="63" t="str">
        <f>VLOOKUP(C888, 'Class Def. - General Data'!$C$20:$C$476,1,false)</f>
        <v>ZSR3_LEGAL_LICENSE</v>
      </c>
      <c r="I888" s="63" t="str">
        <f t="shared" si="1"/>
        <v>ZSR3_LEGAL_LICENSE17</v>
      </c>
      <c r="J888" s="63">
        <f t="shared" si="2"/>
        <v>1</v>
      </c>
    </row>
    <row r="889" ht="15.75" customHeight="1">
      <c r="A889" s="59" t="s">
        <v>93</v>
      </c>
      <c r="B889" s="95"/>
      <c r="C889" s="95" t="s">
        <v>172</v>
      </c>
      <c r="D889" s="95" t="s">
        <v>91</v>
      </c>
      <c r="E889" s="95" t="s">
        <v>577</v>
      </c>
      <c r="F889" s="95">
        <v>18.0</v>
      </c>
      <c r="G889" s="95" t="s">
        <v>1426</v>
      </c>
      <c r="H889" s="63" t="str">
        <f>VLOOKUP(C889, 'Class Def. - General Data'!$C$20:$C$476,1,false)</f>
        <v>ZSR3_LEGAL_LICENSE</v>
      </c>
      <c r="I889" s="63" t="str">
        <f t="shared" si="1"/>
        <v>ZSR3_LEGAL_LICENSE18</v>
      </c>
      <c r="J889" s="63">
        <f t="shared" si="2"/>
        <v>1</v>
      </c>
    </row>
    <row r="890" ht="15.75" customHeight="1">
      <c r="A890" s="59" t="s">
        <v>93</v>
      </c>
      <c r="B890" s="95"/>
      <c r="C890" s="95" t="s">
        <v>172</v>
      </c>
      <c r="D890" s="95" t="s">
        <v>91</v>
      </c>
      <c r="E890" s="95" t="s">
        <v>577</v>
      </c>
      <c r="F890" s="95">
        <v>19.0</v>
      </c>
      <c r="G890" s="95" t="s">
        <v>1427</v>
      </c>
      <c r="H890" s="63" t="str">
        <f>VLOOKUP(C890, 'Class Def. - General Data'!$C$20:$C$476,1,false)</f>
        <v>ZSR3_LEGAL_LICENSE</v>
      </c>
      <c r="I890" s="63" t="str">
        <f t="shared" si="1"/>
        <v>ZSR3_LEGAL_LICENSE19</v>
      </c>
      <c r="J890" s="63">
        <f t="shared" si="2"/>
        <v>1</v>
      </c>
    </row>
    <row r="891" ht="15.75" customHeight="1">
      <c r="A891" s="59" t="s">
        <v>93</v>
      </c>
      <c r="B891" s="95"/>
      <c r="C891" s="95" t="s">
        <v>172</v>
      </c>
      <c r="D891" s="95" t="s">
        <v>91</v>
      </c>
      <c r="E891" s="95" t="s">
        <v>577</v>
      </c>
      <c r="F891" s="95">
        <v>20.0</v>
      </c>
      <c r="G891" s="95" t="s">
        <v>1428</v>
      </c>
      <c r="H891" s="63" t="str">
        <f>VLOOKUP(C891, 'Class Def. - General Data'!$C$20:$C$476,1,false)</f>
        <v>ZSR3_LEGAL_LICENSE</v>
      </c>
      <c r="I891" s="63" t="str">
        <f t="shared" si="1"/>
        <v>ZSR3_LEGAL_LICENSE20</v>
      </c>
      <c r="J891" s="63">
        <f t="shared" si="2"/>
        <v>1</v>
      </c>
    </row>
    <row r="892" ht="15.75" customHeight="1">
      <c r="A892" s="59" t="s">
        <v>93</v>
      </c>
      <c r="B892" s="95"/>
      <c r="C892" s="95" t="s">
        <v>172</v>
      </c>
      <c r="D892" s="95" t="s">
        <v>91</v>
      </c>
      <c r="E892" s="95" t="s">
        <v>577</v>
      </c>
      <c r="F892" s="95">
        <v>21.0</v>
      </c>
      <c r="G892" s="95" t="s">
        <v>1429</v>
      </c>
      <c r="H892" s="63" t="str">
        <f>VLOOKUP(C892, 'Class Def. - General Data'!$C$20:$C$476,1,false)</f>
        <v>ZSR3_LEGAL_LICENSE</v>
      </c>
      <c r="I892" s="63" t="str">
        <f t="shared" si="1"/>
        <v>ZSR3_LEGAL_LICENSE21</v>
      </c>
      <c r="J892" s="63">
        <f t="shared" si="2"/>
        <v>1</v>
      </c>
    </row>
    <row r="893" ht="15.75" customHeight="1">
      <c r="A893" s="59" t="s">
        <v>93</v>
      </c>
      <c r="B893" s="95"/>
      <c r="C893" s="95" t="s">
        <v>172</v>
      </c>
      <c r="D893" s="95" t="s">
        <v>91</v>
      </c>
      <c r="E893" s="95" t="s">
        <v>577</v>
      </c>
      <c r="F893" s="95">
        <v>22.0</v>
      </c>
      <c r="G893" s="95" t="s">
        <v>1430</v>
      </c>
      <c r="H893" s="63" t="str">
        <f>VLOOKUP(C893, 'Class Def. - General Data'!$C$20:$C$476,1,false)</f>
        <v>ZSR3_LEGAL_LICENSE</v>
      </c>
      <c r="I893" s="63" t="str">
        <f t="shared" si="1"/>
        <v>ZSR3_LEGAL_LICENSE22</v>
      </c>
      <c r="J893" s="63">
        <f t="shared" si="2"/>
        <v>1</v>
      </c>
    </row>
    <row r="894" ht="15.75" customHeight="1">
      <c r="A894" s="59" t="s">
        <v>93</v>
      </c>
      <c r="B894" s="95"/>
      <c r="C894" s="95" t="s">
        <v>172</v>
      </c>
      <c r="D894" s="95" t="s">
        <v>91</v>
      </c>
      <c r="E894" s="95" t="s">
        <v>577</v>
      </c>
      <c r="F894" s="95">
        <v>23.0</v>
      </c>
      <c r="G894" s="95" t="s">
        <v>1431</v>
      </c>
      <c r="H894" s="63" t="str">
        <f>VLOOKUP(C894, 'Class Def. - General Data'!$C$20:$C$476,1,false)</f>
        <v>ZSR3_LEGAL_LICENSE</v>
      </c>
      <c r="I894" s="63" t="str">
        <f t="shared" si="1"/>
        <v>ZSR3_LEGAL_LICENSE23</v>
      </c>
      <c r="J894" s="63">
        <f t="shared" si="2"/>
        <v>1</v>
      </c>
    </row>
    <row r="895" ht="15.75" customHeight="1">
      <c r="A895" s="59" t="s">
        <v>93</v>
      </c>
      <c r="B895" s="95"/>
      <c r="C895" s="95" t="s">
        <v>172</v>
      </c>
      <c r="D895" s="95" t="s">
        <v>91</v>
      </c>
      <c r="E895" s="95" t="s">
        <v>577</v>
      </c>
      <c r="F895" s="95">
        <v>24.0</v>
      </c>
      <c r="G895" s="95" t="s">
        <v>1432</v>
      </c>
      <c r="H895" s="63" t="str">
        <f>VLOOKUP(C895, 'Class Def. - General Data'!$C$20:$C$476,1,false)</f>
        <v>ZSR3_LEGAL_LICENSE</v>
      </c>
      <c r="I895" s="63" t="str">
        <f t="shared" si="1"/>
        <v>ZSR3_LEGAL_LICENSE24</v>
      </c>
      <c r="J895" s="63">
        <f t="shared" si="2"/>
        <v>1</v>
      </c>
    </row>
    <row r="896" ht="15.75" customHeight="1">
      <c r="A896" s="59" t="s">
        <v>93</v>
      </c>
      <c r="B896" s="95"/>
      <c r="C896" s="95" t="s">
        <v>172</v>
      </c>
      <c r="D896" s="95" t="s">
        <v>91</v>
      </c>
      <c r="E896" s="95" t="s">
        <v>577</v>
      </c>
      <c r="F896" s="95">
        <v>25.0</v>
      </c>
      <c r="G896" s="95" t="s">
        <v>1433</v>
      </c>
      <c r="H896" s="63" t="str">
        <f>VLOOKUP(C896, 'Class Def. - General Data'!$C$20:$C$476,1,false)</f>
        <v>ZSR3_LEGAL_LICENSE</v>
      </c>
      <c r="I896" s="63" t="str">
        <f t="shared" si="1"/>
        <v>ZSR3_LEGAL_LICENSE25</v>
      </c>
      <c r="J896" s="63">
        <f t="shared" si="2"/>
        <v>1</v>
      </c>
    </row>
    <row r="897" ht="15.75" customHeight="1">
      <c r="A897" s="59" t="s">
        <v>93</v>
      </c>
      <c r="B897" s="95"/>
      <c r="C897" s="95" t="s">
        <v>172</v>
      </c>
      <c r="D897" s="95" t="s">
        <v>91</v>
      </c>
      <c r="E897" s="95" t="s">
        <v>577</v>
      </c>
      <c r="F897" s="95">
        <v>26.0</v>
      </c>
      <c r="G897" s="95" t="s">
        <v>1434</v>
      </c>
      <c r="H897" s="63" t="str">
        <f>VLOOKUP(C897, 'Class Def. - General Data'!$C$20:$C$476,1,false)</f>
        <v>ZSR3_LEGAL_LICENSE</v>
      </c>
      <c r="I897" s="63" t="str">
        <f t="shared" si="1"/>
        <v>ZSR3_LEGAL_LICENSE26</v>
      </c>
      <c r="J897" s="63">
        <f t="shared" si="2"/>
        <v>1</v>
      </c>
    </row>
    <row r="898" ht="15.75" customHeight="1">
      <c r="A898" s="59" t="s">
        <v>93</v>
      </c>
      <c r="B898" s="95"/>
      <c r="C898" s="95" t="s">
        <v>172</v>
      </c>
      <c r="D898" s="95" t="s">
        <v>91</v>
      </c>
      <c r="E898" s="95" t="s">
        <v>577</v>
      </c>
      <c r="F898" s="95">
        <v>27.0</v>
      </c>
      <c r="G898" s="95" t="s">
        <v>1435</v>
      </c>
      <c r="H898" s="63" t="str">
        <f>VLOOKUP(C898, 'Class Def. - General Data'!$C$20:$C$476,1,false)</f>
        <v>ZSR3_LEGAL_LICENSE</v>
      </c>
      <c r="I898" s="63" t="str">
        <f t="shared" si="1"/>
        <v>ZSR3_LEGAL_LICENSE27</v>
      </c>
      <c r="J898" s="63">
        <f t="shared" si="2"/>
        <v>1</v>
      </c>
    </row>
    <row r="899" ht="15.75" customHeight="1">
      <c r="A899" s="59" t="s">
        <v>93</v>
      </c>
      <c r="B899" s="95"/>
      <c r="C899" s="95" t="s">
        <v>172</v>
      </c>
      <c r="D899" s="95" t="s">
        <v>91</v>
      </c>
      <c r="E899" s="95" t="s">
        <v>577</v>
      </c>
      <c r="F899" s="95">
        <v>28.0</v>
      </c>
      <c r="G899" s="95" t="s">
        <v>1436</v>
      </c>
      <c r="H899" s="63" t="str">
        <f>VLOOKUP(C899, 'Class Def. - General Data'!$C$20:$C$476,1,false)</f>
        <v>ZSR3_LEGAL_LICENSE</v>
      </c>
      <c r="I899" s="63" t="str">
        <f t="shared" si="1"/>
        <v>ZSR3_LEGAL_LICENSE28</v>
      </c>
      <c r="J899" s="63">
        <f t="shared" si="2"/>
        <v>1</v>
      </c>
    </row>
    <row r="900" ht="15.75" customHeight="1">
      <c r="A900" s="59" t="s">
        <v>93</v>
      </c>
      <c r="B900" s="95"/>
      <c r="C900" s="95" t="s">
        <v>183</v>
      </c>
      <c r="D900" s="95" t="s">
        <v>91</v>
      </c>
      <c r="E900" s="95" t="s">
        <v>577</v>
      </c>
      <c r="F900" s="95">
        <v>1.0</v>
      </c>
      <c r="G900" s="95" t="s">
        <v>1437</v>
      </c>
      <c r="H900" s="63" t="str">
        <f>VLOOKUP(C900, 'Class Def. - General Data'!$C$20:$C$476,1,false)</f>
        <v>ZSI2_PALLETS</v>
      </c>
      <c r="I900" s="63" t="str">
        <f t="shared" si="1"/>
        <v>ZSI2_PALLETS1</v>
      </c>
      <c r="J900" s="63">
        <f t="shared" si="2"/>
        <v>1</v>
      </c>
    </row>
    <row r="901" ht="15.75" customHeight="1">
      <c r="A901" s="59" t="s">
        <v>93</v>
      </c>
      <c r="B901" s="95"/>
      <c r="C901" s="95" t="s">
        <v>206</v>
      </c>
      <c r="D901" s="95" t="s">
        <v>91</v>
      </c>
      <c r="E901" s="95" t="s">
        <v>577</v>
      </c>
      <c r="F901" s="95">
        <v>1.0</v>
      </c>
      <c r="G901" s="96" t="s">
        <v>1438</v>
      </c>
      <c r="H901" s="63" t="str">
        <f>VLOOKUP(C901, 'Class Def. - General Data'!$C$20:$C$476,1,false)</f>
        <v>ZBM1_ACCATAPGLOSSY</v>
      </c>
      <c r="I901" s="63" t="str">
        <f t="shared" si="1"/>
        <v>ZBM1_ACCATAPGLOSSY1</v>
      </c>
      <c r="J901" s="63">
        <f t="shared" si="2"/>
        <v>1</v>
      </c>
    </row>
    <row r="902" ht="15.75" customHeight="1">
      <c r="A902" s="59" t="s">
        <v>93</v>
      </c>
      <c r="B902" s="95"/>
      <c r="C902" s="95" t="s">
        <v>207</v>
      </c>
      <c r="D902" s="95" t="s">
        <v>91</v>
      </c>
      <c r="E902" s="95" t="s">
        <v>577</v>
      </c>
      <c r="F902" s="95">
        <v>1.0</v>
      </c>
      <c r="G902" s="96" t="s">
        <v>1439</v>
      </c>
      <c r="H902" s="63" t="str">
        <f>VLOOKUP(C902, 'Class Def. - General Data'!$C$20:$C$476,1,false)</f>
        <v>ZBM1_ACCATAPMATTE</v>
      </c>
      <c r="I902" s="63" t="str">
        <f t="shared" si="1"/>
        <v>ZBM1_ACCATAPMATTE1</v>
      </c>
      <c r="J902" s="63">
        <f t="shared" si="2"/>
        <v>1</v>
      </c>
    </row>
    <row r="903" ht="15.75" customHeight="1">
      <c r="A903" s="59" t="s">
        <v>93</v>
      </c>
      <c r="B903" s="95"/>
      <c r="C903" s="95" t="s">
        <v>208</v>
      </c>
      <c r="D903" s="95" t="s">
        <v>91</v>
      </c>
      <c r="E903" s="95" t="s">
        <v>577</v>
      </c>
      <c r="F903" s="95">
        <v>1.0</v>
      </c>
      <c r="G903" s="96" t="s">
        <v>1440</v>
      </c>
      <c r="H903" s="63" t="str">
        <f>VLOOKUP(C903, 'Class Def. - General Data'!$C$20:$C$476,1,false)</f>
        <v>ZBM1_ACCATAPSMALLC</v>
      </c>
      <c r="I903" s="63" t="str">
        <f t="shared" si="1"/>
        <v>ZBM1_ACCATAPSMALLC1</v>
      </c>
      <c r="J903" s="63">
        <f t="shared" si="2"/>
        <v>1</v>
      </c>
    </row>
    <row r="904" ht="15.75" customHeight="1">
      <c r="A904" s="59" t="s">
        <v>93</v>
      </c>
      <c r="B904" s="95"/>
      <c r="C904" s="95" t="s">
        <v>209</v>
      </c>
      <c r="D904" s="95" t="s">
        <v>91</v>
      </c>
      <c r="E904" s="95" t="s">
        <v>577</v>
      </c>
      <c r="F904" s="95">
        <v>1.0</v>
      </c>
      <c r="G904" s="96" t="s">
        <v>1441</v>
      </c>
      <c r="H904" s="63" t="str">
        <f>VLOOKUP(C904, 'Class Def. - General Data'!$C$20:$C$476,1,false)</f>
        <v>ZBM1_ACCATAPUNGLZD</v>
      </c>
      <c r="I904" s="63" t="str">
        <f t="shared" si="1"/>
        <v>ZBM1_ACCATAPUNGLZD1</v>
      </c>
      <c r="J904" s="63">
        <f t="shared" si="2"/>
        <v>1</v>
      </c>
    </row>
    <row r="905" ht="15.75" customHeight="1">
      <c r="A905" s="59" t="s">
        <v>93</v>
      </c>
      <c r="B905" s="95"/>
      <c r="C905" s="95" t="s">
        <v>210</v>
      </c>
      <c r="D905" s="95" t="s">
        <v>91</v>
      </c>
      <c r="E905" s="95" t="s">
        <v>577</v>
      </c>
      <c r="F905" s="95">
        <v>1.0</v>
      </c>
      <c r="G905" s="96" t="s">
        <v>1442</v>
      </c>
      <c r="H905" s="63" t="str">
        <f>VLOOKUP(C905, 'Class Def. - General Data'!$C$20:$C$476,1,false)</f>
        <v>ZBM1_ATAPGLOSSY</v>
      </c>
      <c r="I905" s="63" t="str">
        <f t="shared" si="1"/>
        <v>ZBM1_ATAPGLOSSY1</v>
      </c>
      <c r="J905" s="63">
        <f t="shared" si="2"/>
        <v>1</v>
      </c>
    </row>
    <row r="906" ht="15.75" customHeight="1">
      <c r="A906" s="59" t="s">
        <v>93</v>
      </c>
      <c r="B906" s="95"/>
      <c r="C906" s="95" t="s">
        <v>211</v>
      </c>
      <c r="D906" s="95" t="s">
        <v>91</v>
      </c>
      <c r="E906" s="95" t="s">
        <v>577</v>
      </c>
      <c r="F906" s="95">
        <v>1.0</v>
      </c>
      <c r="G906" s="96" t="s">
        <v>1443</v>
      </c>
      <c r="H906" s="63" t="str">
        <f>VLOOKUP(C906, 'Class Def. - General Data'!$C$20:$C$476,1,false)</f>
        <v>ZBM1_ATAPMATTE</v>
      </c>
      <c r="I906" s="63" t="str">
        <f t="shared" si="1"/>
        <v>ZBM1_ATAPMATTE1</v>
      </c>
      <c r="J906" s="63">
        <f t="shared" si="2"/>
        <v>1</v>
      </c>
    </row>
    <row r="907" ht="15.75" customHeight="1">
      <c r="A907" s="59" t="s">
        <v>93</v>
      </c>
      <c r="B907" s="95"/>
      <c r="C907" s="95" t="s">
        <v>212</v>
      </c>
      <c r="D907" s="95" t="s">
        <v>91</v>
      </c>
      <c r="E907" s="95" t="s">
        <v>577</v>
      </c>
      <c r="F907" s="95">
        <v>1.0</v>
      </c>
      <c r="G907" s="96" t="s">
        <v>1444</v>
      </c>
      <c r="H907" s="63" t="str">
        <f>VLOOKUP(C907, 'Class Def. - General Data'!$C$20:$C$476,1,false)</f>
        <v>ZBM1_ATAPSMALLC</v>
      </c>
      <c r="I907" s="63" t="str">
        <f t="shared" si="1"/>
        <v>ZBM1_ATAPSMALLC1</v>
      </c>
      <c r="J907" s="63">
        <f t="shared" si="2"/>
        <v>1</v>
      </c>
    </row>
    <row r="908" ht="15.75" customHeight="1">
      <c r="A908" s="59" t="s">
        <v>93</v>
      </c>
      <c r="B908" s="95"/>
      <c r="C908" s="95" t="s">
        <v>213</v>
      </c>
      <c r="D908" s="95" t="s">
        <v>91</v>
      </c>
      <c r="E908" s="95" t="s">
        <v>577</v>
      </c>
      <c r="F908" s="95">
        <v>1.0</v>
      </c>
      <c r="G908" s="96" t="s">
        <v>1445</v>
      </c>
      <c r="H908" s="63" t="str">
        <f>VLOOKUP(C908, 'Class Def. - General Data'!$C$20:$C$476,1,false)</f>
        <v>ZBM1_ATAPUNGLAZED</v>
      </c>
      <c r="I908" s="63" t="str">
        <f t="shared" si="1"/>
        <v>ZBM1_ATAPUNGLAZED1</v>
      </c>
      <c r="J908" s="63">
        <f t="shared" si="2"/>
        <v>1</v>
      </c>
    </row>
    <row r="909" ht="15.75" customHeight="1">
      <c r="A909" s="59" t="s">
        <v>93</v>
      </c>
      <c r="B909" s="95"/>
      <c r="C909" s="96" t="s">
        <v>221</v>
      </c>
      <c r="D909" s="95" t="s">
        <v>91</v>
      </c>
      <c r="E909" s="95" t="s">
        <v>577</v>
      </c>
      <c r="F909" s="95">
        <v>1.0</v>
      </c>
      <c r="G909" s="96" t="s">
        <v>1446</v>
      </c>
      <c r="H909" s="63" t="str">
        <f>VLOOKUP(C909, 'Class Def. - General Data'!$C$20:$C$476,1,false)</f>
        <v>ZBM1_FIBERCEMACC</v>
      </c>
      <c r="I909" s="63" t="str">
        <f t="shared" si="1"/>
        <v>ZBM1_FIBERCEMACC1</v>
      </c>
      <c r="J909" s="63">
        <f t="shared" si="2"/>
        <v>1</v>
      </c>
    </row>
    <row r="910" ht="15.75" customHeight="1">
      <c r="A910" s="59" t="s">
        <v>93</v>
      </c>
      <c r="B910" s="95"/>
      <c r="C910" s="95" t="s">
        <v>214</v>
      </c>
      <c r="D910" s="95" t="s">
        <v>91</v>
      </c>
      <c r="E910" s="95" t="s">
        <v>577</v>
      </c>
      <c r="F910" s="95">
        <v>1.0</v>
      </c>
      <c r="G910" s="96" t="s">
        <v>1447</v>
      </c>
      <c r="H910" s="63" t="str">
        <f>VLOOKUP(C910, 'Class Def. - General Data'!$C$20:$C$476,1,false)</f>
        <v>ZBM1_GYPSUMBOARD</v>
      </c>
      <c r="I910" s="63" t="str">
        <f t="shared" si="1"/>
        <v>ZBM1_GYPSUMBOARD1</v>
      </c>
      <c r="J910" s="63">
        <f t="shared" si="2"/>
        <v>1</v>
      </c>
    </row>
    <row r="911" ht="15.75" customHeight="1">
      <c r="A911" s="59" t="s">
        <v>93</v>
      </c>
      <c r="B911" s="95"/>
      <c r="C911" s="95" t="s">
        <v>215</v>
      </c>
      <c r="D911" s="95" t="s">
        <v>91</v>
      </c>
      <c r="E911" s="95" t="s">
        <v>577</v>
      </c>
      <c r="F911" s="95">
        <v>1.0</v>
      </c>
      <c r="G911" s="96" t="s">
        <v>1448</v>
      </c>
      <c r="H911" s="63" t="str">
        <f>VLOOKUP(C911, 'Class Def. - General Data'!$C$20:$C$476,1,false)</f>
        <v>ZBM1_GYPSUMCASTING</v>
      </c>
      <c r="I911" s="63" t="str">
        <f t="shared" si="1"/>
        <v>ZBM1_GYPSUMCASTING1</v>
      </c>
      <c r="J911" s="63">
        <f t="shared" si="2"/>
        <v>1</v>
      </c>
    </row>
    <row r="912" ht="15.75" customHeight="1">
      <c r="A912" s="59" t="s">
        <v>93</v>
      </c>
      <c r="B912" s="95"/>
      <c r="C912" s="95" t="s">
        <v>216</v>
      </c>
      <c r="D912" s="95" t="s">
        <v>91</v>
      </c>
      <c r="E912" s="95" t="s">
        <v>577</v>
      </c>
      <c r="F912" s="95">
        <v>1.0</v>
      </c>
      <c r="G912" s="96" t="s">
        <v>1449</v>
      </c>
      <c r="H912" s="63" t="str">
        <f>VLOOKUP(C912, 'Class Def. - General Data'!$C$20:$C$476,1,false)</f>
        <v>ZBM1_GYPSUMCOMPOND</v>
      </c>
      <c r="I912" s="63" t="str">
        <f t="shared" si="1"/>
        <v>ZBM1_GYPSUMCOMPOND1</v>
      </c>
      <c r="J912" s="63">
        <f t="shared" si="2"/>
        <v>1</v>
      </c>
    </row>
    <row r="913" ht="15.75" customHeight="1">
      <c r="A913" s="59" t="s">
        <v>93</v>
      </c>
      <c r="B913" s="95"/>
      <c r="C913" s="95" t="s">
        <v>217</v>
      </c>
      <c r="D913" s="95" t="s">
        <v>91</v>
      </c>
      <c r="E913" s="95" t="s">
        <v>577</v>
      </c>
      <c r="F913" s="95">
        <v>1.0</v>
      </c>
      <c r="G913" s="96" t="s">
        <v>1450</v>
      </c>
      <c r="H913" s="63" t="str">
        <f>VLOOKUP(C913, 'Class Def. - General Data'!$C$20:$C$476,1,false)</f>
        <v>ZBM1_GYPSUMFRAME</v>
      </c>
      <c r="I913" s="63" t="str">
        <f t="shared" si="1"/>
        <v>ZBM1_GYPSUMFRAME1</v>
      </c>
      <c r="J913" s="63">
        <f t="shared" si="2"/>
        <v>1</v>
      </c>
    </row>
    <row r="914" ht="15.75" customHeight="1">
      <c r="A914" s="59" t="s">
        <v>93</v>
      </c>
      <c r="B914" s="95"/>
      <c r="C914" s="95" t="s">
        <v>218</v>
      </c>
      <c r="D914" s="95" t="s">
        <v>91</v>
      </c>
      <c r="E914" s="95" t="s">
        <v>577</v>
      </c>
      <c r="F914" s="95">
        <v>1.0</v>
      </c>
      <c r="G914" s="96" t="s">
        <v>1451</v>
      </c>
      <c r="H914" s="63" t="str">
        <f>VLOOKUP(C914, 'Class Def. - General Data'!$C$20:$C$476,1,false)</f>
        <v>ZBM1_GYPTILE</v>
      </c>
      <c r="I914" s="63" t="str">
        <f t="shared" si="1"/>
        <v>ZBM1_GYPTILE1</v>
      </c>
      <c r="J914" s="63">
        <f t="shared" si="2"/>
        <v>1</v>
      </c>
    </row>
    <row r="915" ht="15.75" customHeight="1">
      <c r="A915" s="59" t="s">
        <v>93</v>
      </c>
      <c r="B915" s="95"/>
      <c r="C915" s="95" t="s">
        <v>219</v>
      </c>
      <c r="D915" s="95" t="s">
        <v>91</v>
      </c>
      <c r="E915" s="95" t="s">
        <v>577</v>
      </c>
      <c r="F915" s="95">
        <v>1.0</v>
      </c>
      <c r="G915" s="96" t="s">
        <v>1452</v>
      </c>
      <c r="H915" s="63" t="str">
        <f>VLOOKUP(C915, 'Class Def. - General Data'!$C$20:$C$476,1,false)</f>
        <v>ZBM1_PLAINPLANK</v>
      </c>
      <c r="I915" s="63" t="str">
        <f t="shared" si="1"/>
        <v>ZBM1_PLAINPLANK1</v>
      </c>
      <c r="J915" s="63">
        <f t="shared" si="2"/>
        <v>1</v>
      </c>
    </row>
    <row r="916" ht="15.75" customHeight="1">
      <c r="A916" s="59" t="s">
        <v>93</v>
      </c>
      <c r="B916" s="95"/>
      <c r="C916" s="95" t="s">
        <v>220</v>
      </c>
      <c r="D916" s="95" t="s">
        <v>91</v>
      </c>
      <c r="E916" s="95" t="s">
        <v>577</v>
      </c>
      <c r="F916" s="95">
        <v>1.0</v>
      </c>
      <c r="G916" s="96" t="s">
        <v>1453</v>
      </c>
      <c r="H916" s="63" t="str">
        <f>VLOOKUP(C916, 'Class Def. - General Data'!$C$20:$C$476,1,false)</f>
        <v>ZBM1_TEXTUREPLANK</v>
      </c>
      <c r="I916" s="63" t="str">
        <f t="shared" si="1"/>
        <v>ZBM1_TEXTUREPLANK1</v>
      </c>
      <c r="J916" s="63">
        <f t="shared" si="2"/>
        <v>1</v>
      </c>
    </row>
    <row r="917" ht="15.75" customHeight="1">
      <c r="A917" s="66" t="s">
        <v>205</v>
      </c>
      <c r="B917" s="95"/>
      <c r="C917" s="95" t="s">
        <v>206</v>
      </c>
      <c r="D917" s="96" t="s">
        <v>91</v>
      </c>
      <c r="E917" s="96" t="s">
        <v>577</v>
      </c>
      <c r="F917" s="96">
        <v>2.0</v>
      </c>
      <c r="G917" s="96" t="s">
        <v>1454</v>
      </c>
      <c r="H917" s="63" t="str">
        <f>VLOOKUP(C917, 'Class Def. - General Data'!$C$20:$C$476,1,false)</f>
        <v>ZBM1_ACCATAPGLOSSY</v>
      </c>
      <c r="I917" s="63" t="str">
        <f t="shared" si="1"/>
        <v>ZBM1_ACCATAPGLOSSY2</v>
      </c>
      <c r="J917" s="63">
        <f t="shared" si="2"/>
        <v>1</v>
      </c>
    </row>
    <row r="918" ht="15.75" customHeight="1">
      <c r="A918" s="66" t="s">
        <v>205</v>
      </c>
      <c r="B918" s="95"/>
      <c r="C918" s="95" t="s">
        <v>207</v>
      </c>
      <c r="D918" s="96" t="s">
        <v>91</v>
      </c>
      <c r="E918" s="96" t="s">
        <v>577</v>
      </c>
      <c r="F918" s="96">
        <v>2.0</v>
      </c>
      <c r="G918" s="96" t="s">
        <v>1454</v>
      </c>
      <c r="H918" s="63" t="str">
        <f>VLOOKUP(C918, 'Class Def. - General Data'!$C$20:$C$476,1,false)</f>
        <v>ZBM1_ACCATAPMATTE</v>
      </c>
      <c r="I918" s="63" t="str">
        <f t="shared" si="1"/>
        <v>ZBM1_ACCATAPMATTE2</v>
      </c>
      <c r="J918" s="63">
        <f t="shared" si="2"/>
        <v>1</v>
      </c>
    </row>
    <row r="919" ht="15.75" customHeight="1">
      <c r="A919" s="66" t="s">
        <v>205</v>
      </c>
      <c r="B919" s="95"/>
      <c r="C919" s="95" t="s">
        <v>208</v>
      </c>
      <c r="D919" s="96" t="s">
        <v>91</v>
      </c>
      <c r="E919" s="96" t="s">
        <v>577</v>
      </c>
      <c r="F919" s="96">
        <v>2.0</v>
      </c>
      <c r="G919" s="96" t="s">
        <v>1454</v>
      </c>
      <c r="H919" s="63" t="str">
        <f>VLOOKUP(C919, 'Class Def. - General Data'!$C$20:$C$476,1,false)</f>
        <v>ZBM1_ACCATAPSMALLC</v>
      </c>
      <c r="I919" s="63" t="str">
        <f t="shared" si="1"/>
        <v>ZBM1_ACCATAPSMALLC2</v>
      </c>
      <c r="J919" s="63">
        <f t="shared" si="2"/>
        <v>1</v>
      </c>
    </row>
    <row r="920" ht="15.75" customHeight="1">
      <c r="A920" s="66" t="s">
        <v>205</v>
      </c>
      <c r="B920" s="95"/>
      <c r="C920" s="95" t="s">
        <v>209</v>
      </c>
      <c r="D920" s="96" t="s">
        <v>91</v>
      </c>
      <c r="E920" s="96" t="s">
        <v>577</v>
      </c>
      <c r="F920" s="96">
        <v>2.0</v>
      </c>
      <c r="G920" s="96" t="s">
        <v>1454</v>
      </c>
      <c r="H920" s="63" t="str">
        <f>VLOOKUP(C920, 'Class Def. - General Data'!$C$20:$C$476,1,false)</f>
        <v>ZBM1_ACCATAPUNGLZD</v>
      </c>
      <c r="I920" s="63" t="str">
        <f t="shared" si="1"/>
        <v>ZBM1_ACCATAPUNGLZD2</v>
      </c>
      <c r="J920" s="63">
        <f t="shared" si="2"/>
        <v>1</v>
      </c>
    </row>
    <row r="921" ht="15.75" customHeight="1">
      <c r="A921" s="66" t="s">
        <v>205</v>
      </c>
      <c r="B921" s="95"/>
      <c r="C921" s="95" t="s">
        <v>206</v>
      </c>
      <c r="D921" s="96" t="s">
        <v>91</v>
      </c>
      <c r="E921" s="96" t="s">
        <v>577</v>
      </c>
      <c r="F921" s="96">
        <v>3.0</v>
      </c>
      <c r="G921" s="96" t="s">
        <v>1455</v>
      </c>
      <c r="H921" s="63" t="str">
        <f>VLOOKUP(C921, 'Class Def. - General Data'!$C$20:$C$476,1,false)</f>
        <v>ZBM1_ACCATAPGLOSSY</v>
      </c>
      <c r="I921" s="63" t="str">
        <f t="shared" si="1"/>
        <v>ZBM1_ACCATAPGLOSSY3</v>
      </c>
      <c r="J921" s="63">
        <f t="shared" si="2"/>
        <v>1</v>
      </c>
    </row>
    <row r="922" ht="15.75" customHeight="1">
      <c r="A922" s="66" t="s">
        <v>205</v>
      </c>
      <c r="B922" s="95"/>
      <c r="C922" s="95" t="s">
        <v>207</v>
      </c>
      <c r="D922" s="96" t="s">
        <v>91</v>
      </c>
      <c r="E922" s="96" t="s">
        <v>577</v>
      </c>
      <c r="F922" s="96">
        <v>3.0</v>
      </c>
      <c r="G922" s="96" t="s">
        <v>1456</v>
      </c>
      <c r="H922" s="63" t="str">
        <f>VLOOKUP(C922, 'Class Def. - General Data'!$C$20:$C$476,1,false)</f>
        <v>ZBM1_ACCATAPMATTE</v>
      </c>
      <c r="I922" s="63" t="str">
        <f t="shared" si="1"/>
        <v>ZBM1_ACCATAPMATTE3</v>
      </c>
      <c r="J922" s="63">
        <f t="shared" si="2"/>
        <v>1</v>
      </c>
    </row>
    <row r="923" ht="15.75" customHeight="1">
      <c r="A923" s="66" t="s">
        <v>205</v>
      </c>
      <c r="B923" s="95"/>
      <c r="C923" s="95" t="s">
        <v>208</v>
      </c>
      <c r="D923" s="96" t="s">
        <v>91</v>
      </c>
      <c r="E923" s="96" t="s">
        <v>577</v>
      </c>
      <c r="F923" s="96">
        <v>3.0</v>
      </c>
      <c r="G923" s="96" t="s">
        <v>1457</v>
      </c>
      <c r="H923" s="63" t="str">
        <f>VLOOKUP(C923, 'Class Def. - General Data'!$C$20:$C$476,1,false)</f>
        <v>ZBM1_ACCATAPSMALLC</v>
      </c>
      <c r="I923" s="63" t="str">
        <f t="shared" si="1"/>
        <v>ZBM1_ACCATAPSMALLC3</v>
      </c>
      <c r="J923" s="63">
        <f t="shared" si="2"/>
        <v>1</v>
      </c>
    </row>
    <row r="924" ht="15.75" customHeight="1">
      <c r="A924" s="66" t="s">
        <v>205</v>
      </c>
      <c r="B924" s="95"/>
      <c r="C924" s="95" t="s">
        <v>209</v>
      </c>
      <c r="D924" s="96" t="s">
        <v>91</v>
      </c>
      <c r="E924" s="96" t="s">
        <v>577</v>
      </c>
      <c r="F924" s="96">
        <v>3.0</v>
      </c>
      <c r="G924" s="96" t="s">
        <v>1458</v>
      </c>
      <c r="H924" s="63" t="str">
        <f>VLOOKUP(C924, 'Class Def. - General Data'!$C$20:$C$476,1,false)</f>
        <v>ZBM1_ACCATAPUNGLZD</v>
      </c>
      <c r="I924" s="63" t="str">
        <f t="shared" si="1"/>
        <v>ZBM1_ACCATAPUNGLZD3</v>
      </c>
      <c r="J924" s="63">
        <f t="shared" si="2"/>
        <v>1</v>
      </c>
    </row>
    <row r="925" ht="15.75" customHeight="1">
      <c r="A925" s="66" t="s">
        <v>205</v>
      </c>
      <c r="B925" s="95"/>
      <c r="C925" s="95" t="s">
        <v>210</v>
      </c>
      <c r="D925" s="96" t="s">
        <v>91</v>
      </c>
      <c r="E925" s="96" t="s">
        <v>577</v>
      </c>
      <c r="F925" s="96">
        <v>2.0</v>
      </c>
      <c r="G925" s="96" t="s">
        <v>1459</v>
      </c>
      <c r="H925" s="63" t="str">
        <f>VLOOKUP(C925, 'Class Def. - General Data'!$C$20:$C$476,1,false)</f>
        <v>ZBM1_ATAPGLOSSY</v>
      </c>
      <c r="I925" s="63" t="str">
        <f t="shared" si="1"/>
        <v>ZBM1_ATAPGLOSSY2</v>
      </c>
      <c r="J925" s="63">
        <f t="shared" si="2"/>
        <v>1</v>
      </c>
    </row>
    <row r="926" ht="15.75" customHeight="1">
      <c r="A926" s="66" t="s">
        <v>205</v>
      </c>
      <c r="B926" s="95"/>
      <c r="C926" s="95" t="s">
        <v>211</v>
      </c>
      <c r="D926" s="96" t="s">
        <v>91</v>
      </c>
      <c r="E926" s="96" t="s">
        <v>577</v>
      </c>
      <c r="F926" s="96">
        <v>2.0</v>
      </c>
      <c r="G926" s="96" t="s">
        <v>1459</v>
      </c>
      <c r="H926" s="63" t="str">
        <f>VLOOKUP(C926, 'Class Def. - General Data'!$C$20:$C$476,1,false)</f>
        <v>ZBM1_ATAPMATTE</v>
      </c>
      <c r="I926" s="63" t="str">
        <f t="shared" si="1"/>
        <v>ZBM1_ATAPMATTE2</v>
      </c>
      <c r="J926" s="63">
        <f t="shared" si="2"/>
        <v>1</v>
      </c>
    </row>
    <row r="927" ht="15.75" customHeight="1">
      <c r="A927" s="66" t="s">
        <v>205</v>
      </c>
      <c r="B927" s="95"/>
      <c r="C927" s="95" t="s">
        <v>212</v>
      </c>
      <c r="D927" s="96" t="s">
        <v>91</v>
      </c>
      <c r="E927" s="96" t="s">
        <v>577</v>
      </c>
      <c r="F927" s="96">
        <v>2.0</v>
      </c>
      <c r="G927" s="96" t="s">
        <v>1459</v>
      </c>
      <c r="H927" s="63" t="str">
        <f>VLOOKUP(C927, 'Class Def. - General Data'!$C$20:$C$476,1,false)</f>
        <v>ZBM1_ATAPSMALLC</v>
      </c>
      <c r="I927" s="63" t="str">
        <f t="shared" si="1"/>
        <v>ZBM1_ATAPSMALLC2</v>
      </c>
      <c r="J927" s="63">
        <f t="shared" si="2"/>
        <v>1</v>
      </c>
    </row>
    <row r="928" ht="15.75" customHeight="1">
      <c r="A928" s="66" t="s">
        <v>205</v>
      </c>
      <c r="B928" s="95"/>
      <c r="C928" s="95" t="s">
        <v>213</v>
      </c>
      <c r="D928" s="96" t="s">
        <v>91</v>
      </c>
      <c r="E928" s="96" t="s">
        <v>577</v>
      </c>
      <c r="F928" s="96">
        <v>2.0</v>
      </c>
      <c r="G928" s="96" t="s">
        <v>1459</v>
      </c>
      <c r="H928" s="63" t="str">
        <f>VLOOKUP(C928, 'Class Def. - General Data'!$C$20:$C$476,1,false)</f>
        <v>ZBM1_ATAPUNGLAZED</v>
      </c>
      <c r="I928" s="63" t="str">
        <f t="shared" si="1"/>
        <v>ZBM1_ATAPUNGLAZED2</v>
      </c>
      <c r="J928" s="63">
        <f t="shared" si="2"/>
        <v>1</v>
      </c>
    </row>
    <row r="929" ht="15.75" customHeight="1">
      <c r="A929" s="66" t="s">
        <v>205</v>
      </c>
      <c r="B929" s="95"/>
      <c r="C929" s="95" t="s">
        <v>210</v>
      </c>
      <c r="D929" s="96" t="s">
        <v>91</v>
      </c>
      <c r="E929" s="96" t="s">
        <v>577</v>
      </c>
      <c r="F929" s="96">
        <v>3.0</v>
      </c>
      <c r="G929" s="96" t="s">
        <v>1455</v>
      </c>
      <c r="H929" s="63" t="str">
        <f>VLOOKUP(C929, 'Class Def. - General Data'!$C$20:$C$476,1,false)</f>
        <v>ZBM1_ATAPGLOSSY</v>
      </c>
      <c r="I929" s="63" t="str">
        <f t="shared" si="1"/>
        <v>ZBM1_ATAPGLOSSY3</v>
      </c>
      <c r="J929" s="63">
        <f t="shared" si="2"/>
        <v>1</v>
      </c>
    </row>
    <row r="930" ht="15.75" customHeight="1">
      <c r="A930" s="66" t="s">
        <v>205</v>
      </c>
      <c r="B930" s="95"/>
      <c r="C930" s="95" t="s">
        <v>211</v>
      </c>
      <c r="D930" s="96" t="s">
        <v>91</v>
      </c>
      <c r="E930" s="96" t="s">
        <v>577</v>
      </c>
      <c r="F930" s="96">
        <v>3.0</v>
      </c>
      <c r="G930" s="96" t="s">
        <v>1456</v>
      </c>
      <c r="H930" s="63" t="str">
        <f>VLOOKUP(C930, 'Class Def. - General Data'!$C$20:$C$476,1,false)</f>
        <v>ZBM1_ATAPMATTE</v>
      </c>
      <c r="I930" s="63" t="str">
        <f t="shared" si="1"/>
        <v>ZBM1_ATAPMATTE3</v>
      </c>
      <c r="J930" s="63">
        <f t="shared" si="2"/>
        <v>1</v>
      </c>
    </row>
    <row r="931" ht="15.75" customHeight="1">
      <c r="A931" s="66" t="s">
        <v>205</v>
      </c>
      <c r="B931" s="95"/>
      <c r="C931" s="95" t="s">
        <v>212</v>
      </c>
      <c r="D931" s="96" t="s">
        <v>91</v>
      </c>
      <c r="E931" s="96" t="s">
        <v>577</v>
      </c>
      <c r="F931" s="96">
        <v>3.0</v>
      </c>
      <c r="G931" s="96" t="s">
        <v>1457</v>
      </c>
      <c r="H931" s="63" t="str">
        <f>VLOOKUP(C931, 'Class Def. - General Data'!$C$20:$C$476,1,false)</f>
        <v>ZBM1_ATAPSMALLC</v>
      </c>
      <c r="I931" s="63" t="str">
        <f t="shared" si="1"/>
        <v>ZBM1_ATAPSMALLC3</v>
      </c>
      <c r="J931" s="63">
        <f t="shared" si="2"/>
        <v>1</v>
      </c>
    </row>
    <row r="932" ht="15.75" customHeight="1">
      <c r="A932" s="66" t="s">
        <v>205</v>
      </c>
      <c r="B932" s="95"/>
      <c r="C932" s="95" t="s">
        <v>213</v>
      </c>
      <c r="D932" s="96" t="s">
        <v>91</v>
      </c>
      <c r="E932" s="96" t="s">
        <v>577</v>
      </c>
      <c r="F932" s="96">
        <v>3.0</v>
      </c>
      <c r="G932" s="96" t="s">
        <v>1458</v>
      </c>
      <c r="H932" s="63" t="str">
        <f>VLOOKUP(C932, 'Class Def. - General Data'!$C$20:$C$476,1,false)</f>
        <v>ZBM1_ATAPUNGLAZED</v>
      </c>
      <c r="I932" s="63" t="str">
        <f t="shared" si="1"/>
        <v>ZBM1_ATAPUNGLAZED3</v>
      </c>
      <c r="J932" s="63">
        <f t="shared" si="2"/>
        <v>1</v>
      </c>
    </row>
    <row r="933" ht="15.75" customHeight="1">
      <c r="A933" s="66" t="s">
        <v>205</v>
      </c>
      <c r="B933" s="95"/>
      <c r="C933" s="95" t="s">
        <v>214</v>
      </c>
      <c r="D933" s="96" t="s">
        <v>91</v>
      </c>
      <c r="E933" s="96" t="s">
        <v>577</v>
      </c>
      <c r="F933" s="96">
        <v>2.0</v>
      </c>
      <c r="G933" s="96" t="s">
        <v>1460</v>
      </c>
      <c r="H933" s="63" t="str">
        <f>VLOOKUP(C933, 'Class Def. - General Data'!$C$20:$C$476,1,false)</f>
        <v>ZBM1_GYPSUMBOARD</v>
      </c>
      <c r="I933" s="63" t="str">
        <f t="shared" si="1"/>
        <v>ZBM1_GYPSUMBOARD2</v>
      </c>
      <c r="J933" s="63">
        <f t="shared" si="2"/>
        <v>1</v>
      </c>
    </row>
    <row r="934" ht="15.75" customHeight="1">
      <c r="A934" s="66" t="s">
        <v>205</v>
      </c>
      <c r="B934" s="95"/>
      <c r="C934" s="95" t="s">
        <v>215</v>
      </c>
      <c r="D934" s="96" t="s">
        <v>91</v>
      </c>
      <c r="E934" s="96" t="s">
        <v>577</v>
      </c>
      <c r="F934" s="96">
        <v>2.0</v>
      </c>
      <c r="G934" s="96" t="s">
        <v>1461</v>
      </c>
      <c r="H934" s="63" t="str">
        <f>VLOOKUP(C934, 'Class Def. - General Data'!$C$20:$C$476,1,false)</f>
        <v>ZBM1_GYPSUMCASTING</v>
      </c>
      <c r="I934" s="63" t="str">
        <f t="shared" si="1"/>
        <v>ZBM1_GYPSUMCASTING2</v>
      </c>
      <c r="J934" s="63">
        <f t="shared" si="2"/>
        <v>1</v>
      </c>
    </row>
    <row r="935" ht="15.75" customHeight="1">
      <c r="A935" s="66" t="s">
        <v>205</v>
      </c>
      <c r="B935" s="95"/>
      <c r="C935" s="95" t="s">
        <v>216</v>
      </c>
      <c r="D935" s="96" t="s">
        <v>91</v>
      </c>
      <c r="E935" s="96" t="s">
        <v>577</v>
      </c>
      <c r="F935" s="96">
        <v>2.0</v>
      </c>
      <c r="G935" s="96" t="s">
        <v>1462</v>
      </c>
      <c r="H935" s="63" t="str">
        <f>VLOOKUP(C935, 'Class Def. - General Data'!$C$20:$C$476,1,false)</f>
        <v>ZBM1_GYPSUMCOMPOND</v>
      </c>
      <c r="I935" s="63" t="str">
        <f t="shared" si="1"/>
        <v>ZBM1_GYPSUMCOMPOND2</v>
      </c>
      <c r="J935" s="63">
        <f t="shared" si="2"/>
        <v>1</v>
      </c>
    </row>
    <row r="936" ht="15.75" customHeight="1">
      <c r="A936" s="66" t="s">
        <v>205</v>
      </c>
      <c r="B936" s="95"/>
      <c r="C936" s="95" t="s">
        <v>217</v>
      </c>
      <c r="D936" s="96" t="s">
        <v>91</v>
      </c>
      <c r="E936" s="96" t="s">
        <v>577</v>
      </c>
      <c r="F936" s="96">
        <v>2.0</v>
      </c>
      <c r="G936" s="96" t="s">
        <v>1463</v>
      </c>
      <c r="H936" s="63" t="str">
        <f>VLOOKUP(C936, 'Class Def. - General Data'!$C$20:$C$476,1,false)</f>
        <v>ZBM1_GYPSUMFRAME</v>
      </c>
      <c r="I936" s="63" t="str">
        <f t="shared" si="1"/>
        <v>ZBM1_GYPSUMFRAME2</v>
      </c>
      <c r="J936" s="63">
        <f t="shared" si="2"/>
        <v>1</v>
      </c>
    </row>
    <row r="937" ht="15.75" customHeight="1">
      <c r="A937" s="66" t="s">
        <v>205</v>
      </c>
      <c r="B937" s="95"/>
      <c r="C937" s="95" t="s">
        <v>218</v>
      </c>
      <c r="D937" s="96" t="s">
        <v>91</v>
      </c>
      <c r="E937" s="96" t="s">
        <v>577</v>
      </c>
      <c r="F937" s="96">
        <v>2.0</v>
      </c>
      <c r="G937" s="96" t="s">
        <v>1464</v>
      </c>
      <c r="H937" s="63" t="str">
        <f>VLOOKUP(C937, 'Class Def. - General Data'!$C$20:$C$476,1,false)</f>
        <v>ZBM1_GYPTILE</v>
      </c>
      <c r="I937" s="63" t="str">
        <f t="shared" si="1"/>
        <v>ZBM1_GYPTILE2</v>
      </c>
      <c r="J937" s="63">
        <f t="shared" si="2"/>
        <v>1</v>
      </c>
    </row>
    <row r="938" ht="15.75" customHeight="1">
      <c r="A938" s="66" t="s">
        <v>205</v>
      </c>
      <c r="B938" s="95"/>
      <c r="C938" s="95" t="s">
        <v>219</v>
      </c>
      <c r="D938" s="96" t="s">
        <v>91</v>
      </c>
      <c r="E938" s="96" t="s">
        <v>577</v>
      </c>
      <c r="F938" s="96">
        <v>2.0</v>
      </c>
      <c r="G938" s="96" t="s">
        <v>1465</v>
      </c>
      <c r="H938" s="63" t="str">
        <f>VLOOKUP(C938, 'Class Def. - General Data'!$C$20:$C$476,1,false)</f>
        <v>ZBM1_PLAINPLANK</v>
      </c>
      <c r="I938" s="63" t="str">
        <f t="shared" si="1"/>
        <v>ZBM1_PLAINPLANK2</v>
      </c>
      <c r="J938" s="63">
        <f t="shared" si="2"/>
        <v>1</v>
      </c>
    </row>
    <row r="939" ht="15.75" customHeight="1">
      <c r="A939" s="66" t="s">
        <v>205</v>
      </c>
      <c r="B939" s="95"/>
      <c r="C939" s="95" t="s">
        <v>220</v>
      </c>
      <c r="D939" s="96" t="s">
        <v>91</v>
      </c>
      <c r="E939" s="96" t="s">
        <v>577</v>
      </c>
      <c r="F939" s="96">
        <v>2.0</v>
      </c>
      <c r="G939" s="96" t="s">
        <v>1466</v>
      </c>
      <c r="H939" s="63" t="str">
        <f>VLOOKUP(C939, 'Class Def. - General Data'!$C$20:$C$476,1,false)</f>
        <v>ZBM1_TEXTUREPLANK</v>
      </c>
      <c r="I939" s="63" t="str">
        <f t="shared" si="1"/>
        <v>ZBM1_TEXTUREPLANK2</v>
      </c>
      <c r="J939" s="63">
        <f t="shared" si="2"/>
        <v>1</v>
      </c>
    </row>
    <row r="940" ht="15.75" customHeight="1">
      <c r="B940" s="95"/>
      <c r="C940" s="97" t="s">
        <v>222</v>
      </c>
      <c r="D940" s="98" t="s">
        <v>91</v>
      </c>
      <c r="E940" s="99" t="s">
        <v>577</v>
      </c>
      <c r="F940" s="100" t="s">
        <v>24</v>
      </c>
      <c r="G940" s="95" t="s">
        <v>1089</v>
      </c>
      <c r="H940" s="63" t="str">
        <f>VLOOKUP(C940, 'Class Def. - General Data'!$C$20:$C$476,1,false)</f>
        <v>ZSI2_POSM_EVENT</v>
      </c>
      <c r="I940" s="63" t="str">
        <f t="shared" si="1"/>
        <v>ZSI2_POSM_EVENT1</v>
      </c>
      <c r="J940" s="63">
        <f t="shared" si="2"/>
        <v>1</v>
      </c>
    </row>
    <row r="941" ht="15.75" customHeight="1">
      <c r="B941" s="95"/>
      <c r="C941" s="97" t="s">
        <v>222</v>
      </c>
      <c r="D941" s="98" t="s">
        <v>91</v>
      </c>
      <c r="E941" s="99" t="s">
        <v>577</v>
      </c>
      <c r="F941" s="100">
        <v>2.0</v>
      </c>
      <c r="G941" s="95" t="s">
        <v>1090</v>
      </c>
      <c r="H941" s="63" t="str">
        <f>VLOOKUP(C941, 'Class Def. - General Data'!$C$20:$C$476,1,false)</f>
        <v>ZSI2_POSM_EVENT</v>
      </c>
      <c r="I941" s="63" t="str">
        <f t="shared" si="1"/>
        <v>ZSI2_POSM_EVENT2</v>
      </c>
      <c r="J941" s="63">
        <f t="shared" si="2"/>
        <v>1</v>
      </c>
    </row>
    <row r="942" ht="15.75" customHeight="1">
      <c r="B942" s="95"/>
      <c r="C942" s="97" t="s">
        <v>222</v>
      </c>
      <c r="D942" s="98" t="s">
        <v>91</v>
      </c>
      <c r="E942" s="99" t="s">
        <v>577</v>
      </c>
      <c r="F942" s="100">
        <v>3.0</v>
      </c>
      <c r="G942" s="95" t="s">
        <v>1091</v>
      </c>
      <c r="H942" s="63" t="str">
        <f>VLOOKUP(C942, 'Class Def. - General Data'!$C$20:$C$476,1,false)</f>
        <v>ZSI2_POSM_EVENT</v>
      </c>
      <c r="I942" s="63" t="str">
        <f t="shared" si="1"/>
        <v>ZSI2_POSM_EVENT3</v>
      </c>
      <c r="J942" s="63">
        <f t="shared" si="2"/>
        <v>1</v>
      </c>
    </row>
    <row r="943" ht="15.75" customHeight="1">
      <c r="B943" s="95"/>
      <c r="C943" s="97" t="s">
        <v>222</v>
      </c>
      <c r="D943" s="98" t="s">
        <v>91</v>
      </c>
      <c r="E943" s="99" t="s">
        <v>577</v>
      </c>
      <c r="F943" s="100">
        <v>4.0</v>
      </c>
      <c r="G943" s="95" t="s">
        <v>1092</v>
      </c>
      <c r="H943" s="63" t="str">
        <f>VLOOKUP(C943, 'Class Def. - General Data'!$C$20:$C$476,1,false)</f>
        <v>ZSI2_POSM_EVENT</v>
      </c>
      <c r="I943" s="63" t="str">
        <f t="shared" si="1"/>
        <v>ZSI2_POSM_EVENT4</v>
      </c>
      <c r="J943" s="63">
        <f t="shared" si="2"/>
        <v>1</v>
      </c>
    </row>
    <row r="944" ht="15.75" customHeight="1">
      <c r="B944" s="95"/>
      <c r="C944" s="97" t="s">
        <v>222</v>
      </c>
      <c r="D944" s="98" t="s">
        <v>91</v>
      </c>
      <c r="E944" s="99" t="s">
        <v>577</v>
      </c>
      <c r="F944" s="100">
        <v>5.0</v>
      </c>
      <c r="G944" s="95" t="s">
        <v>1093</v>
      </c>
      <c r="H944" s="63" t="str">
        <f>VLOOKUP(C944, 'Class Def. - General Data'!$C$20:$C$476,1,false)</f>
        <v>ZSI2_POSM_EVENT</v>
      </c>
      <c r="I944" s="63" t="str">
        <f t="shared" si="1"/>
        <v>ZSI2_POSM_EVENT5</v>
      </c>
      <c r="J944" s="63">
        <f t="shared" si="2"/>
        <v>1</v>
      </c>
    </row>
    <row r="945" ht="15.75" customHeight="1">
      <c r="B945" s="95"/>
      <c r="C945" s="97" t="s">
        <v>222</v>
      </c>
      <c r="D945" s="98" t="s">
        <v>91</v>
      </c>
      <c r="E945" s="99" t="s">
        <v>577</v>
      </c>
      <c r="F945" s="100">
        <v>6.0</v>
      </c>
      <c r="G945" s="95" t="s">
        <v>1094</v>
      </c>
      <c r="H945" s="63" t="str">
        <f>VLOOKUP(C945, 'Class Def. - General Data'!$C$20:$C$476,1,false)</f>
        <v>ZSI2_POSM_EVENT</v>
      </c>
      <c r="I945" s="63" t="str">
        <f t="shared" si="1"/>
        <v>ZSI2_POSM_EVENT6</v>
      </c>
      <c r="J945" s="63">
        <f t="shared" si="2"/>
        <v>1</v>
      </c>
    </row>
    <row r="946" ht="15.75" customHeight="1">
      <c r="B946" s="95"/>
      <c r="C946" s="97" t="s">
        <v>222</v>
      </c>
      <c r="D946" s="98" t="s">
        <v>91</v>
      </c>
      <c r="E946" s="99" t="s">
        <v>577</v>
      </c>
      <c r="F946" s="100">
        <v>7.0</v>
      </c>
      <c r="G946" s="95" t="s">
        <v>1095</v>
      </c>
      <c r="H946" s="63" t="str">
        <f>VLOOKUP(C946, 'Class Def. - General Data'!$C$20:$C$476,1,false)</f>
        <v>ZSI2_POSM_EVENT</v>
      </c>
      <c r="I946" s="63" t="str">
        <f t="shared" si="1"/>
        <v>ZSI2_POSM_EVENT7</v>
      </c>
      <c r="J946" s="63">
        <f t="shared" si="2"/>
        <v>1</v>
      </c>
    </row>
    <row r="947" ht="15.75" customHeight="1">
      <c r="B947" s="95"/>
      <c r="C947" s="97" t="s">
        <v>222</v>
      </c>
      <c r="D947" s="98" t="s">
        <v>91</v>
      </c>
      <c r="E947" s="99" t="s">
        <v>577</v>
      </c>
      <c r="F947" s="100">
        <v>8.0</v>
      </c>
      <c r="G947" s="95" t="s">
        <v>1096</v>
      </c>
      <c r="H947" s="63" t="str">
        <f>VLOOKUP(C947, 'Class Def. - General Data'!$C$20:$C$476,1,false)</f>
        <v>ZSI2_POSM_EVENT</v>
      </c>
      <c r="I947" s="63" t="str">
        <f t="shared" si="1"/>
        <v>ZSI2_POSM_EVENT8</v>
      </c>
      <c r="J947" s="63">
        <f t="shared" si="2"/>
        <v>1</v>
      </c>
    </row>
    <row r="948" ht="15.75" customHeight="1">
      <c r="B948" s="95"/>
      <c r="C948" s="97" t="s">
        <v>222</v>
      </c>
      <c r="D948" s="98" t="s">
        <v>91</v>
      </c>
      <c r="E948" s="99" t="s">
        <v>577</v>
      </c>
      <c r="F948" s="100">
        <v>9.0</v>
      </c>
      <c r="G948" s="95" t="s">
        <v>1097</v>
      </c>
      <c r="H948" s="63" t="str">
        <f>VLOOKUP(C948, 'Class Def. - General Data'!$C$20:$C$476,1,false)</f>
        <v>ZSI2_POSM_EVENT</v>
      </c>
      <c r="I948" s="63" t="str">
        <f t="shared" si="1"/>
        <v>ZSI2_POSM_EVENT9</v>
      </c>
      <c r="J948" s="63">
        <f t="shared" si="2"/>
        <v>1</v>
      </c>
    </row>
    <row r="949" ht="15.75" customHeight="1">
      <c r="B949" s="95"/>
      <c r="C949" s="97" t="s">
        <v>222</v>
      </c>
      <c r="D949" s="98" t="s">
        <v>91</v>
      </c>
      <c r="E949" s="99" t="s">
        <v>577</v>
      </c>
      <c r="F949" s="100">
        <v>10.0</v>
      </c>
      <c r="G949" s="95" t="s">
        <v>1098</v>
      </c>
      <c r="H949" s="63" t="str">
        <f>VLOOKUP(C949, 'Class Def. - General Data'!$C$20:$C$476,1,false)</f>
        <v>ZSI2_POSM_EVENT</v>
      </c>
      <c r="I949" s="63" t="str">
        <f t="shared" si="1"/>
        <v>ZSI2_POSM_EVENT10</v>
      </c>
      <c r="J949" s="63">
        <f t="shared" si="2"/>
        <v>1</v>
      </c>
    </row>
    <row r="950" ht="15.75" customHeight="1">
      <c r="B950" s="95"/>
      <c r="C950" s="97" t="s">
        <v>222</v>
      </c>
      <c r="D950" s="98" t="s">
        <v>91</v>
      </c>
      <c r="E950" s="99" t="s">
        <v>577</v>
      </c>
      <c r="F950" s="100">
        <v>11.0</v>
      </c>
      <c r="G950" s="95" t="s">
        <v>1099</v>
      </c>
      <c r="H950" s="63" t="str">
        <f>VLOOKUP(C950, 'Class Def. - General Data'!$C$20:$C$476,1,false)</f>
        <v>ZSI2_POSM_EVENT</v>
      </c>
      <c r="I950" s="63" t="str">
        <f t="shared" si="1"/>
        <v>ZSI2_POSM_EVENT11</v>
      </c>
      <c r="J950" s="63">
        <f t="shared" si="2"/>
        <v>1</v>
      </c>
    </row>
    <row r="951" ht="15.75" customHeight="1">
      <c r="B951" s="95"/>
      <c r="C951" s="97" t="s">
        <v>222</v>
      </c>
      <c r="D951" s="98" t="s">
        <v>91</v>
      </c>
      <c r="E951" s="99" t="s">
        <v>577</v>
      </c>
      <c r="F951" s="100">
        <v>12.0</v>
      </c>
      <c r="G951" s="95" t="s">
        <v>1100</v>
      </c>
      <c r="H951" s="63" t="str">
        <f>VLOOKUP(C951, 'Class Def. - General Data'!$C$20:$C$476,1,false)</f>
        <v>ZSI2_POSM_EVENT</v>
      </c>
      <c r="I951" s="63" t="str">
        <f t="shared" si="1"/>
        <v>ZSI2_POSM_EVENT12</v>
      </c>
      <c r="J951" s="63">
        <f t="shared" si="2"/>
        <v>1</v>
      </c>
    </row>
    <row r="952" ht="15.75" customHeight="1">
      <c r="B952" s="95"/>
      <c r="C952" s="97" t="s">
        <v>222</v>
      </c>
      <c r="D952" s="98" t="s">
        <v>91</v>
      </c>
      <c r="E952" s="99" t="s">
        <v>577</v>
      </c>
      <c r="F952" s="100">
        <v>13.0</v>
      </c>
      <c r="G952" s="95" t="s">
        <v>1101</v>
      </c>
      <c r="H952" s="63" t="str">
        <f>VLOOKUP(C952, 'Class Def. - General Data'!$C$20:$C$476,1,false)</f>
        <v>ZSI2_POSM_EVENT</v>
      </c>
      <c r="I952" s="63" t="str">
        <f t="shared" si="1"/>
        <v>ZSI2_POSM_EVENT13</v>
      </c>
      <c r="J952" s="63">
        <f t="shared" si="2"/>
        <v>1</v>
      </c>
    </row>
    <row r="953" ht="15.75" customHeight="1">
      <c r="B953" s="95"/>
      <c r="C953" s="97" t="s">
        <v>222</v>
      </c>
      <c r="D953" s="98" t="s">
        <v>91</v>
      </c>
      <c r="E953" s="99" t="s">
        <v>577</v>
      </c>
      <c r="F953" s="100">
        <v>14.0</v>
      </c>
      <c r="G953" s="95" t="s">
        <v>1102</v>
      </c>
      <c r="H953" s="63" t="str">
        <f>VLOOKUP(C953, 'Class Def. - General Data'!$C$20:$C$476,1,false)</f>
        <v>ZSI2_POSM_EVENT</v>
      </c>
      <c r="I953" s="63" t="str">
        <f t="shared" si="1"/>
        <v>ZSI2_POSM_EVENT14</v>
      </c>
      <c r="J953" s="63">
        <f t="shared" si="2"/>
        <v>1</v>
      </c>
    </row>
    <row r="954" ht="15.75" customHeight="1">
      <c r="B954" s="95"/>
      <c r="C954" s="97" t="s">
        <v>222</v>
      </c>
      <c r="D954" s="98" t="s">
        <v>91</v>
      </c>
      <c r="E954" s="99" t="s">
        <v>577</v>
      </c>
      <c r="F954" s="100">
        <v>15.0</v>
      </c>
      <c r="G954" s="95" t="s">
        <v>1103</v>
      </c>
      <c r="H954" s="63" t="str">
        <f>VLOOKUP(C954, 'Class Def. - General Data'!$C$20:$C$476,1,false)</f>
        <v>ZSI2_POSM_EVENT</v>
      </c>
      <c r="I954" s="63" t="str">
        <f t="shared" si="1"/>
        <v>ZSI2_POSM_EVENT15</v>
      </c>
      <c r="J954" s="63">
        <f t="shared" si="2"/>
        <v>1</v>
      </c>
    </row>
    <row r="955" ht="15.75" customHeight="1">
      <c r="B955" s="95"/>
      <c r="C955" s="97" t="s">
        <v>222</v>
      </c>
      <c r="D955" s="98" t="s">
        <v>91</v>
      </c>
      <c r="E955" s="99" t="s">
        <v>577</v>
      </c>
      <c r="F955" s="100">
        <v>16.0</v>
      </c>
      <c r="G955" s="95" t="s">
        <v>1104</v>
      </c>
      <c r="H955" s="63" t="str">
        <f>VLOOKUP(C955, 'Class Def. - General Data'!$C$20:$C$476,1,false)</f>
        <v>ZSI2_POSM_EVENT</v>
      </c>
      <c r="I955" s="63" t="str">
        <f t="shared" si="1"/>
        <v>ZSI2_POSM_EVENT16</v>
      </c>
      <c r="J955" s="63">
        <f t="shared" si="2"/>
        <v>1</v>
      </c>
    </row>
    <row r="956" ht="15.75" customHeight="1">
      <c r="B956" s="95"/>
      <c r="C956" s="97" t="s">
        <v>222</v>
      </c>
      <c r="D956" s="98" t="s">
        <v>91</v>
      </c>
      <c r="E956" s="99" t="s">
        <v>577</v>
      </c>
      <c r="F956" s="100">
        <v>17.0</v>
      </c>
      <c r="G956" s="95" t="s">
        <v>1105</v>
      </c>
      <c r="H956" s="63" t="str">
        <f>VLOOKUP(C956, 'Class Def. - General Data'!$C$20:$C$476,1,false)</f>
        <v>ZSI2_POSM_EVENT</v>
      </c>
      <c r="I956" s="63" t="str">
        <f t="shared" si="1"/>
        <v>ZSI2_POSM_EVENT17</v>
      </c>
      <c r="J956" s="63">
        <f t="shared" si="2"/>
        <v>1</v>
      </c>
    </row>
    <row r="957" ht="15.75" customHeight="1">
      <c r="B957" s="95"/>
      <c r="C957" s="97" t="s">
        <v>222</v>
      </c>
      <c r="D957" s="98" t="s">
        <v>91</v>
      </c>
      <c r="E957" s="99" t="s">
        <v>577</v>
      </c>
      <c r="F957" s="100">
        <v>18.0</v>
      </c>
      <c r="G957" s="95" t="s">
        <v>1106</v>
      </c>
      <c r="H957" s="63" t="str">
        <f>VLOOKUP(C957, 'Class Def. - General Data'!$C$20:$C$476,1,false)</f>
        <v>ZSI2_POSM_EVENT</v>
      </c>
      <c r="I957" s="63" t="str">
        <f t="shared" si="1"/>
        <v>ZSI2_POSM_EVENT18</v>
      </c>
      <c r="J957" s="63">
        <f t="shared" si="2"/>
        <v>1</v>
      </c>
    </row>
    <row r="958" ht="15.75" customHeight="1">
      <c r="B958" s="95"/>
      <c r="C958" s="97" t="s">
        <v>222</v>
      </c>
      <c r="D958" s="98" t="s">
        <v>91</v>
      </c>
      <c r="E958" s="99" t="s">
        <v>577</v>
      </c>
      <c r="F958" s="100">
        <v>19.0</v>
      </c>
      <c r="G958" s="95" t="s">
        <v>1107</v>
      </c>
      <c r="H958" s="63" t="str">
        <f>VLOOKUP(C958, 'Class Def. - General Data'!$C$20:$C$476,1,false)</f>
        <v>ZSI2_POSM_EVENT</v>
      </c>
      <c r="I958" s="63" t="str">
        <f t="shared" si="1"/>
        <v>ZSI2_POSM_EVENT19</v>
      </c>
      <c r="J958" s="63">
        <f t="shared" si="2"/>
        <v>1</v>
      </c>
    </row>
    <row r="959" ht="15.75" customHeight="1">
      <c r="B959" s="95"/>
      <c r="C959" s="97" t="s">
        <v>222</v>
      </c>
      <c r="D959" s="98" t="s">
        <v>91</v>
      </c>
      <c r="E959" s="99" t="s">
        <v>577</v>
      </c>
      <c r="F959" s="100">
        <v>20.0</v>
      </c>
      <c r="G959" s="95" t="s">
        <v>1108</v>
      </c>
      <c r="H959" s="63" t="str">
        <f>VLOOKUP(C959, 'Class Def. - General Data'!$C$20:$C$476,1,false)</f>
        <v>ZSI2_POSM_EVENT</v>
      </c>
      <c r="I959" s="63" t="str">
        <f t="shared" si="1"/>
        <v>ZSI2_POSM_EVENT20</v>
      </c>
      <c r="J959" s="63">
        <f t="shared" si="2"/>
        <v>1</v>
      </c>
    </row>
    <row r="960" ht="15.75" customHeight="1">
      <c r="B960" s="95"/>
      <c r="C960" s="97" t="s">
        <v>222</v>
      </c>
      <c r="D960" s="98" t="s">
        <v>91</v>
      </c>
      <c r="E960" s="99" t="s">
        <v>577</v>
      </c>
      <c r="F960" s="100">
        <v>21.0</v>
      </c>
      <c r="G960" s="95" t="s">
        <v>1109</v>
      </c>
      <c r="H960" s="63" t="str">
        <f>VLOOKUP(C960, 'Class Def. - General Data'!$C$20:$C$476,1,false)</f>
        <v>ZSI2_POSM_EVENT</v>
      </c>
      <c r="I960" s="63" t="str">
        <f t="shared" si="1"/>
        <v>ZSI2_POSM_EVENT21</v>
      </c>
      <c r="J960" s="63">
        <f t="shared" si="2"/>
        <v>1</v>
      </c>
    </row>
    <row r="961" ht="15.75" customHeight="1">
      <c r="B961" s="95"/>
      <c r="C961" s="97" t="s">
        <v>222</v>
      </c>
      <c r="D961" s="98" t="s">
        <v>91</v>
      </c>
      <c r="E961" s="99" t="s">
        <v>577</v>
      </c>
      <c r="F961" s="100">
        <v>22.0</v>
      </c>
      <c r="G961" s="95" t="s">
        <v>1110</v>
      </c>
      <c r="H961" s="63" t="str">
        <f>VLOOKUP(C961, 'Class Def. - General Data'!$C$20:$C$476,1,false)</f>
        <v>ZSI2_POSM_EVENT</v>
      </c>
      <c r="I961" s="63" t="str">
        <f t="shared" si="1"/>
        <v>ZSI2_POSM_EVENT22</v>
      </c>
      <c r="J961" s="63">
        <f t="shared" si="2"/>
        <v>1</v>
      </c>
    </row>
    <row r="962" ht="15.75" customHeight="1">
      <c r="B962" s="95"/>
      <c r="C962" s="101" t="s">
        <v>223</v>
      </c>
      <c r="D962" s="102" t="s">
        <v>91</v>
      </c>
      <c r="E962" s="101" t="s">
        <v>577</v>
      </c>
      <c r="F962" s="101">
        <f t="shared" ref="F962:F1365" si="3">if(C962=C961,F961+1,1)</f>
        <v>1</v>
      </c>
      <c r="G962" s="101" t="s">
        <v>1467</v>
      </c>
      <c r="H962" s="63" t="str">
        <f>VLOOKUP(C962, 'Class Def. - General Data'!$C$20:$C$476,1,false)</f>
        <v>ZRM1_NonFood_Mask</v>
      </c>
      <c r="I962" s="63" t="str">
        <f t="shared" si="1"/>
        <v>ZRM1_NonFood_Mask1</v>
      </c>
      <c r="J962" s="63">
        <f t="shared" si="2"/>
        <v>1</v>
      </c>
    </row>
    <row r="963" ht="15.75" customHeight="1">
      <c r="B963" s="95"/>
      <c r="C963" s="101" t="s">
        <v>223</v>
      </c>
      <c r="D963" s="102" t="s">
        <v>91</v>
      </c>
      <c r="E963" s="101" t="s">
        <v>577</v>
      </c>
      <c r="F963" s="101">
        <f t="shared" si="3"/>
        <v>2</v>
      </c>
      <c r="G963" s="101" t="s">
        <v>1468</v>
      </c>
      <c r="H963" s="63" t="str">
        <f>VLOOKUP(C963, 'Class Def. - General Data'!$C$20:$C$476,1,false)</f>
        <v>ZRM1_NonFood_Mask</v>
      </c>
      <c r="I963" s="63" t="str">
        <f t="shared" si="1"/>
        <v>ZRM1_NonFood_Mask2</v>
      </c>
      <c r="J963" s="63">
        <f t="shared" si="2"/>
        <v>1</v>
      </c>
    </row>
    <row r="964" ht="15.75" customHeight="1">
      <c r="B964" s="95"/>
      <c r="C964" s="101" t="s">
        <v>223</v>
      </c>
      <c r="D964" s="102" t="s">
        <v>91</v>
      </c>
      <c r="E964" s="101" t="s">
        <v>577</v>
      </c>
      <c r="F964" s="101">
        <f t="shared" si="3"/>
        <v>3</v>
      </c>
      <c r="G964" s="101" t="s">
        <v>1469</v>
      </c>
      <c r="H964" s="63" t="str">
        <f>VLOOKUP(C964, 'Class Def. - General Data'!$C$20:$C$476,1,false)</f>
        <v>ZRM1_NonFood_Mask</v>
      </c>
      <c r="I964" s="63" t="str">
        <f t="shared" si="1"/>
        <v>ZRM1_NonFood_Mask3</v>
      </c>
      <c r="J964" s="63">
        <f t="shared" si="2"/>
        <v>1</v>
      </c>
    </row>
    <row r="965" ht="15.75" customHeight="1">
      <c r="B965" s="95"/>
      <c r="C965" s="101" t="s">
        <v>223</v>
      </c>
      <c r="D965" s="102" t="s">
        <v>91</v>
      </c>
      <c r="E965" s="101" t="s">
        <v>577</v>
      </c>
      <c r="F965" s="101">
        <f t="shared" si="3"/>
        <v>4</v>
      </c>
      <c r="G965" s="101" t="s">
        <v>1470</v>
      </c>
      <c r="H965" s="63" t="str">
        <f>VLOOKUP(C965, 'Class Def. - General Data'!$C$20:$C$476,1,false)</f>
        <v>ZRM1_NonFood_Mask</v>
      </c>
      <c r="I965" s="63" t="str">
        <f t="shared" si="1"/>
        <v>ZRM1_NonFood_Mask4</v>
      </c>
      <c r="J965" s="63">
        <f t="shared" si="2"/>
        <v>1</v>
      </c>
    </row>
    <row r="966" ht="15.75" customHeight="1">
      <c r="B966" s="95"/>
      <c r="C966" s="101" t="s">
        <v>223</v>
      </c>
      <c r="D966" s="102" t="s">
        <v>91</v>
      </c>
      <c r="E966" s="101" t="s">
        <v>577</v>
      </c>
      <c r="F966" s="101">
        <f t="shared" si="3"/>
        <v>5</v>
      </c>
      <c r="G966" s="101" t="s">
        <v>1471</v>
      </c>
      <c r="H966" s="63" t="str">
        <f>VLOOKUP(C966, 'Class Def. - General Data'!$C$20:$C$476,1,false)</f>
        <v>ZRM1_NonFood_Mask</v>
      </c>
      <c r="I966" s="63" t="str">
        <f t="shared" si="1"/>
        <v>ZRM1_NonFood_Mask5</v>
      </c>
      <c r="J966" s="63">
        <f t="shared" si="2"/>
        <v>1</v>
      </c>
    </row>
    <row r="967" ht="15.75" customHeight="1">
      <c r="B967" s="95"/>
      <c r="C967" s="101" t="s">
        <v>223</v>
      </c>
      <c r="D967" s="102" t="s">
        <v>91</v>
      </c>
      <c r="E967" s="101" t="s">
        <v>577</v>
      </c>
      <c r="F967" s="101">
        <f t="shared" si="3"/>
        <v>6</v>
      </c>
      <c r="G967" s="101" t="s">
        <v>1472</v>
      </c>
      <c r="H967" s="63" t="str">
        <f>VLOOKUP(C967, 'Class Def. - General Data'!$C$20:$C$476,1,false)</f>
        <v>ZRM1_NonFood_Mask</v>
      </c>
      <c r="I967" s="63" t="str">
        <f t="shared" si="1"/>
        <v>ZRM1_NonFood_Mask6</v>
      </c>
      <c r="J967" s="63">
        <f t="shared" si="2"/>
        <v>1</v>
      </c>
    </row>
    <row r="968" ht="15.75" customHeight="1">
      <c r="B968" s="95"/>
      <c r="C968" s="101" t="s">
        <v>223</v>
      </c>
      <c r="D968" s="102" t="s">
        <v>91</v>
      </c>
      <c r="E968" s="101" t="s">
        <v>577</v>
      </c>
      <c r="F968" s="101">
        <f t="shared" si="3"/>
        <v>7</v>
      </c>
      <c r="G968" s="101" t="s">
        <v>1473</v>
      </c>
      <c r="H968" s="63" t="str">
        <f>VLOOKUP(C968, 'Class Def. - General Data'!$C$20:$C$476,1,false)</f>
        <v>ZRM1_NonFood_Mask</v>
      </c>
      <c r="I968" s="63" t="str">
        <f t="shared" si="1"/>
        <v>ZRM1_NonFood_Mask7</v>
      </c>
      <c r="J968" s="63">
        <f t="shared" si="2"/>
        <v>1</v>
      </c>
    </row>
    <row r="969" ht="15.75" customHeight="1">
      <c r="B969" s="95"/>
      <c r="C969" s="101" t="s">
        <v>223</v>
      </c>
      <c r="D969" s="102" t="s">
        <v>91</v>
      </c>
      <c r="E969" s="101" t="s">
        <v>577</v>
      </c>
      <c r="F969" s="101">
        <f t="shared" si="3"/>
        <v>8</v>
      </c>
      <c r="G969" s="101" t="s">
        <v>1474</v>
      </c>
      <c r="H969" s="63" t="str">
        <f>VLOOKUP(C969, 'Class Def. - General Data'!$C$20:$C$476,1,false)</f>
        <v>ZRM1_NonFood_Mask</v>
      </c>
      <c r="I969" s="63" t="str">
        <f t="shared" si="1"/>
        <v>ZRM1_NonFood_Mask8</v>
      </c>
      <c r="J969" s="63">
        <f t="shared" si="2"/>
        <v>1</v>
      </c>
    </row>
    <row r="970" ht="15.75" customHeight="1">
      <c r="B970" s="95"/>
      <c r="C970" s="101" t="s">
        <v>223</v>
      </c>
      <c r="D970" s="102" t="s">
        <v>91</v>
      </c>
      <c r="E970" s="101" t="s">
        <v>577</v>
      </c>
      <c r="F970" s="101">
        <f t="shared" si="3"/>
        <v>9</v>
      </c>
      <c r="G970" s="101" t="s">
        <v>1475</v>
      </c>
      <c r="H970" s="63" t="str">
        <f>VLOOKUP(C970, 'Class Def. - General Data'!$C$20:$C$476,1,false)</f>
        <v>ZRM1_NonFood_Mask</v>
      </c>
      <c r="I970" s="63" t="str">
        <f t="shared" si="1"/>
        <v>ZRM1_NonFood_Mask9</v>
      </c>
      <c r="J970" s="63">
        <f t="shared" si="2"/>
        <v>1</v>
      </c>
    </row>
    <row r="971" ht="15.75" customHeight="1">
      <c r="B971" s="95"/>
      <c r="C971" s="101" t="s">
        <v>223</v>
      </c>
      <c r="D971" s="102" t="s">
        <v>91</v>
      </c>
      <c r="E971" s="101" t="s">
        <v>577</v>
      </c>
      <c r="F971" s="101">
        <f t="shared" si="3"/>
        <v>10</v>
      </c>
      <c r="G971" s="101" t="s">
        <v>1476</v>
      </c>
      <c r="H971" s="63" t="str">
        <f>VLOOKUP(C971, 'Class Def. - General Data'!$C$20:$C$476,1,false)</f>
        <v>ZRM1_NonFood_Mask</v>
      </c>
      <c r="I971" s="63" t="str">
        <f t="shared" si="1"/>
        <v>ZRM1_NonFood_Mask10</v>
      </c>
      <c r="J971" s="63">
        <f t="shared" si="2"/>
        <v>1</v>
      </c>
    </row>
    <row r="972" ht="15.75" customHeight="1">
      <c r="B972" s="95"/>
      <c r="C972" s="101" t="s">
        <v>223</v>
      </c>
      <c r="D972" s="102" t="s">
        <v>91</v>
      </c>
      <c r="E972" s="101" t="s">
        <v>577</v>
      </c>
      <c r="F972" s="101">
        <f t="shared" si="3"/>
        <v>11</v>
      </c>
      <c r="G972" s="101" t="s">
        <v>1477</v>
      </c>
      <c r="H972" s="63" t="str">
        <f>VLOOKUP(C972, 'Class Def. - General Data'!$C$20:$C$476,1,false)</f>
        <v>ZRM1_NonFood_Mask</v>
      </c>
      <c r="I972" s="63" t="str">
        <f t="shared" si="1"/>
        <v>ZRM1_NonFood_Mask11</v>
      </c>
      <c r="J972" s="63">
        <f t="shared" si="2"/>
        <v>1</v>
      </c>
    </row>
    <row r="973" ht="15.75" customHeight="1">
      <c r="B973" s="95"/>
      <c r="C973" s="101" t="s">
        <v>223</v>
      </c>
      <c r="D973" s="102" t="s">
        <v>91</v>
      </c>
      <c r="E973" s="101" t="s">
        <v>577</v>
      </c>
      <c r="F973" s="101">
        <f t="shared" si="3"/>
        <v>12</v>
      </c>
      <c r="G973" s="101" t="s">
        <v>1478</v>
      </c>
      <c r="H973" s="63" t="str">
        <f>VLOOKUP(C973, 'Class Def. - General Data'!$C$20:$C$476,1,false)</f>
        <v>ZRM1_NonFood_Mask</v>
      </c>
      <c r="I973" s="63" t="str">
        <f t="shared" si="1"/>
        <v>ZRM1_NonFood_Mask12</v>
      </c>
      <c r="J973" s="63">
        <f t="shared" si="2"/>
        <v>1</v>
      </c>
    </row>
    <row r="974" ht="15.75" customHeight="1">
      <c r="B974" s="95"/>
      <c r="C974" s="101" t="s">
        <v>223</v>
      </c>
      <c r="D974" s="102" t="s">
        <v>91</v>
      </c>
      <c r="E974" s="101" t="s">
        <v>577</v>
      </c>
      <c r="F974" s="101">
        <f t="shared" si="3"/>
        <v>13</v>
      </c>
      <c r="G974" s="101" t="s">
        <v>1479</v>
      </c>
      <c r="H974" s="63" t="str">
        <f>VLOOKUP(C974, 'Class Def. - General Data'!$C$20:$C$476,1,false)</f>
        <v>ZRM1_NonFood_Mask</v>
      </c>
      <c r="I974" s="63" t="str">
        <f t="shared" si="1"/>
        <v>ZRM1_NonFood_Mask13</v>
      </c>
      <c r="J974" s="63">
        <f t="shared" si="2"/>
        <v>1</v>
      </c>
    </row>
    <row r="975" ht="15.75" customHeight="1">
      <c r="B975" s="95"/>
      <c r="C975" s="101" t="s">
        <v>223</v>
      </c>
      <c r="D975" s="102" t="s">
        <v>91</v>
      </c>
      <c r="E975" s="101" t="s">
        <v>577</v>
      </c>
      <c r="F975" s="101">
        <f t="shared" si="3"/>
        <v>14</v>
      </c>
      <c r="G975" s="101" t="s">
        <v>1480</v>
      </c>
      <c r="H975" s="63" t="str">
        <f>VLOOKUP(C975, 'Class Def. - General Data'!$C$20:$C$476,1,false)</f>
        <v>ZRM1_NonFood_Mask</v>
      </c>
      <c r="I975" s="63" t="str">
        <f t="shared" si="1"/>
        <v>ZRM1_NonFood_Mask14</v>
      </c>
      <c r="J975" s="63">
        <f t="shared" si="2"/>
        <v>1</v>
      </c>
    </row>
    <row r="976" ht="15.75" customHeight="1">
      <c r="B976" s="95"/>
      <c r="C976" s="101" t="s">
        <v>223</v>
      </c>
      <c r="D976" s="102" t="s">
        <v>91</v>
      </c>
      <c r="E976" s="101" t="s">
        <v>577</v>
      </c>
      <c r="F976" s="101">
        <f t="shared" si="3"/>
        <v>15</v>
      </c>
      <c r="G976" s="101" t="s">
        <v>1481</v>
      </c>
      <c r="H976" s="63" t="str">
        <f>VLOOKUP(C976, 'Class Def. - General Data'!$C$20:$C$476,1,false)</f>
        <v>ZRM1_NonFood_Mask</v>
      </c>
      <c r="I976" s="63" t="str">
        <f t="shared" si="1"/>
        <v>ZRM1_NonFood_Mask15</v>
      </c>
      <c r="J976" s="63">
        <f t="shared" si="2"/>
        <v>1</v>
      </c>
    </row>
    <row r="977" ht="15.75" customHeight="1">
      <c r="B977" s="95"/>
      <c r="C977" s="101" t="s">
        <v>223</v>
      </c>
      <c r="D977" s="102" t="s">
        <v>91</v>
      </c>
      <c r="E977" s="101" t="s">
        <v>577</v>
      </c>
      <c r="F977" s="101">
        <f t="shared" si="3"/>
        <v>16</v>
      </c>
      <c r="G977" s="101" t="s">
        <v>1482</v>
      </c>
      <c r="H977" s="63" t="str">
        <f>VLOOKUP(C977, 'Class Def. - General Data'!$C$20:$C$476,1,false)</f>
        <v>ZRM1_NonFood_Mask</v>
      </c>
      <c r="I977" s="63" t="str">
        <f t="shared" si="1"/>
        <v>ZRM1_NonFood_Mask16</v>
      </c>
      <c r="J977" s="63">
        <f t="shared" si="2"/>
        <v>1</v>
      </c>
    </row>
    <row r="978" ht="15.75" customHeight="1">
      <c r="B978" s="95"/>
      <c r="C978" s="101" t="s">
        <v>223</v>
      </c>
      <c r="D978" s="102" t="s">
        <v>91</v>
      </c>
      <c r="E978" s="101" t="s">
        <v>577</v>
      </c>
      <c r="F978" s="101">
        <f t="shared" si="3"/>
        <v>17</v>
      </c>
      <c r="G978" s="101" t="s">
        <v>1483</v>
      </c>
      <c r="H978" s="63" t="str">
        <f>VLOOKUP(C978, 'Class Def. - General Data'!$C$20:$C$476,1,false)</f>
        <v>ZRM1_NonFood_Mask</v>
      </c>
      <c r="I978" s="63" t="str">
        <f t="shared" si="1"/>
        <v>ZRM1_NonFood_Mask17</v>
      </c>
      <c r="J978" s="63">
        <f t="shared" si="2"/>
        <v>1</v>
      </c>
    </row>
    <row r="979" ht="15.75" customHeight="1">
      <c r="B979" s="95"/>
      <c r="C979" s="101" t="s">
        <v>223</v>
      </c>
      <c r="D979" s="102" t="s">
        <v>91</v>
      </c>
      <c r="E979" s="101" t="s">
        <v>577</v>
      </c>
      <c r="F979" s="101">
        <f t="shared" si="3"/>
        <v>18</v>
      </c>
      <c r="G979" s="101" t="s">
        <v>1484</v>
      </c>
      <c r="H979" s="63" t="str">
        <f>VLOOKUP(C979, 'Class Def. - General Data'!$C$20:$C$476,1,false)</f>
        <v>ZRM1_NonFood_Mask</v>
      </c>
      <c r="I979" s="63" t="str">
        <f t="shared" si="1"/>
        <v>ZRM1_NonFood_Mask18</v>
      </c>
      <c r="J979" s="63">
        <f t="shared" si="2"/>
        <v>1</v>
      </c>
    </row>
    <row r="980" ht="15.75" customHeight="1">
      <c r="B980" s="95"/>
      <c r="C980" s="101" t="s">
        <v>223</v>
      </c>
      <c r="D980" s="102" t="s">
        <v>91</v>
      </c>
      <c r="E980" s="101" t="s">
        <v>577</v>
      </c>
      <c r="F980" s="101">
        <f t="shared" si="3"/>
        <v>19</v>
      </c>
      <c r="G980" s="101" t="s">
        <v>1485</v>
      </c>
      <c r="H980" s="63" t="str">
        <f>VLOOKUP(C980, 'Class Def. - General Data'!$C$20:$C$476,1,false)</f>
        <v>ZRM1_NonFood_Mask</v>
      </c>
      <c r="I980" s="63" t="str">
        <f t="shared" si="1"/>
        <v>ZRM1_NonFood_Mask19</v>
      </c>
      <c r="J980" s="63">
        <f t="shared" si="2"/>
        <v>1</v>
      </c>
    </row>
    <row r="981" ht="15.75" customHeight="1">
      <c r="B981" s="95"/>
      <c r="C981" s="101" t="s">
        <v>223</v>
      </c>
      <c r="D981" s="102" t="s">
        <v>91</v>
      </c>
      <c r="E981" s="101" t="s">
        <v>577</v>
      </c>
      <c r="F981" s="101">
        <f t="shared" si="3"/>
        <v>20</v>
      </c>
      <c r="G981" s="101" t="s">
        <v>1486</v>
      </c>
      <c r="H981" s="63" t="str">
        <f>VLOOKUP(C981, 'Class Def. - General Data'!$C$20:$C$476,1,false)</f>
        <v>ZRM1_NonFood_Mask</v>
      </c>
      <c r="I981" s="63" t="str">
        <f t="shared" si="1"/>
        <v>ZRM1_NonFood_Mask20</v>
      </c>
      <c r="J981" s="63">
        <f t="shared" si="2"/>
        <v>1</v>
      </c>
    </row>
    <row r="982" ht="15.75" customHeight="1">
      <c r="B982" s="95"/>
      <c r="C982" s="101" t="s">
        <v>223</v>
      </c>
      <c r="D982" s="102" t="s">
        <v>91</v>
      </c>
      <c r="E982" s="101" t="s">
        <v>577</v>
      </c>
      <c r="F982" s="101">
        <f t="shared" si="3"/>
        <v>21</v>
      </c>
      <c r="G982" s="101" t="s">
        <v>1487</v>
      </c>
      <c r="H982" s="63" t="str">
        <f>VLOOKUP(C982, 'Class Def. - General Data'!$C$20:$C$476,1,false)</f>
        <v>ZRM1_NonFood_Mask</v>
      </c>
      <c r="I982" s="63" t="str">
        <f t="shared" si="1"/>
        <v>ZRM1_NonFood_Mask21</v>
      </c>
      <c r="J982" s="63">
        <f t="shared" si="2"/>
        <v>1</v>
      </c>
    </row>
    <row r="983" ht="15.75" customHeight="1">
      <c r="B983" s="95"/>
      <c r="C983" s="101" t="s">
        <v>223</v>
      </c>
      <c r="D983" s="102" t="s">
        <v>91</v>
      </c>
      <c r="E983" s="101" t="s">
        <v>577</v>
      </c>
      <c r="F983" s="101">
        <f t="shared" si="3"/>
        <v>22</v>
      </c>
      <c r="G983" s="101" t="s">
        <v>1488</v>
      </c>
      <c r="H983" s="63" t="str">
        <f>VLOOKUP(C983, 'Class Def. - General Data'!$C$20:$C$476,1,false)</f>
        <v>ZRM1_NonFood_Mask</v>
      </c>
      <c r="I983" s="63" t="str">
        <f t="shared" si="1"/>
        <v>ZRM1_NonFood_Mask22</v>
      </c>
      <c r="J983" s="63">
        <f t="shared" si="2"/>
        <v>1</v>
      </c>
    </row>
    <row r="984" ht="15.75" customHeight="1">
      <c r="B984" s="95"/>
      <c r="C984" s="101" t="s">
        <v>223</v>
      </c>
      <c r="D984" s="102" t="s">
        <v>91</v>
      </c>
      <c r="E984" s="101" t="s">
        <v>577</v>
      </c>
      <c r="F984" s="101">
        <f t="shared" si="3"/>
        <v>23</v>
      </c>
      <c r="G984" s="101" t="s">
        <v>1489</v>
      </c>
      <c r="H984" s="63" t="str">
        <f>VLOOKUP(C984, 'Class Def. - General Data'!$C$20:$C$476,1,false)</f>
        <v>ZRM1_NonFood_Mask</v>
      </c>
      <c r="I984" s="63" t="str">
        <f t="shared" si="1"/>
        <v>ZRM1_NonFood_Mask23</v>
      </c>
      <c r="J984" s="63">
        <f t="shared" si="2"/>
        <v>1</v>
      </c>
    </row>
    <row r="985" ht="15.75" customHeight="1">
      <c r="B985" s="95"/>
      <c r="C985" s="101" t="s">
        <v>223</v>
      </c>
      <c r="D985" s="102" t="s">
        <v>91</v>
      </c>
      <c r="E985" s="101" t="s">
        <v>577</v>
      </c>
      <c r="F985" s="101">
        <f t="shared" si="3"/>
        <v>24</v>
      </c>
      <c r="G985" s="101" t="s">
        <v>1490</v>
      </c>
      <c r="H985" s="63" t="str">
        <f>VLOOKUP(C985, 'Class Def. - General Data'!$C$20:$C$476,1,false)</f>
        <v>ZRM1_NonFood_Mask</v>
      </c>
      <c r="I985" s="63" t="str">
        <f t="shared" si="1"/>
        <v>ZRM1_NonFood_Mask24</v>
      </c>
      <c r="J985" s="63">
        <f t="shared" si="2"/>
        <v>1</v>
      </c>
    </row>
    <row r="986" ht="15.75" customHeight="1">
      <c r="B986" s="95"/>
      <c r="C986" s="101" t="s">
        <v>223</v>
      </c>
      <c r="D986" s="102" t="s">
        <v>91</v>
      </c>
      <c r="E986" s="101" t="s">
        <v>577</v>
      </c>
      <c r="F986" s="101">
        <f t="shared" si="3"/>
        <v>25</v>
      </c>
      <c r="G986" s="101" t="s">
        <v>1491</v>
      </c>
      <c r="H986" s="63" t="str">
        <f>VLOOKUP(C986, 'Class Def. - General Data'!$C$20:$C$476,1,false)</f>
        <v>ZRM1_NonFood_Mask</v>
      </c>
      <c r="I986" s="63" t="str">
        <f t="shared" si="1"/>
        <v>ZRM1_NonFood_Mask25</v>
      </c>
      <c r="J986" s="63">
        <f t="shared" si="2"/>
        <v>1</v>
      </c>
    </row>
    <row r="987" ht="15.75" customHeight="1">
      <c r="B987" s="95"/>
      <c r="C987" s="101" t="s">
        <v>223</v>
      </c>
      <c r="D987" s="102" t="s">
        <v>91</v>
      </c>
      <c r="E987" s="101" t="s">
        <v>577</v>
      </c>
      <c r="F987" s="101">
        <f t="shared" si="3"/>
        <v>26</v>
      </c>
      <c r="G987" s="101" t="s">
        <v>1492</v>
      </c>
      <c r="H987" s="63" t="str">
        <f>VLOOKUP(C987, 'Class Def. - General Data'!$C$20:$C$476,1,false)</f>
        <v>ZRM1_NonFood_Mask</v>
      </c>
      <c r="I987" s="63" t="str">
        <f t="shared" si="1"/>
        <v>ZRM1_NonFood_Mask26</v>
      </c>
      <c r="J987" s="63">
        <f t="shared" si="2"/>
        <v>1</v>
      </c>
    </row>
    <row r="988" ht="15.75" customHeight="1">
      <c r="B988" s="95"/>
      <c r="C988" s="101" t="s">
        <v>223</v>
      </c>
      <c r="D988" s="102" t="s">
        <v>91</v>
      </c>
      <c r="E988" s="101" t="s">
        <v>577</v>
      </c>
      <c r="F988" s="101">
        <f t="shared" si="3"/>
        <v>27</v>
      </c>
      <c r="G988" s="101" t="s">
        <v>1493</v>
      </c>
      <c r="H988" s="63" t="str">
        <f>VLOOKUP(C988, 'Class Def. - General Data'!$C$20:$C$476,1,false)</f>
        <v>ZRM1_NonFood_Mask</v>
      </c>
      <c r="I988" s="63" t="str">
        <f t="shared" si="1"/>
        <v>ZRM1_NonFood_Mask27</v>
      </c>
      <c r="J988" s="63">
        <f t="shared" si="2"/>
        <v>1</v>
      </c>
    </row>
    <row r="989" ht="15.75" customHeight="1">
      <c r="B989" s="95"/>
      <c r="C989" s="101" t="s">
        <v>223</v>
      </c>
      <c r="D989" s="102" t="s">
        <v>91</v>
      </c>
      <c r="E989" s="101" t="s">
        <v>577</v>
      </c>
      <c r="F989" s="101">
        <f t="shared" si="3"/>
        <v>28</v>
      </c>
      <c r="G989" s="101" t="s">
        <v>1494</v>
      </c>
      <c r="H989" s="63" t="str">
        <f>VLOOKUP(C989, 'Class Def. - General Data'!$C$20:$C$476,1,false)</f>
        <v>ZRM1_NonFood_Mask</v>
      </c>
      <c r="I989" s="63" t="str">
        <f t="shared" si="1"/>
        <v>ZRM1_NonFood_Mask28</v>
      </c>
      <c r="J989" s="63">
        <f t="shared" si="2"/>
        <v>1</v>
      </c>
    </row>
    <row r="990" ht="15.75" customHeight="1">
      <c r="B990" s="95"/>
      <c r="C990" s="101" t="s">
        <v>223</v>
      </c>
      <c r="D990" s="102" t="s">
        <v>91</v>
      </c>
      <c r="E990" s="101" t="s">
        <v>577</v>
      </c>
      <c r="F990" s="101">
        <f t="shared" si="3"/>
        <v>29</v>
      </c>
      <c r="G990" s="101" t="s">
        <v>1495</v>
      </c>
      <c r="H990" s="63" t="str">
        <f>VLOOKUP(C990, 'Class Def. - General Data'!$C$20:$C$476,1,false)</f>
        <v>ZRM1_NonFood_Mask</v>
      </c>
      <c r="I990" s="63" t="str">
        <f t="shared" si="1"/>
        <v>ZRM1_NonFood_Mask29</v>
      </c>
      <c r="J990" s="63">
        <f t="shared" si="2"/>
        <v>1</v>
      </c>
    </row>
    <row r="991" ht="15.75" customHeight="1">
      <c r="B991" s="95"/>
      <c r="C991" s="101" t="s">
        <v>223</v>
      </c>
      <c r="D991" s="102" t="s">
        <v>91</v>
      </c>
      <c r="E991" s="101" t="s">
        <v>577</v>
      </c>
      <c r="F991" s="101">
        <f t="shared" si="3"/>
        <v>30</v>
      </c>
      <c r="G991" s="101" t="s">
        <v>1496</v>
      </c>
      <c r="H991" s="63" t="str">
        <f>VLOOKUP(C991, 'Class Def. - General Data'!$C$20:$C$476,1,false)</f>
        <v>ZRM1_NonFood_Mask</v>
      </c>
      <c r="I991" s="63" t="str">
        <f t="shared" si="1"/>
        <v>ZRM1_NonFood_Mask30</v>
      </c>
      <c r="J991" s="63">
        <f t="shared" si="2"/>
        <v>1</v>
      </c>
    </row>
    <row r="992" ht="15.75" customHeight="1">
      <c r="B992" s="95"/>
      <c r="C992" s="101" t="s">
        <v>223</v>
      </c>
      <c r="D992" s="102" t="s">
        <v>91</v>
      </c>
      <c r="E992" s="101" t="s">
        <v>577</v>
      </c>
      <c r="F992" s="101">
        <f t="shared" si="3"/>
        <v>31</v>
      </c>
      <c r="G992" s="101" t="s">
        <v>1497</v>
      </c>
      <c r="H992" s="63" t="str">
        <f>VLOOKUP(C992, 'Class Def. - General Data'!$C$20:$C$476,1,false)</f>
        <v>ZRM1_NonFood_Mask</v>
      </c>
      <c r="I992" s="63" t="str">
        <f t="shared" si="1"/>
        <v>ZRM1_NonFood_Mask31</v>
      </c>
      <c r="J992" s="63">
        <f t="shared" si="2"/>
        <v>1</v>
      </c>
    </row>
    <row r="993" ht="15.75" customHeight="1">
      <c r="B993" s="95"/>
      <c r="C993" s="101" t="s">
        <v>223</v>
      </c>
      <c r="D993" s="102" t="s">
        <v>91</v>
      </c>
      <c r="E993" s="101" t="s">
        <v>577</v>
      </c>
      <c r="F993" s="101">
        <f t="shared" si="3"/>
        <v>32</v>
      </c>
      <c r="G993" s="101" t="s">
        <v>1498</v>
      </c>
      <c r="H993" s="63" t="str">
        <f>VLOOKUP(C993, 'Class Def. - General Data'!$C$20:$C$476,1,false)</f>
        <v>ZRM1_NonFood_Mask</v>
      </c>
      <c r="I993" s="63" t="str">
        <f t="shared" si="1"/>
        <v>ZRM1_NonFood_Mask32</v>
      </c>
      <c r="J993" s="63">
        <f t="shared" si="2"/>
        <v>1</v>
      </c>
    </row>
    <row r="994" ht="15.75" customHeight="1">
      <c r="B994" s="95"/>
      <c r="C994" s="101" t="s">
        <v>223</v>
      </c>
      <c r="D994" s="102" t="s">
        <v>91</v>
      </c>
      <c r="E994" s="101" t="s">
        <v>577</v>
      </c>
      <c r="F994" s="101">
        <f t="shared" si="3"/>
        <v>33</v>
      </c>
      <c r="G994" s="101" t="s">
        <v>1499</v>
      </c>
      <c r="H994" s="63" t="str">
        <f>VLOOKUP(C994, 'Class Def. - General Data'!$C$20:$C$476,1,false)</f>
        <v>ZRM1_NonFood_Mask</v>
      </c>
      <c r="I994" s="63" t="str">
        <f t="shared" si="1"/>
        <v>ZRM1_NonFood_Mask33</v>
      </c>
      <c r="J994" s="63">
        <f t="shared" si="2"/>
        <v>1</v>
      </c>
    </row>
    <row r="995" ht="15.75" customHeight="1">
      <c r="B995" s="95"/>
      <c r="C995" s="101" t="s">
        <v>223</v>
      </c>
      <c r="D995" s="102" t="s">
        <v>91</v>
      </c>
      <c r="E995" s="101" t="s">
        <v>577</v>
      </c>
      <c r="F995" s="101">
        <f t="shared" si="3"/>
        <v>34</v>
      </c>
      <c r="G995" s="101" t="s">
        <v>1500</v>
      </c>
      <c r="H995" s="63" t="str">
        <f>VLOOKUP(C995, 'Class Def. - General Data'!$C$20:$C$476,1,false)</f>
        <v>ZRM1_NonFood_Mask</v>
      </c>
      <c r="I995" s="63" t="str">
        <f t="shared" si="1"/>
        <v>ZRM1_NonFood_Mask34</v>
      </c>
      <c r="J995" s="63">
        <f t="shared" si="2"/>
        <v>1</v>
      </c>
    </row>
    <row r="996" ht="15.75" customHeight="1">
      <c r="B996" s="95"/>
      <c r="C996" s="101" t="s">
        <v>223</v>
      </c>
      <c r="D996" s="102" t="s">
        <v>91</v>
      </c>
      <c r="E996" s="101" t="s">
        <v>577</v>
      </c>
      <c r="F996" s="101">
        <f t="shared" si="3"/>
        <v>35</v>
      </c>
      <c r="G996" s="101" t="s">
        <v>1501</v>
      </c>
      <c r="H996" s="63" t="str">
        <f>VLOOKUP(C996, 'Class Def. - General Data'!$C$20:$C$476,1,false)</f>
        <v>ZRM1_NonFood_Mask</v>
      </c>
      <c r="I996" s="63" t="str">
        <f t="shared" si="1"/>
        <v>ZRM1_NonFood_Mask35</v>
      </c>
      <c r="J996" s="63">
        <f t="shared" si="2"/>
        <v>1</v>
      </c>
    </row>
    <row r="997" ht="15.75" customHeight="1">
      <c r="B997" s="95"/>
      <c r="C997" s="101" t="s">
        <v>223</v>
      </c>
      <c r="D997" s="102" t="s">
        <v>91</v>
      </c>
      <c r="E997" s="101" t="s">
        <v>577</v>
      </c>
      <c r="F997" s="101">
        <f t="shared" si="3"/>
        <v>36</v>
      </c>
      <c r="G997" s="101" t="s">
        <v>1502</v>
      </c>
      <c r="H997" s="63" t="str">
        <f>VLOOKUP(C997, 'Class Def. - General Data'!$C$20:$C$476,1,false)</f>
        <v>ZRM1_NonFood_Mask</v>
      </c>
      <c r="I997" s="63" t="str">
        <f t="shared" si="1"/>
        <v>ZRM1_NonFood_Mask36</v>
      </c>
      <c r="J997" s="63">
        <f t="shared" si="2"/>
        <v>1</v>
      </c>
    </row>
    <row r="998" ht="15.75" customHeight="1">
      <c r="B998" s="95"/>
      <c r="C998" s="101" t="s">
        <v>223</v>
      </c>
      <c r="D998" s="102" t="s">
        <v>91</v>
      </c>
      <c r="E998" s="101" t="s">
        <v>577</v>
      </c>
      <c r="F998" s="101">
        <f t="shared" si="3"/>
        <v>37</v>
      </c>
      <c r="G998" s="101" t="s">
        <v>1503</v>
      </c>
      <c r="H998" s="63" t="str">
        <f>VLOOKUP(C998, 'Class Def. - General Data'!$C$20:$C$476,1,false)</f>
        <v>ZRM1_NonFood_Mask</v>
      </c>
      <c r="I998" s="63" t="str">
        <f t="shared" si="1"/>
        <v>ZRM1_NonFood_Mask37</v>
      </c>
      <c r="J998" s="63">
        <f t="shared" si="2"/>
        <v>1</v>
      </c>
    </row>
    <row r="999" ht="15.75" customHeight="1">
      <c r="B999" s="95"/>
      <c r="C999" s="101" t="s">
        <v>223</v>
      </c>
      <c r="D999" s="102" t="s">
        <v>91</v>
      </c>
      <c r="E999" s="101" t="s">
        <v>577</v>
      </c>
      <c r="F999" s="101">
        <f t="shared" si="3"/>
        <v>38</v>
      </c>
      <c r="G999" s="101" t="s">
        <v>1504</v>
      </c>
      <c r="H999" s="63" t="str">
        <f>VLOOKUP(C999, 'Class Def. - General Data'!$C$20:$C$476,1,false)</f>
        <v>ZRM1_NonFood_Mask</v>
      </c>
      <c r="I999" s="63" t="str">
        <f t="shared" si="1"/>
        <v>ZRM1_NonFood_Mask38</v>
      </c>
      <c r="J999" s="63">
        <f t="shared" si="2"/>
        <v>1</v>
      </c>
    </row>
    <row r="1000" ht="15.75" customHeight="1">
      <c r="B1000" s="95"/>
      <c r="C1000" s="101" t="s">
        <v>223</v>
      </c>
      <c r="D1000" s="102" t="s">
        <v>91</v>
      </c>
      <c r="E1000" s="101" t="s">
        <v>577</v>
      </c>
      <c r="F1000" s="101">
        <f t="shared" si="3"/>
        <v>39</v>
      </c>
      <c r="G1000" s="101" t="s">
        <v>1505</v>
      </c>
      <c r="H1000" s="63" t="str">
        <f>VLOOKUP(C1000, 'Class Def. - General Data'!$C$20:$C$476,1,false)</f>
        <v>ZRM1_NonFood_Mask</v>
      </c>
      <c r="I1000" s="63" t="str">
        <f t="shared" si="1"/>
        <v>ZRM1_NonFood_Mask39</v>
      </c>
      <c r="J1000" s="63">
        <f t="shared" si="2"/>
        <v>1</v>
      </c>
    </row>
    <row r="1001" ht="15.75" customHeight="1">
      <c r="B1001" s="95"/>
      <c r="C1001" s="101" t="s">
        <v>223</v>
      </c>
      <c r="D1001" s="102" t="s">
        <v>91</v>
      </c>
      <c r="E1001" s="101" t="s">
        <v>577</v>
      </c>
      <c r="F1001" s="101">
        <f t="shared" si="3"/>
        <v>40</v>
      </c>
      <c r="G1001" s="101" t="s">
        <v>1506</v>
      </c>
      <c r="H1001" s="63" t="str">
        <f>VLOOKUP(C1001, 'Class Def. - General Data'!$C$20:$C$476,1,false)</f>
        <v>ZRM1_NonFood_Mask</v>
      </c>
      <c r="I1001" s="63" t="str">
        <f t="shared" si="1"/>
        <v>ZRM1_NonFood_Mask40</v>
      </c>
      <c r="J1001" s="63">
        <f t="shared" si="2"/>
        <v>1</v>
      </c>
    </row>
    <row r="1002" ht="15.75" customHeight="1">
      <c r="B1002" s="95"/>
      <c r="C1002" s="101" t="s">
        <v>223</v>
      </c>
      <c r="D1002" s="102" t="s">
        <v>91</v>
      </c>
      <c r="E1002" s="101" t="s">
        <v>577</v>
      </c>
      <c r="F1002" s="101">
        <f t="shared" si="3"/>
        <v>41</v>
      </c>
      <c r="G1002" s="101" t="s">
        <v>1507</v>
      </c>
      <c r="H1002" s="63" t="str">
        <f>VLOOKUP(C1002, 'Class Def. - General Data'!$C$20:$C$476,1,false)</f>
        <v>ZRM1_NonFood_Mask</v>
      </c>
      <c r="I1002" s="63" t="str">
        <f t="shared" si="1"/>
        <v>ZRM1_NonFood_Mask41</v>
      </c>
      <c r="J1002" s="63">
        <f t="shared" si="2"/>
        <v>1</v>
      </c>
    </row>
    <row r="1003" ht="15.75" customHeight="1">
      <c r="B1003" s="95"/>
      <c r="C1003" s="101" t="s">
        <v>223</v>
      </c>
      <c r="D1003" s="102" t="s">
        <v>91</v>
      </c>
      <c r="E1003" s="101" t="s">
        <v>577</v>
      </c>
      <c r="F1003" s="101">
        <f t="shared" si="3"/>
        <v>42</v>
      </c>
      <c r="G1003" s="101" t="s">
        <v>1508</v>
      </c>
      <c r="H1003" s="63" t="str">
        <f>VLOOKUP(C1003, 'Class Def. - General Data'!$C$20:$C$476,1,false)</f>
        <v>ZRM1_NonFood_Mask</v>
      </c>
      <c r="I1003" s="63" t="str">
        <f t="shared" si="1"/>
        <v>ZRM1_NonFood_Mask42</v>
      </c>
      <c r="J1003" s="63">
        <f t="shared" si="2"/>
        <v>1</v>
      </c>
    </row>
    <row r="1004" ht="15.75" customHeight="1">
      <c r="B1004" s="95"/>
      <c r="C1004" s="101" t="s">
        <v>223</v>
      </c>
      <c r="D1004" s="102" t="s">
        <v>91</v>
      </c>
      <c r="E1004" s="101" t="s">
        <v>577</v>
      </c>
      <c r="F1004" s="101">
        <f t="shared" si="3"/>
        <v>43</v>
      </c>
      <c r="G1004" s="101" t="s">
        <v>1509</v>
      </c>
      <c r="H1004" s="63" t="str">
        <f>VLOOKUP(C1004, 'Class Def. - General Data'!$C$20:$C$476,1,false)</f>
        <v>ZRM1_NonFood_Mask</v>
      </c>
      <c r="I1004" s="63" t="str">
        <f t="shared" si="1"/>
        <v>ZRM1_NonFood_Mask43</v>
      </c>
      <c r="J1004" s="63">
        <f t="shared" si="2"/>
        <v>1</v>
      </c>
    </row>
    <row r="1005" ht="15.75" customHeight="1">
      <c r="B1005" s="95"/>
      <c r="C1005" s="101" t="s">
        <v>223</v>
      </c>
      <c r="D1005" s="102" t="s">
        <v>91</v>
      </c>
      <c r="E1005" s="101" t="s">
        <v>577</v>
      </c>
      <c r="F1005" s="101">
        <f t="shared" si="3"/>
        <v>44</v>
      </c>
      <c r="G1005" s="101" t="s">
        <v>1510</v>
      </c>
      <c r="H1005" s="63" t="str">
        <f>VLOOKUP(C1005, 'Class Def. - General Data'!$C$20:$C$476,1,false)</f>
        <v>ZRM1_NonFood_Mask</v>
      </c>
      <c r="I1005" s="63" t="str">
        <f t="shared" si="1"/>
        <v>ZRM1_NonFood_Mask44</v>
      </c>
      <c r="J1005" s="63">
        <f t="shared" si="2"/>
        <v>1</v>
      </c>
    </row>
    <row r="1006" ht="15.75" customHeight="1">
      <c r="B1006" s="95"/>
      <c r="C1006" s="101" t="s">
        <v>223</v>
      </c>
      <c r="D1006" s="102" t="s">
        <v>91</v>
      </c>
      <c r="E1006" s="101" t="s">
        <v>577</v>
      </c>
      <c r="F1006" s="101">
        <f t="shared" si="3"/>
        <v>45</v>
      </c>
      <c r="G1006" s="101" t="s">
        <v>1511</v>
      </c>
      <c r="H1006" s="63" t="str">
        <f>VLOOKUP(C1006, 'Class Def. - General Data'!$C$20:$C$476,1,false)</f>
        <v>ZRM1_NonFood_Mask</v>
      </c>
      <c r="I1006" s="63" t="str">
        <f t="shared" si="1"/>
        <v>ZRM1_NonFood_Mask45</v>
      </c>
      <c r="J1006" s="63">
        <f t="shared" si="2"/>
        <v>1</v>
      </c>
    </row>
    <row r="1007" ht="15.75" customHeight="1">
      <c r="B1007" s="95"/>
      <c r="C1007" s="101" t="s">
        <v>223</v>
      </c>
      <c r="D1007" s="102" t="s">
        <v>91</v>
      </c>
      <c r="E1007" s="101" t="s">
        <v>577</v>
      </c>
      <c r="F1007" s="101">
        <f t="shared" si="3"/>
        <v>46</v>
      </c>
      <c r="G1007" s="101" t="s">
        <v>1512</v>
      </c>
      <c r="H1007" s="63" t="str">
        <f>VLOOKUP(C1007, 'Class Def. - General Data'!$C$20:$C$476,1,false)</f>
        <v>ZRM1_NonFood_Mask</v>
      </c>
      <c r="I1007" s="63" t="str">
        <f t="shared" si="1"/>
        <v>ZRM1_NonFood_Mask46</v>
      </c>
      <c r="J1007" s="63">
        <f t="shared" si="2"/>
        <v>1</v>
      </c>
    </row>
    <row r="1008" ht="15.75" customHeight="1">
      <c r="B1008" s="95"/>
      <c r="C1008" s="101" t="s">
        <v>223</v>
      </c>
      <c r="D1008" s="102" t="s">
        <v>91</v>
      </c>
      <c r="E1008" s="101" t="s">
        <v>577</v>
      </c>
      <c r="F1008" s="101">
        <f t="shared" si="3"/>
        <v>47</v>
      </c>
      <c r="G1008" s="101" t="s">
        <v>1513</v>
      </c>
      <c r="H1008" s="63" t="str">
        <f>VLOOKUP(C1008, 'Class Def. - General Data'!$C$20:$C$476,1,false)</f>
        <v>ZRM1_NonFood_Mask</v>
      </c>
      <c r="I1008" s="63" t="str">
        <f t="shared" si="1"/>
        <v>ZRM1_NonFood_Mask47</v>
      </c>
      <c r="J1008" s="63">
        <f t="shared" si="2"/>
        <v>1</v>
      </c>
    </row>
    <row r="1009" ht="15.75" customHeight="1">
      <c r="B1009" s="95"/>
      <c r="C1009" s="101" t="s">
        <v>223</v>
      </c>
      <c r="D1009" s="102" t="s">
        <v>91</v>
      </c>
      <c r="E1009" s="101" t="s">
        <v>577</v>
      </c>
      <c r="F1009" s="101">
        <f t="shared" si="3"/>
        <v>48</v>
      </c>
      <c r="G1009" s="101" t="s">
        <v>1514</v>
      </c>
      <c r="H1009" s="63" t="str">
        <f>VLOOKUP(C1009, 'Class Def. - General Data'!$C$20:$C$476,1,false)</f>
        <v>ZRM1_NonFood_Mask</v>
      </c>
      <c r="I1009" s="63" t="str">
        <f t="shared" si="1"/>
        <v>ZRM1_NonFood_Mask48</v>
      </c>
      <c r="J1009" s="63">
        <f t="shared" si="2"/>
        <v>1</v>
      </c>
    </row>
    <row r="1010" ht="15.75" customHeight="1">
      <c r="B1010" s="95"/>
      <c r="C1010" s="101" t="s">
        <v>223</v>
      </c>
      <c r="D1010" s="102" t="s">
        <v>91</v>
      </c>
      <c r="E1010" s="101" t="s">
        <v>577</v>
      </c>
      <c r="F1010" s="101">
        <f t="shared" si="3"/>
        <v>49</v>
      </c>
      <c r="G1010" s="101" t="s">
        <v>1515</v>
      </c>
      <c r="H1010" s="63" t="str">
        <f>VLOOKUP(C1010, 'Class Def. - General Data'!$C$20:$C$476,1,false)</f>
        <v>ZRM1_NonFood_Mask</v>
      </c>
      <c r="I1010" s="63" t="str">
        <f t="shared" si="1"/>
        <v>ZRM1_NonFood_Mask49</v>
      </c>
      <c r="J1010" s="63">
        <f t="shared" si="2"/>
        <v>1</v>
      </c>
    </row>
    <row r="1011" ht="15.75" customHeight="1">
      <c r="B1011" s="95"/>
      <c r="C1011" s="101" t="s">
        <v>223</v>
      </c>
      <c r="D1011" s="102" t="s">
        <v>91</v>
      </c>
      <c r="E1011" s="101" t="s">
        <v>577</v>
      </c>
      <c r="F1011" s="101">
        <f t="shared" si="3"/>
        <v>50</v>
      </c>
      <c r="G1011" s="101" t="s">
        <v>1516</v>
      </c>
      <c r="H1011" s="63" t="str">
        <f>VLOOKUP(C1011, 'Class Def. - General Data'!$C$20:$C$476,1,false)</f>
        <v>ZRM1_NonFood_Mask</v>
      </c>
      <c r="I1011" s="63" t="str">
        <f t="shared" si="1"/>
        <v>ZRM1_NonFood_Mask50</v>
      </c>
      <c r="J1011" s="63">
        <f t="shared" si="2"/>
        <v>1</v>
      </c>
    </row>
    <row r="1012" ht="15.75" customHeight="1">
      <c r="B1012" s="95"/>
      <c r="C1012" s="101" t="s">
        <v>223</v>
      </c>
      <c r="D1012" s="102" t="s">
        <v>91</v>
      </c>
      <c r="E1012" s="101" t="s">
        <v>577</v>
      </c>
      <c r="F1012" s="101">
        <f t="shared" si="3"/>
        <v>51</v>
      </c>
      <c r="G1012" s="101" t="s">
        <v>1517</v>
      </c>
      <c r="H1012" s="63" t="str">
        <f>VLOOKUP(C1012, 'Class Def. - General Data'!$C$20:$C$476,1,false)</f>
        <v>ZRM1_NonFood_Mask</v>
      </c>
      <c r="I1012" s="63" t="str">
        <f t="shared" si="1"/>
        <v>ZRM1_NonFood_Mask51</v>
      </c>
      <c r="J1012" s="63">
        <f t="shared" si="2"/>
        <v>1</v>
      </c>
    </row>
    <row r="1013" ht="15.75" customHeight="1">
      <c r="B1013" s="95"/>
      <c r="C1013" s="101" t="s">
        <v>223</v>
      </c>
      <c r="D1013" s="102" t="s">
        <v>91</v>
      </c>
      <c r="E1013" s="101" t="s">
        <v>577</v>
      </c>
      <c r="F1013" s="101">
        <f t="shared" si="3"/>
        <v>52</v>
      </c>
      <c r="G1013" s="101" t="s">
        <v>1518</v>
      </c>
      <c r="H1013" s="63" t="str">
        <f>VLOOKUP(C1013, 'Class Def. - General Data'!$C$20:$C$476,1,false)</f>
        <v>ZRM1_NonFood_Mask</v>
      </c>
      <c r="I1013" s="63" t="str">
        <f t="shared" si="1"/>
        <v>ZRM1_NonFood_Mask52</v>
      </c>
      <c r="J1013" s="63">
        <f t="shared" si="2"/>
        <v>1</v>
      </c>
    </row>
    <row r="1014" ht="15.75" customHeight="1">
      <c r="B1014" s="95"/>
      <c r="C1014" s="101" t="s">
        <v>223</v>
      </c>
      <c r="D1014" s="102" t="s">
        <v>91</v>
      </c>
      <c r="E1014" s="101" t="s">
        <v>577</v>
      </c>
      <c r="F1014" s="101">
        <f t="shared" si="3"/>
        <v>53</v>
      </c>
      <c r="G1014" s="101" t="s">
        <v>1519</v>
      </c>
      <c r="H1014" s="63" t="str">
        <f>VLOOKUP(C1014, 'Class Def. - General Data'!$C$20:$C$476,1,false)</f>
        <v>ZRM1_NonFood_Mask</v>
      </c>
      <c r="I1014" s="63" t="str">
        <f t="shared" si="1"/>
        <v>ZRM1_NonFood_Mask53</v>
      </c>
      <c r="J1014" s="63">
        <f t="shared" si="2"/>
        <v>1</v>
      </c>
    </row>
    <row r="1015" ht="15.75" customHeight="1">
      <c r="B1015" s="95"/>
      <c r="C1015" s="101" t="s">
        <v>223</v>
      </c>
      <c r="D1015" s="102" t="s">
        <v>91</v>
      </c>
      <c r="E1015" s="101" t="s">
        <v>577</v>
      </c>
      <c r="F1015" s="101">
        <f t="shared" si="3"/>
        <v>54</v>
      </c>
      <c r="G1015" s="101" t="s">
        <v>1520</v>
      </c>
      <c r="H1015" s="63" t="str">
        <f>VLOOKUP(C1015, 'Class Def. - General Data'!$C$20:$C$476,1,false)</f>
        <v>ZRM1_NonFood_Mask</v>
      </c>
      <c r="I1015" s="63" t="str">
        <f t="shared" si="1"/>
        <v>ZRM1_NonFood_Mask54</v>
      </c>
      <c r="J1015" s="63">
        <f t="shared" si="2"/>
        <v>1</v>
      </c>
    </row>
    <row r="1016" ht="15.75" customHeight="1">
      <c r="B1016" s="95"/>
      <c r="C1016" s="101" t="s">
        <v>223</v>
      </c>
      <c r="D1016" s="102" t="s">
        <v>91</v>
      </c>
      <c r="E1016" s="101" t="s">
        <v>577</v>
      </c>
      <c r="F1016" s="101">
        <f t="shared" si="3"/>
        <v>55</v>
      </c>
      <c r="G1016" s="101" t="s">
        <v>1521</v>
      </c>
      <c r="H1016" s="63" t="str">
        <f>VLOOKUP(C1016, 'Class Def. - General Data'!$C$20:$C$476,1,false)</f>
        <v>ZRM1_NonFood_Mask</v>
      </c>
      <c r="I1016" s="63" t="str">
        <f t="shared" si="1"/>
        <v>ZRM1_NonFood_Mask55</v>
      </c>
      <c r="J1016" s="63">
        <f t="shared" si="2"/>
        <v>1</v>
      </c>
    </row>
    <row r="1017" ht="15.75" customHeight="1">
      <c r="B1017" s="95"/>
      <c r="C1017" s="101" t="s">
        <v>223</v>
      </c>
      <c r="D1017" s="102" t="s">
        <v>91</v>
      </c>
      <c r="E1017" s="101" t="s">
        <v>577</v>
      </c>
      <c r="F1017" s="101">
        <f t="shared" si="3"/>
        <v>56</v>
      </c>
      <c r="G1017" s="101" t="s">
        <v>1522</v>
      </c>
      <c r="H1017" s="63" t="str">
        <f>VLOOKUP(C1017, 'Class Def. - General Data'!$C$20:$C$476,1,false)</f>
        <v>ZRM1_NonFood_Mask</v>
      </c>
      <c r="I1017" s="63" t="str">
        <f t="shared" si="1"/>
        <v>ZRM1_NonFood_Mask56</v>
      </c>
      <c r="J1017" s="63">
        <f t="shared" si="2"/>
        <v>1</v>
      </c>
    </row>
    <row r="1018" ht="15.75" customHeight="1">
      <c r="B1018" s="95"/>
      <c r="C1018" s="101" t="s">
        <v>223</v>
      </c>
      <c r="D1018" s="102" t="s">
        <v>91</v>
      </c>
      <c r="E1018" s="101" t="s">
        <v>577</v>
      </c>
      <c r="F1018" s="101">
        <f t="shared" si="3"/>
        <v>57</v>
      </c>
      <c r="G1018" s="101" t="s">
        <v>1523</v>
      </c>
      <c r="H1018" s="63" t="str">
        <f>VLOOKUP(C1018, 'Class Def. - General Data'!$C$20:$C$476,1,false)</f>
        <v>ZRM1_NonFood_Mask</v>
      </c>
      <c r="I1018" s="63" t="str">
        <f t="shared" si="1"/>
        <v>ZRM1_NonFood_Mask57</v>
      </c>
      <c r="J1018" s="63">
        <f t="shared" si="2"/>
        <v>1</v>
      </c>
    </row>
    <row r="1019" ht="15.75" customHeight="1">
      <c r="B1019" s="95"/>
      <c r="C1019" s="101" t="s">
        <v>223</v>
      </c>
      <c r="D1019" s="102" t="s">
        <v>91</v>
      </c>
      <c r="E1019" s="101" t="s">
        <v>577</v>
      </c>
      <c r="F1019" s="101">
        <f t="shared" si="3"/>
        <v>58</v>
      </c>
      <c r="G1019" s="101" t="s">
        <v>1524</v>
      </c>
      <c r="H1019" s="63" t="str">
        <f>VLOOKUP(C1019, 'Class Def. - General Data'!$C$20:$C$476,1,false)</f>
        <v>ZRM1_NonFood_Mask</v>
      </c>
      <c r="I1019" s="63" t="str">
        <f t="shared" si="1"/>
        <v>ZRM1_NonFood_Mask58</v>
      </c>
      <c r="J1019" s="63">
        <f t="shared" si="2"/>
        <v>1</v>
      </c>
    </row>
    <row r="1020" ht="15.75" customHeight="1">
      <c r="B1020" s="95"/>
      <c r="C1020" s="101" t="s">
        <v>223</v>
      </c>
      <c r="D1020" s="102" t="s">
        <v>91</v>
      </c>
      <c r="E1020" s="101" t="s">
        <v>577</v>
      </c>
      <c r="F1020" s="101">
        <f t="shared" si="3"/>
        <v>59</v>
      </c>
      <c r="G1020" s="101" t="s">
        <v>1525</v>
      </c>
      <c r="H1020" s="63" t="str">
        <f>VLOOKUP(C1020, 'Class Def. - General Data'!$C$20:$C$476,1,false)</f>
        <v>ZRM1_NonFood_Mask</v>
      </c>
      <c r="I1020" s="63" t="str">
        <f t="shared" si="1"/>
        <v>ZRM1_NonFood_Mask59</v>
      </c>
      <c r="J1020" s="63">
        <f t="shared" si="2"/>
        <v>1</v>
      </c>
    </row>
    <row r="1021" ht="15.75" customHeight="1">
      <c r="B1021" s="95"/>
      <c r="C1021" s="101" t="s">
        <v>223</v>
      </c>
      <c r="D1021" s="102" t="s">
        <v>91</v>
      </c>
      <c r="E1021" s="101" t="s">
        <v>577</v>
      </c>
      <c r="F1021" s="101">
        <f t="shared" si="3"/>
        <v>60</v>
      </c>
      <c r="G1021" s="101" t="s">
        <v>1526</v>
      </c>
      <c r="H1021" s="63" t="str">
        <f>VLOOKUP(C1021, 'Class Def. - General Data'!$C$20:$C$476,1,false)</f>
        <v>ZRM1_NonFood_Mask</v>
      </c>
      <c r="I1021" s="63" t="str">
        <f t="shared" si="1"/>
        <v>ZRM1_NonFood_Mask60</v>
      </c>
      <c r="J1021" s="63">
        <f t="shared" si="2"/>
        <v>1</v>
      </c>
    </row>
    <row r="1022" ht="15.75" customHeight="1">
      <c r="B1022" s="95"/>
      <c r="C1022" s="101" t="s">
        <v>223</v>
      </c>
      <c r="D1022" s="102" t="s">
        <v>91</v>
      </c>
      <c r="E1022" s="101" t="s">
        <v>577</v>
      </c>
      <c r="F1022" s="101">
        <f t="shared" si="3"/>
        <v>61</v>
      </c>
      <c r="G1022" s="101" t="s">
        <v>1527</v>
      </c>
      <c r="H1022" s="63" t="str">
        <f>VLOOKUP(C1022, 'Class Def. - General Data'!$C$20:$C$476,1,false)</f>
        <v>ZRM1_NonFood_Mask</v>
      </c>
      <c r="I1022" s="63" t="str">
        <f t="shared" si="1"/>
        <v>ZRM1_NonFood_Mask61</v>
      </c>
      <c r="J1022" s="63">
        <f t="shared" si="2"/>
        <v>1</v>
      </c>
    </row>
    <row r="1023" ht="15.75" customHeight="1">
      <c r="B1023" s="95"/>
      <c r="C1023" s="101" t="s">
        <v>223</v>
      </c>
      <c r="D1023" s="102" t="s">
        <v>91</v>
      </c>
      <c r="E1023" s="101" t="s">
        <v>577</v>
      </c>
      <c r="F1023" s="101">
        <f t="shared" si="3"/>
        <v>62</v>
      </c>
      <c r="G1023" s="101" t="s">
        <v>1528</v>
      </c>
      <c r="H1023" s="63" t="str">
        <f>VLOOKUP(C1023, 'Class Def. - General Data'!$C$20:$C$476,1,false)</f>
        <v>ZRM1_NonFood_Mask</v>
      </c>
      <c r="I1023" s="63" t="str">
        <f t="shared" si="1"/>
        <v>ZRM1_NonFood_Mask62</v>
      </c>
      <c r="J1023" s="63">
        <f t="shared" si="2"/>
        <v>1</v>
      </c>
    </row>
    <row r="1024" ht="15.75" customHeight="1">
      <c r="B1024" s="95"/>
      <c r="C1024" s="101" t="s">
        <v>223</v>
      </c>
      <c r="D1024" s="102" t="s">
        <v>91</v>
      </c>
      <c r="E1024" s="101" t="s">
        <v>577</v>
      </c>
      <c r="F1024" s="101">
        <f t="shared" si="3"/>
        <v>63</v>
      </c>
      <c r="G1024" s="101" t="s">
        <v>1529</v>
      </c>
      <c r="H1024" s="63" t="str">
        <f>VLOOKUP(C1024, 'Class Def. - General Data'!$C$20:$C$476,1,false)</f>
        <v>ZRM1_NonFood_Mask</v>
      </c>
      <c r="I1024" s="63" t="str">
        <f t="shared" si="1"/>
        <v>ZRM1_NonFood_Mask63</v>
      </c>
      <c r="J1024" s="63">
        <f t="shared" si="2"/>
        <v>1</v>
      </c>
    </row>
    <row r="1025" ht="15.75" customHeight="1">
      <c r="B1025" s="95"/>
      <c r="C1025" s="101" t="s">
        <v>223</v>
      </c>
      <c r="D1025" s="102" t="s">
        <v>91</v>
      </c>
      <c r="E1025" s="101" t="s">
        <v>577</v>
      </c>
      <c r="F1025" s="101">
        <f t="shared" si="3"/>
        <v>64</v>
      </c>
      <c r="G1025" s="101" t="s">
        <v>1530</v>
      </c>
      <c r="H1025" s="63" t="str">
        <f>VLOOKUP(C1025, 'Class Def. - General Data'!$C$20:$C$476,1,false)</f>
        <v>ZRM1_NonFood_Mask</v>
      </c>
      <c r="I1025" s="63" t="str">
        <f t="shared" si="1"/>
        <v>ZRM1_NonFood_Mask64</v>
      </c>
      <c r="J1025" s="63">
        <f t="shared" si="2"/>
        <v>1</v>
      </c>
    </row>
    <row r="1026" ht="15.75" customHeight="1">
      <c r="B1026" s="95"/>
      <c r="C1026" s="101" t="s">
        <v>223</v>
      </c>
      <c r="D1026" s="102" t="s">
        <v>91</v>
      </c>
      <c r="E1026" s="101" t="s">
        <v>577</v>
      </c>
      <c r="F1026" s="101">
        <f t="shared" si="3"/>
        <v>65</v>
      </c>
      <c r="G1026" s="101" t="s">
        <v>1531</v>
      </c>
      <c r="H1026" s="63" t="str">
        <f>VLOOKUP(C1026, 'Class Def. - General Data'!$C$20:$C$476,1,false)</f>
        <v>ZRM1_NonFood_Mask</v>
      </c>
      <c r="I1026" s="63" t="str">
        <f t="shared" si="1"/>
        <v>ZRM1_NonFood_Mask65</v>
      </c>
      <c r="J1026" s="63">
        <f t="shared" si="2"/>
        <v>1</v>
      </c>
    </row>
    <row r="1027" ht="15.75" customHeight="1">
      <c r="B1027" s="95"/>
      <c r="C1027" s="101" t="s">
        <v>223</v>
      </c>
      <c r="D1027" s="102" t="s">
        <v>91</v>
      </c>
      <c r="E1027" s="101" t="s">
        <v>577</v>
      </c>
      <c r="F1027" s="101">
        <f t="shared" si="3"/>
        <v>66</v>
      </c>
      <c r="G1027" s="101" t="s">
        <v>1532</v>
      </c>
      <c r="H1027" s="63" t="str">
        <f>VLOOKUP(C1027, 'Class Def. - General Data'!$C$20:$C$476,1,false)</f>
        <v>ZRM1_NonFood_Mask</v>
      </c>
      <c r="I1027" s="63" t="str">
        <f t="shared" si="1"/>
        <v>ZRM1_NonFood_Mask66</v>
      </c>
      <c r="J1027" s="63">
        <f t="shared" si="2"/>
        <v>1</v>
      </c>
    </row>
    <row r="1028" ht="15.75" customHeight="1">
      <c r="B1028" s="95"/>
      <c r="C1028" s="101" t="s">
        <v>223</v>
      </c>
      <c r="D1028" s="102" t="s">
        <v>91</v>
      </c>
      <c r="E1028" s="101" t="s">
        <v>577</v>
      </c>
      <c r="F1028" s="101">
        <f t="shared" si="3"/>
        <v>67</v>
      </c>
      <c r="G1028" s="101" t="s">
        <v>1533</v>
      </c>
      <c r="H1028" s="63" t="str">
        <f>VLOOKUP(C1028, 'Class Def. - General Data'!$C$20:$C$476,1,false)</f>
        <v>ZRM1_NonFood_Mask</v>
      </c>
      <c r="I1028" s="63" t="str">
        <f t="shared" si="1"/>
        <v>ZRM1_NonFood_Mask67</v>
      </c>
      <c r="J1028" s="63">
        <f t="shared" si="2"/>
        <v>1</v>
      </c>
    </row>
    <row r="1029" ht="15.75" customHeight="1">
      <c r="B1029" s="95"/>
      <c r="C1029" s="101" t="s">
        <v>223</v>
      </c>
      <c r="D1029" s="102" t="s">
        <v>91</v>
      </c>
      <c r="E1029" s="101" t="s">
        <v>577</v>
      </c>
      <c r="F1029" s="101">
        <f t="shared" si="3"/>
        <v>68</v>
      </c>
      <c r="G1029" s="101" t="s">
        <v>1534</v>
      </c>
      <c r="H1029" s="63" t="str">
        <f>VLOOKUP(C1029, 'Class Def. - General Data'!$C$20:$C$476,1,false)</f>
        <v>ZRM1_NonFood_Mask</v>
      </c>
      <c r="I1029" s="63" t="str">
        <f t="shared" si="1"/>
        <v>ZRM1_NonFood_Mask68</v>
      </c>
      <c r="J1029" s="63">
        <f t="shared" si="2"/>
        <v>1</v>
      </c>
    </row>
    <row r="1030" ht="15.75" customHeight="1">
      <c r="B1030" s="95"/>
      <c r="C1030" s="101" t="s">
        <v>223</v>
      </c>
      <c r="D1030" s="102" t="s">
        <v>91</v>
      </c>
      <c r="E1030" s="101" t="s">
        <v>577</v>
      </c>
      <c r="F1030" s="101">
        <f t="shared" si="3"/>
        <v>69</v>
      </c>
      <c r="G1030" s="101" t="s">
        <v>1535</v>
      </c>
      <c r="H1030" s="63" t="str">
        <f>VLOOKUP(C1030, 'Class Def. - General Data'!$C$20:$C$476,1,false)</f>
        <v>ZRM1_NonFood_Mask</v>
      </c>
      <c r="I1030" s="63" t="str">
        <f t="shared" si="1"/>
        <v>ZRM1_NonFood_Mask69</v>
      </c>
      <c r="J1030" s="63">
        <f t="shared" si="2"/>
        <v>1</v>
      </c>
    </row>
    <row r="1031" ht="15.75" customHeight="1">
      <c r="B1031" s="95"/>
      <c r="C1031" s="101" t="s">
        <v>223</v>
      </c>
      <c r="D1031" s="102" t="s">
        <v>91</v>
      </c>
      <c r="E1031" s="101" t="s">
        <v>577</v>
      </c>
      <c r="F1031" s="101">
        <f t="shared" si="3"/>
        <v>70</v>
      </c>
      <c r="G1031" s="101" t="s">
        <v>1536</v>
      </c>
      <c r="H1031" s="63" t="str">
        <f>VLOOKUP(C1031, 'Class Def. - General Data'!$C$20:$C$476,1,false)</f>
        <v>ZRM1_NonFood_Mask</v>
      </c>
      <c r="I1031" s="63" t="str">
        <f t="shared" si="1"/>
        <v>ZRM1_NonFood_Mask70</v>
      </c>
      <c r="J1031" s="63">
        <f t="shared" si="2"/>
        <v>1</v>
      </c>
    </row>
    <row r="1032" ht="15.75" customHeight="1">
      <c r="B1032" s="95"/>
      <c r="C1032" s="101" t="s">
        <v>223</v>
      </c>
      <c r="D1032" s="102" t="s">
        <v>91</v>
      </c>
      <c r="E1032" s="101" t="s">
        <v>577</v>
      </c>
      <c r="F1032" s="101">
        <f t="shared" si="3"/>
        <v>71</v>
      </c>
      <c r="G1032" s="101" t="s">
        <v>1537</v>
      </c>
      <c r="H1032" s="63" t="str">
        <f>VLOOKUP(C1032, 'Class Def. - General Data'!$C$20:$C$476,1,false)</f>
        <v>ZRM1_NonFood_Mask</v>
      </c>
      <c r="I1032" s="63" t="str">
        <f t="shared" si="1"/>
        <v>ZRM1_NonFood_Mask71</v>
      </c>
      <c r="J1032" s="63">
        <f t="shared" si="2"/>
        <v>1</v>
      </c>
    </row>
    <row r="1033" ht="15.75" customHeight="1">
      <c r="B1033" s="95"/>
      <c r="C1033" s="101" t="s">
        <v>223</v>
      </c>
      <c r="D1033" s="102" t="s">
        <v>91</v>
      </c>
      <c r="E1033" s="101" t="s">
        <v>577</v>
      </c>
      <c r="F1033" s="101">
        <f t="shared" si="3"/>
        <v>72</v>
      </c>
      <c r="G1033" s="101" t="s">
        <v>1538</v>
      </c>
      <c r="H1033" s="63" t="str">
        <f>VLOOKUP(C1033, 'Class Def. - General Data'!$C$20:$C$476,1,false)</f>
        <v>ZRM1_NonFood_Mask</v>
      </c>
      <c r="I1033" s="63" t="str">
        <f t="shared" si="1"/>
        <v>ZRM1_NonFood_Mask72</v>
      </c>
      <c r="J1033" s="63">
        <f t="shared" si="2"/>
        <v>1</v>
      </c>
    </row>
    <row r="1034" ht="15.75" customHeight="1">
      <c r="B1034" s="95"/>
      <c r="C1034" s="101" t="s">
        <v>223</v>
      </c>
      <c r="D1034" s="102" t="s">
        <v>91</v>
      </c>
      <c r="E1034" s="101" t="s">
        <v>577</v>
      </c>
      <c r="F1034" s="101">
        <f t="shared" si="3"/>
        <v>73</v>
      </c>
      <c r="G1034" s="101" t="s">
        <v>1539</v>
      </c>
      <c r="H1034" s="63" t="str">
        <f>VLOOKUP(C1034, 'Class Def. - General Data'!$C$20:$C$476,1,false)</f>
        <v>ZRM1_NonFood_Mask</v>
      </c>
      <c r="I1034" s="63" t="str">
        <f t="shared" si="1"/>
        <v>ZRM1_NonFood_Mask73</v>
      </c>
      <c r="J1034" s="63">
        <f t="shared" si="2"/>
        <v>1</v>
      </c>
    </row>
    <row r="1035" ht="15.75" customHeight="1">
      <c r="B1035" s="95"/>
      <c r="C1035" s="101" t="s">
        <v>223</v>
      </c>
      <c r="D1035" s="102" t="s">
        <v>91</v>
      </c>
      <c r="E1035" s="101" t="s">
        <v>577</v>
      </c>
      <c r="F1035" s="101">
        <f t="shared" si="3"/>
        <v>74</v>
      </c>
      <c r="G1035" s="101" t="s">
        <v>1540</v>
      </c>
      <c r="H1035" s="63" t="str">
        <f>VLOOKUP(C1035, 'Class Def. - General Data'!$C$20:$C$476,1,false)</f>
        <v>ZRM1_NonFood_Mask</v>
      </c>
      <c r="I1035" s="63" t="str">
        <f t="shared" si="1"/>
        <v>ZRM1_NonFood_Mask74</v>
      </c>
      <c r="J1035" s="63">
        <f t="shared" si="2"/>
        <v>1</v>
      </c>
    </row>
    <row r="1036" ht="15.75" customHeight="1">
      <c r="B1036" s="95"/>
      <c r="C1036" s="101" t="s">
        <v>223</v>
      </c>
      <c r="D1036" s="102" t="s">
        <v>91</v>
      </c>
      <c r="E1036" s="101" t="s">
        <v>577</v>
      </c>
      <c r="F1036" s="101">
        <f t="shared" si="3"/>
        <v>75</v>
      </c>
      <c r="G1036" s="101" t="s">
        <v>1541</v>
      </c>
      <c r="H1036" s="63" t="str">
        <f>VLOOKUP(C1036, 'Class Def. - General Data'!$C$20:$C$476,1,false)</f>
        <v>ZRM1_NonFood_Mask</v>
      </c>
      <c r="I1036" s="63" t="str">
        <f t="shared" si="1"/>
        <v>ZRM1_NonFood_Mask75</v>
      </c>
      <c r="J1036" s="63">
        <f t="shared" si="2"/>
        <v>1</v>
      </c>
    </row>
    <row r="1037" ht="15.75" customHeight="1">
      <c r="B1037" s="95"/>
      <c r="C1037" s="101" t="s">
        <v>223</v>
      </c>
      <c r="D1037" s="102" t="s">
        <v>91</v>
      </c>
      <c r="E1037" s="101" t="s">
        <v>577</v>
      </c>
      <c r="F1037" s="101">
        <f t="shared" si="3"/>
        <v>76</v>
      </c>
      <c r="G1037" s="101" t="s">
        <v>1542</v>
      </c>
      <c r="H1037" s="63" t="str">
        <f>VLOOKUP(C1037, 'Class Def. - General Data'!$C$20:$C$476,1,false)</f>
        <v>ZRM1_NonFood_Mask</v>
      </c>
      <c r="I1037" s="63" t="str">
        <f t="shared" si="1"/>
        <v>ZRM1_NonFood_Mask76</v>
      </c>
      <c r="J1037" s="63">
        <f t="shared" si="2"/>
        <v>1</v>
      </c>
    </row>
    <row r="1038" ht="15.75" customHeight="1">
      <c r="B1038" s="95"/>
      <c r="C1038" s="101" t="s">
        <v>223</v>
      </c>
      <c r="D1038" s="102" t="s">
        <v>91</v>
      </c>
      <c r="E1038" s="101" t="s">
        <v>577</v>
      </c>
      <c r="F1038" s="101">
        <f t="shared" si="3"/>
        <v>77</v>
      </c>
      <c r="G1038" s="101" t="s">
        <v>1543</v>
      </c>
      <c r="H1038" s="63" t="str">
        <f>VLOOKUP(C1038, 'Class Def. - General Data'!$C$20:$C$476,1,false)</f>
        <v>ZRM1_NonFood_Mask</v>
      </c>
      <c r="I1038" s="63" t="str">
        <f t="shared" si="1"/>
        <v>ZRM1_NonFood_Mask77</v>
      </c>
      <c r="J1038" s="63">
        <f t="shared" si="2"/>
        <v>1</v>
      </c>
    </row>
    <row r="1039" ht="15.75" customHeight="1">
      <c r="B1039" s="95"/>
      <c r="C1039" s="101" t="s">
        <v>223</v>
      </c>
      <c r="D1039" s="102" t="s">
        <v>91</v>
      </c>
      <c r="E1039" s="101" t="s">
        <v>577</v>
      </c>
      <c r="F1039" s="101">
        <f t="shared" si="3"/>
        <v>78</v>
      </c>
      <c r="G1039" s="101" t="s">
        <v>1544</v>
      </c>
      <c r="H1039" s="63" t="str">
        <f>VLOOKUP(C1039, 'Class Def. - General Data'!$C$20:$C$476,1,false)</f>
        <v>ZRM1_NonFood_Mask</v>
      </c>
      <c r="I1039" s="63" t="str">
        <f t="shared" si="1"/>
        <v>ZRM1_NonFood_Mask78</v>
      </c>
      <c r="J1039" s="63">
        <f t="shared" si="2"/>
        <v>1</v>
      </c>
    </row>
    <row r="1040" ht="15.75" customHeight="1">
      <c r="B1040" s="95"/>
      <c r="C1040" s="101" t="s">
        <v>223</v>
      </c>
      <c r="D1040" s="102" t="s">
        <v>91</v>
      </c>
      <c r="E1040" s="101" t="s">
        <v>577</v>
      </c>
      <c r="F1040" s="101">
        <f t="shared" si="3"/>
        <v>79</v>
      </c>
      <c r="G1040" s="101" t="s">
        <v>1545</v>
      </c>
      <c r="H1040" s="63" t="str">
        <f>VLOOKUP(C1040, 'Class Def. - General Data'!$C$20:$C$476,1,false)</f>
        <v>ZRM1_NonFood_Mask</v>
      </c>
      <c r="I1040" s="63" t="str">
        <f t="shared" si="1"/>
        <v>ZRM1_NonFood_Mask79</v>
      </c>
      <c r="J1040" s="63">
        <f t="shared" si="2"/>
        <v>1</v>
      </c>
    </row>
    <row r="1041" ht="15.75" customHeight="1">
      <c r="B1041" s="95"/>
      <c r="C1041" s="101" t="s">
        <v>223</v>
      </c>
      <c r="D1041" s="102" t="s">
        <v>91</v>
      </c>
      <c r="E1041" s="101" t="s">
        <v>577</v>
      </c>
      <c r="F1041" s="101">
        <f t="shared" si="3"/>
        <v>80</v>
      </c>
      <c r="G1041" s="101" t="s">
        <v>1546</v>
      </c>
      <c r="H1041" s="63" t="str">
        <f>VLOOKUP(C1041, 'Class Def. - General Data'!$C$20:$C$476,1,false)</f>
        <v>ZRM1_NonFood_Mask</v>
      </c>
      <c r="I1041" s="63" t="str">
        <f t="shared" si="1"/>
        <v>ZRM1_NonFood_Mask80</v>
      </c>
      <c r="J1041" s="63">
        <f t="shared" si="2"/>
        <v>1</v>
      </c>
    </row>
    <row r="1042" ht="15.75" customHeight="1">
      <c r="B1042" s="95"/>
      <c r="C1042" s="101" t="s">
        <v>223</v>
      </c>
      <c r="D1042" s="102" t="s">
        <v>91</v>
      </c>
      <c r="E1042" s="101" t="s">
        <v>577</v>
      </c>
      <c r="F1042" s="101">
        <f t="shared" si="3"/>
        <v>81</v>
      </c>
      <c r="G1042" s="101" t="s">
        <v>1547</v>
      </c>
      <c r="H1042" s="63" t="str">
        <f>VLOOKUP(C1042, 'Class Def. - General Data'!$C$20:$C$476,1,false)</f>
        <v>ZRM1_NonFood_Mask</v>
      </c>
      <c r="I1042" s="63" t="str">
        <f t="shared" si="1"/>
        <v>ZRM1_NonFood_Mask81</v>
      </c>
      <c r="J1042" s="63">
        <f t="shared" si="2"/>
        <v>1</v>
      </c>
    </row>
    <row r="1043" ht="15.75" customHeight="1">
      <c r="B1043" s="95"/>
      <c r="C1043" s="101" t="s">
        <v>223</v>
      </c>
      <c r="D1043" s="102" t="s">
        <v>91</v>
      </c>
      <c r="E1043" s="101" t="s">
        <v>577</v>
      </c>
      <c r="F1043" s="101">
        <f t="shared" si="3"/>
        <v>82</v>
      </c>
      <c r="G1043" s="101" t="s">
        <v>1548</v>
      </c>
      <c r="H1043" s="63" t="str">
        <f>VLOOKUP(C1043, 'Class Def. - General Data'!$C$20:$C$476,1,false)</f>
        <v>ZRM1_NonFood_Mask</v>
      </c>
      <c r="I1043" s="63" t="str">
        <f t="shared" si="1"/>
        <v>ZRM1_NonFood_Mask82</v>
      </c>
      <c r="J1043" s="63">
        <f t="shared" si="2"/>
        <v>1</v>
      </c>
    </row>
    <row r="1044" ht="15.75" customHeight="1">
      <c r="B1044" s="95"/>
      <c r="C1044" s="101" t="s">
        <v>223</v>
      </c>
      <c r="D1044" s="102" t="s">
        <v>91</v>
      </c>
      <c r="E1044" s="101" t="s">
        <v>577</v>
      </c>
      <c r="F1044" s="101">
        <f t="shared" si="3"/>
        <v>83</v>
      </c>
      <c r="G1044" s="101" t="s">
        <v>1549</v>
      </c>
      <c r="H1044" s="63" t="str">
        <f>VLOOKUP(C1044, 'Class Def. - General Data'!$C$20:$C$476,1,false)</f>
        <v>ZRM1_NonFood_Mask</v>
      </c>
      <c r="I1044" s="63" t="str">
        <f t="shared" si="1"/>
        <v>ZRM1_NonFood_Mask83</v>
      </c>
      <c r="J1044" s="63">
        <f t="shared" si="2"/>
        <v>1</v>
      </c>
    </row>
    <row r="1045" ht="15.75" customHeight="1">
      <c r="B1045" s="95"/>
      <c r="C1045" s="101" t="s">
        <v>223</v>
      </c>
      <c r="D1045" s="102" t="s">
        <v>91</v>
      </c>
      <c r="E1045" s="101" t="s">
        <v>577</v>
      </c>
      <c r="F1045" s="101">
        <f t="shared" si="3"/>
        <v>84</v>
      </c>
      <c r="G1045" s="101" t="s">
        <v>1550</v>
      </c>
      <c r="H1045" s="63" t="str">
        <f>VLOOKUP(C1045, 'Class Def. - General Data'!$C$20:$C$476,1,false)</f>
        <v>ZRM1_NonFood_Mask</v>
      </c>
      <c r="I1045" s="63" t="str">
        <f t="shared" si="1"/>
        <v>ZRM1_NonFood_Mask84</v>
      </c>
      <c r="J1045" s="63">
        <f t="shared" si="2"/>
        <v>1</v>
      </c>
    </row>
    <row r="1046" ht="15.75" customHeight="1">
      <c r="B1046" s="95"/>
      <c r="C1046" s="101" t="s">
        <v>223</v>
      </c>
      <c r="D1046" s="102" t="s">
        <v>91</v>
      </c>
      <c r="E1046" s="101" t="s">
        <v>577</v>
      </c>
      <c r="F1046" s="101">
        <f t="shared" si="3"/>
        <v>85</v>
      </c>
      <c r="G1046" s="101" t="s">
        <v>1551</v>
      </c>
      <c r="H1046" s="63" t="str">
        <f>VLOOKUP(C1046, 'Class Def. - General Data'!$C$20:$C$476,1,false)</f>
        <v>ZRM1_NonFood_Mask</v>
      </c>
      <c r="I1046" s="63" t="str">
        <f t="shared" si="1"/>
        <v>ZRM1_NonFood_Mask85</v>
      </c>
      <c r="J1046" s="63">
        <f t="shared" si="2"/>
        <v>1</v>
      </c>
    </row>
    <row r="1047" ht="15.75" customHeight="1">
      <c r="B1047" s="95"/>
      <c r="C1047" s="101" t="s">
        <v>223</v>
      </c>
      <c r="D1047" s="102" t="s">
        <v>91</v>
      </c>
      <c r="E1047" s="101" t="s">
        <v>577</v>
      </c>
      <c r="F1047" s="101">
        <f t="shared" si="3"/>
        <v>86</v>
      </c>
      <c r="G1047" s="101" t="s">
        <v>1552</v>
      </c>
      <c r="H1047" s="63" t="str">
        <f>VLOOKUP(C1047, 'Class Def. - General Data'!$C$20:$C$476,1,false)</f>
        <v>ZRM1_NonFood_Mask</v>
      </c>
      <c r="I1047" s="63" t="str">
        <f t="shared" si="1"/>
        <v>ZRM1_NonFood_Mask86</v>
      </c>
      <c r="J1047" s="63">
        <f t="shared" si="2"/>
        <v>1</v>
      </c>
    </row>
    <row r="1048" ht="15.75" customHeight="1">
      <c r="B1048" s="95"/>
      <c r="C1048" s="101" t="s">
        <v>223</v>
      </c>
      <c r="D1048" s="102" t="s">
        <v>91</v>
      </c>
      <c r="E1048" s="101" t="s">
        <v>577</v>
      </c>
      <c r="F1048" s="101">
        <f t="shared" si="3"/>
        <v>87</v>
      </c>
      <c r="G1048" s="101" t="s">
        <v>1553</v>
      </c>
      <c r="H1048" s="63" t="str">
        <f>VLOOKUP(C1048, 'Class Def. - General Data'!$C$20:$C$476,1,false)</f>
        <v>ZRM1_NonFood_Mask</v>
      </c>
      <c r="I1048" s="63" t="str">
        <f t="shared" si="1"/>
        <v>ZRM1_NonFood_Mask87</v>
      </c>
      <c r="J1048" s="63">
        <f t="shared" si="2"/>
        <v>1</v>
      </c>
    </row>
    <row r="1049" ht="15.75" customHeight="1">
      <c r="B1049" s="95"/>
      <c r="C1049" s="101" t="s">
        <v>223</v>
      </c>
      <c r="D1049" s="102" t="s">
        <v>91</v>
      </c>
      <c r="E1049" s="101" t="s">
        <v>577</v>
      </c>
      <c r="F1049" s="101">
        <f t="shared" si="3"/>
        <v>88</v>
      </c>
      <c r="G1049" s="101" t="s">
        <v>1554</v>
      </c>
      <c r="H1049" s="63" t="str">
        <f>VLOOKUP(C1049, 'Class Def. - General Data'!$C$20:$C$476,1,false)</f>
        <v>ZRM1_NonFood_Mask</v>
      </c>
      <c r="I1049" s="63" t="str">
        <f t="shared" si="1"/>
        <v>ZRM1_NonFood_Mask88</v>
      </c>
      <c r="J1049" s="63">
        <f t="shared" si="2"/>
        <v>1</v>
      </c>
    </row>
    <row r="1050" ht="15.75" customHeight="1">
      <c r="B1050" s="95"/>
      <c r="C1050" s="101" t="s">
        <v>223</v>
      </c>
      <c r="D1050" s="102" t="s">
        <v>91</v>
      </c>
      <c r="E1050" s="101" t="s">
        <v>577</v>
      </c>
      <c r="F1050" s="101">
        <f t="shared" si="3"/>
        <v>89</v>
      </c>
      <c r="G1050" s="101" t="s">
        <v>1555</v>
      </c>
      <c r="H1050" s="63" t="str">
        <f>VLOOKUP(C1050, 'Class Def. - General Data'!$C$20:$C$476,1,false)</f>
        <v>ZRM1_NonFood_Mask</v>
      </c>
      <c r="I1050" s="63" t="str">
        <f t="shared" si="1"/>
        <v>ZRM1_NonFood_Mask89</v>
      </c>
      <c r="J1050" s="63">
        <f t="shared" si="2"/>
        <v>1</v>
      </c>
    </row>
    <row r="1051" ht="15.75" customHeight="1">
      <c r="B1051" s="95"/>
      <c r="C1051" s="101" t="s">
        <v>223</v>
      </c>
      <c r="D1051" s="102" t="s">
        <v>91</v>
      </c>
      <c r="E1051" s="101" t="s">
        <v>577</v>
      </c>
      <c r="F1051" s="101">
        <f t="shared" si="3"/>
        <v>90</v>
      </c>
      <c r="G1051" s="101" t="s">
        <v>1556</v>
      </c>
      <c r="H1051" s="63" t="str">
        <f>VLOOKUP(C1051, 'Class Def. - General Data'!$C$20:$C$476,1,false)</f>
        <v>ZRM1_NonFood_Mask</v>
      </c>
      <c r="I1051" s="63" t="str">
        <f t="shared" si="1"/>
        <v>ZRM1_NonFood_Mask90</v>
      </c>
      <c r="J1051" s="63">
        <f t="shared" si="2"/>
        <v>1</v>
      </c>
    </row>
    <row r="1052" ht="15.75" customHeight="1">
      <c r="B1052" s="95"/>
      <c r="C1052" s="101" t="s">
        <v>223</v>
      </c>
      <c r="D1052" s="102" t="s">
        <v>91</v>
      </c>
      <c r="E1052" s="101" t="s">
        <v>577</v>
      </c>
      <c r="F1052" s="101">
        <f t="shared" si="3"/>
        <v>91</v>
      </c>
      <c r="G1052" s="101" t="s">
        <v>1557</v>
      </c>
      <c r="H1052" s="63" t="str">
        <f>VLOOKUP(C1052, 'Class Def. - General Data'!$C$20:$C$476,1,false)</f>
        <v>ZRM1_NonFood_Mask</v>
      </c>
      <c r="I1052" s="63" t="str">
        <f t="shared" si="1"/>
        <v>ZRM1_NonFood_Mask91</v>
      </c>
      <c r="J1052" s="63">
        <f t="shared" si="2"/>
        <v>1</v>
      </c>
    </row>
    <row r="1053" ht="15.75" customHeight="1">
      <c r="B1053" s="95"/>
      <c r="C1053" s="101" t="s">
        <v>223</v>
      </c>
      <c r="D1053" s="102" t="s">
        <v>91</v>
      </c>
      <c r="E1053" s="101" t="s">
        <v>577</v>
      </c>
      <c r="F1053" s="101">
        <f t="shared" si="3"/>
        <v>92</v>
      </c>
      <c r="G1053" s="101" t="s">
        <v>1558</v>
      </c>
      <c r="H1053" s="63" t="str">
        <f>VLOOKUP(C1053, 'Class Def. - General Data'!$C$20:$C$476,1,false)</f>
        <v>ZRM1_NonFood_Mask</v>
      </c>
      <c r="I1053" s="63" t="str">
        <f t="shared" si="1"/>
        <v>ZRM1_NonFood_Mask92</v>
      </c>
      <c r="J1053" s="63">
        <f t="shared" si="2"/>
        <v>1</v>
      </c>
    </row>
    <row r="1054" ht="15.75" customHeight="1">
      <c r="B1054" s="95"/>
      <c r="C1054" s="101" t="s">
        <v>224</v>
      </c>
      <c r="D1054" s="102" t="s">
        <v>91</v>
      </c>
      <c r="E1054" s="101" t="s">
        <v>577</v>
      </c>
      <c r="F1054" s="101">
        <f t="shared" si="3"/>
        <v>1</v>
      </c>
      <c r="G1054" s="101" t="s">
        <v>1559</v>
      </c>
      <c r="H1054" s="63" t="str">
        <f>VLOOKUP(C1054, 'Class Def. - General Data'!$C$20:$C$476,1,false)</f>
        <v>ZRM1_Perfume</v>
      </c>
      <c r="I1054" s="63" t="str">
        <f t="shared" si="1"/>
        <v>ZRM1_Perfume1</v>
      </c>
      <c r="J1054" s="63">
        <f t="shared" si="2"/>
        <v>1</v>
      </c>
    </row>
    <row r="1055" ht="15.75" customHeight="1">
      <c r="B1055" s="95"/>
      <c r="C1055" s="101" t="s">
        <v>224</v>
      </c>
      <c r="D1055" s="102" t="s">
        <v>91</v>
      </c>
      <c r="E1055" s="101" t="s">
        <v>577</v>
      </c>
      <c r="F1055" s="101">
        <f t="shared" si="3"/>
        <v>2</v>
      </c>
      <c r="G1055" s="101" t="s">
        <v>1560</v>
      </c>
      <c r="H1055" s="63" t="str">
        <f>VLOOKUP(C1055, 'Class Def. - General Data'!$C$20:$C$476,1,false)</f>
        <v>ZRM1_Perfume</v>
      </c>
      <c r="I1055" s="63" t="str">
        <f t="shared" si="1"/>
        <v>ZRM1_Perfume2</v>
      </c>
      <c r="J1055" s="63">
        <f t="shared" si="2"/>
        <v>1</v>
      </c>
    </row>
    <row r="1056" ht="15.75" customHeight="1">
      <c r="B1056" s="95"/>
      <c r="C1056" s="101" t="s">
        <v>224</v>
      </c>
      <c r="D1056" s="102" t="s">
        <v>91</v>
      </c>
      <c r="E1056" s="101" t="s">
        <v>577</v>
      </c>
      <c r="F1056" s="101">
        <f t="shared" si="3"/>
        <v>3</v>
      </c>
      <c r="G1056" s="101" t="s">
        <v>1561</v>
      </c>
      <c r="H1056" s="63" t="str">
        <f>VLOOKUP(C1056, 'Class Def. - General Data'!$C$20:$C$476,1,false)</f>
        <v>ZRM1_Perfume</v>
      </c>
      <c r="I1056" s="63" t="str">
        <f t="shared" si="1"/>
        <v>ZRM1_Perfume3</v>
      </c>
      <c r="J1056" s="63">
        <f t="shared" si="2"/>
        <v>1</v>
      </c>
    </row>
    <row r="1057" ht="15.75" customHeight="1">
      <c r="B1057" s="95"/>
      <c r="C1057" s="101" t="s">
        <v>225</v>
      </c>
      <c r="D1057" s="102" t="s">
        <v>91</v>
      </c>
      <c r="E1057" s="101" t="s">
        <v>577</v>
      </c>
      <c r="F1057" s="101">
        <f t="shared" si="3"/>
        <v>1</v>
      </c>
      <c r="G1057" s="101" t="s">
        <v>1562</v>
      </c>
      <c r="H1057" s="63" t="str">
        <f>VLOOKUP(C1057, 'Class Def. - General Data'!$C$20:$C$476,1,false)</f>
        <v>ZRM1_Food_Mask</v>
      </c>
      <c r="I1057" s="63" t="str">
        <f t="shared" si="1"/>
        <v>ZRM1_Food_Mask1</v>
      </c>
      <c r="J1057" s="63">
        <f t="shared" si="2"/>
        <v>1</v>
      </c>
    </row>
    <row r="1058" ht="15.75" customHeight="1">
      <c r="B1058" s="95"/>
      <c r="C1058" s="101" t="s">
        <v>225</v>
      </c>
      <c r="D1058" s="102" t="s">
        <v>91</v>
      </c>
      <c r="E1058" s="101" t="s">
        <v>577</v>
      </c>
      <c r="F1058" s="101">
        <f t="shared" si="3"/>
        <v>2</v>
      </c>
      <c r="G1058" s="101" t="s">
        <v>1563</v>
      </c>
      <c r="H1058" s="63" t="str">
        <f>VLOOKUP(C1058, 'Class Def. - General Data'!$C$20:$C$476,1,false)</f>
        <v>ZRM1_Food_Mask</v>
      </c>
      <c r="I1058" s="63" t="str">
        <f t="shared" si="1"/>
        <v>ZRM1_Food_Mask2</v>
      </c>
      <c r="J1058" s="63">
        <f t="shared" si="2"/>
        <v>1</v>
      </c>
    </row>
    <row r="1059" ht="15.75" customHeight="1">
      <c r="B1059" s="95"/>
      <c r="C1059" s="101" t="s">
        <v>225</v>
      </c>
      <c r="D1059" s="102" t="s">
        <v>91</v>
      </c>
      <c r="E1059" s="101" t="s">
        <v>577</v>
      </c>
      <c r="F1059" s="101">
        <f t="shared" si="3"/>
        <v>3</v>
      </c>
      <c r="G1059" s="101" t="s">
        <v>1564</v>
      </c>
      <c r="H1059" s="63" t="str">
        <f>VLOOKUP(C1059, 'Class Def. - General Data'!$C$20:$C$476,1,false)</f>
        <v>ZRM1_Food_Mask</v>
      </c>
      <c r="I1059" s="63" t="str">
        <f t="shared" si="1"/>
        <v>ZRM1_Food_Mask3</v>
      </c>
      <c r="J1059" s="63">
        <f t="shared" si="2"/>
        <v>1</v>
      </c>
    </row>
    <row r="1060" ht="15.75" customHeight="1">
      <c r="B1060" s="95"/>
      <c r="C1060" s="101" t="s">
        <v>225</v>
      </c>
      <c r="D1060" s="102" t="s">
        <v>91</v>
      </c>
      <c r="E1060" s="101" t="s">
        <v>577</v>
      </c>
      <c r="F1060" s="101">
        <f t="shared" si="3"/>
        <v>4</v>
      </c>
      <c r="G1060" s="101" t="s">
        <v>1565</v>
      </c>
      <c r="H1060" s="63" t="str">
        <f>VLOOKUP(C1060, 'Class Def. - General Data'!$C$20:$C$476,1,false)</f>
        <v>ZRM1_Food_Mask</v>
      </c>
      <c r="I1060" s="63" t="str">
        <f t="shared" si="1"/>
        <v>ZRM1_Food_Mask4</v>
      </c>
      <c r="J1060" s="63">
        <f t="shared" si="2"/>
        <v>1</v>
      </c>
    </row>
    <row r="1061" ht="15.75" customHeight="1">
      <c r="B1061" s="95"/>
      <c r="C1061" s="101" t="s">
        <v>225</v>
      </c>
      <c r="D1061" s="102" t="s">
        <v>91</v>
      </c>
      <c r="E1061" s="101" t="s">
        <v>577</v>
      </c>
      <c r="F1061" s="101">
        <f t="shared" si="3"/>
        <v>5</v>
      </c>
      <c r="G1061" s="101" t="s">
        <v>1566</v>
      </c>
      <c r="H1061" s="63" t="str">
        <f>VLOOKUP(C1061, 'Class Def. - General Data'!$C$20:$C$476,1,false)</f>
        <v>ZRM1_Food_Mask</v>
      </c>
      <c r="I1061" s="63" t="str">
        <f t="shared" si="1"/>
        <v>ZRM1_Food_Mask5</v>
      </c>
      <c r="J1061" s="63">
        <f t="shared" si="2"/>
        <v>1</v>
      </c>
    </row>
    <row r="1062" ht="15.75" customHeight="1">
      <c r="B1062" s="95"/>
      <c r="C1062" s="101" t="s">
        <v>225</v>
      </c>
      <c r="D1062" s="102" t="s">
        <v>91</v>
      </c>
      <c r="E1062" s="101" t="s">
        <v>577</v>
      </c>
      <c r="F1062" s="101">
        <f t="shared" si="3"/>
        <v>6</v>
      </c>
      <c r="G1062" s="101" t="s">
        <v>1567</v>
      </c>
      <c r="H1062" s="63" t="str">
        <f>VLOOKUP(C1062, 'Class Def. - General Data'!$C$20:$C$476,1,false)</f>
        <v>ZRM1_Food_Mask</v>
      </c>
      <c r="I1062" s="63" t="str">
        <f t="shared" si="1"/>
        <v>ZRM1_Food_Mask6</v>
      </c>
      <c r="J1062" s="63">
        <f t="shared" si="2"/>
        <v>1</v>
      </c>
    </row>
    <row r="1063" ht="15.75" customHeight="1">
      <c r="B1063" s="95"/>
      <c r="C1063" s="101" t="s">
        <v>225</v>
      </c>
      <c r="D1063" s="102" t="s">
        <v>91</v>
      </c>
      <c r="E1063" s="101" t="s">
        <v>577</v>
      </c>
      <c r="F1063" s="101">
        <f t="shared" si="3"/>
        <v>7</v>
      </c>
      <c r="G1063" s="101" t="s">
        <v>1568</v>
      </c>
      <c r="H1063" s="63" t="str">
        <f>VLOOKUP(C1063, 'Class Def. - General Data'!$C$20:$C$476,1,false)</f>
        <v>ZRM1_Food_Mask</v>
      </c>
      <c r="I1063" s="63" t="str">
        <f t="shared" si="1"/>
        <v>ZRM1_Food_Mask7</v>
      </c>
      <c r="J1063" s="63">
        <f t="shared" si="2"/>
        <v>1</v>
      </c>
    </row>
    <row r="1064" ht="15.75" customHeight="1">
      <c r="B1064" s="95"/>
      <c r="C1064" s="101" t="s">
        <v>225</v>
      </c>
      <c r="D1064" s="102" t="s">
        <v>91</v>
      </c>
      <c r="E1064" s="101" t="s">
        <v>577</v>
      </c>
      <c r="F1064" s="101">
        <f t="shared" si="3"/>
        <v>8</v>
      </c>
      <c r="G1064" s="101" t="s">
        <v>1569</v>
      </c>
      <c r="H1064" s="63" t="str">
        <f>VLOOKUP(C1064, 'Class Def. - General Data'!$C$20:$C$476,1,false)</f>
        <v>ZRM1_Food_Mask</v>
      </c>
      <c r="I1064" s="63" t="str">
        <f t="shared" si="1"/>
        <v>ZRM1_Food_Mask8</v>
      </c>
      <c r="J1064" s="63">
        <f t="shared" si="2"/>
        <v>1</v>
      </c>
    </row>
    <row r="1065" ht="15.75" customHeight="1">
      <c r="B1065" s="95"/>
      <c r="C1065" s="101" t="s">
        <v>225</v>
      </c>
      <c r="D1065" s="102" t="s">
        <v>91</v>
      </c>
      <c r="E1065" s="101" t="s">
        <v>577</v>
      </c>
      <c r="F1065" s="101">
        <f t="shared" si="3"/>
        <v>9</v>
      </c>
      <c r="G1065" s="101" t="s">
        <v>1570</v>
      </c>
      <c r="H1065" s="63" t="str">
        <f>VLOOKUP(C1065, 'Class Def. - General Data'!$C$20:$C$476,1,false)</f>
        <v>ZRM1_Food_Mask</v>
      </c>
      <c r="I1065" s="63" t="str">
        <f t="shared" si="1"/>
        <v>ZRM1_Food_Mask9</v>
      </c>
      <c r="J1065" s="63">
        <f t="shared" si="2"/>
        <v>1</v>
      </c>
    </row>
    <row r="1066" ht="15.75" customHeight="1">
      <c r="B1066" s="95"/>
      <c r="C1066" s="101" t="s">
        <v>225</v>
      </c>
      <c r="D1066" s="102" t="s">
        <v>91</v>
      </c>
      <c r="E1066" s="101" t="s">
        <v>577</v>
      </c>
      <c r="F1066" s="101">
        <f t="shared" si="3"/>
        <v>10</v>
      </c>
      <c r="G1066" s="101" t="s">
        <v>1571</v>
      </c>
      <c r="H1066" s="63" t="str">
        <f>VLOOKUP(C1066, 'Class Def. - General Data'!$C$20:$C$476,1,false)</f>
        <v>ZRM1_Food_Mask</v>
      </c>
      <c r="I1066" s="63" t="str">
        <f t="shared" si="1"/>
        <v>ZRM1_Food_Mask10</v>
      </c>
      <c r="J1066" s="63">
        <f t="shared" si="2"/>
        <v>1</v>
      </c>
    </row>
    <row r="1067" ht="15.75" customHeight="1">
      <c r="B1067" s="95"/>
      <c r="C1067" s="101" t="s">
        <v>225</v>
      </c>
      <c r="D1067" s="102" t="s">
        <v>91</v>
      </c>
      <c r="E1067" s="101" t="s">
        <v>577</v>
      </c>
      <c r="F1067" s="101">
        <f t="shared" si="3"/>
        <v>11</v>
      </c>
      <c r="G1067" s="101" t="s">
        <v>1572</v>
      </c>
      <c r="H1067" s="63" t="str">
        <f>VLOOKUP(C1067, 'Class Def. - General Data'!$C$20:$C$476,1,false)</f>
        <v>ZRM1_Food_Mask</v>
      </c>
      <c r="I1067" s="63" t="str">
        <f t="shared" si="1"/>
        <v>ZRM1_Food_Mask11</v>
      </c>
      <c r="J1067" s="63">
        <f t="shared" si="2"/>
        <v>1</v>
      </c>
    </row>
    <row r="1068" ht="15.75" customHeight="1">
      <c r="B1068" s="95"/>
      <c r="C1068" s="101" t="s">
        <v>225</v>
      </c>
      <c r="D1068" s="102" t="s">
        <v>91</v>
      </c>
      <c r="E1068" s="101" t="s">
        <v>577</v>
      </c>
      <c r="F1068" s="101">
        <f t="shared" si="3"/>
        <v>12</v>
      </c>
      <c r="G1068" s="101" t="s">
        <v>1573</v>
      </c>
      <c r="H1068" s="63" t="str">
        <f>VLOOKUP(C1068, 'Class Def. - General Data'!$C$20:$C$476,1,false)</f>
        <v>ZRM1_Food_Mask</v>
      </c>
      <c r="I1068" s="63" t="str">
        <f t="shared" si="1"/>
        <v>ZRM1_Food_Mask12</v>
      </c>
      <c r="J1068" s="63">
        <f t="shared" si="2"/>
        <v>1</v>
      </c>
    </row>
    <row r="1069" ht="15.75" customHeight="1">
      <c r="B1069" s="95"/>
      <c r="C1069" s="101" t="s">
        <v>225</v>
      </c>
      <c r="D1069" s="102" t="s">
        <v>91</v>
      </c>
      <c r="E1069" s="101" t="s">
        <v>577</v>
      </c>
      <c r="F1069" s="101">
        <f t="shared" si="3"/>
        <v>13</v>
      </c>
      <c r="G1069" s="101" t="s">
        <v>1574</v>
      </c>
      <c r="H1069" s="63" t="str">
        <f>VLOOKUP(C1069, 'Class Def. - General Data'!$C$20:$C$476,1,false)</f>
        <v>ZRM1_Food_Mask</v>
      </c>
      <c r="I1069" s="63" t="str">
        <f t="shared" si="1"/>
        <v>ZRM1_Food_Mask13</v>
      </c>
      <c r="J1069" s="63">
        <f t="shared" si="2"/>
        <v>1</v>
      </c>
    </row>
    <row r="1070" ht="15.75" customHeight="1">
      <c r="B1070" s="95"/>
      <c r="C1070" s="101" t="s">
        <v>225</v>
      </c>
      <c r="D1070" s="102" t="s">
        <v>91</v>
      </c>
      <c r="E1070" s="101" t="s">
        <v>577</v>
      </c>
      <c r="F1070" s="101">
        <f t="shared" si="3"/>
        <v>14</v>
      </c>
      <c r="G1070" s="101" t="s">
        <v>1575</v>
      </c>
      <c r="H1070" s="63" t="str">
        <f>VLOOKUP(C1070, 'Class Def. - General Data'!$C$20:$C$476,1,false)</f>
        <v>ZRM1_Food_Mask</v>
      </c>
      <c r="I1070" s="63" t="str">
        <f t="shared" si="1"/>
        <v>ZRM1_Food_Mask14</v>
      </c>
      <c r="J1070" s="63">
        <f t="shared" si="2"/>
        <v>1</v>
      </c>
    </row>
    <row r="1071" ht="15.75" customHeight="1">
      <c r="B1071" s="95"/>
      <c r="C1071" s="101" t="s">
        <v>226</v>
      </c>
      <c r="D1071" s="102" t="s">
        <v>91</v>
      </c>
      <c r="E1071" s="101" t="s">
        <v>577</v>
      </c>
      <c r="F1071" s="101">
        <f t="shared" si="3"/>
        <v>1</v>
      </c>
      <c r="G1071" s="101" t="s">
        <v>1576</v>
      </c>
      <c r="H1071" s="63" t="str">
        <f>VLOOKUP(C1071, 'Class Def. - General Data'!$C$20:$C$476,1,false)</f>
        <v>ZRM1_MB_PGM</v>
      </c>
      <c r="I1071" s="63" t="str">
        <f t="shared" si="1"/>
        <v>ZRM1_MB_PGM1</v>
      </c>
      <c r="J1071" s="63">
        <f t="shared" si="2"/>
        <v>1</v>
      </c>
    </row>
    <row r="1072" ht="15.75" customHeight="1">
      <c r="B1072" s="95"/>
      <c r="C1072" s="101" t="s">
        <v>226</v>
      </c>
      <c r="D1072" s="102" t="s">
        <v>91</v>
      </c>
      <c r="E1072" s="101" t="s">
        <v>577</v>
      </c>
      <c r="F1072" s="101">
        <f t="shared" si="3"/>
        <v>2</v>
      </c>
      <c r="G1072" s="101" t="s">
        <v>1577</v>
      </c>
      <c r="H1072" s="63" t="str">
        <f>VLOOKUP(C1072, 'Class Def. - General Data'!$C$20:$C$476,1,false)</f>
        <v>ZRM1_MB_PGM</v>
      </c>
      <c r="I1072" s="63" t="str">
        <f t="shared" si="1"/>
        <v>ZRM1_MB_PGM2</v>
      </c>
      <c r="J1072" s="63">
        <f t="shared" si="2"/>
        <v>1</v>
      </c>
    </row>
    <row r="1073" ht="15.75" customHeight="1">
      <c r="B1073" s="95"/>
      <c r="C1073" s="101" t="s">
        <v>226</v>
      </c>
      <c r="D1073" s="102" t="s">
        <v>91</v>
      </c>
      <c r="E1073" s="101" t="s">
        <v>577</v>
      </c>
      <c r="F1073" s="101">
        <f t="shared" si="3"/>
        <v>3</v>
      </c>
      <c r="G1073" s="101" t="s">
        <v>1578</v>
      </c>
      <c r="H1073" s="63" t="str">
        <f>VLOOKUP(C1073, 'Class Def. - General Data'!$C$20:$C$476,1,false)</f>
        <v>ZRM1_MB_PGM</v>
      </c>
      <c r="I1073" s="63" t="str">
        <f t="shared" si="1"/>
        <v>ZRM1_MB_PGM3</v>
      </c>
      <c r="J1073" s="63">
        <f t="shared" si="2"/>
        <v>1</v>
      </c>
    </row>
    <row r="1074" ht="15.75" customHeight="1">
      <c r="B1074" s="95"/>
      <c r="C1074" s="101" t="s">
        <v>226</v>
      </c>
      <c r="D1074" s="102" t="s">
        <v>91</v>
      </c>
      <c r="E1074" s="101" t="s">
        <v>577</v>
      </c>
      <c r="F1074" s="101">
        <f t="shared" si="3"/>
        <v>4</v>
      </c>
      <c r="G1074" s="101" t="s">
        <v>1579</v>
      </c>
      <c r="H1074" s="63" t="str">
        <f>VLOOKUP(C1074, 'Class Def. - General Data'!$C$20:$C$476,1,false)</f>
        <v>ZRM1_MB_PGM</v>
      </c>
      <c r="I1074" s="63" t="str">
        <f t="shared" si="1"/>
        <v>ZRM1_MB_PGM4</v>
      </c>
      <c r="J1074" s="63">
        <f t="shared" si="2"/>
        <v>1</v>
      </c>
    </row>
    <row r="1075" ht="15.75" customHeight="1">
      <c r="B1075" s="95"/>
      <c r="C1075" s="101" t="s">
        <v>226</v>
      </c>
      <c r="D1075" s="102" t="s">
        <v>91</v>
      </c>
      <c r="E1075" s="101" t="s">
        <v>577</v>
      </c>
      <c r="F1075" s="101">
        <f t="shared" si="3"/>
        <v>5</v>
      </c>
      <c r="G1075" s="101" t="s">
        <v>1580</v>
      </c>
      <c r="H1075" s="63" t="str">
        <f>VLOOKUP(C1075, 'Class Def. - General Data'!$C$20:$C$476,1,false)</f>
        <v>ZRM1_MB_PGM</v>
      </c>
      <c r="I1075" s="63" t="str">
        <f t="shared" si="1"/>
        <v>ZRM1_MB_PGM5</v>
      </c>
      <c r="J1075" s="63">
        <f t="shared" si="2"/>
        <v>1</v>
      </c>
    </row>
    <row r="1076" ht="15.75" customHeight="1">
      <c r="B1076" s="95"/>
      <c r="C1076" s="101" t="s">
        <v>227</v>
      </c>
      <c r="D1076" s="102" t="s">
        <v>91</v>
      </c>
      <c r="E1076" s="101" t="s">
        <v>577</v>
      </c>
      <c r="F1076" s="101">
        <f t="shared" si="3"/>
        <v>1</v>
      </c>
      <c r="G1076" s="101" t="s">
        <v>1581</v>
      </c>
      <c r="H1076" s="63" t="str">
        <f>VLOOKUP(C1076, 'Class Def. - General Data'!$C$20:$C$476,1,false)</f>
        <v>ZRM1_Resin</v>
      </c>
      <c r="I1076" s="63" t="str">
        <f t="shared" si="1"/>
        <v>ZRM1_Resin1</v>
      </c>
      <c r="J1076" s="63">
        <f t="shared" si="2"/>
        <v>1</v>
      </c>
    </row>
    <row r="1077" ht="15.75" customHeight="1">
      <c r="B1077" s="95"/>
      <c r="C1077" s="101" t="s">
        <v>227</v>
      </c>
      <c r="D1077" s="102" t="s">
        <v>91</v>
      </c>
      <c r="E1077" s="101" t="s">
        <v>577</v>
      </c>
      <c r="F1077" s="101">
        <f t="shared" si="3"/>
        <v>2</v>
      </c>
      <c r="G1077" s="101" t="s">
        <v>1582</v>
      </c>
      <c r="H1077" s="63" t="str">
        <f>VLOOKUP(C1077, 'Class Def. - General Data'!$C$20:$C$476,1,false)</f>
        <v>ZRM1_Resin</v>
      </c>
      <c r="I1077" s="63" t="str">
        <f t="shared" si="1"/>
        <v>ZRM1_Resin2</v>
      </c>
      <c r="J1077" s="63">
        <f t="shared" si="2"/>
        <v>1</v>
      </c>
    </row>
    <row r="1078" ht="15.75" customHeight="1">
      <c r="B1078" s="95"/>
      <c r="C1078" s="101" t="s">
        <v>228</v>
      </c>
      <c r="D1078" s="102" t="s">
        <v>91</v>
      </c>
      <c r="E1078" s="101" t="s">
        <v>577</v>
      </c>
      <c r="F1078" s="101">
        <f t="shared" si="3"/>
        <v>1</v>
      </c>
      <c r="G1078" s="101" t="s">
        <v>1583</v>
      </c>
      <c r="H1078" s="63" t="str">
        <f>VLOOKUP(C1078, 'Class Def. - General Data'!$C$20:$C$476,1,false)</f>
        <v>ZRM1_AddResin</v>
      </c>
      <c r="I1078" s="63" t="str">
        <f t="shared" si="1"/>
        <v>ZRM1_AddResin1</v>
      </c>
      <c r="J1078" s="63">
        <f t="shared" si="2"/>
        <v>1</v>
      </c>
    </row>
    <row r="1079" ht="15.75" customHeight="1">
      <c r="B1079" s="95"/>
      <c r="C1079" s="101" t="s">
        <v>228</v>
      </c>
      <c r="D1079" s="102" t="s">
        <v>91</v>
      </c>
      <c r="E1079" s="101" t="s">
        <v>577</v>
      </c>
      <c r="F1079" s="101">
        <f t="shared" si="3"/>
        <v>2</v>
      </c>
      <c r="G1079" s="101" t="s">
        <v>1584</v>
      </c>
      <c r="H1079" s="63" t="str">
        <f>VLOOKUP(C1079, 'Class Def. - General Data'!$C$20:$C$476,1,false)</f>
        <v>ZRM1_AddResin</v>
      </c>
      <c r="I1079" s="63" t="str">
        <f t="shared" si="1"/>
        <v>ZRM1_AddResin2</v>
      </c>
      <c r="J1079" s="63">
        <f t="shared" si="2"/>
        <v>1</v>
      </c>
    </row>
    <row r="1080" ht="15.75" customHeight="1">
      <c r="B1080" s="95"/>
      <c r="C1080" s="101" t="s">
        <v>228</v>
      </c>
      <c r="D1080" s="102" t="s">
        <v>91</v>
      </c>
      <c r="E1080" s="101" t="s">
        <v>577</v>
      </c>
      <c r="F1080" s="101">
        <f t="shared" si="3"/>
        <v>3</v>
      </c>
      <c r="G1080" s="101" t="s">
        <v>1585</v>
      </c>
      <c r="H1080" s="63" t="str">
        <f>VLOOKUP(C1080, 'Class Def. - General Data'!$C$20:$C$476,1,false)</f>
        <v>ZRM1_AddResin</v>
      </c>
      <c r="I1080" s="63" t="str">
        <f t="shared" si="1"/>
        <v>ZRM1_AddResin3</v>
      </c>
      <c r="J1080" s="63">
        <f t="shared" si="2"/>
        <v>1</v>
      </c>
    </row>
    <row r="1081" ht="15.75" customHeight="1">
      <c r="B1081" s="95"/>
      <c r="C1081" s="101" t="s">
        <v>229</v>
      </c>
      <c r="D1081" s="102" t="s">
        <v>91</v>
      </c>
      <c r="E1081" s="101" t="s">
        <v>577</v>
      </c>
      <c r="F1081" s="101">
        <f t="shared" si="3"/>
        <v>1</v>
      </c>
      <c r="G1081" s="101" t="s">
        <v>1468</v>
      </c>
      <c r="H1081" s="63" t="str">
        <f>VLOOKUP(C1081, 'Class Def. - General Data'!$C$20:$C$476,1,false)</f>
        <v>ZRM1_NoMask_Acid</v>
      </c>
      <c r="I1081" s="63" t="str">
        <f t="shared" si="1"/>
        <v>ZRM1_NoMask_Acid1</v>
      </c>
      <c r="J1081" s="63">
        <f t="shared" si="2"/>
        <v>1</v>
      </c>
    </row>
    <row r="1082" ht="15.75" customHeight="1">
      <c r="B1082" s="95"/>
      <c r="C1082" s="101" t="s">
        <v>229</v>
      </c>
      <c r="D1082" s="102" t="s">
        <v>91</v>
      </c>
      <c r="E1082" s="101" t="s">
        <v>577</v>
      </c>
      <c r="F1082" s="101">
        <f t="shared" si="3"/>
        <v>2</v>
      </c>
      <c r="G1082" s="101" t="s">
        <v>1469</v>
      </c>
      <c r="H1082" s="63" t="str">
        <f>VLOOKUP(C1082, 'Class Def. - General Data'!$C$20:$C$476,1,false)</f>
        <v>ZRM1_NoMask_Acid</v>
      </c>
      <c r="I1082" s="63" t="str">
        <f t="shared" si="1"/>
        <v>ZRM1_NoMask_Acid2</v>
      </c>
      <c r="J1082" s="63">
        <f t="shared" si="2"/>
        <v>1</v>
      </c>
    </row>
    <row r="1083" ht="15.75" customHeight="1">
      <c r="B1083" s="95"/>
      <c r="C1083" s="101" t="s">
        <v>230</v>
      </c>
      <c r="D1083" s="102" t="s">
        <v>91</v>
      </c>
      <c r="E1083" s="101" t="s">
        <v>577</v>
      </c>
      <c r="F1083" s="101">
        <f t="shared" si="3"/>
        <v>1</v>
      </c>
      <c r="G1083" s="101" t="s">
        <v>1586</v>
      </c>
      <c r="H1083" s="63" t="str">
        <f>VLOOKUP(C1083, 'Class Def. - General Data'!$C$20:$C$476,1,false)</f>
        <v>ZRM1_Spice_Solid</v>
      </c>
      <c r="I1083" s="63" t="str">
        <f t="shared" si="1"/>
        <v>ZRM1_Spice_Solid1</v>
      </c>
      <c r="J1083" s="63">
        <f t="shared" si="2"/>
        <v>1</v>
      </c>
    </row>
    <row r="1084" ht="15.75" customHeight="1">
      <c r="B1084" s="95"/>
      <c r="C1084" s="101" t="s">
        <v>230</v>
      </c>
      <c r="D1084" s="102" t="s">
        <v>91</v>
      </c>
      <c r="E1084" s="101" t="s">
        <v>577</v>
      </c>
      <c r="F1084" s="101">
        <f t="shared" si="3"/>
        <v>2</v>
      </c>
      <c r="G1084" s="101" t="s">
        <v>1587</v>
      </c>
      <c r="H1084" s="63" t="str">
        <f>VLOOKUP(C1084, 'Class Def. - General Data'!$C$20:$C$476,1,false)</f>
        <v>ZRM1_Spice_Solid</v>
      </c>
      <c r="I1084" s="63" t="str">
        <f t="shared" si="1"/>
        <v>ZRM1_Spice_Solid2</v>
      </c>
      <c r="J1084" s="63">
        <f t="shared" si="2"/>
        <v>1</v>
      </c>
    </row>
    <row r="1085" ht="15.75" customHeight="1">
      <c r="B1085" s="95"/>
      <c r="C1085" s="101" t="s">
        <v>230</v>
      </c>
      <c r="D1085" s="102" t="s">
        <v>91</v>
      </c>
      <c r="E1085" s="101" t="s">
        <v>577</v>
      </c>
      <c r="F1085" s="101">
        <f t="shared" si="3"/>
        <v>3</v>
      </c>
      <c r="G1085" s="101" t="s">
        <v>1588</v>
      </c>
      <c r="H1085" s="63" t="str">
        <f>VLOOKUP(C1085, 'Class Def. - General Data'!$C$20:$C$476,1,false)</f>
        <v>ZRM1_Spice_Solid</v>
      </c>
      <c r="I1085" s="63" t="str">
        <f t="shared" si="1"/>
        <v>ZRM1_Spice_Solid3</v>
      </c>
      <c r="J1085" s="63">
        <f t="shared" si="2"/>
        <v>1</v>
      </c>
    </row>
    <row r="1086" ht="15.75" customHeight="1">
      <c r="B1086" s="95"/>
      <c r="C1086" s="101" t="s">
        <v>231</v>
      </c>
      <c r="D1086" s="102" t="s">
        <v>91</v>
      </c>
      <c r="E1086" s="101" t="s">
        <v>577</v>
      </c>
      <c r="F1086" s="101">
        <f t="shared" si="3"/>
        <v>1</v>
      </c>
      <c r="G1086" s="101" t="s">
        <v>1589</v>
      </c>
      <c r="H1086" s="63" t="str">
        <f>VLOOKUP(C1086, 'Class Def. - General Data'!$C$20:$C$476,1,false)</f>
        <v>ZRM1_Spice_Liq</v>
      </c>
      <c r="I1086" s="63" t="str">
        <f t="shared" si="1"/>
        <v>ZRM1_Spice_Liq1</v>
      </c>
      <c r="J1086" s="63">
        <f t="shared" si="2"/>
        <v>1</v>
      </c>
    </row>
    <row r="1087" ht="15.75" customHeight="1">
      <c r="B1087" s="95"/>
      <c r="C1087" s="101" t="s">
        <v>231</v>
      </c>
      <c r="D1087" s="102" t="s">
        <v>91</v>
      </c>
      <c r="E1087" s="101" t="s">
        <v>577</v>
      </c>
      <c r="F1087" s="101">
        <f t="shared" si="3"/>
        <v>2</v>
      </c>
      <c r="G1087" s="101" t="s">
        <v>1590</v>
      </c>
      <c r="H1087" s="63" t="str">
        <f>VLOOKUP(C1087, 'Class Def. - General Data'!$C$20:$C$476,1,false)</f>
        <v>ZRM1_Spice_Liq</v>
      </c>
      <c r="I1087" s="63" t="str">
        <f t="shared" si="1"/>
        <v>ZRM1_Spice_Liq2</v>
      </c>
      <c r="J1087" s="63">
        <f t="shared" si="2"/>
        <v>1</v>
      </c>
    </row>
    <row r="1088" ht="15.75" customHeight="1">
      <c r="B1088" s="95"/>
      <c r="C1088" s="101" t="s">
        <v>231</v>
      </c>
      <c r="D1088" s="102" t="s">
        <v>91</v>
      </c>
      <c r="E1088" s="101" t="s">
        <v>577</v>
      </c>
      <c r="F1088" s="101">
        <f t="shared" si="3"/>
        <v>3</v>
      </c>
      <c r="G1088" s="101" t="s">
        <v>1591</v>
      </c>
      <c r="H1088" s="63" t="str">
        <f>VLOOKUP(C1088, 'Class Def. - General Data'!$C$20:$C$476,1,false)</f>
        <v>ZRM1_Spice_Liq</v>
      </c>
      <c r="I1088" s="63" t="str">
        <f t="shared" si="1"/>
        <v>ZRM1_Spice_Liq3</v>
      </c>
      <c r="J1088" s="63">
        <f t="shared" si="2"/>
        <v>1</v>
      </c>
    </row>
    <row r="1089" ht="15.75" customHeight="1">
      <c r="B1089" s="95"/>
      <c r="C1089" s="101" t="s">
        <v>232</v>
      </c>
      <c r="D1089" s="102" t="s">
        <v>91</v>
      </c>
      <c r="E1089" s="101" t="s">
        <v>577</v>
      </c>
      <c r="F1089" s="101">
        <f t="shared" si="3"/>
        <v>1</v>
      </c>
      <c r="G1089" s="101" t="s">
        <v>1592</v>
      </c>
      <c r="H1089" s="63" t="str">
        <f>VLOOKUP(C1089, 'Class Def. - General Data'!$C$20:$C$476,1,false)</f>
        <v>ZRM1_Flour_Starch</v>
      </c>
      <c r="I1089" s="63" t="str">
        <f t="shared" si="1"/>
        <v>ZRM1_Flour_Starch1</v>
      </c>
      <c r="J1089" s="63">
        <f t="shared" si="2"/>
        <v>1</v>
      </c>
    </row>
    <row r="1090" ht="15.75" customHeight="1">
      <c r="B1090" s="95"/>
      <c r="C1090" s="101" t="s">
        <v>232</v>
      </c>
      <c r="D1090" s="102" t="s">
        <v>91</v>
      </c>
      <c r="E1090" s="101" t="s">
        <v>577</v>
      </c>
      <c r="F1090" s="101">
        <f t="shared" si="3"/>
        <v>2</v>
      </c>
      <c r="G1090" s="101" t="s">
        <v>1593</v>
      </c>
      <c r="H1090" s="63" t="str">
        <f>VLOOKUP(C1090, 'Class Def. - General Data'!$C$20:$C$476,1,false)</f>
        <v>ZRM1_Flour_Starch</v>
      </c>
      <c r="I1090" s="63" t="str">
        <f t="shared" si="1"/>
        <v>ZRM1_Flour_Starch2</v>
      </c>
      <c r="J1090" s="63">
        <f t="shared" si="2"/>
        <v>1</v>
      </c>
    </row>
    <row r="1091" ht="15.75" customHeight="1">
      <c r="B1091" s="95"/>
      <c r="C1091" s="101" t="s">
        <v>232</v>
      </c>
      <c r="D1091" s="102" t="s">
        <v>91</v>
      </c>
      <c r="E1091" s="101" t="s">
        <v>577</v>
      </c>
      <c r="F1091" s="101">
        <f t="shared" si="3"/>
        <v>3</v>
      </c>
      <c r="G1091" s="101" t="s">
        <v>1594</v>
      </c>
      <c r="H1091" s="63" t="str">
        <f>VLOOKUP(C1091, 'Class Def. - General Data'!$C$20:$C$476,1,false)</f>
        <v>ZRM1_Flour_Starch</v>
      </c>
      <c r="I1091" s="63" t="str">
        <f t="shared" si="1"/>
        <v>ZRM1_Flour_Starch3</v>
      </c>
      <c r="J1091" s="63">
        <f t="shared" si="2"/>
        <v>1</v>
      </c>
    </row>
    <row r="1092" ht="15.75" customHeight="1">
      <c r="B1092" s="95"/>
      <c r="C1092" s="101" t="s">
        <v>232</v>
      </c>
      <c r="D1092" s="102" t="s">
        <v>91</v>
      </c>
      <c r="E1092" s="101" t="s">
        <v>577</v>
      </c>
      <c r="F1092" s="101">
        <f t="shared" si="3"/>
        <v>4</v>
      </c>
      <c r="G1092" s="101" t="s">
        <v>1595</v>
      </c>
      <c r="H1092" s="63" t="str">
        <f>VLOOKUP(C1092, 'Class Def. - General Data'!$C$20:$C$476,1,false)</f>
        <v>ZRM1_Flour_Starch</v>
      </c>
      <c r="I1092" s="63" t="str">
        <f t="shared" si="1"/>
        <v>ZRM1_Flour_Starch4</v>
      </c>
      <c r="J1092" s="63">
        <f t="shared" si="2"/>
        <v>1</v>
      </c>
    </row>
    <row r="1093" ht="15.75" customHeight="1">
      <c r="B1093" s="95"/>
      <c r="C1093" s="101" t="s">
        <v>232</v>
      </c>
      <c r="D1093" s="102" t="s">
        <v>91</v>
      </c>
      <c r="E1093" s="101" t="s">
        <v>577</v>
      </c>
      <c r="F1093" s="101">
        <f t="shared" si="3"/>
        <v>5</v>
      </c>
      <c r="G1093" s="101" t="s">
        <v>1596</v>
      </c>
      <c r="H1093" s="63" t="str">
        <f>VLOOKUP(C1093, 'Class Def. - General Data'!$C$20:$C$476,1,false)</f>
        <v>ZRM1_Flour_Starch</v>
      </c>
      <c r="I1093" s="63" t="str">
        <f t="shared" si="1"/>
        <v>ZRM1_Flour_Starch5</v>
      </c>
      <c r="J1093" s="63">
        <f t="shared" si="2"/>
        <v>1</v>
      </c>
    </row>
    <row r="1094" ht="15.75" customHeight="1">
      <c r="B1094" s="95"/>
      <c r="C1094" s="101" t="s">
        <v>233</v>
      </c>
      <c r="D1094" s="102" t="s">
        <v>91</v>
      </c>
      <c r="E1094" s="101" t="s">
        <v>577</v>
      </c>
      <c r="F1094" s="101">
        <f t="shared" si="3"/>
        <v>1</v>
      </c>
      <c r="G1094" s="101" t="s">
        <v>1597</v>
      </c>
      <c r="H1094" s="63" t="str">
        <f>VLOOKUP(C1094, 'Class Def. - General Data'!$C$20:$C$476,1,false)</f>
        <v>ZRM1_NoMask_Salt</v>
      </c>
      <c r="I1094" s="63" t="str">
        <f t="shared" si="1"/>
        <v>ZRM1_NoMask_Salt1</v>
      </c>
      <c r="J1094" s="63">
        <f t="shared" si="2"/>
        <v>1</v>
      </c>
    </row>
    <row r="1095" ht="15.75" customHeight="1">
      <c r="B1095" s="95"/>
      <c r="C1095" s="101" t="s">
        <v>233</v>
      </c>
      <c r="D1095" s="102" t="s">
        <v>91</v>
      </c>
      <c r="E1095" s="101" t="s">
        <v>577</v>
      </c>
      <c r="F1095" s="101">
        <f t="shared" si="3"/>
        <v>2</v>
      </c>
      <c r="G1095" s="101" t="s">
        <v>1598</v>
      </c>
      <c r="H1095" s="63" t="str">
        <f>VLOOKUP(C1095, 'Class Def. - General Data'!$C$20:$C$476,1,false)</f>
        <v>ZRM1_NoMask_Salt</v>
      </c>
      <c r="I1095" s="63" t="str">
        <f t="shared" si="1"/>
        <v>ZRM1_NoMask_Salt2</v>
      </c>
      <c r="J1095" s="63">
        <f t="shared" si="2"/>
        <v>1</v>
      </c>
    </row>
    <row r="1096" ht="15.75" customHeight="1">
      <c r="B1096" s="95"/>
      <c r="C1096" s="101" t="s">
        <v>234</v>
      </c>
      <c r="D1096" s="102" t="s">
        <v>91</v>
      </c>
      <c r="E1096" s="101" t="s">
        <v>577</v>
      </c>
      <c r="F1096" s="101">
        <f t="shared" si="3"/>
        <v>1</v>
      </c>
      <c r="G1096" s="101" t="s">
        <v>1599</v>
      </c>
      <c r="H1096" s="63" t="str">
        <f>VLOOKUP(C1096, 'Class Def. - General Data'!$C$20:$C$476,1,false)</f>
        <v>ZRM1_Sweetener</v>
      </c>
      <c r="I1096" s="63" t="str">
        <f t="shared" si="1"/>
        <v>ZRM1_Sweetener1</v>
      </c>
      <c r="J1096" s="63">
        <f t="shared" si="2"/>
        <v>1</v>
      </c>
    </row>
    <row r="1097" ht="15.75" customHeight="1">
      <c r="B1097" s="95"/>
      <c r="C1097" s="101" t="s">
        <v>234</v>
      </c>
      <c r="D1097" s="102" t="s">
        <v>91</v>
      </c>
      <c r="E1097" s="101" t="s">
        <v>577</v>
      </c>
      <c r="F1097" s="101">
        <f t="shared" si="3"/>
        <v>2</v>
      </c>
      <c r="G1097" s="101" t="s">
        <v>1600</v>
      </c>
      <c r="H1097" s="63" t="str">
        <f>VLOOKUP(C1097, 'Class Def. - General Data'!$C$20:$C$476,1,false)</f>
        <v>ZRM1_Sweetener</v>
      </c>
      <c r="I1097" s="63" t="str">
        <f t="shared" si="1"/>
        <v>ZRM1_Sweetener2</v>
      </c>
      <c r="J1097" s="63">
        <f t="shared" si="2"/>
        <v>1</v>
      </c>
    </row>
    <row r="1098" ht="15.75" customHeight="1">
      <c r="B1098" s="95"/>
      <c r="C1098" s="101" t="s">
        <v>234</v>
      </c>
      <c r="D1098" s="102" t="s">
        <v>91</v>
      </c>
      <c r="E1098" s="101" t="s">
        <v>577</v>
      </c>
      <c r="F1098" s="101">
        <f t="shared" si="3"/>
        <v>3</v>
      </c>
      <c r="G1098" s="101" t="s">
        <v>1601</v>
      </c>
      <c r="H1098" s="63" t="str">
        <f>VLOOKUP(C1098, 'Class Def. - General Data'!$C$20:$C$476,1,false)</f>
        <v>ZRM1_Sweetener</v>
      </c>
      <c r="I1098" s="63" t="str">
        <f t="shared" si="1"/>
        <v>ZRM1_Sweetener3</v>
      </c>
      <c r="J1098" s="63">
        <f t="shared" si="2"/>
        <v>1</v>
      </c>
    </row>
    <row r="1099" ht="15.75" customHeight="1">
      <c r="B1099" s="95"/>
      <c r="C1099" s="101" t="s">
        <v>235</v>
      </c>
      <c r="D1099" s="102" t="s">
        <v>91</v>
      </c>
      <c r="E1099" s="101" t="s">
        <v>577</v>
      </c>
      <c r="F1099" s="101">
        <f t="shared" si="3"/>
        <v>1</v>
      </c>
      <c r="G1099" s="101" t="s">
        <v>1602</v>
      </c>
      <c r="H1099" s="63" t="str">
        <f>VLOOKUP(C1099, 'Class Def. - General Data'!$C$20:$C$476,1,false)</f>
        <v>ZRM1_Crackers</v>
      </c>
      <c r="I1099" s="63" t="str">
        <f t="shared" si="1"/>
        <v>ZRM1_Crackers1</v>
      </c>
      <c r="J1099" s="63">
        <f t="shared" si="2"/>
        <v>1</v>
      </c>
    </row>
    <row r="1100" ht="15.75" customHeight="1">
      <c r="B1100" s="95"/>
      <c r="C1100" s="101" t="s">
        <v>235</v>
      </c>
      <c r="D1100" s="102" t="s">
        <v>91</v>
      </c>
      <c r="E1100" s="101" t="s">
        <v>577</v>
      </c>
      <c r="F1100" s="101">
        <f t="shared" si="3"/>
        <v>2</v>
      </c>
      <c r="G1100" s="101" t="s">
        <v>1603</v>
      </c>
      <c r="H1100" s="63" t="str">
        <f>VLOOKUP(C1100, 'Class Def. - General Data'!$C$20:$C$476,1,false)</f>
        <v>ZRM1_Crackers</v>
      </c>
      <c r="I1100" s="63" t="str">
        <f t="shared" si="1"/>
        <v>ZRM1_Crackers2</v>
      </c>
      <c r="J1100" s="63">
        <f t="shared" si="2"/>
        <v>1</v>
      </c>
    </row>
    <row r="1101" ht="15.75" customHeight="1">
      <c r="B1101" s="95"/>
      <c r="C1101" s="101" t="s">
        <v>236</v>
      </c>
      <c r="D1101" s="102" t="s">
        <v>91</v>
      </c>
      <c r="E1101" s="101" t="s">
        <v>577</v>
      </c>
      <c r="F1101" s="101">
        <f t="shared" si="3"/>
        <v>1</v>
      </c>
      <c r="G1101" s="101" t="s">
        <v>1604</v>
      </c>
      <c r="H1101" s="63" t="str">
        <f>VLOOKUP(C1101, 'Class Def. - General Data'!$C$20:$C$476,1,false)</f>
        <v>ZRM1_MSG</v>
      </c>
      <c r="I1101" s="63" t="str">
        <f t="shared" si="1"/>
        <v>ZRM1_MSG1</v>
      </c>
      <c r="J1101" s="63">
        <f t="shared" si="2"/>
        <v>1</v>
      </c>
    </row>
    <row r="1102" ht="15.75" customHeight="1">
      <c r="B1102" s="95"/>
      <c r="C1102" s="101" t="s">
        <v>236</v>
      </c>
      <c r="D1102" s="102" t="s">
        <v>91</v>
      </c>
      <c r="E1102" s="101" t="s">
        <v>577</v>
      </c>
      <c r="F1102" s="101">
        <f t="shared" si="3"/>
        <v>2</v>
      </c>
      <c r="G1102" s="101" t="s">
        <v>1605</v>
      </c>
      <c r="H1102" s="63" t="str">
        <f>VLOOKUP(C1102, 'Class Def. - General Data'!$C$20:$C$476,1,false)</f>
        <v>ZRM1_MSG</v>
      </c>
      <c r="I1102" s="63" t="str">
        <f t="shared" si="1"/>
        <v>ZRM1_MSG2</v>
      </c>
      <c r="J1102" s="63">
        <f t="shared" si="2"/>
        <v>1</v>
      </c>
    </row>
    <row r="1103" ht="15.75" customHeight="1">
      <c r="B1103" s="95"/>
      <c r="C1103" s="101" t="s">
        <v>236</v>
      </c>
      <c r="D1103" s="102" t="s">
        <v>91</v>
      </c>
      <c r="E1103" s="101" t="s">
        <v>577</v>
      </c>
      <c r="F1103" s="101">
        <f t="shared" si="3"/>
        <v>3</v>
      </c>
      <c r="G1103" s="101" t="s">
        <v>1606</v>
      </c>
      <c r="H1103" s="63" t="str">
        <f>VLOOKUP(C1103, 'Class Def. - General Data'!$C$20:$C$476,1,false)</f>
        <v>ZRM1_MSG</v>
      </c>
      <c r="I1103" s="63" t="str">
        <f t="shared" si="1"/>
        <v>ZRM1_MSG3</v>
      </c>
      <c r="J1103" s="63">
        <f t="shared" si="2"/>
        <v>1</v>
      </c>
    </row>
    <row r="1104" ht="15.75" customHeight="1">
      <c r="B1104" s="95"/>
      <c r="C1104" s="101" t="s">
        <v>237</v>
      </c>
      <c r="D1104" s="102" t="s">
        <v>91</v>
      </c>
      <c r="E1104" s="101" t="s">
        <v>577</v>
      </c>
      <c r="F1104" s="101">
        <f t="shared" si="3"/>
        <v>1</v>
      </c>
      <c r="G1104" s="101" t="s">
        <v>1607</v>
      </c>
      <c r="H1104" s="63" t="str">
        <f>VLOOKUP(C1104, 'Class Def. - General Data'!$C$20:$C$476,1,false)</f>
        <v>ZRM1_Cooking_Oil</v>
      </c>
      <c r="I1104" s="63" t="str">
        <f t="shared" si="1"/>
        <v>ZRM1_Cooking_Oil1</v>
      </c>
      <c r="J1104" s="63">
        <f t="shared" si="2"/>
        <v>1</v>
      </c>
    </row>
    <row r="1105" ht="15.75" customHeight="1">
      <c r="B1105" s="95"/>
      <c r="C1105" s="101" t="s">
        <v>237</v>
      </c>
      <c r="D1105" s="102" t="s">
        <v>91</v>
      </c>
      <c r="E1105" s="101" t="s">
        <v>577</v>
      </c>
      <c r="F1105" s="101">
        <f t="shared" si="3"/>
        <v>2</v>
      </c>
      <c r="G1105" s="101" t="s">
        <v>1608</v>
      </c>
      <c r="H1105" s="63" t="str">
        <f>VLOOKUP(C1105, 'Class Def. - General Data'!$C$20:$C$476,1,false)</f>
        <v>ZRM1_Cooking_Oil</v>
      </c>
      <c r="I1105" s="63" t="str">
        <f t="shared" si="1"/>
        <v>ZRM1_Cooking_Oil2</v>
      </c>
      <c r="J1105" s="63">
        <f t="shared" si="2"/>
        <v>1</v>
      </c>
    </row>
    <row r="1106" ht="15.75" customHeight="1">
      <c r="B1106" s="95"/>
      <c r="C1106" s="101" t="s">
        <v>237</v>
      </c>
      <c r="D1106" s="102" t="s">
        <v>91</v>
      </c>
      <c r="E1106" s="101" t="s">
        <v>577</v>
      </c>
      <c r="F1106" s="101">
        <f t="shared" si="3"/>
        <v>3</v>
      </c>
      <c r="G1106" s="101" t="s">
        <v>1609</v>
      </c>
      <c r="H1106" s="63" t="str">
        <f>VLOOKUP(C1106, 'Class Def. - General Data'!$C$20:$C$476,1,false)</f>
        <v>ZRM1_Cooking_Oil</v>
      </c>
      <c r="I1106" s="63" t="str">
        <f t="shared" si="1"/>
        <v>ZRM1_Cooking_Oil3</v>
      </c>
      <c r="J1106" s="63">
        <f t="shared" si="2"/>
        <v>1</v>
      </c>
    </row>
    <row r="1107" ht="15.75" customHeight="1">
      <c r="B1107" s="95"/>
      <c r="C1107" s="101" t="s">
        <v>238</v>
      </c>
      <c r="D1107" s="102" t="s">
        <v>91</v>
      </c>
      <c r="E1107" s="101" t="s">
        <v>577</v>
      </c>
      <c r="F1107" s="101">
        <f t="shared" si="3"/>
        <v>1</v>
      </c>
      <c r="G1107" s="101" t="s">
        <v>1610</v>
      </c>
      <c r="H1107" s="63" t="str">
        <f>VLOOKUP(C1107, 'Class Def. - General Data'!$C$20:$C$476,1,false)</f>
        <v>ZRM1_Sambal</v>
      </c>
      <c r="I1107" s="63" t="str">
        <f t="shared" si="1"/>
        <v>ZRM1_Sambal1</v>
      </c>
      <c r="J1107" s="63">
        <f t="shared" si="2"/>
        <v>1</v>
      </c>
    </row>
    <row r="1108" ht="15.75" customHeight="1">
      <c r="B1108" s="95"/>
      <c r="C1108" s="101" t="s">
        <v>238</v>
      </c>
      <c r="D1108" s="102" t="s">
        <v>91</v>
      </c>
      <c r="E1108" s="101" t="s">
        <v>577</v>
      </c>
      <c r="F1108" s="101">
        <f t="shared" si="3"/>
        <v>2</v>
      </c>
      <c r="G1108" s="101" t="s">
        <v>1611</v>
      </c>
      <c r="H1108" s="63" t="str">
        <f>VLOOKUP(C1108, 'Class Def. - General Data'!$C$20:$C$476,1,false)</f>
        <v>ZRM1_Sambal</v>
      </c>
      <c r="I1108" s="63" t="str">
        <f t="shared" si="1"/>
        <v>ZRM1_Sambal2</v>
      </c>
      <c r="J1108" s="63">
        <f t="shared" si="2"/>
        <v>1</v>
      </c>
    </row>
    <row r="1109" ht="15.75" customHeight="1">
      <c r="B1109" s="95"/>
      <c r="C1109" s="101" t="s">
        <v>238</v>
      </c>
      <c r="D1109" s="102" t="s">
        <v>91</v>
      </c>
      <c r="E1109" s="101" t="s">
        <v>577</v>
      </c>
      <c r="F1109" s="101">
        <f t="shared" si="3"/>
        <v>3</v>
      </c>
      <c r="G1109" s="101" t="s">
        <v>1612</v>
      </c>
      <c r="H1109" s="63" t="str">
        <f>VLOOKUP(C1109, 'Class Def. - General Data'!$C$20:$C$476,1,false)</f>
        <v>ZRM1_Sambal</v>
      </c>
      <c r="I1109" s="63" t="str">
        <f t="shared" si="1"/>
        <v>ZRM1_Sambal3</v>
      </c>
      <c r="J1109" s="63">
        <f t="shared" si="2"/>
        <v>1</v>
      </c>
    </row>
    <row r="1110" ht="15.75" customHeight="1">
      <c r="B1110" s="95"/>
      <c r="C1110" s="101" t="s">
        <v>239</v>
      </c>
      <c r="D1110" s="102" t="s">
        <v>91</v>
      </c>
      <c r="E1110" s="101" t="s">
        <v>577</v>
      </c>
      <c r="F1110" s="101">
        <f t="shared" si="3"/>
        <v>1</v>
      </c>
      <c r="G1110" s="101" t="s">
        <v>1485</v>
      </c>
      <c r="H1110" s="63" t="str">
        <f>VLOOKUP(C1110, 'Class Def. - General Data'!$C$20:$C$476,1,false)</f>
        <v>ZRM1_NoMask_Base</v>
      </c>
      <c r="I1110" s="63" t="str">
        <f t="shared" si="1"/>
        <v>ZRM1_NoMask_Base1</v>
      </c>
      <c r="J1110" s="63">
        <f t="shared" si="2"/>
        <v>1</v>
      </c>
    </row>
    <row r="1111" ht="15.75" customHeight="1">
      <c r="B1111" s="95"/>
      <c r="C1111" s="101" t="s">
        <v>239</v>
      </c>
      <c r="D1111" s="102" t="s">
        <v>91</v>
      </c>
      <c r="E1111" s="101" t="s">
        <v>577</v>
      </c>
      <c r="F1111" s="101">
        <f t="shared" si="3"/>
        <v>2</v>
      </c>
      <c r="G1111" s="101" t="s">
        <v>1486</v>
      </c>
      <c r="H1111" s="63" t="str">
        <f>VLOOKUP(C1111, 'Class Def. - General Data'!$C$20:$C$476,1,false)</f>
        <v>ZRM1_NoMask_Base</v>
      </c>
      <c r="I1111" s="63" t="str">
        <f t="shared" si="1"/>
        <v>ZRM1_NoMask_Base2</v>
      </c>
      <c r="J1111" s="63">
        <f t="shared" si="2"/>
        <v>1</v>
      </c>
    </row>
    <row r="1112" ht="15.75" customHeight="1">
      <c r="B1112" s="95"/>
      <c r="C1112" s="103" t="s">
        <v>240</v>
      </c>
      <c r="D1112" s="102" t="s">
        <v>91</v>
      </c>
      <c r="E1112" s="101" t="s">
        <v>577</v>
      </c>
      <c r="F1112" s="101">
        <f t="shared" si="3"/>
        <v>1</v>
      </c>
      <c r="G1112" s="101" t="s">
        <v>1613</v>
      </c>
      <c r="H1112" s="63" t="str">
        <f>VLOOKUP(C1112, 'Class Def. - General Data'!$C$20:$C$476,1,false)</f>
        <v>ZPM1_Isl_Tape</v>
      </c>
      <c r="I1112" s="63" t="str">
        <f t="shared" si="1"/>
        <v>ZPM1_Isl_Tape1</v>
      </c>
      <c r="J1112" s="63">
        <f t="shared" si="2"/>
        <v>1</v>
      </c>
    </row>
    <row r="1113" ht="15.75" customHeight="1">
      <c r="B1113" s="95"/>
      <c r="C1113" s="103" t="s">
        <v>240</v>
      </c>
      <c r="D1113" s="102" t="s">
        <v>91</v>
      </c>
      <c r="E1113" s="101" t="s">
        <v>577</v>
      </c>
      <c r="F1113" s="101">
        <f t="shared" si="3"/>
        <v>2</v>
      </c>
      <c r="G1113" s="101" t="s">
        <v>1614</v>
      </c>
      <c r="H1113" s="63" t="str">
        <f>VLOOKUP(C1113, 'Class Def. - General Data'!$C$20:$C$476,1,false)</f>
        <v>ZPM1_Isl_Tape</v>
      </c>
      <c r="I1113" s="63" t="str">
        <f t="shared" si="1"/>
        <v>ZPM1_Isl_Tape2</v>
      </c>
      <c r="J1113" s="63">
        <f t="shared" si="2"/>
        <v>1</v>
      </c>
    </row>
    <row r="1114" ht="15.75" customHeight="1">
      <c r="B1114" s="95"/>
      <c r="C1114" s="103" t="s">
        <v>240</v>
      </c>
      <c r="D1114" s="102" t="s">
        <v>91</v>
      </c>
      <c r="E1114" s="101" t="s">
        <v>577</v>
      </c>
      <c r="F1114" s="101">
        <f t="shared" si="3"/>
        <v>3</v>
      </c>
      <c r="G1114" s="101" t="s">
        <v>1615</v>
      </c>
      <c r="H1114" s="63" t="str">
        <f>VLOOKUP(C1114, 'Class Def. - General Data'!$C$20:$C$476,1,false)</f>
        <v>ZPM1_Isl_Tape</v>
      </c>
      <c r="I1114" s="63" t="str">
        <f t="shared" si="1"/>
        <v>ZPM1_Isl_Tape3</v>
      </c>
      <c r="J1114" s="63">
        <f t="shared" si="2"/>
        <v>1</v>
      </c>
    </row>
    <row r="1115" ht="15.75" customHeight="1">
      <c r="B1115" s="95"/>
      <c r="C1115" s="103" t="s">
        <v>240</v>
      </c>
      <c r="D1115" s="102" t="s">
        <v>91</v>
      </c>
      <c r="E1115" s="101" t="s">
        <v>577</v>
      </c>
      <c r="F1115" s="101">
        <f t="shared" si="3"/>
        <v>4</v>
      </c>
      <c r="G1115" s="101" t="s">
        <v>1616</v>
      </c>
      <c r="H1115" s="63" t="str">
        <f>VLOOKUP(C1115, 'Class Def. - General Data'!$C$20:$C$476,1,false)</f>
        <v>ZPM1_Isl_Tape</v>
      </c>
      <c r="I1115" s="63" t="str">
        <f t="shared" si="1"/>
        <v>ZPM1_Isl_Tape4</v>
      </c>
      <c r="J1115" s="63">
        <f t="shared" si="2"/>
        <v>1</v>
      </c>
    </row>
    <row r="1116" ht="15.75" customHeight="1">
      <c r="B1116" s="95"/>
      <c r="C1116" s="103" t="s">
        <v>240</v>
      </c>
      <c r="D1116" s="102" t="s">
        <v>91</v>
      </c>
      <c r="E1116" s="101" t="s">
        <v>577</v>
      </c>
      <c r="F1116" s="101">
        <f t="shared" si="3"/>
        <v>5</v>
      </c>
      <c r="G1116" s="101" t="s">
        <v>1617</v>
      </c>
      <c r="H1116" s="63" t="str">
        <f>VLOOKUP(C1116, 'Class Def. - General Data'!$C$20:$C$476,1,false)</f>
        <v>ZPM1_Isl_Tape</v>
      </c>
      <c r="I1116" s="63" t="str">
        <f t="shared" si="1"/>
        <v>ZPM1_Isl_Tape5</v>
      </c>
      <c r="J1116" s="63">
        <f t="shared" si="2"/>
        <v>1</v>
      </c>
    </row>
    <row r="1117" ht="15.75" customHeight="1">
      <c r="B1117" s="95"/>
      <c r="C1117" s="103" t="s">
        <v>240</v>
      </c>
      <c r="D1117" s="102" t="s">
        <v>91</v>
      </c>
      <c r="E1117" s="101" t="s">
        <v>577</v>
      </c>
      <c r="F1117" s="101">
        <f t="shared" si="3"/>
        <v>6</v>
      </c>
      <c r="G1117" s="101" t="s">
        <v>1618</v>
      </c>
      <c r="H1117" s="63" t="str">
        <f>VLOOKUP(C1117, 'Class Def. - General Data'!$C$20:$C$476,1,false)</f>
        <v>ZPM1_Isl_Tape</v>
      </c>
      <c r="I1117" s="63" t="str">
        <f t="shared" si="1"/>
        <v>ZPM1_Isl_Tape6</v>
      </c>
      <c r="J1117" s="63">
        <f t="shared" si="2"/>
        <v>1</v>
      </c>
    </row>
    <row r="1118" ht="15.75" customHeight="1">
      <c r="B1118" s="95"/>
      <c r="C1118" s="103" t="s">
        <v>240</v>
      </c>
      <c r="D1118" s="102" t="s">
        <v>91</v>
      </c>
      <c r="E1118" s="101" t="s">
        <v>577</v>
      </c>
      <c r="F1118" s="101">
        <f t="shared" si="3"/>
        <v>7</v>
      </c>
      <c r="G1118" s="101" t="s">
        <v>1619</v>
      </c>
      <c r="H1118" s="63" t="str">
        <f>VLOOKUP(C1118, 'Class Def. - General Data'!$C$20:$C$476,1,false)</f>
        <v>ZPM1_Isl_Tape</v>
      </c>
      <c r="I1118" s="63" t="str">
        <f t="shared" si="1"/>
        <v>ZPM1_Isl_Tape7</v>
      </c>
      <c r="J1118" s="63">
        <f t="shared" si="2"/>
        <v>1</v>
      </c>
    </row>
    <row r="1119" ht="15.75" customHeight="1">
      <c r="B1119" s="95"/>
      <c r="C1119" s="103" t="s">
        <v>240</v>
      </c>
      <c r="D1119" s="102" t="s">
        <v>91</v>
      </c>
      <c r="E1119" s="101" t="s">
        <v>577</v>
      </c>
      <c r="F1119" s="101">
        <f t="shared" si="3"/>
        <v>8</v>
      </c>
      <c r="G1119" s="101" t="s">
        <v>1620</v>
      </c>
      <c r="H1119" s="63" t="str">
        <f>VLOOKUP(C1119, 'Class Def. - General Data'!$C$20:$C$476,1,false)</f>
        <v>ZPM1_Isl_Tape</v>
      </c>
      <c r="I1119" s="63" t="str">
        <f t="shared" si="1"/>
        <v>ZPM1_Isl_Tape8</v>
      </c>
      <c r="J1119" s="63">
        <f t="shared" si="2"/>
        <v>1</v>
      </c>
    </row>
    <row r="1120" ht="15.75" customHeight="1">
      <c r="B1120" s="95"/>
      <c r="C1120" s="103" t="s">
        <v>240</v>
      </c>
      <c r="D1120" s="102" t="s">
        <v>91</v>
      </c>
      <c r="E1120" s="101" t="s">
        <v>577</v>
      </c>
      <c r="F1120" s="101">
        <f t="shared" si="3"/>
        <v>9</v>
      </c>
      <c r="G1120" s="101" t="s">
        <v>1621</v>
      </c>
      <c r="H1120" s="63" t="str">
        <f>VLOOKUP(C1120, 'Class Def. - General Data'!$C$20:$C$476,1,false)</f>
        <v>ZPM1_Isl_Tape</v>
      </c>
      <c r="I1120" s="63" t="str">
        <f t="shared" si="1"/>
        <v>ZPM1_Isl_Tape9</v>
      </c>
      <c r="J1120" s="63">
        <f t="shared" si="2"/>
        <v>1</v>
      </c>
    </row>
    <row r="1121" ht="15.75" customHeight="1">
      <c r="B1121" s="95"/>
      <c r="C1121" s="103" t="s">
        <v>278</v>
      </c>
      <c r="D1121" s="102" t="s">
        <v>91</v>
      </c>
      <c r="E1121" s="101" t="s">
        <v>577</v>
      </c>
      <c r="F1121" s="101">
        <f t="shared" si="3"/>
        <v>1</v>
      </c>
      <c r="G1121" s="101" t="s">
        <v>1622</v>
      </c>
      <c r="H1121" s="63" t="str">
        <f>VLOOKUP(C1121, 'Class Def. - General Data'!$C$20:$C$476,1,false)</f>
        <v>ZPM1_Isl_DT</v>
      </c>
      <c r="I1121" s="63" t="str">
        <f t="shared" si="1"/>
        <v>ZPM1_Isl_DT1</v>
      </c>
      <c r="J1121" s="63">
        <f t="shared" si="2"/>
        <v>1</v>
      </c>
    </row>
    <row r="1122" ht="15.75" customHeight="1">
      <c r="B1122" s="95"/>
      <c r="C1122" s="103" t="s">
        <v>278</v>
      </c>
      <c r="D1122" s="102" t="s">
        <v>91</v>
      </c>
      <c r="E1122" s="101" t="s">
        <v>577</v>
      </c>
      <c r="F1122" s="101">
        <f t="shared" si="3"/>
        <v>2</v>
      </c>
      <c r="G1122" s="101" t="s">
        <v>1623</v>
      </c>
      <c r="H1122" s="63" t="str">
        <f>VLOOKUP(C1122, 'Class Def. - General Data'!$C$20:$C$476,1,false)</f>
        <v>ZPM1_Isl_DT</v>
      </c>
      <c r="I1122" s="63" t="str">
        <f t="shared" si="1"/>
        <v>ZPM1_Isl_DT2</v>
      </c>
      <c r="J1122" s="63">
        <f t="shared" si="2"/>
        <v>1</v>
      </c>
    </row>
    <row r="1123" ht="15.75" customHeight="1">
      <c r="B1123" s="95"/>
      <c r="C1123" s="103" t="s">
        <v>278</v>
      </c>
      <c r="D1123" s="102" t="s">
        <v>91</v>
      </c>
      <c r="E1123" s="101" t="s">
        <v>577</v>
      </c>
      <c r="F1123" s="101">
        <f t="shared" si="3"/>
        <v>3</v>
      </c>
      <c r="G1123" s="101" t="s">
        <v>1624</v>
      </c>
      <c r="H1123" s="63" t="str">
        <f>VLOOKUP(C1123, 'Class Def. - General Data'!$C$20:$C$476,1,false)</f>
        <v>ZPM1_Isl_DT</v>
      </c>
      <c r="I1123" s="63" t="str">
        <f t="shared" si="1"/>
        <v>ZPM1_Isl_DT3</v>
      </c>
      <c r="J1123" s="63">
        <f t="shared" si="2"/>
        <v>1</v>
      </c>
    </row>
    <row r="1124" ht="15.75" customHeight="1">
      <c r="B1124" s="95"/>
      <c r="C1124" s="103" t="s">
        <v>278</v>
      </c>
      <c r="D1124" s="102" t="s">
        <v>91</v>
      </c>
      <c r="E1124" s="101" t="s">
        <v>577</v>
      </c>
      <c r="F1124" s="101">
        <f t="shared" si="3"/>
        <v>4</v>
      </c>
      <c r="G1124" s="101" t="s">
        <v>1616</v>
      </c>
      <c r="H1124" s="63" t="str">
        <f>VLOOKUP(C1124, 'Class Def. - General Data'!$C$20:$C$476,1,false)</f>
        <v>ZPM1_Isl_DT</v>
      </c>
      <c r="I1124" s="63" t="str">
        <f t="shared" si="1"/>
        <v>ZPM1_Isl_DT4</v>
      </c>
      <c r="J1124" s="63">
        <f t="shared" si="2"/>
        <v>1</v>
      </c>
    </row>
    <row r="1125" ht="15.75" customHeight="1">
      <c r="B1125" s="95"/>
      <c r="C1125" s="103" t="s">
        <v>278</v>
      </c>
      <c r="D1125" s="102" t="s">
        <v>91</v>
      </c>
      <c r="E1125" s="101" t="s">
        <v>577</v>
      </c>
      <c r="F1125" s="101">
        <f t="shared" si="3"/>
        <v>5</v>
      </c>
      <c r="G1125" s="101" t="s">
        <v>1620</v>
      </c>
      <c r="H1125" s="63" t="str">
        <f>VLOOKUP(C1125, 'Class Def. - General Data'!$C$20:$C$476,1,false)</f>
        <v>ZPM1_Isl_DT</v>
      </c>
      <c r="I1125" s="63" t="str">
        <f t="shared" si="1"/>
        <v>ZPM1_Isl_DT5</v>
      </c>
      <c r="J1125" s="63">
        <f t="shared" si="2"/>
        <v>1</v>
      </c>
    </row>
    <row r="1126" ht="15.75" customHeight="1">
      <c r="B1126" s="95"/>
      <c r="C1126" s="103" t="s">
        <v>278</v>
      </c>
      <c r="D1126" s="102" t="s">
        <v>91</v>
      </c>
      <c r="E1126" s="101" t="s">
        <v>577</v>
      </c>
      <c r="F1126" s="101">
        <f t="shared" si="3"/>
        <v>6</v>
      </c>
      <c r="G1126" s="101" t="s">
        <v>1621</v>
      </c>
      <c r="H1126" s="63" t="str">
        <f>VLOOKUP(C1126, 'Class Def. - General Data'!$C$20:$C$476,1,false)</f>
        <v>ZPM1_Isl_DT</v>
      </c>
      <c r="I1126" s="63" t="str">
        <f t="shared" si="1"/>
        <v>ZPM1_Isl_DT6</v>
      </c>
      <c r="J1126" s="63">
        <f t="shared" si="2"/>
        <v>1</v>
      </c>
    </row>
    <row r="1127" ht="15.75" customHeight="1">
      <c r="B1127" s="95"/>
      <c r="C1127" s="103" t="s">
        <v>241</v>
      </c>
      <c r="D1127" s="102" t="s">
        <v>91</v>
      </c>
      <c r="E1127" s="101" t="s">
        <v>577</v>
      </c>
      <c r="F1127" s="101">
        <f t="shared" si="3"/>
        <v>1</v>
      </c>
      <c r="G1127" s="101" t="s">
        <v>1625</v>
      </c>
      <c r="H1127" s="63" t="str">
        <f>VLOOKUP(C1127, 'Class Def. - General Data'!$C$20:$C$476,1,false)</f>
        <v>ZPM1_Aero_TBHandle</v>
      </c>
      <c r="I1127" s="63" t="str">
        <f t="shared" si="1"/>
        <v>ZPM1_Aero_TBHandle1</v>
      </c>
      <c r="J1127" s="63">
        <f t="shared" si="2"/>
        <v>1</v>
      </c>
    </row>
    <row r="1128" ht="15.75" customHeight="1">
      <c r="B1128" s="95"/>
      <c r="C1128" s="103" t="s">
        <v>241</v>
      </c>
      <c r="D1128" s="102" t="s">
        <v>91</v>
      </c>
      <c r="E1128" s="101" t="s">
        <v>577</v>
      </c>
      <c r="F1128" s="101">
        <f t="shared" si="3"/>
        <v>2</v>
      </c>
      <c r="G1128" s="101" t="s">
        <v>1626</v>
      </c>
      <c r="H1128" s="63" t="str">
        <f>VLOOKUP(C1128, 'Class Def. - General Data'!$C$20:$C$476,1,false)</f>
        <v>ZPM1_Aero_TBHandle</v>
      </c>
      <c r="I1128" s="63" t="str">
        <f t="shared" si="1"/>
        <v>ZPM1_Aero_TBHandle2</v>
      </c>
      <c r="J1128" s="63">
        <f t="shared" si="2"/>
        <v>1</v>
      </c>
    </row>
    <row r="1129" ht="15.75" customHeight="1">
      <c r="B1129" s="95"/>
      <c r="C1129" s="103" t="s">
        <v>241</v>
      </c>
      <c r="D1129" s="102" t="s">
        <v>91</v>
      </c>
      <c r="E1129" s="101" t="s">
        <v>577</v>
      </c>
      <c r="F1129" s="101">
        <f t="shared" si="3"/>
        <v>3</v>
      </c>
      <c r="G1129" s="101" t="s">
        <v>1627</v>
      </c>
      <c r="H1129" s="63" t="str">
        <f>VLOOKUP(C1129, 'Class Def. - General Data'!$C$20:$C$476,1,false)</f>
        <v>ZPM1_Aero_TBHandle</v>
      </c>
      <c r="I1129" s="63" t="str">
        <f t="shared" si="1"/>
        <v>ZPM1_Aero_TBHandle3</v>
      </c>
      <c r="J1129" s="63">
        <f t="shared" si="2"/>
        <v>1</v>
      </c>
    </row>
    <row r="1130" ht="15.75" customHeight="1">
      <c r="B1130" s="95"/>
      <c r="C1130" s="103" t="s">
        <v>241</v>
      </c>
      <c r="D1130" s="102" t="s">
        <v>91</v>
      </c>
      <c r="E1130" s="101" t="s">
        <v>577</v>
      </c>
      <c r="F1130" s="101">
        <f t="shared" si="3"/>
        <v>4</v>
      </c>
      <c r="G1130" s="101" t="s">
        <v>1628</v>
      </c>
      <c r="H1130" s="63" t="str">
        <f>VLOOKUP(C1130, 'Class Def. - General Data'!$C$20:$C$476,1,false)</f>
        <v>ZPM1_Aero_TBHandle</v>
      </c>
      <c r="I1130" s="63" t="str">
        <f t="shared" si="1"/>
        <v>ZPM1_Aero_TBHandle4</v>
      </c>
      <c r="J1130" s="63">
        <f t="shared" si="2"/>
        <v>1</v>
      </c>
    </row>
    <row r="1131" ht="15.75" customHeight="1">
      <c r="B1131" s="95"/>
      <c r="C1131" s="103" t="s">
        <v>270</v>
      </c>
      <c r="D1131" s="102" t="s">
        <v>91</v>
      </c>
      <c r="E1131" s="101" t="s">
        <v>577</v>
      </c>
      <c r="F1131" s="101">
        <f t="shared" si="3"/>
        <v>1</v>
      </c>
      <c r="G1131" s="101" t="s">
        <v>1629</v>
      </c>
      <c r="H1131" s="63" t="str">
        <f>VLOOKUP(C1131, 'Class Def. - General Data'!$C$20:$C$476,1,false)</f>
        <v>ZPM1_AluCan_TinCan</v>
      </c>
      <c r="I1131" s="63" t="str">
        <f t="shared" si="1"/>
        <v>ZPM1_AluCan_TinCan1</v>
      </c>
      <c r="J1131" s="63">
        <f t="shared" si="2"/>
        <v>1</v>
      </c>
    </row>
    <row r="1132" ht="15.75" customHeight="1">
      <c r="B1132" s="95"/>
      <c r="C1132" s="103" t="s">
        <v>270</v>
      </c>
      <c r="D1132" s="102" t="s">
        <v>91</v>
      </c>
      <c r="E1132" s="101" t="s">
        <v>577</v>
      </c>
      <c r="F1132" s="101">
        <f t="shared" si="3"/>
        <v>2</v>
      </c>
      <c r="G1132" s="101" t="s">
        <v>1630</v>
      </c>
      <c r="H1132" s="63" t="str">
        <f>VLOOKUP(C1132, 'Class Def. - General Data'!$C$20:$C$476,1,false)</f>
        <v>ZPM1_AluCan_TinCan</v>
      </c>
      <c r="I1132" s="63" t="str">
        <f t="shared" si="1"/>
        <v>ZPM1_AluCan_TinCan2</v>
      </c>
      <c r="J1132" s="63">
        <f t="shared" si="2"/>
        <v>1</v>
      </c>
    </row>
    <row r="1133" ht="15.75" customHeight="1">
      <c r="B1133" s="95"/>
      <c r="C1133" s="103" t="s">
        <v>270</v>
      </c>
      <c r="D1133" s="102" t="s">
        <v>91</v>
      </c>
      <c r="E1133" s="101" t="s">
        <v>577</v>
      </c>
      <c r="F1133" s="101">
        <f t="shared" si="3"/>
        <v>3</v>
      </c>
      <c r="G1133" s="101" t="s">
        <v>1631</v>
      </c>
      <c r="H1133" s="63" t="str">
        <f>VLOOKUP(C1133, 'Class Def. - General Data'!$C$20:$C$476,1,false)</f>
        <v>ZPM1_AluCan_TinCan</v>
      </c>
      <c r="I1133" s="63" t="str">
        <f t="shared" si="1"/>
        <v>ZPM1_AluCan_TinCan3</v>
      </c>
      <c r="J1133" s="63">
        <f t="shared" si="2"/>
        <v>1</v>
      </c>
    </row>
    <row r="1134" ht="15.75" customHeight="1">
      <c r="B1134" s="95"/>
      <c r="C1134" s="103" t="s">
        <v>270</v>
      </c>
      <c r="D1134" s="102" t="s">
        <v>91</v>
      </c>
      <c r="E1134" s="101" t="s">
        <v>577</v>
      </c>
      <c r="F1134" s="101">
        <f t="shared" si="3"/>
        <v>4</v>
      </c>
      <c r="G1134" s="101" t="s">
        <v>1632</v>
      </c>
      <c r="H1134" s="63" t="str">
        <f>VLOOKUP(C1134, 'Class Def. - General Data'!$C$20:$C$476,1,false)</f>
        <v>ZPM1_AluCan_TinCan</v>
      </c>
      <c r="I1134" s="63" t="str">
        <f t="shared" si="1"/>
        <v>ZPM1_AluCan_TinCan4</v>
      </c>
      <c r="J1134" s="63">
        <f t="shared" si="2"/>
        <v>1</v>
      </c>
    </row>
    <row r="1135" ht="15.75" customHeight="1">
      <c r="B1135" s="95"/>
      <c r="C1135" s="103" t="s">
        <v>270</v>
      </c>
      <c r="D1135" s="102" t="s">
        <v>91</v>
      </c>
      <c r="E1135" s="101" t="s">
        <v>577</v>
      </c>
      <c r="F1135" s="101">
        <f t="shared" si="3"/>
        <v>5</v>
      </c>
      <c r="G1135" s="101" t="s">
        <v>1633</v>
      </c>
      <c r="H1135" s="63" t="str">
        <f>VLOOKUP(C1135, 'Class Def. - General Data'!$C$20:$C$476,1,false)</f>
        <v>ZPM1_AluCan_TinCan</v>
      </c>
      <c r="I1135" s="63" t="str">
        <f t="shared" si="1"/>
        <v>ZPM1_AluCan_TinCan5</v>
      </c>
      <c r="J1135" s="63">
        <f t="shared" si="2"/>
        <v>1</v>
      </c>
    </row>
    <row r="1136" ht="15.75" customHeight="1">
      <c r="B1136" s="95"/>
      <c r="C1136" s="103" t="s">
        <v>270</v>
      </c>
      <c r="D1136" s="102" t="s">
        <v>91</v>
      </c>
      <c r="E1136" s="101" t="s">
        <v>577</v>
      </c>
      <c r="F1136" s="101">
        <f t="shared" si="3"/>
        <v>6</v>
      </c>
      <c r="G1136" s="101" t="s">
        <v>1634</v>
      </c>
      <c r="H1136" s="63" t="str">
        <f>VLOOKUP(C1136, 'Class Def. - General Data'!$C$20:$C$476,1,false)</f>
        <v>ZPM1_AluCan_TinCan</v>
      </c>
      <c r="I1136" s="63" t="str">
        <f t="shared" si="1"/>
        <v>ZPM1_AluCan_TinCan6</v>
      </c>
      <c r="J1136" s="63">
        <f t="shared" si="2"/>
        <v>1</v>
      </c>
    </row>
    <row r="1137" ht="15.75" customHeight="1">
      <c r="B1137" s="95"/>
      <c r="C1137" s="103" t="s">
        <v>242</v>
      </c>
      <c r="D1137" s="102" t="s">
        <v>91</v>
      </c>
      <c r="E1137" s="101" t="s">
        <v>577</v>
      </c>
      <c r="F1137" s="101">
        <f t="shared" si="3"/>
        <v>1</v>
      </c>
      <c r="G1137" s="101" t="s">
        <v>1635</v>
      </c>
      <c r="H1137" s="63" t="str">
        <f>VLOOKUP(C1137, 'Class Def. - General Data'!$C$20:$C$476,1,false)</f>
        <v>ZPM1_Ball_Holder</v>
      </c>
      <c r="I1137" s="63" t="str">
        <f t="shared" si="1"/>
        <v>ZPM1_Ball_Holder1</v>
      </c>
      <c r="J1137" s="63">
        <f t="shared" si="2"/>
        <v>1</v>
      </c>
    </row>
    <row r="1138" ht="15.75" customHeight="1">
      <c r="B1138" s="95"/>
      <c r="C1138" s="103" t="s">
        <v>242</v>
      </c>
      <c r="D1138" s="102" t="s">
        <v>91</v>
      </c>
      <c r="E1138" s="101" t="s">
        <v>577</v>
      </c>
      <c r="F1138" s="101">
        <f t="shared" si="3"/>
        <v>2</v>
      </c>
      <c r="G1138" s="101" t="s">
        <v>1636</v>
      </c>
      <c r="H1138" s="63" t="str">
        <f>VLOOKUP(C1138, 'Class Def. - General Data'!$C$20:$C$476,1,false)</f>
        <v>ZPM1_Ball_Holder</v>
      </c>
      <c r="I1138" s="63" t="str">
        <f t="shared" si="1"/>
        <v>ZPM1_Ball_Holder2</v>
      </c>
      <c r="J1138" s="63">
        <f t="shared" si="2"/>
        <v>1</v>
      </c>
    </row>
    <row r="1139" ht="15.75" customHeight="1">
      <c r="B1139" s="95"/>
      <c r="C1139" s="103" t="s">
        <v>242</v>
      </c>
      <c r="D1139" s="102" t="s">
        <v>91</v>
      </c>
      <c r="E1139" s="101" t="s">
        <v>577</v>
      </c>
      <c r="F1139" s="101">
        <f t="shared" si="3"/>
        <v>3</v>
      </c>
      <c r="G1139" s="101" t="s">
        <v>1637</v>
      </c>
      <c r="H1139" s="63" t="str">
        <f>VLOOKUP(C1139, 'Class Def. - General Data'!$C$20:$C$476,1,false)</f>
        <v>ZPM1_Ball_Holder</v>
      </c>
      <c r="I1139" s="63" t="str">
        <f t="shared" si="1"/>
        <v>ZPM1_Ball_Holder3</v>
      </c>
      <c r="J1139" s="63">
        <f t="shared" si="2"/>
        <v>1</v>
      </c>
    </row>
    <row r="1140" ht="15.75" customHeight="1">
      <c r="B1140" s="95"/>
      <c r="C1140" s="103" t="s">
        <v>242</v>
      </c>
      <c r="D1140" s="102" t="s">
        <v>91</v>
      </c>
      <c r="E1140" s="101" t="s">
        <v>577</v>
      </c>
      <c r="F1140" s="101">
        <f t="shared" si="3"/>
        <v>4</v>
      </c>
      <c r="G1140" s="101" t="s">
        <v>1638</v>
      </c>
      <c r="H1140" s="63" t="str">
        <f>VLOOKUP(C1140, 'Class Def. - General Data'!$C$20:$C$476,1,false)</f>
        <v>ZPM1_Ball_Holder</v>
      </c>
      <c r="I1140" s="63" t="str">
        <f t="shared" si="1"/>
        <v>ZPM1_Ball_Holder4</v>
      </c>
      <c r="J1140" s="63">
        <f t="shared" si="2"/>
        <v>1</v>
      </c>
    </row>
    <row r="1141" ht="15.75" customHeight="1">
      <c r="B1141" s="95"/>
      <c r="C1141" s="103" t="s">
        <v>242</v>
      </c>
      <c r="D1141" s="102" t="s">
        <v>91</v>
      </c>
      <c r="E1141" s="101" t="s">
        <v>577</v>
      </c>
      <c r="F1141" s="101">
        <f t="shared" si="3"/>
        <v>5</v>
      </c>
      <c r="G1141" s="101" t="s">
        <v>1639</v>
      </c>
      <c r="H1141" s="63" t="str">
        <f>VLOOKUP(C1141, 'Class Def. - General Data'!$C$20:$C$476,1,false)</f>
        <v>ZPM1_Ball_Holder</v>
      </c>
      <c r="I1141" s="63" t="str">
        <f t="shared" si="1"/>
        <v>ZPM1_Ball_Holder5</v>
      </c>
      <c r="J1141" s="63">
        <f t="shared" si="2"/>
        <v>1</v>
      </c>
    </row>
    <row r="1142" ht="15.75" customHeight="1">
      <c r="B1142" s="95"/>
      <c r="C1142" s="103" t="s">
        <v>243</v>
      </c>
      <c r="D1142" s="102" t="s">
        <v>91</v>
      </c>
      <c r="E1142" s="101" t="s">
        <v>577</v>
      </c>
      <c r="F1142" s="101">
        <f t="shared" si="3"/>
        <v>1</v>
      </c>
      <c r="G1142" s="101" t="s">
        <v>1640</v>
      </c>
      <c r="H1142" s="63" t="str">
        <f>VLOOKUP(C1142, 'Class Def. - General Data'!$C$20:$C$476,1,false)</f>
        <v>ZPM1_Bottle_Ember</v>
      </c>
      <c r="I1142" s="63" t="str">
        <f t="shared" si="1"/>
        <v>ZPM1_Bottle_Ember1</v>
      </c>
      <c r="J1142" s="63">
        <f t="shared" si="2"/>
        <v>1</v>
      </c>
      <c r="L1142" s="75" t="s">
        <v>206</v>
      </c>
    </row>
    <row r="1143" ht="15.75" customHeight="1">
      <c r="B1143" s="95"/>
      <c r="C1143" s="103" t="s">
        <v>243</v>
      </c>
      <c r="D1143" s="102" t="s">
        <v>91</v>
      </c>
      <c r="E1143" s="101" t="s">
        <v>577</v>
      </c>
      <c r="F1143" s="101">
        <f t="shared" si="3"/>
        <v>2</v>
      </c>
      <c r="G1143" s="101" t="s">
        <v>1641</v>
      </c>
      <c r="H1143" s="63" t="str">
        <f>VLOOKUP(C1143, 'Class Def. - General Data'!$C$20:$C$476,1,false)</f>
        <v>ZPM1_Bottle_Ember</v>
      </c>
      <c r="I1143" s="63" t="str">
        <f t="shared" si="1"/>
        <v>ZPM1_Bottle_Ember2</v>
      </c>
      <c r="J1143" s="63">
        <f t="shared" si="2"/>
        <v>1</v>
      </c>
      <c r="L1143" s="75" t="s">
        <v>207</v>
      </c>
    </row>
    <row r="1144" ht="15.75" customHeight="1">
      <c r="B1144" s="95"/>
      <c r="C1144" s="103" t="s">
        <v>243</v>
      </c>
      <c r="D1144" s="102" t="s">
        <v>91</v>
      </c>
      <c r="E1144" s="101" t="s">
        <v>577</v>
      </c>
      <c r="F1144" s="101">
        <f t="shared" si="3"/>
        <v>3</v>
      </c>
      <c r="G1144" s="101" t="s">
        <v>1642</v>
      </c>
      <c r="H1144" s="63" t="str">
        <f>VLOOKUP(C1144, 'Class Def. - General Data'!$C$20:$C$476,1,false)</f>
        <v>ZPM1_Bottle_Ember</v>
      </c>
      <c r="I1144" s="63" t="str">
        <f t="shared" si="1"/>
        <v>ZPM1_Bottle_Ember3</v>
      </c>
      <c r="J1144" s="63">
        <f t="shared" si="2"/>
        <v>1</v>
      </c>
      <c r="L1144" s="75" t="s">
        <v>208</v>
      </c>
    </row>
    <row r="1145" ht="15.75" customHeight="1">
      <c r="B1145" s="95"/>
      <c r="C1145" s="103" t="s">
        <v>243</v>
      </c>
      <c r="D1145" s="102" t="s">
        <v>91</v>
      </c>
      <c r="E1145" s="101" t="s">
        <v>577</v>
      </c>
      <c r="F1145" s="101">
        <f t="shared" si="3"/>
        <v>4</v>
      </c>
      <c r="G1145" s="101" t="s">
        <v>1643</v>
      </c>
      <c r="H1145" s="63" t="str">
        <f>VLOOKUP(C1145, 'Class Def. - General Data'!$C$20:$C$476,1,false)</f>
        <v>ZPM1_Bottle_Ember</v>
      </c>
      <c r="I1145" s="63" t="str">
        <f t="shared" si="1"/>
        <v>ZPM1_Bottle_Ember4</v>
      </c>
      <c r="J1145" s="63">
        <f t="shared" si="2"/>
        <v>1</v>
      </c>
      <c r="L1145" s="75" t="s">
        <v>209</v>
      </c>
    </row>
    <row r="1146" ht="15.75" customHeight="1">
      <c r="B1146" s="95"/>
      <c r="C1146" s="103" t="s">
        <v>243</v>
      </c>
      <c r="D1146" s="102" t="s">
        <v>91</v>
      </c>
      <c r="E1146" s="101" t="s">
        <v>577</v>
      </c>
      <c r="F1146" s="101">
        <f t="shared" si="3"/>
        <v>5</v>
      </c>
      <c r="G1146" s="101" t="s">
        <v>1644</v>
      </c>
      <c r="H1146" s="63" t="str">
        <f>VLOOKUP(C1146, 'Class Def. - General Data'!$C$20:$C$476,1,false)</f>
        <v>ZPM1_Bottle_Ember</v>
      </c>
      <c r="I1146" s="63" t="str">
        <f t="shared" si="1"/>
        <v>ZPM1_Bottle_Ember5</v>
      </c>
      <c r="J1146" s="63">
        <f t="shared" si="2"/>
        <v>1</v>
      </c>
      <c r="L1146" s="75" t="s">
        <v>210</v>
      </c>
    </row>
    <row r="1147" ht="15.75" customHeight="1">
      <c r="B1147" s="95"/>
      <c r="C1147" s="103" t="s">
        <v>243</v>
      </c>
      <c r="D1147" s="102" t="s">
        <v>91</v>
      </c>
      <c r="E1147" s="101" t="s">
        <v>577</v>
      </c>
      <c r="F1147" s="101">
        <f t="shared" si="3"/>
        <v>6</v>
      </c>
      <c r="G1147" s="101" t="s">
        <v>1645</v>
      </c>
      <c r="H1147" s="63" t="str">
        <f>VLOOKUP(C1147, 'Class Def. - General Data'!$C$20:$C$476,1,false)</f>
        <v>ZPM1_Bottle_Ember</v>
      </c>
      <c r="I1147" s="63" t="str">
        <f t="shared" si="1"/>
        <v>ZPM1_Bottle_Ember6</v>
      </c>
      <c r="J1147" s="63">
        <f t="shared" si="2"/>
        <v>1</v>
      </c>
      <c r="L1147" s="75" t="s">
        <v>212</v>
      </c>
    </row>
    <row r="1148" ht="15.75" customHeight="1">
      <c r="B1148" s="95"/>
      <c r="C1148" s="103" t="s">
        <v>243</v>
      </c>
      <c r="D1148" s="102" t="s">
        <v>91</v>
      </c>
      <c r="E1148" s="101" t="s">
        <v>577</v>
      </c>
      <c r="F1148" s="101">
        <f t="shared" si="3"/>
        <v>7</v>
      </c>
      <c r="G1148" s="101" t="s">
        <v>1646</v>
      </c>
      <c r="H1148" s="63" t="str">
        <f>VLOOKUP(C1148, 'Class Def. - General Data'!$C$20:$C$476,1,false)</f>
        <v>ZPM1_Bottle_Ember</v>
      </c>
      <c r="I1148" s="63" t="str">
        <f t="shared" si="1"/>
        <v>ZPM1_Bottle_Ember7</v>
      </c>
      <c r="J1148" s="63">
        <f t="shared" si="2"/>
        <v>1</v>
      </c>
      <c r="L1148" s="75" t="s">
        <v>213</v>
      </c>
    </row>
    <row r="1149" ht="15.75" customHeight="1">
      <c r="B1149" s="95"/>
      <c r="C1149" s="103" t="s">
        <v>243</v>
      </c>
      <c r="D1149" s="102" t="s">
        <v>91</v>
      </c>
      <c r="E1149" s="101" t="s">
        <v>577</v>
      </c>
      <c r="F1149" s="101">
        <f t="shared" si="3"/>
        <v>8</v>
      </c>
      <c r="G1149" s="101" t="s">
        <v>1647</v>
      </c>
      <c r="H1149" s="63" t="str">
        <f>VLOOKUP(C1149, 'Class Def. - General Data'!$C$20:$C$476,1,false)</f>
        <v>ZPM1_Bottle_Ember</v>
      </c>
      <c r="I1149" s="63" t="str">
        <f t="shared" si="1"/>
        <v>ZPM1_Bottle_Ember8</v>
      </c>
      <c r="J1149" s="63">
        <f t="shared" si="2"/>
        <v>1</v>
      </c>
      <c r="L1149" s="75" t="s">
        <v>221</v>
      </c>
    </row>
    <row r="1150" ht="15.75" customHeight="1">
      <c r="B1150" s="95"/>
      <c r="C1150" s="103" t="s">
        <v>243</v>
      </c>
      <c r="D1150" s="102" t="s">
        <v>91</v>
      </c>
      <c r="E1150" s="101" t="s">
        <v>577</v>
      </c>
      <c r="F1150" s="101">
        <f t="shared" si="3"/>
        <v>9</v>
      </c>
      <c r="G1150" s="101" t="s">
        <v>1648</v>
      </c>
      <c r="H1150" s="63" t="str">
        <f>VLOOKUP(C1150, 'Class Def. - General Data'!$C$20:$C$476,1,false)</f>
        <v>ZPM1_Bottle_Ember</v>
      </c>
      <c r="I1150" s="63" t="str">
        <f t="shared" si="1"/>
        <v>ZPM1_Bottle_Ember9</v>
      </c>
      <c r="J1150" s="63">
        <f t="shared" si="2"/>
        <v>1</v>
      </c>
      <c r="L1150" s="75" t="s">
        <v>214</v>
      </c>
    </row>
    <row r="1151" ht="15.75" customHeight="1">
      <c r="B1151" s="95"/>
      <c r="C1151" s="103" t="s">
        <v>243</v>
      </c>
      <c r="D1151" s="102" t="s">
        <v>91</v>
      </c>
      <c r="E1151" s="101" t="s">
        <v>577</v>
      </c>
      <c r="F1151" s="101">
        <f t="shared" si="3"/>
        <v>10</v>
      </c>
      <c r="G1151" s="101" t="s">
        <v>1649</v>
      </c>
      <c r="H1151" s="63" t="str">
        <f>VLOOKUP(C1151, 'Class Def. - General Data'!$C$20:$C$476,1,false)</f>
        <v>ZPM1_Bottle_Ember</v>
      </c>
      <c r="I1151" s="63" t="str">
        <f t="shared" si="1"/>
        <v>ZPM1_Bottle_Ember10</v>
      </c>
      <c r="J1151" s="63">
        <f t="shared" si="2"/>
        <v>1</v>
      </c>
      <c r="L1151" s="75" t="s">
        <v>215</v>
      </c>
    </row>
    <row r="1152" ht="15.75" customHeight="1">
      <c r="B1152" s="95"/>
      <c r="C1152" s="103" t="s">
        <v>243</v>
      </c>
      <c r="D1152" s="102" t="s">
        <v>91</v>
      </c>
      <c r="E1152" s="101" t="s">
        <v>577</v>
      </c>
      <c r="F1152" s="101">
        <f t="shared" si="3"/>
        <v>11</v>
      </c>
      <c r="G1152" s="101" t="s">
        <v>1650</v>
      </c>
      <c r="H1152" s="63" t="str">
        <f>VLOOKUP(C1152, 'Class Def. - General Data'!$C$20:$C$476,1,false)</f>
        <v>ZPM1_Bottle_Ember</v>
      </c>
      <c r="I1152" s="63" t="str">
        <f t="shared" si="1"/>
        <v>ZPM1_Bottle_Ember11</v>
      </c>
      <c r="J1152" s="63">
        <f t="shared" si="2"/>
        <v>1</v>
      </c>
      <c r="L1152" s="75" t="s">
        <v>216</v>
      </c>
    </row>
    <row r="1153" ht="15.75" customHeight="1">
      <c r="B1153" s="95"/>
      <c r="C1153" s="103" t="s">
        <v>243</v>
      </c>
      <c r="D1153" s="102" t="s">
        <v>91</v>
      </c>
      <c r="E1153" s="101" t="s">
        <v>577</v>
      </c>
      <c r="F1153" s="101">
        <f t="shared" si="3"/>
        <v>12</v>
      </c>
      <c r="G1153" s="101" t="s">
        <v>1651</v>
      </c>
      <c r="H1153" s="63" t="str">
        <f>VLOOKUP(C1153, 'Class Def. - General Data'!$C$20:$C$476,1,false)</f>
        <v>ZPM1_Bottle_Ember</v>
      </c>
      <c r="I1153" s="63" t="str">
        <f t="shared" si="1"/>
        <v>ZPM1_Bottle_Ember12</v>
      </c>
      <c r="J1153" s="63">
        <f t="shared" si="2"/>
        <v>1</v>
      </c>
      <c r="L1153" s="75" t="s">
        <v>217</v>
      </c>
    </row>
    <row r="1154" ht="15.75" customHeight="1">
      <c r="B1154" s="95"/>
      <c r="C1154" s="103" t="s">
        <v>243</v>
      </c>
      <c r="D1154" s="102" t="s">
        <v>91</v>
      </c>
      <c r="E1154" s="101" t="s">
        <v>577</v>
      </c>
      <c r="F1154" s="101">
        <f t="shared" si="3"/>
        <v>13</v>
      </c>
      <c r="G1154" s="101" t="s">
        <v>1652</v>
      </c>
      <c r="H1154" s="63" t="str">
        <f>VLOOKUP(C1154, 'Class Def. - General Data'!$C$20:$C$476,1,false)</f>
        <v>ZPM1_Bottle_Ember</v>
      </c>
      <c r="I1154" s="63" t="str">
        <f t="shared" si="1"/>
        <v>ZPM1_Bottle_Ember13</v>
      </c>
      <c r="J1154" s="63">
        <f t="shared" si="2"/>
        <v>1</v>
      </c>
      <c r="L1154" s="75" t="s">
        <v>218</v>
      </c>
    </row>
    <row r="1155" ht="15.75" customHeight="1">
      <c r="B1155" s="95"/>
      <c r="C1155" s="103" t="s">
        <v>243</v>
      </c>
      <c r="D1155" s="102" t="s">
        <v>91</v>
      </c>
      <c r="E1155" s="101" t="s">
        <v>577</v>
      </c>
      <c r="F1155" s="101">
        <f t="shared" si="3"/>
        <v>14</v>
      </c>
      <c r="G1155" s="101" t="s">
        <v>1653</v>
      </c>
      <c r="H1155" s="63" t="str">
        <f>VLOOKUP(C1155, 'Class Def. - General Data'!$C$20:$C$476,1,false)</f>
        <v>ZPM1_Bottle_Ember</v>
      </c>
      <c r="I1155" s="63" t="str">
        <f t="shared" si="1"/>
        <v>ZPM1_Bottle_Ember14</v>
      </c>
      <c r="J1155" s="63">
        <f t="shared" si="2"/>
        <v>1</v>
      </c>
      <c r="L1155" s="75" t="s">
        <v>219</v>
      </c>
    </row>
    <row r="1156" ht="15.75" customHeight="1">
      <c r="B1156" s="95"/>
      <c r="C1156" s="103" t="s">
        <v>243</v>
      </c>
      <c r="D1156" s="102" t="s">
        <v>91</v>
      </c>
      <c r="E1156" s="101" t="s">
        <v>577</v>
      </c>
      <c r="F1156" s="101">
        <f t="shared" si="3"/>
        <v>15</v>
      </c>
      <c r="G1156" s="101" t="s">
        <v>1654</v>
      </c>
      <c r="H1156" s="63" t="str">
        <f>VLOOKUP(C1156, 'Class Def. - General Data'!$C$20:$C$476,1,false)</f>
        <v>ZPM1_Bottle_Ember</v>
      </c>
      <c r="I1156" s="63" t="str">
        <f t="shared" si="1"/>
        <v>ZPM1_Bottle_Ember15</v>
      </c>
      <c r="J1156" s="63">
        <f t="shared" si="2"/>
        <v>1</v>
      </c>
      <c r="L1156" s="75" t="s">
        <v>220</v>
      </c>
    </row>
    <row r="1157" ht="15.75" customHeight="1">
      <c r="B1157" s="95"/>
      <c r="C1157" s="103" t="s">
        <v>243</v>
      </c>
      <c r="D1157" s="102" t="s">
        <v>91</v>
      </c>
      <c r="E1157" s="101" t="s">
        <v>577</v>
      </c>
      <c r="F1157" s="101">
        <f t="shared" si="3"/>
        <v>16</v>
      </c>
      <c r="G1157" s="101" t="s">
        <v>1655</v>
      </c>
      <c r="H1157" s="63" t="str">
        <f>VLOOKUP(C1157, 'Class Def. - General Data'!$C$20:$C$476,1,false)</f>
        <v>ZPM1_Bottle_Ember</v>
      </c>
      <c r="I1157" s="63" t="str">
        <f t="shared" si="1"/>
        <v>ZPM1_Bottle_Ember16</v>
      </c>
      <c r="J1157" s="63">
        <f t="shared" si="2"/>
        <v>1</v>
      </c>
    </row>
    <row r="1158" ht="15.75" customHeight="1">
      <c r="B1158" s="95"/>
      <c r="C1158" s="103" t="s">
        <v>243</v>
      </c>
      <c r="D1158" s="102" t="s">
        <v>91</v>
      </c>
      <c r="E1158" s="101" t="s">
        <v>577</v>
      </c>
      <c r="F1158" s="101">
        <f t="shared" si="3"/>
        <v>17</v>
      </c>
      <c r="G1158" s="101" t="s">
        <v>1656</v>
      </c>
      <c r="H1158" s="63" t="str">
        <f>VLOOKUP(C1158, 'Class Def. - General Data'!$C$20:$C$476,1,false)</f>
        <v>ZPM1_Bottle_Ember</v>
      </c>
      <c r="I1158" s="63" t="str">
        <f t="shared" si="1"/>
        <v>ZPM1_Bottle_Ember17</v>
      </c>
      <c r="J1158" s="63">
        <f t="shared" si="2"/>
        <v>1</v>
      </c>
    </row>
    <row r="1159" ht="15.75" customHeight="1">
      <c r="B1159" s="95"/>
      <c r="C1159" s="103" t="s">
        <v>243</v>
      </c>
      <c r="D1159" s="102" t="s">
        <v>91</v>
      </c>
      <c r="E1159" s="101" t="s">
        <v>577</v>
      </c>
      <c r="F1159" s="101">
        <f t="shared" si="3"/>
        <v>18</v>
      </c>
      <c r="G1159" s="101" t="s">
        <v>1657</v>
      </c>
      <c r="H1159" s="63" t="str">
        <f>VLOOKUP(C1159, 'Class Def. - General Data'!$C$20:$C$476,1,false)</f>
        <v>ZPM1_Bottle_Ember</v>
      </c>
      <c r="I1159" s="63" t="str">
        <f t="shared" si="1"/>
        <v>ZPM1_Bottle_Ember18</v>
      </c>
      <c r="J1159" s="63">
        <f t="shared" si="2"/>
        <v>1</v>
      </c>
    </row>
    <row r="1160" ht="15.75" customHeight="1">
      <c r="B1160" s="95"/>
      <c r="C1160" s="103" t="s">
        <v>243</v>
      </c>
      <c r="D1160" s="102" t="s">
        <v>91</v>
      </c>
      <c r="E1160" s="101" t="s">
        <v>577</v>
      </c>
      <c r="F1160" s="101">
        <f t="shared" si="3"/>
        <v>19</v>
      </c>
      <c r="G1160" s="101" t="s">
        <v>1658</v>
      </c>
      <c r="H1160" s="63" t="str">
        <f>VLOOKUP(C1160, 'Class Def. - General Data'!$C$20:$C$476,1,false)</f>
        <v>ZPM1_Bottle_Ember</v>
      </c>
      <c r="I1160" s="63" t="str">
        <f t="shared" si="1"/>
        <v>ZPM1_Bottle_Ember19</v>
      </c>
      <c r="J1160" s="63">
        <f t="shared" si="2"/>
        <v>1</v>
      </c>
    </row>
    <row r="1161" ht="15.75" customHeight="1">
      <c r="B1161" s="95"/>
      <c r="C1161" s="103" t="s">
        <v>243</v>
      </c>
      <c r="D1161" s="102" t="s">
        <v>91</v>
      </c>
      <c r="E1161" s="101" t="s">
        <v>577</v>
      </c>
      <c r="F1161" s="101">
        <f t="shared" si="3"/>
        <v>20</v>
      </c>
      <c r="G1161" s="101" t="s">
        <v>1659</v>
      </c>
      <c r="H1161" s="63" t="str">
        <f>VLOOKUP(C1161, 'Class Def. - General Data'!$C$20:$C$476,1,false)</f>
        <v>ZPM1_Bottle_Ember</v>
      </c>
      <c r="I1161" s="63" t="str">
        <f t="shared" si="1"/>
        <v>ZPM1_Bottle_Ember20</v>
      </c>
      <c r="J1161" s="63">
        <f t="shared" si="2"/>
        <v>1</v>
      </c>
    </row>
    <row r="1162" ht="15.75" customHeight="1">
      <c r="B1162" s="95"/>
      <c r="C1162" s="103" t="s">
        <v>243</v>
      </c>
      <c r="D1162" s="102" t="s">
        <v>91</v>
      </c>
      <c r="E1162" s="101" t="s">
        <v>577</v>
      </c>
      <c r="F1162" s="101">
        <f t="shared" si="3"/>
        <v>21</v>
      </c>
      <c r="G1162" s="101" t="s">
        <v>1660</v>
      </c>
      <c r="H1162" s="63" t="str">
        <f>VLOOKUP(C1162, 'Class Def. - General Data'!$C$20:$C$476,1,false)</f>
        <v>ZPM1_Bottle_Ember</v>
      </c>
      <c r="I1162" s="63" t="str">
        <f t="shared" si="1"/>
        <v>ZPM1_Bottle_Ember21</v>
      </c>
      <c r="J1162" s="63">
        <f t="shared" si="2"/>
        <v>1</v>
      </c>
    </row>
    <row r="1163" ht="15.75" customHeight="1">
      <c r="B1163" s="95"/>
      <c r="C1163" s="103" t="s">
        <v>243</v>
      </c>
      <c r="D1163" s="102" t="s">
        <v>91</v>
      </c>
      <c r="E1163" s="101" t="s">
        <v>577</v>
      </c>
      <c r="F1163" s="101">
        <f t="shared" si="3"/>
        <v>22</v>
      </c>
      <c r="G1163" s="101" t="s">
        <v>1661</v>
      </c>
      <c r="H1163" s="63" t="str">
        <f>VLOOKUP(C1163, 'Class Def. - General Data'!$C$20:$C$476,1,false)</f>
        <v>ZPM1_Bottle_Ember</v>
      </c>
      <c r="I1163" s="63" t="str">
        <f t="shared" si="1"/>
        <v>ZPM1_Bottle_Ember22</v>
      </c>
      <c r="J1163" s="63">
        <f t="shared" si="2"/>
        <v>1</v>
      </c>
    </row>
    <row r="1164" ht="15.75" customHeight="1">
      <c r="B1164" s="95"/>
      <c r="C1164" s="103" t="s">
        <v>243</v>
      </c>
      <c r="D1164" s="102" t="s">
        <v>91</v>
      </c>
      <c r="E1164" s="101" t="s">
        <v>577</v>
      </c>
      <c r="F1164" s="101">
        <f t="shared" si="3"/>
        <v>23</v>
      </c>
      <c r="G1164" s="101" t="s">
        <v>1662</v>
      </c>
      <c r="H1164" s="63" t="str">
        <f>VLOOKUP(C1164, 'Class Def. - General Data'!$C$20:$C$476,1,false)</f>
        <v>ZPM1_Bottle_Ember</v>
      </c>
      <c r="I1164" s="63" t="str">
        <f t="shared" si="1"/>
        <v>ZPM1_Bottle_Ember23</v>
      </c>
      <c r="J1164" s="63">
        <f t="shared" si="2"/>
        <v>1</v>
      </c>
    </row>
    <row r="1165" ht="15.75" customHeight="1">
      <c r="B1165" s="95"/>
      <c r="C1165" s="103" t="s">
        <v>243</v>
      </c>
      <c r="D1165" s="102" t="s">
        <v>91</v>
      </c>
      <c r="E1165" s="101" t="s">
        <v>577</v>
      </c>
      <c r="F1165" s="101">
        <f t="shared" si="3"/>
        <v>24</v>
      </c>
      <c r="G1165" s="101" t="s">
        <v>1663</v>
      </c>
      <c r="H1165" s="63" t="str">
        <f>VLOOKUP(C1165, 'Class Def. - General Data'!$C$20:$C$476,1,false)</f>
        <v>ZPM1_Bottle_Ember</v>
      </c>
      <c r="I1165" s="63" t="str">
        <f t="shared" si="1"/>
        <v>ZPM1_Bottle_Ember24</v>
      </c>
      <c r="J1165" s="63">
        <f t="shared" si="2"/>
        <v>1</v>
      </c>
    </row>
    <row r="1166" ht="15.75" customHeight="1">
      <c r="B1166" s="95"/>
      <c r="C1166" s="103" t="s">
        <v>243</v>
      </c>
      <c r="D1166" s="102" t="s">
        <v>91</v>
      </c>
      <c r="E1166" s="101" t="s">
        <v>577</v>
      </c>
      <c r="F1166" s="101">
        <f t="shared" si="3"/>
        <v>25</v>
      </c>
      <c r="G1166" s="101" t="s">
        <v>1664</v>
      </c>
      <c r="H1166" s="63" t="str">
        <f>VLOOKUP(C1166, 'Class Def. - General Data'!$C$20:$C$476,1,false)</f>
        <v>ZPM1_Bottle_Ember</v>
      </c>
      <c r="I1166" s="63" t="str">
        <f t="shared" si="1"/>
        <v>ZPM1_Bottle_Ember25</v>
      </c>
      <c r="J1166" s="63">
        <f t="shared" si="2"/>
        <v>1</v>
      </c>
    </row>
    <row r="1167" ht="15.75" customHeight="1">
      <c r="B1167" s="95"/>
      <c r="C1167" s="103" t="s">
        <v>243</v>
      </c>
      <c r="D1167" s="102" t="s">
        <v>91</v>
      </c>
      <c r="E1167" s="101" t="s">
        <v>577</v>
      </c>
      <c r="F1167" s="101">
        <f t="shared" si="3"/>
        <v>26</v>
      </c>
      <c r="G1167" s="101" t="s">
        <v>1665</v>
      </c>
      <c r="H1167" s="63" t="str">
        <f>VLOOKUP(C1167, 'Class Def. - General Data'!$C$20:$C$476,1,false)</f>
        <v>ZPM1_Bottle_Ember</v>
      </c>
      <c r="I1167" s="63" t="str">
        <f t="shared" si="1"/>
        <v>ZPM1_Bottle_Ember26</v>
      </c>
      <c r="J1167" s="63">
        <f t="shared" si="2"/>
        <v>1</v>
      </c>
    </row>
    <row r="1168" ht="15.75" customHeight="1">
      <c r="B1168" s="95"/>
      <c r="C1168" s="103" t="s">
        <v>243</v>
      </c>
      <c r="D1168" s="102" t="s">
        <v>91</v>
      </c>
      <c r="E1168" s="101" t="s">
        <v>577</v>
      </c>
      <c r="F1168" s="101">
        <f t="shared" si="3"/>
        <v>27</v>
      </c>
      <c r="G1168" s="101" t="s">
        <v>1666</v>
      </c>
      <c r="H1168" s="63" t="str">
        <f>VLOOKUP(C1168, 'Class Def. - General Data'!$C$20:$C$476,1,false)</f>
        <v>ZPM1_Bottle_Ember</v>
      </c>
      <c r="I1168" s="63" t="str">
        <f t="shared" si="1"/>
        <v>ZPM1_Bottle_Ember27</v>
      </c>
      <c r="J1168" s="63">
        <f t="shared" si="2"/>
        <v>1</v>
      </c>
    </row>
    <row r="1169" ht="15.75" customHeight="1">
      <c r="B1169" s="95"/>
      <c r="C1169" s="103" t="s">
        <v>243</v>
      </c>
      <c r="D1169" s="102" t="s">
        <v>91</v>
      </c>
      <c r="E1169" s="101" t="s">
        <v>577</v>
      </c>
      <c r="F1169" s="101">
        <f t="shared" si="3"/>
        <v>28</v>
      </c>
      <c r="G1169" s="101" t="s">
        <v>1667</v>
      </c>
      <c r="H1169" s="63" t="str">
        <f>VLOOKUP(C1169, 'Class Def. - General Data'!$C$20:$C$476,1,false)</f>
        <v>ZPM1_Bottle_Ember</v>
      </c>
      <c r="I1169" s="63" t="str">
        <f t="shared" si="1"/>
        <v>ZPM1_Bottle_Ember28</v>
      </c>
      <c r="J1169" s="63">
        <f t="shared" si="2"/>
        <v>1</v>
      </c>
    </row>
    <row r="1170" ht="15.75" customHeight="1">
      <c r="B1170" s="95"/>
      <c r="C1170" s="103" t="s">
        <v>243</v>
      </c>
      <c r="D1170" s="102" t="s">
        <v>91</v>
      </c>
      <c r="E1170" s="101" t="s">
        <v>577</v>
      </c>
      <c r="F1170" s="101">
        <f t="shared" si="3"/>
        <v>29</v>
      </c>
      <c r="G1170" s="101" t="s">
        <v>1668</v>
      </c>
      <c r="H1170" s="63" t="str">
        <f>VLOOKUP(C1170, 'Class Def. - General Data'!$C$20:$C$476,1,false)</f>
        <v>ZPM1_Bottle_Ember</v>
      </c>
      <c r="I1170" s="63" t="str">
        <f t="shared" si="1"/>
        <v>ZPM1_Bottle_Ember29</v>
      </c>
      <c r="J1170" s="63">
        <f t="shared" si="2"/>
        <v>1</v>
      </c>
    </row>
    <row r="1171" ht="15.75" customHeight="1">
      <c r="B1171" s="95"/>
      <c r="C1171" s="103" t="s">
        <v>243</v>
      </c>
      <c r="D1171" s="102" t="s">
        <v>91</v>
      </c>
      <c r="E1171" s="101" t="s">
        <v>577</v>
      </c>
      <c r="F1171" s="101">
        <f t="shared" si="3"/>
        <v>30</v>
      </c>
      <c r="G1171" s="101" t="s">
        <v>1669</v>
      </c>
      <c r="H1171" s="63" t="str">
        <f>VLOOKUP(C1171, 'Class Def. - General Data'!$C$20:$C$476,1,false)</f>
        <v>ZPM1_Bottle_Ember</v>
      </c>
      <c r="I1171" s="63" t="str">
        <f t="shared" si="1"/>
        <v>ZPM1_Bottle_Ember30</v>
      </c>
      <c r="J1171" s="63">
        <f t="shared" si="2"/>
        <v>1</v>
      </c>
    </row>
    <row r="1172" ht="15.75" customHeight="1">
      <c r="B1172" s="95"/>
      <c r="C1172" s="103" t="s">
        <v>243</v>
      </c>
      <c r="D1172" s="102" t="s">
        <v>91</v>
      </c>
      <c r="E1172" s="101" t="s">
        <v>577</v>
      </c>
      <c r="F1172" s="101">
        <f t="shared" si="3"/>
        <v>31</v>
      </c>
      <c r="G1172" s="101" t="s">
        <v>1670</v>
      </c>
      <c r="H1172" s="63" t="str">
        <f>VLOOKUP(C1172, 'Class Def. - General Data'!$C$20:$C$476,1,false)</f>
        <v>ZPM1_Bottle_Ember</v>
      </c>
      <c r="I1172" s="63" t="str">
        <f t="shared" si="1"/>
        <v>ZPM1_Bottle_Ember31</v>
      </c>
      <c r="J1172" s="63">
        <f t="shared" si="2"/>
        <v>1</v>
      </c>
    </row>
    <row r="1173" ht="15.75" customHeight="1">
      <c r="B1173" s="95"/>
      <c r="C1173" s="103" t="s">
        <v>243</v>
      </c>
      <c r="D1173" s="102" t="s">
        <v>91</v>
      </c>
      <c r="E1173" s="101" t="s">
        <v>577</v>
      </c>
      <c r="F1173" s="101">
        <f t="shared" si="3"/>
        <v>32</v>
      </c>
      <c r="G1173" s="101" t="s">
        <v>1671</v>
      </c>
      <c r="H1173" s="63" t="str">
        <f>VLOOKUP(C1173, 'Class Def. - General Data'!$C$20:$C$476,1,false)</f>
        <v>ZPM1_Bottle_Ember</v>
      </c>
      <c r="I1173" s="63" t="str">
        <f t="shared" si="1"/>
        <v>ZPM1_Bottle_Ember32</v>
      </c>
      <c r="J1173" s="63">
        <f t="shared" si="2"/>
        <v>1</v>
      </c>
    </row>
    <row r="1174" ht="15.75" customHeight="1">
      <c r="B1174" s="95"/>
      <c r="C1174" s="103" t="s">
        <v>244</v>
      </c>
      <c r="D1174" s="102" t="s">
        <v>91</v>
      </c>
      <c r="E1174" s="101" t="s">
        <v>577</v>
      </c>
      <c r="F1174" s="101">
        <f t="shared" si="3"/>
        <v>1</v>
      </c>
      <c r="G1174" s="101" t="s">
        <v>1672</v>
      </c>
      <c r="H1174" s="63" t="str">
        <f>VLOOKUP(C1174, 'Class Def. - General Data'!$C$20:$C$476,1,false)</f>
        <v>ZPM1_Box</v>
      </c>
      <c r="I1174" s="63" t="str">
        <f t="shared" si="1"/>
        <v>ZPM1_Box1</v>
      </c>
      <c r="J1174" s="63">
        <f t="shared" si="2"/>
        <v>1</v>
      </c>
    </row>
    <row r="1175" ht="15.75" customHeight="1">
      <c r="B1175" s="95"/>
      <c r="C1175" s="103" t="s">
        <v>244</v>
      </c>
      <c r="D1175" s="102" t="s">
        <v>91</v>
      </c>
      <c r="E1175" s="101" t="s">
        <v>577</v>
      </c>
      <c r="F1175" s="101">
        <f t="shared" si="3"/>
        <v>2</v>
      </c>
      <c r="G1175" s="101" t="s">
        <v>1673</v>
      </c>
      <c r="H1175" s="63" t="str">
        <f>VLOOKUP(C1175, 'Class Def. - General Data'!$C$20:$C$476,1,false)</f>
        <v>ZPM1_Box</v>
      </c>
      <c r="I1175" s="63" t="str">
        <f t="shared" si="1"/>
        <v>ZPM1_Box2</v>
      </c>
      <c r="J1175" s="63">
        <f t="shared" si="2"/>
        <v>1</v>
      </c>
    </row>
    <row r="1176" ht="15.75" customHeight="1">
      <c r="B1176" s="95"/>
      <c r="C1176" s="103" t="s">
        <v>244</v>
      </c>
      <c r="D1176" s="102" t="s">
        <v>91</v>
      </c>
      <c r="E1176" s="101" t="s">
        <v>577</v>
      </c>
      <c r="F1176" s="101">
        <f t="shared" si="3"/>
        <v>3</v>
      </c>
      <c r="G1176" s="101" t="s">
        <v>1674</v>
      </c>
      <c r="H1176" s="63" t="str">
        <f>VLOOKUP(C1176, 'Class Def. - General Data'!$C$20:$C$476,1,false)</f>
        <v>ZPM1_Box</v>
      </c>
      <c r="I1176" s="63" t="str">
        <f t="shared" si="1"/>
        <v>ZPM1_Box3</v>
      </c>
      <c r="J1176" s="63">
        <f t="shared" si="2"/>
        <v>1</v>
      </c>
    </row>
    <row r="1177" ht="15.75" customHeight="1">
      <c r="B1177" s="95"/>
      <c r="C1177" s="103" t="s">
        <v>244</v>
      </c>
      <c r="D1177" s="102" t="s">
        <v>91</v>
      </c>
      <c r="E1177" s="101" t="s">
        <v>577</v>
      </c>
      <c r="F1177" s="101">
        <f t="shared" si="3"/>
        <v>4</v>
      </c>
      <c r="G1177" s="101" t="s">
        <v>1675</v>
      </c>
      <c r="H1177" s="63" t="str">
        <f>VLOOKUP(C1177, 'Class Def. - General Data'!$C$20:$C$476,1,false)</f>
        <v>ZPM1_Box</v>
      </c>
      <c r="I1177" s="63" t="str">
        <f t="shared" si="1"/>
        <v>ZPM1_Box4</v>
      </c>
      <c r="J1177" s="63">
        <f t="shared" si="2"/>
        <v>1</v>
      </c>
    </row>
    <row r="1178" ht="15.75" customHeight="1">
      <c r="B1178" s="95"/>
      <c r="C1178" s="103" t="s">
        <v>244</v>
      </c>
      <c r="D1178" s="102" t="s">
        <v>91</v>
      </c>
      <c r="E1178" s="101" t="s">
        <v>577</v>
      </c>
      <c r="F1178" s="101">
        <f t="shared" si="3"/>
        <v>5</v>
      </c>
      <c r="G1178" s="101" t="s">
        <v>1676</v>
      </c>
      <c r="H1178" s="63" t="str">
        <f>VLOOKUP(C1178, 'Class Def. - General Data'!$C$20:$C$476,1,false)</f>
        <v>ZPM1_Box</v>
      </c>
      <c r="I1178" s="63" t="str">
        <f t="shared" si="1"/>
        <v>ZPM1_Box5</v>
      </c>
      <c r="J1178" s="63">
        <f t="shared" si="2"/>
        <v>1</v>
      </c>
    </row>
    <row r="1179" ht="15.75" customHeight="1">
      <c r="B1179" s="95"/>
      <c r="C1179" s="103" t="s">
        <v>244</v>
      </c>
      <c r="D1179" s="102" t="s">
        <v>91</v>
      </c>
      <c r="E1179" s="101" t="s">
        <v>577</v>
      </c>
      <c r="F1179" s="101">
        <f t="shared" si="3"/>
        <v>6</v>
      </c>
      <c r="G1179" s="101" t="s">
        <v>1677</v>
      </c>
      <c r="H1179" s="63" t="str">
        <f>VLOOKUP(C1179, 'Class Def. - General Data'!$C$20:$C$476,1,false)</f>
        <v>ZPM1_Box</v>
      </c>
      <c r="I1179" s="63" t="str">
        <f t="shared" si="1"/>
        <v>ZPM1_Box6</v>
      </c>
      <c r="J1179" s="63">
        <f t="shared" si="2"/>
        <v>1</v>
      </c>
    </row>
    <row r="1180" ht="15.75" customHeight="1">
      <c r="B1180" s="95"/>
      <c r="C1180" s="103" t="s">
        <v>244</v>
      </c>
      <c r="D1180" s="102" t="s">
        <v>91</v>
      </c>
      <c r="E1180" s="101" t="s">
        <v>577</v>
      </c>
      <c r="F1180" s="101">
        <f t="shared" si="3"/>
        <v>7</v>
      </c>
      <c r="G1180" s="101" t="s">
        <v>1678</v>
      </c>
      <c r="H1180" s="63" t="str">
        <f>VLOOKUP(C1180, 'Class Def. - General Data'!$C$20:$C$476,1,false)</f>
        <v>ZPM1_Box</v>
      </c>
      <c r="I1180" s="63" t="str">
        <f t="shared" si="1"/>
        <v>ZPM1_Box7</v>
      </c>
      <c r="J1180" s="63">
        <f t="shared" si="2"/>
        <v>1</v>
      </c>
    </row>
    <row r="1181" ht="15.75" customHeight="1">
      <c r="B1181" s="95"/>
      <c r="C1181" s="103" t="s">
        <v>244</v>
      </c>
      <c r="D1181" s="102" t="s">
        <v>91</v>
      </c>
      <c r="E1181" s="101" t="s">
        <v>577</v>
      </c>
      <c r="F1181" s="101">
        <f t="shared" si="3"/>
        <v>8</v>
      </c>
      <c r="G1181" s="101" t="s">
        <v>1679</v>
      </c>
      <c r="H1181" s="63" t="str">
        <f>VLOOKUP(C1181, 'Class Def. - General Data'!$C$20:$C$476,1,false)</f>
        <v>ZPM1_Box</v>
      </c>
      <c r="I1181" s="63" t="str">
        <f t="shared" si="1"/>
        <v>ZPM1_Box8</v>
      </c>
      <c r="J1181" s="63">
        <f t="shared" si="2"/>
        <v>1</v>
      </c>
    </row>
    <row r="1182" ht="15.75" customHeight="1">
      <c r="B1182" s="95"/>
      <c r="C1182" s="103" t="s">
        <v>245</v>
      </c>
      <c r="D1182" s="102" t="s">
        <v>91</v>
      </c>
      <c r="E1182" s="101" t="s">
        <v>577</v>
      </c>
      <c r="F1182" s="101">
        <f t="shared" si="3"/>
        <v>1</v>
      </c>
      <c r="G1182" s="101" t="s">
        <v>1680</v>
      </c>
      <c r="H1182" s="63" t="str">
        <f>VLOOKUP(C1182, 'Class Def. - General Data'!$C$20:$C$476,1,false)</f>
        <v>ZPM1_Cup_Paper</v>
      </c>
      <c r="I1182" s="63" t="str">
        <f t="shared" si="1"/>
        <v>ZPM1_Cup_Paper1</v>
      </c>
      <c r="J1182" s="63">
        <f t="shared" si="2"/>
        <v>1</v>
      </c>
    </row>
    <row r="1183" ht="15.75" customHeight="1">
      <c r="B1183" s="95"/>
      <c r="C1183" s="103" t="s">
        <v>245</v>
      </c>
      <c r="D1183" s="102" t="s">
        <v>91</v>
      </c>
      <c r="E1183" s="101" t="s">
        <v>577</v>
      </c>
      <c r="F1183" s="101">
        <f t="shared" si="3"/>
        <v>2</v>
      </c>
      <c r="G1183" s="101" t="s">
        <v>1681</v>
      </c>
      <c r="H1183" s="63" t="str">
        <f>VLOOKUP(C1183, 'Class Def. - General Data'!$C$20:$C$476,1,false)</f>
        <v>ZPM1_Cup_Paper</v>
      </c>
      <c r="I1183" s="63" t="str">
        <f t="shared" si="1"/>
        <v>ZPM1_Cup_Paper2</v>
      </c>
      <c r="J1183" s="63">
        <f t="shared" si="2"/>
        <v>1</v>
      </c>
    </row>
    <row r="1184" ht="15.75" customHeight="1">
      <c r="B1184" s="95"/>
      <c r="C1184" s="103" t="s">
        <v>246</v>
      </c>
      <c r="D1184" s="102" t="s">
        <v>91</v>
      </c>
      <c r="E1184" s="101" t="s">
        <v>577</v>
      </c>
      <c r="F1184" s="101">
        <f t="shared" si="3"/>
        <v>1</v>
      </c>
      <c r="G1184" s="101" t="s">
        <v>1682</v>
      </c>
      <c r="H1184" s="63" t="str">
        <f>VLOOKUP(C1184, 'Class Def. - General Data'!$C$20:$C$476,1,false)</f>
        <v>ZPM1_Cup_Plastic</v>
      </c>
      <c r="I1184" s="63" t="str">
        <f t="shared" si="1"/>
        <v>ZPM1_Cup_Plastic1</v>
      </c>
      <c r="J1184" s="63">
        <f t="shared" si="2"/>
        <v>1</v>
      </c>
    </row>
    <row r="1185" ht="15.75" customHeight="1">
      <c r="B1185" s="95"/>
      <c r="C1185" s="103" t="s">
        <v>246</v>
      </c>
      <c r="D1185" s="102" t="s">
        <v>91</v>
      </c>
      <c r="E1185" s="101" t="s">
        <v>577</v>
      </c>
      <c r="F1185" s="101">
        <f t="shared" si="3"/>
        <v>2</v>
      </c>
      <c r="G1185" s="101" t="s">
        <v>1683</v>
      </c>
      <c r="H1185" s="63" t="str">
        <f>VLOOKUP(C1185, 'Class Def. - General Data'!$C$20:$C$476,1,false)</f>
        <v>ZPM1_Cup_Plastic</v>
      </c>
      <c r="I1185" s="63" t="str">
        <f t="shared" si="1"/>
        <v>ZPM1_Cup_Plastic2</v>
      </c>
      <c r="J1185" s="63">
        <f t="shared" si="2"/>
        <v>1</v>
      </c>
    </row>
    <row r="1186" ht="15.75" customHeight="1">
      <c r="B1186" s="95"/>
      <c r="C1186" s="103" t="s">
        <v>246</v>
      </c>
      <c r="D1186" s="102" t="s">
        <v>91</v>
      </c>
      <c r="E1186" s="101" t="s">
        <v>577</v>
      </c>
      <c r="F1186" s="101">
        <f t="shared" si="3"/>
        <v>3</v>
      </c>
      <c r="G1186" s="101" t="s">
        <v>1684</v>
      </c>
      <c r="H1186" s="63" t="str">
        <f>VLOOKUP(C1186, 'Class Def. - General Data'!$C$20:$C$476,1,false)</f>
        <v>ZPM1_Cup_Plastic</v>
      </c>
      <c r="I1186" s="63" t="str">
        <f t="shared" si="1"/>
        <v>ZPM1_Cup_Plastic3</v>
      </c>
      <c r="J1186" s="63">
        <f t="shared" si="2"/>
        <v>1</v>
      </c>
    </row>
    <row r="1187" ht="15.75" customHeight="1">
      <c r="B1187" s="95"/>
      <c r="C1187" s="103" t="s">
        <v>246</v>
      </c>
      <c r="D1187" s="102" t="s">
        <v>91</v>
      </c>
      <c r="E1187" s="101" t="s">
        <v>577</v>
      </c>
      <c r="F1187" s="101">
        <f t="shared" si="3"/>
        <v>4</v>
      </c>
      <c r="G1187" s="101" t="s">
        <v>1685</v>
      </c>
      <c r="H1187" s="63" t="str">
        <f>VLOOKUP(C1187, 'Class Def. - General Data'!$C$20:$C$476,1,false)</f>
        <v>ZPM1_Cup_Plastic</v>
      </c>
      <c r="I1187" s="63" t="str">
        <f t="shared" si="1"/>
        <v>ZPM1_Cup_Plastic4</v>
      </c>
      <c r="J1187" s="63">
        <f t="shared" si="2"/>
        <v>1</v>
      </c>
    </row>
    <row r="1188" ht="15.75" customHeight="1">
      <c r="B1188" s="95"/>
      <c r="C1188" s="103" t="s">
        <v>246</v>
      </c>
      <c r="D1188" s="102" t="s">
        <v>91</v>
      </c>
      <c r="E1188" s="101" t="s">
        <v>577</v>
      </c>
      <c r="F1188" s="101">
        <f t="shared" si="3"/>
        <v>5</v>
      </c>
      <c r="G1188" s="101" t="s">
        <v>1686</v>
      </c>
      <c r="H1188" s="63" t="str">
        <f>VLOOKUP(C1188, 'Class Def. - General Data'!$C$20:$C$476,1,false)</f>
        <v>ZPM1_Cup_Plastic</v>
      </c>
      <c r="I1188" s="63" t="str">
        <f t="shared" si="1"/>
        <v>ZPM1_Cup_Plastic5</v>
      </c>
      <c r="J1188" s="63">
        <f t="shared" si="2"/>
        <v>1</v>
      </c>
    </row>
    <row r="1189" ht="15.75" customHeight="1">
      <c r="B1189" s="95"/>
      <c r="C1189" s="103" t="s">
        <v>246</v>
      </c>
      <c r="D1189" s="102" t="s">
        <v>91</v>
      </c>
      <c r="E1189" s="101" t="s">
        <v>577</v>
      </c>
      <c r="F1189" s="101">
        <f t="shared" si="3"/>
        <v>6</v>
      </c>
      <c r="G1189" s="101" t="s">
        <v>1687</v>
      </c>
      <c r="H1189" s="63" t="str">
        <f>VLOOKUP(C1189, 'Class Def. - General Data'!$C$20:$C$476,1,false)</f>
        <v>ZPM1_Cup_Plastic</v>
      </c>
      <c r="I1189" s="63" t="str">
        <f t="shared" si="1"/>
        <v>ZPM1_Cup_Plastic6</v>
      </c>
      <c r="J1189" s="63">
        <f t="shared" si="2"/>
        <v>1</v>
      </c>
    </row>
    <row r="1190" ht="15.75" customHeight="1">
      <c r="B1190" s="95"/>
      <c r="C1190" s="103" t="s">
        <v>247</v>
      </c>
      <c r="D1190" s="102" t="s">
        <v>91</v>
      </c>
      <c r="E1190" s="101" t="s">
        <v>577</v>
      </c>
      <c r="F1190" s="101">
        <f t="shared" si="3"/>
        <v>1</v>
      </c>
      <c r="G1190" s="101" t="s">
        <v>1688</v>
      </c>
      <c r="H1190" s="63" t="str">
        <f>VLOOKUP(C1190, 'Class Def. - General Data'!$C$20:$C$476,1,false)</f>
        <v>ZPM1_Drum</v>
      </c>
      <c r="I1190" s="63" t="str">
        <f t="shared" si="1"/>
        <v>ZPM1_Drum1</v>
      </c>
      <c r="J1190" s="63">
        <f t="shared" si="2"/>
        <v>1</v>
      </c>
    </row>
    <row r="1191" ht="15.75" customHeight="1">
      <c r="B1191" s="95"/>
      <c r="C1191" s="103" t="s">
        <v>247</v>
      </c>
      <c r="D1191" s="102" t="s">
        <v>91</v>
      </c>
      <c r="E1191" s="101" t="s">
        <v>577</v>
      </c>
      <c r="F1191" s="101">
        <f t="shared" si="3"/>
        <v>2</v>
      </c>
      <c r="G1191" s="101" t="s">
        <v>1689</v>
      </c>
      <c r="H1191" s="63" t="str">
        <f>VLOOKUP(C1191, 'Class Def. - General Data'!$C$20:$C$476,1,false)</f>
        <v>ZPM1_Drum</v>
      </c>
      <c r="I1191" s="63" t="str">
        <f t="shared" si="1"/>
        <v>ZPM1_Drum2</v>
      </c>
      <c r="J1191" s="63">
        <f t="shared" si="2"/>
        <v>1</v>
      </c>
    </row>
    <row r="1192" ht="15.75" customHeight="1">
      <c r="B1192" s="95"/>
      <c r="C1192" s="103" t="s">
        <v>247</v>
      </c>
      <c r="D1192" s="102" t="s">
        <v>91</v>
      </c>
      <c r="E1192" s="101" t="s">
        <v>577</v>
      </c>
      <c r="F1192" s="101">
        <f t="shared" si="3"/>
        <v>3</v>
      </c>
      <c r="G1192" s="101" t="s">
        <v>1690</v>
      </c>
      <c r="H1192" s="63" t="str">
        <f>VLOOKUP(C1192, 'Class Def. - General Data'!$C$20:$C$476,1,false)</f>
        <v>ZPM1_Drum</v>
      </c>
      <c r="I1192" s="63" t="str">
        <f t="shared" si="1"/>
        <v>ZPM1_Drum3</v>
      </c>
      <c r="J1192" s="63">
        <f t="shared" si="2"/>
        <v>1</v>
      </c>
    </row>
    <row r="1193" ht="15.75" customHeight="1">
      <c r="B1193" s="95"/>
      <c r="C1193" s="103" t="s">
        <v>247</v>
      </c>
      <c r="D1193" s="102" t="s">
        <v>91</v>
      </c>
      <c r="E1193" s="101" t="s">
        <v>577</v>
      </c>
      <c r="F1193" s="101">
        <f t="shared" si="3"/>
        <v>4</v>
      </c>
      <c r="G1193" s="101" t="s">
        <v>1691</v>
      </c>
      <c r="H1193" s="63" t="str">
        <f>VLOOKUP(C1193, 'Class Def. - General Data'!$C$20:$C$476,1,false)</f>
        <v>ZPM1_Drum</v>
      </c>
      <c r="I1193" s="63" t="str">
        <f t="shared" si="1"/>
        <v>ZPM1_Drum4</v>
      </c>
      <c r="J1193" s="63">
        <f t="shared" si="2"/>
        <v>1</v>
      </c>
    </row>
    <row r="1194" ht="15.75" customHeight="1">
      <c r="B1194" s="95"/>
      <c r="C1194" s="103" t="s">
        <v>247</v>
      </c>
      <c r="D1194" s="102" t="s">
        <v>91</v>
      </c>
      <c r="E1194" s="101" t="s">
        <v>577</v>
      </c>
      <c r="F1194" s="101">
        <f t="shared" si="3"/>
        <v>5</v>
      </c>
      <c r="G1194" s="101" t="s">
        <v>1692</v>
      </c>
      <c r="H1194" s="63" t="str">
        <f>VLOOKUP(C1194, 'Class Def. - General Data'!$C$20:$C$476,1,false)</f>
        <v>ZPM1_Drum</v>
      </c>
      <c r="I1194" s="63" t="str">
        <f t="shared" si="1"/>
        <v>ZPM1_Drum5</v>
      </c>
      <c r="J1194" s="63">
        <f t="shared" si="2"/>
        <v>1</v>
      </c>
    </row>
    <row r="1195" ht="15.75" customHeight="1">
      <c r="B1195" s="95"/>
      <c r="C1195" s="103" t="s">
        <v>247</v>
      </c>
      <c r="D1195" s="102" t="s">
        <v>91</v>
      </c>
      <c r="E1195" s="101" t="s">
        <v>577</v>
      </c>
      <c r="F1195" s="101">
        <f t="shared" si="3"/>
        <v>6</v>
      </c>
      <c r="G1195" s="101" t="s">
        <v>1693</v>
      </c>
      <c r="H1195" s="63" t="str">
        <f>VLOOKUP(C1195, 'Class Def. - General Data'!$C$20:$C$476,1,false)</f>
        <v>ZPM1_Drum</v>
      </c>
      <c r="I1195" s="63" t="str">
        <f t="shared" si="1"/>
        <v>ZPM1_Drum6</v>
      </c>
      <c r="J1195" s="63">
        <f t="shared" si="2"/>
        <v>1</v>
      </c>
    </row>
    <row r="1196" ht="15.75" customHeight="1">
      <c r="B1196" s="95"/>
      <c r="C1196" s="103" t="s">
        <v>248</v>
      </c>
      <c r="D1196" s="102" t="s">
        <v>91</v>
      </c>
      <c r="E1196" s="101" t="s">
        <v>577</v>
      </c>
      <c r="F1196" s="101">
        <f t="shared" si="3"/>
        <v>1</v>
      </c>
      <c r="G1196" s="101" t="s">
        <v>1694</v>
      </c>
      <c r="H1196" s="63" t="str">
        <f>VLOOKUP(C1196, 'Class Def. - General Data'!$C$20:$C$476,1,false)</f>
        <v>ZPM1_Jerrycan</v>
      </c>
      <c r="I1196" s="63" t="str">
        <f t="shared" si="1"/>
        <v>ZPM1_Jerrycan1</v>
      </c>
      <c r="J1196" s="63">
        <f t="shared" si="2"/>
        <v>1</v>
      </c>
    </row>
    <row r="1197" ht="15.75" customHeight="1">
      <c r="B1197" s="95"/>
      <c r="C1197" s="103" t="s">
        <v>248</v>
      </c>
      <c r="D1197" s="102" t="s">
        <v>91</v>
      </c>
      <c r="E1197" s="101" t="s">
        <v>577</v>
      </c>
      <c r="F1197" s="101">
        <f t="shared" si="3"/>
        <v>2</v>
      </c>
      <c r="G1197" s="101" t="s">
        <v>1695</v>
      </c>
      <c r="H1197" s="63" t="str">
        <f>VLOOKUP(C1197, 'Class Def. - General Data'!$C$20:$C$476,1,false)</f>
        <v>ZPM1_Jerrycan</v>
      </c>
      <c r="I1197" s="63" t="str">
        <f t="shared" si="1"/>
        <v>ZPM1_Jerrycan2</v>
      </c>
      <c r="J1197" s="63">
        <f t="shared" si="2"/>
        <v>1</v>
      </c>
    </row>
    <row r="1198" ht="15.75" customHeight="1">
      <c r="B1198" s="95"/>
      <c r="C1198" s="103" t="s">
        <v>248</v>
      </c>
      <c r="D1198" s="102" t="s">
        <v>91</v>
      </c>
      <c r="E1198" s="101" t="s">
        <v>577</v>
      </c>
      <c r="F1198" s="101">
        <f t="shared" si="3"/>
        <v>3</v>
      </c>
      <c r="G1198" s="101" t="s">
        <v>1696</v>
      </c>
      <c r="H1198" s="63" t="str">
        <f>VLOOKUP(C1198, 'Class Def. - General Data'!$C$20:$C$476,1,false)</f>
        <v>ZPM1_Jerrycan</v>
      </c>
      <c r="I1198" s="63" t="str">
        <f t="shared" si="1"/>
        <v>ZPM1_Jerrycan3</v>
      </c>
      <c r="J1198" s="63">
        <f t="shared" si="2"/>
        <v>1</v>
      </c>
    </row>
    <row r="1199" ht="15.75" customHeight="1">
      <c r="B1199" s="95"/>
      <c r="C1199" s="103" t="s">
        <v>248</v>
      </c>
      <c r="D1199" s="102" t="s">
        <v>91</v>
      </c>
      <c r="E1199" s="101" t="s">
        <v>577</v>
      </c>
      <c r="F1199" s="101">
        <f t="shared" si="3"/>
        <v>4</v>
      </c>
      <c r="G1199" s="101" t="s">
        <v>1697</v>
      </c>
      <c r="H1199" s="63" t="str">
        <f>VLOOKUP(C1199, 'Class Def. - General Data'!$C$20:$C$476,1,false)</f>
        <v>ZPM1_Jerrycan</v>
      </c>
      <c r="I1199" s="63" t="str">
        <f t="shared" si="1"/>
        <v>ZPM1_Jerrycan4</v>
      </c>
      <c r="J1199" s="63">
        <f t="shared" si="2"/>
        <v>1</v>
      </c>
    </row>
    <row r="1200" ht="15.75" customHeight="1">
      <c r="B1200" s="95"/>
      <c r="C1200" s="103" t="s">
        <v>248</v>
      </c>
      <c r="D1200" s="102" t="s">
        <v>91</v>
      </c>
      <c r="E1200" s="101" t="s">
        <v>577</v>
      </c>
      <c r="F1200" s="101">
        <f t="shared" si="3"/>
        <v>5</v>
      </c>
      <c r="G1200" s="101" t="s">
        <v>1698</v>
      </c>
      <c r="H1200" s="63" t="str">
        <f>VLOOKUP(C1200, 'Class Def. - General Data'!$C$20:$C$476,1,false)</f>
        <v>ZPM1_Jerrycan</v>
      </c>
      <c r="I1200" s="63" t="str">
        <f t="shared" si="1"/>
        <v>ZPM1_Jerrycan5</v>
      </c>
      <c r="J1200" s="63">
        <f t="shared" si="2"/>
        <v>1</v>
      </c>
    </row>
    <row r="1201" ht="15.75" customHeight="1">
      <c r="B1201" s="95"/>
      <c r="C1201" s="103" t="s">
        <v>248</v>
      </c>
      <c r="D1201" s="102" t="s">
        <v>91</v>
      </c>
      <c r="E1201" s="101" t="s">
        <v>577</v>
      </c>
      <c r="F1201" s="101">
        <f t="shared" si="3"/>
        <v>6</v>
      </c>
      <c r="G1201" s="101" t="s">
        <v>1699</v>
      </c>
      <c r="H1201" s="63" t="str">
        <f>VLOOKUP(C1201, 'Class Def. - General Data'!$C$20:$C$476,1,false)</f>
        <v>ZPM1_Jerrycan</v>
      </c>
      <c r="I1201" s="63" t="str">
        <f t="shared" si="1"/>
        <v>ZPM1_Jerrycan6</v>
      </c>
      <c r="J1201" s="63">
        <f t="shared" si="2"/>
        <v>1</v>
      </c>
    </row>
    <row r="1202" ht="15.75" customHeight="1">
      <c r="B1202" s="95"/>
      <c r="C1202" s="103" t="s">
        <v>248</v>
      </c>
      <c r="D1202" s="102" t="s">
        <v>91</v>
      </c>
      <c r="E1202" s="101" t="s">
        <v>577</v>
      </c>
      <c r="F1202" s="101">
        <f t="shared" si="3"/>
        <v>7</v>
      </c>
      <c r="G1202" s="101" t="s">
        <v>1700</v>
      </c>
      <c r="H1202" s="63" t="str">
        <f>VLOOKUP(C1202, 'Class Def. - General Data'!$C$20:$C$476,1,false)</f>
        <v>ZPM1_Jerrycan</v>
      </c>
      <c r="I1202" s="63" t="str">
        <f t="shared" si="1"/>
        <v>ZPM1_Jerrycan7</v>
      </c>
      <c r="J1202" s="63">
        <f t="shared" si="2"/>
        <v>1</v>
      </c>
    </row>
    <row r="1203" ht="15.75" customHeight="1">
      <c r="B1203" s="95"/>
      <c r="C1203" s="103" t="s">
        <v>248</v>
      </c>
      <c r="D1203" s="102" t="s">
        <v>91</v>
      </c>
      <c r="E1203" s="101" t="s">
        <v>577</v>
      </c>
      <c r="F1203" s="101">
        <f t="shared" si="3"/>
        <v>8</v>
      </c>
      <c r="G1203" s="101" t="s">
        <v>1701</v>
      </c>
      <c r="H1203" s="63" t="str">
        <f>VLOOKUP(C1203, 'Class Def. - General Data'!$C$20:$C$476,1,false)</f>
        <v>ZPM1_Jerrycan</v>
      </c>
      <c r="I1203" s="63" t="str">
        <f t="shared" si="1"/>
        <v>ZPM1_Jerrycan8</v>
      </c>
      <c r="J1203" s="63">
        <f t="shared" si="2"/>
        <v>1</v>
      </c>
    </row>
    <row r="1204" ht="15.75" customHeight="1">
      <c r="B1204" s="95"/>
      <c r="C1204" s="103" t="s">
        <v>248</v>
      </c>
      <c r="D1204" s="102" t="s">
        <v>91</v>
      </c>
      <c r="E1204" s="101" t="s">
        <v>577</v>
      </c>
      <c r="F1204" s="101">
        <f t="shared" si="3"/>
        <v>9</v>
      </c>
      <c r="G1204" s="101" t="s">
        <v>1702</v>
      </c>
      <c r="H1204" s="63" t="str">
        <f>VLOOKUP(C1204, 'Class Def. - General Data'!$C$20:$C$476,1,false)</f>
        <v>ZPM1_Jerrycan</v>
      </c>
      <c r="I1204" s="63" t="str">
        <f t="shared" si="1"/>
        <v>ZPM1_Jerrycan9</v>
      </c>
      <c r="J1204" s="63">
        <f t="shared" si="2"/>
        <v>1</v>
      </c>
    </row>
    <row r="1205" ht="15.75" customHeight="1">
      <c r="B1205" s="95"/>
      <c r="C1205" s="103" t="s">
        <v>248</v>
      </c>
      <c r="D1205" s="102" t="s">
        <v>91</v>
      </c>
      <c r="E1205" s="101" t="s">
        <v>577</v>
      </c>
      <c r="F1205" s="101">
        <f t="shared" si="3"/>
        <v>10</v>
      </c>
      <c r="G1205" s="101" t="s">
        <v>1703</v>
      </c>
      <c r="H1205" s="63" t="str">
        <f>VLOOKUP(C1205, 'Class Def. - General Data'!$C$20:$C$476,1,false)</f>
        <v>ZPM1_Jerrycan</v>
      </c>
      <c r="I1205" s="63" t="str">
        <f t="shared" si="1"/>
        <v>ZPM1_Jerrycan10</v>
      </c>
      <c r="J1205" s="63">
        <f t="shared" si="2"/>
        <v>1</v>
      </c>
    </row>
    <row r="1206" ht="15.75" customHeight="1">
      <c r="B1206" s="95"/>
      <c r="C1206" s="103" t="s">
        <v>249</v>
      </c>
      <c r="D1206" s="102" t="s">
        <v>91</v>
      </c>
      <c r="E1206" s="101" t="s">
        <v>577</v>
      </c>
      <c r="F1206" s="101">
        <f t="shared" si="3"/>
        <v>1</v>
      </c>
      <c r="G1206" s="101" t="s">
        <v>1704</v>
      </c>
      <c r="H1206" s="63" t="str">
        <f>VLOOKUP(C1206, 'Class Def. - General Data'!$C$20:$C$476,1,false)</f>
        <v>ZPM1_BagCupLid</v>
      </c>
      <c r="I1206" s="63" t="str">
        <f t="shared" si="1"/>
        <v>ZPM1_BagCupLid1</v>
      </c>
      <c r="J1206" s="63">
        <f t="shared" si="2"/>
        <v>1</v>
      </c>
    </row>
    <row r="1207" ht="15.75" customHeight="1">
      <c r="B1207" s="95"/>
      <c r="C1207" s="103" t="s">
        <v>249</v>
      </c>
      <c r="D1207" s="102" t="s">
        <v>91</v>
      </c>
      <c r="E1207" s="101" t="s">
        <v>577</v>
      </c>
      <c r="F1207" s="101">
        <f t="shared" si="3"/>
        <v>2</v>
      </c>
      <c r="G1207" s="101" t="s">
        <v>1705</v>
      </c>
      <c r="H1207" s="63" t="str">
        <f>VLOOKUP(C1207, 'Class Def. - General Data'!$C$20:$C$476,1,false)</f>
        <v>ZPM1_BagCupLid</v>
      </c>
      <c r="I1207" s="63" t="str">
        <f t="shared" si="1"/>
        <v>ZPM1_BagCupLid2</v>
      </c>
      <c r="J1207" s="63">
        <f t="shared" si="2"/>
        <v>1</v>
      </c>
    </row>
    <row r="1208" ht="15.75" customHeight="1">
      <c r="B1208" s="95"/>
      <c r="C1208" s="103" t="s">
        <v>249</v>
      </c>
      <c r="D1208" s="102" t="s">
        <v>91</v>
      </c>
      <c r="E1208" s="101" t="s">
        <v>577</v>
      </c>
      <c r="F1208" s="101">
        <f t="shared" si="3"/>
        <v>3</v>
      </c>
      <c r="G1208" s="101" t="s">
        <v>1706</v>
      </c>
      <c r="H1208" s="63" t="str">
        <f>VLOOKUP(C1208, 'Class Def. - General Data'!$C$20:$C$476,1,false)</f>
        <v>ZPM1_BagCupLid</v>
      </c>
      <c r="I1208" s="63" t="str">
        <f t="shared" si="1"/>
        <v>ZPM1_BagCupLid3</v>
      </c>
      <c r="J1208" s="63">
        <f t="shared" si="2"/>
        <v>1</v>
      </c>
    </row>
    <row r="1209" ht="15.75" customHeight="1">
      <c r="B1209" s="95"/>
      <c r="C1209" s="103" t="s">
        <v>249</v>
      </c>
      <c r="D1209" s="102" t="s">
        <v>91</v>
      </c>
      <c r="E1209" s="101" t="s">
        <v>577</v>
      </c>
      <c r="F1209" s="101">
        <f t="shared" si="3"/>
        <v>4</v>
      </c>
      <c r="G1209" s="101" t="s">
        <v>1707</v>
      </c>
      <c r="H1209" s="63" t="str">
        <f>VLOOKUP(C1209, 'Class Def. - General Data'!$C$20:$C$476,1,false)</f>
        <v>ZPM1_BagCupLid</v>
      </c>
      <c r="I1209" s="63" t="str">
        <f t="shared" si="1"/>
        <v>ZPM1_BagCupLid4</v>
      </c>
      <c r="J1209" s="63">
        <f t="shared" si="2"/>
        <v>1</v>
      </c>
    </row>
    <row r="1210" ht="15.75" customHeight="1">
      <c r="B1210" s="95"/>
      <c r="C1210" s="103" t="s">
        <v>249</v>
      </c>
      <c r="D1210" s="102" t="s">
        <v>91</v>
      </c>
      <c r="E1210" s="101" t="s">
        <v>577</v>
      </c>
      <c r="F1210" s="101">
        <f t="shared" si="3"/>
        <v>5</v>
      </c>
      <c r="G1210" s="101" t="s">
        <v>1708</v>
      </c>
      <c r="H1210" s="63" t="str">
        <f>VLOOKUP(C1210, 'Class Def. - General Data'!$C$20:$C$476,1,false)</f>
        <v>ZPM1_BagCupLid</v>
      </c>
      <c r="I1210" s="63" t="str">
        <f t="shared" si="1"/>
        <v>ZPM1_BagCupLid5</v>
      </c>
      <c r="J1210" s="63">
        <f t="shared" si="2"/>
        <v>1</v>
      </c>
    </row>
    <row r="1211" ht="15.75" customHeight="1">
      <c r="B1211" s="95"/>
      <c r="C1211" s="103" t="s">
        <v>249</v>
      </c>
      <c r="D1211" s="102" t="s">
        <v>91</v>
      </c>
      <c r="E1211" s="101" t="s">
        <v>577</v>
      </c>
      <c r="F1211" s="101">
        <f t="shared" si="3"/>
        <v>6</v>
      </c>
      <c r="G1211" s="101" t="s">
        <v>1709</v>
      </c>
      <c r="H1211" s="63" t="str">
        <f>VLOOKUP(C1211, 'Class Def. - General Data'!$C$20:$C$476,1,false)</f>
        <v>ZPM1_BagCupLid</v>
      </c>
      <c r="I1211" s="63" t="str">
        <f t="shared" si="1"/>
        <v>ZPM1_BagCupLid6</v>
      </c>
      <c r="J1211" s="63">
        <f t="shared" si="2"/>
        <v>1</v>
      </c>
    </row>
    <row r="1212" ht="15.75" customHeight="1">
      <c r="B1212" s="95"/>
      <c r="C1212" s="103" t="s">
        <v>279</v>
      </c>
      <c r="D1212" s="102" t="s">
        <v>91</v>
      </c>
      <c r="E1212" s="101" t="s">
        <v>577</v>
      </c>
      <c r="F1212" s="101">
        <f t="shared" si="3"/>
        <v>1</v>
      </c>
      <c r="G1212" s="101" t="s">
        <v>1710</v>
      </c>
      <c r="H1212" s="63" t="str">
        <f>VLOOKUP(C1212, 'Class Def. - General Data'!$C$20:$C$476,1,false)</f>
        <v>ZPM1_Sack</v>
      </c>
      <c r="I1212" s="63" t="str">
        <f t="shared" si="1"/>
        <v>ZPM1_Sack1</v>
      </c>
      <c r="J1212" s="63">
        <f t="shared" si="2"/>
        <v>1</v>
      </c>
    </row>
    <row r="1213" ht="15.75" customHeight="1">
      <c r="B1213" s="95"/>
      <c r="C1213" s="103" t="s">
        <v>279</v>
      </c>
      <c r="D1213" s="102" t="s">
        <v>91</v>
      </c>
      <c r="E1213" s="101" t="s">
        <v>577</v>
      </c>
      <c r="F1213" s="101">
        <f t="shared" si="3"/>
        <v>2</v>
      </c>
      <c r="G1213" s="101" t="s">
        <v>1711</v>
      </c>
      <c r="H1213" s="63" t="str">
        <f>VLOOKUP(C1213, 'Class Def. - General Data'!$C$20:$C$476,1,false)</f>
        <v>ZPM1_Sack</v>
      </c>
      <c r="I1213" s="63" t="str">
        <f t="shared" si="1"/>
        <v>ZPM1_Sack2</v>
      </c>
      <c r="J1213" s="63">
        <f t="shared" si="2"/>
        <v>1</v>
      </c>
    </row>
    <row r="1214" ht="15.75" customHeight="1">
      <c r="B1214" s="95"/>
      <c r="C1214" s="103" t="s">
        <v>279</v>
      </c>
      <c r="D1214" s="102" t="s">
        <v>91</v>
      </c>
      <c r="E1214" s="101" t="s">
        <v>577</v>
      </c>
      <c r="F1214" s="101">
        <f t="shared" si="3"/>
        <v>3</v>
      </c>
      <c r="G1214" s="101" t="s">
        <v>1712</v>
      </c>
      <c r="H1214" s="63" t="str">
        <f>VLOOKUP(C1214, 'Class Def. - General Data'!$C$20:$C$476,1,false)</f>
        <v>ZPM1_Sack</v>
      </c>
      <c r="I1214" s="63" t="str">
        <f t="shared" si="1"/>
        <v>ZPM1_Sack3</v>
      </c>
      <c r="J1214" s="63">
        <f t="shared" si="2"/>
        <v>1</v>
      </c>
    </row>
    <row r="1215" ht="15.75" customHeight="1">
      <c r="B1215" s="95"/>
      <c r="C1215" s="103" t="s">
        <v>279</v>
      </c>
      <c r="D1215" s="102" t="s">
        <v>91</v>
      </c>
      <c r="E1215" s="101" t="s">
        <v>577</v>
      </c>
      <c r="F1215" s="101">
        <f t="shared" si="3"/>
        <v>4</v>
      </c>
      <c r="G1215" s="101" t="s">
        <v>1713</v>
      </c>
      <c r="H1215" s="63" t="str">
        <f>VLOOKUP(C1215, 'Class Def. - General Data'!$C$20:$C$476,1,false)</f>
        <v>ZPM1_Sack</v>
      </c>
      <c r="I1215" s="63" t="str">
        <f t="shared" si="1"/>
        <v>ZPM1_Sack4</v>
      </c>
      <c r="J1215" s="63">
        <f t="shared" si="2"/>
        <v>1</v>
      </c>
    </row>
    <row r="1216" ht="15.75" customHeight="1">
      <c r="B1216" s="95"/>
      <c r="C1216" s="103" t="s">
        <v>279</v>
      </c>
      <c r="D1216" s="102" t="s">
        <v>91</v>
      </c>
      <c r="E1216" s="101" t="s">
        <v>577</v>
      </c>
      <c r="F1216" s="101">
        <f t="shared" si="3"/>
        <v>5</v>
      </c>
      <c r="G1216" s="101" t="s">
        <v>1714</v>
      </c>
      <c r="H1216" s="63" t="str">
        <f>VLOOKUP(C1216, 'Class Def. - General Data'!$C$20:$C$476,1,false)</f>
        <v>ZPM1_Sack</v>
      </c>
      <c r="I1216" s="63" t="str">
        <f t="shared" si="1"/>
        <v>ZPM1_Sack5</v>
      </c>
      <c r="J1216" s="63">
        <f t="shared" si="2"/>
        <v>1</v>
      </c>
    </row>
    <row r="1217" ht="15.75" customHeight="1">
      <c r="B1217" s="95"/>
      <c r="C1217" s="103" t="s">
        <v>251</v>
      </c>
      <c r="D1217" s="102" t="s">
        <v>91</v>
      </c>
      <c r="E1217" s="101" t="s">
        <v>577</v>
      </c>
      <c r="F1217" s="101">
        <f t="shared" si="3"/>
        <v>1</v>
      </c>
      <c r="G1217" s="101" t="s">
        <v>1715</v>
      </c>
      <c r="H1217" s="63" t="str">
        <f>VLOOKUP(C1217, 'Class Def. - General Data'!$C$20:$C$476,1,false)</f>
        <v>ZPM1_BIB</v>
      </c>
      <c r="I1217" s="63" t="str">
        <f t="shared" si="1"/>
        <v>ZPM1_BIB1</v>
      </c>
      <c r="J1217" s="63">
        <f t="shared" si="2"/>
        <v>1</v>
      </c>
    </row>
    <row r="1218" ht="15.75" customHeight="1">
      <c r="B1218" s="95"/>
      <c r="C1218" s="103" t="s">
        <v>251</v>
      </c>
      <c r="D1218" s="102" t="s">
        <v>91</v>
      </c>
      <c r="E1218" s="101" t="s">
        <v>577</v>
      </c>
      <c r="F1218" s="101">
        <f t="shared" si="3"/>
        <v>2</v>
      </c>
      <c r="G1218" s="101" t="s">
        <v>1716</v>
      </c>
      <c r="H1218" s="63" t="str">
        <f>VLOOKUP(C1218, 'Class Def. - General Data'!$C$20:$C$476,1,false)</f>
        <v>ZPM1_BIB</v>
      </c>
      <c r="I1218" s="63" t="str">
        <f t="shared" si="1"/>
        <v>ZPM1_BIB2</v>
      </c>
      <c r="J1218" s="63">
        <f t="shared" si="2"/>
        <v>1</v>
      </c>
    </row>
    <row r="1219" ht="15.75" customHeight="1">
      <c r="B1219" s="95"/>
      <c r="C1219" s="103" t="s">
        <v>251</v>
      </c>
      <c r="D1219" s="102" t="s">
        <v>91</v>
      </c>
      <c r="E1219" s="101" t="s">
        <v>577</v>
      </c>
      <c r="F1219" s="101">
        <f t="shared" si="3"/>
        <v>3</v>
      </c>
      <c r="G1219" s="101" t="s">
        <v>1717</v>
      </c>
      <c r="H1219" s="63" t="str">
        <f>VLOOKUP(C1219, 'Class Def. - General Data'!$C$20:$C$476,1,false)</f>
        <v>ZPM1_BIB</v>
      </c>
      <c r="I1219" s="63" t="str">
        <f t="shared" si="1"/>
        <v>ZPM1_BIB3</v>
      </c>
      <c r="J1219" s="63">
        <f t="shared" si="2"/>
        <v>1</v>
      </c>
    </row>
    <row r="1220" ht="15.75" customHeight="1">
      <c r="B1220" s="95"/>
      <c r="C1220" s="103" t="s">
        <v>251</v>
      </c>
      <c r="D1220" s="102" t="s">
        <v>91</v>
      </c>
      <c r="E1220" s="101" t="s">
        <v>577</v>
      </c>
      <c r="F1220" s="101">
        <f t="shared" si="3"/>
        <v>4</v>
      </c>
      <c r="G1220" s="101" t="s">
        <v>1718</v>
      </c>
      <c r="H1220" s="63" t="str">
        <f>VLOOKUP(C1220, 'Class Def. - General Data'!$C$20:$C$476,1,false)</f>
        <v>ZPM1_BIB</v>
      </c>
      <c r="I1220" s="63" t="str">
        <f t="shared" si="1"/>
        <v>ZPM1_BIB4</v>
      </c>
      <c r="J1220" s="63">
        <f t="shared" si="2"/>
        <v>1</v>
      </c>
    </row>
    <row r="1221" ht="15.75" customHeight="1">
      <c r="B1221" s="95"/>
      <c r="C1221" s="103" t="s">
        <v>251</v>
      </c>
      <c r="D1221" s="102" t="s">
        <v>91</v>
      </c>
      <c r="E1221" s="101" t="s">
        <v>577</v>
      </c>
      <c r="F1221" s="101">
        <f t="shared" si="3"/>
        <v>5</v>
      </c>
      <c r="G1221" s="101" t="s">
        <v>1719</v>
      </c>
      <c r="H1221" s="63" t="str">
        <f>VLOOKUP(C1221, 'Class Def. - General Data'!$C$20:$C$476,1,false)</f>
        <v>ZPM1_BIB</v>
      </c>
      <c r="I1221" s="63" t="str">
        <f t="shared" si="1"/>
        <v>ZPM1_BIB5</v>
      </c>
      <c r="J1221" s="63">
        <f t="shared" si="2"/>
        <v>1</v>
      </c>
    </row>
    <row r="1222" ht="15.75" customHeight="1">
      <c r="B1222" s="95"/>
      <c r="C1222" s="103" t="s">
        <v>251</v>
      </c>
      <c r="D1222" s="102" t="s">
        <v>91</v>
      </c>
      <c r="E1222" s="101" t="s">
        <v>577</v>
      </c>
      <c r="F1222" s="101">
        <f t="shared" si="3"/>
        <v>6</v>
      </c>
      <c r="G1222" s="101" t="s">
        <v>1720</v>
      </c>
      <c r="H1222" s="63" t="str">
        <f>VLOOKUP(C1222, 'Class Def. - General Data'!$C$20:$C$476,1,false)</f>
        <v>ZPM1_BIB</v>
      </c>
      <c r="I1222" s="63" t="str">
        <f t="shared" si="1"/>
        <v>ZPM1_BIB6</v>
      </c>
      <c r="J1222" s="63">
        <f t="shared" si="2"/>
        <v>1</v>
      </c>
    </row>
    <row r="1223" ht="15.75" customHeight="1">
      <c r="B1223" s="95"/>
      <c r="C1223" s="103" t="s">
        <v>250</v>
      </c>
      <c r="D1223" s="102" t="s">
        <v>91</v>
      </c>
      <c r="E1223" s="101" t="s">
        <v>577</v>
      </c>
      <c r="F1223" s="101">
        <f t="shared" si="3"/>
        <v>1</v>
      </c>
      <c r="G1223" s="101" t="s">
        <v>1721</v>
      </c>
      <c r="H1223" s="63" t="str">
        <f>VLOOKUP(C1223, 'Class Def. - General Data'!$C$20:$C$476,1,false)</f>
        <v>ZPM1_Bag3SideSeal</v>
      </c>
      <c r="I1223" s="63" t="str">
        <f t="shared" si="1"/>
        <v>ZPM1_Bag3SideSeal1</v>
      </c>
      <c r="J1223" s="63">
        <f t="shared" si="2"/>
        <v>1</v>
      </c>
    </row>
    <row r="1224" ht="15.75" customHeight="1">
      <c r="B1224" s="95"/>
      <c r="C1224" s="103" t="s">
        <v>250</v>
      </c>
      <c r="D1224" s="102" t="s">
        <v>91</v>
      </c>
      <c r="E1224" s="101" t="s">
        <v>577</v>
      </c>
      <c r="F1224" s="101">
        <f t="shared" si="3"/>
        <v>2</v>
      </c>
      <c r="G1224" s="101" t="s">
        <v>1707</v>
      </c>
      <c r="H1224" s="63" t="str">
        <f>VLOOKUP(C1224, 'Class Def. - General Data'!$C$20:$C$476,1,false)</f>
        <v>ZPM1_Bag3SideSeal</v>
      </c>
      <c r="I1224" s="63" t="str">
        <f t="shared" si="1"/>
        <v>ZPM1_Bag3SideSeal2</v>
      </c>
      <c r="J1224" s="63">
        <f t="shared" si="2"/>
        <v>1</v>
      </c>
    </row>
    <row r="1225" ht="15.75" customHeight="1">
      <c r="B1225" s="95"/>
      <c r="C1225" s="103" t="s">
        <v>250</v>
      </c>
      <c r="D1225" s="102" t="s">
        <v>91</v>
      </c>
      <c r="E1225" s="101" t="s">
        <v>577</v>
      </c>
      <c r="F1225" s="101">
        <f t="shared" si="3"/>
        <v>3</v>
      </c>
      <c r="G1225" s="101" t="s">
        <v>1705</v>
      </c>
      <c r="H1225" s="63" t="str">
        <f>VLOOKUP(C1225, 'Class Def. - General Data'!$C$20:$C$476,1,false)</f>
        <v>ZPM1_Bag3SideSeal</v>
      </c>
      <c r="I1225" s="63" t="str">
        <f t="shared" si="1"/>
        <v>ZPM1_Bag3SideSeal3</v>
      </c>
      <c r="J1225" s="63">
        <f t="shared" si="2"/>
        <v>1</v>
      </c>
    </row>
    <row r="1226" ht="15.75" customHeight="1">
      <c r="B1226" s="95"/>
      <c r="C1226" s="103" t="s">
        <v>250</v>
      </c>
      <c r="D1226" s="102" t="s">
        <v>91</v>
      </c>
      <c r="E1226" s="101" t="s">
        <v>577</v>
      </c>
      <c r="F1226" s="101">
        <f t="shared" si="3"/>
        <v>4</v>
      </c>
      <c r="G1226" s="101" t="s">
        <v>1708</v>
      </c>
      <c r="H1226" s="63" t="str">
        <f>VLOOKUP(C1226, 'Class Def. - General Data'!$C$20:$C$476,1,false)</f>
        <v>ZPM1_Bag3SideSeal</v>
      </c>
      <c r="I1226" s="63" t="str">
        <f t="shared" si="1"/>
        <v>ZPM1_Bag3SideSeal4</v>
      </c>
      <c r="J1226" s="63">
        <f t="shared" si="2"/>
        <v>1</v>
      </c>
    </row>
    <row r="1227" ht="15.75" customHeight="1">
      <c r="B1227" s="95"/>
      <c r="C1227" s="103" t="s">
        <v>252</v>
      </c>
      <c r="D1227" s="102" t="s">
        <v>91</v>
      </c>
      <c r="E1227" s="101" t="s">
        <v>577</v>
      </c>
      <c r="F1227" s="101">
        <f t="shared" si="3"/>
        <v>1</v>
      </c>
      <c r="G1227" s="101" t="s">
        <v>1722</v>
      </c>
      <c r="H1227" s="63" t="str">
        <f>VLOOKUP(C1227, 'Class Def. - General Data'!$C$20:$C$476,1,false)</f>
        <v>ZPM1_PTP_Foil</v>
      </c>
      <c r="I1227" s="63" t="str">
        <f t="shared" si="1"/>
        <v>ZPM1_PTP_Foil1</v>
      </c>
      <c r="J1227" s="63">
        <f t="shared" si="2"/>
        <v>1</v>
      </c>
    </row>
    <row r="1228" ht="15.75" customHeight="1">
      <c r="B1228" s="95"/>
      <c r="C1228" s="103" t="s">
        <v>253</v>
      </c>
      <c r="D1228" s="102" t="s">
        <v>91</v>
      </c>
      <c r="E1228" s="101" t="s">
        <v>577</v>
      </c>
      <c r="F1228" s="101">
        <f t="shared" si="3"/>
        <v>1</v>
      </c>
      <c r="G1228" s="101" t="s">
        <v>1723</v>
      </c>
      <c r="H1228" s="63" t="str">
        <f>VLOOKUP(C1228, 'Class Def. - General Data'!$C$20:$C$476,1,false)</f>
        <v>ZPM1_Rol_Tube</v>
      </c>
      <c r="I1228" s="63" t="str">
        <f t="shared" si="1"/>
        <v>ZPM1_Rol_Tube1</v>
      </c>
      <c r="J1228" s="63">
        <f t="shared" si="2"/>
        <v>1</v>
      </c>
    </row>
    <row r="1229" ht="15.75" customHeight="1">
      <c r="B1229" s="95"/>
      <c r="C1229" s="103" t="s">
        <v>253</v>
      </c>
      <c r="D1229" s="102" t="s">
        <v>91</v>
      </c>
      <c r="E1229" s="101" t="s">
        <v>577</v>
      </c>
      <c r="F1229" s="101">
        <f t="shared" si="3"/>
        <v>2</v>
      </c>
      <c r="G1229" s="101" t="s">
        <v>1724</v>
      </c>
      <c r="H1229" s="63" t="str">
        <f>VLOOKUP(C1229, 'Class Def. - General Data'!$C$20:$C$476,1,false)</f>
        <v>ZPM1_Rol_Tube</v>
      </c>
      <c r="I1229" s="63" t="str">
        <f t="shared" si="1"/>
        <v>ZPM1_Rol_Tube2</v>
      </c>
      <c r="J1229" s="63">
        <f t="shared" si="2"/>
        <v>1</v>
      </c>
    </row>
    <row r="1230" ht="15.75" customHeight="1">
      <c r="B1230" s="95"/>
      <c r="C1230" s="103" t="s">
        <v>253</v>
      </c>
      <c r="D1230" s="102" t="s">
        <v>91</v>
      </c>
      <c r="E1230" s="101" t="s">
        <v>577</v>
      </c>
      <c r="F1230" s="101">
        <f t="shared" si="3"/>
        <v>3</v>
      </c>
      <c r="G1230" s="101" t="s">
        <v>1725</v>
      </c>
      <c r="H1230" s="63" t="str">
        <f>VLOOKUP(C1230, 'Class Def. - General Data'!$C$20:$C$476,1,false)</f>
        <v>ZPM1_Rol_Tube</v>
      </c>
      <c r="I1230" s="63" t="str">
        <f t="shared" si="1"/>
        <v>ZPM1_Rol_Tube3</v>
      </c>
      <c r="J1230" s="63">
        <f t="shared" si="2"/>
        <v>1</v>
      </c>
    </row>
    <row r="1231" ht="15.75" customHeight="1">
      <c r="B1231" s="95"/>
      <c r="C1231" s="103" t="s">
        <v>253</v>
      </c>
      <c r="D1231" s="102" t="s">
        <v>91</v>
      </c>
      <c r="E1231" s="101" t="s">
        <v>577</v>
      </c>
      <c r="F1231" s="101">
        <f t="shared" si="3"/>
        <v>4</v>
      </c>
      <c r="G1231" s="101" t="s">
        <v>1726</v>
      </c>
      <c r="H1231" s="63" t="str">
        <f>VLOOKUP(C1231, 'Class Def. - General Data'!$C$20:$C$476,1,false)</f>
        <v>ZPM1_Rol_Tube</v>
      </c>
      <c r="I1231" s="63" t="str">
        <f t="shared" si="1"/>
        <v>ZPM1_Rol_Tube4</v>
      </c>
      <c r="J1231" s="63">
        <f t="shared" si="2"/>
        <v>1</v>
      </c>
    </row>
    <row r="1232" ht="15.75" customHeight="1">
      <c r="B1232" s="95"/>
      <c r="C1232" s="103" t="s">
        <v>253</v>
      </c>
      <c r="D1232" s="102" t="s">
        <v>91</v>
      </c>
      <c r="E1232" s="101" t="s">
        <v>577</v>
      </c>
      <c r="F1232" s="101">
        <f t="shared" si="3"/>
        <v>5</v>
      </c>
      <c r="G1232" s="101" t="s">
        <v>1727</v>
      </c>
      <c r="H1232" s="63" t="str">
        <f>VLOOKUP(C1232, 'Class Def. - General Data'!$C$20:$C$476,1,false)</f>
        <v>ZPM1_Rol_Tube</v>
      </c>
      <c r="I1232" s="63" t="str">
        <f t="shared" si="1"/>
        <v>ZPM1_Rol_Tube5</v>
      </c>
      <c r="J1232" s="63">
        <f t="shared" si="2"/>
        <v>1</v>
      </c>
    </row>
    <row r="1233" ht="15.75" customHeight="1">
      <c r="B1233" s="95"/>
      <c r="C1233" s="103" t="s">
        <v>253</v>
      </c>
      <c r="D1233" s="102" t="s">
        <v>91</v>
      </c>
      <c r="E1233" s="101" t="s">
        <v>577</v>
      </c>
      <c r="F1233" s="101">
        <f t="shared" si="3"/>
        <v>6</v>
      </c>
      <c r="G1233" s="101" t="s">
        <v>1728</v>
      </c>
      <c r="H1233" s="63" t="str">
        <f>VLOOKUP(C1233, 'Class Def. - General Data'!$C$20:$C$476,1,false)</f>
        <v>ZPM1_Rol_Tube</v>
      </c>
      <c r="I1233" s="63" t="str">
        <f t="shared" si="1"/>
        <v>ZPM1_Rol_Tube6</v>
      </c>
      <c r="J1233" s="63">
        <f t="shared" si="2"/>
        <v>1</v>
      </c>
    </row>
    <row r="1234" ht="15.75" customHeight="1">
      <c r="B1234" s="95"/>
      <c r="C1234" s="103" t="s">
        <v>253</v>
      </c>
      <c r="D1234" s="102" t="s">
        <v>91</v>
      </c>
      <c r="E1234" s="101" t="s">
        <v>577</v>
      </c>
      <c r="F1234" s="101">
        <f t="shared" si="3"/>
        <v>7</v>
      </c>
      <c r="G1234" s="101" t="s">
        <v>1729</v>
      </c>
      <c r="H1234" s="63" t="str">
        <f>VLOOKUP(C1234, 'Class Def. - General Data'!$C$20:$C$476,1,false)</f>
        <v>ZPM1_Rol_Tube</v>
      </c>
      <c r="I1234" s="63" t="str">
        <f t="shared" si="1"/>
        <v>ZPM1_Rol_Tube7</v>
      </c>
      <c r="J1234" s="63">
        <f t="shared" si="2"/>
        <v>1</v>
      </c>
    </row>
    <row r="1235" ht="15.75" customHeight="1">
      <c r="B1235" s="95"/>
      <c r="C1235" s="103" t="s">
        <v>280</v>
      </c>
      <c r="D1235" s="102" t="s">
        <v>91</v>
      </c>
      <c r="E1235" s="101" t="s">
        <v>577</v>
      </c>
      <c r="F1235" s="101">
        <f t="shared" si="3"/>
        <v>1</v>
      </c>
      <c r="G1235" s="101" t="s">
        <v>1730</v>
      </c>
      <c r="H1235" s="63" t="str">
        <f>VLOOKUP(C1235, 'Class Def. - General Data'!$C$20:$C$476,1,false)</f>
        <v>ZPM1_SW</v>
      </c>
      <c r="I1235" s="63" t="str">
        <f t="shared" si="1"/>
        <v>ZPM1_SW1</v>
      </c>
      <c r="J1235" s="63">
        <f t="shared" si="2"/>
        <v>1</v>
      </c>
    </row>
    <row r="1236" ht="15.75" customHeight="1">
      <c r="B1236" s="95"/>
      <c r="C1236" s="103" t="s">
        <v>280</v>
      </c>
      <c r="D1236" s="102" t="s">
        <v>91</v>
      </c>
      <c r="E1236" s="101" t="s">
        <v>577</v>
      </c>
      <c r="F1236" s="101">
        <f t="shared" si="3"/>
        <v>2</v>
      </c>
      <c r="G1236" s="101" t="s">
        <v>1731</v>
      </c>
      <c r="H1236" s="63" t="str">
        <f>VLOOKUP(C1236, 'Class Def. - General Data'!$C$20:$C$476,1,false)</f>
        <v>ZPM1_SW</v>
      </c>
      <c r="I1236" s="63" t="str">
        <f t="shared" si="1"/>
        <v>ZPM1_SW2</v>
      </c>
      <c r="J1236" s="63">
        <f t="shared" si="2"/>
        <v>1</v>
      </c>
    </row>
    <row r="1237" ht="15.75" customHeight="1">
      <c r="B1237" s="95"/>
      <c r="C1237" s="103" t="s">
        <v>254</v>
      </c>
      <c r="D1237" s="102" t="s">
        <v>91</v>
      </c>
      <c r="E1237" s="101" t="s">
        <v>577</v>
      </c>
      <c r="F1237" s="101">
        <f t="shared" si="3"/>
        <v>1</v>
      </c>
      <c r="G1237" s="101" t="s">
        <v>1732</v>
      </c>
      <c r="H1237" s="63" t="str">
        <f>VLOOKUP(C1237, 'Class Def. - General Data'!$C$20:$C$476,1,false)</f>
        <v>ZPM1_SP</v>
      </c>
      <c r="I1237" s="63" t="str">
        <f t="shared" si="1"/>
        <v>ZPM1_SP1</v>
      </c>
      <c r="J1237" s="63">
        <f t="shared" si="2"/>
        <v>1</v>
      </c>
    </row>
    <row r="1238" ht="15.75" customHeight="1">
      <c r="B1238" s="95"/>
      <c r="C1238" s="103" t="s">
        <v>254</v>
      </c>
      <c r="D1238" s="102" t="s">
        <v>91</v>
      </c>
      <c r="E1238" s="101" t="s">
        <v>577</v>
      </c>
      <c r="F1238" s="101">
        <f t="shared" si="3"/>
        <v>2</v>
      </c>
      <c r="G1238" s="101" t="s">
        <v>1733</v>
      </c>
      <c r="H1238" s="63" t="str">
        <f>VLOOKUP(C1238, 'Class Def. - General Data'!$C$20:$C$476,1,false)</f>
        <v>ZPM1_SP</v>
      </c>
      <c r="I1238" s="63" t="str">
        <f t="shared" si="1"/>
        <v>ZPM1_SP2</v>
      </c>
      <c r="J1238" s="63">
        <f t="shared" si="2"/>
        <v>1</v>
      </c>
    </row>
    <row r="1239" ht="15.75" customHeight="1">
      <c r="B1239" s="95"/>
      <c r="C1239" s="103" t="s">
        <v>255</v>
      </c>
      <c r="D1239" s="102" t="s">
        <v>91</v>
      </c>
      <c r="E1239" s="101" t="s">
        <v>577</v>
      </c>
      <c r="F1239" s="101">
        <f t="shared" si="3"/>
        <v>1</v>
      </c>
      <c r="G1239" s="101" t="s">
        <v>1734</v>
      </c>
      <c r="H1239" s="63" t="str">
        <f>VLOOKUP(C1239, 'Class Def. - General Data'!$C$20:$C$476,1,false)</f>
        <v>ZPM1_GLSPLS_Jar</v>
      </c>
      <c r="I1239" s="63" t="str">
        <f t="shared" si="1"/>
        <v>ZPM1_GLSPLS_Jar1</v>
      </c>
      <c r="J1239" s="63">
        <f t="shared" si="2"/>
        <v>1</v>
      </c>
    </row>
    <row r="1240" ht="15.75" customHeight="1">
      <c r="B1240" s="95"/>
      <c r="C1240" s="103" t="s">
        <v>255</v>
      </c>
      <c r="D1240" s="102" t="s">
        <v>91</v>
      </c>
      <c r="E1240" s="101" t="s">
        <v>577</v>
      </c>
      <c r="F1240" s="101">
        <f t="shared" si="3"/>
        <v>2</v>
      </c>
      <c r="G1240" s="101" t="s">
        <v>1735</v>
      </c>
      <c r="H1240" s="63" t="str">
        <f>VLOOKUP(C1240, 'Class Def. - General Data'!$C$20:$C$476,1,false)</f>
        <v>ZPM1_GLSPLS_Jar</v>
      </c>
      <c r="I1240" s="63" t="str">
        <f t="shared" si="1"/>
        <v>ZPM1_GLSPLS_Jar2</v>
      </c>
      <c r="J1240" s="63">
        <f t="shared" si="2"/>
        <v>1</v>
      </c>
    </row>
    <row r="1241" ht="15.75" customHeight="1">
      <c r="B1241" s="95"/>
      <c r="C1241" s="103" t="s">
        <v>255</v>
      </c>
      <c r="D1241" s="102" t="s">
        <v>91</v>
      </c>
      <c r="E1241" s="101" t="s">
        <v>577</v>
      </c>
      <c r="F1241" s="101">
        <f t="shared" si="3"/>
        <v>3</v>
      </c>
      <c r="G1241" s="101" t="s">
        <v>1736</v>
      </c>
      <c r="H1241" s="63" t="str">
        <f>VLOOKUP(C1241, 'Class Def. - General Data'!$C$20:$C$476,1,false)</f>
        <v>ZPM1_GLSPLS_Jar</v>
      </c>
      <c r="I1241" s="63" t="str">
        <f t="shared" si="1"/>
        <v>ZPM1_GLSPLS_Jar3</v>
      </c>
      <c r="J1241" s="63">
        <f t="shared" si="2"/>
        <v>1</v>
      </c>
    </row>
    <row r="1242" ht="15.75" customHeight="1">
      <c r="B1242" s="95"/>
      <c r="C1242" s="103" t="s">
        <v>255</v>
      </c>
      <c r="D1242" s="102" t="s">
        <v>91</v>
      </c>
      <c r="E1242" s="101" t="s">
        <v>577</v>
      </c>
      <c r="F1242" s="101">
        <f t="shared" si="3"/>
        <v>4</v>
      </c>
      <c r="G1242" s="101" t="s">
        <v>1737</v>
      </c>
      <c r="H1242" s="63" t="str">
        <f>VLOOKUP(C1242, 'Class Def. - General Data'!$C$20:$C$476,1,false)</f>
        <v>ZPM1_GLSPLS_Jar</v>
      </c>
      <c r="I1242" s="63" t="str">
        <f t="shared" si="1"/>
        <v>ZPM1_GLSPLS_Jar4</v>
      </c>
      <c r="J1242" s="63">
        <f t="shared" si="2"/>
        <v>1</v>
      </c>
    </row>
    <row r="1243" ht="15.75" customHeight="1">
      <c r="B1243" s="95"/>
      <c r="C1243" s="103" t="s">
        <v>255</v>
      </c>
      <c r="D1243" s="102" t="s">
        <v>91</v>
      </c>
      <c r="E1243" s="101" t="s">
        <v>577</v>
      </c>
      <c r="F1243" s="101">
        <f t="shared" si="3"/>
        <v>5</v>
      </c>
      <c r="G1243" s="101" t="s">
        <v>1738</v>
      </c>
      <c r="H1243" s="63" t="str">
        <f>VLOOKUP(C1243, 'Class Def. - General Data'!$C$20:$C$476,1,false)</f>
        <v>ZPM1_GLSPLS_Jar</v>
      </c>
      <c r="I1243" s="63" t="str">
        <f t="shared" si="1"/>
        <v>ZPM1_GLSPLS_Jar5</v>
      </c>
      <c r="J1243" s="63">
        <f t="shared" si="2"/>
        <v>1</v>
      </c>
    </row>
    <row r="1244" ht="15.75" customHeight="1">
      <c r="B1244" s="95"/>
      <c r="C1244" s="103" t="s">
        <v>255</v>
      </c>
      <c r="D1244" s="102" t="s">
        <v>91</v>
      </c>
      <c r="E1244" s="101" t="s">
        <v>577</v>
      </c>
      <c r="F1244" s="101">
        <f t="shared" si="3"/>
        <v>6</v>
      </c>
      <c r="G1244" s="101" t="s">
        <v>1739</v>
      </c>
      <c r="H1244" s="63" t="str">
        <f>VLOOKUP(C1244, 'Class Def. - General Data'!$C$20:$C$476,1,false)</f>
        <v>ZPM1_GLSPLS_Jar</v>
      </c>
      <c r="I1244" s="63" t="str">
        <f t="shared" si="1"/>
        <v>ZPM1_GLSPLS_Jar6</v>
      </c>
      <c r="J1244" s="63">
        <f t="shared" si="2"/>
        <v>1</v>
      </c>
    </row>
    <row r="1245" ht="15.75" customHeight="1">
      <c r="B1245" s="95"/>
      <c r="C1245" s="103" t="s">
        <v>255</v>
      </c>
      <c r="D1245" s="102" t="s">
        <v>91</v>
      </c>
      <c r="E1245" s="101" t="s">
        <v>577</v>
      </c>
      <c r="F1245" s="101">
        <f t="shared" si="3"/>
        <v>7</v>
      </c>
      <c r="G1245" s="101" t="s">
        <v>1740</v>
      </c>
      <c r="H1245" s="63" t="str">
        <f>VLOOKUP(C1245, 'Class Def. - General Data'!$C$20:$C$476,1,false)</f>
        <v>ZPM1_GLSPLS_Jar</v>
      </c>
      <c r="I1245" s="63" t="str">
        <f t="shared" si="1"/>
        <v>ZPM1_GLSPLS_Jar7</v>
      </c>
      <c r="J1245" s="63">
        <f t="shared" si="2"/>
        <v>1</v>
      </c>
    </row>
    <row r="1246" ht="15.75" customHeight="1">
      <c r="B1246" s="95"/>
      <c r="C1246" s="103" t="s">
        <v>256</v>
      </c>
      <c r="D1246" s="102" t="s">
        <v>91</v>
      </c>
      <c r="E1246" s="101" t="s">
        <v>577</v>
      </c>
      <c r="F1246" s="101">
        <f t="shared" si="3"/>
        <v>1</v>
      </c>
      <c r="G1246" s="101" t="s">
        <v>1741</v>
      </c>
      <c r="H1246" s="63" t="str">
        <f>VLOOKUP(C1246, 'Class Def. - General Data'!$C$20:$C$476,1,false)</f>
        <v>ZPM1_Layer</v>
      </c>
      <c r="I1246" s="63" t="str">
        <f t="shared" si="1"/>
        <v>ZPM1_Layer1</v>
      </c>
      <c r="J1246" s="63">
        <f t="shared" si="2"/>
        <v>1</v>
      </c>
    </row>
    <row r="1247" ht="15.75" customHeight="1">
      <c r="B1247" s="95"/>
      <c r="C1247" s="103" t="s">
        <v>256</v>
      </c>
      <c r="D1247" s="102" t="s">
        <v>91</v>
      </c>
      <c r="E1247" s="101" t="s">
        <v>577</v>
      </c>
      <c r="F1247" s="101">
        <f t="shared" si="3"/>
        <v>2</v>
      </c>
      <c r="G1247" s="101" t="s">
        <v>1742</v>
      </c>
      <c r="H1247" s="63" t="str">
        <f>VLOOKUP(C1247, 'Class Def. - General Data'!$C$20:$C$476,1,false)</f>
        <v>ZPM1_Layer</v>
      </c>
      <c r="I1247" s="63" t="str">
        <f t="shared" si="1"/>
        <v>ZPM1_Layer2</v>
      </c>
      <c r="J1247" s="63">
        <f t="shared" si="2"/>
        <v>1</v>
      </c>
    </row>
    <row r="1248" ht="15.75" customHeight="1">
      <c r="B1248" s="95"/>
      <c r="C1248" s="103" t="s">
        <v>256</v>
      </c>
      <c r="D1248" s="102" t="s">
        <v>91</v>
      </c>
      <c r="E1248" s="101" t="s">
        <v>577</v>
      </c>
      <c r="F1248" s="101">
        <f t="shared" si="3"/>
        <v>3</v>
      </c>
      <c r="G1248" s="101" t="s">
        <v>1743</v>
      </c>
      <c r="H1248" s="63" t="str">
        <f>VLOOKUP(C1248, 'Class Def. - General Data'!$C$20:$C$476,1,false)</f>
        <v>ZPM1_Layer</v>
      </c>
      <c r="I1248" s="63" t="str">
        <f t="shared" si="1"/>
        <v>ZPM1_Layer3</v>
      </c>
      <c r="J1248" s="63">
        <f t="shared" si="2"/>
        <v>1</v>
      </c>
    </row>
    <row r="1249" ht="15.75" customHeight="1">
      <c r="B1249" s="95"/>
      <c r="C1249" s="103" t="s">
        <v>256</v>
      </c>
      <c r="D1249" s="102" t="s">
        <v>91</v>
      </c>
      <c r="E1249" s="101" t="s">
        <v>577</v>
      </c>
      <c r="F1249" s="101">
        <f t="shared" si="3"/>
        <v>4</v>
      </c>
      <c r="G1249" s="101" t="s">
        <v>1744</v>
      </c>
      <c r="H1249" s="63" t="str">
        <f>VLOOKUP(C1249, 'Class Def. - General Data'!$C$20:$C$476,1,false)</f>
        <v>ZPM1_Layer</v>
      </c>
      <c r="I1249" s="63" t="str">
        <f t="shared" si="1"/>
        <v>ZPM1_Layer4</v>
      </c>
      <c r="J1249" s="63">
        <f t="shared" si="2"/>
        <v>1</v>
      </c>
    </row>
    <row r="1250" ht="15.75" customHeight="1">
      <c r="B1250" s="95"/>
      <c r="C1250" s="103" t="s">
        <v>256</v>
      </c>
      <c r="D1250" s="102" t="s">
        <v>91</v>
      </c>
      <c r="E1250" s="101" t="s">
        <v>577</v>
      </c>
      <c r="F1250" s="101">
        <f t="shared" si="3"/>
        <v>5</v>
      </c>
      <c r="G1250" s="101" t="s">
        <v>1745</v>
      </c>
      <c r="H1250" s="63" t="str">
        <f>VLOOKUP(C1250, 'Class Def. - General Data'!$C$20:$C$476,1,false)</f>
        <v>ZPM1_Layer</v>
      </c>
      <c r="I1250" s="63" t="str">
        <f t="shared" si="1"/>
        <v>ZPM1_Layer5</v>
      </c>
      <c r="J1250" s="63">
        <f t="shared" si="2"/>
        <v>1</v>
      </c>
    </row>
    <row r="1251" ht="15.75" customHeight="1">
      <c r="B1251" s="95"/>
      <c r="C1251" s="103" t="s">
        <v>257</v>
      </c>
      <c r="D1251" s="102" t="s">
        <v>91</v>
      </c>
      <c r="E1251" s="101" t="s">
        <v>577</v>
      </c>
      <c r="F1251" s="101">
        <f t="shared" si="3"/>
        <v>1</v>
      </c>
      <c r="G1251" s="101" t="s">
        <v>1746</v>
      </c>
      <c r="H1251" s="63" t="str">
        <f>VLOOKUP(C1251, 'Class Def. - General Data'!$C$20:$C$476,1,false)</f>
        <v>ZPM1_Label_Sticker</v>
      </c>
      <c r="I1251" s="63" t="str">
        <f t="shared" si="1"/>
        <v>ZPM1_Label_Sticker1</v>
      </c>
      <c r="J1251" s="63">
        <f t="shared" si="2"/>
        <v>1</v>
      </c>
    </row>
    <row r="1252" ht="15.75" customHeight="1">
      <c r="B1252" s="95"/>
      <c r="C1252" s="103" t="s">
        <v>257</v>
      </c>
      <c r="D1252" s="102" t="s">
        <v>91</v>
      </c>
      <c r="E1252" s="101" t="s">
        <v>577</v>
      </c>
      <c r="F1252" s="101">
        <f t="shared" si="3"/>
        <v>2</v>
      </c>
      <c r="G1252" s="101" t="s">
        <v>1747</v>
      </c>
      <c r="H1252" s="63" t="str">
        <f>VLOOKUP(C1252, 'Class Def. - General Data'!$C$20:$C$476,1,false)</f>
        <v>ZPM1_Label_Sticker</v>
      </c>
      <c r="I1252" s="63" t="str">
        <f t="shared" si="1"/>
        <v>ZPM1_Label_Sticker2</v>
      </c>
      <c r="J1252" s="63">
        <f t="shared" si="2"/>
        <v>1</v>
      </c>
    </row>
    <row r="1253" ht="15.75" customHeight="1">
      <c r="B1253" s="95"/>
      <c r="C1253" s="103" t="s">
        <v>257</v>
      </c>
      <c r="D1253" s="102" t="s">
        <v>91</v>
      </c>
      <c r="E1253" s="101" t="s">
        <v>577</v>
      </c>
      <c r="F1253" s="101">
        <f t="shared" si="3"/>
        <v>3</v>
      </c>
      <c r="G1253" s="101" t="s">
        <v>1748</v>
      </c>
      <c r="H1253" s="63" t="str">
        <f>VLOOKUP(C1253, 'Class Def. - General Data'!$C$20:$C$476,1,false)</f>
        <v>ZPM1_Label_Sticker</v>
      </c>
      <c r="I1253" s="63" t="str">
        <f t="shared" si="1"/>
        <v>ZPM1_Label_Sticker3</v>
      </c>
      <c r="J1253" s="63">
        <f t="shared" si="2"/>
        <v>1</v>
      </c>
    </row>
    <row r="1254" ht="15.75" customHeight="1">
      <c r="B1254" s="95"/>
      <c r="C1254" s="103" t="s">
        <v>257</v>
      </c>
      <c r="D1254" s="102" t="s">
        <v>91</v>
      </c>
      <c r="E1254" s="101" t="s">
        <v>577</v>
      </c>
      <c r="F1254" s="101">
        <f t="shared" si="3"/>
        <v>4</v>
      </c>
      <c r="G1254" s="101" t="s">
        <v>1749</v>
      </c>
      <c r="H1254" s="63" t="str">
        <f>VLOOKUP(C1254, 'Class Def. - General Data'!$C$20:$C$476,1,false)</f>
        <v>ZPM1_Label_Sticker</v>
      </c>
      <c r="I1254" s="63" t="str">
        <f t="shared" si="1"/>
        <v>ZPM1_Label_Sticker4</v>
      </c>
      <c r="J1254" s="63">
        <f t="shared" si="2"/>
        <v>1</v>
      </c>
    </row>
    <row r="1255" ht="15.75" customHeight="1">
      <c r="B1255" s="95"/>
      <c r="C1255" s="103" t="s">
        <v>257</v>
      </c>
      <c r="D1255" s="102" t="s">
        <v>91</v>
      </c>
      <c r="E1255" s="101" t="s">
        <v>577</v>
      </c>
      <c r="F1255" s="101">
        <f t="shared" si="3"/>
        <v>5</v>
      </c>
      <c r="G1255" s="101" t="s">
        <v>1750</v>
      </c>
      <c r="H1255" s="63" t="str">
        <f>VLOOKUP(C1255, 'Class Def. - General Data'!$C$20:$C$476,1,false)</f>
        <v>ZPM1_Label_Sticker</v>
      </c>
      <c r="I1255" s="63" t="str">
        <f t="shared" si="1"/>
        <v>ZPM1_Label_Sticker5</v>
      </c>
      <c r="J1255" s="63">
        <f t="shared" si="2"/>
        <v>1</v>
      </c>
    </row>
    <row r="1256" ht="15.75" customHeight="1">
      <c r="B1256" s="95"/>
      <c r="C1256" s="103" t="s">
        <v>257</v>
      </c>
      <c r="D1256" s="102" t="s">
        <v>91</v>
      </c>
      <c r="E1256" s="101" t="s">
        <v>577</v>
      </c>
      <c r="F1256" s="101">
        <f t="shared" si="3"/>
        <v>6</v>
      </c>
      <c r="G1256" s="101" t="s">
        <v>1751</v>
      </c>
      <c r="H1256" s="63" t="str">
        <f>VLOOKUP(C1256, 'Class Def. - General Data'!$C$20:$C$476,1,false)</f>
        <v>ZPM1_Label_Sticker</v>
      </c>
      <c r="I1256" s="63" t="str">
        <f t="shared" si="1"/>
        <v>ZPM1_Label_Sticker6</v>
      </c>
      <c r="J1256" s="63">
        <f t="shared" si="2"/>
        <v>1</v>
      </c>
    </row>
    <row r="1257" ht="15.75" customHeight="1">
      <c r="B1257" s="95"/>
      <c r="C1257" s="103" t="s">
        <v>258</v>
      </c>
      <c r="D1257" s="102" t="s">
        <v>91</v>
      </c>
      <c r="E1257" s="101" t="s">
        <v>577</v>
      </c>
      <c r="F1257" s="101">
        <f t="shared" si="3"/>
        <v>1</v>
      </c>
      <c r="G1257" s="101" t="s">
        <v>1752</v>
      </c>
      <c r="H1257" s="63" t="str">
        <f>VLOOKUP(C1257, 'Class Def. - General Data'!$C$20:$C$476,1,false)</f>
        <v>ZPM1_Paper_PE</v>
      </c>
      <c r="I1257" s="63" t="str">
        <f t="shared" si="1"/>
        <v>ZPM1_Paper_PE1</v>
      </c>
      <c r="J1257" s="63">
        <f t="shared" si="2"/>
        <v>1</v>
      </c>
    </row>
    <row r="1258" ht="15.75" customHeight="1">
      <c r="B1258" s="95"/>
      <c r="C1258" s="103" t="s">
        <v>258</v>
      </c>
      <c r="D1258" s="102" t="s">
        <v>91</v>
      </c>
      <c r="E1258" s="101" t="s">
        <v>577</v>
      </c>
      <c r="F1258" s="101">
        <f t="shared" si="3"/>
        <v>2</v>
      </c>
      <c r="G1258" s="101" t="s">
        <v>1753</v>
      </c>
      <c r="H1258" s="63" t="str">
        <f>VLOOKUP(C1258, 'Class Def. - General Data'!$C$20:$C$476,1,false)</f>
        <v>ZPM1_Paper_PE</v>
      </c>
      <c r="I1258" s="63" t="str">
        <f t="shared" si="1"/>
        <v>ZPM1_Paper_PE2</v>
      </c>
      <c r="J1258" s="63">
        <f t="shared" si="2"/>
        <v>1</v>
      </c>
    </row>
    <row r="1259" ht="15.75" customHeight="1">
      <c r="B1259" s="95"/>
      <c r="C1259" s="103" t="s">
        <v>258</v>
      </c>
      <c r="D1259" s="102" t="s">
        <v>91</v>
      </c>
      <c r="E1259" s="101" t="s">
        <v>577</v>
      </c>
      <c r="F1259" s="101">
        <f t="shared" si="3"/>
        <v>3</v>
      </c>
      <c r="G1259" s="101" t="s">
        <v>1754</v>
      </c>
      <c r="H1259" s="63" t="str">
        <f>VLOOKUP(C1259, 'Class Def. - General Data'!$C$20:$C$476,1,false)</f>
        <v>ZPM1_Paper_PE</v>
      </c>
      <c r="I1259" s="63" t="str">
        <f t="shared" si="1"/>
        <v>ZPM1_Paper_PE3</v>
      </c>
      <c r="J1259" s="63">
        <f t="shared" si="2"/>
        <v>1</v>
      </c>
    </row>
    <row r="1260" ht="15.75" customHeight="1">
      <c r="B1260" s="95"/>
      <c r="C1260" s="103" t="s">
        <v>258</v>
      </c>
      <c r="D1260" s="102" t="s">
        <v>91</v>
      </c>
      <c r="E1260" s="101" t="s">
        <v>577</v>
      </c>
      <c r="F1260" s="101">
        <f t="shared" si="3"/>
        <v>4</v>
      </c>
      <c r="G1260" s="101" t="s">
        <v>1755</v>
      </c>
      <c r="H1260" s="63" t="str">
        <f>VLOOKUP(C1260, 'Class Def. - General Data'!$C$20:$C$476,1,false)</f>
        <v>ZPM1_Paper_PE</v>
      </c>
      <c r="I1260" s="63" t="str">
        <f t="shared" si="1"/>
        <v>ZPM1_Paper_PE4</v>
      </c>
      <c r="J1260" s="63">
        <f t="shared" si="2"/>
        <v>1</v>
      </c>
    </row>
    <row r="1261" ht="15.75" customHeight="1">
      <c r="B1261" s="95"/>
      <c r="C1261" s="103" t="s">
        <v>258</v>
      </c>
      <c r="D1261" s="102" t="s">
        <v>91</v>
      </c>
      <c r="E1261" s="101" t="s">
        <v>577</v>
      </c>
      <c r="F1261" s="101">
        <f t="shared" si="3"/>
        <v>5</v>
      </c>
      <c r="G1261" s="101" t="s">
        <v>1756</v>
      </c>
      <c r="H1261" s="63" t="str">
        <f>VLOOKUP(C1261, 'Class Def. - General Data'!$C$20:$C$476,1,false)</f>
        <v>ZPM1_Paper_PE</v>
      </c>
      <c r="I1261" s="63" t="str">
        <f t="shared" si="1"/>
        <v>ZPM1_Paper_PE5</v>
      </c>
      <c r="J1261" s="63">
        <f t="shared" si="2"/>
        <v>1</v>
      </c>
    </row>
    <row r="1262" ht="15.75" customHeight="1">
      <c r="B1262" s="95"/>
      <c r="C1262" s="103" t="s">
        <v>258</v>
      </c>
      <c r="D1262" s="102" t="s">
        <v>91</v>
      </c>
      <c r="E1262" s="101" t="s">
        <v>577</v>
      </c>
      <c r="F1262" s="101">
        <f t="shared" si="3"/>
        <v>6</v>
      </c>
      <c r="G1262" s="101" t="s">
        <v>1757</v>
      </c>
      <c r="H1262" s="63" t="str">
        <f>VLOOKUP(C1262, 'Class Def. - General Data'!$C$20:$C$476,1,false)</f>
        <v>ZPM1_Paper_PE</v>
      </c>
      <c r="I1262" s="63" t="str">
        <f t="shared" si="1"/>
        <v>ZPM1_Paper_PE6</v>
      </c>
      <c r="J1262" s="63">
        <f t="shared" si="2"/>
        <v>1</v>
      </c>
    </row>
    <row r="1263" ht="15.75" customHeight="1">
      <c r="B1263" s="95"/>
      <c r="C1263" s="103" t="s">
        <v>258</v>
      </c>
      <c r="D1263" s="102" t="s">
        <v>91</v>
      </c>
      <c r="E1263" s="101" t="s">
        <v>577</v>
      </c>
      <c r="F1263" s="101">
        <f t="shared" si="3"/>
        <v>7</v>
      </c>
      <c r="G1263" s="101" t="s">
        <v>1758</v>
      </c>
      <c r="H1263" s="63" t="str">
        <f>VLOOKUP(C1263, 'Class Def. - General Data'!$C$20:$C$476,1,false)</f>
        <v>ZPM1_Paper_PE</v>
      </c>
      <c r="I1263" s="63" t="str">
        <f t="shared" si="1"/>
        <v>ZPM1_Paper_PE7</v>
      </c>
      <c r="J1263" s="63">
        <f t="shared" si="2"/>
        <v>1</v>
      </c>
    </row>
    <row r="1264" ht="15.75" customHeight="1">
      <c r="B1264" s="95"/>
      <c r="C1264" s="103" t="s">
        <v>259</v>
      </c>
      <c r="D1264" s="102" t="s">
        <v>91</v>
      </c>
      <c r="E1264" s="101" t="s">
        <v>577</v>
      </c>
      <c r="F1264" s="101">
        <f t="shared" si="3"/>
        <v>1</v>
      </c>
      <c r="G1264" s="101" t="s">
        <v>1759</v>
      </c>
      <c r="H1264" s="63" t="str">
        <f>VLOOKUP(C1264, 'Class Def. - General Data'!$C$20:$C$476,1,false)</f>
        <v>ZPM1_Glue_Ink</v>
      </c>
      <c r="I1264" s="63" t="str">
        <f t="shared" si="1"/>
        <v>ZPM1_Glue_Ink1</v>
      </c>
      <c r="J1264" s="63">
        <f t="shared" si="2"/>
        <v>1</v>
      </c>
    </row>
    <row r="1265" ht="15.75" customHeight="1">
      <c r="B1265" s="95"/>
      <c r="C1265" s="103" t="s">
        <v>259</v>
      </c>
      <c r="D1265" s="102" t="s">
        <v>91</v>
      </c>
      <c r="E1265" s="101" t="s">
        <v>577</v>
      </c>
      <c r="F1265" s="101">
        <f t="shared" si="3"/>
        <v>2</v>
      </c>
      <c r="G1265" s="101" t="s">
        <v>1760</v>
      </c>
      <c r="H1265" s="63" t="str">
        <f>VLOOKUP(C1265, 'Class Def. - General Data'!$C$20:$C$476,1,false)</f>
        <v>ZPM1_Glue_Ink</v>
      </c>
      <c r="I1265" s="63" t="str">
        <f t="shared" si="1"/>
        <v>ZPM1_Glue_Ink2</v>
      </c>
      <c r="J1265" s="63">
        <f t="shared" si="2"/>
        <v>1</v>
      </c>
    </row>
    <row r="1266" ht="15.75" customHeight="1">
      <c r="B1266" s="95"/>
      <c r="C1266" s="103" t="s">
        <v>259</v>
      </c>
      <c r="D1266" s="102" t="s">
        <v>91</v>
      </c>
      <c r="E1266" s="101" t="s">
        <v>577</v>
      </c>
      <c r="F1266" s="101">
        <f t="shared" si="3"/>
        <v>3</v>
      </c>
      <c r="G1266" s="101" t="s">
        <v>1761</v>
      </c>
      <c r="H1266" s="63" t="str">
        <f>VLOOKUP(C1266, 'Class Def. - General Data'!$C$20:$C$476,1,false)</f>
        <v>ZPM1_Glue_Ink</v>
      </c>
      <c r="I1266" s="63" t="str">
        <f t="shared" si="1"/>
        <v>ZPM1_Glue_Ink3</v>
      </c>
      <c r="J1266" s="63">
        <f t="shared" si="2"/>
        <v>1</v>
      </c>
    </row>
    <row r="1267" ht="15.75" customHeight="1">
      <c r="B1267" s="95"/>
      <c r="C1267" s="103" t="s">
        <v>259</v>
      </c>
      <c r="D1267" s="102" t="s">
        <v>91</v>
      </c>
      <c r="E1267" s="101" t="s">
        <v>577</v>
      </c>
      <c r="F1267" s="101">
        <f t="shared" si="3"/>
        <v>4</v>
      </c>
      <c r="G1267" s="101" t="s">
        <v>1762</v>
      </c>
      <c r="H1267" s="63" t="str">
        <f>VLOOKUP(C1267, 'Class Def. - General Data'!$C$20:$C$476,1,false)</f>
        <v>ZPM1_Glue_Ink</v>
      </c>
      <c r="I1267" s="63" t="str">
        <f t="shared" si="1"/>
        <v>ZPM1_Glue_Ink4</v>
      </c>
      <c r="J1267" s="63">
        <f t="shared" si="2"/>
        <v>1</v>
      </c>
    </row>
    <row r="1268" ht="15.75" customHeight="1">
      <c r="B1268" s="95"/>
      <c r="C1268" s="103" t="s">
        <v>259</v>
      </c>
      <c r="D1268" s="102" t="s">
        <v>91</v>
      </c>
      <c r="E1268" s="101" t="s">
        <v>577</v>
      </c>
      <c r="F1268" s="101">
        <f t="shared" si="3"/>
        <v>5</v>
      </c>
      <c r="G1268" s="101" t="s">
        <v>1763</v>
      </c>
      <c r="H1268" s="63" t="str">
        <f>VLOOKUP(C1268, 'Class Def. - General Data'!$C$20:$C$476,1,false)</f>
        <v>ZPM1_Glue_Ink</v>
      </c>
      <c r="I1268" s="63" t="str">
        <f t="shared" si="1"/>
        <v>ZPM1_Glue_Ink5</v>
      </c>
      <c r="J1268" s="63">
        <f t="shared" si="2"/>
        <v>1</v>
      </c>
    </row>
    <row r="1269" ht="15.75" customHeight="1">
      <c r="B1269" s="95"/>
      <c r="C1269" s="103" t="s">
        <v>260</v>
      </c>
      <c r="D1269" s="102" t="s">
        <v>91</v>
      </c>
      <c r="E1269" s="101" t="s">
        <v>577</v>
      </c>
      <c r="F1269" s="101">
        <f t="shared" si="3"/>
        <v>1</v>
      </c>
      <c r="G1269" s="101" t="s">
        <v>1764</v>
      </c>
      <c r="H1269" s="63" t="str">
        <f>VLOOKUP(C1269, 'Class Def. - General Data'!$C$20:$C$476,1,false)</f>
        <v>ZPM1_Partisi</v>
      </c>
      <c r="I1269" s="63" t="str">
        <f t="shared" si="1"/>
        <v>ZPM1_Partisi1</v>
      </c>
      <c r="J1269" s="63">
        <f t="shared" si="2"/>
        <v>1</v>
      </c>
    </row>
    <row r="1270" ht="15.75" customHeight="1">
      <c r="B1270" s="95"/>
      <c r="C1270" s="103" t="s">
        <v>260</v>
      </c>
      <c r="D1270" s="102" t="s">
        <v>91</v>
      </c>
      <c r="E1270" s="101" t="s">
        <v>577</v>
      </c>
      <c r="F1270" s="101">
        <f t="shared" si="3"/>
        <v>2</v>
      </c>
      <c r="G1270" s="101" t="s">
        <v>1765</v>
      </c>
      <c r="H1270" s="63" t="str">
        <f>VLOOKUP(C1270, 'Class Def. - General Data'!$C$20:$C$476,1,false)</f>
        <v>ZPM1_Partisi</v>
      </c>
      <c r="I1270" s="63" t="str">
        <f t="shared" si="1"/>
        <v>ZPM1_Partisi2</v>
      </c>
      <c r="J1270" s="63">
        <f t="shared" si="2"/>
        <v>1</v>
      </c>
    </row>
    <row r="1271" ht="15.75" customHeight="1">
      <c r="B1271" s="95"/>
      <c r="C1271" s="103" t="s">
        <v>260</v>
      </c>
      <c r="D1271" s="102" t="s">
        <v>91</v>
      </c>
      <c r="E1271" s="101" t="s">
        <v>577</v>
      </c>
      <c r="F1271" s="101">
        <f t="shared" si="3"/>
        <v>3</v>
      </c>
      <c r="G1271" s="101" t="s">
        <v>1766</v>
      </c>
      <c r="H1271" s="63" t="str">
        <f>VLOOKUP(C1271, 'Class Def. - General Data'!$C$20:$C$476,1,false)</f>
        <v>ZPM1_Partisi</v>
      </c>
      <c r="I1271" s="63" t="str">
        <f t="shared" si="1"/>
        <v>ZPM1_Partisi3</v>
      </c>
      <c r="J1271" s="63">
        <f t="shared" si="2"/>
        <v>1</v>
      </c>
    </row>
    <row r="1272" ht="15.75" customHeight="1">
      <c r="B1272" s="95"/>
      <c r="C1272" s="103" t="s">
        <v>260</v>
      </c>
      <c r="D1272" s="102" t="s">
        <v>91</v>
      </c>
      <c r="E1272" s="101" t="s">
        <v>577</v>
      </c>
      <c r="F1272" s="101">
        <f t="shared" si="3"/>
        <v>4</v>
      </c>
      <c r="G1272" s="101" t="s">
        <v>1767</v>
      </c>
      <c r="H1272" s="63" t="str">
        <f>VLOOKUP(C1272, 'Class Def. - General Data'!$C$20:$C$476,1,false)</f>
        <v>ZPM1_Partisi</v>
      </c>
      <c r="I1272" s="63" t="str">
        <f t="shared" si="1"/>
        <v>ZPM1_Partisi4</v>
      </c>
      <c r="J1272" s="63">
        <f t="shared" si="2"/>
        <v>1</v>
      </c>
    </row>
    <row r="1273" ht="15.75" customHeight="1">
      <c r="B1273" s="95"/>
      <c r="C1273" s="103" t="s">
        <v>260</v>
      </c>
      <c r="D1273" s="102" t="s">
        <v>91</v>
      </c>
      <c r="E1273" s="101" t="s">
        <v>577</v>
      </c>
      <c r="F1273" s="101">
        <f t="shared" si="3"/>
        <v>5</v>
      </c>
      <c r="G1273" s="101" t="s">
        <v>1768</v>
      </c>
      <c r="H1273" s="63" t="str">
        <f>VLOOKUP(C1273, 'Class Def. - General Data'!$C$20:$C$476,1,false)</f>
        <v>ZPM1_Partisi</v>
      </c>
      <c r="I1273" s="63" t="str">
        <f t="shared" si="1"/>
        <v>ZPM1_Partisi5</v>
      </c>
      <c r="J1273" s="63">
        <f t="shared" si="2"/>
        <v>1</v>
      </c>
    </row>
    <row r="1274" ht="15.75" customHeight="1">
      <c r="B1274" s="95"/>
      <c r="C1274" s="103" t="s">
        <v>261</v>
      </c>
      <c r="D1274" s="102" t="s">
        <v>91</v>
      </c>
      <c r="E1274" s="101" t="s">
        <v>577</v>
      </c>
      <c r="F1274" s="101">
        <f t="shared" si="3"/>
        <v>1</v>
      </c>
      <c r="G1274" s="101" t="s">
        <v>1769</v>
      </c>
      <c r="H1274" s="63" t="str">
        <f>VLOOKUP(C1274, 'Class Def. - General Data'!$C$20:$C$476,1,false)</f>
        <v>ZPM1_PotPlastic</v>
      </c>
      <c r="I1274" s="63" t="str">
        <f t="shared" si="1"/>
        <v>ZPM1_PotPlastic1</v>
      </c>
      <c r="J1274" s="63">
        <f t="shared" si="2"/>
        <v>1</v>
      </c>
    </row>
    <row r="1275" ht="15.75" customHeight="1">
      <c r="B1275" s="95"/>
      <c r="C1275" s="103" t="s">
        <v>261</v>
      </c>
      <c r="D1275" s="102" t="s">
        <v>91</v>
      </c>
      <c r="E1275" s="101" t="s">
        <v>577</v>
      </c>
      <c r="F1275" s="101">
        <f t="shared" si="3"/>
        <v>2</v>
      </c>
      <c r="G1275" s="104" t="s">
        <v>1770</v>
      </c>
      <c r="H1275" s="63" t="str">
        <f>VLOOKUP(C1275, 'Class Def. - General Data'!$C$20:$C$476,1,false)</f>
        <v>ZPM1_PotPlastic</v>
      </c>
      <c r="I1275" s="63" t="str">
        <f t="shared" si="1"/>
        <v>ZPM1_PotPlastic2</v>
      </c>
      <c r="J1275" s="63">
        <f t="shared" si="2"/>
        <v>1</v>
      </c>
    </row>
    <row r="1276" ht="15.75" customHeight="1">
      <c r="B1276" s="95"/>
      <c r="C1276" s="103" t="s">
        <v>261</v>
      </c>
      <c r="D1276" s="102" t="s">
        <v>91</v>
      </c>
      <c r="E1276" s="101" t="s">
        <v>577</v>
      </c>
      <c r="F1276" s="101">
        <f t="shared" si="3"/>
        <v>3</v>
      </c>
      <c r="G1276" s="104" t="s">
        <v>1771</v>
      </c>
      <c r="H1276" s="63" t="str">
        <f>VLOOKUP(C1276, 'Class Def. - General Data'!$C$20:$C$476,1,false)</f>
        <v>ZPM1_PotPlastic</v>
      </c>
      <c r="I1276" s="63" t="str">
        <f t="shared" si="1"/>
        <v>ZPM1_PotPlastic3</v>
      </c>
      <c r="J1276" s="63">
        <f t="shared" si="2"/>
        <v>1</v>
      </c>
    </row>
    <row r="1277" ht="15.75" customHeight="1">
      <c r="B1277" s="95"/>
      <c r="C1277" s="103" t="s">
        <v>261</v>
      </c>
      <c r="D1277" s="102" t="s">
        <v>91</v>
      </c>
      <c r="E1277" s="101" t="s">
        <v>577</v>
      </c>
      <c r="F1277" s="101">
        <f t="shared" si="3"/>
        <v>4</v>
      </c>
      <c r="G1277" s="104" t="s">
        <v>1772</v>
      </c>
      <c r="H1277" s="63" t="str">
        <f>VLOOKUP(C1277, 'Class Def. - General Data'!$C$20:$C$476,1,false)</f>
        <v>ZPM1_PotPlastic</v>
      </c>
      <c r="I1277" s="63" t="str">
        <f t="shared" si="1"/>
        <v>ZPM1_PotPlastic4</v>
      </c>
      <c r="J1277" s="63">
        <f t="shared" si="2"/>
        <v>1</v>
      </c>
    </row>
    <row r="1278" ht="15.75" customHeight="1">
      <c r="B1278" s="95"/>
      <c r="C1278" s="103" t="s">
        <v>261</v>
      </c>
      <c r="D1278" s="102" t="s">
        <v>91</v>
      </c>
      <c r="E1278" s="101" t="s">
        <v>577</v>
      </c>
      <c r="F1278" s="101">
        <f t="shared" si="3"/>
        <v>5</v>
      </c>
      <c r="G1278" s="101" t="s">
        <v>1773</v>
      </c>
      <c r="H1278" s="63" t="str">
        <f>VLOOKUP(C1278, 'Class Def. - General Data'!$C$20:$C$476,1,false)</f>
        <v>ZPM1_PotPlastic</v>
      </c>
      <c r="I1278" s="63" t="str">
        <f t="shared" si="1"/>
        <v>ZPM1_PotPlastic5</v>
      </c>
      <c r="J1278" s="63">
        <f t="shared" si="2"/>
        <v>1</v>
      </c>
    </row>
    <row r="1279" ht="15.75" customHeight="1">
      <c r="B1279" s="95"/>
      <c r="C1279" s="103" t="s">
        <v>261</v>
      </c>
      <c r="D1279" s="102" t="s">
        <v>91</v>
      </c>
      <c r="E1279" s="101" t="s">
        <v>577</v>
      </c>
      <c r="F1279" s="101">
        <f t="shared" si="3"/>
        <v>6</v>
      </c>
      <c r="G1279" s="101" t="s">
        <v>1774</v>
      </c>
      <c r="H1279" s="63" t="str">
        <f>VLOOKUP(C1279, 'Class Def. - General Data'!$C$20:$C$476,1,false)</f>
        <v>ZPM1_PotPlastic</v>
      </c>
      <c r="I1279" s="63" t="str">
        <f t="shared" si="1"/>
        <v>ZPM1_PotPlastic6</v>
      </c>
      <c r="J1279" s="63">
        <f t="shared" si="2"/>
        <v>1</v>
      </c>
    </row>
    <row r="1280" ht="15.75" customHeight="1">
      <c r="B1280" s="95"/>
      <c r="C1280" s="103" t="s">
        <v>261</v>
      </c>
      <c r="D1280" s="102" t="s">
        <v>91</v>
      </c>
      <c r="E1280" s="101" t="s">
        <v>577</v>
      </c>
      <c r="F1280" s="101">
        <f t="shared" si="3"/>
        <v>7</v>
      </c>
      <c r="G1280" s="101" t="s">
        <v>1775</v>
      </c>
      <c r="H1280" s="63" t="str">
        <f>VLOOKUP(C1280, 'Class Def. - General Data'!$C$20:$C$476,1,false)</f>
        <v>ZPM1_PotPlastic</v>
      </c>
      <c r="I1280" s="63" t="str">
        <f t="shared" si="1"/>
        <v>ZPM1_PotPlastic7</v>
      </c>
      <c r="J1280" s="63">
        <f t="shared" si="2"/>
        <v>1</v>
      </c>
    </row>
    <row r="1281" ht="15.75" customHeight="1">
      <c r="B1281" s="95"/>
      <c r="C1281" s="103" t="s">
        <v>262</v>
      </c>
      <c r="D1281" s="102" t="s">
        <v>91</v>
      </c>
      <c r="E1281" s="101" t="s">
        <v>577</v>
      </c>
      <c r="F1281" s="101">
        <f t="shared" si="3"/>
        <v>1</v>
      </c>
      <c r="G1281" s="101" t="s">
        <v>1776</v>
      </c>
      <c r="H1281" s="63" t="str">
        <f>VLOOKUP(C1281, 'Class Def. - General Data'!$C$20:$C$476,1,false)</f>
        <v>ZPM1_SHL_SHW</v>
      </c>
      <c r="I1281" s="63" t="str">
        <f t="shared" si="1"/>
        <v>ZPM1_SHL_SHW1</v>
      </c>
      <c r="J1281" s="63">
        <f t="shared" si="2"/>
        <v>1</v>
      </c>
    </row>
    <row r="1282" ht="15.75" customHeight="1">
      <c r="B1282" s="95"/>
      <c r="C1282" s="103" t="s">
        <v>262</v>
      </c>
      <c r="D1282" s="102" t="s">
        <v>91</v>
      </c>
      <c r="E1282" s="101" t="s">
        <v>577</v>
      </c>
      <c r="F1282" s="101">
        <f t="shared" si="3"/>
        <v>2</v>
      </c>
      <c r="G1282" s="101" t="s">
        <v>1777</v>
      </c>
      <c r="H1282" s="63" t="str">
        <f>VLOOKUP(C1282, 'Class Def. - General Data'!$C$20:$C$476,1,false)</f>
        <v>ZPM1_SHL_SHW</v>
      </c>
      <c r="I1282" s="63" t="str">
        <f t="shared" si="1"/>
        <v>ZPM1_SHL_SHW2</v>
      </c>
      <c r="J1282" s="63">
        <f t="shared" si="2"/>
        <v>1</v>
      </c>
    </row>
    <row r="1283" ht="15.75" customHeight="1">
      <c r="B1283" s="95"/>
      <c r="C1283" s="103" t="s">
        <v>262</v>
      </c>
      <c r="D1283" s="102" t="s">
        <v>91</v>
      </c>
      <c r="E1283" s="101" t="s">
        <v>577</v>
      </c>
      <c r="F1283" s="101">
        <f t="shared" si="3"/>
        <v>3</v>
      </c>
      <c r="G1283" s="101" t="s">
        <v>1778</v>
      </c>
      <c r="H1283" s="63" t="str">
        <f>VLOOKUP(C1283, 'Class Def. - General Data'!$C$20:$C$476,1,false)</f>
        <v>ZPM1_SHL_SHW</v>
      </c>
      <c r="I1283" s="63" t="str">
        <f t="shared" si="1"/>
        <v>ZPM1_SHL_SHW3</v>
      </c>
      <c r="J1283" s="63">
        <f t="shared" si="2"/>
        <v>1</v>
      </c>
    </row>
    <row r="1284" ht="15.75" customHeight="1">
      <c r="B1284" s="95"/>
      <c r="C1284" s="103" t="s">
        <v>262</v>
      </c>
      <c r="D1284" s="102" t="s">
        <v>91</v>
      </c>
      <c r="E1284" s="101" t="s">
        <v>577</v>
      </c>
      <c r="F1284" s="101">
        <f t="shared" si="3"/>
        <v>4</v>
      </c>
      <c r="G1284" s="101" t="s">
        <v>1779</v>
      </c>
      <c r="H1284" s="63" t="str">
        <f>VLOOKUP(C1284, 'Class Def. - General Data'!$C$20:$C$476,1,false)</f>
        <v>ZPM1_SHL_SHW</v>
      </c>
      <c r="I1284" s="63" t="str">
        <f t="shared" si="1"/>
        <v>ZPM1_SHL_SHW4</v>
      </c>
      <c r="J1284" s="63">
        <f t="shared" si="2"/>
        <v>1</v>
      </c>
    </row>
    <row r="1285" ht="15.75" customHeight="1">
      <c r="B1285" s="95"/>
      <c r="C1285" s="103" t="s">
        <v>262</v>
      </c>
      <c r="D1285" s="102" t="s">
        <v>91</v>
      </c>
      <c r="E1285" s="101" t="s">
        <v>577</v>
      </c>
      <c r="F1285" s="101">
        <f t="shared" si="3"/>
        <v>5</v>
      </c>
      <c r="G1285" s="101" t="s">
        <v>1780</v>
      </c>
      <c r="H1285" s="63" t="str">
        <f>VLOOKUP(C1285, 'Class Def. - General Data'!$C$20:$C$476,1,false)</f>
        <v>ZPM1_SHL_SHW</v>
      </c>
      <c r="I1285" s="63" t="str">
        <f t="shared" si="1"/>
        <v>ZPM1_SHL_SHW5</v>
      </c>
      <c r="J1285" s="63">
        <f t="shared" si="2"/>
        <v>1</v>
      </c>
    </row>
    <row r="1286" ht="15.75" customHeight="1">
      <c r="B1286" s="95"/>
      <c r="C1286" s="103" t="s">
        <v>263</v>
      </c>
      <c r="D1286" s="102" t="s">
        <v>91</v>
      </c>
      <c r="E1286" s="101" t="s">
        <v>577</v>
      </c>
      <c r="F1286" s="101">
        <f t="shared" si="3"/>
        <v>1</v>
      </c>
      <c r="G1286" s="101" t="s">
        <v>1781</v>
      </c>
      <c r="H1286" s="63" t="str">
        <f>VLOOKUP(C1286, 'Class Def. - General Data'!$C$20:$C$476,1,false)</f>
        <v>ZPM1_SimplePlastic</v>
      </c>
      <c r="I1286" s="63" t="str">
        <f t="shared" si="1"/>
        <v>ZPM1_SimplePlastic1</v>
      </c>
      <c r="J1286" s="63">
        <f t="shared" si="2"/>
        <v>1</v>
      </c>
    </row>
    <row r="1287" ht="15.75" customHeight="1">
      <c r="B1287" s="95"/>
      <c r="C1287" s="103" t="s">
        <v>263</v>
      </c>
      <c r="D1287" s="102" t="s">
        <v>91</v>
      </c>
      <c r="E1287" s="101" t="s">
        <v>577</v>
      </c>
      <c r="F1287" s="101">
        <f t="shared" si="3"/>
        <v>2</v>
      </c>
      <c r="G1287" s="101" t="s">
        <v>1782</v>
      </c>
      <c r="H1287" s="63" t="str">
        <f>VLOOKUP(C1287, 'Class Def. - General Data'!$C$20:$C$476,1,false)</f>
        <v>ZPM1_SimplePlastic</v>
      </c>
      <c r="I1287" s="63" t="str">
        <f t="shared" si="1"/>
        <v>ZPM1_SimplePlastic2</v>
      </c>
      <c r="J1287" s="63">
        <f t="shared" si="2"/>
        <v>1</v>
      </c>
    </row>
    <row r="1288" ht="15.75" customHeight="1">
      <c r="B1288" s="95"/>
      <c r="C1288" s="103" t="s">
        <v>263</v>
      </c>
      <c r="D1288" s="102" t="s">
        <v>91</v>
      </c>
      <c r="E1288" s="101" t="s">
        <v>577</v>
      </c>
      <c r="F1288" s="101">
        <f t="shared" si="3"/>
        <v>3</v>
      </c>
      <c r="G1288" s="101" t="s">
        <v>1783</v>
      </c>
      <c r="H1288" s="63" t="str">
        <f>VLOOKUP(C1288, 'Class Def. - General Data'!$C$20:$C$476,1,false)</f>
        <v>ZPM1_SimplePlastic</v>
      </c>
      <c r="I1288" s="63" t="str">
        <f t="shared" si="1"/>
        <v>ZPM1_SimplePlastic3</v>
      </c>
      <c r="J1288" s="63">
        <f t="shared" si="2"/>
        <v>1</v>
      </c>
    </row>
    <row r="1289" ht="15.75" customHeight="1">
      <c r="B1289" s="95"/>
      <c r="C1289" s="103" t="s">
        <v>263</v>
      </c>
      <c r="D1289" s="102" t="s">
        <v>91</v>
      </c>
      <c r="E1289" s="101" t="s">
        <v>577</v>
      </c>
      <c r="F1289" s="101">
        <f t="shared" si="3"/>
        <v>4</v>
      </c>
      <c r="G1289" s="101" t="s">
        <v>1784</v>
      </c>
      <c r="H1289" s="63" t="str">
        <f>VLOOKUP(C1289, 'Class Def. - General Data'!$C$20:$C$476,1,false)</f>
        <v>ZPM1_SimplePlastic</v>
      </c>
      <c r="I1289" s="63" t="str">
        <f t="shared" si="1"/>
        <v>ZPM1_SimplePlastic4</v>
      </c>
      <c r="J1289" s="63">
        <f t="shared" si="2"/>
        <v>1</v>
      </c>
    </row>
    <row r="1290" ht="15.75" customHeight="1">
      <c r="B1290" s="95"/>
      <c r="C1290" s="103" t="s">
        <v>264</v>
      </c>
      <c r="D1290" s="102" t="s">
        <v>91</v>
      </c>
      <c r="E1290" s="101" t="s">
        <v>577</v>
      </c>
      <c r="F1290" s="101">
        <f t="shared" si="3"/>
        <v>1</v>
      </c>
      <c r="G1290" s="101" t="s">
        <v>1785</v>
      </c>
      <c r="H1290" s="63" t="str">
        <f>VLOOKUP(C1290, 'Class Def. - General Data'!$C$20:$C$476,1,false)</f>
        <v>ZPM1_Spoon_Fork</v>
      </c>
      <c r="I1290" s="63" t="str">
        <f t="shared" si="1"/>
        <v>ZPM1_Spoon_Fork1</v>
      </c>
      <c r="J1290" s="63">
        <f t="shared" si="2"/>
        <v>1</v>
      </c>
    </row>
    <row r="1291" ht="15.75" customHeight="1">
      <c r="B1291" s="95"/>
      <c r="C1291" s="103" t="s">
        <v>264</v>
      </c>
      <c r="D1291" s="102" t="s">
        <v>91</v>
      </c>
      <c r="E1291" s="101" t="s">
        <v>577</v>
      </c>
      <c r="F1291" s="101">
        <f t="shared" si="3"/>
        <v>2</v>
      </c>
      <c r="G1291" s="101" t="s">
        <v>1786</v>
      </c>
      <c r="H1291" s="63" t="str">
        <f>VLOOKUP(C1291, 'Class Def. - General Data'!$C$20:$C$476,1,false)</f>
        <v>ZPM1_Spoon_Fork</v>
      </c>
      <c r="I1291" s="63" t="str">
        <f t="shared" si="1"/>
        <v>ZPM1_Spoon_Fork2</v>
      </c>
      <c r="J1291" s="63">
        <f t="shared" si="2"/>
        <v>1</v>
      </c>
    </row>
    <row r="1292" ht="15.75" customHeight="1">
      <c r="B1292" s="95"/>
      <c r="C1292" s="103" t="s">
        <v>264</v>
      </c>
      <c r="D1292" s="102" t="s">
        <v>91</v>
      </c>
      <c r="E1292" s="101" t="s">
        <v>577</v>
      </c>
      <c r="F1292" s="101">
        <f t="shared" si="3"/>
        <v>3</v>
      </c>
      <c r="G1292" s="101" t="s">
        <v>1787</v>
      </c>
      <c r="H1292" s="63" t="str">
        <f>VLOOKUP(C1292, 'Class Def. - General Data'!$C$20:$C$476,1,false)</f>
        <v>ZPM1_Spoon_Fork</v>
      </c>
      <c r="I1292" s="63" t="str">
        <f t="shared" si="1"/>
        <v>ZPM1_Spoon_Fork3</v>
      </c>
      <c r="J1292" s="63">
        <f t="shared" si="2"/>
        <v>1</v>
      </c>
    </row>
    <row r="1293" ht="15.75" customHeight="1">
      <c r="B1293" s="95"/>
      <c r="C1293" s="103" t="s">
        <v>264</v>
      </c>
      <c r="D1293" s="102" t="s">
        <v>91</v>
      </c>
      <c r="E1293" s="101" t="s">
        <v>577</v>
      </c>
      <c r="F1293" s="101">
        <f t="shared" si="3"/>
        <v>4</v>
      </c>
      <c r="G1293" s="101" t="s">
        <v>1788</v>
      </c>
      <c r="H1293" s="63" t="str">
        <f>VLOOKUP(C1293, 'Class Def. - General Data'!$C$20:$C$476,1,false)</f>
        <v>ZPM1_Spoon_Fork</v>
      </c>
      <c r="I1293" s="63" t="str">
        <f t="shared" si="1"/>
        <v>ZPM1_Spoon_Fork4</v>
      </c>
      <c r="J1293" s="63">
        <f t="shared" si="2"/>
        <v>1</v>
      </c>
    </row>
    <row r="1294" ht="15.75" customHeight="1">
      <c r="B1294" s="95"/>
      <c r="C1294" s="103" t="s">
        <v>264</v>
      </c>
      <c r="D1294" s="102" t="s">
        <v>91</v>
      </c>
      <c r="E1294" s="101" t="s">
        <v>577</v>
      </c>
      <c r="F1294" s="101">
        <f t="shared" si="3"/>
        <v>5</v>
      </c>
      <c r="G1294" s="101" t="s">
        <v>1789</v>
      </c>
      <c r="H1294" s="63" t="str">
        <f>VLOOKUP(C1294, 'Class Def. - General Data'!$C$20:$C$476,1,false)</f>
        <v>ZPM1_Spoon_Fork</v>
      </c>
      <c r="I1294" s="63" t="str">
        <f t="shared" si="1"/>
        <v>ZPM1_Spoon_Fork5</v>
      </c>
      <c r="J1294" s="63">
        <f t="shared" si="2"/>
        <v>1</v>
      </c>
    </row>
    <row r="1295" ht="15.75" customHeight="1">
      <c r="B1295" s="95"/>
      <c r="C1295" s="103" t="s">
        <v>265</v>
      </c>
      <c r="D1295" s="102" t="s">
        <v>91</v>
      </c>
      <c r="E1295" s="101" t="s">
        <v>577</v>
      </c>
      <c r="F1295" s="101">
        <f t="shared" si="3"/>
        <v>1</v>
      </c>
      <c r="G1295" s="101" t="s">
        <v>1790</v>
      </c>
      <c r="H1295" s="63" t="str">
        <f>VLOOKUP(C1295, 'Class Def. - General Data'!$C$20:$C$476,1,false)</f>
        <v>ZPM1_Stiffener</v>
      </c>
      <c r="I1295" s="63" t="str">
        <f t="shared" si="1"/>
        <v>ZPM1_Stiffener1</v>
      </c>
      <c r="J1295" s="63">
        <f t="shared" si="2"/>
        <v>1</v>
      </c>
    </row>
    <row r="1296" ht="15.75" customHeight="1">
      <c r="B1296" s="95"/>
      <c r="C1296" s="103" t="s">
        <v>265</v>
      </c>
      <c r="D1296" s="102" t="s">
        <v>91</v>
      </c>
      <c r="E1296" s="101" t="s">
        <v>577</v>
      </c>
      <c r="F1296" s="101">
        <f t="shared" si="3"/>
        <v>2</v>
      </c>
      <c r="G1296" s="101" t="s">
        <v>1791</v>
      </c>
      <c r="H1296" s="63" t="str">
        <f>VLOOKUP(C1296, 'Class Def. - General Data'!$C$20:$C$476,1,false)</f>
        <v>ZPM1_Stiffener</v>
      </c>
      <c r="I1296" s="63" t="str">
        <f t="shared" si="1"/>
        <v>ZPM1_Stiffener2</v>
      </c>
      <c r="J1296" s="63">
        <f t="shared" si="2"/>
        <v>1</v>
      </c>
    </row>
    <row r="1297" ht="15.75" customHeight="1">
      <c r="B1297" s="95"/>
      <c r="C1297" s="103" t="s">
        <v>266</v>
      </c>
      <c r="D1297" s="102" t="s">
        <v>91</v>
      </c>
      <c r="E1297" s="101" t="s">
        <v>577</v>
      </c>
      <c r="F1297" s="101">
        <f t="shared" si="3"/>
        <v>1</v>
      </c>
      <c r="G1297" s="101" t="s">
        <v>1792</v>
      </c>
      <c r="H1297" s="63" t="str">
        <f>VLOOKUP(C1297, 'Class Def. - General Data'!$C$20:$C$476,1,false)</f>
        <v>ZPM1_RibbonBarcode</v>
      </c>
      <c r="I1297" s="63" t="str">
        <f t="shared" si="1"/>
        <v>ZPM1_RibbonBarcode1</v>
      </c>
      <c r="J1297" s="63">
        <f t="shared" si="2"/>
        <v>1</v>
      </c>
    </row>
    <row r="1298" ht="15.75" customHeight="1">
      <c r="B1298" s="95"/>
      <c r="C1298" s="103" t="s">
        <v>267</v>
      </c>
      <c r="D1298" s="102" t="s">
        <v>91</v>
      </c>
      <c r="E1298" s="101" t="s">
        <v>577</v>
      </c>
      <c r="F1298" s="101">
        <f t="shared" si="3"/>
        <v>1</v>
      </c>
      <c r="G1298" s="101" t="s">
        <v>1793</v>
      </c>
      <c r="H1298" s="63" t="str">
        <f>VLOOKUP(C1298, 'Class Def. - General Data'!$C$20:$C$476,1,false)</f>
        <v>ZPM1_SealLiner</v>
      </c>
      <c r="I1298" s="63" t="str">
        <f t="shared" si="1"/>
        <v>ZPM1_SealLiner1</v>
      </c>
      <c r="J1298" s="63">
        <f t="shared" si="2"/>
        <v>1</v>
      </c>
    </row>
    <row r="1299" ht="15.75" customHeight="1">
      <c r="B1299" s="95"/>
      <c r="C1299" s="103" t="s">
        <v>268</v>
      </c>
      <c r="D1299" s="102" t="s">
        <v>91</v>
      </c>
      <c r="E1299" s="101" t="s">
        <v>577</v>
      </c>
      <c r="F1299" s="101">
        <f t="shared" si="3"/>
        <v>1</v>
      </c>
      <c r="G1299" s="101" t="s">
        <v>1794</v>
      </c>
      <c r="H1299" s="63" t="str">
        <f>VLOOKUP(C1299, 'Class Def. - General Data'!$C$20:$C$476,1,false)</f>
        <v>ZPM1_Straw</v>
      </c>
      <c r="I1299" s="63" t="str">
        <f t="shared" si="1"/>
        <v>ZPM1_Straw1</v>
      </c>
      <c r="J1299" s="63">
        <f t="shared" si="2"/>
        <v>1</v>
      </c>
    </row>
    <row r="1300" ht="15.75" customHeight="1">
      <c r="B1300" s="95"/>
      <c r="C1300" s="103" t="s">
        <v>268</v>
      </c>
      <c r="D1300" s="102" t="s">
        <v>91</v>
      </c>
      <c r="E1300" s="101" t="s">
        <v>577</v>
      </c>
      <c r="F1300" s="101">
        <f t="shared" si="3"/>
        <v>2</v>
      </c>
      <c r="G1300" s="101" t="s">
        <v>1795</v>
      </c>
      <c r="H1300" s="63" t="str">
        <f>VLOOKUP(C1300, 'Class Def. - General Data'!$C$20:$C$476,1,false)</f>
        <v>ZPM1_Straw</v>
      </c>
      <c r="I1300" s="63" t="str">
        <f t="shared" si="1"/>
        <v>ZPM1_Straw2</v>
      </c>
      <c r="J1300" s="63">
        <f t="shared" si="2"/>
        <v>1</v>
      </c>
    </row>
    <row r="1301" ht="15.75" customHeight="1">
      <c r="B1301" s="95"/>
      <c r="C1301" s="103" t="s">
        <v>269</v>
      </c>
      <c r="D1301" s="102" t="s">
        <v>91</v>
      </c>
      <c r="E1301" s="101" t="s">
        <v>577</v>
      </c>
      <c r="F1301" s="101">
        <f t="shared" si="3"/>
        <v>1</v>
      </c>
      <c r="G1301" s="101" t="s">
        <v>1796</v>
      </c>
      <c r="H1301" s="63" t="str">
        <f>VLOOKUP(C1301, 'Class Def. - General Data'!$C$20:$C$476,1,false)</f>
        <v>ZPM1_TBHelm_TPCap</v>
      </c>
      <c r="I1301" s="63" t="str">
        <f t="shared" si="1"/>
        <v>ZPM1_TBHelm_TPCap1</v>
      </c>
      <c r="J1301" s="63">
        <f t="shared" si="2"/>
        <v>1</v>
      </c>
    </row>
    <row r="1302" ht="15.75" customHeight="1">
      <c r="B1302" s="95"/>
      <c r="C1302" s="103" t="s">
        <v>269</v>
      </c>
      <c r="D1302" s="102" t="s">
        <v>91</v>
      </c>
      <c r="E1302" s="101" t="s">
        <v>577</v>
      </c>
      <c r="F1302" s="101">
        <f t="shared" si="3"/>
        <v>2</v>
      </c>
      <c r="G1302" s="101" t="s">
        <v>1797</v>
      </c>
      <c r="H1302" s="63" t="str">
        <f>VLOOKUP(C1302, 'Class Def. - General Data'!$C$20:$C$476,1,false)</f>
        <v>ZPM1_TBHelm_TPCap</v>
      </c>
      <c r="I1302" s="63" t="str">
        <f t="shared" si="1"/>
        <v>ZPM1_TBHelm_TPCap2</v>
      </c>
      <c r="J1302" s="63">
        <f t="shared" si="2"/>
        <v>1</v>
      </c>
    </row>
    <row r="1303" ht="15.75" customHeight="1">
      <c r="B1303" s="95"/>
      <c r="C1303" s="103" t="s">
        <v>269</v>
      </c>
      <c r="D1303" s="102" t="s">
        <v>91</v>
      </c>
      <c r="E1303" s="101" t="s">
        <v>577</v>
      </c>
      <c r="F1303" s="101">
        <f t="shared" si="3"/>
        <v>3</v>
      </c>
      <c r="G1303" s="101" t="s">
        <v>1798</v>
      </c>
      <c r="H1303" s="63" t="str">
        <f>VLOOKUP(C1303, 'Class Def. - General Data'!$C$20:$C$476,1,false)</f>
        <v>ZPM1_TBHelm_TPCap</v>
      </c>
      <c r="I1303" s="63" t="str">
        <f t="shared" si="1"/>
        <v>ZPM1_TBHelm_TPCap3</v>
      </c>
      <c r="J1303" s="63">
        <f t="shared" si="2"/>
        <v>1</v>
      </c>
    </row>
    <row r="1304" ht="15.75" customHeight="1">
      <c r="B1304" s="95"/>
      <c r="C1304" s="103" t="s">
        <v>269</v>
      </c>
      <c r="D1304" s="102" t="s">
        <v>91</v>
      </c>
      <c r="E1304" s="101" t="s">
        <v>577</v>
      </c>
      <c r="F1304" s="101">
        <f t="shared" si="3"/>
        <v>4</v>
      </c>
      <c r="G1304" s="101" t="s">
        <v>1799</v>
      </c>
      <c r="H1304" s="63" t="str">
        <f>VLOOKUP(C1304, 'Class Def. - General Data'!$C$20:$C$476,1,false)</f>
        <v>ZPM1_TBHelm_TPCap</v>
      </c>
      <c r="I1304" s="63" t="str">
        <f t="shared" si="1"/>
        <v>ZPM1_TBHelm_TPCap4</v>
      </c>
      <c r="J1304" s="63">
        <f t="shared" si="2"/>
        <v>1</v>
      </c>
    </row>
    <row r="1305" ht="15.75" customHeight="1">
      <c r="B1305" s="95"/>
      <c r="C1305" s="103" t="s">
        <v>269</v>
      </c>
      <c r="D1305" s="102" t="s">
        <v>91</v>
      </c>
      <c r="E1305" s="101" t="s">
        <v>577</v>
      </c>
      <c r="F1305" s="101">
        <f t="shared" si="3"/>
        <v>5</v>
      </c>
      <c r="G1305" s="101" t="s">
        <v>1800</v>
      </c>
      <c r="H1305" s="63" t="str">
        <f>VLOOKUP(C1305, 'Class Def. - General Data'!$C$20:$C$476,1,false)</f>
        <v>ZPM1_TBHelm_TPCap</v>
      </c>
      <c r="I1305" s="63" t="str">
        <f t="shared" si="1"/>
        <v>ZPM1_TBHelm_TPCap5</v>
      </c>
      <c r="J1305" s="63">
        <f t="shared" si="2"/>
        <v>1</v>
      </c>
    </row>
    <row r="1306" ht="15.75" customHeight="1">
      <c r="B1306" s="95"/>
      <c r="C1306" s="103" t="s">
        <v>269</v>
      </c>
      <c r="D1306" s="102" t="s">
        <v>91</v>
      </c>
      <c r="E1306" s="101" t="s">
        <v>577</v>
      </c>
      <c r="F1306" s="101">
        <f t="shared" si="3"/>
        <v>6</v>
      </c>
      <c r="G1306" s="101" t="s">
        <v>1801</v>
      </c>
      <c r="H1306" s="63" t="str">
        <f>VLOOKUP(C1306, 'Class Def. - General Data'!$C$20:$C$476,1,false)</f>
        <v>ZPM1_TBHelm_TPCap</v>
      </c>
      <c r="I1306" s="63" t="str">
        <f t="shared" si="1"/>
        <v>ZPM1_TBHelm_TPCap6</v>
      </c>
      <c r="J1306" s="63">
        <f t="shared" si="2"/>
        <v>1</v>
      </c>
    </row>
    <row r="1307" ht="15.75" customHeight="1">
      <c r="B1307" s="95"/>
      <c r="C1307" s="103" t="s">
        <v>272</v>
      </c>
      <c r="D1307" s="102" t="s">
        <v>91</v>
      </c>
      <c r="E1307" s="101" t="s">
        <v>577</v>
      </c>
      <c r="F1307" s="101">
        <f t="shared" si="3"/>
        <v>1</v>
      </c>
      <c r="G1307" s="101" t="s">
        <v>1802</v>
      </c>
      <c r="H1307" s="63" t="str">
        <f>VLOOKUP(C1307, 'Class Def. - General Data'!$C$20:$C$476,1,false)</f>
        <v>ZPM1_CB</v>
      </c>
      <c r="I1307" s="63" t="str">
        <f t="shared" si="1"/>
        <v>ZPM1_CB1</v>
      </c>
      <c r="J1307" s="63">
        <f t="shared" si="2"/>
        <v>1</v>
      </c>
    </row>
    <row r="1308" ht="15.75" customHeight="1">
      <c r="B1308" s="95"/>
      <c r="C1308" s="103" t="s">
        <v>273</v>
      </c>
      <c r="D1308" s="102" t="s">
        <v>91</v>
      </c>
      <c r="E1308" s="101" t="s">
        <v>577</v>
      </c>
      <c r="F1308" s="101">
        <f t="shared" si="3"/>
        <v>1</v>
      </c>
      <c r="G1308" s="101" t="s">
        <v>1803</v>
      </c>
      <c r="H1308" s="63" t="str">
        <f>VLOOKUP(C1308, 'Class Def. - General Data'!$C$20:$C$476,1,false)</f>
        <v>ZPM1_Duplex</v>
      </c>
      <c r="I1308" s="63" t="str">
        <f t="shared" si="1"/>
        <v>ZPM1_Duplex1</v>
      </c>
      <c r="J1308" s="63">
        <f t="shared" si="2"/>
        <v>1</v>
      </c>
    </row>
    <row r="1309" ht="15.75" customHeight="1">
      <c r="B1309" s="95"/>
      <c r="C1309" s="103" t="s">
        <v>274</v>
      </c>
      <c r="D1309" s="102" t="s">
        <v>91</v>
      </c>
      <c r="E1309" s="101" t="s">
        <v>577</v>
      </c>
      <c r="F1309" s="101">
        <f t="shared" si="3"/>
        <v>1</v>
      </c>
      <c r="G1309" s="101" t="s">
        <v>1804</v>
      </c>
      <c r="H1309" s="63" t="str">
        <f>VLOOKUP(C1309, 'Class Def. - General Data'!$C$20:$C$476,1,false)</f>
        <v>ZPM1_Ivory</v>
      </c>
      <c r="I1309" s="63" t="str">
        <f t="shared" si="1"/>
        <v>ZPM1_Ivory1</v>
      </c>
      <c r="J1309" s="63">
        <f t="shared" si="2"/>
        <v>1</v>
      </c>
    </row>
    <row r="1310" ht="15.75" customHeight="1">
      <c r="B1310" s="95"/>
      <c r="C1310" s="103" t="s">
        <v>281</v>
      </c>
      <c r="D1310" s="102" t="s">
        <v>91</v>
      </c>
      <c r="E1310" s="101" t="s">
        <v>577</v>
      </c>
      <c r="F1310" s="101">
        <f t="shared" si="3"/>
        <v>1</v>
      </c>
      <c r="G1310" s="101" t="s">
        <v>1805</v>
      </c>
      <c r="H1310" s="63" t="str">
        <f>VLOOKUP(C1310, 'Class Def. - General Data'!$C$20:$C$476,1,false)</f>
        <v>ZPM1_BLS</v>
      </c>
      <c r="I1310" s="63" t="str">
        <f t="shared" si="1"/>
        <v>ZPM1_BLS1</v>
      </c>
      <c r="J1310" s="63">
        <f t="shared" si="2"/>
        <v>1</v>
      </c>
    </row>
    <row r="1311" ht="15.75" customHeight="1">
      <c r="B1311" s="95"/>
      <c r="C1311" s="103" t="s">
        <v>281</v>
      </c>
      <c r="D1311" s="102" t="s">
        <v>91</v>
      </c>
      <c r="E1311" s="101" t="s">
        <v>577</v>
      </c>
      <c r="F1311" s="101">
        <f t="shared" si="3"/>
        <v>2</v>
      </c>
      <c r="G1311" s="101" t="s">
        <v>1806</v>
      </c>
      <c r="H1311" s="63" t="str">
        <f>VLOOKUP(C1311, 'Class Def. - General Data'!$C$20:$C$476,1,false)</f>
        <v>ZPM1_BLS</v>
      </c>
      <c r="I1311" s="63" t="str">
        <f t="shared" si="1"/>
        <v>ZPM1_BLS2</v>
      </c>
      <c r="J1311" s="63">
        <f t="shared" si="2"/>
        <v>1</v>
      </c>
    </row>
    <row r="1312" ht="15.75" customHeight="1">
      <c r="B1312" s="95"/>
      <c r="C1312" s="103" t="s">
        <v>275</v>
      </c>
      <c r="D1312" s="102" t="s">
        <v>91</v>
      </c>
      <c r="E1312" s="101" t="s">
        <v>577</v>
      </c>
      <c r="F1312" s="101">
        <f t="shared" si="3"/>
        <v>1</v>
      </c>
      <c r="G1312" s="101" t="s">
        <v>1807</v>
      </c>
      <c r="H1312" s="63" t="str">
        <f>VLOOKUP(C1312, 'Class Def. - General Data'!$C$20:$C$476,1,false)</f>
        <v>ZPM1_ETK_INBOX</v>
      </c>
      <c r="I1312" s="63" t="str">
        <f t="shared" si="1"/>
        <v>ZPM1_ETK_INBOX1</v>
      </c>
      <c r="J1312" s="63">
        <f t="shared" si="2"/>
        <v>1</v>
      </c>
    </row>
    <row r="1313" ht="15.75" customHeight="1">
      <c r="B1313" s="95"/>
      <c r="C1313" s="103" t="s">
        <v>275</v>
      </c>
      <c r="D1313" s="102" t="s">
        <v>91</v>
      </c>
      <c r="E1313" s="101" t="s">
        <v>577</v>
      </c>
      <c r="F1313" s="101">
        <f t="shared" si="3"/>
        <v>2</v>
      </c>
      <c r="G1313" s="101" t="s">
        <v>1808</v>
      </c>
      <c r="H1313" s="63" t="str">
        <f>VLOOKUP(C1313, 'Class Def. - General Data'!$C$20:$C$476,1,false)</f>
        <v>ZPM1_ETK_INBOX</v>
      </c>
      <c r="I1313" s="63" t="str">
        <f t="shared" si="1"/>
        <v>ZPM1_ETK_INBOX2</v>
      </c>
      <c r="J1313" s="63">
        <f t="shared" si="2"/>
        <v>1</v>
      </c>
    </row>
    <row r="1314" ht="15.75" customHeight="1">
      <c r="B1314" s="95"/>
      <c r="C1314" s="103" t="s">
        <v>275</v>
      </c>
      <c r="D1314" s="102" t="s">
        <v>91</v>
      </c>
      <c r="E1314" s="101" t="s">
        <v>577</v>
      </c>
      <c r="F1314" s="101">
        <f t="shared" si="3"/>
        <v>3</v>
      </c>
      <c r="G1314" s="101" t="s">
        <v>1809</v>
      </c>
      <c r="H1314" s="63" t="str">
        <f>VLOOKUP(C1314, 'Class Def. - General Data'!$C$20:$C$476,1,false)</f>
        <v>ZPM1_ETK_INBOX</v>
      </c>
      <c r="I1314" s="63" t="str">
        <f t="shared" si="1"/>
        <v>ZPM1_ETK_INBOX3</v>
      </c>
      <c r="J1314" s="63">
        <f t="shared" si="2"/>
        <v>1</v>
      </c>
    </row>
    <row r="1315" ht="15.75" customHeight="1">
      <c r="B1315" s="95"/>
      <c r="C1315" s="103" t="s">
        <v>275</v>
      </c>
      <c r="D1315" s="102" t="s">
        <v>91</v>
      </c>
      <c r="E1315" s="101" t="s">
        <v>577</v>
      </c>
      <c r="F1315" s="101">
        <f t="shared" si="3"/>
        <v>4</v>
      </c>
      <c r="G1315" s="101" t="s">
        <v>1810</v>
      </c>
      <c r="H1315" s="63" t="str">
        <f>VLOOKUP(C1315, 'Class Def. - General Data'!$C$20:$C$476,1,false)</f>
        <v>ZPM1_ETK_INBOX</v>
      </c>
      <c r="I1315" s="63" t="str">
        <f t="shared" si="1"/>
        <v>ZPM1_ETK_INBOX4</v>
      </c>
      <c r="J1315" s="63">
        <f t="shared" si="2"/>
        <v>1</v>
      </c>
    </row>
    <row r="1316" ht="15.75" customHeight="1">
      <c r="B1316" s="95"/>
      <c r="C1316" s="103" t="s">
        <v>275</v>
      </c>
      <c r="D1316" s="102" t="s">
        <v>91</v>
      </c>
      <c r="E1316" s="101" t="s">
        <v>577</v>
      </c>
      <c r="F1316" s="101">
        <f t="shared" si="3"/>
        <v>5</v>
      </c>
      <c r="G1316" s="101" t="s">
        <v>1811</v>
      </c>
      <c r="H1316" s="63" t="str">
        <f>VLOOKUP(C1316, 'Class Def. - General Data'!$C$20:$C$476,1,false)</f>
        <v>ZPM1_ETK_INBOX</v>
      </c>
      <c r="I1316" s="63" t="str">
        <f t="shared" si="1"/>
        <v>ZPM1_ETK_INBOX5</v>
      </c>
      <c r="J1316" s="63">
        <f t="shared" si="2"/>
        <v>1</v>
      </c>
    </row>
    <row r="1317" ht="15.75" customHeight="1">
      <c r="B1317" s="95"/>
      <c r="C1317" s="103" t="s">
        <v>276</v>
      </c>
      <c r="D1317" s="102" t="s">
        <v>91</v>
      </c>
      <c r="E1317" s="101" t="s">
        <v>577</v>
      </c>
      <c r="F1317" s="101">
        <f t="shared" si="3"/>
        <v>1</v>
      </c>
      <c r="G1317" s="101" t="s">
        <v>1812</v>
      </c>
      <c r="H1317" s="63" t="str">
        <f>VLOOKUP(C1317, 'Class Def. - General Data'!$C$20:$C$476,1,false)</f>
        <v>ZPM1_HGR</v>
      </c>
      <c r="I1317" s="63" t="str">
        <f t="shared" si="1"/>
        <v>ZPM1_HGR1</v>
      </c>
      <c r="J1317" s="63">
        <f t="shared" si="2"/>
        <v>1</v>
      </c>
    </row>
    <row r="1318" ht="15.75" customHeight="1">
      <c r="B1318" s="95"/>
      <c r="C1318" s="103" t="s">
        <v>276</v>
      </c>
      <c r="D1318" s="102" t="s">
        <v>91</v>
      </c>
      <c r="E1318" s="101" t="s">
        <v>577</v>
      </c>
      <c r="F1318" s="101">
        <f t="shared" si="3"/>
        <v>2</v>
      </c>
      <c r="G1318" s="101" t="s">
        <v>1813</v>
      </c>
      <c r="H1318" s="63" t="str">
        <f>VLOOKUP(C1318, 'Class Def. - General Data'!$C$20:$C$476,1,false)</f>
        <v>ZPM1_HGR</v>
      </c>
      <c r="I1318" s="63" t="str">
        <f t="shared" si="1"/>
        <v>ZPM1_HGR2</v>
      </c>
      <c r="J1318" s="63">
        <f t="shared" si="2"/>
        <v>1</v>
      </c>
    </row>
    <row r="1319" ht="15.75" customHeight="1">
      <c r="B1319" s="95"/>
      <c r="C1319" s="103" t="s">
        <v>282</v>
      </c>
      <c r="D1319" s="102" t="s">
        <v>91</v>
      </c>
      <c r="E1319" s="101" t="s">
        <v>577</v>
      </c>
      <c r="F1319" s="101">
        <f t="shared" si="3"/>
        <v>1</v>
      </c>
      <c r="G1319" s="101" t="s">
        <v>1814</v>
      </c>
      <c r="H1319" s="63" t="str">
        <f>VLOOKUP(C1319, 'Class Def. - General Data'!$C$20:$C$476,1,false)</f>
        <v>ZPM1_NCKTagOutSlv</v>
      </c>
      <c r="I1319" s="63" t="str">
        <f t="shared" si="1"/>
        <v>ZPM1_NCKTagOutSlv1</v>
      </c>
      <c r="J1319" s="63">
        <f t="shared" si="2"/>
        <v>1</v>
      </c>
    </row>
    <row r="1320" ht="15.75" customHeight="1">
      <c r="B1320" s="95"/>
      <c r="C1320" s="103" t="s">
        <v>282</v>
      </c>
      <c r="D1320" s="102" t="s">
        <v>91</v>
      </c>
      <c r="E1320" s="101" t="s">
        <v>577</v>
      </c>
      <c r="F1320" s="101">
        <f t="shared" si="3"/>
        <v>2</v>
      </c>
      <c r="G1320" s="101" t="s">
        <v>1815</v>
      </c>
      <c r="H1320" s="63" t="str">
        <f>VLOOKUP(C1320, 'Class Def. - General Data'!$C$20:$C$476,1,false)</f>
        <v>ZPM1_NCKTagOutSlv</v>
      </c>
      <c r="I1320" s="63" t="str">
        <f t="shared" si="1"/>
        <v>ZPM1_NCKTagOutSlv2</v>
      </c>
      <c r="J1320" s="63">
        <f t="shared" si="2"/>
        <v>1</v>
      </c>
    </row>
    <row r="1321" ht="15.75" customHeight="1">
      <c r="B1321" s="95"/>
      <c r="C1321" s="103" t="s">
        <v>282</v>
      </c>
      <c r="D1321" s="102" t="s">
        <v>91</v>
      </c>
      <c r="E1321" s="101" t="s">
        <v>577</v>
      </c>
      <c r="F1321" s="101">
        <f t="shared" si="3"/>
        <v>3</v>
      </c>
      <c r="G1321" s="101" t="s">
        <v>1816</v>
      </c>
      <c r="H1321" s="63" t="str">
        <f>VLOOKUP(C1321, 'Class Def. - General Data'!$C$20:$C$476,1,false)</f>
        <v>ZPM1_NCKTagOutSlv</v>
      </c>
      <c r="I1321" s="63" t="str">
        <f t="shared" si="1"/>
        <v>ZPM1_NCKTagOutSlv3</v>
      </c>
      <c r="J1321" s="63">
        <f t="shared" si="2"/>
        <v>1</v>
      </c>
    </row>
    <row r="1322" ht="15.75" customHeight="1">
      <c r="B1322" s="95"/>
      <c r="C1322" s="103" t="s">
        <v>282</v>
      </c>
      <c r="D1322" s="102" t="s">
        <v>91</v>
      </c>
      <c r="E1322" s="101" t="s">
        <v>577</v>
      </c>
      <c r="F1322" s="101">
        <f t="shared" si="3"/>
        <v>4</v>
      </c>
      <c r="G1322" s="101" t="s">
        <v>1817</v>
      </c>
      <c r="H1322" s="63" t="str">
        <f>VLOOKUP(C1322, 'Class Def. - General Data'!$C$20:$C$476,1,false)</f>
        <v>ZPM1_NCKTagOutSlv</v>
      </c>
      <c r="I1322" s="63" t="str">
        <f t="shared" si="1"/>
        <v>ZPM1_NCKTagOutSlv4</v>
      </c>
      <c r="J1322" s="63">
        <f t="shared" si="2"/>
        <v>1</v>
      </c>
    </row>
    <row r="1323" ht="15.75" customHeight="1">
      <c r="B1323" s="95"/>
      <c r="C1323" s="103" t="s">
        <v>271</v>
      </c>
      <c r="D1323" s="102" t="s">
        <v>91</v>
      </c>
      <c r="E1323" s="101" t="s">
        <v>577</v>
      </c>
      <c r="F1323" s="101">
        <f t="shared" si="3"/>
        <v>1</v>
      </c>
      <c r="G1323" s="101" t="s">
        <v>1818</v>
      </c>
      <c r="H1323" s="63" t="str">
        <f>VLOOKUP(C1323, 'Class Def. - General Data'!$C$20:$C$476,1,false)</f>
        <v>ZPM1_PackValve</v>
      </c>
      <c r="I1323" s="63" t="str">
        <f t="shared" si="1"/>
        <v>ZPM1_PackValve1</v>
      </c>
      <c r="J1323" s="63">
        <f t="shared" si="2"/>
        <v>1</v>
      </c>
    </row>
    <row r="1324" ht="15.75" customHeight="1">
      <c r="B1324" s="95"/>
      <c r="C1324" s="103" t="s">
        <v>271</v>
      </c>
      <c r="D1324" s="102" t="s">
        <v>91</v>
      </c>
      <c r="E1324" s="101" t="s">
        <v>577</v>
      </c>
      <c r="F1324" s="101">
        <f t="shared" si="3"/>
        <v>2</v>
      </c>
      <c r="G1324" s="101" t="s">
        <v>1819</v>
      </c>
      <c r="H1324" s="63" t="str">
        <f>VLOOKUP(C1324, 'Class Def. - General Data'!$C$20:$C$476,1,false)</f>
        <v>ZPM1_PackValve</v>
      </c>
      <c r="I1324" s="63" t="str">
        <f t="shared" si="1"/>
        <v>ZPM1_PackValve2</v>
      </c>
      <c r="J1324" s="63">
        <f t="shared" si="2"/>
        <v>1</v>
      </c>
    </row>
    <row r="1325" ht="15.75" customHeight="1">
      <c r="B1325" s="95"/>
      <c r="C1325" s="103" t="s">
        <v>271</v>
      </c>
      <c r="D1325" s="102" t="s">
        <v>91</v>
      </c>
      <c r="E1325" s="101" t="s">
        <v>577</v>
      </c>
      <c r="F1325" s="101">
        <f t="shared" si="3"/>
        <v>3</v>
      </c>
      <c r="G1325" s="101" t="s">
        <v>1820</v>
      </c>
      <c r="H1325" s="63" t="str">
        <f>VLOOKUP(C1325, 'Class Def. - General Data'!$C$20:$C$476,1,false)</f>
        <v>ZPM1_PackValve</v>
      </c>
      <c r="I1325" s="63" t="str">
        <f t="shared" si="1"/>
        <v>ZPM1_PackValve3</v>
      </c>
      <c r="J1325" s="63">
        <f t="shared" si="2"/>
        <v>1</v>
      </c>
    </row>
    <row r="1326" ht="15.75" customHeight="1">
      <c r="B1326" s="95"/>
      <c r="C1326" s="101" t="s">
        <v>277</v>
      </c>
      <c r="D1326" s="102" t="s">
        <v>91</v>
      </c>
      <c r="E1326" s="101" t="s">
        <v>577</v>
      </c>
      <c r="F1326" s="101">
        <f t="shared" si="3"/>
        <v>1</v>
      </c>
      <c r="G1326" s="101" t="s">
        <v>1821</v>
      </c>
      <c r="H1326" s="63" t="str">
        <f>VLOOKUP(C1326, 'Class Def. - General Data'!$C$20:$C$476,1,false)</f>
        <v>ZWS2_Waste</v>
      </c>
      <c r="I1326" s="63" t="str">
        <f t="shared" si="1"/>
        <v>ZWS2_Waste1</v>
      </c>
      <c r="J1326" s="63">
        <f t="shared" si="2"/>
        <v>1</v>
      </c>
    </row>
    <row r="1327" ht="15.75" customHeight="1">
      <c r="B1327" s="95"/>
      <c r="C1327" s="101" t="s">
        <v>277</v>
      </c>
      <c r="D1327" s="102" t="s">
        <v>91</v>
      </c>
      <c r="E1327" s="101" t="s">
        <v>577</v>
      </c>
      <c r="F1327" s="101">
        <f t="shared" si="3"/>
        <v>2</v>
      </c>
      <c r="G1327" s="101" t="s">
        <v>1822</v>
      </c>
      <c r="H1327" s="63" t="str">
        <f>VLOOKUP(C1327, 'Class Def. - General Data'!$C$20:$C$476,1,false)</f>
        <v>ZWS2_Waste</v>
      </c>
      <c r="I1327" s="63" t="str">
        <f t="shared" si="1"/>
        <v>ZWS2_Waste2</v>
      </c>
      <c r="J1327" s="63">
        <f t="shared" si="2"/>
        <v>1</v>
      </c>
    </row>
    <row r="1328" ht="15.75" customHeight="1">
      <c r="B1328" s="95"/>
      <c r="C1328" s="101" t="s">
        <v>277</v>
      </c>
      <c r="D1328" s="102" t="s">
        <v>91</v>
      </c>
      <c r="E1328" s="101" t="s">
        <v>577</v>
      </c>
      <c r="F1328" s="101">
        <f t="shared" si="3"/>
        <v>3</v>
      </c>
      <c r="G1328" s="101" t="s">
        <v>1823</v>
      </c>
      <c r="H1328" s="63" t="str">
        <f>VLOOKUP(C1328, 'Class Def. - General Data'!$C$20:$C$476,1,false)</f>
        <v>ZWS2_Waste</v>
      </c>
      <c r="I1328" s="63" t="str">
        <f t="shared" si="1"/>
        <v>ZWS2_Waste3</v>
      </c>
      <c r="J1328" s="63">
        <f t="shared" si="2"/>
        <v>1</v>
      </c>
    </row>
    <row r="1329" ht="15.75" customHeight="1">
      <c r="B1329" s="95"/>
      <c r="C1329" s="101" t="s">
        <v>277</v>
      </c>
      <c r="D1329" s="102" t="s">
        <v>91</v>
      </c>
      <c r="E1329" s="101" t="s">
        <v>577</v>
      </c>
      <c r="F1329" s="101">
        <f t="shared" si="3"/>
        <v>4</v>
      </c>
      <c r="G1329" s="101" t="s">
        <v>1824</v>
      </c>
      <c r="H1329" s="63" t="str">
        <f>VLOOKUP(C1329, 'Class Def. - General Data'!$C$20:$C$476,1,false)</f>
        <v>ZWS2_Waste</v>
      </c>
      <c r="I1329" s="63" t="str">
        <f t="shared" si="1"/>
        <v>ZWS2_Waste4</v>
      </c>
      <c r="J1329" s="63">
        <f t="shared" si="2"/>
        <v>1</v>
      </c>
    </row>
    <row r="1330" ht="15.75" customHeight="1">
      <c r="B1330" s="95"/>
      <c r="C1330" s="101" t="s">
        <v>283</v>
      </c>
      <c r="D1330" s="102" t="s">
        <v>91</v>
      </c>
      <c r="E1330" s="101" t="s">
        <v>577</v>
      </c>
      <c r="F1330" s="101">
        <f t="shared" si="3"/>
        <v>1</v>
      </c>
      <c r="G1330" s="101" t="s">
        <v>1825</v>
      </c>
      <c r="H1330" s="63" t="str">
        <f>VLOOKUP(C1330, 'Class Def. - General Data'!$C$20:$C$476,1,false)</f>
        <v>ZPM1_TRAY</v>
      </c>
      <c r="I1330" s="63" t="str">
        <f t="shared" si="1"/>
        <v>ZPM1_TRAY1</v>
      </c>
      <c r="J1330" s="63">
        <f t="shared" si="2"/>
        <v>1</v>
      </c>
    </row>
    <row r="1331" ht="15.75" customHeight="1">
      <c r="B1331" s="95"/>
      <c r="C1331" s="101" t="s">
        <v>283</v>
      </c>
      <c r="D1331" s="102" t="s">
        <v>91</v>
      </c>
      <c r="E1331" s="101" t="s">
        <v>577</v>
      </c>
      <c r="F1331" s="101">
        <f t="shared" si="3"/>
        <v>2</v>
      </c>
      <c r="G1331" s="101" t="s">
        <v>1826</v>
      </c>
      <c r="H1331" s="63" t="str">
        <f>VLOOKUP(C1331, 'Class Def. - General Data'!$C$20:$C$476,1,false)</f>
        <v>ZPM1_TRAY</v>
      </c>
      <c r="I1331" s="63" t="str">
        <f t="shared" si="1"/>
        <v>ZPM1_TRAY2</v>
      </c>
      <c r="J1331" s="63">
        <f t="shared" si="2"/>
        <v>1</v>
      </c>
    </row>
    <row r="1332" ht="15.75" customHeight="1">
      <c r="B1332" s="95"/>
      <c r="C1332" s="101" t="s">
        <v>284</v>
      </c>
      <c r="D1332" s="102" t="s">
        <v>91</v>
      </c>
      <c r="E1332" s="101" t="s">
        <v>577</v>
      </c>
      <c r="F1332" s="101">
        <f t="shared" si="3"/>
        <v>1</v>
      </c>
      <c r="G1332" s="101" t="s">
        <v>1827</v>
      </c>
      <c r="H1332" s="63" t="str">
        <f>VLOOKUP(C1332, 'Class Def. - General Data'!$C$20:$C$476,1,false)</f>
        <v>ZPM1_TAGPIN</v>
      </c>
      <c r="I1332" s="63" t="str">
        <f t="shared" si="1"/>
        <v>ZPM1_TAGPIN1</v>
      </c>
      <c r="J1332" s="63">
        <f t="shared" si="2"/>
        <v>1</v>
      </c>
    </row>
    <row r="1333" ht="15.75" customHeight="1">
      <c r="B1333" s="95"/>
      <c r="C1333" s="101" t="s">
        <v>284</v>
      </c>
      <c r="D1333" s="102" t="s">
        <v>91</v>
      </c>
      <c r="E1333" s="101" t="s">
        <v>577</v>
      </c>
      <c r="F1333" s="101">
        <f t="shared" si="3"/>
        <v>2</v>
      </c>
      <c r="G1333" s="101" t="s">
        <v>1828</v>
      </c>
      <c r="H1333" s="63" t="str">
        <f>VLOOKUP(C1333, 'Class Def. - General Data'!$C$20:$C$476,1,false)</f>
        <v>ZPM1_TAGPIN</v>
      </c>
      <c r="I1333" s="63" t="str">
        <f t="shared" si="1"/>
        <v>ZPM1_TAGPIN2</v>
      </c>
      <c r="J1333" s="63">
        <f t="shared" si="2"/>
        <v>1</v>
      </c>
    </row>
    <row r="1334" ht="15.75" customHeight="1">
      <c r="B1334" s="95"/>
      <c r="C1334" s="101" t="s">
        <v>285</v>
      </c>
      <c r="D1334" s="102" t="s">
        <v>91</v>
      </c>
      <c r="E1334" s="101" t="s">
        <v>577</v>
      </c>
      <c r="F1334" s="101">
        <f t="shared" si="3"/>
        <v>1</v>
      </c>
      <c r="G1334" s="101" t="s">
        <v>1829</v>
      </c>
      <c r="H1334" s="63" t="str">
        <f>VLOOKUP(C1334, 'Class Def. - General Data'!$C$20:$C$476,1,false)</f>
        <v>ZPM1_BOX_PP</v>
      </c>
      <c r="I1334" s="63" t="str">
        <f t="shared" si="1"/>
        <v>ZPM1_BOX_PP1</v>
      </c>
      <c r="J1334" s="63">
        <f t="shared" si="2"/>
        <v>1</v>
      </c>
    </row>
    <row r="1335" ht="15.75" customHeight="1">
      <c r="B1335" s="95"/>
      <c r="C1335" s="101" t="s">
        <v>285</v>
      </c>
      <c r="D1335" s="102" t="s">
        <v>91</v>
      </c>
      <c r="E1335" s="101" t="s">
        <v>577</v>
      </c>
      <c r="F1335" s="101">
        <f t="shared" si="3"/>
        <v>2</v>
      </c>
      <c r="G1335" s="101" t="s">
        <v>1830</v>
      </c>
      <c r="H1335" s="63" t="str">
        <f>VLOOKUP(C1335, 'Class Def. - General Data'!$C$20:$C$476,1,false)</f>
        <v>ZPM1_BOX_PP</v>
      </c>
      <c r="I1335" s="63" t="str">
        <f t="shared" si="1"/>
        <v>ZPM1_BOX_PP2</v>
      </c>
      <c r="J1335" s="63">
        <f t="shared" si="2"/>
        <v>1</v>
      </c>
    </row>
    <row r="1336" ht="15.75" customHeight="1">
      <c r="B1336" s="95"/>
      <c r="C1336" s="101" t="s">
        <v>285</v>
      </c>
      <c r="D1336" s="102" t="s">
        <v>91</v>
      </c>
      <c r="E1336" s="101" t="s">
        <v>577</v>
      </c>
      <c r="F1336" s="101">
        <f t="shared" si="3"/>
        <v>3</v>
      </c>
      <c r="G1336" s="101" t="s">
        <v>1831</v>
      </c>
      <c r="H1336" s="63" t="str">
        <f>VLOOKUP(C1336, 'Class Def. - General Data'!$C$20:$C$476,1,false)</f>
        <v>ZPM1_BOX_PP</v>
      </c>
      <c r="I1336" s="63" t="str">
        <f t="shared" si="1"/>
        <v>ZPM1_BOX_PP3</v>
      </c>
      <c r="J1336" s="63">
        <f t="shared" si="2"/>
        <v>1</v>
      </c>
    </row>
    <row r="1337" ht="15.75" customHeight="1">
      <c r="B1337" s="95"/>
      <c r="C1337" s="101" t="s">
        <v>285</v>
      </c>
      <c r="D1337" s="102" t="s">
        <v>91</v>
      </c>
      <c r="E1337" s="101" t="s">
        <v>577</v>
      </c>
      <c r="F1337" s="101">
        <f t="shared" si="3"/>
        <v>4</v>
      </c>
      <c r="G1337" s="101" t="s">
        <v>1832</v>
      </c>
      <c r="H1337" s="63" t="str">
        <f>VLOOKUP(C1337, 'Class Def. - General Data'!$C$20:$C$476,1,false)</f>
        <v>ZPM1_BOX_PP</v>
      </c>
      <c r="I1337" s="63" t="str">
        <f t="shared" si="1"/>
        <v>ZPM1_BOX_PP4</v>
      </c>
      <c r="J1337" s="63">
        <f t="shared" si="2"/>
        <v>1</v>
      </c>
    </row>
    <row r="1338" ht="15.75" customHeight="1">
      <c r="B1338" s="95"/>
      <c r="C1338" s="101" t="s">
        <v>285</v>
      </c>
      <c r="D1338" s="102" t="s">
        <v>91</v>
      </c>
      <c r="E1338" s="101" t="s">
        <v>577</v>
      </c>
      <c r="F1338" s="101">
        <f t="shared" si="3"/>
        <v>5</v>
      </c>
      <c r="G1338" s="101" t="s">
        <v>1833</v>
      </c>
      <c r="H1338" s="63" t="str">
        <f>VLOOKUP(C1338, 'Class Def. - General Data'!$C$20:$C$476,1,false)</f>
        <v>ZPM1_BOX_PP</v>
      </c>
      <c r="I1338" s="63" t="str">
        <f t="shared" si="1"/>
        <v>ZPM1_BOX_PP5</v>
      </c>
      <c r="J1338" s="63">
        <f t="shared" si="2"/>
        <v>1</v>
      </c>
    </row>
    <row r="1339" ht="15.75" customHeight="1">
      <c r="B1339" s="95"/>
      <c r="C1339" s="101" t="s">
        <v>286</v>
      </c>
      <c r="D1339" s="102" t="s">
        <v>91</v>
      </c>
      <c r="E1339" s="101" t="s">
        <v>577</v>
      </c>
      <c r="F1339" s="101">
        <f t="shared" si="3"/>
        <v>1</v>
      </c>
      <c r="G1339" s="101" t="s">
        <v>1834</v>
      </c>
      <c r="H1339" s="63" t="str">
        <f>VLOOKUP(C1339, 'Class Def. - General Data'!$C$20:$C$476,1,false)</f>
        <v>ZRM1_ROLBIB</v>
      </c>
      <c r="I1339" s="63" t="str">
        <f t="shared" si="1"/>
        <v>ZRM1_ROLBIB1</v>
      </c>
      <c r="J1339" s="63">
        <f t="shared" si="2"/>
        <v>1</v>
      </c>
    </row>
    <row r="1340" ht="15.75" customHeight="1">
      <c r="B1340" s="95"/>
      <c r="C1340" s="101" t="s">
        <v>286</v>
      </c>
      <c r="D1340" s="102" t="s">
        <v>91</v>
      </c>
      <c r="E1340" s="101" t="s">
        <v>577</v>
      </c>
      <c r="F1340" s="101">
        <f t="shared" si="3"/>
        <v>2</v>
      </c>
      <c r="G1340" s="101" t="s">
        <v>1835</v>
      </c>
      <c r="H1340" s="63" t="str">
        <f>VLOOKUP(C1340, 'Class Def. - General Data'!$C$20:$C$476,1,false)</f>
        <v>ZRM1_ROLBIB</v>
      </c>
      <c r="I1340" s="63" t="str">
        <f t="shared" si="1"/>
        <v>ZRM1_ROLBIB2</v>
      </c>
      <c r="J1340" s="63">
        <f t="shared" si="2"/>
        <v>1</v>
      </c>
    </row>
    <row r="1341" ht="15.75" customHeight="1">
      <c r="B1341" s="95"/>
      <c r="C1341" s="101" t="s">
        <v>286</v>
      </c>
      <c r="D1341" s="102" t="s">
        <v>91</v>
      </c>
      <c r="E1341" s="101" t="s">
        <v>577</v>
      </c>
      <c r="F1341" s="101">
        <f t="shared" si="3"/>
        <v>3</v>
      </c>
      <c r="G1341" s="101" t="s">
        <v>1836</v>
      </c>
      <c r="H1341" s="63" t="str">
        <f>VLOOKUP(C1341, 'Class Def. - General Data'!$C$20:$C$476,1,false)</f>
        <v>ZRM1_ROLBIB</v>
      </c>
      <c r="I1341" s="63" t="str">
        <f t="shared" si="1"/>
        <v>ZRM1_ROLBIB3</v>
      </c>
      <c r="J1341" s="63">
        <f t="shared" si="2"/>
        <v>1</v>
      </c>
    </row>
    <row r="1342" ht="15.75" customHeight="1">
      <c r="B1342" s="95"/>
      <c r="C1342" s="101" t="s">
        <v>287</v>
      </c>
      <c r="D1342" s="102" t="s">
        <v>91</v>
      </c>
      <c r="E1342" s="101" t="s">
        <v>577</v>
      </c>
      <c r="F1342" s="101">
        <f t="shared" si="3"/>
        <v>1</v>
      </c>
      <c r="G1342" s="101" t="s">
        <v>1837</v>
      </c>
      <c r="H1342" s="63" t="str">
        <f>VLOOKUP(C1342, 'Class Def. - General Data'!$C$20:$C$476,1,false)</f>
        <v>ZRM1_NW_Wipes</v>
      </c>
      <c r="I1342" s="63" t="str">
        <f t="shared" si="1"/>
        <v>ZRM1_NW_Wipes1</v>
      </c>
      <c r="J1342" s="63">
        <f t="shared" si="2"/>
        <v>1</v>
      </c>
    </row>
    <row r="1343" ht="15.75" customHeight="1">
      <c r="B1343" s="95"/>
      <c r="C1343" s="101" t="s">
        <v>287</v>
      </c>
      <c r="D1343" s="102" t="s">
        <v>91</v>
      </c>
      <c r="E1343" s="101" t="s">
        <v>577</v>
      </c>
      <c r="F1343" s="101">
        <f t="shared" si="3"/>
        <v>2</v>
      </c>
      <c r="G1343" s="101" t="s">
        <v>1838</v>
      </c>
      <c r="H1343" s="63" t="str">
        <f>VLOOKUP(C1343, 'Class Def. - General Data'!$C$20:$C$476,1,false)</f>
        <v>ZRM1_NW_Wipes</v>
      </c>
      <c r="I1343" s="63" t="str">
        <f t="shared" si="1"/>
        <v>ZRM1_NW_Wipes2</v>
      </c>
      <c r="J1343" s="63">
        <f t="shared" si="2"/>
        <v>1</v>
      </c>
    </row>
    <row r="1344" ht="15.75" customHeight="1">
      <c r="B1344" s="95"/>
      <c r="C1344" s="101" t="s">
        <v>287</v>
      </c>
      <c r="D1344" s="102" t="s">
        <v>91</v>
      </c>
      <c r="E1344" s="101" t="s">
        <v>577</v>
      </c>
      <c r="F1344" s="101">
        <f t="shared" si="3"/>
        <v>3</v>
      </c>
      <c r="G1344" s="101" t="s">
        <v>1839</v>
      </c>
      <c r="H1344" s="63" t="str">
        <f>VLOOKUP(C1344, 'Class Def. - General Data'!$C$20:$C$476,1,false)</f>
        <v>ZRM1_NW_Wipes</v>
      </c>
      <c r="I1344" s="63" t="str">
        <f t="shared" si="1"/>
        <v>ZRM1_NW_Wipes3</v>
      </c>
      <c r="J1344" s="63">
        <f t="shared" si="2"/>
        <v>1</v>
      </c>
    </row>
    <row r="1345" ht="15.75" customHeight="1">
      <c r="B1345" s="95"/>
      <c r="C1345" s="101" t="s">
        <v>288</v>
      </c>
      <c r="D1345" s="102" t="s">
        <v>91</v>
      </c>
      <c r="E1345" s="101" t="s">
        <v>577</v>
      </c>
      <c r="F1345" s="101">
        <f t="shared" si="3"/>
        <v>1</v>
      </c>
      <c r="G1345" s="101" t="s">
        <v>1840</v>
      </c>
      <c r="H1345" s="63" t="str">
        <f>VLOOKUP(C1345, 'Class Def. - General Data'!$C$20:$C$476,1,false)</f>
        <v>ZPM1_SUITCASE</v>
      </c>
      <c r="I1345" s="63" t="str">
        <f t="shared" si="1"/>
        <v>ZPM1_SUITCASE1</v>
      </c>
      <c r="J1345" s="63">
        <f t="shared" si="2"/>
        <v>1</v>
      </c>
    </row>
    <row r="1346" ht="15.75" customHeight="1">
      <c r="B1346" s="95"/>
      <c r="C1346" s="101" t="s">
        <v>288</v>
      </c>
      <c r="D1346" s="102" t="s">
        <v>91</v>
      </c>
      <c r="E1346" s="101" t="s">
        <v>577</v>
      </c>
      <c r="F1346" s="101">
        <f t="shared" si="3"/>
        <v>2</v>
      </c>
      <c r="G1346" s="101" t="s">
        <v>1841</v>
      </c>
      <c r="H1346" s="63" t="str">
        <f>VLOOKUP(C1346, 'Class Def. - General Data'!$C$20:$C$476,1,false)</f>
        <v>ZPM1_SUITCASE</v>
      </c>
      <c r="I1346" s="63" t="str">
        <f t="shared" si="1"/>
        <v>ZPM1_SUITCASE2</v>
      </c>
      <c r="J1346" s="63">
        <f t="shared" si="2"/>
        <v>1</v>
      </c>
    </row>
    <row r="1347" ht="15.75" customHeight="1">
      <c r="B1347" s="95"/>
      <c r="C1347" s="101" t="s">
        <v>288</v>
      </c>
      <c r="D1347" s="102" t="s">
        <v>91</v>
      </c>
      <c r="E1347" s="101" t="s">
        <v>577</v>
      </c>
      <c r="F1347" s="101">
        <f t="shared" si="3"/>
        <v>3</v>
      </c>
      <c r="G1347" s="101" t="s">
        <v>1842</v>
      </c>
      <c r="H1347" s="63" t="str">
        <f>VLOOKUP(C1347, 'Class Def. - General Data'!$C$20:$C$476,1,false)</f>
        <v>ZPM1_SUITCASE</v>
      </c>
      <c r="I1347" s="63" t="str">
        <f t="shared" si="1"/>
        <v>ZPM1_SUITCASE3</v>
      </c>
      <c r="J1347" s="63">
        <f t="shared" si="2"/>
        <v>1</v>
      </c>
    </row>
    <row r="1348" ht="15.75" customHeight="1">
      <c r="B1348" s="95"/>
      <c r="C1348" s="101" t="s">
        <v>288</v>
      </c>
      <c r="D1348" s="102" t="s">
        <v>91</v>
      </c>
      <c r="E1348" s="101" t="s">
        <v>577</v>
      </c>
      <c r="F1348" s="101">
        <f t="shared" si="3"/>
        <v>4</v>
      </c>
      <c r="G1348" s="101" t="s">
        <v>1843</v>
      </c>
      <c r="H1348" s="63" t="str">
        <f>VLOOKUP(C1348, 'Class Def. - General Data'!$C$20:$C$476,1,false)</f>
        <v>ZPM1_SUITCASE</v>
      </c>
      <c r="I1348" s="63" t="str">
        <f t="shared" si="1"/>
        <v>ZPM1_SUITCASE4</v>
      </c>
      <c r="J1348" s="63">
        <f t="shared" si="2"/>
        <v>1</v>
      </c>
    </row>
    <row r="1349" ht="15.75" customHeight="1">
      <c r="B1349" s="95"/>
      <c r="C1349" s="101" t="s">
        <v>288</v>
      </c>
      <c r="D1349" s="102" t="s">
        <v>91</v>
      </c>
      <c r="E1349" s="101" t="s">
        <v>577</v>
      </c>
      <c r="F1349" s="101">
        <f t="shared" si="3"/>
        <v>5</v>
      </c>
      <c r="G1349" s="101" t="s">
        <v>1844</v>
      </c>
      <c r="H1349" s="63" t="str">
        <f>VLOOKUP(C1349, 'Class Def. - General Data'!$C$20:$C$476,1,false)</f>
        <v>ZPM1_SUITCASE</v>
      </c>
      <c r="I1349" s="63" t="str">
        <f t="shared" si="1"/>
        <v>ZPM1_SUITCASE5</v>
      </c>
      <c r="J1349" s="63">
        <f t="shared" si="2"/>
        <v>1</v>
      </c>
    </row>
    <row r="1350" ht="15.75" customHeight="1">
      <c r="B1350" s="95"/>
      <c r="C1350" s="101" t="s">
        <v>289</v>
      </c>
      <c r="D1350" s="102" t="s">
        <v>91</v>
      </c>
      <c r="E1350" s="101" t="s">
        <v>577</v>
      </c>
      <c r="F1350" s="101">
        <f t="shared" si="3"/>
        <v>1</v>
      </c>
      <c r="G1350" s="101" t="s">
        <v>1845</v>
      </c>
      <c r="H1350" s="63" t="str">
        <f>VLOOKUP(C1350, 'Class Def. - General Data'!$C$20:$C$476,1,false)</f>
        <v>ZRM1_Kecap</v>
      </c>
      <c r="I1350" s="63" t="str">
        <f t="shared" si="1"/>
        <v>ZRM1_Kecap1</v>
      </c>
      <c r="J1350" s="63">
        <f t="shared" si="2"/>
        <v>1</v>
      </c>
    </row>
    <row r="1351" ht="15.75" customHeight="1">
      <c r="B1351" s="95"/>
      <c r="C1351" s="101" t="s">
        <v>289</v>
      </c>
      <c r="D1351" s="102" t="s">
        <v>91</v>
      </c>
      <c r="E1351" s="101" t="s">
        <v>577</v>
      </c>
      <c r="F1351" s="101">
        <f t="shared" si="3"/>
        <v>2</v>
      </c>
      <c r="G1351" s="101" t="s">
        <v>1846</v>
      </c>
      <c r="H1351" s="63" t="str">
        <f>VLOOKUP(C1351, 'Class Def. - General Data'!$C$20:$C$476,1,false)</f>
        <v>ZRM1_Kecap</v>
      </c>
      <c r="I1351" s="63" t="str">
        <f t="shared" si="1"/>
        <v>ZRM1_Kecap2</v>
      </c>
      <c r="J1351" s="63">
        <f t="shared" si="2"/>
        <v>1</v>
      </c>
    </row>
    <row r="1352" ht="15.75" customHeight="1">
      <c r="B1352" s="95"/>
      <c r="C1352" s="101" t="s">
        <v>289</v>
      </c>
      <c r="D1352" s="102" t="s">
        <v>91</v>
      </c>
      <c r="E1352" s="101" t="s">
        <v>577</v>
      </c>
      <c r="F1352" s="101">
        <f t="shared" si="3"/>
        <v>3</v>
      </c>
      <c r="G1352" s="101" t="s">
        <v>1847</v>
      </c>
      <c r="H1352" s="63" t="str">
        <f>VLOOKUP(C1352, 'Class Def. - General Data'!$C$20:$C$476,1,false)</f>
        <v>ZRM1_Kecap</v>
      </c>
      <c r="I1352" s="63" t="str">
        <f t="shared" si="1"/>
        <v>ZRM1_Kecap3</v>
      </c>
      <c r="J1352" s="63">
        <f t="shared" si="2"/>
        <v>1</v>
      </c>
    </row>
    <row r="1353" ht="15.75" customHeight="1">
      <c r="B1353" s="95"/>
      <c r="C1353" s="101" t="s">
        <v>290</v>
      </c>
      <c r="D1353" s="102" t="s">
        <v>91</v>
      </c>
      <c r="E1353" s="101" t="s">
        <v>577</v>
      </c>
      <c r="F1353" s="101">
        <f t="shared" si="3"/>
        <v>1</v>
      </c>
      <c r="G1353" s="101" t="s">
        <v>1848</v>
      </c>
      <c r="H1353" s="63" t="str">
        <f>VLOOKUP(C1353, 'Class Def. - General Data'!$C$20:$C$476,1,false)</f>
        <v>ZPM1_IBCTank</v>
      </c>
      <c r="I1353" s="63" t="str">
        <f t="shared" si="1"/>
        <v>ZPM1_IBCTank1</v>
      </c>
      <c r="J1353" s="63">
        <f t="shared" si="2"/>
        <v>1</v>
      </c>
    </row>
    <row r="1354" ht="15.75" customHeight="1">
      <c r="B1354" s="95"/>
      <c r="C1354" s="101" t="s">
        <v>290</v>
      </c>
      <c r="D1354" s="102" t="s">
        <v>91</v>
      </c>
      <c r="E1354" s="101" t="s">
        <v>577</v>
      </c>
      <c r="F1354" s="101">
        <f t="shared" si="3"/>
        <v>2</v>
      </c>
      <c r="G1354" s="101" t="s">
        <v>1849</v>
      </c>
      <c r="H1354" s="63" t="str">
        <f>VLOOKUP(C1354, 'Class Def. - General Data'!$C$20:$C$476,1,false)</f>
        <v>ZPM1_IBCTank</v>
      </c>
      <c r="I1354" s="63" t="str">
        <f t="shared" si="1"/>
        <v>ZPM1_IBCTank2</v>
      </c>
      <c r="J1354" s="63">
        <f t="shared" si="2"/>
        <v>1</v>
      </c>
    </row>
    <row r="1355" ht="15.75" customHeight="1">
      <c r="B1355" s="95"/>
      <c r="C1355" s="101" t="s">
        <v>290</v>
      </c>
      <c r="D1355" s="102" t="s">
        <v>91</v>
      </c>
      <c r="E1355" s="101" t="s">
        <v>577</v>
      </c>
      <c r="F1355" s="101">
        <f t="shared" si="3"/>
        <v>3</v>
      </c>
      <c r="G1355" s="101" t="s">
        <v>1850</v>
      </c>
      <c r="H1355" s="63" t="str">
        <f>VLOOKUP(C1355, 'Class Def. - General Data'!$C$20:$C$476,1,false)</f>
        <v>ZPM1_IBCTank</v>
      </c>
      <c r="I1355" s="63" t="str">
        <f t="shared" si="1"/>
        <v>ZPM1_IBCTank3</v>
      </c>
      <c r="J1355" s="63">
        <f t="shared" si="2"/>
        <v>1</v>
      </c>
    </row>
    <row r="1356" ht="15.75" customHeight="1">
      <c r="B1356" s="95"/>
      <c r="C1356" s="101" t="s">
        <v>291</v>
      </c>
      <c r="D1356" s="102" t="s">
        <v>91</v>
      </c>
      <c r="E1356" s="101" t="s">
        <v>577</v>
      </c>
      <c r="F1356" s="101">
        <f t="shared" si="3"/>
        <v>1</v>
      </c>
      <c r="G1356" s="101" t="s">
        <v>1851</v>
      </c>
      <c r="H1356" s="63" t="str">
        <f>VLOOKUP(C1356, 'Class Def. - General Data'!$C$20:$C$476,1,false)</f>
        <v>ZRM1_Vit_Nutrient</v>
      </c>
      <c r="I1356" s="63" t="str">
        <f t="shared" si="1"/>
        <v>ZRM1_Vit_Nutrient1</v>
      </c>
      <c r="J1356" s="63">
        <f t="shared" si="2"/>
        <v>1</v>
      </c>
    </row>
    <row r="1357" ht="15.75" customHeight="1">
      <c r="B1357" s="95"/>
      <c r="C1357" s="101" t="s">
        <v>291</v>
      </c>
      <c r="D1357" s="102" t="s">
        <v>91</v>
      </c>
      <c r="E1357" s="101" t="s">
        <v>577</v>
      </c>
      <c r="F1357" s="101">
        <f t="shared" si="3"/>
        <v>2</v>
      </c>
      <c r="G1357" s="101" t="s">
        <v>1553</v>
      </c>
      <c r="H1357" s="63" t="str">
        <f>VLOOKUP(C1357, 'Class Def. - General Data'!$C$20:$C$476,1,false)</f>
        <v>ZRM1_Vit_Nutrient</v>
      </c>
      <c r="I1357" s="63" t="str">
        <f t="shared" si="1"/>
        <v>ZRM1_Vit_Nutrient2</v>
      </c>
      <c r="J1357" s="63">
        <f t="shared" si="2"/>
        <v>1</v>
      </c>
    </row>
    <row r="1358" ht="15.75" customHeight="1">
      <c r="B1358" s="95"/>
      <c r="C1358" s="101" t="s">
        <v>291</v>
      </c>
      <c r="D1358" s="102" t="s">
        <v>91</v>
      </c>
      <c r="E1358" s="101" t="s">
        <v>577</v>
      </c>
      <c r="F1358" s="101">
        <f t="shared" si="3"/>
        <v>3</v>
      </c>
      <c r="G1358" s="101" t="s">
        <v>1852</v>
      </c>
      <c r="H1358" s="63" t="str">
        <f>VLOOKUP(C1358, 'Class Def. - General Data'!$C$20:$C$476,1,false)</f>
        <v>ZRM1_Vit_Nutrient</v>
      </c>
      <c r="I1358" s="63" t="str">
        <f t="shared" si="1"/>
        <v>ZRM1_Vit_Nutrient3</v>
      </c>
      <c r="J1358" s="63">
        <f t="shared" si="2"/>
        <v>1</v>
      </c>
    </row>
    <row r="1359" ht="15.75" customHeight="1">
      <c r="B1359" s="95"/>
      <c r="C1359" s="101" t="s">
        <v>292</v>
      </c>
      <c r="D1359" s="102" t="s">
        <v>91</v>
      </c>
      <c r="E1359" s="101" t="s">
        <v>577</v>
      </c>
      <c r="F1359" s="101">
        <f t="shared" si="3"/>
        <v>1</v>
      </c>
      <c r="G1359" s="101" t="s">
        <v>1853</v>
      </c>
      <c r="H1359" s="63" t="str">
        <f>VLOOKUP(C1359, 'Class Def. - General Data'!$C$20:$C$476,1,false)</f>
        <v>ZRM1_Colorant_Food</v>
      </c>
      <c r="I1359" s="63" t="str">
        <f t="shared" si="1"/>
        <v>ZRM1_Colorant_Food1</v>
      </c>
      <c r="J1359" s="63">
        <f t="shared" si="2"/>
        <v>1</v>
      </c>
    </row>
    <row r="1360" ht="15.75" customHeight="1">
      <c r="B1360" s="95"/>
      <c r="C1360" s="101" t="s">
        <v>292</v>
      </c>
      <c r="D1360" s="102" t="s">
        <v>91</v>
      </c>
      <c r="E1360" s="101" t="s">
        <v>577</v>
      </c>
      <c r="F1360" s="101">
        <f t="shared" si="3"/>
        <v>2</v>
      </c>
      <c r="G1360" s="101" t="s">
        <v>1854</v>
      </c>
      <c r="H1360" s="63" t="str">
        <f>VLOOKUP(C1360, 'Class Def. - General Data'!$C$20:$C$476,1,false)</f>
        <v>ZRM1_Colorant_Food</v>
      </c>
      <c r="I1360" s="63" t="str">
        <f t="shared" si="1"/>
        <v>ZRM1_Colorant_Food2</v>
      </c>
      <c r="J1360" s="63">
        <f t="shared" si="2"/>
        <v>1</v>
      </c>
    </row>
    <row r="1361" ht="15.75" customHeight="1">
      <c r="B1361" s="95"/>
      <c r="C1361" s="101" t="s">
        <v>292</v>
      </c>
      <c r="D1361" s="102" t="s">
        <v>91</v>
      </c>
      <c r="E1361" s="101" t="s">
        <v>577</v>
      </c>
      <c r="F1361" s="101">
        <f t="shared" si="3"/>
        <v>3</v>
      </c>
      <c r="G1361" s="101" t="s">
        <v>1855</v>
      </c>
      <c r="H1361" s="63" t="str">
        <f>VLOOKUP(C1361, 'Class Def. - General Data'!$C$20:$C$476,1,false)</f>
        <v>ZRM1_Colorant_Food</v>
      </c>
      <c r="I1361" s="63" t="str">
        <f t="shared" si="1"/>
        <v>ZRM1_Colorant_Food3</v>
      </c>
      <c r="J1361" s="63">
        <f t="shared" si="2"/>
        <v>1</v>
      </c>
    </row>
    <row r="1362" ht="15.75" customHeight="1">
      <c r="B1362" s="95"/>
      <c r="C1362" s="101" t="s">
        <v>292</v>
      </c>
      <c r="D1362" s="102" t="s">
        <v>91</v>
      </c>
      <c r="E1362" s="101" t="s">
        <v>577</v>
      </c>
      <c r="F1362" s="101">
        <f t="shared" si="3"/>
        <v>4</v>
      </c>
      <c r="G1362" s="101" t="s">
        <v>1856</v>
      </c>
      <c r="H1362" s="63" t="str">
        <f>VLOOKUP(C1362, 'Class Def. - General Data'!$C$20:$C$476,1,false)</f>
        <v>ZRM1_Colorant_Food</v>
      </c>
      <c r="I1362" s="63" t="str">
        <f t="shared" si="1"/>
        <v>ZRM1_Colorant_Food4</v>
      </c>
      <c r="J1362" s="63">
        <f t="shared" si="2"/>
        <v>1</v>
      </c>
    </row>
    <row r="1363" ht="15.75" customHeight="1">
      <c r="B1363" s="95"/>
      <c r="C1363" s="105" t="s">
        <v>293</v>
      </c>
      <c r="D1363" s="102" t="s">
        <v>91</v>
      </c>
      <c r="E1363" s="101" t="s">
        <v>577</v>
      </c>
      <c r="F1363" s="101">
        <f t="shared" si="3"/>
        <v>1</v>
      </c>
      <c r="G1363" s="101" t="s">
        <v>1857</v>
      </c>
      <c r="H1363" s="63" t="str">
        <f>VLOOKUP(C1363, 'Class Def. - General Data'!$C$20:$C$476,1,false)</f>
        <v>ZRM1_BB_SUBCON</v>
      </c>
      <c r="I1363" s="63" t="str">
        <f t="shared" si="1"/>
        <v>ZRM1_BB_SUBCON1</v>
      </c>
      <c r="J1363" s="63">
        <f t="shared" si="2"/>
        <v>1</v>
      </c>
    </row>
    <row r="1364" ht="15.75" customHeight="1">
      <c r="B1364" s="95"/>
      <c r="C1364" s="105" t="s">
        <v>293</v>
      </c>
      <c r="D1364" s="102" t="s">
        <v>91</v>
      </c>
      <c r="E1364" s="101" t="s">
        <v>577</v>
      </c>
      <c r="F1364" s="101">
        <f t="shared" si="3"/>
        <v>2</v>
      </c>
      <c r="G1364" s="101" t="s">
        <v>1858</v>
      </c>
      <c r="H1364" s="63" t="str">
        <f>VLOOKUP(C1364, 'Class Def. - General Data'!$C$20:$C$476,1,false)</f>
        <v>ZRM1_BB_SUBCON</v>
      </c>
      <c r="I1364" s="63" t="str">
        <f t="shared" si="1"/>
        <v>ZRM1_BB_SUBCON2</v>
      </c>
      <c r="J1364" s="63">
        <f t="shared" si="2"/>
        <v>1</v>
      </c>
    </row>
    <row r="1365" ht="15.75" customHeight="1">
      <c r="B1365" s="95"/>
      <c r="C1365" s="105" t="s">
        <v>293</v>
      </c>
      <c r="D1365" s="102" t="s">
        <v>91</v>
      </c>
      <c r="E1365" s="101" t="s">
        <v>577</v>
      </c>
      <c r="F1365" s="101">
        <f t="shared" si="3"/>
        <v>3</v>
      </c>
      <c r="G1365" s="101" t="s">
        <v>1859</v>
      </c>
      <c r="H1365" s="63" t="str">
        <f>VLOOKUP(C1365, 'Class Def. - General Data'!$C$20:$C$476,1,false)</f>
        <v>ZRM1_BB_SUBCON</v>
      </c>
      <c r="I1365" s="63" t="str">
        <f t="shared" si="1"/>
        <v>ZRM1_BB_SUBCON3</v>
      </c>
      <c r="J1365" s="63">
        <f t="shared" si="2"/>
        <v>1</v>
      </c>
    </row>
    <row r="1366" ht="15.75" customHeight="1">
      <c r="B1366" s="95"/>
      <c r="C1366" s="105" t="s">
        <v>487</v>
      </c>
      <c r="D1366" s="101" t="s">
        <v>91</v>
      </c>
      <c r="E1366" s="101" t="s">
        <v>577</v>
      </c>
      <c r="F1366" s="101">
        <v>1.0</v>
      </c>
      <c r="G1366" s="101" t="s">
        <v>1860</v>
      </c>
      <c r="H1366" s="63" t="str">
        <f>VLOOKUP(C1366, 'Class Def. - General Data'!$C$20:$C$476,1,false)</f>
        <v>ZSI1_AC_MOTOR</v>
      </c>
      <c r="I1366" s="63" t="str">
        <f t="shared" si="1"/>
        <v>ZSI1_AC_MOTOR1</v>
      </c>
      <c r="J1366" s="63">
        <f t="shared" si="2"/>
        <v>1</v>
      </c>
    </row>
    <row r="1367" ht="15.75" customHeight="1">
      <c r="B1367" s="95"/>
      <c r="C1367" s="105" t="s">
        <v>487</v>
      </c>
      <c r="D1367" s="101" t="s">
        <v>91</v>
      </c>
      <c r="E1367" s="101" t="s">
        <v>577</v>
      </c>
      <c r="F1367" s="101">
        <v>2.0</v>
      </c>
      <c r="G1367" s="101" t="s">
        <v>1861</v>
      </c>
      <c r="H1367" s="63" t="str">
        <f>VLOOKUP(C1367, 'Class Def. - General Data'!$C$20:$C$476,1,false)</f>
        <v>ZSI1_AC_MOTOR</v>
      </c>
      <c r="I1367" s="63" t="str">
        <f t="shared" si="1"/>
        <v>ZSI1_AC_MOTOR2</v>
      </c>
      <c r="J1367" s="63">
        <f t="shared" si="2"/>
        <v>1</v>
      </c>
    </row>
    <row r="1368" ht="15.75" customHeight="1">
      <c r="B1368" s="95"/>
      <c r="C1368" s="105" t="s">
        <v>487</v>
      </c>
      <c r="D1368" s="101" t="s">
        <v>91</v>
      </c>
      <c r="E1368" s="101" t="s">
        <v>577</v>
      </c>
      <c r="F1368" s="101">
        <v>3.0</v>
      </c>
      <c r="G1368" s="101" t="s">
        <v>1862</v>
      </c>
      <c r="H1368" s="63" t="str">
        <f>VLOOKUP(C1368, 'Class Def. - General Data'!$C$20:$C$476,1,false)</f>
        <v>ZSI1_AC_MOTOR</v>
      </c>
      <c r="I1368" s="63" t="str">
        <f t="shared" si="1"/>
        <v>ZSI1_AC_MOTOR3</v>
      </c>
      <c r="J1368" s="63">
        <f t="shared" si="2"/>
        <v>1</v>
      </c>
    </row>
    <row r="1369" ht="15.75" customHeight="1">
      <c r="B1369" s="95"/>
      <c r="C1369" s="105" t="s">
        <v>487</v>
      </c>
      <c r="D1369" s="101" t="s">
        <v>91</v>
      </c>
      <c r="E1369" s="101" t="s">
        <v>577</v>
      </c>
      <c r="F1369" s="101">
        <v>4.0</v>
      </c>
      <c r="G1369" s="101" t="s">
        <v>1863</v>
      </c>
      <c r="H1369" s="63" t="str">
        <f>VLOOKUP(C1369, 'Class Def. - General Data'!$C$20:$C$476,1,false)</f>
        <v>ZSI1_AC_MOTOR</v>
      </c>
      <c r="I1369" s="63" t="str">
        <f t="shared" si="1"/>
        <v>ZSI1_AC_MOTOR4</v>
      </c>
      <c r="J1369" s="63">
        <f t="shared" si="2"/>
        <v>1</v>
      </c>
    </row>
    <row r="1370" ht="15.75" customHeight="1">
      <c r="B1370" s="95"/>
      <c r="C1370" s="105" t="s">
        <v>487</v>
      </c>
      <c r="D1370" s="101" t="s">
        <v>91</v>
      </c>
      <c r="E1370" s="101" t="s">
        <v>577</v>
      </c>
      <c r="F1370" s="101">
        <v>5.0</v>
      </c>
      <c r="G1370" s="101" t="s">
        <v>1864</v>
      </c>
      <c r="H1370" s="63" t="str">
        <f>VLOOKUP(C1370, 'Class Def. - General Data'!$C$20:$C$476,1,false)</f>
        <v>ZSI1_AC_MOTOR</v>
      </c>
      <c r="I1370" s="63" t="str">
        <f t="shared" si="1"/>
        <v>ZSI1_AC_MOTOR5</v>
      </c>
      <c r="J1370" s="63">
        <f t="shared" si="2"/>
        <v>1</v>
      </c>
    </row>
    <row r="1371" ht="15.75" customHeight="1">
      <c r="B1371" s="95"/>
      <c r="C1371" s="105" t="s">
        <v>487</v>
      </c>
      <c r="D1371" s="101" t="s">
        <v>91</v>
      </c>
      <c r="E1371" s="101" t="s">
        <v>577</v>
      </c>
      <c r="F1371" s="101">
        <v>6.0</v>
      </c>
      <c r="G1371" s="101" t="s">
        <v>1865</v>
      </c>
      <c r="H1371" s="63" t="str">
        <f>VLOOKUP(C1371, 'Class Def. - General Data'!$C$20:$C$476,1,false)</f>
        <v>ZSI1_AC_MOTOR</v>
      </c>
      <c r="I1371" s="63" t="str">
        <f t="shared" si="1"/>
        <v>ZSI1_AC_MOTOR6</v>
      </c>
      <c r="J1371" s="63">
        <f t="shared" si="2"/>
        <v>1</v>
      </c>
    </row>
    <row r="1372" ht="15.75" customHeight="1">
      <c r="B1372" s="95"/>
      <c r="C1372" s="105" t="s">
        <v>487</v>
      </c>
      <c r="D1372" s="101" t="s">
        <v>91</v>
      </c>
      <c r="E1372" s="101" t="s">
        <v>577</v>
      </c>
      <c r="F1372" s="101">
        <v>7.0</v>
      </c>
      <c r="G1372" s="101" t="s">
        <v>1866</v>
      </c>
      <c r="H1372" s="63" t="str">
        <f>VLOOKUP(C1372, 'Class Def. - General Data'!$C$20:$C$476,1,false)</f>
        <v>ZSI1_AC_MOTOR</v>
      </c>
      <c r="I1372" s="63" t="str">
        <f t="shared" si="1"/>
        <v>ZSI1_AC_MOTOR7</v>
      </c>
      <c r="J1372" s="63">
        <f t="shared" si="2"/>
        <v>1</v>
      </c>
    </row>
    <row r="1373" ht="15.75" customHeight="1">
      <c r="B1373" s="95"/>
      <c r="C1373" s="105" t="s">
        <v>487</v>
      </c>
      <c r="D1373" s="101" t="s">
        <v>91</v>
      </c>
      <c r="E1373" s="101" t="s">
        <v>577</v>
      </c>
      <c r="F1373" s="101">
        <v>8.0</v>
      </c>
      <c r="G1373" s="101" t="s">
        <v>1867</v>
      </c>
      <c r="H1373" s="63" t="str">
        <f>VLOOKUP(C1373, 'Class Def. - General Data'!$C$20:$C$476,1,false)</f>
        <v>ZSI1_AC_MOTOR</v>
      </c>
      <c r="I1373" s="63" t="str">
        <f t="shared" si="1"/>
        <v>ZSI1_AC_MOTOR8</v>
      </c>
      <c r="J1373" s="63">
        <f t="shared" si="2"/>
        <v>1</v>
      </c>
    </row>
    <row r="1374" ht="15.75" customHeight="1">
      <c r="B1374" s="95"/>
      <c r="C1374" s="105" t="s">
        <v>350</v>
      </c>
      <c r="D1374" s="101" t="s">
        <v>91</v>
      </c>
      <c r="E1374" s="101" t="s">
        <v>577</v>
      </c>
      <c r="F1374" s="101">
        <v>1.0</v>
      </c>
      <c r="G1374" s="101" t="s">
        <v>1868</v>
      </c>
      <c r="H1374" s="63" t="str">
        <f>VLOOKUP(C1374, 'Class Def. - General Data'!$C$20:$C$476,1,false)</f>
        <v>ZSI1_ADHESIVE_LEM</v>
      </c>
      <c r="I1374" s="63" t="str">
        <f t="shared" si="1"/>
        <v>ZSI1_ADHESIVE_LEM1</v>
      </c>
      <c r="J1374" s="63">
        <f t="shared" si="2"/>
        <v>1</v>
      </c>
    </row>
    <row r="1375" ht="15.75" customHeight="1">
      <c r="B1375" s="95"/>
      <c r="C1375" s="105" t="s">
        <v>350</v>
      </c>
      <c r="D1375" s="101" t="s">
        <v>91</v>
      </c>
      <c r="E1375" s="101" t="s">
        <v>577</v>
      </c>
      <c r="F1375" s="101">
        <v>2.0</v>
      </c>
      <c r="G1375" s="101" t="s">
        <v>1869</v>
      </c>
      <c r="H1375" s="63" t="str">
        <f>VLOOKUP(C1375, 'Class Def. - General Data'!$C$20:$C$476,1,false)</f>
        <v>ZSI1_ADHESIVE_LEM</v>
      </c>
      <c r="I1375" s="63" t="str">
        <f t="shared" si="1"/>
        <v>ZSI1_ADHESIVE_LEM2</v>
      </c>
      <c r="J1375" s="63">
        <f t="shared" si="2"/>
        <v>1</v>
      </c>
    </row>
    <row r="1376" ht="15.75" customHeight="1">
      <c r="B1376" s="95"/>
      <c r="C1376" s="105" t="s">
        <v>350</v>
      </c>
      <c r="D1376" s="101" t="s">
        <v>91</v>
      </c>
      <c r="E1376" s="101" t="s">
        <v>577</v>
      </c>
      <c r="F1376" s="101">
        <v>3.0</v>
      </c>
      <c r="G1376" s="101" t="s">
        <v>1870</v>
      </c>
      <c r="H1376" s="63" t="str">
        <f>VLOOKUP(C1376, 'Class Def. - General Data'!$C$20:$C$476,1,false)</f>
        <v>ZSI1_ADHESIVE_LEM</v>
      </c>
      <c r="I1376" s="63" t="str">
        <f t="shared" si="1"/>
        <v>ZSI1_ADHESIVE_LEM3</v>
      </c>
      <c r="J1376" s="63">
        <f t="shared" si="2"/>
        <v>1</v>
      </c>
    </row>
    <row r="1377" ht="15.75" customHeight="1">
      <c r="B1377" s="95"/>
      <c r="C1377" s="105" t="s">
        <v>350</v>
      </c>
      <c r="D1377" s="101" t="s">
        <v>91</v>
      </c>
      <c r="E1377" s="101" t="s">
        <v>577</v>
      </c>
      <c r="F1377" s="101">
        <v>4.0</v>
      </c>
      <c r="G1377" s="101" t="s">
        <v>1871</v>
      </c>
      <c r="H1377" s="63" t="str">
        <f>VLOOKUP(C1377, 'Class Def. - General Data'!$C$20:$C$476,1,false)</f>
        <v>ZSI1_ADHESIVE_LEM</v>
      </c>
      <c r="I1377" s="63" t="str">
        <f t="shared" si="1"/>
        <v>ZSI1_ADHESIVE_LEM4</v>
      </c>
      <c r="J1377" s="63">
        <f t="shared" si="2"/>
        <v>1</v>
      </c>
    </row>
    <row r="1378" ht="15.75" customHeight="1">
      <c r="B1378" s="95"/>
      <c r="C1378" s="105" t="s">
        <v>350</v>
      </c>
      <c r="D1378" s="101" t="s">
        <v>91</v>
      </c>
      <c r="E1378" s="101" t="s">
        <v>577</v>
      </c>
      <c r="F1378" s="101">
        <v>5.0</v>
      </c>
      <c r="G1378" s="101" t="s">
        <v>1872</v>
      </c>
      <c r="H1378" s="63" t="str">
        <f>VLOOKUP(C1378, 'Class Def. - General Data'!$C$20:$C$476,1,false)</f>
        <v>ZSI1_ADHESIVE_LEM</v>
      </c>
      <c r="I1378" s="63" t="str">
        <f t="shared" si="1"/>
        <v>ZSI1_ADHESIVE_LEM5</v>
      </c>
      <c r="J1378" s="63">
        <f t="shared" si="2"/>
        <v>1</v>
      </c>
    </row>
    <row r="1379" ht="15.75" customHeight="1">
      <c r="B1379" s="95"/>
      <c r="C1379" s="105" t="s">
        <v>350</v>
      </c>
      <c r="D1379" s="101" t="s">
        <v>91</v>
      </c>
      <c r="E1379" s="101" t="s">
        <v>577</v>
      </c>
      <c r="F1379" s="101">
        <v>6.0</v>
      </c>
      <c r="G1379" s="101" t="s">
        <v>1873</v>
      </c>
      <c r="H1379" s="63" t="str">
        <f>VLOOKUP(C1379, 'Class Def. - General Data'!$C$20:$C$476,1,false)</f>
        <v>ZSI1_ADHESIVE_LEM</v>
      </c>
      <c r="I1379" s="63" t="str">
        <f t="shared" si="1"/>
        <v>ZSI1_ADHESIVE_LEM6</v>
      </c>
      <c r="J1379" s="63">
        <f t="shared" si="2"/>
        <v>1</v>
      </c>
    </row>
    <row r="1380" ht="15.75" customHeight="1">
      <c r="B1380" s="95"/>
      <c r="C1380" s="105" t="s">
        <v>350</v>
      </c>
      <c r="D1380" s="101" t="s">
        <v>91</v>
      </c>
      <c r="E1380" s="101" t="s">
        <v>577</v>
      </c>
      <c r="F1380" s="101">
        <v>7.0</v>
      </c>
      <c r="G1380" s="101" t="s">
        <v>1874</v>
      </c>
      <c r="H1380" s="63" t="str">
        <f>VLOOKUP(C1380, 'Class Def. - General Data'!$C$20:$C$476,1,false)</f>
        <v>ZSI1_ADHESIVE_LEM</v>
      </c>
      <c r="I1380" s="63" t="str">
        <f t="shared" si="1"/>
        <v>ZSI1_ADHESIVE_LEM7</v>
      </c>
      <c r="J1380" s="63">
        <f t="shared" si="2"/>
        <v>1</v>
      </c>
    </row>
    <row r="1381" ht="15.75" customHeight="1">
      <c r="B1381" s="95"/>
      <c r="C1381" s="105" t="s">
        <v>351</v>
      </c>
      <c r="D1381" s="101" t="s">
        <v>91</v>
      </c>
      <c r="E1381" s="101" t="s">
        <v>577</v>
      </c>
      <c r="F1381" s="101">
        <v>1.0</v>
      </c>
      <c r="G1381" s="101" t="s">
        <v>1868</v>
      </c>
      <c r="H1381" s="63" t="str">
        <f>VLOOKUP(C1381, 'Class Def. - General Data'!$C$20:$C$476,1,false)</f>
        <v>ZSI1_ADHESIVE_TAPE</v>
      </c>
      <c r="I1381" s="63" t="str">
        <f t="shared" si="1"/>
        <v>ZSI1_ADHESIVE_TAPE1</v>
      </c>
      <c r="J1381" s="63">
        <f t="shared" si="2"/>
        <v>1</v>
      </c>
    </row>
    <row r="1382" ht="15.75" customHeight="1">
      <c r="B1382" s="95"/>
      <c r="C1382" s="105" t="s">
        <v>351</v>
      </c>
      <c r="D1382" s="101" t="s">
        <v>91</v>
      </c>
      <c r="E1382" s="101" t="s">
        <v>577</v>
      </c>
      <c r="F1382" s="101">
        <v>2.0</v>
      </c>
      <c r="G1382" s="101" t="s">
        <v>1875</v>
      </c>
      <c r="H1382" s="63" t="str">
        <f>VLOOKUP(C1382, 'Class Def. - General Data'!$C$20:$C$476,1,false)</f>
        <v>ZSI1_ADHESIVE_TAPE</v>
      </c>
      <c r="I1382" s="63" t="str">
        <f t="shared" si="1"/>
        <v>ZSI1_ADHESIVE_TAPE2</v>
      </c>
      <c r="J1382" s="63">
        <f t="shared" si="2"/>
        <v>1</v>
      </c>
    </row>
    <row r="1383" ht="15.75" customHeight="1">
      <c r="B1383" s="95"/>
      <c r="C1383" s="105" t="s">
        <v>351</v>
      </c>
      <c r="D1383" s="101" t="s">
        <v>91</v>
      </c>
      <c r="E1383" s="101" t="s">
        <v>577</v>
      </c>
      <c r="F1383" s="101">
        <v>3.0</v>
      </c>
      <c r="G1383" s="101" t="s">
        <v>1876</v>
      </c>
      <c r="H1383" s="63" t="str">
        <f>VLOOKUP(C1383, 'Class Def. - General Data'!$C$20:$C$476,1,false)</f>
        <v>ZSI1_ADHESIVE_TAPE</v>
      </c>
      <c r="I1383" s="63" t="str">
        <f t="shared" si="1"/>
        <v>ZSI1_ADHESIVE_TAPE3</v>
      </c>
      <c r="J1383" s="63">
        <f t="shared" si="2"/>
        <v>1</v>
      </c>
    </row>
    <row r="1384" ht="15.75" customHeight="1">
      <c r="B1384" s="95"/>
      <c r="C1384" s="105" t="s">
        <v>351</v>
      </c>
      <c r="D1384" s="101" t="s">
        <v>91</v>
      </c>
      <c r="E1384" s="101" t="s">
        <v>577</v>
      </c>
      <c r="F1384" s="101">
        <v>4.0</v>
      </c>
      <c r="G1384" s="101" t="s">
        <v>1057</v>
      </c>
      <c r="H1384" s="63" t="str">
        <f>VLOOKUP(C1384, 'Class Def. - General Data'!$C$20:$C$476,1,false)</f>
        <v>ZSI1_ADHESIVE_TAPE</v>
      </c>
      <c r="I1384" s="63" t="str">
        <f t="shared" si="1"/>
        <v>ZSI1_ADHESIVE_TAPE4</v>
      </c>
      <c r="J1384" s="63">
        <f t="shared" si="2"/>
        <v>1</v>
      </c>
    </row>
    <row r="1385" ht="15.75" customHeight="1">
      <c r="B1385" s="95"/>
      <c r="C1385" s="105" t="s">
        <v>351</v>
      </c>
      <c r="D1385" s="101" t="s">
        <v>91</v>
      </c>
      <c r="E1385" s="101" t="s">
        <v>577</v>
      </c>
      <c r="F1385" s="101">
        <v>5.0</v>
      </c>
      <c r="G1385" s="101" t="s">
        <v>1877</v>
      </c>
      <c r="H1385" s="63" t="str">
        <f>VLOOKUP(C1385, 'Class Def. - General Data'!$C$20:$C$476,1,false)</f>
        <v>ZSI1_ADHESIVE_TAPE</v>
      </c>
      <c r="I1385" s="63" t="str">
        <f t="shared" si="1"/>
        <v>ZSI1_ADHESIVE_TAPE5</v>
      </c>
      <c r="J1385" s="63">
        <f t="shared" si="2"/>
        <v>1</v>
      </c>
    </row>
    <row r="1386" ht="15.75" customHeight="1">
      <c r="B1386" s="95"/>
      <c r="C1386" s="105" t="s">
        <v>351</v>
      </c>
      <c r="D1386" s="101" t="s">
        <v>91</v>
      </c>
      <c r="E1386" s="101" t="s">
        <v>577</v>
      </c>
      <c r="F1386" s="101">
        <v>6.0</v>
      </c>
      <c r="G1386" s="101" t="s">
        <v>1878</v>
      </c>
      <c r="H1386" s="63" t="str">
        <f>VLOOKUP(C1386, 'Class Def. - General Data'!$C$20:$C$476,1,false)</f>
        <v>ZSI1_ADHESIVE_TAPE</v>
      </c>
      <c r="I1386" s="63" t="str">
        <f t="shared" si="1"/>
        <v>ZSI1_ADHESIVE_TAPE6</v>
      </c>
      <c r="J1386" s="63">
        <f t="shared" si="2"/>
        <v>1</v>
      </c>
    </row>
    <row r="1387" ht="15.75" customHeight="1">
      <c r="B1387" s="95"/>
      <c r="C1387" s="105" t="s">
        <v>351</v>
      </c>
      <c r="D1387" s="101" t="s">
        <v>91</v>
      </c>
      <c r="E1387" s="101" t="s">
        <v>577</v>
      </c>
      <c r="F1387" s="101">
        <v>7.0</v>
      </c>
      <c r="G1387" s="101" t="s">
        <v>1879</v>
      </c>
      <c r="H1387" s="63" t="str">
        <f>VLOOKUP(C1387, 'Class Def. - General Data'!$C$20:$C$476,1,false)</f>
        <v>ZSI1_ADHESIVE_TAPE</v>
      </c>
      <c r="I1387" s="63" t="str">
        <f t="shared" si="1"/>
        <v>ZSI1_ADHESIVE_TAPE7</v>
      </c>
      <c r="J1387" s="63">
        <f t="shared" si="2"/>
        <v>1</v>
      </c>
    </row>
    <row r="1388" ht="15.75" customHeight="1">
      <c r="B1388" s="95"/>
      <c r="C1388" s="105" t="s">
        <v>352</v>
      </c>
      <c r="D1388" s="101" t="s">
        <v>91</v>
      </c>
      <c r="E1388" s="101" t="s">
        <v>577</v>
      </c>
      <c r="F1388" s="101">
        <v>1.0</v>
      </c>
      <c r="G1388" s="101" t="s">
        <v>1880</v>
      </c>
      <c r="H1388" s="63" t="str">
        <f>VLOOKUP(C1388, 'Class Def. - General Data'!$C$20:$C$476,1,false)</f>
        <v>ZSI1_AIR_COOLANT</v>
      </c>
      <c r="I1388" s="63" t="str">
        <f t="shared" si="1"/>
        <v>ZSI1_AIR_COOLANT1</v>
      </c>
      <c r="J1388" s="63">
        <f t="shared" si="2"/>
        <v>1</v>
      </c>
    </row>
    <row r="1389" ht="15.75" customHeight="1">
      <c r="B1389" s="95"/>
      <c r="C1389" s="105" t="s">
        <v>352</v>
      </c>
      <c r="D1389" s="101" t="s">
        <v>91</v>
      </c>
      <c r="E1389" s="101" t="s">
        <v>577</v>
      </c>
      <c r="F1389" s="101">
        <v>2.0</v>
      </c>
      <c r="G1389" s="101" t="s">
        <v>1881</v>
      </c>
      <c r="H1389" s="63" t="str">
        <f>VLOOKUP(C1389, 'Class Def. - General Data'!$C$20:$C$476,1,false)</f>
        <v>ZSI1_AIR_COOLANT</v>
      </c>
      <c r="I1389" s="63" t="str">
        <f t="shared" si="1"/>
        <v>ZSI1_AIR_COOLANT2</v>
      </c>
      <c r="J1389" s="63">
        <f t="shared" si="2"/>
        <v>1</v>
      </c>
    </row>
    <row r="1390" ht="15.75" customHeight="1">
      <c r="B1390" s="95"/>
      <c r="C1390" s="105" t="s">
        <v>352</v>
      </c>
      <c r="D1390" s="101" t="s">
        <v>91</v>
      </c>
      <c r="E1390" s="101" t="s">
        <v>577</v>
      </c>
      <c r="F1390" s="101">
        <v>3.0</v>
      </c>
      <c r="G1390" s="101" t="s">
        <v>1882</v>
      </c>
      <c r="H1390" s="63" t="str">
        <f>VLOOKUP(C1390, 'Class Def. - General Data'!$C$20:$C$476,1,false)</f>
        <v>ZSI1_AIR_COOLANT</v>
      </c>
      <c r="I1390" s="63" t="str">
        <f t="shared" si="1"/>
        <v>ZSI1_AIR_COOLANT3</v>
      </c>
      <c r="J1390" s="63">
        <f t="shared" si="2"/>
        <v>1</v>
      </c>
    </row>
    <row r="1391" ht="15.75" customHeight="1">
      <c r="B1391" s="95"/>
      <c r="C1391" s="105" t="s">
        <v>352</v>
      </c>
      <c r="D1391" s="101" t="s">
        <v>91</v>
      </c>
      <c r="E1391" s="101" t="s">
        <v>577</v>
      </c>
      <c r="F1391" s="101">
        <v>4.0</v>
      </c>
      <c r="G1391" s="101" t="s">
        <v>1883</v>
      </c>
      <c r="H1391" s="63" t="str">
        <f>VLOOKUP(C1391, 'Class Def. - General Data'!$C$20:$C$476,1,false)</f>
        <v>ZSI1_AIR_COOLANT</v>
      </c>
      <c r="I1391" s="63" t="str">
        <f t="shared" si="1"/>
        <v>ZSI1_AIR_COOLANT4</v>
      </c>
      <c r="J1391" s="63">
        <f t="shared" si="2"/>
        <v>1</v>
      </c>
    </row>
    <row r="1392" ht="15.75" customHeight="1">
      <c r="B1392" s="95"/>
      <c r="C1392" s="105" t="s">
        <v>352</v>
      </c>
      <c r="D1392" s="101" t="s">
        <v>91</v>
      </c>
      <c r="E1392" s="101" t="s">
        <v>577</v>
      </c>
      <c r="F1392" s="101">
        <v>5.0</v>
      </c>
      <c r="G1392" s="101" t="s">
        <v>1884</v>
      </c>
      <c r="H1392" s="63" t="str">
        <f>VLOOKUP(C1392, 'Class Def. - General Data'!$C$20:$C$476,1,false)</f>
        <v>ZSI1_AIR_COOLANT</v>
      </c>
      <c r="I1392" s="63" t="str">
        <f t="shared" si="1"/>
        <v>ZSI1_AIR_COOLANT5</v>
      </c>
      <c r="J1392" s="63">
        <f t="shared" si="2"/>
        <v>1</v>
      </c>
    </row>
    <row r="1393" ht="15.75" customHeight="1">
      <c r="B1393" s="95"/>
      <c r="C1393" s="105" t="s">
        <v>352</v>
      </c>
      <c r="D1393" s="101" t="s">
        <v>91</v>
      </c>
      <c r="E1393" s="101" t="s">
        <v>577</v>
      </c>
      <c r="F1393" s="101">
        <v>6.0</v>
      </c>
      <c r="G1393" s="101" t="s">
        <v>1885</v>
      </c>
      <c r="H1393" s="63" t="str">
        <f>VLOOKUP(C1393, 'Class Def. - General Data'!$C$20:$C$476,1,false)</f>
        <v>ZSI1_AIR_COOLANT</v>
      </c>
      <c r="I1393" s="63" t="str">
        <f t="shared" si="1"/>
        <v>ZSI1_AIR_COOLANT6</v>
      </c>
      <c r="J1393" s="63">
        <f t="shared" si="2"/>
        <v>1</v>
      </c>
    </row>
    <row r="1394" ht="15.75" customHeight="1">
      <c r="B1394" s="95"/>
      <c r="C1394" s="105" t="s">
        <v>353</v>
      </c>
      <c r="D1394" s="101" t="s">
        <v>91</v>
      </c>
      <c r="E1394" s="101" t="s">
        <v>577</v>
      </c>
      <c r="F1394" s="101">
        <v>1.0</v>
      </c>
      <c r="G1394" s="101" t="s">
        <v>1886</v>
      </c>
      <c r="H1394" s="63" t="str">
        <f>VLOOKUP(C1394, 'Class Def. - General Data'!$C$20:$C$476,1,false)</f>
        <v>ZSI1_AMPLAS</v>
      </c>
      <c r="I1394" s="63" t="str">
        <f t="shared" si="1"/>
        <v>ZSI1_AMPLAS1</v>
      </c>
      <c r="J1394" s="63">
        <f t="shared" si="2"/>
        <v>1</v>
      </c>
    </row>
    <row r="1395" ht="15.75" customHeight="1">
      <c r="B1395" s="95"/>
      <c r="C1395" s="105" t="s">
        <v>353</v>
      </c>
      <c r="D1395" s="101" t="s">
        <v>91</v>
      </c>
      <c r="E1395" s="101" t="s">
        <v>577</v>
      </c>
      <c r="F1395" s="101">
        <v>2.0</v>
      </c>
      <c r="G1395" s="101" t="s">
        <v>1887</v>
      </c>
      <c r="H1395" s="63" t="str">
        <f>VLOOKUP(C1395, 'Class Def. - General Data'!$C$20:$C$476,1,false)</f>
        <v>ZSI1_AMPLAS</v>
      </c>
      <c r="I1395" s="63" t="str">
        <f t="shared" si="1"/>
        <v>ZSI1_AMPLAS2</v>
      </c>
      <c r="J1395" s="63">
        <f t="shared" si="2"/>
        <v>1</v>
      </c>
    </row>
    <row r="1396" ht="15.75" customHeight="1">
      <c r="B1396" s="95"/>
      <c r="C1396" s="105" t="s">
        <v>353</v>
      </c>
      <c r="D1396" s="101" t="s">
        <v>91</v>
      </c>
      <c r="E1396" s="101" t="s">
        <v>577</v>
      </c>
      <c r="F1396" s="101">
        <v>3.0</v>
      </c>
      <c r="G1396" s="101" t="s">
        <v>1888</v>
      </c>
      <c r="H1396" s="63" t="str">
        <f>VLOOKUP(C1396, 'Class Def. - General Data'!$C$20:$C$476,1,false)</f>
        <v>ZSI1_AMPLAS</v>
      </c>
      <c r="I1396" s="63" t="str">
        <f t="shared" si="1"/>
        <v>ZSI1_AMPLAS3</v>
      </c>
      <c r="J1396" s="63">
        <f t="shared" si="2"/>
        <v>1</v>
      </c>
    </row>
    <row r="1397" ht="15.75" customHeight="1">
      <c r="B1397" s="95"/>
      <c r="C1397" s="105" t="s">
        <v>353</v>
      </c>
      <c r="D1397" s="101" t="s">
        <v>91</v>
      </c>
      <c r="E1397" s="101" t="s">
        <v>577</v>
      </c>
      <c r="F1397" s="101">
        <v>4.0</v>
      </c>
      <c r="G1397" s="101" t="s">
        <v>1889</v>
      </c>
      <c r="H1397" s="63" t="str">
        <f>VLOOKUP(C1397, 'Class Def. - General Data'!$C$20:$C$476,1,false)</f>
        <v>ZSI1_AMPLAS</v>
      </c>
      <c r="I1397" s="63" t="str">
        <f t="shared" si="1"/>
        <v>ZSI1_AMPLAS4</v>
      </c>
      <c r="J1397" s="63">
        <f t="shared" si="2"/>
        <v>1</v>
      </c>
    </row>
    <row r="1398" ht="15.75" customHeight="1">
      <c r="B1398" s="95"/>
      <c r="C1398" s="105" t="s">
        <v>353</v>
      </c>
      <c r="D1398" s="101" t="s">
        <v>91</v>
      </c>
      <c r="E1398" s="101" t="s">
        <v>577</v>
      </c>
      <c r="F1398" s="101">
        <v>5.0</v>
      </c>
      <c r="G1398" s="101" t="s">
        <v>1890</v>
      </c>
      <c r="H1398" s="63" t="str">
        <f>VLOOKUP(C1398, 'Class Def. - General Data'!$C$20:$C$476,1,false)</f>
        <v>ZSI1_AMPLAS</v>
      </c>
      <c r="I1398" s="63" t="str">
        <f t="shared" si="1"/>
        <v>ZSI1_AMPLAS5</v>
      </c>
      <c r="J1398" s="63">
        <f t="shared" si="2"/>
        <v>1</v>
      </c>
    </row>
    <row r="1399" ht="15.75" customHeight="1">
      <c r="B1399" s="95"/>
      <c r="C1399" s="105" t="s">
        <v>353</v>
      </c>
      <c r="D1399" s="101" t="s">
        <v>91</v>
      </c>
      <c r="E1399" s="101" t="s">
        <v>577</v>
      </c>
      <c r="F1399" s="101">
        <v>6.0</v>
      </c>
      <c r="G1399" s="101" t="s">
        <v>1891</v>
      </c>
      <c r="H1399" s="63" t="str">
        <f>VLOOKUP(C1399, 'Class Def. - General Data'!$C$20:$C$476,1,false)</f>
        <v>ZSI1_AMPLAS</v>
      </c>
      <c r="I1399" s="63" t="str">
        <f t="shared" si="1"/>
        <v>ZSI1_AMPLAS6</v>
      </c>
      <c r="J1399" s="63">
        <f t="shared" si="2"/>
        <v>1</v>
      </c>
    </row>
    <row r="1400" ht="15.75" customHeight="1">
      <c r="B1400" s="95"/>
      <c r="C1400" s="105" t="s">
        <v>354</v>
      </c>
      <c r="D1400" s="101" t="s">
        <v>91</v>
      </c>
      <c r="E1400" s="101" t="s">
        <v>577</v>
      </c>
      <c r="F1400" s="101">
        <v>1.0</v>
      </c>
      <c r="G1400" s="101" t="s">
        <v>1892</v>
      </c>
      <c r="H1400" s="63" t="str">
        <f>VLOOKUP(C1400, 'Class Def. - General Data'!$C$20:$C$476,1,false)</f>
        <v>ZSI1_ANCHOR</v>
      </c>
      <c r="I1400" s="63" t="str">
        <f t="shared" si="1"/>
        <v>ZSI1_ANCHOR1</v>
      </c>
      <c r="J1400" s="63">
        <f t="shared" si="2"/>
        <v>1</v>
      </c>
    </row>
    <row r="1401" ht="15.75" customHeight="1">
      <c r="B1401" s="95"/>
      <c r="C1401" s="105" t="s">
        <v>354</v>
      </c>
      <c r="D1401" s="101" t="s">
        <v>91</v>
      </c>
      <c r="E1401" s="101" t="s">
        <v>577</v>
      </c>
      <c r="F1401" s="101">
        <v>2.0</v>
      </c>
      <c r="G1401" s="101" t="s">
        <v>1893</v>
      </c>
      <c r="H1401" s="63" t="str">
        <f>VLOOKUP(C1401, 'Class Def. - General Data'!$C$20:$C$476,1,false)</f>
        <v>ZSI1_ANCHOR</v>
      </c>
      <c r="I1401" s="63" t="str">
        <f t="shared" si="1"/>
        <v>ZSI1_ANCHOR2</v>
      </c>
      <c r="J1401" s="63">
        <f t="shared" si="2"/>
        <v>1</v>
      </c>
    </row>
    <row r="1402" ht="15.75" customHeight="1">
      <c r="B1402" s="95"/>
      <c r="C1402" s="105" t="s">
        <v>354</v>
      </c>
      <c r="D1402" s="101" t="s">
        <v>91</v>
      </c>
      <c r="E1402" s="101" t="s">
        <v>577</v>
      </c>
      <c r="F1402" s="101">
        <v>3.0</v>
      </c>
      <c r="G1402" s="101" t="s">
        <v>1894</v>
      </c>
      <c r="H1402" s="63" t="str">
        <f>VLOOKUP(C1402, 'Class Def. - General Data'!$C$20:$C$476,1,false)</f>
        <v>ZSI1_ANCHOR</v>
      </c>
      <c r="I1402" s="63" t="str">
        <f t="shared" si="1"/>
        <v>ZSI1_ANCHOR3</v>
      </c>
      <c r="J1402" s="63">
        <f t="shared" si="2"/>
        <v>1</v>
      </c>
    </row>
    <row r="1403" ht="15.75" customHeight="1">
      <c r="B1403" s="95"/>
      <c r="C1403" s="105" t="s">
        <v>354</v>
      </c>
      <c r="D1403" s="101" t="s">
        <v>91</v>
      </c>
      <c r="E1403" s="101" t="s">
        <v>577</v>
      </c>
      <c r="F1403" s="101">
        <v>4.0</v>
      </c>
      <c r="G1403" s="101" t="s">
        <v>1895</v>
      </c>
      <c r="H1403" s="63" t="str">
        <f>VLOOKUP(C1403, 'Class Def. - General Data'!$C$20:$C$476,1,false)</f>
        <v>ZSI1_ANCHOR</v>
      </c>
      <c r="I1403" s="63" t="str">
        <f t="shared" si="1"/>
        <v>ZSI1_ANCHOR4</v>
      </c>
      <c r="J1403" s="63">
        <f t="shared" si="2"/>
        <v>1</v>
      </c>
    </row>
    <row r="1404" ht="15.75" customHeight="1">
      <c r="B1404" s="95"/>
      <c r="C1404" s="105" t="s">
        <v>354</v>
      </c>
      <c r="D1404" s="101" t="s">
        <v>91</v>
      </c>
      <c r="E1404" s="101" t="s">
        <v>577</v>
      </c>
      <c r="F1404" s="106" t="s">
        <v>1896</v>
      </c>
      <c r="G1404" s="101" t="s">
        <v>1897</v>
      </c>
      <c r="H1404" s="63" t="str">
        <f>VLOOKUP(C1404, 'Class Def. - General Data'!$C$20:$C$476,1,false)</f>
        <v>ZSI1_ANCHOR</v>
      </c>
      <c r="I1404" s="63" t="str">
        <f t="shared" si="1"/>
        <v>ZSI1_ANCHOR5</v>
      </c>
      <c r="J1404" s="63">
        <f t="shared" si="2"/>
        <v>1</v>
      </c>
    </row>
    <row r="1405" ht="15.75" customHeight="1">
      <c r="B1405" s="95"/>
      <c r="C1405" s="105" t="s">
        <v>344</v>
      </c>
      <c r="D1405" s="101" t="s">
        <v>91</v>
      </c>
      <c r="E1405" s="101" t="s">
        <v>577</v>
      </c>
      <c r="F1405" s="101">
        <v>1.0</v>
      </c>
      <c r="G1405" s="101" t="s">
        <v>1898</v>
      </c>
      <c r="H1405" s="63" t="str">
        <f>VLOOKUP(C1405, 'Class Def. - General Data'!$C$20:$C$476,1,false)</f>
        <v>ZSI1_ANGLE_BAR</v>
      </c>
      <c r="I1405" s="63" t="str">
        <f t="shared" si="1"/>
        <v>ZSI1_ANGLE_BAR1</v>
      </c>
      <c r="J1405" s="63">
        <f t="shared" si="2"/>
        <v>1</v>
      </c>
    </row>
    <row r="1406" ht="15.75" customHeight="1">
      <c r="B1406" s="95"/>
      <c r="C1406" s="105" t="s">
        <v>344</v>
      </c>
      <c r="D1406" s="101" t="s">
        <v>91</v>
      </c>
      <c r="E1406" s="101" t="s">
        <v>577</v>
      </c>
      <c r="F1406" s="106" t="s">
        <v>1899</v>
      </c>
      <c r="G1406" s="101" t="s">
        <v>1900</v>
      </c>
      <c r="H1406" s="63" t="str">
        <f>VLOOKUP(C1406, 'Class Def. - General Data'!$C$20:$C$476,1,false)</f>
        <v>ZSI1_ANGLE_BAR</v>
      </c>
      <c r="I1406" s="63" t="str">
        <f t="shared" si="1"/>
        <v>ZSI1_ANGLE_BAR2</v>
      </c>
      <c r="J1406" s="63">
        <f t="shared" si="2"/>
        <v>1</v>
      </c>
    </row>
    <row r="1407" ht="15.75" customHeight="1">
      <c r="B1407" s="95"/>
      <c r="C1407" s="105" t="s">
        <v>344</v>
      </c>
      <c r="D1407" s="101" t="s">
        <v>91</v>
      </c>
      <c r="E1407" s="101" t="s">
        <v>577</v>
      </c>
      <c r="F1407" s="106" t="s">
        <v>20</v>
      </c>
      <c r="G1407" s="101" t="s">
        <v>1901</v>
      </c>
      <c r="H1407" s="63" t="str">
        <f>VLOOKUP(C1407, 'Class Def. - General Data'!$C$20:$C$476,1,false)</f>
        <v>ZSI1_ANGLE_BAR</v>
      </c>
      <c r="I1407" s="63" t="str">
        <f t="shared" si="1"/>
        <v>ZSI1_ANGLE_BAR3</v>
      </c>
      <c r="J1407" s="63">
        <f t="shared" si="2"/>
        <v>1</v>
      </c>
    </row>
    <row r="1408" ht="15.75" customHeight="1">
      <c r="B1408" s="95"/>
      <c r="C1408" s="105" t="s">
        <v>489</v>
      </c>
      <c r="D1408" s="101" t="s">
        <v>91</v>
      </c>
      <c r="E1408" s="101" t="s">
        <v>577</v>
      </c>
      <c r="F1408" s="101">
        <v>1.0</v>
      </c>
      <c r="G1408" s="101" t="s">
        <v>1902</v>
      </c>
      <c r="H1408" s="63" t="str">
        <f>VLOOKUP(C1408, 'Class Def. - General Data'!$C$20:$C$476,1,false)</f>
        <v>ZSI1_ANTI_KARAT</v>
      </c>
      <c r="I1408" s="63" t="str">
        <f t="shared" si="1"/>
        <v>ZSI1_ANTI_KARAT1</v>
      </c>
      <c r="J1408" s="63">
        <f t="shared" si="2"/>
        <v>1</v>
      </c>
    </row>
    <row r="1409" ht="15.75" customHeight="1">
      <c r="B1409" s="95"/>
      <c r="C1409" s="105" t="s">
        <v>308</v>
      </c>
      <c r="D1409" s="101" t="s">
        <v>91</v>
      </c>
      <c r="E1409" s="101" t="s">
        <v>577</v>
      </c>
      <c r="F1409" s="101">
        <v>1.0</v>
      </c>
      <c r="G1409" s="101" t="s">
        <v>1903</v>
      </c>
      <c r="H1409" s="63" t="str">
        <f>VLOOKUP(C1409, 'Class Def. - General Data'!$C$20:$C$476,1,false)</f>
        <v>ZSI1_BATTERY_ACCU</v>
      </c>
      <c r="I1409" s="63" t="str">
        <f t="shared" si="1"/>
        <v>ZSI1_BATTERY_ACCU1</v>
      </c>
      <c r="J1409" s="63">
        <f t="shared" si="2"/>
        <v>1</v>
      </c>
    </row>
    <row r="1410" ht="15.75" customHeight="1">
      <c r="B1410" s="95"/>
      <c r="C1410" s="105" t="s">
        <v>308</v>
      </c>
      <c r="D1410" s="101" t="s">
        <v>91</v>
      </c>
      <c r="E1410" s="101" t="s">
        <v>577</v>
      </c>
      <c r="F1410" s="106" t="s">
        <v>1899</v>
      </c>
      <c r="G1410" s="101" t="s">
        <v>1904</v>
      </c>
      <c r="H1410" s="63" t="str">
        <f>VLOOKUP(C1410, 'Class Def. - General Data'!$C$20:$C$476,1,false)</f>
        <v>ZSI1_BATTERY_ACCU</v>
      </c>
      <c r="I1410" s="63" t="str">
        <f t="shared" si="1"/>
        <v>ZSI1_BATTERY_ACCU2</v>
      </c>
      <c r="J1410" s="63">
        <f t="shared" si="2"/>
        <v>1</v>
      </c>
    </row>
    <row r="1411" ht="15.75" customHeight="1">
      <c r="B1411" s="95"/>
      <c r="C1411" s="105" t="s">
        <v>308</v>
      </c>
      <c r="D1411" s="101" t="s">
        <v>91</v>
      </c>
      <c r="E1411" s="101" t="s">
        <v>577</v>
      </c>
      <c r="F1411" s="106" t="s">
        <v>1905</v>
      </c>
      <c r="G1411" s="101" t="s">
        <v>1906</v>
      </c>
      <c r="H1411" s="63" t="str">
        <f>VLOOKUP(C1411, 'Class Def. - General Data'!$C$20:$C$476,1,false)</f>
        <v>ZSI1_BATTERY_ACCU</v>
      </c>
      <c r="I1411" s="63" t="str">
        <f t="shared" si="1"/>
        <v>ZSI1_BATTERY_ACCU12</v>
      </c>
      <c r="J1411" s="63">
        <f t="shared" si="2"/>
        <v>1</v>
      </c>
    </row>
    <row r="1412" ht="15.75" customHeight="1">
      <c r="B1412" s="95"/>
      <c r="C1412" s="105" t="s">
        <v>308</v>
      </c>
      <c r="D1412" s="101" t="s">
        <v>91</v>
      </c>
      <c r="E1412" s="101" t="s">
        <v>577</v>
      </c>
      <c r="F1412" s="101">
        <v>3.0</v>
      </c>
      <c r="G1412" s="101" t="s">
        <v>1907</v>
      </c>
      <c r="H1412" s="63" t="str">
        <f>VLOOKUP(C1412, 'Class Def. - General Data'!$C$20:$C$476,1,false)</f>
        <v>ZSI1_BATTERY_ACCU</v>
      </c>
      <c r="I1412" s="63" t="str">
        <f t="shared" si="1"/>
        <v>ZSI1_BATTERY_ACCU3</v>
      </c>
      <c r="J1412" s="63">
        <f t="shared" si="2"/>
        <v>1</v>
      </c>
    </row>
    <row r="1413" ht="15.75" customHeight="1">
      <c r="B1413" s="95"/>
      <c r="C1413" s="105" t="s">
        <v>308</v>
      </c>
      <c r="D1413" s="101" t="s">
        <v>91</v>
      </c>
      <c r="E1413" s="101" t="s">
        <v>577</v>
      </c>
      <c r="F1413" s="101">
        <v>4.0</v>
      </c>
      <c r="G1413" s="101" t="s">
        <v>1908</v>
      </c>
      <c r="H1413" s="63" t="str">
        <f>VLOOKUP(C1413, 'Class Def. - General Data'!$C$20:$C$476,1,false)</f>
        <v>ZSI1_BATTERY_ACCU</v>
      </c>
      <c r="I1413" s="63" t="str">
        <f t="shared" si="1"/>
        <v>ZSI1_BATTERY_ACCU4</v>
      </c>
      <c r="J1413" s="63">
        <f t="shared" si="2"/>
        <v>1</v>
      </c>
    </row>
    <row r="1414" ht="15.75" customHeight="1">
      <c r="B1414" s="95"/>
      <c r="C1414" s="105" t="s">
        <v>308</v>
      </c>
      <c r="D1414" s="101" t="s">
        <v>91</v>
      </c>
      <c r="E1414" s="101" t="s">
        <v>577</v>
      </c>
      <c r="F1414" s="101">
        <v>5.0</v>
      </c>
      <c r="G1414" s="101" t="s">
        <v>1909</v>
      </c>
      <c r="H1414" s="63" t="str">
        <f>VLOOKUP(C1414, 'Class Def. - General Data'!$C$20:$C$476,1,false)</f>
        <v>ZSI1_BATTERY_ACCU</v>
      </c>
      <c r="I1414" s="63" t="str">
        <f t="shared" si="1"/>
        <v>ZSI1_BATTERY_ACCU5</v>
      </c>
      <c r="J1414" s="63">
        <f t="shared" si="2"/>
        <v>1</v>
      </c>
    </row>
    <row r="1415" ht="15.75" customHeight="1">
      <c r="B1415" s="95"/>
      <c r="C1415" s="105" t="s">
        <v>308</v>
      </c>
      <c r="D1415" s="101" t="s">
        <v>91</v>
      </c>
      <c r="E1415" s="101" t="s">
        <v>577</v>
      </c>
      <c r="F1415" s="101">
        <v>6.0</v>
      </c>
      <c r="G1415" s="101" t="s">
        <v>1910</v>
      </c>
      <c r="H1415" s="63" t="str">
        <f>VLOOKUP(C1415, 'Class Def. - General Data'!$C$20:$C$476,1,false)</f>
        <v>ZSI1_BATTERY_ACCU</v>
      </c>
      <c r="I1415" s="63" t="str">
        <f t="shared" si="1"/>
        <v>ZSI1_BATTERY_ACCU6</v>
      </c>
      <c r="J1415" s="63">
        <f t="shared" si="2"/>
        <v>1</v>
      </c>
    </row>
    <row r="1416" ht="15.75" customHeight="1">
      <c r="B1416" s="95"/>
      <c r="C1416" s="105" t="s">
        <v>308</v>
      </c>
      <c r="D1416" s="101" t="s">
        <v>91</v>
      </c>
      <c r="E1416" s="101" t="s">
        <v>577</v>
      </c>
      <c r="F1416" s="101">
        <v>7.0</v>
      </c>
      <c r="G1416" s="101" t="s">
        <v>1911</v>
      </c>
      <c r="H1416" s="63" t="str">
        <f>VLOOKUP(C1416, 'Class Def. - General Data'!$C$20:$C$476,1,false)</f>
        <v>ZSI1_BATTERY_ACCU</v>
      </c>
      <c r="I1416" s="63" t="str">
        <f t="shared" si="1"/>
        <v>ZSI1_BATTERY_ACCU7</v>
      </c>
      <c r="J1416" s="63">
        <f t="shared" si="2"/>
        <v>1</v>
      </c>
    </row>
    <row r="1417" ht="15.75" customHeight="1">
      <c r="B1417" s="95"/>
      <c r="C1417" s="105" t="s">
        <v>308</v>
      </c>
      <c r="D1417" s="101" t="s">
        <v>91</v>
      </c>
      <c r="E1417" s="101" t="s">
        <v>577</v>
      </c>
      <c r="F1417" s="101">
        <v>8.0</v>
      </c>
      <c r="G1417" s="101" t="s">
        <v>1912</v>
      </c>
      <c r="H1417" s="63" t="str">
        <f>VLOOKUP(C1417, 'Class Def. - General Data'!$C$20:$C$476,1,false)</f>
        <v>ZSI1_BATTERY_ACCU</v>
      </c>
      <c r="I1417" s="63" t="str">
        <f t="shared" si="1"/>
        <v>ZSI1_BATTERY_ACCU8</v>
      </c>
      <c r="J1417" s="63">
        <f t="shared" si="2"/>
        <v>1</v>
      </c>
    </row>
    <row r="1418" ht="15.75" customHeight="1">
      <c r="B1418" s="95"/>
      <c r="C1418" s="105" t="s">
        <v>308</v>
      </c>
      <c r="D1418" s="101" t="s">
        <v>91</v>
      </c>
      <c r="E1418" s="101" t="s">
        <v>577</v>
      </c>
      <c r="F1418" s="101">
        <v>9.0</v>
      </c>
      <c r="G1418" s="101" t="s">
        <v>1913</v>
      </c>
      <c r="H1418" s="63" t="str">
        <f>VLOOKUP(C1418, 'Class Def. - General Data'!$C$20:$C$476,1,false)</f>
        <v>ZSI1_BATTERY_ACCU</v>
      </c>
      <c r="I1418" s="63" t="str">
        <f t="shared" si="1"/>
        <v>ZSI1_BATTERY_ACCU9</v>
      </c>
      <c r="J1418" s="63">
        <f t="shared" si="2"/>
        <v>1</v>
      </c>
    </row>
    <row r="1419" ht="15.75" customHeight="1">
      <c r="B1419" s="95"/>
      <c r="C1419" s="105" t="s">
        <v>308</v>
      </c>
      <c r="D1419" s="101" t="s">
        <v>91</v>
      </c>
      <c r="E1419" s="101" t="s">
        <v>577</v>
      </c>
      <c r="F1419" s="101">
        <v>10.0</v>
      </c>
      <c r="G1419" s="101" t="s">
        <v>1914</v>
      </c>
      <c r="H1419" s="63" t="str">
        <f>VLOOKUP(C1419, 'Class Def. - General Data'!$C$20:$C$476,1,false)</f>
        <v>ZSI1_BATTERY_ACCU</v>
      </c>
      <c r="I1419" s="63" t="str">
        <f t="shared" si="1"/>
        <v>ZSI1_BATTERY_ACCU10</v>
      </c>
      <c r="J1419" s="63">
        <f t="shared" si="2"/>
        <v>1</v>
      </c>
    </row>
    <row r="1420" ht="15.75" customHeight="1">
      <c r="B1420" s="95"/>
      <c r="C1420" s="105" t="s">
        <v>308</v>
      </c>
      <c r="D1420" s="101" t="s">
        <v>91</v>
      </c>
      <c r="E1420" s="101" t="s">
        <v>577</v>
      </c>
      <c r="F1420" s="101">
        <v>11.0</v>
      </c>
      <c r="G1420" s="101" t="s">
        <v>1915</v>
      </c>
      <c r="H1420" s="63" t="str">
        <f>VLOOKUP(C1420, 'Class Def. - General Data'!$C$20:$C$476,1,false)</f>
        <v>ZSI1_BATTERY_ACCU</v>
      </c>
      <c r="I1420" s="63" t="str">
        <f t="shared" si="1"/>
        <v>ZSI1_BATTERY_ACCU11</v>
      </c>
      <c r="J1420" s="63">
        <f t="shared" si="2"/>
        <v>1</v>
      </c>
    </row>
    <row r="1421" ht="15.75" customHeight="1">
      <c r="B1421" s="95"/>
      <c r="C1421" s="105" t="s">
        <v>296</v>
      </c>
      <c r="D1421" s="101" t="s">
        <v>91</v>
      </c>
      <c r="E1421" s="101" t="s">
        <v>577</v>
      </c>
      <c r="F1421" s="101">
        <v>1.0</v>
      </c>
      <c r="G1421" s="101" t="s">
        <v>1916</v>
      </c>
      <c r="H1421" s="63" t="str">
        <f>VLOOKUP(C1421, 'Class Def. - General Data'!$C$20:$C$476,1,false)</f>
        <v>ZSI1_BEARING</v>
      </c>
      <c r="I1421" s="63" t="str">
        <f t="shared" si="1"/>
        <v>ZSI1_BEARING1</v>
      </c>
      <c r="J1421" s="63">
        <f t="shared" si="2"/>
        <v>1</v>
      </c>
    </row>
    <row r="1422" ht="15.75" customHeight="1">
      <c r="B1422" s="95"/>
      <c r="C1422" s="105" t="s">
        <v>296</v>
      </c>
      <c r="D1422" s="101" t="s">
        <v>91</v>
      </c>
      <c r="E1422" s="101" t="s">
        <v>577</v>
      </c>
      <c r="F1422" s="101">
        <v>2.0</v>
      </c>
      <c r="G1422" s="101" t="s">
        <v>1917</v>
      </c>
      <c r="H1422" s="63" t="str">
        <f>VLOOKUP(C1422, 'Class Def. - General Data'!$C$20:$C$476,1,false)</f>
        <v>ZSI1_BEARING</v>
      </c>
      <c r="I1422" s="63" t="str">
        <f t="shared" si="1"/>
        <v>ZSI1_BEARING2</v>
      </c>
      <c r="J1422" s="63">
        <f t="shared" si="2"/>
        <v>1</v>
      </c>
    </row>
    <row r="1423" ht="15.75" customHeight="1">
      <c r="B1423" s="95"/>
      <c r="C1423" s="105" t="s">
        <v>296</v>
      </c>
      <c r="D1423" s="101" t="s">
        <v>91</v>
      </c>
      <c r="E1423" s="101" t="s">
        <v>577</v>
      </c>
      <c r="F1423" s="101">
        <v>3.0</v>
      </c>
      <c r="G1423" s="101" t="s">
        <v>1918</v>
      </c>
      <c r="H1423" s="63" t="str">
        <f>VLOOKUP(C1423, 'Class Def. - General Data'!$C$20:$C$476,1,false)</f>
        <v>ZSI1_BEARING</v>
      </c>
      <c r="I1423" s="63" t="str">
        <f t="shared" si="1"/>
        <v>ZSI1_BEARING3</v>
      </c>
      <c r="J1423" s="63">
        <f t="shared" si="2"/>
        <v>1</v>
      </c>
    </row>
    <row r="1424" ht="15.75" customHeight="1">
      <c r="B1424" s="95"/>
      <c r="C1424" s="105" t="s">
        <v>296</v>
      </c>
      <c r="D1424" s="101" t="s">
        <v>91</v>
      </c>
      <c r="E1424" s="101" t="s">
        <v>577</v>
      </c>
      <c r="F1424" s="101">
        <v>4.0</v>
      </c>
      <c r="G1424" s="101" t="s">
        <v>1919</v>
      </c>
      <c r="H1424" s="63" t="str">
        <f>VLOOKUP(C1424, 'Class Def. - General Data'!$C$20:$C$476,1,false)</f>
        <v>ZSI1_BEARING</v>
      </c>
      <c r="I1424" s="63" t="str">
        <f t="shared" si="1"/>
        <v>ZSI1_BEARING4</v>
      </c>
      <c r="J1424" s="63">
        <f t="shared" si="2"/>
        <v>1</v>
      </c>
    </row>
    <row r="1425" ht="15.75" customHeight="1">
      <c r="B1425" s="95"/>
      <c r="C1425" s="105" t="s">
        <v>296</v>
      </c>
      <c r="D1425" s="101" t="s">
        <v>91</v>
      </c>
      <c r="E1425" s="101" t="s">
        <v>577</v>
      </c>
      <c r="F1425" s="101">
        <v>5.0</v>
      </c>
      <c r="G1425" s="101" t="s">
        <v>1920</v>
      </c>
      <c r="H1425" s="63" t="str">
        <f>VLOOKUP(C1425, 'Class Def. - General Data'!$C$20:$C$476,1,false)</f>
        <v>ZSI1_BEARING</v>
      </c>
      <c r="I1425" s="63" t="str">
        <f t="shared" si="1"/>
        <v>ZSI1_BEARING5</v>
      </c>
      <c r="J1425" s="63">
        <f t="shared" si="2"/>
        <v>1</v>
      </c>
    </row>
    <row r="1426" ht="15.75" customHeight="1">
      <c r="B1426" s="95"/>
      <c r="C1426" s="105" t="s">
        <v>296</v>
      </c>
      <c r="D1426" s="101" t="s">
        <v>91</v>
      </c>
      <c r="E1426" s="101" t="s">
        <v>577</v>
      </c>
      <c r="F1426" s="101">
        <v>6.0</v>
      </c>
      <c r="G1426" s="101" t="s">
        <v>1921</v>
      </c>
      <c r="H1426" s="63" t="str">
        <f>VLOOKUP(C1426, 'Class Def. - General Data'!$C$20:$C$476,1,false)</f>
        <v>ZSI1_BEARING</v>
      </c>
      <c r="I1426" s="63" t="str">
        <f t="shared" si="1"/>
        <v>ZSI1_BEARING6</v>
      </c>
      <c r="J1426" s="63">
        <f t="shared" si="2"/>
        <v>1</v>
      </c>
    </row>
    <row r="1427" ht="15.75" customHeight="1">
      <c r="B1427" s="95"/>
      <c r="C1427" s="105" t="s">
        <v>296</v>
      </c>
      <c r="D1427" s="101" t="s">
        <v>91</v>
      </c>
      <c r="E1427" s="101" t="s">
        <v>577</v>
      </c>
      <c r="F1427" s="101">
        <v>7.0</v>
      </c>
      <c r="G1427" s="101" t="s">
        <v>1922</v>
      </c>
      <c r="H1427" s="63" t="str">
        <f>VLOOKUP(C1427, 'Class Def. - General Data'!$C$20:$C$476,1,false)</f>
        <v>ZSI1_BEARING</v>
      </c>
      <c r="I1427" s="63" t="str">
        <f t="shared" si="1"/>
        <v>ZSI1_BEARING7</v>
      </c>
      <c r="J1427" s="63">
        <f t="shared" si="2"/>
        <v>1</v>
      </c>
    </row>
    <row r="1428" ht="15.75" customHeight="1">
      <c r="B1428" s="95"/>
      <c r="C1428" s="105" t="s">
        <v>296</v>
      </c>
      <c r="D1428" s="101" t="s">
        <v>91</v>
      </c>
      <c r="E1428" s="101" t="s">
        <v>577</v>
      </c>
      <c r="F1428" s="101">
        <v>8.0</v>
      </c>
      <c r="G1428" s="101" t="s">
        <v>1923</v>
      </c>
      <c r="H1428" s="63" t="str">
        <f>VLOOKUP(C1428, 'Class Def. - General Data'!$C$20:$C$476,1,false)</f>
        <v>ZSI1_BEARING</v>
      </c>
      <c r="I1428" s="63" t="str">
        <f t="shared" si="1"/>
        <v>ZSI1_BEARING8</v>
      </c>
      <c r="J1428" s="63">
        <f t="shared" si="2"/>
        <v>1</v>
      </c>
    </row>
    <row r="1429" ht="15.75" customHeight="1">
      <c r="B1429" s="95"/>
      <c r="C1429" s="105" t="s">
        <v>356</v>
      </c>
      <c r="D1429" s="101" t="s">
        <v>91</v>
      </c>
      <c r="E1429" s="101" t="s">
        <v>577</v>
      </c>
      <c r="F1429" s="101">
        <v>1.0</v>
      </c>
      <c r="G1429" s="101" t="s">
        <v>1924</v>
      </c>
      <c r="H1429" s="63" t="str">
        <f>VLOOKUP(C1429, 'Class Def. - General Data'!$C$20:$C$476,1,false)</f>
        <v>ZSI1_BINDER_CLIP</v>
      </c>
      <c r="I1429" s="63" t="str">
        <f t="shared" si="1"/>
        <v>ZSI1_BINDER_CLIP1</v>
      </c>
      <c r="J1429" s="63">
        <f t="shared" si="2"/>
        <v>1</v>
      </c>
    </row>
    <row r="1430" ht="15.75" customHeight="1">
      <c r="B1430" s="95"/>
      <c r="C1430" s="105" t="s">
        <v>356</v>
      </c>
      <c r="D1430" s="101" t="s">
        <v>91</v>
      </c>
      <c r="E1430" s="101" t="s">
        <v>577</v>
      </c>
      <c r="F1430" s="101">
        <v>2.0</v>
      </c>
      <c r="G1430" s="101" t="s">
        <v>1925</v>
      </c>
      <c r="H1430" s="63" t="str">
        <f>VLOOKUP(C1430, 'Class Def. - General Data'!$C$20:$C$476,1,false)</f>
        <v>ZSI1_BINDER_CLIP</v>
      </c>
      <c r="I1430" s="63" t="str">
        <f t="shared" si="1"/>
        <v>ZSI1_BINDER_CLIP2</v>
      </c>
      <c r="J1430" s="63">
        <f t="shared" si="2"/>
        <v>1</v>
      </c>
    </row>
    <row r="1431" ht="15.75" customHeight="1">
      <c r="B1431" s="95"/>
      <c r="C1431" s="105" t="s">
        <v>356</v>
      </c>
      <c r="D1431" s="101" t="s">
        <v>91</v>
      </c>
      <c r="E1431" s="101" t="s">
        <v>577</v>
      </c>
      <c r="F1431" s="101">
        <v>3.0</v>
      </c>
      <c r="G1431" s="101" t="s">
        <v>1926</v>
      </c>
      <c r="H1431" s="63" t="str">
        <f>VLOOKUP(C1431, 'Class Def. - General Data'!$C$20:$C$476,1,false)</f>
        <v>ZSI1_BINDER_CLIP</v>
      </c>
      <c r="I1431" s="63" t="str">
        <f t="shared" si="1"/>
        <v>ZSI1_BINDER_CLIP3</v>
      </c>
      <c r="J1431" s="63">
        <f t="shared" si="2"/>
        <v>1</v>
      </c>
    </row>
    <row r="1432" ht="15.75" customHeight="1">
      <c r="B1432" s="95"/>
      <c r="C1432" s="105" t="s">
        <v>356</v>
      </c>
      <c r="D1432" s="101" t="s">
        <v>91</v>
      </c>
      <c r="E1432" s="101" t="s">
        <v>577</v>
      </c>
      <c r="F1432" s="101">
        <v>4.0</v>
      </c>
      <c r="G1432" s="101" t="s">
        <v>1927</v>
      </c>
      <c r="H1432" s="63" t="str">
        <f>VLOOKUP(C1432, 'Class Def. - General Data'!$C$20:$C$476,1,false)</f>
        <v>ZSI1_BINDER_CLIP</v>
      </c>
      <c r="I1432" s="63" t="str">
        <f t="shared" si="1"/>
        <v>ZSI1_BINDER_CLIP4</v>
      </c>
      <c r="J1432" s="63">
        <f t="shared" si="2"/>
        <v>1</v>
      </c>
    </row>
    <row r="1433" ht="15.75" customHeight="1">
      <c r="B1433" s="95"/>
      <c r="C1433" s="105" t="s">
        <v>356</v>
      </c>
      <c r="D1433" s="101" t="s">
        <v>91</v>
      </c>
      <c r="E1433" s="101" t="s">
        <v>577</v>
      </c>
      <c r="F1433" s="101">
        <v>5.0</v>
      </c>
      <c r="G1433" s="101" t="s">
        <v>1928</v>
      </c>
      <c r="H1433" s="63" t="str">
        <f>VLOOKUP(C1433, 'Class Def. - General Data'!$C$20:$C$476,1,false)</f>
        <v>ZSI1_BINDER_CLIP</v>
      </c>
      <c r="I1433" s="63" t="str">
        <f t="shared" si="1"/>
        <v>ZSI1_BINDER_CLIP5</v>
      </c>
      <c r="J1433" s="63">
        <f t="shared" si="2"/>
        <v>1</v>
      </c>
    </row>
    <row r="1434" ht="15.75" customHeight="1">
      <c r="B1434" s="95"/>
      <c r="C1434" s="105" t="s">
        <v>357</v>
      </c>
      <c r="D1434" s="101" t="s">
        <v>91</v>
      </c>
      <c r="E1434" s="101" t="s">
        <v>577</v>
      </c>
      <c r="F1434" s="101">
        <v>1.0</v>
      </c>
      <c r="G1434" s="101" t="s">
        <v>1929</v>
      </c>
      <c r="H1434" s="63" t="str">
        <f>VLOOKUP(C1434, 'Class Def. - General Data'!$C$20:$C$476,1,false)</f>
        <v>ZSI1_BLIND_CURTAIN</v>
      </c>
      <c r="I1434" s="63" t="str">
        <f t="shared" si="1"/>
        <v>ZSI1_BLIND_CURTAIN1</v>
      </c>
      <c r="J1434" s="63">
        <f t="shared" si="2"/>
        <v>1</v>
      </c>
    </row>
    <row r="1435" ht="15.75" customHeight="1">
      <c r="B1435" s="95"/>
      <c r="C1435" s="105" t="s">
        <v>357</v>
      </c>
      <c r="D1435" s="101" t="s">
        <v>91</v>
      </c>
      <c r="E1435" s="101" t="s">
        <v>577</v>
      </c>
      <c r="F1435" s="101">
        <v>2.0</v>
      </c>
      <c r="G1435" s="101" t="s">
        <v>1930</v>
      </c>
      <c r="H1435" s="63" t="str">
        <f>VLOOKUP(C1435, 'Class Def. - General Data'!$C$20:$C$476,1,false)</f>
        <v>ZSI1_BLIND_CURTAIN</v>
      </c>
      <c r="I1435" s="63" t="str">
        <f t="shared" si="1"/>
        <v>ZSI1_BLIND_CURTAIN2</v>
      </c>
      <c r="J1435" s="63">
        <f t="shared" si="2"/>
        <v>1</v>
      </c>
    </row>
    <row r="1436" ht="15.75" customHeight="1">
      <c r="B1436" s="95"/>
      <c r="C1436" s="105" t="s">
        <v>357</v>
      </c>
      <c r="D1436" s="101" t="s">
        <v>91</v>
      </c>
      <c r="E1436" s="101" t="s">
        <v>577</v>
      </c>
      <c r="F1436" s="101">
        <v>3.0</v>
      </c>
      <c r="G1436" s="101" t="s">
        <v>1931</v>
      </c>
      <c r="H1436" s="63" t="str">
        <f>VLOOKUP(C1436, 'Class Def. - General Data'!$C$20:$C$476,1,false)</f>
        <v>ZSI1_BLIND_CURTAIN</v>
      </c>
      <c r="I1436" s="63" t="str">
        <f t="shared" si="1"/>
        <v>ZSI1_BLIND_CURTAIN3</v>
      </c>
      <c r="J1436" s="63">
        <f t="shared" si="2"/>
        <v>1</v>
      </c>
    </row>
    <row r="1437" ht="15.75" customHeight="1">
      <c r="B1437" s="95"/>
      <c r="C1437" s="105" t="s">
        <v>357</v>
      </c>
      <c r="D1437" s="101" t="s">
        <v>91</v>
      </c>
      <c r="E1437" s="101" t="s">
        <v>577</v>
      </c>
      <c r="F1437" s="101">
        <v>4.0</v>
      </c>
      <c r="G1437" s="101" t="s">
        <v>1932</v>
      </c>
      <c r="H1437" s="63" t="str">
        <f>VLOOKUP(C1437, 'Class Def. - General Data'!$C$20:$C$476,1,false)</f>
        <v>ZSI1_BLIND_CURTAIN</v>
      </c>
      <c r="I1437" s="63" t="str">
        <f t="shared" si="1"/>
        <v>ZSI1_BLIND_CURTAIN4</v>
      </c>
      <c r="J1437" s="63">
        <f t="shared" si="2"/>
        <v>1</v>
      </c>
    </row>
    <row r="1438" ht="15.75" customHeight="1">
      <c r="B1438" s="95"/>
      <c r="C1438" s="105" t="s">
        <v>357</v>
      </c>
      <c r="D1438" s="101" t="s">
        <v>91</v>
      </c>
      <c r="E1438" s="101" t="s">
        <v>577</v>
      </c>
      <c r="F1438" s="101">
        <v>5.0</v>
      </c>
      <c r="G1438" s="101" t="s">
        <v>1933</v>
      </c>
      <c r="H1438" s="63" t="str">
        <f>VLOOKUP(C1438, 'Class Def. - General Data'!$C$20:$C$476,1,false)</f>
        <v>ZSI1_BLIND_CURTAIN</v>
      </c>
      <c r="I1438" s="63" t="str">
        <f t="shared" si="1"/>
        <v>ZSI1_BLIND_CURTAIN5</v>
      </c>
      <c r="J1438" s="63">
        <f t="shared" si="2"/>
        <v>1</v>
      </c>
    </row>
    <row r="1439" ht="15.75" customHeight="1">
      <c r="B1439" s="95"/>
      <c r="C1439" s="105" t="s">
        <v>357</v>
      </c>
      <c r="D1439" s="101" t="s">
        <v>91</v>
      </c>
      <c r="E1439" s="101" t="s">
        <v>577</v>
      </c>
      <c r="F1439" s="101">
        <v>6.0</v>
      </c>
      <c r="G1439" s="101" t="s">
        <v>1934</v>
      </c>
      <c r="H1439" s="63" t="str">
        <f>VLOOKUP(C1439, 'Class Def. - General Data'!$C$20:$C$476,1,false)</f>
        <v>ZSI1_BLIND_CURTAIN</v>
      </c>
      <c r="I1439" s="63" t="str">
        <f t="shared" si="1"/>
        <v>ZSI1_BLIND_CURTAIN6</v>
      </c>
      <c r="J1439" s="63">
        <f t="shared" si="2"/>
        <v>1</v>
      </c>
    </row>
    <row r="1440" ht="15.75" customHeight="1">
      <c r="B1440" s="95"/>
      <c r="C1440" s="105" t="s">
        <v>357</v>
      </c>
      <c r="D1440" s="101" t="s">
        <v>91</v>
      </c>
      <c r="E1440" s="101" t="s">
        <v>577</v>
      </c>
      <c r="F1440" s="101">
        <v>7.0</v>
      </c>
      <c r="G1440" s="101" t="s">
        <v>1935</v>
      </c>
      <c r="H1440" s="63" t="str">
        <f>VLOOKUP(C1440, 'Class Def. - General Data'!$C$20:$C$476,1,false)</f>
        <v>ZSI1_BLIND_CURTAIN</v>
      </c>
      <c r="I1440" s="63" t="str">
        <f t="shared" si="1"/>
        <v>ZSI1_BLIND_CURTAIN7</v>
      </c>
      <c r="J1440" s="63">
        <f t="shared" si="2"/>
        <v>1</v>
      </c>
    </row>
    <row r="1441" ht="15.75" customHeight="1">
      <c r="B1441" s="95"/>
      <c r="C1441" s="105" t="s">
        <v>357</v>
      </c>
      <c r="D1441" s="101" t="s">
        <v>91</v>
      </c>
      <c r="E1441" s="101" t="s">
        <v>577</v>
      </c>
      <c r="F1441" s="101">
        <v>8.0</v>
      </c>
      <c r="G1441" s="101" t="s">
        <v>1936</v>
      </c>
      <c r="H1441" s="63" t="str">
        <f>VLOOKUP(C1441, 'Class Def. - General Data'!$C$20:$C$476,1,false)</f>
        <v>ZSI1_BLIND_CURTAIN</v>
      </c>
      <c r="I1441" s="63" t="str">
        <f t="shared" si="1"/>
        <v>ZSI1_BLIND_CURTAIN8</v>
      </c>
      <c r="J1441" s="63">
        <f t="shared" si="2"/>
        <v>1</v>
      </c>
    </row>
    <row r="1442" ht="15.75" customHeight="1">
      <c r="B1442" s="95"/>
      <c r="C1442" s="105" t="s">
        <v>357</v>
      </c>
      <c r="D1442" s="101" t="s">
        <v>91</v>
      </c>
      <c r="E1442" s="101" t="s">
        <v>577</v>
      </c>
      <c r="F1442" s="101">
        <v>9.0</v>
      </c>
      <c r="G1442" s="101" t="s">
        <v>1937</v>
      </c>
      <c r="H1442" s="63" t="str">
        <f>VLOOKUP(C1442, 'Class Def. - General Data'!$C$20:$C$476,1,false)</f>
        <v>ZSI1_BLIND_CURTAIN</v>
      </c>
      <c r="I1442" s="63" t="str">
        <f t="shared" si="1"/>
        <v>ZSI1_BLIND_CURTAIN9</v>
      </c>
      <c r="J1442" s="63">
        <f t="shared" si="2"/>
        <v>1</v>
      </c>
    </row>
    <row r="1443" ht="15.75" customHeight="1">
      <c r="B1443" s="95"/>
      <c r="C1443" s="105" t="s">
        <v>490</v>
      </c>
      <c r="D1443" s="101" t="s">
        <v>91</v>
      </c>
      <c r="E1443" s="101" t="s">
        <v>577</v>
      </c>
      <c r="F1443" s="101">
        <v>1.0</v>
      </c>
      <c r="G1443" s="101" t="s">
        <v>1938</v>
      </c>
      <c r="H1443" s="63" t="str">
        <f>VLOOKUP(C1443, 'Class Def. - General Data'!$C$20:$C$476,1,false)</f>
        <v>ZSI1_BOILERS</v>
      </c>
      <c r="I1443" s="63" t="str">
        <f t="shared" si="1"/>
        <v>ZSI1_BOILERS1</v>
      </c>
      <c r="J1443" s="63">
        <f t="shared" si="2"/>
        <v>1</v>
      </c>
    </row>
    <row r="1444" ht="15.75" customHeight="1">
      <c r="B1444" s="95"/>
      <c r="C1444" s="105" t="s">
        <v>339</v>
      </c>
      <c r="D1444" s="101" t="s">
        <v>91</v>
      </c>
      <c r="E1444" s="101" t="s">
        <v>577</v>
      </c>
      <c r="F1444" s="101">
        <v>1.0</v>
      </c>
      <c r="G1444" s="101" t="s">
        <v>1939</v>
      </c>
      <c r="H1444" s="63" t="str">
        <f>VLOOKUP(C1444, 'Class Def. - General Data'!$C$20:$C$476,1,false)</f>
        <v>ZSI1_BOLT</v>
      </c>
      <c r="I1444" s="63" t="str">
        <f t="shared" si="1"/>
        <v>ZSI1_BOLT1</v>
      </c>
      <c r="J1444" s="63">
        <f t="shared" si="2"/>
        <v>1</v>
      </c>
    </row>
    <row r="1445" ht="15.75" customHeight="1">
      <c r="B1445" s="95"/>
      <c r="C1445" s="105" t="s">
        <v>339</v>
      </c>
      <c r="D1445" s="101" t="s">
        <v>91</v>
      </c>
      <c r="E1445" s="101" t="s">
        <v>577</v>
      </c>
      <c r="F1445" s="106" t="s">
        <v>1899</v>
      </c>
      <c r="G1445" s="101" t="s">
        <v>1940</v>
      </c>
      <c r="H1445" s="63" t="str">
        <f>VLOOKUP(C1445, 'Class Def. - General Data'!$C$20:$C$476,1,false)</f>
        <v>ZSI1_BOLT</v>
      </c>
      <c r="I1445" s="63" t="str">
        <f t="shared" si="1"/>
        <v>ZSI1_BOLT2</v>
      </c>
      <c r="J1445" s="63">
        <f t="shared" si="2"/>
        <v>1</v>
      </c>
    </row>
    <row r="1446" ht="15.75" customHeight="1">
      <c r="B1446" s="95"/>
      <c r="C1446" s="105" t="s">
        <v>358</v>
      </c>
      <c r="D1446" s="101" t="s">
        <v>91</v>
      </c>
      <c r="E1446" s="101" t="s">
        <v>577</v>
      </c>
      <c r="F1446" s="101">
        <v>1.0</v>
      </c>
      <c r="G1446" s="101" t="s">
        <v>1941</v>
      </c>
      <c r="H1446" s="63" t="str">
        <f>VLOOKUP(C1446, 'Class Def. - General Data'!$C$20:$C$476,1,false)</f>
        <v>ZSI1_BRACKET</v>
      </c>
      <c r="I1446" s="63" t="str">
        <f t="shared" si="1"/>
        <v>ZSI1_BRACKET1</v>
      </c>
      <c r="J1446" s="63">
        <f t="shared" si="2"/>
        <v>1</v>
      </c>
    </row>
    <row r="1447" ht="15.75" customHeight="1">
      <c r="B1447" s="95"/>
      <c r="C1447" s="105" t="s">
        <v>358</v>
      </c>
      <c r="D1447" s="101" t="s">
        <v>91</v>
      </c>
      <c r="E1447" s="101" t="s">
        <v>577</v>
      </c>
      <c r="F1447" s="101">
        <v>2.0</v>
      </c>
      <c r="G1447" s="101" t="s">
        <v>1942</v>
      </c>
      <c r="H1447" s="63" t="str">
        <f>VLOOKUP(C1447, 'Class Def. - General Data'!$C$20:$C$476,1,false)</f>
        <v>ZSI1_BRACKET</v>
      </c>
      <c r="I1447" s="63" t="str">
        <f t="shared" si="1"/>
        <v>ZSI1_BRACKET2</v>
      </c>
      <c r="J1447" s="63">
        <f t="shared" si="2"/>
        <v>1</v>
      </c>
    </row>
    <row r="1448" ht="15.75" customHeight="1">
      <c r="B1448" s="95"/>
      <c r="C1448" s="105" t="s">
        <v>358</v>
      </c>
      <c r="D1448" s="101" t="s">
        <v>91</v>
      </c>
      <c r="E1448" s="101" t="s">
        <v>577</v>
      </c>
      <c r="F1448" s="101">
        <v>3.0</v>
      </c>
      <c r="G1448" s="101" t="s">
        <v>1943</v>
      </c>
      <c r="H1448" s="63" t="str">
        <f>VLOOKUP(C1448, 'Class Def. - General Data'!$C$20:$C$476,1,false)</f>
        <v>ZSI1_BRACKET</v>
      </c>
      <c r="I1448" s="63" t="str">
        <f t="shared" si="1"/>
        <v>ZSI1_BRACKET3</v>
      </c>
      <c r="J1448" s="63">
        <f t="shared" si="2"/>
        <v>1</v>
      </c>
    </row>
    <row r="1449" ht="15.75" customHeight="1">
      <c r="B1449" s="95"/>
      <c r="C1449" s="105" t="s">
        <v>358</v>
      </c>
      <c r="D1449" s="101" t="s">
        <v>91</v>
      </c>
      <c r="E1449" s="101" t="s">
        <v>577</v>
      </c>
      <c r="F1449" s="101">
        <v>4.0</v>
      </c>
      <c r="G1449" s="101" t="s">
        <v>1944</v>
      </c>
      <c r="H1449" s="63" t="str">
        <f>VLOOKUP(C1449, 'Class Def. - General Data'!$C$20:$C$476,1,false)</f>
        <v>ZSI1_BRACKET</v>
      </c>
      <c r="I1449" s="63" t="str">
        <f t="shared" si="1"/>
        <v>ZSI1_BRACKET4</v>
      </c>
      <c r="J1449" s="63">
        <f t="shared" si="2"/>
        <v>1</v>
      </c>
    </row>
    <row r="1450" ht="15.75" customHeight="1">
      <c r="B1450" s="95"/>
      <c r="C1450" s="105" t="s">
        <v>358</v>
      </c>
      <c r="D1450" s="101" t="s">
        <v>91</v>
      </c>
      <c r="E1450" s="101" t="s">
        <v>577</v>
      </c>
      <c r="F1450" s="101">
        <v>5.0</v>
      </c>
      <c r="G1450" s="101" t="s">
        <v>1945</v>
      </c>
      <c r="H1450" s="63" t="str">
        <f>VLOOKUP(C1450, 'Class Def. - General Data'!$C$20:$C$476,1,false)</f>
        <v>ZSI1_BRACKET</v>
      </c>
      <c r="I1450" s="63" t="str">
        <f t="shared" si="1"/>
        <v>ZSI1_BRACKET5</v>
      </c>
      <c r="J1450" s="63">
        <f t="shared" si="2"/>
        <v>1</v>
      </c>
    </row>
    <row r="1451" ht="15.75" customHeight="1">
      <c r="B1451" s="95"/>
      <c r="C1451" s="105" t="s">
        <v>360</v>
      </c>
      <c r="D1451" s="101" t="s">
        <v>91</v>
      </c>
      <c r="E1451" s="101" t="s">
        <v>577</v>
      </c>
      <c r="F1451" s="101">
        <v>1.0</v>
      </c>
      <c r="G1451" s="101" t="s">
        <v>1946</v>
      </c>
      <c r="H1451" s="63" t="str">
        <f>VLOOKUP(C1451, 'Class Def. - General Data'!$C$20:$C$476,1,false)</f>
        <v>ZSI1_BRICKS</v>
      </c>
      <c r="I1451" s="63" t="str">
        <f t="shared" si="1"/>
        <v>ZSI1_BRICKS1</v>
      </c>
      <c r="J1451" s="63">
        <f t="shared" si="2"/>
        <v>1</v>
      </c>
    </row>
    <row r="1452" ht="15.75" customHeight="1">
      <c r="B1452" s="95"/>
      <c r="C1452" s="105" t="s">
        <v>361</v>
      </c>
      <c r="D1452" s="101" t="s">
        <v>91</v>
      </c>
      <c r="E1452" s="101" t="s">
        <v>577</v>
      </c>
      <c r="F1452" s="101">
        <v>1.0</v>
      </c>
      <c r="G1452" s="101" t="s">
        <v>1947</v>
      </c>
      <c r="H1452" s="63" t="str">
        <f>VLOOKUP(C1452, 'Class Def. - General Data'!$C$20:$C$476,1,false)</f>
        <v>ZSI1_C_CHANNEL</v>
      </c>
      <c r="I1452" s="63" t="str">
        <f t="shared" si="1"/>
        <v>ZSI1_C_CHANNEL1</v>
      </c>
      <c r="J1452" s="63">
        <f t="shared" si="2"/>
        <v>1</v>
      </c>
    </row>
    <row r="1453" ht="15.75" customHeight="1">
      <c r="B1453" s="95"/>
      <c r="C1453" s="105" t="s">
        <v>361</v>
      </c>
      <c r="D1453" s="101" t="s">
        <v>91</v>
      </c>
      <c r="E1453" s="101" t="s">
        <v>577</v>
      </c>
      <c r="F1453" s="101">
        <v>2.0</v>
      </c>
      <c r="G1453" s="101" t="s">
        <v>1948</v>
      </c>
      <c r="H1453" s="63" t="str">
        <f>VLOOKUP(C1453, 'Class Def. - General Data'!$C$20:$C$476,1,false)</f>
        <v>ZSI1_C_CHANNEL</v>
      </c>
      <c r="I1453" s="63" t="str">
        <f t="shared" si="1"/>
        <v>ZSI1_C_CHANNEL2</v>
      </c>
      <c r="J1453" s="63">
        <f t="shared" si="2"/>
        <v>1</v>
      </c>
    </row>
    <row r="1454" ht="15.75" customHeight="1">
      <c r="B1454" s="95"/>
      <c r="C1454" s="105" t="s">
        <v>361</v>
      </c>
      <c r="D1454" s="101" t="s">
        <v>91</v>
      </c>
      <c r="E1454" s="101" t="s">
        <v>577</v>
      </c>
      <c r="F1454" s="101">
        <v>3.0</v>
      </c>
      <c r="G1454" s="101" t="s">
        <v>1949</v>
      </c>
      <c r="H1454" s="63" t="str">
        <f>VLOOKUP(C1454, 'Class Def. - General Data'!$C$20:$C$476,1,false)</f>
        <v>ZSI1_C_CHANNEL</v>
      </c>
      <c r="I1454" s="63" t="str">
        <f t="shared" si="1"/>
        <v>ZSI1_C_CHANNEL3</v>
      </c>
      <c r="J1454" s="63">
        <f t="shared" si="2"/>
        <v>1</v>
      </c>
    </row>
    <row r="1455" ht="15.75" customHeight="1">
      <c r="B1455" s="95"/>
      <c r="C1455" s="105" t="s">
        <v>362</v>
      </c>
      <c r="D1455" s="101" t="s">
        <v>91</v>
      </c>
      <c r="E1455" s="101" t="s">
        <v>577</v>
      </c>
      <c r="F1455" s="101">
        <v>1.0</v>
      </c>
      <c r="G1455" s="101" t="s">
        <v>1950</v>
      </c>
      <c r="H1455" s="63" t="str">
        <f>VLOOKUP(C1455, 'Class Def. - General Data'!$C$20:$C$476,1,false)</f>
        <v>ZSI1_CABLE_DUCT</v>
      </c>
      <c r="I1455" s="63" t="str">
        <f t="shared" si="1"/>
        <v>ZSI1_CABLE_DUCT1</v>
      </c>
      <c r="J1455" s="63">
        <f t="shared" si="2"/>
        <v>1</v>
      </c>
    </row>
    <row r="1456" ht="15.75" customHeight="1">
      <c r="B1456" s="95"/>
      <c r="C1456" s="105" t="s">
        <v>362</v>
      </c>
      <c r="D1456" s="101" t="s">
        <v>91</v>
      </c>
      <c r="E1456" s="101" t="s">
        <v>577</v>
      </c>
      <c r="F1456" s="101">
        <v>2.0</v>
      </c>
      <c r="G1456" s="101" t="s">
        <v>1951</v>
      </c>
      <c r="H1456" s="63" t="str">
        <f>VLOOKUP(C1456, 'Class Def. - General Data'!$C$20:$C$476,1,false)</f>
        <v>ZSI1_CABLE_DUCT</v>
      </c>
      <c r="I1456" s="63" t="str">
        <f t="shared" si="1"/>
        <v>ZSI1_CABLE_DUCT2</v>
      </c>
      <c r="J1456" s="63">
        <f t="shared" si="2"/>
        <v>1</v>
      </c>
    </row>
    <row r="1457" ht="15.75" customHeight="1">
      <c r="B1457" s="95"/>
      <c r="C1457" s="105" t="s">
        <v>362</v>
      </c>
      <c r="D1457" s="101" t="s">
        <v>91</v>
      </c>
      <c r="E1457" s="101" t="s">
        <v>577</v>
      </c>
      <c r="F1457" s="101">
        <v>3.0</v>
      </c>
      <c r="G1457" s="101" t="s">
        <v>1952</v>
      </c>
      <c r="H1457" s="63" t="str">
        <f>VLOOKUP(C1457, 'Class Def. - General Data'!$C$20:$C$476,1,false)</f>
        <v>ZSI1_CABLE_DUCT</v>
      </c>
      <c r="I1457" s="63" t="str">
        <f t="shared" si="1"/>
        <v>ZSI1_CABLE_DUCT3</v>
      </c>
      <c r="J1457" s="63">
        <f t="shared" si="2"/>
        <v>1</v>
      </c>
    </row>
    <row r="1458" ht="15.75" customHeight="1">
      <c r="B1458" s="95"/>
      <c r="C1458" s="105" t="s">
        <v>362</v>
      </c>
      <c r="D1458" s="101" t="s">
        <v>91</v>
      </c>
      <c r="E1458" s="101" t="s">
        <v>577</v>
      </c>
      <c r="F1458" s="101">
        <v>4.0</v>
      </c>
      <c r="G1458" s="101" t="s">
        <v>1953</v>
      </c>
      <c r="H1458" s="63" t="str">
        <f>VLOOKUP(C1458, 'Class Def. - General Data'!$C$20:$C$476,1,false)</f>
        <v>ZSI1_CABLE_DUCT</v>
      </c>
      <c r="I1458" s="63" t="str">
        <f t="shared" si="1"/>
        <v>ZSI1_CABLE_DUCT4</v>
      </c>
      <c r="J1458" s="63">
        <f t="shared" si="2"/>
        <v>1</v>
      </c>
    </row>
    <row r="1459" ht="15.75" customHeight="1">
      <c r="B1459" s="95"/>
      <c r="C1459" s="105" t="s">
        <v>363</v>
      </c>
      <c r="D1459" s="101" t="s">
        <v>91</v>
      </c>
      <c r="E1459" s="101" t="s">
        <v>577</v>
      </c>
      <c r="F1459" s="101">
        <v>1.0</v>
      </c>
      <c r="G1459" s="101" t="s">
        <v>1954</v>
      </c>
      <c r="H1459" s="63" t="str">
        <f>VLOOKUP(C1459, 'Class Def. - General Data'!$C$20:$C$476,1,false)</f>
        <v>ZSI1_CABLE_TRAY</v>
      </c>
      <c r="I1459" s="63" t="str">
        <f t="shared" si="1"/>
        <v>ZSI1_CABLE_TRAY1</v>
      </c>
      <c r="J1459" s="63">
        <f t="shared" si="2"/>
        <v>1</v>
      </c>
    </row>
    <row r="1460" ht="15.75" customHeight="1">
      <c r="B1460" s="95"/>
      <c r="C1460" s="105" t="s">
        <v>363</v>
      </c>
      <c r="D1460" s="101" t="s">
        <v>91</v>
      </c>
      <c r="E1460" s="101" t="s">
        <v>577</v>
      </c>
      <c r="F1460" s="101">
        <v>2.0</v>
      </c>
      <c r="G1460" s="101" t="s">
        <v>1955</v>
      </c>
      <c r="H1460" s="63" t="str">
        <f>VLOOKUP(C1460, 'Class Def. - General Data'!$C$20:$C$476,1,false)</f>
        <v>ZSI1_CABLE_TRAY</v>
      </c>
      <c r="I1460" s="63" t="str">
        <f t="shared" si="1"/>
        <v>ZSI1_CABLE_TRAY2</v>
      </c>
      <c r="J1460" s="63">
        <f t="shared" si="2"/>
        <v>1</v>
      </c>
    </row>
    <row r="1461" ht="15.75" customHeight="1">
      <c r="B1461" s="95"/>
      <c r="C1461" s="105" t="s">
        <v>363</v>
      </c>
      <c r="D1461" s="101" t="s">
        <v>91</v>
      </c>
      <c r="E1461" s="101" t="s">
        <v>577</v>
      </c>
      <c r="F1461" s="101">
        <v>3.0</v>
      </c>
      <c r="G1461" s="101" t="s">
        <v>1956</v>
      </c>
      <c r="H1461" s="63" t="str">
        <f>VLOOKUP(C1461, 'Class Def. - General Data'!$C$20:$C$476,1,false)</f>
        <v>ZSI1_CABLE_TRAY</v>
      </c>
      <c r="I1461" s="63" t="str">
        <f t="shared" si="1"/>
        <v>ZSI1_CABLE_TRAY3</v>
      </c>
      <c r="J1461" s="63">
        <f t="shared" si="2"/>
        <v>1</v>
      </c>
    </row>
    <row r="1462" ht="15.75" customHeight="1">
      <c r="B1462" s="95"/>
      <c r="C1462" s="105" t="s">
        <v>363</v>
      </c>
      <c r="D1462" s="101" t="s">
        <v>91</v>
      </c>
      <c r="E1462" s="101" t="s">
        <v>577</v>
      </c>
      <c r="F1462" s="101">
        <v>4.0</v>
      </c>
      <c r="G1462" s="101" t="s">
        <v>1952</v>
      </c>
      <c r="H1462" s="63" t="str">
        <f>VLOOKUP(C1462, 'Class Def. - General Data'!$C$20:$C$476,1,false)</f>
        <v>ZSI1_CABLE_TRAY</v>
      </c>
      <c r="I1462" s="63" t="str">
        <f t="shared" si="1"/>
        <v>ZSI1_CABLE_TRAY4</v>
      </c>
      <c r="J1462" s="63">
        <f t="shared" si="2"/>
        <v>1</v>
      </c>
    </row>
    <row r="1463" ht="15.75" customHeight="1">
      <c r="B1463" s="95"/>
      <c r="C1463" s="105" t="s">
        <v>302</v>
      </c>
      <c r="D1463" s="101" t="s">
        <v>91</v>
      </c>
      <c r="E1463" s="101" t="s">
        <v>577</v>
      </c>
      <c r="F1463" s="101">
        <v>1.0</v>
      </c>
      <c r="G1463" s="101" t="s">
        <v>1957</v>
      </c>
      <c r="H1463" s="63" t="str">
        <f>VLOOKUP(C1463, 'Class Def. - General Data'!$C$20:$C$476,1,false)</f>
        <v>ZSI1_CCT_PROTECT</v>
      </c>
      <c r="I1463" s="63" t="str">
        <f t="shared" si="1"/>
        <v>ZSI1_CCT_PROTECT1</v>
      </c>
      <c r="J1463" s="63">
        <f t="shared" si="2"/>
        <v>1</v>
      </c>
    </row>
    <row r="1464" ht="15.75" customHeight="1">
      <c r="B1464" s="95"/>
      <c r="C1464" s="105" t="s">
        <v>302</v>
      </c>
      <c r="D1464" s="101" t="s">
        <v>91</v>
      </c>
      <c r="E1464" s="101" t="s">
        <v>577</v>
      </c>
      <c r="F1464" s="101">
        <v>2.0</v>
      </c>
      <c r="G1464" s="101" t="s">
        <v>1958</v>
      </c>
      <c r="H1464" s="63" t="str">
        <f>VLOOKUP(C1464, 'Class Def. - General Data'!$C$20:$C$476,1,false)</f>
        <v>ZSI1_CCT_PROTECT</v>
      </c>
      <c r="I1464" s="63" t="str">
        <f t="shared" si="1"/>
        <v>ZSI1_CCT_PROTECT2</v>
      </c>
      <c r="J1464" s="63">
        <f t="shared" si="2"/>
        <v>1</v>
      </c>
    </row>
    <row r="1465" ht="15.75" customHeight="1">
      <c r="B1465" s="95"/>
      <c r="C1465" s="105" t="s">
        <v>302</v>
      </c>
      <c r="D1465" s="101" t="s">
        <v>91</v>
      </c>
      <c r="E1465" s="101" t="s">
        <v>577</v>
      </c>
      <c r="F1465" s="101">
        <v>3.0</v>
      </c>
      <c r="G1465" s="101" t="s">
        <v>1959</v>
      </c>
      <c r="H1465" s="63" t="str">
        <f>VLOOKUP(C1465, 'Class Def. - General Data'!$C$20:$C$476,1,false)</f>
        <v>ZSI1_CCT_PROTECT</v>
      </c>
      <c r="I1465" s="63" t="str">
        <f t="shared" si="1"/>
        <v>ZSI1_CCT_PROTECT3</v>
      </c>
      <c r="J1465" s="63">
        <f t="shared" si="2"/>
        <v>1</v>
      </c>
    </row>
    <row r="1466" ht="15.75" customHeight="1">
      <c r="B1466" s="95"/>
      <c r="C1466" s="105" t="s">
        <v>302</v>
      </c>
      <c r="D1466" s="101" t="s">
        <v>91</v>
      </c>
      <c r="E1466" s="101" t="s">
        <v>577</v>
      </c>
      <c r="F1466" s="101">
        <v>4.0</v>
      </c>
      <c r="G1466" s="101" t="s">
        <v>1960</v>
      </c>
      <c r="H1466" s="63" t="str">
        <f>VLOOKUP(C1466, 'Class Def. - General Data'!$C$20:$C$476,1,false)</f>
        <v>ZSI1_CCT_PROTECT</v>
      </c>
      <c r="I1466" s="63" t="str">
        <f t="shared" si="1"/>
        <v>ZSI1_CCT_PROTECT4</v>
      </c>
      <c r="J1466" s="63">
        <f t="shared" si="2"/>
        <v>1</v>
      </c>
    </row>
    <row r="1467" ht="15.75" customHeight="1">
      <c r="B1467" s="95"/>
      <c r="C1467" s="105" t="s">
        <v>302</v>
      </c>
      <c r="D1467" s="101" t="s">
        <v>91</v>
      </c>
      <c r="E1467" s="101" t="s">
        <v>577</v>
      </c>
      <c r="F1467" s="101">
        <v>5.0</v>
      </c>
      <c r="G1467" s="101" t="s">
        <v>1961</v>
      </c>
      <c r="H1467" s="63" t="str">
        <f>VLOOKUP(C1467, 'Class Def. - General Data'!$C$20:$C$476,1,false)</f>
        <v>ZSI1_CCT_PROTECT</v>
      </c>
      <c r="I1467" s="63" t="str">
        <f t="shared" si="1"/>
        <v>ZSI1_CCT_PROTECT5</v>
      </c>
      <c r="J1467" s="63">
        <f t="shared" si="2"/>
        <v>1</v>
      </c>
    </row>
    <row r="1468" ht="15.75" customHeight="1">
      <c r="B1468" s="95"/>
      <c r="C1468" s="105" t="s">
        <v>302</v>
      </c>
      <c r="D1468" s="101" t="s">
        <v>91</v>
      </c>
      <c r="E1468" s="101" t="s">
        <v>577</v>
      </c>
      <c r="F1468" s="101">
        <v>6.0</v>
      </c>
      <c r="G1468" s="101" t="s">
        <v>1962</v>
      </c>
      <c r="H1468" s="63" t="str">
        <f>VLOOKUP(C1468, 'Class Def. - General Data'!$C$20:$C$476,1,false)</f>
        <v>ZSI1_CCT_PROTECT</v>
      </c>
      <c r="I1468" s="63" t="str">
        <f t="shared" si="1"/>
        <v>ZSI1_CCT_PROTECT6</v>
      </c>
      <c r="J1468" s="63">
        <f t="shared" si="2"/>
        <v>1</v>
      </c>
    </row>
    <row r="1469" ht="15.75" customHeight="1">
      <c r="B1469" s="95"/>
      <c r="C1469" s="105" t="s">
        <v>302</v>
      </c>
      <c r="D1469" s="101" t="s">
        <v>91</v>
      </c>
      <c r="E1469" s="101" t="s">
        <v>577</v>
      </c>
      <c r="F1469" s="101">
        <v>7.0</v>
      </c>
      <c r="G1469" s="101" t="s">
        <v>1963</v>
      </c>
      <c r="H1469" s="63" t="str">
        <f>VLOOKUP(C1469, 'Class Def. - General Data'!$C$20:$C$476,1,false)</f>
        <v>ZSI1_CCT_PROTECT</v>
      </c>
      <c r="I1469" s="63" t="str">
        <f t="shared" si="1"/>
        <v>ZSI1_CCT_PROTECT7</v>
      </c>
      <c r="J1469" s="63">
        <f t="shared" si="2"/>
        <v>1</v>
      </c>
    </row>
    <row r="1470" ht="15.75" customHeight="1">
      <c r="B1470" s="95"/>
      <c r="C1470" s="105" t="s">
        <v>302</v>
      </c>
      <c r="D1470" s="101" t="s">
        <v>91</v>
      </c>
      <c r="E1470" s="101" t="s">
        <v>577</v>
      </c>
      <c r="F1470" s="101">
        <v>8.0</v>
      </c>
      <c r="G1470" s="101" t="s">
        <v>1964</v>
      </c>
      <c r="H1470" s="63" t="str">
        <f>VLOOKUP(C1470, 'Class Def. - General Data'!$C$20:$C$476,1,false)</f>
        <v>ZSI1_CCT_PROTECT</v>
      </c>
      <c r="I1470" s="63" t="str">
        <f t="shared" si="1"/>
        <v>ZSI1_CCT_PROTECT8</v>
      </c>
      <c r="J1470" s="63">
        <f t="shared" si="2"/>
        <v>1</v>
      </c>
    </row>
    <row r="1471" ht="15.75" customHeight="1">
      <c r="B1471" s="95"/>
      <c r="C1471" s="105" t="s">
        <v>364</v>
      </c>
      <c r="D1471" s="101" t="s">
        <v>91</v>
      </c>
      <c r="E1471" s="101" t="s">
        <v>577</v>
      </c>
      <c r="F1471" s="101">
        <v>1.0</v>
      </c>
      <c r="G1471" s="101" t="s">
        <v>1965</v>
      </c>
      <c r="H1471" s="63" t="str">
        <f>VLOOKUP(C1471, 'Class Def. - General Data'!$C$20:$C$476,1,false)</f>
        <v>ZSI1_CEMENT</v>
      </c>
      <c r="I1471" s="63" t="str">
        <f t="shared" si="1"/>
        <v>ZSI1_CEMENT1</v>
      </c>
      <c r="J1471" s="63">
        <f t="shared" si="2"/>
        <v>1</v>
      </c>
    </row>
    <row r="1472" ht="15.75" customHeight="1">
      <c r="B1472" s="95"/>
      <c r="C1472" s="105" t="s">
        <v>364</v>
      </c>
      <c r="D1472" s="101" t="s">
        <v>91</v>
      </c>
      <c r="E1472" s="101" t="s">
        <v>577</v>
      </c>
      <c r="F1472" s="101">
        <v>2.0</v>
      </c>
      <c r="G1472" s="101" t="s">
        <v>1966</v>
      </c>
      <c r="H1472" s="63" t="str">
        <f>VLOOKUP(C1472, 'Class Def. - General Data'!$C$20:$C$476,1,false)</f>
        <v>ZSI1_CEMENT</v>
      </c>
      <c r="I1472" s="63" t="str">
        <f t="shared" si="1"/>
        <v>ZSI1_CEMENT2</v>
      </c>
      <c r="J1472" s="63">
        <f t="shared" si="2"/>
        <v>1</v>
      </c>
    </row>
    <row r="1473" ht="15.75" customHeight="1">
      <c r="B1473" s="95"/>
      <c r="C1473" s="105" t="s">
        <v>364</v>
      </c>
      <c r="D1473" s="101" t="s">
        <v>91</v>
      </c>
      <c r="E1473" s="101" t="s">
        <v>577</v>
      </c>
      <c r="F1473" s="101">
        <v>3.0</v>
      </c>
      <c r="G1473" s="101" t="s">
        <v>1967</v>
      </c>
      <c r="H1473" s="63" t="str">
        <f>VLOOKUP(C1473, 'Class Def. - General Data'!$C$20:$C$476,1,false)</f>
        <v>ZSI1_CEMENT</v>
      </c>
      <c r="I1473" s="63" t="str">
        <f t="shared" si="1"/>
        <v>ZSI1_CEMENT3</v>
      </c>
      <c r="J1473" s="63">
        <f t="shared" si="2"/>
        <v>1</v>
      </c>
    </row>
    <row r="1474" ht="15.75" customHeight="1">
      <c r="B1474" s="95"/>
      <c r="C1474" s="105" t="s">
        <v>364</v>
      </c>
      <c r="D1474" s="101" t="s">
        <v>91</v>
      </c>
      <c r="E1474" s="101" t="s">
        <v>577</v>
      </c>
      <c r="F1474" s="101">
        <v>4.0</v>
      </c>
      <c r="G1474" s="101" t="s">
        <v>1968</v>
      </c>
      <c r="H1474" s="63" t="str">
        <f>VLOOKUP(C1474, 'Class Def. - General Data'!$C$20:$C$476,1,false)</f>
        <v>ZSI1_CEMENT</v>
      </c>
      <c r="I1474" s="63" t="str">
        <f t="shared" si="1"/>
        <v>ZSI1_CEMENT4</v>
      </c>
      <c r="J1474" s="63">
        <f t="shared" si="2"/>
        <v>1</v>
      </c>
    </row>
    <row r="1475" ht="15.75" customHeight="1">
      <c r="B1475" s="95"/>
      <c r="C1475" s="105" t="s">
        <v>364</v>
      </c>
      <c r="D1475" s="101" t="s">
        <v>91</v>
      </c>
      <c r="E1475" s="101" t="s">
        <v>577</v>
      </c>
      <c r="F1475" s="101">
        <v>5.0</v>
      </c>
      <c r="G1475" s="101" t="s">
        <v>1969</v>
      </c>
      <c r="H1475" s="63" t="str">
        <f>VLOOKUP(C1475, 'Class Def. - General Data'!$C$20:$C$476,1,false)</f>
        <v>ZSI1_CEMENT</v>
      </c>
      <c r="I1475" s="63" t="str">
        <f t="shared" si="1"/>
        <v>ZSI1_CEMENT5</v>
      </c>
      <c r="J1475" s="63">
        <f t="shared" si="2"/>
        <v>1</v>
      </c>
    </row>
    <row r="1476" ht="15.75" customHeight="1">
      <c r="B1476" s="95"/>
      <c r="C1476" s="105" t="s">
        <v>364</v>
      </c>
      <c r="D1476" s="101" t="s">
        <v>91</v>
      </c>
      <c r="E1476" s="101" t="s">
        <v>577</v>
      </c>
      <c r="F1476" s="101">
        <v>6.0</v>
      </c>
      <c r="G1476" s="101" t="s">
        <v>1970</v>
      </c>
      <c r="H1476" s="63" t="str">
        <f>VLOOKUP(C1476, 'Class Def. - General Data'!$C$20:$C$476,1,false)</f>
        <v>ZSI1_CEMENT</v>
      </c>
      <c r="I1476" s="63" t="str">
        <f t="shared" si="1"/>
        <v>ZSI1_CEMENT6</v>
      </c>
      <c r="J1476" s="63">
        <f t="shared" si="2"/>
        <v>1</v>
      </c>
    </row>
    <row r="1477" ht="15.75" customHeight="1">
      <c r="B1477" s="95"/>
      <c r="C1477" s="105" t="s">
        <v>491</v>
      </c>
      <c r="D1477" s="101" t="s">
        <v>91</v>
      </c>
      <c r="E1477" s="101" t="s">
        <v>577</v>
      </c>
      <c r="F1477" s="101">
        <v>1.0</v>
      </c>
      <c r="G1477" s="101" t="s">
        <v>1971</v>
      </c>
      <c r="H1477" s="63" t="str">
        <f>VLOOKUP(C1477, 'Class Def. - General Data'!$C$20:$C$476,1,false)</f>
        <v>ZSI1_CHAIN_BLOCK</v>
      </c>
      <c r="I1477" s="63" t="str">
        <f t="shared" si="1"/>
        <v>ZSI1_CHAIN_BLOCK1</v>
      </c>
      <c r="J1477" s="63">
        <f t="shared" si="2"/>
        <v>1</v>
      </c>
    </row>
    <row r="1478" ht="15.75" customHeight="1">
      <c r="B1478" s="95"/>
      <c r="C1478" s="105" t="s">
        <v>365</v>
      </c>
      <c r="D1478" s="101" t="s">
        <v>91</v>
      </c>
      <c r="E1478" s="101" t="s">
        <v>577</v>
      </c>
      <c r="F1478" s="101">
        <v>1.0</v>
      </c>
      <c r="G1478" s="101" t="s">
        <v>1972</v>
      </c>
      <c r="H1478" s="63" t="str">
        <f>VLOOKUP(C1478, 'Class Def. - General Data'!$C$20:$C$476,1,false)</f>
        <v>ZSI1_CHEMICAL_GAS</v>
      </c>
      <c r="I1478" s="63" t="str">
        <f t="shared" si="1"/>
        <v>ZSI1_CHEMICAL_GAS1</v>
      </c>
      <c r="J1478" s="63">
        <f t="shared" si="2"/>
        <v>1</v>
      </c>
    </row>
    <row r="1479" ht="15.75" customHeight="1">
      <c r="B1479" s="95"/>
      <c r="C1479" s="105" t="s">
        <v>365</v>
      </c>
      <c r="D1479" s="101" t="s">
        <v>91</v>
      </c>
      <c r="E1479" s="101" t="s">
        <v>577</v>
      </c>
      <c r="F1479" s="101">
        <v>2.0</v>
      </c>
      <c r="G1479" s="101" t="s">
        <v>1973</v>
      </c>
      <c r="H1479" s="63" t="str">
        <f>VLOOKUP(C1479, 'Class Def. - General Data'!$C$20:$C$476,1,false)</f>
        <v>ZSI1_CHEMICAL_GAS</v>
      </c>
      <c r="I1479" s="63" t="str">
        <f t="shared" si="1"/>
        <v>ZSI1_CHEMICAL_GAS2</v>
      </c>
      <c r="J1479" s="63">
        <f t="shared" si="2"/>
        <v>1</v>
      </c>
    </row>
    <row r="1480" ht="15.75" customHeight="1">
      <c r="B1480" s="95"/>
      <c r="C1480" s="105" t="s">
        <v>365</v>
      </c>
      <c r="D1480" s="101" t="s">
        <v>91</v>
      </c>
      <c r="E1480" s="101" t="s">
        <v>577</v>
      </c>
      <c r="F1480" s="101">
        <v>3.0</v>
      </c>
      <c r="G1480" s="101" t="s">
        <v>1974</v>
      </c>
      <c r="H1480" s="63" t="str">
        <f>VLOOKUP(C1480, 'Class Def. - General Data'!$C$20:$C$476,1,false)</f>
        <v>ZSI1_CHEMICAL_GAS</v>
      </c>
      <c r="I1480" s="63" t="str">
        <f t="shared" si="1"/>
        <v>ZSI1_CHEMICAL_GAS3</v>
      </c>
      <c r="J1480" s="63">
        <f t="shared" si="2"/>
        <v>1</v>
      </c>
    </row>
    <row r="1481" ht="15.75" customHeight="1">
      <c r="B1481" s="95"/>
      <c r="C1481" s="105" t="s">
        <v>365</v>
      </c>
      <c r="D1481" s="101" t="s">
        <v>91</v>
      </c>
      <c r="E1481" s="101" t="s">
        <v>577</v>
      </c>
      <c r="F1481" s="101">
        <v>4.0</v>
      </c>
      <c r="G1481" s="101" t="s">
        <v>1975</v>
      </c>
      <c r="H1481" s="63" t="str">
        <f>VLOOKUP(C1481, 'Class Def. - General Data'!$C$20:$C$476,1,false)</f>
        <v>ZSI1_CHEMICAL_GAS</v>
      </c>
      <c r="I1481" s="63" t="str">
        <f t="shared" si="1"/>
        <v>ZSI1_CHEMICAL_GAS4</v>
      </c>
      <c r="J1481" s="63">
        <f t="shared" si="2"/>
        <v>1</v>
      </c>
    </row>
    <row r="1482" ht="15.75" customHeight="1">
      <c r="B1482" s="95"/>
      <c r="C1482" s="105" t="s">
        <v>365</v>
      </c>
      <c r="D1482" s="101" t="s">
        <v>91</v>
      </c>
      <c r="E1482" s="101" t="s">
        <v>577</v>
      </c>
      <c r="F1482" s="101">
        <v>5.0</v>
      </c>
      <c r="G1482" s="101" t="s">
        <v>1976</v>
      </c>
      <c r="H1482" s="63" t="str">
        <f>VLOOKUP(C1482, 'Class Def. - General Data'!$C$20:$C$476,1,false)</f>
        <v>ZSI1_CHEMICAL_GAS</v>
      </c>
      <c r="I1482" s="63" t="str">
        <f t="shared" si="1"/>
        <v>ZSI1_CHEMICAL_GAS5</v>
      </c>
      <c r="J1482" s="63">
        <f t="shared" si="2"/>
        <v>1</v>
      </c>
    </row>
    <row r="1483" ht="15.75" customHeight="1">
      <c r="B1483" s="95"/>
      <c r="C1483" s="105" t="s">
        <v>365</v>
      </c>
      <c r="D1483" s="101" t="s">
        <v>91</v>
      </c>
      <c r="E1483" s="101" t="s">
        <v>577</v>
      </c>
      <c r="F1483" s="101">
        <v>6.0</v>
      </c>
      <c r="G1483" s="101" t="s">
        <v>1977</v>
      </c>
      <c r="H1483" s="63" t="str">
        <f>VLOOKUP(C1483, 'Class Def. - General Data'!$C$20:$C$476,1,false)</f>
        <v>ZSI1_CHEMICAL_GAS</v>
      </c>
      <c r="I1483" s="63" t="str">
        <f t="shared" si="1"/>
        <v>ZSI1_CHEMICAL_GAS6</v>
      </c>
      <c r="J1483" s="63">
        <f t="shared" si="2"/>
        <v>1</v>
      </c>
    </row>
    <row r="1484" ht="15.75" customHeight="1">
      <c r="B1484" s="95"/>
      <c r="C1484" s="105" t="s">
        <v>365</v>
      </c>
      <c r="D1484" s="101" t="s">
        <v>91</v>
      </c>
      <c r="E1484" s="101" t="s">
        <v>577</v>
      </c>
      <c r="F1484" s="101">
        <v>7.0</v>
      </c>
      <c r="G1484" s="101" t="s">
        <v>1978</v>
      </c>
      <c r="H1484" s="63" t="str">
        <f>VLOOKUP(C1484, 'Class Def. - General Data'!$C$20:$C$476,1,false)</f>
        <v>ZSI1_CHEMICAL_GAS</v>
      </c>
      <c r="I1484" s="63" t="str">
        <f t="shared" si="1"/>
        <v>ZSI1_CHEMICAL_GAS7</v>
      </c>
      <c r="J1484" s="63">
        <f t="shared" si="2"/>
        <v>1</v>
      </c>
    </row>
    <row r="1485" ht="15.75" customHeight="1">
      <c r="B1485" s="95"/>
      <c r="C1485" s="105" t="s">
        <v>365</v>
      </c>
      <c r="D1485" s="101" t="s">
        <v>91</v>
      </c>
      <c r="E1485" s="101" t="s">
        <v>577</v>
      </c>
      <c r="F1485" s="101">
        <v>8.0</v>
      </c>
      <c r="G1485" s="101" t="s">
        <v>1979</v>
      </c>
      <c r="H1485" s="63" t="str">
        <f>VLOOKUP(C1485, 'Class Def. - General Data'!$C$20:$C$476,1,false)</f>
        <v>ZSI1_CHEMICAL_GAS</v>
      </c>
      <c r="I1485" s="63" t="str">
        <f t="shared" si="1"/>
        <v>ZSI1_CHEMICAL_GAS8</v>
      </c>
      <c r="J1485" s="63">
        <f t="shared" si="2"/>
        <v>1</v>
      </c>
    </row>
    <row r="1486" ht="15.75" customHeight="1">
      <c r="B1486" s="95"/>
      <c r="C1486" s="105" t="s">
        <v>365</v>
      </c>
      <c r="D1486" s="101" t="s">
        <v>91</v>
      </c>
      <c r="E1486" s="101" t="s">
        <v>577</v>
      </c>
      <c r="F1486" s="101">
        <v>9.0</v>
      </c>
      <c r="G1486" s="101" t="s">
        <v>1980</v>
      </c>
      <c r="H1486" s="63" t="str">
        <f>VLOOKUP(C1486, 'Class Def. - General Data'!$C$20:$C$476,1,false)</f>
        <v>ZSI1_CHEMICAL_GAS</v>
      </c>
      <c r="I1486" s="63" t="str">
        <f t="shared" si="1"/>
        <v>ZSI1_CHEMICAL_GAS9</v>
      </c>
      <c r="J1486" s="63">
        <f t="shared" si="2"/>
        <v>1</v>
      </c>
    </row>
    <row r="1487" ht="15.75" customHeight="1">
      <c r="B1487" s="95"/>
      <c r="C1487" s="105" t="s">
        <v>492</v>
      </c>
      <c r="D1487" s="101" t="s">
        <v>91</v>
      </c>
      <c r="E1487" s="101" t="s">
        <v>577</v>
      </c>
      <c r="F1487" s="101">
        <v>1.0</v>
      </c>
      <c r="G1487" s="101" t="s">
        <v>1981</v>
      </c>
      <c r="H1487" s="63" t="str">
        <f>VLOOKUP(C1487, 'Class Def. - General Data'!$C$20:$C$476,1,false)</f>
        <v>ZSI1_CIRC_VENT</v>
      </c>
      <c r="I1487" s="63" t="str">
        <f t="shared" si="1"/>
        <v>ZSI1_CIRC_VENT1</v>
      </c>
      <c r="J1487" s="63">
        <f t="shared" si="2"/>
        <v>1</v>
      </c>
    </row>
    <row r="1488" ht="15.75" customHeight="1">
      <c r="B1488" s="95"/>
      <c r="C1488" s="105" t="s">
        <v>312</v>
      </c>
      <c r="D1488" s="101" t="s">
        <v>91</v>
      </c>
      <c r="E1488" s="101" t="s">
        <v>577</v>
      </c>
      <c r="F1488" s="101">
        <v>1.0</v>
      </c>
      <c r="G1488" s="101" t="s">
        <v>1982</v>
      </c>
      <c r="H1488" s="63" t="str">
        <f>VLOOKUP(C1488, 'Class Def. - General Data'!$C$20:$C$476,1,false)</f>
        <v>ZSI1_CIRCUIT_ASSY</v>
      </c>
      <c r="I1488" s="63" t="str">
        <f t="shared" si="1"/>
        <v>ZSI1_CIRCUIT_ASSY1</v>
      </c>
      <c r="J1488" s="63">
        <f t="shared" si="2"/>
        <v>1</v>
      </c>
    </row>
    <row r="1489" ht="15.75" customHeight="1">
      <c r="B1489" s="95"/>
      <c r="C1489" s="105" t="s">
        <v>312</v>
      </c>
      <c r="D1489" s="101" t="s">
        <v>91</v>
      </c>
      <c r="E1489" s="101" t="s">
        <v>577</v>
      </c>
      <c r="F1489" s="101">
        <v>2.0</v>
      </c>
      <c r="G1489" s="101" t="s">
        <v>1983</v>
      </c>
      <c r="H1489" s="63" t="str">
        <f>VLOOKUP(C1489, 'Class Def. - General Data'!$C$20:$C$476,1,false)</f>
        <v>ZSI1_CIRCUIT_ASSY</v>
      </c>
      <c r="I1489" s="63" t="str">
        <f t="shared" si="1"/>
        <v>ZSI1_CIRCUIT_ASSY2</v>
      </c>
      <c r="J1489" s="63">
        <f t="shared" si="2"/>
        <v>1</v>
      </c>
    </row>
    <row r="1490" ht="15.75" customHeight="1">
      <c r="B1490" s="95"/>
      <c r="C1490" s="105" t="s">
        <v>312</v>
      </c>
      <c r="D1490" s="101" t="s">
        <v>91</v>
      </c>
      <c r="E1490" s="101" t="s">
        <v>577</v>
      </c>
      <c r="F1490" s="101">
        <v>3.0</v>
      </c>
      <c r="G1490" s="101" t="s">
        <v>1984</v>
      </c>
      <c r="H1490" s="63" t="str">
        <f>VLOOKUP(C1490, 'Class Def. - General Data'!$C$20:$C$476,1,false)</f>
        <v>ZSI1_CIRCUIT_ASSY</v>
      </c>
      <c r="I1490" s="63" t="str">
        <f t="shared" si="1"/>
        <v>ZSI1_CIRCUIT_ASSY3</v>
      </c>
      <c r="J1490" s="63">
        <f t="shared" si="2"/>
        <v>1</v>
      </c>
    </row>
    <row r="1491" ht="15.75" customHeight="1">
      <c r="B1491" s="95"/>
      <c r="C1491" s="105" t="s">
        <v>338</v>
      </c>
      <c r="D1491" s="101" t="s">
        <v>91</v>
      </c>
      <c r="E1491" s="101" t="s">
        <v>577</v>
      </c>
      <c r="F1491" s="101">
        <v>1.0</v>
      </c>
      <c r="G1491" s="101" t="s">
        <v>1985</v>
      </c>
      <c r="H1491" s="63" t="str">
        <f>VLOOKUP(C1491, 'Class Def. - General Data'!$C$20:$C$476,1,false)</f>
        <v>ZSI1_CLAMPS</v>
      </c>
      <c r="I1491" s="63" t="str">
        <f t="shared" si="1"/>
        <v>ZSI1_CLAMPS1</v>
      </c>
      <c r="J1491" s="63">
        <f t="shared" si="2"/>
        <v>1</v>
      </c>
    </row>
    <row r="1492" ht="15.75" customHeight="1">
      <c r="B1492" s="95"/>
      <c r="C1492" s="105" t="s">
        <v>338</v>
      </c>
      <c r="D1492" s="101" t="s">
        <v>91</v>
      </c>
      <c r="E1492" s="101" t="s">
        <v>577</v>
      </c>
      <c r="F1492" s="106" t="s">
        <v>1899</v>
      </c>
      <c r="G1492" s="101" t="s">
        <v>1986</v>
      </c>
      <c r="H1492" s="63" t="str">
        <f>VLOOKUP(C1492, 'Class Def. - General Data'!$C$20:$C$476,1,false)</f>
        <v>ZSI1_CLAMPS</v>
      </c>
      <c r="I1492" s="63" t="str">
        <f t="shared" si="1"/>
        <v>ZSI1_CLAMPS2</v>
      </c>
      <c r="J1492" s="63">
        <f t="shared" si="2"/>
        <v>1</v>
      </c>
    </row>
    <row r="1493" ht="15.75" customHeight="1">
      <c r="B1493" s="95"/>
      <c r="C1493" s="105" t="s">
        <v>366</v>
      </c>
      <c r="D1493" s="101" t="s">
        <v>91</v>
      </c>
      <c r="E1493" s="101" t="s">
        <v>577</v>
      </c>
      <c r="F1493" s="101">
        <v>1.0</v>
      </c>
      <c r="G1493" s="101" t="s">
        <v>1307</v>
      </c>
      <c r="H1493" s="63" t="str">
        <f>VLOOKUP(C1493, 'Class Def. - General Data'!$C$20:$C$476,1,false)</f>
        <v>ZSI1_CLEANING_EQP</v>
      </c>
      <c r="I1493" s="63" t="str">
        <f t="shared" si="1"/>
        <v>ZSI1_CLEANING_EQP1</v>
      </c>
      <c r="J1493" s="63">
        <f t="shared" si="2"/>
        <v>1</v>
      </c>
    </row>
    <row r="1494" ht="15.75" customHeight="1">
      <c r="B1494" s="95"/>
      <c r="C1494" s="105" t="s">
        <v>366</v>
      </c>
      <c r="D1494" s="101" t="s">
        <v>91</v>
      </c>
      <c r="E1494" s="101" t="s">
        <v>577</v>
      </c>
      <c r="F1494" s="101">
        <v>2.0</v>
      </c>
      <c r="G1494" s="101" t="s">
        <v>1987</v>
      </c>
      <c r="H1494" s="63" t="str">
        <f>VLOOKUP(C1494, 'Class Def. - General Data'!$C$20:$C$476,1,false)</f>
        <v>ZSI1_CLEANING_EQP</v>
      </c>
      <c r="I1494" s="63" t="str">
        <f t="shared" si="1"/>
        <v>ZSI1_CLEANING_EQP2</v>
      </c>
      <c r="J1494" s="63">
        <f t="shared" si="2"/>
        <v>1</v>
      </c>
    </row>
    <row r="1495" ht="15.75" customHeight="1">
      <c r="B1495" s="95"/>
      <c r="C1495" s="105" t="s">
        <v>366</v>
      </c>
      <c r="D1495" s="101" t="s">
        <v>91</v>
      </c>
      <c r="E1495" s="101" t="s">
        <v>577</v>
      </c>
      <c r="F1495" s="101">
        <v>3.0</v>
      </c>
      <c r="G1495" s="101" t="s">
        <v>1988</v>
      </c>
      <c r="H1495" s="63" t="str">
        <f>VLOOKUP(C1495, 'Class Def. - General Data'!$C$20:$C$476,1,false)</f>
        <v>ZSI1_CLEANING_EQP</v>
      </c>
      <c r="I1495" s="63" t="str">
        <f t="shared" si="1"/>
        <v>ZSI1_CLEANING_EQP3</v>
      </c>
      <c r="J1495" s="63">
        <f t="shared" si="2"/>
        <v>1</v>
      </c>
    </row>
    <row r="1496" ht="15.75" customHeight="1">
      <c r="B1496" s="95"/>
      <c r="C1496" s="105" t="s">
        <v>366</v>
      </c>
      <c r="D1496" s="101" t="s">
        <v>91</v>
      </c>
      <c r="E1496" s="101" t="s">
        <v>577</v>
      </c>
      <c r="F1496" s="101">
        <v>4.0</v>
      </c>
      <c r="G1496" s="101" t="s">
        <v>1989</v>
      </c>
      <c r="H1496" s="63" t="str">
        <f>VLOOKUP(C1496, 'Class Def. - General Data'!$C$20:$C$476,1,false)</f>
        <v>ZSI1_CLEANING_EQP</v>
      </c>
      <c r="I1496" s="63" t="str">
        <f t="shared" si="1"/>
        <v>ZSI1_CLEANING_EQP4</v>
      </c>
      <c r="J1496" s="63">
        <f t="shared" si="2"/>
        <v>1</v>
      </c>
    </row>
    <row r="1497" ht="15.75" customHeight="1">
      <c r="B1497" s="95"/>
      <c r="C1497" s="105" t="s">
        <v>366</v>
      </c>
      <c r="D1497" s="101" t="s">
        <v>91</v>
      </c>
      <c r="E1497" s="101" t="s">
        <v>577</v>
      </c>
      <c r="F1497" s="101">
        <v>5.0</v>
      </c>
      <c r="G1497" s="101" t="s">
        <v>1990</v>
      </c>
      <c r="H1497" s="63" t="str">
        <f>VLOOKUP(C1497, 'Class Def. - General Data'!$C$20:$C$476,1,false)</f>
        <v>ZSI1_CLEANING_EQP</v>
      </c>
      <c r="I1497" s="63" t="str">
        <f t="shared" si="1"/>
        <v>ZSI1_CLEANING_EQP5</v>
      </c>
      <c r="J1497" s="63">
        <f t="shared" si="2"/>
        <v>1</v>
      </c>
    </row>
    <row r="1498" ht="15.75" customHeight="1">
      <c r="B1498" s="95"/>
      <c r="C1498" s="105" t="s">
        <v>366</v>
      </c>
      <c r="D1498" s="101" t="s">
        <v>91</v>
      </c>
      <c r="E1498" s="101" t="s">
        <v>577</v>
      </c>
      <c r="F1498" s="101">
        <v>6.0</v>
      </c>
      <c r="G1498" s="101" t="s">
        <v>1991</v>
      </c>
      <c r="H1498" s="63" t="str">
        <f>VLOOKUP(C1498, 'Class Def. - General Data'!$C$20:$C$476,1,false)</f>
        <v>ZSI1_CLEANING_EQP</v>
      </c>
      <c r="I1498" s="63" t="str">
        <f t="shared" si="1"/>
        <v>ZSI1_CLEANING_EQP6</v>
      </c>
      <c r="J1498" s="63">
        <f t="shared" si="2"/>
        <v>1</v>
      </c>
    </row>
    <row r="1499" ht="15.75" customHeight="1">
      <c r="B1499" s="95"/>
      <c r="C1499" s="105" t="s">
        <v>366</v>
      </c>
      <c r="D1499" s="101" t="s">
        <v>91</v>
      </c>
      <c r="E1499" s="101" t="s">
        <v>577</v>
      </c>
      <c r="F1499" s="101">
        <v>7.0</v>
      </c>
      <c r="G1499" s="101" t="s">
        <v>1992</v>
      </c>
      <c r="H1499" s="63" t="str">
        <f>VLOOKUP(C1499, 'Class Def. - General Data'!$C$20:$C$476,1,false)</f>
        <v>ZSI1_CLEANING_EQP</v>
      </c>
      <c r="I1499" s="63" t="str">
        <f t="shared" si="1"/>
        <v>ZSI1_CLEANING_EQP7</v>
      </c>
      <c r="J1499" s="63">
        <f t="shared" si="2"/>
        <v>1</v>
      </c>
    </row>
    <row r="1500" ht="15.75" customHeight="1">
      <c r="B1500" s="95"/>
      <c r="C1500" s="105" t="s">
        <v>367</v>
      </c>
      <c r="D1500" s="101" t="s">
        <v>91</v>
      </c>
      <c r="E1500" s="101" t="s">
        <v>577</v>
      </c>
      <c r="F1500" s="101">
        <v>1.0</v>
      </c>
      <c r="G1500" s="101" t="s">
        <v>1993</v>
      </c>
      <c r="H1500" s="63" t="str">
        <f>VLOOKUP(C1500, 'Class Def. - General Data'!$C$20:$C$476,1,false)</f>
        <v>ZSI1_COMM_ACCS</v>
      </c>
      <c r="I1500" s="63" t="str">
        <f t="shared" si="1"/>
        <v>ZSI1_COMM_ACCS1</v>
      </c>
      <c r="J1500" s="63">
        <f t="shared" si="2"/>
        <v>1</v>
      </c>
    </row>
    <row r="1501" ht="15.75" customHeight="1">
      <c r="B1501" s="95"/>
      <c r="C1501" s="105" t="s">
        <v>367</v>
      </c>
      <c r="D1501" s="101" t="s">
        <v>91</v>
      </c>
      <c r="E1501" s="101" t="s">
        <v>577</v>
      </c>
      <c r="F1501" s="106" t="s">
        <v>1899</v>
      </c>
      <c r="G1501" s="101" t="s">
        <v>1994</v>
      </c>
      <c r="H1501" s="63" t="str">
        <f>VLOOKUP(C1501, 'Class Def. - General Data'!$C$20:$C$476,1,false)</f>
        <v>ZSI1_COMM_ACCS</v>
      </c>
      <c r="I1501" s="63" t="str">
        <f t="shared" si="1"/>
        <v>ZSI1_COMM_ACCS2</v>
      </c>
      <c r="J1501" s="63">
        <f t="shared" si="2"/>
        <v>1</v>
      </c>
    </row>
    <row r="1502" ht="15.75" customHeight="1">
      <c r="B1502" s="95"/>
      <c r="C1502" s="105" t="s">
        <v>367</v>
      </c>
      <c r="D1502" s="101" t="s">
        <v>91</v>
      </c>
      <c r="E1502" s="101" t="s">
        <v>577</v>
      </c>
      <c r="F1502" s="106" t="s">
        <v>20</v>
      </c>
      <c r="G1502" s="101" t="s">
        <v>1995</v>
      </c>
      <c r="H1502" s="63" t="str">
        <f>VLOOKUP(C1502, 'Class Def. - General Data'!$C$20:$C$476,1,false)</f>
        <v>ZSI1_COMM_ACCS</v>
      </c>
      <c r="I1502" s="63" t="str">
        <f t="shared" si="1"/>
        <v>ZSI1_COMM_ACCS3</v>
      </c>
      <c r="J1502" s="63">
        <f t="shared" si="2"/>
        <v>1</v>
      </c>
    </row>
    <row r="1503" ht="15.75" customHeight="1">
      <c r="B1503" s="95"/>
      <c r="C1503" s="105" t="s">
        <v>367</v>
      </c>
      <c r="D1503" s="101" t="s">
        <v>91</v>
      </c>
      <c r="E1503" s="101" t="s">
        <v>577</v>
      </c>
      <c r="F1503" s="106" t="s">
        <v>564</v>
      </c>
      <c r="G1503" s="101" t="s">
        <v>1996</v>
      </c>
      <c r="H1503" s="63" t="str">
        <f>VLOOKUP(C1503, 'Class Def. - General Data'!$C$20:$C$476,1,false)</f>
        <v>ZSI1_COMM_ACCS</v>
      </c>
      <c r="I1503" s="63" t="str">
        <f t="shared" si="1"/>
        <v>ZSI1_COMM_ACCS4</v>
      </c>
      <c r="J1503" s="63">
        <f t="shared" si="2"/>
        <v>1</v>
      </c>
    </row>
    <row r="1504" ht="15.75" customHeight="1">
      <c r="B1504" s="95"/>
      <c r="C1504" s="105" t="s">
        <v>367</v>
      </c>
      <c r="D1504" s="101" t="s">
        <v>91</v>
      </c>
      <c r="E1504" s="101" t="s">
        <v>577</v>
      </c>
      <c r="F1504" s="106" t="s">
        <v>1896</v>
      </c>
      <c r="G1504" s="101" t="s">
        <v>1997</v>
      </c>
      <c r="H1504" s="63" t="str">
        <f>VLOOKUP(C1504, 'Class Def. - General Data'!$C$20:$C$476,1,false)</f>
        <v>ZSI1_COMM_ACCS</v>
      </c>
      <c r="I1504" s="63" t="str">
        <f t="shared" si="1"/>
        <v>ZSI1_COMM_ACCS5</v>
      </c>
      <c r="J1504" s="63">
        <f t="shared" si="2"/>
        <v>1</v>
      </c>
    </row>
    <row r="1505" ht="15.75" customHeight="1">
      <c r="B1505" s="95"/>
      <c r="C1505" s="105" t="s">
        <v>367</v>
      </c>
      <c r="D1505" s="101" t="s">
        <v>91</v>
      </c>
      <c r="E1505" s="101" t="s">
        <v>577</v>
      </c>
      <c r="F1505" s="106" t="s">
        <v>1998</v>
      </c>
      <c r="G1505" s="101" t="s">
        <v>1999</v>
      </c>
      <c r="H1505" s="63" t="str">
        <f>VLOOKUP(C1505, 'Class Def. - General Data'!$C$20:$C$476,1,false)</f>
        <v>ZSI1_COMM_ACCS</v>
      </c>
      <c r="I1505" s="63" t="str">
        <f t="shared" si="1"/>
        <v>ZSI1_COMM_ACCS6</v>
      </c>
      <c r="J1505" s="63">
        <f t="shared" si="2"/>
        <v>1</v>
      </c>
    </row>
    <row r="1506" ht="15.75" customHeight="1">
      <c r="B1506" s="95"/>
      <c r="C1506" s="105" t="s">
        <v>368</v>
      </c>
      <c r="D1506" s="101" t="s">
        <v>91</v>
      </c>
      <c r="E1506" s="101" t="s">
        <v>577</v>
      </c>
      <c r="F1506" s="101">
        <v>1.0</v>
      </c>
      <c r="G1506" s="101" t="s">
        <v>2000</v>
      </c>
      <c r="H1506" s="63" t="str">
        <f>VLOOKUP(C1506, 'Class Def. - General Data'!$C$20:$C$476,1,false)</f>
        <v>ZSI1_COMM_DEVICE</v>
      </c>
      <c r="I1506" s="63" t="str">
        <f t="shared" si="1"/>
        <v>ZSI1_COMM_DEVICE1</v>
      </c>
      <c r="J1506" s="63">
        <f t="shared" si="2"/>
        <v>1</v>
      </c>
    </row>
    <row r="1507" ht="15.75" customHeight="1">
      <c r="B1507" s="95"/>
      <c r="C1507" s="105" t="s">
        <v>368</v>
      </c>
      <c r="D1507" s="101" t="s">
        <v>91</v>
      </c>
      <c r="E1507" s="101" t="s">
        <v>577</v>
      </c>
      <c r="F1507" s="101">
        <v>2.0</v>
      </c>
      <c r="G1507" s="101" t="s">
        <v>2001</v>
      </c>
      <c r="H1507" s="63" t="str">
        <f>VLOOKUP(C1507, 'Class Def. - General Data'!$C$20:$C$476,1,false)</f>
        <v>ZSI1_COMM_DEVICE</v>
      </c>
      <c r="I1507" s="63" t="str">
        <f t="shared" si="1"/>
        <v>ZSI1_COMM_DEVICE2</v>
      </c>
      <c r="J1507" s="63">
        <f t="shared" si="2"/>
        <v>1</v>
      </c>
    </row>
    <row r="1508" ht="15.75" customHeight="1">
      <c r="B1508" s="95"/>
      <c r="C1508" s="105" t="s">
        <v>368</v>
      </c>
      <c r="D1508" s="101" t="s">
        <v>91</v>
      </c>
      <c r="E1508" s="101" t="s">
        <v>577</v>
      </c>
      <c r="F1508" s="101">
        <v>3.0</v>
      </c>
      <c r="G1508" s="101" t="s">
        <v>2002</v>
      </c>
      <c r="H1508" s="63" t="str">
        <f>VLOOKUP(C1508, 'Class Def. - General Data'!$C$20:$C$476,1,false)</f>
        <v>ZSI1_COMM_DEVICE</v>
      </c>
      <c r="I1508" s="63" t="str">
        <f t="shared" si="1"/>
        <v>ZSI1_COMM_DEVICE3</v>
      </c>
      <c r="J1508" s="63">
        <f t="shared" si="2"/>
        <v>1</v>
      </c>
    </row>
    <row r="1509" ht="15.75" customHeight="1">
      <c r="B1509" s="95"/>
      <c r="C1509" s="105" t="s">
        <v>368</v>
      </c>
      <c r="D1509" s="101" t="s">
        <v>91</v>
      </c>
      <c r="E1509" s="101" t="s">
        <v>577</v>
      </c>
      <c r="F1509" s="101">
        <v>4.0</v>
      </c>
      <c r="G1509" s="101" t="s">
        <v>2003</v>
      </c>
      <c r="H1509" s="63" t="str">
        <f>VLOOKUP(C1509, 'Class Def. - General Data'!$C$20:$C$476,1,false)</f>
        <v>ZSI1_COMM_DEVICE</v>
      </c>
      <c r="I1509" s="63" t="str">
        <f t="shared" si="1"/>
        <v>ZSI1_COMM_DEVICE4</v>
      </c>
      <c r="J1509" s="63">
        <f t="shared" si="2"/>
        <v>1</v>
      </c>
    </row>
    <row r="1510" ht="15.75" customHeight="1">
      <c r="B1510" s="95"/>
      <c r="C1510" s="105" t="s">
        <v>368</v>
      </c>
      <c r="D1510" s="101" t="s">
        <v>91</v>
      </c>
      <c r="E1510" s="101" t="s">
        <v>577</v>
      </c>
      <c r="F1510" s="101">
        <v>5.0</v>
      </c>
      <c r="G1510" s="101" t="s">
        <v>2004</v>
      </c>
      <c r="H1510" s="63" t="str">
        <f>VLOOKUP(C1510, 'Class Def. - General Data'!$C$20:$C$476,1,false)</f>
        <v>ZSI1_COMM_DEVICE</v>
      </c>
      <c r="I1510" s="63" t="str">
        <f t="shared" si="1"/>
        <v>ZSI1_COMM_DEVICE5</v>
      </c>
      <c r="J1510" s="63">
        <f t="shared" si="2"/>
        <v>1</v>
      </c>
    </row>
    <row r="1511" ht="15.75" customHeight="1">
      <c r="B1511" s="95"/>
      <c r="C1511" s="105" t="s">
        <v>368</v>
      </c>
      <c r="D1511" s="101" t="s">
        <v>91</v>
      </c>
      <c r="E1511" s="101" t="s">
        <v>577</v>
      </c>
      <c r="F1511" s="101">
        <v>6.0</v>
      </c>
      <c r="G1511" s="101" t="s">
        <v>1339</v>
      </c>
      <c r="H1511" s="63" t="str">
        <f>VLOOKUP(C1511, 'Class Def. - General Data'!$C$20:$C$476,1,false)</f>
        <v>ZSI1_COMM_DEVICE</v>
      </c>
      <c r="I1511" s="63" t="str">
        <f t="shared" si="1"/>
        <v>ZSI1_COMM_DEVICE6</v>
      </c>
      <c r="J1511" s="63">
        <f t="shared" si="2"/>
        <v>1</v>
      </c>
    </row>
    <row r="1512" ht="15.75" customHeight="1">
      <c r="B1512" s="95"/>
      <c r="C1512" s="105" t="s">
        <v>368</v>
      </c>
      <c r="D1512" s="101" t="s">
        <v>91</v>
      </c>
      <c r="E1512" s="101" t="s">
        <v>577</v>
      </c>
      <c r="F1512" s="101">
        <v>7.0</v>
      </c>
      <c r="G1512" s="101" t="s">
        <v>2005</v>
      </c>
      <c r="H1512" s="63" t="str">
        <f>VLOOKUP(C1512, 'Class Def. - General Data'!$C$20:$C$476,1,false)</f>
        <v>ZSI1_COMM_DEVICE</v>
      </c>
      <c r="I1512" s="63" t="str">
        <f t="shared" si="1"/>
        <v>ZSI1_COMM_DEVICE7</v>
      </c>
      <c r="J1512" s="63">
        <f t="shared" si="2"/>
        <v>1</v>
      </c>
    </row>
    <row r="1513" ht="15.75" customHeight="1">
      <c r="B1513" s="95"/>
      <c r="C1513" s="105" t="s">
        <v>368</v>
      </c>
      <c r="D1513" s="101" t="s">
        <v>91</v>
      </c>
      <c r="E1513" s="101" t="s">
        <v>577</v>
      </c>
      <c r="F1513" s="101">
        <v>8.0</v>
      </c>
      <c r="G1513" s="101" t="s">
        <v>2006</v>
      </c>
      <c r="H1513" s="63" t="str">
        <f>VLOOKUP(C1513, 'Class Def. - General Data'!$C$20:$C$476,1,false)</f>
        <v>ZSI1_COMM_DEVICE</v>
      </c>
      <c r="I1513" s="63" t="str">
        <f t="shared" si="1"/>
        <v>ZSI1_COMM_DEVICE8</v>
      </c>
      <c r="J1513" s="63">
        <f t="shared" si="2"/>
        <v>1</v>
      </c>
    </row>
    <row r="1514" ht="15.75" customHeight="1">
      <c r="B1514" s="95"/>
      <c r="C1514" s="105" t="s">
        <v>368</v>
      </c>
      <c r="D1514" s="101" t="s">
        <v>91</v>
      </c>
      <c r="E1514" s="101" t="s">
        <v>577</v>
      </c>
      <c r="F1514" s="101">
        <v>9.0</v>
      </c>
      <c r="G1514" s="101" t="s">
        <v>2007</v>
      </c>
      <c r="H1514" s="63" t="str">
        <f>VLOOKUP(C1514, 'Class Def. - General Data'!$C$20:$C$476,1,false)</f>
        <v>ZSI1_COMM_DEVICE</v>
      </c>
      <c r="I1514" s="63" t="str">
        <f t="shared" si="1"/>
        <v>ZSI1_COMM_DEVICE9</v>
      </c>
      <c r="J1514" s="63">
        <f t="shared" si="2"/>
        <v>1</v>
      </c>
    </row>
    <row r="1515" ht="15.75" customHeight="1">
      <c r="B1515" s="95"/>
      <c r="C1515" s="105" t="s">
        <v>368</v>
      </c>
      <c r="D1515" s="101" t="s">
        <v>91</v>
      </c>
      <c r="E1515" s="101" t="s">
        <v>577</v>
      </c>
      <c r="F1515" s="101">
        <v>10.0</v>
      </c>
      <c r="G1515" s="101" t="s">
        <v>2008</v>
      </c>
      <c r="H1515" s="63" t="str">
        <f>VLOOKUP(C1515, 'Class Def. - General Data'!$C$20:$C$476,1,false)</f>
        <v>ZSI1_COMM_DEVICE</v>
      </c>
      <c r="I1515" s="63" t="str">
        <f t="shared" si="1"/>
        <v>ZSI1_COMM_DEVICE10</v>
      </c>
      <c r="J1515" s="63">
        <f t="shared" si="2"/>
        <v>1</v>
      </c>
    </row>
    <row r="1516" ht="15.75" customHeight="1">
      <c r="B1516" s="95"/>
      <c r="C1516" s="105" t="s">
        <v>368</v>
      </c>
      <c r="D1516" s="101" t="s">
        <v>91</v>
      </c>
      <c r="E1516" s="101" t="s">
        <v>577</v>
      </c>
      <c r="F1516" s="101">
        <v>11.0</v>
      </c>
      <c r="G1516" s="101" t="s">
        <v>2009</v>
      </c>
      <c r="H1516" s="63" t="str">
        <f>VLOOKUP(C1516, 'Class Def. - General Data'!$C$20:$C$476,1,false)</f>
        <v>ZSI1_COMM_DEVICE</v>
      </c>
      <c r="I1516" s="63" t="str">
        <f t="shared" si="1"/>
        <v>ZSI1_COMM_DEVICE11</v>
      </c>
      <c r="J1516" s="63">
        <f t="shared" si="2"/>
        <v>1</v>
      </c>
    </row>
    <row r="1517" ht="15.75" customHeight="1">
      <c r="B1517" s="95"/>
      <c r="C1517" s="105" t="s">
        <v>368</v>
      </c>
      <c r="D1517" s="101" t="s">
        <v>91</v>
      </c>
      <c r="E1517" s="101" t="s">
        <v>577</v>
      </c>
      <c r="F1517" s="101">
        <v>12.0</v>
      </c>
      <c r="G1517" s="101" t="s">
        <v>2010</v>
      </c>
      <c r="H1517" s="63" t="str">
        <f>VLOOKUP(C1517, 'Class Def. - General Data'!$C$20:$C$476,1,false)</f>
        <v>ZSI1_COMM_DEVICE</v>
      </c>
      <c r="I1517" s="63" t="str">
        <f t="shared" si="1"/>
        <v>ZSI1_COMM_DEVICE12</v>
      </c>
      <c r="J1517" s="63">
        <f t="shared" si="2"/>
        <v>1</v>
      </c>
    </row>
    <row r="1518" ht="15.75" customHeight="1">
      <c r="B1518" s="95"/>
      <c r="C1518" s="105" t="s">
        <v>369</v>
      </c>
      <c r="D1518" s="101" t="s">
        <v>91</v>
      </c>
      <c r="E1518" s="101" t="s">
        <v>577</v>
      </c>
      <c r="F1518" s="101">
        <v>1.0</v>
      </c>
      <c r="G1518" s="101" t="s">
        <v>2011</v>
      </c>
      <c r="H1518" s="63" t="str">
        <f>VLOOKUP(C1518, 'Class Def. - General Data'!$C$20:$C$476,1,false)</f>
        <v>ZSI1_COMP_HARDDISK</v>
      </c>
      <c r="I1518" s="63" t="str">
        <f t="shared" si="1"/>
        <v>ZSI1_COMP_HARDDISK1</v>
      </c>
      <c r="J1518" s="63">
        <f t="shared" si="2"/>
        <v>1</v>
      </c>
    </row>
    <row r="1519" ht="15.75" customHeight="1">
      <c r="B1519" s="95"/>
      <c r="C1519" s="105" t="s">
        <v>369</v>
      </c>
      <c r="D1519" s="101" t="s">
        <v>91</v>
      </c>
      <c r="E1519" s="101" t="s">
        <v>577</v>
      </c>
      <c r="F1519" s="101">
        <v>2.0</v>
      </c>
      <c r="G1519" s="101" t="s">
        <v>2012</v>
      </c>
      <c r="H1519" s="63" t="str">
        <f>VLOOKUP(C1519, 'Class Def. - General Data'!$C$20:$C$476,1,false)</f>
        <v>ZSI1_COMP_HARDDISK</v>
      </c>
      <c r="I1519" s="63" t="str">
        <f t="shared" si="1"/>
        <v>ZSI1_COMP_HARDDISK2</v>
      </c>
      <c r="J1519" s="63">
        <f t="shared" si="2"/>
        <v>1</v>
      </c>
    </row>
    <row r="1520" ht="15.75" customHeight="1">
      <c r="B1520" s="95"/>
      <c r="C1520" s="105" t="s">
        <v>369</v>
      </c>
      <c r="D1520" s="101" t="s">
        <v>91</v>
      </c>
      <c r="E1520" s="101" t="s">
        <v>577</v>
      </c>
      <c r="F1520" s="101">
        <v>3.0</v>
      </c>
      <c r="G1520" s="101" t="s">
        <v>2013</v>
      </c>
      <c r="H1520" s="63" t="str">
        <f>VLOOKUP(C1520, 'Class Def. - General Data'!$C$20:$C$476,1,false)</f>
        <v>ZSI1_COMP_HARDDISK</v>
      </c>
      <c r="I1520" s="63" t="str">
        <f t="shared" si="1"/>
        <v>ZSI1_COMP_HARDDISK3</v>
      </c>
      <c r="J1520" s="63">
        <f t="shared" si="2"/>
        <v>1</v>
      </c>
    </row>
    <row r="1521" ht="15.75" customHeight="1">
      <c r="B1521" s="95"/>
      <c r="C1521" s="105" t="s">
        <v>369</v>
      </c>
      <c r="D1521" s="101" t="s">
        <v>91</v>
      </c>
      <c r="E1521" s="101" t="s">
        <v>577</v>
      </c>
      <c r="F1521" s="101">
        <v>4.0</v>
      </c>
      <c r="G1521" s="101" t="s">
        <v>2014</v>
      </c>
      <c r="H1521" s="63" t="str">
        <f>VLOOKUP(C1521, 'Class Def. - General Data'!$C$20:$C$476,1,false)</f>
        <v>ZSI1_COMP_HARDDISK</v>
      </c>
      <c r="I1521" s="63" t="str">
        <f t="shared" si="1"/>
        <v>ZSI1_COMP_HARDDISK4</v>
      </c>
      <c r="J1521" s="63">
        <f t="shared" si="2"/>
        <v>1</v>
      </c>
    </row>
    <row r="1522" ht="15.75" customHeight="1">
      <c r="B1522" s="95"/>
      <c r="C1522" s="105" t="s">
        <v>370</v>
      </c>
      <c r="D1522" s="101" t="s">
        <v>91</v>
      </c>
      <c r="E1522" s="101" t="s">
        <v>577</v>
      </c>
      <c r="F1522" s="101">
        <v>1.0</v>
      </c>
      <c r="G1522" s="101" t="s">
        <v>2015</v>
      </c>
      <c r="H1522" s="63" t="str">
        <f>VLOOKUP(C1522, 'Class Def. - General Data'!$C$20:$C$476,1,false)</f>
        <v>ZSI1_COMP_MIX_SOLV</v>
      </c>
      <c r="I1522" s="63" t="str">
        <f t="shared" si="1"/>
        <v>ZSI1_COMP_MIX_SOLV1</v>
      </c>
      <c r="J1522" s="63">
        <f t="shared" si="2"/>
        <v>1</v>
      </c>
    </row>
    <row r="1523" ht="15.75" customHeight="1">
      <c r="B1523" s="95"/>
      <c r="C1523" s="105" t="s">
        <v>370</v>
      </c>
      <c r="D1523" s="101" t="s">
        <v>91</v>
      </c>
      <c r="E1523" s="101" t="s">
        <v>577</v>
      </c>
      <c r="F1523" s="106" t="s">
        <v>1899</v>
      </c>
      <c r="G1523" s="101" t="s">
        <v>2016</v>
      </c>
      <c r="H1523" s="63" t="str">
        <f>VLOOKUP(C1523, 'Class Def. - General Data'!$C$20:$C$476,1,false)</f>
        <v>ZSI1_COMP_MIX_SOLV</v>
      </c>
      <c r="I1523" s="63" t="str">
        <f t="shared" si="1"/>
        <v>ZSI1_COMP_MIX_SOLV2</v>
      </c>
      <c r="J1523" s="63">
        <f t="shared" si="2"/>
        <v>1</v>
      </c>
    </row>
    <row r="1524" ht="15.75" customHeight="1">
      <c r="B1524" s="95"/>
      <c r="C1524" s="105" t="s">
        <v>370</v>
      </c>
      <c r="D1524" s="101" t="s">
        <v>91</v>
      </c>
      <c r="E1524" s="101" t="s">
        <v>577</v>
      </c>
      <c r="F1524" s="106" t="s">
        <v>28</v>
      </c>
      <c r="G1524" s="101" t="s">
        <v>2017</v>
      </c>
      <c r="H1524" s="63" t="str">
        <f>VLOOKUP(C1524, 'Class Def. - General Data'!$C$20:$C$476,1,false)</f>
        <v>ZSI1_COMP_MIX_SOLV</v>
      </c>
      <c r="I1524" s="63" t="str">
        <f t="shared" si="1"/>
        <v>ZSI1_COMP_MIX_SOLV10</v>
      </c>
      <c r="J1524" s="63">
        <f t="shared" si="2"/>
        <v>1</v>
      </c>
    </row>
    <row r="1525" ht="15.75" customHeight="1">
      <c r="B1525" s="95"/>
      <c r="C1525" s="105" t="s">
        <v>370</v>
      </c>
      <c r="D1525" s="101" t="s">
        <v>91</v>
      </c>
      <c r="E1525" s="101" t="s">
        <v>577</v>
      </c>
      <c r="F1525" s="101">
        <v>3.0</v>
      </c>
      <c r="G1525" s="101" t="s">
        <v>2018</v>
      </c>
      <c r="H1525" s="63" t="str">
        <f>VLOOKUP(C1525, 'Class Def. - General Data'!$C$20:$C$476,1,false)</f>
        <v>ZSI1_COMP_MIX_SOLV</v>
      </c>
      <c r="I1525" s="63" t="str">
        <f t="shared" si="1"/>
        <v>ZSI1_COMP_MIX_SOLV3</v>
      </c>
      <c r="J1525" s="63">
        <f t="shared" si="2"/>
        <v>1</v>
      </c>
    </row>
    <row r="1526" ht="15.75" customHeight="1">
      <c r="B1526" s="95"/>
      <c r="C1526" s="105" t="s">
        <v>370</v>
      </c>
      <c r="D1526" s="101" t="s">
        <v>91</v>
      </c>
      <c r="E1526" s="101" t="s">
        <v>577</v>
      </c>
      <c r="F1526" s="101">
        <v>4.0</v>
      </c>
      <c r="G1526" s="101" t="s">
        <v>2019</v>
      </c>
      <c r="H1526" s="63" t="str">
        <f>VLOOKUP(C1526, 'Class Def. - General Data'!$C$20:$C$476,1,false)</f>
        <v>ZSI1_COMP_MIX_SOLV</v>
      </c>
      <c r="I1526" s="63" t="str">
        <f t="shared" si="1"/>
        <v>ZSI1_COMP_MIX_SOLV4</v>
      </c>
      <c r="J1526" s="63">
        <f t="shared" si="2"/>
        <v>1</v>
      </c>
    </row>
    <row r="1527" ht="15.75" customHeight="1">
      <c r="B1527" s="95"/>
      <c r="C1527" s="105" t="s">
        <v>370</v>
      </c>
      <c r="D1527" s="101" t="s">
        <v>91</v>
      </c>
      <c r="E1527" s="101" t="s">
        <v>577</v>
      </c>
      <c r="F1527" s="101">
        <v>5.0</v>
      </c>
      <c r="G1527" s="101" t="s">
        <v>2020</v>
      </c>
      <c r="H1527" s="63" t="str">
        <f>VLOOKUP(C1527, 'Class Def. - General Data'!$C$20:$C$476,1,false)</f>
        <v>ZSI1_COMP_MIX_SOLV</v>
      </c>
      <c r="I1527" s="63" t="str">
        <f t="shared" si="1"/>
        <v>ZSI1_COMP_MIX_SOLV5</v>
      </c>
      <c r="J1527" s="63">
        <f t="shared" si="2"/>
        <v>1</v>
      </c>
    </row>
    <row r="1528" ht="15.75" customHeight="1">
      <c r="B1528" s="95"/>
      <c r="C1528" s="105" t="s">
        <v>370</v>
      </c>
      <c r="D1528" s="101" t="s">
        <v>91</v>
      </c>
      <c r="E1528" s="101" t="s">
        <v>577</v>
      </c>
      <c r="F1528" s="101">
        <v>6.0</v>
      </c>
      <c r="G1528" s="101" t="s">
        <v>2021</v>
      </c>
      <c r="H1528" s="63" t="str">
        <f>VLOOKUP(C1528, 'Class Def. - General Data'!$C$20:$C$476,1,false)</f>
        <v>ZSI1_COMP_MIX_SOLV</v>
      </c>
      <c r="I1528" s="63" t="str">
        <f t="shared" si="1"/>
        <v>ZSI1_COMP_MIX_SOLV6</v>
      </c>
      <c r="J1528" s="63">
        <f t="shared" si="2"/>
        <v>1</v>
      </c>
    </row>
    <row r="1529" ht="15.75" customHeight="1">
      <c r="B1529" s="95"/>
      <c r="C1529" s="105" t="s">
        <v>370</v>
      </c>
      <c r="D1529" s="101" t="s">
        <v>91</v>
      </c>
      <c r="E1529" s="101" t="s">
        <v>577</v>
      </c>
      <c r="F1529" s="101">
        <v>7.0</v>
      </c>
      <c r="G1529" s="101" t="s">
        <v>2022</v>
      </c>
      <c r="H1529" s="63" t="str">
        <f>VLOOKUP(C1529, 'Class Def. - General Data'!$C$20:$C$476,1,false)</f>
        <v>ZSI1_COMP_MIX_SOLV</v>
      </c>
      <c r="I1529" s="63" t="str">
        <f t="shared" si="1"/>
        <v>ZSI1_COMP_MIX_SOLV7</v>
      </c>
      <c r="J1529" s="63">
        <f t="shared" si="2"/>
        <v>1</v>
      </c>
    </row>
    <row r="1530" ht="15.75" customHeight="1">
      <c r="B1530" s="95"/>
      <c r="C1530" s="105" t="s">
        <v>370</v>
      </c>
      <c r="D1530" s="101" t="s">
        <v>91</v>
      </c>
      <c r="E1530" s="101" t="s">
        <v>577</v>
      </c>
      <c r="F1530" s="101">
        <v>8.0</v>
      </c>
      <c r="G1530" s="101" t="s">
        <v>2023</v>
      </c>
      <c r="H1530" s="63" t="str">
        <f>VLOOKUP(C1530, 'Class Def. - General Data'!$C$20:$C$476,1,false)</f>
        <v>ZSI1_COMP_MIX_SOLV</v>
      </c>
      <c r="I1530" s="63" t="str">
        <f t="shared" si="1"/>
        <v>ZSI1_COMP_MIX_SOLV8</v>
      </c>
      <c r="J1530" s="63">
        <f t="shared" si="2"/>
        <v>1</v>
      </c>
    </row>
    <row r="1531" ht="15.75" customHeight="1">
      <c r="B1531" s="95"/>
      <c r="C1531" s="105" t="s">
        <v>370</v>
      </c>
      <c r="D1531" s="101" t="s">
        <v>91</v>
      </c>
      <c r="E1531" s="101" t="s">
        <v>577</v>
      </c>
      <c r="F1531" s="101">
        <v>9.0</v>
      </c>
      <c r="G1531" s="101" t="s">
        <v>2024</v>
      </c>
      <c r="H1531" s="63" t="str">
        <f>VLOOKUP(C1531, 'Class Def. - General Data'!$C$20:$C$476,1,false)</f>
        <v>ZSI1_COMP_MIX_SOLV</v>
      </c>
      <c r="I1531" s="63" t="str">
        <f t="shared" si="1"/>
        <v>ZSI1_COMP_MIX_SOLV9</v>
      </c>
      <c r="J1531" s="63">
        <f t="shared" si="2"/>
        <v>1</v>
      </c>
    </row>
    <row r="1532" ht="15.75" customHeight="1">
      <c r="B1532" s="95"/>
      <c r="C1532" s="107" t="s">
        <v>560</v>
      </c>
      <c r="D1532" s="101" t="s">
        <v>91</v>
      </c>
      <c r="E1532" s="101" t="s">
        <v>577</v>
      </c>
      <c r="F1532" s="101">
        <v>1.0</v>
      </c>
      <c r="G1532" s="101" t="s">
        <v>2025</v>
      </c>
      <c r="H1532" s="63" t="str">
        <f>VLOOKUP(C1532, 'Class Def. - General Data'!$C$20:$C$476,1,false)</f>
        <v>#N/A</v>
      </c>
      <c r="I1532" s="63" t="str">
        <f t="shared" si="1"/>
        <v>ZSI1_ICT_CABLE1</v>
      </c>
      <c r="J1532" s="63">
        <f t="shared" si="2"/>
        <v>1</v>
      </c>
    </row>
    <row r="1533" ht="15.75" customHeight="1">
      <c r="B1533" s="95"/>
      <c r="C1533" s="107" t="s">
        <v>560</v>
      </c>
      <c r="D1533" s="101" t="s">
        <v>91</v>
      </c>
      <c r="E1533" s="101" t="s">
        <v>577</v>
      </c>
      <c r="F1533" s="101">
        <v>2.0</v>
      </c>
      <c r="G1533" s="101" t="s">
        <v>2026</v>
      </c>
      <c r="H1533" s="63" t="str">
        <f>VLOOKUP(C1533, 'Class Def. - General Data'!$C$20:$C$476,1,false)</f>
        <v>#N/A</v>
      </c>
      <c r="I1533" s="63" t="str">
        <f t="shared" si="1"/>
        <v>ZSI1_ICT_CABLE2</v>
      </c>
      <c r="J1533" s="63">
        <f t="shared" si="2"/>
        <v>1</v>
      </c>
    </row>
    <row r="1534" ht="15.75" customHeight="1">
      <c r="B1534" s="95"/>
      <c r="C1534" s="107" t="s">
        <v>560</v>
      </c>
      <c r="D1534" s="101" t="s">
        <v>91</v>
      </c>
      <c r="E1534" s="101" t="s">
        <v>577</v>
      </c>
      <c r="F1534" s="101">
        <v>3.0</v>
      </c>
      <c r="G1534" s="101" t="s">
        <v>2027</v>
      </c>
      <c r="H1534" s="63" t="str">
        <f>VLOOKUP(C1534, 'Class Def. - General Data'!$C$20:$C$476,1,false)</f>
        <v>#N/A</v>
      </c>
      <c r="I1534" s="63" t="str">
        <f t="shared" si="1"/>
        <v>ZSI1_ICT_CABLE3</v>
      </c>
      <c r="J1534" s="63">
        <f t="shared" si="2"/>
        <v>1</v>
      </c>
    </row>
    <row r="1535" ht="15.75" customHeight="1">
      <c r="B1535" s="95"/>
      <c r="C1535" s="107" t="s">
        <v>560</v>
      </c>
      <c r="D1535" s="101" t="s">
        <v>91</v>
      </c>
      <c r="E1535" s="101" t="s">
        <v>577</v>
      </c>
      <c r="F1535" s="101">
        <v>4.0</v>
      </c>
      <c r="G1535" s="101" t="s">
        <v>2028</v>
      </c>
      <c r="H1535" s="63" t="str">
        <f>VLOOKUP(C1535, 'Class Def. - General Data'!$C$20:$C$476,1,false)</f>
        <v>#N/A</v>
      </c>
      <c r="I1535" s="63" t="str">
        <f t="shared" si="1"/>
        <v>ZSI1_ICT_CABLE4</v>
      </c>
      <c r="J1535" s="63">
        <f t="shared" si="2"/>
        <v>1</v>
      </c>
    </row>
    <row r="1536" ht="15.75" customHeight="1">
      <c r="B1536" s="95"/>
      <c r="C1536" s="107" t="s">
        <v>560</v>
      </c>
      <c r="D1536" s="101" t="s">
        <v>91</v>
      </c>
      <c r="E1536" s="101" t="s">
        <v>577</v>
      </c>
      <c r="F1536" s="106" t="s">
        <v>1896</v>
      </c>
      <c r="G1536" s="106" t="s">
        <v>2029</v>
      </c>
    </row>
    <row r="1537" ht="15.75" customHeight="1">
      <c r="B1537" s="95"/>
      <c r="C1537" s="107" t="s">
        <v>560</v>
      </c>
      <c r="D1537" s="101" t="s">
        <v>91</v>
      </c>
      <c r="E1537" s="101" t="s">
        <v>577</v>
      </c>
      <c r="F1537" s="106" t="s">
        <v>1998</v>
      </c>
      <c r="G1537" s="106" t="s">
        <v>2030</v>
      </c>
    </row>
    <row r="1538" ht="15.75" customHeight="1">
      <c r="B1538" s="95"/>
      <c r="C1538" s="107" t="s">
        <v>560</v>
      </c>
      <c r="D1538" s="101" t="s">
        <v>91</v>
      </c>
      <c r="E1538" s="101" t="s">
        <v>577</v>
      </c>
      <c r="F1538" s="106" t="s">
        <v>2031</v>
      </c>
      <c r="G1538" s="106" t="s">
        <v>2032</v>
      </c>
    </row>
    <row r="1539" ht="15.75" customHeight="1">
      <c r="B1539" s="95"/>
      <c r="C1539" s="107" t="s">
        <v>560</v>
      </c>
      <c r="D1539" s="101" t="s">
        <v>91</v>
      </c>
      <c r="E1539" s="101" t="s">
        <v>577</v>
      </c>
      <c r="F1539" s="106" t="s">
        <v>2033</v>
      </c>
      <c r="G1539" s="106" t="s">
        <v>2034</v>
      </c>
    </row>
    <row r="1540" ht="15.75" customHeight="1">
      <c r="B1540" s="95"/>
      <c r="C1540" s="107" t="s">
        <v>560</v>
      </c>
      <c r="D1540" s="101" t="s">
        <v>91</v>
      </c>
      <c r="E1540" s="101" t="s">
        <v>577</v>
      </c>
      <c r="F1540" s="106" t="s">
        <v>2035</v>
      </c>
      <c r="G1540" s="106" t="s">
        <v>2036</v>
      </c>
    </row>
    <row r="1541" ht="15.75" customHeight="1">
      <c r="B1541" s="95"/>
      <c r="C1541" s="105" t="s">
        <v>323</v>
      </c>
      <c r="D1541" s="101" t="s">
        <v>91</v>
      </c>
      <c r="E1541" s="101" t="s">
        <v>577</v>
      </c>
      <c r="F1541" s="101">
        <v>1.0</v>
      </c>
      <c r="G1541" s="101" t="s">
        <v>2037</v>
      </c>
      <c r="H1541" s="63" t="str">
        <f>VLOOKUP(C1541, 'Class Def. - General Data'!$C$20:$C$476,1,false)</f>
        <v>ZSI1_COMPRESSOR</v>
      </c>
      <c r="I1541" s="63" t="str">
        <f t="shared" ref="I1541:I1552" si="4">C1541&amp;F1541</f>
        <v>ZSI1_COMPRESSOR1</v>
      </c>
      <c r="J1541" s="63">
        <f t="shared" ref="J1541:J1552" si="5">COUNTIF($I$20:$I$1940, I1541)</f>
        <v>1</v>
      </c>
    </row>
    <row r="1542" ht="15.75" customHeight="1">
      <c r="B1542" s="95"/>
      <c r="C1542" s="105" t="s">
        <v>323</v>
      </c>
      <c r="D1542" s="101" t="s">
        <v>91</v>
      </c>
      <c r="E1542" s="101" t="s">
        <v>577</v>
      </c>
      <c r="F1542" s="106" t="s">
        <v>1899</v>
      </c>
      <c r="G1542" s="101" t="s">
        <v>2038</v>
      </c>
      <c r="H1542" s="63" t="str">
        <f>VLOOKUP(C1542, 'Class Def. - General Data'!$C$20:$C$476,1,false)</f>
        <v>ZSI1_COMPRESSOR</v>
      </c>
      <c r="I1542" s="63" t="str">
        <f t="shared" si="4"/>
        <v>ZSI1_COMPRESSOR2</v>
      </c>
      <c r="J1542" s="63">
        <f t="shared" si="5"/>
        <v>1</v>
      </c>
    </row>
    <row r="1543" ht="15.75" customHeight="1">
      <c r="B1543" s="95"/>
      <c r="C1543" s="105" t="s">
        <v>323</v>
      </c>
      <c r="D1543" s="101" t="s">
        <v>91</v>
      </c>
      <c r="E1543" s="101" t="s">
        <v>577</v>
      </c>
      <c r="F1543" s="106" t="s">
        <v>564</v>
      </c>
      <c r="G1543" s="101" t="s">
        <v>2039</v>
      </c>
      <c r="H1543" s="63" t="str">
        <f>VLOOKUP(C1543, 'Class Def. - General Data'!$C$20:$C$476,1,false)</f>
        <v>ZSI1_COMPRESSOR</v>
      </c>
      <c r="I1543" s="63" t="str">
        <f t="shared" si="4"/>
        <v>ZSI1_COMPRESSOR4</v>
      </c>
      <c r="J1543" s="63">
        <f t="shared" si="5"/>
        <v>1</v>
      </c>
    </row>
    <row r="1544" ht="15.75" customHeight="1">
      <c r="B1544" s="95"/>
      <c r="C1544" s="105" t="s">
        <v>323</v>
      </c>
      <c r="D1544" s="101" t="s">
        <v>91</v>
      </c>
      <c r="E1544" s="101" t="s">
        <v>577</v>
      </c>
      <c r="F1544" s="101">
        <v>3.0</v>
      </c>
      <c r="G1544" s="101" t="s">
        <v>2040</v>
      </c>
      <c r="H1544" s="63" t="str">
        <f>VLOOKUP(C1544, 'Class Def. - General Data'!$C$20:$C$476,1,false)</f>
        <v>ZSI1_COMPRESSOR</v>
      </c>
      <c r="I1544" s="63" t="str">
        <f t="shared" si="4"/>
        <v>ZSI1_COMPRESSOR3</v>
      </c>
      <c r="J1544" s="63">
        <f t="shared" si="5"/>
        <v>1</v>
      </c>
    </row>
    <row r="1545" ht="15.75" customHeight="1">
      <c r="B1545" s="95"/>
      <c r="C1545" s="107" t="s">
        <v>561</v>
      </c>
      <c r="D1545" s="101" t="s">
        <v>91</v>
      </c>
      <c r="E1545" s="101" t="s">
        <v>577</v>
      </c>
      <c r="F1545" s="101">
        <v>1.0</v>
      </c>
      <c r="G1545" s="101" t="s">
        <v>2041</v>
      </c>
      <c r="H1545" s="63" t="str">
        <f>VLOOKUP(C1545, 'Class Def. - General Data'!$C$20:$C$476,1,false)</f>
        <v>#N/A</v>
      </c>
      <c r="I1545" s="63" t="str">
        <f t="shared" si="4"/>
        <v>ZSI1_COMPUTER1</v>
      </c>
      <c r="J1545" s="63">
        <f t="shared" si="5"/>
        <v>1</v>
      </c>
    </row>
    <row r="1546" ht="15.75" customHeight="1">
      <c r="B1546" s="95"/>
      <c r="C1546" s="107" t="s">
        <v>561</v>
      </c>
      <c r="D1546" s="101" t="s">
        <v>91</v>
      </c>
      <c r="E1546" s="101" t="s">
        <v>577</v>
      </c>
      <c r="F1546" s="101">
        <v>2.0</v>
      </c>
      <c r="G1546" s="101" t="s">
        <v>2042</v>
      </c>
      <c r="H1546" s="63" t="str">
        <f>VLOOKUP(C1546, 'Class Def. - General Data'!$C$20:$C$476,1,false)</f>
        <v>#N/A</v>
      </c>
      <c r="I1546" s="63" t="str">
        <f t="shared" si="4"/>
        <v>ZSI1_COMPUTER2</v>
      </c>
      <c r="J1546" s="63">
        <f t="shared" si="5"/>
        <v>1</v>
      </c>
    </row>
    <row r="1547" ht="15.75" customHeight="1">
      <c r="B1547" s="95"/>
      <c r="C1547" s="107" t="s">
        <v>561</v>
      </c>
      <c r="D1547" s="101" t="s">
        <v>91</v>
      </c>
      <c r="E1547" s="101" t="s">
        <v>577</v>
      </c>
      <c r="F1547" s="101">
        <v>3.0</v>
      </c>
      <c r="G1547" s="101" t="s">
        <v>926</v>
      </c>
      <c r="H1547" s="63" t="str">
        <f>VLOOKUP(C1547, 'Class Def. - General Data'!$C$20:$C$476,1,false)</f>
        <v>#N/A</v>
      </c>
      <c r="I1547" s="63" t="str">
        <f t="shared" si="4"/>
        <v>ZSI1_COMPUTER3</v>
      </c>
      <c r="J1547" s="63">
        <f t="shared" si="5"/>
        <v>1</v>
      </c>
    </row>
    <row r="1548" ht="15.75" customHeight="1">
      <c r="B1548" s="95"/>
      <c r="C1548" s="107" t="s">
        <v>561</v>
      </c>
      <c r="D1548" s="101" t="s">
        <v>91</v>
      </c>
      <c r="E1548" s="101" t="s">
        <v>577</v>
      </c>
      <c r="F1548" s="101">
        <v>4.0</v>
      </c>
      <c r="G1548" s="101" t="s">
        <v>2043</v>
      </c>
      <c r="H1548" s="63" t="str">
        <f>VLOOKUP(C1548, 'Class Def. - General Data'!$C$20:$C$476,1,false)</f>
        <v>#N/A</v>
      </c>
      <c r="I1548" s="63" t="str">
        <f t="shared" si="4"/>
        <v>ZSI1_COMPUTER4</v>
      </c>
      <c r="J1548" s="63">
        <f t="shared" si="5"/>
        <v>1</v>
      </c>
    </row>
    <row r="1549" ht="15.75" customHeight="1">
      <c r="B1549" s="95"/>
      <c r="C1549" s="107" t="s">
        <v>561</v>
      </c>
      <c r="D1549" s="101" t="s">
        <v>91</v>
      </c>
      <c r="E1549" s="101" t="s">
        <v>577</v>
      </c>
      <c r="F1549" s="101">
        <v>5.0</v>
      </c>
      <c r="G1549" s="101" t="s">
        <v>2044</v>
      </c>
      <c r="H1549" s="63" t="str">
        <f>VLOOKUP(C1549, 'Class Def. - General Data'!$C$20:$C$476,1,false)</f>
        <v>#N/A</v>
      </c>
      <c r="I1549" s="63" t="str">
        <f t="shared" si="4"/>
        <v>ZSI1_COMPUTER5</v>
      </c>
      <c r="J1549" s="63">
        <f t="shared" si="5"/>
        <v>1</v>
      </c>
    </row>
    <row r="1550" ht="15.75" customHeight="1">
      <c r="B1550" s="95"/>
      <c r="C1550" s="107" t="s">
        <v>561</v>
      </c>
      <c r="D1550" s="101" t="s">
        <v>91</v>
      </c>
      <c r="E1550" s="101" t="s">
        <v>577</v>
      </c>
      <c r="F1550" s="101">
        <v>6.0</v>
      </c>
      <c r="G1550" s="101" t="s">
        <v>2045</v>
      </c>
      <c r="H1550" s="63" t="str">
        <f>VLOOKUP(C1550, 'Class Def. - General Data'!$C$20:$C$476,1,false)</f>
        <v>#N/A</v>
      </c>
      <c r="I1550" s="63" t="str">
        <f t="shared" si="4"/>
        <v>ZSI1_COMPUTER6</v>
      </c>
      <c r="J1550" s="63">
        <f t="shared" si="5"/>
        <v>1</v>
      </c>
    </row>
    <row r="1551" ht="15.75" customHeight="1">
      <c r="B1551" s="95"/>
      <c r="C1551" s="105" t="s">
        <v>372</v>
      </c>
      <c r="D1551" s="101" t="s">
        <v>91</v>
      </c>
      <c r="E1551" s="101" t="s">
        <v>577</v>
      </c>
      <c r="F1551" s="106" t="s">
        <v>24</v>
      </c>
      <c r="G1551" s="101" t="s">
        <v>2046</v>
      </c>
      <c r="H1551" s="63" t="str">
        <f>VLOOKUP(C1551, 'Class Def. - General Data'!$C$20:$C$476,1,false)</f>
        <v>ZSI1_COMPUTER_EQP</v>
      </c>
      <c r="I1551" s="63" t="str">
        <f t="shared" si="4"/>
        <v>ZSI1_COMPUTER_EQP1</v>
      </c>
      <c r="J1551" s="63">
        <f t="shared" si="5"/>
        <v>1</v>
      </c>
    </row>
    <row r="1552" ht="15.75" customHeight="1">
      <c r="B1552" s="95"/>
      <c r="C1552" s="105" t="s">
        <v>372</v>
      </c>
      <c r="D1552" s="101" t="s">
        <v>91</v>
      </c>
      <c r="E1552" s="101" t="s">
        <v>577</v>
      </c>
      <c r="F1552" s="106" t="s">
        <v>1899</v>
      </c>
      <c r="G1552" s="101" t="s">
        <v>2047</v>
      </c>
      <c r="H1552" s="63" t="str">
        <f>VLOOKUP(C1552, 'Class Def. - General Data'!$C$20:$C$476,1,false)</f>
        <v>ZSI1_COMPUTER_EQP</v>
      </c>
      <c r="I1552" s="63" t="str">
        <f t="shared" si="4"/>
        <v>ZSI1_COMPUTER_EQP2</v>
      </c>
      <c r="J1552" s="63">
        <f t="shared" si="5"/>
        <v>1</v>
      </c>
    </row>
    <row r="1553" ht="15.75" customHeight="1">
      <c r="B1553" s="95"/>
      <c r="C1553" s="105" t="s">
        <v>372</v>
      </c>
      <c r="D1553" s="101" t="s">
        <v>91</v>
      </c>
      <c r="E1553" s="101" t="s">
        <v>577</v>
      </c>
      <c r="F1553" s="106" t="s">
        <v>20</v>
      </c>
      <c r="G1553" s="106" t="s">
        <v>2048</v>
      </c>
    </row>
    <row r="1554" ht="15.75" customHeight="1">
      <c r="B1554" s="95"/>
      <c r="C1554" s="105" t="s">
        <v>372</v>
      </c>
      <c r="D1554" s="101" t="s">
        <v>91</v>
      </c>
      <c r="E1554" s="101" t="s">
        <v>577</v>
      </c>
      <c r="F1554" s="106" t="s">
        <v>564</v>
      </c>
      <c r="G1554" s="106" t="s">
        <v>2049</v>
      </c>
    </row>
    <row r="1555" ht="15.75" customHeight="1">
      <c r="B1555" s="95"/>
      <c r="C1555" s="105" t="s">
        <v>372</v>
      </c>
      <c r="D1555" s="101" t="s">
        <v>91</v>
      </c>
      <c r="E1555" s="101" t="s">
        <v>577</v>
      </c>
      <c r="F1555" s="106" t="s">
        <v>1896</v>
      </c>
      <c r="G1555" s="106" t="s">
        <v>2050</v>
      </c>
    </row>
    <row r="1556" ht="15.75" customHeight="1">
      <c r="B1556" s="95"/>
      <c r="C1556" s="105" t="s">
        <v>372</v>
      </c>
      <c r="D1556" s="101" t="s">
        <v>91</v>
      </c>
      <c r="E1556" s="101" t="s">
        <v>577</v>
      </c>
      <c r="F1556" s="106" t="s">
        <v>1998</v>
      </c>
      <c r="G1556" s="106" t="s">
        <v>2051</v>
      </c>
    </row>
    <row r="1557" ht="15.75" customHeight="1">
      <c r="B1557" s="95"/>
      <c r="C1557" s="105" t="s">
        <v>372</v>
      </c>
      <c r="D1557" s="101" t="s">
        <v>91</v>
      </c>
      <c r="E1557" s="101" t="s">
        <v>577</v>
      </c>
      <c r="F1557" s="106" t="s">
        <v>2031</v>
      </c>
      <c r="G1557" s="106" t="s">
        <v>2052</v>
      </c>
    </row>
    <row r="1558" ht="15.75" customHeight="1">
      <c r="B1558" s="95"/>
      <c r="C1558" s="105" t="s">
        <v>372</v>
      </c>
      <c r="D1558" s="101" t="s">
        <v>91</v>
      </c>
      <c r="E1558" s="101" t="s">
        <v>577</v>
      </c>
      <c r="F1558" s="106" t="s">
        <v>2033</v>
      </c>
      <c r="G1558" s="106" t="s">
        <v>2053</v>
      </c>
    </row>
    <row r="1559" ht="15.75" customHeight="1">
      <c r="B1559" s="95"/>
      <c r="C1559" s="105" t="s">
        <v>372</v>
      </c>
      <c r="D1559" s="101" t="s">
        <v>91</v>
      </c>
      <c r="E1559" s="101" t="s">
        <v>577</v>
      </c>
      <c r="F1559" s="106" t="s">
        <v>2035</v>
      </c>
      <c r="G1559" s="106" t="s">
        <v>2054</v>
      </c>
    </row>
    <row r="1560" ht="15.75" customHeight="1">
      <c r="B1560" s="95"/>
      <c r="C1560" s="105" t="s">
        <v>372</v>
      </c>
      <c r="D1560" s="101" t="s">
        <v>91</v>
      </c>
      <c r="E1560" s="101" t="s">
        <v>577</v>
      </c>
      <c r="F1560" s="106" t="s">
        <v>28</v>
      </c>
      <c r="G1560" s="106" t="s">
        <v>2055</v>
      </c>
    </row>
    <row r="1561" ht="15.75" customHeight="1">
      <c r="B1561" s="95"/>
      <c r="C1561" s="105" t="s">
        <v>372</v>
      </c>
      <c r="D1561" s="101" t="s">
        <v>91</v>
      </c>
      <c r="E1561" s="101" t="s">
        <v>577</v>
      </c>
      <c r="F1561" s="106" t="s">
        <v>2056</v>
      </c>
      <c r="G1561" s="106" t="s">
        <v>2057</v>
      </c>
    </row>
    <row r="1562" ht="15.75" customHeight="1">
      <c r="B1562" s="95"/>
      <c r="C1562" s="105" t="s">
        <v>372</v>
      </c>
      <c r="D1562" s="101" t="s">
        <v>91</v>
      </c>
      <c r="E1562" s="101" t="s">
        <v>577</v>
      </c>
      <c r="F1562" s="106" t="s">
        <v>1905</v>
      </c>
      <c r="G1562" s="106" t="s">
        <v>2058</v>
      </c>
    </row>
    <row r="1563" ht="15.75" customHeight="1">
      <c r="B1563" s="95"/>
      <c r="C1563" s="105" t="s">
        <v>372</v>
      </c>
      <c r="D1563" s="101" t="s">
        <v>91</v>
      </c>
      <c r="E1563" s="101" t="s">
        <v>577</v>
      </c>
      <c r="F1563" s="106" t="s">
        <v>2059</v>
      </c>
      <c r="G1563" s="106" t="s">
        <v>2060</v>
      </c>
    </row>
    <row r="1564" ht="15.75" customHeight="1">
      <c r="B1564" s="95"/>
      <c r="C1564" s="105" t="s">
        <v>372</v>
      </c>
      <c r="D1564" s="101" t="s">
        <v>91</v>
      </c>
      <c r="E1564" s="101" t="s">
        <v>577</v>
      </c>
      <c r="F1564" s="106" t="s">
        <v>2061</v>
      </c>
      <c r="G1564" s="106" t="s">
        <v>2062</v>
      </c>
    </row>
    <row r="1565" ht="15.75" customHeight="1">
      <c r="B1565" s="95"/>
      <c r="C1565" s="105" t="s">
        <v>372</v>
      </c>
      <c r="D1565" s="101" t="s">
        <v>91</v>
      </c>
      <c r="E1565" s="101" t="s">
        <v>577</v>
      </c>
      <c r="F1565" s="106" t="s">
        <v>2063</v>
      </c>
      <c r="G1565" s="106" t="s">
        <v>2064</v>
      </c>
    </row>
    <row r="1566" ht="15.75" customHeight="1">
      <c r="B1566" s="95"/>
      <c r="C1566" s="105" t="s">
        <v>372</v>
      </c>
      <c r="D1566" s="101" t="s">
        <v>91</v>
      </c>
      <c r="E1566" s="101" t="s">
        <v>577</v>
      </c>
      <c r="F1566" s="106" t="s">
        <v>2065</v>
      </c>
      <c r="G1566" s="106" t="s">
        <v>2048</v>
      </c>
    </row>
    <row r="1567" ht="15.75" customHeight="1">
      <c r="B1567" s="95"/>
      <c r="C1567" s="105" t="s">
        <v>372</v>
      </c>
      <c r="D1567" s="101" t="s">
        <v>91</v>
      </c>
      <c r="E1567" s="101" t="s">
        <v>577</v>
      </c>
      <c r="F1567" s="106" t="s">
        <v>2066</v>
      </c>
      <c r="G1567" s="106" t="s">
        <v>2067</v>
      </c>
    </row>
    <row r="1568" ht="15.75" customHeight="1">
      <c r="B1568" s="95"/>
      <c r="C1568" s="105" t="s">
        <v>372</v>
      </c>
      <c r="D1568" s="101" t="s">
        <v>91</v>
      </c>
      <c r="E1568" s="101" t="s">
        <v>577</v>
      </c>
      <c r="F1568" s="106" t="s">
        <v>16</v>
      </c>
      <c r="G1568" s="106" t="s">
        <v>2068</v>
      </c>
    </row>
    <row r="1569" ht="15.75" customHeight="1">
      <c r="B1569" s="95"/>
      <c r="C1569" s="107" t="s">
        <v>561</v>
      </c>
      <c r="D1569" s="101" t="s">
        <v>91</v>
      </c>
      <c r="E1569" s="101" t="s">
        <v>577</v>
      </c>
      <c r="F1569" s="106" t="s">
        <v>2031</v>
      </c>
      <c r="G1569" s="101" t="s">
        <v>2069</v>
      </c>
      <c r="H1569" s="63" t="str">
        <f>VLOOKUP(C1569, 'Class Def. - General Data'!$C$20:$C$476,1,false)</f>
        <v>#N/A</v>
      </c>
      <c r="I1569" s="63" t="str">
        <f t="shared" ref="I1569:I1940" si="6">C1569&amp;F1569</f>
        <v>ZSI1_COMPUTER7</v>
      </c>
      <c r="J1569" s="63">
        <f t="shared" ref="J1569:J1940" si="7">COUNTIF($I$20:$I$1940, I1569)</f>
        <v>1</v>
      </c>
    </row>
    <row r="1570" ht="15.75" customHeight="1">
      <c r="B1570" s="95"/>
      <c r="C1570" s="107" t="s">
        <v>562</v>
      </c>
      <c r="D1570" s="101" t="s">
        <v>91</v>
      </c>
      <c r="E1570" s="101" t="s">
        <v>577</v>
      </c>
      <c r="F1570" s="101">
        <v>1.0</v>
      </c>
      <c r="G1570" s="101" t="s">
        <v>2070</v>
      </c>
      <c r="H1570" s="63" t="str">
        <f>VLOOKUP(C1570, 'Class Def. - General Data'!$C$20:$C$476,1,false)</f>
        <v>#N/A</v>
      </c>
      <c r="I1570" s="63" t="str">
        <f t="shared" si="6"/>
        <v>ZSI1_COM_RAM_VCARD1</v>
      </c>
      <c r="J1570" s="63">
        <f t="shared" si="7"/>
        <v>1</v>
      </c>
    </row>
    <row r="1571" ht="15.75" customHeight="1">
      <c r="B1571" s="95"/>
      <c r="C1571" s="107" t="s">
        <v>562</v>
      </c>
      <c r="D1571" s="101" t="s">
        <v>91</v>
      </c>
      <c r="E1571" s="101" t="s">
        <v>577</v>
      </c>
      <c r="F1571" s="101">
        <v>2.0</v>
      </c>
      <c r="G1571" s="106" t="s">
        <v>2071</v>
      </c>
      <c r="H1571" s="63" t="str">
        <f>VLOOKUP(C1571, 'Class Def. - General Data'!$C$20:$C$476,1,false)</f>
        <v>#N/A</v>
      </c>
      <c r="I1571" s="63" t="str">
        <f t="shared" si="6"/>
        <v>ZSI1_COM_RAM_VCARD2</v>
      </c>
      <c r="J1571" s="63">
        <f t="shared" si="7"/>
        <v>1</v>
      </c>
    </row>
    <row r="1572" ht="15.75" customHeight="1">
      <c r="B1572" s="95"/>
      <c r="C1572" s="107" t="s">
        <v>562</v>
      </c>
      <c r="D1572" s="101" t="s">
        <v>91</v>
      </c>
      <c r="E1572" s="101" t="s">
        <v>577</v>
      </c>
      <c r="F1572" s="101">
        <v>3.0</v>
      </c>
      <c r="G1572" s="106" t="s">
        <v>2072</v>
      </c>
      <c r="H1572" s="63" t="str">
        <f>VLOOKUP(C1572, 'Class Def. - General Data'!$C$20:$C$476,1,false)</f>
        <v>#N/A</v>
      </c>
      <c r="I1572" s="63" t="str">
        <f t="shared" si="6"/>
        <v>ZSI1_COM_RAM_VCARD3</v>
      </c>
      <c r="J1572" s="63">
        <f t="shared" si="7"/>
        <v>1</v>
      </c>
    </row>
    <row r="1573" ht="15.75" customHeight="1">
      <c r="B1573" s="95"/>
      <c r="C1573" s="107" t="s">
        <v>562</v>
      </c>
      <c r="D1573" s="101" t="s">
        <v>91</v>
      </c>
      <c r="E1573" s="101" t="s">
        <v>577</v>
      </c>
      <c r="F1573" s="101">
        <v>4.0</v>
      </c>
      <c r="G1573" s="106" t="s">
        <v>2073</v>
      </c>
      <c r="H1573" s="63" t="str">
        <f>VLOOKUP(C1573, 'Class Def. - General Data'!$C$20:$C$476,1,false)</f>
        <v>#N/A</v>
      </c>
      <c r="I1573" s="63" t="str">
        <f t="shared" si="6"/>
        <v>ZSI1_COM_RAM_VCARD4</v>
      </c>
      <c r="J1573" s="63">
        <f t="shared" si="7"/>
        <v>1</v>
      </c>
    </row>
    <row r="1574" ht="15.75" customHeight="1">
      <c r="B1574" s="95"/>
      <c r="C1574" s="107" t="s">
        <v>562</v>
      </c>
      <c r="D1574" s="101" t="s">
        <v>91</v>
      </c>
      <c r="E1574" s="101" t="s">
        <v>577</v>
      </c>
      <c r="F1574" s="106" t="s">
        <v>1896</v>
      </c>
      <c r="G1574" s="106" t="s">
        <v>2074</v>
      </c>
      <c r="H1574" s="63" t="str">
        <f>VLOOKUP(C1574, 'Class Def. - General Data'!$C$20:$C$476,1,false)</f>
        <v>#N/A</v>
      </c>
      <c r="I1574" s="63" t="str">
        <f t="shared" si="6"/>
        <v>ZSI1_COM_RAM_VCARD5</v>
      </c>
      <c r="J1574" s="63">
        <f t="shared" si="7"/>
        <v>1</v>
      </c>
    </row>
    <row r="1575" ht="15.75" customHeight="1">
      <c r="B1575" s="95"/>
      <c r="C1575" s="107" t="s">
        <v>562</v>
      </c>
      <c r="D1575" s="101" t="s">
        <v>91</v>
      </c>
      <c r="E1575" s="101" t="s">
        <v>577</v>
      </c>
      <c r="F1575" s="106" t="s">
        <v>1998</v>
      </c>
      <c r="G1575" s="106" t="s">
        <v>2075</v>
      </c>
      <c r="H1575" s="63" t="str">
        <f>VLOOKUP(C1575, 'Class Def. - General Data'!$C$20:$C$476,1,false)</f>
        <v>#N/A</v>
      </c>
      <c r="I1575" s="63" t="str">
        <f t="shared" si="6"/>
        <v>ZSI1_COM_RAM_VCARD6</v>
      </c>
      <c r="J1575" s="63">
        <f t="shared" si="7"/>
        <v>1</v>
      </c>
    </row>
    <row r="1576" ht="15.75" customHeight="1">
      <c r="B1576" s="95"/>
      <c r="C1576" s="107" t="s">
        <v>562</v>
      </c>
      <c r="D1576" s="101" t="s">
        <v>91</v>
      </c>
      <c r="E1576" s="101" t="s">
        <v>577</v>
      </c>
      <c r="F1576" s="106" t="s">
        <v>2031</v>
      </c>
      <c r="G1576" s="106" t="s">
        <v>2076</v>
      </c>
      <c r="H1576" s="63" t="str">
        <f>VLOOKUP(C1576, 'Class Def. - General Data'!$C$20:$C$476,1,false)</f>
        <v>#N/A</v>
      </c>
      <c r="I1576" s="63" t="str">
        <f t="shared" si="6"/>
        <v>ZSI1_COM_RAM_VCARD7</v>
      </c>
      <c r="J1576" s="63">
        <f t="shared" si="7"/>
        <v>1</v>
      </c>
    </row>
    <row r="1577" ht="15.75" customHeight="1">
      <c r="B1577" s="95"/>
      <c r="C1577" s="105" t="s">
        <v>374</v>
      </c>
      <c r="D1577" s="101" t="s">
        <v>91</v>
      </c>
      <c r="E1577" s="101" t="s">
        <v>577</v>
      </c>
      <c r="F1577" s="101">
        <v>1.0</v>
      </c>
      <c r="G1577" s="101" t="s">
        <v>2077</v>
      </c>
      <c r="H1577" s="63" t="str">
        <f>VLOOKUP(C1577, 'Class Def. - General Data'!$C$20:$C$476,1,false)</f>
        <v>ZSI1_CONCR_REINFOR</v>
      </c>
      <c r="I1577" s="63" t="str">
        <f t="shared" si="6"/>
        <v>ZSI1_CONCR_REINFOR1</v>
      </c>
      <c r="J1577" s="63">
        <f t="shared" si="7"/>
        <v>1</v>
      </c>
    </row>
    <row r="1578" ht="15.75" customHeight="1">
      <c r="B1578" s="95"/>
      <c r="C1578" s="105" t="s">
        <v>374</v>
      </c>
      <c r="D1578" s="101" t="s">
        <v>91</v>
      </c>
      <c r="E1578" s="101" t="s">
        <v>577</v>
      </c>
      <c r="F1578" s="101">
        <v>2.0</v>
      </c>
      <c r="G1578" s="101" t="s">
        <v>2078</v>
      </c>
      <c r="H1578" s="63" t="str">
        <f>VLOOKUP(C1578, 'Class Def. - General Data'!$C$20:$C$476,1,false)</f>
        <v>ZSI1_CONCR_REINFOR</v>
      </c>
      <c r="I1578" s="63" t="str">
        <f t="shared" si="6"/>
        <v>ZSI1_CONCR_REINFOR2</v>
      </c>
      <c r="J1578" s="63">
        <f t="shared" si="7"/>
        <v>1</v>
      </c>
    </row>
    <row r="1579" ht="15.75" customHeight="1">
      <c r="B1579" s="95"/>
      <c r="C1579" s="105" t="s">
        <v>374</v>
      </c>
      <c r="D1579" s="101" t="s">
        <v>91</v>
      </c>
      <c r="E1579" s="101" t="s">
        <v>577</v>
      </c>
      <c r="F1579" s="101">
        <v>3.0</v>
      </c>
      <c r="G1579" s="101" t="s">
        <v>2079</v>
      </c>
      <c r="H1579" s="63" t="str">
        <f>VLOOKUP(C1579, 'Class Def. - General Data'!$C$20:$C$476,1,false)</f>
        <v>ZSI1_CONCR_REINFOR</v>
      </c>
      <c r="I1579" s="63" t="str">
        <f t="shared" si="6"/>
        <v>ZSI1_CONCR_REINFOR3</v>
      </c>
      <c r="J1579" s="63">
        <f t="shared" si="7"/>
        <v>1</v>
      </c>
    </row>
    <row r="1580" ht="15.75" customHeight="1">
      <c r="B1580" s="95"/>
      <c r="C1580" s="105" t="s">
        <v>374</v>
      </c>
      <c r="D1580" s="101" t="s">
        <v>91</v>
      </c>
      <c r="E1580" s="101" t="s">
        <v>577</v>
      </c>
      <c r="F1580" s="101">
        <v>4.0</v>
      </c>
      <c r="G1580" s="101" t="s">
        <v>2080</v>
      </c>
      <c r="H1580" s="63" t="str">
        <f>VLOOKUP(C1580, 'Class Def. - General Data'!$C$20:$C$476,1,false)</f>
        <v>ZSI1_CONCR_REINFOR</v>
      </c>
      <c r="I1580" s="63" t="str">
        <f t="shared" si="6"/>
        <v>ZSI1_CONCR_REINFOR4</v>
      </c>
      <c r="J1580" s="63">
        <f t="shared" si="7"/>
        <v>1</v>
      </c>
    </row>
    <row r="1581" ht="15.75" customHeight="1">
      <c r="B1581" s="95"/>
      <c r="C1581" s="105" t="s">
        <v>374</v>
      </c>
      <c r="D1581" s="101" t="s">
        <v>91</v>
      </c>
      <c r="E1581" s="101" t="s">
        <v>577</v>
      </c>
      <c r="F1581" s="101">
        <v>5.0</v>
      </c>
      <c r="G1581" s="101" t="s">
        <v>2081</v>
      </c>
      <c r="H1581" s="63" t="str">
        <f>VLOOKUP(C1581, 'Class Def. - General Data'!$C$20:$C$476,1,false)</f>
        <v>ZSI1_CONCR_REINFOR</v>
      </c>
      <c r="I1581" s="63" t="str">
        <f t="shared" si="6"/>
        <v>ZSI1_CONCR_REINFOR5</v>
      </c>
      <c r="J1581" s="63">
        <f t="shared" si="7"/>
        <v>1</v>
      </c>
    </row>
    <row r="1582" ht="15.75" customHeight="1">
      <c r="B1582" s="95"/>
      <c r="C1582" s="105" t="s">
        <v>375</v>
      </c>
      <c r="D1582" s="101" t="s">
        <v>91</v>
      </c>
      <c r="E1582" s="101" t="s">
        <v>577</v>
      </c>
      <c r="F1582" s="101">
        <v>1.0</v>
      </c>
      <c r="G1582" s="101" t="s">
        <v>2082</v>
      </c>
      <c r="H1582" s="63" t="str">
        <f>VLOOKUP(C1582, 'Class Def. - General Data'!$C$20:$C$476,1,false)</f>
        <v>ZSI1_CONSTRCT_COIL</v>
      </c>
      <c r="I1582" s="63" t="str">
        <f t="shared" si="6"/>
        <v>ZSI1_CONSTRCT_COIL1</v>
      </c>
      <c r="J1582" s="63">
        <f t="shared" si="7"/>
        <v>1</v>
      </c>
    </row>
    <row r="1583" ht="15.75" customHeight="1">
      <c r="B1583" s="95"/>
      <c r="C1583" s="105" t="s">
        <v>375</v>
      </c>
      <c r="D1583" s="101" t="s">
        <v>91</v>
      </c>
      <c r="E1583" s="101" t="s">
        <v>577</v>
      </c>
      <c r="F1583" s="101">
        <v>2.0</v>
      </c>
      <c r="G1583" s="101" t="s">
        <v>2083</v>
      </c>
      <c r="H1583" s="63" t="str">
        <f>VLOOKUP(C1583, 'Class Def. - General Data'!$C$20:$C$476,1,false)</f>
        <v>ZSI1_CONSTRCT_COIL</v>
      </c>
      <c r="I1583" s="63" t="str">
        <f t="shared" si="6"/>
        <v>ZSI1_CONSTRCT_COIL2</v>
      </c>
      <c r="J1583" s="63">
        <f t="shared" si="7"/>
        <v>1</v>
      </c>
    </row>
    <row r="1584" ht="15.75" customHeight="1">
      <c r="B1584" s="95"/>
      <c r="C1584" s="105" t="s">
        <v>375</v>
      </c>
      <c r="D1584" s="101" t="s">
        <v>91</v>
      </c>
      <c r="E1584" s="101" t="s">
        <v>577</v>
      </c>
      <c r="F1584" s="101">
        <v>3.0</v>
      </c>
      <c r="G1584" s="101" t="s">
        <v>2084</v>
      </c>
      <c r="H1584" s="63" t="str">
        <f>VLOOKUP(C1584, 'Class Def. - General Data'!$C$20:$C$476,1,false)</f>
        <v>ZSI1_CONSTRCT_COIL</v>
      </c>
      <c r="I1584" s="63" t="str">
        <f t="shared" si="6"/>
        <v>ZSI1_CONSTRCT_COIL3</v>
      </c>
      <c r="J1584" s="63">
        <f t="shared" si="7"/>
        <v>1</v>
      </c>
    </row>
    <row r="1585" ht="15.75" customHeight="1">
      <c r="B1585" s="95"/>
      <c r="C1585" s="105" t="s">
        <v>375</v>
      </c>
      <c r="D1585" s="101" t="s">
        <v>91</v>
      </c>
      <c r="E1585" s="101" t="s">
        <v>577</v>
      </c>
      <c r="F1585" s="101">
        <v>4.0</v>
      </c>
      <c r="G1585" s="101" t="s">
        <v>2085</v>
      </c>
      <c r="H1585" s="63" t="str">
        <f>VLOOKUP(C1585, 'Class Def. - General Data'!$C$20:$C$476,1,false)</f>
        <v>ZSI1_CONSTRCT_COIL</v>
      </c>
      <c r="I1585" s="63" t="str">
        <f t="shared" si="6"/>
        <v>ZSI1_CONSTRCT_COIL4</v>
      </c>
      <c r="J1585" s="63">
        <f t="shared" si="7"/>
        <v>1</v>
      </c>
    </row>
    <row r="1586" ht="15.75" customHeight="1">
      <c r="B1586" s="95"/>
      <c r="C1586" s="105" t="s">
        <v>375</v>
      </c>
      <c r="D1586" s="101" t="s">
        <v>91</v>
      </c>
      <c r="E1586" s="101" t="s">
        <v>577</v>
      </c>
      <c r="F1586" s="101">
        <v>5.0</v>
      </c>
      <c r="G1586" s="101" t="s">
        <v>2086</v>
      </c>
      <c r="H1586" s="63" t="str">
        <f>VLOOKUP(C1586, 'Class Def. - General Data'!$C$20:$C$476,1,false)</f>
        <v>ZSI1_CONSTRCT_COIL</v>
      </c>
      <c r="I1586" s="63" t="str">
        <f t="shared" si="6"/>
        <v>ZSI1_CONSTRCT_COIL5</v>
      </c>
      <c r="J1586" s="63">
        <f t="shared" si="7"/>
        <v>1</v>
      </c>
    </row>
    <row r="1587" ht="15.75" customHeight="1">
      <c r="B1587" s="95"/>
      <c r="C1587" s="105" t="s">
        <v>375</v>
      </c>
      <c r="D1587" s="101" t="s">
        <v>91</v>
      </c>
      <c r="E1587" s="101" t="s">
        <v>577</v>
      </c>
      <c r="F1587" s="101">
        <v>6.0</v>
      </c>
      <c r="G1587" s="101" t="s">
        <v>2087</v>
      </c>
      <c r="H1587" s="63" t="str">
        <f>VLOOKUP(C1587, 'Class Def. - General Data'!$C$20:$C$476,1,false)</f>
        <v>ZSI1_CONSTRCT_COIL</v>
      </c>
      <c r="I1587" s="63" t="str">
        <f t="shared" si="6"/>
        <v>ZSI1_CONSTRCT_COIL6</v>
      </c>
      <c r="J1587" s="63">
        <f t="shared" si="7"/>
        <v>1</v>
      </c>
    </row>
    <row r="1588" ht="15.75" customHeight="1">
      <c r="B1588" s="95"/>
      <c r="C1588" s="105" t="s">
        <v>376</v>
      </c>
      <c r="D1588" s="101" t="s">
        <v>91</v>
      </c>
      <c r="E1588" s="101" t="s">
        <v>577</v>
      </c>
      <c r="F1588" s="101">
        <v>1.0</v>
      </c>
      <c r="G1588" s="101" t="s">
        <v>2088</v>
      </c>
      <c r="H1588" s="63" t="str">
        <f>VLOOKUP(C1588, 'Class Def. - General Data'!$C$20:$C$476,1,false)</f>
        <v>ZSI1_CONSTRUCT_ROD</v>
      </c>
      <c r="I1588" s="63" t="str">
        <f t="shared" si="6"/>
        <v>ZSI1_CONSTRUCT_ROD1</v>
      </c>
      <c r="J1588" s="63">
        <f t="shared" si="7"/>
        <v>1</v>
      </c>
    </row>
    <row r="1589" ht="15.75" customHeight="1">
      <c r="B1589" s="95"/>
      <c r="C1589" s="105" t="s">
        <v>376</v>
      </c>
      <c r="D1589" s="101" t="s">
        <v>91</v>
      </c>
      <c r="E1589" s="101" t="s">
        <v>577</v>
      </c>
      <c r="F1589" s="101">
        <v>2.0</v>
      </c>
      <c r="G1589" s="101" t="s">
        <v>2089</v>
      </c>
      <c r="H1589" s="63" t="str">
        <f>VLOOKUP(C1589, 'Class Def. - General Data'!$C$20:$C$476,1,false)</f>
        <v>ZSI1_CONSTRUCT_ROD</v>
      </c>
      <c r="I1589" s="63" t="str">
        <f t="shared" si="6"/>
        <v>ZSI1_CONSTRUCT_ROD2</v>
      </c>
      <c r="J1589" s="63">
        <f t="shared" si="7"/>
        <v>1</v>
      </c>
    </row>
    <row r="1590" ht="15.75" customHeight="1">
      <c r="B1590" s="95"/>
      <c r="C1590" s="105" t="s">
        <v>376</v>
      </c>
      <c r="D1590" s="101" t="s">
        <v>91</v>
      </c>
      <c r="E1590" s="101" t="s">
        <v>577</v>
      </c>
      <c r="F1590" s="101">
        <v>3.0</v>
      </c>
      <c r="G1590" s="101" t="s">
        <v>2090</v>
      </c>
      <c r="H1590" s="63" t="str">
        <f>VLOOKUP(C1590, 'Class Def. - General Data'!$C$20:$C$476,1,false)</f>
        <v>ZSI1_CONSTRUCT_ROD</v>
      </c>
      <c r="I1590" s="63" t="str">
        <f t="shared" si="6"/>
        <v>ZSI1_CONSTRUCT_ROD3</v>
      </c>
      <c r="J1590" s="63">
        <f t="shared" si="7"/>
        <v>1</v>
      </c>
    </row>
    <row r="1591" ht="15.75" customHeight="1">
      <c r="B1591" s="95"/>
      <c r="C1591" s="105" t="s">
        <v>376</v>
      </c>
      <c r="D1591" s="101" t="s">
        <v>91</v>
      </c>
      <c r="E1591" s="101" t="s">
        <v>577</v>
      </c>
      <c r="F1591" s="101">
        <v>4.0</v>
      </c>
      <c r="G1591" s="101" t="s">
        <v>2091</v>
      </c>
      <c r="H1591" s="63" t="str">
        <f>VLOOKUP(C1591, 'Class Def. - General Data'!$C$20:$C$476,1,false)</f>
        <v>ZSI1_CONSTRUCT_ROD</v>
      </c>
      <c r="I1591" s="63" t="str">
        <f t="shared" si="6"/>
        <v>ZSI1_CONSTRUCT_ROD4</v>
      </c>
      <c r="J1591" s="63">
        <f t="shared" si="7"/>
        <v>1</v>
      </c>
    </row>
    <row r="1592" ht="15.75" customHeight="1">
      <c r="B1592" s="95"/>
      <c r="C1592" s="105" t="s">
        <v>376</v>
      </c>
      <c r="D1592" s="101" t="s">
        <v>91</v>
      </c>
      <c r="E1592" s="101" t="s">
        <v>577</v>
      </c>
      <c r="F1592" s="101">
        <v>5.0</v>
      </c>
      <c r="G1592" s="101" t="s">
        <v>2092</v>
      </c>
      <c r="H1592" s="63" t="str">
        <f>VLOOKUP(C1592, 'Class Def. - General Data'!$C$20:$C$476,1,false)</f>
        <v>ZSI1_CONSTRUCT_ROD</v>
      </c>
      <c r="I1592" s="63" t="str">
        <f t="shared" si="6"/>
        <v>ZSI1_CONSTRUCT_ROD5</v>
      </c>
      <c r="J1592" s="63">
        <f t="shared" si="7"/>
        <v>1</v>
      </c>
    </row>
    <row r="1593" ht="15.75" customHeight="1">
      <c r="B1593" s="95"/>
      <c r="C1593" s="105" t="s">
        <v>493</v>
      </c>
      <c r="D1593" s="101" t="s">
        <v>91</v>
      </c>
      <c r="E1593" s="101" t="s">
        <v>577</v>
      </c>
      <c r="F1593" s="101">
        <v>1.0</v>
      </c>
      <c r="G1593" s="101" t="s">
        <v>2093</v>
      </c>
      <c r="H1593" s="63" t="str">
        <f>VLOOKUP(C1593, 'Class Def. - General Data'!$C$20:$C$476,1,false)</f>
        <v>ZSI1_CONVEYOR_BELT</v>
      </c>
      <c r="I1593" s="63" t="str">
        <f t="shared" si="6"/>
        <v>ZSI1_CONVEYOR_BELT1</v>
      </c>
      <c r="J1593" s="63">
        <f t="shared" si="7"/>
        <v>1</v>
      </c>
    </row>
    <row r="1594" ht="15.75" customHeight="1">
      <c r="B1594" s="95"/>
      <c r="C1594" s="105" t="s">
        <v>494</v>
      </c>
      <c r="D1594" s="101" t="s">
        <v>91</v>
      </c>
      <c r="E1594" s="101" t="s">
        <v>577</v>
      </c>
      <c r="F1594" s="101">
        <v>1.0</v>
      </c>
      <c r="G1594" s="101" t="s">
        <v>2094</v>
      </c>
      <c r="H1594" s="63" t="str">
        <f>VLOOKUP(C1594, 'Class Def. - General Data'!$C$20:$C$476,1,false)</f>
        <v>ZSI1_COOLING_EQUIP</v>
      </c>
      <c r="I1594" s="63" t="str">
        <f t="shared" si="6"/>
        <v>ZSI1_COOLING_EQUIP1</v>
      </c>
      <c r="J1594" s="63">
        <f t="shared" si="7"/>
        <v>1</v>
      </c>
    </row>
    <row r="1595" ht="15.75" customHeight="1">
      <c r="B1595" s="95"/>
      <c r="C1595" s="105" t="s">
        <v>377</v>
      </c>
      <c r="D1595" s="101" t="s">
        <v>91</v>
      </c>
      <c r="E1595" s="101" t="s">
        <v>577</v>
      </c>
      <c r="F1595" s="101">
        <v>1.0</v>
      </c>
      <c r="G1595" s="101" t="s">
        <v>2095</v>
      </c>
      <c r="H1595" s="63" t="str">
        <f>VLOOKUP(C1595, 'Class Def. - General Data'!$C$20:$C$476,1,false)</f>
        <v>ZSI1_COUPLING</v>
      </c>
      <c r="I1595" s="63" t="str">
        <f t="shared" si="6"/>
        <v>ZSI1_COUPLING1</v>
      </c>
      <c r="J1595" s="63">
        <f t="shared" si="7"/>
        <v>1</v>
      </c>
    </row>
    <row r="1596" ht="15.75" customHeight="1">
      <c r="B1596" s="95"/>
      <c r="C1596" s="105" t="s">
        <v>377</v>
      </c>
      <c r="D1596" s="101" t="s">
        <v>91</v>
      </c>
      <c r="E1596" s="101" t="s">
        <v>577</v>
      </c>
      <c r="F1596" s="101">
        <v>2.0</v>
      </c>
      <c r="G1596" s="101" t="s">
        <v>2096</v>
      </c>
      <c r="H1596" s="63" t="str">
        <f>VLOOKUP(C1596, 'Class Def. - General Data'!$C$20:$C$476,1,false)</f>
        <v>ZSI1_COUPLING</v>
      </c>
      <c r="I1596" s="63" t="str">
        <f t="shared" si="6"/>
        <v>ZSI1_COUPLING2</v>
      </c>
      <c r="J1596" s="63">
        <f t="shared" si="7"/>
        <v>1</v>
      </c>
    </row>
    <row r="1597" ht="15.75" customHeight="1">
      <c r="B1597" s="95"/>
      <c r="C1597" s="105" t="s">
        <v>378</v>
      </c>
      <c r="D1597" s="101" t="s">
        <v>91</v>
      </c>
      <c r="E1597" s="101" t="s">
        <v>577</v>
      </c>
      <c r="F1597" s="101">
        <v>1.0</v>
      </c>
      <c r="G1597" s="101" t="s">
        <v>2097</v>
      </c>
      <c r="H1597" s="63" t="str">
        <f>VLOOKUP(C1597, 'Class Def. - General Data'!$C$20:$C$476,1,false)</f>
        <v>ZSI1_CPU_SET</v>
      </c>
      <c r="I1597" s="63" t="str">
        <f t="shared" si="6"/>
        <v>ZSI1_CPU_SET1</v>
      </c>
      <c r="J1597" s="63">
        <f t="shared" si="7"/>
        <v>1</v>
      </c>
    </row>
    <row r="1598" ht="15.75" customHeight="1">
      <c r="B1598" s="95"/>
      <c r="C1598" s="105" t="s">
        <v>378</v>
      </c>
      <c r="D1598" s="101" t="s">
        <v>91</v>
      </c>
      <c r="E1598" s="101" t="s">
        <v>577</v>
      </c>
      <c r="F1598" s="101">
        <v>2.0</v>
      </c>
      <c r="G1598" s="101" t="s">
        <v>2098</v>
      </c>
      <c r="H1598" s="63" t="str">
        <f>VLOOKUP(C1598, 'Class Def. - General Data'!$C$20:$C$476,1,false)</f>
        <v>ZSI1_CPU_SET</v>
      </c>
      <c r="I1598" s="63" t="str">
        <f t="shared" si="6"/>
        <v>ZSI1_CPU_SET2</v>
      </c>
      <c r="J1598" s="63">
        <f t="shared" si="7"/>
        <v>1</v>
      </c>
    </row>
    <row r="1599" ht="15.75" customHeight="1">
      <c r="B1599" s="95"/>
      <c r="C1599" s="105" t="s">
        <v>378</v>
      </c>
      <c r="D1599" s="101" t="s">
        <v>91</v>
      </c>
      <c r="E1599" s="101" t="s">
        <v>577</v>
      </c>
      <c r="F1599" s="101">
        <v>3.0</v>
      </c>
      <c r="G1599" s="101" t="s">
        <v>2041</v>
      </c>
      <c r="H1599" s="63" t="str">
        <f>VLOOKUP(C1599, 'Class Def. - General Data'!$C$20:$C$476,1,false)</f>
        <v>ZSI1_CPU_SET</v>
      </c>
      <c r="I1599" s="63" t="str">
        <f t="shared" si="6"/>
        <v>ZSI1_CPU_SET3</v>
      </c>
      <c r="J1599" s="63">
        <f t="shared" si="7"/>
        <v>1</v>
      </c>
    </row>
    <row r="1600" ht="15.75" customHeight="1">
      <c r="B1600" s="95"/>
      <c r="C1600" s="105" t="s">
        <v>378</v>
      </c>
      <c r="D1600" s="101" t="s">
        <v>91</v>
      </c>
      <c r="E1600" s="101" t="s">
        <v>577</v>
      </c>
      <c r="F1600" s="101">
        <v>4.0</v>
      </c>
      <c r="G1600" s="101" t="s">
        <v>2044</v>
      </c>
      <c r="H1600" s="63" t="str">
        <f>VLOOKUP(C1600, 'Class Def. - General Data'!$C$20:$C$476,1,false)</f>
        <v>ZSI1_CPU_SET</v>
      </c>
      <c r="I1600" s="63" t="str">
        <f t="shared" si="6"/>
        <v>ZSI1_CPU_SET4</v>
      </c>
      <c r="J1600" s="63">
        <f t="shared" si="7"/>
        <v>1</v>
      </c>
    </row>
    <row r="1601" ht="15.75" customHeight="1">
      <c r="B1601" s="95"/>
      <c r="C1601" s="105" t="s">
        <v>378</v>
      </c>
      <c r="D1601" s="101" t="s">
        <v>91</v>
      </c>
      <c r="E1601" s="101" t="s">
        <v>577</v>
      </c>
      <c r="F1601" s="106" t="s">
        <v>1896</v>
      </c>
      <c r="G1601" s="101" t="s">
        <v>2044</v>
      </c>
      <c r="H1601" s="63" t="str">
        <f>VLOOKUP(C1601, 'Class Def. - General Data'!$C$20:$C$476,1,false)</f>
        <v>ZSI1_CPU_SET</v>
      </c>
      <c r="I1601" s="63" t="str">
        <f t="shared" si="6"/>
        <v>ZSI1_CPU_SET5</v>
      </c>
      <c r="J1601" s="63">
        <f t="shared" si="7"/>
        <v>1</v>
      </c>
    </row>
    <row r="1602" ht="15.75" customHeight="1">
      <c r="B1602" s="95"/>
      <c r="C1602" s="105" t="s">
        <v>379</v>
      </c>
      <c r="D1602" s="101" t="s">
        <v>91</v>
      </c>
      <c r="E1602" s="101" t="s">
        <v>577</v>
      </c>
      <c r="F1602" s="101">
        <v>1.0</v>
      </c>
      <c r="G1602" s="101" t="s">
        <v>2099</v>
      </c>
      <c r="H1602" s="63" t="str">
        <f>VLOOKUP(C1602, 'Class Def. - General Data'!$C$20:$C$476,1,false)</f>
        <v>ZSI1_DECORATIVES</v>
      </c>
      <c r="I1602" s="63" t="str">
        <f t="shared" si="6"/>
        <v>ZSI1_DECORATIVES1</v>
      </c>
      <c r="J1602" s="63">
        <f t="shared" si="7"/>
        <v>1</v>
      </c>
    </row>
    <row r="1603" ht="15.75" customHeight="1">
      <c r="B1603" s="95"/>
      <c r="C1603" s="105" t="s">
        <v>380</v>
      </c>
      <c r="D1603" s="101" t="s">
        <v>91</v>
      </c>
      <c r="E1603" s="101" t="s">
        <v>577</v>
      </c>
      <c r="F1603" s="101">
        <v>1.0</v>
      </c>
      <c r="G1603" s="101" t="s">
        <v>2100</v>
      </c>
      <c r="H1603" s="63" t="str">
        <f>VLOOKUP(C1603, 'Class Def. - General Data'!$C$20:$C$476,1,false)</f>
        <v>ZSI1_DIAMOND_DRSSR</v>
      </c>
      <c r="I1603" s="63" t="str">
        <f t="shared" si="6"/>
        <v>ZSI1_DIAMOND_DRSSR1</v>
      </c>
      <c r="J1603" s="63">
        <f t="shared" si="7"/>
        <v>1</v>
      </c>
    </row>
    <row r="1604" ht="15.75" customHeight="1">
      <c r="B1604" s="95"/>
      <c r="C1604" s="105" t="s">
        <v>381</v>
      </c>
      <c r="D1604" s="101" t="s">
        <v>91</v>
      </c>
      <c r="E1604" s="101" t="s">
        <v>577</v>
      </c>
      <c r="F1604" s="101">
        <v>1.0</v>
      </c>
      <c r="G1604" s="101" t="s">
        <v>1328</v>
      </c>
      <c r="H1604" s="63" t="str">
        <f>VLOOKUP(C1604, 'Class Def. - General Data'!$C$20:$C$476,1,false)</f>
        <v>ZSI1_DISTILLED_WTR</v>
      </c>
      <c r="I1604" s="63" t="str">
        <f t="shared" si="6"/>
        <v>ZSI1_DISTILLED_WTR1</v>
      </c>
      <c r="J1604" s="63">
        <f t="shared" si="7"/>
        <v>1</v>
      </c>
    </row>
    <row r="1605" ht="15.75" customHeight="1">
      <c r="B1605" s="95"/>
      <c r="C1605" s="105" t="s">
        <v>382</v>
      </c>
      <c r="D1605" s="101" t="s">
        <v>91</v>
      </c>
      <c r="E1605" s="101" t="s">
        <v>577</v>
      </c>
      <c r="F1605" s="101">
        <v>1.0</v>
      </c>
      <c r="G1605" s="101" t="s">
        <v>1322</v>
      </c>
      <c r="H1605" s="63" t="str">
        <f>VLOOKUP(C1605, 'Class Def. - General Data'!$C$20:$C$476,1,false)</f>
        <v>ZSI1_DOM_MEASURE</v>
      </c>
      <c r="I1605" s="63" t="str">
        <f t="shared" si="6"/>
        <v>ZSI1_DOM_MEASURE1</v>
      </c>
      <c r="J1605" s="63">
        <f t="shared" si="7"/>
        <v>1</v>
      </c>
    </row>
    <row r="1606" ht="15.75" customHeight="1">
      <c r="B1606" s="95"/>
      <c r="C1606" s="105" t="s">
        <v>383</v>
      </c>
      <c r="D1606" s="101" t="s">
        <v>91</v>
      </c>
      <c r="E1606" s="101" t="s">
        <v>577</v>
      </c>
      <c r="F1606" s="101">
        <v>1.0</v>
      </c>
      <c r="G1606" s="101" t="s">
        <v>2101</v>
      </c>
      <c r="H1606" s="63" t="str">
        <f>VLOOKUP(C1606, 'Class Def. - General Data'!$C$20:$C$476,1,false)</f>
        <v>ZSI1_DOOR_WINDOW</v>
      </c>
      <c r="I1606" s="63" t="str">
        <f t="shared" si="6"/>
        <v>ZSI1_DOOR_WINDOW1</v>
      </c>
      <c r="J1606" s="63">
        <f t="shared" si="7"/>
        <v>1</v>
      </c>
    </row>
    <row r="1607" ht="15.75" customHeight="1">
      <c r="B1607" s="95"/>
      <c r="C1607" s="105" t="s">
        <v>384</v>
      </c>
      <c r="D1607" s="101" t="s">
        <v>91</v>
      </c>
      <c r="E1607" s="101" t="s">
        <v>577</v>
      </c>
      <c r="F1607" s="101">
        <v>1.0</v>
      </c>
      <c r="G1607" s="101" t="s">
        <v>2102</v>
      </c>
      <c r="H1607" s="63" t="str">
        <f>VLOOKUP(C1607, 'Class Def. - General Data'!$C$20:$C$476,1,false)</f>
        <v>ZSI1_E_MONEY_CARD</v>
      </c>
      <c r="I1607" s="63" t="str">
        <f t="shared" si="6"/>
        <v>ZSI1_E_MONEY_CARD1</v>
      </c>
      <c r="J1607" s="63">
        <f t="shared" si="7"/>
        <v>1</v>
      </c>
    </row>
    <row r="1608" ht="15.75" customHeight="1">
      <c r="B1608" s="95"/>
      <c r="C1608" s="105" t="s">
        <v>326</v>
      </c>
      <c r="D1608" s="101" t="s">
        <v>91</v>
      </c>
      <c r="E1608" s="101" t="s">
        <v>577</v>
      </c>
      <c r="F1608" s="101">
        <v>1.0</v>
      </c>
      <c r="G1608" s="101" t="s">
        <v>2103</v>
      </c>
      <c r="H1608" s="63" t="str">
        <f>VLOOKUP(C1608, 'Class Def. - General Data'!$C$20:$C$476,1,false)</f>
        <v>ZSI1_ELEC_BOX</v>
      </c>
      <c r="I1608" s="63" t="str">
        <f t="shared" si="6"/>
        <v>ZSI1_ELEC_BOX1</v>
      </c>
      <c r="J1608" s="63">
        <f t="shared" si="7"/>
        <v>1</v>
      </c>
    </row>
    <row r="1609" ht="15.75" customHeight="1">
      <c r="B1609" s="95"/>
      <c r="C1609" s="105" t="s">
        <v>327</v>
      </c>
      <c r="D1609" s="101" t="s">
        <v>91</v>
      </c>
      <c r="E1609" s="101" t="s">
        <v>577</v>
      </c>
      <c r="F1609" s="101">
        <v>1.0</v>
      </c>
      <c r="G1609" s="101" t="s">
        <v>2104</v>
      </c>
      <c r="H1609" s="63" t="str">
        <f>VLOOKUP(C1609, 'Class Def. - General Data'!$C$20:$C$476,1,false)</f>
        <v>ZSI1_ELEC_CABLE</v>
      </c>
      <c r="I1609" s="63" t="str">
        <f t="shared" si="6"/>
        <v>ZSI1_ELEC_CABLE1</v>
      </c>
      <c r="J1609" s="63">
        <f t="shared" si="7"/>
        <v>1</v>
      </c>
    </row>
    <row r="1610" ht="15.75" customHeight="1">
      <c r="B1610" s="95"/>
      <c r="C1610" s="105" t="s">
        <v>385</v>
      </c>
      <c r="D1610" s="101" t="s">
        <v>91</v>
      </c>
      <c r="E1610" s="101" t="s">
        <v>577</v>
      </c>
      <c r="F1610" s="101">
        <v>1.0</v>
      </c>
      <c r="G1610" s="101" t="s">
        <v>2105</v>
      </c>
      <c r="H1610" s="63" t="str">
        <f>VLOOKUP(C1610, 'Class Def. - General Data'!$C$20:$C$476,1,false)</f>
        <v>ZSI1_ELEC_CONDUIT</v>
      </c>
      <c r="I1610" s="63" t="str">
        <f t="shared" si="6"/>
        <v>ZSI1_ELEC_CONDUIT1</v>
      </c>
      <c r="J1610" s="63">
        <f t="shared" si="7"/>
        <v>1</v>
      </c>
    </row>
    <row r="1611" ht="15.75" customHeight="1">
      <c r="B1611" s="95"/>
      <c r="C1611" s="105" t="s">
        <v>303</v>
      </c>
      <c r="D1611" s="101" t="s">
        <v>91</v>
      </c>
      <c r="E1611" s="101" t="s">
        <v>577</v>
      </c>
      <c r="F1611" s="101">
        <v>1.0</v>
      </c>
      <c r="G1611" s="101" t="s">
        <v>2106</v>
      </c>
      <c r="H1611" s="63" t="str">
        <f>VLOOKUP(C1611, 'Class Def. - General Data'!$C$20:$C$476,1,false)</f>
        <v>ZSI1_ELEC_CONN</v>
      </c>
      <c r="I1611" s="63" t="str">
        <f t="shared" si="6"/>
        <v>ZSI1_ELEC_CONN1</v>
      </c>
      <c r="J1611" s="63">
        <f t="shared" si="7"/>
        <v>1</v>
      </c>
    </row>
    <row r="1612" ht="15.75" customHeight="1">
      <c r="B1612" s="95"/>
      <c r="C1612" s="105" t="s">
        <v>298</v>
      </c>
      <c r="D1612" s="101" t="s">
        <v>91</v>
      </c>
      <c r="E1612" s="101" t="s">
        <v>577</v>
      </c>
      <c r="F1612" s="101">
        <v>1.0</v>
      </c>
      <c r="G1612" s="101" t="s">
        <v>2107</v>
      </c>
      <c r="H1612" s="63" t="str">
        <f>VLOOKUP(C1612, 'Class Def. - General Data'!$C$20:$C$476,1,false)</f>
        <v>ZSI1_ELEC_CONTROL</v>
      </c>
      <c r="I1612" s="63" t="str">
        <f t="shared" si="6"/>
        <v>ZSI1_ELEC_CONTROL1</v>
      </c>
      <c r="J1612" s="63">
        <f t="shared" si="7"/>
        <v>1</v>
      </c>
    </row>
    <row r="1613" ht="15.75" customHeight="1">
      <c r="B1613" s="95"/>
      <c r="C1613" s="105" t="s">
        <v>311</v>
      </c>
      <c r="D1613" s="101" t="s">
        <v>91</v>
      </c>
      <c r="E1613" s="101" t="s">
        <v>577</v>
      </c>
      <c r="F1613" s="101">
        <v>1.0</v>
      </c>
      <c r="G1613" s="101" t="s">
        <v>2108</v>
      </c>
      <c r="H1613" s="63" t="str">
        <f>VLOOKUP(C1613, 'Class Def. - General Data'!$C$20:$C$476,1,false)</f>
        <v>ZSI1_ELEC_DIST_CC</v>
      </c>
      <c r="I1613" s="63" t="str">
        <f t="shared" si="6"/>
        <v>ZSI1_ELEC_DIST_CC1</v>
      </c>
      <c r="J1613" s="63">
        <f t="shared" si="7"/>
        <v>1</v>
      </c>
    </row>
    <row r="1614" ht="15.75" customHeight="1">
      <c r="B1614" s="95"/>
      <c r="C1614" s="105" t="s">
        <v>311</v>
      </c>
      <c r="D1614" s="101" t="s">
        <v>91</v>
      </c>
      <c r="E1614" s="101" t="s">
        <v>577</v>
      </c>
      <c r="F1614" s="106" t="s">
        <v>1899</v>
      </c>
      <c r="G1614" s="101" t="s">
        <v>2109</v>
      </c>
      <c r="H1614" s="63" t="str">
        <f>VLOOKUP(C1614, 'Class Def. - General Data'!$C$20:$C$476,1,false)</f>
        <v>ZSI1_ELEC_DIST_CC</v>
      </c>
      <c r="I1614" s="63" t="str">
        <f t="shared" si="6"/>
        <v>ZSI1_ELEC_DIST_CC2</v>
      </c>
      <c r="J1614" s="63">
        <f t="shared" si="7"/>
        <v>1</v>
      </c>
    </row>
    <row r="1615" ht="15.75" customHeight="1">
      <c r="B1615" s="95"/>
      <c r="C1615" s="105" t="s">
        <v>311</v>
      </c>
      <c r="D1615" s="101" t="s">
        <v>91</v>
      </c>
      <c r="E1615" s="101" t="s">
        <v>577</v>
      </c>
      <c r="F1615" s="106" t="s">
        <v>564</v>
      </c>
      <c r="G1615" s="101" t="s">
        <v>2110</v>
      </c>
      <c r="H1615" s="63" t="str">
        <f>VLOOKUP(C1615, 'Class Def. - General Data'!$C$20:$C$476,1,false)</f>
        <v>ZSI1_ELEC_DIST_CC</v>
      </c>
      <c r="I1615" s="63" t="str">
        <f t="shared" si="6"/>
        <v>ZSI1_ELEC_DIST_CC4</v>
      </c>
      <c r="J1615" s="63">
        <f t="shared" si="7"/>
        <v>1</v>
      </c>
    </row>
    <row r="1616" ht="15.75" customHeight="1">
      <c r="B1616" s="95"/>
      <c r="C1616" s="105" t="s">
        <v>311</v>
      </c>
      <c r="D1616" s="101" t="s">
        <v>91</v>
      </c>
      <c r="E1616" s="101" t="s">
        <v>577</v>
      </c>
      <c r="F1616" s="101">
        <v>3.0</v>
      </c>
      <c r="G1616" s="101" t="s">
        <v>2111</v>
      </c>
      <c r="H1616" s="63" t="str">
        <f>VLOOKUP(C1616, 'Class Def. - General Data'!$C$20:$C$476,1,false)</f>
        <v>ZSI1_ELEC_DIST_CC</v>
      </c>
      <c r="I1616" s="63" t="str">
        <f t="shared" si="6"/>
        <v>ZSI1_ELEC_DIST_CC3</v>
      </c>
      <c r="J1616" s="63">
        <f t="shared" si="7"/>
        <v>1</v>
      </c>
    </row>
    <row r="1617" ht="15.75" customHeight="1">
      <c r="B1617" s="95"/>
      <c r="C1617" s="105" t="s">
        <v>495</v>
      </c>
      <c r="D1617" s="101" t="s">
        <v>91</v>
      </c>
      <c r="E1617" s="101" t="s">
        <v>577</v>
      </c>
      <c r="F1617" s="101">
        <v>1.0</v>
      </c>
      <c r="G1617" s="101" t="s">
        <v>2112</v>
      </c>
      <c r="H1617" s="63" t="str">
        <f>VLOOKUP(C1617, 'Class Def. - General Data'!$C$20:$C$476,1,false)</f>
        <v>ZSI1_ELEC_LUG</v>
      </c>
      <c r="I1617" s="63" t="str">
        <f t="shared" si="6"/>
        <v>ZSI1_ELEC_LUG1</v>
      </c>
      <c r="J1617" s="63">
        <f t="shared" si="7"/>
        <v>1</v>
      </c>
    </row>
    <row r="1618" ht="15.75" customHeight="1">
      <c r="B1618" s="95"/>
      <c r="C1618" s="105" t="s">
        <v>316</v>
      </c>
      <c r="D1618" s="101" t="s">
        <v>91</v>
      </c>
      <c r="E1618" s="101" t="s">
        <v>577</v>
      </c>
      <c r="F1618" s="101">
        <v>1.0</v>
      </c>
      <c r="G1618" s="101" t="s">
        <v>2113</v>
      </c>
      <c r="H1618" s="63" t="str">
        <f>VLOOKUP(C1618, 'Class Def. - General Data'!$C$20:$C$476,1,false)</f>
        <v>ZSI1_ELEC_PANEL</v>
      </c>
      <c r="I1618" s="63" t="str">
        <f t="shared" si="6"/>
        <v>ZSI1_ELEC_PANEL1</v>
      </c>
      <c r="J1618" s="63">
        <f t="shared" si="7"/>
        <v>1</v>
      </c>
    </row>
    <row r="1619" ht="15.75" customHeight="1">
      <c r="B1619" s="95"/>
      <c r="C1619" s="105" t="s">
        <v>313</v>
      </c>
      <c r="D1619" s="101" t="s">
        <v>91</v>
      </c>
      <c r="E1619" s="101" t="s">
        <v>577</v>
      </c>
      <c r="F1619" s="101">
        <v>1.0</v>
      </c>
      <c r="G1619" s="101" t="s">
        <v>2114</v>
      </c>
      <c r="H1619" s="63" t="str">
        <f>VLOOKUP(C1619, 'Class Def. - General Data'!$C$20:$C$476,1,false)</f>
        <v>ZSI1_ELEC_RELAY</v>
      </c>
      <c r="I1619" s="63" t="str">
        <f t="shared" si="6"/>
        <v>ZSI1_ELEC_RELAY1</v>
      </c>
      <c r="J1619" s="63">
        <f t="shared" si="7"/>
        <v>1</v>
      </c>
    </row>
    <row r="1620" ht="15.75" customHeight="1">
      <c r="B1620" s="95"/>
      <c r="C1620" s="105" t="s">
        <v>310</v>
      </c>
      <c r="D1620" s="101" t="s">
        <v>91</v>
      </c>
      <c r="E1620" s="101" t="s">
        <v>577</v>
      </c>
      <c r="F1620" s="101">
        <v>1.0</v>
      </c>
      <c r="G1620" s="101" t="s">
        <v>2115</v>
      </c>
      <c r="H1620" s="63" t="str">
        <f>VLOOKUP(C1620, 'Class Def. - General Data'!$C$20:$C$476,1,false)</f>
        <v>ZSI1_ELEC_SWITCH</v>
      </c>
      <c r="I1620" s="63" t="str">
        <f t="shared" si="6"/>
        <v>ZSI1_ELEC_SWITCH1</v>
      </c>
      <c r="J1620" s="63">
        <f t="shared" si="7"/>
        <v>1</v>
      </c>
    </row>
    <row r="1621" ht="15.75" customHeight="1">
      <c r="B1621" s="95"/>
      <c r="C1621" s="105" t="s">
        <v>386</v>
      </c>
      <c r="D1621" s="101" t="s">
        <v>91</v>
      </c>
      <c r="E1621" s="101" t="s">
        <v>577</v>
      </c>
      <c r="F1621" s="101">
        <v>1.0</v>
      </c>
      <c r="G1621" s="101" t="s">
        <v>2116</v>
      </c>
      <c r="H1621" s="63" t="str">
        <f>VLOOKUP(C1621, 'Class Def. - General Data'!$C$20:$C$476,1,false)</f>
        <v>ZSI1_ELECTROD_HOLD</v>
      </c>
      <c r="I1621" s="63" t="str">
        <f t="shared" si="6"/>
        <v>ZSI1_ELECTROD_HOLD1</v>
      </c>
      <c r="J1621" s="63">
        <f t="shared" si="7"/>
        <v>1</v>
      </c>
    </row>
    <row r="1622" ht="15.75" customHeight="1">
      <c r="B1622" s="95"/>
      <c r="C1622" s="105" t="s">
        <v>355</v>
      </c>
      <c r="D1622" s="101" t="s">
        <v>91</v>
      </c>
      <c r="E1622" s="101" t="s">
        <v>577</v>
      </c>
      <c r="F1622" s="101">
        <v>1.0</v>
      </c>
      <c r="G1622" s="101" t="s">
        <v>2117</v>
      </c>
      <c r="H1622" s="63" t="str">
        <f>VLOOKUP(C1622, 'Class Def. - General Data'!$C$20:$C$476,1,false)</f>
        <v>ZSI1_ELECTRONICS</v>
      </c>
      <c r="I1622" s="63" t="str">
        <f t="shared" si="6"/>
        <v>ZSI1_ELECTRONICS1</v>
      </c>
      <c r="J1622" s="63">
        <f t="shared" si="7"/>
        <v>1</v>
      </c>
    </row>
    <row r="1623" ht="15.75" customHeight="1">
      <c r="B1623" s="95"/>
      <c r="C1623" s="105" t="s">
        <v>387</v>
      </c>
      <c r="D1623" s="101" t="s">
        <v>91</v>
      </c>
      <c r="E1623" s="101" t="s">
        <v>577</v>
      </c>
      <c r="F1623" s="101">
        <v>1.0</v>
      </c>
      <c r="G1623" s="101" t="s">
        <v>2118</v>
      </c>
      <c r="H1623" s="63" t="str">
        <f>VLOOKUP(C1623, 'Class Def. - General Data'!$C$20:$C$476,1,false)</f>
        <v>ZSI1_END_MILL</v>
      </c>
      <c r="I1623" s="63" t="str">
        <f t="shared" si="6"/>
        <v>ZSI1_END_MILL1</v>
      </c>
      <c r="J1623" s="63">
        <f t="shared" si="7"/>
        <v>1</v>
      </c>
    </row>
    <row r="1624" ht="15.75" customHeight="1">
      <c r="B1624" s="95"/>
      <c r="C1624" s="105" t="s">
        <v>388</v>
      </c>
      <c r="D1624" s="101" t="s">
        <v>91</v>
      </c>
      <c r="E1624" s="101" t="s">
        <v>577</v>
      </c>
      <c r="F1624" s="101">
        <v>1.0</v>
      </c>
      <c r="G1624" s="101" t="s">
        <v>1235</v>
      </c>
      <c r="H1624" s="63" t="str">
        <f>VLOOKUP(C1624, 'Class Def. - General Data'!$C$20:$C$476,1,false)</f>
        <v>ZSI1_FABRICAT_ITEM</v>
      </c>
      <c r="I1624" s="63" t="str">
        <f t="shared" si="6"/>
        <v>ZSI1_FABRICAT_ITEM1</v>
      </c>
      <c r="J1624" s="63">
        <f t="shared" si="7"/>
        <v>1</v>
      </c>
    </row>
    <row r="1625" ht="15.75" customHeight="1">
      <c r="B1625" s="95"/>
      <c r="C1625" s="105" t="s">
        <v>496</v>
      </c>
      <c r="D1625" s="101" t="s">
        <v>91</v>
      </c>
      <c r="E1625" s="101" t="s">
        <v>577</v>
      </c>
      <c r="F1625" s="101">
        <v>1.0</v>
      </c>
      <c r="G1625" s="101" t="s">
        <v>2119</v>
      </c>
      <c r="H1625" s="63" t="str">
        <f>VLOOKUP(C1625, 'Class Def. - General Data'!$C$20:$C$476,1,false)</f>
        <v>ZSI1_FILTER</v>
      </c>
      <c r="I1625" s="63" t="str">
        <f t="shared" si="6"/>
        <v>ZSI1_FILTER1</v>
      </c>
      <c r="J1625" s="63">
        <f t="shared" si="7"/>
        <v>1</v>
      </c>
    </row>
    <row r="1626" ht="15.75" customHeight="1">
      <c r="B1626" s="95"/>
      <c r="C1626" s="105" t="s">
        <v>346</v>
      </c>
      <c r="D1626" s="101" t="s">
        <v>91</v>
      </c>
      <c r="E1626" s="101" t="s">
        <v>577</v>
      </c>
      <c r="F1626" s="101">
        <v>1.0</v>
      </c>
      <c r="G1626" s="101" t="s">
        <v>2120</v>
      </c>
      <c r="H1626" s="63" t="str">
        <f>VLOOKUP(C1626, 'Class Def. - General Data'!$C$20:$C$476,1,false)</f>
        <v>ZSI1_FIRE_DETECTOR</v>
      </c>
      <c r="I1626" s="63" t="str">
        <f t="shared" si="6"/>
        <v>ZSI1_FIRE_DETECTOR1</v>
      </c>
      <c r="J1626" s="63">
        <f t="shared" si="7"/>
        <v>1</v>
      </c>
    </row>
    <row r="1627" ht="15.75" customHeight="1">
      <c r="B1627" s="95"/>
      <c r="C1627" s="105" t="s">
        <v>346</v>
      </c>
      <c r="D1627" s="101" t="s">
        <v>91</v>
      </c>
      <c r="E1627" s="101" t="s">
        <v>577</v>
      </c>
      <c r="F1627" s="106" t="s">
        <v>1899</v>
      </c>
      <c r="G1627" s="101" t="s">
        <v>2121</v>
      </c>
      <c r="H1627" s="63" t="str">
        <f>VLOOKUP(C1627, 'Class Def. - General Data'!$C$20:$C$476,1,false)</f>
        <v>ZSI1_FIRE_DETECTOR</v>
      </c>
      <c r="I1627" s="63" t="str">
        <f t="shared" si="6"/>
        <v>ZSI1_FIRE_DETECTOR2</v>
      </c>
      <c r="J1627" s="63">
        <f t="shared" si="7"/>
        <v>1</v>
      </c>
    </row>
    <row r="1628" ht="15.75" customHeight="1">
      <c r="B1628" s="95"/>
      <c r="C1628" s="105" t="s">
        <v>347</v>
      </c>
      <c r="D1628" s="101" t="s">
        <v>91</v>
      </c>
      <c r="E1628" s="101" t="s">
        <v>577</v>
      </c>
      <c r="F1628" s="101">
        <v>1.0</v>
      </c>
      <c r="G1628" s="101" t="s">
        <v>2122</v>
      </c>
      <c r="H1628" s="63" t="str">
        <f>VLOOKUP(C1628, 'Class Def. - General Data'!$C$20:$C$476,1,false)</f>
        <v>ZSI1_FIRE_EXTINGSH</v>
      </c>
      <c r="I1628" s="63" t="str">
        <f t="shared" si="6"/>
        <v>ZSI1_FIRE_EXTINGSH1</v>
      </c>
      <c r="J1628" s="63">
        <f t="shared" si="7"/>
        <v>1</v>
      </c>
    </row>
    <row r="1629" ht="15.75" customHeight="1">
      <c r="B1629" s="95"/>
      <c r="C1629" s="105" t="s">
        <v>347</v>
      </c>
      <c r="D1629" s="101" t="s">
        <v>91</v>
      </c>
      <c r="E1629" s="101" t="s">
        <v>577</v>
      </c>
      <c r="F1629" s="106" t="s">
        <v>1899</v>
      </c>
      <c r="G1629" s="101" t="s">
        <v>2123</v>
      </c>
      <c r="H1629" s="63" t="str">
        <f>VLOOKUP(C1629, 'Class Def. - General Data'!$C$20:$C$476,1,false)</f>
        <v>ZSI1_FIRE_EXTINGSH</v>
      </c>
      <c r="I1629" s="63" t="str">
        <f t="shared" si="6"/>
        <v>ZSI1_FIRE_EXTINGSH2</v>
      </c>
      <c r="J1629" s="63">
        <f t="shared" si="7"/>
        <v>1</v>
      </c>
    </row>
    <row r="1630" ht="15.75" customHeight="1">
      <c r="B1630" s="95"/>
      <c r="C1630" s="105" t="s">
        <v>390</v>
      </c>
      <c r="D1630" s="101" t="s">
        <v>91</v>
      </c>
      <c r="E1630" s="101" t="s">
        <v>577</v>
      </c>
      <c r="F1630" s="101">
        <v>1.0</v>
      </c>
      <c r="G1630" s="101" t="s">
        <v>2124</v>
      </c>
      <c r="H1630" s="63" t="str">
        <f>VLOOKUP(C1630, 'Class Def. - General Data'!$C$20:$C$476,1,false)</f>
        <v>ZSI1_FLEX_JOINT</v>
      </c>
      <c r="I1630" s="63" t="str">
        <f t="shared" si="6"/>
        <v>ZSI1_FLEX_JOINT1</v>
      </c>
      <c r="J1630" s="63">
        <f t="shared" si="7"/>
        <v>1</v>
      </c>
    </row>
    <row r="1631" ht="15.75" customHeight="1">
      <c r="B1631" s="95"/>
      <c r="C1631" s="105" t="s">
        <v>389</v>
      </c>
      <c r="D1631" s="101" t="s">
        <v>91</v>
      </c>
      <c r="E1631" s="101" t="s">
        <v>577</v>
      </c>
      <c r="F1631" s="101">
        <v>1.0</v>
      </c>
      <c r="G1631" s="101" t="s">
        <v>2125</v>
      </c>
      <c r="H1631" s="63" t="str">
        <f>VLOOKUP(C1631, 'Class Def. - General Data'!$C$20:$C$476,1,false)</f>
        <v>ZSI1_FLEXIBLE_CON</v>
      </c>
      <c r="I1631" s="63" t="str">
        <f t="shared" si="6"/>
        <v>ZSI1_FLEXIBLE_CON1</v>
      </c>
      <c r="J1631" s="63">
        <f t="shared" si="7"/>
        <v>1</v>
      </c>
    </row>
    <row r="1632" ht="15.75" customHeight="1">
      <c r="B1632" s="95"/>
      <c r="C1632" s="105" t="s">
        <v>341</v>
      </c>
      <c r="D1632" s="101" t="s">
        <v>91</v>
      </c>
      <c r="E1632" s="101" t="s">
        <v>577</v>
      </c>
      <c r="F1632" s="101">
        <v>1.0</v>
      </c>
      <c r="G1632" s="101" t="s">
        <v>2126</v>
      </c>
      <c r="H1632" s="63" t="str">
        <f>VLOOKUP(C1632, 'Class Def. - General Data'!$C$20:$C$476,1,false)</f>
        <v>ZSI1_FLEXIBLE_HOSE</v>
      </c>
      <c r="I1632" s="63" t="str">
        <f t="shared" si="6"/>
        <v>ZSI1_FLEXIBLE_HOSE1</v>
      </c>
      <c r="J1632" s="63">
        <f t="shared" si="7"/>
        <v>1</v>
      </c>
    </row>
    <row r="1633" ht="15.75" customHeight="1">
      <c r="B1633" s="95"/>
      <c r="C1633" s="105" t="s">
        <v>341</v>
      </c>
      <c r="D1633" s="101" t="s">
        <v>91</v>
      </c>
      <c r="E1633" s="101" t="s">
        <v>577</v>
      </c>
      <c r="F1633" s="106" t="s">
        <v>1899</v>
      </c>
      <c r="G1633" s="101" t="s">
        <v>2127</v>
      </c>
      <c r="H1633" s="63" t="str">
        <f>VLOOKUP(C1633, 'Class Def. - General Data'!$C$20:$C$476,1,false)</f>
        <v>ZSI1_FLEXIBLE_HOSE</v>
      </c>
      <c r="I1633" s="63" t="str">
        <f t="shared" si="6"/>
        <v>ZSI1_FLEXIBLE_HOSE2</v>
      </c>
      <c r="J1633" s="63">
        <f t="shared" si="7"/>
        <v>1</v>
      </c>
    </row>
    <row r="1634" ht="15.75" customHeight="1">
      <c r="B1634" s="95"/>
      <c r="C1634" s="105" t="s">
        <v>391</v>
      </c>
      <c r="D1634" s="101" t="s">
        <v>91</v>
      </c>
      <c r="E1634" s="101" t="s">
        <v>577</v>
      </c>
      <c r="F1634" s="101">
        <v>1.0</v>
      </c>
      <c r="G1634" s="101" t="s">
        <v>2128</v>
      </c>
      <c r="H1634" s="63" t="str">
        <f>VLOOKUP(C1634, 'Class Def. - General Data'!$C$20:$C$476,1,false)</f>
        <v>ZSI1_FLWR_ARRANGE</v>
      </c>
      <c r="I1634" s="63" t="str">
        <f t="shared" si="6"/>
        <v>ZSI1_FLWR_ARRANGE1</v>
      </c>
      <c r="J1634" s="63">
        <f t="shared" si="7"/>
        <v>1</v>
      </c>
    </row>
    <row r="1635" ht="15.75" customHeight="1">
      <c r="B1635" s="95"/>
      <c r="C1635" s="105" t="s">
        <v>392</v>
      </c>
      <c r="D1635" s="101" t="s">
        <v>91</v>
      </c>
      <c r="E1635" s="101" t="s">
        <v>577</v>
      </c>
      <c r="F1635" s="101">
        <v>1.0</v>
      </c>
      <c r="G1635" s="101" t="s">
        <v>2129</v>
      </c>
      <c r="H1635" s="63" t="str">
        <f>VLOOKUP(C1635, 'Class Def. - General Data'!$C$20:$C$476,1,false)</f>
        <v>ZSI1_FOOD_BEV</v>
      </c>
      <c r="I1635" s="63" t="str">
        <f t="shared" si="6"/>
        <v>ZSI1_FOOD_BEV1</v>
      </c>
      <c r="J1635" s="63">
        <f t="shared" si="7"/>
        <v>1</v>
      </c>
    </row>
    <row r="1636" ht="15.75" customHeight="1">
      <c r="B1636" s="95"/>
      <c r="C1636" s="105" t="s">
        <v>486</v>
      </c>
      <c r="D1636" s="101" t="s">
        <v>91</v>
      </c>
      <c r="E1636" s="101" t="s">
        <v>577</v>
      </c>
      <c r="F1636" s="101">
        <v>1.0</v>
      </c>
      <c r="G1636" s="101" t="s">
        <v>2130</v>
      </c>
      <c r="H1636" s="63" t="str">
        <f>VLOOKUP(C1636, 'Class Def. - General Data'!$C$20:$C$476,1,false)</f>
        <v>ZSI1_FOOD_CUT_MC</v>
      </c>
      <c r="I1636" s="63" t="str">
        <f t="shared" si="6"/>
        <v>ZSI1_FOOD_CUT_MC1</v>
      </c>
      <c r="J1636" s="63">
        <f t="shared" si="7"/>
        <v>1</v>
      </c>
    </row>
    <row r="1637" ht="15.75" customHeight="1">
      <c r="B1637" s="95"/>
      <c r="C1637" s="105" t="s">
        <v>306</v>
      </c>
      <c r="D1637" s="101" t="s">
        <v>91</v>
      </c>
      <c r="E1637" s="101" t="s">
        <v>577</v>
      </c>
      <c r="F1637" s="101">
        <v>1.0</v>
      </c>
      <c r="G1637" s="101" t="s">
        <v>2131</v>
      </c>
      <c r="H1637" s="63" t="str">
        <f>VLOOKUP(C1637, 'Class Def. - General Data'!$C$20:$C$476,1,false)</f>
        <v>ZSI1_FOOD_PREP_MC</v>
      </c>
      <c r="I1637" s="63" t="str">
        <f t="shared" si="6"/>
        <v>ZSI1_FOOD_PREP_MC1</v>
      </c>
      <c r="J1637" s="63">
        <f t="shared" si="7"/>
        <v>1</v>
      </c>
    </row>
    <row r="1638" ht="15.75" customHeight="1">
      <c r="B1638" s="95"/>
      <c r="C1638" s="105" t="s">
        <v>349</v>
      </c>
      <c r="D1638" s="101" t="s">
        <v>91</v>
      </c>
      <c r="E1638" s="101" t="s">
        <v>577</v>
      </c>
      <c r="F1638" s="101">
        <v>1.0</v>
      </c>
      <c r="G1638" s="101" t="s">
        <v>2132</v>
      </c>
      <c r="H1638" s="63" t="str">
        <f>VLOOKUP(C1638, 'Class Def. - General Data'!$C$20:$C$476,1,false)</f>
        <v>ZSI1_FORMS</v>
      </c>
      <c r="I1638" s="63" t="str">
        <f t="shared" si="6"/>
        <v>ZSI1_FORMS1</v>
      </c>
      <c r="J1638" s="63">
        <f t="shared" si="7"/>
        <v>1</v>
      </c>
    </row>
    <row r="1639" ht="15.75" customHeight="1">
      <c r="B1639" s="95"/>
      <c r="C1639" s="105" t="s">
        <v>393</v>
      </c>
      <c r="D1639" s="101" t="s">
        <v>91</v>
      </c>
      <c r="E1639" s="101" t="s">
        <v>577</v>
      </c>
      <c r="F1639" s="101">
        <v>1.0</v>
      </c>
      <c r="G1639" s="101" t="s">
        <v>2133</v>
      </c>
      <c r="H1639" s="63" t="str">
        <f>VLOOKUP(C1639, 'Class Def. - General Data'!$C$20:$C$476,1,false)</f>
        <v>ZSI1_FUELS</v>
      </c>
      <c r="I1639" s="63" t="str">
        <f t="shared" si="6"/>
        <v>ZSI1_FUELS1</v>
      </c>
      <c r="J1639" s="63">
        <f t="shared" si="7"/>
        <v>1</v>
      </c>
    </row>
    <row r="1640" ht="15.75" customHeight="1">
      <c r="B1640" s="95"/>
      <c r="C1640" s="105" t="s">
        <v>359</v>
      </c>
      <c r="D1640" s="101" t="s">
        <v>91</v>
      </c>
      <c r="E1640" s="101" t="s">
        <v>577</v>
      </c>
      <c r="F1640" s="101">
        <v>1.0</v>
      </c>
      <c r="G1640" s="101" t="s">
        <v>2134</v>
      </c>
      <c r="H1640" s="63" t="str">
        <f>VLOOKUP(C1640, 'Class Def. - General Data'!$C$20:$C$476,1,false)</f>
        <v>ZSI1_FURNITURE</v>
      </c>
      <c r="I1640" s="63" t="str">
        <f t="shared" si="6"/>
        <v>ZSI1_FURNITURE1</v>
      </c>
      <c r="J1640" s="63">
        <f t="shared" si="7"/>
        <v>1</v>
      </c>
    </row>
    <row r="1641" ht="15.75" customHeight="1">
      <c r="B1641" s="95"/>
      <c r="C1641" s="105" t="s">
        <v>359</v>
      </c>
      <c r="D1641" s="101" t="s">
        <v>91</v>
      </c>
      <c r="E1641" s="101" t="s">
        <v>577</v>
      </c>
      <c r="F1641" s="101">
        <v>2.0</v>
      </c>
      <c r="G1641" s="101" t="s">
        <v>2135</v>
      </c>
      <c r="H1641" s="63" t="str">
        <f>VLOOKUP(C1641, 'Class Def. - General Data'!$C$20:$C$476,1,false)</f>
        <v>ZSI1_FURNITURE</v>
      </c>
      <c r="I1641" s="63" t="str">
        <f t="shared" si="6"/>
        <v>ZSI1_FURNITURE2</v>
      </c>
      <c r="J1641" s="63">
        <f t="shared" si="7"/>
        <v>1</v>
      </c>
    </row>
    <row r="1642" ht="15.75" customHeight="1">
      <c r="B1642" s="95"/>
      <c r="C1642" s="105" t="s">
        <v>359</v>
      </c>
      <c r="D1642" s="101" t="s">
        <v>91</v>
      </c>
      <c r="E1642" s="101" t="s">
        <v>577</v>
      </c>
      <c r="F1642" s="101">
        <v>3.0</v>
      </c>
      <c r="G1642" s="101" t="s">
        <v>2136</v>
      </c>
      <c r="H1642" s="63" t="str">
        <f>VLOOKUP(C1642, 'Class Def. - General Data'!$C$20:$C$476,1,false)</f>
        <v>ZSI1_FURNITURE</v>
      </c>
      <c r="I1642" s="63" t="str">
        <f t="shared" si="6"/>
        <v>ZSI1_FURNITURE3</v>
      </c>
      <c r="J1642" s="63">
        <f t="shared" si="7"/>
        <v>1</v>
      </c>
    </row>
    <row r="1643" ht="15.75" customHeight="1">
      <c r="B1643" s="95"/>
      <c r="C1643" s="105" t="s">
        <v>359</v>
      </c>
      <c r="D1643" s="101" t="s">
        <v>91</v>
      </c>
      <c r="E1643" s="101" t="s">
        <v>577</v>
      </c>
      <c r="F1643" s="101">
        <v>4.0</v>
      </c>
      <c r="G1643" s="101" t="s">
        <v>2137</v>
      </c>
      <c r="H1643" s="63" t="str">
        <f>VLOOKUP(C1643, 'Class Def. - General Data'!$C$20:$C$476,1,false)</f>
        <v>ZSI1_FURNITURE</v>
      </c>
      <c r="I1643" s="63" t="str">
        <f t="shared" si="6"/>
        <v>ZSI1_FURNITURE4</v>
      </c>
      <c r="J1643" s="63">
        <f t="shared" si="7"/>
        <v>1</v>
      </c>
    </row>
    <row r="1644" ht="15.75" customHeight="1">
      <c r="B1644" s="95"/>
      <c r="C1644" s="105" t="s">
        <v>359</v>
      </c>
      <c r="D1644" s="101" t="s">
        <v>91</v>
      </c>
      <c r="E1644" s="101" t="s">
        <v>577</v>
      </c>
      <c r="F1644" s="101">
        <v>5.0</v>
      </c>
      <c r="G1644" s="101" t="s">
        <v>2138</v>
      </c>
      <c r="H1644" s="63" t="str">
        <f>VLOOKUP(C1644, 'Class Def. - General Data'!$C$20:$C$476,1,false)</f>
        <v>ZSI1_FURNITURE</v>
      </c>
      <c r="I1644" s="63" t="str">
        <f t="shared" si="6"/>
        <v>ZSI1_FURNITURE5</v>
      </c>
      <c r="J1644" s="63">
        <f t="shared" si="7"/>
        <v>1</v>
      </c>
    </row>
    <row r="1645" ht="15.75" customHeight="1">
      <c r="B1645" s="95"/>
      <c r="C1645" s="105" t="s">
        <v>359</v>
      </c>
      <c r="D1645" s="101" t="s">
        <v>91</v>
      </c>
      <c r="E1645" s="101" t="s">
        <v>577</v>
      </c>
      <c r="F1645" s="101">
        <v>6.0</v>
      </c>
      <c r="G1645" s="101" t="s">
        <v>2139</v>
      </c>
      <c r="H1645" s="63" t="str">
        <f>VLOOKUP(C1645, 'Class Def. - General Data'!$C$20:$C$476,1,false)</f>
        <v>ZSI1_FURNITURE</v>
      </c>
      <c r="I1645" s="63" t="str">
        <f t="shared" si="6"/>
        <v>ZSI1_FURNITURE6</v>
      </c>
      <c r="J1645" s="63">
        <f t="shared" si="7"/>
        <v>1</v>
      </c>
    </row>
    <row r="1646" ht="15.75" customHeight="1">
      <c r="B1646" s="95"/>
      <c r="C1646" s="105" t="s">
        <v>359</v>
      </c>
      <c r="D1646" s="101" t="s">
        <v>91</v>
      </c>
      <c r="E1646" s="101" t="s">
        <v>577</v>
      </c>
      <c r="F1646" s="101">
        <v>7.0</v>
      </c>
      <c r="G1646" s="101" t="s">
        <v>2140</v>
      </c>
      <c r="H1646" s="63" t="str">
        <f>VLOOKUP(C1646, 'Class Def. - General Data'!$C$20:$C$476,1,false)</f>
        <v>ZSI1_FURNITURE</v>
      </c>
      <c r="I1646" s="63" t="str">
        <f t="shared" si="6"/>
        <v>ZSI1_FURNITURE7</v>
      </c>
      <c r="J1646" s="63">
        <f t="shared" si="7"/>
        <v>1</v>
      </c>
    </row>
    <row r="1647" ht="15.75" customHeight="1">
      <c r="B1647" s="95"/>
      <c r="C1647" s="105" t="s">
        <v>359</v>
      </c>
      <c r="D1647" s="101" t="s">
        <v>91</v>
      </c>
      <c r="E1647" s="101" t="s">
        <v>577</v>
      </c>
      <c r="F1647" s="101">
        <v>8.0</v>
      </c>
      <c r="G1647" s="101" t="s">
        <v>2141</v>
      </c>
      <c r="H1647" s="63" t="str">
        <f>VLOOKUP(C1647, 'Class Def. - General Data'!$C$20:$C$476,1,false)</f>
        <v>ZSI1_FURNITURE</v>
      </c>
      <c r="I1647" s="63" t="str">
        <f t="shared" si="6"/>
        <v>ZSI1_FURNITURE8</v>
      </c>
      <c r="J1647" s="63">
        <f t="shared" si="7"/>
        <v>1</v>
      </c>
    </row>
    <row r="1648" ht="15.75" customHeight="1">
      <c r="B1648" s="95"/>
      <c r="C1648" s="105" t="s">
        <v>359</v>
      </c>
      <c r="D1648" s="101" t="s">
        <v>91</v>
      </c>
      <c r="E1648" s="101" t="s">
        <v>577</v>
      </c>
      <c r="F1648" s="101">
        <v>9.0</v>
      </c>
      <c r="G1648" s="101" t="s">
        <v>2142</v>
      </c>
      <c r="H1648" s="63" t="str">
        <f>VLOOKUP(C1648, 'Class Def. - General Data'!$C$20:$C$476,1,false)</f>
        <v>ZSI1_FURNITURE</v>
      </c>
      <c r="I1648" s="63" t="str">
        <f t="shared" si="6"/>
        <v>ZSI1_FURNITURE9</v>
      </c>
      <c r="J1648" s="63">
        <f t="shared" si="7"/>
        <v>1</v>
      </c>
    </row>
    <row r="1649" ht="15.75" customHeight="1">
      <c r="B1649" s="95"/>
      <c r="C1649" s="105" t="s">
        <v>359</v>
      </c>
      <c r="D1649" s="101" t="s">
        <v>91</v>
      </c>
      <c r="E1649" s="101" t="s">
        <v>577</v>
      </c>
      <c r="F1649" s="101">
        <v>10.0</v>
      </c>
      <c r="G1649" s="101" t="s">
        <v>2143</v>
      </c>
      <c r="H1649" s="63" t="str">
        <f>VLOOKUP(C1649, 'Class Def. - General Data'!$C$20:$C$476,1,false)</f>
        <v>ZSI1_FURNITURE</v>
      </c>
      <c r="I1649" s="63" t="str">
        <f t="shared" si="6"/>
        <v>ZSI1_FURNITURE10</v>
      </c>
      <c r="J1649" s="63">
        <f t="shared" si="7"/>
        <v>1</v>
      </c>
    </row>
    <row r="1650" ht="15.75" customHeight="1">
      <c r="B1650" s="95"/>
      <c r="C1650" s="105" t="s">
        <v>359</v>
      </c>
      <c r="D1650" s="101" t="s">
        <v>91</v>
      </c>
      <c r="E1650" s="101" t="s">
        <v>577</v>
      </c>
      <c r="F1650" s="101">
        <v>11.0</v>
      </c>
      <c r="G1650" s="101" t="s">
        <v>2144</v>
      </c>
      <c r="H1650" s="63" t="str">
        <f>VLOOKUP(C1650, 'Class Def. - General Data'!$C$20:$C$476,1,false)</f>
        <v>ZSI1_FURNITURE</v>
      </c>
      <c r="I1650" s="63" t="str">
        <f t="shared" si="6"/>
        <v>ZSI1_FURNITURE11</v>
      </c>
      <c r="J1650" s="63">
        <f t="shared" si="7"/>
        <v>1</v>
      </c>
    </row>
    <row r="1651" ht="15.75" customHeight="1">
      <c r="B1651" s="95"/>
      <c r="C1651" s="105" t="s">
        <v>359</v>
      </c>
      <c r="D1651" s="101" t="s">
        <v>91</v>
      </c>
      <c r="E1651" s="101" t="s">
        <v>577</v>
      </c>
      <c r="F1651" s="101">
        <v>12.0</v>
      </c>
      <c r="G1651" s="101" t="s">
        <v>2145</v>
      </c>
      <c r="H1651" s="63" t="str">
        <f>VLOOKUP(C1651, 'Class Def. - General Data'!$C$20:$C$476,1,false)</f>
        <v>ZSI1_FURNITURE</v>
      </c>
      <c r="I1651" s="63" t="str">
        <f t="shared" si="6"/>
        <v>ZSI1_FURNITURE12</v>
      </c>
      <c r="J1651" s="63">
        <f t="shared" si="7"/>
        <v>1</v>
      </c>
    </row>
    <row r="1652" ht="15.75" customHeight="1">
      <c r="B1652" s="95"/>
      <c r="C1652" s="105" t="s">
        <v>359</v>
      </c>
      <c r="D1652" s="101" t="s">
        <v>91</v>
      </c>
      <c r="E1652" s="101" t="s">
        <v>577</v>
      </c>
      <c r="F1652" s="101">
        <v>13.0</v>
      </c>
      <c r="G1652" s="101" t="s">
        <v>2146</v>
      </c>
      <c r="H1652" s="63" t="str">
        <f>VLOOKUP(C1652, 'Class Def. - General Data'!$C$20:$C$476,1,false)</f>
        <v>ZSI1_FURNITURE</v>
      </c>
      <c r="I1652" s="63" t="str">
        <f t="shared" si="6"/>
        <v>ZSI1_FURNITURE13</v>
      </c>
      <c r="J1652" s="63">
        <f t="shared" si="7"/>
        <v>1</v>
      </c>
    </row>
    <row r="1653" ht="15.75" customHeight="1">
      <c r="B1653" s="95"/>
      <c r="C1653" s="105" t="s">
        <v>359</v>
      </c>
      <c r="D1653" s="101" t="s">
        <v>91</v>
      </c>
      <c r="E1653" s="101" t="s">
        <v>577</v>
      </c>
      <c r="F1653" s="101">
        <v>14.0</v>
      </c>
      <c r="G1653" s="101" t="s">
        <v>2147</v>
      </c>
      <c r="H1653" s="63" t="str">
        <f>VLOOKUP(C1653, 'Class Def. - General Data'!$C$20:$C$476,1,false)</f>
        <v>ZSI1_FURNITURE</v>
      </c>
      <c r="I1653" s="63" t="str">
        <f t="shared" si="6"/>
        <v>ZSI1_FURNITURE14</v>
      </c>
      <c r="J1653" s="63">
        <f t="shared" si="7"/>
        <v>1</v>
      </c>
    </row>
    <row r="1654" ht="15.75" customHeight="1">
      <c r="B1654" s="95"/>
      <c r="C1654" s="105" t="s">
        <v>394</v>
      </c>
      <c r="D1654" s="101" t="s">
        <v>91</v>
      </c>
      <c r="E1654" s="101" t="s">
        <v>577</v>
      </c>
      <c r="F1654" s="101">
        <v>1.0</v>
      </c>
      <c r="G1654" s="101" t="s">
        <v>2148</v>
      </c>
      <c r="H1654" s="63" t="str">
        <f>VLOOKUP(C1654, 'Class Def. - General Data'!$C$20:$C$476,1,false)</f>
        <v>ZSI1_GASKET_SHEET</v>
      </c>
      <c r="I1654" s="63" t="str">
        <f t="shared" si="6"/>
        <v>ZSI1_GASKET_SHEET1</v>
      </c>
      <c r="J1654" s="63">
        <f t="shared" si="7"/>
        <v>1</v>
      </c>
    </row>
    <row r="1655" ht="15.75" customHeight="1">
      <c r="B1655" s="95"/>
      <c r="C1655" s="105" t="s">
        <v>395</v>
      </c>
      <c r="D1655" s="101" t="s">
        <v>91</v>
      </c>
      <c r="E1655" s="101" t="s">
        <v>577</v>
      </c>
      <c r="F1655" s="101">
        <v>1.0</v>
      </c>
      <c r="G1655" s="101" t="s">
        <v>2148</v>
      </c>
      <c r="H1655" s="63" t="str">
        <f>VLOOKUP(C1655, 'Class Def. - General Data'!$C$20:$C$476,1,false)</f>
        <v>ZSI1_GASKET_SP_WND</v>
      </c>
      <c r="I1655" s="63" t="str">
        <f t="shared" si="6"/>
        <v>ZSI1_GASKET_SP_WND1</v>
      </c>
      <c r="J1655" s="63">
        <f t="shared" si="7"/>
        <v>1</v>
      </c>
    </row>
    <row r="1656" ht="15.75" customHeight="1">
      <c r="B1656" s="95"/>
      <c r="C1656" s="105" t="s">
        <v>396</v>
      </c>
      <c r="D1656" s="101" t="s">
        <v>91</v>
      </c>
      <c r="E1656" s="101" t="s">
        <v>577</v>
      </c>
      <c r="F1656" s="101">
        <v>1.0</v>
      </c>
      <c r="G1656" s="101" t="s">
        <v>2149</v>
      </c>
      <c r="H1656" s="63" t="str">
        <f>VLOOKUP(C1656, 'Class Def. - General Data'!$C$20:$C$476,1,false)</f>
        <v>ZSI1_GAZEBO</v>
      </c>
      <c r="I1656" s="63" t="str">
        <f t="shared" si="6"/>
        <v>ZSI1_GAZEBO1</v>
      </c>
      <c r="J1656" s="63">
        <f t="shared" si="7"/>
        <v>1</v>
      </c>
    </row>
    <row r="1657" ht="15.75" customHeight="1">
      <c r="B1657" s="95"/>
      <c r="C1657" s="105" t="s">
        <v>325</v>
      </c>
      <c r="D1657" s="101" t="s">
        <v>91</v>
      </c>
      <c r="E1657" s="101" t="s">
        <v>577</v>
      </c>
      <c r="F1657" s="101">
        <v>1.0</v>
      </c>
      <c r="G1657" s="101" t="s">
        <v>2150</v>
      </c>
      <c r="H1657" s="63" t="str">
        <f>VLOOKUP(C1657, 'Class Def. - General Data'!$C$20:$C$476,1,false)</f>
        <v>ZSI1_GEAR</v>
      </c>
      <c r="I1657" s="63" t="str">
        <f t="shared" si="6"/>
        <v>ZSI1_GEAR1</v>
      </c>
      <c r="J1657" s="63">
        <f t="shared" si="7"/>
        <v>1</v>
      </c>
    </row>
    <row r="1658" ht="15.75" customHeight="1">
      <c r="B1658" s="95"/>
      <c r="C1658" s="105" t="s">
        <v>397</v>
      </c>
      <c r="D1658" s="101" t="s">
        <v>91</v>
      </c>
      <c r="E1658" s="101" t="s">
        <v>577</v>
      </c>
      <c r="F1658" s="101">
        <v>1.0</v>
      </c>
      <c r="G1658" s="101" t="s">
        <v>2151</v>
      </c>
      <c r="H1658" s="63" t="str">
        <f>VLOOKUP(C1658, 'Class Def. - General Data'!$C$20:$C$476,1,false)</f>
        <v>ZSI1_GLAND_PACKING</v>
      </c>
      <c r="I1658" s="63" t="str">
        <f t="shared" si="6"/>
        <v>ZSI1_GLAND_PACKING1</v>
      </c>
      <c r="J1658" s="63">
        <f t="shared" si="7"/>
        <v>1</v>
      </c>
    </row>
    <row r="1659" ht="15.75" customHeight="1">
      <c r="B1659" s="95"/>
      <c r="C1659" s="105" t="s">
        <v>497</v>
      </c>
      <c r="D1659" s="101" t="s">
        <v>91</v>
      </c>
      <c r="E1659" s="101" t="s">
        <v>577</v>
      </c>
      <c r="F1659" s="101">
        <v>1.0</v>
      </c>
      <c r="G1659" s="101" t="s">
        <v>2152</v>
      </c>
      <c r="H1659" s="63" t="str">
        <f>VLOOKUP(C1659, 'Class Def. - General Data'!$C$20:$C$476,1,false)</f>
        <v>ZSI1_GREASE</v>
      </c>
      <c r="I1659" s="63" t="str">
        <f t="shared" si="6"/>
        <v>ZSI1_GREASE1</v>
      </c>
      <c r="J1659" s="63">
        <f t="shared" si="7"/>
        <v>1</v>
      </c>
    </row>
    <row r="1660" ht="15.75" customHeight="1">
      <c r="B1660" s="95"/>
      <c r="C1660" s="105" t="s">
        <v>398</v>
      </c>
      <c r="D1660" s="101" t="s">
        <v>91</v>
      </c>
      <c r="E1660" s="101" t="s">
        <v>577</v>
      </c>
      <c r="F1660" s="101">
        <v>1.0</v>
      </c>
      <c r="G1660" s="101" t="s">
        <v>2153</v>
      </c>
      <c r="H1660" s="63" t="str">
        <f>VLOOKUP(C1660, 'Class Def. - General Data'!$C$20:$C$476,1,false)</f>
        <v>ZSI1_GRIND_WHEEL</v>
      </c>
      <c r="I1660" s="63" t="str">
        <f t="shared" si="6"/>
        <v>ZSI1_GRIND_WHEEL1</v>
      </c>
      <c r="J1660" s="63">
        <f t="shared" si="7"/>
        <v>1</v>
      </c>
    </row>
    <row r="1661" ht="15.75" customHeight="1">
      <c r="B1661" s="95"/>
      <c r="C1661" s="105" t="s">
        <v>399</v>
      </c>
      <c r="D1661" s="101" t="s">
        <v>91</v>
      </c>
      <c r="E1661" s="101" t="s">
        <v>577</v>
      </c>
      <c r="F1661" s="101">
        <v>1.0</v>
      </c>
      <c r="G1661" s="101" t="s">
        <v>1447</v>
      </c>
      <c r="H1661" s="63" t="str">
        <f>VLOOKUP(C1661, 'Class Def. - General Data'!$C$20:$C$476,1,false)</f>
        <v>ZSI1_GYPSUM_BOARD</v>
      </c>
      <c r="I1661" s="63" t="str">
        <f t="shared" si="6"/>
        <v>ZSI1_GYPSUM_BOARD1</v>
      </c>
      <c r="J1661" s="63">
        <f t="shared" si="7"/>
        <v>1</v>
      </c>
    </row>
    <row r="1662" ht="15.75" customHeight="1">
      <c r="B1662" s="95"/>
      <c r="C1662" s="105" t="s">
        <v>400</v>
      </c>
      <c r="D1662" s="101" t="s">
        <v>91</v>
      </c>
      <c r="E1662" s="101" t="s">
        <v>577</v>
      </c>
      <c r="F1662" s="101">
        <v>1.0</v>
      </c>
      <c r="G1662" s="101" t="s">
        <v>2154</v>
      </c>
      <c r="H1662" s="63" t="str">
        <f>VLOOKUP(C1662, 'Class Def. - General Data'!$C$20:$C$476,1,false)</f>
        <v>ZSI1_H_BEAM</v>
      </c>
      <c r="I1662" s="63" t="str">
        <f t="shared" si="6"/>
        <v>ZSI1_H_BEAM1</v>
      </c>
      <c r="J1662" s="63">
        <f t="shared" si="7"/>
        <v>1</v>
      </c>
    </row>
    <row r="1663" ht="15.75" customHeight="1">
      <c r="B1663" s="95"/>
      <c r="C1663" s="105" t="s">
        <v>295</v>
      </c>
      <c r="D1663" s="101" t="s">
        <v>91</v>
      </c>
      <c r="E1663" s="101" t="s">
        <v>577</v>
      </c>
      <c r="F1663" s="101">
        <v>1.0</v>
      </c>
      <c r="G1663" s="101" t="s">
        <v>2155</v>
      </c>
      <c r="H1663" s="63" t="str">
        <f>VLOOKUP(C1663, 'Class Def. - General Data'!$C$20:$C$476,1,false)</f>
        <v>ZSI1_HAND_TOOL</v>
      </c>
      <c r="I1663" s="63" t="str">
        <f t="shared" si="6"/>
        <v>ZSI1_HAND_TOOL1</v>
      </c>
      <c r="J1663" s="63">
        <f t="shared" si="7"/>
        <v>1</v>
      </c>
    </row>
    <row r="1664" ht="15.75" customHeight="1">
      <c r="B1664" s="95"/>
      <c r="C1664" s="105" t="s">
        <v>401</v>
      </c>
      <c r="D1664" s="101" t="s">
        <v>91</v>
      </c>
      <c r="E1664" s="101" t="s">
        <v>577</v>
      </c>
      <c r="F1664" s="101">
        <v>1.0</v>
      </c>
      <c r="G1664" s="101" t="s">
        <v>2156</v>
      </c>
      <c r="H1664" s="63" t="str">
        <f>VLOOKUP(C1664, 'Class Def. - General Data'!$C$20:$C$476,1,false)</f>
        <v>ZSI1_HEATING_EQP</v>
      </c>
      <c r="I1664" s="63" t="str">
        <f t="shared" si="6"/>
        <v>ZSI1_HEATING_EQP1</v>
      </c>
      <c r="J1664" s="63">
        <f t="shared" si="7"/>
        <v>1</v>
      </c>
    </row>
    <row r="1665" ht="15.75" customHeight="1">
      <c r="B1665" s="95"/>
      <c r="C1665" s="105" t="s">
        <v>402</v>
      </c>
      <c r="D1665" s="101" t="s">
        <v>91</v>
      </c>
      <c r="E1665" s="101" t="s">
        <v>577</v>
      </c>
      <c r="F1665" s="101">
        <v>1.0</v>
      </c>
      <c r="G1665" s="101" t="s">
        <v>2157</v>
      </c>
      <c r="H1665" s="63" t="str">
        <f>VLOOKUP(C1665, 'Class Def. - General Data'!$C$20:$C$476,1,false)</f>
        <v>ZSI1_HOLLOW_STRCT</v>
      </c>
      <c r="I1665" s="63" t="str">
        <f t="shared" si="6"/>
        <v>ZSI1_HOLLOW_STRCT1</v>
      </c>
      <c r="J1665" s="63">
        <f t="shared" si="7"/>
        <v>1</v>
      </c>
    </row>
    <row r="1666" ht="15.75" customHeight="1">
      <c r="B1666" s="95"/>
      <c r="C1666" s="105" t="s">
        <v>498</v>
      </c>
      <c r="D1666" s="101" t="s">
        <v>91</v>
      </c>
      <c r="E1666" s="101" t="s">
        <v>577</v>
      </c>
      <c r="F1666" s="101">
        <v>1.0</v>
      </c>
      <c r="G1666" s="101" t="s">
        <v>2158</v>
      </c>
      <c r="H1666" s="63" t="str">
        <f>VLOOKUP(C1666, 'Class Def. - General Data'!$C$20:$C$476,1,false)</f>
        <v>ZSI1_INVERTER</v>
      </c>
      <c r="I1666" s="63" t="str">
        <f t="shared" si="6"/>
        <v>ZSI1_INVERTER1</v>
      </c>
      <c r="J1666" s="63">
        <f t="shared" si="7"/>
        <v>1</v>
      </c>
    </row>
    <row r="1667" ht="15.75" customHeight="1">
      <c r="B1667" s="95"/>
      <c r="C1667" s="105" t="s">
        <v>488</v>
      </c>
      <c r="D1667" s="101" t="s">
        <v>91</v>
      </c>
      <c r="E1667" s="101" t="s">
        <v>577</v>
      </c>
      <c r="F1667" s="101">
        <v>1.0</v>
      </c>
      <c r="G1667" s="101" t="s">
        <v>2159</v>
      </c>
      <c r="H1667" s="63" t="str">
        <f>VLOOKUP(C1667, 'Class Def. - General Data'!$C$20:$C$476,1,false)</f>
        <v>ZSI1_JUMPER_BAR</v>
      </c>
      <c r="I1667" s="63" t="str">
        <f t="shared" si="6"/>
        <v>ZSI1_JUMPER_BAR1</v>
      </c>
      <c r="J1667" s="63">
        <f t="shared" si="7"/>
        <v>1</v>
      </c>
    </row>
    <row r="1668" ht="15.75" customHeight="1">
      <c r="B1668" s="95"/>
      <c r="C1668" s="105" t="s">
        <v>509</v>
      </c>
      <c r="D1668" s="101" t="s">
        <v>91</v>
      </c>
      <c r="E1668" s="101" t="s">
        <v>577</v>
      </c>
      <c r="F1668" s="101">
        <v>1.0</v>
      </c>
      <c r="G1668" s="101" t="s">
        <v>2160</v>
      </c>
      <c r="H1668" s="63" t="str">
        <f>VLOOKUP(C1668, 'Class Def. - General Data'!$C$20:$C$476,1,false)</f>
        <v>ZSI1_KARPET</v>
      </c>
      <c r="I1668" s="63" t="str">
        <f t="shared" si="6"/>
        <v>ZSI1_KARPET1</v>
      </c>
      <c r="J1668" s="63">
        <f t="shared" si="7"/>
        <v>1</v>
      </c>
    </row>
    <row r="1669" ht="15.75" customHeight="1">
      <c r="B1669" s="95"/>
      <c r="C1669" s="105" t="s">
        <v>509</v>
      </c>
      <c r="D1669" s="101" t="s">
        <v>91</v>
      </c>
      <c r="E1669" s="101" t="s">
        <v>577</v>
      </c>
      <c r="F1669" s="101">
        <v>2.0</v>
      </c>
      <c r="G1669" s="101" t="s">
        <v>2161</v>
      </c>
      <c r="H1669" s="63" t="str">
        <f>VLOOKUP(C1669, 'Class Def. - General Data'!$C$20:$C$476,1,false)</f>
        <v>ZSI1_KARPET</v>
      </c>
      <c r="I1669" s="63" t="str">
        <f t="shared" si="6"/>
        <v>ZSI1_KARPET2</v>
      </c>
      <c r="J1669" s="63">
        <f t="shared" si="7"/>
        <v>1</v>
      </c>
    </row>
    <row r="1670" ht="15.75" customHeight="1">
      <c r="B1670" s="95"/>
      <c r="C1670" s="105" t="s">
        <v>509</v>
      </c>
      <c r="D1670" s="101" t="s">
        <v>91</v>
      </c>
      <c r="E1670" s="101" t="s">
        <v>577</v>
      </c>
      <c r="F1670" s="101">
        <v>3.0</v>
      </c>
      <c r="G1670" s="101" t="s">
        <v>2162</v>
      </c>
      <c r="H1670" s="63" t="str">
        <f>VLOOKUP(C1670, 'Class Def. - General Data'!$C$20:$C$476,1,false)</f>
        <v>ZSI1_KARPET</v>
      </c>
      <c r="I1670" s="63" t="str">
        <f t="shared" si="6"/>
        <v>ZSI1_KARPET3</v>
      </c>
      <c r="J1670" s="63">
        <f t="shared" si="7"/>
        <v>1</v>
      </c>
    </row>
    <row r="1671" ht="15.75" customHeight="1">
      <c r="B1671" s="95"/>
      <c r="C1671" s="105" t="s">
        <v>403</v>
      </c>
      <c r="D1671" s="101" t="s">
        <v>91</v>
      </c>
      <c r="E1671" s="101" t="s">
        <v>577</v>
      </c>
      <c r="F1671" s="101">
        <v>1.0</v>
      </c>
      <c r="G1671" s="101" t="s">
        <v>2163</v>
      </c>
      <c r="H1671" s="63" t="str">
        <f>VLOOKUP(C1671, 'Class Def. - General Data'!$C$20:$C$476,1,false)</f>
        <v>ZSI1_KARTU</v>
      </c>
      <c r="I1671" s="63" t="str">
        <f t="shared" si="6"/>
        <v>ZSI1_KARTU1</v>
      </c>
      <c r="J1671" s="63">
        <f t="shared" si="7"/>
        <v>1</v>
      </c>
    </row>
    <row r="1672" ht="15.75" customHeight="1">
      <c r="B1672" s="95"/>
      <c r="C1672" s="105" t="s">
        <v>404</v>
      </c>
      <c r="D1672" s="101" t="s">
        <v>91</v>
      </c>
      <c r="E1672" s="101" t="s">
        <v>577</v>
      </c>
      <c r="F1672" s="101">
        <v>1.0</v>
      </c>
      <c r="G1672" s="101" t="s">
        <v>2164</v>
      </c>
      <c r="H1672" s="63" t="str">
        <f>VLOOKUP(C1672, 'Class Def. - General Data'!$C$20:$C$476,1,false)</f>
        <v>ZSI1_KITCHEN_APPLN</v>
      </c>
      <c r="I1672" s="63" t="str">
        <f t="shared" si="6"/>
        <v>ZSI1_KITCHEN_APPLN1</v>
      </c>
      <c r="J1672" s="63">
        <f t="shared" si="7"/>
        <v>1</v>
      </c>
    </row>
    <row r="1673" ht="15.75" customHeight="1">
      <c r="B1673" s="95"/>
      <c r="C1673" s="105" t="s">
        <v>405</v>
      </c>
      <c r="D1673" s="101" t="s">
        <v>91</v>
      </c>
      <c r="E1673" s="101" t="s">
        <v>577</v>
      </c>
      <c r="F1673" s="101">
        <v>1.0</v>
      </c>
      <c r="G1673" s="101" t="s">
        <v>2165</v>
      </c>
      <c r="H1673" s="63" t="str">
        <f>VLOOKUP(C1673, 'Class Def. - General Data'!$C$20:$C$476,1,false)</f>
        <v>ZSI1_LAB_EQUIPMENT</v>
      </c>
      <c r="I1673" s="63" t="str">
        <f t="shared" si="6"/>
        <v>ZSI1_LAB_EQUIPMENT1</v>
      </c>
      <c r="J1673" s="63">
        <f t="shared" si="7"/>
        <v>1</v>
      </c>
    </row>
    <row r="1674" ht="15.75" customHeight="1">
      <c r="B1674" s="95"/>
      <c r="C1674" s="105" t="s">
        <v>407</v>
      </c>
      <c r="D1674" s="101" t="s">
        <v>91</v>
      </c>
      <c r="E1674" s="101" t="s">
        <v>577</v>
      </c>
      <c r="F1674" s="101">
        <v>1.0</v>
      </c>
      <c r="G1674" s="101" t="s">
        <v>2166</v>
      </c>
      <c r="H1674" s="63" t="str">
        <f>VLOOKUP(C1674, 'Class Def. - General Data'!$C$20:$C$476,1,false)</f>
        <v>ZSI1_LAB_GLASSWARE</v>
      </c>
      <c r="I1674" s="63" t="str">
        <f t="shared" si="6"/>
        <v>ZSI1_LAB_GLASSWARE1</v>
      </c>
      <c r="J1674" s="63">
        <f t="shared" si="7"/>
        <v>1</v>
      </c>
    </row>
    <row r="1675" ht="15.75" customHeight="1">
      <c r="B1675" s="95"/>
      <c r="C1675" s="105" t="s">
        <v>406</v>
      </c>
      <c r="D1675" s="101" t="s">
        <v>91</v>
      </c>
      <c r="E1675" s="101" t="s">
        <v>577</v>
      </c>
      <c r="F1675" s="101">
        <v>1.0</v>
      </c>
      <c r="G1675" s="101" t="s">
        <v>2167</v>
      </c>
      <c r="H1675" s="63" t="str">
        <f>VLOOKUP(C1675, 'Class Def. - General Data'!$C$20:$C$476,1,false)</f>
        <v>ZSI1_LAB_SIEVE</v>
      </c>
      <c r="I1675" s="63" t="str">
        <f t="shared" si="6"/>
        <v>ZSI1_LAB_SIEVE1</v>
      </c>
      <c r="J1675" s="63">
        <f t="shared" si="7"/>
        <v>1</v>
      </c>
    </row>
    <row r="1676" ht="15.75" customHeight="1">
      <c r="B1676" s="95"/>
      <c r="C1676" s="105" t="s">
        <v>408</v>
      </c>
      <c r="D1676" s="101" t="s">
        <v>91</v>
      </c>
      <c r="E1676" s="101" t="s">
        <v>577</v>
      </c>
      <c r="F1676" s="101">
        <v>1.0</v>
      </c>
      <c r="G1676" s="101" t="s">
        <v>2168</v>
      </c>
      <c r="H1676" s="63" t="str">
        <f>VLOOKUP(C1676, 'Class Def. - General Data'!$C$20:$C$476,1,false)</f>
        <v>ZSI1_LADDER</v>
      </c>
      <c r="I1676" s="63" t="str">
        <f t="shared" si="6"/>
        <v>ZSI1_LADDER1</v>
      </c>
      <c r="J1676" s="63">
        <f t="shared" si="7"/>
        <v>1</v>
      </c>
    </row>
    <row r="1677" ht="15.75" customHeight="1">
      <c r="B1677" s="95"/>
      <c r="C1677" s="105" t="s">
        <v>499</v>
      </c>
      <c r="D1677" s="101" t="s">
        <v>91</v>
      </c>
      <c r="E1677" s="101" t="s">
        <v>577</v>
      </c>
      <c r="F1677" s="101">
        <v>1.0</v>
      </c>
      <c r="G1677" s="101" t="s">
        <v>2169</v>
      </c>
      <c r="H1677" s="63" t="str">
        <f>VLOOKUP(C1677, 'Class Def. - General Data'!$C$20:$C$476,1,false)</f>
        <v>ZSI1_LAMP</v>
      </c>
      <c r="I1677" s="63" t="str">
        <f t="shared" si="6"/>
        <v>ZSI1_LAMP1</v>
      </c>
      <c r="J1677" s="63">
        <f t="shared" si="7"/>
        <v>1</v>
      </c>
    </row>
    <row r="1678" ht="15.75" customHeight="1">
      <c r="B1678" s="95"/>
      <c r="C1678" s="105" t="s">
        <v>409</v>
      </c>
      <c r="D1678" s="101" t="s">
        <v>91</v>
      </c>
      <c r="E1678" s="101" t="s">
        <v>577</v>
      </c>
      <c r="F1678" s="101">
        <v>1.0</v>
      </c>
      <c r="G1678" s="101" t="s">
        <v>2170</v>
      </c>
      <c r="H1678" s="63" t="str">
        <f>VLOOKUP(C1678, 'Class Def. - General Data'!$C$20:$C$476,1,false)</f>
        <v>ZSI1_LAMP_COMP</v>
      </c>
      <c r="I1678" s="63" t="str">
        <f t="shared" si="6"/>
        <v>ZSI1_LAMP_COMP1</v>
      </c>
      <c r="J1678" s="63">
        <f t="shared" si="7"/>
        <v>1</v>
      </c>
    </row>
    <row r="1679" ht="15.75" customHeight="1">
      <c r="B1679" s="95"/>
      <c r="C1679" s="105" t="s">
        <v>410</v>
      </c>
      <c r="D1679" s="101" t="s">
        <v>91</v>
      </c>
      <c r="E1679" s="101" t="s">
        <v>577</v>
      </c>
      <c r="F1679" s="101">
        <v>1.0</v>
      </c>
      <c r="G1679" s="101" t="s">
        <v>2171</v>
      </c>
      <c r="H1679" s="63" t="str">
        <f>VLOOKUP(C1679, 'Class Def. - General Data'!$C$20:$C$476,1,false)</f>
        <v>ZSI1_LAUNDRY_EQP</v>
      </c>
      <c r="I1679" s="63" t="str">
        <f t="shared" si="6"/>
        <v>ZSI1_LAUNDRY_EQP1</v>
      </c>
      <c r="J1679" s="63">
        <f t="shared" si="7"/>
        <v>1</v>
      </c>
    </row>
    <row r="1680" ht="15.75" customHeight="1">
      <c r="B1680" s="95"/>
      <c r="C1680" s="105" t="s">
        <v>411</v>
      </c>
      <c r="D1680" s="101" t="s">
        <v>91</v>
      </c>
      <c r="E1680" s="101" t="s">
        <v>577</v>
      </c>
      <c r="F1680" s="101">
        <v>1.0</v>
      </c>
      <c r="G1680" s="101" t="s">
        <v>2172</v>
      </c>
      <c r="H1680" s="63" t="str">
        <f>VLOOKUP(C1680, 'Class Def. - General Data'!$C$20:$C$476,1,false)</f>
        <v>ZSI1_LAUNDRY_SUPP</v>
      </c>
      <c r="I1680" s="63" t="str">
        <f t="shared" si="6"/>
        <v>ZSI1_LAUNDRY_SUPP1</v>
      </c>
      <c r="J1680" s="63">
        <f t="shared" si="7"/>
        <v>1</v>
      </c>
    </row>
    <row r="1681" ht="15.75" customHeight="1">
      <c r="B1681" s="95"/>
      <c r="C1681" s="105" t="s">
        <v>412</v>
      </c>
      <c r="D1681" s="101" t="s">
        <v>91</v>
      </c>
      <c r="E1681" s="101" t="s">
        <v>577</v>
      </c>
      <c r="F1681" s="101">
        <v>1.0</v>
      </c>
      <c r="G1681" s="101" t="s">
        <v>2173</v>
      </c>
      <c r="H1681" s="63" t="str">
        <f>VLOOKUP(C1681, 'Class Def. - General Data'!$C$20:$C$476,1,false)</f>
        <v>ZSI1_LIFTING_EQP</v>
      </c>
      <c r="I1681" s="63" t="str">
        <f t="shared" si="6"/>
        <v>ZSI1_LIFTING_EQP1</v>
      </c>
      <c r="J1681" s="63">
        <f t="shared" si="7"/>
        <v>1</v>
      </c>
    </row>
    <row r="1682" ht="15.75" customHeight="1">
      <c r="B1682" s="95"/>
      <c r="C1682" s="105" t="s">
        <v>413</v>
      </c>
      <c r="D1682" s="101" t="s">
        <v>91</v>
      </c>
      <c r="E1682" s="101" t="s">
        <v>577</v>
      </c>
      <c r="F1682" s="101">
        <v>1.0</v>
      </c>
      <c r="G1682" s="101" t="s">
        <v>2174</v>
      </c>
      <c r="H1682" s="63" t="str">
        <f>VLOOKUP(C1682, 'Class Def. - General Data'!$C$20:$C$476,1,false)</f>
        <v>ZSI1_LIGHT_BOX</v>
      </c>
      <c r="I1682" s="63" t="str">
        <f t="shared" si="6"/>
        <v>ZSI1_LIGHT_BOX1</v>
      </c>
      <c r="J1682" s="63">
        <f t="shared" si="7"/>
        <v>1</v>
      </c>
    </row>
    <row r="1683" ht="15.75" customHeight="1">
      <c r="B1683" s="95"/>
      <c r="C1683" s="105" t="s">
        <v>334</v>
      </c>
      <c r="D1683" s="101" t="s">
        <v>91</v>
      </c>
      <c r="E1683" s="101" t="s">
        <v>577</v>
      </c>
      <c r="F1683" s="101">
        <v>1.0</v>
      </c>
      <c r="G1683" s="101" t="s">
        <v>2175</v>
      </c>
      <c r="H1683" s="63" t="str">
        <f>VLOOKUP(C1683, 'Class Def. - General Data'!$C$20:$C$476,1,false)</f>
        <v>ZSI1_LIGHT_FIXTURE</v>
      </c>
      <c r="I1683" s="63" t="str">
        <f t="shared" si="6"/>
        <v>ZSI1_LIGHT_FIXTURE1</v>
      </c>
      <c r="J1683" s="63">
        <f t="shared" si="7"/>
        <v>1</v>
      </c>
    </row>
    <row r="1684" ht="15.75" customHeight="1">
      <c r="B1684" s="95"/>
      <c r="C1684" s="105" t="s">
        <v>414</v>
      </c>
      <c r="D1684" s="101" t="s">
        <v>91</v>
      </c>
      <c r="E1684" s="101" t="s">
        <v>577</v>
      </c>
      <c r="F1684" s="101">
        <v>1.0</v>
      </c>
      <c r="G1684" s="101" t="s">
        <v>2176</v>
      </c>
      <c r="H1684" s="63" t="str">
        <f>VLOOKUP(C1684, 'Class Def. - General Data'!$C$20:$C$476,1,false)</f>
        <v>ZSI1_LIME</v>
      </c>
      <c r="I1684" s="63" t="str">
        <f t="shared" si="6"/>
        <v>ZSI1_LIME1</v>
      </c>
      <c r="J1684" s="63">
        <f t="shared" si="7"/>
        <v>1</v>
      </c>
    </row>
    <row r="1685" ht="15.75" customHeight="1">
      <c r="B1685" s="95"/>
      <c r="C1685" s="105" t="s">
        <v>415</v>
      </c>
      <c r="D1685" s="101" t="s">
        <v>91</v>
      </c>
      <c r="E1685" s="101" t="s">
        <v>577</v>
      </c>
      <c r="F1685" s="101">
        <v>1.0</v>
      </c>
      <c r="G1685" s="101" t="s">
        <v>2177</v>
      </c>
      <c r="H1685" s="63" t="str">
        <f>VLOOKUP(C1685, 'Class Def. - General Data'!$C$20:$C$476,1,false)</f>
        <v>ZSI1_LOCK_KEY</v>
      </c>
      <c r="I1685" s="63" t="str">
        <f t="shared" si="6"/>
        <v>ZSI1_LOCK_KEY1</v>
      </c>
      <c r="J1685" s="63">
        <f t="shared" si="7"/>
        <v>1</v>
      </c>
    </row>
    <row r="1686" ht="15.75" customHeight="1">
      <c r="B1686" s="95"/>
      <c r="C1686" s="105" t="s">
        <v>318</v>
      </c>
      <c r="D1686" s="101" t="s">
        <v>91</v>
      </c>
      <c r="E1686" s="101" t="s">
        <v>577</v>
      </c>
      <c r="F1686" s="101">
        <v>1.0</v>
      </c>
      <c r="G1686" s="101" t="s">
        <v>2178</v>
      </c>
      <c r="H1686" s="63" t="str">
        <f>VLOOKUP(C1686, 'Class Def. - General Data'!$C$20:$C$476,1,false)</f>
        <v>ZSI1_LOCK_NUT</v>
      </c>
      <c r="I1686" s="63" t="str">
        <f t="shared" si="6"/>
        <v>ZSI1_LOCK_NUT1</v>
      </c>
      <c r="J1686" s="63">
        <f t="shared" si="7"/>
        <v>1</v>
      </c>
    </row>
    <row r="1687" ht="15.75" customHeight="1">
      <c r="B1687" s="95"/>
      <c r="C1687" s="105" t="s">
        <v>416</v>
      </c>
      <c r="D1687" s="101" t="s">
        <v>91</v>
      </c>
      <c r="E1687" s="101" t="s">
        <v>577</v>
      </c>
      <c r="F1687" s="101">
        <v>1.0</v>
      </c>
      <c r="G1687" s="101" t="s">
        <v>2179</v>
      </c>
      <c r="H1687" s="63" t="str">
        <f>VLOOKUP(C1687, 'Class Def. - General Data'!$C$20:$C$476,1,false)</f>
        <v>ZSI1_LOGO_PROJECT</v>
      </c>
      <c r="I1687" s="63" t="str">
        <f t="shared" si="6"/>
        <v>ZSI1_LOGO_PROJECT1</v>
      </c>
      <c r="J1687" s="63">
        <f t="shared" si="7"/>
        <v>1</v>
      </c>
    </row>
    <row r="1688" ht="15.75" customHeight="1">
      <c r="B1688" s="95"/>
      <c r="C1688" s="105" t="s">
        <v>309</v>
      </c>
      <c r="D1688" s="101" t="s">
        <v>91</v>
      </c>
      <c r="E1688" s="101" t="s">
        <v>577</v>
      </c>
      <c r="F1688" s="101">
        <v>1.0</v>
      </c>
      <c r="G1688" s="101" t="s">
        <v>2180</v>
      </c>
      <c r="H1688" s="63" t="str">
        <f>VLOOKUP(C1688, 'Class Def. - General Data'!$C$20:$C$476,1,false)</f>
        <v>ZSI1_LUB_OIL</v>
      </c>
      <c r="I1688" s="63" t="str">
        <f t="shared" si="6"/>
        <v>ZSI1_LUB_OIL1</v>
      </c>
      <c r="J1688" s="63">
        <f t="shared" si="7"/>
        <v>1</v>
      </c>
    </row>
    <row r="1689" ht="15.75" customHeight="1">
      <c r="B1689" s="95"/>
      <c r="C1689" s="105" t="s">
        <v>417</v>
      </c>
      <c r="D1689" s="101" t="s">
        <v>91</v>
      </c>
      <c r="E1689" s="101" t="s">
        <v>577</v>
      </c>
      <c r="F1689" s="101">
        <v>1.0</v>
      </c>
      <c r="G1689" s="101" t="s">
        <v>2181</v>
      </c>
      <c r="H1689" s="63" t="str">
        <f>VLOOKUP(C1689, 'Class Def. - General Data'!$C$20:$C$476,1,false)</f>
        <v>ZSI1_MANUAL_BOOK</v>
      </c>
      <c r="I1689" s="63" t="str">
        <f t="shared" si="6"/>
        <v>ZSI1_MANUAL_BOOK1</v>
      </c>
      <c r="J1689" s="63">
        <f t="shared" si="7"/>
        <v>1</v>
      </c>
    </row>
    <row r="1690" ht="15.75" customHeight="1">
      <c r="B1690" s="95"/>
      <c r="C1690" s="105" t="s">
        <v>329</v>
      </c>
      <c r="D1690" s="101" t="s">
        <v>91</v>
      </c>
      <c r="E1690" s="101" t="s">
        <v>577</v>
      </c>
      <c r="F1690" s="101">
        <v>1.0</v>
      </c>
      <c r="G1690" s="101" t="s">
        <v>2182</v>
      </c>
      <c r="H1690" s="63" t="str">
        <f>VLOOKUP(C1690, 'Class Def. - General Data'!$C$20:$C$476,1,false)</f>
        <v>ZSI1_MATL_HANDLING</v>
      </c>
      <c r="I1690" s="63" t="str">
        <f t="shared" si="6"/>
        <v>ZSI1_MATL_HANDLING1</v>
      </c>
      <c r="J1690" s="63">
        <f t="shared" si="7"/>
        <v>1</v>
      </c>
    </row>
    <row r="1691" ht="15.75" customHeight="1">
      <c r="B1691" s="95"/>
      <c r="C1691" s="105" t="s">
        <v>336</v>
      </c>
      <c r="D1691" s="101" t="s">
        <v>91</v>
      </c>
      <c r="E1691" s="101" t="s">
        <v>577</v>
      </c>
      <c r="F1691" s="101">
        <v>1.0</v>
      </c>
      <c r="G1691" s="101" t="s">
        <v>2183</v>
      </c>
      <c r="H1691" s="63" t="str">
        <f>VLOOKUP(C1691, 'Class Def. - General Data'!$C$20:$C$476,1,false)</f>
        <v>ZSI1_MC_COMPONENT</v>
      </c>
      <c r="I1691" s="63" t="str">
        <f t="shared" si="6"/>
        <v>ZSI1_MC_COMPONENT1</v>
      </c>
      <c r="J1691" s="63">
        <f t="shared" si="7"/>
        <v>1</v>
      </c>
    </row>
    <row r="1692" ht="15.75" customHeight="1">
      <c r="B1692" s="95"/>
      <c r="C1692" s="105" t="s">
        <v>418</v>
      </c>
      <c r="D1692" s="101" t="s">
        <v>91</v>
      </c>
      <c r="E1692" s="101" t="s">
        <v>577</v>
      </c>
      <c r="F1692" s="101">
        <v>1.0</v>
      </c>
      <c r="G1692" s="101" t="s">
        <v>2184</v>
      </c>
      <c r="H1692" s="63" t="str">
        <f>VLOOKUP(C1692, 'Class Def. - General Data'!$C$20:$C$476,1,false)</f>
        <v>ZSI1_MDF_BOARD</v>
      </c>
      <c r="I1692" s="63" t="str">
        <f t="shared" si="6"/>
        <v>ZSI1_MDF_BOARD1</v>
      </c>
      <c r="J1692" s="63">
        <f t="shared" si="7"/>
        <v>1</v>
      </c>
    </row>
    <row r="1693" ht="15.75" customHeight="1">
      <c r="B1693" s="95"/>
      <c r="C1693" s="105" t="s">
        <v>307</v>
      </c>
      <c r="D1693" s="101" t="s">
        <v>91</v>
      </c>
      <c r="E1693" s="101" t="s">
        <v>577</v>
      </c>
      <c r="F1693" s="101">
        <v>1.0</v>
      </c>
      <c r="G1693" s="101" t="s">
        <v>2185</v>
      </c>
      <c r="H1693" s="63" t="str">
        <f>VLOOKUP(C1693, 'Class Def. - General Data'!$C$20:$C$476,1,false)</f>
        <v>ZSI1_MEASURE_INST</v>
      </c>
      <c r="I1693" s="63" t="str">
        <f t="shared" si="6"/>
        <v>ZSI1_MEASURE_INST1</v>
      </c>
      <c r="J1693" s="63">
        <f t="shared" si="7"/>
        <v>1</v>
      </c>
    </row>
    <row r="1694" ht="15.75" customHeight="1">
      <c r="B1694" s="95"/>
      <c r="C1694" s="105" t="s">
        <v>419</v>
      </c>
      <c r="D1694" s="101" t="s">
        <v>91</v>
      </c>
      <c r="E1694" s="101" t="s">
        <v>577</v>
      </c>
      <c r="F1694" s="101">
        <v>1.0</v>
      </c>
      <c r="G1694" s="101" t="s">
        <v>2186</v>
      </c>
      <c r="H1694" s="63" t="str">
        <f>VLOOKUP(C1694, 'Class Def. - General Data'!$C$20:$C$476,1,false)</f>
        <v>ZSI1_MECH_SEAL</v>
      </c>
      <c r="I1694" s="63" t="str">
        <f t="shared" si="6"/>
        <v>ZSI1_MECH_SEAL1</v>
      </c>
      <c r="J1694" s="63">
        <f t="shared" si="7"/>
        <v>1</v>
      </c>
    </row>
    <row r="1695" ht="15.75" customHeight="1">
      <c r="B1695" s="95"/>
      <c r="C1695" s="105" t="s">
        <v>420</v>
      </c>
      <c r="D1695" s="101" t="s">
        <v>91</v>
      </c>
      <c r="E1695" s="101" t="s">
        <v>577</v>
      </c>
      <c r="F1695" s="101">
        <v>1.0</v>
      </c>
      <c r="G1695" s="101" t="s">
        <v>2187</v>
      </c>
      <c r="H1695" s="63" t="str">
        <f>VLOOKUP(C1695, 'Class Def. - General Data'!$C$20:$C$476,1,false)</f>
        <v>ZSI1_MED_SUPPLIES</v>
      </c>
      <c r="I1695" s="63" t="str">
        <f t="shared" si="6"/>
        <v>ZSI1_MED_SUPPLIES1</v>
      </c>
      <c r="J1695" s="63">
        <f t="shared" si="7"/>
        <v>1</v>
      </c>
    </row>
    <row r="1696" ht="15.75" customHeight="1">
      <c r="B1696" s="95"/>
      <c r="C1696" s="105" t="s">
        <v>333</v>
      </c>
      <c r="D1696" s="101" t="s">
        <v>91</v>
      </c>
      <c r="E1696" s="101" t="s">
        <v>577</v>
      </c>
      <c r="F1696" s="101">
        <v>1.0</v>
      </c>
      <c r="G1696" s="101" t="s">
        <v>2188</v>
      </c>
      <c r="H1696" s="63" t="str">
        <f>VLOOKUP(C1696, 'Class Def. - General Data'!$C$20:$C$476,1,false)</f>
        <v>ZSI1_MEDICAL_EQUIP</v>
      </c>
      <c r="I1696" s="63" t="str">
        <f t="shared" si="6"/>
        <v>ZSI1_MEDICAL_EQUIP1</v>
      </c>
      <c r="J1696" s="63">
        <f t="shared" si="7"/>
        <v>1</v>
      </c>
    </row>
    <row r="1697" ht="15.75" customHeight="1">
      <c r="B1697" s="95"/>
      <c r="C1697" s="105" t="s">
        <v>333</v>
      </c>
      <c r="D1697" s="101" t="s">
        <v>91</v>
      </c>
      <c r="E1697" s="101" t="s">
        <v>577</v>
      </c>
      <c r="F1697" s="101">
        <v>2.0</v>
      </c>
      <c r="G1697" s="101" t="s">
        <v>2189</v>
      </c>
      <c r="H1697" s="63" t="str">
        <f>VLOOKUP(C1697, 'Class Def. - General Data'!$C$20:$C$476,1,false)</f>
        <v>ZSI1_MEDICAL_EQUIP</v>
      </c>
      <c r="I1697" s="63" t="str">
        <f t="shared" si="6"/>
        <v>ZSI1_MEDICAL_EQUIP2</v>
      </c>
      <c r="J1697" s="63">
        <f t="shared" si="7"/>
        <v>1</v>
      </c>
    </row>
    <row r="1698" ht="15.75" customHeight="1">
      <c r="B1698" s="95"/>
      <c r="C1698" s="105" t="s">
        <v>421</v>
      </c>
      <c r="D1698" s="101" t="s">
        <v>91</v>
      </c>
      <c r="E1698" s="101" t="s">
        <v>577</v>
      </c>
      <c r="F1698" s="101">
        <v>1.0</v>
      </c>
      <c r="G1698" s="101" t="s">
        <v>2190</v>
      </c>
      <c r="H1698" s="63" t="str">
        <f>VLOOKUP(C1698, 'Class Def. - General Data'!$C$20:$C$476,1,false)</f>
        <v>ZSI1_MISC_CONTAIN</v>
      </c>
      <c r="I1698" s="63" t="str">
        <f t="shared" si="6"/>
        <v>ZSI1_MISC_CONTAIN1</v>
      </c>
      <c r="J1698" s="63">
        <f t="shared" si="7"/>
        <v>1</v>
      </c>
    </row>
    <row r="1699" ht="15.75" customHeight="1">
      <c r="B1699" s="95"/>
      <c r="C1699" s="105" t="s">
        <v>421</v>
      </c>
      <c r="D1699" s="101" t="s">
        <v>91</v>
      </c>
      <c r="E1699" s="101" t="s">
        <v>577</v>
      </c>
      <c r="F1699" s="101">
        <v>2.0</v>
      </c>
      <c r="G1699" s="101" t="s">
        <v>2191</v>
      </c>
      <c r="H1699" s="63" t="str">
        <f>VLOOKUP(C1699, 'Class Def. - General Data'!$C$20:$C$476,1,false)</f>
        <v>ZSI1_MISC_CONTAIN</v>
      </c>
      <c r="I1699" s="63" t="str">
        <f t="shared" si="6"/>
        <v>ZSI1_MISC_CONTAIN2</v>
      </c>
      <c r="J1699" s="63">
        <f t="shared" si="7"/>
        <v>1</v>
      </c>
    </row>
    <row r="1700" ht="15.75" customHeight="1">
      <c r="B1700" s="95"/>
      <c r="C1700" s="105" t="s">
        <v>421</v>
      </c>
      <c r="D1700" s="101" t="s">
        <v>91</v>
      </c>
      <c r="E1700" s="101" t="s">
        <v>577</v>
      </c>
      <c r="F1700" s="101">
        <v>3.0</v>
      </c>
      <c r="G1700" s="101" t="s">
        <v>2192</v>
      </c>
      <c r="H1700" s="63" t="str">
        <f>VLOOKUP(C1700, 'Class Def. - General Data'!$C$20:$C$476,1,false)</f>
        <v>ZSI1_MISC_CONTAIN</v>
      </c>
      <c r="I1700" s="63" t="str">
        <f t="shared" si="6"/>
        <v>ZSI1_MISC_CONTAIN3</v>
      </c>
      <c r="J1700" s="63">
        <f t="shared" si="7"/>
        <v>1</v>
      </c>
    </row>
    <row r="1701" ht="15.75" customHeight="1">
      <c r="B1701" s="95"/>
      <c r="C1701" s="105" t="s">
        <v>300</v>
      </c>
      <c r="D1701" s="101" t="s">
        <v>91</v>
      </c>
      <c r="E1701" s="101" t="s">
        <v>577</v>
      </c>
      <c r="F1701" s="101">
        <v>1.0</v>
      </c>
      <c r="G1701" s="101" t="s">
        <v>2193</v>
      </c>
      <c r="H1701" s="63" t="str">
        <f>VLOOKUP(C1701, 'Class Def. - General Data'!$C$20:$C$476,1,false)</f>
        <v>ZSI1_MTR_GEN_COMP</v>
      </c>
      <c r="I1701" s="63" t="str">
        <f t="shared" si="6"/>
        <v>ZSI1_MTR_GEN_COMP1</v>
      </c>
      <c r="J1701" s="63">
        <f t="shared" si="7"/>
        <v>1</v>
      </c>
    </row>
    <row r="1702" ht="15.75" customHeight="1">
      <c r="B1702" s="95"/>
      <c r="C1702" s="105" t="s">
        <v>422</v>
      </c>
      <c r="D1702" s="101" t="s">
        <v>91</v>
      </c>
      <c r="E1702" s="101" t="s">
        <v>577</v>
      </c>
      <c r="F1702" s="101">
        <v>1.0</v>
      </c>
      <c r="G1702" s="101" t="s">
        <v>2194</v>
      </c>
      <c r="H1702" s="63" t="str">
        <f>VLOOKUP(C1702, 'Class Def. - General Data'!$C$20:$C$476,1,false)</f>
        <v>ZSI1_NAILS</v>
      </c>
      <c r="I1702" s="63" t="str">
        <f t="shared" si="6"/>
        <v>ZSI1_NAILS1</v>
      </c>
      <c r="J1702" s="63">
        <f t="shared" si="7"/>
        <v>1</v>
      </c>
    </row>
    <row r="1703" ht="15.75" customHeight="1">
      <c r="B1703" s="95"/>
      <c r="C1703" s="105" t="s">
        <v>422</v>
      </c>
      <c r="D1703" s="101" t="s">
        <v>91</v>
      </c>
      <c r="E1703" s="101" t="s">
        <v>577</v>
      </c>
      <c r="F1703" s="101">
        <v>2.0</v>
      </c>
      <c r="G1703" s="101" t="s">
        <v>2195</v>
      </c>
      <c r="H1703" s="63" t="str">
        <f>VLOOKUP(C1703, 'Class Def. - General Data'!$C$20:$C$476,1,false)</f>
        <v>ZSI1_NAILS</v>
      </c>
      <c r="I1703" s="63" t="str">
        <f t="shared" si="6"/>
        <v>ZSI1_NAILS2</v>
      </c>
      <c r="J1703" s="63">
        <f t="shared" si="7"/>
        <v>1</v>
      </c>
    </row>
    <row r="1704" ht="15.75" customHeight="1">
      <c r="B1704" s="95"/>
      <c r="C1704" s="105" t="s">
        <v>423</v>
      </c>
      <c r="D1704" s="101" t="s">
        <v>91</v>
      </c>
      <c r="E1704" s="101" t="s">
        <v>577</v>
      </c>
      <c r="F1704" s="101">
        <v>1.0</v>
      </c>
      <c r="G1704" s="101" t="s">
        <v>1250</v>
      </c>
      <c r="H1704" s="63" t="str">
        <f>VLOOKUP(C1704, 'Class Def. - General Data'!$C$20:$C$476,1,false)</f>
        <v>ZSI1_NETWORK_EQP</v>
      </c>
      <c r="I1704" s="63" t="str">
        <f t="shared" si="6"/>
        <v>ZSI1_NETWORK_EQP1</v>
      </c>
      <c r="J1704" s="63">
        <f t="shared" si="7"/>
        <v>1</v>
      </c>
    </row>
    <row r="1705" ht="15.75" customHeight="1">
      <c r="B1705" s="95"/>
      <c r="C1705" s="105" t="s">
        <v>423</v>
      </c>
      <c r="D1705" s="101" t="s">
        <v>91</v>
      </c>
      <c r="E1705" s="101" t="s">
        <v>577</v>
      </c>
      <c r="F1705" s="106" t="s">
        <v>1899</v>
      </c>
      <c r="G1705" s="106" t="s">
        <v>2196</v>
      </c>
      <c r="H1705" s="63" t="str">
        <f>VLOOKUP(C1705, 'Class Def. - General Data'!$C$20:$C$476,1,false)</f>
        <v>ZSI1_NETWORK_EQP</v>
      </c>
      <c r="I1705" s="63" t="str">
        <f t="shared" si="6"/>
        <v>ZSI1_NETWORK_EQP2</v>
      </c>
      <c r="J1705" s="63">
        <f t="shared" si="7"/>
        <v>1</v>
      </c>
    </row>
    <row r="1706" ht="15.75" customHeight="1">
      <c r="B1706" s="95"/>
      <c r="C1706" s="105" t="s">
        <v>423</v>
      </c>
      <c r="D1706" s="101" t="s">
        <v>91</v>
      </c>
      <c r="E1706" s="101" t="s">
        <v>577</v>
      </c>
      <c r="F1706" s="106" t="s">
        <v>20</v>
      </c>
      <c r="G1706" s="106" t="s">
        <v>2197</v>
      </c>
      <c r="H1706" s="63" t="str">
        <f>VLOOKUP(C1706, 'Class Def. - General Data'!$C$20:$C$476,1,false)</f>
        <v>ZSI1_NETWORK_EQP</v>
      </c>
      <c r="I1706" s="63" t="str">
        <f t="shared" si="6"/>
        <v>ZSI1_NETWORK_EQP3</v>
      </c>
      <c r="J1706" s="63">
        <f t="shared" si="7"/>
        <v>1</v>
      </c>
    </row>
    <row r="1707" ht="15.75" customHeight="1">
      <c r="B1707" s="95"/>
      <c r="C1707" s="105" t="s">
        <v>423</v>
      </c>
      <c r="D1707" s="101" t="s">
        <v>91</v>
      </c>
      <c r="E1707" s="101" t="s">
        <v>577</v>
      </c>
      <c r="F1707" s="106" t="s">
        <v>564</v>
      </c>
      <c r="G1707" s="106" t="s">
        <v>2198</v>
      </c>
      <c r="H1707" s="63" t="str">
        <f>VLOOKUP(C1707, 'Class Def. - General Data'!$C$20:$C$476,1,false)</f>
        <v>ZSI1_NETWORK_EQP</v>
      </c>
      <c r="I1707" s="63" t="str">
        <f t="shared" si="6"/>
        <v>ZSI1_NETWORK_EQP4</v>
      </c>
      <c r="J1707" s="63">
        <f t="shared" si="7"/>
        <v>1</v>
      </c>
    </row>
    <row r="1708" ht="15.75" customHeight="1">
      <c r="B1708" s="95"/>
      <c r="C1708" s="105" t="s">
        <v>423</v>
      </c>
      <c r="D1708" s="101" t="s">
        <v>91</v>
      </c>
      <c r="E1708" s="101" t="s">
        <v>577</v>
      </c>
      <c r="F1708" s="106" t="s">
        <v>1896</v>
      </c>
      <c r="G1708" s="106" t="s">
        <v>2199</v>
      </c>
      <c r="H1708" s="63" t="str">
        <f>VLOOKUP(C1708, 'Class Def. - General Data'!$C$20:$C$476,1,false)</f>
        <v>ZSI1_NETWORK_EQP</v>
      </c>
      <c r="I1708" s="63" t="str">
        <f t="shared" si="6"/>
        <v>ZSI1_NETWORK_EQP5</v>
      </c>
      <c r="J1708" s="63">
        <f t="shared" si="7"/>
        <v>1</v>
      </c>
    </row>
    <row r="1709" ht="15.75" customHeight="1">
      <c r="B1709" s="95"/>
      <c r="C1709" s="105" t="s">
        <v>423</v>
      </c>
      <c r="D1709" s="101" t="s">
        <v>91</v>
      </c>
      <c r="E1709" s="101" t="s">
        <v>577</v>
      </c>
      <c r="F1709" s="106" t="s">
        <v>1998</v>
      </c>
      <c r="G1709" s="106" t="s">
        <v>2200</v>
      </c>
      <c r="H1709" s="63" t="str">
        <f>VLOOKUP(C1709, 'Class Def. - General Data'!$C$20:$C$476,1,false)</f>
        <v>ZSI1_NETWORK_EQP</v>
      </c>
      <c r="I1709" s="63" t="str">
        <f t="shared" si="6"/>
        <v>ZSI1_NETWORK_EQP6</v>
      </c>
      <c r="J1709" s="63">
        <f t="shared" si="7"/>
        <v>1</v>
      </c>
    </row>
    <row r="1710" ht="15.75" customHeight="1">
      <c r="B1710" s="95"/>
      <c r="C1710" s="105" t="s">
        <v>423</v>
      </c>
      <c r="D1710" s="101" t="s">
        <v>91</v>
      </c>
      <c r="E1710" s="101" t="s">
        <v>577</v>
      </c>
      <c r="F1710" s="106" t="s">
        <v>2031</v>
      </c>
      <c r="G1710" s="106" t="s">
        <v>2201</v>
      </c>
      <c r="H1710" s="63" t="str">
        <f>VLOOKUP(C1710, 'Class Def. - General Data'!$C$20:$C$476,1,false)</f>
        <v>ZSI1_NETWORK_EQP</v>
      </c>
      <c r="I1710" s="63" t="str">
        <f t="shared" si="6"/>
        <v>ZSI1_NETWORK_EQP7</v>
      </c>
      <c r="J1710" s="63">
        <f t="shared" si="7"/>
        <v>1</v>
      </c>
    </row>
    <row r="1711" ht="15.75" customHeight="1">
      <c r="B1711" s="95"/>
      <c r="C1711" s="105" t="s">
        <v>424</v>
      </c>
      <c r="D1711" s="101" t="s">
        <v>91</v>
      </c>
      <c r="E1711" s="101" t="s">
        <v>577</v>
      </c>
      <c r="F1711" s="101">
        <v>1.0</v>
      </c>
      <c r="G1711" s="101" t="s">
        <v>2202</v>
      </c>
      <c r="H1711" s="63" t="str">
        <f>VLOOKUP(C1711, 'Class Def. - General Data'!$C$20:$C$476,1,false)</f>
        <v>ZSI1_NIPPLE_GREASE</v>
      </c>
      <c r="I1711" s="63" t="str">
        <f t="shared" si="6"/>
        <v>ZSI1_NIPPLE_GREASE1</v>
      </c>
      <c r="J1711" s="63">
        <f t="shared" si="7"/>
        <v>1</v>
      </c>
    </row>
    <row r="1712" ht="15.75" customHeight="1">
      <c r="B1712" s="95"/>
      <c r="C1712" s="105" t="s">
        <v>425</v>
      </c>
      <c r="D1712" s="101" t="s">
        <v>91</v>
      </c>
      <c r="E1712" s="101" t="s">
        <v>577</v>
      </c>
      <c r="F1712" s="101">
        <v>1.0</v>
      </c>
      <c r="G1712" s="101" t="s">
        <v>2203</v>
      </c>
      <c r="H1712" s="63" t="str">
        <f>VLOOKUP(C1712, 'Class Def. - General Data'!$C$20:$C$476,1,false)</f>
        <v>ZSI1_NON_ELEC_WIRE</v>
      </c>
      <c r="I1712" s="63" t="str">
        <f t="shared" si="6"/>
        <v>ZSI1_NON_ELEC_WIRE1</v>
      </c>
      <c r="J1712" s="63">
        <f t="shared" si="7"/>
        <v>1</v>
      </c>
    </row>
    <row r="1713" ht="15.75" customHeight="1">
      <c r="B1713" s="95"/>
      <c r="C1713" s="105" t="s">
        <v>426</v>
      </c>
      <c r="D1713" s="101" t="s">
        <v>91</v>
      </c>
      <c r="E1713" s="101" t="s">
        <v>577</v>
      </c>
      <c r="F1713" s="101">
        <v>1.0</v>
      </c>
      <c r="G1713" s="101" t="s">
        <v>2204</v>
      </c>
      <c r="H1713" s="63" t="str">
        <f>VLOOKUP(C1713, 'Class Def. - General Data'!$C$20:$C$476,1,false)</f>
        <v>ZSI1_NUT</v>
      </c>
      <c r="I1713" s="63" t="str">
        <f t="shared" si="6"/>
        <v>ZSI1_NUT1</v>
      </c>
      <c r="J1713" s="63">
        <f t="shared" si="7"/>
        <v>1</v>
      </c>
    </row>
    <row r="1714" ht="15.75" customHeight="1">
      <c r="B1714" s="95"/>
      <c r="C1714" s="105" t="s">
        <v>427</v>
      </c>
      <c r="D1714" s="101" t="s">
        <v>91</v>
      </c>
      <c r="E1714" s="101" t="s">
        <v>577</v>
      </c>
      <c r="F1714" s="101">
        <v>1.0</v>
      </c>
      <c r="G1714" s="101" t="s">
        <v>2205</v>
      </c>
      <c r="H1714" s="63" t="str">
        <f>VLOOKUP(C1714, 'Class Def. - General Data'!$C$20:$C$476,1,false)</f>
        <v>ZSI1_O_RING</v>
      </c>
      <c r="I1714" s="63" t="str">
        <f t="shared" si="6"/>
        <v>ZSI1_O_RING1</v>
      </c>
      <c r="J1714" s="63">
        <f t="shared" si="7"/>
        <v>1</v>
      </c>
    </row>
    <row r="1715" ht="15.75" customHeight="1">
      <c r="B1715" s="95"/>
      <c r="C1715" s="105" t="s">
        <v>294</v>
      </c>
      <c r="D1715" s="101" t="s">
        <v>91</v>
      </c>
      <c r="E1715" s="101" t="s">
        <v>577</v>
      </c>
      <c r="F1715" s="101">
        <v>1.0</v>
      </c>
      <c r="G1715" s="101" t="s">
        <v>2206</v>
      </c>
      <c r="H1715" s="63" t="str">
        <f>VLOOKUP(C1715, 'Class Def. - General Data'!$C$20:$C$476,1,false)</f>
        <v>ZSI1_OEM_PART</v>
      </c>
      <c r="I1715" s="63" t="str">
        <f t="shared" si="6"/>
        <v>ZSI1_OEM_PART1</v>
      </c>
      <c r="J1715" s="63">
        <f t="shared" si="7"/>
        <v>1</v>
      </c>
    </row>
    <row r="1716" ht="15.75" customHeight="1">
      <c r="B1716" s="95"/>
      <c r="C1716" s="105" t="s">
        <v>294</v>
      </c>
      <c r="D1716" s="101" t="s">
        <v>91</v>
      </c>
      <c r="E1716" s="101" t="s">
        <v>577</v>
      </c>
      <c r="F1716" s="101">
        <v>2.0</v>
      </c>
      <c r="G1716" s="101" t="s">
        <v>2207</v>
      </c>
      <c r="H1716" s="63" t="str">
        <f>VLOOKUP(C1716, 'Class Def. - General Data'!$C$20:$C$476,1,false)</f>
        <v>ZSI1_OEM_PART</v>
      </c>
      <c r="I1716" s="63" t="str">
        <f t="shared" si="6"/>
        <v>ZSI1_OEM_PART2</v>
      </c>
      <c r="J1716" s="63">
        <f t="shared" si="7"/>
        <v>1</v>
      </c>
    </row>
    <row r="1717" ht="15.75" customHeight="1">
      <c r="B1717" s="95"/>
      <c r="C1717" s="105" t="s">
        <v>294</v>
      </c>
      <c r="D1717" s="101" t="s">
        <v>91</v>
      </c>
      <c r="E1717" s="101" t="s">
        <v>577</v>
      </c>
      <c r="F1717" s="101">
        <v>3.0</v>
      </c>
      <c r="G1717" s="101" t="s">
        <v>2208</v>
      </c>
      <c r="H1717" s="63" t="str">
        <f>VLOOKUP(C1717, 'Class Def. - General Data'!$C$20:$C$476,1,false)</f>
        <v>ZSI1_OEM_PART</v>
      </c>
      <c r="I1717" s="63" t="str">
        <f t="shared" si="6"/>
        <v>ZSI1_OEM_PART3</v>
      </c>
      <c r="J1717" s="63">
        <f t="shared" si="7"/>
        <v>1</v>
      </c>
    </row>
    <row r="1718" ht="15.75" customHeight="1">
      <c r="B1718" s="95"/>
      <c r="C1718" s="105" t="s">
        <v>294</v>
      </c>
      <c r="D1718" s="101" t="s">
        <v>91</v>
      </c>
      <c r="E1718" s="101" t="s">
        <v>577</v>
      </c>
      <c r="F1718" s="101">
        <v>4.0</v>
      </c>
      <c r="G1718" s="101" t="s">
        <v>2209</v>
      </c>
      <c r="H1718" s="63" t="str">
        <f>VLOOKUP(C1718, 'Class Def. - General Data'!$C$20:$C$476,1,false)</f>
        <v>ZSI1_OEM_PART</v>
      </c>
      <c r="I1718" s="63" t="str">
        <f t="shared" si="6"/>
        <v>ZSI1_OEM_PART4</v>
      </c>
      <c r="J1718" s="63">
        <f t="shared" si="7"/>
        <v>1</v>
      </c>
    </row>
    <row r="1719" ht="15.75" customHeight="1">
      <c r="B1719" s="95"/>
      <c r="C1719" s="105" t="s">
        <v>294</v>
      </c>
      <c r="D1719" s="101" t="s">
        <v>91</v>
      </c>
      <c r="E1719" s="101" t="s">
        <v>577</v>
      </c>
      <c r="F1719" s="101">
        <v>5.0</v>
      </c>
      <c r="G1719" s="101" t="s">
        <v>2210</v>
      </c>
      <c r="H1719" s="63" t="str">
        <f>VLOOKUP(C1719, 'Class Def. - General Data'!$C$20:$C$476,1,false)</f>
        <v>ZSI1_OEM_PART</v>
      </c>
      <c r="I1719" s="63" t="str">
        <f t="shared" si="6"/>
        <v>ZSI1_OEM_PART5</v>
      </c>
      <c r="J1719" s="63">
        <f t="shared" si="7"/>
        <v>1</v>
      </c>
    </row>
    <row r="1720" ht="15.75" customHeight="1">
      <c r="B1720" s="95"/>
      <c r="C1720" s="105" t="s">
        <v>294</v>
      </c>
      <c r="D1720" s="101" t="s">
        <v>91</v>
      </c>
      <c r="E1720" s="101" t="s">
        <v>577</v>
      </c>
      <c r="F1720" s="101">
        <v>6.0</v>
      </c>
      <c r="G1720" s="101" t="s">
        <v>2211</v>
      </c>
      <c r="H1720" s="63" t="str">
        <f>VLOOKUP(C1720, 'Class Def. - General Data'!$C$20:$C$476,1,false)</f>
        <v>ZSI1_OEM_PART</v>
      </c>
      <c r="I1720" s="63" t="str">
        <f t="shared" si="6"/>
        <v>ZSI1_OEM_PART6</v>
      </c>
      <c r="J1720" s="63">
        <f t="shared" si="7"/>
        <v>1</v>
      </c>
    </row>
    <row r="1721" ht="15.75" customHeight="1">
      <c r="B1721" s="95"/>
      <c r="C1721" s="105" t="s">
        <v>294</v>
      </c>
      <c r="D1721" s="101" t="s">
        <v>91</v>
      </c>
      <c r="E1721" s="101" t="s">
        <v>577</v>
      </c>
      <c r="F1721" s="101">
        <v>7.0</v>
      </c>
      <c r="G1721" s="101" t="s">
        <v>2212</v>
      </c>
      <c r="H1721" s="63" t="str">
        <f>VLOOKUP(C1721, 'Class Def. - General Data'!$C$20:$C$476,1,false)</f>
        <v>ZSI1_OEM_PART</v>
      </c>
      <c r="I1721" s="63" t="str">
        <f t="shared" si="6"/>
        <v>ZSI1_OEM_PART7</v>
      </c>
      <c r="J1721" s="63">
        <f t="shared" si="7"/>
        <v>1</v>
      </c>
    </row>
    <row r="1722">
      <c r="B1722" s="95"/>
      <c r="C1722" s="105" t="s">
        <v>294</v>
      </c>
      <c r="D1722" s="101" t="s">
        <v>91</v>
      </c>
      <c r="E1722" s="101" t="s">
        <v>577</v>
      </c>
      <c r="F1722" s="101">
        <v>8.0</v>
      </c>
      <c r="G1722" s="101" t="s">
        <v>2213</v>
      </c>
      <c r="H1722" s="63" t="str">
        <f>VLOOKUP(C1722, 'Class Def. - General Data'!$C$20:$C$476,1,false)</f>
        <v>ZSI1_OEM_PART</v>
      </c>
      <c r="I1722" s="63" t="str">
        <f t="shared" si="6"/>
        <v>ZSI1_OEM_PART8</v>
      </c>
      <c r="J1722" s="63">
        <f t="shared" si="7"/>
        <v>1</v>
      </c>
    </row>
    <row r="1723" ht="15.75" customHeight="1">
      <c r="B1723" s="95"/>
      <c r="C1723" s="105" t="s">
        <v>294</v>
      </c>
      <c r="D1723" s="101" t="s">
        <v>91</v>
      </c>
      <c r="E1723" s="101" t="s">
        <v>577</v>
      </c>
      <c r="F1723" s="101">
        <v>9.0</v>
      </c>
      <c r="G1723" s="101" t="s">
        <v>2214</v>
      </c>
      <c r="H1723" s="63" t="str">
        <f>VLOOKUP(C1723, 'Class Def. - General Data'!$C$20:$C$476,1,false)</f>
        <v>ZSI1_OEM_PART</v>
      </c>
      <c r="I1723" s="63" t="str">
        <f t="shared" si="6"/>
        <v>ZSI1_OEM_PART9</v>
      </c>
      <c r="J1723" s="63">
        <f t="shared" si="7"/>
        <v>1</v>
      </c>
    </row>
    <row r="1724" ht="15.75" customHeight="1">
      <c r="B1724" s="95"/>
      <c r="C1724" s="105" t="s">
        <v>294</v>
      </c>
      <c r="D1724" s="101" t="s">
        <v>91</v>
      </c>
      <c r="E1724" s="101" t="s">
        <v>577</v>
      </c>
      <c r="F1724" s="106" t="s">
        <v>28</v>
      </c>
      <c r="G1724" s="106" t="s">
        <v>2215</v>
      </c>
      <c r="H1724" s="63" t="str">
        <f>VLOOKUP(C1724, 'Class Def. - General Data'!$C$20:$C$476,1,false)</f>
        <v>ZSI1_OEM_PART</v>
      </c>
      <c r="I1724" s="63" t="str">
        <f t="shared" si="6"/>
        <v>ZSI1_OEM_PART10</v>
      </c>
      <c r="J1724" s="63">
        <f t="shared" si="7"/>
        <v>1</v>
      </c>
    </row>
    <row r="1725" ht="15.75" customHeight="1">
      <c r="B1725" s="95"/>
      <c r="C1725" s="105" t="s">
        <v>294</v>
      </c>
      <c r="D1725" s="101" t="s">
        <v>91</v>
      </c>
      <c r="E1725" s="101" t="s">
        <v>577</v>
      </c>
      <c r="F1725" s="106" t="s">
        <v>2056</v>
      </c>
      <c r="G1725" s="106" t="s">
        <v>2216</v>
      </c>
      <c r="H1725" s="63" t="str">
        <f>VLOOKUP(C1725, 'Class Def. - General Data'!$C$20:$C$476,1,false)</f>
        <v>ZSI1_OEM_PART</v>
      </c>
      <c r="I1725" s="63" t="str">
        <f t="shared" si="6"/>
        <v>ZSI1_OEM_PART11</v>
      </c>
      <c r="J1725" s="63">
        <f t="shared" si="7"/>
        <v>1</v>
      </c>
    </row>
    <row r="1726" ht="15.75" customHeight="1">
      <c r="B1726" s="95"/>
      <c r="C1726" s="105" t="s">
        <v>294</v>
      </c>
      <c r="D1726" s="101" t="s">
        <v>91</v>
      </c>
      <c r="E1726" s="101" t="s">
        <v>577</v>
      </c>
      <c r="F1726" s="106" t="s">
        <v>1905</v>
      </c>
      <c r="G1726" s="106" t="s">
        <v>2217</v>
      </c>
      <c r="H1726" s="63" t="str">
        <f>VLOOKUP(C1726, 'Class Def. - General Data'!$C$20:$C$476,1,false)</f>
        <v>ZSI1_OEM_PART</v>
      </c>
      <c r="I1726" s="63" t="str">
        <f t="shared" si="6"/>
        <v>ZSI1_OEM_PART12</v>
      </c>
      <c r="J1726" s="63">
        <f t="shared" si="7"/>
        <v>1</v>
      </c>
    </row>
    <row r="1727" ht="15.75" customHeight="1">
      <c r="B1727" s="95"/>
      <c r="C1727" s="105" t="s">
        <v>428</v>
      </c>
      <c r="D1727" s="101" t="s">
        <v>91</v>
      </c>
      <c r="E1727" s="101" t="s">
        <v>577</v>
      </c>
      <c r="F1727" s="101">
        <v>1.0</v>
      </c>
      <c r="G1727" s="101" t="s">
        <v>2218</v>
      </c>
      <c r="H1727" s="63" t="str">
        <f>VLOOKUP(C1727, 'Class Def. - General Data'!$C$20:$C$476,1,false)</f>
        <v>ZSI1_OFFICE_BOARDS</v>
      </c>
      <c r="I1727" s="63" t="str">
        <f t="shared" si="6"/>
        <v>ZSI1_OFFICE_BOARDS1</v>
      </c>
      <c r="J1727" s="63">
        <f t="shared" si="7"/>
        <v>1</v>
      </c>
    </row>
    <row r="1728" ht="15.75" customHeight="1">
      <c r="B1728" s="95"/>
      <c r="C1728" s="105" t="s">
        <v>301</v>
      </c>
      <c r="D1728" s="101" t="s">
        <v>91</v>
      </c>
      <c r="E1728" s="101" t="s">
        <v>577</v>
      </c>
      <c r="F1728" s="101">
        <v>1.0</v>
      </c>
      <c r="G1728" s="101" t="s">
        <v>2219</v>
      </c>
      <c r="H1728" s="63" t="str">
        <f>VLOOKUP(C1728, 'Class Def. - General Data'!$C$20:$C$476,1,false)</f>
        <v>ZSI1_OFFICE_EQUIP</v>
      </c>
      <c r="I1728" s="63" t="str">
        <f t="shared" si="6"/>
        <v>ZSI1_OFFICE_EQUIP1</v>
      </c>
      <c r="J1728" s="63">
        <f t="shared" si="7"/>
        <v>1</v>
      </c>
    </row>
    <row r="1729" ht="15.75" customHeight="1">
      <c r="B1729" s="95"/>
      <c r="C1729" s="105" t="s">
        <v>429</v>
      </c>
      <c r="D1729" s="101" t="s">
        <v>91</v>
      </c>
      <c r="E1729" s="101" t="s">
        <v>577</v>
      </c>
      <c r="F1729" s="101">
        <v>1.0</v>
      </c>
      <c r="G1729" s="101" t="s">
        <v>2220</v>
      </c>
      <c r="H1729" s="63" t="str">
        <f>VLOOKUP(C1729, 'Class Def. - General Data'!$C$20:$C$476,1,false)</f>
        <v>ZSI1_OFFICE_ORGZ</v>
      </c>
      <c r="I1729" s="63" t="str">
        <f t="shared" si="6"/>
        <v>ZSI1_OFFICE_ORGZ1</v>
      </c>
      <c r="J1729" s="63">
        <f t="shared" si="7"/>
        <v>1</v>
      </c>
    </row>
    <row r="1730" ht="15.75" customHeight="1">
      <c r="B1730" s="95"/>
      <c r="C1730" s="105" t="s">
        <v>430</v>
      </c>
      <c r="D1730" s="101" t="s">
        <v>91</v>
      </c>
      <c r="E1730" s="101" t="s">
        <v>577</v>
      </c>
      <c r="F1730" s="101">
        <v>1.0</v>
      </c>
      <c r="G1730" s="101" t="s">
        <v>2221</v>
      </c>
      <c r="H1730" s="63" t="str">
        <f>VLOOKUP(C1730, 'Class Def. - General Data'!$C$20:$C$476,1,false)</f>
        <v>ZSI1_OFFICE_PAPER</v>
      </c>
      <c r="I1730" s="63" t="str">
        <f t="shared" si="6"/>
        <v>ZSI1_OFFICE_PAPER1</v>
      </c>
      <c r="J1730" s="63">
        <f t="shared" si="7"/>
        <v>1</v>
      </c>
    </row>
    <row r="1731" ht="15.75" customHeight="1">
      <c r="B1731" s="95"/>
      <c r="C1731" s="105" t="s">
        <v>431</v>
      </c>
      <c r="D1731" s="101" t="s">
        <v>91</v>
      </c>
      <c r="E1731" s="101" t="s">
        <v>577</v>
      </c>
      <c r="F1731" s="101">
        <v>1.0</v>
      </c>
      <c r="G1731" s="101" t="s">
        <v>2222</v>
      </c>
      <c r="H1731" s="63" t="str">
        <f>VLOOKUP(C1731, 'Class Def. - General Data'!$C$20:$C$476,1,false)</f>
        <v>ZSI1_OFFICE_SUPP</v>
      </c>
      <c r="I1731" s="63" t="str">
        <f t="shared" si="6"/>
        <v>ZSI1_OFFICE_SUPP1</v>
      </c>
      <c r="J1731" s="63">
        <f t="shared" si="7"/>
        <v>1</v>
      </c>
    </row>
    <row r="1732" ht="15.75" customHeight="1">
      <c r="B1732" s="95"/>
      <c r="C1732" s="105" t="s">
        <v>432</v>
      </c>
      <c r="D1732" s="101" t="s">
        <v>91</v>
      </c>
      <c r="E1732" s="101" t="s">
        <v>577</v>
      </c>
      <c r="F1732" s="101">
        <v>1.0</v>
      </c>
      <c r="G1732" s="101" t="s">
        <v>2223</v>
      </c>
      <c r="H1732" s="63" t="str">
        <f>VLOOKUP(C1732, 'Class Def. - General Data'!$C$20:$C$476,1,false)</f>
        <v>ZSI1_OIL_SEAL</v>
      </c>
      <c r="I1732" s="63" t="str">
        <f t="shared" si="6"/>
        <v>ZSI1_OIL_SEAL1</v>
      </c>
      <c r="J1732" s="63">
        <f t="shared" si="7"/>
        <v>1</v>
      </c>
    </row>
    <row r="1733" ht="15.75" customHeight="1">
      <c r="B1733" s="95"/>
      <c r="C1733" s="105" t="s">
        <v>500</v>
      </c>
      <c r="D1733" s="101" t="s">
        <v>91</v>
      </c>
      <c r="E1733" s="101" t="s">
        <v>577</v>
      </c>
      <c r="F1733" s="101">
        <v>1.0</v>
      </c>
      <c r="G1733" s="101" t="s">
        <v>2224</v>
      </c>
      <c r="H1733" s="63" t="str">
        <f>VLOOKUP(C1733, 'Class Def. - General Data'!$C$20:$C$476,1,false)</f>
        <v>ZSI1_PACKING_SUPP</v>
      </c>
      <c r="I1733" s="63" t="str">
        <f t="shared" si="6"/>
        <v>ZSI1_PACKING_SUPP1</v>
      </c>
      <c r="J1733" s="63">
        <f t="shared" si="7"/>
        <v>1</v>
      </c>
    </row>
    <row r="1734" ht="15.75" customHeight="1">
      <c r="B1734" s="95"/>
      <c r="C1734" s="105" t="s">
        <v>502</v>
      </c>
      <c r="D1734" s="101" t="s">
        <v>91</v>
      </c>
      <c r="E1734" s="101" t="s">
        <v>577</v>
      </c>
      <c r="F1734" s="101">
        <v>1.0</v>
      </c>
      <c r="G1734" s="101" t="s">
        <v>2225</v>
      </c>
      <c r="H1734" s="63" t="str">
        <f>VLOOKUP(C1734, 'Class Def. - General Data'!$C$20:$C$476,1,false)</f>
        <v>ZSI1_PAINT_ACCS</v>
      </c>
      <c r="I1734" s="63" t="str">
        <f t="shared" si="6"/>
        <v>ZSI1_PAINT_ACCS1</v>
      </c>
      <c r="J1734" s="63">
        <f t="shared" si="7"/>
        <v>1</v>
      </c>
    </row>
    <row r="1735" ht="15.75" customHeight="1">
      <c r="B1735" s="95"/>
      <c r="C1735" s="105" t="s">
        <v>501</v>
      </c>
      <c r="D1735" s="101" t="s">
        <v>91</v>
      </c>
      <c r="E1735" s="101" t="s">
        <v>577</v>
      </c>
      <c r="F1735" s="101">
        <v>1.0</v>
      </c>
      <c r="G1735" s="101" t="s">
        <v>2226</v>
      </c>
      <c r="H1735" s="63" t="str">
        <f>VLOOKUP(C1735, 'Class Def. - General Data'!$C$20:$C$476,1,false)</f>
        <v>ZSI1_PAINT_FINISH</v>
      </c>
      <c r="I1735" s="63" t="str">
        <f t="shared" si="6"/>
        <v>ZSI1_PAINT_FINISH1</v>
      </c>
      <c r="J1735" s="63">
        <f t="shared" si="7"/>
        <v>1</v>
      </c>
    </row>
    <row r="1736" ht="15.75" customHeight="1">
      <c r="B1736" s="95"/>
      <c r="C1736" s="105" t="s">
        <v>433</v>
      </c>
      <c r="D1736" s="101" t="s">
        <v>91</v>
      </c>
      <c r="E1736" s="101" t="s">
        <v>577</v>
      </c>
      <c r="F1736" s="101">
        <v>1.0</v>
      </c>
      <c r="G1736" s="101" t="s">
        <v>1437</v>
      </c>
      <c r="H1736" s="63" t="str">
        <f>VLOOKUP(C1736, 'Class Def. - General Data'!$C$20:$C$476,1,false)</f>
        <v>ZSI1_PALLETS</v>
      </c>
      <c r="I1736" s="63" t="str">
        <f t="shared" si="6"/>
        <v>ZSI1_PALLETS1</v>
      </c>
      <c r="J1736" s="63">
        <f t="shared" si="7"/>
        <v>1</v>
      </c>
    </row>
    <row r="1737" ht="15.75" customHeight="1">
      <c r="B1737" s="95"/>
      <c r="C1737" s="105" t="s">
        <v>503</v>
      </c>
      <c r="D1737" s="101" t="s">
        <v>91</v>
      </c>
      <c r="E1737" s="101" t="s">
        <v>577</v>
      </c>
      <c r="F1737" s="101">
        <v>1.0</v>
      </c>
      <c r="G1737" s="101" t="s">
        <v>2227</v>
      </c>
      <c r="H1737" s="63" t="str">
        <f>VLOOKUP(C1737, 'Class Def. - General Data'!$C$20:$C$476,1,false)</f>
        <v>ZSI1_PANEL_BOX</v>
      </c>
      <c r="I1737" s="63" t="str">
        <f t="shared" si="6"/>
        <v>ZSI1_PANEL_BOX1</v>
      </c>
      <c r="J1737" s="63">
        <f t="shared" si="7"/>
        <v>1</v>
      </c>
    </row>
    <row r="1738" ht="15.75" customHeight="1">
      <c r="B1738" s="95"/>
      <c r="C1738" s="105" t="s">
        <v>434</v>
      </c>
      <c r="D1738" s="101" t="s">
        <v>91</v>
      </c>
      <c r="E1738" s="101" t="s">
        <v>577</v>
      </c>
      <c r="F1738" s="101">
        <v>1.0</v>
      </c>
      <c r="G1738" s="101" t="s">
        <v>2228</v>
      </c>
      <c r="H1738" s="63" t="str">
        <f>VLOOKUP(C1738, 'Class Def. - General Data'!$C$20:$C$476,1,false)</f>
        <v>ZSI1_PAPER_CUTTER</v>
      </c>
      <c r="I1738" s="63" t="str">
        <f t="shared" si="6"/>
        <v>ZSI1_PAPER_CUTTER1</v>
      </c>
      <c r="J1738" s="63">
        <f t="shared" si="7"/>
        <v>1</v>
      </c>
    </row>
    <row r="1739" ht="15.75" customHeight="1">
      <c r="B1739" s="95"/>
      <c r="C1739" s="105" t="s">
        <v>435</v>
      </c>
      <c r="D1739" s="101" t="s">
        <v>91</v>
      </c>
      <c r="E1739" s="101" t="s">
        <v>577</v>
      </c>
      <c r="F1739" s="101">
        <v>1.0</v>
      </c>
      <c r="G1739" s="101" t="s">
        <v>2149</v>
      </c>
      <c r="H1739" s="63" t="str">
        <f>VLOOKUP(C1739, 'Class Def. - General Data'!$C$20:$C$476,1,false)</f>
        <v>ZSI1_PERM_STRCTURE</v>
      </c>
      <c r="I1739" s="63" t="str">
        <f t="shared" si="6"/>
        <v>ZSI1_PERM_STRCTURE1</v>
      </c>
      <c r="J1739" s="63">
        <f t="shared" si="7"/>
        <v>1</v>
      </c>
    </row>
    <row r="1740" ht="15.75" customHeight="1">
      <c r="B1740" s="95"/>
      <c r="C1740" s="105" t="s">
        <v>436</v>
      </c>
      <c r="D1740" s="101" t="s">
        <v>91</v>
      </c>
      <c r="E1740" s="101" t="s">
        <v>577</v>
      </c>
      <c r="F1740" s="101">
        <v>1.0</v>
      </c>
      <c r="G1740" s="101" t="s">
        <v>2229</v>
      </c>
      <c r="H1740" s="63" t="str">
        <f>VLOOKUP(C1740, 'Class Def. - General Data'!$C$20:$C$476,1,false)</f>
        <v>ZSI1_PERSONAL_SAFE</v>
      </c>
      <c r="I1740" s="63" t="str">
        <f t="shared" si="6"/>
        <v>ZSI1_PERSONAL_SAFE1</v>
      </c>
      <c r="J1740" s="63">
        <f t="shared" si="7"/>
        <v>1</v>
      </c>
    </row>
    <row r="1741" ht="15.75" customHeight="1">
      <c r="B1741" s="95"/>
      <c r="C1741" s="105" t="s">
        <v>437</v>
      </c>
      <c r="D1741" s="101" t="s">
        <v>91</v>
      </c>
      <c r="E1741" s="101" t="s">
        <v>577</v>
      </c>
      <c r="F1741" s="101">
        <v>1.0</v>
      </c>
      <c r="G1741" s="101" t="s">
        <v>2230</v>
      </c>
      <c r="H1741" s="63" t="str">
        <f>VLOOKUP(C1741, 'Class Def. - General Data'!$C$20:$C$476,1,false)</f>
        <v>ZSI1_PEST_CONTROL</v>
      </c>
      <c r="I1741" s="63" t="str">
        <f t="shared" si="6"/>
        <v>ZSI1_PEST_CONTROL1</v>
      </c>
      <c r="J1741" s="63">
        <f t="shared" si="7"/>
        <v>1</v>
      </c>
    </row>
    <row r="1742" ht="15.75" customHeight="1">
      <c r="B1742" s="95"/>
      <c r="C1742" s="105" t="s">
        <v>438</v>
      </c>
      <c r="D1742" s="101" t="s">
        <v>91</v>
      </c>
      <c r="E1742" s="101" t="s">
        <v>577</v>
      </c>
      <c r="F1742" s="101">
        <v>1.0</v>
      </c>
      <c r="G1742" s="101" t="s">
        <v>2231</v>
      </c>
      <c r="H1742" s="63" t="str">
        <f>VLOOKUP(C1742, 'Class Def. - General Data'!$C$20:$C$476,1,false)</f>
        <v>ZSI1_PHARMA_DRUGS</v>
      </c>
      <c r="I1742" s="63" t="str">
        <f t="shared" si="6"/>
        <v>ZSI1_PHARMA_DRUGS1</v>
      </c>
      <c r="J1742" s="63">
        <f t="shared" si="7"/>
        <v>1</v>
      </c>
    </row>
    <row r="1743" ht="15.75" customHeight="1">
      <c r="B1743" s="95"/>
      <c r="C1743" s="105" t="s">
        <v>439</v>
      </c>
      <c r="D1743" s="101" t="s">
        <v>91</v>
      </c>
      <c r="E1743" s="101" t="s">
        <v>577</v>
      </c>
      <c r="F1743" s="101">
        <v>1.0</v>
      </c>
      <c r="G1743" s="101" t="s">
        <v>2003</v>
      </c>
      <c r="H1743" s="63" t="str">
        <f>VLOOKUP(C1743, 'Class Def. - General Data'!$C$20:$C$476,1,false)</f>
        <v>ZSI1_PHONE_SYSTEM</v>
      </c>
      <c r="I1743" s="63" t="str">
        <f t="shared" si="6"/>
        <v>ZSI1_PHONE_SYSTEM1</v>
      </c>
      <c r="J1743" s="63">
        <f t="shared" si="7"/>
        <v>1</v>
      </c>
    </row>
    <row r="1744" ht="15.75" customHeight="1">
      <c r="B1744" s="95"/>
      <c r="C1744" s="105" t="s">
        <v>504</v>
      </c>
      <c r="D1744" s="101" t="s">
        <v>91</v>
      </c>
      <c r="E1744" s="101" t="s">
        <v>577</v>
      </c>
      <c r="F1744" s="101">
        <v>1.0</v>
      </c>
      <c r="G1744" s="101" t="s">
        <v>2232</v>
      </c>
      <c r="H1744" s="63" t="str">
        <f>VLOOKUP(C1744, 'Class Def. - General Data'!$C$20:$C$476,1,false)</f>
        <v>ZSI1_PIPE</v>
      </c>
      <c r="I1744" s="63" t="str">
        <f t="shared" si="6"/>
        <v>ZSI1_PIPE1</v>
      </c>
      <c r="J1744" s="63">
        <f t="shared" si="7"/>
        <v>1</v>
      </c>
    </row>
    <row r="1745" ht="15.75" customHeight="1">
      <c r="B1745" s="95"/>
      <c r="C1745" s="105" t="s">
        <v>440</v>
      </c>
      <c r="D1745" s="101" t="s">
        <v>91</v>
      </c>
      <c r="E1745" s="101" t="s">
        <v>577</v>
      </c>
      <c r="F1745" s="101">
        <v>1.0</v>
      </c>
      <c r="G1745" s="101" t="s">
        <v>2233</v>
      </c>
      <c r="H1745" s="63" t="str">
        <f>VLOOKUP(C1745, 'Class Def. - General Data'!$C$20:$C$476,1,false)</f>
        <v>ZSI1_PIPE_CAPS</v>
      </c>
      <c r="I1745" s="63" t="str">
        <f t="shared" si="6"/>
        <v>ZSI1_PIPE_CAPS1</v>
      </c>
      <c r="J1745" s="63">
        <f t="shared" si="7"/>
        <v>1</v>
      </c>
    </row>
    <row r="1746" ht="15.75" customHeight="1">
      <c r="B1746" s="95"/>
      <c r="C1746" s="105" t="s">
        <v>441</v>
      </c>
      <c r="D1746" s="101" t="s">
        <v>91</v>
      </c>
      <c r="E1746" s="101" t="s">
        <v>577</v>
      </c>
      <c r="F1746" s="101">
        <v>1.0</v>
      </c>
      <c r="G1746" s="101" t="s">
        <v>2032</v>
      </c>
      <c r="H1746" s="63" t="str">
        <f>VLOOKUP(C1746, 'Class Def. - General Data'!$C$20:$C$476,1,false)</f>
        <v>ZSI1_PIPE_CONNECT</v>
      </c>
      <c r="I1746" s="63" t="str">
        <f t="shared" si="6"/>
        <v>ZSI1_PIPE_CONNECT1</v>
      </c>
      <c r="J1746" s="63">
        <f t="shared" si="7"/>
        <v>1</v>
      </c>
    </row>
    <row r="1747" ht="15.75" customHeight="1">
      <c r="B1747" s="95"/>
      <c r="C1747" s="105" t="s">
        <v>442</v>
      </c>
      <c r="D1747" s="101" t="s">
        <v>91</v>
      </c>
      <c r="E1747" s="101" t="s">
        <v>577</v>
      </c>
      <c r="F1747" s="101">
        <v>1.0</v>
      </c>
      <c r="G1747" s="101" t="s">
        <v>2234</v>
      </c>
      <c r="H1747" s="63" t="str">
        <f>VLOOKUP(C1747, 'Class Def. - General Data'!$C$20:$C$476,1,false)</f>
        <v>ZSI1_PIPE_ELBOW</v>
      </c>
      <c r="I1747" s="63" t="str">
        <f t="shared" si="6"/>
        <v>ZSI1_PIPE_ELBOW1</v>
      </c>
      <c r="J1747" s="63">
        <f t="shared" si="7"/>
        <v>1</v>
      </c>
    </row>
    <row r="1748" ht="15.75" customHeight="1">
      <c r="B1748" s="95"/>
      <c r="C1748" s="105" t="s">
        <v>443</v>
      </c>
      <c r="D1748" s="101" t="s">
        <v>91</v>
      </c>
      <c r="E1748" s="101" t="s">
        <v>577</v>
      </c>
      <c r="F1748" s="101">
        <v>1.0</v>
      </c>
      <c r="G1748" s="101" t="s">
        <v>2235</v>
      </c>
      <c r="H1748" s="63" t="str">
        <f>VLOOKUP(C1748, 'Class Def. - General Data'!$C$20:$C$476,1,false)</f>
        <v>ZSI1_PIPE_FLANGE</v>
      </c>
      <c r="I1748" s="63" t="str">
        <f t="shared" si="6"/>
        <v>ZSI1_PIPE_FLANGE1</v>
      </c>
      <c r="J1748" s="63">
        <f t="shared" si="7"/>
        <v>1</v>
      </c>
    </row>
    <row r="1749" ht="15.75" customHeight="1">
      <c r="B1749" s="95"/>
      <c r="C1749" s="105" t="s">
        <v>345</v>
      </c>
      <c r="D1749" s="101" t="s">
        <v>91</v>
      </c>
      <c r="E1749" s="101" t="s">
        <v>577</v>
      </c>
      <c r="F1749" s="101">
        <v>1.0</v>
      </c>
      <c r="G1749" s="101" t="s">
        <v>2236</v>
      </c>
      <c r="H1749" s="63" t="str">
        <f>VLOOKUP(C1749, 'Class Def. - General Data'!$C$20:$C$476,1,false)</f>
        <v>ZSI1_PIPE_NIPPLE</v>
      </c>
      <c r="I1749" s="63" t="str">
        <f t="shared" si="6"/>
        <v>ZSI1_PIPE_NIPPLE1</v>
      </c>
      <c r="J1749" s="63">
        <f t="shared" si="7"/>
        <v>1</v>
      </c>
    </row>
    <row r="1750" ht="15.75" customHeight="1">
      <c r="B1750" s="95"/>
      <c r="C1750" s="105" t="s">
        <v>345</v>
      </c>
      <c r="D1750" s="101" t="s">
        <v>91</v>
      </c>
      <c r="E1750" s="101" t="s">
        <v>577</v>
      </c>
      <c r="F1750" s="101">
        <v>2.0</v>
      </c>
      <c r="G1750" s="101" t="s">
        <v>2237</v>
      </c>
      <c r="H1750" s="63" t="str">
        <f>VLOOKUP(C1750, 'Class Def. - General Data'!$C$20:$C$476,1,false)</f>
        <v>ZSI1_PIPE_NIPPLE</v>
      </c>
      <c r="I1750" s="63" t="str">
        <f t="shared" si="6"/>
        <v>ZSI1_PIPE_NIPPLE2</v>
      </c>
      <c r="J1750" s="63">
        <f t="shared" si="7"/>
        <v>1</v>
      </c>
    </row>
    <row r="1751" ht="15.75" customHeight="1">
      <c r="B1751" s="95"/>
      <c r="C1751" s="105" t="s">
        <v>345</v>
      </c>
      <c r="D1751" s="101" t="s">
        <v>91</v>
      </c>
      <c r="E1751" s="101" t="s">
        <v>577</v>
      </c>
      <c r="F1751" s="101">
        <v>3.0</v>
      </c>
      <c r="G1751" s="101" t="s">
        <v>2238</v>
      </c>
      <c r="H1751" s="63" t="str">
        <f>VLOOKUP(C1751, 'Class Def. - General Data'!$C$20:$C$476,1,false)</f>
        <v>ZSI1_PIPE_NIPPLE</v>
      </c>
      <c r="I1751" s="63" t="str">
        <f t="shared" si="6"/>
        <v>ZSI1_PIPE_NIPPLE3</v>
      </c>
      <c r="J1751" s="63">
        <f t="shared" si="7"/>
        <v>1</v>
      </c>
    </row>
    <row r="1752" ht="15.75" customHeight="1">
      <c r="B1752" s="95"/>
      <c r="C1752" s="105" t="s">
        <v>345</v>
      </c>
      <c r="D1752" s="101" t="s">
        <v>91</v>
      </c>
      <c r="E1752" s="101" t="s">
        <v>577</v>
      </c>
      <c r="F1752" s="101">
        <v>4.0</v>
      </c>
      <c r="G1752" s="101" t="s">
        <v>2239</v>
      </c>
      <c r="H1752" s="63" t="str">
        <f>VLOOKUP(C1752, 'Class Def. - General Data'!$C$20:$C$476,1,false)</f>
        <v>ZSI1_PIPE_NIPPLE</v>
      </c>
      <c r="I1752" s="63" t="str">
        <f t="shared" si="6"/>
        <v>ZSI1_PIPE_NIPPLE4</v>
      </c>
      <c r="J1752" s="63">
        <f t="shared" si="7"/>
        <v>1</v>
      </c>
    </row>
    <row r="1753" ht="15.75" customHeight="1">
      <c r="B1753" s="95"/>
      <c r="C1753" s="105" t="s">
        <v>345</v>
      </c>
      <c r="D1753" s="101" t="s">
        <v>91</v>
      </c>
      <c r="E1753" s="101" t="s">
        <v>577</v>
      </c>
      <c r="F1753" s="101">
        <v>5.0</v>
      </c>
      <c r="G1753" s="101" t="s">
        <v>2240</v>
      </c>
      <c r="H1753" s="63" t="str">
        <f>VLOOKUP(C1753, 'Class Def. - General Data'!$C$20:$C$476,1,false)</f>
        <v>ZSI1_PIPE_NIPPLE</v>
      </c>
      <c r="I1753" s="63" t="str">
        <f t="shared" si="6"/>
        <v>ZSI1_PIPE_NIPPLE5</v>
      </c>
      <c r="J1753" s="63">
        <f t="shared" si="7"/>
        <v>1</v>
      </c>
    </row>
    <row r="1754" ht="15.75" customHeight="1">
      <c r="B1754" s="95"/>
      <c r="C1754" s="105" t="s">
        <v>444</v>
      </c>
      <c r="D1754" s="101" t="s">
        <v>91</v>
      </c>
      <c r="E1754" s="101" t="s">
        <v>577</v>
      </c>
      <c r="F1754" s="101">
        <v>1.0</v>
      </c>
      <c r="G1754" s="101" t="s">
        <v>2241</v>
      </c>
      <c r="H1754" s="63" t="str">
        <f>VLOOKUP(C1754, 'Class Def. - General Data'!$C$20:$C$476,1,false)</f>
        <v>ZSI1_PIPE_REDUCER</v>
      </c>
      <c r="I1754" s="63" t="str">
        <f t="shared" si="6"/>
        <v>ZSI1_PIPE_REDUCER1</v>
      </c>
      <c r="J1754" s="63">
        <f t="shared" si="7"/>
        <v>1</v>
      </c>
    </row>
    <row r="1755" ht="15.75" customHeight="1">
      <c r="B1755" s="95"/>
      <c r="C1755" s="105" t="s">
        <v>445</v>
      </c>
      <c r="D1755" s="101" t="s">
        <v>91</v>
      </c>
      <c r="E1755" s="101" t="s">
        <v>577</v>
      </c>
      <c r="F1755" s="101">
        <v>1.0</v>
      </c>
      <c r="G1755" s="101" t="s">
        <v>2242</v>
      </c>
      <c r="H1755" s="63" t="str">
        <f>VLOOKUP(C1755, 'Class Def. - General Data'!$C$20:$C$476,1,false)</f>
        <v>ZSI1_PIPE_STRAINER</v>
      </c>
      <c r="I1755" s="63" t="str">
        <f t="shared" si="6"/>
        <v>ZSI1_PIPE_STRAINER1</v>
      </c>
      <c r="J1755" s="63">
        <f t="shared" si="7"/>
        <v>1</v>
      </c>
    </row>
    <row r="1756" ht="15.75" customHeight="1">
      <c r="B1756" s="95"/>
      <c r="C1756" s="105" t="s">
        <v>446</v>
      </c>
      <c r="D1756" s="101" t="s">
        <v>91</v>
      </c>
      <c r="E1756" s="101" t="s">
        <v>577</v>
      </c>
      <c r="F1756" s="101">
        <v>1.0</v>
      </c>
      <c r="G1756" s="101" t="s">
        <v>2243</v>
      </c>
      <c r="H1756" s="63" t="str">
        <f>VLOOKUP(C1756, 'Class Def. - General Data'!$C$20:$C$476,1,false)</f>
        <v>ZSI1_PIPE_TEE</v>
      </c>
      <c r="I1756" s="63" t="str">
        <f t="shared" si="6"/>
        <v>ZSI1_PIPE_TEE1</v>
      </c>
      <c r="J1756" s="63">
        <f t="shared" si="7"/>
        <v>1</v>
      </c>
    </row>
    <row r="1757" ht="15.75" customHeight="1">
      <c r="B1757" s="95"/>
      <c r="C1757" s="105" t="s">
        <v>446</v>
      </c>
      <c r="D1757" s="101" t="s">
        <v>91</v>
      </c>
      <c r="E1757" s="101" t="s">
        <v>577</v>
      </c>
      <c r="F1757" s="101">
        <v>2.0</v>
      </c>
      <c r="G1757" s="101" t="s">
        <v>2244</v>
      </c>
      <c r="H1757" s="63" t="str">
        <f>VLOOKUP(C1757, 'Class Def. - General Data'!$C$20:$C$476,1,false)</f>
        <v>ZSI1_PIPE_TEE</v>
      </c>
      <c r="I1757" s="63" t="str">
        <f t="shared" si="6"/>
        <v>ZSI1_PIPE_TEE2</v>
      </c>
      <c r="J1757" s="63">
        <f t="shared" si="7"/>
        <v>1</v>
      </c>
    </row>
    <row r="1758" ht="15.75" customHeight="1">
      <c r="B1758" s="95"/>
      <c r="C1758" s="105" t="s">
        <v>447</v>
      </c>
      <c r="D1758" s="101" t="s">
        <v>91</v>
      </c>
      <c r="E1758" s="101" t="s">
        <v>577</v>
      </c>
      <c r="F1758" s="101">
        <v>1.0</v>
      </c>
      <c r="G1758" s="101" t="s">
        <v>2245</v>
      </c>
      <c r="H1758" s="63" t="str">
        <f>VLOOKUP(C1758, 'Class Def. - General Data'!$C$20:$C$476,1,false)</f>
        <v>ZSI1_PLAIN_PLATE</v>
      </c>
      <c r="I1758" s="63" t="str">
        <f t="shared" si="6"/>
        <v>ZSI1_PLAIN_PLATE1</v>
      </c>
      <c r="J1758" s="63">
        <f t="shared" si="7"/>
        <v>1</v>
      </c>
    </row>
    <row r="1759" ht="15.75" customHeight="1">
      <c r="B1759" s="95"/>
      <c r="C1759" s="105" t="s">
        <v>448</v>
      </c>
      <c r="D1759" s="101" t="s">
        <v>91</v>
      </c>
      <c r="E1759" s="101" t="s">
        <v>577</v>
      </c>
      <c r="F1759" s="101">
        <v>1.0</v>
      </c>
      <c r="G1759" s="101" t="s">
        <v>2246</v>
      </c>
      <c r="H1759" s="63" t="str">
        <f>VLOOKUP(C1759, 'Class Def. - General Data'!$C$20:$C$476,1,false)</f>
        <v>ZSI1_PLANT</v>
      </c>
      <c r="I1759" s="63" t="str">
        <f t="shared" si="6"/>
        <v>ZSI1_PLANT1</v>
      </c>
      <c r="J1759" s="63">
        <f t="shared" si="7"/>
        <v>1</v>
      </c>
    </row>
    <row r="1760" ht="15.75" customHeight="1">
      <c r="B1760" s="95"/>
      <c r="C1760" s="105" t="s">
        <v>324</v>
      </c>
      <c r="D1760" s="101" t="s">
        <v>91</v>
      </c>
      <c r="E1760" s="101" t="s">
        <v>577</v>
      </c>
      <c r="F1760" s="101">
        <v>1.0</v>
      </c>
      <c r="G1760" s="101" t="s">
        <v>2247</v>
      </c>
      <c r="H1760" s="63" t="str">
        <f>VLOOKUP(C1760, 'Class Def. - General Data'!$C$20:$C$476,1,false)</f>
        <v>ZSI1_PLASTIC_MC</v>
      </c>
      <c r="I1760" s="63" t="str">
        <f t="shared" si="6"/>
        <v>ZSI1_PLASTIC_MC1</v>
      </c>
      <c r="J1760" s="63">
        <f t="shared" si="7"/>
        <v>1</v>
      </c>
    </row>
    <row r="1761" ht="15.75" customHeight="1">
      <c r="B1761" s="95"/>
      <c r="C1761" s="105" t="s">
        <v>305</v>
      </c>
      <c r="D1761" s="101" t="s">
        <v>91</v>
      </c>
      <c r="E1761" s="101" t="s">
        <v>577</v>
      </c>
      <c r="F1761" s="101">
        <v>1.0</v>
      </c>
      <c r="G1761" s="101" t="s">
        <v>2248</v>
      </c>
      <c r="H1761" s="63" t="str">
        <f>VLOOKUP(C1761, 'Class Def. - General Data'!$C$20:$C$476,1,false)</f>
        <v>ZSI1_PLC</v>
      </c>
      <c r="I1761" s="63" t="str">
        <f t="shared" si="6"/>
        <v>ZSI1_PLC1</v>
      </c>
      <c r="J1761" s="63">
        <f t="shared" si="7"/>
        <v>1</v>
      </c>
    </row>
    <row r="1762" ht="15.75" customHeight="1">
      <c r="B1762" s="95"/>
      <c r="C1762" s="105" t="s">
        <v>449</v>
      </c>
      <c r="D1762" s="101" t="s">
        <v>91</v>
      </c>
      <c r="E1762" s="101" t="s">
        <v>577</v>
      </c>
      <c r="F1762" s="101">
        <v>1.0</v>
      </c>
      <c r="G1762" s="101" t="s">
        <v>2249</v>
      </c>
      <c r="H1762" s="63" t="str">
        <f>VLOOKUP(C1762, 'Class Def. - General Data'!$C$20:$C$476,1,false)</f>
        <v>ZSI1_PLUMBING_FXTR</v>
      </c>
      <c r="I1762" s="63" t="str">
        <f t="shared" si="6"/>
        <v>ZSI1_PLUMBING_FXTR1</v>
      </c>
      <c r="J1762" s="63">
        <f t="shared" si="7"/>
        <v>1</v>
      </c>
    </row>
    <row r="1763" ht="15.75" customHeight="1">
      <c r="B1763" s="95"/>
      <c r="C1763" s="105" t="s">
        <v>297</v>
      </c>
      <c r="D1763" s="101" t="s">
        <v>91</v>
      </c>
      <c r="E1763" s="101" t="s">
        <v>577</v>
      </c>
      <c r="F1763" s="101">
        <v>1.0</v>
      </c>
      <c r="G1763" s="101" t="s">
        <v>2250</v>
      </c>
      <c r="H1763" s="63" t="str">
        <f>VLOOKUP(C1763, 'Class Def. - General Data'!$C$20:$C$476,1,false)</f>
        <v>ZSI1_PNEU_CONN</v>
      </c>
      <c r="I1763" s="63" t="str">
        <f t="shared" si="6"/>
        <v>ZSI1_PNEU_CONN1</v>
      </c>
      <c r="J1763" s="63">
        <f t="shared" si="7"/>
        <v>1</v>
      </c>
    </row>
    <row r="1764" ht="15.75" customHeight="1">
      <c r="B1764" s="95"/>
      <c r="C1764" s="105" t="s">
        <v>317</v>
      </c>
      <c r="D1764" s="101" t="s">
        <v>91</v>
      </c>
      <c r="E1764" s="101" t="s">
        <v>577</v>
      </c>
      <c r="F1764" s="101">
        <v>1.0</v>
      </c>
      <c r="G1764" s="101" t="s">
        <v>2251</v>
      </c>
      <c r="H1764" s="63" t="str">
        <f>VLOOKUP(C1764, 'Class Def. - General Data'!$C$20:$C$476,1,false)</f>
        <v>ZSI1_PNEU_CYLINDER</v>
      </c>
      <c r="I1764" s="63" t="str">
        <f t="shared" si="6"/>
        <v>ZSI1_PNEU_CYLINDER1</v>
      </c>
      <c r="J1764" s="63">
        <f t="shared" si="7"/>
        <v>1</v>
      </c>
    </row>
    <row r="1765" ht="15.75" customHeight="1">
      <c r="B1765" s="95"/>
      <c r="C1765" s="105" t="s">
        <v>317</v>
      </c>
      <c r="D1765" s="101" t="s">
        <v>91</v>
      </c>
      <c r="E1765" s="101" t="s">
        <v>577</v>
      </c>
      <c r="F1765" s="101">
        <v>2.0</v>
      </c>
      <c r="G1765" s="101" t="s">
        <v>2252</v>
      </c>
      <c r="H1765" s="63" t="str">
        <f>VLOOKUP(C1765, 'Class Def. - General Data'!$C$20:$C$476,1,false)</f>
        <v>ZSI1_PNEU_CYLINDER</v>
      </c>
      <c r="I1765" s="63" t="str">
        <f t="shared" si="6"/>
        <v>ZSI1_PNEU_CYLINDER2</v>
      </c>
      <c r="J1765" s="63">
        <f t="shared" si="7"/>
        <v>1</v>
      </c>
    </row>
    <row r="1766" ht="15.75" customHeight="1">
      <c r="B1766" s="95"/>
      <c r="C1766" s="105" t="s">
        <v>317</v>
      </c>
      <c r="D1766" s="101" t="s">
        <v>91</v>
      </c>
      <c r="E1766" s="101" t="s">
        <v>577</v>
      </c>
      <c r="F1766" s="101">
        <v>3.0</v>
      </c>
      <c r="G1766" s="101" t="s">
        <v>2253</v>
      </c>
      <c r="H1766" s="63" t="str">
        <f>VLOOKUP(C1766, 'Class Def. - General Data'!$C$20:$C$476,1,false)</f>
        <v>ZSI1_PNEU_CYLINDER</v>
      </c>
      <c r="I1766" s="63" t="str">
        <f t="shared" si="6"/>
        <v>ZSI1_PNEU_CYLINDER3</v>
      </c>
      <c r="J1766" s="63">
        <f t="shared" si="7"/>
        <v>1</v>
      </c>
    </row>
    <row r="1767" ht="15.75" customHeight="1">
      <c r="B1767" s="95"/>
      <c r="C1767" s="105" t="s">
        <v>317</v>
      </c>
      <c r="D1767" s="101" t="s">
        <v>91</v>
      </c>
      <c r="E1767" s="101" t="s">
        <v>577</v>
      </c>
      <c r="F1767" s="101">
        <v>4.0</v>
      </c>
      <c r="G1767" s="101" t="s">
        <v>2254</v>
      </c>
      <c r="H1767" s="63" t="str">
        <f>VLOOKUP(C1767, 'Class Def. - General Data'!$C$20:$C$476,1,false)</f>
        <v>ZSI1_PNEU_CYLINDER</v>
      </c>
      <c r="I1767" s="63" t="str">
        <f t="shared" si="6"/>
        <v>ZSI1_PNEU_CYLINDER4</v>
      </c>
      <c r="J1767" s="63">
        <f t="shared" si="7"/>
        <v>1</v>
      </c>
    </row>
    <row r="1768" ht="15.75" customHeight="1">
      <c r="B1768" s="95"/>
      <c r="C1768" s="105" t="s">
        <v>342</v>
      </c>
      <c r="D1768" s="101" t="s">
        <v>91</v>
      </c>
      <c r="E1768" s="101" t="s">
        <v>577</v>
      </c>
      <c r="F1768" s="101">
        <v>1.0</v>
      </c>
      <c r="G1768" s="101" t="s">
        <v>2255</v>
      </c>
      <c r="H1768" s="63" t="str">
        <f>VLOOKUP(C1768, 'Class Def. - General Data'!$C$20:$C$476,1,false)</f>
        <v>ZSI1_PNEU_HOSE</v>
      </c>
      <c r="I1768" s="63" t="str">
        <f t="shared" si="6"/>
        <v>ZSI1_PNEU_HOSE1</v>
      </c>
      <c r="J1768" s="63">
        <f t="shared" si="7"/>
        <v>1</v>
      </c>
    </row>
    <row r="1769" ht="15.75" customHeight="1">
      <c r="B1769" s="95"/>
      <c r="C1769" s="105" t="s">
        <v>342</v>
      </c>
      <c r="D1769" s="101" t="s">
        <v>91</v>
      </c>
      <c r="E1769" s="101" t="s">
        <v>577</v>
      </c>
      <c r="F1769" s="106" t="s">
        <v>1899</v>
      </c>
      <c r="G1769" s="101" t="s">
        <v>2256</v>
      </c>
      <c r="H1769" s="63" t="str">
        <f>VLOOKUP(C1769, 'Class Def. - General Data'!$C$20:$C$476,1,false)</f>
        <v>ZSI1_PNEU_HOSE</v>
      </c>
      <c r="I1769" s="63" t="str">
        <f t="shared" si="6"/>
        <v>ZSI1_PNEU_HOSE2</v>
      </c>
      <c r="J1769" s="63">
        <f t="shared" si="7"/>
        <v>1</v>
      </c>
    </row>
    <row r="1770" ht="15.75" customHeight="1">
      <c r="B1770" s="95"/>
      <c r="C1770" s="105" t="s">
        <v>340</v>
      </c>
      <c r="D1770" s="101" t="s">
        <v>91</v>
      </c>
      <c r="E1770" s="101" t="s">
        <v>577</v>
      </c>
      <c r="F1770" s="101">
        <v>1.0</v>
      </c>
      <c r="G1770" s="101" t="s">
        <v>2257</v>
      </c>
      <c r="H1770" s="63" t="str">
        <f>VLOOKUP(C1770, 'Class Def. - General Data'!$C$20:$C$476,1,false)</f>
        <v>ZSI1_POWER_CABLE</v>
      </c>
      <c r="I1770" s="63" t="str">
        <f t="shared" si="6"/>
        <v>ZSI1_POWER_CABLE1</v>
      </c>
      <c r="J1770" s="63">
        <f t="shared" si="7"/>
        <v>1</v>
      </c>
    </row>
    <row r="1771" ht="15.75" customHeight="1">
      <c r="B1771" s="95"/>
      <c r="C1771" s="105" t="s">
        <v>340</v>
      </c>
      <c r="D1771" s="101" t="s">
        <v>91</v>
      </c>
      <c r="E1771" s="101" t="s">
        <v>577</v>
      </c>
      <c r="F1771" s="106" t="s">
        <v>1899</v>
      </c>
      <c r="G1771" s="101" t="s">
        <v>2258</v>
      </c>
      <c r="H1771" s="63" t="str">
        <f>VLOOKUP(C1771, 'Class Def. - General Data'!$C$20:$C$476,1,false)</f>
        <v>ZSI1_POWER_CABLE</v>
      </c>
      <c r="I1771" s="63" t="str">
        <f t="shared" si="6"/>
        <v>ZSI1_POWER_CABLE2</v>
      </c>
      <c r="J1771" s="63">
        <f t="shared" si="7"/>
        <v>1</v>
      </c>
    </row>
    <row r="1772" ht="15.75" customHeight="1">
      <c r="B1772" s="95"/>
      <c r="C1772" s="105" t="s">
        <v>450</v>
      </c>
      <c r="D1772" s="101" t="s">
        <v>91</v>
      </c>
      <c r="E1772" s="101" t="s">
        <v>577</v>
      </c>
      <c r="F1772" s="101">
        <v>1.0</v>
      </c>
      <c r="G1772" s="101" t="s">
        <v>2259</v>
      </c>
      <c r="H1772" s="63" t="str">
        <f>VLOOKUP(C1772, 'Class Def. - General Data'!$C$20:$C$476,1,false)</f>
        <v>ZSI1_PRINT_INK_TON</v>
      </c>
      <c r="I1772" s="63" t="str">
        <f t="shared" si="6"/>
        <v>ZSI1_PRINT_INK_TON1</v>
      </c>
      <c r="J1772" s="63">
        <f t="shared" si="7"/>
        <v>1</v>
      </c>
    </row>
    <row r="1773" ht="15.75" customHeight="1">
      <c r="B1773" s="95"/>
      <c r="C1773" s="105" t="s">
        <v>320</v>
      </c>
      <c r="D1773" s="101" t="s">
        <v>91</v>
      </c>
      <c r="E1773" s="101" t="s">
        <v>577</v>
      </c>
      <c r="F1773" s="101">
        <v>1.0</v>
      </c>
      <c r="G1773" s="101" t="s">
        <v>2260</v>
      </c>
      <c r="H1773" s="63" t="str">
        <f>VLOOKUP(C1773, 'Class Def. - General Data'!$C$20:$C$476,1,false)</f>
        <v>ZSI1_PULLEY</v>
      </c>
      <c r="I1773" s="63" t="str">
        <f t="shared" si="6"/>
        <v>ZSI1_PULLEY1</v>
      </c>
      <c r="J1773" s="63">
        <f t="shared" si="7"/>
        <v>1</v>
      </c>
    </row>
    <row r="1774" ht="15.75" customHeight="1">
      <c r="B1774" s="95"/>
      <c r="C1774" s="105" t="s">
        <v>319</v>
      </c>
      <c r="D1774" s="101" t="s">
        <v>91</v>
      </c>
      <c r="E1774" s="101" t="s">
        <v>577</v>
      </c>
      <c r="F1774" s="101">
        <v>1.0</v>
      </c>
      <c r="G1774" s="101" t="s">
        <v>2261</v>
      </c>
      <c r="H1774" s="63" t="str">
        <f>VLOOKUP(C1774, 'Class Def. - General Data'!$C$20:$C$476,1,false)</f>
        <v>ZSI1_PUMP</v>
      </c>
      <c r="I1774" s="63" t="str">
        <f t="shared" si="6"/>
        <v>ZSI1_PUMP1</v>
      </c>
      <c r="J1774" s="63">
        <f t="shared" si="7"/>
        <v>1</v>
      </c>
    </row>
    <row r="1775" ht="15.75" customHeight="1">
      <c r="B1775" s="95"/>
      <c r="C1775" s="105" t="s">
        <v>304</v>
      </c>
      <c r="D1775" s="101" t="s">
        <v>91</v>
      </c>
      <c r="E1775" s="101" t="s">
        <v>577</v>
      </c>
      <c r="F1775" s="101">
        <v>1.0</v>
      </c>
      <c r="G1775" s="101" t="s">
        <v>2262</v>
      </c>
      <c r="H1775" s="63" t="str">
        <f>VLOOKUP(C1775, 'Class Def. - General Data'!$C$20:$C$476,1,false)</f>
        <v>ZSI1_PWR_CONDITION</v>
      </c>
      <c r="I1775" s="63" t="str">
        <f t="shared" si="6"/>
        <v>ZSI1_PWR_CONDITION1</v>
      </c>
      <c r="J1775" s="63">
        <f t="shared" si="7"/>
        <v>1</v>
      </c>
    </row>
    <row r="1776" ht="15.75" customHeight="1">
      <c r="B1776" s="95"/>
      <c r="C1776" s="105" t="s">
        <v>315</v>
      </c>
      <c r="D1776" s="101" t="s">
        <v>91</v>
      </c>
      <c r="E1776" s="101" t="s">
        <v>577</v>
      </c>
      <c r="F1776" s="101">
        <v>1.0</v>
      </c>
      <c r="G1776" s="101" t="s">
        <v>2263</v>
      </c>
      <c r="H1776" s="63" t="str">
        <f>VLOOKUP(C1776, 'Class Def. - General Data'!$C$20:$C$476,1,false)</f>
        <v>ZSI1_PWR_GENERATOR</v>
      </c>
      <c r="I1776" s="63" t="str">
        <f t="shared" si="6"/>
        <v>ZSI1_PWR_GENERATOR1</v>
      </c>
      <c r="J1776" s="63">
        <f t="shared" si="7"/>
        <v>1</v>
      </c>
    </row>
    <row r="1777" ht="15.75" customHeight="1">
      <c r="B1777" s="95"/>
      <c r="C1777" s="105" t="s">
        <v>299</v>
      </c>
      <c r="D1777" s="101" t="s">
        <v>91</v>
      </c>
      <c r="E1777" s="101" t="s">
        <v>577</v>
      </c>
      <c r="F1777" s="101">
        <v>1.0</v>
      </c>
      <c r="G1777" s="101" t="s">
        <v>2264</v>
      </c>
      <c r="H1777" s="63" t="str">
        <f>VLOOKUP(C1777, 'Class Def. - General Data'!$C$20:$C$476,1,false)</f>
        <v>ZSI1_PWR_TRANSMISN</v>
      </c>
      <c r="I1777" s="63" t="str">
        <f t="shared" si="6"/>
        <v>ZSI1_PWR_TRANSMISN1</v>
      </c>
      <c r="J1777" s="63">
        <f t="shared" si="7"/>
        <v>1</v>
      </c>
    </row>
    <row r="1778" ht="15.75" customHeight="1">
      <c r="B1778" s="95"/>
      <c r="C1778" s="105" t="s">
        <v>451</v>
      </c>
      <c r="D1778" s="101" t="s">
        <v>91</v>
      </c>
      <c r="E1778" s="101" t="s">
        <v>577</v>
      </c>
      <c r="F1778" s="101">
        <v>1.0</v>
      </c>
      <c r="G1778" s="101" t="s">
        <v>2265</v>
      </c>
      <c r="H1778" s="63" t="str">
        <f>VLOOKUP(C1778, 'Class Def. - General Data'!$C$20:$C$476,1,false)</f>
        <v>ZSI1_REAGEN_INDC</v>
      </c>
      <c r="I1778" s="63" t="str">
        <f t="shared" si="6"/>
        <v>ZSI1_REAGEN_INDC1</v>
      </c>
      <c r="J1778" s="63">
        <f t="shared" si="7"/>
        <v>1</v>
      </c>
    </row>
    <row r="1779" ht="15.75" customHeight="1">
      <c r="B1779" s="95"/>
      <c r="C1779" s="105" t="s">
        <v>321</v>
      </c>
      <c r="D1779" s="101" t="s">
        <v>91</v>
      </c>
      <c r="E1779" s="101" t="s">
        <v>577</v>
      </c>
      <c r="F1779" s="101">
        <v>1.0</v>
      </c>
      <c r="G1779" s="101" t="s">
        <v>2266</v>
      </c>
      <c r="H1779" s="63" t="str">
        <f>VLOOKUP(C1779, 'Class Def. - General Data'!$C$20:$C$476,1,false)</f>
        <v>ZSI1_REGULATOR</v>
      </c>
      <c r="I1779" s="63" t="str">
        <f t="shared" si="6"/>
        <v>ZSI1_REGULATOR1</v>
      </c>
      <c r="J1779" s="63">
        <f t="shared" si="7"/>
        <v>1</v>
      </c>
    </row>
    <row r="1780" ht="15.75" customHeight="1">
      <c r="B1780" s="95"/>
      <c r="C1780" s="105" t="s">
        <v>452</v>
      </c>
      <c r="D1780" s="101" t="s">
        <v>91</v>
      </c>
      <c r="E1780" s="101" t="s">
        <v>577</v>
      </c>
      <c r="F1780" s="101">
        <v>1.0</v>
      </c>
      <c r="G1780" s="101" t="s">
        <v>2267</v>
      </c>
      <c r="H1780" s="63" t="str">
        <f>VLOOKUP(C1780, 'Class Def. - General Data'!$C$20:$C$476,1,false)</f>
        <v>ZSI1_ROAD_LANDSCAP</v>
      </c>
      <c r="I1780" s="63" t="str">
        <f t="shared" si="6"/>
        <v>ZSI1_ROAD_LANDSCAP1</v>
      </c>
      <c r="J1780" s="63">
        <f t="shared" si="7"/>
        <v>1</v>
      </c>
    </row>
    <row r="1781" ht="15.75" customHeight="1">
      <c r="B1781" s="95"/>
      <c r="C1781" s="105" t="s">
        <v>453</v>
      </c>
      <c r="D1781" s="101" t="s">
        <v>91</v>
      </c>
      <c r="E1781" s="101" t="s">
        <v>577</v>
      </c>
      <c r="F1781" s="101">
        <v>1.0</v>
      </c>
      <c r="G1781" s="101" t="s">
        <v>2268</v>
      </c>
      <c r="H1781" s="63" t="str">
        <f>VLOOKUP(C1781, 'Class Def. - General Data'!$C$20:$C$476,1,false)</f>
        <v>ZSI1_ROD_EYE</v>
      </c>
      <c r="I1781" s="63" t="str">
        <f t="shared" si="6"/>
        <v>ZSI1_ROD_EYE1</v>
      </c>
      <c r="J1781" s="63">
        <f t="shared" si="7"/>
        <v>1</v>
      </c>
    </row>
    <row r="1782" ht="15.75" customHeight="1">
      <c r="B1782" s="95"/>
      <c r="C1782" s="105" t="s">
        <v>454</v>
      </c>
      <c r="D1782" s="101" t="s">
        <v>91</v>
      </c>
      <c r="E1782" s="101" t="s">
        <v>577</v>
      </c>
      <c r="F1782" s="101">
        <v>1.0</v>
      </c>
      <c r="G1782" s="101" t="s">
        <v>2269</v>
      </c>
      <c r="H1782" s="63" t="str">
        <f>VLOOKUP(C1782, 'Class Def. - General Data'!$C$20:$C$476,1,false)</f>
        <v>ZSI1_RODA_CASTER</v>
      </c>
      <c r="I1782" s="63" t="str">
        <f t="shared" si="6"/>
        <v>ZSI1_RODA_CASTER1</v>
      </c>
      <c r="J1782" s="63">
        <f t="shared" si="7"/>
        <v>1</v>
      </c>
    </row>
    <row r="1783" ht="15.75" customHeight="1">
      <c r="B1783" s="95"/>
      <c r="C1783" s="105" t="s">
        <v>455</v>
      </c>
      <c r="D1783" s="101" t="s">
        <v>91</v>
      </c>
      <c r="E1783" s="101" t="s">
        <v>577</v>
      </c>
      <c r="F1783" s="101">
        <v>1.0</v>
      </c>
      <c r="G1783" s="101" t="s">
        <v>2270</v>
      </c>
      <c r="H1783" s="63" t="str">
        <f>VLOOKUP(C1783, 'Class Def. - General Data'!$C$20:$C$476,1,false)</f>
        <v>ZSI1_ROLL_ROOFING</v>
      </c>
      <c r="I1783" s="63" t="str">
        <f t="shared" si="6"/>
        <v>ZSI1_ROLL_ROOFING1</v>
      </c>
      <c r="J1783" s="63">
        <f t="shared" si="7"/>
        <v>1</v>
      </c>
    </row>
    <row r="1784" ht="15.75" customHeight="1">
      <c r="B1784" s="95"/>
      <c r="C1784" s="105" t="s">
        <v>456</v>
      </c>
      <c r="D1784" s="101" t="s">
        <v>91</v>
      </c>
      <c r="E1784" s="101" t="s">
        <v>577</v>
      </c>
      <c r="F1784" s="101">
        <v>1.0</v>
      </c>
      <c r="G1784" s="101" t="s">
        <v>2271</v>
      </c>
      <c r="H1784" s="63" t="str">
        <f>VLOOKUP(C1784, 'Class Def. - General Data'!$C$20:$C$476,1,false)</f>
        <v>ZSI1_ROLLER_CHAIN</v>
      </c>
      <c r="I1784" s="63" t="str">
        <f t="shared" si="6"/>
        <v>ZSI1_ROLLER_CHAIN1</v>
      </c>
      <c r="J1784" s="63">
        <f t="shared" si="7"/>
        <v>1</v>
      </c>
    </row>
    <row r="1785" ht="15.75" customHeight="1">
      <c r="B1785" s="95"/>
      <c r="C1785" s="105" t="s">
        <v>457</v>
      </c>
      <c r="D1785" s="101" t="s">
        <v>91</v>
      </c>
      <c r="E1785" s="101" t="s">
        <v>577</v>
      </c>
      <c r="F1785" s="101">
        <v>1.0</v>
      </c>
      <c r="G1785" s="101" t="s">
        <v>2272</v>
      </c>
      <c r="H1785" s="63" t="str">
        <f>VLOOKUP(C1785, 'Class Def. - General Data'!$C$20:$C$476,1,false)</f>
        <v>ZSI1_SCREEN_CABLE</v>
      </c>
      <c r="I1785" s="63" t="str">
        <f t="shared" si="6"/>
        <v>ZSI1_SCREEN_CABLE1</v>
      </c>
      <c r="J1785" s="63">
        <f t="shared" si="7"/>
        <v>1</v>
      </c>
    </row>
    <row r="1786" ht="15.75" customHeight="1">
      <c r="B1786" s="95"/>
      <c r="C1786" s="105" t="s">
        <v>458</v>
      </c>
      <c r="D1786" s="101" t="s">
        <v>91</v>
      </c>
      <c r="E1786" s="101" t="s">
        <v>577</v>
      </c>
      <c r="F1786" s="101">
        <v>1.0</v>
      </c>
      <c r="G1786" s="101" t="s">
        <v>2186</v>
      </c>
      <c r="H1786" s="63" t="str">
        <f>VLOOKUP(C1786, 'Class Def. - General Data'!$C$20:$C$476,1,false)</f>
        <v>ZSI1_SEAL</v>
      </c>
      <c r="I1786" s="63" t="str">
        <f t="shared" si="6"/>
        <v>ZSI1_SEAL1</v>
      </c>
      <c r="J1786" s="63">
        <f t="shared" si="7"/>
        <v>1</v>
      </c>
    </row>
    <row r="1787" ht="15.75" customHeight="1">
      <c r="B1787" s="95"/>
      <c r="C1787" s="105" t="s">
        <v>459</v>
      </c>
      <c r="D1787" s="101" t="s">
        <v>91</v>
      </c>
      <c r="E1787" s="101" t="s">
        <v>577</v>
      </c>
      <c r="F1787" s="101">
        <v>1.0</v>
      </c>
      <c r="G1787" s="101" t="s">
        <v>2273</v>
      </c>
      <c r="H1787" s="63" t="str">
        <f>VLOOKUP(C1787, 'Class Def. - General Data'!$C$20:$C$476,1,false)</f>
        <v>ZSI1_SELFDRL_SCREW</v>
      </c>
      <c r="I1787" s="63" t="str">
        <f t="shared" si="6"/>
        <v>ZSI1_SELFDRL_SCREW1</v>
      </c>
      <c r="J1787" s="63">
        <f t="shared" si="7"/>
        <v>1</v>
      </c>
    </row>
    <row r="1788" ht="15.75" customHeight="1">
      <c r="B1788" s="95"/>
      <c r="C1788" s="105" t="s">
        <v>460</v>
      </c>
      <c r="D1788" s="101" t="s">
        <v>91</v>
      </c>
      <c r="E1788" s="101" t="s">
        <v>577</v>
      </c>
      <c r="F1788" s="101">
        <v>1.0</v>
      </c>
      <c r="G1788" s="101" t="s">
        <v>2274</v>
      </c>
      <c r="H1788" s="63" t="str">
        <f>VLOOKUP(C1788, 'Class Def. - General Data'!$C$20:$C$476,1,false)</f>
        <v>ZSI1_SELFTAP_SCREW</v>
      </c>
      <c r="I1788" s="63" t="str">
        <f t="shared" si="6"/>
        <v>ZSI1_SELFTAP_SCREW1</v>
      </c>
      <c r="J1788" s="63">
        <f t="shared" si="7"/>
        <v>1</v>
      </c>
    </row>
    <row r="1789" ht="15.75" customHeight="1">
      <c r="B1789" s="95"/>
      <c r="C1789" s="105" t="s">
        <v>314</v>
      </c>
      <c r="D1789" s="101" t="s">
        <v>91</v>
      </c>
      <c r="E1789" s="101" t="s">
        <v>577</v>
      </c>
      <c r="F1789" s="101">
        <v>1.0</v>
      </c>
      <c r="G1789" s="101" t="s">
        <v>2275</v>
      </c>
      <c r="H1789" s="63" t="str">
        <f>VLOOKUP(C1789, 'Class Def. - General Data'!$C$20:$C$476,1,false)</f>
        <v>ZSI1_SEPARATOR</v>
      </c>
      <c r="I1789" s="63" t="str">
        <f t="shared" si="6"/>
        <v>ZSI1_SEPARATOR1</v>
      </c>
      <c r="J1789" s="63">
        <f t="shared" si="7"/>
        <v>1</v>
      </c>
    </row>
    <row r="1790" ht="15.75" customHeight="1">
      <c r="B1790" s="95"/>
      <c r="C1790" s="105" t="s">
        <v>461</v>
      </c>
      <c r="D1790" s="101" t="s">
        <v>91</v>
      </c>
      <c r="E1790" s="101" t="s">
        <v>577</v>
      </c>
      <c r="F1790" s="101">
        <v>1.0</v>
      </c>
      <c r="G1790" s="101" t="s">
        <v>2276</v>
      </c>
      <c r="H1790" s="63" t="str">
        <f>VLOOKUP(C1790, 'Class Def. - General Data'!$C$20:$C$476,1,false)</f>
        <v>ZSI1_SHEET</v>
      </c>
      <c r="I1790" s="63" t="str">
        <f t="shared" si="6"/>
        <v>ZSI1_SHEET1</v>
      </c>
      <c r="J1790" s="63">
        <f t="shared" si="7"/>
        <v>1</v>
      </c>
    </row>
    <row r="1791" ht="15.75" customHeight="1">
      <c r="B1791" s="95"/>
      <c r="C1791" s="105" t="s">
        <v>328</v>
      </c>
      <c r="D1791" s="101" t="s">
        <v>91</v>
      </c>
      <c r="E1791" s="101" t="s">
        <v>577</v>
      </c>
      <c r="F1791" s="101">
        <v>1.0</v>
      </c>
      <c r="G1791" s="101" t="s">
        <v>2277</v>
      </c>
      <c r="H1791" s="63" t="str">
        <f>VLOOKUP(C1791, 'Class Def. - General Data'!$C$20:$C$476,1,false)</f>
        <v>ZSI1_SHELV_STORAGE</v>
      </c>
      <c r="I1791" s="63" t="str">
        <f t="shared" si="6"/>
        <v>ZSI1_SHELV_STORAGE1</v>
      </c>
      <c r="J1791" s="63">
        <f t="shared" si="7"/>
        <v>1</v>
      </c>
    </row>
    <row r="1792" ht="15.75" customHeight="1">
      <c r="B1792" s="95"/>
      <c r="C1792" s="105" t="s">
        <v>462</v>
      </c>
      <c r="D1792" s="101" t="s">
        <v>91</v>
      </c>
      <c r="E1792" s="101" t="s">
        <v>577</v>
      </c>
      <c r="F1792" s="101">
        <v>1.0</v>
      </c>
      <c r="G1792" s="101" t="s">
        <v>2278</v>
      </c>
      <c r="H1792" s="63" t="str">
        <f>VLOOKUP(C1792, 'Class Def. - General Data'!$C$20:$C$476,1,false)</f>
        <v>ZSI1_SHOE_SANDAL</v>
      </c>
      <c r="I1792" s="63" t="str">
        <f t="shared" si="6"/>
        <v>ZSI1_SHOE_SANDAL1</v>
      </c>
      <c r="J1792" s="63">
        <f t="shared" si="7"/>
        <v>1</v>
      </c>
    </row>
    <row r="1793" ht="15.75" customHeight="1">
      <c r="B1793" s="95"/>
      <c r="C1793" s="105" t="s">
        <v>463</v>
      </c>
      <c r="D1793" s="101" t="s">
        <v>91</v>
      </c>
      <c r="E1793" s="101" t="s">
        <v>577</v>
      </c>
      <c r="F1793" s="101">
        <v>1.0</v>
      </c>
      <c r="G1793" s="101" t="s">
        <v>2279</v>
      </c>
      <c r="H1793" s="63" t="str">
        <f>VLOOKUP(C1793, 'Class Def. - General Data'!$C$20:$C$476,1,false)</f>
        <v>ZSI1_SHOWCASE</v>
      </c>
      <c r="I1793" s="63" t="str">
        <f t="shared" si="6"/>
        <v>ZSI1_SHOWCASE1</v>
      </c>
      <c r="J1793" s="63">
        <f t="shared" si="7"/>
        <v>1</v>
      </c>
    </row>
    <row r="1794" ht="15.75" customHeight="1">
      <c r="B1794" s="95"/>
      <c r="C1794" s="105" t="s">
        <v>463</v>
      </c>
      <c r="D1794" s="101" t="s">
        <v>91</v>
      </c>
      <c r="E1794" s="101" t="s">
        <v>577</v>
      </c>
      <c r="F1794" s="101">
        <v>2.0</v>
      </c>
      <c r="G1794" s="101" t="s">
        <v>2280</v>
      </c>
      <c r="H1794" s="63" t="str">
        <f>VLOOKUP(C1794, 'Class Def. - General Data'!$C$20:$C$476,1,false)</f>
        <v>ZSI1_SHOWCASE</v>
      </c>
      <c r="I1794" s="63" t="str">
        <f t="shared" si="6"/>
        <v>ZSI1_SHOWCASE2</v>
      </c>
      <c r="J1794" s="63">
        <f t="shared" si="7"/>
        <v>1</v>
      </c>
    </row>
    <row r="1795" ht="15.75" customHeight="1">
      <c r="B1795" s="95"/>
      <c r="C1795" s="105" t="s">
        <v>464</v>
      </c>
      <c r="D1795" s="101" t="s">
        <v>91</v>
      </c>
      <c r="E1795" s="101" t="s">
        <v>577</v>
      </c>
      <c r="F1795" s="101">
        <v>1.0</v>
      </c>
      <c r="G1795" s="101" t="s">
        <v>2281</v>
      </c>
      <c r="H1795" s="63" t="str">
        <f>VLOOKUP(C1795, 'Class Def. - General Data'!$C$20:$C$476,1,false)</f>
        <v>ZSI1_SIGHT_GLASS</v>
      </c>
      <c r="I1795" s="63" t="str">
        <f t="shared" si="6"/>
        <v>ZSI1_SIGHT_GLASS1</v>
      </c>
      <c r="J1795" s="63">
        <f t="shared" si="7"/>
        <v>1</v>
      </c>
    </row>
    <row r="1796" ht="15.75" customHeight="1">
      <c r="B1796" s="95"/>
      <c r="C1796" s="105" t="s">
        <v>465</v>
      </c>
      <c r="D1796" s="101" t="s">
        <v>91</v>
      </c>
      <c r="E1796" s="101" t="s">
        <v>577</v>
      </c>
      <c r="F1796" s="101">
        <v>1.0</v>
      </c>
      <c r="G1796" s="101" t="s">
        <v>2282</v>
      </c>
      <c r="H1796" s="63" t="str">
        <f>VLOOKUP(C1796, 'Class Def. - General Data'!$C$20:$C$476,1,false)</f>
        <v>ZSI1_SLING</v>
      </c>
      <c r="I1796" s="63" t="str">
        <f t="shared" si="6"/>
        <v>ZSI1_SLING1</v>
      </c>
      <c r="J1796" s="63">
        <f t="shared" si="7"/>
        <v>1</v>
      </c>
    </row>
    <row r="1797" ht="15.75" customHeight="1">
      <c r="B1797" s="95"/>
      <c r="C1797" s="105" t="s">
        <v>465</v>
      </c>
      <c r="D1797" s="101" t="s">
        <v>91</v>
      </c>
      <c r="E1797" s="101" t="s">
        <v>577</v>
      </c>
      <c r="F1797" s="106" t="s">
        <v>1899</v>
      </c>
      <c r="G1797" s="101" t="s">
        <v>2283</v>
      </c>
      <c r="H1797" s="63" t="str">
        <f>VLOOKUP(C1797, 'Class Def. - General Data'!$C$20:$C$476,1,false)</f>
        <v>ZSI1_SLING</v>
      </c>
      <c r="I1797" s="63" t="str">
        <f t="shared" si="6"/>
        <v>ZSI1_SLING2</v>
      </c>
      <c r="J1797" s="63">
        <f t="shared" si="7"/>
        <v>1</v>
      </c>
    </row>
    <row r="1798" ht="15.75" customHeight="1">
      <c r="B1798" s="95"/>
      <c r="C1798" s="105" t="s">
        <v>465</v>
      </c>
      <c r="D1798" s="101" t="s">
        <v>91</v>
      </c>
      <c r="E1798" s="101" t="s">
        <v>577</v>
      </c>
      <c r="F1798" s="106" t="s">
        <v>20</v>
      </c>
      <c r="G1798" s="101" t="s">
        <v>2284</v>
      </c>
      <c r="H1798" s="63" t="str">
        <f>VLOOKUP(C1798, 'Class Def. - General Data'!$C$20:$C$476,1,false)</f>
        <v>ZSI1_SLING</v>
      </c>
      <c r="I1798" s="63" t="str">
        <f t="shared" si="6"/>
        <v>ZSI1_SLING3</v>
      </c>
      <c r="J1798" s="63">
        <f t="shared" si="7"/>
        <v>1</v>
      </c>
    </row>
    <row r="1799" ht="15.75" customHeight="1">
      <c r="B1799" s="95"/>
      <c r="C1799" s="105" t="s">
        <v>465</v>
      </c>
      <c r="D1799" s="101" t="s">
        <v>91</v>
      </c>
      <c r="E1799" s="101" t="s">
        <v>577</v>
      </c>
      <c r="F1799" s="106" t="s">
        <v>564</v>
      </c>
      <c r="G1799" s="101" t="s">
        <v>2285</v>
      </c>
      <c r="H1799" s="63" t="str">
        <f>VLOOKUP(C1799, 'Class Def. - General Data'!$C$20:$C$476,1,false)</f>
        <v>ZSI1_SLING</v>
      </c>
      <c r="I1799" s="63" t="str">
        <f t="shared" si="6"/>
        <v>ZSI1_SLING4</v>
      </c>
      <c r="J1799" s="63">
        <f t="shared" si="7"/>
        <v>1</v>
      </c>
    </row>
    <row r="1800" ht="15.75" customHeight="1">
      <c r="B1800" s="95"/>
      <c r="C1800" s="105" t="s">
        <v>466</v>
      </c>
      <c r="D1800" s="101" t="s">
        <v>91</v>
      </c>
      <c r="E1800" s="101" t="s">
        <v>577</v>
      </c>
      <c r="F1800" s="101">
        <v>1.0</v>
      </c>
      <c r="G1800" s="101" t="s">
        <v>2286</v>
      </c>
      <c r="H1800" s="63" t="str">
        <f>VLOOKUP(C1800, 'Class Def. - General Data'!$C$20:$C$476,1,false)</f>
        <v>ZSI1_SLIPSHEET</v>
      </c>
      <c r="I1800" s="63" t="str">
        <f t="shared" si="6"/>
        <v>ZSI1_SLIPSHEET1</v>
      </c>
      <c r="J1800" s="63">
        <f t="shared" si="7"/>
        <v>1</v>
      </c>
    </row>
    <row r="1801" ht="15.75" customHeight="1">
      <c r="B1801" s="95"/>
      <c r="C1801" s="105" t="s">
        <v>467</v>
      </c>
      <c r="D1801" s="101" t="s">
        <v>91</v>
      </c>
      <c r="E1801" s="101" t="s">
        <v>577</v>
      </c>
      <c r="F1801" s="101">
        <v>1.0</v>
      </c>
      <c r="G1801" s="101" t="s">
        <v>2287</v>
      </c>
      <c r="H1801" s="63" t="str">
        <f>VLOOKUP(C1801, 'Class Def. - General Data'!$C$20:$C$476,1,false)</f>
        <v>ZSI1_SNAP_RING</v>
      </c>
      <c r="I1801" s="63" t="str">
        <f t="shared" si="6"/>
        <v>ZSI1_SNAP_RING1</v>
      </c>
      <c r="J1801" s="63">
        <f t="shared" si="7"/>
        <v>1</v>
      </c>
    </row>
    <row r="1802" ht="15.75" customHeight="1">
      <c r="B1802" s="95"/>
      <c r="C1802" s="105" t="s">
        <v>467</v>
      </c>
      <c r="D1802" s="101" t="s">
        <v>91</v>
      </c>
      <c r="E1802" s="101" t="s">
        <v>577</v>
      </c>
      <c r="F1802" s="101">
        <v>2.0</v>
      </c>
      <c r="G1802" s="101" t="s">
        <v>2288</v>
      </c>
      <c r="H1802" s="63" t="str">
        <f>VLOOKUP(C1802, 'Class Def. - General Data'!$C$20:$C$476,1,false)</f>
        <v>ZSI1_SNAP_RING</v>
      </c>
      <c r="I1802" s="63" t="str">
        <f t="shared" si="6"/>
        <v>ZSI1_SNAP_RING2</v>
      </c>
      <c r="J1802" s="63">
        <f t="shared" si="7"/>
        <v>1</v>
      </c>
    </row>
    <row r="1803" ht="15.75" customHeight="1">
      <c r="B1803" s="95"/>
      <c r="C1803" s="105" t="s">
        <v>468</v>
      </c>
      <c r="D1803" s="101" t="s">
        <v>91</v>
      </c>
      <c r="E1803" s="101" t="s">
        <v>577</v>
      </c>
      <c r="F1803" s="101">
        <v>1.0</v>
      </c>
      <c r="G1803" s="101" t="s">
        <v>2289</v>
      </c>
      <c r="H1803" s="63" t="str">
        <f>VLOOKUP(C1803, 'Class Def. - General Data'!$C$20:$C$476,1,false)</f>
        <v>ZSI1_SPRING</v>
      </c>
      <c r="I1803" s="63" t="str">
        <f t="shared" si="6"/>
        <v>ZSI1_SPRING1</v>
      </c>
      <c r="J1803" s="63">
        <f t="shared" si="7"/>
        <v>1</v>
      </c>
    </row>
    <row r="1804" ht="15.75" customHeight="1">
      <c r="B1804" s="95"/>
      <c r="C1804" s="105" t="s">
        <v>468</v>
      </c>
      <c r="D1804" s="101" t="s">
        <v>91</v>
      </c>
      <c r="E1804" s="101" t="s">
        <v>577</v>
      </c>
      <c r="F1804" s="101">
        <v>2.0</v>
      </c>
      <c r="G1804" s="101" t="s">
        <v>2290</v>
      </c>
      <c r="H1804" s="63" t="str">
        <f>VLOOKUP(C1804, 'Class Def. - General Data'!$C$20:$C$476,1,false)</f>
        <v>ZSI1_SPRING</v>
      </c>
      <c r="I1804" s="63" t="str">
        <f t="shared" si="6"/>
        <v>ZSI1_SPRING2</v>
      </c>
      <c r="J1804" s="63">
        <f t="shared" si="7"/>
        <v>1</v>
      </c>
    </row>
    <row r="1805" ht="15.75" customHeight="1">
      <c r="B1805" s="95"/>
      <c r="C1805" s="105" t="s">
        <v>348</v>
      </c>
      <c r="D1805" s="101" t="s">
        <v>91</v>
      </c>
      <c r="E1805" s="101" t="s">
        <v>577</v>
      </c>
      <c r="F1805" s="101">
        <v>1.0</v>
      </c>
      <c r="G1805" s="101" t="s">
        <v>2291</v>
      </c>
      <c r="H1805" s="63" t="str">
        <f>VLOOKUP(C1805, 'Class Def. - General Data'!$C$20:$C$476,1,false)</f>
        <v>ZSI1_SPROCKET</v>
      </c>
      <c r="I1805" s="63" t="str">
        <f t="shared" si="6"/>
        <v>ZSI1_SPROCKET1</v>
      </c>
      <c r="J1805" s="63">
        <f t="shared" si="7"/>
        <v>1</v>
      </c>
    </row>
    <row r="1806" ht="15.75" customHeight="1">
      <c r="B1806" s="95"/>
      <c r="C1806" s="105" t="s">
        <v>469</v>
      </c>
      <c r="D1806" s="101" t="s">
        <v>91</v>
      </c>
      <c r="E1806" s="101" t="s">
        <v>577</v>
      </c>
      <c r="F1806" s="101">
        <v>1.0</v>
      </c>
      <c r="G1806" s="101" t="s">
        <v>2292</v>
      </c>
      <c r="H1806" s="63" t="str">
        <f>VLOOKUP(C1806, 'Class Def. - General Data'!$C$20:$C$476,1,false)</f>
        <v>ZSI1_STORAGE_TANK</v>
      </c>
      <c r="I1806" s="63" t="str">
        <f t="shared" si="6"/>
        <v>ZSI1_STORAGE_TANK1</v>
      </c>
      <c r="J1806" s="63">
        <f t="shared" si="7"/>
        <v>1</v>
      </c>
    </row>
    <row r="1807" ht="15.75" customHeight="1">
      <c r="B1807" s="95"/>
      <c r="C1807" s="105" t="s">
        <v>469</v>
      </c>
      <c r="D1807" s="101" t="s">
        <v>91</v>
      </c>
      <c r="E1807" s="101" t="s">
        <v>577</v>
      </c>
      <c r="F1807" s="101">
        <v>2.0</v>
      </c>
      <c r="G1807" s="101" t="s">
        <v>2293</v>
      </c>
      <c r="H1807" s="63" t="str">
        <f>VLOOKUP(C1807, 'Class Def. - General Data'!$C$20:$C$476,1,false)</f>
        <v>ZSI1_STORAGE_TANK</v>
      </c>
      <c r="I1807" s="63" t="str">
        <f t="shared" si="6"/>
        <v>ZSI1_STORAGE_TANK2</v>
      </c>
      <c r="J1807" s="63">
        <f t="shared" si="7"/>
        <v>1</v>
      </c>
    </row>
    <row r="1808" ht="15.75" customHeight="1">
      <c r="B1808" s="95"/>
      <c r="C1808" s="105" t="s">
        <v>469</v>
      </c>
      <c r="D1808" s="101" t="s">
        <v>91</v>
      </c>
      <c r="E1808" s="101" t="s">
        <v>577</v>
      </c>
      <c r="F1808" s="101">
        <v>3.0</v>
      </c>
      <c r="G1808" s="101" t="s">
        <v>2294</v>
      </c>
      <c r="H1808" s="63" t="str">
        <f>VLOOKUP(C1808, 'Class Def. - General Data'!$C$20:$C$476,1,false)</f>
        <v>ZSI1_STORAGE_TANK</v>
      </c>
      <c r="I1808" s="63" t="str">
        <f t="shared" si="6"/>
        <v>ZSI1_STORAGE_TANK3</v>
      </c>
      <c r="J1808" s="63">
        <f t="shared" si="7"/>
        <v>1</v>
      </c>
    </row>
    <row r="1809" ht="15.75" customHeight="1">
      <c r="B1809" s="95"/>
      <c r="C1809" s="105" t="s">
        <v>470</v>
      </c>
      <c r="D1809" s="101" t="s">
        <v>91</v>
      </c>
      <c r="E1809" s="101" t="s">
        <v>577</v>
      </c>
      <c r="F1809" s="101">
        <v>1.0</v>
      </c>
      <c r="G1809" s="101" t="s">
        <v>2295</v>
      </c>
      <c r="H1809" s="63" t="str">
        <f>VLOOKUP(C1809, 'Class Def. - General Data'!$C$20:$C$476,1,false)</f>
        <v>ZSI1_SURVEILLANCE</v>
      </c>
      <c r="I1809" s="63" t="str">
        <f t="shared" si="6"/>
        <v>ZSI1_SURVEILLANCE1</v>
      </c>
      <c r="J1809" s="63">
        <f t="shared" si="7"/>
        <v>1</v>
      </c>
    </row>
    <row r="1810" ht="15.75" customHeight="1">
      <c r="B1810" s="95"/>
      <c r="C1810" s="105" t="s">
        <v>470</v>
      </c>
      <c r="D1810" s="101" t="s">
        <v>91</v>
      </c>
      <c r="E1810" s="101" t="s">
        <v>577</v>
      </c>
      <c r="F1810" s="101">
        <v>2.0</v>
      </c>
      <c r="G1810" s="101" t="s">
        <v>2296</v>
      </c>
      <c r="H1810" s="63" t="str">
        <f>VLOOKUP(C1810, 'Class Def. - General Data'!$C$20:$C$476,1,false)</f>
        <v>ZSI1_SURVEILLANCE</v>
      </c>
      <c r="I1810" s="63" t="str">
        <f t="shared" si="6"/>
        <v>ZSI1_SURVEILLANCE2</v>
      </c>
      <c r="J1810" s="63">
        <f t="shared" si="7"/>
        <v>1</v>
      </c>
    </row>
    <row r="1811" ht="15.75" customHeight="1">
      <c r="B1811" s="95"/>
      <c r="C1811" s="105" t="s">
        <v>470</v>
      </c>
      <c r="D1811" s="101" t="s">
        <v>91</v>
      </c>
      <c r="E1811" s="101" t="s">
        <v>577</v>
      </c>
      <c r="F1811" s="101">
        <v>3.0</v>
      </c>
      <c r="G1811" s="101" t="s">
        <v>1351</v>
      </c>
      <c r="H1811" s="63" t="str">
        <f>VLOOKUP(C1811, 'Class Def. - General Data'!$C$20:$C$476,1,false)</f>
        <v>ZSI1_SURVEILLANCE</v>
      </c>
      <c r="I1811" s="63" t="str">
        <f t="shared" si="6"/>
        <v>ZSI1_SURVEILLANCE3</v>
      </c>
      <c r="J1811" s="63">
        <f t="shared" si="7"/>
        <v>1</v>
      </c>
    </row>
    <row r="1812" ht="15.75" customHeight="1">
      <c r="B1812" s="95"/>
      <c r="C1812" s="105" t="s">
        <v>470</v>
      </c>
      <c r="D1812" s="101" t="s">
        <v>91</v>
      </c>
      <c r="E1812" s="101" t="s">
        <v>577</v>
      </c>
      <c r="F1812" s="106" t="s">
        <v>564</v>
      </c>
      <c r="G1812" s="106" t="s">
        <v>2297</v>
      </c>
      <c r="H1812" s="63" t="str">
        <f>VLOOKUP(C1812, 'Class Def. - General Data'!$C$20:$C$476,1,false)</f>
        <v>ZSI1_SURVEILLANCE</v>
      </c>
      <c r="I1812" s="63" t="str">
        <f t="shared" si="6"/>
        <v>ZSI1_SURVEILLANCE4</v>
      </c>
      <c r="J1812" s="63">
        <f t="shared" si="7"/>
        <v>1</v>
      </c>
    </row>
    <row r="1813" ht="15.75" customHeight="1">
      <c r="B1813" s="95"/>
      <c r="C1813" s="105" t="s">
        <v>470</v>
      </c>
      <c r="D1813" s="101" t="s">
        <v>91</v>
      </c>
      <c r="E1813" s="101" t="s">
        <v>577</v>
      </c>
      <c r="F1813" s="106" t="s">
        <v>1896</v>
      </c>
      <c r="G1813" s="106" t="s">
        <v>2298</v>
      </c>
      <c r="H1813" s="63" t="str">
        <f>VLOOKUP(C1813, 'Class Def. - General Data'!$C$20:$C$476,1,false)</f>
        <v>ZSI1_SURVEILLANCE</v>
      </c>
      <c r="I1813" s="63" t="str">
        <f t="shared" si="6"/>
        <v>ZSI1_SURVEILLANCE5</v>
      </c>
      <c r="J1813" s="63">
        <f t="shared" si="7"/>
        <v>1</v>
      </c>
    </row>
    <row r="1814" ht="15.75" customHeight="1">
      <c r="B1814" s="95"/>
      <c r="C1814" s="105" t="s">
        <v>470</v>
      </c>
      <c r="D1814" s="101" t="s">
        <v>91</v>
      </c>
      <c r="E1814" s="101" t="s">
        <v>577</v>
      </c>
      <c r="F1814" s="106" t="s">
        <v>1998</v>
      </c>
      <c r="G1814" s="106" t="s">
        <v>2299</v>
      </c>
      <c r="H1814" s="63" t="str">
        <f>VLOOKUP(C1814, 'Class Def. - General Data'!$C$20:$C$476,1,false)</f>
        <v>ZSI1_SURVEILLANCE</v>
      </c>
      <c r="I1814" s="63" t="str">
        <f t="shared" si="6"/>
        <v>ZSI1_SURVEILLANCE6</v>
      </c>
      <c r="J1814" s="63">
        <f t="shared" si="7"/>
        <v>1</v>
      </c>
    </row>
    <row r="1815" ht="15.75" customHeight="1">
      <c r="B1815" s="95"/>
      <c r="C1815" s="105" t="s">
        <v>470</v>
      </c>
      <c r="D1815" s="101" t="s">
        <v>91</v>
      </c>
      <c r="E1815" s="101" t="s">
        <v>577</v>
      </c>
      <c r="F1815" s="106" t="s">
        <v>2031</v>
      </c>
      <c r="G1815" s="106" t="s">
        <v>2300</v>
      </c>
      <c r="H1815" s="63" t="str">
        <f>VLOOKUP(C1815, 'Class Def. - General Data'!$C$20:$C$476,1,false)</f>
        <v>ZSI1_SURVEILLANCE</v>
      </c>
      <c r="I1815" s="63" t="str">
        <f t="shared" si="6"/>
        <v>ZSI1_SURVEILLANCE7</v>
      </c>
      <c r="J1815" s="63">
        <f t="shared" si="7"/>
        <v>1</v>
      </c>
    </row>
    <row r="1816" ht="15.75" customHeight="1">
      <c r="B1816" s="95"/>
      <c r="C1816" s="105" t="s">
        <v>470</v>
      </c>
      <c r="D1816" s="101" t="s">
        <v>91</v>
      </c>
      <c r="E1816" s="101" t="s">
        <v>577</v>
      </c>
      <c r="F1816" s="106" t="s">
        <v>2033</v>
      </c>
      <c r="G1816" s="106" t="s">
        <v>2301</v>
      </c>
      <c r="H1816" s="63" t="str">
        <f>VLOOKUP(C1816, 'Class Def. - General Data'!$C$20:$C$476,1,false)</f>
        <v>ZSI1_SURVEILLANCE</v>
      </c>
      <c r="I1816" s="63" t="str">
        <f t="shared" si="6"/>
        <v>ZSI1_SURVEILLANCE8</v>
      </c>
      <c r="J1816" s="63">
        <f t="shared" si="7"/>
        <v>1</v>
      </c>
    </row>
    <row r="1817" ht="15.75" customHeight="1">
      <c r="B1817" s="95"/>
      <c r="C1817" s="105" t="s">
        <v>470</v>
      </c>
      <c r="D1817" s="101" t="s">
        <v>91</v>
      </c>
      <c r="E1817" s="101" t="s">
        <v>577</v>
      </c>
      <c r="F1817" s="106" t="s">
        <v>2035</v>
      </c>
      <c r="G1817" s="106" t="s">
        <v>2302</v>
      </c>
      <c r="H1817" s="63" t="str">
        <f>VLOOKUP(C1817, 'Class Def. - General Data'!$C$20:$C$476,1,false)</f>
        <v>ZSI1_SURVEILLANCE</v>
      </c>
      <c r="I1817" s="63" t="str">
        <f t="shared" si="6"/>
        <v>ZSI1_SURVEILLANCE9</v>
      </c>
      <c r="J1817" s="63">
        <f t="shared" si="7"/>
        <v>1</v>
      </c>
    </row>
    <row r="1818" ht="15.75" customHeight="1">
      <c r="B1818" s="95"/>
      <c r="C1818" s="105" t="s">
        <v>322</v>
      </c>
      <c r="D1818" s="101" t="s">
        <v>91</v>
      </c>
      <c r="E1818" s="101" t="s">
        <v>577</v>
      </c>
      <c r="F1818" s="101">
        <v>1.0</v>
      </c>
      <c r="G1818" s="101" t="s">
        <v>2303</v>
      </c>
      <c r="H1818" s="63" t="str">
        <f>VLOOKUP(C1818, 'Class Def. - General Data'!$C$20:$C$476,1,false)</f>
        <v>ZSI1_TABLE_STAN</v>
      </c>
      <c r="I1818" s="63" t="str">
        <f t="shared" si="6"/>
        <v>ZSI1_TABLE_STAN1</v>
      </c>
      <c r="J1818" s="63">
        <f t="shared" si="7"/>
        <v>1</v>
      </c>
    </row>
    <row r="1819" ht="15.75" customHeight="1">
      <c r="B1819" s="95"/>
      <c r="C1819" s="105" t="s">
        <v>471</v>
      </c>
      <c r="D1819" s="101" t="s">
        <v>91</v>
      </c>
      <c r="E1819" s="101" t="s">
        <v>577</v>
      </c>
      <c r="F1819" s="101">
        <v>1.0</v>
      </c>
      <c r="G1819" s="101" t="s">
        <v>2304</v>
      </c>
      <c r="H1819" s="63" t="str">
        <f>VLOOKUP(C1819, 'Class Def. - General Data'!$C$20:$C$476,1,false)</f>
        <v>ZSI1_TAPE_DISPENSE</v>
      </c>
      <c r="I1819" s="63" t="str">
        <f t="shared" si="6"/>
        <v>ZSI1_TAPE_DISPENSE1</v>
      </c>
      <c r="J1819" s="63">
        <f t="shared" si="7"/>
        <v>1</v>
      </c>
    </row>
    <row r="1820" ht="15.75" customHeight="1">
      <c r="B1820" s="95"/>
      <c r="C1820" s="105" t="s">
        <v>472</v>
      </c>
      <c r="D1820" s="101" t="s">
        <v>91</v>
      </c>
      <c r="E1820" s="101" t="s">
        <v>577</v>
      </c>
      <c r="F1820" s="101">
        <v>1.0</v>
      </c>
      <c r="G1820" s="101" t="s">
        <v>2220</v>
      </c>
      <c r="H1820" s="63" t="str">
        <f>VLOOKUP(C1820, 'Class Def. - General Data'!$C$20:$C$476,1,false)</f>
        <v>ZSI1_TENT_CARD</v>
      </c>
      <c r="I1820" s="63" t="str">
        <f t="shared" si="6"/>
        <v>ZSI1_TENT_CARD1</v>
      </c>
      <c r="J1820" s="63">
        <f t="shared" si="7"/>
        <v>1</v>
      </c>
    </row>
    <row r="1821" ht="15.75" customHeight="1">
      <c r="B1821" s="95"/>
      <c r="C1821" s="105" t="s">
        <v>473</v>
      </c>
      <c r="D1821" s="101" t="s">
        <v>91</v>
      </c>
      <c r="E1821" s="101" t="s">
        <v>577</v>
      </c>
      <c r="F1821" s="101">
        <v>1.0</v>
      </c>
      <c r="G1821" s="101" t="s">
        <v>2305</v>
      </c>
      <c r="H1821" s="63" t="str">
        <f>VLOOKUP(C1821, 'Class Def. - General Data'!$C$20:$C$476,1,false)</f>
        <v>ZSI1_TEST_PAPER</v>
      </c>
      <c r="I1821" s="63" t="str">
        <f t="shared" si="6"/>
        <v>ZSI1_TEST_PAPER1</v>
      </c>
      <c r="J1821" s="63">
        <f t="shared" si="7"/>
        <v>1</v>
      </c>
    </row>
    <row r="1822" ht="15.75" customHeight="1">
      <c r="B1822" s="95"/>
      <c r="C1822" s="105" t="s">
        <v>474</v>
      </c>
      <c r="D1822" s="101" t="s">
        <v>91</v>
      </c>
      <c r="E1822" s="101" t="s">
        <v>577</v>
      </c>
      <c r="F1822" s="101">
        <v>1.0</v>
      </c>
      <c r="G1822" s="101" t="s">
        <v>2306</v>
      </c>
      <c r="H1822" s="63" t="str">
        <f>VLOOKUP(C1822, 'Class Def. - General Data'!$C$20:$C$476,1,false)</f>
        <v>ZSI1_TILE</v>
      </c>
      <c r="I1822" s="63" t="str">
        <f t="shared" si="6"/>
        <v>ZSI1_TILE1</v>
      </c>
      <c r="J1822" s="63">
        <f t="shared" si="7"/>
        <v>1</v>
      </c>
    </row>
    <row r="1823" ht="15.75" customHeight="1">
      <c r="B1823" s="95"/>
      <c r="C1823" s="105" t="s">
        <v>505</v>
      </c>
      <c r="D1823" s="101" t="s">
        <v>91</v>
      </c>
      <c r="E1823" s="101" t="s">
        <v>577</v>
      </c>
      <c r="F1823" s="101">
        <v>1.0</v>
      </c>
      <c r="G1823" s="101" t="s">
        <v>2307</v>
      </c>
      <c r="H1823" s="63" t="str">
        <f>VLOOKUP(C1823, 'Class Def. - General Data'!$C$20:$C$476,1,false)</f>
        <v>ZSI1_TIMING_BELT</v>
      </c>
      <c r="I1823" s="63" t="str">
        <f t="shared" si="6"/>
        <v>ZSI1_TIMING_BELT1</v>
      </c>
      <c r="J1823" s="63">
        <f t="shared" si="7"/>
        <v>1</v>
      </c>
    </row>
    <row r="1824" ht="15.75" customHeight="1">
      <c r="B1824" s="95"/>
      <c r="C1824" s="105" t="s">
        <v>506</v>
      </c>
      <c r="D1824" s="101" t="s">
        <v>91</v>
      </c>
      <c r="E1824" s="101" t="s">
        <v>577</v>
      </c>
      <c r="F1824" s="101">
        <v>1.0</v>
      </c>
      <c r="G1824" s="101" t="s">
        <v>2308</v>
      </c>
      <c r="H1824" s="63" t="str">
        <f>VLOOKUP(C1824, 'Class Def. - General Data'!$C$20:$C$476,1,false)</f>
        <v>ZSI1_TIRE_OUTER</v>
      </c>
      <c r="I1824" s="63" t="str">
        <f t="shared" si="6"/>
        <v>ZSI1_TIRE_OUTER1</v>
      </c>
      <c r="J1824" s="63">
        <f t="shared" si="7"/>
        <v>1</v>
      </c>
    </row>
    <row r="1825" ht="15.75" customHeight="1">
      <c r="B1825" s="95"/>
      <c r="C1825" s="105" t="s">
        <v>475</v>
      </c>
      <c r="D1825" s="101" t="s">
        <v>91</v>
      </c>
      <c r="E1825" s="101" t="s">
        <v>577</v>
      </c>
      <c r="F1825" s="101">
        <v>1.0</v>
      </c>
      <c r="G1825" s="101" t="s">
        <v>2309</v>
      </c>
      <c r="H1825" s="63" t="str">
        <f>VLOOKUP(C1825, 'Class Def. - General Data'!$C$20:$C$476,1,false)</f>
        <v>ZSI1_TRAF_CONE</v>
      </c>
      <c r="I1825" s="63" t="str">
        <f t="shared" si="6"/>
        <v>ZSI1_TRAF_CONE1</v>
      </c>
      <c r="J1825" s="63">
        <f t="shared" si="7"/>
        <v>1</v>
      </c>
    </row>
    <row r="1826" ht="15.75" customHeight="1">
      <c r="B1826" s="95"/>
      <c r="C1826" s="105" t="s">
        <v>476</v>
      </c>
      <c r="D1826" s="101" t="s">
        <v>91</v>
      </c>
      <c r="E1826" s="101" t="s">
        <v>577</v>
      </c>
      <c r="F1826" s="101">
        <v>1.0</v>
      </c>
      <c r="G1826" s="101" t="s">
        <v>2310</v>
      </c>
      <c r="H1826" s="63" t="str">
        <f>VLOOKUP(C1826, 'Class Def. - General Data'!$C$20:$C$476,1,false)</f>
        <v>ZSI1_TRIPOD</v>
      </c>
      <c r="I1826" s="63" t="str">
        <f t="shared" si="6"/>
        <v>ZSI1_TRIPOD1</v>
      </c>
      <c r="J1826" s="63">
        <f t="shared" si="7"/>
        <v>1</v>
      </c>
    </row>
    <row r="1827" ht="15.75" customHeight="1">
      <c r="B1827" s="95"/>
      <c r="C1827" s="105" t="s">
        <v>477</v>
      </c>
      <c r="D1827" s="101" t="s">
        <v>91</v>
      </c>
      <c r="E1827" s="101" t="s">
        <v>577</v>
      </c>
      <c r="F1827" s="101">
        <v>1.0</v>
      </c>
      <c r="G1827" s="101" t="s">
        <v>2311</v>
      </c>
      <c r="H1827" s="63" t="str">
        <f>VLOOKUP(C1827, 'Class Def. - General Data'!$C$20:$C$476,1,false)</f>
        <v>ZSI1_U_CHANNEL</v>
      </c>
      <c r="I1827" s="63" t="str">
        <f t="shared" si="6"/>
        <v>ZSI1_U_CHANNEL1</v>
      </c>
      <c r="J1827" s="63">
        <f t="shared" si="7"/>
        <v>1</v>
      </c>
    </row>
    <row r="1828" ht="15.75" customHeight="1">
      <c r="B1828" s="95"/>
      <c r="C1828" s="105" t="s">
        <v>507</v>
      </c>
      <c r="D1828" s="101" t="s">
        <v>91</v>
      </c>
      <c r="E1828" s="101" t="s">
        <v>577</v>
      </c>
      <c r="F1828" s="101">
        <v>1.0</v>
      </c>
      <c r="G1828" s="101" t="s">
        <v>2312</v>
      </c>
      <c r="H1828" s="63" t="str">
        <f>VLOOKUP(C1828, 'Class Def. - General Data'!$C$20:$C$476,1,false)</f>
        <v>ZSI1_V_BELT</v>
      </c>
      <c r="I1828" s="63" t="str">
        <f t="shared" si="6"/>
        <v>ZSI1_V_BELT1</v>
      </c>
      <c r="J1828" s="63">
        <f t="shared" si="7"/>
        <v>1</v>
      </c>
    </row>
    <row r="1829" ht="15.75" customHeight="1">
      <c r="B1829" s="95"/>
      <c r="C1829" s="105" t="s">
        <v>507</v>
      </c>
      <c r="D1829" s="101" t="s">
        <v>91</v>
      </c>
      <c r="E1829" s="101" t="s">
        <v>577</v>
      </c>
      <c r="F1829" s="106" t="s">
        <v>1899</v>
      </c>
      <c r="G1829" s="101" t="s">
        <v>2313</v>
      </c>
      <c r="H1829" s="63" t="str">
        <f>VLOOKUP(C1829, 'Class Def. - General Data'!$C$20:$C$476,1,false)</f>
        <v>ZSI1_V_BELT</v>
      </c>
      <c r="I1829" s="63" t="str">
        <f t="shared" si="6"/>
        <v>ZSI1_V_BELT2</v>
      </c>
      <c r="J1829" s="63">
        <f t="shared" si="7"/>
        <v>1</v>
      </c>
    </row>
    <row r="1830" ht="15.75" customHeight="1">
      <c r="B1830" s="95"/>
      <c r="C1830" s="105" t="s">
        <v>507</v>
      </c>
      <c r="D1830" s="101" t="s">
        <v>91</v>
      </c>
      <c r="E1830" s="101" t="s">
        <v>577</v>
      </c>
      <c r="F1830" s="106" t="s">
        <v>20</v>
      </c>
      <c r="G1830" s="101" t="s">
        <v>2314</v>
      </c>
      <c r="H1830" s="63" t="str">
        <f>VLOOKUP(C1830, 'Class Def. - General Data'!$C$20:$C$476,1,false)</f>
        <v>ZSI1_V_BELT</v>
      </c>
      <c r="I1830" s="63" t="str">
        <f t="shared" si="6"/>
        <v>ZSI1_V_BELT3</v>
      </c>
      <c r="J1830" s="63">
        <f t="shared" si="7"/>
        <v>1</v>
      </c>
    </row>
    <row r="1831" ht="15.75" customHeight="1">
      <c r="B1831" s="95"/>
      <c r="C1831" s="105" t="s">
        <v>478</v>
      </c>
      <c r="D1831" s="101" t="s">
        <v>91</v>
      </c>
      <c r="E1831" s="101" t="s">
        <v>577</v>
      </c>
      <c r="F1831" s="101">
        <v>1.0</v>
      </c>
      <c r="G1831" s="101" t="s">
        <v>2315</v>
      </c>
      <c r="H1831" s="63" t="str">
        <f>VLOOKUP(C1831, 'Class Def. - General Data'!$C$20:$C$476,1,false)</f>
        <v>ZSI1_V_PACKING</v>
      </c>
      <c r="I1831" s="63" t="str">
        <f t="shared" si="6"/>
        <v>ZSI1_V_PACKING1</v>
      </c>
      <c r="J1831" s="63">
        <f t="shared" si="7"/>
        <v>1</v>
      </c>
    </row>
    <row r="1832" ht="15.75" customHeight="1">
      <c r="B1832" s="95"/>
      <c r="C1832" s="105" t="s">
        <v>508</v>
      </c>
      <c r="D1832" s="101" t="s">
        <v>91</v>
      </c>
      <c r="E1832" s="101" t="s">
        <v>577</v>
      </c>
      <c r="F1832" s="101">
        <v>1.0</v>
      </c>
      <c r="G1832" s="101" t="s">
        <v>2316</v>
      </c>
      <c r="H1832" s="63" t="str">
        <f>VLOOKUP(C1832, 'Class Def. - General Data'!$C$20:$C$476,1,false)</f>
        <v>ZSI1_VALVE</v>
      </c>
      <c r="I1832" s="63" t="str">
        <f t="shared" si="6"/>
        <v>ZSI1_VALVE1</v>
      </c>
      <c r="J1832" s="63">
        <f t="shared" si="7"/>
        <v>1</v>
      </c>
    </row>
    <row r="1833" ht="15.75" customHeight="1">
      <c r="B1833" s="95"/>
      <c r="C1833" s="105" t="s">
        <v>335</v>
      </c>
      <c r="D1833" s="101" t="s">
        <v>91</v>
      </c>
      <c r="E1833" s="101" t="s">
        <v>577</v>
      </c>
      <c r="F1833" s="101">
        <v>1.0</v>
      </c>
      <c r="G1833" s="101" t="s">
        <v>2317</v>
      </c>
      <c r="H1833" s="63" t="str">
        <f>VLOOKUP(C1833, 'Class Def. - General Data'!$C$20:$C$476,1,false)</f>
        <v>ZSI1_VEH_SERV_MC</v>
      </c>
      <c r="I1833" s="63" t="str">
        <f t="shared" si="6"/>
        <v>ZSI1_VEH_SERV_MC1</v>
      </c>
      <c r="J1833" s="63">
        <f t="shared" si="7"/>
        <v>1</v>
      </c>
    </row>
    <row r="1834" ht="15.75" customHeight="1">
      <c r="B1834" s="95"/>
      <c r="C1834" s="105" t="s">
        <v>523</v>
      </c>
      <c r="D1834" s="101" t="s">
        <v>91</v>
      </c>
      <c r="E1834" s="101" t="s">
        <v>577</v>
      </c>
      <c r="F1834" s="101">
        <v>1.0</v>
      </c>
      <c r="G1834" s="101" t="s">
        <v>2318</v>
      </c>
      <c r="H1834" s="63" t="str">
        <f>VLOOKUP(C1834, 'Class Def. - General Data'!$C$20:$C$476,1,false)</f>
        <v>ZSI1_VEHICLE</v>
      </c>
      <c r="I1834" s="63" t="str">
        <f t="shared" si="6"/>
        <v>ZSI1_VEHICLE1</v>
      </c>
      <c r="J1834" s="63">
        <f t="shared" si="7"/>
        <v>1</v>
      </c>
    </row>
    <row r="1835" ht="15.75" customHeight="1">
      <c r="B1835" s="95"/>
      <c r="C1835" s="105" t="s">
        <v>523</v>
      </c>
      <c r="D1835" s="101" t="s">
        <v>91</v>
      </c>
      <c r="E1835" s="101" t="s">
        <v>577</v>
      </c>
      <c r="F1835" s="101">
        <v>2.0</v>
      </c>
      <c r="G1835" s="101" t="s">
        <v>2319</v>
      </c>
      <c r="H1835" s="63" t="str">
        <f>VLOOKUP(C1835, 'Class Def. - General Data'!$C$20:$C$476,1,false)</f>
        <v>ZSI1_VEHICLE</v>
      </c>
      <c r="I1835" s="63" t="str">
        <f t="shared" si="6"/>
        <v>ZSI1_VEHICLE2</v>
      </c>
      <c r="J1835" s="63">
        <f t="shared" si="7"/>
        <v>1</v>
      </c>
    </row>
    <row r="1836" ht="15.75" customHeight="1">
      <c r="B1836" s="95"/>
      <c r="C1836" s="105" t="s">
        <v>523</v>
      </c>
      <c r="D1836" s="101" t="s">
        <v>91</v>
      </c>
      <c r="E1836" s="101" t="s">
        <v>577</v>
      </c>
      <c r="F1836" s="101">
        <v>3.0</v>
      </c>
      <c r="G1836" s="101" t="s">
        <v>2320</v>
      </c>
      <c r="H1836" s="63" t="str">
        <f>VLOOKUP(C1836, 'Class Def. - General Data'!$C$20:$C$476,1,false)</f>
        <v>ZSI1_VEHICLE</v>
      </c>
      <c r="I1836" s="63" t="str">
        <f t="shared" si="6"/>
        <v>ZSI1_VEHICLE3</v>
      </c>
      <c r="J1836" s="63">
        <f t="shared" si="7"/>
        <v>1</v>
      </c>
    </row>
    <row r="1837" ht="15.75" customHeight="1">
      <c r="B1837" s="95"/>
      <c r="C1837" s="105" t="s">
        <v>523</v>
      </c>
      <c r="D1837" s="101" t="s">
        <v>91</v>
      </c>
      <c r="E1837" s="101" t="s">
        <v>577</v>
      </c>
      <c r="F1837" s="101">
        <v>4.0</v>
      </c>
      <c r="G1837" s="101" t="s">
        <v>2321</v>
      </c>
      <c r="H1837" s="63" t="str">
        <f>VLOOKUP(C1837, 'Class Def. - General Data'!$C$20:$C$476,1,false)</f>
        <v>ZSI1_VEHICLE</v>
      </c>
      <c r="I1837" s="63" t="str">
        <f t="shared" si="6"/>
        <v>ZSI1_VEHICLE4</v>
      </c>
      <c r="J1837" s="63">
        <f t="shared" si="7"/>
        <v>1</v>
      </c>
    </row>
    <row r="1838" ht="15.75" customHeight="1">
      <c r="B1838" s="95"/>
      <c r="C1838" s="105" t="s">
        <v>523</v>
      </c>
      <c r="D1838" s="101" t="s">
        <v>91</v>
      </c>
      <c r="E1838" s="101" t="s">
        <v>577</v>
      </c>
      <c r="F1838" s="101">
        <v>5.0</v>
      </c>
      <c r="G1838" s="101" t="s">
        <v>2322</v>
      </c>
      <c r="H1838" s="63" t="str">
        <f>VLOOKUP(C1838, 'Class Def. - General Data'!$C$20:$C$476,1,false)</f>
        <v>ZSI1_VEHICLE</v>
      </c>
      <c r="I1838" s="63" t="str">
        <f t="shared" si="6"/>
        <v>ZSI1_VEHICLE5</v>
      </c>
      <c r="J1838" s="63">
        <f t="shared" si="7"/>
        <v>1</v>
      </c>
    </row>
    <row r="1839" ht="15.75" customHeight="1">
      <c r="B1839" s="95"/>
      <c r="C1839" s="105" t="s">
        <v>523</v>
      </c>
      <c r="D1839" s="101" t="s">
        <v>91</v>
      </c>
      <c r="E1839" s="101" t="s">
        <v>577</v>
      </c>
      <c r="F1839" s="101">
        <v>6.0</v>
      </c>
      <c r="G1839" s="101" t="s">
        <v>2323</v>
      </c>
      <c r="H1839" s="63" t="str">
        <f>VLOOKUP(C1839, 'Class Def. - General Data'!$C$20:$C$476,1,false)</f>
        <v>ZSI1_VEHICLE</v>
      </c>
      <c r="I1839" s="63" t="str">
        <f t="shared" si="6"/>
        <v>ZSI1_VEHICLE6</v>
      </c>
      <c r="J1839" s="63">
        <f t="shared" si="7"/>
        <v>1</v>
      </c>
    </row>
    <row r="1840" ht="15.75" customHeight="1">
      <c r="B1840" s="95"/>
      <c r="C1840" s="105" t="s">
        <v>523</v>
      </c>
      <c r="D1840" s="101" t="s">
        <v>91</v>
      </c>
      <c r="E1840" s="101" t="s">
        <v>577</v>
      </c>
      <c r="F1840" s="101">
        <v>7.0</v>
      </c>
      <c r="G1840" s="101" t="s">
        <v>2319</v>
      </c>
      <c r="H1840" s="63" t="str">
        <f>VLOOKUP(C1840, 'Class Def. - General Data'!$C$20:$C$476,1,false)</f>
        <v>ZSI1_VEHICLE</v>
      </c>
      <c r="I1840" s="63" t="str">
        <f t="shared" si="6"/>
        <v>ZSI1_VEHICLE7</v>
      </c>
      <c r="J1840" s="63">
        <f t="shared" si="7"/>
        <v>1</v>
      </c>
    </row>
    <row r="1841" ht="15.75" customHeight="1">
      <c r="B1841" s="95"/>
      <c r="C1841" s="105" t="s">
        <v>523</v>
      </c>
      <c r="D1841" s="101" t="s">
        <v>91</v>
      </c>
      <c r="E1841" s="101" t="s">
        <v>577</v>
      </c>
      <c r="F1841" s="101">
        <v>8.0</v>
      </c>
      <c r="G1841" s="101" t="s">
        <v>2324</v>
      </c>
      <c r="H1841" s="63" t="str">
        <f>VLOOKUP(C1841, 'Class Def. - General Data'!$C$20:$C$476,1,false)</f>
        <v>ZSI1_VEHICLE</v>
      </c>
      <c r="I1841" s="63" t="str">
        <f t="shared" si="6"/>
        <v>ZSI1_VEHICLE8</v>
      </c>
      <c r="J1841" s="63">
        <f t="shared" si="7"/>
        <v>1</v>
      </c>
    </row>
    <row r="1842" ht="15.75" customHeight="1">
      <c r="B1842" s="95"/>
      <c r="C1842" s="105" t="s">
        <v>523</v>
      </c>
      <c r="D1842" s="101" t="s">
        <v>91</v>
      </c>
      <c r="E1842" s="101" t="s">
        <v>577</v>
      </c>
      <c r="F1842" s="101">
        <v>9.0</v>
      </c>
      <c r="G1842" s="101" t="s">
        <v>2325</v>
      </c>
      <c r="H1842" s="63" t="str">
        <f>VLOOKUP(C1842, 'Class Def. - General Data'!$C$20:$C$476,1,false)</f>
        <v>ZSI1_VEHICLE</v>
      </c>
      <c r="I1842" s="63" t="str">
        <f t="shared" si="6"/>
        <v>ZSI1_VEHICLE9</v>
      </c>
      <c r="J1842" s="63">
        <f t="shared" si="7"/>
        <v>1</v>
      </c>
    </row>
    <row r="1843" ht="15.75" customHeight="1">
      <c r="B1843" s="95"/>
      <c r="C1843" s="105" t="s">
        <v>523</v>
      </c>
      <c r="D1843" s="101" t="s">
        <v>91</v>
      </c>
      <c r="E1843" s="101" t="s">
        <v>577</v>
      </c>
      <c r="F1843" s="101">
        <v>10.0</v>
      </c>
      <c r="G1843" s="101" t="s">
        <v>2326</v>
      </c>
      <c r="H1843" s="63" t="str">
        <f>VLOOKUP(C1843, 'Class Def. - General Data'!$C$20:$C$476,1,false)</f>
        <v>ZSI1_VEHICLE</v>
      </c>
      <c r="I1843" s="63" t="str">
        <f t="shared" si="6"/>
        <v>ZSI1_VEHICLE10</v>
      </c>
      <c r="J1843" s="63">
        <f t="shared" si="7"/>
        <v>1</v>
      </c>
    </row>
    <row r="1844" ht="15.75" customHeight="1">
      <c r="B1844" s="95"/>
      <c r="C1844" s="105" t="s">
        <v>523</v>
      </c>
      <c r="D1844" s="101" t="s">
        <v>91</v>
      </c>
      <c r="E1844" s="101" t="s">
        <v>577</v>
      </c>
      <c r="F1844" s="101">
        <v>11.0</v>
      </c>
      <c r="G1844" s="101" t="s">
        <v>2327</v>
      </c>
      <c r="H1844" s="63" t="str">
        <f>VLOOKUP(C1844, 'Class Def. - General Data'!$C$20:$C$476,1,false)</f>
        <v>ZSI1_VEHICLE</v>
      </c>
      <c r="I1844" s="63" t="str">
        <f t="shared" si="6"/>
        <v>ZSI1_VEHICLE11</v>
      </c>
      <c r="J1844" s="63">
        <f t="shared" si="7"/>
        <v>1</v>
      </c>
    </row>
    <row r="1845" ht="15.75" customHeight="1">
      <c r="B1845" s="95"/>
      <c r="C1845" s="105" t="s">
        <v>523</v>
      </c>
      <c r="D1845" s="101" t="s">
        <v>91</v>
      </c>
      <c r="E1845" s="101" t="s">
        <v>577</v>
      </c>
      <c r="F1845" s="101">
        <v>12.0</v>
      </c>
      <c r="G1845" s="101" t="s">
        <v>2328</v>
      </c>
      <c r="H1845" s="63" t="str">
        <f>VLOOKUP(C1845, 'Class Def. - General Data'!$C$20:$C$476,1,false)</f>
        <v>ZSI1_VEHICLE</v>
      </c>
      <c r="I1845" s="63" t="str">
        <f t="shared" si="6"/>
        <v>ZSI1_VEHICLE12</v>
      </c>
      <c r="J1845" s="63">
        <f t="shared" si="7"/>
        <v>1</v>
      </c>
    </row>
    <row r="1846" ht="15.75" customHeight="1">
      <c r="B1846" s="95"/>
      <c r="C1846" s="105" t="s">
        <v>523</v>
      </c>
      <c r="D1846" s="101" t="s">
        <v>91</v>
      </c>
      <c r="E1846" s="101" t="s">
        <v>577</v>
      </c>
      <c r="F1846" s="101">
        <v>13.0</v>
      </c>
      <c r="G1846" s="101" t="s">
        <v>2329</v>
      </c>
      <c r="H1846" s="63" t="str">
        <f>VLOOKUP(C1846, 'Class Def. - General Data'!$C$20:$C$476,1,false)</f>
        <v>ZSI1_VEHICLE</v>
      </c>
      <c r="I1846" s="63" t="str">
        <f t="shared" si="6"/>
        <v>ZSI1_VEHICLE13</v>
      </c>
      <c r="J1846" s="63">
        <f t="shared" si="7"/>
        <v>1</v>
      </c>
    </row>
    <row r="1847" ht="15.75" customHeight="1">
      <c r="B1847" s="95"/>
      <c r="C1847" s="105" t="s">
        <v>523</v>
      </c>
      <c r="D1847" s="101" t="s">
        <v>91</v>
      </c>
      <c r="E1847" s="101" t="s">
        <v>577</v>
      </c>
      <c r="F1847" s="101">
        <v>14.0</v>
      </c>
      <c r="G1847" s="101" t="s">
        <v>2330</v>
      </c>
      <c r="H1847" s="63" t="str">
        <f>VLOOKUP(C1847, 'Class Def. - General Data'!$C$20:$C$476,1,false)</f>
        <v>ZSI1_VEHICLE</v>
      </c>
      <c r="I1847" s="63" t="str">
        <f t="shared" si="6"/>
        <v>ZSI1_VEHICLE14</v>
      </c>
      <c r="J1847" s="63">
        <f t="shared" si="7"/>
        <v>1</v>
      </c>
    </row>
    <row r="1848" ht="15.75" customHeight="1">
      <c r="B1848" s="95"/>
      <c r="C1848" s="105" t="s">
        <v>331</v>
      </c>
      <c r="D1848" s="101" t="s">
        <v>91</v>
      </c>
      <c r="E1848" s="101" t="s">
        <v>577</v>
      </c>
      <c r="F1848" s="101">
        <v>1.0</v>
      </c>
      <c r="G1848" s="101" t="s">
        <v>1435</v>
      </c>
      <c r="H1848" s="63" t="str">
        <f>VLOOKUP(C1848, 'Class Def. - General Data'!$C$20:$C$476,1,false)</f>
        <v>ZSI1_VENDING_MC</v>
      </c>
      <c r="I1848" s="63" t="str">
        <f t="shared" si="6"/>
        <v>ZSI1_VENDING_MC1</v>
      </c>
      <c r="J1848" s="63">
        <f t="shared" si="7"/>
        <v>1</v>
      </c>
    </row>
    <row r="1849" ht="15.75" customHeight="1">
      <c r="B1849" s="95"/>
      <c r="C1849" s="105" t="s">
        <v>479</v>
      </c>
      <c r="D1849" s="101" t="s">
        <v>91</v>
      </c>
      <c r="E1849" s="101" t="s">
        <v>577</v>
      </c>
      <c r="F1849" s="101">
        <v>1.0</v>
      </c>
      <c r="G1849" s="101" t="s">
        <v>2331</v>
      </c>
      <c r="H1849" s="63" t="str">
        <f>VLOOKUP(C1849, 'Class Def. - General Data'!$C$20:$C$476,1,false)</f>
        <v>ZSI1_VIS_PRESENT</v>
      </c>
      <c r="I1849" s="63" t="str">
        <f t="shared" si="6"/>
        <v>ZSI1_VIS_PRESENT1</v>
      </c>
      <c r="J1849" s="63">
        <f t="shared" si="7"/>
        <v>1</v>
      </c>
    </row>
    <row r="1850" ht="15.75" customHeight="1">
      <c r="B1850" s="95"/>
      <c r="C1850" s="105" t="s">
        <v>480</v>
      </c>
      <c r="D1850" s="101" t="s">
        <v>91</v>
      </c>
      <c r="E1850" s="101" t="s">
        <v>577</v>
      </c>
      <c r="F1850" s="101">
        <v>1.0</v>
      </c>
      <c r="G1850" s="101" t="s">
        <v>2332</v>
      </c>
      <c r="H1850" s="63" t="str">
        <f>VLOOKUP(C1850, 'Class Def. - General Data'!$C$20:$C$476,1,false)</f>
        <v>ZSI1_WALL_PANEL</v>
      </c>
      <c r="I1850" s="63" t="str">
        <f t="shared" si="6"/>
        <v>ZSI1_WALL_PANEL1</v>
      </c>
      <c r="J1850" s="63">
        <f t="shared" si="7"/>
        <v>1</v>
      </c>
    </row>
    <row r="1851" ht="15.75" customHeight="1">
      <c r="B1851" s="95"/>
      <c r="C1851" s="105" t="s">
        <v>330</v>
      </c>
      <c r="D1851" s="101" t="s">
        <v>91</v>
      </c>
      <c r="E1851" s="101" t="s">
        <v>577</v>
      </c>
      <c r="F1851" s="101">
        <v>1.0</v>
      </c>
      <c r="G1851" s="101" t="s">
        <v>2333</v>
      </c>
      <c r="H1851" s="63" t="str">
        <f>VLOOKUP(C1851, 'Class Def. - General Data'!$C$20:$C$476,1,false)</f>
        <v>ZSI1_WAREHSE_EQUIP</v>
      </c>
      <c r="I1851" s="63" t="str">
        <f t="shared" si="6"/>
        <v>ZSI1_WAREHSE_EQUIP1</v>
      </c>
      <c r="J1851" s="63">
        <f t="shared" si="7"/>
        <v>1</v>
      </c>
    </row>
    <row r="1852" ht="15.75" customHeight="1">
      <c r="B1852" s="95"/>
      <c r="C1852" s="105" t="s">
        <v>337</v>
      </c>
      <c r="D1852" s="101" t="s">
        <v>91</v>
      </c>
      <c r="E1852" s="101" t="s">
        <v>577</v>
      </c>
      <c r="F1852" s="101">
        <v>1.0</v>
      </c>
      <c r="G1852" s="101" t="s">
        <v>2334</v>
      </c>
      <c r="H1852" s="63" t="str">
        <f>VLOOKUP(C1852, 'Class Def. - General Data'!$C$20:$C$476,1,false)</f>
        <v>ZSI1_WASHER</v>
      </c>
      <c r="I1852" s="63" t="str">
        <f t="shared" si="6"/>
        <v>ZSI1_WASHER1</v>
      </c>
      <c r="J1852" s="63">
        <f t="shared" si="7"/>
        <v>1</v>
      </c>
    </row>
    <row r="1853" ht="15.75" customHeight="1">
      <c r="B1853" s="95"/>
      <c r="C1853" s="105" t="s">
        <v>343</v>
      </c>
      <c r="D1853" s="101" t="s">
        <v>91</v>
      </c>
      <c r="E1853" s="101" t="s">
        <v>577</v>
      </c>
      <c r="F1853" s="101">
        <v>1.0</v>
      </c>
      <c r="G1853" s="101" t="s">
        <v>2335</v>
      </c>
      <c r="H1853" s="63" t="str">
        <f>VLOOKUP(C1853, 'Class Def. - General Data'!$C$20:$C$476,1,false)</f>
        <v>ZSI1_WATER_HOSE</v>
      </c>
      <c r="I1853" s="63" t="str">
        <f t="shared" si="6"/>
        <v>ZSI1_WATER_HOSE1</v>
      </c>
      <c r="J1853" s="63">
        <f t="shared" si="7"/>
        <v>1</v>
      </c>
    </row>
    <row r="1854" ht="15.75" customHeight="1">
      <c r="B1854" s="95"/>
      <c r="C1854" s="105" t="s">
        <v>343</v>
      </c>
      <c r="D1854" s="101" t="s">
        <v>91</v>
      </c>
      <c r="E1854" s="101" t="s">
        <v>577</v>
      </c>
      <c r="F1854" s="106" t="s">
        <v>1899</v>
      </c>
      <c r="G1854" s="101" t="s">
        <v>2336</v>
      </c>
      <c r="H1854" s="63" t="str">
        <f>VLOOKUP(C1854, 'Class Def. - General Data'!$C$20:$C$476,1,false)</f>
        <v>ZSI1_WATER_HOSE</v>
      </c>
      <c r="I1854" s="63" t="str">
        <f t="shared" si="6"/>
        <v>ZSI1_WATER_HOSE2</v>
      </c>
      <c r="J1854" s="63">
        <f t="shared" si="7"/>
        <v>1</v>
      </c>
    </row>
    <row r="1855" ht="15.75" customHeight="1">
      <c r="B1855" s="95"/>
      <c r="C1855" s="105" t="s">
        <v>481</v>
      </c>
      <c r="D1855" s="101" t="s">
        <v>91</v>
      </c>
      <c r="E1855" s="101" t="s">
        <v>577</v>
      </c>
      <c r="F1855" s="101">
        <v>1.0</v>
      </c>
      <c r="G1855" s="101" t="s">
        <v>2337</v>
      </c>
      <c r="H1855" s="63" t="str">
        <f>VLOOKUP(C1855, 'Class Def. - General Data'!$C$20:$C$476,1,false)</f>
        <v>ZSI1_WATERMUR</v>
      </c>
      <c r="I1855" s="63" t="str">
        <f t="shared" si="6"/>
        <v>ZSI1_WATERMUR1</v>
      </c>
      <c r="J1855" s="63">
        <f t="shared" si="7"/>
        <v>1</v>
      </c>
    </row>
    <row r="1856" ht="15.75" customHeight="1">
      <c r="B1856" s="95"/>
      <c r="C1856" s="105" t="s">
        <v>332</v>
      </c>
      <c r="D1856" s="101" t="s">
        <v>91</v>
      </c>
      <c r="E1856" s="101" t="s">
        <v>577</v>
      </c>
      <c r="F1856" s="101">
        <v>1.0</v>
      </c>
      <c r="G1856" s="101" t="s">
        <v>2338</v>
      </c>
      <c r="H1856" s="63" t="str">
        <f>VLOOKUP(C1856, 'Class Def. - General Data'!$C$20:$C$476,1,false)</f>
        <v>ZSI1_WIRING_HARNES</v>
      </c>
      <c r="I1856" s="63" t="str">
        <f t="shared" si="6"/>
        <v>ZSI1_WIRING_HARNES1</v>
      </c>
      <c r="J1856" s="63">
        <f t="shared" si="7"/>
        <v>1</v>
      </c>
    </row>
    <row r="1857" ht="15.75" customHeight="1">
      <c r="B1857" s="95"/>
      <c r="C1857" s="105" t="s">
        <v>482</v>
      </c>
      <c r="D1857" s="101" t="s">
        <v>91</v>
      </c>
      <c r="E1857" s="101" t="s">
        <v>577</v>
      </c>
      <c r="F1857" s="101">
        <v>1.0</v>
      </c>
      <c r="G1857" s="101" t="s">
        <v>2339</v>
      </c>
      <c r="H1857" s="63" t="str">
        <f>VLOOKUP(C1857, 'Class Def. - General Data'!$C$20:$C$476,1,false)</f>
        <v>ZSI1_WOOD_STRCTR</v>
      </c>
      <c r="I1857" s="63" t="str">
        <f t="shared" si="6"/>
        <v>ZSI1_WOOD_STRCTR1</v>
      </c>
      <c r="J1857" s="63">
        <f t="shared" si="7"/>
        <v>1</v>
      </c>
    </row>
    <row r="1858" ht="15.75" customHeight="1">
      <c r="B1858" s="95"/>
      <c r="C1858" s="105" t="s">
        <v>483</v>
      </c>
      <c r="D1858" s="101" t="s">
        <v>91</v>
      </c>
      <c r="E1858" s="101" t="s">
        <v>577</v>
      </c>
      <c r="F1858" s="101">
        <v>1.0</v>
      </c>
      <c r="G1858" s="101" t="s">
        <v>2340</v>
      </c>
      <c r="H1858" s="63" t="str">
        <f>VLOOKUP(C1858, 'Class Def. - General Data'!$C$20:$C$476,1,false)</f>
        <v>ZSI1_WRAPPING_BAND</v>
      </c>
      <c r="I1858" s="63" t="str">
        <f t="shared" si="6"/>
        <v>ZSI1_WRAPPING_BAND1</v>
      </c>
      <c r="J1858" s="63">
        <f t="shared" si="7"/>
        <v>1</v>
      </c>
    </row>
    <row r="1859" ht="15.75" customHeight="1">
      <c r="B1859" s="95"/>
      <c r="C1859" s="105" t="s">
        <v>484</v>
      </c>
      <c r="D1859" s="101" t="s">
        <v>91</v>
      </c>
      <c r="E1859" s="101" t="s">
        <v>577</v>
      </c>
      <c r="F1859" s="101">
        <v>1.0</v>
      </c>
      <c r="G1859" s="101" t="s">
        <v>2341</v>
      </c>
      <c r="H1859" s="63" t="str">
        <f>VLOOKUP(C1859, 'Class Def. - General Data'!$C$20:$C$476,1,false)</f>
        <v>ZSI1_WRITE_ERASE</v>
      </c>
      <c r="I1859" s="63" t="str">
        <f t="shared" si="6"/>
        <v>ZSI1_WRITE_ERASE1</v>
      </c>
      <c r="J1859" s="63">
        <f t="shared" si="7"/>
        <v>1</v>
      </c>
    </row>
    <row r="1860" ht="15.75" customHeight="1">
      <c r="B1860" s="95"/>
      <c r="C1860" s="105" t="s">
        <v>484</v>
      </c>
      <c r="D1860" s="101" t="s">
        <v>91</v>
      </c>
      <c r="E1860" s="101" t="s">
        <v>577</v>
      </c>
      <c r="F1860" s="101">
        <v>2.0</v>
      </c>
      <c r="G1860" s="101" t="s">
        <v>2342</v>
      </c>
      <c r="H1860" s="63" t="str">
        <f>VLOOKUP(C1860, 'Class Def. - General Data'!$C$20:$C$476,1,false)</f>
        <v>ZSI1_WRITE_ERASE</v>
      </c>
      <c r="I1860" s="63" t="str">
        <f t="shared" si="6"/>
        <v>ZSI1_WRITE_ERASE2</v>
      </c>
      <c r="J1860" s="63">
        <f t="shared" si="7"/>
        <v>1</v>
      </c>
    </row>
    <row r="1861" ht="15.75" customHeight="1">
      <c r="B1861" s="95"/>
      <c r="C1861" s="105" t="s">
        <v>484</v>
      </c>
      <c r="D1861" s="101" t="s">
        <v>91</v>
      </c>
      <c r="E1861" s="101" t="s">
        <v>577</v>
      </c>
      <c r="F1861" s="101">
        <v>3.0</v>
      </c>
      <c r="G1861" s="101" t="s">
        <v>2343</v>
      </c>
      <c r="H1861" s="63" t="str">
        <f>VLOOKUP(C1861, 'Class Def. - General Data'!$C$20:$C$476,1,false)</f>
        <v>ZSI1_WRITE_ERASE</v>
      </c>
      <c r="I1861" s="63" t="str">
        <f t="shared" si="6"/>
        <v>ZSI1_WRITE_ERASE3</v>
      </c>
      <c r="J1861" s="63">
        <f t="shared" si="7"/>
        <v>1</v>
      </c>
    </row>
    <row r="1862" ht="15.75" customHeight="1">
      <c r="B1862" s="95"/>
      <c r="C1862" s="105" t="s">
        <v>484</v>
      </c>
      <c r="D1862" s="101" t="s">
        <v>91</v>
      </c>
      <c r="E1862" s="101" t="s">
        <v>577</v>
      </c>
      <c r="F1862" s="101">
        <v>4.0</v>
      </c>
      <c r="G1862" s="101" t="s">
        <v>2344</v>
      </c>
      <c r="H1862" s="63" t="str">
        <f>VLOOKUP(C1862, 'Class Def. - General Data'!$C$20:$C$476,1,false)</f>
        <v>ZSI1_WRITE_ERASE</v>
      </c>
      <c r="I1862" s="63" t="str">
        <f t="shared" si="6"/>
        <v>ZSI1_WRITE_ERASE4</v>
      </c>
      <c r="J1862" s="63">
        <f t="shared" si="7"/>
        <v>1</v>
      </c>
    </row>
    <row r="1863" ht="15.75" customHeight="1">
      <c r="B1863" s="95"/>
      <c r="C1863" s="105" t="s">
        <v>484</v>
      </c>
      <c r="D1863" s="101" t="s">
        <v>91</v>
      </c>
      <c r="E1863" s="101" t="s">
        <v>577</v>
      </c>
      <c r="F1863" s="101">
        <v>5.0</v>
      </c>
      <c r="G1863" s="101" t="s">
        <v>2345</v>
      </c>
      <c r="H1863" s="63" t="str">
        <f>VLOOKUP(C1863, 'Class Def. - General Data'!$C$20:$C$476,1,false)</f>
        <v>ZSI1_WRITE_ERASE</v>
      </c>
      <c r="I1863" s="63" t="str">
        <f t="shared" si="6"/>
        <v>ZSI1_WRITE_ERASE5</v>
      </c>
      <c r="J1863" s="63">
        <f t="shared" si="7"/>
        <v>1</v>
      </c>
    </row>
    <row r="1864" ht="15.75" customHeight="1">
      <c r="B1864" s="95"/>
      <c r="C1864" s="105" t="s">
        <v>484</v>
      </c>
      <c r="D1864" s="101" t="s">
        <v>91</v>
      </c>
      <c r="E1864" s="101" t="s">
        <v>577</v>
      </c>
      <c r="F1864" s="101">
        <v>6.0</v>
      </c>
      <c r="G1864" s="101" t="s">
        <v>2346</v>
      </c>
      <c r="H1864" s="63" t="str">
        <f>VLOOKUP(C1864, 'Class Def. - General Data'!$C$20:$C$476,1,false)</f>
        <v>ZSI1_WRITE_ERASE</v>
      </c>
      <c r="I1864" s="63" t="str">
        <f t="shared" si="6"/>
        <v>ZSI1_WRITE_ERASE6</v>
      </c>
      <c r="J1864" s="63">
        <f t="shared" si="7"/>
        <v>1</v>
      </c>
    </row>
    <row r="1865" ht="15.75" customHeight="1">
      <c r="B1865" s="95"/>
      <c r="C1865" s="105" t="s">
        <v>484</v>
      </c>
      <c r="D1865" s="101" t="s">
        <v>91</v>
      </c>
      <c r="E1865" s="101" t="s">
        <v>577</v>
      </c>
      <c r="F1865" s="101">
        <v>7.0</v>
      </c>
      <c r="G1865" s="101" t="s">
        <v>2347</v>
      </c>
      <c r="H1865" s="63" t="str">
        <f>VLOOKUP(C1865, 'Class Def. - General Data'!$C$20:$C$476,1,false)</f>
        <v>ZSI1_WRITE_ERASE</v>
      </c>
      <c r="I1865" s="63" t="str">
        <f t="shared" si="6"/>
        <v>ZSI1_WRITE_ERASE7</v>
      </c>
      <c r="J1865" s="63">
        <f t="shared" si="7"/>
        <v>1</v>
      </c>
    </row>
    <row r="1866" ht="15.75" customHeight="1">
      <c r="B1866" s="95"/>
      <c r="C1866" s="105" t="s">
        <v>484</v>
      </c>
      <c r="D1866" s="101" t="s">
        <v>91</v>
      </c>
      <c r="E1866" s="101" t="s">
        <v>577</v>
      </c>
      <c r="F1866" s="101">
        <v>8.0</v>
      </c>
      <c r="G1866" s="101" t="s">
        <v>2348</v>
      </c>
      <c r="H1866" s="63" t="str">
        <f>VLOOKUP(C1866, 'Class Def. - General Data'!$C$20:$C$476,1,false)</f>
        <v>ZSI1_WRITE_ERASE</v>
      </c>
      <c r="I1866" s="63" t="str">
        <f t="shared" si="6"/>
        <v>ZSI1_WRITE_ERASE8</v>
      </c>
      <c r="J1866" s="63">
        <f t="shared" si="7"/>
        <v>1</v>
      </c>
    </row>
    <row r="1867" ht="15.75" customHeight="1">
      <c r="B1867" s="95"/>
      <c r="C1867" s="105" t="s">
        <v>485</v>
      </c>
      <c r="D1867" s="101" t="s">
        <v>91</v>
      </c>
      <c r="E1867" s="101" t="s">
        <v>577</v>
      </c>
      <c r="F1867" s="101">
        <v>1.0</v>
      </c>
      <c r="G1867" s="101" t="s">
        <v>2349</v>
      </c>
      <c r="H1867" s="63" t="str">
        <f>VLOOKUP(C1867, 'Class Def. - General Data'!$C$20:$C$476,1,false)</f>
        <v>ZSI1_WWT_SUPPLY</v>
      </c>
      <c r="I1867" s="63" t="str">
        <f t="shared" si="6"/>
        <v>ZSI1_WWT_SUPPLY1</v>
      </c>
      <c r="J1867" s="63">
        <f t="shared" si="7"/>
        <v>1</v>
      </c>
    </row>
    <row r="1868" ht="15.75" customHeight="1">
      <c r="B1868" s="95"/>
      <c r="C1868" s="105" t="s">
        <v>485</v>
      </c>
      <c r="D1868" s="101" t="s">
        <v>91</v>
      </c>
      <c r="E1868" s="101" t="s">
        <v>577</v>
      </c>
      <c r="F1868" s="101">
        <v>2.0</v>
      </c>
      <c r="G1868" s="101" t="s">
        <v>2350</v>
      </c>
      <c r="H1868" s="63" t="str">
        <f>VLOOKUP(C1868, 'Class Def. - General Data'!$C$20:$C$476,1,false)</f>
        <v>ZSI1_WWT_SUPPLY</v>
      </c>
      <c r="I1868" s="63" t="str">
        <f t="shared" si="6"/>
        <v>ZSI1_WWT_SUPPLY2</v>
      </c>
      <c r="J1868" s="63">
        <f t="shared" si="7"/>
        <v>1</v>
      </c>
    </row>
    <row r="1869" ht="15.75" customHeight="1">
      <c r="B1869" s="95"/>
      <c r="C1869" s="105" t="s">
        <v>485</v>
      </c>
      <c r="D1869" s="101" t="s">
        <v>91</v>
      </c>
      <c r="E1869" s="101" t="s">
        <v>577</v>
      </c>
      <c r="F1869" s="101">
        <v>3.0</v>
      </c>
      <c r="G1869" s="101" t="s">
        <v>2351</v>
      </c>
      <c r="H1869" s="63" t="str">
        <f>VLOOKUP(C1869, 'Class Def. - General Data'!$C$20:$C$476,1,false)</f>
        <v>ZSI1_WWT_SUPPLY</v>
      </c>
      <c r="I1869" s="63" t="str">
        <f t="shared" si="6"/>
        <v>ZSI1_WWT_SUPPLY3</v>
      </c>
      <c r="J1869" s="63">
        <f t="shared" si="7"/>
        <v>1</v>
      </c>
    </row>
    <row r="1870" ht="15.75" customHeight="1">
      <c r="B1870" s="95"/>
      <c r="C1870" s="105" t="s">
        <v>485</v>
      </c>
      <c r="D1870" s="101" t="s">
        <v>91</v>
      </c>
      <c r="E1870" s="101" t="s">
        <v>577</v>
      </c>
      <c r="F1870" s="101">
        <v>4.0</v>
      </c>
      <c r="G1870" s="101" t="s">
        <v>2352</v>
      </c>
      <c r="H1870" s="63" t="str">
        <f>VLOOKUP(C1870, 'Class Def. - General Data'!$C$20:$C$476,1,false)</f>
        <v>ZSI1_WWT_SUPPLY</v>
      </c>
      <c r="I1870" s="63" t="str">
        <f t="shared" si="6"/>
        <v>ZSI1_WWT_SUPPLY4</v>
      </c>
      <c r="J1870" s="63">
        <f t="shared" si="7"/>
        <v>1</v>
      </c>
    </row>
    <row r="1871" ht="15.75" customHeight="1">
      <c r="B1871" s="95"/>
      <c r="C1871" s="105" t="s">
        <v>485</v>
      </c>
      <c r="D1871" s="101" t="s">
        <v>91</v>
      </c>
      <c r="E1871" s="101" t="s">
        <v>577</v>
      </c>
      <c r="F1871" s="101">
        <v>5.0</v>
      </c>
      <c r="G1871" s="101" t="s">
        <v>2353</v>
      </c>
      <c r="H1871" s="63" t="str">
        <f>VLOOKUP(C1871, 'Class Def. - General Data'!$C$20:$C$476,1,false)</f>
        <v>ZSI1_WWT_SUPPLY</v>
      </c>
      <c r="I1871" s="63" t="str">
        <f t="shared" si="6"/>
        <v>ZSI1_WWT_SUPPLY5</v>
      </c>
      <c r="J1871" s="63">
        <f t="shared" si="7"/>
        <v>1</v>
      </c>
    </row>
    <row r="1872" ht="15.75" customHeight="1">
      <c r="B1872" s="95"/>
      <c r="C1872" s="105" t="s">
        <v>531</v>
      </c>
      <c r="D1872" s="101" t="s">
        <v>91</v>
      </c>
      <c r="E1872" s="101" t="s">
        <v>577</v>
      </c>
      <c r="F1872" s="101">
        <v>1.0</v>
      </c>
      <c r="G1872" s="101" t="s">
        <v>2354</v>
      </c>
      <c r="H1872" s="63" t="str">
        <f>VLOOKUP(C1872, 'Class Def. - General Data'!$C$20:$C$476,1,false)</f>
        <v>ZSI1_DRUM_EQP</v>
      </c>
      <c r="I1872" s="63" t="str">
        <f t="shared" si="6"/>
        <v>ZSI1_DRUM_EQP1</v>
      </c>
      <c r="J1872" s="63">
        <f t="shared" si="7"/>
        <v>1</v>
      </c>
    </row>
    <row r="1873" ht="15.75" customHeight="1">
      <c r="B1873" s="95"/>
      <c r="C1873" s="105" t="s">
        <v>531</v>
      </c>
      <c r="D1873" s="101" t="s">
        <v>91</v>
      </c>
      <c r="E1873" s="101" t="s">
        <v>577</v>
      </c>
      <c r="F1873" s="101">
        <v>2.0</v>
      </c>
      <c r="G1873" s="101" t="s">
        <v>2355</v>
      </c>
      <c r="H1873" s="63" t="str">
        <f>VLOOKUP(C1873, 'Class Def. - General Data'!$C$20:$C$476,1,false)</f>
        <v>ZSI1_DRUM_EQP</v>
      </c>
      <c r="I1873" s="63" t="str">
        <f t="shared" si="6"/>
        <v>ZSI1_DRUM_EQP2</v>
      </c>
      <c r="J1873" s="63">
        <f t="shared" si="7"/>
        <v>1</v>
      </c>
    </row>
    <row r="1874" ht="15.75" customHeight="1">
      <c r="B1874" s="95"/>
      <c r="C1874" s="105" t="s">
        <v>531</v>
      </c>
      <c r="D1874" s="101" t="s">
        <v>91</v>
      </c>
      <c r="E1874" s="101" t="s">
        <v>577</v>
      </c>
      <c r="F1874" s="101">
        <v>3.0</v>
      </c>
      <c r="G1874" s="101" t="s">
        <v>2356</v>
      </c>
      <c r="H1874" s="63" t="str">
        <f>VLOOKUP(C1874, 'Class Def. - General Data'!$C$20:$C$476,1,false)</f>
        <v>ZSI1_DRUM_EQP</v>
      </c>
      <c r="I1874" s="63" t="str">
        <f t="shared" si="6"/>
        <v>ZSI1_DRUM_EQP3</v>
      </c>
      <c r="J1874" s="63">
        <f t="shared" si="7"/>
        <v>1</v>
      </c>
    </row>
    <row r="1875" ht="15.75" customHeight="1">
      <c r="B1875" s="95"/>
      <c r="C1875" s="105" t="s">
        <v>531</v>
      </c>
      <c r="D1875" s="101" t="s">
        <v>91</v>
      </c>
      <c r="E1875" s="101" t="s">
        <v>577</v>
      </c>
      <c r="F1875" s="101">
        <v>4.0</v>
      </c>
      <c r="G1875" s="101" t="s">
        <v>2357</v>
      </c>
      <c r="H1875" s="63" t="str">
        <f>VLOOKUP(C1875, 'Class Def. - General Data'!$C$20:$C$476,1,false)</f>
        <v>ZSI1_DRUM_EQP</v>
      </c>
      <c r="I1875" s="63" t="str">
        <f t="shared" si="6"/>
        <v>ZSI1_DRUM_EQP4</v>
      </c>
      <c r="J1875" s="63">
        <f t="shared" si="7"/>
        <v>1</v>
      </c>
    </row>
    <row r="1876" ht="15.75" customHeight="1">
      <c r="B1876" s="95"/>
      <c r="C1876" s="105" t="s">
        <v>531</v>
      </c>
      <c r="D1876" s="101" t="s">
        <v>91</v>
      </c>
      <c r="E1876" s="101" t="s">
        <v>577</v>
      </c>
      <c r="F1876" s="101">
        <v>5.0</v>
      </c>
      <c r="G1876" s="101" t="s">
        <v>2358</v>
      </c>
      <c r="H1876" s="63" t="str">
        <f>VLOOKUP(C1876, 'Class Def. - General Data'!$C$20:$C$476,1,false)</f>
        <v>ZSI1_DRUM_EQP</v>
      </c>
      <c r="I1876" s="63" t="str">
        <f t="shared" si="6"/>
        <v>ZSI1_DRUM_EQP5</v>
      </c>
      <c r="J1876" s="63">
        <f t="shared" si="7"/>
        <v>1</v>
      </c>
    </row>
    <row r="1877" ht="15.75" customHeight="1">
      <c r="B1877" s="95"/>
      <c r="C1877" s="105" t="s">
        <v>531</v>
      </c>
      <c r="D1877" s="101" t="s">
        <v>91</v>
      </c>
      <c r="E1877" s="101" t="s">
        <v>577</v>
      </c>
      <c r="F1877" s="101">
        <v>6.0</v>
      </c>
      <c r="G1877" s="101" t="s">
        <v>2359</v>
      </c>
      <c r="H1877" s="63" t="str">
        <f>VLOOKUP(C1877, 'Class Def. - General Data'!$C$20:$C$476,1,false)</f>
        <v>ZSI1_DRUM_EQP</v>
      </c>
      <c r="I1877" s="63" t="str">
        <f t="shared" si="6"/>
        <v>ZSI1_DRUM_EQP6</v>
      </c>
      <c r="J1877" s="63">
        <f t="shared" si="7"/>
        <v>1</v>
      </c>
    </row>
    <row r="1878" ht="15.75" customHeight="1">
      <c r="B1878" s="95"/>
      <c r="C1878" s="105" t="s">
        <v>531</v>
      </c>
      <c r="D1878" s="101" t="s">
        <v>91</v>
      </c>
      <c r="E1878" s="101" t="s">
        <v>577</v>
      </c>
      <c r="F1878" s="101">
        <v>7.0</v>
      </c>
      <c r="G1878" s="101" t="s">
        <v>2360</v>
      </c>
      <c r="H1878" s="63" t="str">
        <f>VLOOKUP(C1878, 'Class Def. - General Data'!$C$20:$C$476,1,false)</f>
        <v>ZSI1_DRUM_EQP</v>
      </c>
      <c r="I1878" s="63" t="str">
        <f t="shared" si="6"/>
        <v>ZSI1_DRUM_EQP7</v>
      </c>
      <c r="J1878" s="63">
        <f t="shared" si="7"/>
        <v>1</v>
      </c>
    </row>
    <row r="1879" ht="15.75" customHeight="1">
      <c r="B1879" s="95"/>
      <c r="C1879" s="105" t="s">
        <v>510</v>
      </c>
      <c r="D1879" s="101" t="s">
        <v>91</v>
      </c>
      <c r="E1879" s="101" t="s">
        <v>577</v>
      </c>
      <c r="F1879" s="101">
        <v>1.0</v>
      </c>
      <c r="G1879" s="101" t="s">
        <v>2361</v>
      </c>
      <c r="H1879" s="63" t="str">
        <f>VLOOKUP(C1879, 'Class Def. - General Data'!$C$20:$C$476,1,false)</f>
        <v>ZSI1_ACTUATOR</v>
      </c>
      <c r="I1879" s="63" t="str">
        <f t="shared" si="6"/>
        <v>ZSI1_ACTUATOR1</v>
      </c>
      <c r="J1879" s="63">
        <f t="shared" si="7"/>
        <v>1</v>
      </c>
    </row>
    <row r="1880" ht="15.75" customHeight="1">
      <c r="B1880" s="95"/>
      <c r="C1880" s="105" t="s">
        <v>510</v>
      </c>
      <c r="D1880" s="101" t="s">
        <v>91</v>
      </c>
      <c r="E1880" s="101" t="s">
        <v>577</v>
      </c>
      <c r="F1880" s="101">
        <v>2.0</v>
      </c>
      <c r="G1880" s="101" t="s">
        <v>2362</v>
      </c>
      <c r="H1880" s="63" t="str">
        <f>VLOOKUP(C1880, 'Class Def. - General Data'!$C$20:$C$476,1,false)</f>
        <v>ZSI1_ACTUATOR</v>
      </c>
      <c r="I1880" s="63" t="str">
        <f t="shared" si="6"/>
        <v>ZSI1_ACTUATOR2</v>
      </c>
      <c r="J1880" s="63">
        <f t="shared" si="7"/>
        <v>1</v>
      </c>
    </row>
    <row r="1881" ht="15.75" customHeight="1">
      <c r="B1881" s="95"/>
      <c r="C1881" s="105" t="s">
        <v>511</v>
      </c>
      <c r="D1881" s="101" t="s">
        <v>91</v>
      </c>
      <c r="E1881" s="101" t="s">
        <v>577</v>
      </c>
      <c r="F1881" s="101">
        <v>1.0</v>
      </c>
      <c r="G1881" s="101" t="s">
        <v>2363</v>
      </c>
      <c r="H1881" s="63" t="str">
        <f>VLOOKUP(C1881, 'Class Def. - General Data'!$C$20:$C$476,1,false)</f>
        <v>ZSI1_BRAKE_COMP</v>
      </c>
      <c r="I1881" s="63" t="str">
        <f t="shared" si="6"/>
        <v>ZSI1_BRAKE_COMP1</v>
      </c>
      <c r="J1881" s="63">
        <f t="shared" si="7"/>
        <v>1</v>
      </c>
    </row>
    <row r="1882" ht="15.75" customHeight="1">
      <c r="B1882" s="95"/>
      <c r="C1882" s="105" t="s">
        <v>512</v>
      </c>
      <c r="D1882" s="101" t="s">
        <v>91</v>
      </c>
      <c r="E1882" s="101" t="s">
        <v>577</v>
      </c>
      <c r="F1882" s="101">
        <v>1.0</v>
      </c>
      <c r="G1882" s="101" t="s">
        <v>2364</v>
      </c>
      <c r="H1882" s="63" t="str">
        <f>VLOOKUP(C1882, 'Class Def. - General Data'!$C$20:$C$476,1,false)</f>
        <v>ZSI1_BUSHING</v>
      </c>
      <c r="I1882" s="63" t="str">
        <f t="shared" si="6"/>
        <v>ZSI1_BUSHING1</v>
      </c>
      <c r="J1882" s="63">
        <f t="shared" si="7"/>
        <v>1</v>
      </c>
    </row>
    <row r="1883" ht="15.75" customHeight="1">
      <c r="B1883" s="95"/>
      <c r="C1883" s="105" t="s">
        <v>513</v>
      </c>
      <c r="D1883" s="101" t="s">
        <v>91</v>
      </c>
      <c r="E1883" s="101" t="s">
        <v>577</v>
      </c>
      <c r="F1883" s="101">
        <v>1.0</v>
      </c>
      <c r="G1883" s="101" t="s">
        <v>2172</v>
      </c>
      <c r="H1883" s="63" t="str">
        <f>VLOOKUP(C1883, 'Class Def. - General Data'!$C$20:$C$476,1,false)</f>
        <v>ZSI1_CLEANING_SUPP</v>
      </c>
      <c r="I1883" s="63" t="str">
        <f t="shared" si="6"/>
        <v>ZSI1_CLEANING_SUPP1</v>
      </c>
      <c r="J1883" s="63">
        <f t="shared" si="7"/>
        <v>1</v>
      </c>
    </row>
    <row r="1884" ht="15.75" customHeight="1">
      <c r="B1884" s="95"/>
      <c r="C1884" s="105" t="s">
        <v>513</v>
      </c>
      <c r="D1884" s="101" t="s">
        <v>91</v>
      </c>
      <c r="E1884" s="101" t="s">
        <v>577</v>
      </c>
      <c r="F1884" s="101">
        <v>2.0</v>
      </c>
      <c r="G1884" s="101" t="s">
        <v>2365</v>
      </c>
      <c r="H1884" s="63" t="str">
        <f>VLOOKUP(C1884, 'Class Def. - General Data'!$C$20:$C$476,1,false)</f>
        <v>ZSI1_CLEANING_SUPP</v>
      </c>
      <c r="I1884" s="63" t="str">
        <f t="shared" si="6"/>
        <v>ZSI1_CLEANING_SUPP2</v>
      </c>
      <c r="J1884" s="63">
        <f t="shared" si="7"/>
        <v>1</v>
      </c>
    </row>
    <row r="1885" ht="15.75" customHeight="1">
      <c r="B1885" s="95"/>
      <c r="C1885" s="105" t="s">
        <v>513</v>
      </c>
      <c r="D1885" s="101" t="s">
        <v>91</v>
      </c>
      <c r="E1885" s="101" t="s">
        <v>577</v>
      </c>
      <c r="F1885" s="101">
        <v>3.0</v>
      </c>
      <c r="G1885" s="101" t="s">
        <v>2366</v>
      </c>
      <c r="H1885" s="63" t="str">
        <f>VLOOKUP(C1885, 'Class Def. - General Data'!$C$20:$C$476,1,false)</f>
        <v>ZSI1_CLEANING_SUPP</v>
      </c>
      <c r="I1885" s="63" t="str">
        <f t="shared" si="6"/>
        <v>ZSI1_CLEANING_SUPP3</v>
      </c>
      <c r="J1885" s="63">
        <f t="shared" si="7"/>
        <v>1</v>
      </c>
    </row>
    <row r="1886" ht="15.75" customHeight="1">
      <c r="B1886" s="95"/>
      <c r="C1886" s="105" t="s">
        <v>514</v>
      </c>
      <c r="D1886" s="101" t="s">
        <v>91</v>
      </c>
      <c r="E1886" s="101" t="s">
        <v>577</v>
      </c>
      <c r="F1886" s="101">
        <v>1.0</v>
      </c>
      <c r="G1886" s="101" t="s">
        <v>2367</v>
      </c>
      <c r="H1886" s="63" t="str">
        <f>VLOOKUP(C1886, 'Class Def. - General Data'!$C$20:$C$476,1,false)</f>
        <v>ZSI1_DOOR_ACCS</v>
      </c>
      <c r="I1886" s="63" t="str">
        <f t="shared" si="6"/>
        <v>ZSI1_DOOR_ACCS1</v>
      </c>
      <c r="J1886" s="63">
        <f t="shared" si="7"/>
        <v>1</v>
      </c>
    </row>
    <row r="1887" ht="15.75" customHeight="1">
      <c r="B1887" s="95"/>
      <c r="C1887" s="105" t="s">
        <v>514</v>
      </c>
      <c r="D1887" s="101" t="s">
        <v>91</v>
      </c>
      <c r="E1887" s="101" t="s">
        <v>577</v>
      </c>
      <c r="F1887" s="101">
        <v>2.0</v>
      </c>
      <c r="G1887" s="101" t="s">
        <v>2368</v>
      </c>
      <c r="H1887" s="63" t="str">
        <f>VLOOKUP(C1887, 'Class Def. - General Data'!$C$20:$C$476,1,false)</f>
        <v>ZSI1_DOOR_ACCS</v>
      </c>
      <c r="I1887" s="63" t="str">
        <f t="shared" si="6"/>
        <v>ZSI1_DOOR_ACCS2</v>
      </c>
      <c r="J1887" s="63">
        <f t="shared" si="7"/>
        <v>1</v>
      </c>
    </row>
    <row r="1888" ht="15.75" customHeight="1">
      <c r="B1888" s="95"/>
      <c r="C1888" s="105" t="s">
        <v>514</v>
      </c>
      <c r="D1888" s="101" t="s">
        <v>91</v>
      </c>
      <c r="E1888" s="101" t="s">
        <v>577</v>
      </c>
      <c r="F1888" s="101">
        <v>3.0</v>
      </c>
      <c r="G1888" s="101" t="s">
        <v>2101</v>
      </c>
      <c r="H1888" s="63" t="str">
        <f>VLOOKUP(C1888, 'Class Def. - General Data'!$C$20:$C$476,1,false)</f>
        <v>ZSI1_DOOR_ACCS</v>
      </c>
      <c r="I1888" s="63" t="str">
        <f t="shared" si="6"/>
        <v>ZSI1_DOOR_ACCS3</v>
      </c>
      <c r="J1888" s="63">
        <f t="shared" si="7"/>
        <v>1</v>
      </c>
    </row>
    <row r="1889" ht="15.75" customHeight="1">
      <c r="B1889" s="95"/>
      <c r="C1889" s="105" t="s">
        <v>515</v>
      </c>
      <c r="D1889" s="101" t="s">
        <v>91</v>
      </c>
      <c r="E1889" s="101" t="s">
        <v>577</v>
      </c>
      <c r="F1889" s="101">
        <v>1.0</v>
      </c>
      <c r="G1889" s="101" t="s">
        <v>2369</v>
      </c>
      <c r="H1889" s="63" t="str">
        <f>VLOOKUP(C1889, 'Class Def. - General Data'!$C$20:$C$476,1,false)</f>
        <v>ZSI1_ELEC_HARDWARE</v>
      </c>
      <c r="I1889" s="63" t="str">
        <f t="shared" si="6"/>
        <v>ZSI1_ELEC_HARDWARE1</v>
      </c>
      <c r="J1889" s="63">
        <f t="shared" si="7"/>
        <v>1</v>
      </c>
    </row>
    <row r="1890" ht="15.75" customHeight="1">
      <c r="B1890" s="95"/>
      <c r="C1890" s="105" t="s">
        <v>515</v>
      </c>
      <c r="D1890" s="101" t="s">
        <v>91</v>
      </c>
      <c r="E1890" s="101" t="s">
        <v>577</v>
      </c>
      <c r="F1890" s="101">
        <v>2.0</v>
      </c>
      <c r="G1890" s="101" t="s">
        <v>2370</v>
      </c>
      <c r="H1890" s="63" t="str">
        <f>VLOOKUP(C1890, 'Class Def. - General Data'!$C$20:$C$476,1,false)</f>
        <v>ZSI1_ELEC_HARDWARE</v>
      </c>
      <c r="I1890" s="63" t="str">
        <f t="shared" si="6"/>
        <v>ZSI1_ELEC_HARDWARE2</v>
      </c>
      <c r="J1890" s="63">
        <f t="shared" si="7"/>
        <v>1</v>
      </c>
    </row>
    <row r="1891" ht="15.75" customHeight="1">
      <c r="B1891" s="95"/>
      <c r="C1891" s="105" t="s">
        <v>515</v>
      </c>
      <c r="D1891" s="101" t="s">
        <v>91</v>
      </c>
      <c r="E1891" s="101" t="s">
        <v>577</v>
      </c>
      <c r="F1891" s="101">
        <v>3.0</v>
      </c>
      <c r="G1891" s="101" t="s">
        <v>2371</v>
      </c>
      <c r="H1891" s="63" t="str">
        <f>VLOOKUP(C1891, 'Class Def. - General Data'!$C$20:$C$476,1,false)</f>
        <v>ZSI1_ELEC_HARDWARE</v>
      </c>
      <c r="I1891" s="63" t="str">
        <f t="shared" si="6"/>
        <v>ZSI1_ELEC_HARDWARE3</v>
      </c>
      <c r="J1891" s="63">
        <f t="shared" si="7"/>
        <v>1</v>
      </c>
    </row>
    <row r="1892" ht="15.75" customHeight="1">
      <c r="B1892" s="95"/>
      <c r="C1892" s="105" t="s">
        <v>515</v>
      </c>
      <c r="D1892" s="101" t="s">
        <v>91</v>
      </c>
      <c r="E1892" s="101" t="s">
        <v>577</v>
      </c>
      <c r="F1892" s="101">
        <v>4.0</v>
      </c>
      <c r="G1892" s="101" t="s">
        <v>2372</v>
      </c>
      <c r="H1892" s="63" t="str">
        <f>VLOOKUP(C1892, 'Class Def. - General Data'!$C$20:$C$476,1,false)</f>
        <v>ZSI1_ELEC_HARDWARE</v>
      </c>
      <c r="I1892" s="63" t="str">
        <f t="shared" si="6"/>
        <v>ZSI1_ELEC_HARDWARE4</v>
      </c>
      <c r="J1892" s="63">
        <f t="shared" si="7"/>
        <v>1</v>
      </c>
    </row>
    <row r="1893" ht="15.75" customHeight="1">
      <c r="B1893" s="95"/>
      <c r="C1893" s="105" t="s">
        <v>515</v>
      </c>
      <c r="D1893" s="101" t="s">
        <v>91</v>
      </c>
      <c r="E1893" s="101" t="s">
        <v>577</v>
      </c>
      <c r="F1893" s="101">
        <v>5.0</v>
      </c>
      <c r="G1893" s="101" t="s">
        <v>2373</v>
      </c>
      <c r="H1893" s="63" t="str">
        <f>VLOOKUP(C1893, 'Class Def. - General Data'!$C$20:$C$476,1,false)</f>
        <v>ZSI1_ELEC_HARDWARE</v>
      </c>
      <c r="I1893" s="63" t="str">
        <f t="shared" si="6"/>
        <v>ZSI1_ELEC_HARDWARE5</v>
      </c>
      <c r="J1893" s="63">
        <f t="shared" si="7"/>
        <v>1</v>
      </c>
    </row>
    <row r="1894" ht="15.75" customHeight="1">
      <c r="B1894" s="95"/>
      <c r="C1894" s="105" t="s">
        <v>515</v>
      </c>
      <c r="D1894" s="101" t="s">
        <v>91</v>
      </c>
      <c r="E1894" s="101" t="s">
        <v>577</v>
      </c>
      <c r="F1894" s="101">
        <v>6.0</v>
      </c>
      <c r="G1894" s="101" t="s">
        <v>2374</v>
      </c>
      <c r="H1894" s="63" t="str">
        <f>VLOOKUP(C1894, 'Class Def. - General Data'!$C$20:$C$476,1,false)</f>
        <v>ZSI1_ELEC_HARDWARE</v>
      </c>
      <c r="I1894" s="63" t="str">
        <f t="shared" si="6"/>
        <v>ZSI1_ELEC_HARDWARE6</v>
      </c>
      <c r="J1894" s="63">
        <f t="shared" si="7"/>
        <v>1</v>
      </c>
    </row>
    <row r="1895" ht="15.75" customHeight="1">
      <c r="B1895" s="95"/>
      <c r="C1895" s="105" t="s">
        <v>516</v>
      </c>
      <c r="D1895" s="101" t="s">
        <v>91</v>
      </c>
      <c r="E1895" s="101" t="s">
        <v>577</v>
      </c>
      <c r="F1895" s="101">
        <v>1.0</v>
      </c>
      <c r="G1895" s="101" t="s">
        <v>2375</v>
      </c>
      <c r="H1895" s="63" t="str">
        <f>VLOOKUP(C1895, 'Class Def. - General Data'!$C$20:$C$476,1,false)</f>
        <v>ZSI1_HYD_FITTING</v>
      </c>
      <c r="I1895" s="63" t="str">
        <f t="shared" si="6"/>
        <v>ZSI1_HYD_FITTING1</v>
      </c>
      <c r="J1895" s="63">
        <f t="shared" si="7"/>
        <v>1</v>
      </c>
    </row>
    <row r="1896" ht="15.75" customHeight="1">
      <c r="B1896" s="95"/>
      <c r="C1896" s="105" t="s">
        <v>516</v>
      </c>
      <c r="D1896" s="101" t="s">
        <v>91</v>
      </c>
      <c r="E1896" s="101" t="s">
        <v>577</v>
      </c>
      <c r="F1896" s="101">
        <v>2.0</v>
      </c>
      <c r="G1896" s="101" t="s">
        <v>2376</v>
      </c>
      <c r="H1896" s="63" t="str">
        <f>VLOOKUP(C1896, 'Class Def. - General Data'!$C$20:$C$476,1,false)</f>
        <v>ZSI1_HYD_FITTING</v>
      </c>
      <c r="I1896" s="63" t="str">
        <f t="shared" si="6"/>
        <v>ZSI1_HYD_FITTING2</v>
      </c>
      <c r="J1896" s="63">
        <f t="shared" si="7"/>
        <v>1</v>
      </c>
    </row>
    <row r="1897" ht="15.75" customHeight="1">
      <c r="B1897" s="95"/>
      <c r="C1897" s="105" t="s">
        <v>517</v>
      </c>
      <c r="D1897" s="101" t="s">
        <v>91</v>
      </c>
      <c r="E1897" s="101" t="s">
        <v>577</v>
      </c>
      <c r="F1897" s="101">
        <v>1.0</v>
      </c>
      <c r="G1897" s="101" t="s">
        <v>2377</v>
      </c>
      <c r="H1897" s="63" t="str">
        <f>VLOOKUP(C1897, 'Class Def. - General Data'!$C$20:$C$476,1,false)</f>
        <v>ZSI1_HYD_HOSE</v>
      </c>
      <c r="I1897" s="63" t="str">
        <f t="shared" si="6"/>
        <v>ZSI1_HYD_HOSE1</v>
      </c>
      <c r="J1897" s="63">
        <f t="shared" si="7"/>
        <v>1</v>
      </c>
    </row>
    <row r="1898" ht="15.75" customHeight="1">
      <c r="B1898" s="95"/>
      <c r="C1898" s="105" t="s">
        <v>517</v>
      </c>
      <c r="D1898" s="101" t="s">
        <v>91</v>
      </c>
      <c r="E1898" s="101" t="s">
        <v>577</v>
      </c>
      <c r="F1898" s="101">
        <v>2.0</v>
      </c>
      <c r="G1898" s="101" t="s">
        <v>2378</v>
      </c>
      <c r="H1898" s="63" t="str">
        <f>VLOOKUP(C1898, 'Class Def. - General Data'!$C$20:$C$476,1,false)</f>
        <v>ZSI1_HYD_HOSE</v>
      </c>
      <c r="I1898" s="63" t="str">
        <f t="shared" si="6"/>
        <v>ZSI1_HYD_HOSE2</v>
      </c>
      <c r="J1898" s="63">
        <f t="shared" si="7"/>
        <v>1</v>
      </c>
    </row>
    <row r="1899" ht="15.75" customHeight="1">
      <c r="B1899" s="95"/>
      <c r="C1899" s="105" t="s">
        <v>517</v>
      </c>
      <c r="D1899" s="101" t="s">
        <v>91</v>
      </c>
      <c r="E1899" s="101" t="s">
        <v>577</v>
      </c>
      <c r="F1899" s="101">
        <v>3.0</v>
      </c>
      <c r="G1899" s="101" t="s">
        <v>2379</v>
      </c>
      <c r="H1899" s="63" t="str">
        <f>VLOOKUP(C1899, 'Class Def. - General Data'!$C$20:$C$476,1,false)</f>
        <v>ZSI1_HYD_HOSE</v>
      </c>
      <c r="I1899" s="63" t="str">
        <f t="shared" si="6"/>
        <v>ZSI1_HYD_HOSE3</v>
      </c>
      <c r="J1899" s="63">
        <f t="shared" si="7"/>
        <v>1</v>
      </c>
    </row>
    <row r="1900" ht="15.75" customHeight="1">
      <c r="B1900" s="95"/>
      <c r="C1900" s="105" t="s">
        <v>517</v>
      </c>
      <c r="D1900" s="101" t="s">
        <v>91</v>
      </c>
      <c r="E1900" s="101" t="s">
        <v>577</v>
      </c>
      <c r="F1900" s="101">
        <v>4.0</v>
      </c>
      <c r="G1900" s="101" t="s">
        <v>2380</v>
      </c>
      <c r="H1900" s="63" t="str">
        <f>VLOOKUP(C1900, 'Class Def. - General Data'!$C$20:$C$476,1,false)</f>
        <v>ZSI1_HYD_HOSE</v>
      </c>
      <c r="I1900" s="63" t="str">
        <f t="shared" si="6"/>
        <v>ZSI1_HYD_HOSE4</v>
      </c>
      <c r="J1900" s="63">
        <f t="shared" si="7"/>
        <v>1</v>
      </c>
    </row>
    <row r="1901" ht="15.75" customHeight="1">
      <c r="B1901" s="95"/>
      <c r="C1901" s="105" t="s">
        <v>518</v>
      </c>
      <c r="D1901" s="101" t="s">
        <v>91</v>
      </c>
      <c r="E1901" s="101" t="s">
        <v>577</v>
      </c>
      <c r="F1901" s="101">
        <v>1.0</v>
      </c>
      <c r="G1901" s="101" t="s">
        <v>2381</v>
      </c>
      <c r="H1901" s="63" t="str">
        <f>VLOOKUP(C1901, 'Class Def. - General Data'!$C$20:$C$476,1,false)</f>
        <v>ZSI1_INSULATE_PIPE</v>
      </c>
      <c r="I1901" s="63" t="str">
        <f t="shared" si="6"/>
        <v>ZSI1_INSULATE_PIPE1</v>
      </c>
      <c r="J1901" s="63">
        <f t="shared" si="7"/>
        <v>1</v>
      </c>
    </row>
    <row r="1902" ht="15.75" customHeight="1">
      <c r="B1902" s="95"/>
      <c r="C1902" s="105" t="s">
        <v>519</v>
      </c>
      <c r="D1902" s="101" t="s">
        <v>91</v>
      </c>
      <c r="E1902" s="101" t="s">
        <v>577</v>
      </c>
      <c r="F1902" s="101">
        <v>1.0</v>
      </c>
      <c r="G1902" s="101" t="s">
        <v>2382</v>
      </c>
      <c r="H1902" s="63" t="str">
        <f>VLOOKUP(C1902, 'Class Def. - General Data'!$C$20:$C$476,1,false)</f>
        <v>ZSI1_WELDSOLDER_WIRE</v>
      </c>
      <c r="I1902" s="63" t="str">
        <f t="shared" si="6"/>
        <v>ZSI1_WELDSOLDER_WIRE1</v>
      </c>
      <c r="J1902" s="63">
        <f t="shared" si="7"/>
        <v>1</v>
      </c>
    </row>
    <row r="1903" ht="15.75" customHeight="1">
      <c r="B1903" s="95"/>
      <c r="C1903" s="105" t="s">
        <v>519</v>
      </c>
      <c r="D1903" s="101" t="s">
        <v>91</v>
      </c>
      <c r="E1903" s="101" t="s">
        <v>577</v>
      </c>
      <c r="F1903" s="101">
        <v>2.0</v>
      </c>
      <c r="G1903" s="101" t="s">
        <v>2383</v>
      </c>
      <c r="H1903" s="63" t="str">
        <f>VLOOKUP(C1903, 'Class Def. - General Data'!$C$20:$C$476,1,false)</f>
        <v>ZSI1_WELDSOLDER_WIRE</v>
      </c>
      <c r="I1903" s="63" t="str">
        <f t="shared" si="6"/>
        <v>ZSI1_WELDSOLDER_WIRE2</v>
      </c>
      <c r="J1903" s="63">
        <f t="shared" si="7"/>
        <v>1</v>
      </c>
    </row>
    <row r="1904" ht="15.75" customHeight="1">
      <c r="B1904" s="95"/>
      <c r="C1904" s="105" t="s">
        <v>519</v>
      </c>
      <c r="D1904" s="101" t="s">
        <v>91</v>
      </c>
      <c r="E1904" s="101" t="s">
        <v>577</v>
      </c>
      <c r="F1904" s="101">
        <v>3.0</v>
      </c>
      <c r="G1904" s="101" t="s">
        <v>2384</v>
      </c>
      <c r="H1904" s="63" t="str">
        <f>VLOOKUP(C1904, 'Class Def. - General Data'!$C$20:$C$476,1,false)</f>
        <v>ZSI1_WELDSOLDER_WIRE</v>
      </c>
      <c r="I1904" s="63" t="str">
        <f t="shared" si="6"/>
        <v>ZSI1_WELDSOLDER_WIRE3</v>
      </c>
      <c r="J1904" s="63">
        <f t="shared" si="7"/>
        <v>1</v>
      </c>
    </row>
    <row r="1905" ht="15.75" customHeight="1">
      <c r="B1905" s="95"/>
      <c r="C1905" s="105" t="s">
        <v>520</v>
      </c>
      <c r="D1905" s="101" t="s">
        <v>91</v>
      </c>
      <c r="E1905" s="101" t="s">
        <v>577</v>
      </c>
      <c r="F1905" s="101">
        <v>1.0</v>
      </c>
      <c r="G1905" s="101" t="s">
        <v>2385</v>
      </c>
      <c r="H1905" s="63" t="str">
        <f>VLOOKUP(C1905, 'Class Def. - General Data'!$C$20:$C$476,1,false)</f>
        <v>ZSI1_PART_MOLDING</v>
      </c>
      <c r="I1905" s="63" t="str">
        <f t="shared" si="6"/>
        <v>ZSI1_PART_MOLDING1</v>
      </c>
      <c r="J1905" s="63">
        <f t="shared" si="7"/>
        <v>1</v>
      </c>
    </row>
    <row r="1906" ht="15.75" customHeight="1">
      <c r="B1906" s="95"/>
      <c r="C1906" s="105" t="s">
        <v>520</v>
      </c>
      <c r="D1906" s="101" t="s">
        <v>91</v>
      </c>
      <c r="E1906" s="101" t="s">
        <v>577</v>
      </c>
      <c r="F1906" s="101">
        <v>2.0</v>
      </c>
      <c r="G1906" s="101" t="s">
        <v>2386</v>
      </c>
      <c r="H1906" s="63" t="str">
        <f>VLOOKUP(C1906, 'Class Def. - General Data'!$C$20:$C$476,1,false)</f>
        <v>ZSI1_PART_MOLDING</v>
      </c>
      <c r="I1906" s="63" t="str">
        <f t="shared" si="6"/>
        <v>ZSI1_PART_MOLDING2</v>
      </c>
      <c r="J1906" s="63">
        <f t="shared" si="7"/>
        <v>1</v>
      </c>
    </row>
    <row r="1907" ht="15.75" customHeight="1">
      <c r="B1907" s="95"/>
      <c r="C1907" s="105" t="s">
        <v>520</v>
      </c>
      <c r="D1907" s="101" t="s">
        <v>91</v>
      </c>
      <c r="E1907" s="101" t="s">
        <v>577</v>
      </c>
      <c r="F1907" s="101">
        <v>3.0</v>
      </c>
      <c r="G1907" s="101" t="s">
        <v>2387</v>
      </c>
      <c r="H1907" s="63" t="str">
        <f>VLOOKUP(C1907, 'Class Def. - General Data'!$C$20:$C$476,1,false)</f>
        <v>ZSI1_PART_MOLDING</v>
      </c>
      <c r="I1907" s="63" t="str">
        <f t="shared" si="6"/>
        <v>ZSI1_PART_MOLDING3</v>
      </c>
      <c r="J1907" s="63">
        <f t="shared" si="7"/>
        <v>1</v>
      </c>
    </row>
    <row r="1908" ht="15.75" customHeight="1">
      <c r="B1908" s="95"/>
      <c r="C1908" s="105" t="s">
        <v>521</v>
      </c>
      <c r="D1908" s="101" t="s">
        <v>91</v>
      </c>
      <c r="E1908" s="101" t="s">
        <v>577</v>
      </c>
      <c r="F1908" s="101">
        <v>1.0</v>
      </c>
      <c r="G1908" s="101" t="s">
        <v>2388</v>
      </c>
      <c r="H1908" s="63" t="str">
        <f>VLOOKUP(C1908, 'Class Def. - General Data'!$C$20:$C$476,1,false)</f>
        <v>ZSI1_MISC_FASTENER</v>
      </c>
      <c r="I1908" s="63" t="str">
        <f t="shared" si="6"/>
        <v>ZSI1_MISC_FASTENER1</v>
      </c>
      <c r="J1908" s="63">
        <f t="shared" si="7"/>
        <v>1</v>
      </c>
    </row>
    <row r="1909" ht="15.75" customHeight="1">
      <c r="B1909" s="95"/>
      <c r="C1909" s="105" t="s">
        <v>521</v>
      </c>
      <c r="D1909" s="101" t="s">
        <v>91</v>
      </c>
      <c r="E1909" s="101" t="s">
        <v>577</v>
      </c>
      <c r="F1909" s="101">
        <v>2.0</v>
      </c>
      <c r="G1909" s="101" t="s">
        <v>2389</v>
      </c>
      <c r="H1909" s="63" t="str">
        <f>VLOOKUP(C1909, 'Class Def. - General Data'!$C$20:$C$476,1,false)</f>
        <v>ZSI1_MISC_FASTENER</v>
      </c>
      <c r="I1909" s="63" t="str">
        <f t="shared" si="6"/>
        <v>ZSI1_MISC_FASTENER2</v>
      </c>
      <c r="J1909" s="63">
        <f t="shared" si="7"/>
        <v>1</v>
      </c>
    </row>
    <row r="1910" ht="15.75" customHeight="1">
      <c r="B1910" s="95"/>
      <c r="C1910" s="105" t="s">
        <v>521</v>
      </c>
      <c r="D1910" s="101" t="s">
        <v>91</v>
      </c>
      <c r="E1910" s="101" t="s">
        <v>577</v>
      </c>
      <c r="F1910" s="101">
        <v>3.0</v>
      </c>
      <c r="G1910" s="101" t="s">
        <v>2390</v>
      </c>
      <c r="H1910" s="63" t="str">
        <f>VLOOKUP(C1910, 'Class Def. - General Data'!$C$20:$C$476,1,false)</f>
        <v>ZSI1_MISC_FASTENER</v>
      </c>
      <c r="I1910" s="63" t="str">
        <f t="shared" si="6"/>
        <v>ZSI1_MISC_FASTENER3</v>
      </c>
      <c r="J1910" s="63">
        <f t="shared" si="7"/>
        <v>1</v>
      </c>
    </row>
    <row r="1911" ht="15.75" customHeight="1">
      <c r="B1911" s="95"/>
      <c r="C1911" s="105" t="s">
        <v>522</v>
      </c>
      <c r="D1911" s="101" t="s">
        <v>91</v>
      </c>
      <c r="E1911" s="101" t="s">
        <v>577</v>
      </c>
      <c r="F1911" s="101">
        <v>1.0</v>
      </c>
      <c r="G1911" s="101" t="s">
        <v>2391</v>
      </c>
      <c r="H1911" s="63" t="str">
        <f>VLOOKUP(C1911, 'Class Def. - General Data'!$C$20:$C$476,1,false)</f>
        <v>ZSI1_MIX_EQP</v>
      </c>
      <c r="I1911" s="63" t="str">
        <f t="shared" si="6"/>
        <v>ZSI1_MIX_EQP1</v>
      </c>
      <c r="J1911" s="63">
        <f t="shared" si="7"/>
        <v>1</v>
      </c>
    </row>
    <row r="1912" ht="15.75" customHeight="1">
      <c r="B1912" s="95"/>
      <c r="C1912" s="105" t="s">
        <v>524</v>
      </c>
      <c r="D1912" s="101" t="s">
        <v>91</v>
      </c>
      <c r="E1912" s="101" t="s">
        <v>577</v>
      </c>
      <c r="F1912" s="101">
        <v>1.0</v>
      </c>
      <c r="G1912" s="101" t="s">
        <v>2392</v>
      </c>
      <c r="H1912" s="63" t="str">
        <f>VLOOKUP(C1912, 'Class Def. - General Data'!$C$20:$C$476,1,false)</f>
        <v>ZSI1_PNEU_TOOL</v>
      </c>
      <c r="I1912" s="63" t="str">
        <f t="shared" si="6"/>
        <v>ZSI1_PNEU_TOOL1</v>
      </c>
      <c r="J1912" s="63">
        <f t="shared" si="7"/>
        <v>1</v>
      </c>
    </row>
    <row r="1913" ht="15.75" customHeight="1">
      <c r="B1913" s="95"/>
      <c r="C1913" s="105" t="s">
        <v>525</v>
      </c>
      <c r="D1913" s="101" t="s">
        <v>91</v>
      </c>
      <c r="E1913" s="101" t="s">
        <v>577</v>
      </c>
      <c r="F1913" s="101">
        <v>1.0</v>
      </c>
      <c r="G1913" s="101" t="s">
        <v>2386</v>
      </c>
      <c r="H1913" s="63" t="str">
        <f>VLOOKUP(C1913, 'Class Def. - General Data'!$C$20:$C$476,1,false)</f>
        <v>ZSI1_MOLDING</v>
      </c>
      <c r="I1913" s="63" t="str">
        <f t="shared" si="6"/>
        <v>ZSI1_MOLDING1</v>
      </c>
      <c r="J1913" s="63">
        <f t="shared" si="7"/>
        <v>1</v>
      </c>
    </row>
    <row r="1914" ht="15.75" customHeight="1">
      <c r="B1914" s="95"/>
      <c r="C1914" s="105" t="s">
        <v>526</v>
      </c>
      <c r="D1914" s="101" t="s">
        <v>91</v>
      </c>
      <c r="E1914" s="101" t="s">
        <v>577</v>
      </c>
      <c r="F1914" s="101">
        <v>1.0</v>
      </c>
      <c r="G1914" s="101" t="s">
        <v>2393</v>
      </c>
      <c r="H1914" s="63" t="str">
        <f>VLOOKUP(C1914, 'Class Def. - General Data'!$C$20:$C$476,1,false)</f>
        <v>ZSI1_RETAIN_HARDWR</v>
      </c>
      <c r="I1914" s="63" t="str">
        <f t="shared" si="6"/>
        <v>ZSI1_RETAIN_HARDWR1</v>
      </c>
      <c r="J1914" s="63">
        <f t="shared" si="7"/>
        <v>1</v>
      </c>
    </row>
    <row r="1915" ht="15.75" customHeight="1">
      <c r="B1915" s="95"/>
      <c r="C1915" s="105" t="s">
        <v>526</v>
      </c>
      <c r="D1915" s="101" t="s">
        <v>91</v>
      </c>
      <c r="E1915" s="101" t="s">
        <v>577</v>
      </c>
      <c r="F1915" s="101">
        <v>2.0</v>
      </c>
      <c r="G1915" s="101" t="s">
        <v>898</v>
      </c>
      <c r="H1915" s="63" t="str">
        <f>VLOOKUP(C1915, 'Class Def. - General Data'!$C$20:$C$476,1,false)</f>
        <v>ZSI1_RETAIN_HARDWR</v>
      </c>
      <c r="I1915" s="63" t="str">
        <f t="shared" si="6"/>
        <v>ZSI1_RETAIN_HARDWR2</v>
      </c>
      <c r="J1915" s="63">
        <f t="shared" si="7"/>
        <v>1</v>
      </c>
    </row>
    <row r="1916" ht="15.75" customHeight="1">
      <c r="B1916" s="95"/>
      <c r="C1916" s="105" t="s">
        <v>527</v>
      </c>
      <c r="D1916" s="101" t="s">
        <v>91</v>
      </c>
      <c r="E1916" s="101" t="s">
        <v>577</v>
      </c>
      <c r="F1916" s="101">
        <v>1.0</v>
      </c>
      <c r="G1916" s="101" t="s">
        <v>2394</v>
      </c>
      <c r="H1916" s="63" t="str">
        <f>VLOOKUP(C1916, 'Class Def. - General Data'!$C$20:$C$476,1,false)</f>
        <v>ZSI1_TRANSMSN_SHFT</v>
      </c>
      <c r="I1916" s="63" t="str">
        <f t="shared" si="6"/>
        <v>ZSI1_TRANSMSN_SHFT1</v>
      </c>
      <c r="J1916" s="63">
        <f t="shared" si="7"/>
        <v>1</v>
      </c>
    </row>
    <row r="1917" ht="15.75" customHeight="1">
      <c r="B1917" s="95"/>
      <c r="C1917" s="105" t="s">
        <v>528</v>
      </c>
      <c r="D1917" s="101" t="s">
        <v>91</v>
      </c>
      <c r="E1917" s="101" t="s">
        <v>577</v>
      </c>
      <c r="F1917" s="101">
        <v>1.0</v>
      </c>
      <c r="G1917" s="101" t="s">
        <v>2282</v>
      </c>
      <c r="H1917" s="63" t="str">
        <f>VLOOKUP(C1917, 'Class Def. - General Data'!$C$20:$C$476,1,false)</f>
        <v>ZSI1_WEB_SLING</v>
      </c>
      <c r="I1917" s="63" t="str">
        <f t="shared" si="6"/>
        <v>ZSI1_WEB_SLING1</v>
      </c>
      <c r="J1917" s="63">
        <f t="shared" si="7"/>
        <v>1</v>
      </c>
    </row>
    <row r="1918" ht="15.75" customHeight="1">
      <c r="B1918" s="95"/>
      <c r="C1918" s="105" t="s">
        <v>529</v>
      </c>
      <c r="D1918" s="101" t="s">
        <v>91</v>
      </c>
      <c r="E1918" s="101" t="s">
        <v>577</v>
      </c>
      <c r="F1918" s="101">
        <v>1.0</v>
      </c>
      <c r="G1918" s="101" t="s">
        <v>2395</v>
      </c>
      <c r="H1918" s="63" t="str">
        <f>VLOOKUP(C1918, 'Class Def. - General Data'!$C$20:$C$476,1,false)</f>
        <v>ZSI1_SCREW</v>
      </c>
      <c r="I1918" s="63" t="str">
        <f t="shared" si="6"/>
        <v>ZSI1_SCREW1</v>
      </c>
      <c r="J1918" s="63">
        <f t="shared" si="7"/>
        <v>1</v>
      </c>
    </row>
    <row r="1919" ht="15.75" customHeight="1">
      <c r="B1919" s="95"/>
      <c r="C1919" s="105" t="s">
        <v>530</v>
      </c>
      <c r="D1919" s="101" t="s">
        <v>91</v>
      </c>
      <c r="E1919" s="101" t="s">
        <v>577</v>
      </c>
      <c r="F1919" s="101">
        <v>1.0</v>
      </c>
      <c r="G1919" s="101" t="s">
        <v>2396</v>
      </c>
      <c r="H1919" s="63" t="str">
        <f>VLOOKUP(C1919, 'Class Def. - General Data'!$C$20:$C$476,1,false)</f>
        <v>ZSI1_WIRE_ROPE</v>
      </c>
      <c r="I1919" s="63" t="str">
        <f t="shared" si="6"/>
        <v>ZSI1_WIRE_ROPE1</v>
      </c>
      <c r="J1919" s="63">
        <f t="shared" si="7"/>
        <v>1</v>
      </c>
    </row>
    <row r="1920" ht="15.75" customHeight="1">
      <c r="B1920" s="95"/>
      <c r="C1920" s="105" t="s">
        <v>532</v>
      </c>
      <c r="D1920" s="101" t="s">
        <v>91</v>
      </c>
      <c r="E1920" s="101" t="s">
        <v>577</v>
      </c>
      <c r="F1920" s="101">
        <v>1.0</v>
      </c>
      <c r="G1920" s="101" t="s">
        <v>2397</v>
      </c>
      <c r="H1920" s="63" t="str">
        <f>VLOOKUP(C1920, 'Class Def. - General Data'!$C$20:$C$476,1,false)</f>
        <v>ZSI1_RESISTOR</v>
      </c>
      <c r="I1920" s="63" t="str">
        <f t="shared" si="6"/>
        <v>ZSI1_RESISTOR1</v>
      </c>
      <c r="J1920" s="63">
        <f t="shared" si="7"/>
        <v>1</v>
      </c>
    </row>
    <row r="1921" ht="15.75" customHeight="1">
      <c r="B1921" s="95"/>
      <c r="C1921" s="105" t="s">
        <v>533</v>
      </c>
      <c r="D1921" s="101" t="s">
        <v>91</v>
      </c>
      <c r="E1921" s="101" t="s">
        <v>577</v>
      </c>
      <c r="F1921" s="101">
        <v>1.0</v>
      </c>
      <c r="G1921" s="101" t="s">
        <v>2398</v>
      </c>
      <c r="H1921" s="63" t="str">
        <f>VLOOKUP(C1921, 'Class Def. - General Data'!$C$20:$C$476,1,false)</f>
        <v>ZSI1_BLOCKS</v>
      </c>
      <c r="I1921" s="63" t="str">
        <f t="shared" si="6"/>
        <v>ZSI1_BLOCKS1</v>
      </c>
      <c r="J1921" s="63">
        <f t="shared" si="7"/>
        <v>1</v>
      </c>
    </row>
    <row r="1922" ht="15.75" customHeight="1">
      <c r="B1922" s="95"/>
      <c r="C1922" s="105" t="s">
        <v>534</v>
      </c>
      <c r="D1922" s="101" t="s">
        <v>91</v>
      </c>
      <c r="E1922" s="101" t="s">
        <v>577</v>
      </c>
      <c r="F1922" s="101">
        <v>1.0</v>
      </c>
      <c r="G1922" s="101" t="s">
        <v>2399</v>
      </c>
      <c r="H1922" s="63" t="str">
        <f>VLOOKUP(C1922, 'Class Def. - General Data'!$C$20:$C$476,1,false)</f>
        <v>ZSI1_HOSE_FITTING</v>
      </c>
      <c r="I1922" s="63" t="str">
        <f t="shared" si="6"/>
        <v>ZSI1_HOSE_FITTING1</v>
      </c>
      <c r="J1922" s="63">
        <f t="shared" si="7"/>
        <v>1</v>
      </c>
    </row>
    <row r="1923" ht="15.75" customHeight="1">
      <c r="B1923" s="95"/>
      <c r="C1923" s="105" t="s">
        <v>535</v>
      </c>
      <c r="D1923" s="101" t="s">
        <v>91</v>
      </c>
      <c r="E1923" s="101" t="s">
        <v>577</v>
      </c>
      <c r="F1923" s="101">
        <v>1.0</v>
      </c>
      <c r="G1923" s="101" t="s">
        <v>2400</v>
      </c>
      <c r="H1923" s="63" t="str">
        <f>VLOOKUP(C1923, 'Class Def. - General Data'!$C$20:$C$476,1,false)</f>
        <v>ZSI1_KAIN_COVER</v>
      </c>
      <c r="I1923" s="63" t="str">
        <f t="shared" si="6"/>
        <v>ZSI1_KAIN_COVER1</v>
      </c>
      <c r="J1923" s="63">
        <f t="shared" si="7"/>
        <v>1</v>
      </c>
    </row>
    <row r="1924" ht="15.75" customHeight="1">
      <c r="B1924" s="95"/>
      <c r="C1924" s="105" t="s">
        <v>536</v>
      </c>
      <c r="D1924" s="101" t="s">
        <v>91</v>
      </c>
      <c r="E1924" s="101" t="s">
        <v>577</v>
      </c>
      <c r="F1924" s="101">
        <v>1.0</v>
      </c>
      <c r="G1924" s="101" t="s">
        <v>2401</v>
      </c>
      <c r="H1924" s="63" t="str">
        <f>VLOOKUP(C1924, 'Class Def. - General Data'!$C$20:$C$476,1,false)</f>
        <v>ZSI1_CAPACITOR</v>
      </c>
      <c r="I1924" s="63" t="str">
        <f t="shared" si="6"/>
        <v>ZSI1_CAPACITOR1</v>
      </c>
      <c r="J1924" s="63">
        <f t="shared" si="7"/>
        <v>1</v>
      </c>
    </row>
    <row r="1925" ht="15.75" customHeight="1">
      <c r="B1925" s="95"/>
      <c r="C1925" s="105" t="s">
        <v>537</v>
      </c>
      <c r="D1925" s="101" t="s">
        <v>91</v>
      </c>
      <c r="E1925" s="101" t="s">
        <v>577</v>
      </c>
      <c r="F1925" s="101">
        <v>1.0</v>
      </c>
      <c r="G1925" s="101" t="s">
        <v>2093</v>
      </c>
      <c r="H1925" s="63" t="str">
        <f>VLOOKUP(C1925, 'Class Def. - General Data'!$C$20:$C$476,1,false)</f>
        <v>ZSI1_CONVEYOR_ROLL</v>
      </c>
      <c r="I1925" s="63" t="str">
        <f t="shared" si="6"/>
        <v>ZSI1_CONVEYOR_ROLL1</v>
      </c>
      <c r="J1925" s="63">
        <f t="shared" si="7"/>
        <v>1</v>
      </c>
    </row>
    <row r="1926" ht="15.75" customHeight="1">
      <c r="B1926" s="95"/>
      <c r="C1926" s="105" t="s">
        <v>538</v>
      </c>
      <c r="D1926" s="101" t="s">
        <v>91</v>
      </c>
      <c r="E1926" s="101" t="s">
        <v>577</v>
      </c>
      <c r="F1926" s="101">
        <v>1.0</v>
      </c>
      <c r="G1926" s="101" t="s">
        <v>2402</v>
      </c>
      <c r="H1926" s="63" t="str">
        <f>VLOOKUP(C1926, 'Class Def. - General Data'!$C$20:$C$476,1,false)</f>
        <v>ZSI1_AIR_PURIF</v>
      </c>
      <c r="I1926" s="63" t="str">
        <f t="shared" si="6"/>
        <v>ZSI1_AIR_PURIF1</v>
      </c>
      <c r="J1926" s="63">
        <f t="shared" si="7"/>
        <v>1</v>
      </c>
    </row>
    <row r="1927" ht="15.75" customHeight="1">
      <c r="B1927" s="95"/>
      <c r="C1927" s="105" t="s">
        <v>539</v>
      </c>
      <c r="D1927" s="101" t="s">
        <v>91</v>
      </c>
      <c r="E1927" s="101" t="s">
        <v>577</v>
      </c>
      <c r="F1927" s="101">
        <v>1.0</v>
      </c>
      <c r="G1927" s="101" t="s">
        <v>2403</v>
      </c>
      <c r="H1927" s="63" t="str">
        <f>VLOOKUP(C1927, 'Class Def. - General Data'!$C$20:$C$476,1,false)</f>
        <v>ZSI1_DIODE</v>
      </c>
      <c r="I1927" s="63" t="str">
        <f t="shared" si="6"/>
        <v>ZSI1_DIODE1</v>
      </c>
      <c r="J1927" s="63">
        <f t="shared" si="7"/>
        <v>1</v>
      </c>
    </row>
    <row r="1928" ht="15.75" customHeight="1">
      <c r="B1928" s="95"/>
      <c r="C1928" s="105" t="s">
        <v>540</v>
      </c>
      <c r="D1928" s="101" t="s">
        <v>91</v>
      </c>
      <c r="E1928" s="101" t="s">
        <v>577</v>
      </c>
      <c r="F1928" s="101">
        <v>1.0</v>
      </c>
      <c r="G1928" s="101" t="s">
        <v>2404</v>
      </c>
      <c r="H1928" s="63" t="str">
        <f>VLOOKUP(C1928, 'Class Def. - General Data'!$C$20:$C$476,1,false)</f>
        <v>ZSI1_ELEC_WIRE</v>
      </c>
      <c r="I1928" s="63" t="str">
        <f t="shared" si="6"/>
        <v>ZSI1_ELEC_WIRE1</v>
      </c>
      <c r="J1928" s="63">
        <f t="shared" si="7"/>
        <v>1</v>
      </c>
    </row>
    <row r="1929" ht="15.75" customHeight="1">
      <c r="B1929" s="95"/>
      <c r="C1929" s="105" t="s">
        <v>541</v>
      </c>
      <c r="D1929" s="101" t="s">
        <v>91</v>
      </c>
      <c r="E1929" s="101" t="s">
        <v>577</v>
      </c>
      <c r="F1929" s="101">
        <v>1.0</v>
      </c>
      <c r="G1929" s="101" t="s">
        <v>2405</v>
      </c>
      <c r="H1929" s="63" t="str">
        <f>VLOOKUP(C1929, 'Class Def. - General Data'!$C$20:$C$476,1,false)</f>
        <v>ZSI1_PIPE_EXP_JOINT</v>
      </c>
      <c r="I1929" s="63" t="str">
        <f t="shared" si="6"/>
        <v>ZSI1_PIPE_EXP_JOINT1</v>
      </c>
      <c r="J1929" s="63">
        <f t="shared" si="7"/>
        <v>1</v>
      </c>
    </row>
    <row r="1930" ht="15.75" customHeight="1">
      <c r="B1930" s="95"/>
      <c r="C1930" s="105" t="s">
        <v>542</v>
      </c>
      <c r="D1930" s="101" t="s">
        <v>91</v>
      </c>
      <c r="E1930" s="101" t="s">
        <v>577</v>
      </c>
      <c r="F1930" s="101">
        <v>1.0</v>
      </c>
      <c r="G1930" s="101" t="s">
        <v>2148</v>
      </c>
      <c r="H1930" s="63" t="str">
        <f>VLOOKUP(C1930, 'Class Def. - General Data'!$C$20:$C$476,1,false)</f>
        <v>ZSI1_GASKET</v>
      </c>
      <c r="I1930" s="63" t="str">
        <f t="shared" si="6"/>
        <v>ZSI1_GASKET1</v>
      </c>
      <c r="J1930" s="63">
        <f t="shared" si="7"/>
        <v>1</v>
      </c>
    </row>
    <row r="1931" ht="15.75" customHeight="1">
      <c r="B1931" s="95"/>
      <c r="C1931" s="105" t="s">
        <v>543</v>
      </c>
      <c r="D1931" s="101" t="s">
        <v>91</v>
      </c>
      <c r="E1931" s="101" t="s">
        <v>577</v>
      </c>
      <c r="F1931" s="101">
        <v>1.0</v>
      </c>
      <c r="G1931" s="101" t="s">
        <v>2406</v>
      </c>
      <c r="H1931" s="63" t="str">
        <f>VLOOKUP(C1931, 'Class Def. - General Data'!$C$20:$C$476,1,false)</f>
        <v>ZSI1_LAB_CULTURE</v>
      </c>
      <c r="I1931" s="63" t="str">
        <f t="shared" si="6"/>
        <v>ZSI1_LAB_CULTURE1</v>
      </c>
      <c r="J1931" s="63">
        <f t="shared" si="7"/>
        <v>1</v>
      </c>
    </row>
    <row r="1932" ht="15.75" customHeight="1">
      <c r="B1932" s="95"/>
      <c r="C1932" s="105" t="s">
        <v>544</v>
      </c>
      <c r="D1932" s="101" t="s">
        <v>91</v>
      </c>
      <c r="E1932" s="101" t="s">
        <v>577</v>
      </c>
      <c r="F1932" s="101">
        <v>1.0</v>
      </c>
      <c r="G1932" s="101" t="s">
        <v>2407</v>
      </c>
      <c r="H1932" s="63" t="str">
        <f>VLOOKUP(C1932, 'Class Def. - General Data'!$C$20:$C$476,1,false)</f>
        <v>ZSI1_KUSEN</v>
      </c>
      <c r="I1932" s="63" t="str">
        <f t="shared" si="6"/>
        <v>ZSI1_KUSEN1</v>
      </c>
      <c r="J1932" s="63">
        <f t="shared" si="7"/>
        <v>1</v>
      </c>
    </row>
    <row r="1933" ht="15.75" customHeight="1">
      <c r="B1933" s="95"/>
      <c r="C1933" s="105" t="s">
        <v>545</v>
      </c>
      <c r="D1933" s="101" t="s">
        <v>91</v>
      </c>
      <c r="E1933" s="101" t="s">
        <v>577</v>
      </c>
      <c r="F1933" s="101">
        <v>1.0</v>
      </c>
      <c r="G1933" s="101" t="s">
        <v>2408</v>
      </c>
      <c r="H1933" s="63" t="str">
        <f>VLOOKUP(C1933, 'Class Def. - General Data'!$C$20:$C$476,1,false)</f>
        <v>ZSI1_PIPE_COUPLING</v>
      </c>
      <c r="I1933" s="63" t="str">
        <f t="shared" si="6"/>
        <v>ZSI1_PIPE_COUPLING1</v>
      </c>
      <c r="J1933" s="63">
        <f t="shared" si="7"/>
        <v>1</v>
      </c>
    </row>
    <row r="1934" ht="15.75" customHeight="1">
      <c r="B1934" s="95"/>
      <c r="C1934" s="105" t="s">
        <v>546</v>
      </c>
      <c r="D1934" s="101" t="s">
        <v>91</v>
      </c>
      <c r="E1934" s="101" t="s">
        <v>577</v>
      </c>
      <c r="F1934" s="101">
        <v>1.0</v>
      </c>
      <c r="G1934" s="101" t="s">
        <v>2409</v>
      </c>
      <c r="H1934" s="63" t="str">
        <f>VLOOKUP(C1934, 'Class Def. - General Data'!$C$20:$C$476,1,false)</f>
        <v>ZSI1_PIPE_WYE</v>
      </c>
      <c r="I1934" s="63" t="str">
        <f t="shared" si="6"/>
        <v>ZSI1_PIPE_WYE1</v>
      </c>
      <c r="J1934" s="63">
        <f t="shared" si="7"/>
        <v>1</v>
      </c>
    </row>
    <row r="1935" ht="15.75" customHeight="1">
      <c r="B1935" s="95"/>
      <c r="C1935" s="105" t="s">
        <v>547</v>
      </c>
      <c r="D1935" s="101" t="s">
        <v>91</v>
      </c>
      <c r="E1935" s="101" t="s">
        <v>577</v>
      </c>
      <c r="F1935" s="101">
        <v>1.0</v>
      </c>
      <c r="G1935" s="101" t="s">
        <v>2297</v>
      </c>
      <c r="H1935" s="63" t="str">
        <f>VLOOKUP(C1935, 'Class Def. - General Data'!$C$20:$C$476,1,false)</f>
        <v>ZSI1_PUB_SAFETY_SUPP</v>
      </c>
      <c r="I1935" s="63" t="str">
        <f t="shared" si="6"/>
        <v>ZSI1_PUB_SAFETY_SUPP1</v>
      </c>
      <c r="J1935" s="63">
        <f t="shared" si="7"/>
        <v>1</v>
      </c>
    </row>
    <row r="1936" ht="15.75" customHeight="1">
      <c r="B1936" s="95"/>
      <c r="C1936" s="105" t="s">
        <v>548</v>
      </c>
      <c r="D1936" s="101" t="s">
        <v>91</v>
      </c>
      <c r="E1936" s="101" t="s">
        <v>577</v>
      </c>
      <c r="F1936" s="101">
        <v>1.0</v>
      </c>
      <c r="G1936" s="101" t="s">
        <v>2410</v>
      </c>
      <c r="H1936" s="63" t="str">
        <f>VLOOKUP(C1936, 'Class Def. - General Data'!$C$20:$C$476,1,false)</f>
        <v>ZSI1_ROPE</v>
      </c>
      <c r="I1936" s="63" t="str">
        <f t="shared" si="6"/>
        <v>ZSI1_ROPE1</v>
      </c>
      <c r="J1936" s="63">
        <f t="shared" si="7"/>
        <v>1</v>
      </c>
    </row>
    <row r="1937" ht="15.75" customHeight="1">
      <c r="B1937" s="95"/>
      <c r="C1937" s="105" t="s">
        <v>549</v>
      </c>
      <c r="D1937" s="101" t="s">
        <v>91</v>
      </c>
      <c r="E1937" s="101" t="s">
        <v>577</v>
      </c>
      <c r="F1937" s="101">
        <v>1.0</v>
      </c>
      <c r="G1937" s="101" t="s">
        <v>2411</v>
      </c>
      <c r="H1937" s="63" t="str">
        <f>VLOOKUP(C1937, 'Class Def. - General Data'!$C$20:$C$476,1,false)</f>
        <v>ZSI1_TRANSPORT_COMP</v>
      </c>
      <c r="I1937" s="63" t="str">
        <f t="shared" si="6"/>
        <v>ZSI1_TRANSPORT_COMP1</v>
      </c>
      <c r="J1937" s="63">
        <f t="shared" si="7"/>
        <v>1</v>
      </c>
    </row>
    <row r="1938" ht="15.75" customHeight="1">
      <c r="B1938" s="95"/>
      <c r="C1938" s="105" t="s">
        <v>550</v>
      </c>
      <c r="D1938" s="101" t="s">
        <v>91</v>
      </c>
      <c r="E1938" s="101" t="s">
        <v>577</v>
      </c>
      <c r="F1938" s="101">
        <v>1.0</v>
      </c>
      <c r="G1938" s="101" t="s">
        <v>2412</v>
      </c>
      <c r="H1938" s="63" t="str">
        <f>VLOOKUP(C1938, 'Class Def. - General Data'!$C$20:$C$476,1,false)</f>
        <v>ZSI1_SIGNAL_FILTER</v>
      </c>
      <c r="I1938" s="63" t="str">
        <f t="shared" si="6"/>
        <v>ZSI1_SIGNAL_FILTER1</v>
      </c>
      <c r="J1938" s="63">
        <f t="shared" si="7"/>
        <v>1</v>
      </c>
    </row>
    <row r="1939" ht="15.75" customHeight="1">
      <c r="B1939" s="95"/>
      <c r="C1939" s="105" t="s">
        <v>551</v>
      </c>
      <c r="D1939" s="101" t="s">
        <v>91</v>
      </c>
      <c r="E1939" s="101" t="s">
        <v>577</v>
      </c>
      <c r="F1939" s="101">
        <v>1.0</v>
      </c>
      <c r="G1939" s="101" t="s">
        <v>2413</v>
      </c>
      <c r="H1939" s="63" t="str">
        <f>VLOOKUP(C1939, 'Class Def. - General Data'!$C$20:$C$476,1,false)</f>
        <v>ZSI1_TRAP_STRAINER</v>
      </c>
      <c r="I1939" s="63" t="str">
        <f t="shared" si="6"/>
        <v>ZSI1_TRAP_STRAINER1</v>
      </c>
      <c r="J1939" s="63">
        <f t="shared" si="7"/>
        <v>1</v>
      </c>
    </row>
    <row r="1940" ht="15.75" customHeight="1">
      <c r="B1940" s="95"/>
      <c r="C1940" s="105" t="s">
        <v>552</v>
      </c>
      <c r="D1940" s="101" t="s">
        <v>91</v>
      </c>
      <c r="E1940" s="101" t="s">
        <v>577</v>
      </c>
      <c r="F1940" s="101">
        <v>1.0</v>
      </c>
      <c r="G1940" s="101" t="s">
        <v>2414</v>
      </c>
      <c r="H1940" s="63" t="str">
        <f>VLOOKUP(C1940, 'Class Def. - General Data'!$C$20:$C$476,1,false)</f>
        <v>ZSI1_LAB_MEDIA</v>
      </c>
      <c r="I1940" s="63" t="str">
        <f t="shared" si="6"/>
        <v>ZSI1_LAB_MEDIA1</v>
      </c>
      <c r="J1940" s="63">
        <f t="shared" si="7"/>
        <v>1</v>
      </c>
    </row>
    <row r="1941" ht="15.75" customHeight="1">
      <c r="B1941" s="95"/>
      <c r="C1941" s="108" t="s">
        <v>553</v>
      </c>
      <c r="D1941" s="101" t="s">
        <v>91</v>
      </c>
      <c r="E1941" s="101" t="s">
        <v>577</v>
      </c>
      <c r="F1941" s="106" t="s">
        <v>1899</v>
      </c>
      <c r="G1941" s="109" t="s">
        <v>2415</v>
      </c>
    </row>
    <row r="1942" ht="15.75" customHeight="1">
      <c r="B1942" s="95"/>
      <c r="C1942" s="108" t="s">
        <v>553</v>
      </c>
      <c r="D1942" s="101" t="s">
        <v>91</v>
      </c>
      <c r="E1942" s="101" t="s">
        <v>577</v>
      </c>
      <c r="F1942" s="106" t="s">
        <v>20</v>
      </c>
      <c r="G1942" s="109" t="s">
        <v>2416</v>
      </c>
    </row>
    <row r="1943" ht="15.75" customHeight="1">
      <c r="B1943" s="95"/>
      <c r="C1943" s="108" t="s">
        <v>554</v>
      </c>
      <c r="D1943" s="101" t="s">
        <v>91</v>
      </c>
      <c r="E1943" s="101" t="s">
        <v>577</v>
      </c>
      <c r="F1943" s="106" t="s">
        <v>1899</v>
      </c>
      <c r="G1943" s="109" t="s">
        <v>2417</v>
      </c>
    </row>
    <row r="1944" ht="15.75" customHeight="1">
      <c r="B1944" s="95"/>
      <c r="C1944" s="108" t="s">
        <v>555</v>
      </c>
      <c r="D1944" s="101" t="s">
        <v>91</v>
      </c>
      <c r="E1944" s="101" t="s">
        <v>577</v>
      </c>
      <c r="F1944" s="106" t="s">
        <v>1899</v>
      </c>
      <c r="G1944" s="109" t="s">
        <v>2418</v>
      </c>
    </row>
    <row r="1945" ht="15.75" customHeight="1">
      <c r="B1945" s="95"/>
      <c r="C1945" s="108" t="s">
        <v>555</v>
      </c>
      <c r="D1945" s="101" t="s">
        <v>91</v>
      </c>
      <c r="E1945" s="101" t="s">
        <v>577</v>
      </c>
      <c r="F1945" s="106" t="s">
        <v>20</v>
      </c>
      <c r="G1945" s="109" t="s">
        <v>2419</v>
      </c>
    </row>
    <row r="1946" ht="15.75" customHeight="1">
      <c r="B1946" s="95"/>
      <c r="C1946" s="108" t="s">
        <v>556</v>
      </c>
      <c r="D1946" s="101" t="s">
        <v>91</v>
      </c>
      <c r="E1946" s="101" t="s">
        <v>577</v>
      </c>
      <c r="F1946" s="106" t="s">
        <v>1899</v>
      </c>
      <c r="G1946" s="109" t="s">
        <v>2420</v>
      </c>
    </row>
    <row r="1947" ht="15.75" customHeight="1">
      <c r="B1947" s="95"/>
      <c r="C1947" s="108" t="s">
        <v>556</v>
      </c>
      <c r="D1947" s="101" t="s">
        <v>91</v>
      </c>
      <c r="E1947" s="101" t="s">
        <v>577</v>
      </c>
      <c r="F1947" s="106" t="s">
        <v>20</v>
      </c>
      <c r="G1947" s="109" t="s">
        <v>2421</v>
      </c>
    </row>
    <row r="1948" ht="15.75" customHeight="1">
      <c r="B1948" s="95"/>
      <c r="C1948" s="108" t="s">
        <v>556</v>
      </c>
      <c r="D1948" s="101" t="s">
        <v>91</v>
      </c>
      <c r="E1948" s="101" t="s">
        <v>577</v>
      </c>
      <c r="F1948" s="106" t="s">
        <v>564</v>
      </c>
      <c r="G1948" s="109" t="s">
        <v>2422</v>
      </c>
    </row>
    <row r="1949" ht="15.75" customHeight="1">
      <c r="B1949" s="95"/>
      <c r="C1949" s="108" t="s">
        <v>557</v>
      </c>
      <c r="D1949" s="101" t="s">
        <v>91</v>
      </c>
      <c r="E1949" s="101" t="s">
        <v>577</v>
      </c>
      <c r="F1949" s="106" t="s">
        <v>1899</v>
      </c>
      <c r="G1949" s="109" t="s">
        <v>2423</v>
      </c>
    </row>
    <row r="1950" ht="15.75" customHeight="1">
      <c r="B1950" s="95"/>
      <c r="C1950" s="108" t="s">
        <v>557</v>
      </c>
      <c r="D1950" s="101" t="s">
        <v>91</v>
      </c>
      <c r="E1950" s="101" t="s">
        <v>577</v>
      </c>
      <c r="F1950" s="106" t="s">
        <v>20</v>
      </c>
      <c r="G1950" s="109" t="s">
        <v>2424</v>
      </c>
    </row>
    <row r="1951" ht="15.75" customHeight="1">
      <c r="B1951" s="95"/>
      <c r="C1951" s="108" t="s">
        <v>558</v>
      </c>
      <c r="D1951" s="101" t="s">
        <v>91</v>
      </c>
      <c r="E1951" s="101" t="s">
        <v>577</v>
      </c>
      <c r="F1951" s="106" t="s">
        <v>1899</v>
      </c>
      <c r="G1951" s="109" t="s">
        <v>2425</v>
      </c>
    </row>
    <row r="1952" ht="15.75" customHeight="1">
      <c r="B1952" s="95"/>
      <c r="C1952" s="108" t="s">
        <v>558</v>
      </c>
      <c r="D1952" s="101" t="s">
        <v>91</v>
      </c>
      <c r="E1952" s="101" t="s">
        <v>577</v>
      </c>
      <c r="F1952" s="106" t="s">
        <v>20</v>
      </c>
      <c r="G1952" s="109" t="s">
        <v>2426</v>
      </c>
    </row>
    <row r="1953" ht="15.75" customHeight="1">
      <c r="B1953" s="95"/>
      <c r="C1953" s="108" t="s">
        <v>558</v>
      </c>
      <c r="D1953" s="101" t="s">
        <v>91</v>
      </c>
      <c r="E1953" s="101" t="s">
        <v>577</v>
      </c>
      <c r="F1953" s="106" t="s">
        <v>564</v>
      </c>
      <c r="G1953" s="109" t="s">
        <v>2427</v>
      </c>
    </row>
    <row r="1954" ht="15.75" customHeight="1">
      <c r="B1954" s="95"/>
      <c r="C1954" s="108" t="s">
        <v>558</v>
      </c>
      <c r="D1954" s="101" t="s">
        <v>91</v>
      </c>
      <c r="E1954" s="101" t="s">
        <v>577</v>
      </c>
      <c r="F1954" s="106" t="s">
        <v>1896</v>
      </c>
      <c r="G1954" s="109" t="s">
        <v>2428</v>
      </c>
    </row>
    <row r="1955" ht="15.75" customHeight="1">
      <c r="B1955" s="95"/>
      <c r="C1955" s="108" t="s">
        <v>558</v>
      </c>
      <c r="D1955" s="101" t="s">
        <v>91</v>
      </c>
      <c r="E1955" s="101" t="s">
        <v>577</v>
      </c>
      <c r="F1955" s="106" t="s">
        <v>1998</v>
      </c>
      <c r="G1955" s="109" t="s">
        <v>2429</v>
      </c>
    </row>
    <row r="1956" ht="15.75" customHeight="1">
      <c r="B1956" s="95"/>
      <c r="C1956" s="108" t="s">
        <v>206</v>
      </c>
      <c r="D1956" s="101" t="s">
        <v>2430</v>
      </c>
      <c r="E1956" s="101" t="s">
        <v>577</v>
      </c>
      <c r="F1956" s="109">
        <f t="shared" ref="F1956:F3946" si="8">IF(C1956=C1955,F1955+1,2)</f>
        <v>2</v>
      </c>
      <c r="G1956" s="110" t="s">
        <v>2431</v>
      </c>
    </row>
    <row r="1957" ht="15.75" customHeight="1">
      <c r="B1957" s="95"/>
      <c r="C1957" s="108" t="s">
        <v>206</v>
      </c>
      <c r="D1957" s="101" t="s">
        <v>2430</v>
      </c>
      <c r="E1957" s="101" t="s">
        <v>577</v>
      </c>
      <c r="F1957" s="109">
        <f t="shared" si="8"/>
        <v>3</v>
      </c>
      <c r="G1957" s="110" t="s">
        <v>2432</v>
      </c>
    </row>
    <row r="1958" ht="15.75" customHeight="1">
      <c r="B1958" s="95"/>
      <c r="C1958" s="108" t="s">
        <v>206</v>
      </c>
      <c r="D1958" s="101" t="s">
        <v>2430</v>
      </c>
      <c r="E1958" s="101" t="s">
        <v>577</v>
      </c>
      <c r="F1958" s="109">
        <f t="shared" si="8"/>
        <v>4</v>
      </c>
      <c r="G1958" s="110" t="s">
        <v>2433</v>
      </c>
    </row>
    <row r="1959" ht="15.75" customHeight="1">
      <c r="B1959" s="95"/>
      <c r="C1959" s="108" t="s">
        <v>206</v>
      </c>
      <c r="D1959" s="101" t="s">
        <v>2430</v>
      </c>
      <c r="E1959" s="101" t="s">
        <v>577</v>
      </c>
      <c r="F1959" s="109">
        <f t="shared" si="8"/>
        <v>5</v>
      </c>
      <c r="G1959" s="110" t="s">
        <v>2434</v>
      </c>
    </row>
    <row r="1960" ht="15.75" customHeight="1">
      <c r="B1960" s="95"/>
      <c r="C1960" s="108" t="s">
        <v>206</v>
      </c>
      <c r="D1960" s="101" t="s">
        <v>2430</v>
      </c>
      <c r="E1960" s="101" t="s">
        <v>577</v>
      </c>
      <c r="F1960" s="109">
        <f t="shared" si="8"/>
        <v>6</v>
      </c>
      <c r="G1960" s="110" t="s">
        <v>2435</v>
      </c>
    </row>
    <row r="1961" ht="15.75" customHeight="1">
      <c r="B1961" s="95"/>
      <c r="C1961" s="108" t="s">
        <v>206</v>
      </c>
      <c r="D1961" s="101" t="s">
        <v>2430</v>
      </c>
      <c r="E1961" s="101" t="s">
        <v>577</v>
      </c>
      <c r="F1961" s="109">
        <f t="shared" si="8"/>
        <v>7</v>
      </c>
      <c r="G1961" s="110" t="s">
        <v>2436</v>
      </c>
    </row>
    <row r="1962" ht="15.75" customHeight="1">
      <c r="B1962" s="95"/>
      <c r="C1962" s="108" t="s">
        <v>206</v>
      </c>
      <c r="D1962" s="101" t="s">
        <v>2430</v>
      </c>
      <c r="E1962" s="101" t="s">
        <v>577</v>
      </c>
      <c r="F1962" s="109">
        <f t="shared" si="8"/>
        <v>8</v>
      </c>
      <c r="G1962" s="110" t="s">
        <v>2437</v>
      </c>
    </row>
    <row r="1963" ht="15.75" customHeight="1">
      <c r="B1963" s="95"/>
      <c r="C1963" s="108" t="s">
        <v>206</v>
      </c>
      <c r="D1963" s="101" t="s">
        <v>2430</v>
      </c>
      <c r="E1963" s="101" t="s">
        <v>577</v>
      </c>
      <c r="F1963" s="109">
        <f t="shared" si="8"/>
        <v>9</v>
      </c>
      <c r="G1963" s="110" t="s">
        <v>2438</v>
      </c>
    </row>
    <row r="1964" ht="15.75" customHeight="1">
      <c r="B1964" s="95"/>
      <c r="C1964" s="108" t="s">
        <v>206</v>
      </c>
      <c r="D1964" s="101" t="s">
        <v>2430</v>
      </c>
      <c r="E1964" s="101" t="s">
        <v>577</v>
      </c>
      <c r="F1964" s="109">
        <f t="shared" si="8"/>
        <v>10</v>
      </c>
      <c r="G1964" s="110" t="s">
        <v>2439</v>
      </c>
    </row>
    <row r="1965" ht="15.75" customHeight="1">
      <c r="B1965" s="95"/>
      <c r="C1965" s="108" t="s">
        <v>206</v>
      </c>
      <c r="D1965" s="101" t="s">
        <v>2430</v>
      </c>
      <c r="E1965" s="101" t="s">
        <v>577</v>
      </c>
      <c r="F1965" s="109">
        <f t="shared" si="8"/>
        <v>11</v>
      </c>
      <c r="G1965" s="110" t="s">
        <v>2440</v>
      </c>
    </row>
    <row r="1966" ht="15.75" customHeight="1">
      <c r="B1966" s="95"/>
      <c r="C1966" s="108" t="s">
        <v>206</v>
      </c>
      <c r="D1966" s="101" t="s">
        <v>2430</v>
      </c>
      <c r="E1966" s="101" t="s">
        <v>577</v>
      </c>
      <c r="F1966" s="109">
        <f t="shared" si="8"/>
        <v>12</v>
      </c>
      <c r="G1966" s="110" t="s">
        <v>2441</v>
      </c>
    </row>
    <row r="1967" ht="15.75" customHeight="1">
      <c r="B1967" s="95"/>
      <c r="C1967" s="108" t="s">
        <v>206</v>
      </c>
      <c r="D1967" s="101" t="s">
        <v>2430</v>
      </c>
      <c r="E1967" s="101" t="s">
        <v>577</v>
      </c>
      <c r="F1967" s="109">
        <f t="shared" si="8"/>
        <v>13</v>
      </c>
      <c r="G1967" s="110" t="s">
        <v>2442</v>
      </c>
    </row>
    <row r="1968" ht="15.75" customHeight="1">
      <c r="B1968" s="95"/>
      <c r="C1968" s="108" t="s">
        <v>206</v>
      </c>
      <c r="D1968" s="101" t="s">
        <v>2430</v>
      </c>
      <c r="E1968" s="101" t="s">
        <v>577</v>
      </c>
      <c r="F1968" s="109">
        <f t="shared" si="8"/>
        <v>14</v>
      </c>
      <c r="G1968" s="110" t="s">
        <v>2443</v>
      </c>
    </row>
    <row r="1969" ht="15.75" customHeight="1">
      <c r="B1969" s="95"/>
      <c r="C1969" s="108" t="s">
        <v>206</v>
      </c>
      <c r="D1969" s="101" t="s">
        <v>2430</v>
      </c>
      <c r="E1969" s="101" t="s">
        <v>577</v>
      </c>
      <c r="F1969" s="109">
        <f t="shared" si="8"/>
        <v>15</v>
      </c>
      <c r="G1969" s="110" t="s">
        <v>2444</v>
      </c>
    </row>
    <row r="1970" ht="15.75" customHeight="1">
      <c r="B1970" s="95"/>
      <c r="C1970" s="108" t="s">
        <v>206</v>
      </c>
      <c r="D1970" s="101" t="s">
        <v>2430</v>
      </c>
      <c r="E1970" s="101" t="s">
        <v>577</v>
      </c>
      <c r="F1970" s="109">
        <f t="shared" si="8"/>
        <v>16</v>
      </c>
      <c r="G1970" s="110" t="s">
        <v>2445</v>
      </c>
    </row>
    <row r="1971" ht="15.75" customHeight="1">
      <c r="B1971" s="95"/>
      <c r="C1971" s="108" t="s">
        <v>206</v>
      </c>
      <c r="D1971" s="101" t="s">
        <v>2430</v>
      </c>
      <c r="E1971" s="101" t="s">
        <v>577</v>
      </c>
      <c r="F1971" s="109">
        <f t="shared" si="8"/>
        <v>17</v>
      </c>
      <c r="G1971" s="110" t="s">
        <v>2446</v>
      </c>
    </row>
    <row r="1972" ht="15.75" customHeight="1">
      <c r="B1972" s="95"/>
      <c r="C1972" s="108" t="s">
        <v>206</v>
      </c>
      <c r="D1972" s="101" t="s">
        <v>2430</v>
      </c>
      <c r="E1972" s="101" t="s">
        <v>577</v>
      </c>
      <c r="F1972" s="109">
        <f t="shared" si="8"/>
        <v>18</v>
      </c>
      <c r="G1972" s="110" t="s">
        <v>2447</v>
      </c>
    </row>
    <row r="1973" ht="15.75" customHeight="1">
      <c r="B1973" s="95"/>
      <c r="C1973" s="108" t="s">
        <v>206</v>
      </c>
      <c r="D1973" s="101" t="s">
        <v>2430</v>
      </c>
      <c r="E1973" s="101" t="s">
        <v>577</v>
      </c>
      <c r="F1973" s="109">
        <f t="shared" si="8"/>
        <v>19</v>
      </c>
      <c r="G1973" s="110" t="s">
        <v>2448</v>
      </c>
    </row>
    <row r="1974" ht="15.75" customHeight="1">
      <c r="B1974" s="95"/>
      <c r="C1974" s="108" t="s">
        <v>206</v>
      </c>
      <c r="D1974" s="101" t="s">
        <v>2430</v>
      </c>
      <c r="E1974" s="101" t="s">
        <v>577</v>
      </c>
      <c r="F1974" s="109">
        <f t="shared" si="8"/>
        <v>20</v>
      </c>
      <c r="G1974" s="110" t="s">
        <v>2449</v>
      </c>
    </row>
    <row r="1975" ht="15.75" customHeight="1">
      <c r="B1975" s="95"/>
      <c r="C1975" s="108" t="s">
        <v>206</v>
      </c>
      <c r="D1975" s="101" t="s">
        <v>2430</v>
      </c>
      <c r="E1975" s="101" t="s">
        <v>577</v>
      </c>
      <c r="F1975" s="109">
        <f t="shared" si="8"/>
        <v>21</v>
      </c>
      <c r="G1975" s="110" t="s">
        <v>2450</v>
      </c>
    </row>
    <row r="1976" ht="15.75" customHeight="1">
      <c r="B1976" s="95"/>
      <c r="C1976" s="108" t="s">
        <v>206</v>
      </c>
      <c r="D1976" s="101" t="s">
        <v>2430</v>
      </c>
      <c r="E1976" s="101" t="s">
        <v>577</v>
      </c>
      <c r="F1976" s="109">
        <f t="shared" si="8"/>
        <v>22</v>
      </c>
      <c r="G1976" s="110" t="s">
        <v>2451</v>
      </c>
    </row>
    <row r="1977" ht="15.75" customHeight="1">
      <c r="B1977" s="95"/>
      <c r="C1977" s="108" t="s">
        <v>206</v>
      </c>
      <c r="D1977" s="101" t="s">
        <v>2430</v>
      </c>
      <c r="E1977" s="101" t="s">
        <v>577</v>
      </c>
      <c r="F1977" s="109">
        <f t="shared" si="8"/>
        <v>23</v>
      </c>
      <c r="G1977" s="110" t="s">
        <v>2452</v>
      </c>
    </row>
    <row r="1978" ht="15.75" customHeight="1">
      <c r="B1978" s="95"/>
      <c r="C1978" s="108" t="s">
        <v>206</v>
      </c>
      <c r="D1978" s="101" t="s">
        <v>2430</v>
      </c>
      <c r="E1978" s="101" t="s">
        <v>577</v>
      </c>
      <c r="F1978" s="109">
        <f t="shared" si="8"/>
        <v>24</v>
      </c>
      <c r="G1978" s="110" t="s">
        <v>2453</v>
      </c>
    </row>
    <row r="1979" ht="15.75" customHeight="1">
      <c r="B1979" s="95"/>
      <c r="C1979" s="108" t="s">
        <v>206</v>
      </c>
      <c r="D1979" s="101" t="s">
        <v>2430</v>
      </c>
      <c r="E1979" s="101" t="s">
        <v>577</v>
      </c>
      <c r="F1979" s="109">
        <f t="shared" si="8"/>
        <v>25</v>
      </c>
      <c r="G1979" s="110" t="s">
        <v>2454</v>
      </c>
    </row>
    <row r="1980" ht="15.75" customHeight="1">
      <c r="B1980" s="95"/>
      <c r="C1980" s="108" t="s">
        <v>206</v>
      </c>
      <c r="D1980" s="101" t="s">
        <v>2430</v>
      </c>
      <c r="E1980" s="101" t="s">
        <v>577</v>
      </c>
      <c r="F1980" s="109">
        <f t="shared" si="8"/>
        <v>26</v>
      </c>
      <c r="G1980" s="110" t="s">
        <v>2455</v>
      </c>
    </row>
    <row r="1981" ht="15.75" customHeight="1">
      <c r="B1981" s="95"/>
      <c r="C1981" s="108" t="s">
        <v>206</v>
      </c>
      <c r="D1981" s="101" t="s">
        <v>2430</v>
      </c>
      <c r="E1981" s="101" t="s">
        <v>577</v>
      </c>
      <c r="F1981" s="109">
        <f t="shared" si="8"/>
        <v>27</v>
      </c>
      <c r="G1981" s="110" t="s">
        <v>2456</v>
      </c>
    </row>
    <row r="1982" ht="15.75" customHeight="1">
      <c r="B1982" s="95"/>
      <c r="C1982" s="108" t="s">
        <v>206</v>
      </c>
      <c r="D1982" s="101" t="s">
        <v>2430</v>
      </c>
      <c r="E1982" s="101" t="s">
        <v>577</v>
      </c>
      <c r="F1982" s="109">
        <f t="shared" si="8"/>
        <v>28</v>
      </c>
      <c r="G1982" s="110" t="s">
        <v>2457</v>
      </c>
    </row>
    <row r="1983" ht="15.75" customHeight="1">
      <c r="B1983" s="95"/>
      <c r="C1983" s="108" t="s">
        <v>206</v>
      </c>
      <c r="D1983" s="101" t="s">
        <v>2430</v>
      </c>
      <c r="E1983" s="101" t="s">
        <v>577</v>
      </c>
      <c r="F1983" s="109">
        <f t="shared" si="8"/>
        <v>29</v>
      </c>
      <c r="G1983" s="110" t="s">
        <v>2458</v>
      </c>
    </row>
    <row r="1984" ht="15.75" customHeight="1">
      <c r="B1984" s="95"/>
      <c r="C1984" s="108" t="s">
        <v>206</v>
      </c>
      <c r="D1984" s="101" t="s">
        <v>2430</v>
      </c>
      <c r="E1984" s="101" t="s">
        <v>577</v>
      </c>
      <c r="F1984" s="109">
        <f t="shared" si="8"/>
        <v>30</v>
      </c>
      <c r="G1984" s="110" t="s">
        <v>2459</v>
      </c>
    </row>
    <row r="1985" ht="15.75" customHeight="1">
      <c r="B1985" s="95"/>
      <c r="C1985" s="108" t="s">
        <v>206</v>
      </c>
      <c r="D1985" s="101" t="s">
        <v>2430</v>
      </c>
      <c r="E1985" s="101" t="s">
        <v>577</v>
      </c>
      <c r="F1985" s="109">
        <f t="shared" si="8"/>
        <v>31</v>
      </c>
      <c r="G1985" s="110" t="s">
        <v>2460</v>
      </c>
    </row>
    <row r="1986" ht="15.75" customHeight="1">
      <c r="B1986" s="95"/>
      <c r="C1986" s="108" t="s">
        <v>206</v>
      </c>
      <c r="D1986" s="101" t="s">
        <v>2430</v>
      </c>
      <c r="E1986" s="101" t="s">
        <v>577</v>
      </c>
      <c r="F1986" s="109">
        <f t="shared" si="8"/>
        <v>32</v>
      </c>
      <c r="G1986" s="110" t="s">
        <v>2461</v>
      </c>
    </row>
    <row r="1987" ht="15.75" customHeight="1">
      <c r="B1987" s="95"/>
      <c r="C1987" s="108" t="s">
        <v>206</v>
      </c>
      <c r="D1987" s="101" t="s">
        <v>2430</v>
      </c>
      <c r="E1987" s="101" t="s">
        <v>577</v>
      </c>
      <c r="F1987" s="109">
        <f t="shared" si="8"/>
        <v>33</v>
      </c>
      <c r="G1987" s="110" t="s">
        <v>2462</v>
      </c>
    </row>
    <row r="1988" ht="15.75" customHeight="1">
      <c r="B1988" s="95"/>
      <c r="C1988" s="108" t="s">
        <v>206</v>
      </c>
      <c r="D1988" s="101" t="s">
        <v>2430</v>
      </c>
      <c r="E1988" s="101" t="s">
        <v>577</v>
      </c>
      <c r="F1988" s="109">
        <f t="shared" si="8"/>
        <v>34</v>
      </c>
      <c r="G1988" s="110" t="s">
        <v>2463</v>
      </c>
    </row>
    <row r="1989" ht="15.75" customHeight="1">
      <c r="B1989" s="95"/>
      <c r="C1989" s="108" t="s">
        <v>206</v>
      </c>
      <c r="D1989" s="101" t="s">
        <v>2430</v>
      </c>
      <c r="E1989" s="101" t="s">
        <v>577</v>
      </c>
      <c r="F1989" s="109">
        <f t="shared" si="8"/>
        <v>35</v>
      </c>
      <c r="G1989" s="110" t="s">
        <v>2464</v>
      </c>
    </row>
    <row r="1990" ht="15.75" customHeight="1">
      <c r="B1990" s="95"/>
      <c r="C1990" s="108" t="s">
        <v>206</v>
      </c>
      <c r="D1990" s="101" t="s">
        <v>2430</v>
      </c>
      <c r="E1990" s="101" t="s">
        <v>577</v>
      </c>
      <c r="F1990" s="109">
        <f t="shared" si="8"/>
        <v>36</v>
      </c>
      <c r="G1990" s="110" t="s">
        <v>2465</v>
      </c>
    </row>
    <row r="1991" ht="15.75" customHeight="1">
      <c r="B1991" s="95"/>
      <c r="C1991" s="108" t="s">
        <v>206</v>
      </c>
      <c r="D1991" s="101" t="s">
        <v>2430</v>
      </c>
      <c r="E1991" s="101" t="s">
        <v>577</v>
      </c>
      <c r="F1991" s="109">
        <f t="shared" si="8"/>
        <v>37</v>
      </c>
      <c r="G1991" s="110" t="s">
        <v>2466</v>
      </c>
    </row>
    <row r="1992" ht="15.75" customHeight="1">
      <c r="B1992" s="95"/>
      <c r="C1992" s="108" t="s">
        <v>206</v>
      </c>
      <c r="D1992" s="101" t="s">
        <v>2430</v>
      </c>
      <c r="E1992" s="101" t="s">
        <v>577</v>
      </c>
      <c r="F1992" s="109">
        <f t="shared" si="8"/>
        <v>38</v>
      </c>
      <c r="G1992" s="110" t="s">
        <v>2467</v>
      </c>
    </row>
    <row r="1993" ht="15.75" customHeight="1">
      <c r="B1993" s="95"/>
      <c r="C1993" s="108" t="s">
        <v>206</v>
      </c>
      <c r="D1993" s="101" t="s">
        <v>2430</v>
      </c>
      <c r="E1993" s="101" t="s">
        <v>577</v>
      </c>
      <c r="F1993" s="109">
        <f t="shared" si="8"/>
        <v>39</v>
      </c>
      <c r="G1993" s="110" t="s">
        <v>2468</v>
      </c>
    </row>
    <row r="1994" ht="15.75" customHeight="1">
      <c r="B1994" s="95"/>
      <c r="C1994" s="108" t="s">
        <v>206</v>
      </c>
      <c r="D1994" s="101" t="s">
        <v>2430</v>
      </c>
      <c r="E1994" s="101" t="s">
        <v>577</v>
      </c>
      <c r="F1994" s="109">
        <f t="shared" si="8"/>
        <v>40</v>
      </c>
      <c r="G1994" s="110" t="s">
        <v>2469</v>
      </c>
    </row>
    <row r="1995" ht="15.75" customHeight="1">
      <c r="B1995" s="95"/>
      <c r="C1995" s="108" t="s">
        <v>206</v>
      </c>
      <c r="D1995" s="101" t="s">
        <v>2430</v>
      </c>
      <c r="E1995" s="101" t="s">
        <v>577</v>
      </c>
      <c r="F1995" s="109">
        <f t="shared" si="8"/>
        <v>41</v>
      </c>
      <c r="G1995" s="110" t="s">
        <v>2470</v>
      </c>
    </row>
    <row r="1996" ht="15.75" customHeight="1">
      <c r="B1996" s="95"/>
      <c r="C1996" s="108" t="s">
        <v>206</v>
      </c>
      <c r="D1996" s="101" t="s">
        <v>2430</v>
      </c>
      <c r="E1996" s="101" t="s">
        <v>577</v>
      </c>
      <c r="F1996" s="109">
        <f t="shared" si="8"/>
        <v>42</v>
      </c>
      <c r="G1996" s="110" t="s">
        <v>2471</v>
      </c>
    </row>
    <row r="1997" ht="15.75" customHeight="1">
      <c r="B1997" s="95"/>
      <c r="C1997" s="108" t="s">
        <v>206</v>
      </c>
      <c r="D1997" s="101" t="s">
        <v>2430</v>
      </c>
      <c r="E1997" s="101" t="s">
        <v>577</v>
      </c>
      <c r="F1997" s="109">
        <f t="shared" si="8"/>
        <v>43</v>
      </c>
      <c r="G1997" s="110" t="s">
        <v>2472</v>
      </c>
    </row>
    <row r="1998" ht="15.75" customHeight="1">
      <c r="B1998" s="95"/>
      <c r="C1998" s="108" t="s">
        <v>206</v>
      </c>
      <c r="D1998" s="101" t="s">
        <v>2430</v>
      </c>
      <c r="E1998" s="101" t="s">
        <v>577</v>
      </c>
      <c r="F1998" s="109">
        <f t="shared" si="8"/>
        <v>44</v>
      </c>
      <c r="G1998" s="110" t="s">
        <v>2473</v>
      </c>
    </row>
    <row r="1999" ht="15.75" customHeight="1">
      <c r="B1999" s="95"/>
      <c r="C1999" s="108" t="s">
        <v>206</v>
      </c>
      <c r="D1999" s="101" t="s">
        <v>2430</v>
      </c>
      <c r="E1999" s="101" t="s">
        <v>577</v>
      </c>
      <c r="F1999" s="109">
        <f t="shared" si="8"/>
        <v>45</v>
      </c>
      <c r="G1999" s="110" t="s">
        <v>2474</v>
      </c>
    </row>
    <row r="2000" ht="15.75" customHeight="1">
      <c r="B2000" s="95"/>
      <c r="C2000" s="108" t="s">
        <v>206</v>
      </c>
      <c r="D2000" s="101" t="s">
        <v>2430</v>
      </c>
      <c r="E2000" s="101" t="s">
        <v>577</v>
      </c>
      <c r="F2000" s="109">
        <f t="shared" si="8"/>
        <v>46</v>
      </c>
      <c r="G2000" s="110" t="s">
        <v>2475</v>
      </c>
    </row>
    <row r="2001" ht="15.75" customHeight="1">
      <c r="B2001" s="95"/>
      <c r="C2001" s="108" t="s">
        <v>206</v>
      </c>
      <c r="D2001" s="101" t="s">
        <v>2430</v>
      </c>
      <c r="E2001" s="101" t="s">
        <v>577</v>
      </c>
      <c r="F2001" s="109">
        <f t="shared" si="8"/>
        <v>47</v>
      </c>
      <c r="G2001" s="110" t="s">
        <v>2476</v>
      </c>
    </row>
    <row r="2002" ht="15.75" customHeight="1">
      <c r="B2002" s="95"/>
      <c r="C2002" s="108" t="s">
        <v>206</v>
      </c>
      <c r="D2002" s="101" t="s">
        <v>2430</v>
      </c>
      <c r="E2002" s="101" t="s">
        <v>577</v>
      </c>
      <c r="F2002" s="109">
        <f t="shared" si="8"/>
        <v>48</v>
      </c>
      <c r="G2002" s="110" t="s">
        <v>2477</v>
      </c>
    </row>
    <row r="2003" ht="15.75" customHeight="1">
      <c r="B2003" s="95"/>
      <c r="C2003" s="108" t="s">
        <v>206</v>
      </c>
      <c r="D2003" s="101" t="s">
        <v>2430</v>
      </c>
      <c r="E2003" s="101" t="s">
        <v>577</v>
      </c>
      <c r="F2003" s="109">
        <f t="shared" si="8"/>
        <v>49</v>
      </c>
      <c r="G2003" s="110" t="s">
        <v>2478</v>
      </c>
    </row>
    <row r="2004" ht="15.75" customHeight="1">
      <c r="B2004" s="95"/>
      <c r="C2004" s="108" t="s">
        <v>206</v>
      </c>
      <c r="D2004" s="101" t="s">
        <v>2430</v>
      </c>
      <c r="E2004" s="101" t="s">
        <v>577</v>
      </c>
      <c r="F2004" s="109">
        <f t="shared" si="8"/>
        <v>50</v>
      </c>
      <c r="G2004" s="110" t="s">
        <v>2479</v>
      </c>
    </row>
    <row r="2005" ht="15.75" customHeight="1">
      <c r="B2005" s="95"/>
      <c r="C2005" s="108" t="s">
        <v>206</v>
      </c>
      <c r="D2005" s="101" t="s">
        <v>2430</v>
      </c>
      <c r="E2005" s="101" t="s">
        <v>577</v>
      </c>
      <c r="F2005" s="109">
        <f t="shared" si="8"/>
        <v>51</v>
      </c>
      <c r="G2005" s="110" t="s">
        <v>2480</v>
      </c>
    </row>
    <row r="2006" ht="15.75" customHeight="1">
      <c r="B2006" s="95"/>
      <c r="C2006" s="108" t="s">
        <v>206</v>
      </c>
      <c r="D2006" s="101" t="s">
        <v>2430</v>
      </c>
      <c r="E2006" s="101" t="s">
        <v>577</v>
      </c>
      <c r="F2006" s="109">
        <f t="shared" si="8"/>
        <v>52</v>
      </c>
      <c r="G2006" s="110" t="s">
        <v>2481</v>
      </c>
    </row>
    <row r="2007" ht="15.75" customHeight="1">
      <c r="B2007" s="95"/>
      <c r="C2007" s="108" t="s">
        <v>206</v>
      </c>
      <c r="D2007" s="101" t="s">
        <v>2430</v>
      </c>
      <c r="E2007" s="101" t="s">
        <v>577</v>
      </c>
      <c r="F2007" s="109">
        <f t="shared" si="8"/>
        <v>53</v>
      </c>
      <c r="G2007" s="110" t="s">
        <v>2482</v>
      </c>
    </row>
    <row r="2008" ht="15.75" customHeight="1">
      <c r="B2008" s="95"/>
      <c r="C2008" s="108" t="s">
        <v>206</v>
      </c>
      <c r="D2008" s="101" t="s">
        <v>2430</v>
      </c>
      <c r="E2008" s="101" t="s">
        <v>577</v>
      </c>
      <c r="F2008" s="109">
        <f t="shared" si="8"/>
        <v>54</v>
      </c>
      <c r="G2008" s="110" t="s">
        <v>2483</v>
      </c>
    </row>
    <row r="2009" ht="15.75" customHeight="1">
      <c r="B2009" s="95"/>
      <c r="C2009" s="108" t="s">
        <v>206</v>
      </c>
      <c r="D2009" s="101" t="s">
        <v>2430</v>
      </c>
      <c r="E2009" s="101" t="s">
        <v>577</v>
      </c>
      <c r="F2009" s="109">
        <f t="shared" si="8"/>
        <v>55</v>
      </c>
      <c r="G2009" s="110" t="s">
        <v>2484</v>
      </c>
    </row>
    <row r="2010" ht="15.75" customHeight="1">
      <c r="B2010" s="95"/>
      <c r="C2010" s="108" t="s">
        <v>206</v>
      </c>
      <c r="D2010" s="101" t="s">
        <v>2430</v>
      </c>
      <c r="E2010" s="101" t="s">
        <v>577</v>
      </c>
      <c r="F2010" s="109">
        <f t="shared" si="8"/>
        <v>56</v>
      </c>
      <c r="G2010" s="110" t="s">
        <v>2485</v>
      </c>
    </row>
    <row r="2011" ht="15.75" customHeight="1">
      <c r="B2011" s="95"/>
      <c r="C2011" s="108" t="s">
        <v>206</v>
      </c>
      <c r="D2011" s="101" t="s">
        <v>2430</v>
      </c>
      <c r="E2011" s="101" t="s">
        <v>577</v>
      </c>
      <c r="F2011" s="109">
        <f t="shared" si="8"/>
        <v>57</v>
      </c>
      <c r="G2011" s="110" t="s">
        <v>2486</v>
      </c>
    </row>
    <row r="2012" ht="15.75" customHeight="1">
      <c r="B2012" s="95"/>
      <c r="C2012" s="108" t="s">
        <v>206</v>
      </c>
      <c r="D2012" s="101" t="s">
        <v>2430</v>
      </c>
      <c r="E2012" s="101" t="s">
        <v>577</v>
      </c>
      <c r="F2012" s="109">
        <f t="shared" si="8"/>
        <v>58</v>
      </c>
      <c r="G2012" s="110" t="s">
        <v>2487</v>
      </c>
    </row>
    <row r="2013" ht="15.75" customHeight="1">
      <c r="B2013" s="95"/>
      <c r="C2013" s="108" t="s">
        <v>206</v>
      </c>
      <c r="D2013" s="101" t="s">
        <v>2430</v>
      </c>
      <c r="E2013" s="101" t="s">
        <v>577</v>
      </c>
      <c r="F2013" s="109">
        <f t="shared" si="8"/>
        <v>59</v>
      </c>
      <c r="G2013" s="110" t="s">
        <v>2488</v>
      </c>
    </row>
    <row r="2014" ht="15.75" customHeight="1">
      <c r="B2014" s="95"/>
      <c r="C2014" s="108" t="s">
        <v>206</v>
      </c>
      <c r="D2014" s="101" t="s">
        <v>2430</v>
      </c>
      <c r="E2014" s="101" t="s">
        <v>577</v>
      </c>
      <c r="F2014" s="109">
        <f t="shared" si="8"/>
        <v>60</v>
      </c>
      <c r="G2014" s="110" t="s">
        <v>2489</v>
      </c>
    </row>
    <row r="2015" ht="15.75" customHeight="1">
      <c r="B2015" s="95"/>
      <c r="C2015" s="108" t="s">
        <v>206</v>
      </c>
      <c r="D2015" s="101" t="s">
        <v>2430</v>
      </c>
      <c r="E2015" s="101" t="s">
        <v>577</v>
      </c>
      <c r="F2015" s="109">
        <f t="shared" si="8"/>
        <v>61</v>
      </c>
      <c r="G2015" s="110" t="s">
        <v>2490</v>
      </c>
    </row>
    <row r="2016" ht="15.75" customHeight="1">
      <c r="B2016" s="95"/>
      <c r="C2016" s="108" t="s">
        <v>206</v>
      </c>
      <c r="D2016" s="101" t="s">
        <v>2430</v>
      </c>
      <c r="E2016" s="101" t="s">
        <v>577</v>
      </c>
      <c r="F2016" s="109">
        <f t="shared" si="8"/>
        <v>62</v>
      </c>
      <c r="G2016" s="110" t="s">
        <v>2491</v>
      </c>
    </row>
    <row r="2017" ht="15.75" customHeight="1">
      <c r="B2017" s="95"/>
      <c r="C2017" s="108" t="s">
        <v>206</v>
      </c>
      <c r="D2017" s="101" t="s">
        <v>2430</v>
      </c>
      <c r="E2017" s="101" t="s">
        <v>577</v>
      </c>
      <c r="F2017" s="109">
        <f t="shared" si="8"/>
        <v>63</v>
      </c>
      <c r="G2017" s="110" t="s">
        <v>2492</v>
      </c>
    </row>
    <row r="2018" ht="15.75" customHeight="1">
      <c r="B2018" s="95"/>
      <c r="C2018" s="108" t="s">
        <v>206</v>
      </c>
      <c r="D2018" s="101" t="s">
        <v>2430</v>
      </c>
      <c r="E2018" s="101" t="s">
        <v>577</v>
      </c>
      <c r="F2018" s="109">
        <f t="shared" si="8"/>
        <v>64</v>
      </c>
      <c r="G2018" s="110" t="s">
        <v>2493</v>
      </c>
    </row>
    <row r="2019" ht="15.75" customHeight="1">
      <c r="B2019" s="95"/>
      <c r="C2019" s="108" t="s">
        <v>206</v>
      </c>
      <c r="D2019" s="101" t="s">
        <v>2430</v>
      </c>
      <c r="E2019" s="101" t="s">
        <v>577</v>
      </c>
      <c r="F2019" s="109">
        <f t="shared" si="8"/>
        <v>65</v>
      </c>
      <c r="G2019" s="110" t="s">
        <v>2494</v>
      </c>
    </row>
    <row r="2020" ht="15.75" customHeight="1">
      <c r="B2020" s="95"/>
      <c r="C2020" s="108" t="s">
        <v>206</v>
      </c>
      <c r="D2020" s="101" t="s">
        <v>2430</v>
      </c>
      <c r="E2020" s="101" t="s">
        <v>577</v>
      </c>
      <c r="F2020" s="109">
        <f t="shared" si="8"/>
        <v>66</v>
      </c>
      <c r="G2020" s="110" t="s">
        <v>2495</v>
      </c>
    </row>
    <row r="2021" ht="15.75" customHeight="1">
      <c r="B2021" s="95"/>
      <c r="C2021" s="108" t="s">
        <v>206</v>
      </c>
      <c r="D2021" s="101" t="s">
        <v>2430</v>
      </c>
      <c r="E2021" s="101" t="s">
        <v>577</v>
      </c>
      <c r="F2021" s="109">
        <f t="shared" si="8"/>
        <v>67</v>
      </c>
      <c r="G2021" s="110" t="s">
        <v>2496</v>
      </c>
    </row>
    <row r="2022" ht="15.75" customHeight="1">
      <c r="B2022" s="95"/>
      <c r="C2022" s="108" t="s">
        <v>206</v>
      </c>
      <c r="D2022" s="101" t="s">
        <v>2430</v>
      </c>
      <c r="E2022" s="101" t="s">
        <v>577</v>
      </c>
      <c r="F2022" s="109">
        <f t="shared" si="8"/>
        <v>68</v>
      </c>
      <c r="G2022" s="110" t="s">
        <v>2497</v>
      </c>
    </row>
    <row r="2023" ht="15.75" customHeight="1">
      <c r="B2023" s="95"/>
      <c r="C2023" s="108" t="s">
        <v>206</v>
      </c>
      <c r="D2023" s="101" t="s">
        <v>2430</v>
      </c>
      <c r="E2023" s="101" t="s">
        <v>577</v>
      </c>
      <c r="F2023" s="109">
        <f t="shared" si="8"/>
        <v>69</v>
      </c>
      <c r="G2023" s="110" t="s">
        <v>2498</v>
      </c>
    </row>
    <row r="2024" ht="15.75" customHeight="1">
      <c r="B2024" s="95"/>
      <c r="C2024" s="108" t="s">
        <v>206</v>
      </c>
      <c r="D2024" s="101" t="s">
        <v>2430</v>
      </c>
      <c r="E2024" s="101" t="s">
        <v>577</v>
      </c>
      <c r="F2024" s="109">
        <f t="shared" si="8"/>
        <v>70</v>
      </c>
      <c r="G2024" s="110" t="s">
        <v>2499</v>
      </c>
    </row>
    <row r="2025" ht="15.75" customHeight="1">
      <c r="B2025" s="95"/>
      <c r="C2025" s="108" t="s">
        <v>206</v>
      </c>
      <c r="D2025" s="101" t="s">
        <v>2430</v>
      </c>
      <c r="E2025" s="101" t="s">
        <v>577</v>
      </c>
      <c r="F2025" s="109">
        <f t="shared" si="8"/>
        <v>71</v>
      </c>
      <c r="G2025" s="110" t="s">
        <v>2500</v>
      </c>
    </row>
    <row r="2026" ht="15.75" customHeight="1">
      <c r="B2026" s="95"/>
      <c r="C2026" s="108" t="s">
        <v>206</v>
      </c>
      <c r="D2026" s="101" t="s">
        <v>2430</v>
      </c>
      <c r="E2026" s="101" t="s">
        <v>577</v>
      </c>
      <c r="F2026" s="109">
        <f t="shared" si="8"/>
        <v>72</v>
      </c>
      <c r="G2026" s="110" t="s">
        <v>2501</v>
      </c>
    </row>
    <row r="2027" ht="15.75" customHeight="1">
      <c r="B2027" s="95"/>
      <c r="C2027" s="108" t="s">
        <v>206</v>
      </c>
      <c r="D2027" s="101" t="s">
        <v>2430</v>
      </c>
      <c r="E2027" s="101" t="s">
        <v>577</v>
      </c>
      <c r="F2027" s="109">
        <f t="shared" si="8"/>
        <v>73</v>
      </c>
      <c r="G2027" s="110" t="s">
        <v>2502</v>
      </c>
    </row>
    <row r="2028" ht="15.75" customHeight="1">
      <c r="B2028" s="95"/>
      <c r="C2028" s="108" t="s">
        <v>206</v>
      </c>
      <c r="D2028" s="101" t="s">
        <v>2430</v>
      </c>
      <c r="E2028" s="101" t="s">
        <v>577</v>
      </c>
      <c r="F2028" s="109">
        <f t="shared" si="8"/>
        <v>74</v>
      </c>
      <c r="G2028" s="110" t="s">
        <v>2503</v>
      </c>
    </row>
    <row r="2029" ht="15.75" customHeight="1">
      <c r="B2029" s="95"/>
      <c r="C2029" s="108" t="s">
        <v>206</v>
      </c>
      <c r="D2029" s="101" t="s">
        <v>2430</v>
      </c>
      <c r="E2029" s="101" t="s">
        <v>577</v>
      </c>
      <c r="F2029" s="109">
        <f t="shared" si="8"/>
        <v>75</v>
      </c>
      <c r="G2029" s="110" t="s">
        <v>2504</v>
      </c>
    </row>
    <row r="2030" ht="15.75" customHeight="1">
      <c r="B2030" s="95"/>
      <c r="C2030" s="108" t="s">
        <v>206</v>
      </c>
      <c r="D2030" s="101" t="s">
        <v>2430</v>
      </c>
      <c r="E2030" s="101" t="s">
        <v>577</v>
      </c>
      <c r="F2030" s="109">
        <f t="shared" si="8"/>
        <v>76</v>
      </c>
      <c r="G2030" s="110" t="s">
        <v>2505</v>
      </c>
    </row>
    <row r="2031" ht="15.75" customHeight="1">
      <c r="B2031" s="95"/>
      <c r="C2031" s="108" t="s">
        <v>206</v>
      </c>
      <c r="D2031" s="101" t="s">
        <v>2430</v>
      </c>
      <c r="E2031" s="101" t="s">
        <v>577</v>
      </c>
      <c r="F2031" s="109">
        <f t="shared" si="8"/>
        <v>77</v>
      </c>
      <c r="G2031" s="110" t="s">
        <v>2506</v>
      </c>
    </row>
    <row r="2032" ht="15.75" customHeight="1">
      <c r="B2032" s="95"/>
      <c r="C2032" s="108" t="s">
        <v>206</v>
      </c>
      <c r="D2032" s="101" t="s">
        <v>2430</v>
      </c>
      <c r="E2032" s="101" t="s">
        <v>577</v>
      </c>
      <c r="F2032" s="109">
        <f t="shared" si="8"/>
        <v>78</v>
      </c>
      <c r="G2032" s="110" t="s">
        <v>2507</v>
      </c>
    </row>
    <row r="2033" ht="15.75" customHeight="1">
      <c r="B2033" s="95"/>
      <c r="C2033" s="108" t="s">
        <v>206</v>
      </c>
      <c r="D2033" s="101" t="s">
        <v>2430</v>
      </c>
      <c r="E2033" s="101" t="s">
        <v>577</v>
      </c>
      <c r="F2033" s="109">
        <f t="shared" si="8"/>
        <v>79</v>
      </c>
      <c r="G2033" s="110" t="s">
        <v>2508</v>
      </c>
    </row>
    <row r="2034" ht="15.75" customHeight="1">
      <c r="B2034" s="95"/>
      <c r="C2034" s="108" t="s">
        <v>206</v>
      </c>
      <c r="D2034" s="101" t="s">
        <v>2430</v>
      </c>
      <c r="E2034" s="101" t="s">
        <v>577</v>
      </c>
      <c r="F2034" s="109">
        <f t="shared" si="8"/>
        <v>80</v>
      </c>
      <c r="G2034" s="110" t="s">
        <v>2509</v>
      </c>
    </row>
    <row r="2035" ht="15.75" customHeight="1">
      <c r="B2035" s="95"/>
      <c r="C2035" s="108" t="s">
        <v>206</v>
      </c>
      <c r="D2035" s="101" t="s">
        <v>2430</v>
      </c>
      <c r="E2035" s="101" t="s">
        <v>577</v>
      </c>
      <c r="F2035" s="109">
        <f t="shared" si="8"/>
        <v>81</v>
      </c>
      <c r="G2035" s="110" t="s">
        <v>2510</v>
      </c>
    </row>
    <row r="2036" ht="15.75" customHeight="1">
      <c r="B2036" s="95"/>
      <c r="C2036" s="108" t="s">
        <v>206</v>
      </c>
      <c r="D2036" s="101" t="s">
        <v>2430</v>
      </c>
      <c r="E2036" s="101" t="s">
        <v>577</v>
      </c>
      <c r="F2036" s="109">
        <f t="shared" si="8"/>
        <v>82</v>
      </c>
      <c r="G2036" s="110" t="s">
        <v>2511</v>
      </c>
    </row>
    <row r="2037" ht="15.75" customHeight="1">
      <c r="B2037" s="95"/>
      <c r="C2037" s="108" t="s">
        <v>206</v>
      </c>
      <c r="D2037" s="101" t="s">
        <v>2430</v>
      </c>
      <c r="E2037" s="101" t="s">
        <v>577</v>
      </c>
      <c r="F2037" s="109">
        <f t="shared" si="8"/>
        <v>83</v>
      </c>
      <c r="G2037" s="110" t="s">
        <v>2512</v>
      </c>
    </row>
    <row r="2038" ht="15.75" customHeight="1">
      <c r="B2038" s="95"/>
      <c r="C2038" s="108" t="s">
        <v>206</v>
      </c>
      <c r="D2038" s="101" t="s">
        <v>2430</v>
      </c>
      <c r="E2038" s="101" t="s">
        <v>577</v>
      </c>
      <c r="F2038" s="109">
        <f t="shared" si="8"/>
        <v>84</v>
      </c>
      <c r="G2038" s="110" t="s">
        <v>2513</v>
      </c>
    </row>
    <row r="2039" ht="15.75" customHeight="1">
      <c r="B2039" s="95"/>
      <c r="C2039" s="108" t="s">
        <v>206</v>
      </c>
      <c r="D2039" s="101" t="s">
        <v>2430</v>
      </c>
      <c r="E2039" s="101" t="s">
        <v>577</v>
      </c>
      <c r="F2039" s="109">
        <f t="shared" si="8"/>
        <v>85</v>
      </c>
      <c r="G2039" s="110" t="s">
        <v>2514</v>
      </c>
    </row>
    <row r="2040" ht="15.75" customHeight="1">
      <c r="B2040" s="95"/>
      <c r="C2040" s="108" t="s">
        <v>206</v>
      </c>
      <c r="D2040" s="101" t="s">
        <v>2430</v>
      </c>
      <c r="E2040" s="101" t="s">
        <v>577</v>
      </c>
      <c r="F2040" s="109">
        <f t="shared" si="8"/>
        <v>86</v>
      </c>
      <c r="G2040" s="110" t="s">
        <v>2515</v>
      </c>
    </row>
    <row r="2041" ht="15.75" customHeight="1">
      <c r="B2041" s="95"/>
      <c r="C2041" s="108" t="s">
        <v>206</v>
      </c>
      <c r="D2041" s="101" t="s">
        <v>2430</v>
      </c>
      <c r="E2041" s="101" t="s">
        <v>577</v>
      </c>
      <c r="F2041" s="109">
        <f t="shared" si="8"/>
        <v>87</v>
      </c>
      <c r="G2041" s="110" t="s">
        <v>2516</v>
      </c>
    </row>
    <row r="2042" ht="15.75" customHeight="1">
      <c r="B2042" s="95"/>
      <c r="C2042" s="108" t="s">
        <v>206</v>
      </c>
      <c r="D2042" s="101" t="s">
        <v>2430</v>
      </c>
      <c r="E2042" s="101" t="s">
        <v>577</v>
      </c>
      <c r="F2042" s="109">
        <f t="shared" si="8"/>
        <v>88</v>
      </c>
      <c r="G2042" s="110" t="s">
        <v>2517</v>
      </c>
    </row>
    <row r="2043" ht="15.75" customHeight="1">
      <c r="B2043" s="95"/>
      <c r="C2043" s="108" t="s">
        <v>206</v>
      </c>
      <c r="D2043" s="101" t="s">
        <v>2430</v>
      </c>
      <c r="E2043" s="101" t="s">
        <v>577</v>
      </c>
      <c r="F2043" s="109">
        <f t="shared" si="8"/>
        <v>89</v>
      </c>
      <c r="G2043" s="110" t="s">
        <v>2518</v>
      </c>
    </row>
    <row r="2044" ht="15.75" customHeight="1">
      <c r="B2044" s="95"/>
      <c r="C2044" s="108" t="s">
        <v>206</v>
      </c>
      <c r="D2044" s="101" t="s">
        <v>2430</v>
      </c>
      <c r="E2044" s="101" t="s">
        <v>577</v>
      </c>
      <c r="F2044" s="109">
        <f t="shared" si="8"/>
        <v>90</v>
      </c>
      <c r="G2044" s="110" t="s">
        <v>2519</v>
      </c>
    </row>
    <row r="2045" ht="15.75" customHeight="1">
      <c r="B2045" s="95"/>
      <c r="C2045" s="108" t="s">
        <v>206</v>
      </c>
      <c r="D2045" s="101" t="s">
        <v>2430</v>
      </c>
      <c r="E2045" s="101" t="s">
        <v>577</v>
      </c>
      <c r="F2045" s="109">
        <f t="shared" si="8"/>
        <v>91</v>
      </c>
      <c r="G2045" s="110" t="s">
        <v>2520</v>
      </c>
    </row>
    <row r="2046" ht="15.75" customHeight="1">
      <c r="B2046" s="95"/>
      <c r="C2046" s="108" t="s">
        <v>206</v>
      </c>
      <c r="D2046" s="101" t="s">
        <v>2430</v>
      </c>
      <c r="E2046" s="101" t="s">
        <v>577</v>
      </c>
      <c r="F2046" s="109">
        <f t="shared" si="8"/>
        <v>92</v>
      </c>
      <c r="G2046" s="110" t="s">
        <v>2521</v>
      </c>
    </row>
    <row r="2047" ht="15.75" customHeight="1">
      <c r="B2047" s="95"/>
      <c r="C2047" s="108" t="s">
        <v>206</v>
      </c>
      <c r="D2047" s="101" t="s">
        <v>2430</v>
      </c>
      <c r="E2047" s="101" t="s">
        <v>577</v>
      </c>
      <c r="F2047" s="109">
        <f t="shared" si="8"/>
        <v>93</v>
      </c>
      <c r="G2047" s="110" t="s">
        <v>2522</v>
      </c>
    </row>
    <row r="2048" ht="15.75" customHeight="1">
      <c r="B2048" s="95"/>
      <c r="C2048" s="108" t="s">
        <v>206</v>
      </c>
      <c r="D2048" s="101" t="s">
        <v>2430</v>
      </c>
      <c r="E2048" s="101" t="s">
        <v>577</v>
      </c>
      <c r="F2048" s="109">
        <f t="shared" si="8"/>
        <v>94</v>
      </c>
      <c r="G2048" s="110" t="s">
        <v>2523</v>
      </c>
    </row>
    <row r="2049" ht="15.75" customHeight="1">
      <c r="B2049" s="95"/>
      <c r="C2049" s="108" t="s">
        <v>206</v>
      </c>
      <c r="D2049" s="101" t="s">
        <v>2430</v>
      </c>
      <c r="E2049" s="101" t="s">
        <v>577</v>
      </c>
      <c r="F2049" s="109">
        <f t="shared" si="8"/>
        <v>95</v>
      </c>
      <c r="G2049" s="110" t="s">
        <v>2524</v>
      </c>
    </row>
    <row r="2050" ht="15.75" customHeight="1">
      <c r="B2050" s="95"/>
      <c r="C2050" s="108" t="s">
        <v>206</v>
      </c>
      <c r="D2050" s="101" t="s">
        <v>2430</v>
      </c>
      <c r="E2050" s="101" t="s">
        <v>577</v>
      </c>
      <c r="F2050" s="109">
        <f t="shared" si="8"/>
        <v>96</v>
      </c>
      <c r="G2050" s="110" t="s">
        <v>2525</v>
      </c>
    </row>
    <row r="2051" ht="15.75" customHeight="1">
      <c r="B2051" s="95"/>
      <c r="C2051" s="108" t="s">
        <v>206</v>
      </c>
      <c r="D2051" s="101" t="s">
        <v>2430</v>
      </c>
      <c r="E2051" s="101" t="s">
        <v>577</v>
      </c>
      <c r="F2051" s="109">
        <f t="shared" si="8"/>
        <v>97</v>
      </c>
      <c r="G2051" s="110" t="s">
        <v>2526</v>
      </c>
    </row>
    <row r="2052" ht="15.75" customHeight="1">
      <c r="B2052" s="95"/>
      <c r="C2052" s="108" t="s">
        <v>206</v>
      </c>
      <c r="D2052" s="101" t="s">
        <v>2430</v>
      </c>
      <c r="E2052" s="101" t="s">
        <v>577</v>
      </c>
      <c r="F2052" s="109">
        <f t="shared" si="8"/>
        <v>98</v>
      </c>
      <c r="G2052" s="110" t="s">
        <v>2527</v>
      </c>
    </row>
    <row r="2053" ht="15.75" customHeight="1">
      <c r="B2053" s="95"/>
      <c r="C2053" s="108" t="s">
        <v>206</v>
      </c>
      <c r="D2053" s="101" t="s">
        <v>2430</v>
      </c>
      <c r="E2053" s="101" t="s">
        <v>577</v>
      </c>
      <c r="F2053" s="109">
        <f t="shared" si="8"/>
        <v>99</v>
      </c>
      <c r="G2053" s="110" t="s">
        <v>2528</v>
      </c>
    </row>
    <row r="2054" ht="15.75" customHeight="1">
      <c r="B2054" s="95"/>
      <c r="C2054" s="108" t="s">
        <v>206</v>
      </c>
      <c r="D2054" s="101" t="s">
        <v>2430</v>
      </c>
      <c r="E2054" s="101" t="s">
        <v>577</v>
      </c>
      <c r="F2054" s="109">
        <f t="shared" si="8"/>
        <v>100</v>
      </c>
      <c r="G2054" s="110" t="s">
        <v>2529</v>
      </c>
    </row>
    <row r="2055" ht="15.75" customHeight="1">
      <c r="B2055" s="95"/>
      <c r="C2055" s="108" t="s">
        <v>206</v>
      </c>
      <c r="D2055" s="101" t="s">
        <v>2430</v>
      </c>
      <c r="E2055" s="101" t="s">
        <v>577</v>
      </c>
      <c r="F2055" s="109">
        <f t="shared" si="8"/>
        <v>101</v>
      </c>
      <c r="G2055" s="110" t="s">
        <v>2530</v>
      </c>
    </row>
    <row r="2056" ht="15.75" customHeight="1">
      <c r="B2056" s="95"/>
      <c r="C2056" s="108" t="s">
        <v>206</v>
      </c>
      <c r="D2056" s="101" t="s">
        <v>2430</v>
      </c>
      <c r="E2056" s="101" t="s">
        <v>577</v>
      </c>
      <c r="F2056" s="109">
        <f t="shared" si="8"/>
        <v>102</v>
      </c>
      <c r="G2056" s="110" t="s">
        <v>2531</v>
      </c>
    </row>
    <row r="2057" ht="15.75" customHeight="1">
      <c r="B2057" s="95"/>
      <c r="C2057" s="108" t="s">
        <v>206</v>
      </c>
      <c r="D2057" s="101" t="s">
        <v>2430</v>
      </c>
      <c r="E2057" s="101" t="s">
        <v>577</v>
      </c>
      <c r="F2057" s="109">
        <f t="shared" si="8"/>
        <v>103</v>
      </c>
      <c r="G2057" s="110" t="s">
        <v>2532</v>
      </c>
    </row>
    <row r="2058" ht="15.75" customHeight="1">
      <c r="B2058" s="95"/>
      <c r="C2058" s="108" t="s">
        <v>206</v>
      </c>
      <c r="D2058" s="101" t="s">
        <v>2430</v>
      </c>
      <c r="E2058" s="101" t="s">
        <v>577</v>
      </c>
      <c r="F2058" s="109">
        <f t="shared" si="8"/>
        <v>104</v>
      </c>
      <c r="G2058" s="110" t="s">
        <v>2533</v>
      </c>
    </row>
    <row r="2059" ht="15.75" customHeight="1">
      <c r="B2059" s="95"/>
      <c r="C2059" s="108" t="s">
        <v>206</v>
      </c>
      <c r="D2059" s="101" t="s">
        <v>2430</v>
      </c>
      <c r="E2059" s="101" t="s">
        <v>577</v>
      </c>
      <c r="F2059" s="109">
        <f t="shared" si="8"/>
        <v>105</v>
      </c>
      <c r="G2059" s="110" t="s">
        <v>2534</v>
      </c>
    </row>
    <row r="2060" ht="15.75" customHeight="1">
      <c r="B2060" s="95"/>
      <c r="C2060" s="108" t="s">
        <v>206</v>
      </c>
      <c r="D2060" s="101" t="s">
        <v>2430</v>
      </c>
      <c r="E2060" s="101" t="s">
        <v>577</v>
      </c>
      <c r="F2060" s="109">
        <f t="shared" si="8"/>
        <v>106</v>
      </c>
      <c r="G2060" s="110" t="s">
        <v>2535</v>
      </c>
    </row>
    <row r="2061" ht="15.75" customHeight="1">
      <c r="B2061" s="95"/>
      <c r="C2061" s="108" t="s">
        <v>206</v>
      </c>
      <c r="D2061" s="101" t="s">
        <v>2430</v>
      </c>
      <c r="E2061" s="101" t="s">
        <v>577</v>
      </c>
      <c r="F2061" s="109">
        <f t="shared" si="8"/>
        <v>107</v>
      </c>
      <c r="G2061" s="110" t="s">
        <v>2536</v>
      </c>
    </row>
    <row r="2062" ht="15.75" customHeight="1">
      <c r="B2062" s="95"/>
      <c r="C2062" s="108" t="s">
        <v>206</v>
      </c>
      <c r="D2062" s="101" t="s">
        <v>2430</v>
      </c>
      <c r="E2062" s="101" t="s">
        <v>577</v>
      </c>
      <c r="F2062" s="109">
        <f t="shared" si="8"/>
        <v>108</v>
      </c>
      <c r="G2062" s="110" t="s">
        <v>2537</v>
      </c>
    </row>
    <row r="2063" ht="15.75" customHeight="1">
      <c r="B2063" s="95"/>
      <c r="C2063" s="108" t="s">
        <v>206</v>
      </c>
      <c r="D2063" s="101" t="s">
        <v>2430</v>
      </c>
      <c r="E2063" s="101" t="s">
        <v>577</v>
      </c>
      <c r="F2063" s="109">
        <f t="shared" si="8"/>
        <v>109</v>
      </c>
      <c r="G2063" s="110" t="s">
        <v>2538</v>
      </c>
    </row>
    <row r="2064" ht="15.75" customHeight="1">
      <c r="B2064" s="95"/>
      <c r="C2064" s="108" t="s">
        <v>206</v>
      </c>
      <c r="D2064" s="101" t="s">
        <v>2430</v>
      </c>
      <c r="E2064" s="101" t="s">
        <v>577</v>
      </c>
      <c r="F2064" s="109">
        <f t="shared" si="8"/>
        <v>110</v>
      </c>
      <c r="G2064" s="110" t="s">
        <v>2539</v>
      </c>
    </row>
    <row r="2065" ht="15.75" customHeight="1">
      <c r="B2065" s="95"/>
      <c r="C2065" s="108" t="s">
        <v>206</v>
      </c>
      <c r="D2065" s="101" t="s">
        <v>2430</v>
      </c>
      <c r="E2065" s="101" t="s">
        <v>577</v>
      </c>
      <c r="F2065" s="109">
        <f t="shared" si="8"/>
        <v>111</v>
      </c>
      <c r="G2065" s="110" t="s">
        <v>2540</v>
      </c>
    </row>
    <row r="2066" ht="15.75" customHeight="1">
      <c r="B2066" s="95"/>
      <c r="C2066" s="108" t="s">
        <v>206</v>
      </c>
      <c r="D2066" s="101" t="s">
        <v>2430</v>
      </c>
      <c r="E2066" s="101" t="s">
        <v>577</v>
      </c>
      <c r="F2066" s="109">
        <f t="shared" si="8"/>
        <v>112</v>
      </c>
      <c r="G2066" s="110" t="s">
        <v>2541</v>
      </c>
    </row>
    <row r="2067" ht="15.75" customHeight="1">
      <c r="B2067" s="95"/>
      <c r="C2067" s="108" t="s">
        <v>206</v>
      </c>
      <c r="D2067" s="101" t="s">
        <v>2430</v>
      </c>
      <c r="E2067" s="101" t="s">
        <v>577</v>
      </c>
      <c r="F2067" s="109">
        <f t="shared" si="8"/>
        <v>113</v>
      </c>
      <c r="G2067" s="110" t="s">
        <v>2542</v>
      </c>
    </row>
    <row r="2068" ht="15.75" customHeight="1">
      <c r="B2068" s="95"/>
      <c r="C2068" s="108" t="s">
        <v>206</v>
      </c>
      <c r="D2068" s="101" t="s">
        <v>2430</v>
      </c>
      <c r="E2068" s="101" t="s">
        <v>577</v>
      </c>
      <c r="F2068" s="109">
        <f t="shared" si="8"/>
        <v>114</v>
      </c>
      <c r="G2068" s="110" t="s">
        <v>2543</v>
      </c>
    </row>
    <row r="2069" ht="15.75" customHeight="1">
      <c r="B2069" s="95"/>
      <c r="C2069" s="108" t="s">
        <v>206</v>
      </c>
      <c r="D2069" s="101" t="s">
        <v>2430</v>
      </c>
      <c r="E2069" s="101" t="s">
        <v>577</v>
      </c>
      <c r="F2069" s="109">
        <f t="shared" si="8"/>
        <v>115</v>
      </c>
      <c r="G2069" s="110" t="s">
        <v>2544</v>
      </c>
    </row>
    <row r="2070" ht="15.75" customHeight="1">
      <c r="B2070" s="95"/>
      <c r="C2070" s="108" t="s">
        <v>206</v>
      </c>
      <c r="D2070" s="101" t="s">
        <v>2430</v>
      </c>
      <c r="E2070" s="101" t="s">
        <v>577</v>
      </c>
      <c r="F2070" s="109">
        <f t="shared" si="8"/>
        <v>116</v>
      </c>
      <c r="G2070" s="110" t="s">
        <v>2545</v>
      </c>
    </row>
    <row r="2071" ht="15.75" customHeight="1">
      <c r="B2071" s="95"/>
      <c r="C2071" s="108" t="s">
        <v>206</v>
      </c>
      <c r="D2071" s="101" t="s">
        <v>2430</v>
      </c>
      <c r="E2071" s="101" t="s">
        <v>577</v>
      </c>
      <c r="F2071" s="109">
        <f t="shared" si="8"/>
        <v>117</v>
      </c>
      <c r="G2071" s="110" t="s">
        <v>2546</v>
      </c>
    </row>
    <row r="2072" ht="15.75" customHeight="1">
      <c r="B2072" s="95"/>
      <c r="C2072" s="108" t="s">
        <v>206</v>
      </c>
      <c r="D2072" s="101" t="s">
        <v>2430</v>
      </c>
      <c r="E2072" s="101" t="s">
        <v>577</v>
      </c>
      <c r="F2072" s="109">
        <f t="shared" si="8"/>
        <v>118</v>
      </c>
      <c r="G2072" s="110" t="s">
        <v>2547</v>
      </c>
    </row>
    <row r="2073" ht="15.75" customHeight="1">
      <c r="B2073" s="95"/>
      <c r="C2073" s="108" t="s">
        <v>206</v>
      </c>
      <c r="D2073" s="101" t="s">
        <v>2430</v>
      </c>
      <c r="E2073" s="101" t="s">
        <v>577</v>
      </c>
      <c r="F2073" s="109">
        <f t="shared" si="8"/>
        <v>119</v>
      </c>
      <c r="G2073" s="110" t="s">
        <v>2548</v>
      </c>
    </row>
    <row r="2074" ht="15.75" customHeight="1">
      <c r="B2074" s="95"/>
      <c r="C2074" s="108" t="s">
        <v>206</v>
      </c>
      <c r="D2074" s="101" t="s">
        <v>2430</v>
      </c>
      <c r="E2074" s="101" t="s">
        <v>577</v>
      </c>
      <c r="F2074" s="109">
        <f t="shared" si="8"/>
        <v>120</v>
      </c>
      <c r="G2074" s="110" t="s">
        <v>2549</v>
      </c>
    </row>
    <row r="2075" ht="15.75" customHeight="1">
      <c r="B2075" s="95"/>
      <c r="C2075" s="108" t="s">
        <v>206</v>
      </c>
      <c r="D2075" s="101" t="s">
        <v>2430</v>
      </c>
      <c r="E2075" s="101" t="s">
        <v>577</v>
      </c>
      <c r="F2075" s="109">
        <f t="shared" si="8"/>
        <v>121</v>
      </c>
      <c r="G2075" s="110" t="s">
        <v>2550</v>
      </c>
    </row>
    <row r="2076" ht="15.75" customHeight="1">
      <c r="B2076" s="95"/>
      <c r="C2076" s="108" t="s">
        <v>206</v>
      </c>
      <c r="D2076" s="101" t="s">
        <v>2430</v>
      </c>
      <c r="E2076" s="101" t="s">
        <v>577</v>
      </c>
      <c r="F2076" s="109">
        <f t="shared" si="8"/>
        <v>122</v>
      </c>
      <c r="G2076" s="110" t="s">
        <v>2551</v>
      </c>
    </row>
    <row r="2077" ht="15.75" customHeight="1">
      <c r="B2077" s="95"/>
      <c r="C2077" s="108" t="s">
        <v>206</v>
      </c>
      <c r="D2077" s="101" t="s">
        <v>2430</v>
      </c>
      <c r="E2077" s="101" t="s">
        <v>577</v>
      </c>
      <c r="F2077" s="109">
        <f t="shared" si="8"/>
        <v>123</v>
      </c>
      <c r="G2077" s="110" t="s">
        <v>2552</v>
      </c>
    </row>
    <row r="2078" ht="15.75" customHeight="1">
      <c r="B2078" s="95"/>
      <c r="C2078" s="108" t="s">
        <v>206</v>
      </c>
      <c r="D2078" s="101" t="s">
        <v>2430</v>
      </c>
      <c r="E2078" s="101" t="s">
        <v>577</v>
      </c>
      <c r="F2078" s="109">
        <f t="shared" si="8"/>
        <v>124</v>
      </c>
      <c r="G2078" s="110" t="s">
        <v>2553</v>
      </c>
    </row>
    <row r="2079" ht="15.75" customHeight="1">
      <c r="B2079" s="95"/>
      <c r="C2079" s="108" t="s">
        <v>206</v>
      </c>
      <c r="D2079" s="101" t="s">
        <v>2430</v>
      </c>
      <c r="E2079" s="101" t="s">
        <v>577</v>
      </c>
      <c r="F2079" s="109">
        <f t="shared" si="8"/>
        <v>125</v>
      </c>
      <c r="G2079" s="110" t="s">
        <v>2554</v>
      </c>
    </row>
    <row r="2080" ht="15.75" customHeight="1">
      <c r="B2080" s="95"/>
      <c r="C2080" s="108" t="s">
        <v>206</v>
      </c>
      <c r="D2080" s="101" t="s">
        <v>2430</v>
      </c>
      <c r="E2080" s="101" t="s">
        <v>577</v>
      </c>
      <c r="F2080" s="109">
        <f t="shared" si="8"/>
        <v>126</v>
      </c>
      <c r="G2080" s="110" t="s">
        <v>2555</v>
      </c>
    </row>
    <row r="2081" ht="15.75" customHeight="1">
      <c r="B2081" s="95"/>
      <c r="C2081" s="108" t="s">
        <v>206</v>
      </c>
      <c r="D2081" s="101" t="s">
        <v>2430</v>
      </c>
      <c r="E2081" s="101" t="s">
        <v>577</v>
      </c>
      <c r="F2081" s="109">
        <f t="shared" si="8"/>
        <v>127</v>
      </c>
      <c r="G2081" s="110" t="s">
        <v>2556</v>
      </c>
    </row>
    <row r="2082" ht="15.75" customHeight="1">
      <c r="B2082" s="95"/>
      <c r="C2082" s="108" t="s">
        <v>206</v>
      </c>
      <c r="D2082" s="101" t="s">
        <v>2430</v>
      </c>
      <c r="E2082" s="101" t="s">
        <v>577</v>
      </c>
      <c r="F2082" s="109">
        <f t="shared" si="8"/>
        <v>128</v>
      </c>
      <c r="G2082" s="110" t="s">
        <v>2557</v>
      </c>
    </row>
    <row r="2083" ht="15.75" customHeight="1">
      <c r="B2083" s="95"/>
      <c r="C2083" s="108" t="s">
        <v>206</v>
      </c>
      <c r="D2083" s="101" t="s">
        <v>2430</v>
      </c>
      <c r="E2083" s="101" t="s">
        <v>577</v>
      </c>
      <c r="F2083" s="109">
        <f t="shared" si="8"/>
        <v>129</v>
      </c>
      <c r="G2083" s="110" t="s">
        <v>2558</v>
      </c>
    </row>
    <row r="2084" ht="15.75" customHeight="1">
      <c r="B2084" s="95"/>
      <c r="C2084" s="108" t="s">
        <v>206</v>
      </c>
      <c r="D2084" s="101" t="s">
        <v>2430</v>
      </c>
      <c r="E2084" s="101" t="s">
        <v>577</v>
      </c>
      <c r="F2084" s="109">
        <f t="shared" si="8"/>
        <v>130</v>
      </c>
      <c r="G2084" s="110" t="s">
        <v>2559</v>
      </c>
    </row>
    <row r="2085" ht="15.75" customHeight="1">
      <c r="B2085" s="95"/>
      <c r="C2085" s="108" t="s">
        <v>206</v>
      </c>
      <c r="D2085" s="101" t="s">
        <v>2430</v>
      </c>
      <c r="E2085" s="101" t="s">
        <v>577</v>
      </c>
      <c r="F2085" s="109">
        <f t="shared" si="8"/>
        <v>131</v>
      </c>
      <c r="G2085" s="110" t="s">
        <v>2560</v>
      </c>
    </row>
    <row r="2086" ht="15.75" customHeight="1">
      <c r="B2086" s="95"/>
      <c r="C2086" s="108" t="s">
        <v>206</v>
      </c>
      <c r="D2086" s="101" t="s">
        <v>2430</v>
      </c>
      <c r="E2086" s="101" t="s">
        <v>577</v>
      </c>
      <c r="F2086" s="109">
        <f t="shared" si="8"/>
        <v>132</v>
      </c>
      <c r="G2086" s="110" t="s">
        <v>2561</v>
      </c>
    </row>
    <row r="2087" ht="15.75" customHeight="1">
      <c r="B2087" s="95"/>
      <c r="C2087" s="108" t="s">
        <v>206</v>
      </c>
      <c r="D2087" s="101" t="s">
        <v>2430</v>
      </c>
      <c r="E2087" s="101" t="s">
        <v>577</v>
      </c>
      <c r="F2087" s="109">
        <f t="shared" si="8"/>
        <v>133</v>
      </c>
      <c r="G2087" s="110" t="s">
        <v>2562</v>
      </c>
    </row>
    <row r="2088" ht="15.75" customHeight="1">
      <c r="B2088" s="95"/>
      <c r="C2088" s="108" t="s">
        <v>206</v>
      </c>
      <c r="D2088" s="101" t="s">
        <v>2430</v>
      </c>
      <c r="E2088" s="101" t="s">
        <v>577</v>
      </c>
      <c r="F2088" s="109">
        <f t="shared" si="8"/>
        <v>134</v>
      </c>
      <c r="G2088" s="110" t="s">
        <v>2563</v>
      </c>
    </row>
    <row r="2089" ht="15.75" customHeight="1">
      <c r="B2089" s="95"/>
      <c r="C2089" s="108" t="s">
        <v>206</v>
      </c>
      <c r="D2089" s="101" t="s">
        <v>2430</v>
      </c>
      <c r="E2089" s="101" t="s">
        <v>577</v>
      </c>
      <c r="F2089" s="109">
        <f t="shared" si="8"/>
        <v>135</v>
      </c>
      <c r="G2089" s="110" t="s">
        <v>2564</v>
      </c>
    </row>
    <row r="2090" ht="15.75" customHeight="1">
      <c r="B2090" s="95"/>
      <c r="C2090" s="108" t="s">
        <v>206</v>
      </c>
      <c r="D2090" s="101" t="s">
        <v>2430</v>
      </c>
      <c r="E2090" s="101" t="s">
        <v>577</v>
      </c>
      <c r="F2090" s="109">
        <f t="shared" si="8"/>
        <v>136</v>
      </c>
      <c r="G2090" s="110" t="s">
        <v>2565</v>
      </c>
    </row>
    <row r="2091" ht="15.75" customHeight="1">
      <c r="B2091" s="95"/>
      <c r="C2091" s="108" t="s">
        <v>206</v>
      </c>
      <c r="D2091" s="101" t="s">
        <v>2430</v>
      </c>
      <c r="E2091" s="101" t="s">
        <v>577</v>
      </c>
      <c r="F2091" s="109">
        <f t="shared" si="8"/>
        <v>137</v>
      </c>
      <c r="G2091" s="110" t="s">
        <v>2566</v>
      </c>
    </row>
    <row r="2092" ht="15.75" customHeight="1">
      <c r="B2092" s="95"/>
      <c r="C2092" s="108" t="s">
        <v>206</v>
      </c>
      <c r="D2092" s="101" t="s">
        <v>2430</v>
      </c>
      <c r="E2092" s="101" t="s">
        <v>577</v>
      </c>
      <c r="F2092" s="109">
        <f t="shared" si="8"/>
        <v>138</v>
      </c>
      <c r="G2092" s="110" t="s">
        <v>2567</v>
      </c>
    </row>
    <row r="2093" ht="15.75" customHeight="1">
      <c r="B2093" s="95"/>
      <c r="C2093" s="108" t="s">
        <v>206</v>
      </c>
      <c r="D2093" s="101" t="s">
        <v>2430</v>
      </c>
      <c r="E2093" s="101" t="s">
        <v>577</v>
      </c>
      <c r="F2093" s="109">
        <f t="shared" si="8"/>
        <v>139</v>
      </c>
      <c r="G2093" s="110" t="s">
        <v>2568</v>
      </c>
    </row>
    <row r="2094" ht="15.75" customHeight="1">
      <c r="B2094" s="95"/>
      <c r="C2094" s="108" t="s">
        <v>206</v>
      </c>
      <c r="D2094" s="101" t="s">
        <v>2430</v>
      </c>
      <c r="E2094" s="101" t="s">
        <v>577</v>
      </c>
      <c r="F2094" s="109">
        <f t="shared" si="8"/>
        <v>140</v>
      </c>
      <c r="G2094" s="110" t="s">
        <v>2569</v>
      </c>
    </row>
    <row r="2095" ht="15.75" customHeight="1">
      <c r="B2095" s="95"/>
      <c r="C2095" s="108" t="s">
        <v>206</v>
      </c>
      <c r="D2095" s="101" t="s">
        <v>2430</v>
      </c>
      <c r="E2095" s="101" t="s">
        <v>577</v>
      </c>
      <c r="F2095" s="109">
        <f t="shared" si="8"/>
        <v>141</v>
      </c>
      <c r="G2095" s="110" t="s">
        <v>2570</v>
      </c>
    </row>
    <row r="2096" ht="15.75" customHeight="1">
      <c r="B2096" s="95"/>
      <c r="C2096" s="108" t="s">
        <v>206</v>
      </c>
      <c r="D2096" s="101" t="s">
        <v>2430</v>
      </c>
      <c r="E2096" s="101" t="s">
        <v>577</v>
      </c>
      <c r="F2096" s="109">
        <f t="shared" si="8"/>
        <v>142</v>
      </c>
      <c r="G2096" s="110" t="s">
        <v>2571</v>
      </c>
    </row>
    <row r="2097" ht="15.75" customHeight="1">
      <c r="B2097" s="95"/>
      <c r="C2097" s="108" t="s">
        <v>206</v>
      </c>
      <c r="D2097" s="101" t="s">
        <v>2430</v>
      </c>
      <c r="E2097" s="101" t="s">
        <v>577</v>
      </c>
      <c r="F2097" s="109">
        <f t="shared" si="8"/>
        <v>143</v>
      </c>
      <c r="G2097" s="110" t="s">
        <v>2572</v>
      </c>
    </row>
    <row r="2098" ht="15.75" customHeight="1">
      <c r="B2098" s="95"/>
      <c r="C2098" s="108" t="s">
        <v>206</v>
      </c>
      <c r="D2098" s="101" t="s">
        <v>2430</v>
      </c>
      <c r="E2098" s="101" t="s">
        <v>577</v>
      </c>
      <c r="F2098" s="109">
        <f t="shared" si="8"/>
        <v>144</v>
      </c>
      <c r="G2098" s="110" t="s">
        <v>2573</v>
      </c>
    </row>
    <row r="2099" ht="15.75" customHeight="1">
      <c r="B2099" s="95"/>
      <c r="C2099" s="108" t="s">
        <v>206</v>
      </c>
      <c r="D2099" s="101" t="s">
        <v>2430</v>
      </c>
      <c r="E2099" s="101" t="s">
        <v>577</v>
      </c>
      <c r="F2099" s="109">
        <f t="shared" si="8"/>
        <v>145</v>
      </c>
      <c r="G2099" s="110" t="s">
        <v>2574</v>
      </c>
    </row>
    <row r="2100" ht="15.75" customHeight="1">
      <c r="B2100" s="95"/>
      <c r="C2100" s="108" t="s">
        <v>206</v>
      </c>
      <c r="D2100" s="101" t="s">
        <v>2430</v>
      </c>
      <c r="E2100" s="101" t="s">
        <v>577</v>
      </c>
      <c r="F2100" s="109">
        <f t="shared" si="8"/>
        <v>146</v>
      </c>
      <c r="G2100" s="110" t="s">
        <v>2575</v>
      </c>
    </row>
    <row r="2101" ht="15.75" customHeight="1">
      <c r="B2101" s="95"/>
      <c r="C2101" s="108" t="s">
        <v>206</v>
      </c>
      <c r="D2101" s="101" t="s">
        <v>2430</v>
      </c>
      <c r="E2101" s="101" t="s">
        <v>577</v>
      </c>
      <c r="F2101" s="109">
        <f t="shared" si="8"/>
        <v>147</v>
      </c>
      <c r="G2101" s="110" t="s">
        <v>2576</v>
      </c>
    </row>
    <row r="2102" ht="15.75" customHeight="1">
      <c r="B2102" s="95"/>
      <c r="C2102" s="108" t="s">
        <v>206</v>
      </c>
      <c r="D2102" s="101" t="s">
        <v>2430</v>
      </c>
      <c r="E2102" s="101" t="s">
        <v>577</v>
      </c>
      <c r="F2102" s="109">
        <f t="shared" si="8"/>
        <v>148</v>
      </c>
      <c r="G2102" s="110" t="s">
        <v>2577</v>
      </c>
    </row>
    <row r="2103" ht="15.75" customHeight="1">
      <c r="B2103" s="95"/>
      <c r="C2103" s="108" t="s">
        <v>206</v>
      </c>
      <c r="D2103" s="101" t="s">
        <v>2430</v>
      </c>
      <c r="E2103" s="101" t="s">
        <v>577</v>
      </c>
      <c r="F2103" s="109">
        <f t="shared" si="8"/>
        <v>149</v>
      </c>
      <c r="G2103" s="110" t="s">
        <v>2578</v>
      </c>
    </row>
    <row r="2104" ht="15.75" customHeight="1">
      <c r="B2104" s="95"/>
      <c r="C2104" s="108" t="s">
        <v>206</v>
      </c>
      <c r="D2104" s="101" t="s">
        <v>2430</v>
      </c>
      <c r="E2104" s="101" t="s">
        <v>577</v>
      </c>
      <c r="F2104" s="109">
        <f t="shared" si="8"/>
        <v>150</v>
      </c>
      <c r="G2104" s="110" t="s">
        <v>2579</v>
      </c>
    </row>
    <row r="2105" ht="15.75" customHeight="1">
      <c r="B2105" s="95"/>
      <c r="C2105" s="108" t="s">
        <v>206</v>
      </c>
      <c r="D2105" s="101" t="s">
        <v>2430</v>
      </c>
      <c r="E2105" s="101" t="s">
        <v>577</v>
      </c>
      <c r="F2105" s="109">
        <f t="shared" si="8"/>
        <v>151</v>
      </c>
      <c r="G2105" s="110" t="s">
        <v>2580</v>
      </c>
    </row>
    <row r="2106" ht="15.75" customHeight="1">
      <c r="B2106" s="95"/>
      <c r="C2106" s="108" t="s">
        <v>206</v>
      </c>
      <c r="D2106" s="101" t="s">
        <v>2430</v>
      </c>
      <c r="E2106" s="101" t="s">
        <v>577</v>
      </c>
      <c r="F2106" s="109">
        <f t="shared" si="8"/>
        <v>152</v>
      </c>
      <c r="G2106" s="110" t="s">
        <v>2581</v>
      </c>
    </row>
    <row r="2107" ht="15.75" customHeight="1">
      <c r="B2107" s="95"/>
      <c r="C2107" s="108" t="s">
        <v>206</v>
      </c>
      <c r="D2107" s="101" t="s">
        <v>2430</v>
      </c>
      <c r="E2107" s="101" t="s">
        <v>577</v>
      </c>
      <c r="F2107" s="109">
        <f t="shared" si="8"/>
        <v>153</v>
      </c>
      <c r="G2107" s="110" t="s">
        <v>2582</v>
      </c>
    </row>
    <row r="2108" ht="15.75" customHeight="1">
      <c r="B2108" s="95"/>
      <c r="C2108" s="108" t="s">
        <v>206</v>
      </c>
      <c r="D2108" s="101" t="s">
        <v>2430</v>
      </c>
      <c r="E2108" s="101" t="s">
        <v>577</v>
      </c>
      <c r="F2108" s="109">
        <f t="shared" si="8"/>
        <v>154</v>
      </c>
      <c r="G2108" s="110" t="s">
        <v>2583</v>
      </c>
    </row>
    <row r="2109" ht="15.75" customHeight="1">
      <c r="B2109" s="95"/>
      <c r="C2109" s="108" t="s">
        <v>206</v>
      </c>
      <c r="D2109" s="101" t="s">
        <v>2430</v>
      </c>
      <c r="E2109" s="101" t="s">
        <v>577</v>
      </c>
      <c r="F2109" s="109">
        <f t="shared" si="8"/>
        <v>155</v>
      </c>
      <c r="G2109" s="110" t="s">
        <v>2584</v>
      </c>
    </row>
    <row r="2110" ht="15.75" customHeight="1">
      <c r="B2110" s="95"/>
      <c r="C2110" s="108" t="s">
        <v>206</v>
      </c>
      <c r="D2110" s="101" t="s">
        <v>2430</v>
      </c>
      <c r="E2110" s="101" t="s">
        <v>577</v>
      </c>
      <c r="F2110" s="109">
        <f t="shared" si="8"/>
        <v>156</v>
      </c>
      <c r="G2110" s="110" t="s">
        <v>2585</v>
      </c>
    </row>
    <row r="2111" ht="15.75" customHeight="1">
      <c r="B2111" s="95"/>
      <c r="C2111" s="108" t="s">
        <v>206</v>
      </c>
      <c r="D2111" s="101" t="s">
        <v>2430</v>
      </c>
      <c r="E2111" s="101" t="s">
        <v>577</v>
      </c>
      <c r="F2111" s="109">
        <f t="shared" si="8"/>
        <v>157</v>
      </c>
      <c r="G2111" s="110" t="s">
        <v>2586</v>
      </c>
    </row>
    <row r="2112" ht="15.75" customHeight="1">
      <c r="B2112" s="95"/>
      <c r="C2112" s="108" t="s">
        <v>206</v>
      </c>
      <c r="D2112" s="101" t="s">
        <v>2430</v>
      </c>
      <c r="E2112" s="101" t="s">
        <v>577</v>
      </c>
      <c r="F2112" s="109">
        <f t="shared" si="8"/>
        <v>158</v>
      </c>
      <c r="G2112" s="110" t="s">
        <v>2587</v>
      </c>
    </row>
    <row r="2113" ht="15.75" customHeight="1">
      <c r="B2113" s="95"/>
      <c r="C2113" s="108" t="s">
        <v>206</v>
      </c>
      <c r="D2113" s="101" t="s">
        <v>2430</v>
      </c>
      <c r="E2113" s="101" t="s">
        <v>577</v>
      </c>
      <c r="F2113" s="109">
        <f t="shared" si="8"/>
        <v>159</v>
      </c>
      <c r="G2113" s="110" t="s">
        <v>2588</v>
      </c>
    </row>
    <row r="2114" ht="15.75" customHeight="1">
      <c r="B2114" s="95"/>
      <c r="C2114" s="108" t="s">
        <v>206</v>
      </c>
      <c r="D2114" s="101" t="s">
        <v>2430</v>
      </c>
      <c r="E2114" s="101" t="s">
        <v>577</v>
      </c>
      <c r="F2114" s="109">
        <f t="shared" si="8"/>
        <v>160</v>
      </c>
      <c r="G2114" s="110" t="s">
        <v>2589</v>
      </c>
    </row>
    <row r="2115" ht="15.75" customHeight="1">
      <c r="B2115" s="95"/>
      <c r="C2115" s="108" t="s">
        <v>206</v>
      </c>
      <c r="D2115" s="101" t="s">
        <v>2430</v>
      </c>
      <c r="E2115" s="101" t="s">
        <v>577</v>
      </c>
      <c r="F2115" s="109">
        <f t="shared" si="8"/>
        <v>161</v>
      </c>
      <c r="G2115" s="110" t="s">
        <v>2590</v>
      </c>
    </row>
    <row r="2116" ht="15.75" customHeight="1">
      <c r="B2116" s="95"/>
      <c r="C2116" s="108" t="s">
        <v>206</v>
      </c>
      <c r="D2116" s="101" t="s">
        <v>2430</v>
      </c>
      <c r="E2116" s="101" t="s">
        <v>577</v>
      </c>
      <c r="F2116" s="109">
        <f t="shared" si="8"/>
        <v>162</v>
      </c>
      <c r="G2116" s="110" t="s">
        <v>2591</v>
      </c>
    </row>
    <row r="2117" ht="15.75" customHeight="1">
      <c r="B2117" s="95"/>
      <c r="C2117" s="108" t="s">
        <v>206</v>
      </c>
      <c r="D2117" s="101" t="s">
        <v>2430</v>
      </c>
      <c r="E2117" s="101" t="s">
        <v>577</v>
      </c>
      <c r="F2117" s="109">
        <f t="shared" si="8"/>
        <v>163</v>
      </c>
      <c r="G2117" s="110" t="s">
        <v>2592</v>
      </c>
    </row>
    <row r="2118" ht="15.75" customHeight="1">
      <c r="B2118" s="95"/>
      <c r="C2118" s="108" t="s">
        <v>206</v>
      </c>
      <c r="D2118" s="101" t="s">
        <v>2430</v>
      </c>
      <c r="E2118" s="101" t="s">
        <v>577</v>
      </c>
      <c r="F2118" s="109">
        <f t="shared" si="8"/>
        <v>164</v>
      </c>
      <c r="G2118" s="110" t="s">
        <v>2593</v>
      </c>
    </row>
    <row r="2119" ht="15.75" customHeight="1">
      <c r="B2119" s="95"/>
      <c r="C2119" s="108" t="s">
        <v>206</v>
      </c>
      <c r="D2119" s="101" t="s">
        <v>2430</v>
      </c>
      <c r="E2119" s="101" t="s">
        <v>577</v>
      </c>
      <c r="F2119" s="109">
        <f t="shared" si="8"/>
        <v>165</v>
      </c>
      <c r="G2119" s="110" t="s">
        <v>2594</v>
      </c>
    </row>
    <row r="2120" ht="15.75" customHeight="1">
      <c r="B2120" s="95"/>
      <c r="C2120" s="108" t="s">
        <v>206</v>
      </c>
      <c r="D2120" s="101" t="s">
        <v>2430</v>
      </c>
      <c r="E2120" s="101" t="s">
        <v>577</v>
      </c>
      <c r="F2120" s="109">
        <f t="shared" si="8"/>
        <v>166</v>
      </c>
      <c r="G2120" s="110" t="s">
        <v>2595</v>
      </c>
    </row>
    <row r="2121" ht="15.75" customHeight="1">
      <c r="B2121" s="95"/>
      <c r="C2121" s="108" t="s">
        <v>206</v>
      </c>
      <c r="D2121" s="101" t="s">
        <v>2430</v>
      </c>
      <c r="E2121" s="101" t="s">
        <v>577</v>
      </c>
      <c r="F2121" s="109">
        <f t="shared" si="8"/>
        <v>167</v>
      </c>
      <c r="G2121" s="110" t="s">
        <v>2596</v>
      </c>
    </row>
    <row r="2122" ht="15.75" customHeight="1">
      <c r="B2122" s="95"/>
      <c r="C2122" s="108" t="s">
        <v>206</v>
      </c>
      <c r="D2122" s="101" t="s">
        <v>2430</v>
      </c>
      <c r="E2122" s="101" t="s">
        <v>577</v>
      </c>
      <c r="F2122" s="109">
        <f t="shared" si="8"/>
        <v>168</v>
      </c>
      <c r="G2122" s="110" t="s">
        <v>2597</v>
      </c>
    </row>
    <row r="2123" ht="15.75" customHeight="1">
      <c r="B2123" s="95"/>
      <c r="C2123" s="108" t="s">
        <v>206</v>
      </c>
      <c r="D2123" s="101" t="s">
        <v>2430</v>
      </c>
      <c r="E2123" s="101" t="s">
        <v>577</v>
      </c>
      <c r="F2123" s="109">
        <f t="shared" si="8"/>
        <v>169</v>
      </c>
      <c r="G2123" s="110" t="s">
        <v>2598</v>
      </c>
    </row>
    <row r="2124" ht="15.75" customHeight="1">
      <c r="B2124" s="95"/>
      <c r="C2124" s="108" t="s">
        <v>206</v>
      </c>
      <c r="D2124" s="101" t="s">
        <v>2430</v>
      </c>
      <c r="E2124" s="101" t="s">
        <v>577</v>
      </c>
      <c r="F2124" s="109">
        <f t="shared" si="8"/>
        <v>170</v>
      </c>
      <c r="G2124" s="110" t="s">
        <v>2599</v>
      </c>
    </row>
    <row r="2125" ht="15.75" customHeight="1">
      <c r="B2125" s="95"/>
      <c r="C2125" s="108" t="s">
        <v>206</v>
      </c>
      <c r="D2125" s="101" t="s">
        <v>2430</v>
      </c>
      <c r="E2125" s="101" t="s">
        <v>577</v>
      </c>
      <c r="F2125" s="109">
        <f t="shared" si="8"/>
        <v>171</v>
      </c>
      <c r="G2125" s="110" t="s">
        <v>2600</v>
      </c>
    </row>
    <row r="2126" ht="15.75" customHeight="1">
      <c r="B2126" s="95"/>
      <c r="C2126" s="108" t="s">
        <v>206</v>
      </c>
      <c r="D2126" s="101" t="s">
        <v>2430</v>
      </c>
      <c r="E2126" s="101" t="s">
        <v>577</v>
      </c>
      <c r="F2126" s="109">
        <f t="shared" si="8"/>
        <v>172</v>
      </c>
      <c r="G2126" s="110" t="s">
        <v>2601</v>
      </c>
    </row>
    <row r="2127" ht="15.75" customHeight="1">
      <c r="B2127" s="95"/>
      <c r="C2127" s="108" t="s">
        <v>206</v>
      </c>
      <c r="D2127" s="101" t="s">
        <v>2430</v>
      </c>
      <c r="E2127" s="101" t="s">
        <v>577</v>
      </c>
      <c r="F2127" s="109">
        <f t="shared" si="8"/>
        <v>173</v>
      </c>
      <c r="G2127" s="110" t="s">
        <v>2602</v>
      </c>
    </row>
    <row r="2128" ht="15.75" customHeight="1">
      <c r="B2128" s="95"/>
      <c r="C2128" s="108" t="s">
        <v>206</v>
      </c>
      <c r="D2128" s="101" t="s">
        <v>2430</v>
      </c>
      <c r="E2128" s="101" t="s">
        <v>577</v>
      </c>
      <c r="F2128" s="109">
        <f t="shared" si="8"/>
        <v>174</v>
      </c>
      <c r="G2128" s="110" t="s">
        <v>2603</v>
      </c>
    </row>
    <row r="2129" ht="15.75" customHeight="1">
      <c r="B2129" s="95"/>
      <c r="C2129" s="108" t="s">
        <v>206</v>
      </c>
      <c r="D2129" s="101" t="s">
        <v>2430</v>
      </c>
      <c r="E2129" s="101" t="s">
        <v>577</v>
      </c>
      <c r="F2129" s="109">
        <f t="shared" si="8"/>
        <v>175</v>
      </c>
      <c r="G2129" s="110" t="s">
        <v>2604</v>
      </c>
    </row>
    <row r="2130" ht="15.75" customHeight="1">
      <c r="B2130" s="95"/>
      <c r="C2130" s="108" t="s">
        <v>206</v>
      </c>
      <c r="D2130" s="101" t="s">
        <v>2430</v>
      </c>
      <c r="E2130" s="101" t="s">
        <v>577</v>
      </c>
      <c r="F2130" s="109">
        <f t="shared" si="8"/>
        <v>176</v>
      </c>
      <c r="G2130" s="110" t="s">
        <v>2605</v>
      </c>
    </row>
    <row r="2131" ht="15.75" customHeight="1">
      <c r="B2131" s="95"/>
      <c r="C2131" s="108" t="s">
        <v>206</v>
      </c>
      <c r="D2131" s="101" t="s">
        <v>2430</v>
      </c>
      <c r="E2131" s="101" t="s">
        <v>577</v>
      </c>
      <c r="F2131" s="109">
        <f t="shared" si="8"/>
        <v>177</v>
      </c>
      <c r="G2131" s="110" t="s">
        <v>2606</v>
      </c>
    </row>
    <row r="2132" ht="15.75" customHeight="1">
      <c r="B2132" s="95"/>
      <c r="C2132" s="108" t="s">
        <v>206</v>
      </c>
      <c r="D2132" s="101" t="s">
        <v>2430</v>
      </c>
      <c r="E2132" s="101" t="s">
        <v>577</v>
      </c>
      <c r="F2132" s="109">
        <f t="shared" si="8"/>
        <v>178</v>
      </c>
      <c r="G2132" s="110" t="s">
        <v>2607</v>
      </c>
    </row>
    <row r="2133" ht="15.75" customHeight="1">
      <c r="B2133" s="95"/>
      <c r="C2133" s="108" t="s">
        <v>206</v>
      </c>
      <c r="D2133" s="101" t="s">
        <v>2430</v>
      </c>
      <c r="E2133" s="101" t="s">
        <v>577</v>
      </c>
      <c r="F2133" s="109">
        <f t="shared" si="8"/>
        <v>179</v>
      </c>
      <c r="G2133" s="110" t="s">
        <v>2608</v>
      </c>
    </row>
    <row r="2134" ht="15.75" customHeight="1">
      <c r="B2134" s="95"/>
      <c r="C2134" s="108" t="s">
        <v>206</v>
      </c>
      <c r="D2134" s="101" t="s">
        <v>2430</v>
      </c>
      <c r="E2134" s="101" t="s">
        <v>577</v>
      </c>
      <c r="F2134" s="109">
        <f t="shared" si="8"/>
        <v>180</v>
      </c>
      <c r="G2134" s="110" t="s">
        <v>2609</v>
      </c>
    </row>
    <row r="2135" ht="15.75" customHeight="1">
      <c r="B2135" s="95"/>
      <c r="C2135" s="108" t="s">
        <v>206</v>
      </c>
      <c r="D2135" s="101" t="s">
        <v>2430</v>
      </c>
      <c r="E2135" s="101" t="s">
        <v>577</v>
      </c>
      <c r="F2135" s="109">
        <f t="shared" si="8"/>
        <v>181</v>
      </c>
      <c r="G2135" s="110" t="s">
        <v>2610</v>
      </c>
    </row>
    <row r="2136" ht="15.75" customHeight="1">
      <c r="B2136" s="95"/>
      <c r="C2136" s="108" t="s">
        <v>206</v>
      </c>
      <c r="D2136" s="101" t="s">
        <v>2430</v>
      </c>
      <c r="E2136" s="101" t="s">
        <v>577</v>
      </c>
      <c r="F2136" s="109">
        <f t="shared" si="8"/>
        <v>182</v>
      </c>
      <c r="G2136" s="110" t="s">
        <v>2611</v>
      </c>
    </row>
    <row r="2137" ht="15.75" customHeight="1">
      <c r="B2137" s="95"/>
      <c r="C2137" s="108" t="s">
        <v>206</v>
      </c>
      <c r="D2137" s="101" t="s">
        <v>2430</v>
      </c>
      <c r="E2137" s="101" t="s">
        <v>577</v>
      </c>
      <c r="F2137" s="109">
        <f t="shared" si="8"/>
        <v>183</v>
      </c>
      <c r="G2137" s="110" t="s">
        <v>2612</v>
      </c>
    </row>
    <row r="2138" ht="15.75" customHeight="1">
      <c r="B2138" s="95"/>
      <c r="C2138" s="108" t="s">
        <v>206</v>
      </c>
      <c r="D2138" s="101" t="s">
        <v>2430</v>
      </c>
      <c r="E2138" s="101" t="s">
        <v>577</v>
      </c>
      <c r="F2138" s="109">
        <f t="shared" si="8"/>
        <v>184</v>
      </c>
      <c r="G2138" s="110" t="s">
        <v>2613</v>
      </c>
    </row>
    <row r="2139" ht="15.75" customHeight="1">
      <c r="B2139" s="95"/>
      <c r="C2139" s="108" t="s">
        <v>206</v>
      </c>
      <c r="D2139" s="101" t="s">
        <v>2430</v>
      </c>
      <c r="E2139" s="101" t="s">
        <v>577</v>
      </c>
      <c r="F2139" s="109">
        <f t="shared" si="8"/>
        <v>185</v>
      </c>
      <c r="G2139" s="110" t="s">
        <v>2614</v>
      </c>
    </row>
    <row r="2140" ht="15.75" customHeight="1">
      <c r="B2140" s="95"/>
      <c r="C2140" s="108" t="s">
        <v>206</v>
      </c>
      <c r="D2140" s="101" t="s">
        <v>2430</v>
      </c>
      <c r="E2140" s="101" t="s">
        <v>577</v>
      </c>
      <c r="F2140" s="109">
        <f t="shared" si="8"/>
        <v>186</v>
      </c>
      <c r="G2140" s="110" t="s">
        <v>2615</v>
      </c>
    </row>
    <row r="2141" ht="15.75" customHeight="1">
      <c r="B2141" s="95"/>
      <c r="C2141" s="108" t="s">
        <v>206</v>
      </c>
      <c r="D2141" s="101" t="s">
        <v>2430</v>
      </c>
      <c r="E2141" s="101" t="s">
        <v>577</v>
      </c>
      <c r="F2141" s="109">
        <f t="shared" si="8"/>
        <v>187</v>
      </c>
      <c r="G2141" s="110" t="s">
        <v>2616</v>
      </c>
    </row>
    <row r="2142" ht="15.75" customHeight="1">
      <c r="B2142" s="95"/>
      <c r="C2142" s="108" t="s">
        <v>206</v>
      </c>
      <c r="D2142" s="101" t="s">
        <v>2430</v>
      </c>
      <c r="E2142" s="101" t="s">
        <v>577</v>
      </c>
      <c r="F2142" s="109">
        <f t="shared" si="8"/>
        <v>188</v>
      </c>
      <c r="G2142" s="110" t="s">
        <v>2617</v>
      </c>
    </row>
    <row r="2143" ht="15.75" customHeight="1">
      <c r="B2143" s="95"/>
      <c r="C2143" s="108" t="s">
        <v>206</v>
      </c>
      <c r="D2143" s="101" t="s">
        <v>2430</v>
      </c>
      <c r="E2143" s="101" t="s">
        <v>577</v>
      </c>
      <c r="F2143" s="109">
        <f t="shared" si="8"/>
        <v>189</v>
      </c>
      <c r="G2143" s="110" t="s">
        <v>2618</v>
      </c>
    </row>
    <row r="2144" ht="15.75" customHeight="1">
      <c r="B2144" s="95"/>
      <c r="C2144" s="108" t="s">
        <v>206</v>
      </c>
      <c r="D2144" s="101" t="s">
        <v>2430</v>
      </c>
      <c r="E2144" s="101" t="s">
        <v>577</v>
      </c>
      <c r="F2144" s="109">
        <f t="shared" si="8"/>
        <v>190</v>
      </c>
      <c r="G2144" s="110" t="s">
        <v>2619</v>
      </c>
    </row>
    <row r="2145" ht="15.75" customHeight="1">
      <c r="B2145" s="95"/>
      <c r="C2145" s="108" t="s">
        <v>206</v>
      </c>
      <c r="D2145" s="101" t="s">
        <v>2430</v>
      </c>
      <c r="E2145" s="101" t="s">
        <v>577</v>
      </c>
      <c r="F2145" s="109">
        <f t="shared" si="8"/>
        <v>191</v>
      </c>
      <c r="G2145" s="110" t="s">
        <v>2620</v>
      </c>
    </row>
    <row r="2146" ht="15.75" customHeight="1">
      <c r="B2146" s="95"/>
      <c r="C2146" s="108" t="s">
        <v>206</v>
      </c>
      <c r="D2146" s="101" t="s">
        <v>2430</v>
      </c>
      <c r="E2146" s="101" t="s">
        <v>577</v>
      </c>
      <c r="F2146" s="109">
        <f t="shared" si="8"/>
        <v>192</v>
      </c>
      <c r="G2146" s="110" t="s">
        <v>2621</v>
      </c>
    </row>
    <row r="2147" ht="15.75" customHeight="1">
      <c r="B2147" s="95"/>
      <c r="C2147" s="108" t="s">
        <v>206</v>
      </c>
      <c r="D2147" s="101" t="s">
        <v>2430</v>
      </c>
      <c r="E2147" s="101" t="s">
        <v>577</v>
      </c>
      <c r="F2147" s="109">
        <f t="shared" si="8"/>
        <v>193</v>
      </c>
      <c r="G2147" s="110" t="s">
        <v>2622</v>
      </c>
    </row>
    <row r="2148" ht="15.75" customHeight="1">
      <c r="B2148" s="95"/>
      <c r="C2148" s="108" t="s">
        <v>206</v>
      </c>
      <c r="D2148" s="101" t="s">
        <v>2430</v>
      </c>
      <c r="E2148" s="101" t="s">
        <v>577</v>
      </c>
      <c r="F2148" s="109">
        <f t="shared" si="8"/>
        <v>194</v>
      </c>
      <c r="G2148" s="110" t="s">
        <v>2623</v>
      </c>
    </row>
    <row r="2149" ht="15.75" customHeight="1">
      <c r="B2149" s="95"/>
      <c r="C2149" s="108" t="s">
        <v>206</v>
      </c>
      <c r="D2149" s="101" t="s">
        <v>2430</v>
      </c>
      <c r="E2149" s="101" t="s">
        <v>577</v>
      </c>
      <c r="F2149" s="109">
        <f t="shared" si="8"/>
        <v>195</v>
      </c>
      <c r="G2149" s="110" t="s">
        <v>2624</v>
      </c>
    </row>
    <row r="2150" ht="15.75" customHeight="1">
      <c r="B2150" s="95"/>
      <c r="C2150" s="108" t="s">
        <v>206</v>
      </c>
      <c r="D2150" s="101" t="s">
        <v>2430</v>
      </c>
      <c r="E2150" s="101" t="s">
        <v>577</v>
      </c>
      <c r="F2150" s="109">
        <f t="shared" si="8"/>
        <v>196</v>
      </c>
      <c r="G2150" s="110" t="s">
        <v>2625</v>
      </c>
    </row>
    <row r="2151" ht="15.75" customHeight="1">
      <c r="B2151" s="95"/>
      <c r="C2151" s="108" t="s">
        <v>206</v>
      </c>
      <c r="D2151" s="101" t="s">
        <v>2430</v>
      </c>
      <c r="E2151" s="101" t="s">
        <v>577</v>
      </c>
      <c r="F2151" s="109">
        <f t="shared" si="8"/>
        <v>197</v>
      </c>
      <c r="G2151" s="110" t="s">
        <v>2626</v>
      </c>
    </row>
    <row r="2152" ht="15.75" customHeight="1">
      <c r="B2152" s="95"/>
      <c r="C2152" s="108" t="s">
        <v>206</v>
      </c>
      <c r="D2152" s="101" t="s">
        <v>2430</v>
      </c>
      <c r="E2152" s="101" t="s">
        <v>577</v>
      </c>
      <c r="F2152" s="109">
        <f t="shared" si="8"/>
        <v>198</v>
      </c>
      <c r="G2152" s="110" t="s">
        <v>2627</v>
      </c>
    </row>
    <row r="2153" ht="15.75" customHeight="1">
      <c r="B2153" s="95"/>
      <c r="C2153" s="108" t="s">
        <v>206</v>
      </c>
      <c r="D2153" s="101" t="s">
        <v>2430</v>
      </c>
      <c r="E2153" s="101" t="s">
        <v>577</v>
      </c>
      <c r="F2153" s="109">
        <f t="shared" si="8"/>
        <v>199</v>
      </c>
      <c r="G2153" s="110" t="s">
        <v>2628</v>
      </c>
    </row>
    <row r="2154" ht="15.75" customHeight="1">
      <c r="B2154" s="95"/>
      <c r="C2154" s="108" t="s">
        <v>206</v>
      </c>
      <c r="D2154" s="101" t="s">
        <v>2430</v>
      </c>
      <c r="E2154" s="101" t="s">
        <v>577</v>
      </c>
      <c r="F2154" s="109">
        <f t="shared" si="8"/>
        <v>200</v>
      </c>
      <c r="G2154" s="110" t="s">
        <v>2629</v>
      </c>
    </row>
    <row r="2155" ht="15.75" customHeight="1">
      <c r="B2155" s="95"/>
      <c r="C2155" s="108" t="s">
        <v>206</v>
      </c>
      <c r="D2155" s="101" t="s">
        <v>2430</v>
      </c>
      <c r="E2155" s="101" t="s">
        <v>577</v>
      </c>
      <c r="F2155" s="109">
        <f t="shared" si="8"/>
        <v>201</v>
      </c>
      <c r="G2155" s="110" t="s">
        <v>2630</v>
      </c>
    </row>
    <row r="2156" ht="15.75" customHeight="1">
      <c r="B2156" s="95"/>
      <c r="C2156" s="108" t="s">
        <v>206</v>
      </c>
      <c r="D2156" s="101" t="s">
        <v>2430</v>
      </c>
      <c r="E2156" s="101" t="s">
        <v>577</v>
      </c>
      <c r="F2156" s="109">
        <f t="shared" si="8"/>
        <v>202</v>
      </c>
      <c r="G2156" s="110" t="s">
        <v>2631</v>
      </c>
    </row>
    <row r="2157" ht="15.75" customHeight="1">
      <c r="B2157" s="95"/>
      <c r="C2157" s="108" t="s">
        <v>206</v>
      </c>
      <c r="D2157" s="101" t="s">
        <v>2430</v>
      </c>
      <c r="E2157" s="101" t="s">
        <v>577</v>
      </c>
      <c r="F2157" s="109">
        <f t="shared" si="8"/>
        <v>203</v>
      </c>
      <c r="G2157" s="110" t="s">
        <v>2632</v>
      </c>
    </row>
    <row r="2158" ht="15.75" customHeight="1">
      <c r="B2158" s="95"/>
      <c r="C2158" s="108" t="s">
        <v>206</v>
      </c>
      <c r="D2158" s="101" t="s">
        <v>2430</v>
      </c>
      <c r="E2158" s="101" t="s">
        <v>577</v>
      </c>
      <c r="F2158" s="109">
        <f t="shared" si="8"/>
        <v>204</v>
      </c>
      <c r="G2158" s="110" t="s">
        <v>2633</v>
      </c>
    </row>
    <row r="2159" ht="15.75" customHeight="1">
      <c r="B2159" s="95"/>
      <c r="C2159" s="108" t="s">
        <v>206</v>
      </c>
      <c r="D2159" s="101" t="s">
        <v>2430</v>
      </c>
      <c r="E2159" s="101" t="s">
        <v>577</v>
      </c>
      <c r="F2159" s="109">
        <f t="shared" si="8"/>
        <v>205</v>
      </c>
      <c r="G2159" s="110" t="s">
        <v>2634</v>
      </c>
    </row>
    <row r="2160" ht="15.75" customHeight="1">
      <c r="B2160" s="95"/>
      <c r="C2160" s="108" t="s">
        <v>206</v>
      </c>
      <c r="D2160" s="101" t="s">
        <v>2430</v>
      </c>
      <c r="E2160" s="101" t="s">
        <v>577</v>
      </c>
      <c r="F2160" s="109">
        <f t="shared" si="8"/>
        <v>206</v>
      </c>
      <c r="G2160" s="110" t="s">
        <v>2635</v>
      </c>
    </row>
    <row r="2161" ht="15.75" customHeight="1">
      <c r="B2161" s="95"/>
      <c r="C2161" s="108" t="s">
        <v>206</v>
      </c>
      <c r="D2161" s="101" t="s">
        <v>2430</v>
      </c>
      <c r="E2161" s="101" t="s">
        <v>577</v>
      </c>
      <c r="F2161" s="109">
        <f t="shared" si="8"/>
        <v>207</v>
      </c>
      <c r="G2161" s="110" t="s">
        <v>2636</v>
      </c>
    </row>
    <row r="2162" ht="15.75" customHeight="1">
      <c r="B2162" s="95"/>
      <c r="C2162" s="108" t="s">
        <v>206</v>
      </c>
      <c r="D2162" s="101" t="s">
        <v>2430</v>
      </c>
      <c r="E2162" s="101" t="s">
        <v>577</v>
      </c>
      <c r="F2162" s="109">
        <f t="shared" si="8"/>
        <v>208</v>
      </c>
      <c r="G2162" s="110" t="s">
        <v>2637</v>
      </c>
    </row>
    <row r="2163" ht="15.75" customHeight="1">
      <c r="B2163" s="95"/>
      <c r="C2163" s="108" t="s">
        <v>206</v>
      </c>
      <c r="D2163" s="101" t="s">
        <v>2430</v>
      </c>
      <c r="E2163" s="101" t="s">
        <v>577</v>
      </c>
      <c r="F2163" s="109">
        <f t="shared" si="8"/>
        <v>209</v>
      </c>
      <c r="G2163" s="110" t="s">
        <v>2638</v>
      </c>
    </row>
    <row r="2164" ht="15.75" customHeight="1">
      <c r="B2164" s="95"/>
      <c r="C2164" s="108" t="s">
        <v>206</v>
      </c>
      <c r="D2164" s="101" t="s">
        <v>2430</v>
      </c>
      <c r="E2164" s="101" t="s">
        <v>577</v>
      </c>
      <c r="F2164" s="109">
        <f t="shared" si="8"/>
        <v>210</v>
      </c>
      <c r="G2164" s="110" t="s">
        <v>2639</v>
      </c>
    </row>
    <row r="2165" ht="15.75" customHeight="1">
      <c r="B2165" s="95"/>
      <c r="C2165" s="108" t="s">
        <v>206</v>
      </c>
      <c r="D2165" s="101" t="s">
        <v>2430</v>
      </c>
      <c r="E2165" s="101" t="s">
        <v>577</v>
      </c>
      <c r="F2165" s="109">
        <f t="shared" si="8"/>
        <v>211</v>
      </c>
      <c r="G2165" s="110" t="s">
        <v>2640</v>
      </c>
    </row>
    <row r="2166" ht="15.75" customHeight="1">
      <c r="B2166" s="95"/>
      <c r="C2166" s="108" t="s">
        <v>206</v>
      </c>
      <c r="D2166" s="101" t="s">
        <v>2430</v>
      </c>
      <c r="E2166" s="101" t="s">
        <v>577</v>
      </c>
      <c r="F2166" s="109">
        <f t="shared" si="8"/>
        <v>212</v>
      </c>
      <c r="G2166" s="110" t="s">
        <v>2641</v>
      </c>
    </row>
    <row r="2167" ht="15.75" customHeight="1">
      <c r="B2167" s="95"/>
      <c r="C2167" s="108" t="s">
        <v>206</v>
      </c>
      <c r="D2167" s="101" t="s">
        <v>2430</v>
      </c>
      <c r="E2167" s="101" t="s">
        <v>577</v>
      </c>
      <c r="F2167" s="109">
        <f t="shared" si="8"/>
        <v>213</v>
      </c>
      <c r="G2167" s="110" t="s">
        <v>2642</v>
      </c>
    </row>
    <row r="2168" ht="15.75" customHeight="1">
      <c r="B2168" s="95"/>
      <c r="C2168" s="108" t="s">
        <v>206</v>
      </c>
      <c r="D2168" s="101" t="s">
        <v>2430</v>
      </c>
      <c r="E2168" s="101" t="s">
        <v>577</v>
      </c>
      <c r="F2168" s="109">
        <f t="shared" si="8"/>
        <v>214</v>
      </c>
      <c r="G2168" s="110" t="s">
        <v>2643</v>
      </c>
    </row>
    <row r="2169" ht="15.75" customHeight="1">
      <c r="B2169" s="95"/>
      <c r="C2169" s="108" t="s">
        <v>206</v>
      </c>
      <c r="D2169" s="101" t="s">
        <v>2430</v>
      </c>
      <c r="E2169" s="101" t="s">
        <v>577</v>
      </c>
      <c r="F2169" s="109">
        <f t="shared" si="8"/>
        <v>215</v>
      </c>
      <c r="G2169" s="110" t="s">
        <v>2644</v>
      </c>
    </row>
    <row r="2170" ht="15.75" customHeight="1">
      <c r="B2170" s="95"/>
      <c r="C2170" s="108" t="s">
        <v>206</v>
      </c>
      <c r="D2170" s="101" t="s">
        <v>2430</v>
      </c>
      <c r="E2170" s="101" t="s">
        <v>577</v>
      </c>
      <c r="F2170" s="109">
        <f t="shared" si="8"/>
        <v>216</v>
      </c>
      <c r="G2170" s="110" t="s">
        <v>2645</v>
      </c>
    </row>
    <row r="2171" ht="15.75" customHeight="1">
      <c r="B2171" s="95"/>
      <c r="C2171" s="108" t="s">
        <v>206</v>
      </c>
      <c r="D2171" s="101" t="s">
        <v>2430</v>
      </c>
      <c r="E2171" s="101" t="s">
        <v>577</v>
      </c>
      <c r="F2171" s="109">
        <f t="shared" si="8"/>
        <v>217</v>
      </c>
      <c r="G2171" s="110" t="s">
        <v>2646</v>
      </c>
    </row>
    <row r="2172" ht="15.75" customHeight="1">
      <c r="B2172" s="95"/>
      <c r="C2172" s="108" t="s">
        <v>206</v>
      </c>
      <c r="D2172" s="101" t="s">
        <v>2430</v>
      </c>
      <c r="E2172" s="101" t="s">
        <v>577</v>
      </c>
      <c r="F2172" s="109">
        <f t="shared" si="8"/>
        <v>218</v>
      </c>
      <c r="G2172" s="110" t="s">
        <v>2647</v>
      </c>
    </row>
    <row r="2173" ht="15.75" customHeight="1">
      <c r="B2173" s="95"/>
      <c r="C2173" s="108" t="s">
        <v>206</v>
      </c>
      <c r="D2173" s="101" t="s">
        <v>2430</v>
      </c>
      <c r="E2173" s="101" t="s">
        <v>577</v>
      </c>
      <c r="F2173" s="109">
        <f t="shared" si="8"/>
        <v>219</v>
      </c>
      <c r="G2173" s="110" t="s">
        <v>2648</v>
      </c>
    </row>
    <row r="2174" ht="15.75" customHeight="1">
      <c r="B2174" s="95"/>
      <c r="C2174" s="108" t="s">
        <v>206</v>
      </c>
      <c r="D2174" s="101" t="s">
        <v>2430</v>
      </c>
      <c r="E2174" s="101" t="s">
        <v>577</v>
      </c>
      <c r="F2174" s="109">
        <f t="shared" si="8"/>
        <v>220</v>
      </c>
      <c r="G2174" s="110" t="s">
        <v>2649</v>
      </c>
    </row>
    <row r="2175" ht="15.75" customHeight="1">
      <c r="B2175" s="95"/>
      <c r="C2175" s="108" t="s">
        <v>206</v>
      </c>
      <c r="D2175" s="101" t="s">
        <v>2430</v>
      </c>
      <c r="E2175" s="101" t="s">
        <v>577</v>
      </c>
      <c r="F2175" s="109">
        <f t="shared" si="8"/>
        <v>221</v>
      </c>
      <c r="G2175" s="110" t="s">
        <v>2650</v>
      </c>
    </row>
    <row r="2176" ht="15.75" customHeight="1">
      <c r="B2176" s="95"/>
      <c r="C2176" s="108" t="s">
        <v>206</v>
      </c>
      <c r="D2176" s="101" t="s">
        <v>2430</v>
      </c>
      <c r="E2176" s="101" t="s">
        <v>577</v>
      </c>
      <c r="F2176" s="109">
        <f t="shared" si="8"/>
        <v>222</v>
      </c>
      <c r="G2176" s="110" t="s">
        <v>2651</v>
      </c>
    </row>
    <row r="2177" ht="15.75" customHeight="1">
      <c r="B2177" s="95"/>
      <c r="C2177" s="108" t="s">
        <v>206</v>
      </c>
      <c r="D2177" s="101" t="s">
        <v>2430</v>
      </c>
      <c r="E2177" s="101" t="s">
        <v>577</v>
      </c>
      <c r="F2177" s="109">
        <f t="shared" si="8"/>
        <v>223</v>
      </c>
      <c r="G2177" s="110" t="s">
        <v>2652</v>
      </c>
    </row>
    <row r="2178" ht="15.75" customHeight="1">
      <c r="B2178" s="95"/>
      <c r="C2178" s="108" t="s">
        <v>206</v>
      </c>
      <c r="D2178" s="101" t="s">
        <v>2430</v>
      </c>
      <c r="E2178" s="101" t="s">
        <v>577</v>
      </c>
      <c r="F2178" s="109">
        <f t="shared" si="8"/>
        <v>224</v>
      </c>
      <c r="G2178" s="110" t="s">
        <v>2653</v>
      </c>
    </row>
    <row r="2179" ht="15.75" customHeight="1">
      <c r="B2179" s="95"/>
      <c r="C2179" s="108" t="s">
        <v>206</v>
      </c>
      <c r="D2179" s="101" t="s">
        <v>2430</v>
      </c>
      <c r="E2179" s="101" t="s">
        <v>577</v>
      </c>
      <c r="F2179" s="109">
        <f t="shared" si="8"/>
        <v>225</v>
      </c>
      <c r="G2179" s="110" t="s">
        <v>2654</v>
      </c>
    </row>
    <row r="2180" ht="15.75" customHeight="1">
      <c r="B2180" s="95"/>
      <c r="C2180" s="108" t="s">
        <v>206</v>
      </c>
      <c r="D2180" s="101" t="s">
        <v>2430</v>
      </c>
      <c r="E2180" s="101" t="s">
        <v>577</v>
      </c>
      <c r="F2180" s="109">
        <f t="shared" si="8"/>
        <v>226</v>
      </c>
      <c r="G2180" s="110" t="s">
        <v>2655</v>
      </c>
    </row>
    <row r="2181" ht="15.75" customHeight="1">
      <c r="B2181" s="95"/>
      <c r="C2181" s="108" t="s">
        <v>206</v>
      </c>
      <c r="D2181" s="101" t="s">
        <v>2430</v>
      </c>
      <c r="E2181" s="101" t="s">
        <v>577</v>
      </c>
      <c r="F2181" s="109">
        <f t="shared" si="8"/>
        <v>227</v>
      </c>
      <c r="G2181" s="110" t="s">
        <v>2656</v>
      </c>
    </row>
    <row r="2182" ht="15.75" customHeight="1">
      <c r="B2182" s="95"/>
      <c r="C2182" s="108" t="s">
        <v>206</v>
      </c>
      <c r="D2182" s="101" t="s">
        <v>2430</v>
      </c>
      <c r="E2182" s="101" t="s">
        <v>577</v>
      </c>
      <c r="F2182" s="109">
        <f t="shared" si="8"/>
        <v>228</v>
      </c>
      <c r="G2182" s="110" t="s">
        <v>2657</v>
      </c>
    </row>
    <row r="2183" ht="15.75" customHeight="1">
      <c r="B2183" s="95"/>
      <c r="C2183" s="108" t="s">
        <v>206</v>
      </c>
      <c r="D2183" s="101" t="s">
        <v>2430</v>
      </c>
      <c r="E2183" s="101" t="s">
        <v>577</v>
      </c>
      <c r="F2183" s="109">
        <f t="shared" si="8"/>
        <v>229</v>
      </c>
      <c r="G2183" s="110" t="s">
        <v>2658</v>
      </c>
    </row>
    <row r="2184" ht="15.75" customHeight="1">
      <c r="B2184" s="95"/>
      <c r="C2184" s="108" t="s">
        <v>206</v>
      </c>
      <c r="D2184" s="101" t="s">
        <v>2430</v>
      </c>
      <c r="E2184" s="101" t="s">
        <v>577</v>
      </c>
      <c r="F2184" s="109">
        <f t="shared" si="8"/>
        <v>230</v>
      </c>
      <c r="G2184" s="110" t="s">
        <v>2659</v>
      </c>
    </row>
    <row r="2185" ht="15.75" customHeight="1">
      <c r="B2185" s="95"/>
      <c r="C2185" s="108" t="s">
        <v>206</v>
      </c>
      <c r="D2185" s="101" t="s">
        <v>2430</v>
      </c>
      <c r="E2185" s="101" t="s">
        <v>577</v>
      </c>
      <c r="F2185" s="109">
        <f t="shared" si="8"/>
        <v>231</v>
      </c>
      <c r="G2185" s="110" t="s">
        <v>2660</v>
      </c>
    </row>
    <row r="2186" ht="15.75" customHeight="1">
      <c r="B2186" s="95"/>
      <c r="C2186" s="108" t="s">
        <v>206</v>
      </c>
      <c r="D2186" s="101" t="s">
        <v>2430</v>
      </c>
      <c r="E2186" s="101" t="s">
        <v>577</v>
      </c>
      <c r="F2186" s="109">
        <f t="shared" si="8"/>
        <v>232</v>
      </c>
      <c r="G2186" s="110" t="s">
        <v>2661</v>
      </c>
    </row>
    <row r="2187" ht="15.75" customHeight="1">
      <c r="B2187" s="95"/>
      <c r="C2187" s="108" t="s">
        <v>206</v>
      </c>
      <c r="D2187" s="101" t="s">
        <v>2430</v>
      </c>
      <c r="E2187" s="101" t="s">
        <v>577</v>
      </c>
      <c r="F2187" s="109">
        <f t="shared" si="8"/>
        <v>233</v>
      </c>
      <c r="G2187" s="110" t="s">
        <v>2662</v>
      </c>
    </row>
    <row r="2188" ht="15.75" customHeight="1">
      <c r="B2188" s="95"/>
      <c r="C2188" s="108" t="s">
        <v>206</v>
      </c>
      <c r="D2188" s="101" t="s">
        <v>2430</v>
      </c>
      <c r="E2188" s="101" t="s">
        <v>577</v>
      </c>
      <c r="F2188" s="109">
        <f t="shared" si="8"/>
        <v>234</v>
      </c>
      <c r="G2188" s="110" t="s">
        <v>2663</v>
      </c>
    </row>
    <row r="2189" ht="15.75" customHeight="1">
      <c r="B2189" s="95"/>
      <c r="C2189" s="108" t="s">
        <v>206</v>
      </c>
      <c r="D2189" s="101" t="s">
        <v>2430</v>
      </c>
      <c r="E2189" s="101" t="s">
        <v>577</v>
      </c>
      <c r="F2189" s="109">
        <f t="shared" si="8"/>
        <v>235</v>
      </c>
      <c r="G2189" s="110" t="s">
        <v>2664</v>
      </c>
    </row>
    <row r="2190" ht="15.75" customHeight="1">
      <c r="B2190" s="95"/>
      <c r="C2190" s="108" t="s">
        <v>206</v>
      </c>
      <c r="D2190" s="101" t="s">
        <v>2430</v>
      </c>
      <c r="E2190" s="101" t="s">
        <v>577</v>
      </c>
      <c r="F2190" s="109">
        <f t="shared" si="8"/>
        <v>236</v>
      </c>
      <c r="G2190" s="110" t="s">
        <v>2665</v>
      </c>
    </row>
    <row r="2191" ht="15.75" customHeight="1">
      <c r="B2191" s="95"/>
      <c r="C2191" s="108" t="s">
        <v>206</v>
      </c>
      <c r="D2191" s="101" t="s">
        <v>2430</v>
      </c>
      <c r="E2191" s="101" t="s">
        <v>577</v>
      </c>
      <c r="F2191" s="109">
        <f t="shared" si="8"/>
        <v>237</v>
      </c>
      <c r="G2191" s="110" t="s">
        <v>2666</v>
      </c>
    </row>
    <row r="2192" ht="15.75" customHeight="1">
      <c r="B2192" s="95"/>
      <c r="C2192" s="108" t="s">
        <v>206</v>
      </c>
      <c r="D2192" s="101" t="s">
        <v>2430</v>
      </c>
      <c r="E2192" s="101" t="s">
        <v>577</v>
      </c>
      <c r="F2192" s="109">
        <f t="shared" si="8"/>
        <v>238</v>
      </c>
      <c r="G2192" s="110" t="s">
        <v>2667</v>
      </c>
    </row>
    <row r="2193" ht="15.75" customHeight="1">
      <c r="B2193" s="95"/>
      <c r="C2193" s="108" t="s">
        <v>206</v>
      </c>
      <c r="D2193" s="101" t="s">
        <v>2430</v>
      </c>
      <c r="E2193" s="101" t="s">
        <v>577</v>
      </c>
      <c r="F2193" s="109">
        <f t="shared" si="8"/>
        <v>239</v>
      </c>
      <c r="G2193" s="110" t="s">
        <v>2668</v>
      </c>
    </row>
    <row r="2194" ht="15.75" customHeight="1">
      <c r="B2194" s="95"/>
      <c r="C2194" s="108" t="s">
        <v>206</v>
      </c>
      <c r="D2194" s="101" t="s">
        <v>2430</v>
      </c>
      <c r="E2194" s="101" t="s">
        <v>577</v>
      </c>
      <c r="F2194" s="109">
        <f t="shared" si="8"/>
        <v>240</v>
      </c>
      <c r="G2194" s="110" t="s">
        <v>2669</v>
      </c>
    </row>
    <row r="2195" ht="15.75" customHeight="1">
      <c r="B2195" s="95"/>
      <c r="C2195" s="108" t="s">
        <v>206</v>
      </c>
      <c r="D2195" s="101" t="s">
        <v>2430</v>
      </c>
      <c r="E2195" s="101" t="s">
        <v>577</v>
      </c>
      <c r="F2195" s="109">
        <f t="shared" si="8"/>
        <v>241</v>
      </c>
      <c r="G2195" s="110" t="s">
        <v>2670</v>
      </c>
    </row>
    <row r="2196" ht="15.75" customHeight="1">
      <c r="B2196" s="95"/>
      <c r="C2196" s="108" t="s">
        <v>206</v>
      </c>
      <c r="D2196" s="101" t="s">
        <v>2430</v>
      </c>
      <c r="E2196" s="101" t="s">
        <v>577</v>
      </c>
      <c r="F2196" s="109">
        <f t="shared" si="8"/>
        <v>242</v>
      </c>
      <c r="G2196" s="110" t="s">
        <v>2671</v>
      </c>
    </row>
    <row r="2197" ht="15.75" customHeight="1">
      <c r="B2197" s="95"/>
      <c r="C2197" s="108" t="s">
        <v>206</v>
      </c>
      <c r="D2197" s="101" t="s">
        <v>2430</v>
      </c>
      <c r="E2197" s="101" t="s">
        <v>577</v>
      </c>
      <c r="F2197" s="109">
        <f t="shared" si="8"/>
        <v>243</v>
      </c>
      <c r="G2197" s="110" t="s">
        <v>2672</v>
      </c>
    </row>
    <row r="2198" ht="15.75" customHeight="1">
      <c r="B2198" s="95"/>
      <c r="C2198" s="108" t="s">
        <v>206</v>
      </c>
      <c r="D2198" s="101" t="s">
        <v>2430</v>
      </c>
      <c r="E2198" s="101" t="s">
        <v>577</v>
      </c>
      <c r="F2198" s="109">
        <f t="shared" si="8"/>
        <v>244</v>
      </c>
      <c r="G2198" s="110" t="s">
        <v>2673</v>
      </c>
    </row>
    <row r="2199" ht="15.75" customHeight="1">
      <c r="B2199" s="95"/>
      <c r="C2199" s="108" t="s">
        <v>206</v>
      </c>
      <c r="D2199" s="101" t="s">
        <v>2430</v>
      </c>
      <c r="E2199" s="101" t="s">
        <v>577</v>
      </c>
      <c r="F2199" s="109">
        <f t="shared" si="8"/>
        <v>245</v>
      </c>
      <c r="G2199" s="110" t="s">
        <v>2674</v>
      </c>
    </row>
    <row r="2200" ht="15.75" customHeight="1">
      <c r="B2200" s="95"/>
      <c r="C2200" s="108" t="s">
        <v>206</v>
      </c>
      <c r="D2200" s="101" t="s">
        <v>2430</v>
      </c>
      <c r="E2200" s="101" t="s">
        <v>577</v>
      </c>
      <c r="F2200" s="109">
        <f t="shared" si="8"/>
        <v>246</v>
      </c>
      <c r="G2200" s="110" t="s">
        <v>2675</v>
      </c>
    </row>
    <row r="2201" ht="15.75" customHeight="1">
      <c r="B2201" s="95"/>
      <c r="C2201" s="108" t="s">
        <v>206</v>
      </c>
      <c r="D2201" s="101" t="s">
        <v>2430</v>
      </c>
      <c r="E2201" s="101" t="s">
        <v>577</v>
      </c>
      <c r="F2201" s="109">
        <f t="shared" si="8"/>
        <v>247</v>
      </c>
      <c r="G2201" s="110" t="s">
        <v>2676</v>
      </c>
    </row>
    <row r="2202" ht="15.75" customHeight="1">
      <c r="B2202" s="95"/>
      <c r="C2202" s="108" t="s">
        <v>206</v>
      </c>
      <c r="D2202" s="101" t="s">
        <v>2430</v>
      </c>
      <c r="E2202" s="101" t="s">
        <v>577</v>
      </c>
      <c r="F2202" s="109">
        <f t="shared" si="8"/>
        <v>248</v>
      </c>
      <c r="G2202" s="110" t="s">
        <v>2677</v>
      </c>
    </row>
    <row r="2203" ht="15.75" customHeight="1">
      <c r="B2203" s="95"/>
      <c r="C2203" s="108" t="s">
        <v>206</v>
      </c>
      <c r="D2203" s="101" t="s">
        <v>2430</v>
      </c>
      <c r="E2203" s="101" t="s">
        <v>577</v>
      </c>
      <c r="F2203" s="109">
        <f t="shared" si="8"/>
        <v>249</v>
      </c>
      <c r="G2203" s="110" t="s">
        <v>2678</v>
      </c>
    </row>
    <row r="2204" ht="15.75" customHeight="1">
      <c r="B2204" s="95"/>
      <c r="C2204" s="108" t="s">
        <v>206</v>
      </c>
      <c r="D2204" s="101" t="s">
        <v>2430</v>
      </c>
      <c r="E2204" s="101" t="s">
        <v>577</v>
      </c>
      <c r="F2204" s="109">
        <f t="shared" si="8"/>
        <v>250</v>
      </c>
      <c r="G2204" s="110" t="s">
        <v>2679</v>
      </c>
    </row>
    <row r="2205" ht="15.75" customHeight="1">
      <c r="B2205" s="95"/>
      <c r="C2205" s="108" t="s">
        <v>206</v>
      </c>
      <c r="D2205" s="101" t="s">
        <v>2430</v>
      </c>
      <c r="E2205" s="101" t="s">
        <v>577</v>
      </c>
      <c r="F2205" s="109">
        <f t="shared" si="8"/>
        <v>251</v>
      </c>
      <c r="G2205" s="110" t="s">
        <v>2680</v>
      </c>
    </row>
    <row r="2206" ht="15.75" customHeight="1">
      <c r="B2206" s="95"/>
      <c r="C2206" s="108" t="s">
        <v>206</v>
      </c>
      <c r="D2206" s="101" t="s">
        <v>2430</v>
      </c>
      <c r="E2206" s="101" t="s">
        <v>577</v>
      </c>
      <c r="F2206" s="109">
        <f t="shared" si="8"/>
        <v>252</v>
      </c>
      <c r="G2206" s="110" t="s">
        <v>2681</v>
      </c>
    </row>
    <row r="2207" ht="15.75" customHeight="1">
      <c r="B2207" s="95"/>
      <c r="C2207" s="108" t="s">
        <v>206</v>
      </c>
      <c r="D2207" s="101" t="s">
        <v>2430</v>
      </c>
      <c r="E2207" s="101" t="s">
        <v>577</v>
      </c>
      <c r="F2207" s="109">
        <f t="shared" si="8"/>
        <v>253</v>
      </c>
      <c r="G2207" s="110" t="s">
        <v>2682</v>
      </c>
    </row>
    <row r="2208" ht="15.75" customHeight="1">
      <c r="B2208" s="95"/>
      <c r="C2208" s="108" t="s">
        <v>206</v>
      </c>
      <c r="D2208" s="101" t="s">
        <v>2430</v>
      </c>
      <c r="E2208" s="101" t="s">
        <v>577</v>
      </c>
      <c r="F2208" s="109">
        <f t="shared" si="8"/>
        <v>254</v>
      </c>
      <c r="G2208" s="110" t="s">
        <v>2683</v>
      </c>
    </row>
    <row r="2209" ht="15.75" customHeight="1">
      <c r="B2209" s="95"/>
      <c r="C2209" s="108" t="s">
        <v>206</v>
      </c>
      <c r="D2209" s="101" t="s">
        <v>2430</v>
      </c>
      <c r="E2209" s="101" t="s">
        <v>577</v>
      </c>
      <c r="F2209" s="109">
        <f t="shared" si="8"/>
        <v>255</v>
      </c>
      <c r="G2209" s="110" t="s">
        <v>2684</v>
      </c>
    </row>
    <row r="2210" ht="15.75" customHeight="1">
      <c r="B2210" s="95"/>
      <c r="C2210" s="108" t="s">
        <v>206</v>
      </c>
      <c r="D2210" s="101" t="s">
        <v>2430</v>
      </c>
      <c r="E2210" s="101" t="s">
        <v>577</v>
      </c>
      <c r="F2210" s="109">
        <f t="shared" si="8"/>
        <v>256</v>
      </c>
      <c r="G2210" s="110" t="s">
        <v>2685</v>
      </c>
    </row>
    <row r="2211" ht="15.75" customHeight="1">
      <c r="B2211" s="95"/>
      <c r="C2211" s="108" t="s">
        <v>206</v>
      </c>
      <c r="D2211" s="101" t="s">
        <v>2430</v>
      </c>
      <c r="E2211" s="101" t="s">
        <v>577</v>
      </c>
      <c r="F2211" s="109">
        <f t="shared" si="8"/>
        <v>257</v>
      </c>
      <c r="G2211" s="110" t="s">
        <v>2686</v>
      </c>
    </row>
    <row r="2212" ht="15.75" customHeight="1">
      <c r="B2212" s="95"/>
      <c r="C2212" s="108" t="s">
        <v>206</v>
      </c>
      <c r="D2212" s="101" t="s">
        <v>2430</v>
      </c>
      <c r="E2212" s="101" t="s">
        <v>577</v>
      </c>
      <c r="F2212" s="109">
        <f t="shared" si="8"/>
        <v>258</v>
      </c>
      <c r="G2212" s="110" t="s">
        <v>2687</v>
      </c>
    </row>
    <row r="2213" ht="15.75" customHeight="1">
      <c r="B2213" s="95"/>
      <c r="C2213" s="108" t="s">
        <v>206</v>
      </c>
      <c r="D2213" s="101" t="s">
        <v>2430</v>
      </c>
      <c r="E2213" s="101" t="s">
        <v>577</v>
      </c>
      <c r="F2213" s="109">
        <f t="shared" si="8"/>
        <v>259</v>
      </c>
      <c r="G2213" s="110" t="s">
        <v>2688</v>
      </c>
    </row>
    <row r="2214" ht="15.75" customHeight="1">
      <c r="B2214" s="95"/>
      <c r="C2214" s="108" t="s">
        <v>206</v>
      </c>
      <c r="D2214" s="101" t="s">
        <v>2430</v>
      </c>
      <c r="E2214" s="101" t="s">
        <v>577</v>
      </c>
      <c r="F2214" s="109">
        <f t="shared" si="8"/>
        <v>260</v>
      </c>
      <c r="G2214" s="110" t="s">
        <v>2689</v>
      </c>
    </row>
    <row r="2215" ht="15.75" customHeight="1">
      <c r="B2215" s="95"/>
      <c r="C2215" s="108" t="s">
        <v>206</v>
      </c>
      <c r="D2215" s="101" t="s">
        <v>2430</v>
      </c>
      <c r="E2215" s="101" t="s">
        <v>577</v>
      </c>
      <c r="F2215" s="109">
        <f t="shared" si="8"/>
        <v>261</v>
      </c>
      <c r="G2215" s="110" t="s">
        <v>2690</v>
      </c>
    </row>
    <row r="2216" ht="15.75" customHeight="1">
      <c r="B2216" s="95"/>
      <c r="C2216" s="108" t="s">
        <v>206</v>
      </c>
      <c r="D2216" s="101" t="s">
        <v>2430</v>
      </c>
      <c r="E2216" s="101" t="s">
        <v>577</v>
      </c>
      <c r="F2216" s="109">
        <f t="shared" si="8"/>
        <v>262</v>
      </c>
      <c r="G2216" s="110" t="s">
        <v>2691</v>
      </c>
    </row>
    <row r="2217" ht="15.75" customHeight="1">
      <c r="B2217" s="95"/>
      <c r="C2217" s="108" t="s">
        <v>206</v>
      </c>
      <c r="D2217" s="101" t="s">
        <v>2430</v>
      </c>
      <c r="E2217" s="101" t="s">
        <v>577</v>
      </c>
      <c r="F2217" s="109">
        <f t="shared" si="8"/>
        <v>263</v>
      </c>
      <c r="G2217" s="110" t="s">
        <v>2692</v>
      </c>
    </row>
    <row r="2218" ht="15.75" customHeight="1">
      <c r="B2218" s="95"/>
      <c r="C2218" s="108" t="s">
        <v>206</v>
      </c>
      <c r="D2218" s="101" t="s">
        <v>2430</v>
      </c>
      <c r="E2218" s="101" t="s">
        <v>577</v>
      </c>
      <c r="F2218" s="109">
        <f t="shared" si="8"/>
        <v>264</v>
      </c>
      <c r="G2218" s="110" t="s">
        <v>2693</v>
      </c>
    </row>
    <row r="2219" ht="15.75" customHeight="1">
      <c r="B2219" s="95"/>
      <c r="C2219" s="108" t="s">
        <v>206</v>
      </c>
      <c r="D2219" s="101" t="s">
        <v>2430</v>
      </c>
      <c r="E2219" s="101" t="s">
        <v>577</v>
      </c>
      <c r="F2219" s="109">
        <f t="shared" si="8"/>
        <v>265</v>
      </c>
      <c r="G2219" s="110" t="s">
        <v>2694</v>
      </c>
    </row>
    <row r="2220" ht="15.75" customHeight="1">
      <c r="B2220" s="95"/>
      <c r="C2220" s="108" t="s">
        <v>206</v>
      </c>
      <c r="D2220" s="101" t="s">
        <v>2430</v>
      </c>
      <c r="E2220" s="101" t="s">
        <v>577</v>
      </c>
      <c r="F2220" s="109">
        <f t="shared" si="8"/>
        <v>266</v>
      </c>
      <c r="G2220" s="110" t="s">
        <v>2695</v>
      </c>
    </row>
    <row r="2221" ht="15.75" customHeight="1">
      <c r="B2221" s="95"/>
      <c r="C2221" s="108" t="s">
        <v>206</v>
      </c>
      <c r="D2221" s="101" t="s">
        <v>2430</v>
      </c>
      <c r="E2221" s="101" t="s">
        <v>577</v>
      </c>
      <c r="F2221" s="109">
        <f t="shared" si="8"/>
        <v>267</v>
      </c>
      <c r="G2221" s="110" t="s">
        <v>2696</v>
      </c>
    </row>
    <row r="2222" ht="15.75" customHeight="1">
      <c r="B2222" s="95"/>
      <c r="C2222" s="108" t="s">
        <v>206</v>
      </c>
      <c r="D2222" s="101" t="s">
        <v>2430</v>
      </c>
      <c r="E2222" s="101" t="s">
        <v>577</v>
      </c>
      <c r="F2222" s="109">
        <f t="shared" si="8"/>
        <v>268</v>
      </c>
      <c r="G2222" s="110" t="s">
        <v>2697</v>
      </c>
    </row>
    <row r="2223" ht="15.75" customHeight="1">
      <c r="B2223" s="95"/>
      <c r="C2223" s="108" t="s">
        <v>206</v>
      </c>
      <c r="D2223" s="101" t="s">
        <v>2430</v>
      </c>
      <c r="E2223" s="101" t="s">
        <v>577</v>
      </c>
      <c r="F2223" s="109">
        <f t="shared" si="8"/>
        <v>269</v>
      </c>
      <c r="G2223" s="110" t="s">
        <v>2698</v>
      </c>
    </row>
    <row r="2224" ht="15.75" customHeight="1">
      <c r="B2224" s="95"/>
      <c r="C2224" s="108" t="s">
        <v>206</v>
      </c>
      <c r="D2224" s="101" t="s">
        <v>2430</v>
      </c>
      <c r="E2224" s="101" t="s">
        <v>577</v>
      </c>
      <c r="F2224" s="109">
        <f t="shared" si="8"/>
        <v>270</v>
      </c>
      <c r="G2224" s="110" t="s">
        <v>2699</v>
      </c>
    </row>
    <row r="2225" ht="15.75" customHeight="1">
      <c r="B2225" s="95"/>
      <c r="C2225" s="108" t="s">
        <v>206</v>
      </c>
      <c r="D2225" s="101" t="s">
        <v>2430</v>
      </c>
      <c r="E2225" s="101" t="s">
        <v>577</v>
      </c>
      <c r="F2225" s="109">
        <f t="shared" si="8"/>
        <v>271</v>
      </c>
      <c r="G2225" s="110" t="s">
        <v>2700</v>
      </c>
    </row>
    <row r="2226" ht="15.75" customHeight="1">
      <c r="B2226" s="95"/>
      <c r="C2226" s="108" t="s">
        <v>206</v>
      </c>
      <c r="D2226" s="101" t="s">
        <v>2430</v>
      </c>
      <c r="E2226" s="101" t="s">
        <v>577</v>
      </c>
      <c r="F2226" s="109">
        <f t="shared" si="8"/>
        <v>272</v>
      </c>
      <c r="G2226" s="110" t="s">
        <v>2701</v>
      </c>
    </row>
    <row r="2227" ht="15.75" customHeight="1">
      <c r="B2227" s="95"/>
      <c r="C2227" s="108" t="s">
        <v>206</v>
      </c>
      <c r="D2227" s="101" t="s">
        <v>2430</v>
      </c>
      <c r="E2227" s="101" t="s">
        <v>577</v>
      </c>
      <c r="F2227" s="109">
        <f t="shared" si="8"/>
        <v>273</v>
      </c>
      <c r="G2227" s="110" t="s">
        <v>2702</v>
      </c>
    </row>
    <row r="2228" ht="15.75" customHeight="1">
      <c r="B2228" s="95"/>
      <c r="C2228" s="108" t="s">
        <v>206</v>
      </c>
      <c r="D2228" s="101" t="s">
        <v>2430</v>
      </c>
      <c r="E2228" s="101" t="s">
        <v>577</v>
      </c>
      <c r="F2228" s="109">
        <f t="shared" si="8"/>
        <v>274</v>
      </c>
      <c r="G2228" s="110" t="s">
        <v>2703</v>
      </c>
    </row>
    <row r="2229" ht="15.75" customHeight="1">
      <c r="B2229" s="95"/>
      <c r="C2229" s="108" t="s">
        <v>206</v>
      </c>
      <c r="D2229" s="101" t="s">
        <v>2430</v>
      </c>
      <c r="E2229" s="101" t="s">
        <v>577</v>
      </c>
      <c r="F2229" s="109">
        <f t="shared" si="8"/>
        <v>275</v>
      </c>
      <c r="G2229" s="110" t="s">
        <v>2704</v>
      </c>
    </row>
    <row r="2230" ht="15.75" customHeight="1">
      <c r="B2230" s="95"/>
      <c r="C2230" s="108" t="s">
        <v>207</v>
      </c>
      <c r="D2230" s="101" t="s">
        <v>2430</v>
      </c>
      <c r="E2230" s="101" t="s">
        <v>577</v>
      </c>
      <c r="F2230" s="109">
        <f t="shared" si="8"/>
        <v>2</v>
      </c>
      <c r="G2230" s="110" t="s">
        <v>2431</v>
      </c>
    </row>
    <row r="2231" ht="15.75" customHeight="1">
      <c r="B2231" s="95"/>
      <c r="C2231" s="108" t="s">
        <v>207</v>
      </c>
      <c r="D2231" s="101" t="s">
        <v>2430</v>
      </c>
      <c r="E2231" s="101" t="s">
        <v>577</v>
      </c>
      <c r="F2231" s="109">
        <f t="shared" si="8"/>
        <v>3</v>
      </c>
      <c r="G2231" s="110" t="s">
        <v>2705</v>
      </c>
    </row>
    <row r="2232" ht="15.75" customHeight="1">
      <c r="B2232" s="95"/>
      <c r="C2232" s="108" t="s">
        <v>207</v>
      </c>
      <c r="D2232" s="101" t="s">
        <v>2430</v>
      </c>
      <c r="E2232" s="101" t="s">
        <v>577</v>
      </c>
      <c r="F2232" s="109">
        <f t="shared" si="8"/>
        <v>4</v>
      </c>
      <c r="G2232" s="110" t="s">
        <v>2433</v>
      </c>
    </row>
    <row r="2233" ht="15.75" customHeight="1">
      <c r="B2233" s="95"/>
      <c r="C2233" s="108" t="s">
        <v>207</v>
      </c>
      <c r="D2233" s="101" t="s">
        <v>2430</v>
      </c>
      <c r="E2233" s="101" t="s">
        <v>577</v>
      </c>
      <c r="F2233" s="109">
        <f t="shared" si="8"/>
        <v>5</v>
      </c>
      <c r="G2233" s="110" t="s">
        <v>2706</v>
      </c>
    </row>
    <row r="2234" ht="15.75" customHeight="1">
      <c r="B2234" s="95"/>
      <c r="C2234" s="108" t="s">
        <v>207</v>
      </c>
      <c r="D2234" s="101" t="s">
        <v>2430</v>
      </c>
      <c r="E2234" s="101" t="s">
        <v>577</v>
      </c>
      <c r="F2234" s="109">
        <f t="shared" si="8"/>
        <v>6</v>
      </c>
      <c r="G2234" s="110" t="s">
        <v>2435</v>
      </c>
    </row>
    <row r="2235" ht="15.75" customHeight="1">
      <c r="B2235" s="95"/>
      <c r="C2235" s="108" t="s">
        <v>207</v>
      </c>
      <c r="D2235" s="101" t="s">
        <v>2430</v>
      </c>
      <c r="E2235" s="101" t="s">
        <v>577</v>
      </c>
      <c r="F2235" s="109">
        <f t="shared" si="8"/>
        <v>7</v>
      </c>
      <c r="G2235" s="110" t="s">
        <v>2707</v>
      </c>
    </row>
    <row r="2236" ht="15.75" customHeight="1">
      <c r="B2236" s="95"/>
      <c r="C2236" s="108" t="s">
        <v>207</v>
      </c>
      <c r="D2236" s="101" t="s">
        <v>2430</v>
      </c>
      <c r="E2236" s="101" t="s">
        <v>577</v>
      </c>
      <c r="F2236" s="109">
        <f t="shared" si="8"/>
        <v>8</v>
      </c>
      <c r="G2236" s="110" t="s">
        <v>2437</v>
      </c>
    </row>
    <row r="2237" ht="15.75" customHeight="1">
      <c r="B2237" s="95"/>
      <c r="C2237" s="108" t="s">
        <v>207</v>
      </c>
      <c r="D2237" s="101" t="s">
        <v>2430</v>
      </c>
      <c r="E2237" s="101" t="s">
        <v>577</v>
      </c>
      <c r="F2237" s="109">
        <f t="shared" si="8"/>
        <v>9</v>
      </c>
      <c r="G2237" s="110" t="s">
        <v>2708</v>
      </c>
    </row>
    <row r="2238" ht="15.75" customHeight="1">
      <c r="B2238" s="95"/>
      <c r="C2238" s="108" t="s">
        <v>207</v>
      </c>
      <c r="D2238" s="101" t="s">
        <v>2430</v>
      </c>
      <c r="E2238" s="101" t="s">
        <v>577</v>
      </c>
      <c r="F2238" s="109">
        <f t="shared" si="8"/>
        <v>10</v>
      </c>
      <c r="G2238" s="110" t="s">
        <v>2439</v>
      </c>
    </row>
    <row r="2239" ht="15.75" customHeight="1">
      <c r="B2239" s="95"/>
      <c r="C2239" s="108" t="s">
        <v>207</v>
      </c>
      <c r="D2239" s="101" t="s">
        <v>2430</v>
      </c>
      <c r="E2239" s="101" t="s">
        <v>577</v>
      </c>
      <c r="F2239" s="109">
        <f t="shared" si="8"/>
        <v>11</v>
      </c>
      <c r="G2239" s="110" t="s">
        <v>2709</v>
      </c>
    </row>
    <row r="2240" ht="15.75" customHeight="1">
      <c r="B2240" s="95"/>
      <c r="C2240" s="108" t="s">
        <v>207</v>
      </c>
      <c r="D2240" s="101" t="s">
        <v>2430</v>
      </c>
      <c r="E2240" s="101" t="s">
        <v>577</v>
      </c>
      <c r="F2240" s="109">
        <f t="shared" si="8"/>
        <v>12</v>
      </c>
      <c r="G2240" s="110" t="s">
        <v>2441</v>
      </c>
    </row>
    <row r="2241" ht="15.75" customHeight="1">
      <c r="B2241" s="95"/>
      <c r="C2241" s="108" t="s">
        <v>207</v>
      </c>
      <c r="D2241" s="101" t="s">
        <v>2430</v>
      </c>
      <c r="E2241" s="101" t="s">
        <v>577</v>
      </c>
      <c r="F2241" s="109">
        <f t="shared" si="8"/>
        <v>13</v>
      </c>
      <c r="G2241" s="110" t="s">
        <v>2710</v>
      </c>
    </row>
    <row r="2242" ht="15.75" customHeight="1">
      <c r="B2242" s="95"/>
      <c r="C2242" s="108" t="s">
        <v>207</v>
      </c>
      <c r="D2242" s="101" t="s">
        <v>2430</v>
      </c>
      <c r="E2242" s="101" t="s">
        <v>577</v>
      </c>
      <c r="F2242" s="109">
        <f t="shared" si="8"/>
        <v>14</v>
      </c>
      <c r="G2242" s="110" t="s">
        <v>2443</v>
      </c>
    </row>
    <row r="2243" ht="15.75" customHeight="1">
      <c r="B2243" s="95"/>
      <c r="C2243" s="108" t="s">
        <v>207</v>
      </c>
      <c r="D2243" s="101" t="s">
        <v>2430</v>
      </c>
      <c r="E2243" s="101" t="s">
        <v>577</v>
      </c>
      <c r="F2243" s="109">
        <f t="shared" si="8"/>
        <v>15</v>
      </c>
      <c r="G2243" s="110" t="s">
        <v>2711</v>
      </c>
    </row>
    <row r="2244" ht="15.75" customHeight="1">
      <c r="B2244" s="95"/>
      <c r="C2244" s="108" t="s">
        <v>207</v>
      </c>
      <c r="D2244" s="101" t="s">
        <v>2430</v>
      </c>
      <c r="E2244" s="101" t="s">
        <v>577</v>
      </c>
      <c r="F2244" s="109">
        <f t="shared" si="8"/>
        <v>16</v>
      </c>
      <c r="G2244" s="110" t="s">
        <v>2445</v>
      </c>
    </row>
    <row r="2245" ht="15.75" customHeight="1">
      <c r="B2245" s="95"/>
      <c r="C2245" s="108" t="s">
        <v>207</v>
      </c>
      <c r="D2245" s="101" t="s">
        <v>2430</v>
      </c>
      <c r="E2245" s="101" t="s">
        <v>577</v>
      </c>
      <c r="F2245" s="109">
        <f t="shared" si="8"/>
        <v>17</v>
      </c>
      <c r="G2245" s="110" t="s">
        <v>2712</v>
      </c>
    </row>
    <row r="2246" ht="15.75" customHeight="1">
      <c r="B2246" s="95"/>
      <c r="C2246" s="108" t="s">
        <v>207</v>
      </c>
      <c r="D2246" s="101" t="s">
        <v>2430</v>
      </c>
      <c r="E2246" s="101" t="s">
        <v>577</v>
      </c>
      <c r="F2246" s="109">
        <f t="shared" si="8"/>
        <v>18</v>
      </c>
      <c r="G2246" s="110" t="s">
        <v>2447</v>
      </c>
    </row>
    <row r="2247" ht="15.75" customHeight="1">
      <c r="B2247" s="95"/>
      <c r="C2247" s="108" t="s">
        <v>207</v>
      </c>
      <c r="D2247" s="101" t="s">
        <v>2430</v>
      </c>
      <c r="E2247" s="101" t="s">
        <v>577</v>
      </c>
      <c r="F2247" s="109">
        <f t="shared" si="8"/>
        <v>19</v>
      </c>
      <c r="G2247" s="110" t="s">
        <v>2713</v>
      </c>
    </row>
    <row r="2248" ht="15.75" customHeight="1">
      <c r="B2248" s="95"/>
      <c r="C2248" s="108" t="s">
        <v>207</v>
      </c>
      <c r="D2248" s="101" t="s">
        <v>2430</v>
      </c>
      <c r="E2248" s="101" t="s">
        <v>577</v>
      </c>
      <c r="F2248" s="109">
        <f t="shared" si="8"/>
        <v>20</v>
      </c>
      <c r="G2248" s="110" t="s">
        <v>2449</v>
      </c>
    </row>
    <row r="2249" ht="15.75" customHeight="1">
      <c r="B2249" s="95"/>
      <c r="C2249" s="108" t="s">
        <v>207</v>
      </c>
      <c r="D2249" s="101" t="s">
        <v>2430</v>
      </c>
      <c r="E2249" s="101" t="s">
        <v>577</v>
      </c>
      <c r="F2249" s="109">
        <f t="shared" si="8"/>
        <v>21</v>
      </c>
      <c r="G2249" s="110" t="s">
        <v>2714</v>
      </c>
    </row>
    <row r="2250" ht="15.75" customHeight="1">
      <c r="B2250" s="95"/>
      <c r="C2250" s="108" t="s">
        <v>207</v>
      </c>
      <c r="D2250" s="101" t="s">
        <v>2430</v>
      </c>
      <c r="E2250" s="101" t="s">
        <v>577</v>
      </c>
      <c r="F2250" s="109">
        <f t="shared" si="8"/>
        <v>22</v>
      </c>
      <c r="G2250" s="110" t="s">
        <v>2452</v>
      </c>
    </row>
    <row r="2251" ht="15.75" customHeight="1">
      <c r="B2251" s="95"/>
      <c r="C2251" s="108" t="s">
        <v>207</v>
      </c>
      <c r="D2251" s="101" t="s">
        <v>2430</v>
      </c>
      <c r="E2251" s="101" t="s">
        <v>577</v>
      </c>
      <c r="F2251" s="109">
        <f t="shared" si="8"/>
        <v>23</v>
      </c>
      <c r="G2251" s="110" t="s">
        <v>2715</v>
      </c>
    </row>
    <row r="2252" ht="15.75" customHeight="1">
      <c r="B2252" s="95"/>
      <c r="C2252" s="108" t="s">
        <v>207</v>
      </c>
      <c r="D2252" s="101" t="s">
        <v>2430</v>
      </c>
      <c r="E2252" s="101" t="s">
        <v>577</v>
      </c>
      <c r="F2252" s="109">
        <f t="shared" si="8"/>
        <v>24</v>
      </c>
      <c r="G2252" s="110" t="s">
        <v>2454</v>
      </c>
    </row>
    <row r="2253" ht="15.75" customHeight="1">
      <c r="B2253" s="95"/>
      <c r="C2253" s="108" t="s">
        <v>207</v>
      </c>
      <c r="D2253" s="101" t="s">
        <v>2430</v>
      </c>
      <c r="E2253" s="101" t="s">
        <v>577</v>
      </c>
      <c r="F2253" s="109">
        <f t="shared" si="8"/>
        <v>25</v>
      </c>
      <c r="G2253" s="110" t="s">
        <v>2716</v>
      </c>
    </row>
    <row r="2254" ht="15.75" customHeight="1">
      <c r="B2254" s="95"/>
      <c r="C2254" s="108" t="s">
        <v>207</v>
      </c>
      <c r="D2254" s="101" t="s">
        <v>2430</v>
      </c>
      <c r="E2254" s="101" t="s">
        <v>577</v>
      </c>
      <c r="F2254" s="109">
        <f t="shared" si="8"/>
        <v>26</v>
      </c>
      <c r="G2254" s="110" t="s">
        <v>2456</v>
      </c>
    </row>
    <row r="2255" ht="15.75" customHeight="1">
      <c r="B2255" s="95"/>
      <c r="C2255" s="108" t="s">
        <v>207</v>
      </c>
      <c r="D2255" s="101" t="s">
        <v>2430</v>
      </c>
      <c r="E2255" s="101" t="s">
        <v>577</v>
      </c>
      <c r="F2255" s="109">
        <f t="shared" si="8"/>
        <v>27</v>
      </c>
      <c r="G2255" s="110" t="s">
        <v>2717</v>
      </c>
    </row>
    <row r="2256" ht="15.75" customHeight="1">
      <c r="B2256" s="95"/>
      <c r="C2256" s="108" t="s">
        <v>207</v>
      </c>
      <c r="D2256" s="101" t="s">
        <v>2430</v>
      </c>
      <c r="E2256" s="101" t="s">
        <v>577</v>
      </c>
      <c r="F2256" s="109">
        <f t="shared" si="8"/>
        <v>28</v>
      </c>
      <c r="G2256" s="110" t="s">
        <v>2458</v>
      </c>
    </row>
    <row r="2257" ht="15.75" customHeight="1">
      <c r="B2257" s="95"/>
      <c r="C2257" s="108" t="s">
        <v>207</v>
      </c>
      <c r="D2257" s="101" t="s">
        <v>2430</v>
      </c>
      <c r="E2257" s="101" t="s">
        <v>577</v>
      </c>
      <c r="F2257" s="109">
        <f t="shared" si="8"/>
        <v>29</v>
      </c>
      <c r="G2257" s="110" t="s">
        <v>2718</v>
      </c>
    </row>
    <row r="2258" ht="15.75" customHeight="1">
      <c r="B2258" s="95"/>
      <c r="C2258" s="108" t="s">
        <v>207</v>
      </c>
      <c r="D2258" s="101" t="s">
        <v>2430</v>
      </c>
      <c r="E2258" s="101" t="s">
        <v>577</v>
      </c>
      <c r="F2258" s="109">
        <f t="shared" si="8"/>
        <v>30</v>
      </c>
      <c r="G2258" s="110" t="s">
        <v>2460</v>
      </c>
    </row>
    <row r="2259" ht="15.75" customHeight="1">
      <c r="B2259" s="95"/>
      <c r="C2259" s="108" t="s">
        <v>207</v>
      </c>
      <c r="D2259" s="101" t="s">
        <v>2430</v>
      </c>
      <c r="E2259" s="101" t="s">
        <v>577</v>
      </c>
      <c r="F2259" s="109">
        <f t="shared" si="8"/>
        <v>31</v>
      </c>
      <c r="G2259" s="110" t="s">
        <v>2719</v>
      </c>
    </row>
    <row r="2260" ht="15.75" customHeight="1">
      <c r="B2260" s="95"/>
      <c r="C2260" s="108" t="s">
        <v>207</v>
      </c>
      <c r="D2260" s="101" t="s">
        <v>2430</v>
      </c>
      <c r="E2260" s="101" t="s">
        <v>577</v>
      </c>
      <c r="F2260" s="109">
        <f t="shared" si="8"/>
        <v>32</v>
      </c>
      <c r="G2260" s="110" t="s">
        <v>2462</v>
      </c>
    </row>
    <row r="2261" ht="15.75" customHeight="1">
      <c r="B2261" s="95"/>
      <c r="C2261" s="108" t="s">
        <v>207</v>
      </c>
      <c r="D2261" s="101" t="s">
        <v>2430</v>
      </c>
      <c r="E2261" s="101" t="s">
        <v>577</v>
      </c>
      <c r="F2261" s="109">
        <f t="shared" si="8"/>
        <v>33</v>
      </c>
      <c r="G2261" s="110" t="s">
        <v>2720</v>
      </c>
    </row>
    <row r="2262" ht="15.75" customHeight="1">
      <c r="B2262" s="95"/>
      <c r="C2262" s="108" t="s">
        <v>207</v>
      </c>
      <c r="D2262" s="101" t="s">
        <v>2430</v>
      </c>
      <c r="E2262" s="101" t="s">
        <v>577</v>
      </c>
      <c r="F2262" s="109">
        <f t="shared" si="8"/>
        <v>34</v>
      </c>
      <c r="G2262" s="110" t="s">
        <v>2464</v>
      </c>
    </row>
    <row r="2263" ht="15.75" customHeight="1">
      <c r="B2263" s="95"/>
      <c r="C2263" s="108" t="s">
        <v>207</v>
      </c>
      <c r="D2263" s="101" t="s">
        <v>2430</v>
      </c>
      <c r="E2263" s="101" t="s">
        <v>577</v>
      </c>
      <c r="F2263" s="109">
        <f t="shared" si="8"/>
        <v>35</v>
      </c>
      <c r="G2263" s="110" t="s">
        <v>2721</v>
      </c>
    </row>
    <row r="2264" ht="15.75" customHeight="1">
      <c r="B2264" s="95"/>
      <c r="C2264" s="108" t="s">
        <v>207</v>
      </c>
      <c r="D2264" s="101" t="s">
        <v>2430</v>
      </c>
      <c r="E2264" s="101" t="s">
        <v>577</v>
      </c>
      <c r="F2264" s="109">
        <f t="shared" si="8"/>
        <v>36</v>
      </c>
      <c r="G2264" s="110" t="s">
        <v>2466</v>
      </c>
    </row>
    <row r="2265" ht="15.75" customHeight="1">
      <c r="B2265" s="95"/>
      <c r="C2265" s="108" t="s">
        <v>207</v>
      </c>
      <c r="D2265" s="101" t="s">
        <v>2430</v>
      </c>
      <c r="E2265" s="101" t="s">
        <v>577</v>
      </c>
      <c r="F2265" s="109">
        <f t="shared" si="8"/>
        <v>37</v>
      </c>
      <c r="G2265" s="110" t="s">
        <v>2722</v>
      </c>
    </row>
    <row r="2266" ht="15.75" customHeight="1">
      <c r="B2266" s="95"/>
      <c r="C2266" s="108" t="s">
        <v>207</v>
      </c>
      <c r="D2266" s="101" t="s">
        <v>2430</v>
      </c>
      <c r="E2266" s="101" t="s">
        <v>577</v>
      </c>
      <c r="F2266" s="109">
        <f t="shared" si="8"/>
        <v>38</v>
      </c>
      <c r="G2266" s="110" t="s">
        <v>2468</v>
      </c>
    </row>
    <row r="2267" ht="15.75" customHeight="1">
      <c r="B2267" s="95"/>
      <c r="C2267" s="108" t="s">
        <v>207</v>
      </c>
      <c r="D2267" s="101" t="s">
        <v>2430</v>
      </c>
      <c r="E2267" s="101" t="s">
        <v>577</v>
      </c>
      <c r="F2267" s="109">
        <f t="shared" si="8"/>
        <v>39</v>
      </c>
      <c r="G2267" s="110" t="s">
        <v>2723</v>
      </c>
    </row>
    <row r="2268" ht="15.75" customHeight="1">
      <c r="B2268" s="95"/>
      <c r="C2268" s="108" t="s">
        <v>207</v>
      </c>
      <c r="D2268" s="101" t="s">
        <v>2430</v>
      </c>
      <c r="E2268" s="101" t="s">
        <v>577</v>
      </c>
      <c r="F2268" s="109">
        <f t="shared" si="8"/>
        <v>40</v>
      </c>
      <c r="G2268" s="110" t="s">
        <v>2470</v>
      </c>
    </row>
    <row r="2269" ht="15.75" customHeight="1">
      <c r="B2269" s="95"/>
      <c r="C2269" s="108" t="s">
        <v>207</v>
      </c>
      <c r="D2269" s="101" t="s">
        <v>2430</v>
      </c>
      <c r="E2269" s="101" t="s">
        <v>577</v>
      </c>
      <c r="F2269" s="109">
        <f t="shared" si="8"/>
        <v>41</v>
      </c>
      <c r="G2269" s="110" t="s">
        <v>2724</v>
      </c>
    </row>
    <row r="2270" ht="15.75" customHeight="1">
      <c r="B2270" s="95"/>
      <c r="C2270" s="108" t="s">
        <v>207</v>
      </c>
      <c r="D2270" s="101" t="s">
        <v>2430</v>
      </c>
      <c r="E2270" s="101" t="s">
        <v>577</v>
      </c>
      <c r="F2270" s="109">
        <f t="shared" si="8"/>
        <v>42</v>
      </c>
      <c r="G2270" s="110" t="s">
        <v>2472</v>
      </c>
    </row>
    <row r="2271" ht="15.75" customHeight="1">
      <c r="B2271" s="95"/>
      <c r="C2271" s="108" t="s">
        <v>207</v>
      </c>
      <c r="D2271" s="101" t="s">
        <v>2430</v>
      </c>
      <c r="E2271" s="101" t="s">
        <v>577</v>
      </c>
      <c r="F2271" s="109">
        <f t="shared" si="8"/>
        <v>43</v>
      </c>
      <c r="G2271" s="110" t="s">
        <v>2725</v>
      </c>
    </row>
    <row r="2272" ht="15.75" customHeight="1">
      <c r="B2272" s="95"/>
      <c r="C2272" s="108" t="s">
        <v>207</v>
      </c>
      <c r="D2272" s="101" t="s">
        <v>2430</v>
      </c>
      <c r="E2272" s="101" t="s">
        <v>577</v>
      </c>
      <c r="F2272" s="109">
        <f t="shared" si="8"/>
        <v>44</v>
      </c>
      <c r="G2272" s="110" t="s">
        <v>2474</v>
      </c>
    </row>
    <row r="2273" ht="15.75" customHeight="1">
      <c r="B2273" s="95"/>
      <c r="C2273" s="108" t="s">
        <v>207</v>
      </c>
      <c r="D2273" s="101" t="s">
        <v>2430</v>
      </c>
      <c r="E2273" s="101" t="s">
        <v>577</v>
      </c>
      <c r="F2273" s="109">
        <f t="shared" si="8"/>
        <v>45</v>
      </c>
      <c r="G2273" s="110" t="s">
        <v>2726</v>
      </c>
    </row>
    <row r="2274" ht="15.75" customHeight="1">
      <c r="B2274" s="95"/>
      <c r="C2274" s="108" t="s">
        <v>207</v>
      </c>
      <c r="D2274" s="101" t="s">
        <v>2430</v>
      </c>
      <c r="E2274" s="101" t="s">
        <v>577</v>
      </c>
      <c r="F2274" s="109">
        <f t="shared" si="8"/>
        <v>46</v>
      </c>
      <c r="G2274" s="110" t="s">
        <v>2476</v>
      </c>
    </row>
    <row r="2275" ht="15.75" customHeight="1">
      <c r="B2275" s="95"/>
      <c r="C2275" s="108" t="s">
        <v>207</v>
      </c>
      <c r="D2275" s="101" t="s">
        <v>2430</v>
      </c>
      <c r="E2275" s="101" t="s">
        <v>577</v>
      </c>
      <c r="F2275" s="109">
        <f t="shared" si="8"/>
        <v>47</v>
      </c>
      <c r="G2275" s="110" t="s">
        <v>2727</v>
      </c>
    </row>
    <row r="2276" ht="15.75" customHeight="1">
      <c r="B2276" s="95"/>
      <c r="C2276" s="108" t="s">
        <v>207</v>
      </c>
      <c r="D2276" s="101" t="s">
        <v>2430</v>
      </c>
      <c r="E2276" s="101" t="s">
        <v>577</v>
      </c>
      <c r="F2276" s="109">
        <f t="shared" si="8"/>
        <v>48</v>
      </c>
      <c r="G2276" s="110" t="s">
        <v>2478</v>
      </c>
    </row>
    <row r="2277" ht="15.75" customHeight="1">
      <c r="B2277" s="95"/>
      <c r="C2277" s="108" t="s">
        <v>207</v>
      </c>
      <c r="D2277" s="101" t="s">
        <v>2430</v>
      </c>
      <c r="E2277" s="101" t="s">
        <v>577</v>
      </c>
      <c r="F2277" s="109">
        <f t="shared" si="8"/>
        <v>49</v>
      </c>
      <c r="G2277" s="110" t="s">
        <v>2728</v>
      </c>
    </row>
    <row r="2278" ht="15.75" customHeight="1">
      <c r="B2278" s="95"/>
      <c r="C2278" s="108" t="s">
        <v>207</v>
      </c>
      <c r="D2278" s="101" t="s">
        <v>2430</v>
      </c>
      <c r="E2278" s="101" t="s">
        <v>577</v>
      </c>
      <c r="F2278" s="109">
        <f t="shared" si="8"/>
        <v>50</v>
      </c>
      <c r="G2278" s="110" t="s">
        <v>2480</v>
      </c>
    </row>
    <row r="2279" ht="15.75" customHeight="1">
      <c r="B2279" s="95"/>
      <c r="C2279" s="108" t="s">
        <v>207</v>
      </c>
      <c r="D2279" s="101" t="s">
        <v>2430</v>
      </c>
      <c r="E2279" s="101" t="s">
        <v>577</v>
      </c>
      <c r="F2279" s="109">
        <f t="shared" si="8"/>
        <v>51</v>
      </c>
      <c r="G2279" s="110" t="s">
        <v>2729</v>
      </c>
    </row>
    <row r="2280" ht="15.75" customHeight="1">
      <c r="B2280" s="95"/>
      <c r="C2280" s="108" t="s">
        <v>207</v>
      </c>
      <c r="D2280" s="101" t="s">
        <v>2430</v>
      </c>
      <c r="E2280" s="101" t="s">
        <v>577</v>
      </c>
      <c r="F2280" s="109">
        <f t="shared" si="8"/>
        <v>52</v>
      </c>
      <c r="G2280" s="110" t="s">
        <v>2482</v>
      </c>
    </row>
    <row r="2281" ht="15.75" customHeight="1">
      <c r="B2281" s="95"/>
      <c r="C2281" s="108" t="s">
        <v>207</v>
      </c>
      <c r="D2281" s="101" t="s">
        <v>2430</v>
      </c>
      <c r="E2281" s="101" t="s">
        <v>577</v>
      </c>
      <c r="F2281" s="109">
        <f t="shared" si="8"/>
        <v>53</v>
      </c>
      <c r="G2281" s="110" t="s">
        <v>2730</v>
      </c>
    </row>
    <row r="2282" ht="15.75" customHeight="1">
      <c r="B2282" s="95"/>
      <c r="C2282" s="108" t="s">
        <v>207</v>
      </c>
      <c r="D2282" s="101" t="s">
        <v>2430</v>
      </c>
      <c r="E2282" s="101" t="s">
        <v>577</v>
      </c>
      <c r="F2282" s="109">
        <f t="shared" si="8"/>
        <v>54</v>
      </c>
      <c r="G2282" s="110" t="s">
        <v>2484</v>
      </c>
    </row>
    <row r="2283" ht="15.75" customHeight="1">
      <c r="B2283" s="95"/>
      <c r="C2283" s="108" t="s">
        <v>207</v>
      </c>
      <c r="D2283" s="101" t="s">
        <v>2430</v>
      </c>
      <c r="E2283" s="101" t="s">
        <v>577</v>
      </c>
      <c r="F2283" s="109">
        <f t="shared" si="8"/>
        <v>55</v>
      </c>
      <c r="G2283" s="110" t="s">
        <v>2731</v>
      </c>
    </row>
    <row r="2284" ht="15.75" customHeight="1">
      <c r="B2284" s="95"/>
      <c r="C2284" s="108" t="s">
        <v>207</v>
      </c>
      <c r="D2284" s="101" t="s">
        <v>2430</v>
      </c>
      <c r="E2284" s="101" t="s">
        <v>577</v>
      </c>
      <c r="F2284" s="109">
        <f t="shared" si="8"/>
        <v>56</v>
      </c>
      <c r="G2284" s="110" t="s">
        <v>2486</v>
      </c>
    </row>
    <row r="2285" ht="15.75" customHeight="1">
      <c r="B2285" s="95"/>
      <c r="C2285" s="108" t="s">
        <v>207</v>
      </c>
      <c r="D2285" s="101" t="s">
        <v>2430</v>
      </c>
      <c r="E2285" s="101" t="s">
        <v>577</v>
      </c>
      <c r="F2285" s="109">
        <f t="shared" si="8"/>
        <v>57</v>
      </c>
      <c r="G2285" s="110" t="s">
        <v>2732</v>
      </c>
    </row>
    <row r="2286" ht="15.75" customHeight="1">
      <c r="B2286" s="95"/>
      <c r="C2286" s="108" t="s">
        <v>207</v>
      </c>
      <c r="D2286" s="101" t="s">
        <v>2430</v>
      </c>
      <c r="E2286" s="101" t="s">
        <v>577</v>
      </c>
      <c r="F2286" s="109">
        <f t="shared" si="8"/>
        <v>58</v>
      </c>
      <c r="G2286" s="110" t="s">
        <v>2488</v>
      </c>
    </row>
    <row r="2287" ht="15.75" customHeight="1">
      <c r="B2287" s="95"/>
      <c r="C2287" s="108" t="s">
        <v>207</v>
      </c>
      <c r="D2287" s="101" t="s">
        <v>2430</v>
      </c>
      <c r="E2287" s="101" t="s">
        <v>577</v>
      </c>
      <c r="F2287" s="109">
        <f t="shared" si="8"/>
        <v>59</v>
      </c>
      <c r="G2287" s="110" t="s">
        <v>2733</v>
      </c>
    </row>
    <row r="2288" ht="15.75" customHeight="1">
      <c r="B2288" s="95"/>
      <c r="C2288" s="108" t="s">
        <v>207</v>
      </c>
      <c r="D2288" s="101" t="s">
        <v>2430</v>
      </c>
      <c r="E2288" s="101" t="s">
        <v>577</v>
      </c>
      <c r="F2288" s="109">
        <f t="shared" si="8"/>
        <v>60</v>
      </c>
      <c r="G2288" s="110" t="s">
        <v>2490</v>
      </c>
    </row>
    <row r="2289" ht="15.75" customHeight="1">
      <c r="B2289" s="95"/>
      <c r="C2289" s="108" t="s">
        <v>207</v>
      </c>
      <c r="D2289" s="101" t="s">
        <v>2430</v>
      </c>
      <c r="E2289" s="101" t="s">
        <v>577</v>
      </c>
      <c r="F2289" s="109">
        <f t="shared" si="8"/>
        <v>61</v>
      </c>
      <c r="G2289" s="110" t="s">
        <v>2734</v>
      </c>
    </row>
    <row r="2290" ht="15.75" customHeight="1">
      <c r="B2290" s="95"/>
      <c r="C2290" s="108" t="s">
        <v>207</v>
      </c>
      <c r="D2290" s="101" t="s">
        <v>2430</v>
      </c>
      <c r="E2290" s="101" t="s">
        <v>577</v>
      </c>
      <c r="F2290" s="109">
        <f t="shared" si="8"/>
        <v>62</v>
      </c>
      <c r="G2290" s="110" t="s">
        <v>2492</v>
      </c>
    </row>
    <row r="2291" ht="15.75" customHeight="1">
      <c r="B2291" s="95"/>
      <c r="C2291" s="108" t="s">
        <v>207</v>
      </c>
      <c r="D2291" s="101" t="s">
        <v>2430</v>
      </c>
      <c r="E2291" s="101" t="s">
        <v>577</v>
      </c>
      <c r="F2291" s="109">
        <f t="shared" si="8"/>
        <v>63</v>
      </c>
      <c r="G2291" s="110" t="s">
        <v>2735</v>
      </c>
    </row>
    <row r="2292" ht="15.75" customHeight="1">
      <c r="B2292" s="95"/>
      <c r="C2292" s="108" t="s">
        <v>207</v>
      </c>
      <c r="D2292" s="101" t="s">
        <v>2430</v>
      </c>
      <c r="E2292" s="101" t="s">
        <v>577</v>
      </c>
      <c r="F2292" s="109">
        <f t="shared" si="8"/>
        <v>64</v>
      </c>
      <c r="G2292" s="110" t="s">
        <v>2494</v>
      </c>
    </row>
    <row r="2293" ht="15.75" customHeight="1">
      <c r="B2293" s="95"/>
      <c r="C2293" s="108" t="s">
        <v>207</v>
      </c>
      <c r="D2293" s="101" t="s">
        <v>2430</v>
      </c>
      <c r="E2293" s="101" t="s">
        <v>577</v>
      </c>
      <c r="F2293" s="109">
        <f t="shared" si="8"/>
        <v>65</v>
      </c>
      <c r="G2293" s="110" t="s">
        <v>2736</v>
      </c>
    </row>
    <row r="2294" ht="15.75" customHeight="1">
      <c r="B2294" s="95"/>
      <c r="C2294" s="108" t="s">
        <v>207</v>
      </c>
      <c r="D2294" s="101" t="s">
        <v>2430</v>
      </c>
      <c r="E2294" s="101" t="s">
        <v>577</v>
      </c>
      <c r="F2294" s="109">
        <f t="shared" si="8"/>
        <v>66</v>
      </c>
      <c r="G2294" s="110" t="s">
        <v>2496</v>
      </c>
    </row>
    <row r="2295" ht="15.75" customHeight="1">
      <c r="B2295" s="95"/>
      <c r="C2295" s="108" t="s">
        <v>207</v>
      </c>
      <c r="D2295" s="101" t="s">
        <v>2430</v>
      </c>
      <c r="E2295" s="101" t="s">
        <v>577</v>
      </c>
      <c r="F2295" s="109">
        <f t="shared" si="8"/>
        <v>67</v>
      </c>
      <c r="G2295" s="110" t="s">
        <v>2737</v>
      </c>
    </row>
    <row r="2296" ht="15.75" customHeight="1">
      <c r="B2296" s="95"/>
      <c r="C2296" s="108" t="s">
        <v>207</v>
      </c>
      <c r="D2296" s="101" t="s">
        <v>2430</v>
      </c>
      <c r="E2296" s="101" t="s">
        <v>577</v>
      </c>
      <c r="F2296" s="109">
        <f t="shared" si="8"/>
        <v>68</v>
      </c>
      <c r="G2296" s="110" t="s">
        <v>2498</v>
      </c>
    </row>
    <row r="2297" ht="15.75" customHeight="1">
      <c r="B2297" s="95"/>
      <c r="C2297" s="108" t="s">
        <v>207</v>
      </c>
      <c r="D2297" s="101" t="s">
        <v>2430</v>
      </c>
      <c r="E2297" s="101" t="s">
        <v>577</v>
      </c>
      <c r="F2297" s="109">
        <f t="shared" si="8"/>
        <v>69</v>
      </c>
      <c r="G2297" s="110" t="s">
        <v>2738</v>
      </c>
    </row>
    <row r="2298" ht="15.75" customHeight="1">
      <c r="B2298" s="95"/>
      <c r="C2298" s="108" t="s">
        <v>207</v>
      </c>
      <c r="D2298" s="101" t="s">
        <v>2430</v>
      </c>
      <c r="E2298" s="101" t="s">
        <v>577</v>
      </c>
      <c r="F2298" s="109">
        <f t="shared" si="8"/>
        <v>70</v>
      </c>
      <c r="G2298" s="110" t="s">
        <v>2500</v>
      </c>
    </row>
    <row r="2299" ht="15.75" customHeight="1">
      <c r="B2299" s="95"/>
      <c r="C2299" s="108" t="s">
        <v>207</v>
      </c>
      <c r="D2299" s="101" t="s">
        <v>2430</v>
      </c>
      <c r="E2299" s="101" t="s">
        <v>577</v>
      </c>
      <c r="F2299" s="109">
        <f t="shared" si="8"/>
        <v>71</v>
      </c>
      <c r="G2299" s="110" t="s">
        <v>2501</v>
      </c>
    </row>
    <row r="2300" ht="15.75" customHeight="1">
      <c r="B2300" s="95"/>
      <c r="C2300" s="108" t="s">
        <v>207</v>
      </c>
      <c r="D2300" s="101" t="s">
        <v>2430</v>
      </c>
      <c r="E2300" s="101" t="s">
        <v>577</v>
      </c>
      <c r="F2300" s="109">
        <f t="shared" si="8"/>
        <v>72</v>
      </c>
      <c r="G2300" s="110" t="s">
        <v>2502</v>
      </c>
    </row>
    <row r="2301" ht="15.75" customHeight="1">
      <c r="B2301" s="95"/>
      <c r="C2301" s="108" t="s">
        <v>207</v>
      </c>
      <c r="D2301" s="101" t="s">
        <v>2430</v>
      </c>
      <c r="E2301" s="101" t="s">
        <v>577</v>
      </c>
      <c r="F2301" s="109">
        <f t="shared" si="8"/>
        <v>73</v>
      </c>
      <c r="G2301" s="110" t="s">
        <v>2503</v>
      </c>
    </row>
    <row r="2302" ht="15.75" customHeight="1">
      <c r="B2302" s="95"/>
      <c r="C2302" s="108" t="s">
        <v>207</v>
      </c>
      <c r="D2302" s="101" t="s">
        <v>2430</v>
      </c>
      <c r="E2302" s="101" t="s">
        <v>577</v>
      </c>
      <c r="F2302" s="109">
        <f t="shared" si="8"/>
        <v>74</v>
      </c>
      <c r="G2302" s="110" t="s">
        <v>2504</v>
      </c>
    </row>
    <row r="2303" ht="15.75" customHeight="1">
      <c r="B2303" s="95"/>
      <c r="C2303" s="108" t="s">
        <v>207</v>
      </c>
      <c r="D2303" s="101" t="s">
        <v>2430</v>
      </c>
      <c r="E2303" s="101" t="s">
        <v>577</v>
      </c>
      <c r="F2303" s="109">
        <f t="shared" si="8"/>
        <v>75</v>
      </c>
      <c r="G2303" s="110" t="s">
        <v>2505</v>
      </c>
    </row>
    <row r="2304" ht="15.75" customHeight="1">
      <c r="B2304" s="95"/>
      <c r="C2304" s="108" t="s">
        <v>207</v>
      </c>
      <c r="D2304" s="101" t="s">
        <v>2430</v>
      </c>
      <c r="E2304" s="101" t="s">
        <v>577</v>
      </c>
      <c r="F2304" s="109">
        <f t="shared" si="8"/>
        <v>76</v>
      </c>
      <c r="G2304" s="110" t="s">
        <v>2507</v>
      </c>
    </row>
    <row r="2305" ht="15.75" customHeight="1">
      <c r="B2305" s="95"/>
      <c r="C2305" s="108" t="s">
        <v>207</v>
      </c>
      <c r="D2305" s="101" t="s">
        <v>2430</v>
      </c>
      <c r="E2305" s="101" t="s">
        <v>577</v>
      </c>
      <c r="F2305" s="109">
        <f t="shared" si="8"/>
        <v>77</v>
      </c>
      <c r="G2305" s="110" t="s">
        <v>2508</v>
      </c>
    </row>
    <row r="2306" ht="15.75" customHeight="1">
      <c r="B2306" s="95"/>
      <c r="C2306" s="108" t="s">
        <v>207</v>
      </c>
      <c r="D2306" s="101" t="s">
        <v>2430</v>
      </c>
      <c r="E2306" s="101" t="s">
        <v>577</v>
      </c>
      <c r="F2306" s="109">
        <f t="shared" si="8"/>
        <v>78</v>
      </c>
      <c r="G2306" s="110" t="s">
        <v>2509</v>
      </c>
    </row>
    <row r="2307" ht="15.75" customHeight="1">
      <c r="B2307" s="95"/>
      <c r="C2307" s="108" t="s">
        <v>207</v>
      </c>
      <c r="D2307" s="101" t="s">
        <v>2430</v>
      </c>
      <c r="E2307" s="101" t="s">
        <v>577</v>
      </c>
      <c r="F2307" s="109">
        <f t="shared" si="8"/>
        <v>79</v>
      </c>
      <c r="G2307" s="110" t="s">
        <v>2510</v>
      </c>
    </row>
    <row r="2308" ht="15.75" customHeight="1">
      <c r="B2308" s="95"/>
      <c r="C2308" s="108" t="s">
        <v>207</v>
      </c>
      <c r="D2308" s="101" t="s">
        <v>2430</v>
      </c>
      <c r="E2308" s="101" t="s">
        <v>577</v>
      </c>
      <c r="F2308" s="109">
        <f t="shared" si="8"/>
        <v>80</v>
      </c>
      <c r="G2308" s="110" t="s">
        <v>2511</v>
      </c>
    </row>
    <row r="2309" ht="15.75" customHeight="1">
      <c r="B2309" s="95"/>
      <c r="C2309" s="108" t="s">
        <v>207</v>
      </c>
      <c r="D2309" s="101" t="s">
        <v>2430</v>
      </c>
      <c r="E2309" s="101" t="s">
        <v>577</v>
      </c>
      <c r="F2309" s="109">
        <f t="shared" si="8"/>
        <v>81</v>
      </c>
      <c r="G2309" s="110" t="s">
        <v>2512</v>
      </c>
    </row>
    <row r="2310" ht="15.75" customHeight="1">
      <c r="B2310" s="95"/>
      <c r="C2310" s="108" t="s">
        <v>207</v>
      </c>
      <c r="D2310" s="101" t="s">
        <v>2430</v>
      </c>
      <c r="E2310" s="101" t="s">
        <v>577</v>
      </c>
      <c r="F2310" s="109">
        <f t="shared" si="8"/>
        <v>82</v>
      </c>
      <c r="G2310" s="110" t="s">
        <v>2513</v>
      </c>
    </row>
    <row r="2311" ht="15.75" customHeight="1">
      <c r="B2311" s="95"/>
      <c r="C2311" s="108" t="s">
        <v>207</v>
      </c>
      <c r="D2311" s="101" t="s">
        <v>2430</v>
      </c>
      <c r="E2311" s="101" t="s">
        <v>577</v>
      </c>
      <c r="F2311" s="109">
        <f t="shared" si="8"/>
        <v>83</v>
      </c>
      <c r="G2311" s="110" t="s">
        <v>2514</v>
      </c>
    </row>
    <row r="2312" ht="15.75" customHeight="1">
      <c r="B2312" s="95"/>
      <c r="C2312" s="108" t="s">
        <v>207</v>
      </c>
      <c r="D2312" s="101" t="s">
        <v>2430</v>
      </c>
      <c r="E2312" s="101" t="s">
        <v>577</v>
      </c>
      <c r="F2312" s="109">
        <f t="shared" si="8"/>
        <v>84</v>
      </c>
      <c r="G2312" s="110" t="s">
        <v>2515</v>
      </c>
    </row>
    <row r="2313" ht="15.75" customHeight="1">
      <c r="B2313" s="95"/>
      <c r="C2313" s="108" t="s">
        <v>207</v>
      </c>
      <c r="D2313" s="101" t="s">
        <v>2430</v>
      </c>
      <c r="E2313" s="101" t="s">
        <v>577</v>
      </c>
      <c r="F2313" s="109">
        <f t="shared" si="8"/>
        <v>85</v>
      </c>
      <c r="G2313" s="110" t="s">
        <v>2516</v>
      </c>
    </row>
    <row r="2314" ht="15.75" customHeight="1">
      <c r="B2314" s="95"/>
      <c r="C2314" s="108" t="s">
        <v>207</v>
      </c>
      <c r="D2314" s="101" t="s">
        <v>2430</v>
      </c>
      <c r="E2314" s="101" t="s">
        <v>577</v>
      </c>
      <c r="F2314" s="109">
        <f t="shared" si="8"/>
        <v>86</v>
      </c>
      <c r="G2314" s="110" t="s">
        <v>2517</v>
      </c>
    </row>
    <row r="2315" ht="15.75" customHeight="1">
      <c r="B2315" s="95"/>
      <c r="C2315" s="108" t="s">
        <v>207</v>
      </c>
      <c r="D2315" s="101" t="s">
        <v>2430</v>
      </c>
      <c r="E2315" s="101" t="s">
        <v>577</v>
      </c>
      <c r="F2315" s="109">
        <f t="shared" si="8"/>
        <v>87</v>
      </c>
      <c r="G2315" s="110" t="s">
        <v>2518</v>
      </c>
    </row>
    <row r="2316" ht="15.75" customHeight="1">
      <c r="B2316" s="95"/>
      <c r="C2316" s="108" t="s">
        <v>207</v>
      </c>
      <c r="D2316" s="101" t="s">
        <v>2430</v>
      </c>
      <c r="E2316" s="101" t="s">
        <v>577</v>
      </c>
      <c r="F2316" s="109">
        <f t="shared" si="8"/>
        <v>88</v>
      </c>
      <c r="G2316" s="110" t="s">
        <v>2739</v>
      </c>
    </row>
    <row r="2317" ht="15.75" customHeight="1">
      <c r="B2317" s="95"/>
      <c r="C2317" s="108" t="s">
        <v>207</v>
      </c>
      <c r="D2317" s="101" t="s">
        <v>2430</v>
      </c>
      <c r="E2317" s="101" t="s">
        <v>577</v>
      </c>
      <c r="F2317" s="109">
        <f t="shared" si="8"/>
        <v>89</v>
      </c>
      <c r="G2317" s="110" t="s">
        <v>2519</v>
      </c>
    </row>
    <row r="2318" ht="15.75" customHeight="1">
      <c r="B2318" s="95"/>
      <c r="C2318" s="108" t="s">
        <v>207</v>
      </c>
      <c r="D2318" s="101" t="s">
        <v>2430</v>
      </c>
      <c r="E2318" s="101" t="s">
        <v>577</v>
      </c>
      <c r="F2318" s="109">
        <f t="shared" si="8"/>
        <v>90</v>
      </c>
      <c r="G2318" s="110" t="s">
        <v>2520</v>
      </c>
    </row>
    <row r="2319" ht="15.75" customHeight="1">
      <c r="B2319" s="95"/>
      <c r="C2319" s="108" t="s">
        <v>207</v>
      </c>
      <c r="D2319" s="101" t="s">
        <v>2430</v>
      </c>
      <c r="E2319" s="101" t="s">
        <v>577</v>
      </c>
      <c r="F2319" s="109">
        <f t="shared" si="8"/>
        <v>91</v>
      </c>
      <c r="G2319" s="110" t="s">
        <v>2521</v>
      </c>
    </row>
    <row r="2320" ht="15.75" customHeight="1">
      <c r="B2320" s="95"/>
      <c r="C2320" s="108" t="s">
        <v>207</v>
      </c>
      <c r="D2320" s="101" t="s">
        <v>2430</v>
      </c>
      <c r="E2320" s="101" t="s">
        <v>577</v>
      </c>
      <c r="F2320" s="109">
        <f t="shared" si="8"/>
        <v>92</v>
      </c>
      <c r="G2320" s="110" t="s">
        <v>2522</v>
      </c>
    </row>
    <row r="2321" ht="15.75" customHeight="1">
      <c r="B2321" s="95"/>
      <c r="C2321" s="108" t="s">
        <v>207</v>
      </c>
      <c r="D2321" s="101" t="s">
        <v>2430</v>
      </c>
      <c r="E2321" s="101" t="s">
        <v>577</v>
      </c>
      <c r="F2321" s="109">
        <f t="shared" si="8"/>
        <v>93</v>
      </c>
      <c r="G2321" s="110" t="s">
        <v>2523</v>
      </c>
    </row>
    <row r="2322" ht="15.75" customHeight="1">
      <c r="B2322" s="95"/>
      <c r="C2322" s="108" t="s">
        <v>207</v>
      </c>
      <c r="D2322" s="101" t="s">
        <v>2430</v>
      </c>
      <c r="E2322" s="101" t="s">
        <v>577</v>
      </c>
      <c r="F2322" s="109">
        <f t="shared" si="8"/>
        <v>94</v>
      </c>
      <c r="G2322" s="110" t="s">
        <v>2524</v>
      </c>
    </row>
    <row r="2323" ht="15.75" customHeight="1">
      <c r="B2323" s="95"/>
      <c r="C2323" s="108" t="s">
        <v>207</v>
      </c>
      <c r="D2323" s="101" t="s">
        <v>2430</v>
      </c>
      <c r="E2323" s="101" t="s">
        <v>577</v>
      </c>
      <c r="F2323" s="109">
        <f t="shared" si="8"/>
        <v>95</v>
      </c>
      <c r="G2323" s="110" t="s">
        <v>2525</v>
      </c>
    </row>
    <row r="2324" ht="15.75" customHeight="1">
      <c r="B2324" s="95"/>
      <c r="C2324" s="108" t="s">
        <v>207</v>
      </c>
      <c r="D2324" s="101" t="s">
        <v>2430</v>
      </c>
      <c r="E2324" s="101" t="s">
        <v>577</v>
      </c>
      <c r="F2324" s="109">
        <f t="shared" si="8"/>
        <v>96</v>
      </c>
      <c r="G2324" s="110" t="s">
        <v>2526</v>
      </c>
    </row>
    <row r="2325" ht="15.75" customHeight="1">
      <c r="B2325" s="95"/>
      <c r="C2325" s="108" t="s">
        <v>207</v>
      </c>
      <c r="D2325" s="101" t="s">
        <v>2430</v>
      </c>
      <c r="E2325" s="101" t="s">
        <v>577</v>
      </c>
      <c r="F2325" s="109">
        <f t="shared" si="8"/>
        <v>97</v>
      </c>
      <c r="G2325" s="110" t="s">
        <v>2527</v>
      </c>
    </row>
    <row r="2326" ht="15.75" customHeight="1">
      <c r="B2326" s="95"/>
      <c r="C2326" s="108" t="s">
        <v>207</v>
      </c>
      <c r="D2326" s="101" t="s">
        <v>2430</v>
      </c>
      <c r="E2326" s="101" t="s">
        <v>577</v>
      </c>
      <c r="F2326" s="109">
        <f t="shared" si="8"/>
        <v>98</v>
      </c>
      <c r="G2326" s="110" t="s">
        <v>2528</v>
      </c>
    </row>
    <row r="2327" ht="15.75" customHeight="1">
      <c r="B2327" s="95"/>
      <c r="C2327" s="108" t="s">
        <v>207</v>
      </c>
      <c r="D2327" s="101" t="s">
        <v>2430</v>
      </c>
      <c r="E2327" s="101" t="s">
        <v>577</v>
      </c>
      <c r="F2327" s="109">
        <f t="shared" si="8"/>
        <v>99</v>
      </c>
      <c r="G2327" s="110" t="s">
        <v>2529</v>
      </c>
    </row>
    <row r="2328" ht="15.75" customHeight="1">
      <c r="B2328" s="95"/>
      <c r="C2328" s="108" t="s">
        <v>207</v>
      </c>
      <c r="D2328" s="101" t="s">
        <v>2430</v>
      </c>
      <c r="E2328" s="101" t="s">
        <v>577</v>
      </c>
      <c r="F2328" s="109">
        <f t="shared" si="8"/>
        <v>100</v>
      </c>
      <c r="G2328" s="110" t="s">
        <v>2530</v>
      </c>
    </row>
    <row r="2329" ht="15.75" customHeight="1">
      <c r="B2329" s="95"/>
      <c r="C2329" s="108" t="s">
        <v>207</v>
      </c>
      <c r="D2329" s="101" t="s">
        <v>2430</v>
      </c>
      <c r="E2329" s="101" t="s">
        <v>577</v>
      </c>
      <c r="F2329" s="109">
        <f t="shared" si="8"/>
        <v>101</v>
      </c>
      <c r="G2329" s="110" t="s">
        <v>2531</v>
      </c>
    </row>
    <row r="2330" ht="15.75" customHeight="1">
      <c r="B2330" s="95"/>
      <c r="C2330" s="108" t="s">
        <v>207</v>
      </c>
      <c r="D2330" s="101" t="s">
        <v>2430</v>
      </c>
      <c r="E2330" s="101" t="s">
        <v>577</v>
      </c>
      <c r="F2330" s="109">
        <f t="shared" si="8"/>
        <v>102</v>
      </c>
      <c r="G2330" s="110" t="s">
        <v>2532</v>
      </c>
    </row>
    <row r="2331" ht="15.75" customHeight="1">
      <c r="B2331" s="95"/>
      <c r="C2331" s="108" t="s">
        <v>207</v>
      </c>
      <c r="D2331" s="101" t="s">
        <v>2430</v>
      </c>
      <c r="E2331" s="101" t="s">
        <v>577</v>
      </c>
      <c r="F2331" s="109">
        <f t="shared" si="8"/>
        <v>103</v>
      </c>
      <c r="G2331" s="110" t="s">
        <v>2533</v>
      </c>
    </row>
    <row r="2332" ht="15.75" customHeight="1">
      <c r="B2332" s="95"/>
      <c r="C2332" s="108" t="s">
        <v>207</v>
      </c>
      <c r="D2332" s="101" t="s">
        <v>2430</v>
      </c>
      <c r="E2332" s="101" t="s">
        <v>577</v>
      </c>
      <c r="F2332" s="109">
        <f t="shared" si="8"/>
        <v>104</v>
      </c>
      <c r="G2332" s="110" t="s">
        <v>2534</v>
      </c>
    </row>
    <row r="2333" ht="15.75" customHeight="1">
      <c r="B2333" s="95"/>
      <c r="C2333" s="108" t="s">
        <v>207</v>
      </c>
      <c r="D2333" s="101" t="s">
        <v>2430</v>
      </c>
      <c r="E2333" s="101" t="s">
        <v>577</v>
      </c>
      <c r="F2333" s="109">
        <f t="shared" si="8"/>
        <v>105</v>
      </c>
      <c r="G2333" s="110" t="s">
        <v>2535</v>
      </c>
    </row>
    <row r="2334" ht="15.75" customHeight="1">
      <c r="B2334" s="95"/>
      <c r="C2334" s="108" t="s">
        <v>207</v>
      </c>
      <c r="D2334" s="101" t="s">
        <v>2430</v>
      </c>
      <c r="E2334" s="101" t="s">
        <v>577</v>
      </c>
      <c r="F2334" s="109">
        <f t="shared" si="8"/>
        <v>106</v>
      </c>
      <c r="G2334" s="110" t="s">
        <v>2536</v>
      </c>
    </row>
    <row r="2335" ht="15.75" customHeight="1">
      <c r="B2335" s="95"/>
      <c r="C2335" s="108" t="s">
        <v>207</v>
      </c>
      <c r="D2335" s="101" t="s">
        <v>2430</v>
      </c>
      <c r="E2335" s="101" t="s">
        <v>577</v>
      </c>
      <c r="F2335" s="109">
        <f t="shared" si="8"/>
        <v>107</v>
      </c>
      <c r="G2335" s="110" t="s">
        <v>2537</v>
      </c>
    </row>
    <row r="2336" ht="15.75" customHeight="1">
      <c r="B2336" s="95"/>
      <c r="C2336" s="108" t="s">
        <v>207</v>
      </c>
      <c r="D2336" s="101" t="s">
        <v>2430</v>
      </c>
      <c r="E2336" s="101" t="s">
        <v>577</v>
      </c>
      <c r="F2336" s="109">
        <f t="shared" si="8"/>
        <v>108</v>
      </c>
      <c r="G2336" s="110" t="s">
        <v>2538</v>
      </c>
    </row>
    <row r="2337" ht="15.75" customHeight="1">
      <c r="B2337" s="95"/>
      <c r="C2337" s="108" t="s">
        <v>207</v>
      </c>
      <c r="D2337" s="101" t="s">
        <v>2430</v>
      </c>
      <c r="E2337" s="101" t="s">
        <v>577</v>
      </c>
      <c r="F2337" s="109">
        <f t="shared" si="8"/>
        <v>109</v>
      </c>
      <c r="G2337" s="110" t="s">
        <v>2539</v>
      </c>
    </row>
    <row r="2338" ht="15.75" customHeight="1">
      <c r="B2338" s="95"/>
      <c r="C2338" s="108" t="s">
        <v>207</v>
      </c>
      <c r="D2338" s="101" t="s">
        <v>2430</v>
      </c>
      <c r="E2338" s="101" t="s">
        <v>577</v>
      </c>
      <c r="F2338" s="109">
        <f t="shared" si="8"/>
        <v>110</v>
      </c>
      <c r="G2338" s="110" t="s">
        <v>2540</v>
      </c>
    </row>
    <row r="2339" ht="15.75" customHeight="1">
      <c r="B2339" s="95"/>
      <c r="C2339" s="108" t="s">
        <v>207</v>
      </c>
      <c r="D2339" s="101" t="s">
        <v>2430</v>
      </c>
      <c r="E2339" s="101" t="s">
        <v>577</v>
      </c>
      <c r="F2339" s="109">
        <f t="shared" si="8"/>
        <v>111</v>
      </c>
      <c r="G2339" s="110" t="s">
        <v>2541</v>
      </c>
    </row>
    <row r="2340" ht="15.75" customHeight="1">
      <c r="B2340" s="95"/>
      <c r="C2340" s="108" t="s">
        <v>207</v>
      </c>
      <c r="D2340" s="101" t="s">
        <v>2430</v>
      </c>
      <c r="E2340" s="101" t="s">
        <v>577</v>
      </c>
      <c r="F2340" s="109">
        <f t="shared" si="8"/>
        <v>112</v>
      </c>
      <c r="G2340" s="110" t="s">
        <v>2542</v>
      </c>
    </row>
    <row r="2341" ht="15.75" customHeight="1">
      <c r="B2341" s="95"/>
      <c r="C2341" s="108" t="s">
        <v>207</v>
      </c>
      <c r="D2341" s="101" t="s">
        <v>2430</v>
      </c>
      <c r="E2341" s="101" t="s">
        <v>577</v>
      </c>
      <c r="F2341" s="109">
        <f t="shared" si="8"/>
        <v>113</v>
      </c>
      <c r="G2341" s="110" t="s">
        <v>2543</v>
      </c>
    </row>
    <row r="2342" ht="15.75" customHeight="1">
      <c r="B2342" s="95"/>
      <c r="C2342" s="108" t="s">
        <v>207</v>
      </c>
      <c r="D2342" s="101" t="s">
        <v>2430</v>
      </c>
      <c r="E2342" s="101" t="s">
        <v>577</v>
      </c>
      <c r="F2342" s="109">
        <f t="shared" si="8"/>
        <v>114</v>
      </c>
      <c r="G2342" s="110" t="s">
        <v>2544</v>
      </c>
    </row>
    <row r="2343" ht="15.75" customHeight="1">
      <c r="B2343" s="95"/>
      <c r="C2343" s="108" t="s">
        <v>207</v>
      </c>
      <c r="D2343" s="101" t="s">
        <v>2430</v>
      </c>
      <c r="E2343" s="101" t="s">
        <v>577</v>
      </c>
      <c r="F2343" s="109">
        <f t="shared" si="8"/>
        <v>115</v>
      </c>
      <c r="G2343" s="110" t="s">
        <v>2545</v>
      </c>
    </row>
    <row r="2344" ht="15.75" customHeight="1">
      <c r="B2344" s="95"/>
      <c r="C2344" s="108" t="s">
        <v>207</v>
      </c>
      <c r="D2344" s="101" t="s">
        <v>2430</v>
      </c>
      <c r="E2344" s="101" t="s">
        <v>577</v>
      </c>
      <c r="F2344" s="109">
        <f t="shared" si="8"/>
        <v>116</v>
      </c>
      <c r="G2344" s="110" t="s">
        <v>2740</v>
      </c>
    </row>
    <row r="2345" ht="15.75" customHeight="1">
      <c r="B2345" s="95"/>
      <c r="C2345" s="108" t="s">
        <v>207</v>
      </c>
      <c r="D2345" s="101" t="s">
        <v>2430</v>
      </c>
      <c r="E2345" s="101" t="s">
        <v>577</v>
      </c>
      <c r="F2345" s="109">
        <f t="shared" si="8"/>
        <v>117</v>
      </c>
      <c r="G2345" s="110" t="s">
        <v>2546</v>
      </c>
    </row>
    <row r="2346" ht="15.75" customHeight="1">
      <c r="B2346" s="95"/>
      <c r="C2346" s="108" t="s">
        <v>207</v>
      </c>
      <c r="D2346" s="101" t="s">
        <v>2430</v>
      </c>
      <c r="E2346" s="101" t="s">
        <v>577</v>
      </c>
      <c r="F2346" s="109">
        <f t="shared" si="8"/>
        <v>118</v>
      </c>
      <c r="G2346" s="110" t="s">
        <v>2547</v>
      </c>
    </row>
    <row r="2347" ht="15.75" customHeight="1">
      <c r="B2347" s="95"/>
      <c r="C2347" s="108" t="s">
        <v>207</v>
      </c>
      <c r="D2347" s="101" t="s">
        <v>2430</v>
      </c>
      <c r="E2347" s="101" t="s">
        <v>577</v>
      </c>
      <c r="F2347" s="109">
        <f t="shared" si="8"/>
        <v>119</v>
      </c>
      <c r="G2347" s="110" t="s">
        <v>2548</v>
      </c>
    </row>
    <row r="2348" ht="15.75" customHeight="1">
      <c r="B2348" s="95"/>
      <c r="C2348" s="108" t="s">
        <v>207</v>
      </c>
      <c r="D2348" s="101" t="s">
        <v>2430</v>
      </c>
      <c r="E2348" s="101" t="s">
        <v>577</v>
      </c>
      <c r="F2348" s="109">
        <f t="shared" si="8"/>
        <v>120</v>
      </c>
      <c r="G2348" s="110" t="s">
        <v>2549</v>
      </c>
    </row>
    <row r="2349" ht="15.75" customHeight="1">
      <c r="B2349" s="95"/>
      <c r="C2349" s="108" t="s">
        <v>207</v>
      </c>
      <c r="D2349" s="101" t="s">
        <v>2430</v>
      </c>
      <c r="E2349" s="101" t="s">
        <v>577</v>
      </c>
      <c r="F2349" s="109">
        <f t="shared" si="8"/>
        <v>121</v>
      </c>
      <c r="G2349" s="110" t="s">
        <v>2550</v>
      </c>
    </row>
    <row r="2350" ht="15.75" customHeight="1">
      <c r="B2350" s="95"/>
      <c r="C2350" s="108" t="s">
        <v>207</v>
      </c>
      <c r="D2350" s="101" t="s">
        <v>2430</v>
      </c>
      <c r="E2350" s="101" t="s">
        <v>577</v>
      </c>
      <c r="F2350" s="109">
        <f t="shared" si="8"/>
        <v>122</v>
      </c>
      <c r="G2350" s="110" t="s">
        <v>2551</v>
      </c>
    </row>
    <row r="2351" ht="15.75" customHeight="1">
      <c r="B2351" s="95"/>
      <c r="C2351" s="108" t="s">
        <v>207</v>
      </c>
      <c r="D2351" s="101" t="s">
        <v>2430</v>
      </c>
      <c r="E2351" s="101" t="s">
        <v>577</v>
      </c>
      <c r="F2351" s="109">
        <f t="shared" si="8"/>
        <v>123</v>
      </c>
      <c r="G2351" s="110" t="s">
        <v>2553</v>
      </c>
    </row>
    <row r="2352" ht="15.75" customHeight="1">
      <c r="B2352" s="95"/>
      <c r="C2352" s="108" t="s">
        <v>207</v>
      </c>
      <c r="D2352" s="101" t="s">
        <v>2430</v>
      </c>
      <c r="E2352" s="101" t="s">
        <v>577</v>
      </c>
      <c r="F2352" s="109">
        <f t="shared" si="8"/>
        <v>124</v>
      </c>
      <c r="G2352" s="110" t="s">
        <v>2554</v>
      </c>
    </row>
    <row r="2353" ht="15.75" customHeight="1">
      <c r="B2353" s="95"/>
      <c r="C2353" s="108" t="s">
        <v>207</v>
      </c>
      <c r="D2353" s="101" t="s">
        <v>2430</v>
      </c>
      <c r="E2353" s="101" t="s">
        <v>577</v>
      </c>
      <c r="F2353" s="109">
        <f t="shared" si="8"/>
        <v>125</v>
      </c>
      <c r="G2353" s="110" t="s">
        <v>2555</v>
      </c>
    </row>
    <row r="2354" ht="15.75" customHeight="1">
      <c r="B2354" s="95"/>
      <c r="C2354" s="108" t="s">
        <v>207</v>
      </c>
      <c r="D2354" s="101" t="s">
        <v>2430</v>
      </c>
      <c r="E2354" s="101" t="s">
        <v>577</v>
      </c>
      <c r="F2354" s="109">
        <f t="shared" si="8"/>
        <v>126</v>
      </c>
      <c r="G2354" s="110" t="s">
        <v>2556</v>
      </c>
    </row>
    <row r="2355" ht="15.75" customHeight="1">
      <c r="B2355" s="95"/>
      <c r="C2355" s="108" t="s">
        <v>207</v>
      </c>
      <c r="D2355" s="101" t="s">
        <v>2430</v>
      </c>
      <c r="E2355" s="101" t="s">
        <v>577</v>
      </c>
      <c r="F2355" s="109">
        <f t="shared" si="8"/>
        <v>127</v>
      </c>
      <c r="G2355" s="110" t="s">
        <v>2557</v>
      </c>
    </row>
    <row r="2356" ht="15.75" customHeight="1">
      <c r="B2356" s="95"/>
      <c r="C2356" s="108" t="s">
        <v>207</v>
      </c>
      <c r="D2356" s="101" t="s">
        <v>2430</v>
      </c>
      <c r="E2356" s="101" t="s">
        <v>577</v>
      </c>
      <c r="F2356" s="109">
        <f t="shared" si="8"/>
        <v>128</v>
      </c>
      <c r="G2356" s="110" t="s">
        <v>2558</v>
      </c>
    </row>
    <row r="2357" ht="15.75" customHeight="1">
      <c r="B2357" s="95"/>
      <c r="C2357" s="108" t="s">
        <v>207</v>
      </c>
      <c r="D2357" s="101" t="s">
        <v>2430</v>
      </c>
      <c r="E2357" s="101" t="s">
        <v>577</v>
      </c>
      <c r="F2357" s="109">
        <f t="shared" si="8"/>
        <v>129</v>
      </c>
      <c r="G2357" s="110" t="s">
        <v>2559</v>
      </c>
    </row>
    <row r="2358" ht="15.75" customHeight="1">
      <c r="B2358" s="95"/>
      <c r="C2358" s="108" t="s">
        <v>207</v>
      </c>
      <c r="D2358" s="101" t="s">
        <v>2430</v>
      </c>
      <c r="E2358" s="101" t="s">
        <v>577</v>
      </c>
      <c r="F2358" s="109">
        <f t="shared" si="8"/>
        <v>130</v>
      </c>
      <c r="G2358" s="110" t="s">
        <v>2560</v>
      </c>
    </row>
    <row r="2359" ht="15.75" customHeight="1">
      <c r="B2359" s="95"/>
      <c r="C2359" s="108" t="s">
        <v>207</v>
      </c>
      <c r="D2359" s="101" t="s">
        <v>2430</v>
      </c>
      <c r="E2359" s="101" t="s">
        <v>577</v>
      </c>
      <c r="F2359" s="109">
        <f t="shared" si="8"/>
        <v>131</v>
      </c>
      <c r="G2359" s="110" t="s">
        <v>2561</v>
      </c>
    </row>
    <row r="2360" ht="15.75" customHeight="1">
      <c r="B2360" s="95"/>
      <c r="C2360" s="108" t="s">
        <v>207</v>
      </c>
      <c r="D2360" s="101" t="s">
        <v>2430</v>
      </c>
      <c r="E2360" s="101" t="s">
        <v>577</v>
      </c>
      <c r="F2360" s="109">
        <f t="shared" si="8"/>
        <v>132</v>
      </c>
      <c r="G2360" s="110" t="s">
        <v>2562</v>
      </c>
    </row>
    <row r="2361" ht="15.75" customHeight="1">
      <c r="B2361" s="95"/>
      <c r="C2361" s="108" t="s">
        <v>207</v>
      </c>
      <c r="D2361" s="101" t="s">
        <v>2430</v>
      </c>
      <c r="E2361" s="101" t="s">
        <v>577</v>
      </c>
      <c r="F2361" s="109">
        <f t="shared" si="8"/>
        <v>133</v>
      </c>
      <c r="G2361" s="110" t="s">
        <v>2563</v>
      </c>
    </row>
    <row r="2362" ht="15.75" customHeight="1">
      <c r="B2362" s="95"/>
      <c r="C2362" s="108" t="s">
        <v>207</v>
      </c>
      <c r="D2362" s="101" t="s">
        <v>2430</v>
      </c>
      <c r="E2362" s="101" t="s">
        <v>577</v>
      </c>
      <c r="F2362" s="109">
        <f t="shared" si="8"/>
        <v>134</v>
      </c>
      <c r="G2362" s="110" t="s">
        <v>2564</v>
      </c>
    </row>
    <row r="2363" ht="15.75" customHeight="1">
      <c r="B2363" s="95"/>
      <c r="C2363" s="108" t="s">
        <v>207</v>
      </c>
      <c r="D2363" s="101" t="s">
        <v>2430</v>
      </c>
      <c r="E2363" s="101" t="s">
        <v>577</v>
      </c>
      <c r="F2363" s="109">
        <f t="shared" si="8"/>
        <v>135</v>
      </c>
      <c r="G2363" s="110" t="s">
        <v>2741</v>
      </c>
    </row>
    <row r="2364" ht="15.75" customHeight="1">
      <c r="B2364" s="95"/>
      <c r="C2364" s="108" t="s">
        <v>207</v>
      </c>
      <c r="D2364" s="101" t="s">
        <v>2430</v>
      </c>
      <c r="E2364" s="101" t="s">
        <v>577</v>
      </c>
      <c r="F2364" s="109">
        <f t="shared" si="8"/>
        <v>136</v>
      </c>
      <c r="G2364" s="110" t="s">
        <v>2565</v>
      </c>
    </row>
    <row r="2365" ht="15.75" customHeight="1">
      <c r="B2365" s="95"/>
      <c r="C2365" s="108" t="s">
        <v>207</v>
      </c>
      <c r="D2365" s="101" t="s">
        <v>2430</v>
      </c>
      <c r="E2365" s="101" t="s">
        <v>577</v>
      </c>
      <c r="F2365" s="109">
        <f t="shared" si="8"/>
        <v>137</v>
      </c>
      <c r="G2365" s="110" t="s">
        <v>2566</v>
      </c>
    </row>
    <row r="2366" ht="15.75" customHeight="1">
      <c r="B2366" s="95"/>
      <c r="C2366" s="108" t="s">
        <v>207</v>
      </c>
      <c r="D2366" s="101" t="s">
        <v>2430</v>
      </c>
      <c r="E2366" s="101" t="s">
        <v>577</v>
      </c>
      <c r="F2366" s="109">
        <f t="shared" si="8"/>
        <v>138</v>
      </c>
      <c r="G2366" s="110" t="s">
        <v>2567</v>
      </c>
    </row>
    <row r="2367" ht="15.75" customHeight="1">
      <c r="B2367" s="95"/>
      <c r="C2367" s="108" t="s">
        <v>207</v>
      </c>
      <c r="D2367" s="101" t="s">
        <v>2430</v>
      </c>
      <c r="E2367" s="101" t="s">
        <v>577</v>
      </c>
      <c r="F2367" s="109">
        <f t="shared" si="8"/>
        <v>139</v>
      </c>
      <c r="G2367" s="110" t="s">
        <v>2568</v>
      </c>
    </row>
    <row r="2368" ht="15.75" customHeight="1">
      <c r="B2368" s="95"/>
      <c r="C2368" s="108" t="s">
        <v>207</v>
      </c>
      <c r="D2368" s="101" t="s">
        <v>2430</v>
      </c>
      <c r="E2368" s="101" t="s">
        <v>577</v>
      </c>
      <c r="F2368" s="109">
        <f t="shared" si="8"/>
        <v>140</v>
      </c>
      <c r="G2368" s="110" t="s">
        <v>2569</v>
      </c>
    </row>
    <row r="2369" ht="15.75" customHeight="1">
      <c r="B2369" s="95"/>
      <c r="C2369" s="108" t="s">
        <v>207</v>
      </c>
      <c r="D2369" s="101" t="s">
        <v>2430</v>
      </c>
      <c r="E2369" s="101" t="s">
        <v>577</v>
      </c>
      <c r="F2369" s="109">
        <f t="shared" si="8"/>
        <v>141</v>
      </c>
      <c r="G2369" s="110" t="s">
        <v>2570</v>
      </c>
    </row>
    <row r="2370" ht="15.75" customHeight="1">
      <c r="B2370" s="95"/>
      <c r="C2370" s="108" t="s">
        <v>207</v>
      </c>
      <c r="D2370" s="101" t="s">
        <v>2430</v>
      </c>
      <c r="E2370" s="101" t="s">
        <v>577</v>
      </c>
      <c r="F2370" s="109">
        <f t="shared" si="8"/>
        <v>142</v>
      </c>
      <c r="G2370" s="110" t="s">
        <v>2571</v>
      </c>
    </row>
    <row r="2371" ht="15.75" customHeight="1">
      <c r="B2371" s="95"/>
      <c r="C2371" s="108" t="s">
        <v>207</v>
      </c>
      <c r="D2371" s="101" t="s">
        <v>2430</v>
      </c>
      <c r="E2371" s="101" t="s">
        <v>577</v>
      </c>
      <c r="F2371" s="109">
        <f t="shared" si="8"/>
        <v>143</v>
      </c>
      <c r="G2371" s="110" t="s">
        <v>2572</v>
      </c>
    </row>
    <row r="2372" ht="15.75" customHeight="1">
      <c r="B2372" s="95"/>
      <c r="C2372" s="108" t="s">
        <v>207</v>
      </c>
      <c r="D2372" s="101" t="s">
        <v>2430</v>
      </c>
      <c r="E2372" s="101" t="s">
        <v>577</v>
      </c>
      <c r="F2372" s="109">
        <f t="shared" si="8"/>
        <v>144</v>
      </c>
      <c r="G2372" s="110" t="s">
        <v>2573</v>
      </c>
    </row>
    <row r="2373" ht="15.75" customHeight="1">
      <c r="B2373" s="95"/>
      <c r="C2373" s="108" t="s">
        <v>207</v>
      </c>
      <c r="D2373" s="101" t="s">
        <v>2430</v>
      </c>
      <c r="E2373" s="101" t="s">
        <v>577</v>
      </c>
      <c r="F2373" s="109">
        <f t="shared" si="8"/>
        <v>145</v>
      </c>
      <c r="G2373" s="110" t="s">
        <v>2574</v>
      </c>
    </row>
    <row r="2374" ht="15.75" customHeight="1">
      <c r="B2374" s="95"/>
      <c r="C2374" s="108" t="s">
        <v>207</v>
      </c>
      <c r="D2374" s="101" t="s">
        <v>2430</v>
      </c>
      <c r="E2374" s="101" t="s">
        <v>577</v>
      </c>
      <c r="F2374" s="109">
        <f t="shared" si="8"/>
        <v>146</v>
      </c>
      <c r="G2374" s="110" t="s">
        <v>2575</v>
      </c>
    </row>
    <row r="2375" ht="15.75" customHeight="1">
      <c r="B2375" s="95"/>
      <c r="C2375" s="108" t="s">
        <v>207</v>
      </c>
      <c r="D2375" s="101" t="s">
        <v>2430</v>
      </c>
      <c r="E2375" s="101" t="s">
        <v>577</v>
      </c>
      <c r="F2375" s="109">
        <f t="shared" si="8"/>
        <v>147</v>
      </c>
      <c r="G2375" s="110" t="s">
        <v>2576</v>
      </c>
    </row>
    <row r="2376" ht="15.75" customHeight="1">
      <c r="B2376" s="95"/>
      <c r="C2376" s="108" t="s">
        <v>207</v>
      </c>
      <c r="D2376" s="101" t="s">
        <v>2430</v>
      </c>
      <c r="E2376" s="101" t="s">
        <v>577</v>
      </c>
      <c r="F2376" s="109">
        <f t="shared" si="8"/>
        <v>148</v>
      </c>
      <c r="G2376" s="110" t="s">
        <v>2577</v>
      </c>
    </row>
    <row r="2377" ht="15.75" customHeight="1">
      <c r="B2377" s="95"/>
      <c r="C2377" s="108" t="s">
        <v>207</v>
      </c>
      <c r="D2377" s="101" t="s">
        <v>2430</v>
      </c>
      <c r="E2377" s="101" t="s">
        <v>577</v>
      </c>
      <c r="F2377" s="109">
        <f t="shared" si="8"/>
        <v>149</v>
      </c>
      <c r="G2377" s="110" t="s">
        <v>2578</v>
      </c>
    </row>
    <row r="2378" ht="15.75" customHeight="1">
      <c r="B2378" s="95"/>
      <c r="C2378" s="108" t="s">
        <v>207</v>
      </c>
      <c r="D2378" s="101" t="s">
        <v>2430</v>
      </c>
      <c r="E2378" s="101" t="s">
        <v>577</v>
      </c>
      <c r="F2378" s="109">
        <f t="shared" si="8"/>
        <v>150</v>
      </c>
      <c r="G2378" s="110" t="s">
        <v>2579</v>
      </c>
    </row>
    <row r="2379" ht="15.75" customHeight="1">
      <c r="B2379" s="95"/>
      <c r="C2379" s="108" t="s">
        <v>207</v>
      </c>
      <c r="D2379" s="101" t="s">
        <v>2430</v>
      </c>
      <c r="E2379" s="101" t="s">
        <v>577</v>
      </c>
      <c r="F2379" s="109">
        <f t="shared" si="8"/>
        <v>151</v>
      </c>
      <c r="G2379" s="110" t="s">
        <v>2580</v>
      </c>
    </row>
    <row r="2380" ht="15.75" customHeight="1">
      <c r="B2380" s="95"/>
      <c r="C2380" s="108" t="s">
        <v>207</v>
      </c>
      <c r="D2380" s="101" t="s">
        <v>2430</v>
      </c>
      <c r="E2380" s="101" t="s">
        <v>577</v>
      </c>
      <c r="F2380" s="109">
        <f t="shared" si="8"/>
        <v>152</v>
      </c>
      <c r="G2380" s="110" t="s">
        <v>2581</v>
      </c>
    </row>
    <row r="2381" ht="15.75" customHeight="1">
      <c r="B2381" s="95"/>
      <c r="C2381" s="108" t="s">
        <v>207</v>
      </c>
      <c r="D2381" s="101" t="s">
        <v>2430</v>
      </c>
      <c r="E2381" s="101" t="s">
        <v>577</v>
      </c>
      <c r="F2381" s="109">
        <f t="shared" si="8"/>
        <v>153</v>
      </c>
      <c r="G2381" s="110" t="s">
        <v>2582</v>
      </c>
    </row>
    <row r="2382" ht="15.75" customHeight="1">
      <c r="B2382" s="95"/>
      <c r="C2382" s="108" t="s">
        <v>207</v>
      </c>
      <c r="D2382" s="101" t="s">
        <v>2430</v>
      </c>
      <c r="E2382" s="101" t="s">
        <v>577</v>
      </c>
      <c r="F2382" s="109">
        <f t="shared" si="8"/>
        <v>154</v>
      </c>
      <c r="G2382" s="110" t="s">
        <v>2583</v>
      </c>
    </row>
    <row r="2383" ht="15.75" customHeight="1">
      <c r="B2383" s="95"/>
      <c r="C2383" s="108" t="s">
        <v>207</v>
      </c>
      <c r="D2383" s="101" t="s">
        <v>2430</v>
      </c>
      <c r="E2383" s="101" t="s">
        <v>577</v>
      </c>
      <c r="F2383" s="109">
        <f t="shared" si="8"/>
        <v>155</v>
      </c>
      <c r="G2383" s="110" t="s">
        <v>2584</v>
      </c>
    </row>
    <row r="2384" ht="15.75" customHeight="1">
      <c r="B2384" s="95"/>
      <c r="C2384" s="108" t="s">
        <v>207</v>
      </c>
      <c r="D2384" s="101" t="s">
        <v>2430</v>
      </c>
      <c r="E2384" s="101" t="s">
        <v>577</v>
      </c>
      <c r="F2384" s="109">
        <f t="shared" si="8"/>
        <v>156</v>
      </c>
      <c r="G2384" s="110" t="s">
        <v>2585</v>
      </c>
    </row>
    <row r="2385" ht="15.75" customHeight="1">
      <c r="B2385" s="95"/>
      <c r="C2385" s="108" t="s">
        <v>207</v>
      </c>
      <c r="D2385" s="101" t="s">
        <v>2430</v>
      </c>
      <c r="E2385" s="101" t="s">
        <v>577</v>
      </c>
      <c r="F2385" s="109">
        <f t="shared" si="8"/>
        <v>157</v>
      </c>
      <c r="G2385" s="110" t="s">
        <v>2586</v>
      </c>
    </row>
    <row r="2386" ht="15.75" customHeight="1">
      <c r="B2386" s="95"/>
      <c r="C2386" s="108" t="s">
        <v>207</v>
      </c>
      <c r="D2386" s="101" t="s">
        <v>2430</v>
      </c>
      <c r="E2386" s="101" t="s">
        <v>577</v>
      </c>
      <c r="F2386" s="109">
        <f t="shared" si="8"/>
        <v>158</v>
      </c>
      <c r="G2386" s="110" t="s">
        <v>2587</v>
      </c>
    </row>
    <row r="2387" ht="15.75" customHeight="1">
      <c r="B2387" s="95"/>
      <c r="C2387" s="108" t="s">
        <v>207</v>
      </c>
      <c r="D2387" s="101" t="s">
        <v>2430</v>
      </c>
      <c r="E2387" s="101" t="s">
        <v>577</v>
      </c>
      <c r="F2387" s="109">
        <f t="shared" si="8"/>
        <v>159</v>
      </c>
      <c r="G2387" s="110" t="s">
        <v>2588</v>
      </c>
    </row>
    <row r="2388" ht="15.75" customHeight="1">
      <c r="B2388" s="95"/>
      <c r="C2388" s="108" t="s">
        <v>207</v>
      </c>
      <c r="D2388" s="101" t="s">
        <v>2430</v>
      </c>
      <c r="E2388" s="101" t="s">
        <v>577</v>
      </c>
      <c r="F2388" s="109">
        <f t="shared" si="8"/>
        <v>160</v>
      </c>
      <c r="G2388" s="110" t="s">
        <v>2589</v>
      </c>
    </row>
    <row r="2389" ht="15.75" customHeight="1">
      <c r="B2389" s="95"/>
      <c r="C2389" s="108" t="s">
        <v>207</v>
      </c>
      <c r="D2389" s="101" t="s">
        <v>2430</v>
      </c>
      <c r="E2389" s="101" t="s">
        <v>577</v>
      </c>
      <c r="F2389" s="109">
        <f t="shared" si="8"/>
        <v>161</v>
      </c>
      <c r="G2389" s="110" t="s">
        <v>2590</v>
      </c>
    </row>
    <row r="2390" ht="15.75" customHeight="1">
      <c r="B2390" s="95"/>
      <c r="C2390" s="108" t="s">
        <v>207</v>
      </c>
      <c r="D2390" s="101" t="s">
        <v>2430</v>
      </c>
      <c r="E2390" s="101" t="s">
        <v>577</v>
      </c>
      <c r="F2390" s="109">
        <f t="shared" si="8"/>
        <v>162</v>
      </c>
      <c r="G2390" s="110" t="s">
        <v>2591</v>
      </c>
    </row>
    <row r="2391" ht="15.75" customHeight="1">
      <c r="B2391" s="95"/>
      <c r="C2391" s="108" t="s">
        <v>207</v>
      </c>
      <c r="D2391" s="101" t="s">
        <v>2430</v>
      </c>
      <c r="E2391" s="101" t="s">
        <v>577</v>
      </c>
      <c r="F2391" s="109">
        <f t="shared" si="8"/>
        <v>163</v>
      </c>
      <c r="G2391" s="110" t="s">
        <v>2592</v>
      </c>
    </row>
    <row r="2392" ht="15.75" customHeight="1">
      <c r="B2392" s="95"/>
      <c r="C2392" s="108" t="s">
        <v>207</v>
      </c>
      <c r="D2392" s="101" t="s">
        <v>2430</v>
      </c>
      <c r="E2392" s="101" t="s">
        <v>577</v>
      </c>
      <c r="F2392" s="109">
        <f t="shared" si="8"/>
        <v>164</v>
      </c>
      <c r="G2392" s="110" t="s">
        <v>2593</v>
      </c>
    </row>
    <row r="2393" ht="15.75" customHeight="1">
      <c r="B2393" s="95"/>
      <c r="C2393" s="108" t="s">
        <v>207</v>
      </c>
      <c r="D2393" s="101" t="s">
        <v>2430</v>
      </c>
      <c r="E2393" s="101" t="s">
        <v>577</v>
      </c>
      <c r="F2393" s="109">
        <f t="shared" si="8"/>
        <v>165</v>
      </c>
      <c r="G2393" s="110" t="s">
        <v>2595</v>
      </c>
    </row>
    <row r="2394" ht="15.75" customHeight="1">
      <c r="B2394" s="95"/>
      <c r="C2394" s="108" t="s">
        <v>207</v>
      </c>
      <c r="D2394" s="101" t="s">
        <v>2430</v>
      </c>
      <c r="E2394" s="101" t="s">
        <v>577</v>
      </c>
      <c r="F2394" s="109">
        <f t="shared" si="8"/>
        <v>166</v>
      </c>
      <c r="G2394" s="110" t="s">
        <v>2742</v>
      </c>
    </row>
    <row r="2395" ht="15.75" customHeight="1">
      <c r="B2395" s="95"/>
      <c r="C2395" s="108" t="s">
        <v>207</v>
      </c>
      <c r="D2395" s="101" t="s">
        <v>2430</v>
      </c>
      <c r="E2395" s="101" t="s">
        <v>577</v>
      </c>
      <c r="F2395" s="109">
        <f t="shared" si="8"/>
        <v>167</v>
      </c>
      <c r="G2395" s="110" t="s">
        <v>2597</v>
      </c>
    </row>
    <row r="2396" ht="15.75" customHeight="1">
      <c r="B2396" s="95"/>
      <c r="C2396" s="108" t="s">
        <v>207</v>
      </c>
      <c r="D2396" s="101" t="s">
        <v>2430</v>
      </c>
      <c r="E2396" s="101" t="s">
        <v>577</v>
      </c>
      <c r="F2396" s="109">
        <f t="shared" si="8"/>
        <v>168</v>
      </c>
      <c r="G2396" s="110" t="s">
        <v>2743</v>
      </c>
    </row>
    <row r="2397" ht="15.75" customHeight="1">
      <c r="B2397" s="95"/>
      <c r="C2397" s="108" t="s">
        <v>207</v>
      </c>
      <c r="D2397" s="101" t="s">
        <v>2430</v>
      </c>
      <c r="E2397" s="101" t="s">
        <v>577</v>
      </c>
      <c r="F2397" s="109">
        <f t="shared" si="8"/>
        <v>169</v>
      </c>
      <c r="G2397" s="110" t="s">
        <v>2744</v>
      </c>
    </row>
    <row r="2398" ht="15.75" customHeight="1">
      <c r="B2398" s="95"/>
      <c r="C2398" s="108" t="s">
        <v>207</v>
      </c>
      <c r="D2398" s="101" t="s">
        <v>2430</v>
      </c>
      <c r="E2398" s="101" t="s">
        <v>577</v>
      </c>
      <c r="F2398" s="109">
        <f t="shared" si="8"/>
        <v>170</v>
      </c>
      <c r="G2398" s="110" t="s">
        <v>2599</v>
      </c>
    </row>
    <row r="2399" ht="15.75" customHeight="1">
      <c r="B2399" s="95"/>
      <c r="C2399" s="108" t="s">
        <v>207</v>
      </c>
      <c r="D2399" s="101" t="s">
        <v>2430</v>
      </c>
      <c r="E2399" s="101" t="s">
        <v>577</v>
      </c>
      <c r="F2399" s="109">
        <f t="shared" si="8"/>
        <v>171</v>
      </c>
      <c r="G2399" s="110" t="s">
        <v>2601</v>
      </c>
    </row>
    <row r="2400" ht="15.75" customHeight="1">
      <c r="B2400" s="95"/>
      <c r="C2400" s="108" t="s">
        <v>207</v>
      </c>
      <c r="D2400" s="101" t="s">
        <v>2430</v>
      </c>
      <c r="E2400" s="101" t="s">
        <v>577</v>
      </c>
      <c r="F2400" s="109">
        <f t="shared" si="8"/>
        <v>172</v>
      </c>
      <c r="G2400" s="110" t="s">
        <v>2745</v>
      </c>
    </row>
    <row r="2401" ht="15.75" customHeight="1">
      <c r="B2401" s="95"/>
      <c r="C2401" s="108" t="s">
        <v>207</v>
      </c>
      <c r="D2401" s="101" t="s">
        <v>2430</v>
      </c>
      <c r="E2401" s="101" t="s">
        <v>577</v>
      </c>
      <c r="F2401" s="109">
        <f t="shared" si="8"/>
        <v>173</v>
      </c>
      <c r="G2401" s="110" t="s">
        <v>2603</v>
      </c>
    </row>
    <row r="2402" ht="15.75" customHeight="1">
      <c r="B2402" s="95"/>
      <c r="C2402" s="108" t="s">
        <v>207</v>
      </c>
      <c r="D2402" s="101" t="s">
        <v>2430</v>
      </c>
      <c r="E2402" s="101" t="s">
        <v>577</v>
      </c>
      <c r="F2402" s="109">
        <f t="shared" si="8"/>
        <v>174</v>
      </c>
      <c r="G2402" s="110" t="s">
        <v>2746</v>
      </c>
    </row>
    <row r="2403" ht="15.75" customHeight="1">
      <c r="B2403" s="95"/>
      <c r="C2403" s="108" t="s">
        <v>207</v>
      </c>
      <c r="D2403" s="101" t="s">
        <v>2430</v>
      </c>
      <c r="E2403" s="101" t="s">
        <v>577</v>
      </c>
      <c r="F2403" s="109">
        <f t="shared" si="8"/>
        <v>175</v>
      </c>
      <c r="G2403" s="110" t="s">
        <v>2747</v>
      </c>
    </row>
    <row r="2404" ht="15.75" customHeight="1">
      <c r="B2404" s="95"/>
      <c r="C2404" s="108" t="s">
        <v>207</v>
      </c>
      <c r="D2404" s="101" t="s">
        <v>2430</v>
      </c>
      <c r="E2404" s="101" t="s">
        <v>577</v>
      </c>
      <c r="F2404" s="109">
        <f t="shared" si="8"/>
        <v>176</v>
      </c>
      <c r="G2404" s="110" t="s">
        <v>2605</v>
      </c>
    </row>
    <row r="2405" ht="15.75" customHeight="1">
      <c r="B2405" s="95"/>
      <c r="C2405" s="108" t="s">
        <v>207</v>
      </c>
      <c r="D2405" s="101" t="s">
        <v>2430</v>
      </c>
      <c r="E2405" s="101" t="s">
        <v>577</v>
      </c>
      <c r="F2405" s="109">
        <f t="shared" si="8"/>
        <v>177</v>
      </c>
      <c r="G2405" s="110" t="s">
        <v>2748</v>
      </c>
    </row>
    <row r="2406" ht="15.75" customHeight="1">
      <c r="B2406" s="95"/>
      <c r="C2406" s="108" t="s">
        <v>207</v>
      </c>
      <c r="D2406" s="101" t="s">
        <v>2430</v>
      </c>
      <c r="E2406" s="101" t="s">
        <v>577</v>
      </c>
      <c r="F2406" s="109">
        <f t="shared" si="8"/>
        <v>178</v>
      </c>
      <c r="G2406" s="110" t="s">
        <v>2749</v>
      </c>
    </row>
    <row r="2407" ht="15.75" customHeight="1">
      <c r="B2407" s="95"/>
      <c r="C2407" s="108" t="s">
        <v>207</v>
      </c>
      <c r="D2407" s="101" t="s">
        <v>2430</v>
      </c>
      <c r="E2407" s="101" t="s">
        <v>577</v>
      </c>
      <c r="F2407" s="109">
        <f t="shared" si="8"/>
        <v>179</v>
      </c>
      <c r="G2407" s="110" t="s">
        <v>2608</v>
      </c>
    </row>
    <row r="2408" ht="15.75" customHeight="1">
      <c r="B2408" s="95"/>
      <c r="C2408" s="108" t="s">
        <v>207</v>
      </c>
      <c r="D2408" s="101" t="s">
        <v>2430</v>
      </c>
      <c r="E2408" s="101" t="s">
        <v>577</v>
      </c>
      <c r="F2408" s="109">
        <f t="shared" si="8"/>
        <v>180</v>
      </c>
      <c r="G2408" s="110" t="s">
        <v>2610</v>
      </c>
    </row>
    <row r="2409" ht="15.75" customHeight="1">
      <c r="B2409" s="95"/>
      <c r="C2409" s="108" t="s">
        <v>207</v>
      </c>
      <c r="D2409" s="101" t="s">
        <v>2430</v>
      </c>
      <c r="E2409" s="101" t="s">
        <v>577</v>
      </c>
      <c r="F2409" s="109">
        <f t="shared" si="8"/>
        <v>181</v>
      </c>
      <c r="G2409" s="110" t="s">
        <v>2750</v>
      </c>
    </row>
    <row r="2410" ht="15.75" customHeight="1">
      <c r="B2410" s="95"/>
      <c r="C2410" s="108" t="s">
        <v>207</v>
      </c>
      <c r="D2410" s="101" t="s">
        <v>2430</v>
      </c>
      <c r="E2410" s="101" t="s">
        <v>577</v>
      </c>
      <c r="F2410" s="109">
        <f t="shared" si="8"/>
        <v>182</v>
      </c>
      <c r="G2410" s="110" t="s">
        <v>2612</v>
      </c>
    </row>
    <row r="2411" ht="15.75" customHeight="1">
      <c r="B2411" s="95"/>
      <c r="C2411" s="108" t="s">
        <v>207</v>
      </c>
      <c r="D2411" s="101" t="s">
        <v>2430</v>
      </c>
      <c r="E2411" s="101" t="s">
        <v>577</v>
      </c>
      <c r="F2411" s="109">
        <f t="shared" si="8"/>
        <v>183</v>
      </c>
      <c r="G2411" s="110" t="s">
        <v>2751</v>
      </c>
    </row>
    <row r="2412" ht="15.75" customHeight="1">
      <c r="B2412" s="95"/>
      <c r="C2412" s="108" t="s">
        <v>207</v>
      </c>
      <c r="D2412" s="101" t="s">
        <v>2430</v>
      </c>
      <c r="E2412" s="101" t="s">
        <v>577</v>
      </c>
      <c r="F2412" s="109">
        <f t="shared" si="8"/>
        <v>184</v>
      </c>
      <c r="G2412" s="110" t="s">
        <v>2752</v>
      </c>
    </row>
    <row r="2413" ht="15.75" customHeight="1">
      <c r="B2413" s="95"/>
      <c r="C2413" s="108" t="s">
        <v>207</v>
      </c>
      <c r="D2413" s="101" t="s">
        <v>2430</v>
      </c>
      <c r="E2413" s="101" t="s">
        <v>577</v>
      </c>
      <c r="F2413" s="109">
        <f t="shared" si="8"/>
        <v>185</v>
      </c>
      <c r="G2413" s="110" t="s">
        <v>2614</v>
      </c>
    </row>
    <row r="2414" ht="15.75" customHeight="1">
      <c r="B2414" s="95"/>
      <c r="C2414" s="108" t="s">
        <v>207</v>
      </c>
      <c r="D2414" s="101" t="s">
        <v>2430</v>
      </c>
      <c r="E2414" s="101" t="s">
        <v>577</v>
      </c>
      <c r="F2414" s="109">
        <f t="shared" si="8"/>
        <v>186</v>
      </c>
      <c r="G2414" s="110" t="s">
        <v>2616</v>
      </c>
    </row>
    <row r="2415" ht="15.75" customHeight="1">
      <c r="B2415" s="95"/>
      <c r="C2415" s="108" t="s">
        <v>207</v>
      </c>
      <c r="D2415" s="101" t="s">
        <v>2430</v>
      </c>
      <c r="E2415" s="101" t="s">
        <v>577</v>
      </c>
      <c r="F2415" s="109">
        <f t="shared" si="8"/>
        <v>187</v>
      </c>
      <c r="G2415" s="110" t="s">
        <v>2753</v>
      </c>
    </row>
    <row r="2416" ht="15.75" customHeight="1">
      <c r="B2416" s="95"/>
      <c r="C2416" s="108" t="s">
        <v>207</v>
      </c>
      <c r="D2416" s="101" t="s">
        <v>2430</v>
      </c>
      <c r="E2416" s="101" t="s">
        <v>577</v>
      </c>
      <c r="F2416" s="109">
        <f t="shared" si="8"/>
        <v>188</v>
      </c>
      <c r="G2416" s="110" t="s">
        <v>2618</v>
      </c>
    </row>
    <row r="2417" ht="15.75" customHeight="1">
      <c r="B2417" s="95"/>
      <c r="C2417" s="108" t="s">
        <v>207</v>
      </c>
      <c r="D2417" s="101" t="s">
        <v>2430</v>
      </c>
      <c r="E2417" s="101" t="s">
        <v>577</v>
      </c>
      <c r="F2417" s="109">
        <f t="shared" si="8"/>
        <v>189</v>
      </c>
      <c r="G2417" s="110" t="s">
        <v>2754</v>
      </c>
    </row>
    <row r="2418" ht="15.75" customHeight="1">
      <c r="B2418" s="95"/>
      <c r="C2418" s="108" t="s">
        <v>207</v>
      </c>
      <c r="D2418" s="101" t="s">
        <v>2430</v>
      </c>
      <c r="E2418" s="101" t="s">
        <v>577</v>
      </c>
      <c r="F2418" s="109">
        <f t="shared" si="8"/>
        <v>190</v>
      </c>
      <c r="G2418" s="110" t="s">
        <v>2755</v>
      </c>
    </row>
    <row r="2419" ht="15.75" customHeight="1">
      <c r="B2419" s="95"/>
      <c r="C2419" s="108" t="s">
        <v>207</v>
      </c>
      <c r="D2419" s="101" t="s">
        <v>2430</v>
      </c>
      <c r="E2419" s="101" t="s">
        <v>577</v>
      </c>
      <c r="F2419" s="109">
        <f t="shared" si="8"/>
        <v>191</v>
      </c>
      <c r="G2419" s="110" t="s">
        <v>2620</v>
      </c>
    </row>
    <row r="2420" ht="15.75" customHeight="1">
      <c r="B2420" s="95"/>
      <c r="C2420" s="108" t="s">
        <v>207</v>
      </c>
      <c r="D2420" s="101" t="s">
        <v>2430</v>
      </c>
      <c r="E2420" s="101" t="s">
        <v>577</v>
      </c>
      <c r="F2420" s="109">
        <f t="shared" si="8"/>
        <v>192</v>
      </c>
      <c r="G2420" s="110" t="s">
        <v>2756</v>
      </c>
    </row>
    <row r="2421" ht="15.75" customHeight="1">
      <c r="B2421" s="95"/>
      <c r="C2421" s="108" t="s">
        <v>207</v>
      </c>
      <c r="D2421" s="101" t="s">
        <v>2430</v>
      </c>
      <c r="E2421" s="101" t="s">
        <v>577</v>
      </c>
      <c r="F2421" s="109">
        <f t="shared" si="8"/>
        <v>193</v>
      </c>
      <c r="G2421" s="110" t="s">
        <v>2757</v>
      </c>
    </row>
    <row r="2422" ht="15.75" customHeight="1">
      <c r="B2422" s="95"/>
      <c r="C2422" s="108" t="s">
        <v>207</v>
      </c>
      <c r="D2422" s="101" t="s">
        <v>2430</v>
      </c>
      <c r="E2422" s="101" t="s">
        <v>577</v>
      </c>
      <c r="F2422" s="109">
        <f t="shared" si="8"/>
        <v>194</v>
      </c>
      <c r="G2422" s="110" t="s">
        <v>2623</v>
      </c>
    </row>
    <row r="2423" ht="15.75" customHeight="1">
      <c r="B2423" s="95"/>
      <c r="C2423" s="108" t="s">
        <v>207</v>
      </c>
      <c r="D2423" s="101" t="s">
        <v>2430</v>
      </c>
      <c r="E2423" s="101" t="s">
        <v>577</v>
      </c>
      <c r="F2423" s="109">
        <f t="shared" si="8"/>
        <v>195</v>
      </c>
      <c r="G2423" s="110" t="s">
        <v>2624</v>
      </c>
    </row>
    <row r="2424" ht="15.75" customHeight="1">
      <c r="B2424" s="95"/>
      <c r="C2424" s="108" t="s">
        <v>207</v>
      </c>
      <c r="D2424" s="101" t="s">
        <v>2430</v>
      </c>
      <c r="E2424" s="101" t="s">
        <v>577</v>
      </c>
      <c r="F2424" s="109">
        <f t="shared" si="8"/>
        <v>196</v>
      </c>
      <c r="G2424" s="110" t="s">
        <v>2626</v>
      </c>
    </row>
    <row r="2425" ht="15.75" customHeight="1">
      <c r="B2425" s="95"/>
      <c r="C2425" s="108" t="s">
        <v>207</v>
      </c>
      <c r="D2425" s="101" t="s">
        <v>2430</v>
      </c>
      <c r="E2425" s="101" t="s">
        <v>577</v>
      </c>
      <c r="F2425" s="109">
        <f t="shared" si="8"/>
        <v>197</v>
      </c>
      <c r="G2425" s="110" t="s">
        <v>2758</v>
      </c>
    </row>
    <row r="2426" ht="15.75" customHeight="1">
      <c r="B2426" s="95"/>
      <c r="C2426" s="108" t="s">
        <v>207</v>
      </c>
      <c r="D2426" s="101" t="s">
        <v>2430</v>
      </c>
      <c r="E2426" s="101" t="s">
        <v>577</v>
      </c>
      <c r="F2426" s="109">
        <f t="shared" si="8"/>
        <v>198</v>
      </c>
      <c r="G2426" s="110" t="s">
        <v>2628</v>
      </c>
    </row>
    <row r="2427" ht="15.75" customHeight="1">
      <c r="B2427" s="95"/>
      <c r="C2427" s="108" t="s">
        <v>207</v>
      </c>
      <c r="D2427" s="101" t="s">
        <v>2430</v>
      </c>
      <c r="E2427" s="101" t="s">
        <v>577</v>
      </c>
      <c r="F2427" s="109">
        <f t="shared" si="8"/>
        <v>199</v>
      </c>
      <c r="G2427" s="110" t="s">
        <v>2759</v>
      </c>
    </row>
    <row r="2428" ht="15.75" customHeight="1">
      <c r="B2428" s="95"/>
      <c r="C2428" s="108" t="s">
        <v>207</v>
      </c>
      <c r="D2428" s="101" t="s">
        <v>2430</v>
      </c>
      <c r="E2428" s="101" t="s">
        <v>577</v>
      </c>
      <c r="F2428" s="109">
        <f t="shared" si="8"/>
        <v>200</v>
      </c>
      <c r="G2428" s="110" t="s">
        <v>2760</v>
      </c>
    </row>
    <row r="2429" ht="15.75" customHeight="1">
      <c r="B2429" s="95"/>
      <c r="C2429" s="108" t="s">
        <v>207</v>
      </c>
      <c r="D2429" s="101" t="s">
        <v>2430</v>
      </c>
      <c r="E2429" s="101" t="s">
        <v>577</v>
      </c>
      <c r="F2429" s="109">
        <f t="shared" si="8"/>
        <v>201</v>
      </c>
      <c r="G2429" s="110" t="s">
        <v>2630</v>
      </c>
    </row>
    <row r="2430" ht="15.75" customHeight="1">
      <c r="B2430" s="95"/>
      <c r="C2430" s="108" t="s">
        <v>207</v>
      </c>
      <c r="D2430" s="101" t="s">
        <v>2430</v>
      </c>
      <c r="E2430" s="101" t="s">
        <v>577</v>
      </c>
      <c r="F2430" s="109">
        <f t="shared" si="8"/>
        <v>202</v>
      </c>
      <c r="G2430" s="110" t="s">
        <v>2632</v>
      </c>
    </row>
    <row r="2431" ht="15.75" customHeight="1">
      <c r="B2431" s="95"/>
      <c r="C2431" s="108" t="s">
        <v>207</v>
      </c>
      <c r="D2431" s="101" t="s">
        <v>2430</v>
      </c>
      <c r="E2431" s="101" t="s">
        <v>577</v>
      </c>
      <c r="F2431" s="109">
        <f t="shared" si="8"/>
        <v>203</v>
      </c>
      <c r="G2431" s="110" t="s">
        <v>2761</v>
      </c>
    </row>
    <row r="2432" ht="15.75" customHeight="1">
      <c r="B2432" s="95"/>
      <c r="C2432" s="108" t="s">
        <v>207</v>
      </c>
      <c r="D2432" s="101" t="s">
        <v>2430</v>
      </c>
      <c r="E2432" s="101" t="s">
        <v>577</v>
      </c>
      <c r="F2432" s="109">
        <f t="shared" si="8"/>
        <v>204</v>
      </c>
      <c r="G2432" s="110" t="s">
        <v>2634</v>
      </c>
    </row>
    <row r="2433" ht="15.75" customHeight="1">
      <c r="B2433" s="95"/>
      <c r="C2433" s="108" t="s">
        <v>207</v>
      </c>
      <c r="D2433" s="101" t="s">
        <v>2430</v>
      </c>
      <c r="E2433" s="101" t="s">
        <v>577</v>
      </c>
      <c r="F2433" s="109">
        <f t="shared" si="8"/>
        <v>205</v>
      </c>
      <c r="G2433" s="110" t="s">
        <v>2762</v>
      </c>
    </row>
    <row r="2434" ht="15.75" customHeight="1">
      <c r="B2434" s="95"/>
      <c r="C2434" s="108" t="s">
        <v>207</v>
      </c>
      <c r="D2434" s="101" t="s">
        <v>2430</v>
      </c>
      <c r="E2434" s="101" t="s">
        <v>577</v>
      </c>
      <c r="F2434" s="109">
        <f t="shared" si="8"/>
        <v>206</v>
      </c>
      <c r="G2434" s="110" t="s">
        <v>2763</v>
      </c>
    </row>
    <row r="2435" ht="15.75" customHeight="1">
      <c r="B2435" s="95"/>
      <c r="C2435" s="108" t="s">
        <v>207</v>
      </c>
      <c r="D2435" s="101" t="s">
        <v>2430</v>
      </c>
      <c r="E2435" s="101" t="s">
        <v>577</v>
      </c>
      <c r="F2435" s="109">
        <f t="shared" si="8"/>
        <v>207</v>
      </c>
      <c r="G2435" s="110" t="s">
        <v>2636</v>
      </c>
    </row>
    <row r="2436" ht="15.75" customHeight="1">
      <c r="B2436" s="95"/>
      <c r="C2436" s="108" t="s">
        <v>207</v>
      </c>
      <c r="D2436" s="101" t="s">
        <v>2430</v>
      </c>
      <c r="E2436" s="101" t="s">
        <v>577</v>
      </c>
      <c r="F2436" s="109">
        <f t="shared" si="8"/>
        <v>208</v>
      </c>
      <c r="G2436" s="110" t="s">
        <v>2764</v>
      </c>
    </row>
    <row r="2437" ht="15.75" customHeight="1">
      <c r="B2437" s="95"/>
      <c r="C2437" s="108" t="s">
        <v>207</v>
      </c>
      <c r="D2437" s="101" t="s">
        <v>2430</v>
      </c>
      <c r="E2437" s="101" t="s">
        <v>577</v>
      </c>
      <c r="F2437" s="109">
        <f t="shared" si="8"/>
        <v>209</v>
      </c>
      <c r="G2437" s="110" t="s">
        <v>2765</v>
      </c>
    </row>
    <row r="2438" ht="15.75" customHeight="1">
      <c r="B2438" s="95"/>
      <c r="C2438" s="108" t="s">
        <v>207</v>
      </c>
      <c r="D2438" s="101" t="s">
        <v>2430</v>
      </c>
      <c r="E2438" s="101" t="s">
        <v>577</v>
      </c>
      <c r="F2438" s="109">
        <f t="shared" si="8"/>
        <v>210</v>
      </c>
      <c r="G2438" s="110" t="s">
        <v>2639</v>
      </c>
    </row>
    <row r="2439" ht="15.75" customHeight="1">
      <c r="B2439" s="95"/>
      <c r="C2439" s="108" t="s">
        <v>207</v>
      </c>
      <c r="D2439" s="101" t="s">
        <v>2430</v>
      </c>
      <c r="E2439" s="101" t="s">
        <v>577</v>
      </c>
      <c r="F2439" s="109">
        <f t="shared" si="8"/>
        <v>211</v>
      </c>
      <c r="G2439" s="110" t="s">
        <v>2641</v>
      </c>
    </row>
    <row r="2440" ht="15.75" customHeight="1">
      <c r="B2440" s="95"/>
      <c r="C2440" s="108" t="s">
        <v>207</v>
      </c>
      <c r="D2440" s="101" t="s">
        <v>2430</v>
      </c>
      <c r="E2440" s="101" t="s">
        <v>577</v>
      </c>
      <c r="F2440" s="109">
        <f t="shared" si="8"/>
        <v>212</v>
      </c>
      <c r="G2440" s="110" t="s">
        <v>2766</v>
      </c>
    </row>
    <row r="2441" ht="15.75" customHeight="1">
      <c r="B2441" s="95"/>
      <c r="C2441" s="108" t="s">
        <v>207</v>
      </c>
      <c r="D2441" s="101" t="s">
        <v>2430</v>
      </c>
      <c r="E2441" s="101" t="s">
        <v>577</v>
      </c>
      <c r="F2441" s="109">
        <f t="shared" si="8"/>
        <v>213</v>
      </c>
      <c r="G2441" s="110" t="s">
        <v>2643</v>
      </c>
    </row>
    <row r="2442" ht="15.75" customHeight="1">
      <c r="B2442" s="95"/>
      <c r="C2442" s="108" t="s">
        <v>207</v>
      </c>
      <c r="D2442" s="101" t="s">
        <v>2430</v>
      </c>
      <c r="E2442" s="101" t="s">
        <v>577</v>
      </c>
      <c r="F2442" s="109">
        <f t="shared" si="8"/>
        <v>214</v>
      </c>
      <c r="G2442" s="110" t="s">
        <v>2767</v>
      </c>
    </row>
    <row r="2443" ht="15.75" customHeight="1">
      <c r="B2443" s="95"/>
      <c r="C2443" s="108" t="s">
        <v>207</v>
      </c>
      <c r="D2443" s="101" t="s">
        <v>2430</v>
      </c>
      <c r="E2443" s="101" t="s">
        <v>577</v>
      </c>
      <c r="F2443" s="109">
        <f t="shared" si="8"/>
        <v>215</v>
      </c>
      <c r="G2443" s="110" t="s">
        <v>2768</v>
      </c>
    </row>
    <row r="2444" ht="15.75" customHeight="1">
      <c r="B2444" s="95"/>
      <c r="C2444" s="108" t="s">
        <v>207</v>
      </c>
      <c r="D2444" s="101" t="s">
        <v>2430</v>
      </c>
      <c r="E2444" s="101" t="s">
        <v>577</v>
      </c>
      <c r="F2444" s="109">
        <f t="shared" si="8"/>
        <v>216</v>
      </c>
      <c r="G2444" s="110" t="s">
        <v>2645</v>
      </c>
    </row>
    <row r="2445" ht="15.75" customHeight="1">
      <c r="B2445" s="95"/>
      <c r="C2445" s="108" t="s">
        <v>207</v>
      </c>
      <c r="D2445" s="101" t="s">
        <v>2430</v>
      </c>
      <c r="E2445" s="101" t="s">
        <v>577</v>
      </c>
      <c r="F2445" s="109">
        <f t="shared" si="8"/>
        <v>217</v>
      </c>
      <c r="G2445" s="110" t="s">
        <v>2647</v>
      </c>
    </row>
    <row r="2446" ht="15.75" customHeight="1">
      <c r="B2446" s="95"/>
      <c r="C2446" s="108" t="s">
        <v>207</v>
      </c>
      <c r="D2446" s="101" t="s">
        <v>2430</v>
      </c>
      <c r="E2446" s="101" t="s">
        <v>577</v>
      </c>
      <c r="F2446" s="109">
        <f t="shared" si="8"/>
        <v>218</v>
      </c>
      <c r="G2446" s="110" t="s">
        <v>2769</v>
      </c>
    </row>
    <row r="2447" ht="15.75" customHeight="1">
      <c r="B2447" s="95"/>
      <c r="C2447" s="108" t="s">
        <v>207</v>
      </c>
      <c r="D2447" s="101" t="s">
        <v>2430</v>
      </c>
      <c r="E2447" s="101" t="s">
        <v>577</v>
      </c>
      <c r="F2447" s="109">
        <f t="shared" si="8"/>
        <v>219</v>
      </c>
      <c r="G2447" s="110" t="s">
        <v>2649</v>
      </c>
    </row>
    <row r="2448" ht="15.75" customHeight="1">
      <c r="B2448" s="95"/>
      <c r="C2448" s="108" t="s">
        <v>207</v>
      </c>
      <c r="D2448" s="101" t="s">
        <v>2430</v>
      </c>
      <c r="E2448" s="101" t="s">
        <v>577</v>
      </c>
      <c r="F2448" s="109">
        <f t="shared" si="8"/>
        <v>220</v>
      </c>
      <c r="G2448" s="110" t="s">
        <v>2770</v>
      </c>
    </row>
    <row r="2449" ht="15.75" customHeight="1">
      <c r="B2449" s="95"/>
      <c r="C2449" s="108" t="s">
        <v>207</v>
      </c>
      <c r="D2449" s="101" t="s">
        <v>2430</v>
      </c>
      <c r="E2449" s="101" t="s">
        <v>577</v>
      </c>
      <c r="F2449" s="109">
        <f t="shared" si="8"/>
        <v>221</v>
      </c>
      <c r="G2449" s="110" t="s">
        <v>2771</v>
      </c>
    </row>
    <row r="2450" ht="15.75" customHeight="1">
      <c r="B2450" s="95"/>
      <c r="C2450" s="108" t="s">
        <v>207</v>
      </c>
      <c r="D2450" s="101" t="s">
        <v>2430</v>
      </c>
      <c r="E2450" s="101" t="s">
        <v>577</v>
      </c>
      <c r="F2450" s="109">
        <f t="shared" si="8"/>
        <v>222</v>
      </c>
      <c r="G2450" s="110" t="s">
        <v>2651</v>
      </c>
    </row>
    <row r="2451" ht="15.75" customHeight="1">
      <c r="B2451" s="95"/>
      <c r="C2451" s="108" t="s">
        <v>207</v>
      </c>
      <c r="D2451" s="101" t="s">
        <v>2430</v>
      </c>
      <c r="E2451" s="101" t="s">
        <v>577</v>
      </c>
      <c r="F2451" s="109">
        <f t="shared" si="8"/>
        <v>223</v>
      </c>
      <c r="G2451" s="110" t="s">
        <v>2772</v>
      </c>
    </row>
    <row r="2452" ht="15.75" customHeight="1">
      <c r="B2452" s="95"/>
      <c r="C2452" s="108" t="s">
        <v>207</v>
      </c>
      <c r="D2452" s="101" t="s">
        <v>2430</v>
      </c>
      <c r="E2452" s="101" t="s">
        <v>577</v>
      </c>
      <c r="F2452" s="109">
        <f t="shared" si="8"/>
        <v>224</v>
      </c>
      <c r="G2452" s="110" t="s">
        <v>2773</v>
      </c>
    </row>
    <row r="2453" ht="15.75" customHeight="1">
      <c r="B2453" s="95"/>
      <c r="C2453" s="108" t="s">
        <v>207</v>
      </c>
      <c r="D2453" s="101" t="s">
        <v>2430</v>
      </c>
      <c r="E2453" s="101" t="s">
        <v>577</v>
      </c>
      <c r="F2453" s="109">
        <f t="shared" si="8"/>
        <v>225</v>
      </c>
      <c r="G2453" s="110" t="s">
        <v>2654</v>
      </c>
    </row>
    <row r="2454" ht="15.75" customHeight="1">
      <c r="B2454" s="95"/>
      <c r="C2454" s="108" t="s">
        <v>207</v>
      </c>
      <c r="D2454" s="101" t="s">
        <v>2430</v>
      </c>
      <c r="E2454" s="101" t="s">
        <v>577</v>
      </c>
      <c r="F2454" s="109">
        <f t="shared" si="8"/>
        <v>226</v>
      </c>
      <c r="G2454" s="110" t="s">
        <v>2774</v>
      </c>
    </row>
    <row r="2455" ht="15.75" customHeight="1">
      <c r="B2455" s="95"/>
      <c r="C2455" s="108" t="s">
        <v>207</v>
      </c>
      <c r="D2455" s="101" t="s">
        <v>2430</v>
      </c>
      <c r="E2455" s="101" t="s">
        <v>577</v>
      </c>
      <c r="F2455" s="109">
        <f t="shared" si="8"/>
        <v>227</v>
      </c>
      <c r="G2455" s="110" t="s">
        <v>2656</v>
      </c>
    </row>
    <row r="2456" ht="15.75" customHeight="1">
      <c r="B2456" s="95"/>
      <c r="C2456" s="108" t="s">
        <v>207</v>
      </c>
      <c r="D2456" s="101" t="s">
        <v>2430</v>
      </c>
      <c r="E2456" s="101" t="s">
        <v>577</v>
      </c>
      <c r="F2456" s="109">
        <f t="shared" si="8"/>
        <v>228</v>
      </c>
      <c r="G2456" s="110" t="s">
        <v>2775</v>
      </c>
    </row>
    <row r="2457" ht="15.75" customHeight="1">
      <c r="B2457" s="95"/>
      <c r="C2457" s="108" t="s">
        <v>207</v>
      </c>
      <c r="D2457" s="101" t="s">
        <v>2430</v>
      </c>
      <c r="E2457" s="101" t="s">
        <v>577</v>
      </c>
      <c r="F2457" s="109">
        <f t="shared" si="8"/>
        <v>229</v>
      </c>
      <c r="G2457" s="110" t="s">
        <v>2658</v>
      </c>
    </row>
    <row r="2458" ht="15.75" customHeight="1">
      <c r="B2458" s="95"/>
      <c r="C2458" s="108" t="s">
        <v>207</v>
      </c>
      <c r="D2458" s="101" t="s">
        <v>2430</v>
      </c>
      <c r="E2458" s="101" t="s">
        <v>577</v>
      </c>
      <c r="F2458" s="109">
        <f t="shared" si="8"/>
        <v>230</v>
      </c>
      <c r="G2458" s="110" t="s">
        <v>2776</v>
      </c>
    </row>
    <row r="2459" ht="15.75" customHeight="1">
      <c r="B2459" s="95"/>
      <c r="C2459" s="108" t="s">
        <v>207</v>
      </c>
      <c r="D2459" s="101" t="s">
        <v>2430</v>
      </c>
      <c r="E2459" s="101" t="s">
        <v>577</v>
      </c>
      <c r="F2459" s="109">
        <f t="shared" si="8"/>
        <v>231</v>
      </c>
      <c r="G2459" s="110" t="s">
        <v>2660</v>
      </c>
    </row>
    <row r="2460" ht="15.75" customHeight="1">
      <c r="B2460" s="95"/>
      <c r="C2460" s="108" t="s">
        <v>207</v>
      </c>
      <c r="D2460" s="101" t="s">
        <v>2430</v>
      </c>
      <c r="E2460" s="101" t="s">
        <v>577</v>
      </c>
      <c r="F2460" s="109">
        <f t="shared" si="8"/>
        <v>232</v>
      </c>
      <c r="G2460" s="110" t="s">
        <v>2777</v>
      </c>
    </row>
    <row r="2461" ht="15.75" customHeight="1">
      <c r="B2461" s="95"/>
      <c r="C2461" s="108" t="s">
        <v>207</v>
      </c>
      <c r="D2461" s="101" t="s">
        <v>2430</v>
      </c>
      <c r="E2461" s="101" t="s">
        <v>577</v>
      </c>
      <c r="F2461" s="109">
        <f t="shared" si="8"/>
        <v>233</v>
      </c>
      <c r="G2461" s="110" t="s">
        <v>2662</v>
      </c>
    </row>
    <row r="2462" ht="15.75" customHeight="1">
      <c r="B2462" s="95"/>
      <c r="C2462" s="108" t="s">
        <v>207</v>
      </c>
      <c r="D2462" s="101" t="s">
        <v>2430</v>
      </c>
      <c r="E2462" s="101" t="s">
        <v>577</v>
      </c>
      <c r="F2462" s="109">
        <f t="shared" si="8"/>
        <v>234</v>
      </c>
      <c r="G2462" s="110" t="s">
        <v>2778</v>
      </c>
    </row>
    <row r="2463" ht="15.75" customHeight="1">
      <c r="B2463" s="95"/>
      <c r="C2463" s="108" t="s">
        <v>207</v>
      </c>
      <c r="D2463" s="101" t="s">
        <v>2430</v>
      </c>
      <c r="E2463" s="101" t="s">
        <v>577</v>
      </c>
      <c r="F2463" s="109">
        <f t="shared" si="8"/>
        <v>235</v>
      </c>
      <c r="G2463" s="110" t="s">
        <v>2664</v>
      </c>
    </row>
    <row r="2464" ht="15.75" customHeight="1">
      <c r="B2464" s="95"/>
      <c r="C2464" s="108" t="s">
        <v>207</v>
      </c>
      <c r="D2464" s="101" t="s">
        <v>2430</v>
      </c>
      <c r="E2464" s="101" t="s">
        <v>577</v>
      </c>
      <c r="F2464" s="109">
        <f t="shared" si="8"/>
        <v>236</v>
      </c>
      <c r="G2464" s="110" t="s">
        <v>2779</v>
      </c>
    </row>
    <row r="2465" ht="15.75" customHeight="1">
      <c r="B2465" s="95"/>
      <c r="C2465" s="108" t="s">
        <v>207</v>
      </c>
      <c r="D2465" s="101" t="s">
        <v>2430</v>
      </c>
      <c r="E2465" s="101" t="s">
        <v>577</v>
      </c>
      <c r="F2465" s="109">
        <f t="shared" si="8"/>
        <v>237</v>
      </c>
      <c r="G2465" s="110" t="s">
        <v>2666</v>
      </c>
    </row>
    <row r="2466" ht="15.75" customHeight="1">
      <c r="B2466" s="95"/>
      <c r="C2466" s="108" t="s">
        <v>207</v>
      </c>
      <c r="D2466" s="101" t="s">
        <v>2430</v>
      </c>
      <c r="E2466" s="101" t="s">
        <v>577</v>
      </c>
      <c r="F2466" s="109">
        <f t="shared" si="8"/>
        <v>238</v>
      </c>
      <c r="G2466" s="110" t="s">
        <v>2780</v>
      </c>
    </row>
    <row r="2467" ht="15.75" customHeight="1">
      <c r="B2467" s="95"/>
      <c r="C2467" s="108" t="s">
        <v>207</v>
      </c>
      <c r="D2467" s="101" t="s">
        <v>2430</v>
      </c>
      <c r="E2467" s="101" t="s">
        <v>577</v>
      </c>
      <c r="F2467" s="109">
        <f t="shared" si="8"/>
        <v>239</v>
      </c>
      <c r="G2467" s="110" t="s">
        <v>2781</v>
      </c>
    </row>
    <row r="2468" ht="15.75" customHeight="1">
      <c r="B2468" s="95"/>
      <c r="C2468" s="108" t="s">
        <v>207</v>
      </c>
      <c r="D2468" s="101" t="s">
        <v>2430</v>
      </c>
      <c r="E2468" s="101" t="s">
        <v>577</v>
      </c>
      <c r="F2468" s="109">
        <f t="shared" si="8"/>
        <v>240</v>
      </c>
      <c r="G2468" s="110" t="s">
        <v>2782</v>
      </c>
    </row>
    <row r="2469" ht="15.75" customHeight="1">
      <c r="B2469" s="95"/>
      <c r="C2469" s="108" t="s">
        <v>207</v>
      </c>
      <c r="D2469" s="101" t="s">
        <v>2430</v>
      </c>
      <c r="E2469" s="101" t="s">
        <v>577</v>
      </c>
      <c r="F2469" s="109">
        <f t="shared" si="8"/>
        <v>241</v>
      </c>
      <c r="G2469" s="110" t="s">
        <v>2783</v>
      </c>
    </row>
    <row r="2470" ht="15.75" customHeight="1">
      <c r="B2470" s="95"/>
      <c r="C2470" s="108" t="s">
        <v>207</v>
      </c>
      <c r="D2470" s="101" t="s">
        <v>2430</v>
      </c>
      <c r="E2470" s="101" t="s">
        <v>577</v>
      </c>
      <c r="F2470" s="109">
        <f t="shared" si="8"/>
        <v>242</v>
      </c>
      <c r="G2470" s="110" t="s">
        <v>2784</v>
      </c>
    </row>
    <row r="2471" ht="15.75" customHeight="1">
      <c r="B2471" s="95"/>
      <c r="C2471" s="108" t="s">
        <v>207</v>
      </c>
      <c r="D2471" s="101" t="s">
        <v>2430</v>
      </c>
      <c r="E2471" s="101" t="s">
        <v>577</v>
      </c>
      <c r="F2471" s="109">
        <f t="shared" si="8"/>
        <v>243</v>
      </c>
      <c r="G2471" s="110" t="s">
        <v>2668</v>
      </c>
    </row>
    <row r="2472" ht="15.75" customHeight="1">
      <c r="B2472" s="95"/>
      <c r="C2472" s="108" t="s">
        <v>207</v>
      </c>
      <c r="D2472" s="101" t="s">
        <v>2430</v>
      </c>
      <c r="E2472" s="101" t="s">
        <v>577</v>
      </c>
      <c r="F2472" s="109">
        <f t="shared" si="8"/>
        <v>244</v>
      </c>
      <c r="G2472" s="110" t="s">
        <v>2785</v>
      </c>
    </row>
    <row r="2473" ht="15.75" customHeight="1">
      <c r="B2473" s="95"/>
      <c r="C2473" s="108" t="s">
        <v>207</v>
      </c>
      <c r="D2473" s="101" t="s">
        <v>2430</v>
      </c>
      <c r="E2473" s="101" t="s">
        <v>577</v>
      </c>
      <c r="F2473" s="109">
        <f t="shared" si="8"/>
        <v>245</v>
      </c>
      <c r="G2473" s="110" t="s">
        <v>2786</v>
      </c>
    </row>
    <row r="2474" ht="15.75" customHeight="1">
      <c r="B2474" s="95"/>
      <c r="C2474" s="108" t="s">
        <v>207</v>
      </c>
      <c r="D2474" s="101" t="s">
        <v>2430</v>
      </c>
      <c r="E2474" s="101" t="s">
        <v>577</v>
      </c>
      <c r="F2474" s="109">
        <f t="shared" si="8"/>
        <v>246</v>
      </c>
      <c r="G2474" s="110" t="s">
        <v>2669</v>
      </c>
    </row>
    <row r="2475" ht="15.75" customHeight="1">
      <c r="B2475" s="95"/>
      <c r="C2475" s="108" t="s">
        <v>207</v>
      </c>
      <c r="D2475" s="101" t="s">
        <v>2430</v>
      </c>
      <c r="E2475" s="101" t="s">
        <v>577</v>
      </c>
      <c r="F2475" s="109">
        <f t="shared" si="8"/>
        <v>247</v>
      </c>
      <c r="G2475" s="110" t="s">
        <v>2787</v>
      </c>
    </row>
    <row r="2476" ht="15.75" customHeight="1">
      <c r="B2476" s="95"/>
      <c r="C2476" s="108" t="s">
        <v>207</v>
      </c>
      <c r="D2476" s="101" t="s">
        <v>2430</v>
      </c>
      <c r="E2476" s="101" t="s">
        <v>577</v>
      </c>
      <c r="F2476" s="109">
        <f t="shared" si="8"/>
        <v>248</v>
      </c>
      <c r="G2476" s="110" t="s">
        <v>2788</v>
      </c>
    </row>
    <row r="2477" ht="15.75" customHeight="1">
      <c r="B2477" s="95"/>
      <c r="C2477" s="108" t="s">
        <v>207</v>
      </c>
      <c r="D2477" s="101" t="s">
        <v>2430</v>
      </c>
      <c r="E2477" s="101" t="s">
        <v>577</v>
      </c>
      <c r="F2477" s="109">
        <f t="shared" si="8"/>
        <v>249</v>
      </c>
      <c r="G2477" s="110" t="s">
        <v>2789</v>
      </c>
    </row>
    <row r="2478" ht="15.75" customHeight="1">
      <c r="B2478" s="95"/>
      <c r="C2478" s="108" t="s">
        <v>207</v>
      </c>
      <c r="D2478" s="101" t="s">
        <v>2430</v>
      </c>
      <c r="E2478" s="101" t="s">
        <v>577</v>
      </c>
      <c r="F2478" s="109">
        <f t="shared" si="8"/>
        <v>250</v>
      </c>
      <c r="G2478" s="110" t="s">
        <v>2790</v>
      </c>
    </row>
    <row r="2479" ht="15.75" customHeight="1">
      <c r="B2479" s="95"/>
      <c r="C2479" s="108" t="s">
        <v>207</v>
      </c>
      <c r="D2479" s="101" t="s">
        <v>2430</v>
      </c>
      <c r="E2479" s="101" t="s">
        <v>577</v>
      </c>
      <c r="F2479" s="109">
        <f t="shared" si="8"/>
        <v>251</v>
      </c>
      <c r="G2479" s="110" t="s">
        <v>2791</v>
      </c>
    </row>
    <row r="2480" ht="15.75" customHeight="1">
      <c r="B2480" s="95"/>
      <c r="C2480" s="108" t="s">
        <v>207</v>
      </c>
      <c r="D2480" s="101" t="s">
        <v>2430</v>
      </c>
      <c r="E2480" s="101" t="s">
        <v>577</v>
      </c>
      <c r="F2480" s="109">
        <f t="shared" si="8"/>
        <v>252</v>
      </c>
      <c r="G2480" s="110" t="s">
        <v>2792</v>
      </c>
    </row>
    <row r="2481" ht="15.75" customHeight="1">
      <c r="B2481" s="95"/>
      <c r="C2481" s="108" t="s">
        <v>207</v>
      </c>
      <c r="D2481" s="101" t="s">
        <v>2430</v>
      </c>
      <c r="E2481" s="101" t="s">
        <v>577</v>
      </c>
      <c r="F2481" s="109">
        <f t="shared" si="8"/>
        <v>253</v>
      </c>
      <c r="G2481" s="110" t="s">
        <v>2793</v>
      </c>
    </row>
    <row r="2482" ht="15.75" customHeight="1">
      <c r="B2482" s="95"/>
      <c r="C2482" s="108" t="s">
        <v>207</v>
      </c>
      <c r="D2482" s="101" t="s">
        <v>2430</v>
      </c>
      <c r="E2482" s="101" t="s">
        <v>577</v>
      </c>
      <c r="F2482" s="109">
        <f t="shared" si="8"/>
        <v>254</v>
      </c>
      <c r="G2482" s="110" t="s">
        <v>2794</v>
      </c>
    </row>
    <row r="2483" ht="15.75" customHeight="1">
      <c r="B2483" s="95"/>
      <c r="C2483" s="108" t="s">
        <v>207</v>
      </c>
      <c r="D2483" s="101" t="s">
        <v>2430</v>
      </c>
      <c r="E2483" s="101" t="s">
        <v>577</v>
      </c>
      <c r="F2483" s="109">
        <f t="shared" si="8"/>
        <v>255</v>
      </c>
      <c r="G2483" s="110" t="s">
        <v>2795</v>
      </c>
    </row>
    <row r="2484" ht="15.75" customHeight="1">
      <c r="B2484" s="95"/>
      <c r="C2484" s="108" t="s">
        <v>207</v>
      </c>
      <c r="D2484" s="101" t="s">
        <v>2430</v>
      </c>
      <c r="E2484" s="101" t="s">
        <v>577</v>
      </c>
      <c r="F2484" s="109">
        <f t="shared" si="8"/>
        <v>256</v>
      </c>
      <c r="G2484" s="110" t="s">
        <v>2796</v>
      </c>
    </row>
    <row r="2485" ht="15.75" customHeight="1">
      <c r="B2485" s="95"/>
      <c r="C2485" s="108" t="s">
        <v>207</v>
      </c>
      <c r="D2485" s="101" t="s">
        <v>2430</v>
      </c>
      <c r="E2485" s="101" t="s">
        <v>577</v>
      </c>
      <c r="F2485" s="109">
        <f t="shared" si="8"/>
        <v>257</v>
      </c>
      <c r="G2485" s="110" t="s">
        <v>2797</v>
      </c>
    </row>
    <row r="2486" ht="15.75" customHeight="1">
      <c r="B2486" s="95"/>
      <c r="C2486" s="108" t="s">
        <v>207</v>
      </c>
      <c r="D2486" s="101" t="s">
        <v>2430</v>
      </c>
      <c r="E2486" s="101" t="s">
        <v>577</v>
      </c>
      <c r="F2486" s="109">
        <f t="shared" si="8"/>
        <v>258</v>
      </c>
      <c r="G2486" s="110" t="s">
        <v>2798</v>
      </c>
    </row>
    <row r="2487" ht="15.75" customHeight="1">
      <c r="B2487" s="95"/>
      <c r="C2487" s="108" t="s">
        <v>207</v>
      </c>
      <c r="D2487" s="101" t="s">
        <v>2430</v>
      </c>
      <c r="E2487" s="101" t="s">
        <v>577</v>
      </c>
      <c r="F2487" s="109">
        <f t="shared" si="8"/>
        <v>259</v>
      </c>
      <c r="G2487" s="110" t="s">
        <v>2799</v>
      </c>
    </row>
    <row r="2488" ht="15.75" customHeight="1">
      <c r="B2488" s="95"/>
      <c r="C2488" s="108" t="s">
        <v>207</v>
      </c>
      <c r="D2488" s="101" t="s">
        <v>2430</v>
      </c>
      <c r="E2488" s="101" t="s">
        <v>577</v>
      </c>
      <c r="F2488" s="109">
        <f t="shared" si="8"/>
        <v>260</v>
      </c>
      <c r="G2488" s="110" t="s">
        <v>2800</v>
      </c>
    </row>
    <row r="2489" ht="15.75" customHeight="1">
      <c r="B2489" s="95"/>
      <c r="C2489" s="108" t="s">
        <v>207</v>
      </c>
      <c r="D2489" s="101" t="s">
        <v>2430</v>
      </c>
      <c r="E2489" s="101" t="s">
        <v>577</v>
      </c>
      <c r="F2489" s="109">
        <f t="shared" si="8"/>
        <v>261</v>
      </c>
      <c r="G2489" s="110" t="s">
        <v>2801</v>
      </c>
    </row>
    <row r="2490" ht="15.75" customHeight="1">
      <c r="B2490" s="95"/>
      <c r="C2490" s="108" t="s">
        <v>207</v>
      </c>
      <c r="D2490" s="101" t="s">
        <v>2430</v>
      </c>
      <c r="E2490" s="101" t="s">
        <v>577</v>
      </c>
      <c r="F2490" s="109">
        <f t="shared" si="8"/>
        <v>262</v>
      </c>
      <c r="G2490" s="110" t="s">
        <v>2802</v>
      </c>
    </row>
    <row r="2491" ht="15.75" customHeight="1">
      <c r="B2491" s="95"/>
      <c r="C2491" s="108" t="s">
        <v>207</v>
      </c>
      <c r="D2491" s="101" t="s">
        <v>2430</v>
      </c>
      <c r="E2491" s="101" t="s">
        <v>577</v>
      </c>
      <c r="F2491" s="109">
        <f t="shared" si="8"/>
        <v>263</v>
      </c>
      <c r="G2491" s="110" t="s">
        <v>2803</v>
      </c>
    </row>
    <row r="2492" ht="15.75" customHeight="1">
      <c r="B2492" s="95"/>
      <c r="C2492" s="108" t="s">
        <v>207</v>
      </c>
      <c r="D2492" s="101" t="s">
        <v>2430</v>
      </c>
      <c r="E2492" s="101" t="s">
        <v>577</v>
      </c>
      <c r="F2492" s="109">
        <f t="shared" si="8"/>
        <v>264</v>
      </c>
      <c r="G2492" s="110" t="s">
        <v>2671</v>
      </c>
    </row>
    <row r="2493" ht="15.75" customHeight="1">
      <c r="B2493" s="95"/>
      <c r="C2493" s="108" t="s">
        <v>207</v>
      </c>
      <c r="D2493" s="101" t="s">
        <v>2430</v>
      </c>
      <c r="E2493" s="101" t="s">
        <v>577</v>
      </c>
      <c r="F2493" s="109">
        <f t="shared" si="8"/>
        <v>265</v>
      </c>
      <c r="G2493" s="110" t="s">
        <v>2804</v>
      </c>
    </row>
    <row r="2494" ht="15.75" customHeight="1">
      <c r="B2494" s="95"/>
      <c r="C2494" s="108" t="s">
        <v>207</v>
      </c>
      <c r="D2494" s="101" t="s">
        <v>2430</v>
      </c>
      <c r="E2494" s="101" t="s">
        <v>577</v>
      </c>
      <c r="F2494" s="109">
        <f t="shared" si="8"/>
        <v>266</v>
      </c>
      <c r="G2494" s="110" t="s">
        <v>2805</v>
      </c>
    </row>
    <row r="2495" ht="15.75" customHeight="1">
      <c r="B2495" s="95"/>
      <c r="C2495" s="108" t="s">
        <v>207</v>
      </c>
      <c r="D2495" s="101" t="s">
        <v>2430</v>
      </c>
      <c r="E2495" s="101" t="s">
        <v>577</v>
      </c>
      <c r="F2495" s="109">
        <f t="shared" si="8"/>
        <v>267</v>
      </c>
      <c r="G2495" s="110" t="s">
        <v>2672</v>
      </c>
    </row>
    <row r="2496" ht="15.75" customHeight="1">
      <c r="B2496" s="95"/>
      <c r="C2496" s="108" t="s">
        <v>207</v>
      </c>
      <c r="D2496" s="101" t="s">
        <v>2430</v>
      </c>
      <c r="E2496" s="101" t="s">
        <v>577</v>
      </c>
      <c r="F2496" s="109">
        <f t="shared" si="8"/>
        <v>268</v>
      </c>
      <c r="G2496" s="110" t="s">
        <v>2806</v>
      </c>
    </row>
    <row r="2497" ht="15.75" customHeight="1">
      <c r="B2497" s="95"/>
      <c r="C2497" s="108" t="s">
        <v>207</v>
      </c>
      <c r="D2497" s="101" t="s">
        <v>2430</v>
      </c>
      <c r="E2497" s="101" t="s">
        <v>577</v>
      </c>
      <c r="F2497" s="109">
        <f t="shared" si="8"/>
        <v>269</v>
      </c>
      <c r="G2497" s="110" t="s">
        <v>2807</v>
      </c>
    </row>
    <row r="2498" ht="15.75" customHeight="1">
      <c r="B2498" s="95"/>
      <c r="C2498" s="108" t="s">
        <v>207</v>
      </c>
      <c r="D2498" s="101" t="s">
        <v>2430</v>
      </c>
      <c r="E2498" s="101" t="s">
        <v>577</v>
      </c>
      <c r="F2498" s="109">
        <f t="shared" si="8"/>
        <v>270</v>
      </c>
      <c r="G2498" s="110" t="s">
        <v>2808</v>
      </c>
    </row>
    <row r="2499" ht="15.75" customHeight="1">
      <c r="B2499" s="95"/>
      <c r="C2499" s="108" t="s">
        <v>207</v>
      </c>
      <c r="D2499" s="101" t="s">
        <v>2430</v>
      </c>
      <c r="E2499" s="101" t="s">
        <v>577</v>
      </c>
      <c r="F2499" s="109">
        <f t="shared" si="8"/>
        <v>271</v>
      </c>
      <c r="G2499" s="110" t="s">
        <v>2809</v>
      </c>
    </row>
    <row r="2500" ht="15.75" customHeight="1">
      <c r="B2500" s="95"/>
      <c r="C2500" s="108" t="s">
        <v>207</v>
      </c>
      <c r="D2500" s="101" t="s">
        <v>2430</v>
      </c>
      <c r="E2500" s="101" t="s">
        <v>577</v>
      </c>
      <c r="F2500" s="109">
        <f t="shared" si="8"/>
        <v>272</v>
      </c>
      <c r="G2500" s="110" t="s">
        <v>2810</v>
      </c>
    </row>
    <row r="2501" ht="15.75" customHeight="1">
      <c r="B2501" s="95"/>
      <c r="C2501" s="108" t="s">
        <v>207</v>
      </c>
      <c r="D2501" s="101" t="s">
        <v>2430</v>
      </c>
      <c r="E2501" s="101" t="s">
        <v>577</v>
      </c>
      <c r="F2501" s="109">
        <f t="shared" si="8"/>
        <v>273</v>
      </c>
      <c r="G2501" s="110" t="s">
        <v>2811</v>
      </c>
    </row>
    <row r="2502" ht="15.75" customHeight="1">
      <c r="B2502" s="95"/>
      <c r="C2502" s="108" t="s">
        <v>207</v>
      </c>
      <c r="D2502" s="101" t="s">
        <v>2430</v>
      </c>
      <c r="E2502" s="101" t="s">
        <v>577</v>
      </c>
      <c r="F2502" s="109">
        <f t="shared" si="8"/>
        <v>274</v>
      </c>
      <c r="G2502" s="110" t="s">
        <v>2812</v>
      </c>
    </row>
    <row r="2503" ht="15.75" customHeight="1">
      <c r="B2503" s="95"/>
      <c r="C2503" s="108" t="s">
        <v>207</v>
      </c>
      <c r="D2503" s="101" t="s">
        <v>2430</v>
      </c>
      <c r="E2503" s="101" t="s">
        <v>577</v>
      </c>
      <c r="F2503" s="109">
        <f t="shared" si="8"/>
        <v>275</v>
      </c>
      <c r="G2503" s="110" t="s">
        <v>2813</v>
      </c>
    </row>
    <row r="2504" ht="15.75" customHeight="1">
      <c r="B2504" s="95"/>
      <c r="C2504" s="108" t="s">
        <v>207</v>
      </c>
      <c r="D2504" s="101" t="s">
        <v>2430</v>
      </c>
      <c r="E2504" s="101" t="s">
        <v>577</v>
      </c>
      <c r="F2504" s="109">
        <f t="shared" si="8"/>
        <v>276</v>
      </c>
      <c r="G2504" s="110" t="s">
        <v>2814</v>
      </c>
    </row>
    <row r="2505" ht="15.75" customHeight="1">
      <c r="B2505" s="95"/>
      <c r="C2505" s="108" t="s">
        <v>207</v>
      </c>
      <c r="D2505" s="101" t="s">
        <v>2430</v>
      </c>
      <c r="E2505" s="101" t="s">
        <v>577</v>
      </c>
      <c r="F2505" s="109">
        <f t="shared" si="8"/>
        <v>277</v>
      </c>
      <c r="G2505" s="110" t="s">
        <v>2815</v>
      </c>
    </row>
    <row r="2506" ht="15.75" customHeight="1">
      <c r="B2506" s="95"/>
      <c r="C2506" s="108" t="s">
        <v>207</v>
      </c>
      <c r="D2506" s="101" t="s">
        <v>2430</v>
      </c>
      <c r="E2506" s="101" t="s">
        <v>577</v>
      </c>
      <c r="F2506" s="109">
        <f t="shared" si="8"/>
        <v>278</v>
      </c>
      <c r="G2506" s="110" t="s">
        <v>2816</v>
      </c>
    </row>
    <row r="2507" ht="15.75" customHeight="1">
      <c r="B2507" s="95"/>
      <c r="C2507" s="108" t="s">
        <v>207</v>
      </c>
      <c r="D2507" s="101" t="s">
        <v>2430</v>
      </c>
      <c r="E2507" s="101" t="s">
        <v>577</v>
      </c>
      <c r="F2507" s="109">
        <f t="shared" si="8"/>
        <v>279</v>
      </c>
      <c r="G2507" s="110" t="s">
        <v>2817</v>
      </c>
    </row>
    <row r="2508" ht="15.75" customHeight="1">
      <c r="B2508" s="95"/>
      <c r="C2508" s="108" t="s">
        <v>207</v>
      </c>
      <c r="D2508" s="101" t="s">
        <v>2430</v>
      </c>
      <c r="E2508" s="101" t="s">
        <v>577</v>
      </c>
      <c r="F2508" s="109">
        <f t="shared" si="8"/>
        <v>280</v>
      </c>
      <c r="G2508" s="110" t="s">
        <v>2673</v>
      </c>
    </row>
    <row r="2509" ht="15.75" customHeight="1">
      <c r="B2509" s="95"/>
      <c r="C2509" s="108" t="s">
        <v>207</v>
      </c>
      <c r="D2509" s="101" t="s">
        <v>2430</v>
      </c>
      <c r="E2509" s="101" t="s">
        <v>577</v>
      </c>
      <c r="F2509" s="109">
        <f t="shared" si="8"/>
        <v>281</v>
      </c>
      <c r="G2509" s="110" t="s">
        <v>2818</v>
      </c>
    </row>
    <row r="2510" ht="15.75" customHeight="1">
      <c r="B2510" s="95"/>
      <c r="C2510" s="108" t="s">
        <v>207</v>
      </c>
      <c r="D2510" s="101" t="s">
        <v>2430</v>
      </c>
      <c r="E2510" s="101" t="s">
        <v>577</v>
      </c>
      <c r="F2510" s="109">
        <f t="shared" si="8"/>
        <v>282</v>
      </c>
      <c r="G2510" s="110" t="s">
        <v>2675</v>
      </c>
    </row>
    <row r="2511" ht="15.75" customHeight="1">
      <c r="B2511" s="95"/>
      <c r="C2511" s="108" t="s">
        <v>207</v>
      </c>
      <c r="D2511" s="101" t="s">
        <v>2430</v>
      </c>
      <c r="E2511" s="101" t="s">
        <v>577</v>
      </c>
      <c r="F2511" s="109">
        <f t="shared" si="8"/>
        <v>283</v>
      </c>
      <c r="G2511" s="110" t="s">
        <v>2819</v>
      </c>
    </row>
    <row r="2512" ht="15.75" customHeight="1">
      <c r="B2512" s="95"/>
      <c r="C2512" s="108" t="s">
        <v>207</v>
      </c>
      <c r="D2512" s="101" t="s">
        <v>2430</v>
      </c>
      <c r="E2512" s="101" t="s">
        <v>577</v>
      </c>
      <c r="F2512" s="109">
        <f t="shared" si="8"/>
        <v>284</v>
      </c>
      <c r="G2512" s="110" t="s">
        <v>2677</v>
      </c>
    </row>
    <row r="2513" ht="15.75" customHeight="1">
      <c r="B2513" s="95"/>
      <c r="C2513" s="108" t="s">
        <v>207</v>
      </c>
      <c r="D2513" s="101" t="s">
        <v>2430</v>
      </c>
      <c r="E2513" s="101" t="s">
        <v>577</v>
      </c>
      <c r="F2513" s="109">
        <f t="shared" si="8"/>
        <v>285</v>
      </c>
      <c r="G2513" s="110" t="s">
        <v>2820</v>
      </c>
    </row>
    <row r="2514" ht="15.75" customHeight="1">
      <c r="B2514" s="95"/>
      <c r="C2514" s="108" t="s">
        <v>207</v>
      </c>
      <c r="D2514" s="101" t="s">
        <v>2430</v>
      </c>
      <c r="E2514" s="101" t="s">
        <v>577</v>
      </c>
      <c r="F2514" s="109">
        <f t="shared" si="8"/>
        <v>286</v>
      </c>
      <c r="G2514" s="110" t="s">
        <v>2679</v>
      </c>
    </row>
    <row r="2515" ht="15.75" customHeight="1">
      <c r="B2515" s="95"/>
      <c r="C2515" s="108" t="s">
        <v>207</v>
      </c>
      <c r="D2515" s="101" t="s">
        <v>2430</v>
      </c>
      <c r="E2515" s="101" t="s">
        <v>577</v>
      </c>
      <c r="F2515" s="109">
        <f t="shared" si="8"/>
        <v>287</v>
      </c>
      <c r="G2515" s="110" t="s">
        <v>2821</v>
      </c>
    </row>
    <row r="2516" ht="15.75" customHeight="1">
      <c r="B2516" s="95"/>
      <c r="C2516" s="108" t="s">
        <v>207</v>
      </c>
      <c r="D2516" s="101" t="s">
        <v>2430</v>
      </c>
      <c r="E2516" s="101" t="s">
        <v>577</v>
      </c>
      <c r="F2516" s="109">
        <f t="shared" si="8"/>
        <v>288</v>
      </c>
      <c r="G2516" s="110" t="s">
        <v>2681</v>
      </c>
    </row>
    <row r="2517" ht="15.75" customHeight="1">
      <c r="B2517" s="95"/>
      <c r="C2517" s="108" t="s">
        <v>207</v>
      </c>
      <c r="D2517" s="101" t="s">
        <v>2430</v>
      </c>
      <c r="E2517" s="101" t="s">
        <v>577</v>
      </c>
      <c r="F2517" s="109">
        <f t="shared" si="8"/>
        <v>289</v>
      </c>
      <c r="G2517" s="110" t="s">
        <v>2822</v>
      </c>
    </row>
    <row r="2518" ht="15.75" customHeight="1">
      <c r="B2518" s="95"/>
      <c r="C2518" s="108" t="s">
        <v>207</v>
      </c>
      <c r="D2518" s="101" t="s">
        <v>2430</v>
      </c>
      <c r="E2518" s="101" t="s">
        <v>577</v>
      </c>
      <c r="F2518" s="109">
        <f t="shared" si="8"/>
        <v>290</v>
      </c>
      <c r="G2518" s="110" t="s">
        <v>2683</v>
      </c>
    </row>
    <row r="2519" ht="15.75" customHeight="1">
      <c r="B2519" s="95"/>
      <c r="C2519" s="108" t="s">
        <v>207</v>
      </c>
      <c r="D2519" s="101" t="s">
        <v>2430</v>
      </c>
      <c r="E2519" s="101" t="s">
        <v>577</v>
      </c>
      <c r="F2519" s="109">
        <f t="shared" si="8"/>
        <v>291</v>
      </c>
      <c r="G2519" s="110" t="s">
        <v>2823</v>
      </c>
    </row>
    <row r="2520" ht="15.75" customHeight="1">
      <c r="B2520" s="95"/>
      <c r="C2520" s="108" t="s">
        <v>207</v>
      </c>
      <c r="D2520" s="101" t="s">
        <v>2430</v>
      </c>
      <c r="E2520" s="101" t="s">
        <v>577</v>
      </c>
      <c r="F2520" s="109">
        <f t="shared" si="8"/>
        <v>292</v>
      </c>
      <c r="G2520" s="110" t="s">
        <v>2685</v>
      </c>
    </row>
    <row r="2521" ht="15.75" customHeight="1">
      <c r="B2521" s="95"/>
      <c r="C2521" s="108" t="s">
        <v>207</v>
      </c>
      <c r="D2521" s="101" t="s">
        <v>2430</v>
      </c>
      <c r="E2521" s="101" t="s">
        <v>577</v>
      </c>
      <c r="F2521" s="109">
        <f t="shared" si="8"/>
        <v>293</v>
      </c>
      <c r="G2521" s="110" t="s">
        <v>2824</v>
      </c>
    </row>
    <row r="2522" ht="15.75" customHeight="1">
      <c r="B2522" s="95"/>
      <c r="C2522" s="108" t="s">
        <v>207</v>
      </c>
      <c r="D2522" s="101" t="s">
        <v>2430</v>
      </c>
      <c r="E2522" s="101" t="s">
        <v>577</v>
      </c>
      <c r="F2522" s="109">
        <f t="shared" si="8"/>
        <v>294</v>
      </c>
      <c r="G2522" s="110" t="s">
        <v>2687</v>
      </c>
    </row>
    <row r="2523" ht="15.75" customHeight="1">
      <c r="B2523" s="95"/>
      <c r="C2523" s="108" t="s">
        <v>207</v>
      </c>
      <c r="D2523" s="101" t="s">
        <v>2430</v>
      </c>
      <c r="E2523" s="101" t="s">
        <v>577</v>
      </c>
      <c r="F2523" s="109">
        <f t="shared" si="8"/>
        <v>295</v>
      </c>
      <c r="G2523" s="110" t="s">
        <v>2825</v>
      </c>
    </row>
    <row r="2524" ht="15.75" customHeight="1">
      <c r="B2524" s="95"/>
      <c r="C2524" s="108" t="s">
        <v>207</v>
      </c>
      <c r="D2524" s="101" t="s">
        <v>2430</v>
      </c>
      <c r="E2524" s="101" t="s">
        <v>577</v>
      </c>
      <c r="F2524" s="109">
        <f t="shared" si="8"/>
        <v>296</v>
      </c>
      <c r="G2524" s="110" t="s">
        <v>2689</v>
      </c>
    </row>
    <row r="2525" ht="15.75" customHeight="1">
      <c r="B2525" s="95"/>
      <c r="C2525" s="108" t="s">
        <v>207</v>
      </c>
      <c r="D2525" s="101" t="s">
        <v>2430</v>
      </c>
      <c r="E2525" s="101" t="s">
        <v>577</v>
      </c>
      <c r="F2525" s="109">
        <f t="shared" si="8"/>
        <v>297</v>
      </c>
      <c r="G2525" s="110" t="s">
        <v>2826</v>
      </c>
    </row>
    <row r="2526" ht="15.75" customHeight="1">
      <c r="B2526" s="95"/>
      <c r="C2526" s="108" t="s">
        <v>207</v>
      </c>
      <c r="D2526" s="101" t="s">
        <v>2430</v>
      </c>
      <c r="E2526" s="101" t="s">
        <v>577</v>
      </c>
      <c r="F2526" s="109">
        <f t="shared" si="8"/>
        <v>298</v>
      </c>
      <c r="G2526" s="110" t="s">
        <v>2691</v>
      </c>
    </row>
    <row r="2527" ht="15.75" customHeight="1">
      <c r="B2527" s="95"/>
      <c r="C2527" s="108" t="s">
        <v>207</v>
      </c>
      <c r="D2527" s="101" t="s">
        <v>2430</v>
      </c>
      <c r="E2527" s="101" t="s">
        <v>577</v>
      </c>
      <c r="F2527" s="109">
        <f t="shared" si="8"/>
        <v>299</v>
      </c>
      <c r="G2527" s="110" t="s">
        <v>2827</v>
      </c>
    </row>
    <row r="2528" ht="15.75" customHeight="1">
      <c r="B2528" s="95"/>
      <c r="C2528" s="108" t="s">
        <v>207</v>
      </c>
      <c r="D2528" s="101" t="s">
        <v>2430</v>
      </c>
      <c r="E2528" s="101" t="s">
        <v>577</v>
      </c>
      <c r="F2528" s="109">
        <f t="shared" si="8"/>
        <v>300</v>
      </c>
      <c r="G2528" s="110" t="s">
        <v>2693</v>
      </c>
    </row>
    <row r="2529" ht="15.75" customHeight="1">
      <c r="B2529" s="95"/>
      <c r="C2529" s="108" t="s">
        <v>207</v>
      </c>
      <c r="D2529" s="101" t="s">
        <v>2430</v>
      </c>
      <c r="E2529" s="101" t="s">
        <v>577</v>
      </c>
      <c r="F2529" s="109">
        <f t="shared" si="8"/>
        <v>301</v>
      </c>
      <c r="G2529" s="110" t="s">
        <v>2828</v>
      </c>
    </row>
    <row r="2530" ht="15.75" customHeight="1">
      <c r="B2530" s="95"/>
      <c r="C2530" s="108" t="s">
        <v>207</v>
      </c>
      <c r="D2530" s="101" t="s">
        <v>2430</v>
      </c>
      <c r="E2530" s="101" t="s">
        <v>577</v>
      </c>
      <c r="F2530" s="109">
        <f t="shared" si="8"/>
        <v>302</v>
      </c>
      <c r="G2530" s="110" t="s">
        <v>2695</v>
      </c>
    </row>
    <row r="2531" ht="15.75" customHeight="1">
      <c r="B2531" s="95"/>
      <c r="C2531" s="108" t="s">
        <v>207</v>
      </c>
      <c r="D2531" s="101" t="s">
        <v>2430</v>
      </c>
      <c r="E2531" s="101" t="s">
        <v>577</v>
      </c>
      <c r="F2531" s="109">
        <f t="shared" si="8"/>
        <v>303</v>
      </c>
      <c r="G2531" s="110" t="s">
        <v>2829</v>
      </c>
    </row>
    <row r="2532" ht="15.75" customHeight="1">
      <c r="B2532" s="95"/>
      <c r="C2532" s="108" t="s">
        <v>207</v>
      </c>
      <c r="D2532" s="101" t="s">
        <v>2430</v>
      </c>
      <c r="E2532" s="101" t="s">
        <v>577</v>
      </c>
      <c r="F2532" s="109">
        <f t="shared" si="8"/>
        <v>304</v>
      </c>
      <c r="G2532" s="110" t="s">
        <v>2697</v>
      </c>
    </row>
    <row r="2533" ht="15.75" customHeight="1">
      <c r="B2533" s="95"/>
      <c r="C2533" s="108" t="s">
        <v>207</v>
      </c>
      <c r="D2533" s="101" t="s">
        <v>2430</v>
      </c>
      <c r="E2533" s="101" t="s">
        <v>577</v>
      </c>
      <c r="F2533" s="109">
        <f t="shared" si="8"/>
        <v>305</v>
      </c>
      <c r="G2533" s="110" t="s">
        <v>2830</v>
      </c>
    </row>
    <row r="2534" ht="15.75" customHeight="1">
      <c r="B2534" s="95"/>
      <c r="C2534" s="108" t="s">
        <v>207</v>
      </c>
      <c r="D2534" s="101" t="s">
        <v>2430</v>
      </c>
      <c r="E2534" s="101" t="s">
        <v>577</v>
      </c>
      <c r="F2534" s="109">
        <f t="shared" si="8"/>
        <v>306</v>
      </c>
      <c r="G2534" s="110" t="s">
        <v>2699</v>
      </c>
    </row>
    <row r="2535" ht="15.75" customHeight="1">
      <c r="B2535" s="95"/>
      <c r="C2535" s="108" t="s">
        <v>207</v>
      </c>
      <c r="D2535" s="101" t="s">
        <v>2430</v>
      </c>
      <c r="E2535" s="101" t="s">
        <v>577</v>
      </c>
      <c r="F2535" s="109">
        <f t="shared" si="8"/>
        <v>307</v>
      </c>
      <c r="G2535" s="110" t="s">
        <v>2831</v>
      </c>
    </row>
    <row r="2536" ht="15.75" customHeight="1">
      <c r="B2536" s="95"/>
      <c r="C2536" s="108" t="s">
        <v>207</v>
      </c>
      <c r="D2536" s="101" t="s">
        <v>2430</v>
      </c>
      <c r="E2536" s="101" t="s">
        <v>577</v>
      </c>
      <c r="F2536" s="109">
        <f t="shared" si="8"/>
        <v>308</v>
      </c>
      <c r="G2536" s="110" t="s">
        <v>2701</v>
      </c>
    </row>
    <row r="2537" ht="15.75" customHeight="1">
      <c r="B2537" s="95"/>
      <c r="C2537" s="108" t="s">
        <v>207</v>
      </c>
      <c r="D2537" s="101" t="s">
        <v>2430</v>
      </c>
      <c r="E2537" s="101" t="s">
        <v>577</v>
      </c>
      <c r="F2537" s="109">
        <f t="shared" si="8"/>
        <v>309</v>
      </c>
      <c r="G2537" s="110" t="s">
        <v>2832</v>
      </c>
    </row>
    <row r="2538" ht="15.75" customHeight="1">
      <c r="B2538" s="95"/>
      <c r="C2538" s="108" t="s">
        <v>207</v>
      </c>
      <c r="D2538" s="101" t="s">
        <v>2430</v>
      </c>
      <c r="E2538" s="101" t="s">
        <v>577</v>
      </c>
      <c r="F2538" s="109">
        <f t="shared" si="8"/>
        <v>310</v>
      </c>
      <c r="G2538" s="110" t="s">
        <v>2703</v>
      </c>
    </row>
    <row r="2539" ht="15.75" customHeight="1">
      <c r="B2539" s="95"/>
      <c r="C2539" s="108" t="s">
        <v>207</v>
      </c>
      <c r="D2539" s="101" t="s">
        <v>2430</v>
      </c>
      <c r="E2539" s="101" t="s">
        <v>577</v>
      </c>
      <c r="F2539" s="109">
        <f t="shared" si="8"/>
        <v>311</v>
      </c>
      <c r="G2539" s="110" t="s">
        <v>2833</v>
      </c>
    </row>
    <row r="2540" ht="15.75" customHeight="1">
      <c r="B2540" s="95"/>
      <c r="C2540" s="108" t="s">
        <v>208</v>
      </c>
      <c r="D2540" s="101" t="s">
        <v>2430</v>
      </c>
      <c r="E2540" s="101" t="s">
        <v>577</v>
      </c>
      <c r="F2540" s="109">
        <f t="shared" si="8"/>
        <v>2</v>
      </c>
      <c r="G2540" s="110" t="s">
        <v>2834</v>
      </c>
    </row>
    <row r="2541" ht="15.75" customHeight="1">
      <c r="B2541" s="95"/>
      <c r="C2541" s="108" t="s">
        <v>208</v>
      </c>
      <c r="D2541" s="101" t="s">
        <v>2430</v>
      </c>
      <c r="E2541" s="101" t="s">
        <v>577</v>
      </c>
      <c r="F2541" s="109">
        <f t="shared" si="8"/>
        <v>3</v>
      </c>
      <c r="G2541" s="110" t="s">
        <v>2835</v>
      </c>
    </row>
    <row r="2542" ht="15.75" customHeight="1">
      <c r="B2542" s="95"/>
      <c r="C2542" s="108" t="s">
        <v>208</v>
      </c>
      <c r="D2542" s="101" t="s">
        <v>2430</v>
      </c>
      <c r="E2542" s="101" t="s">
        <v>577</v>
      </c>
      <c r="F2542" s="109">
        <f t="shared" si="8"/>
        <v>4</v>
      </c>
      <c r="G2542" s="110" t="s">
        <v>2836</v>
      </c>
    </row>
    <row r="2543" ht="15.75" customHeight="1">
      <c r="B2543" s="95"/>
      <c r="C2543" s="108" t="s">
        <v>208</v>
      </c>
      <c r="D2543" s="101" t="s">
        <v>2430</v>
      </c>
      <c r="E2543" s="101" t="s">
        <v>577</v>
      </c>
      <c r="F2543" s="109">
        <f t="shared" si="8"/>
        <v>5</v>
      </c>
      <c r="G2543" s="110" t="s">
        <v>2837</v>
      </c>
    </row>
    <row r="2544" ht="15.75" customHeight="1">
      <c r="B2544" s="95"/>
      <c r="C2544" s="108" t="s">
        <v>208</v>
      </c>
      <c r="D2544" s="101" t="s">
        <v>2430</v>
      </c>
      <c r="E2544" s="101" t="s">
        <v>577</v>
      </c>
      <c r="F2544" s="109">
        <f t="shared" si="8"/>
        <v>6</v>
      </c>
      <c r="G2544" s="110" t="s">
        <v>2838</v>
      </c>
    </row>
    <row r="2545" ht="15.75" customHeight="1">
      <c r="B2545" s="95"/>
      <c r="C2545" s="108" t="s">
        <v>208</v>
      </c>
      <c r="D2545" s="101" t="s">
        <v>2430</v>
      </c>
      <c r="E2545" s="101" t="s">
        <v>577</v>
      </c>
      <c r="F2545" s="109">
        <f t="shared" si="8"/>
        <v>7</v>
      </c>
      <c r="G2545" s="110" t="s">
        <v>2839</v>
      </c>
    </row>
    <row r="2546" ht="15.75" customHeight="1">
      <c r="B2546" s="95"/>
      <c r="C2546" s="108" t="s">
        <v>208</v>
      </c>
      <c r="D2546" s="101" t="s">
        <v>2430</v>
      </c>
      <c r="E2546" s="101" t="s">
        <v>577</v>
      </c>
      <c r="F2546" s="109">
        <f t="shared" si="8"/>
        <v>8</v>
      </c>
      <c r="G2546" s="110" t="s">
        <v>2840</v>
      </c>
    </row>
    <row r="2547" ht="15.75" customHeight="1">
      <c r="B2547" s="95"/>
      <c r="C2547" s="108" t="s">
        <v>208</v>
      </c>
      <c r="D2547" s="101" t="s">
        <v>2430</v>
      </c>
      <c r="E2547" s="101" t="s">
        <v>577</v>
      </c>
      <c r="F2547" s="109">
        <f t="shared" si="8"/>
        <v>9</v>
      </c>
      <c r="G2547" s="110" t="s">
        <v>2841</v>
      </c>
    </row>
    <row r="2548" ht="15.75" customHeight="1">
      <c r="B2548" s="95"/>
      <c r="C2548" s="108" t="s">
        <v>208</v>
      </c>
      <c r="D2548" s="101" t="s">
        <v>2430</v>
      </c>
      <c r="E2548" s="101" t="s">
        <v>577</v>
      </c>
      <c r="F2548" s="109">
        <f t="shared" si="8"/>
        <v>10</v>
      </c>
      <c r="G2548" s="110" t="s">
        <v>2842</v>
      </c>
    </row>
    <row r="2549" ht="15.75" customHeight="1">
      <c r="B2549" s="95"/>
      <c r="C2549" s="108" t="s">
        <v>208</v>
      </c>
      <c r="D2549" s="101" t="s">
        <v>2430</v>
      </c>
      <c r="E2549" s="101" t="s">
        <v>577</v>
      </c>
      <c r="F2549" s="109">
        <f t="shared" si="8"/>
        <v>11</v>
      </c>
      <c r="G2549" s="110" t="s">
        <v>2843</v>
      </c>
    </row>
    <row r="2550" ht="15.75" customHeight="1">
      <c r="B2550" s="95"/>
      <c r="C2550" s="108" t="s">
        <v>208</v>
      </c>
      <c r="D2550" s="101" t="s">
        <v>2430</v>
      </c>
      <c r="E2550" s="101" t="s">
        <v>577</v>
      </c>
      <c r="F2550" s="109">
        <f t="shared" si="8"/>
        <v>12</v>
      </c>
      <c r="G2550" s="110" t="s">
        <v>2844</v>
      </c>
    </row>
    <row r="2551" ht="15.75" customHeight="1">
      <c r="B2551" s="95"/>
      <c r="C2551" s="108" t="s">
        <v>208</v>
      </c>
      <c r="D2551" s="101" t="s">
        <v>2430</v>
      </c>
      <c r="E2551" s="101" t="s">
        <v>577</v>
      </c>
      <c r="F2551" s="109">
        <f t="shared" si="8"/>
        <v>13</v>
      </c>
      <c r="G2551" s="110" t="s">
        <v>2845</v>
      </c>
    </row>
    <row r="2552" ht="15.75" customHeight="1">
      <c r="B2552" s="95"/>
      <c r="C2552" s="108" t="s">
        <v>208</v>
      </c>
      <c r="D2552" s="101" t="s">
        <v>2430</v>
      </c>
      <c r="E2552" s="101" t="s">
        <v>577</v>
      </c>
      <c r="F2552" s="109">
        <f t="shared" si="8"/>
        <v>14</v>
      </c>
      <c r="G2552" s="110" t="s">
        <v>2846</v>
      </c>
    </row>
    <row r="2553" ht="15.75" customHeight="1">
      <c r="B2553" s="95"/>
      <c r="C2553" s="108" t="s">
        <v>208</v>
      </c>
      <c r="D2553" s="101" t="s">
        <v>2430</v>
      </c>
      <c r="E2553" s="101" t="s">
        <v>577</v>
      </c>
      <c r="F2553" s="109">
        <f t="shared" si="8"/>
        <v>15</v>
      </c>
      <c r="G2553" s="110" t="s">
        <v>2847</v>
      </c>
    </row>
    <row r="2554" ht="15.75" customHeight="1">
      <c r="B2554" s="95"/>
      <c r="C2554" s="108" t="s">
        <v>208</v>
      </c>
      <c r="D2554" s="101" t="s">
        <v>2430</v>
      </c>
      <c r="E2554" s="101" t="s">
        <v>577</v>
      </c>
      <c r="F2554" s="109">
        <f t="shared" si="8"/>
        <v>16</v>
      </c>
      <c r="G2554" s="110" t="s">
        <v>2848</v>
      </c>
    </row>
    <row r="2555" ht="15.75" customHeight="1">
      <c r="B2555" s="95"/>
      <c r="C2555" s="108" t="s">
        <v>208</v>
      </c>
      <c r="D2555" s="101" t="s">
        <v>2430</v>
      </c>
      <c r="E2555" s="101" t="s">
        <v>577</v>
      </c>
      <c r="F2555" s="109">
        <f t="shared" si="8"/>
        <v>17</v>
      </c>
      <c r="G2555" s="110" t="s">
        <v>2849</v>
      </c>
    </row>
    <row r="2556" ht="15.75" customHeight="1">
      <c r="B2556" s="95"/>
      <c r="C2556" s="108" t="s">
        <v>208</v>
      </c>
      <c r="D2556" s="101" t="s">
        <v>2430</v>
      </c>
      <c r="E2556" s="101" t="s">
        <v>577</v>
      </c>
      <c r="F2556" s="109">
        <f t="shared" si="8"/>
        <v>18</v>
      </c>
      <c r="G2556" s="110" t="s">
        <v>2850</v>
      </c>
    </row>
    <row r="2557" ht="15.75" customHeight="1">
      <c r="B2557" s="95"/>
      <c r="C2557" s="108" t="s">
        <v>209</v>
      </c>
      <c r="D2557" s="101" t="s">
        <v>2430</v>
      </c>
      <c r="E2557" s="101" t="s">
        <v>577</v>
      </c>
      <c r="F2557" s="109">
        <f t="shared" si="8"/>
        <v>2</v>
      </c>
      <c r="G2557" s="110" t="s">
        <v>2431</v>
      </c>
    </row>
    <row r="2558" ht="15.75" customHeight="1">
      <c r="B2558" s="95"/>
      <c r="C2558" s="108" t="s">
        <v>209</v>
      </c>
      <c r="D2558" s="101" t="s">
        <v>2430</v>
      </c>
      <c r="E2558" s="101" t="s">
        <v>577</v>
      </c>
      <c r="F2558" s="109">
        <f t="shared" si="8"/>
        <v>3</v>
      </c>
      <c r="G2558" s="110" t="s">
        <v>2851</v>
      </c>
    </row>
    <row r="2559" ht="15.75" customHeight="1">
      <c r="B2559" s="95"/>
      <c r="C2559" s="108" t="s">
        <v>209</v>
      </c>
      <c r="D2559" s="101" t="s">
        <v>2430</v>
      </c>
      <c r="E2559" s="101" t="s">
        <v>577</v>
      </c>
      <c r="F2559" s="109">
        <f t="shared" si="8"/>
        <v>4</v>
      </c>
      <c r="G2559" s="110" t="s">
        <v>2852</v>
      </c>
    </row>
    <row r="2560" ht="15.75" customHeight="1">
      <c r="B2560" s="95"/>
      <c r="C2560" s="108" t="s">
        <v>209</v>
      </c>
      <c r="D2560" s="101" t="s">
        <v>2430</v>
      </c>
      <c r="E2560" s="101" t="s">
        <v>577</v>
      </c>
      <c r="F2560" s="109">
        <f t="shared" si="8"/>
        <v>5</v>
      </c>
      <c r="G2560" s="110" t="s">
        <v>2853</v>
      </c>
    </row>
    <row r="2561" ht="15.75" customHeight="1">
      <c r="B2561" s="95"/>
      <c r="C2561" s="108" t="s">
        <v>209</v>
      </c>
      <c r="D2561" s="101" t="s">
        <v>2430</v>
      </c>
      <c r="E2561" s="101" t="s">
        <v>577</v>
      </c>
      <c r="F2561" s="109">
        <f t="shared" si="8"/>
        <v>6</v>
      </c>
      <c r="G2561" s="110" t="s">
        <v>2433</v>
      </c>
    </row>
    <row r="2562" ht="15.75" customHeight="1">
      <c r="B2562" s="95"/>
      <c r="C2562" s="108" t="s">
        <v>209</v>
      </c>
      <c r="D2562" s="101" t="s">
        <v>2430</v>
      </c>
      <c r="E2562" s="101" t="s">
        <v>577</v>
      </c>
      <c r="F2562" s="109">
        <f t="shared" si="8"/>
        <v>7</v>
      </c>
      <c r="G2562" s="110" t="s">
        <v>2854</v>
      </c>
    </row>
    <row r="2563" ht="15.75" customHeight="1">
      <c r="B2563" s="95"/>
      <c r="C2563" s="108" t="s">
        <v>209</v>
      </c>
      <c r="D2563" s="101" t="s">
        <v>2430</v>
      </c>
      <c r="E2563" s="101" t="s">
        <v>577</v>
      </c>
      <c r="F2563" s="109">
        <f t="shared" si="8"/>
        <v>8</v>
      </c>
      <c r="G2563" s="110" t="s">
        <v>2855</v>
      </c>
    </row>
    <row r="2564" ht="15.75" customHeight="1">
      <c r="B2564" s="95"/>
      <c r="C2564" s="108" t="s">
        <v>209</v>
      </c>
      <c r="D2564" s="101" t="s">
        <v>2430</v>
      </c>
      <c r="E2564" s="101" t="s">
        <v>577</v>
      </c>
      <c r="F2564" s="109">
        <f t="shared" si="8"/>
        <v>9</v>
      </c>
      <c r="G2564" s="110" t="s">
        <v>2856</v>
      </c>
    </row>
    <row r="2565" ht="15.75" customHeight="1">
      <c r="B2565" s="95"/>
      <c r="C2565" s="108" t="s">
        <v>209</v>
      </c>
      <c r="D2565" s="101" t="s">
        <v>2430</v>
      </c>
      <c r="E2565" s="101" t="s">
        <v>577</v>
      </c>
      <c r="F2565" s="109">
        <f t="shared" si="8"/>
        <v>10</v>
      </c>
      <c r="G2565" s="110" t="s">
        <v>2435</v>
      </c>
    </row>
    <row r="2566" ht="15.75" customHeight="1">
      <c r="B2566" s="95"/>
      <c r="C2566" s="108" t="s">
        <v>209</v>
      </c>
      <c r="D2566" s="101" t="s">
        <v>2430</v>
      </c>
      <c r="E2566" s="101" t="s">
        <v>577</v>
      </c>
      <c r="F2566" s="109">
        <f t="shared" si="8"/>
        <v>11</v>
      </c>
      <c r="G2566" s="110" t="s">
        <v>2857</v>
      </c>
    </row>
    <row r="2567" ht="15.75" customHeight="1">
      <c r="B2567" s="95"/>
      <c r="C2567" s="108" t="s">
        <v>209</v>
      </c>
      <c r="D2567" s="101" t="s">
        <v>2430</v>
      </c>
      <c r="E2567" s="101" t="s">
        <v>577</v>
      </c>
      <c r="F2567" s="109">
        <f t="shared" si="8"/>
        <v>12</v>
      </c>
      <c r="G2567" s="110" t="s">
        <v>2437</v>
      </c>
    </row>
    <row r="2568" ht="15.75" customHeight="1">
      <c r="B2568" s="95"/>
      <c r="C2568" s="108" t="s">
        <v>209</v>
      </c>
      <c r="D2568" s="101" t="s">
        <v>2430</v>
      </c>
      <c r="E2568" s="101" t="s">
        <v>577</v>
      </c>
      <c r="F2568" s="109">
        <f t="shared" si="8"/>
        <v>13</v>
      </c>
      <c r="G2568" s="110" t="s">
        <v>2858</v>
      </c>
    </row>
    <row r="2569" ht="15.75" customHeight="1">
      <c r="B2569" s="95"/>
      <c r="C2569" s="108" t="s">
        <v>209</v>
      </c>
      <c r="D2569" s="101" t="s">
        <v>2430</v>
      </c>
      <c r="E2569" s="101" t="s">
        <v>577</v>
      </c>
      <c r="F2569" s="109">
        <f t="shared" si="8"/>
        <v>14</v>
      </c>
      <c r="G2569" s="110" t="s">
        <v>2439</v>
      </c>
    </row>
    <row r="2570" ht="15.75" customHeight="1">
      <c r="B2570" s="95"/>
      <c r="C2570" s="108" t="s">
        <v>209</v>
      </c>
      <c r="D2570" s="101" t="s">
        <v>2430</v>
      </c>
      <c r="E2570" s="101" t="s">
        <v>577</v>
      </c>
      <c r="F2570" s="109">
        <f t="shared" si="8"/>
        <v>15</v>
      </c>
      <c r="G2570" s="110" t="s">
        <v>2859</v>
      </c>
    </row>
    <row r="2571" ht="15.75" customHeight="1">
      <c r="B2571" s="95"/>
      <c r="C2571" s="108" t="s">
        <v>209</v>
      </c>
      <c r="D2571" s="101" t="s">
        <v>2430</v>
      </c>
      <c r="E2571" s="101" t="s">
        <v>577</v>
      </c>
      <c r="F2571" s="109">
        <f t="shared" si="8"/>
        <v>16</v>
      </c>
      <c r="G2571" s="110" t="s">
        <v>2441</v>
      </c>
    </row>
    <row r="2572" ht="15.75" customHeight="1">
      <c r="B2572" s="95"/>
      <c r="C2572" s="108" t="s">
        <v>209</v>
      </c>
      <c r="D2572" s="101" t="s">
        <v>2430</v>
      </c>
      <c r="E2572" s="101" t="s">
        <v>577</v>
      </c>
      <c r="F2572" s="109">
        <f t="shared" si="8"/>
        <v>17</v>
      </c>
      <c r="G2572" s="110" t="s">
        <v>2860</v>
      </c>
    </row>
    <row r="2573" ht="15.75" customHeight="1">
      <c r="B2573" s="95"/>
      <c r="C2573" s="108" t="s">
        <v>209</v>
      </c>
      <c r="D2573" s="101" t="s">
        <v>2430</v>
      </c>
      <c r="E2573" s="101" t="s">
        <v>577</v>
      </c>
      <c r="F2573" s="109">
        <f t="shared" si="8"/>
        <v>18</v>
      </c>
      <c r="G2573" s="110" t="s">
        <v>2443</v>
      </c>
    </row>
    <row r="2574" ht="15.75" customHeight="1">
      <c r="B2574" s="95"/>
      <c r="C2574" s="108" t="s">
        <v>209</v>
      </c>
      <c r="D2574" s="101" t="s">
        <v>2430</v>
      </c>
      <c r="E2574" s="101" t="s">
        <v>577</v>
      </c>
      <c r="F2574" s="109">
        <f t="shared" si="8"/>
        <v>19</v>
      </c>
      <c r="G2574" s="110" t="s">
        <v>2861</v>
      </c>
    </row>
    <row r="2575" ht="15.75" customHeight="1">
      <c r="B2575" s="95"/>
      <c r="C2575" s="108" t="s">
        <v>209</v>
      </c>
      <c r="D2575" s="101" t="s">
        <v>2430</v>
      </c>
      <c r="E2575" s="101" t="s">
        <v>577</v>
      </c>
      <c r="F2575" s="109">
        <f t="shared" si="8"/>
        <v>20</v>
      </c>
      <c r="G2575" s="110" t="s">
        <v>2862</v>
      </c>
    </row>
    <row r="2576" ht="15.75" customHeight="1">
      <c r="B2576" s="95"/>
      <c r="C2576" s="108" t="s">
        <v>209</v>
      </c>
      <c r="D2576" s="101" t="s">
        <v>2430</v>
      </c>
      <c r="E2576" s="101" t="s">
        <v>577</v>
      </c>
      <c r="F2576" s="109">
        <f t="shared" si="8"/>
        <v>21</v>
      </c>
      <c r="G2576" s="110" t="s">
        <v>2863</v>
      </c>
    </row>
    <row r="2577" ht="15.75" customHeight="1">
      <c r="B2577" s="95"/>
      <c r="C2577" s="108" t="s">
        <v>209</v>
      </c>
      <c r="D2577" s="101" t="s">
        <v>2430</v>
      </c>
      <c r="E2577" s="101" t="s">
        <v>577</v>
      </c>
      <c r="F2577" s="109">
        <f t="shared" si="8"/>
        <v>22</v>
      </c>
      <c r="G2577" s="110" t="s">
        <v>2445</v>
      </c>
    </row>
    <row r="2578" ht="15.75" customHeight="1">
      <c r="B2578" s="95"/>
      <c r="C2578" s="108" t="s">
        <v>209</v>
      </c>
      <c r="D2578" s="101" t="s">
        <v>2430</v>
      </c>
      <c r="E2578" s="101" t="s">
        <v>577</v>
      </c>
      <c r="F2578" s="109">
        <f t="shared" si="8"/>
        <v>23</v>
      </c>
      <c r="G2578" s="110" t="s">
        <v>2864</v>
      </c>
    </row>
    <row r="2579" ht="15.75" customHeight="1">
      <c r="B2579" s="95"/>
      <c r="C2579" s="108" t="s">
        <v>209</v>
      </c>
      <c r="D2579" s="101" t="s">
        <v>2430</v>
      </c>
      <c r="E2579" s="101" t="s">
        <v>577</v>
      </c>
      <c r="F2579" s="109">
        <f t="shared" si="8"/>
        <v>24</v>
      </c>
      <c r="G2579" s="110" t="s">
        <v>2865</v>
      </c>
    </row>
    <row r="2580" ht="15.75" customHeight="1">
      <c r="B2580" s="95"/>
      <c r="C2580" s="108" t="s">
        <v>209</v>
      </c>
      <c r="D2580" s="101" t="s">
        <v>2430</v>
      </c>
      <c r="E2580" s="101" t="s">
        <v>577</v>
      </c>
      <c r="F2580" s="109">
        <f t="shared" si="8"/>
        <v>25</v>
      </c>
      <c r="G2580" s="110" t="s">
        <v>2866</v>
      </c>
    </row>
    <row r="2581" ht="15.75" customHeight="1">
      <c r="B2581" s="95"/>
      <c r="C2581" s="108" t="s">
        <v>209</v>
      </c>
      <c r="D2581" s="101" t="s">
        <v>2430</v>
      </c>
      <c r="E2581" s="101" t="s">
        <v>577</v>
      </c>
      <c r="F2581" s="109">
        <f t="shared" si="8"/>
        <v>26</v>
      </c>
      <c r="G2581" s="110" t="s">
        <v>2456</v>
      </c>
    </row>
    <row r="2582" ht="15.75" customHeight="1">
      <c r="B2582" s="95"/>
      <c r="C2582" s="108" t="s">
        <v>209</v>
      </c>
      <c r="D2582" s="101" t="s">
        <v>2430</v>
      </c>
      <c r="E2582" s="101" t="s">
        <v>577</v>
      </c>
      <c r="F2582" s="109">
        <f t="shared" si="8"/>
        <v>27</v>
      </c>
      <c r="G2582" s="110" t="s">
        <v>2867</v>
      </c>
    </row>
    <row r="2583" ht="15.75" customHeight="1">
      <c r="B2583" s="95"/>
      <c r="C2583" s="108" t="s">
        <v>209</v>
      </c>
      <c r="D2583" s="101" t="s">
        <v>2430</v>
      </c>
      <c r="E2583" s="101" t="s">
        <v>577</v>
      </c>
      <c r="F2583" s="109">
        <f t="shared" si="8"/>
        <v>28</v>
      </c>
      <c r="G2583" s="110" t="s">
        <v>2458</v>
      </c>
    </row>
    <row r="2584" ht="15.75" customHeight="1">
      <c r="B2584" s="95"/>
      <c r="C2584" s="108" t="s">
        <v>209</v>
      </c>
      <c r="D2584" s="101" t="s">
        <v>2430</v>
      </c>
      <c r="E2584" s="101" t="s">
        <v>577</v>
      </c>
      <c r="F2584" s="109">
        <f t="shared" si="8"/>
        <v>29</v>
      </c>
      <c r="G2584" s="110" t="s">
        <v>2868</v>
      </c>
    </row>
    <row r="2585" ht="15.75" customHeight="1">
      <c r="B2585" s="95"/>
      <c r="C2585" s="108" t="s">
        <v>209</v>
      </c>
      <c r="D2585" s="101" t="s">
        <v>2430</v>
      </c>
      <c r="E2585" s="101" t="s">
        <v>577</v>
      </c>
      <c r="F2585" s="109">
        <f t="shared" si="8"/>
        <v>30</v>
      </c>
      <c r="G2585" s="110" t="s">
        <v>2869</v>
      </c>
    </row>
    <row r="2586" ht="15.75" customHeight="1">
      <c r="B2586" s="95"/>
      <c r="C2586" s="108" t="s">
        <v>209</v>
      </c>
      <c r="D2586" s="101" t="s">
        <v>2430</v>
      </c>
      <c r="E2586" s="101" t="s">
        <v>577</v>
      </c>
      <c r="F2586" s="109">
        <f t="shared" si="8"/>
        <v>31</v>
      </c>
      <c r="G2586" s="110" t="s">
        <v>2870</v>
      </c>
    </row>
    <row r="2587" ht="15.75" customHeight="1">
      <c r="B2587" s="95"/>
      <c r="C2587" s="108" t="s">
        <v>209</v>
      </c>
      <c r="D2587" s="101" t="s">
        <v>2430</v>
      </c>
      <c r="E2587" s="101" t="s">
        <v>577</v>
      </c>
      <c r="F2587" s="109">
        <f t="shared" si="8"/>
        <v>32</v>
      </c>
      <c r="G2587" s="110" t="s">
        <v>2460</v>
      </c>
    </row>
    <row r="2588" ht="15.75" customHeight="1">
      <c r="B2588" s="95"/>
      <c r="C2588" s="108" t="s">
        <v>209</v>
      </c>
      <c r="D2588" s="101" t="s">
        <v>2430</v>
      </c>
      <c r="E2588" s="101" t="s">
        <v>577</v>
      </c>
      <c r="F2588" s="109">
        <f t="shared" si="8"/>
        <v>33</v>
      </c>
      <c r="G2588" s="110" t="s">
        <v>2871</v>
      </c>
    </row>
    <row r="2589" ht="15.75" customHeight="1">
      <c r="B2589" s="95"/>
      <c r="C2589" s="108" t="s">
        <v>209</v>
      </c>
      <c r="D2589" s="101" t="s">
        <v>2430</v>
      </c>
      <c r="E2589" s="101" t="s">
        <v>577</v>
      </c>
      <c r="F2589" s="109">
        <f t="shared" si="8"/>
        <v>34</v>
      </c>
      <c r="G2589" s="110" t="s">
        <v>2872</v>
      </c>
    </row>
    <row r="2590" ht="15.75" customHeight="1">
      <c r="B2590" s="95"/>
      <c r="C2590" s="108" t="s">
        <v>209</v>
      </c>
      <c r="D2590" s="101" t="s">
        <v>2430</v>
      </c>
      <c r="E2590" s="101" t="s">
        <v>577</v>
      </c>
      <c r="F2590" s="109">
        <f t="shared" si="8"/>
        <v>35</v>
      </c>
      <c r="G2590" s="110" t="s">
        <v>2873</v>
      </c>
    </row>
    <row r="2591" ht="15.75" customHeight="1">
      <c r="B2591" s="95"/>
      <c r="C2591" s="108" t="s">
        <v>209</v>
      </c>
      <c r="D2591" s="101" t="s">
        <v>2430</v>
      </c>
      <c r="E2591" s="101" t="s">
        <v>577</v>
      </c>
      <c r="F2591" s="109">
        <f t="shared" si="8"/>
        <v>36</v>
      </c>
      <c r="G2591" s="110" t="s">
        <v>2462</v>
      </c>
    </row>
    <row r="2592" ht="15.75" customHeight="1">
      <c r="B2592" s="95"/>
      <c r="C2592" s="108" t="s">
        <v>209</v>
      </c>
      <c r="D2592" s="101" t="s">
        <v>2430</v>
      </c>
      <c r="E2592" s="101" t="s">
        <v>577</v>
      </c>
      <c r="F2592" s="109">
        <f t="shared" si="8"/>
        <v>37</v>
      </c>
      <c r="G2592" s="110" t="s">
        <v>2874</v>
      </c>
    </row>
    <row r="2593" ht="15.75" customHeight="1">
      <c r="B2593" s="95"/>
      <c r="C2593" s="108" t="s">
        <v>209</v>
      </c>
      <c r="D2593" s="101" t="s">
        <v>2430</v>
      </c>
      <c r="E2593" s="101" t="s">
        <v>577</v>
      </c>
      <c r="F2593" s="109">
        <f t="shared" si="8"/>
        <v>38</v>
      </c>
      <c r="G2593" s="110" t="s">
        <v>2875</v>
      </c>
    </row>
    <row r="2594" ht="15.75" customHeight="1">
      <c r="B2594" s="95"/>
      <c r="C2594" s="108" t="s">
        <v>209</v>
      </c>
      <c r="D2594" s="101" t="s">
        <v>2430</v>
      </c>
      <c r="E2594" s="101" t="s">
        <v>577</v>
      </c>
      <c r="F2594" s="109">
        <f t="shared" si="8"/>
        <v>39</v>
      </c>
      <c r="G2594" s="110" t="s">
        <v>2876</v>
      </c>
    </row>
    <row r="2595" ht="15.75" customHeight="1">
      <c r="B2595" s="95"/>
      <c r="C2595" s="108" t="s">
        <v>209</v>
      </c>
      <c r="D2595" s="101" t="s">
        <v>2430</v>
      </c>
      <c r="E2595" s="101" t="s">
        <v>577</v>
      </c>
      <c r="F2595" s="109">
        <f t="shared" si="8"/>
        <v>40</v>
      </c>
      <c r="G2595" s="110" t="s">
        <v>2464</v>
      </c>
    </row>
    <row r="2596" ht="15.75" customHeight="1">
      <c r="B2596" s="95"/>
      <c r="C2596" s="108" t="s">
        <v>209</v>
      </c>
      <c r="D2596" s="101" t="s">
        <v>2430</v>
      </c>
      <c r="E2596" s="101" t="s">
        <v>577</v>
      </c>
      <c r="F2596" s="109">
        <f t="shared" si="8"/>
        <v>41</v>
      </c>
      <c r="G2596" s="110" t="s">
        <v>2877</v>
      </c>
    </row>
    <row r="2597" ht="15.75" customHeight="1">
      <c r="B2597" s="95"/>
      <c r="C2597" s="108" t="s">
        <v>209</v>
      </c>
      <c r="D2597" s="101" t="s">
        <v>2430</v>
      </c>
      <c r="E2597" s="101" t="s">
        <v>577</v>
      </c>
      <c r="F2597" s="109">
        <f t="shared" si="8"/>
        <v>42</v>
      </c>
      <c r="G2597" s="110" t="s">
        <v>2466</v>
      </c>
    </row>
    <row r="2598" ht="15.75" customHeight="1">
      <c r="B2598" s="95"/>
      <c r="C2598" s="108" t="s">
        <v>209</v>
      </c>
      <c r="D2598" s="101" t="s">
        <v>2430</v>
      </c>
      <c r="E2598" s="101" t="s">
        <v>577</v>
      </c>
      <c r="F2598" s="109">
        <f t="shared" si="8"/>
        <v>43</v>
      </c>
      <c r="G2598" s="110" t="s">
        <v>2878</v>
      </c>
    </row>
    <row r="2599" ht="15.75" customHeight="1">
      <c r="B2599" s="95"/>
      <c r="C2599" s="108" t="s">
        <v>209</v>
      </c>
      <c r="D2599" s="101" t="s">
        <v>2430</v>
      </c>
      <c r="E2599" s="101" t="s">
        <v>577</v>
      </c>
      <c r="F2599" s="109">
        <f t="shared" si="8"/>
        <v>44</v>
      </c>
      <c r="G2599" s="110" t="s">
        <v>2879</v>
      </c>
    </row>
    <row r="2600" ht="15.75" customHeight="1">
      <c r="B2600" s="95"/>
      <c r="C2600" s="108" t="s">
        <v>209</v>
      </c>
      <c r="D2600" s="101" t="s">
        <v>2430</v>
      </c>
      <c r="E2600" s="101" t="s">
        <v>577</v>
      </c>
      <c r="F2600" s="109">
        <f t="shared" si="8"/>
        <v>45</v>
      </c>
      <c r="G2600" s="110" t="s">
        <v>2880</v>
      </c>
    </row>
    <row r="2601" ht="15.75" customHeight="1">
      <c r="B2601" s="95"/>
      <c r="C2601" s="108" t="s">
        <v>209</v>
      </c>
      <c r="D2601" s="101" t="s">
        <v>2430</v>
      </c>
      <c r="E2601" s="101" t="s">
        <v>577</v>
      </c>
      <c r="F2601" s="109">
        <f t="shared" si="8"/>
        <v>46</v>
      </c>
      <c r="G2601" s="110" t="s">
        <v>2468</v>
      </c>
    </row>
    <row r="2602" ht="15.75" customHeight="1">
      <c r="B2602" s="95"/>
      <c r="C2602" s="108" t="s">
        <v>209</v>
      </c>
      <c r="D2602" s="101" t="s">
        <v>2430</v>
      </c>
      <c r="E2602" s="101" t="s">
        <v>577</v>
      </c>
      <c r="F2602" s="109">
        <f t="shared" si="8"/>
        <v>47</v>
      </c>
      <c r="G2602" s="110" t="s">
        <v>2881</v>
      </c>
    </row>
    <row r="2603" ht="15.75" customHeight="1">
      <c r="B2603" s="95"/>
      <c r="C2603" s="108" t="s">
        <v>209</v>
      </c>
      <c r="D2603" s="101" t="s">
        <v>2430</v>
      </c>
      <c r="E2603" s="101" t="s">
        <v>577</v>
      </c>
      <c r="F2603" s="109">
        <f t="shared" si="8"/>
        <v>48</v>
      </c>
      <c r="G2603" s="110" t="s">
        <v>2470</v>
      </c>
    </row>
    <row r="2604" ht="15.75" customHeight="1">
      <c r="B2604" s="95"/>
      <c r="C2604" s="108" t="s">
        <v>209</v>
      </c>
      <c r="D2604" s="101" t="s">
        <v>2430</v>
      </c>
      <c r="E2604" s="101" t="s">
        <v>577</v>
      </c>
      <c r="F2604" s="109">
        <f t="shared" si="8"/>
        <v>49</v>
      </c>
      <c r="G2604" s="110" t="s">
        <v>2882</v>
      </c>
    </row>
    <row r="2605" ht="15.75" customHeight="1">
      <c r="B2605" s="95"/>
      <c r="C2605" s="108" t="s">
        <v>209</v>
      </c>
      <c r="D2605" s="101" t="s">
        <v>2430</v>
      </c>
      <c r="E2605" s="101" t="s">
        <v>577</v>
      </c>
      <c r="F2605" s="109">
        <f t="shared" si="8"/>
        <v>50</v>
      </c>
      <c r="G2605" s="110" t="s">
        <v>2472</v>
      </c>
    </row>
    <row r="2606" ht="15.75" customHeight="1">
      <c r="B2606" s="95"/>
      <c r="C2606" s="108" t="s">
        <v>209</v>
      </c>
      <c r="D2606" s="101" t="s">
        <v>2430</v>
      </c>
      <c r="E2606" s="101" t="s">
        <v>577</v>
      </c>
      <c r="F2606" s="109">
        <f t="shared" si="8"/>
        <v>51</v>
      </c>
      <c r="G2606" s="110" t="s">
        <v>2883</v>
      </c>
    </row>
    <row r="2607" ht="15.75" customHeight="1">
      <c r="B2607" s="95"/>
      <c r="C2607" s="108" t="s">
        <v>209</v>
      </c>
      <c r="D2607" s="101" t="s">
        <v>2430</v>
      </c>
      <c r="E2607" s="101" t="s">
        <v>577</v>
      </c>
      <c r="F2607" s="109">
        <f t="shared" si="8"/>
        <v>52</v>
      </c>
      <c r="G2607" s="110" t="s">
        <v>2884</v>
      </c>
    </row>
    <row r="2608" ht="15.75" customHeight="1">
      <c r="B2608" s="95"/>
      <c r="C2608" s="108" t="s">
        <v>209</v>
      </c>
      <c r="D2608" s="101" t="s">
        <v>2430</v>
      </c>
      <c r="E2608" s="101" t="s">
        <v>577</v>
      </c>
      <c r="F2608" s="109">
        <f t="shared" si="8"/>
        <v>53</v>
      </c>
      <c r="G2608" s="110" t="s">
        <v>2885</v>
      </c>
    </row>
    <row r="2609" ht="15.75" customHeight="1">
      <c r="B2609" s="95"/>
      <c r="C2609" s="108" t="s">
        <v>209</v>
      </c>
      <c r="D2609" s="101" t="s">
        <v>2430</v>
      </c>
      <c r="E2609" s="101" t="s">
        <v>577</v>
      </c>
      <c r="F2609" s="109">
        <f t="shared" si="8"/>
        <v>54</v>
      </c>
      <c r="G2609" s="110" t="s">
        <v>2474</v>
      </c>
    </row>
    <row r="2610" ht="15.75" customHeight="1">
      <c r="B2610" s="95"/>
      <c r="C2610" s="108" t="s">
        <v>209</v>
      </c>
      <c r="D2610" s="101" t="s">
        <v>2430</v>
      </c>
      <c r="E2610" s="101" t="s">
        <v>577</v>
      </c>
      <c r="F2610" s="109">
        <f t="shared" si="8"/>
        <v>55</v>
      </c>
      <c r="G2610" s="110" t="s">
        <v>2886</v>
      </c>
    </row>
    <row r="2611" ht="15.75" customHeight="1">
      <c r="B2611" s="95"/>
      <c r="C2611" s="108" t="s">
        <v>209</v>
      </c>
      <c r="D2611" s="101" t="s">
        <v>2430</v>
      </c>
      <c r="E2611" s="101" t="s">
        <v>577</v>
      </c>
      <c r="F2611" s="109">
        <f t="shared" si="8"/>
        <v>56</v>
      </c>
      <c r="G2611" s="110" t="s">
        <v>2476</v>
      </c>
    </row>
    <row r="2612" ht="15.75" customHeight="1">
      <c r="B2612" s="95"/>
      <c r="C2612" s="108" t="s">
        <v>209</v>
      </c>
      <c r="D2612" s="101" t="s">
        <v>2430</v>
      </c>
      <c r="E2612" s="101" t="s">
        <v>577</v>
      </c>
      <c r="F2612" s="109">
        <f t="shared" si="8"/>
        <v>57</v>
      </c>
      <c r="G2612" s="110" t="s">
        <v>2887</v>
      </c>
    </row>
    <row r="2613" ht="15.75" customHeight="1">
      <c r="B2613" s="95"/>
      <c r="C2613" s="108" t="s">
        <v>209</v>
      </c>
      <c r="D2613" s="101" t="s">
        <v>2430</v>
      </c>
      <c r="E2613" s="101" t="s">
        <v>577</v>
      </c>
      <c r="F2613" s="109">
        <f t="shared" si="8"/>
        <v>58</v>
      </c>
      <c r="G2613" s="110" t="s">
        <v>2478</v>
      </c>
    </row>
    <row r="2614" ht="15.75" customHeight="1">
      <c r="B2614" s="95"/>
      <c r="C2614" s="108" t="s">
        <v>209</v>
      </c>
      <c r="D2614" s="101" t="s">
        <v>2430</v>
      </c>
      <c r="E2614" s="101" t="s">
        <v>577</v>
      </c>
      <c r="F2614" s="109">
        <f t="shared" si="8"/>
        <v>59</v>
      </c>
      <c r="G2614" s="110" t="s">
        <v>2888</v>
      </c>
    </row>
    <row r="2615" ht="15.75" customHeight="1">
      <c r="B2615" s="95"/>
      <c r="C2615" s="108" t="s">
        <v>209</v>
      </c>
      <c r="D2615" s="101" t="s">
        <v>2430</v>
      </c>
      <c r="E2615" s="101" t="s">
        <v>577</v>
      </c>
      <c r="F2615" s="109">
        <f t="shared" si="8"/>
        <v>60</v>
      </c>
      <c r="G2615" s="110" t="s">
        <v>2480</v>
      </c>
    </row>
    <row r="2616" ht="15.75" customHeight="1">
      <c r="B2616" s="95"/>
      <c r="C2616" s="108" t="s">
        <v>209</v>
      </c>
      <c r="D2616" s="101" t="s">
        <v>2430</v>
      </c>
      <c r="E2616" s="101" t="s">
        <v>577</v>
      </c>
      <c r="F2616" s="109">
        <f t="shared" si="8"/>
        <v>61</v>
      </c>
      <c r="G2616" s="110" t="s">
        <v>2889</v>
      </c>
    </row>
    <row r="2617" ht="15.75" customHeight="1">
      <c r="B2617" s="95"/>
      <c r="C2617" s="108" t="s">
        <v>209</v>
      </c>
      <c r="D2617" s="101" t="s">
        <v>2430</v>
      </c>
      <c r="E2617" s="101" t="s">
        <v>577</v>
      </c>
      <c r="F2617" s="109">
        <f t="shared" si="8"/>
        <v>62</v>
      </c>
      <c r="G2617" s="110" t="s">
        <v>2890</v>
      </c>
    </row>
    <row r="2618" ht="15.75" customHeight="1">
      <c r="B2618" s="95"/>
      <c r="C2618" s="108" t="s">
        <v>209</v>
      </c>
      <c r="D2618" s="101" t="s">
        <v>2430</v>
      </c>
      <c r="E2618" s="101" t="s">
        <v>577</v>
      </c>
      <c r="F2618" s="109">
        <f t="shared" si="8"/>
        <v>63</v>
      </c>
      <c r="G2618" s="110" t="s">
        <v>2891</v>
      </c>
    </row>
    <row r="2619" ht="15.75" customHeight="1">
      <c r="B2619" s="95"/>
      <c r="C2619" s="108" t="s">
        <v>209</v>
      </c>
      <c r="D2619" s="101" t="s">
        <v>2430</v>
      </c>
      <c r="E2619" s="101" t="s">
        <v>577</v>
      </c>
      <c r="F2619" s="109">
        <f t="shared" si="8"/>
        <v>64</v>
      </c>
      <c r="G2619" s="110" t="s">
        <v>2482</v>
      </c>
    </row>
    <row r="2620" ht="15.75" customHeight="1">
      <c r="B2620" s="95"/>
      <c r="C2620" s="108" t="s">
        <v>209</v>
      </c>
      <c r="D2620" s="101" t="s">
        <v>2430</v>
      </c>
      <c r="E2620" s="101" t="s">
        <v>577</v>
      </c>
      <c r="F2620" s="109">
        <f t="shared" si="8"/>
        <v>65</v>
      </c>
      <c r="G2620" s="110" t="s">
        <v>2892</v>
      </c>
    </row>
    <row r="2621" ht="15.75" customHeight="1">
      <c r="B2621" s="95"/>
      <c r="C2621" s="108" t="s">
        <v>209</v>
      </c>
      <c r="D2621" s="101" t="s">
        <v>2430</v>
      </c>
      <c r="E2621" s="101" t="s">
        <v>577</v>
      </c>
      <c r="F2621" s="109">
        <f t="shared" si="8"/>
        <v>66</v>
      </c>
      <c r="G2621" s="110" t="s">
        <v>2484</v>
      </c>
    </row>
    <row r="2622" ht="15.75" customHeight="1">
      <c r="B2622" s="95"/>
      <c r="C2622" s="108" t="s">
        <v>209</v>
      </c>
      <c r="D2622" s="101" t="s">
        <v>2430</v>
      </c>
      <c r="E2622" s="101" t="s">
        <v>577</v>
      </c>
      <c r="F2622" s="109">
        <f t="shared" si="8"/>
        <v>67</v>
      </c>
      <c r="G2622" s="110" t="s">
        <v>2893</v>
      </c>
    </row>
    <row r="2623" ht="15.75" customHeight="1">
      <c r="B2623" s="95"/>
      <c r="C2623" s="108" t="s">
        <v>209</v>
      </c>
      <c r="D2623" s="101" t="s">
        <v>2430</v>
      </c>
      <c r="E2623" s="101" t="s">
        <v>577</v>
      </c>
      <c r="F2623" s="109">
        <f t="shared" si="8"/>
        <v>68</v>
      </c>
      <c r="G2623" s="110" t="s">
        <v>2894</v>
      </c>
    </row>
    <row r="2624" ht="15.75" customHeight="1">
      <c r="B2624" s="95"/>
      <c r="C2624" s="108" t="s">
        <v>209</v>
      </c>
      <c r="D2624" s="101" t="s">
        <v>2430</v>
      </c>
      <c r="E2624" s="101" t="s">
        <v>577</v>
      </c>
      <c r="F2624" s="109">
        <f t="shared" si="8"/>
        <v>69</v>
      </c>
      <c r="G2624" s="110" t="s">
        <v>2895</v>
      </c>
    </row>
    <row r="2625" ht="15.75" customHeight="1">
      <c r="B2625" s="95"/>
      <c r="C2625" s="108" t="s">
        <v>209</v>
      </c>
      <c r="D2625" s="101" t="s">
        <v>2430</v>
      </c>
      <c r="E2625" s="101" t="s">
        <v>577</v>
      </c>
      <c r="F2625" s="109">
        <f t="shared" si="8"/>
        <v>70</v>
      </c>
      <c r="G2625" s="110" t="s">
        <v>2486</v>
      </c>
    </row>
    <row r="2626" ht="15.75" customHeight="1">
      <c r="B2626" s="95"/>
      <c r="C2626" s="108" t="s">
        <v>209</v>
      </c>
      <c r="D2626" s="101" t="s">
        <v>2430</v>
      </c>
      <c r="E2626" s="101" t="s">
        <v>577</v>
      </c>
      <c r="F2626" s="109">
        <f t="shared" si="8"/>
        <v>71</v>
      </c>
      <c r="G2626" s="110" t="s">
        <v>2896</v>
      </c>
    </row>
    <row r="2627" ht="15.75" customHeight="1">
      <c r="B2627" s="95"/>
      <c r="C2627" s="108" t="s">
        <v>209</v>
      </c>
      <c r="D2627" s="101" t="s">
        <v>2430</v>
      </c>
      <c r="E2627" s="101" t="s">
        <v>577</v>
      </c>
      <c r="F2627" s="109">
        <f t="shared" si="8"/>
        <v>72</v>
      </c>
      <c r="G2627" s="110" t="s">
        <v>2897</v>
      </c>
    </row>
    <row r="2628" ht="15.75" customHeight="1">
      <c r="B2628" s="95"/>
      <c r="C2628" s="108" t="s">
        <v>209</v>
      </c>
      <c r="D2628" s="101" t="s">
        <v>2430</v>
      </c>
      <c r="E2628" s="101" t="s">
        <v>577</v>
      </c>
      <c r="F2628" s="109">
        <f t="shared" si="8"/>
        <v>73</v>
      </c>
      <c r="G2628" s="110" t="s">
        <v>2898</v>
      </c>
    </row>
    <row r="2629" ht="15.75" customHeight="1">
      <c r="B2629" s="95"/>
      <c r="C2629" s="108" t="s">
        <v>209</v>
      </c>
      <c r="D2629" s="101" t="s">
        <v>2430</v>
      </c>
      <c r="E2629" s="101" t="s">
        <v>577</v>
      </c>
      <c r="F2629" s="109">
        <f t="shared" si="8"/>
        <v>74</v>
      </c>
      <c r="G2629" s="110" t="s">
        <v>2488</v>
      </c>
    </row>
    <row r="2630" ht="15.75" customHeight="1">
      <c r="B2630" s="95"/>
      <c r="C2630" s="108" t="s">
        <v>209</v>
      </c>
      <c r="D2630" s="101" t="s">
        <v>2430</v>
      </c>
      <c r="E2630" s="101" t="s">
        <v>577</v>
      </c>
      <c r="F2630" s="109">
        <f t="shared" si="8"/>
        <v>75</v>
      </c>
      <c r="G2630" s="110" t="s">
        <v>2899</v>
      </c>
    </row>
    <row r="2631" ht="15.75" customHeight="1">
      <c r="B2631" s="95"/>
      <c r="C2631" s="108" t="s">
        <v>209</v>
      </c>
      <c r="D2631" s="101" t="s">
        <v>2430</v>
      </c>
      <c r="E2631" s="101" t="s">
        <v>577</v>
      </c>
      <c r="F2631" s="109">
        <f t="shared" si="8"/>
        <v>76</v>
      </c>
      <c r="G2631" s="110" t="s">
        <v>2490</v>
      </c>
    </row>
    <row r="2632" ht="15.75" customHeight="1">
      <c r="B2632" s="95"/>
      <c r="C2632" s="108" t="s">
        <v>209</v>
      </c>
      <c r="D2632" s="101" t="s">
        <v>2430</v>
      </c>
      <c r="E2632" s="101" t="s">
        <v>577</v>
      </c>
      <c r="F2632" s="109">
        <f t="shared" si="8"/>
        <v>77</v>
      </c>
      <c r="G2632" s="110" t="s">
        <v>2900</v>
      </c>
    </row>
    <row r="2633" ht="15.75" customHeight="1">
      <c r="B2633" s="95"/>
      <c r="C2633" s="108" t="s">
        <v>209</v>
      </c>
      <c r="D2633" s="101" t="s">
        <v>2430</v>
      </c>
      <c r="E2633" s="101" t="s">
        <v>577</v>
      </c>
      <c r="F2633" s="109">
        <f t="shared" si="8"/>
        <v>78</v>
      </c>
      <c r="G2633" s="110" t="s">
        <v>2901</v>
      </c>
    </row>
    <row r="2634" ht="15.75" customHeight="1">
      <c r="B2634" s="95"/>
      <c r="C2634" s="108" t="s">
        <v>209</v>
      </c>
      <c r="D2634" s="101" t="s">
        <v>2430</v>
      </c>
      <c r="E2634" s="101" t="s">
        <v>577</v>
      </c>
      <c r="F2634" s="109">
        <f t="shared" si="8"/>
        <v>79</v>
      </c>
      <c r="G2634" s="110" t="s">
        <v>2902</v>
      </c>
    </row>
    <row r="2635" ht="15.75" customHeight="1">
      <c r="B2635" s="95"/>
      <c r="C2635" s="108" t="s">
        <v>209</v>
      </c>
      <c r="D2635" s="101" t="s">
        <v>2430</v>
      </c>
      <c r="E2635" s="101" t="s">
        <v>577</v>
      </c>
      <c r="F2635" s="109">
        <f t="shared" si="8"/>
        <v>80</v>
      </c>
      <c r="G2635" s="110" t="s">
        <v>2492</v>
      </c>
    </row>
    <row r="2636" ht="15.75" customHeight="1">
      <c r="B2636" s="95"/>
      <c r="C2636" s="108" t="s">
        <v>209</v>
      </c>
      <c r="D2636" s="101" t="s">
        <v>2430</v>
      </c>
      <c r="E2636" s="101" t="s">
        <v>577</v>
      </c>
      <c r="F2636" s="109">
        <f t="shared" si="8"/>
        <v>81</v>
      </c>
      <c r="G2636" s="110" t="s">
        <v>2903</v>
      </c>
    </row>
    <row r="2637" ht="15.75" customHeight="1">
      <c r="B2637" s="95"/>
      <c r="C2637" s="108" t="s">
        <v>209</v>
      </c>
      <c r="D2637" s="101" t="s">
        <v>2430</v>
      </c>
      <c r="E2637" s="101" t="s">
        <v>577</v>
      </c>
      <c r="F2637" s="109">
        <f t="shared" si="8"/>
        <v>82</v>
      </c>
      <c r="G2637" s="110" t="s">
        <v>2904</v>
      </c>
    </row>
    <row r="2638" ht="15.75" customHeight="1">
      <c r="B2638" s="95"/>
      <c r="C2638" s="108" t="s">
        <v>209</v>
      </c>
      <c r="D2638" s="101" t="s">
        <v>2430</v>
      </c>
      <c r="E2638" s="101" t="s">
        <v>577</v>
      </c>
      <c r="F2638" s="109">
        <f t="shared" si="8"/>
        <v>83</v>
      </c>
      <c r="G2638" s="110" t="s">
        <v>2905</v>
      </c>
    </row>
    <row r="2639" ht="15.75" customHeight="1">
      <c r="B2639" s="95"/>
      <c r="C2639" s="108" t="s">
        <v>209</v>
      </c>
      <c r="D2639" s="101" t="s">
        <v>2430</v>
      </c>
      <c r="E2639" s="101" t="s">
        <v>577</v>
      </c>
      <c r="F2639" s="109">
        <f t="shared" si="8"/>
        <v>84</v>
      </c>
      <c r="G2639" s="110" t="s">
        <v>2494</v>
      </c>
    </row>
    <row r="2640" ht="15.75" customHeight="1">
      <c r="B2640" s="95"/>
      <c r="C2640" s="108" t="s">
        <v>209</v>
      </c>
      <c r="D2640" s="101" t="s">
        <v>2430</v>
      </c>
      <c r="E2640" s="101" t="s">
        <v>577</v>
      </c>
      <c r="F2640" s="109">
        <f t="shared" si="8"/>
        <v>85</v>
      </c>
      <c r="G2640" s="110" t="s">
        <v>2906</v>
      </c>
    </row>
    <row r="2641" ht="15.75" customHeight="1">
      <c r="B2641" s="95"/>
      <c r="C2641" s="108" t="s">
        <v>209</v>
      </c>
      <c r="D2641" s="101" t="s">
        <v>2430</v>
      </c>
      <c r="E2641" s="101" t="s">
        <v>577</v>
      </c>
      <c r="F2641" s="109">
        <f t="shared" si="8"/>
        <v>86</v>
      </c>
      <c r="G2641" s="110" t="s">
        <v>2907</v>
      </c>
    </row>
    <row r="2642" ht="15.75" customHeight="1">
      <c r="B2642" s="95"/>
      <c r="C2642" s="108" t="s">
        <v>209</v>
      </c>
      <c r="D2642" s="101" t="s">
        <v>2430</v>
      </c>
      <c r="E2642" s="101" t="s">
        <v>577</v>
      </c>
      <c r="F2642" s="109">
        <f t="shared" si="8"/>
        <v>87</v>
      </c>
      <c r="G2642" s="110" t="s">
        <v>2908</v>
      </c>
    </row>
    <row r="2643" ht="15.75" customHeight="1">
      <c r="B2643" s="95"/>
      <c r="C2643" s="108" t="s">
        <v>209</v>
      </c>
      <c r="D2643" s="101" t="s">
        <v>2430</v>
      </c>
      <c r="E2643" s="101" t="s">
        <v>577</v>
      </c>
      <c r="F2643" s="109">
        <f t="shared" si="8"/>
        <v>88</v>
      </c>
      <c r="G2643" s="110" t="s">
        <v>2496</v>
      </c>
    </row>
    <row r="2644" ht="15.75" customHeight="1">
      <c r="B2644" s="95"/>
      <c r="C2644" s="108" t="s">
        <v>209</v>
      </c>
      <c r="D2644" s="101" t="s">
        <v>2430</v>
      </c>
      <c r="E2644" s="101" t="s">
        <v>577</v>
      </c>
      <c r="F2644" s="109">
        <f t="shared" si="8"/>
        <v>89</v>
      </c>
      <c r="G2644" s="110" t="s">
        <v>2909</v>
      </c>
    </row>
    <row r="2645" ht="15.75" customHeight="1">
      <c r="B2645" s="95"/>
      <c r="C2645" s="108" t="s">
        <v>209</v>
      </c>
      <c r="D2645" s="101" t="s">
        <v>2430</v>
      </c>
      <c r="E2645" s="101" t="s">
        <v>577</v>
      </c>
      <c r="F2645" s="109">
        <f t="shared" si="8"/>
        <v>90</v>
      </c>
      <c r="G2645" s="110" t="s">
        <v>2498</v>
      </c>
    </row>
    <row r="2646" ht="15.75" customHeight="1">
      <c r="B2646" s="95"/>
      <c r="C2646" s="108" t="s">
        <v>209</v>
      </c>
      <c r="D2646" s="101" t="s">
        <v>2430</v>
      </c>
      <c r="E2646" s="101" t="s">
        <v>577</v>
      </c>
      <c r="F2646" s="109">
        <f t="shared" si="8"/>
        <v>91</v>
      </c>
      <c r="G2646" s="110" t="s">
        <v>2910</v>
      </c>
    </row>
    <row r="2647" ht="15.75" customHeight="1">
      <c r="B2647" s="95"/>
      <c r="C2647" s="108" t="s">
        <v>209</v>
      </c>
      <c r="D2647" s="101" t="s">
        <v>2430</v>
      </c>
      <c r="E2647" s="101" t="s">
        <v>577</v>
      </c>
      <c r="F2647" s="109">
        <f t="shared" si="8"/>
        <v>92</v>
      </c>
      <c r="G2647" s="110" t="s">
        <v>2911</v>
      </c>
    </row>
    <row r="2648" ht="15.75" customHeight="1">
      <c r="B2648" s="95"/>
      <c r="C2648" s="108" t="s">
        <v>209</v>
      </c>
      <c r="D2648" s="101" t="s">
        <v>2430</v>
      </c>
      <c r="E2648" s="101" t="s">
        <v>577</v>
      </c>
      <c r="F2648" s="109">
        <f t="shared" si="8"/>
        <v>93</v>
      </c>
      <c r="G2648" s="110" t="s">
        <v>2912</v>
      </c>
    </row>
    <row r="2649" ht="15.75" customHeight="1">
      <c r="B2649" s="95"/>
      <c r="C2649" s="108" t="s">
        <v>209</v>
      </c>
      <c r="D2649" s="101" t="s">
        <v>2430</v>
      </c>
      <c r="E2649" s="101" t="s">
        <v>577</v>
      </c>
      <c r="F2649" s="109">
        <f t="shared" si="8"/>
        <v>94</v>
      </c>
      <c r="G2649" s="110" t="s">
        <v>2500</v>
      </c>
    </row>
    <row r="2650" ht="15.75" customHeight="1">
      <c r="B2650" s="95"/>
      <c r="C2650" s="108" t="s">
        <v>209</v>
      </c>
      <c r="D2650" s="101" t="s">
        <v>2430</v>
      </c>
      <c r="E2650" s="101" t="s">
        <v>577</v>
      </c>
      <c r="F2650" s="109">
        <f t="shared" si="8"/>
        <v>95</v>
      </c>
      <c r="G2650" s="110" t="s">
        <v>2501</v>
      </c>
    </row>
    <row r="2651" ht="15.75" customHeight="1">
      <c r="B2651" s="95"/>
      <c r="C2651" s="108" t="s">
        <v>209</v>
      </c>
      <c r="D2651" s="101" t="s">
        <v>2430</v>
      </c>
      <c r="E2651" s="101" t="s">
        <v>577</v>
      </c>
      <c r="F2651" s="109">
        <f t="shared" si="8"/>
        <v>96</v>
      </c>
      <c r="G2651" s="110" t="s">
        <v>2502</v>
      </c>
    </row>
    <row r="2652" ht="15.75" customHeight="1">
      <c r="B2652" s="95"/>
      <c r="C2652" s="108" t="s">
        <v>209</v>
      </c>
      <c r="D2652" s="101" t="s">
        <v>2430</v>
      </c>
      <c r="E2652" s="101" t="s">
        <v>577</v>
      </c>
      <c r="F2652" s="109">
        <f t="shared" si="8"/>
        <v>97</v>
      </c>
      <c r="G2652" s="110" t="s">
        <v>2503</v>
      </c>
    </row>
    <row r="2653" ht="15.75" customHeight="1">
      <c r="B2653" s="95"/>
      <c r="C2653" s="108" t="s">
        <v>209</v>
      </c>
      <c r="D2653" s="101" t="s">
        <v>2430</v>
      </c>
      <c r="E2653" s="101" t="s">
        <v>577</v>
      </c>
      <c r="F2653" s="109">
        <f t="shared" si="8"/>
        <v>98</v>
      </c>
      <c r="G2653" s="110" t="s">
        <v>2504</v>
      </c>
    </row>
    <row r="2654" ht="15.75" customHeight="1">
      <c r="B2654" s="95"/>
      <c r="C2654" s="108" t="s">
        <v>209</v>
      </c>
      <c r="D2654" s="101" t="s">
        <v>2430</v>
      </c>
      <c r="E2654" s="101" t="s">
        <v>577</v>
      </c>
      <c r="F2654" s="109">
        <f t="shared" si="8"/>
        <v>99</v>
      </c>
      <c r="G2654" s="110" t="s">
        <v>2508</v>
      </c>
    </row>
    <row r="2655" ht="15.75" customHeight="1">
      <c r="B2655" s="95"/>
      <c r="C2655" s="108" t="s">
        <v>209</v>
      </c>
      <c r="D2655" s="101" t="s">
        <v>2430</v>
      </c>
      <c r="E2655" s="101" t="s">
        <v>577</v>
      </c>
      <c r="F2655" s="109">
        <f t="shared" si="8"/>
        <v>100</v>
      </c>
      <c r="G2655" s="110" t="s">
        <v>2509</v>
      </c>
    </row>
    <row r="2656" ht="15.75" customHeight="1">
      <c r="B2656" s="95"/>
      <c r="C2656" s="108" t="s">
        <v>209</v>
      </c>
      <c r="D2656" s="101" t="s">
        <v>2430</v>
      </c>
      <c r="E2656" s="101" t="s">
        <v>577</v>
      </c>
      <c r="F2656" s="109">
        <f t="shared" si="8"/>
        <v>101</v>
      </c>
      <c r="G2656" s="110" t="s">
        <v>2510</v>
      </c>
    </row>
    <row r="2657" ht="15.75" customHeight="1">
      <c r="B2657" s="95"/>
      <c r="C2657" s="108" t="s">
        <v>209</v>
      </c>
      <c r="D2657" s="101" t="s">
        <v>2430</v>
      </c>
      <c r="E2657" s="101" t="s">
        <v>577</v>
      </c>
      <c r="F2657" s="109">
        <f t="shared" si="8"/>
        <v>102</v>
      </c>
      <c r="G2657" s="110" t="s">
        <v>2511</v>
      </c>
    </row>
    <row r="2658" ht="15.75" customHeight="1">
      <c r="B2658" s="95"/>
      <c r="C2658" s="108" t="s">
        <v>209</v>
      </c>
      <c r="D2658" s="101" t="s">
        <v>2430</v>
      </c>
      <c r="E2658" s="101" t="s">
        <v>577</v>
      </c>
      <c r="F2658" s="109">
        <f t="shared" si="8"/>
        <v>103</v>
      </c>
      <c r="G2658" s="110" t="s">
        <v>2512</v>
      </c>
    </row>
    <row r="2659" ht="15.75" customHeight="1">
      <c r="B2659" s="95"/>
      <c r="C2659" s="108" t="s">
        <v>209</v>
      </c>
      <c r="D2659" s="101" t="s">
        <v>2430</v>
      </c>
      <c r="E2659" s="101" t="s">
        <v>577</v>
      </c>
      <c r="F2659" s="109">
        <f t="shared" si="8"/>
        <v>104</v>
      </c>
      <c r="G2659" s="110" t="s">
        <v>2513</v>
      </c>
    </row>
    <row r="2660" ht="15.75" customHeight="1">
      <c r="B2660" s="95"/>
      <c r="C2660" s="108" t="s">
        <v>209</v>
      </c>
      <c r="D2660" s="101" t="s">
        <v>2430</v>
      </c>
      <c r="E2660" s="101" t="s">
        <v>577</v>
      </c>
      <c r="F2660" s="109">
        <f t="shared" si="8"/>
        <v>105</v>
      </c>
      <c r="G2660" s="110" t="s">
        <v>2514</v>
      </c>
    </row>
    <row r="2661" ht="15.75" customHeight="1">
      <c r="B2661" s="95"/>
      <c r="C2661" s="108" t="s">
        <v>209</v>
      </c>
      <c r="D2661" s="101" t="s">
        <v>2430</v>
      </c>
      <c r="E2661" s="101" t="s">
        <v>577</v>
      </c>
      <c r="F2661" s="109">
        <f t="shared" si="8"/>
        <v>106</v>
      </c>
      <c r="G2661" s="110" t="s">
        <v>2515</v>
      </c>
    </row>
    <row r="2662" ht="15.75" customHeight="1">
      <c r="B2662" s="95"/>
      <c r="C2662" s="108" t="s">
        <v>209</v>
      </c>
      <c r="D2662" s="101" t="s">
        <v>2430</v>
      </c>
      <c r="E2662" s="101" t="s">
        <v>577</v>
      </c>
      <c r="F2662" s="109">
        <f t="shared" si="8"/>
        <v>107</v>
      </c>
      <c r="G2662" s="110" t="s">
        <v>2516</v>
      </c>
    </row>
    <row r="2663" ht="15.75" customHeight="1">
      <c r="B2663" s="95"/>
      <c r="C2663" s="108" t="s">
        <v>209</v>
      </c>
      <c r="D2663" s="101" t="s">
        <v>2430</v>
      </c>
      <c r="E2663" s="101" t="s">
        <v>577</v>
      </c>
      <c r="F2663" s="109">
        <f t="shared" si="8"/>
        <v>108</v>
      </c>
      <c r="G2663" s="110" t="s">
        <v>2517</v>
      </c>
    </row>
    <row r="2664" ht="15.75" customHeight="1">
      <c r="B2664" s="95"/>
      <c r="C2664" s="108" t="s">
        <v>209</v>
      </c>
      <c r="D2664" s="101" t="s">
        <v>2430</v>
      </c>
      <c r="E2664" s="101" t="s">
        <v>577</v>
      </c>
      <c r="F2664" s="109">
        <f t="shared" si="8"/>
        <v>109</v>
      </c>
      <c r="G2664" s="110" t="s">
        <v>2518</v>
      </c>
    </row>
    <row r="2665" ht="15.75" customHeight="1">
      <c r="B2665" s="95"/>
      <c r="C2665" s="108" t="s">
        <v>209</v>
      </c>
      <c r="D2665" s="101" t="s">
        <v>2430</v>
      </c>
      <c r="E2665" s="101" t="s">
        <v>577</v>
      </c>
      <c r="F2665" s="109">
        <f t="shared" si="8"/>
        <v>110</v>
      </c>
      <c r="G2665" s="110" t="s">
        <v>2519</v>
      </c>
    </row>
    <row r="2666" ht="15.75" customHeight="1">
      <c r="B2666" s="95"/>
      <c r="C2666" s="108" t="s">
        <v>209</v>
      </c>
      <c r="D2666" s="101" t="s">
        <v>2430</v>
      </c>
      <c r="E2666" s="101" t="s">
        <v>577</v>
      </c>
      <c r="F2666" s="109">
        <f t="shared" si="8"/>
        <v>111</v>
      </c>
      <c r="G2666" s="110" t="s">
        <v>2520</v>
      </c>
    </row>
    <row r="2667" ht="15.75" customHeight="1">
      <c r="B2667" s="95"/>
      <c r="C2667" s="108" t="s">
        <v>209</v>
      </c>
      <c r="D2667" s="101" t="s">
        <v>2430</v>
      </c>
      <c r="E2667" s="101" t="s">
        <v>577</v>
      </c>
      <c r="F2667" s="109">
        <f t="shared" si="8"/>
        <v>112</v>
      </c>
      <c r="G2667" s="110" t="s">
        <v>2521</v>
      </c>
    </row>
    <row r="2668" ht="15.75" customHeight="1">
      <c r="B2668" s="95"/>
      <c r="C2668" s="108" t="s">
        <v>209</v>
      </c>
      <c r="D2668" s="101" t="s">
        <v>2430</v>
      </c>
      <c r="E2668" s="101" t="s">
        <v>577</v>
      </c>
      <c r="F2668" s="109">
        <f t="shared" si="8"/>
        <v>113</v>
      </c>
      <c r="G2668" s="110" t="s">
        <v>2522</v>
      </c>
    </row>
    <row r="2669" ht="15.75" customHeight="1">
      <c r="B2669" s="95"/>
      <c r="C2669" s="108" t="s">
        <v>209</v>
      </c>
      <c r="D2669" s="101" t="s">
        <v>2430</v>
      </c>
      <c r="E2669" s="101" t="s">
        <v>577</v>
      </c>
      <c r="F2669" s="109">
        <f t="shared" si="8"/>
        <v>114</v>
      </c>
      <c r="G2669" s="110" t="s">
        <v>2524</v>
      </c>
    </row>
    <row r="2670" ht="15.75" customHeight="1">
      <c r="B2670" s="95"/>
      <c r="C2670" s="108" t="s">
        <v>209</v>
      </c>
      <c r="D2670" s="101" t="s">
        <v>2430</v>
      </c>
      <c r="E2670" s="101" t="s">
        <v>577</v>
      </c>
      <c r="F2670" s="109">
        <f t="shared" si="8"/>
        <v>115</v>
      </c>
      <c r="G2670" s="110" t="s">
        <v>2525</v>
      </c>
    </row>
    <row r="2671" ht="15.75" customHeight="1">
      <c r="B2671" s="95"/>
      <c r="C2671" s="108" t="s">
        <v>209</v>
      </c>
      <c r="D2671" s="101" t="s">
        <v>2430</v>
      </c>
      <c r="E2671" s="101" t="s">
        <v>577</v>
      </c>
      <c r="F2671" s="109">
        <f t="shared" si="8"/>
        <v>116</v>
      </c>
      <c r="G2671" s="110" t="s">
        <v>2526</v>
      </c>
    </row>
    <row r="2672" ht="15.75" customHeight="1">
      <c r="B2672" s="95"/>
      <c r="C2672" s="108" t="s">
        <v>209</v>
      </c>
      <c r="D2672" s="101" t="s">
        <v>2430</v>
      </c>
      <c r="E2672" s="101" t="s">
        <v>577</v>
      </c>
      <c r="F2672" s="109">
        <f t="shared" si="8"/>
        <v>117</v>
      </c>
      <c r="G2672" s="110" t="s">
        <v>2527</v>
      </c>
    </row>
    <row r="2673" ht="15.75" customHeight="1">
      <c r="B2673" s="95"/>
      <c r="C2673" s="108" t="s">
        <v>209</v>
      </c>
      <c r="D2673" s="101" t="s">
        <v>2430</v>
      </c>
      <c r="E2673" s="101" t="s">
        <v>577</v>
      </c>
      <c r="F2673" s="109">
        <f t="shared" si="8"/>
        <v>118</v>
      </c>
      <c r="G2673" s="110" t="s">
        <v>2528</v>
      </c>
    </row>
    <row r="2674" ht="15.75" customHeight="1">
      <c r="B2674" s="95"/>
      <c r="C2674" s="108" t="s">
        <v>209</v>
      </c>
      <c r="D2674" s="101" t="s">
        <v>2430</v>
      </c>
      <c r="E2674" s="101" t="s">
        <v>577</v>
      </c>
      <c r="F2674" s="109">
        <f t="shared" si="8"/>
        <v>119</v>
      </c>
      <c r="G2674" s="110" t="s">
        <v>2529</v>
      </c>
    </row>
    <row r="2675" ht="15.75" customHeight="1">
      <c r="B2675" s="95"/>
      <c r="C2675" s="108" t="s">
        <v>209</v>
      </c>
      <c r="D2675" s="101" t="s">
        <v>2430</v>
      </c>
      <c r="E2675" s="101" t="s">
        <v>577</v>
      </c>
      <c r="F2675" s="109">
        <f t="shared" si="8"/>
        <v>120</v>
      </c>
      <c r="G2675" s="110" t="s">
        <v>2530</v>
      </c>
    </row>
    <row r="2676" ht="15.75" customHeight="1">
      <c r="B2676" s="95"/>
      <c r="C2676" s="108" t="s">
        <v>209</v>
      </c>
      <c r="D2676" s="101" t="s">
        <v>2430</v>
      </c>
      <c r="E2676" s="101" t="s">
        <v>577</v>
      </c>
      <c r="F2676" s="109">
        <f t="shared" si="8"/>
        <v>121</v>
      </c>
      <c r="G2676" s="110" t="s">
        <v>2532</v>
      </c>
    </row>
    <row r="2677" ht="15.75" customHeight="1">
      <c r="B2677" s="95"/>
      <c r="C2677" s="108" t="s">
        <v>209</v>
      </c>
      <c r="D2677" s="101" t="s">
        <v>2430</v>
      </c>
      <c r="E2677" s="101" t="s">
        <v>577</v>
      </c>
      <c r="F2677" s="109">
        <f t="shared" si="8"/>
        <v>122</v>
      </c>
      <c r="G2677" s="110" t="s">
        <v>2533</v>
      </c>
    </row>
    <row r="2678" ht="15.75" customHeight="1">
      <c r="B2678" s="95"/>
      <c r="C2678" s="108" t="s">
        <v>209</v>
      </c>
      <c r="D2678" s="101" t="s">
        <v>2430</v>
      </c>
      <c r="E2678" s="101" t="s">
        <v>577</v>
      </c>
      <c r="F2678" s="109">
        <f t="shared" si="8"/>
        <v>123</v>
      </c>
      <c r="G2678" s="110" t="s">
        <v>2534</v>
      </c>
    </row>
    <row r="2679" ht="15.75" customHeight="1">
      <c r="B2679" s="95"/>
      <c r="C2679" s="108" t="s">
        <v>209</v>
      </c>
      <c r="D2679" s="101" t="s">
        <v>2430</v>
      </c>
      <c r="E2679" s="101" t="s">
        <v>577</v>
      </c>
      <c r="F2679" s="109">
        <f t="shared" si="8"/>
        <v>124</v>
      </c>
      <c r="G2679" s="110" t="s">
        <v>2535</v>
      </c>
    </row>
    <row r="2680" ht="15.75" customHeight="1">
      <c r="B2680" s="95"/>
      <c r="C2680" s="108" t="s">
        <v>209</v>
      </c>
      <c r="D2680" s="101" t="s">
        <v>2430</v>
      </c>
      <c r="E2680" s="101" t="s">
        <v>577</v>
      </c>
      <c r="F2680" s="109">
        <f t="shared" si="8"/>
        <v>125</v>
      </c>
      <c r="G2680" s="110" t="s">
        <v>2536</v>
      </c>
    </row>
    <row r="2681" ht="15.75" customHeight="1">
      <c r="B2681" s="95"/>
      <c r="C2681" s="108" t="s">
        <v>209</v>
      </c>
      <c r="D2681" s="101" t="s">
        <v>2430</v>
      </c>
      <c r="E2681" s="101" t="s">
        <v>577</v>
      </c>
      <c r="F2681" s="109">
        <f t="shared" si="8"/>
        <v>126</v>
      </c>
      <c r="G2681" s="110" t="s">
        <v>2537</v>
      </c>
    </row>
    <row r="2682" ht="15.75" customHeight="1">
      <c r="B2682" s="95"/>
      <c r="C2682" s="108" t="s">
        <v>209</v>
      </c>
      <c r="D2682" s="101" t="s">
        <v>2430</v>
      </c>
      <c r="E2682" s="101" t="s">
        <v>577</v>
      </c>
      <c r="F2682" s="109">
        <f t="shared" si="8"/>
        <v>127</v>
      </c>
      <c r="G2682" s="110" t="s">
        <v>2538</v>
      </c>
    </row>
    <row r="2683" ht="15.75" customHeight="1">
      <c r="B2683" s="95"/>
      <c r="C2683" s="108" t="s">
        <v>209</v>
      </c>
      <c r="D2683" s="101" t="s">
        <v>2430</v>
      </c>
      <c r="E2683" s="101" t="s">
        <v>577</v>
      </c>
      <c r="F2683" s="109">
        <f t="shared" si="8"/>
        <v>128</v>
      </c>
      <c r="G2683" s="110" t="s">
        <v>2539</v>
      </c>
    </row>
    <row r="2684" ht="15.75" customHeight="1">
      <c r="B2684" s="95"/>
      <c r="C2684" s="108" t="s">
        <v>209</v>
      </c>
      <c r="D2684" s="101" t="s">
        <v>2430</v>
      </c>
      <c r="E2684" s="101" t="s">
        <v>577</v>
      </c>
      <c r="F2684" s="109">
        <f t="shared" si="8"/>
        <v>129</v>
      </c>
      <c r="G2684" s="110" t="s">
        <v>2540</v>
      </c>
    </row>
    <row r="2685" ht="15.75" customHeight="1">
      <c r="B2685" s="95"/>
      <c r="C2685" s="108" t="s">
        <v>209</v>
      </c>
      <c r="D2685" s="101" t="s">
        <v>2430</v>
      </c>
      <c r="E2685" s="101" t="s">
        <v>577</v>
      </c>
      <c r="F2685" s="109">
        <f t="shared" si="8"/>
        <v>130</v>
      </c>
      <c r="G2685" s="110" t="s">
        <v>2541</v>
      </c>
    </row>
    <row r="2686" ht="15.75" customHeight="1">
      <c r="B2686" s="95"/>
      <c r="C2686" s="108" t="s">
        <v>209</v>
      </c>
      <c r="D2686" s="101" t="s">
        <v>2430</v>
      </c>
      <c r="E2686" s="101" t="s">
        <v>577</v>
      </c>
      <c r="F2686" s="109">
        <f t="shared" si="8"/>
        <v>131</v>
      </c>
      <c r="G2686" s="110" t="s">
        <v>2542</v>
      </c>
    </row>
    <row r="2687" ht="15.75" customHeight="1">
      <c r="B2687" s="95"/>
      <c r="C2687" s="108" t="s">
        <v>209</v>
      </c>
      <c r="D2687" s="101" t="s">
        <v>2430</v>
      </c>
      <c r="E2687" s="101" t="s">
        <v>577</v>
      </c>
      <c r="F2687" s="109">
        <f t="shared" si="8"/>
        <v>132</v>
      </c>
      <c r="G2687" s="110" t="s">
        <v>2543</v>
      </c>
    </row>
    <row r="2688" ht="15.75" customHeight="1">
      <c r="B2688" s="95"/>
      <c r="C2688" s="108" t="s">
        <v>209</v>
      </c>
      <c r="D2688" s="101" t="s">
        <v>2430</v>
      </c>
      <c r="E2688" s="101" t="s">
        <v>577</v>
      </c>
      <c r="F2688" s="109">
        <f t="shared" si="8"/>
        <v>133</v>
      </c>
      <c r="G2688" s="110" t="s">
        <v>2544</v>
      </c>
    </row>
    <row r="2689" ht="15.75" customHeight="1">
      <c r="B2689" s="95"/>
      <c r="C2689" s="108" t="s">
        <v>209</v>
      </c>
      <c r="D2689" s="101" t="s">
        <v>2430</v>
      </c>
      <c r="E2689" s="101" t="s">
        <v>577</v>
      </c>
      <c r="F2689" s="109">
        <f t="shared" si="8"/>
        <v>134</v>
      </c>
      <c r="G2689" s="110" t="s">
        <v>2545</v>
      </c>
    </row>
    <row r="2690" ht="15.75" customHeight="1">
      <c r="B2690" s="95"/>
      <c r="C2690" s="108" t="s">
        <v>209</v>
      </c>
      <c r="D2690" s="101" t="s">
        <v>2430</v>
      </c>
      <c r="E2690" s="101" t="s">
        <v>577</v>
      </c>
      <c r="F2690" s="109">
        <f t="shared" si="8"/>
        <v>135</v>
      </c>
      <c r="G2690" s="110" t="s">
        <v>2913</v>
      </c>
    </row>
    <row r="2691" ht="15.75" customHeight="1">
      <c r="B2691" s="95"/>
      <c r="C2691" s="108" t="s">
        <v>209</v>
      </c>
      <c r="D2691" s="101" t="s">
        <v>2430</v>
      </c>
      <c r="E2691" s="101" t="s">
        <v>577</v>
      </c>
      <c r="F2691" s="109">
        <f t="shared" si="8"/>
        <v>136</v>
      </c>
      <c r="G2691" s="110" t="s">
        <v>2914</v>
      </c>
    </row>
    <row r="2692" ht="15.75" customHeight="1">
      <c r="B2692" s="95"/>
      <c r="C2692" s="108" t="s">
        <v>209</v>
      </c>
      <c r="D2692" s="101" t="s">
        <v>2430</v>
      </c>
      <c r="E2692" s="101" t="s">
        <v>577</v>
      </c>
      <c r="F2692" s="109">
        <f t="shared" si="8"/>
        <v>137</v>
      </c>
      <c r="G2692" s="110" t="s">
        <v>2915</v>
      </c>
    </row>
    <row r="2693" ht="15.75" customHeight="1">
      <c r="B2693" s="95"/>
      <c r="C2693" s="108" t="s">
        <v>209</v>
      </c>
      <c r="D2693" s="101" t="s">
        <v>2430</v>
      </c>
      <c r="E2693" s="101" t="s">
        <v>577</v>
      </c>
      <c r="F2693" s="109">
        <f t="shared" si="8"/>
        <v>138</v>
      </c>
      <c r="G2693" s="110" t="s">
        <v>2546</v>
      </c>
    </row>
    <row r="2694" ht="15.75" customHeight="1">
      <c r="B2694" s="95"/>
      <c r="C2694" s="108" t="s">
        <v>209</v>
      </c>
      <c r="D2694" s="101" t="s">
        <v>2430</v>
      </c>
      <c r="E2694" s="101" t="s">
        <v>577</v>
      </c>
      <c r="F2694" s="109">
        <f t="shared" si="8"/>
        <v>139</v>
      </c>
      <c r="G2694" s="110" t="s">
        <v>2547</v>
      </c>
    </row>
    <row r="2695" ht="15.75" customHeight="1">
      <c r="B2695" s="95"/>
      <c r="C2695" s="108" t="s">
        <v>209</v>
      </c>
      <c r="D2695" s="101" t="s">
        <v>2430</v>
      </c>
      <c r="E2695" s="101" t="s">
        <v>577</v>
      </c>
      <c r="F2695" s="109">
        <f t="shared" si="8"/>
        <v>140</v>
      </c>
      <c r="G2695" s="110" t="s">
        <v>2548</v>
      </c>
    </row>
    <row r="2696" ht="15.75" customHeight="1">
      <c r="B2696" s="95"/>
      <c r="C2696" s="108" t="s">
        <v>209</v>
      </c>
      <c r="D2696" s="101" t="s">
        <v>2430</v>
      </c>
      <c r="E2696" s="101" t="s">
        <v>577</v>
      </c>
      <c r="F2696" s="109">
        <f t="shared" si="8"/>
        <v>141</v>
      </c>
      <c r="G2696" s="110" t="s">
        <v>2549</v>
      </c>
    </row>
    <row r="2697" ht="15.75" customHeight="1">
      <c r="B2697" s="95"/>
      <c r="C2697" s="108" t="s">
        <v>209</v>
      </c>
      <c r="D2697" s="101" t="s">
        <v>2430</v>
      </c>
      <c r="E2697" s="101" t="s">
        <v>577</v>
      </c>
      <c r="F2697" s="109">
        <f t="shared" si="8"/>
        <v>142</v>
      </c>
      <c r="G2697" s="110" t="s">
        <v>2550</v>
      </c>
    </row>
    <row r="2698" ht="15.75" customHeight="1">
      <c r="B2698" s="95"/>
      <c r="C2698" s="108" t="s">
        <v>209</v>
      </c>
      <c r="D2698" s="101" t="s">
        <v>2430</v>
      </c>
      <c r="E2698" s="101" t="s">
        <v>577</v>
      </c>
      <c r="F2698" s="109">
        <f t="shared" si="8"/>
        <v>143</v>
      </c>
      <c r="G2698" s="110" t="s">
        <v>2554</v>
      </c>
    </row>
    <row r="2699" ht="15.75" customHeight="1">
      <c r="B2699" s="95"/>
      <c r="C2699" s="108" t="s">
        <v>209</v>
      </c>
      <c r="D2699" s="101" t="s">
        <v>2430</v>
      </c>
      <c r="E2699" s="101" t="s">
        <v>577</v>
      </c>
      <c r="F2699" s="109">
        <f t="shared" si="8"/>
        <v>144</v>
      </c>
      <c r="G2699" s="110" t="s">
        <v>2555</v>
      </c>
    </row>
    <row r="2700" ht="15.75" customHeight="1">
      <c r="B2700" s="95"/>
      <c r="C2700" s="108" t="s">
        <v>209</v>
      </c>
      <c r="D2700" s="101" t="s">
        <v>2430</v>
      </c>
      <c r="E2700" s="101" t="s">
        <v>577</v>
      </c>
      <c r="F2700" s="109">
        <f t="shared" si="8"/>
        <v>145</v>
      </c>
      <c r="G2700" s="110" t="s">
        <v>2556</v>
      </c>
    </row>
    <row r="2701" ht="15.75" customHeight="1">
      <c r="B2701" s="95"/>
      <c r="C2701" s="108" t="s">
        <v>209</v>
      </c>
      <c r="D2701" s="101" t="s">
        <v>2430</v>
      </c>
      <c r="E2701" s="101" t="s">
        <v>577</v>
      </c>
      <c r="F2701" s="109">
        <f t="shared" si="8"/>
        <v>146</v>
      </c>
      <c r="G2701" s="110" t="s">
        <v>2557</v>
      </c>
    </row>
    <row r="2702" ht="15.75" customHeight="1">
      <c r="B2702" s="95"/>
      <c r="C2702" s="108" t="s">
        <v>209</v>
      </c>
      <c r="D2702" s="101" t="s">
        <v>2430</v>
      </c>
      <c r="E2702" s="101" t="s">
        <v>577</v>
      </c>
      <c r="F2702" s="109">
        <f t="shared" si="8"/>
        <v>147</v>
      </c>
      <c r="G2702" s="110" t="s">
        <v>2558</v>
      </c>
    </row>
    <row r="2703" ht="15.75" customHeight="1">
      <c r="B2703" s="95"/>
      <c r="C2703" s="108" t="s">
        <v>209</v>
      </c>
      <c r="D2703" s="101" t="s">
        <v>2430</v>
      </c>
      <c r="E2703" s="101" t="s">
        <v>577</v>
      </c>
      <c r="F2703" s="109">
        <f t="shared" si="8"/>
        <v>148</v>
      </c>
      <c r="G2703" s="110" t="s">
        <v>2559</v>
      </c>
    </row>
    <row r="2704" ht="15.75" customHeight="1">
      <c r="B2704" s="95"/>
      <c r="C2704" s="108" t="s">
        <v>209</v>
      </c>
      <c r="D2704" s="101" t="s">
        <v>2430</v>
      </c>
      <c r="E2704" s="101" t="s">
        <v>577</v>
      </c>
      <c r="F2704" s="109">
        <f t="shared" si="8"/>
        <v>149</v>
      </c>
      <c r="G2704" s="110" t="s">
        <v>2560</v>
      </c>
    </row>
    <row r="2705" ht="15.75" customHeight="1">
      <c r="B2705" s="95"/>
      <c r="C2705" s="108" t="s">
        <v>209</v>
      </c>
      <c r="D2705" s="101" t="s">
        <v>2430</v>
      </c>
      <c r="E2705" s="101" t="s">
        <v>577</v>
      </c>
      <c r="F2705" s="109">
        <f t="shared" si="8"/>
        <v>150</v>
      </c>
      <c r="G2705" s="110" t="s">
        <v>2561</v>
      </c>
    </row>
    <row r="2706" ht="15.75" customHeight="1">
      <c r="B2706" s="95"/>
      <c r="C2706" s="108" t="s">
        <v>209</v>
      </c>
      <c r="D2706" s="101" t="s">
        <v>2430</v>
      </c>
      <c r="E2706" s="101" t="s">
        <v>577</v>
      </c>
      <c r="F2706" s="109">
        <f t="shared" si="8"/>
        <v>151</v>
      </c>
      <c r="G2706" s="110" t="s">
        <v>2562</v>
      </c>
    </row>
    <row r="2707" ht="15.75" customHeight="1">
      <c r="B2707" s="95"/>
      <c r="C2707" s="108" t="s">
        <v>209</v>
      </c>
      <c r="D2707" s="101" t="s">
        <v>2430</v>
      </c>
      <c r="E2707" s="101" t="s">
        <v>577</v>
      </c>
      <c r="F2707" s="109">
        <f t="shared" si="8"/>
        <v>152</v>
      </c>
      <c r="G2707" s="110" t="s">
        <v>2563</v>
      </c>
    </row>
    <row r="2708" ht="15.75" customHeight="1">
      <c r="B2708" s="95"/>
      <c r="C2708" s="108" t="s">
        <v>209</v>
      </c>
      <c r="D2708" s="101" t="s">
        <v>2430</v>
      </c>
      <c r="E2708" s="101" t="s">
        <v>577</v>
      </c>
      <c r="F2708" s="109">
        <f t="shared" si="8"/>
        <v>153</v>
      </c>
      <c r="G2708" s="110" t="s">
        <v>2564</v>
      </c>
    </row>
    <row r="2709" ht="15.75" customHeight="1">
      <c r="B2709" s="95"/>
      <c r="C2709" s="108" t="s">
        <v>209</v>
      </c>
      <c r="D2709" s="101" t="s">
        <v>2430</v>
      </c>
      <c r="E2709" s="101" t="s">
        <v>577</v>
      </c>
      <c r="F2709" s="109">
        <f t="shared" si="8"/>
        <v>154</v>
      </c>
      <c r="G2709" s="110" t="s">
        <v>2565</v>
      </c>
    </row>
    <row r="2710" ht="15.75" customHeight="1">
      <c r="B2710" s="95"/>
      <c r="C2710" s="108" t="s">
        <v>209</v>
      </c>
      <c r="D2710" s="101" t="s">
        <v>2430</v>
      </c>
      <c r="E2710" s="101" t="s">
        <v>577</v>
      </c>
      <c r="F2710" s="109">
        <f t="shared" si="8"/>
        <v>155</v>
      </c>
      <c r="G2710" s="110" t="s">
        <v>2566</v>
      </c>
    </row>
    <row r="2711" ht="15.75" customHeight="1">
      <c r="B2711" s="95"/>
      <c r="C2711" s="108" t="s">
        <v>209</v>
      </c>
      <c r="D2711" s="101" t="s">
        <v>2430</v>
      </c>
      <c r="E2711" s="101" t="s">
        <v>577</v>
      </c>
      <c r="F2711" s="109">
        <f t="shared" si="8"/>
        <v>156</v>
      </c>
      <c r="G2711" s="110" t="s">
        <v>2567</v>
      </c>
    </row>
    <row r="2712" ht="15.75" customHeight="1">
      <c r="B2712" s="95"/>
      <c r="C2712" s="108" t="s">
        <v>209</v>
      </c>
      <c r="D2712" s="101" t="s">
        <v>2430</v>
      </c>
      <c r="E2712" s="101" t="s">
        <v>577</v>
      </c>
      <c r="F2712" s="109">
        <f t="shared" si="8"/>
        <v>157</v>
      </c>
      <c r="G2712" s="110" t="s">
        <v>2568</v>
      </c>
    </row>
    <row r="2713" ht="15.75" customHeight="1">
      <c r="B2713" s="95"/>
      <c r="C2713" s="108" t="s">
        <v>209</v>
      </c>
      <c r="D2713" s="101" t="s">
        <v>2430</v>
      </c>
      <c r="E2713" s="101" t="s">
        <v>577</v>
      </c>
      <c r="F2713" s="109">
        <f t="shared" si="8"/>
        <v>158</v>
      </c>
      <c r="G2713" s="110" t="s">
        <v>2570</v>
      </c>
    </row>
    <row r="2714" ht="15.75" customHeight="1">
      <c r="B2714" s="95"/>
      <c r="C2714" s="108" t="s">
        <v>209</v>
      </c>
      <c r="D2714" s="101" t="s">
        <v>2430</v>
      </c>
      <c r="E2714" s="101" t="s">
        <v>577</v>
      </c>
      <c r="F2714" s="109">
        <f t="shared" si="8"/>
        <v>159</v>
      </c>
      <c r="G2714" s="110" t="s">
        <v>2571</v>
      </c>
    </row>
    <row r="2715" ht="15.75" customHeight="1">
      <c r="B2715" s="95"/>
      <c r="C2715" s="108" t="s">
        <v>209</v>
      </c>
      <c r="D2715" s="101" t="s">
        <v>2430</v>
      </c>
      <c r="E2715" s="101" t="s">
        <v>577</v>
      </c>
      <c r="F2715" s="109">
        <f t="shared" si="8"/>
        <v>160</v>
      </c>
      <c r="G2715" s="110" t="s">
        <v>2572</v>
      </c>
    </row>
    <row r="2716" ht="15.75" customHeight="1">
      <c r="B2716" s="95"/>
      <c r="C2716" s="108" t="s">
        <v>209</v>
      </c>
      <c r="D2716" s="101" t="s">
        <v>2430</v>
      </c>
      <c r="E2716" s="101" t="s">
        <v>577</v>
      </c>
      <c r="F2716" s="109">
        <f t="shared" si="8"/>
        <v>161</v>
      </c>
      <c r="G2716" s="110" t="s">
        <v>2573</v>
      </c>
    </row>
    <row r="2717" ht="15.75" customHeight="1">
      <c r="B2717" s="95"/>
      <c r="C2717" s="108" t="s">
        <v>209</v>
      </c>
      <c r="D2717" s="101" t="s">
        <v>2430</v>
      </c>
      <c r="E2717" s="101" t="s">
        <v>577</v>
      </c>
      <c r="F2717" s="109">
        <f t="shared" si="8"/>
        <v>162</v>
      </c>
      <c r="G2717" s="110" t="s">
        <v>2574</v>
      </c>
    </row>
    <row r="2718" ht="15.75" customHeight="1">
      <c r="B2718" s="95"/>
      <c r="C2718" s="108" t="s">
        <v>209</v>
      </c>
      <c r="D2718" s="101" t="s">
        <v>2430</v>
      </c>
      <c r="E2718" s="101" t="s">
        <v>577</v>
      </c>
      <c r="F2718" s="109">
        <f t="shared" si="8"/>
        <v>163</v>
      </c>
      <c r="G2718" s="110" t="s">
        <v>2575</v>
      </c>
    </row>
    <row r="2719" ht="15.75" customHeight="1">
      <c r="B2719" s="95"/>
      <c r="C2719" s="108" t="s">
        <v>209</v>
      </c>
      <c r="D2719" s="101" t="s">
        <v>2430</v>
      </c>
      <c r="E2719" s="101" t="s">
        <v>577</v>
      </c>
      <c r="F2719" s="109">
        <f t="shared" si="8"/>
        <v>164</v>
      </c>
      <c r="G2719" s="110" t="s">
        <v>2576</v>
      </c>
    </row>
    <row r="2720" ht="15.75" customHeight="1">
      <c r="B2720" s="95"/>
      <c r="C2720" s="108" t="s">
        <v>209</v>
      </c>
      <c r="D2720" s="101" t="s">
        <v>2430</v>
      </c>
      <c r="E2720" s="101" t="s">
        <v>577</v>
      </c>
      <c r="F2720" s="109">
        <f t="shared" si="8"/>
        <v>165</v>
      </c>
      <c r="G2720" s="110" t="s">
        <v>2578</v>
      </c>
    </row>
    <row r="2721" ht="15.75" customHeight="1">
      <c r="B2721" s="95"/>
      <c r="C2721" s="108" t="s">
        <v>209</v>
      </c>
      <c r="D2721" s="101" t="s">
        <v>2430</v>
      </c>
      <c r="E2721" s="101" t="s">
        <v>577</v>
      </c>
      <c r="F2721" s="109">
        <f t="shared" si="8"/>
        <v>166</v>
      </c>
      <c r="G2721" s="110" t="s">
        <v>2579</v>
      </c>
    </row>
    <row r="2722" ht="15.75" customHeight="1">
      <c r="B2722" s="95"/>
      <c r="C2722" s="108" t="s">
        <v>209</v>
      </c>
      <c r="D2722" s="101" t="s">
        <v>2430</v>
      </c>
      <c r="E2722" s="101" t="s">
        <v>577</v>
      </c>
      <c r="F2722" s="109">
        <f t="shared" si="8"/>
        <v>167</v>
      </c>
      <c r="G2722" s="110" t="s">
        <v>2580</v>
      </c>
    </row>
    <row r="2723" ht="15.75" customHeight="1">
      <c r="B2723" s="95"/>
      <c r="C2723" s="108" t="s">
        <v>209</v>
      </c>
      <c r="D2723" s="101" t="s">
        <v>2430</v>
      </c>
      <c r="E2723" s="101" t="s">
        <v>577</v>
      </c>
      <c r="F2723" s="109">
        <f t="shared" si="8"/>
        <v>168</v>
      </c>
      <c r="G2723" s="110" t="s">
        <v>2581</v>
      </c>
    </row>
    <row r="2724" ht="15.75" customHeight="1">
      <c r="B2724" s="95"/>
      <c r="C2724" s="108" t="s">
        <v>209</v>
      </c>
      <c r="D2724" s="101" t="s">
        <v>2430</v>
      </c>
      <c r="E2724" s="101" t="s">
        <v>577</v>
      </c>
      <c r="F2724" s="109">
        <f t="shared" si="8"/>
        <v>169</v>
      </c>
      <c r="G2724" s="110" t="s">
        <v>2582</v>
      </c>
    </row>
    <row r="2725" ht="15.75" customHeight="1">
      <c r="B2725" s="95"/>
      <c r="C2725" s="108" t="s">
        <v>209</v>
      </c>
      <c r="D2725" s="101" t="s">
        <v>2430</v>
      </c>
      <c r="E2725" s="101" t="s">
        <v>577</v>
      </c>
      <c r="F2725" s="109">
        <f t="shared" si="8"/>
        <v>170</v>
      </c>
      <c r="G2725" s="110" t="s">
        <v>2583</v>
      </c>
    </row>
    <row r="2726" ht="15.75" customHeight="1">
      <c r="B2726" s="95"/>
      <c r="C2726" s="108" t="s">
        <v>209</v>
      </c>
      <c r="D2726" s="101" t="s">
        <v>2430</v>
      </c>
      <c r="E2726" s="101" t="s">
        <v>577</v>
      </c>
      <c r="F2726" s="109">
        <f t="shared" si="8"/>
        <v>171</v>
      </c>
      <c r="G2726" s="110" t="s">
        <v>2584</v>
      </c>
    </row>
    <row r="2727" ht="15.75" customHeight="1">
      <c r="B2727" s="95"/>
      <c r="C2727" s="108" t="s">
        <v>209</v>
      </c>
      <c r="D2727" s="101" t="s">
        <v>2430</v>
      </c>
      <c r="E2727" s="101" t="s">
        <v>577</v>
      </c>
      <c r="F2727" s="109">
        <f t="shared" si="8"/>
        <v>172</v>
      </c>
      <c r="G2727" s="110" t="s">
        <v>2585</v>
      </c>
    </row>
    <row r="2728" ht="15.75" customHeight="1">
      <c r="B2728" s="95"/>
      <c r="C2728" s="108" t="s">
        <v>209</v>
      </c>
      <c r="D2728" s="101" t="s">
        <v>2430</v>
      </c>
      <c r="E2728" s="101" t="s">
        <v>577</v>
      </c>
      <c r="F2728" s="109">
        <f t="shared" si="8"/>
        <v>173</v>
      </c>
      <c r="G2728" s="110" t="s">
        <v>2586</v>
      </c>
    </row>
    <row r="2729" ht="15.75" customHeight="1">
      <c r="B2729" s="95"/>
      <c r="C2729" s="108" t="s">
        <v>209</v>
      </c>
      <c r="D2729" s="101" t="s">
        <v>2430</v>
      </c>
      <c r="E2729" s="101" t="s">
        <v>577</v>
      </c>
      <c r="F2729" s="109">
        <f t="shared" si="8"/>
        <v>174</v>
      </c>
      <c r="G2729" s="110" t="s">
        <v>2587</v>
      </c>
    </row>
    <row r="2730" ht="15.75" customHeight="1">
      <c r="B2730" s="95"/>
      <c r="C2730" s="108" t="s">
        <v>209</v>
      </c>
      <c r="D2730" s="101" t="s">
        <v>2430</v>
      </c>
      <c r="E2730" s="101" t="s">
        <v>577</v>
      </c>
      <c r="F2730" s="109">
        <f t="shared" si="8"/>
        <v>175</v>
      </c>
      <c r="G2730" s="110" t="s">
        <v>2588</v>
      </c>
    </row>
    <row r="2731" ht="15.75" customHeight="1">
      <c r="B2731" s="95"/>
      <c r="C2731" s="108" t="s">
        <v>209</v>
      </c>
      <c r="D2731" s="101" t="s">
        <v>2430</v>
      </c>
      <c r="E2731" s="101" t="s">
        <v>577</v>
      </c>
      <c r="F2731" s="109">
        <f t="shared" si="8"/>
        <v>176</v>
      </c>
      <c r="G2731" s="110" t="s">
        <v>2589</v>
      </c>
    </row>
    <row r="2732" ht="15.75" customHeight="1">
      <c r="B2732" s="95"/>
      <c r="C2732" s="108" t="s">
        <v>209</v>
      </c>
      <c r="D2732" s="101" t="s">
        <v>2430</v>
      </c>
      <c r="E2732" s="101" t="s">
        <v>577</v>
      </c>
      <c r="F2732" s="109">
        <f t="shared" si="8"/>
        <v>177</v>
      </c>
      <c r="G2732" s="110" t="s">
        <v>2590</v>
      </c>
    </row>
    <row r="2733" ht="15.75" customHeight="1">
      <c r="B2733" s="95"/>
      <c r="C2733" s="108" t="s">
        <v>209</v>
      </c>
      <c r="D2733" s="101" t="s">
        <v>2430</v>
      </c>
      <c r="E2733" s="101" t="s">
        <v>577</v>
      </c>
      <c r="F2733" s="109">
        <f t="shared" si="8"/>
        <v>178</v>
      </c>
      <c r="G2733" s="110" t="s">
        <v>2591</v>
      </c>
    </row>
    <row r="2734" ht="15.75" customHeight="1">
      <c r="B2734" s="95"/>
      <c r="C2734" s="108" t="s">
        <v>209</v>
      </c>
      <c r="D2734" s="101" t="s">
        <v>2430</v>
      </c>
      <c r="E2734" s="101" t="s">
        <v>577</v>
      </c>
      <c r="F2734" s="109">
        <f t="shared" si="8"/>
        <v>179</v>
      </c>
      <c r="G2734" s="110" t="s">
        <v>2916</v>
      </c>
    </row>
    <row r="2735" ht="15.75" customHeight="1">
      <c r="B2735" s="95"/>
      <c r="C2735" s="108" t="s">
        <v>209</v>
      </c>
      <c r="D2735" s="101" t="s">
        <v>2430</v>
      </c>
      <c r="E2735" s="101" t="s">
        <v>577</v>
      </c>
      <c r="F2735" s="109">
        <f t="shared" si="8"/>
        <v>180</v>
      </c>
      <c r="G2735" s="110" t="s">
        <v>2917</v>
      </c>
    </row>
    <row r="2736" ht="15.75" customHeight="1">
      <c r="B2736" s="95"/>
      <c r="C2736" s="108" t="s">
        <v>209</v>
      </c>
      <c r="D2736" s="101" t="s">
        <v>2430</v>
      </c>
      <c r="E2736" s="101" t="s">
        <v>577</v>
      </c>
      <c r="F2736" s="109">
        <f t="shared" si="8"/>
        <v>181</v>
      </c>
      <c r="G2736" s="110" t="s">
        <v>2918</v>
      </c>
    </row>
    <row r="2737" ht="15.75" customHeight="1">
      <c r="B2737" s="95"/>
      <c r="C2737" s="108" t="s">
        <v>209</v>
      </c>
      <c r="D2737" s="101" t="s">
        <v>2430</v>
      </c>
      <c r="E2737" s="101" t="s">
        <v>577</v>
      </c>
      <c r="F2737" s="109">
        <f t="shared" si="8"/>
        <v>182</v>
      </c>
      <c r="G2737" s="110" t="s">
        <v>2592</v>
      </c>
    </row>
    <row r="2738" ht="15.75" customHeight="1">
      <c r="B2738" s="95"/>
      <c r="C2738" s="108" t="s">
        <v>209</v>
      </c>
      <c r="D2738" s="101" t="s">
        <v>2430</v>
      </c>
      <c r="E2738" s="101" t="s">
        <v>577</v>
      </c>
      <c r="F2738" s="109">
        <f t="shared" si="8"/>
        <v>183</v>
      </c>
      <c r="G2738" s="110" t="s">
        <v>2593</v>
      </c>
    </row>
    <row r="2739" ht="15.75" customHeight="1">
      <c r="B2739" s="95"/>
      <c r="C2739" s="108" t="s">
        <v>209</v>
      </c>
      <c r="D2739" s="101" t="s">
        <v>2430</v>
      </c>
      <c r="E2739" s="101" t="s">
        <v>577</v>
      </c>
      <c r="F2739" s="109">
        <f t="shared" si="8"/>
        <v>184</v>
      </c>
      <c r="G2739" s="110" t="s">
        <v>2595</v>
      </c>
    </row>
    <row r="2740" ht="15.75" customHeight="1">
      <c r="B2740" s="95"/>
      <c r="C2740" s="108" t="s">
        <v>209</v>
      </c>
      <c r="D2740" s="101" t="s">
        <v>2430</v>
      </c>
      <c r="E2740" s="101" t="s">
        <v>577</v>
      </c>
      <c r="F2740" s="109">
        <f t="shared" si="8"/>
        <v>185</v>
      </c>
      <c r="G2740" s="110" t="s">
        <v>2919</v>
      </c>
    </row>
    <row r="2741" ht="15.75" customHeight="1">
      <c r="B2741" s="95"/>
      <c r="C2741" s="108" t="s">
        <v>209</v>
      </c>
      <c r="D2741" s="101" t="s">
        <v>2430</v>
      </c>
      <c r="E2741" s="101" t="s">
        <v>577</v>
      </c>
      <c r="F2741" s="109">
        <f t="shared" si="8"/>
        <v>186</v>
      </c>
      <c r="G2741" s="110" t="s">
        <v>2597</v>
      </c>
    </row>
    <row r="2742" ht="15.75" customHeight="1">
      <c r="B2742" s="95"/>
      <c r="C2742" s="108" t="s">
        <v>209</v>
      </c>
      <c r="D2742" s="101" t="s">
        <v>2430</v>
      </c>
      <c r="E2742" s="101" t="s">
        <v>577</v>
      </c>
      <c r="F2742" s="109">
        <f t="shared" si="8"/>
        <v>187</v>
      </c>
      <c r="G2742" s="110" t="s">
        <v>2920</v>
      </c>
    </row>
    <row r="2743" ht="15.75" customHeight="1">
      <c r="B2743" s="95"/>
      <c r="C2743" s="108" t="s">
        <v>209</v>
      </c>
      <c r="D2743" s="101" t="s">
        <v>2430</v>
      </c>
      <c r="E2743" s="101" t="s">
        <v>577</v>
      </c>
      <c r="F2743" s="109">
        <f t="shared" si="8"/>
        <v>188</v>
      </c>
      <c r="G2743" s="110" t="s">
        <v>2921</v>
      </c>
    </row>
    <row r="2744" ht="15.75" customHeight="1">
      <c r="B2744" s="95"/>
      <c r="C2744" s="108" t="s">
        <v>209</v>
      </c>
      <c r="D2744" s="101" t="s">
        <v>2430</v>
      </c>
      <c r="E2744" s="101" t="s">
        <v>577</v>
      </c>
      <c r="F2744" s="109">
        <f t="shared" si="8"/>
        <v>189</v>
      </c>
      <c r="G2744" s="110" t="s">
        <v>2601</v>
      </c>
    </row>
    <row r="2745" ht="15.75" customHeight="1">
      <c r="B2745" s="95"/>
      <c r="C2745" s="108" t="s">
        <v>209</v>
      </c>
      <c r="D2745" s="101" t="s">
        <v>2430</v>
      </c>
      <c r="E2745" s="101" t="s">
        <v>577</v>
      </c>
      <c r="F2745" s="109">
        <f t="shared" si="8"/>
        <v>190</v>
      </c>
      <c r="G2745" s="110" t="s">
        <v>2922</v>
      </c>
    </row>
    <row r="2746" ht="15.75" customHeight="1">
      <c r="B2746" s="95"/>
      <c r="C2746" s="108" t="s">
        <v>209</v>
      </c>
      <c r="D2746" s="101" t="s">
        <v>2430</v>
      </c>
      <c r="E2746" s="101" t="s">
        <v>577</v>
      </c>
      <c r="F2746" s="109">
        <f t="shared" si="8"/>
        <v>191</v>
      </c>
      <c r="G2746" s="110" t="s">
        <v>2603</v>
      </c>
    </row>
    <row r="2747" ht="15.75" customHeight="1">
      <c r="B2747" s="95"/>
      <c r="C2747" s="108" t="s">
        <v>209</v>
      </c>
      <c r="D2747" s="101" t="s">
        <v>2430</v>
      </c>
      <c r="E2747" s="101" t="s">
        <v>577</v>
      </c>
      <c r="F2747" s="109">
        <f t="shared" si="8"/>
        <v>192</v>
      </c>
      <c r="G2747" s="110" t="s">
        <v>2923</v>
      </c>
    </row>
    <row r="2748" ht="15.75" customHeight="1">
      <c r="B2748" s="95"/>
      <c r="C2748" s="108" t="s">
        <v>209</v>
      </c>
      <c r="D2748" s="101" t="s">
        <v>2430</v>
      </c>
      <c r="E2748" s="101" t="s">
        <v>577</v>
      </c>
      <c r="F2748" s="109">
        <f t="shared" si="8"/>
        <v>193</v>
      </c>
      <c r="G2748" s="110" t="s">
        <v>2605</v>
      </c>
    </row>
    <row r="2749" ht="15.75" customHeight="1">
      <c r="B2749" s="95"/>
      <c r="C2749" s="108" t="s">
        <v>209</v>
      </c>
      <c r="D2749" s="101" t="s">
        <v>2430</v>
      </c>
      <c r="E2749" s="101" t="s">
        <v>577</v>
      </c>
      <c r="F2749" s="109">
        <f t="shared" si="8"/>
        <v>194</v>
      </c>
      <c r="G2749" s="110" t="s">
        <v>2924</v>
      </c>
    </row>
    <row r="2750" ht="15.75" customHeight="1">
      <c r="B2750" s="95"/>
      <c r="C2750" s="108" t="s">
        <v>209</v>
      </c>
      <c r="D2750" s="101" t="s">
        <v>2430</v>
      </c>
      <c r="E2750" s="101" t="s">
        <v>577</v>
      </c>
      <c r="F2750" s="109">
        <f t="shared" si="8"/>
        <v>195</v>
      </c>
      <c r="G2750" s="110" t="s">
        <v>2925</v>
      </c>
    </row>
    <row r="2751" ht="15.75" customHeight="1">
      <c r="B2751" s="95"/>
      <c r="C2751" s="108" t="s">
        <v>209</v>
      </c>
      <c r="D2751" s="101" t="s">
        <v>2430</v>
      </c>
      <c r="E2751" s="101" t="s">
        <v>577</v>
      </c>
      <c r="F2751" s="109">
        <f t="shared" si="8"/>
        <v>196</v>
      </c>
      <c r="G2751" s="110" t="s">
        <v>2608</v>
      </c>
    </row>
    <row r="2752" ht="15.75" customHeight="1">
      <c r="B2752" s="95"/>
      <c r="C2752" s="108" t="s">
        <v>209</v>
      </c>
      <c r="D2752" s="101" t="s">
        <v>2430</v>
      </c>
      <c r="E2752" s="101" t="s">
        <v>577</v>
      </c>
      <c r="F2752" s="109">
        <f t="shared" si="8"/>
        <v>197</v>
      </c>
      <c r="G2752" s="110" t="s">
        <v>2610</v>
      </c>
    </row>
    <row r="2753" ht="15.75" customHeight="1">
      <c r="B2753" s="95"/>
      <c r="C2753" s="108" t="s">
        <v>209</v>
      </c>
      <c r="D2753" s="101" t="s">
        <v>2430</v>
      </c>
      <c r="E2753" s="101" t="s">
        <v>577</v>
      </c>
      <c r="F2753" s="109">
        <f t="shared" si="8"/>
        <v>198</v>
      </c>
      <c r="G2753" s="110" t="s">
        <v>2926</v>
      </c>
    </row>
    <row r="2754" ht="15.75" customHeight="1">
      <c r="B2754" s="95"/>
      <c r="C2754" s="108" t="s">
        <v>209</v>
      </c>
      <c r="D2754" s="101" t="s">
        <v>2430</v>
      </c>
      <c r="E2754" s="101" t="s">
        <v>577</v>
      </c>
      <c r="F2754" s="109">
        <f t="shared" si="8"/>
        <v>199</v>
      </c>
      <c r="G2754" s="110" t="s">
        <v>2612</v>
      </c>
    </row>
    <row r="2755" ht="15.75" customHeight="1">
      <c r="B2755" s="95"/>
      <c r="C2755" s="108" t="s">
        <v>209</v>
      </c>
      <c r="D2755" s="101" t="s">
        <v>2430</v>
      </c>
      <c r="E2755" s="101" t="s">
        <v>577</v>
      </c>
      <c r="F2755" s="109">
        <f t="shared" si="8"/>
        <v>200</v>
      </c>
      <c r="G2755" s="110" t="s">
        <v>2927</v>
      </c>
    </row>
    <row r="2756" ht="15.75" customHeight="1">
      <c r="B2756" s="95"/>
      <c r="C2756" s="108" t="s">
        <v>209</v>
      </c>
      <c r="D2756" s="101" t="s">
        <v>2430</v>
      </c>
      <c r="E2756" s="101" t="s">
        <v>577</v>
      </c>
      <c r="F2756" s="109">
        <f t="shared" si="8"/>
        <v>201</v>
      </c>
      <c r="G2756" s="110" t="s">
        <v>2928</v>
      </c>
    </row>
    <row r="2757" ht="15.75" customHeight="1">
      <c r="B2757" s="95"/>
      <c r="C2757" s="108" t="s">
        <v>209</v>
      </c>
      <c r="D2757" s="101" t="s">
        <v>2430</v>
      </c>
      <c r="E2757" s="101" t="s">
        <v>577</v>
      </c>
      <c r="F2757" s="109">
        <f t="shared" si="8"/>
        <v>202</v>
      </c>
      <c r="G2757" s="110" t="s">
        <v>2616</v>
      </c>
    </row>
    <row r="2758" ht="15.75" customHeight="1">
      <c r="B2758" s="95"/>
      <c r="C2758" s="108" t="s">
        <v>209</v>
      </c>
      <c r="D2758" s="101" t="s">
        <v>2430</v>
      </c>
      <c r="E2758" s="101" t="s">
        <v>577</v>
      </c>
      <c r="F2758" s="109">
        <f t="shared" si="8"/>
        <v>203</v>
      </c>
      <c r="G2758" s="110" t="s">
        <v>2929</v>
      </c>
    </row>
    <row r="2759" ht="15.75" customHeight="1">
      <c r="B2759" s="95"/>
      <c r="C2759" s="108" t="s">
        <v>209</v>
      </c>
      <c r="D2759" s="101" t="s">
        <v>2430</v>
      </c>
      <c r="E2759" s="101" t="s">
        <v>577</v>
      </c>
      <c r="F2759" s="109">
        <f t="shared" si="8"/>
        <v>204</v>
      </c>
      <c r="G2759" s="110" t="s">
        <v>2618</v>
      </c>
    </row>
    <row r="2760" ht="15.75" customHeight="1">
      <c r="B2760" s="95"/>
      <c r="C2760" s="108" t="s">
        <v>209</v>
      </c>
      <c r="D2760" s="101" t="s">
        <v>2430</v>
      </c>
      <c r="E2760" s="101" t="s">
        <v>577</v>
      </c>
      <c r="F2760" s="109">
        <f t="shared" si="8"/>
        <v>205</v>
      </c>
      <c r="G2760" s="110" t="s">
        <v>2930</v>
      </c>
    </row>
    <row r="2761" ht="15.75" customHeight="1">
      <c r="B2761" s="95"/>
      <c r="C2761" s="108" t="s">
        <v>209</v>
      </c>
      <c r="D2761" s="101" t="s">
        <v>2430</v>
      </c>
      <c r="E2761" s="101" t="s">
        <v>577</v>
      </c>
      <c r="F2761" s="109">
        <f t="shared" si="8"/>
        <v>206</v>
      </c>
      <c r="G2761" s="110" t="s">
        <v>2620</v>
      </c>
    </row>
    <row r="2762" ht="15.75" customHeight="1">
      <c r="B2762" s="95"/>
      <c r="C2762" s="108" t="s">
        <v>209</v>
      </c>
      <c r="D2762" s="101" t="s">
        <v>2430</v>
      </c>
      <c r="E2762" s="101" t="s">
        <v>577</v>
      </c>
      <c r="F2762" s="109">
        <f t="shared" si="8"/>
        <v>207</v>
      </c>
      <c r="G2762" s="110" t="s">
        <v>2931</v>
      </c>
    </row>
    <row r="2763" ht="15.75" customHeight="1">
      <c r="B2763" s="95"/>
      <c r="C2763" s="108" t="s">
        <v>209</v>
      </c>
      <c r="D2763" s="101" t="s">
        <v>2430</v>
      </c>
      <c r="E2763" s="101" t="s">
        <v>577</v>
      </c>
      <c r="F2763" s="109">
        <f t="shared" si="8"/>
        <v>208</v>
      </c>
      <c r="G2763" s="110" t="s">
        <v>2932</v>
      </c>
    </row>
    <row r="2764" ht="15.75" customHeight="1">
      <c r="B2764" s="95"/>
      <c r="C2764" s="108" t="s">
        <v>209</v>
      </c>
      <c r="D2764" s="101" t="s">
        <v>2430</v>
      </c>
      <c r="E2764" s="101" t="s">
        <v>577</v>
      </c>
      <c r="F2764" s="109">
        <f t="shared" si="8"/>
        <v>209</v>
      </c>
      <c r="G2764" s="110" t="s">
        <v>2623</v>
      </c>
    </row>
    <row r="2765" ht="15.75" customHeight="1">
      <c r="B2765" s="95"/>
      <c r="C2765" s="108" t="s">
        <v>209</v>
      </c>
      <c r="D2765" s="101" t="s">
        <v>2430</v>
      </c>
      <c r="E2765" s="101" t="s">
        <v>577</v>
      </c>
      <c r="F2765" s="109">
        <f t="shared" si="8"/>
        <v>210</v>
      </c>
      <c r="G2765" s="110" t="s">
        <v>2624</v>
      </c>
    </row>
    <row r="2766" ht="15.75" customHeight="1">
      <c r="B2766" s="95"/>
      <c r="C2766" s="108" t="s">
        <v>209</v>
      </c>
      <c r="D2766" s="101" t="s">
        <v>2430</v>
      </c>
      <c r="E2766" s="101" t="s">
        <v>577</v>
      </c>
      <c r="F2766" s="109">
        <f t="shared" si="8"/>
        <v>211</v>
      </c>
      <c r="G2766" s="110" t="s">
        <v>2626</v>
      </c>
    </row>
    <row r="2767" ht="15.75" customHeight="1">
      <c r="B2767" s="95"/>
      <c r="C2767" s="108" t="s">
        <v>209</v>
      </c>
      <c r="D2767" s="101" t="s">
        <v>2430</v>
      </c>
      <c r="E2767" s="101" t="s">
        <v>577</v>
      </c>
      <c r="F2767" s="109">
        <f t="shared" si="8"/>
        <v>212</v>
      </c>
      <c r="G2767" s="110" t="s">
        <v>2933</v>
      </c>
    </row>
    <row r="2768" ht="15.75" customHeight="1">
      <c r="B2768" s="95"/>
      <c r="C2768" s="108" t="s">
        <v>209</v>
      </c>
      <c r="D2768" s="101" t="s">
        <v>2430</v>
      </c>
      <c r="E2768" s="101" t="s">
        <v>577</v>
      </c>
      <c r="F2768" s="109">
        <f t="shared" si="8"/>
        <v>213</v>
      </c>
      <c r="G2768" s="110" t="s">
        <v>2934</v>
      </c>
    </row>
    <row r="2769" ht="15.75" customHeight="1">
      <c r="B2769" s="95"/>
      <c r="C2769" s="108" t="s">
        <v>209</v>
      </c>
      <c r="D2769" s="101" t="s">
        <v>2430</v>
      </c>
      <c r="E2769" s="101" t="s">
        <v>577</v>
      </c>
      <c r="F2769" s="109">
        <f t="shared" si="8"/>
        <v>214</v>
      </c>
      <c r="G2769" s="110" t="s">
        <v>2935</v>
      </c>
    </row>
    <row r="2770" ht="15.75" customHeight="1">
      <c r="B2770" s="95"/>
      <c r="C2770" s="108" t="s">
        <v>209</v>
      </c>
      <c r="D2770" s="101" t="s">
        <v>2430</v>
      </c>
      <c r="E2770" s="101" t="s">
        <v>577</v>
      </c>
      <c r="F2770" s="109">
        <f t="shared" si="8"/>
        <v>215</v>
      </c>
      <c r="G2770" s="110" t="s">
        <v>2628</v>
      </c>
    </row>
    <row r="2771" ht="15.75" customHeight="1">
      <c r="B2771" s="95"/>
      <c r="C2771" s="108" t="s">
        <v>209</v>
      </c>
      <c r="D2771" s="101" t="s">
        <v>2430</v>
      </c>
      <c r="E2771" s="101" t="s">
        <v>577</v>
      </c>
      <c r="F2771" s="109">
        <f t="shared" si="8"/>
        <v>216</v>
      </c>
      <c r="G2771" s="110" t="s">
        <v>2936</v>
      </c>
    </row>
    <row r="2772" ht="15.75" customHeight="1">
      <c r="B2772" s="95"/>
      <c r="C2772" s="108" t="s">
        <v>209</v>
      </c>
      <c r="D2772" s="101" t="s">
        <v>2430</v>
      </c>
      <c r="E2772" s="101" t="s">
        <v>577</v>
      </c>
      <c r="F2772" s="109">
        <f t="shared" si="8"/>
        <v>217</v>
      </c>
      <c r="G2772" s="110" t="s">
        <v>2937</v>
      </c>
    </row>
    <row r="2773" ht="15.75" customHeight="1">
      <c r="B2773" s="95"/>
      <c r="C2773" s="108" t="s">
        <v>209</v>
      </c>
      <c r="D2773" s="101" t="s">
        <v>2430</v>
      </c>
      <c r="E2773" s="101" t="s">
        <v>577</v>
      </c>
      <c r="F2773" s="109">
        <f t="shared" si="8"/>
        <v>218</v>
      </c>
      <c r="G2773" s="110" t="s">
        <v>2938</v>
      </c>
    </row>
    <row r="2774" ht="15.75" customHeight="1">
      <c r="B2774" s="95"/>
      <c r="C2774" s="108" t="s">
        <v>209</v>
      </c>
      <c r="D2774" s="101" t="s">
        <v>2430</v>
      </c>
      <c r="E2774" s="101" t="s">
        <v>577</v>
      </c>
      <c r="F2774" s="109">
        <f t="shared" si="8"/>
        <v>219</v>
      </c>
      <c r="G2774" s="110" t="s">
        <v>2939</v>
      </c>
    </row>
    <row r="2775" ht="15.75" customHeight="1">
      <c r="B2775" s="95"/>
      <c r="C2775" s="108" t="s">
        <v>209</v>
      </c>
      <c r="D2775" s="101" t="s">
        <v>2430</v>
      </c>
      <c r="E2775" s="101" t="s">
        <v>577</v>
      </c>
      <c r="F2775" s="109">
        <f t="shared" si="8"/>
        <v>220</v>
      </c>
      <c r="G2775" s="110" t="s">
        <v>2940</v>
      </c>
    </row>
    <row r="2776" ht="15.75" customHeight="1">
      <c r="B2776" s="95"/>
      <c r="C2776" s="108" t="s">
        <v>209</v>
      </c>
      <c r="D2776" s="101" t="s">
        <v>2430</v>
      </c>
      <c r="E2776" s="101" t="s">
        <v>577</v>
      </c>
      <c r="F2776" s="109">
        <f t="shared" si="8"/>
        <v>221</v>
      </c>
      <c r="G2776" s="110" t="s">
        <v>2941</v>
      </c>
    </row>
    <row r="2777" ht="15.75" customHeight="1">
      <c r="B2777" s="95"/>
      <c r="C2777" s="108" t="s">
        <v>209</v>
      </c>
      <c r="D2777" s="101" t="s">
        <v>2430</v>
      </c>
      <c r="E2777" s="101" t="s">
        <v>577</v>
      </c>
      <c r="F2777" s="109">
        <f t="shared" si="8"/>
        <v>222</v>
      </c>
      <c r="G2777" s="110" t="s">
        <v>2632</v>
      </c>
    </row>
    <row r="2778" ht="15.75" customHeight="1">
      <c r="B2778" s="95"/>
      <c r="C2778" s="108" t="s">
        <v>209</v>
      </c>
      <c r="D2778" s="101" t="s">
        <v>2430</v>
      </c>
      <c r="E2778" s="101" t="s">
        <v>577</v>
      </c>
      <c r="F2778" s="109">
        <f t="shared" si="8"/>
        <v>223</v>
      </c>
      <c r="G2778" s="110" t="s">
        <v>2942</v>
      </c>
    </row>
    <row r="2779" ht="15.75" customHeight="1">
      <c r="B2779" s="95"/>
      <c r="C2779" s="108" t="s">
        <v>209</v>
      </c>
      <c r="D2779" s="101" t="s">
        <v>2430</v>
      </c>
      <c r="E2779" s="101" t="s">
        <v>577</v>
      </c>
      <c r="F2779" s="109">
        <f t="shared" si="8"/>
        <v>224</v>
      </c>
      <c r="G2779" s="110" t="s">
        <v>2943</v>
      </c>
    </row>
    <row r="2780" ht="15.75" customHeight="1">
      <c r="B2780" s="95"/>
      <c r="C2780" s="108" t="s">
        <v>209</v>
      </c>
      <c r="D2780" s="101" t="s">
        <v>2430</v>
      </c>
      <c r="E2780" s="101" t="s">
        <v>577</v>
      </c>
      <c r="F2780" s="109">
        <f t="shared" si="8"/>
        <v>225</v>
      </c>
      <c r="G2780" s="110" t="s">
        <v>2944</v>
      </c>
    </row>
    <row r="2781" ht="15.75" customHeight="1">
      <c r="B2781" s="95"/>
      <c r="C2781" s="108" t="s">
        <v>209</v>
      </c>
      <c r="D2781" s="101" t="s">
        <v>2430</v>
      </c>
      <c r="E2781" s="101" t="s">
        <v>577</v>
      </c>
      <c r="F2781" s="109">
        <f t="shared" si="8"/>
        <v>226</v>
      </c>
      <c r="G2781" s="110" t="s">
        <v>2634</v>
      </c>
    </row>
    <row r="2782" ht="15.75" customHeight="1">
      <c r="B2782" s="95"/>
      <c r="C2782" s="108" t="s">
        <v>209</v>
      </c>
      <c r="D2782" s="101" t="s">
        <v>2430</v>
      </c>
      <c r="E2782" s="101" t="s">
        <v>577</v>
      </c>
      <c r="F2782" s="109">
        <f t="shared" si="8"/>
        <v>227</v>
      </c>
      <c r="G2782" s="110" t="s">
        <v>2945</v>
      </c>
    </row>
    <row r="2783" ht="15.75" customHeight="1">
      <c r="B2783" s="95"/>
      <c r="C2783" s="108" t="s">
        <v>209</v>
      </c>
      <c r="D2783" s="101" t="s">
        <v>2430</v>
      </c>
      <c r="E2783" s="101" t="s">
        <v>577</v>
      </c>
      <c r="F2783" s="109">
        <f t="shared" si="8"/>
        <v>228</v>
      </c>
      <c r="G2783" s="110" t="s">
        <v>2946</v>
      </c>
    </row>
    <row r="2784" ht="15.75" customHeight="1">
      <c r="B2784" s="95"/>
      <c r="C2784" s="108" t="s">
        <v>209</v>
      </c>
      <c r="D2784" s="101" t="s">
        <v>2430</v>
      </c>
      <c r="E2784" s="101" t="s">
        <v>577</v>
      </c>
      <c r="F2784" s="109">
        <f t="shared" si="8"/>
        <v>229</v>
      </c>
      <c r="G2784" s="110" t="s">
        <v>2947</v>
      </c>
    </row>
    <row r="2785" ht="15.75" customHeight="1">
      <c r="B2785" s="95"/>
      <c r="C2785" s="108" t="s">
        <v>209</v>
      </c>
      <c r="D2785" s="101" t="s">
        <v>2430</v>
      </c>
      <c r="E2785" s="101" t="s">
        <v>577</v>
      </c>
      <c r="F2785" s="109">
        <f t="shared" si="8"/>
        <v>230</v>
      </c>
      <c r="G2785" s="110" t="s">
        <v>2636</v>
      </c>
    </row>
    <row r="2786" ht="15.75" customHeight="1">
      <c r="B2786" s="95"/>
      <c r="C2786" s="108" t="s">
        <v>209</v>
      </c>
      <c r="D2786" s="101" t="s">
        <v>2430</v>
      </c>
      <c r="E2786" s="101" t="s">
        <v>577</v>
      </c>
      <c r="F2786" s="109">
        <f t="shared" si="8"/>
        <v>231</v>
      </c>
      <c r="G2786" s="110" t="s">
        <v>2948</v>
      </c>
    </row>
    <row r="2787" ht="15.75" customHeight="1">
      <c r="B2787" s="95"/>
      <c r="C2787" s="108" t="s">
        <v>209</v>
      </c>
      <c r="D2787" s="101" t="s">
        <v>2430</v>
      </c>
      <c r="E2787" s="101" t="s">
        <v>577</v>
      </c>
      <c r="F2787" s="109">
        <f t="shared" si="8"/>
        <v>232</v>
      </c>
      <c r="G2787" s="110" t="s">
        <v>2949</v>
      </c>
    </row>
    <row r="2788" ht="15.75" customHeight="1">
      <c r="B2788" s="95"/>
      <c r="C2788" s="108" t="s">
        <v>209</v>
      </c>
      <c r="D2788" s="101" t="s">
        <v>2430</v>
      </c>
      <c r="E2788" s="101" t="s">
        <v>577</v>
      </c>
      <c r="F2788" s="109">
        <f t="shared" si="8"/>
        <v>233</v>
      </c>
      <c r="G2788" s="110" t="s">
        <v>2950</v>
      </c>
    </row>
    <row r="2789" ht="15.75" customHeight="1">
      <c r="B2789" s="95"/>
      <c r="C2789" s="108" t="s">
        <v>209</v>
      </c>
      <c r="D2789" s="101" t="s">
        <v>2430</v>
      </c>
      <c r="E2789" s="101" t="s">
        <v>577</v>
      </c>
      <c r="F2789" s="109">
        <f t="shared" si="8"/>
        <v>234</v>
      </c>
      <c r="G2789" s="110" t="s">
        <v>2951</v>
      </c>
    </row>
    <row r="2790" ht="15.75" customHeight="1">
      <c r="B2790" s="95"/>
      <c r="C2790" s="108" t="s">
        <v>209</v>
      </c>
      <c r="D2790" s="101" t="s">
        <v>2430</v>
      </c>
      <c r="E2790" s="101" t="s">
        <v>577</v>
      </c>
      <c r="F2790" s="109">
        <f t="shared" si="8"/>
        <v>235</v>
      </c>
      <c r="G2790" s="110" t="s">
        <v>2952</v>
      </c>
    </row>
    <row r="2791" ht="15.75" customHeight="1">
      <c r="B2791" s="95"/>
      <c r="C2791" s="108" t="s">
        <v>209</v>
      </c>
      <c r="D2791" s="101" t="s">
        <v>2430</v>
      </c>
      <c r="E2791" s="101" t="s">
        <v>577</v>
      </c>
      <c r="F2791" s="109">
        <f t="shared" si="8"/>
        <v>236</v>
      </c>
      <c r="G2791" s="110" t="s">
        <v>2953</v>
      </c>
    </row>
    <row r="2792" ht="15.75" customHeight="1">
      <c r="B2792" s="95"/>
      <c r="C2792" s="108" t="s">
        <v>209</v>
      </c>
      <c r="D2792" s="101" t="s">
        <v>2430</v>
      </c>
      <c r="E2792" s="101" t="s">
        <v>577</v>
      </c>
      <c r="F2792" s="109">
        <f t="shared" si="8"/>
        <v>237</v>
      </c>
      <c r="G2792" s="110" t="s">
        <v>2639</v>
      </c>
    </row>
    <row r="2793" ht="15.75" customHeight="1">
      <c r="B2793" s="95"/>
      <c r="C2793" s="108" t="s">
        <v>209</v>
      </c>
      <c r="D2793" s="101" t="s">
        <v>2430</v>
      </c>
      <c r="E2793" s="101" t="s">
        <v>577</v>
      </c>
      <c r="F2793" s="109">
        <f t="shared" si="8"/>
        <v>238</v>
      </c>
      <c r="G2793" s="110" t="s">
        <v>2641</v>
      </c>
    </row>
    <row r="2794" ht="15.75" customHeight="1">
      <c r="B2794" s="95"/>
      <c r="C2794" s="108" t="s">
        <v>209</v>
      </c>
      <c r="D2794" s="101" t="s">
        <v>2430</v>
      </c>
      <c r="E2794" s="101" t="s">
        <v>577</v>
      </c>
      <c r="F2794" s="109">
        <f t="shared" si="8"/>
        <v>239</v>
      </c>
      <c r="G2794" s="110" t="s">
        <v>2954</v>
      </c>
    </row>
    <row r="2795" ht="15.75" customHeight="1">
      <c r="B2795" s="95"/>
      <c r="C2795" s="108" t="s">
        <v>209</v>
      </c>
      <c r="D2795" s="101" t="s">
        <v>2430</v>
      </c>
      <c r="E2795" s="101" t="s">
        <v>577</v>
      </c>
      <c r="F2795" s="109">
        <f t="shared" si="8"/>
        <v>240</v>
      </c>
      <c r="G2795" s="110" t="s">
        <v>2955</v>
      </c>
    </row>
    <row r="2796" ht="15.75" customHeight="1">
      <c r="B2796" s="95"/>
      <c r="C2796" s="108" t="s">
        <v>209</v>
      </c>
      <c r="D2796" s="101" t="s">
        <v>2430</v>
      </c>
      <c r="E2796" s="101" t="s">
        <v>577</v>
      </c>
      <c r="F2796" s="109">
        <f t="shared" si="8"/>
        <v>241</v>
      </c>
      <c r="G2796" s="110" t="s">
        <v>2956</v>
      </c>
    </row>
    <row r="2797" ht="15.75" customHeight="1">
      <c r="B2797" s="95"/>
      <c r="C2797" s="108" t="s">
        <v>209</v>
      </c>
      <c r="D2797" s="101" t="s">
        <v>2430</v>
      </c>
      <c r="E2797" s="101" t="s">
        <v>577</v>
      </c>
      <c r="F2797" s="109">
        <f t="shared" si="8"/>
        <v>242</v>
      </c>
      <c r="G2797" s="110" t="s">
        <v>2643</v>
      </c>
    </row>
    <row r="2798" ht="15.75" customHeight="1">
      <c r="B2798" s="95"/>
      <c r="C2798" s="108" t="s">
        <v>209</v>
      </c>
      <c r="D2798" s="101" t="s">
        <v>2430</v>
      </c>
      <c r="E2798" s="101" t="s">
        <v>577</v>
      </c>
      <c r="F2798" s="109">
        <f t="shared" si="8"/>
        <v>243</v>
      </c>
      <c r="G2798" s="110" t="s">
        <v>2957</v>
      </c>
    </row>
    <row r="2799" ht="15.75" customHeight="1">
      <c r="B2799" s="95"/>
      <c r="C2799" s="108" t="s">
        <v>209</v>
      </c>
      <c r="D2799" s="101" t="s">
        <v>2430</v>
      </c>
      <c r="E2799" s="101" t="s">
        <v>577</v>
      </c>
      <c r="F2799" s="109">
        <f t="shared" si="8"/>
        <v>244</v>
      </c>
      <c r="G2799" s="110" t="s">
        <v>2958</v>
      </c>
    </row>
    <row r="2800" ht="15.75" customHeight="1">
      <c r="B2800" s="95"/>
      <c r="C2800" s="108" t="s">
        <v>209</v>
      </c>
      <c r="D2800" s="101" t="s">
        <v>2430</v>
      </c>
      <c r="E2800" s="101" t="s">
        <v>577</v>
      </c>
      <c r="F2800" s="109">
        <f t="shared" si="8"/>
        <v>245</v>
      </c>
      <c r="G2800" s="110" t="s">
        <v>2959</v>
      </c>
    </row>
    <row r="2801" ht="15.75" customHeight="1">
      <c r="B2801" s="95"/>
      <c r="C2801" s="108" t="s">
        <v>209</v>
      </c>
      <c r="D2801" s="101" t="s">
        <v>2430</v>
      </c>
      <c r="E2801" s="101" t="s">
        <v>577</v>
      </c>
      <c r="F2801" s="109">
        <f t="shared" si="8"/>
        <v>246</v>
      </c>
      <c r="G2801" s="110" t="s">
        <v>2960</v>
      </c>
    </row>
    <row r="2802" ht="15.75" customHeight="1">
      <c r="B2802" s="95"/>
      <c r="C2802" s="108" t="s">
        <v>209</v>
      </c>
      <c r="D2802" s="101" t="s">
        <v>2430</v>
      </c>
      <c r="E2802" s="101" t="s">
        <v>577</v>
      </c>
      <c r="F2802" s="109">
        <f t="shared" si="8"/>
        <v>247</v>
      </c>
      <c r="G2802" s="110" t="s">
        <v>2961</v>
      </c>
    </row>
    <row r="2803" ht="15.75" customHeight="1">
      <c r="B2803" s="95"/>
      <c r="C2803" s="108" t="s">
        <v>209</v>
      </c>
      <c r="D2803" s="101" t="s">
        <v>2430</v>
      </c>
      <c r="E2803" s="101" t="s">
        <v>577</v>
      </c>
      <c r="F2803" s="109">
        <f t="shared" si="8"/>
        <v>248</v>
      </c>
      <c r="G2803" s="110" t="s">
        <v>2962</v>
      </c>
    </row>
    <row r="2804" ht="15.75" customHeight="1">
      <c r="B2804" s="95"/>
      <c r="C2804" s="108" t="s">
        <v>209</v>
      </c>
      <c r="D2804" s="101" t="s">
        <v>2430</v>
      </c>
      <c r="E2804" s="101" t="s">
        <v>577</v>
      </c>
      <c r="F2804" s="109">
        <f t="shared" si="8"/>
        <v>249</v>
      </c>
      <c r="G2804" s="110" t="s">
        <v>2647</v>
      </c>
    </row>
    <row r="2805" ht="15.75" customHeight="1">
      <c r="B2805" s="95"/>
      <c r="C2805" s="108" t="s">
        <v>209</v>
      </c>
      <c r="D2805" s="101" t="s">
        <v>2430</v>
      </c>
      <c r="E2805" s="101" t="s">
        <v>577</v>
      </c>
      <c r="F2805" s="109">
        <f t="shared" si="8"/>
        <v>250</v>
      </c>
      <c r="G2805" s="110" t="s">
        <v>2963</v>
      </c>
    </row>
    <row r="2806" ht="15.75" customHeight="1">
      <c r="B2806" s="95"/>
      <c r="C2806" s="108" t="s">
        <v>209</v>
      </c>
      <c r="D2806" s="101" t="s">
        <v>2430</v>
      </c>
      <c r="E2806" s="101" t="s">
        <v>577</v>
      </c>
      <c r="F2806" s="109">
        <f t="shared" si="8"/>
        <v>251</v>
      </c>
      <c r="G2806" s="110" t="s">
        <v>2964</v>
      </c>
    </row>
    <row r="2807" ht="15.75" customHeight="1">
      <c r="B2807" s="95"/>
      <c r="C2807" s="108" t="s">
        <v>209</v>
      </c>
      <c r="D2807" s="101" t="s">
        <v>2430</v>
      </c>
      <c r="E2807" s="101" t="s">
        <v>577</v>
      </c>
      <c r="F2807" s="109">
        <f t="shared" si="8"/>
        <v>252</v>
      </c>
      <c r="G2807" s="110" t="s">
        <v>2965</v>
      </c>
    </row>
    <row r="2808" ht="15.75" customHeight="1">
      <c r="B2808" s="95"/>
      <c r="C2808" s="108" t="s">
        <v>209</v>
      </c>
      <c r="D2808" s="101" t="s">
        <v>2430</v>
      </c>
      <c r="E2808" s="101" t="s">
        <v>577</v>
      </c>
      <c r="F2808" s="109">
        <f t="shared" si="8"/>
        <v>253</v>
      </c>
      <c r="G2808" s="110" t="s">
        <v>2649</v>
      </c>
    </row>
    <row r="2809" ht="15.75" customHeight="1">
      <c r="B2809" s="95"/>
      <c r="C2809" s="108" t="s">
        <v>209</v>
      </c>
      <c r="D2809" s="101" t="s">
        <v>2430</v>
      </c>
      <c r="E2809" s="101" t="s">
        <v>577</v>
      </c>
      <c r="F2809" s="109">
        <f t="shared" si="8"/>
        <v>254</v>
      </c>
      <c r="G2809" s="110" t="s">
        <v>2966</v>
      </c>
    </row>
    <row r="2810" ht="15.75" customHeight="1">
      <c r="B2810" s="95"/>
      <c r="C2810" s="108" t="s">
        <v>209</v>
      </c>
      <c r="D2810" s="101" t="s">
        <v>2430</v>
      </c>
      <c r="E2810" s="101" t="s">
        <v>577</v>
      </c>
      <c r="F2810" s="109">
        <f t="shared" si="8"/>
        <v>255</v>
      </c>
      <c r="G2810" s="110" t="s">
        <v>2967</v>
      </c>
    </row>
    <row r="2811" ht="15.75" customHeight="1">
      <c r="B2811" s="95"/>
      <c r="C2811" s="108" t="s">
        <v>209</v>
      </c>
      <c r="D2811" s="101" t="s">
        <v>2430</v>
      </c>
      <c r="E2811" s="101" t="s">
        <v>577</v>
      </c>
      <c r="F2811" s="109">
        <f t="shared" si="8"/>
        <v>256</v>
      </c>
      <c r="G2811" s="110" t="s">
        <v>2968</v>
      </c>
    </row>
    <row r="2812" ht="15.75" customHeight="1">
      <c r="B2812" s="95"/>
      <c r="C2812" s="108" t="s">
        <v>209</v>
      </c>
      <c r="D2812" s="101" t="s">
        <v>2430</v>
      </c>
      <c r="E2812" s="101" t="s">
        <v>577</v>
      </c>
      <c r="F2812" s="109">
        <f t="shared" si="8"/>
        <v>257</v>
      </c>
      <c r="G2812" s="110" t="s">
        <v>2651</v>
      </c>
    </row>
    <row r="2813" ht="15.75" customHeight="1">
      <c r="B2813" s="95"/>
      <c r="C2813" s="108" t="s">
        <v>209</v>
      </c>
      <c r="D2813" s="101" t="s">
        <v>2430</v>
      </c>
      <c r="E2813" s="101" t="s">
        <v>577</v>
      </c>
      <c r="F2813" s="109">
        <f t="shared" si="8"/>
        <v>258</v>
      </c>
      <c r="G2813" s="110" t="s">
        <v>2969</v>
      </c>
    </row>
    <row r="2814" ht="15.75" customHeight="1">
      <c r="B2814" s="95"/>
      <c r="C2814" s="108" t="s">
        <v>209</v>
      </c>
      <c r="D2814" s="101" t="s">
        <v>2430</v>
      </c>
      <c r="E2814" s="101" t="s">
        <v>577</v>
      </c>
      <c r="F2814" s="109">
        <f t="shared" si="8"/>
        <v>259</v>
      </c>
      <c r="G2814" s="110" t="s">
        <v>2970</v>
      </c>
    </row>
    <row r="2815" ht="15.75" customHeight="1">
      <c r="B2815" s="95"/>
      <c r="C2815" s="108" t="s">
        <v>209</v>
      </c>
      <c r="D2815" s="101" t="s">
        <v>2430</v>
      </c>
      <c r="E2815" s="101" t="s">
        <v>577</v>
      </c>
      <c r="F2815" s="109">
        <f t="shared" si="8"/>
        <v>260</v>
      </c>
      <c r="G2815" s="110" t="s">
        <v>2971</v>
      </c>
    </row>
    <row r="2816" ht="15.75" customHeight="1">
      <c r="B2816" s="95"/>
      <c r="C2816" s="108" t="s">
        <v>209</v>
      </c>
      <c r="D2816" s="101" t="s">
        <v>2430</v>
      </c>
      <c r="E2816" s="101" t="s">
        <v>577</v>
      </c>
      <c r="F2816" s="109">
        <f t="shared" si="8"/>
        <v>261</v>
      </c>
      <c r="G2816" s="110" t="s">
        <v>2972</v>
      </c>
    </row>
    <row r="2817" ht="15.75" customHeight="1">
      <c r="B2817" s="95"/>
      <c r="C2817" s="108" t="s">
        <v>209</v>
      </c>
      <c r="D2817" s="101" t="s">
        <v>2430</v>
      </c>
      <c r="E2817" s="101" t="s">
        <v>577</v>
      </c>
      <c r="F2817" s="109">
        <f t="shared" si="8"/>
        <v>262</v>
      </c>
      <c r="G2817" s="110" t="s">
        <v>2973</v>
      </c>
    </row>
    <row r="2818" ht="15.75" customHeight="1">
      <c r="B2818" s="95"/>
      <c r="C2818" s="108" t="s">
        <v>209</v>
      </c>
      <c r="D2818" s="101" t="s">
        <v>2430</v>
      </c>
      <c r="E2818" s="101" t="s">
        <v>577</v>
      </c>
      <c r="F2818" s="109">
        <f t="shared" si="8"/>
        <v>263</v>
      </c>
      <c r="G2818" s="110" t="s">
        <v>2974</v>
      </c>
    </row>
    <row r="2819" ht="15.75" customHeight="1">
      <c r="B2819" s="95"/>
      <c r="C2819" s="108" t="s">
        <v>209</v>
      </c>
      <c r="D2819" s="101" t="s">
        <v>2430</v>
      </c>
      <c r="E2819" s="101" t="s">
        <v>577</v>
      </c>
      <c r="F2819" s="109">
        <f t="shared" si="8"/>
        <v>264</v>
      </c>
      <c r="G2819" s="110" t="s">
        <v>2654</v>
      </c>
    </row>
    <row r="2820" ht="15.75" customHeight="1">
      <c r="B2820" s="95"/>
      <c r="C2820" s="108" t="s">
        <v>209</v>
      </c>
      <c r="D2820" s="101" t="s">
        <v>2430</v>
      </c>
      <c r="E2820" s="101" t="s">
        <v>577</v>
      </c>
      <c r="F2820" s="109">
        <f t="shared" si="8"/>
        <v>265</v>
      </c>
      <c r="G2820" s="110" t="s">
        <v>2975</v>
      </c>
    </row>
    <row r="2821" ht="15.75" customHeight="1">
      <c r="B2821" s="95"/>
      <c r="C2821" s="108" t="s">
        <v>209</v>
      </c>
      <c r="D2821" s="101" t="s">
        <v>2430</v>
      </c>
      <c r="E2821" s="101" t="s">
        <v>577</v>
      </c>
      <c r="F2821" s="109">
        <f t="shared" si="8"/>
        <v>266</v>
      </c>
      <c r="G2821" s="110" t="s">
        <v>2976</v>
      </c>
    </row>
    <row r="2822" ht="15.75" customHeight="1">
      <c r="B2822" s="95"/>
      <c r="C2822" s="108" t="s">
        <v>209</v>
      </c>
      <c r="D2822" s="101" t="s">
        <v>2430</v>
      </c>
      <c r="E2822" s="101" t="s">
        <v>577</v>
      </c>
      <c r="F2822" s="109">
        <f t="shared" si="8"/>
        <v>267</v>
      </c>
      <c r="G2822" s="110" t="s">
        <v>2977</v>
      </c>
    </row>
    <row r="2823" ht="15.75" customHeight="1">
      <c r="B2823" s="95"/>
      <c r="C2823" s="108" t="s">
        <v>209</v>
      </c>
      <c r="D2823" s="101" t="s">
        <v>2430</v>
      </c>
      <c r="E2823" s="101" t="s">
        <v>577</v>
      </c>
      <c r="F2823" s="109">
        <f t="shared" si="8"/>
        <v>268</v>
      </c>
      <c r="G2823" s="110" t="s">
        <v>2656</v>
      </c>
    </row>
    <row r="2824" ht="15.75" customHeight="1">
      <c r="B2824" s="95"/>
      <c r="C2824" s="108" t="s">
        <v>209</v>
      </c>
      <c r="D2824" s="101" t="s">
        <v>2430</v>
      </c>
      <c r="E2824" s="101" t="s">
        <v>577</v>
      </c>
      <c r="F2824" s="109">
        <f t="shared" si="8"/>
        <v>269</v>
      </c>
      <c r="G2824" s="110" t="s">
        <v>2978</v>
      </c>
    </row>
    <row r="2825" ht="15.75" customHeight="1">
      <c r="B2825" s="95"/>
      <c r="C2825" s="108" t="s">
        <v>209</v>
      </c>
      <c r="D2825" s="101" t="s">
        <v>2430</v>
      </c>
      <c r="E2825" s="101" t="s">
        <v>577</v>
      </c>
      <c r="F2825" s="109">
        <f t="shared" si="8"/>
        <v>270</v>
      </c>
      <c r="G2825" s="110" t="s">
        <v>2979</v>
      </c>
    </row>
    <row r="2826" ht="15.75" customHeight="1">
      <c r="B2826" s="95"/>
      <c r="C2826" s="108" t="s">
        <v>209</v>
      </c>
      <c r="D2826" s="101" t="s">
        <v>2430</v>
      </c>
      <c r="E2826" s="101" t="s">
        <v>577</v>
      </c>
      <c r="F2826" s="109">
        <f t="shared" si="8"/>
        <v>271</v>
      </c>
      <c r="G2826" s="110" t="s">
        <v>2980</v>
      </c>
    </row>
    <row r="2827" ht="15.75" customHeight="1">
      <c r="B2827" s="95"/>
      <c r="C2827" s="108" t="s">
        <v>209</v>
      </c>
      <c r="D2827" s="101" t="s">
        <v>2430</v>
      </c>
      <c r="E2827" s="101" t="s">
        <v>577</v>
      </c>
      <c r="F2827" s="109">
        <f t="shared" si="8"/>
        <v>272</v>
      </c>
      <c r="G2827" s="110" t="s">
        <v>2658</v>
      </c>
    </row>
    <row r="2828" ht="15.75" customHeight="1">
      <c r="B2828" s="95"/>
      <c r="C2828" s="108" t="s">
        <v>209</v>
      </c>
      <c r="D2828" s="101" t="s">
        <v>2430</v>
      </c>
      <c r="E2828" s="101" t="s">
        <v>577</v>
      </c>
      <c r="F2828" s="109">
        <f t="shared" si="8"/>
        <v>273</v>
      </c>
      <c r="G2828" s="110" t="s">
        <v>2981</v>
      </c>
    </row>
    <row r="2829" ht="15.75" customHeight="1">
      <c r="B2829" s="95"/>
      <c r="C2829" s="108" t="s">
        <v>209</v>
      </c>
      <c r="D2829" s="101" t="s">
        <v>2430</v>
      </c>
      <c r="E2829" s="101" t="s">
        <v>577</v>
      </c>
      <c r="F2829" s="109">
        <f t="shared" si="8"/>
        <v>274</v>
      </c>
      <c r="G2829" s="110" t="s">
        <v>2660</v>
      </c>
    </row>
    <row r="2830" ht="15.75" customHeight="1">
      <c r="B2830" s="95"/>
      <c r="C2830" s="108" t="s">
        <v>209</v>
      </c>
      <c r="D2830" s="101" t="s">
        <v>2430</v>
      </c>
      <c r="E2830" s="101" t="s">
        <v>577</v>
      </c>
      <c r="F2830" s="109">
        <f t="shared" si="8"/>
        <v>275</v>
      </c>
      <c r="G2830" s="110" t="s">
        <v>2982</v>
      </c>
    </row>
    <row r="2831" ht="15.75" customHeight="1">
      <c r="B2831" s="95"/>
      <c r="C2831" s="108" t="s">
        <v>209</v>
      </c>
      <c r="D2831" s="101" t="s">
        <v>2430</v>
      </c>
      <c r="E2831" s="101" t="s">
        <v>577</v>
      </c>
      <c r="F2831" s="109">
        <f t="shared" si="8"/>
        <v>276</v>
      </c>
      <c r="G2831" s="110" t="s">
        <v>2983</v>
      </c>
    </row>
    <row r="2832" ht="15.75" customHeight="1">
      <c r="B2832" s="95"/>
      <c r="C2832" s="108" t="s">
        <v>209</v>
      </c>
      <c r="D2832" s="101" t="s">
        <v>2430</v>
      </c>
      <c r="E2832" s="101" t="s">
        <v>577</v>
      </c>
      <c r="F2832" s="109">
        <f t="shared" si="8"/>
        <v>277</v>
      </c>
      <c r="G2832" s="110" t="s">
        <v>2984</v>
      </c>
    </row>
    <row r="2833" ht="15.75" customHeight="1">
      <c r="B2833" s="95"/>
      <c r="C2833" s="108" t="s">
        <v>209</v>
      </c>
      <c r="D2833" s="101" t="s">
        <v>2430</v>
      </c>
      <c r="E2833" s="101" t="s">
        <v>577</v>
      </c>
      <c r="F2833" s="109">
        <f t="shared" si="8"/>
        <v>278</v>
      </c>
      <c r="G2833" s="110" t="s">
        <v>2662</v>
      </c>
    </row>
    <row r="2834" ht="15.75" customHeight="1">
      <c r="B2834" s="95"/>
      <c r="C2834" s="108" t="s">
        <v>209</v>
      </c>
      <c r="D2834" s="101" t="s">
        <v>2430</v>
      </c>
      <c r="E2834" s="101" t="s">
        <v>577</v>
      </c>
      <c r="F2834" s="109">
        <f t="shared" si="8"/>
        <v>279</v>
      </c>
      <c r="G2834" s="110" t="s">
        <v>2985</v>
      </c>
    </row>
    <row r="2835" ht="15.75" customHeight="1">
      <c r="B2835" s="95"/>
      <c r="C2835" s="108" t="s">
        <v>209</v>
      </c>
      <c r="D2835" s="101" t="s">
        <v>2430</v>
      </c>
      <c r="E2835" s="101" t="s">
        <v>577</v>
      </c>
      <c r="F2835" s="109">
        <f t="shared" si="8"/>
        <v>280</v>
      </c>
      <c r="G2835" s="110" t="s">
        <v>2664</v>
      </c>
    </row>
    <row r="2836" ht="15.75" customHeight="1">
      <c r="B2836" s="95"/>
      <c r="C2836" s="108" t="s">
        <v>209</v>
      </c>
      <c r="D2836" s="101" t="s">
        <v>2430</v>
      </c>
      <c r="E2836" s="101" t="s">
        <v>577</v>
      </c>
      <c r="F2836" s="109">
        <f t="shared" si="8"/>
        <v>281</v>
      </c>
      <c r="G2836" s="110" t="s">
        <v>2986</v>
      </c>
    </row>
    <row r="2837" ht="15.75" customHeight="1">
      <c r="B2837" s="95"/>
      <c r="C2837" s="108" t="s">
        <v>209</v>
      </c>
      <c r="D2837" s="101" t="s">
        <v>2430</v>
      </c>
      <c r="E2837" s="101" t="s">
        <v>577</v>
      </c>
      <c r="F2837" s="109">
        <f t="shared" si="8"/>
        <v>282</v>
      </c>
      <c r="G2837" s="110" t="s">
        <v>2987</v>
      </c>
    </row>
    <row r="2838" ht="15.75" customHeight="1">
      <c r="B2838" s="95"/>
      <c r="C2838" s="108" t="s">
        <v>209</v>
      </c>
      <c r="D2838" s="101" t="s">
        <v>2430</v>
      </c>
      <c r="E2838" s="101" t="s">
        <v>577</v>
      </c>
      <c r="F2838" s="109">
        <f t="shared" si="8"/>
        <v>283</v>
      </c>
      <c r="G2838" s="110" t="s">
        <v>2988</v>
      </c>
    </row>
    <row r="2839" ht="15.75" customHeight="1">
      <c r="B2839" s="95"/>
      <c r="C2839" s="108" t="s">
        <v>209</v>
      </c>
      <c r="D2839" s="101" t="s">
        <v>2430</v>
      </c>
      <c r="E2839" s="101" t="s">
        <v>577</v>
      </c>
      <c r="F2839" s="109">
        <f t="shared" si="8"/>
        <v>284</v>
      </c>
      <c r="G2839" s="110" t="s">
        <v>2673</v>
      </c>
    </row>
    <row r="2840" ht="15.75" customHeight="1">
      <c r="B2840" s="95"/>
      <c r="C2840" s="108" t="s">
        <v>209</v>
      </c>
      <c r="D2840" s="101" t="s">
        <v>2430</v>
      </c>
      <c r="E2840" s="101" t="s">
        <v>577</v>
      </c>
      <c r="F2840" s="109">
        <f t="shared" si="8"/>
        <v>285</v>
      </c>
      <c r="G2840" s="110" t="s">
        <v>2989</v>
      </c>
    </row>
    <row r="2841" ht="15.75" customHeight="1">
      <c r="B2841" s="95"/>
      <c r="C2841" s="108" t="s">
        <v>209</v>
      </c>
      <c r="D2841" s="101" t="s">
        <v>2430</v>
      </c>
      <c r="E2841" s="101" t="s">
        <v>577</v>
      </c>
      <c r="F2841" s="109">
        <f t="shared" si="8"/>
        <v>286</v>
      </c>
      <c r="G2841" s="110" t="s">
        <v>2675</v>
      </c>
    </row>
    <row r="2842" ht="15.75" customHeight="1">
      <c r="B2842" s="95"/>
      <c r="C2842" s="108" t="s">
        <v>209</v>
      </c>
      <c r="D2842" s="101" t="s">
        <v>2430</v>
      </c>
      <c r="E2842" s="101" t="s">
        <v>577</v>
      </c>
      <c r="F2842" s="109">
        <f t="shared" si="8"/>
        <v>287</v>
      </c>
      <c r="G2842" s="110" t="s">
        <v>2990</v>
      </c>
    </row>
    <row r="2843" ht="15.75" customHeight="1">
      <c r="B2843" s="95"/>
      <c r="C2843" s="108" t="s">
        <v>209</v>
      </c>
      <c r="D2843" s="101" t="s">
        <v>2430</v>
      </c>
      <c r="E2843" s="101" t="s">
        <v>577</v>
      </c>
      <c r="F2843" s="109">
        <f t="shared" si="8"/>
        <v>288</v>
      </c>
      <c r="G2843" s="110" t="s">
        <v>2677</v>
      </c>
    </row>
    <row r="2844" ht="15.75" customHeight="1">
      <c r="B2844" s="95"/>
      <c r="C2844" s="108" t="s">
        <v>209</v>
      </c>
      <c r="D2844" s="101" t="s">
        <v>2430</v>
      </c>
      <c r="E2844" s="101" t="s">
        <v>577</v>
      </c>
      <c r="F2844" s="109">
        <f t="shared" si="8"/>
        <v>289</v>
      </c>
      <c r="G2844" s="110" t="s">
        <v>2991</v>
      </c>
    </row>
    <row r="2845" ht="15.75" customHeight="1">
      <c r="B2845" s="95"/>
      <c r="C2845" s="108" t="s">
        <v>209</v>
      </c>
      <c r="D2845" s="101" t="s">
        <v>2430</v>
      </c>
      <c r="E2845" s="101" t="s">
        <v>577</v>
      </c>
      <c r="F2845" s="109">
        <f t="shared" si="8"/>
        <v>290</v>
      </c>
      <c r="G2845" s="110" t="s">
        <v>2679</v>
      </c>
    </row>
    <row r="2846" ht="15.75" customHeight="1">
      <c r="B2846" s="95"/>
      <c r="C2846" s="108" t="s">
        <v>209</v>
      </c>
      <c r="D2846" s="101" t="s">
        <v>2430</v>
      </c>
      <c r="E2846" s="101" t="s">
        <v>577</v>
      </c>
      <c r="F2846" s="109">
        <f t="shared" si="8"/>
        <v>291</v>
      </c>
      <c r="G2846" s="110" t="s">
        <v>2992</v>
      </c>
    </row>
    <row r="2847" ht="15.75" customHeight="1">
      <c r="B2847" s="95"/>
      <c r="C2847" s="108" t="s">
        <v>209</v>
      </c>
      <c r="D2847" s="101" t="s">
        <v>2430</v>
      </c>
      <c r="E2847" s="101" t="s">
        <v>577</v>
      </c>
      <c r="F2847" s="109">
        <f t="shared" si="8"/>
        <v>292</v>
      </c>
      <c r="G2847" s="110" t="s">
        <v>2681</v>
      </c>
    </row>
    <row r="2848" ht="15.75" customHeight="1">
      <c r="B2848" s="95"/>
      <c r="C2848" s="108" t="s">
        <v>209</v>
      </c>
      <c r="D2848" s="101" t="s">
        <v>2430</v>
      </c>
      <c r="E2848" s="101" t="s">
        <v>577</v>
      </c>
      <c r="F2848" s="109">
        <f t="shared" si="8"/>
        <v>293</v>
      </c>
      <c r="G2848" s="110" t="s">
        <v>2993</v>
      </c>
    </row>
    <row r="2849" ht="15.75" customHeight="1">
      <c r="B2849" s="95"/>
      <c r="C2849" s="108" t="s">
        <v>209</v>
      </c>
      <c r="D2849" s="101" t="s">
        <v>2430</v>
      </c>
      <c r="E2849" s="101" t="s">
        <v>577</v>
      </c>
      <c r="F2849" s="109">
        <f t="shared" si="8"/>
        <v>294</v>
      </c>
      <c r="G2849" s="110" t="s">
        <v>2683</v>
      </c>
    </row>
    <row r="2850" ht="15.75" customHeight="1">
      <c r="B2850" s="95"/>
      <c r="C2850" s="108" t="s">
        <v>209</v>
      </c>
      <c r="D2850" s="101" t="s">
        <v>2430</v>
      </c>
      <c r="E2850" s="101" t="s">
        <v>577</v>
      </c>
      <c r="F2850" s="109">
        <f t="shared" si="8"/>
        <v>295</v>
      </c>
      <c r="G2850" s="110" t="s">
        <v>2994</v>
      </c>
    </row>
    <row r="2851" ht="15.75" customHeight="1">
      <c r="B2851" s="95"/>
      <c r="C2851" s="108" t="s">
        <v>209</v>
      </c>
      <c r="D2851" s="101" t="s">
        <v>2430</v>
      </c>
      <c r="E2851" s="101" t="s">
        <v>577</v>
      </c>
      <c r="F2851" s="109">
        <f t="shared" si="8"/>
        <v>296</v>
      </c>
      <c r="G2851" s="110" t="s">
        <v>2685</v>
      </c>
    </row>
    <row r="2852" ht="15.75" customHeight="1">
      <c r="B2852" s="95"/>
      <c r="C2852" s="108" t="s">
        <v>209</v>
      </c>
      <c r="D2852" s="101" t="s">
        <v>2430</v>
      </c>
      <c r="E2852" s="101" t="s">
        <v>577</v>
      </c>
      <c r="F2852" s="109">
        <f t="shared" si="8"/>
        <v>297</v>
      </c>
      <c r="G2852" s="110" t="s">
        <v>2995</v>
      </c>
    </row>
    <row r="2853" ht="15.75" customHeight="1">
      <c r="B2853" s="95"/>
      <c r="C2853" s="108" t="s">
        <v>209</v>
      </c>
      <c r="D2853" s="101" t="s">
        <v>2430</v>
      </c>
      <c r="E2853" s="101" t="s">
        <v>577</v>
      </c>
      <c r="F2853" s="109">
        <f t="shared" si="8"/>
        <v>298</v>
      </c>
      <c r="G2853" s="110" t="s">
        <v>2996</v>
      </c>
    </row>
    <row r="2854" ht="15.75" customHeight="1">
      <c r="B2854" s="95"/>
      <c r="C2854" s="108" t="s">
        <v>209</v>
      </c>
      <c r="D2854" s="101" t="s">
        <v>2430</v>
      </c>
      <c r="E2854" s="101" t="s">
        <v>577</v>
      </c>
      <c r="F2854" s="109">
        <f t="shared" si="8"/>
        <v>299</v>
      </c>
      <c r="G2854" s="110" t="s">
        <v>2997</v>
      </c>
    </row>
    <row r="2855" ht="15.75" customHeight="1">
      <c r="B2855" s="95"/>
      <c r="C2855" s="108" t="s">
        <v>209</v>
      </c>
      <c r="D2855" s="101" t="s">
        <v>2430</v>
      </c>
      <c r="E2855" s="101" t="s">
        <v>577</v>
      </c>
      <c r="F2855" s="109">
        <f t="shared" si="8"/>
        <v>300</v>
      </c>
      <c r="G2855" s="110" t="s">
        <v>2687</v>
      </c>
    </row>
    <row r="2856" ht="15.75" customHeight="1">
      <c r="B2856" s="95"/>
      <c r="C2856" s="108" t="s">
        <v>209</v>
      </c>
      <c r="D2856" s="101" t="s">
        <v>2430</v>
      </c>
      <c r="E2856" s="101" t="s">
        <v>577</v>
      </c>
      <c r="F2856" s="109">
        <f t="shared" si="8"/>
        <v>301</v>
      </c>
      <c r="G2856" s="110" t="s">
        <v>2998</v>
      </c>
    </row>
    <row r="2857" ht="15.75" customHeight="1">
      <c r="B2857" s="95"/>
      <c r="C2857" s="108" t="s">
        <v>209</v>
      </c>
      <c r="D2857" s="101" t="s">
        <v>2430</v>
      </c>
      <c r="E2857" s="101" t="s">
        <v>577</v>
      </c>
      <c r="F2857" s="109">
        <f t="shared" si="8"/>
        <v>302</v>
      </c>
      <c r="G2857" s="110" t="s">
        <v>2689</v>
      </c>
    </row>
    <row r="2858" ht="15.75" customHeight="1">
      <c r="B2858" s="95"/>
      <c r="C2858" s="108" t="s">
        <v>209</v>
      </c>
      <c r="D2858" s="101" t="s">
        <v>2430</v>
      </c>
      <c r="E2858" s="101" t="s">
        <v>577</v>
      </c>
      <c r="F2858" s="109">
        <f t="shared" si="8"/>
        <v>303</v>
      </c>
      <c r="G2858" s="110" t="s">
        <v>2999</v>
      </c>
    </row>
    <row r="2859" ht="15.75" customHeight="1">
      <c r="B2859" s="95"/>
      <c r="C2859" s="108" t="s">
        <v>209</v>
      </c>
      <c r="D2859" s="101" t="s">
        <v>2430</v>
      </c>
      <c r="E2859" s="101" t="s">
        <v>577</v>
      </c>
      <c r="F2859" s="109">
        <f t="shared" si="8"/>
        <v>304</v>
      </c>
      <c r="G2859" s="110" t="s">
        <v>2691</v>
      </c>
    </row>
    <row r="2860" ht="15.75" customHeight="1">
      <c r="B2860" s="95"/>
      <c r="C2860" s="108" t="s">
        <v>209</v>
      </c>
      <c r="D2860" s="101" t="s">
        <v>2430</v>
      </c>
      <c r="E2860" s="101" t="s">
        <v>577</v>
      </c>
      <c r="F2860" s="109">
        <f t="shared" si="8"/>
        <v>305</v>
      </c>
      <c r="G2860" s="110" t="s">
        <v>3000</v>
      </c>
    </row>
    <row r="2861" ht="15.75" customHeight="1">
      <c r="B2861" s="95"/>
      <c r="C2861" s="108" t="s">
        <v>209</v>
      </c>
      <c r="D2861" s="101" t="s">
        <v>2430</v>
      </c>
      <c r="E2861" s="101" t="s">
        <v>577</v>
      </c>
      <c r="F2861" s="109">
        <f t="shared" si="8"/>
        <v>306</v>
      </c>
      <c r="G2861" s="110" t="s">
        <v>3001</v>
      </c>
    </row>
    <row r="2862" ht="15.75" customHeight="1">
      <c r="B2862" s="95"/>
      <c r="C2862" s="108" t="s">
        <v>209</v>
      </c>
      <c r="D2862" s="101" t="s">
        <v>2430</v>
      </c>
      <c r="E2862" s="101" t="s">
        <v>577</v>
      </c>
      <c r="F2862" s="109">
        <f t="shared" si="8"/>
        <v>307</v>
      </c>
      <c r="G2862" s="110" t="s">
        <v>3002</v>
      </c>
    </row>
    <row r="2863" ht="15.75" customHeight="1">
      <c r="B2863" s="95"/>
      <c r="C2863" s="108" t="s">
        <v>209</v>
      </c>
      <c r="D2863" s="101" t="s">
        <v>2430</v>
      </c>
      <c r="E2863" s="101" t="s">
        <v>577</v>
      </c>
      <c r="F2863" s="109">
        <f t="shared" si="8"/>
        <v>308</v>
      </c>
      <c r="G2863" s="110" t="s">
        <v>2693</v>
      </c>
    </row>
    <row r="2864" ht="15.75" customHeight="1">
      <c r="B2864" s="95"/>
      <c r="C2864" s="108" t="s">
        <v>209</v>
      </c>
      <c r="D2864" s="101" t="s">
        <v>2430</v>
      </c>
      <c r="E2864" s="101" t="s">
        <v>577</v>
      </c>
      <c r="F2864" s="109">
        <f t="shared" si="8"/>
        <v>309</v>
      </c>
      <c r="G2864" s="110" t="s">
        <v>3003</v>
      </c>
    </row>
    <row r="2865" ht="15.75" customHeight="1">
      <c r="B2865" s="95"/>
      <c r="C2865" s="108" t="s">
        <v>209</v>
      </c>
      <c r="D2865" s="101" t="s">
        <v>2430</v>
      </c>
      <c r="E2865" s="101" t="s">
        <v>577</v>
      </c>
      <c r="F2865" s="109">
        <f t="shared" si="8"/>
        <v>310</v>
      </c>
      <c r="G2865" s="110" t="s">
        <v>3004</v>
      </c>
    </row>
    <row r="2866" ht="15.75" customHeight="1">
      <c r="B2866" s="95"/>
      <c r="C2866" s="108" t="s">
        <v>209</v>
      </c>
      <c r="D2866" s="101" t="s">
        <v>2430</v>
      </c>
      <c r="E2866" s="101" t="s">
        <v>577</v>
      </c>
      <c r="F2866" s="109">
        <f t="shared" si="8"/>
        <v>311</v>
      </c>
      <c r="G2866" s="110" t="s">
        <v>3005</v>
      </c>
    </row>
    <row r="2867" ht="15.75" customHeight="1">
      <c r="B2867" s="95"/>
      <c r="C2867" s="108" t="s">
        <v>209</v>
      </c>
      <c r="D2867" s="101" t="s">
        <v>2430</v>
      </c>
      <c r="E2867" s="101" t="s">
        <v>577</v>
      </c>
      <c r="F2867" s="109">
        <f t="shared" si="8"/>
        <v>312</v>
      </c>
      <c r="G2867" s="110" t="s">
        <v>2695</v>
      </c>
    </row>
    <row r="2868" ht="15.75" customHeight="1">
      <c r="B2868" s="95"/>
      <c r="C2868" s="108" t="s">
        <v>209</v>
      </c>
      <c r="D2868" s="101" t="s">
        <v>2430</v>
      </c>
      <c r="E2868" s="101" t="s">
        <v>577</v>
      </c>
      <c r="F2868" s="109">
        <f t="shared" si="8"/>
        <v>313</v>
      </c>
      <c r="G2868" s="110" t="s">
        <v>3006</v>
      </c>
    </row>
    <row r="2869" ht="15.75" customHeight="1">
      <c r="B2869" s="95"/>
      <c r="C2869" s="108" t="s">
        <v>209</v>
      </c>
      <c r="D2869" s="101" t="s">
        <v>2430</v>
      </c>
      <c r="E2869" s="101" t="s">
        <v>577</v>
      </c>
      <c r="F2869" s="109">
        <f t="shared" si="8"/>
        <v>314</v>
      </c>
      <c r="G2869" s="110" t="s">
        <v>3007</v>
      </c>
    </row>
    <row r="2870" ht="15.75" customHeight="1">
      <c r="B2870" s="95"/>
      <c r="C2870" s="108" t="s">
        <v>209</v>
      </c>
      <c r="D2870" s="101" t="s">
        <v>2430</v>
      </c>
      <c r="E2870" s="101" t="s">
        <v>577</v>
      </c>
      <c r="F2870" s="109">
        <f t="shared" si="8"/>
        <v>315</v>
      </c>
      <c r="G2870" s="110" t="s">
        <v>3008</v>
      </c>
    </row>
    <row r="2871" ht="15.75" customHeight="1">
      <c r="B2871" s="95"/>
      <c r="C2871" s="108" t="s">
        <v>209</v>
      </c>
      <c r="D2871" s="101" t="s">
        <v>2430</v>
      </c>
      <c r="E2871" s="101" t="s">
        <v>577</v>
      </c>
      <c r="F2871" s="109">
        <f t="shared" si="8"/>
        <v>316</v>
      </c>
      <c r="G2871" s="110" t="s">
        <v>2697</v>
      </c>
    </row>
    <row r="2872" ht="15.75" customHeight="1">
      <c r="B2872" s="95"/>
      <c r="C2872" s="108" t="s">
        <v>209</v>
      </c>
      <c r="D2872" s="101" t="s">
        <v>2430</v>
      </c>
      <c r="E2872" s="101" t="s">
        <v>577</v>
      </c>
      <c r="F2872" s="109">
        <f t="shared" si="8"/>
        <v>317</v>
      </c>
      <c r="G2872" s="110" t="s">
        <v>3009</v>
      </c>
    </row>
    <row r="2873" ht="15.75" customHeight="1">
      <c r="B2873" s="95"/>
      <c r="C2873" s="108" t="s">
        <v>209</v>
      </c>
      <c r="D2873" s="101" t="s">
        <v>2430</v>
      </c>
      <c r="E2873" s="101" t="s">
        <v>577</v>
      </c>
      <c r="F2873" s="109">
        <f t="shared" si="8"/>
        <v>318</v>
      </c>
      <c r="G2873" s="110" t="s">
        <v>2699</v>
      </c>
    </row>
    <row r="2874" ht="15.75" customHeight="1">
      <c r="B2874" s="95"/>
      <c r="C2874" s="108" t="s">
        <v>209</v>
      </c>
      <c r="D2874" s="101" t="s">
        <v>2430</v>
      </c>
      <c r="E2874" s="101" t="s">
        <v>577</v>
      </c>
      <c r="F2874" s="109">
        <f t="shared" si="8"/>
        <v>319</v>
      </c>
      <c r="G2874" s="110" t="s">
        <v>3010</v>
      </c>
    </row>
    <row r="2875" ht="15.75" customHeight="1">
      <c r="B2875" s="95"/>
      <c r="C2875" s="108" t="s">
        <v>209</v>
      </c>
      <c r="D2875" s="101" t="s">
        <v>2430</v>
      </c>
      <c r="E2875" s="101" t="s">
        <v>577</v>
      </c>
      <c r="F2875" s="109">
        <f t="shared" si="8"/>
        <v>320</v>
      </c>
      <c r="G2875" s="110" t="s">
        <v>2701</v>
      </c>
    </row>
    <row r="2876" ht="15.75" customHeight="1">
      <c r="B2876" s="95"/>
      <c r="C2876" s="108" t="s">
        <v>209</v>
      </c>
      <c r="D2876" s="101" t="s">
        <v>2430</v>
      </c>
      <c r="E2876" s="101" t="s">
        <v>577</v>
      </c>
      <c r="F2876" s="109">
        <f t="shared" si="8"/>
        <v>321</v>
      </c>
      <c r="G2876" s="110" t="s">
        <v>3011</v>
      </c>
    </row>
    <row r="2877" ht="15.75" customHeight="1">
      <c r="B2877" s="95"/>
      <c r="C2877" s="108" t="s">
        <v>209</v>
      </c>
      <c r="D2877" s="101" t="s">
        <v>2430</v>
      </c>
      <c r="E2877" s="101" t="s">
        <v>577</v>
      </c>
      <c r="F2877" s="109">
        <f t="shared" si="8"/>
        <v>322</v>
      </c>
      <c r="G2877" s="110" t="s">
        <v>3012</v>
      </c>
    </row>
    <row r="2878" ht="15.75" customHeight="1">
      <c r="B2878" s="95"/>
      <c r="C2878" s="108" t="s">
        <v>209</v>
      </c>
      <c r="D2878" s="101" t="s">
        <v>2430</v>
      </c>
      <c r="E2878" s="101" t="s">
        <v>577</v>
      </c>
      <c r="F2878" s="109">
        <f t="shared" si="8"/>
        <v>323</v>
      </c>
      <c r="G2878" s="110" t="s">
        <v>3013</v>
      </c>
    </row>
    <row r="2879" ht="15.75" customHeight="1">
      <c r="B2879" s="95"/>
      <c r="C2879" s="108" t="s">
        <v>209</v>
      </c>
      <c r="D2879" s="101" t="s">
        <v>2430</v>
      </c>
      <c r="E2879" s="101" t="s">
        <v>577</v>
      </c>
      <c r="F2879" s="109">
        <f t="shared" si="8"/>
        <v>324</v>
      </c>
      <c r="G2879" s="110" t="s">
        <v>2703</v>
      </c>
    </row>
    <row r="2880" ht="15.75" customHeight="1">
      <c r="B2880" s="95"/>
      <c r="C2880" s="108" t="s">
        <v>209</v>
      </c>
      <c r="D2880" s="101" t="s">
        <v>2430</v>
      </c>
      <c r="E2880" s="101" t="s">
        <v>577</v>
      </c>
      <c r="F2880" s="109">
        <f t="shared" si="8"/>
        <v>325</v>
      </c>
      <c r="G2880" s="110" t="s">
        <v>3014</v>
      </c>
    </row>
    <row r="2881" ht="15.75" customHeight="1">
      <c r="B2881" s="95"/>
      <c r="C2881" s="108" t="s">
        <v>209</v>
      </c>
      <c r="D2881" s="101" t="s">
        <v>2430</v>
      </c>
      <c r="E2881" s="101" t="s">
        <v>577</v>
      </c>
      <c r="F2881" s="109">
        <f t="shared" si="8"/>
        <v>326</v>
      </c>
      <c r="G2881" s="110" t="s">
        <v>3015</v>
      </c>
    </row>
    <row r="2882" ht="15.75" customHeight="1">
      <c r="B2882" s="95"/>
      <c r="C2882" s="108" t="s">
        <v>209</v>
      </c>
      <c r="D2882" s="101" t="s">
        <v>2430</v>
      </c>
      <c r="E2882" s="101" t="s">
        <v>577</v>
      </c>
      <c r="F2882" s="109">
        <f t="shared" si="8"/>
        <v>327</v>
      </c>
      <c r="G2882" s="110" t="s">
        <v>3016</v>
      </c>
    </row>
    <row r="2883" ht="15.75" customHeight="1">
      <c r="B2883" s="95"/>
      <c r="C2883" s="108" t="s">
        <v>209</v>
      </c>
      <c r="D2883" s="101" t="s">
        <v>2430</v>
      </c>
      <c r="E2883" s="101" t="s">
        <v>577</v>
      </c>
      <c r="F2883" s="109">
        <f t="shared" si="8"/>
        <v>328</v>
      </c>
      <c r="G2883" s="110" t="s">
        <v>3017</v>
      </c>
    </row>
    <row r="2884" ht="15.75" customHeight="1">
      <c r="B2884" s="95"/>
      <c r="C2884" s="108" t="s">
        <v>209</v>
      </c>
      <c r="D2884" s="101" t="s">
        <v>2430</v>
      </c>
      <c r="E2884" s="101" t="s">
        <v>577</v>
      </c>
      <c r="F2884" s="109">
        <f t="shared" si="8"/>
        <v>329</v>
      </c>
      <c r="G2884" s="110" t="s">
        <v>3018</v>
      </c>
    </row>
    <row r="2885" ht="15.75" customHeight="1">
      <c r="B2885" s="95"/>
      <c r="C2885" s="108" t="s">
        <v>209</v>
      </c>
      <c r="D2885" s="101" t="s">
        <v>2430</v>
      </c>
      <c r="E2885" s="101" t="s">
        <v>577</v>
      </c>
      <c r="F2885" s="109">
        <f t="shared" si="8"/>
        <v>330</v>
      </c>
      <c r="G2885" s="110" t="s">
        <v>3019</v>
      </c>
    </row>
    <row r="2886" ht="15.75" customHeight="1">
      <c r="B2886" s="95"/>
      <c r="C2886" s="108" t="s">
        <v>210</v>
      </c>
      <c r="D2886" s="101" t="s">
        <v>2430</v>
      </c>
      <c r="E2886" s="101" t="s">
        <v>577</v>
      </c>
      <c r="F2886" s="109">
        <f t="shared" si="8"/>
        <v>2</v>
      </c>
      <c r="G2886" s="110" t="s">
        <v>2431</v>
      </c>
    </row>
    <row r="2887" ht="15.75" customHeight="1">
      <c r="B2887" s="95"/>
      <c r="C2887" s="108" t="s">
        <v>210</v>
      </c>
      <c r="D2887" s="101" t="s">
        <v>2430</v>
      </c>
      <c r="E2887" s="101" t="s">
        <v>577</v>
      </c>
      <c r="F2887" s="109">
        <f t="shared" si="8"/>
        <v>3</v>
      </c>
      <c r="G2887" s="110" t="s">
        <v>2432</v>
      </c>
    </row>
    <row r="2888" ht="15.75" customHeight="1">
      <c r="B2888" s="95"/>
      <c r="C2888" s="108" t="s">
        <v>210</v>
      </c>
      <c r="D2888" s="101" t="s">
        <v>2430</v>
      </c>
      <c r="E2888" s="101" t="s">
        <v>577</v>
      </c>
      <c r="F2888" s="109">
        <f t="shared" si="8"/>
        <v>4</v>
      </c>
      <c r="G2888" s="110" t="s">
        <v>2433</v>
      </c>
    </row>
    <row r="2889" ht="15.75" customHeight="1">
      <c r="B2889" s="95"/>
      <c r="C2889" s="108" t="s">
        <v>210</v>
      </c>
      <c r="D2889" s="101" t="s">
        <v>2430</v>
      </c>
      <c r="E2889" s="101" t="s">
        <v>577</v>
      </c>
      <c r="F2889" s="109">
        <f t="shared" si="8"/>
        <v>5</v>
      </c>
      <c r="G2889" s="110" t="s">
        <v>2434</v>
      </c>
    </row>
    <row r="2890" ht="15.75" customHeight="1">
      <c r="B2890" s="95"/>
      <c r="C2890" s="108" t="s">
        <v>210</v>
      </c>
      <c r="D2890" s="101" t="s">
        <v>2430</v>
      </c>
      <c r="E2890" s="101" t="s">
        <v>577</v>
      </c>
      <c r="F2890" s="109">
        <f t="shared" si="8"/>
        <v>6</v>
      </c>
      <c r="G2890" s="110" t="s">
        <v>2435</v>
      </c>
    </row>
    <row r="2891" ht="15.75" customHeight="1">
      <c r="B2891" s="95"/>
      <c r="C2891" s="108" t="s">
        <v>210</v>
      </c>
      <c r="D2891" s="101" t="s">
        <v>2430</v>
      </c>
      <c r="E2891" s="101" t="s">
        <v>577</v>
      </c>
      <c r="F2891" s="109">
        <f t="shared" si="8"/>
        <v>7</v>
      </c>
      <c r="G2891" s="110" t="s">
        <v>2436</v>
      </c>
    </row>
    <row r="2892" ht="15.75" customHeight="1">
      <c r="B2892" s="95"/>
      <c r="C2892" s="108" t="s">
        <v>210</v>
      </c>
      <c r="D2892" s="101" t="s">
        <v>2430</v>
      </c>
      <c r="E2892" s="101" t="s">
        <v>577</v>
      </c>
      <c r="F2892" s="109">
        <f t="shared" si="8"/>
        <v>8</v>
      </c>
      <c r="G2892" s="110" t="s">
        <v>2437</v>
      </c>
    </row>
    <row r="2893" ht="15.75" customHeight="1">
      <c r="B2893" s="95"/>
      <c r="C2893" s="108" t="s">
        <v>210</v>
      </c>
      <c r="D2893" s="101" t="s">
        <v>2430</v>
      </c>
      <c r="E2893" s="101" t="s">
        <v>577</v>
      </c>
      <c r="F2893" s="109">
        <f t="shared" si="8"/>
        <v>9</v>
      </c>
      <c r="G2893" s="110" t="s">
        <v>2438</v>
      </c>
    </row>
    <row r="2894" ht="15.75" customHeight="1">
      <c r="B2894" s="95"/>
      <c r="C2894" s="108" t="s">
        <v>210</v>
      </c>
      <c r="D2894" s="101" t="s">
        <v>2430</v>
      </c>
      <c r="E2894" s="101" t="s">
        <v>577</v>
      </c>
      <c r="F2894" s="109">
        <f t="shared" si="8"/>
        <v>10</v>
      </c>
      <c r="G2894" s="110" t="s">
        <v>2439</v>
      </c>
    </row>
    <row r="2895" ht="15.75" customHeight="1">
      <c r="B2895" s="95"/>
      <c r="C2895" s="108" t="s">
        <v>210</v>
      </c>
      <c r="D2895" s="101" t="s">
        <v>2430</v>
      </c>
      <c r="E2895" s="101" t="s">
        <v>577</v>
      </c>
      <c r="F2895" s="109">
        <f t="shared" si="8"/>
        <v>11</v>
      </c>
      <c r="G2895" s="110" t="s">
        <v>2440</v>
      </c>
    </row>
    <row r="2896" ht="15.75" customHeight="1">
      <c r="B2896" s="95"/>
      <c r="C2896" s="108" t="s">
        <v>210</v>
      </c>
      <c r="D2896" s="101" t="s">
        <v>2430</v>
      </c>
      <c r="E2896" s="101" t="s">
        <v>577</v>
      </c>
      <c r="F2896" s="109">
        <f t="shared" si="8"/>
        <v>12</v>
      </c>
      <c r="G2896" s="110" t="s">
        <v>2441</v>
      </c>
    </row>
    <row r="2897" ht="15.75" customHeight="1">
      <c r="B2897" s="95"/>
      <c r="C2897" s="108" t="s">
        <v>210</v>
      </c>
      <c r="D2897" s="101" t="s">
        <v>2430</v>
      </c>
      <c r="E2897" s="101" t="s">
        <v>577</v>
      </c>
      <c r="F2897" s="109">
        <f t="shared" si="8"/>
        <v>13</v>
      </c>
      <c r="G2897" s="110" t="s">
        <v>2442</v>
      </c>
    </row>
    <row r="2898" ht="15.75" customHeight="1">
      <c r="B2898" s="95"/>
      <c r="C2898" s="108" t="s">
        <v>210</v>
      </c>
      <c r="D2898" s="101" t="s">
        <v>2430</v>
      </c>
      <c r="E2898" s="101" t="s">
        <v>577</v>
      </c>
      <c r="F2898" s="109">
        <f t="shared" si="8"/>
        <v>14</v>
      </c>
      <c r="G2898" s="110" t="s">
        <v>2443</v>
      </c>
    </row>
    <row r="2899" ht="15.75" customHeight="1">
      <c r="B2899" s="95"/>
      <c r="C2899" s="108" t="s">
        <v>210</v>
      </c>
      <c r="D2899" s="101" t="s">
        <v>2430</v>
      </c>
      <c r="E2899" s="101" t="s">
        <v>577</v>
      </c>
      <c r="F2899" s="109">
        <f t="shared" si="8"/>
        <v>15</v>
      </c>
      <c r="G2899" s="110" t="s">
        <v>2444</v>
      </c>
    </row>
    <row r="2900" ht="15.75" customHeight="1">
      <c r="B2900" s="95"/>
      <c r="C2900" s="108" t="s">
        <v>210</v>
      </c>
      <c r="D2900" s="101" t="s">
        <v>2430</v>
      </c>
      <c r="E2900" s="101" t="s">
        <v>577</v>
      </c>
      <c r="F2900" s="109">
        <f t="shared" si="8"/>
        <v>16</v>
      </c>
      <c r="G2900" s="110" t="s">
        <v>2445</v>
      </c>
    </row>
    <row r="2901" ht="15.75" customHeight="1">
      <c r="B2901" s="95"/>
      <c r="C2901" s="108" t="s">
        <v>210</v>
      </c>
      <c r="D2901" s="101" t="s">
        <v>2430</v>
      </c>
      <c r="E2901" s="101" t="s">
        <v>577</v>
      </c>
      <c r="F2901" s="109">
        <f t="shared" si="8"/>
        <v>17</v>
      </c>
      <c r="G2901" s="110" t="s">
        <v>2446</v>
      </c>
    </row>
    <row r="2902" ht="15.75" customHeight="1">
      <c r="B2902" s="95"/>
      <c r="C2902" s="108" t="s">
        <v>210</v>
      </c>
      <c r="D2902" s="101" t="s">
        <v>2430</v>
      </c>
      <c r="E2902" s="101" t="s">
        <v>577</v>
      </c>
      <c r="F2902" s="109">
        <f t="shared" si="8"/>
        <v>18</v>
      </c>
      <c r="G2902" s="110" t="s">
        <v>3020</v>
      </c>
    </row>
    <row r="2903" ht="15.75" customHeight="1">
      <c r="B2903" s="95"/>
      <c r="C2903" s="108" t="s">
        <v>210</v>
      </c>
      <c r="D2903" s="101" t="s">
        <v>2430</v>
      </c>
      <c r="E2903" s="101" t="s">
        <v>577</v>
      </c>
      <c r="F2903" s="109">
        <f t="shared" si="8"/>
        <v>19</v>
      </c>
      <c r="G2903" s="110" t="s">
        <v>3021</v>
      </c>
    </row>
    <row r="2904" ht="15.75" customHeight="1">
      <c r="B2904" s="95"/>
      <c r="C2904" s="108" t="s">
        <v>210</v>
      </c>
      <c r="D2904" s="101" t="s">
        <v>2430</v>
      </c>
      <c r="E2904" s="101" t="s">
        <v>577</v>
      </c>
      <c r="F2904" s="109">
        <f t="shared" si="8"/>
        <v>20</v>
      </c>
      <c r="G2904" s="110" t="s">
        <v>3022</v>
      </c>
    </row>
    <row r="2905" ht="15.75" customHeight="1">
      <c r="B2905" s="95"/>
      <c r="C2905" s="108" t="s">
        <v>210</v>
      </c>
      <c r="D2905" s="101" t="s">
        <v>2430</v>
      </c>
      <c r="E2905" s="101" t="s">
        <v>577</v>
      </c>
      <c r="F2905" s="109">
        <f t="shared" si="8"/>
        <v>21</v>
      </c>
      <c r="G2905" s="110" t="s">
        <v>3023</v>
      </c>
    </row>
    <row r="2906" ht="15.75" customHeight="1">
      <c r="B2906" s="95"/>
      <c r="C2906" s="108" t="s">
        <v>210</v>
      </c>
      <c r="D2906" s="101" t="s">
        <v>2430</v>
      </c>
      <c r="E2906" s="101" t="s">
        <v>577</v>
      </c>
      <c r="F2906" s="109">
        <f t="shared" si="8"/>
        <v>22</v>
      </c>
      <c r="G2906" s="110" t="s">
        <v>2451</v>
      </c>
    </row>
    <row r="2907" ht="15.75" customHeight="1">
      <c r="B2907" s="95"/>
      <c r="C2907" s="108" t="s">
        <v>210</v>
      </c>
      <c r="D2907" s="101" t="s">
        <v>2430</v>
      </c>
      <c r="E2907" s="101" t="s">
        <v>577</v>
      </c>
      <c r="F2907" s="109">
        <f t="shared" si="8"/>
        <v>23</v>
      </c>
      <c r="G2907" s="110" t="s">
        <v>3024</v>
      </c>
    </row>
    <row r="2908" ht="15.75" customHeight="1">
      <c r="B2908" s="95"/>
      <c r="C2908" s="108" t="s">
        <v>210</v>
      </c>
      <c r="D2908" s="101" t="s">
        <v>2430</v>
      </c>
      <c r="E2908" s="101" t="s">
        <v>577</v>
      </c>
      <c r="F2908" s="109">
        <f t="shared" si="8"/>
        <v>24</v>
      </c>
      <c r="G2908" s="110" t="s">
        <v>3025</v>
      </c>
    </row>
    <row r="2909" ht="15.75" customHeight="1">
      <c r="B2909" s="95"/>
      <c r="C2909" s="108" t="s">
        <v>210</v>
      </c>
      <c r="D2909" s="101" t="s">
        <v>2430</v>
      </c>
      <c r="E2909" s="101" t="s">
        <v>577</v>
      </c>
      <c r="F2909" s="109">
        <f t="shared" si="8"/>
        <v>25</v>
      </c>
      <c r="G2909" s="110" t="s">
        <v>3026</v>
      </c>
    </row>
    <row r="2910" ht="15.75" customHeight="1">
      <c r="B2910" s="95"/>
      <c r="C2910" s="108" t="s">
        <v>210</v>
      </c>
      <c r="D2910" s="101" t="s">
        <v>2430</v>
      </c>
      <c r="E2910" s="101" t="s">
        <v>577</v>
      </c>
      <c r="F2910" s="109">
        <f t="shared" si="8"/>
        <v>26</v>
      </c>
      <c r="G2910" s="110" t="s">
        <v>3027</v>
      </c>
    </row>
    <row r="2911" ht="15.75" customHeight="1">
      <c r="B2911" s="95"/>
      <c r="C2911" s="108" t="s">
        <v>210</v>
      </c>
      <c r="D2911" s="101" t="s">
        <v>2430</v>
      </c>
      <c r="E2911" s="101" t="s">
        <v>577</v>
      </c>
      <c r="F2911" s="109">
        <f t="shared" si="8"/>
        <v>27</v>
      </c>
      <c r="G2911" s="110" t="s">
        <v>2456</v>
      </c>
    </row>
    <row r="2912" ht="15.75" customHeight="1">
      <c r="B2912" s="95"/>
      <c r="C2912" s="108" t="s">
        <v>210</v>
      </c>
      <c r="D2912" s="101" t="s">
        <v>2430</v>
      </c>
      <c r="E2912" s="101" t="s">
        <v>577</v>
      </c>
      <c r="F2912" s="109">
        <f t="shared" si="8"/>
        <v>28</v>
      </c>
      <c r="G2912" s="110" t="s">
        <v>2457</v>
      </c>
    </row>
    <row r="2913" ht="15.75" customHeight="1">
      <c r="B2913" s="95"/>
      <c r="C2913" s="108" t="s">
        <v>210</v>
      </c>
      <c r="D2913" s="101" t="s">
        <v>2430</v>
      </c>
      <c r="E2913" s="101" t="s">
        <v>577</v>
      </c>
      <c r="F2913" s="109">
        <f t="shared" si="8"/>
        <v>29</v>
      </c>
      <c r="G2913" s="110" t="s">
        <v>2458</v>
      </c>
    </row>
    <row r="2914" ht="15.75" customHeight="1">
      <c r="B2914" s="95"/>
      <c r="C2914" s="108" t="s">
        <v>210</v>
      </c>
      <c r="D2914" s="101" t="s">
        <v>2430</v>
      </c>
      <c r="E2914" s="101" t="s">
        <v>577</v>
      </c>
      <c r="F2914" s="109">
        <f t="shared" si="8"/>
        <v>30</v>
      </c>
      <c r="G2914" s="110" t="s">
        <v>2459</v>
      </c>
    </row>
    <row r="2915" ht="15.75" customHeight="1">
      <c r="B2915" s="95"/>
      <c r="C2915" s="108" t="s">
        <v>210</v>
      </c>
      <c r="D2915" s="101" t="s">
        <v>2430</v>
      </c>
      <c r="E2915" s="101" t="s">
        <v>577</v>
      </c>
      <c r="F2915" s="109">
        <f t="shared" si="8"/>
        <v>31</v>
      </c>
      <c r="G2915" s="110" t="s">
        <v>2460</v>
      </c>
    </row>
    <row r="2916" ht="15.75" customHeight="1">
      <c r="B2916" s="95"/>
      <c r="C2916" s="108" t="s">
        <v>210</v>
      </c>
      <c r="D2916" s="101" t="s">
        <v>2430</v>
      </c>
      <c r="E2916" s="101" t="s">
        <v>577</v>
      </c>
      <c r="F2916" s="109">
        <f t="shared" si="8"/>
        <v>32</v>
      </c>
      <c r="G2916" s="110" t="s">
        <v>2461</v>
      </c>
    </row>
    <row r="2917" ht="15.75" customHeight="1">
      <c r="B2917" s="95"/>
      <c r="C2917" s="108" t="s">
        <v>210</v>
      </c>
      <c r="D2917" s="101" t="s">
        <v>2430</v>
      </c>
      <c r="E2917" s="101" t="s">
        <v>577</v>
      </c>
      <c r="F2917" s="109">
        <f t="shared" si="8"/>
        <v>33</v>
      </c>
      <c r="G2917" s="110" t="s">
        <v>2462</v>
      </c>
    </row>
    <row r="2918" ht="15.75" customHeight="1">
      <c r="B2918" s="95"/>
      <c r="C2918" s="108" t="s">
        <v>210</v>
      </c>
      <c r="D2918" s="101" t="s">
        <v>2430</v>
      </c>
      <c r="E2918" s="101" t="s">
        <v>577</v>
      </c>
      <c r="F2918" s="109">
        <f t="shared" si="8"/>
        <v>34</v>
      </c>
      <c r="G2918" s="110" t="s">
        <v>2463</v>
      </c>
    </row>
    <row r="2919" ht="15.75" customHeight="1">
      <c r="B2919" s="95"/>
      <c r="C2919" s="108" t="s">
        <v>210</v>
      </c>
      <c r="D2919" s="101" t="s">
        <v>2430</v>
      </c>
      <c r="E2919" s="101" t="s">
        <v>577</v>
      </c>
      <c r="F2919" s="109">
        <f t="shared" si="8"/>
        <v>35</v>
      </c>
      <c r="G2919" s="110" t="s">
        <v>2464</v>
      </c>
    </row>
    <row r="2920" ht="15.75" customHeight="1">
      <c r="B2920" s="95"/>
      <c r="C2920" s="108" t="s">
        <v>210</v>
      </c>
      <c r="D2920" s="101" t="s">
        <v>2430</v>
      </c>
      <c r="E2920" s="101" t="s">
        <v>577</v>
      </c>
      <c r="F2920" s="109">
        <f t="shared" si="8"/>
        <v>36</v>
      </c>
      <c r="G2920" s="110" t="s">
        <v>2465</v>
      </c>
    </row>
    <row r="2921" ht="15.75" customHeight="1">
      <c r="B2921" s="95"/>
      <c r="C2921" s="108" t="s">
        <v>210</v>
      </c>
      <c r="D2921" s="101" t="s">
        <v>2430</v>
      </c>
      <c r="E2921" s="101" t="s">
        <v>577</v>
      </c>
      <c r="F2921" s="109">
        <f t="shared" si="8"/>
        <v>37</v>
      </c>
      <c r="G2921" s="110" t="s">
        <v>2466</v>
      </c>
    </row>
    <row r="2922" ht="15.75" customHeight="1">
      <c r="B2922" s="95"/>
      <c r="C2922" s="108" t="s">
        <v>210</v>
      </c>
      <c r="D2922" s="101" t="s">
        <v>2430</v>
      </c>
      <c r="E2922" s="101" t="s">
        <v>577</v>
      </c>
      <c r="F2922" s="109">
        <f t="shared" si="8"/>
        <v>38</v>
      </c>
      <c r="G2922" s="110" t="s">
        <v>2467</v>
      </c>
    </row>
    <row r="2923" ht="15.75" customHeight="1">
      <c r="B2923" s="95"/>
      <c r="C2923" s="108" t="s">
        <v>210</v>
      </c>
      <c r="D2923" s="101" t="s">
        <v>2430</v>
      </c>
      <c r="E2923" s="101" t="s">
        <v>577</v>
      </c>
      <c r="F2923" s="109">
        <f t="shared" si="8"/>
        <v>39</v>
      </c>
      <c r="G2923" s="110" t="s">
        <v>2468</v>
      </c>
    </row>
    <row r="2924" ht="15.75" customHeight="1">
      <c r="B2924" s="95"/>
      <c r="C2924" s="108" t="s">
        <v>210</v>
      </c>
      <c r="D2924" s="101" t="s">
        <v>2430</v>
      </c>
      <c r="E2924" s="101" t="s">
        <v>577</v>
      </c>
      <c r="F2924" s="109">
        <f t="shared" si="8"/>
        <v>40</v>
      </c>
      <c r="G2924" s="110" t="s">
        <v>2469</v>
      </c>
    </row>
    <row r="2925" ht="15.75" customHeight="1">
      <c r="B2925" s="95"/>
      <c r="C2925" s="108" t="s">
        <v>210</v>
      </c>
      <c r="D2925" s="101" t="s">
        <v>2430</v>
      </c>
      <c r="E2925" s="101" t="s">
        <v>577</v>
      </c>
      <c r="F2925" s="109">
        <f t="shared" si="8"/>
        <v>41</v>
      </c>
      <c r="G2925" s="110" t="s">
        <v>2470</v>
      </c>
    </row>
    <row r="2926" ht="15.75" customHeight="1">
      <c r="B2926" s="95"/>
      <c r="C2926" s="108" t="s">
        <v>210</v>
      </c>
      <c r="D2926" s="101" t="s">
        <v>2430</v>
      </c>
      <c r="E2926" s="101" t="s">
        <v>577</v>
      </c>
      <c r="F2926" s="109">
        <f t="shared" si="8"/>
        <v>42</v>
      </c>
      <c r="G2926" s="110" t="s">
        <v>2471</v>
      </c>
    </row>
    <row r="2927" ht="15.75" customHeight="1">
      <c r="B2927" s="95"/>
      <c r="C2927" s="108" t="s">
        <v>210</v>
      </c>
      <c r="D2927" s="101" t="s">
        <v>2430</v>
      </c>
      <c r="E2927" s="101" t="s">
        <v>577</v>
      </c>
      <c r="F2927" s="109">
        <f t="shared" si="8"/>
        <v>43</v>
      </c>
      <c r="G2927" s="110" t="s">
        <v>2472</v>
      </c>
    </row>
    <row r="2928" ht="15.75" customHeight="1">
      <c r="B2928" s="95"/>
      <c r="C2928" s="108" t="s">
        <v>210</v>
      </c>
      <c r="D2928" s="101" t="s">
        <v>2430</v>
      </c>
      <c r="E2928" s="101" t="s">
        <v>577</v>
      </c>
      <c r="F2928" s="109">
        <f t="shared" si="8"/>
        <v>44</v>
      </c>
      <c r="G2928" s="110" t="s">
        <v>2473</v>
      </c>
    </row>
    <row r="2929" ht="15.75" customHeight="1">
      <c r="B2929" s="95"/>
      <c r="C2929" s="108" t="s">
        <v>210</v>
      </c>
      <c r="D2929" s="101" t="s">
        <v>2430</v>
      </c>
      <c r="E2929" s="101" t="s">
        <v>577</v>
      </c>
      <c r="F2929" s="109">
        <f t="shared" si="8"/>
        <v>45</v>
      </c>
      <c r="G2929" s="110" t="s">
        <v>2474</v>
      </c>
    </row>
    <row r="2930" ht="15.75" customHeight="1">
      <c r="B2930" s="95"/>
      <c r="C2930" s="108" t="s">
        <v>210</v>
      </c>
      <c r="D2930" s="101" t="s">
        <v>2430</v>
      </c>
      <c r="E2930" s="101" t="s">
        <v>577</v>
      </c>
      <c r="F2930" s="109">
        <f t="shared" si="8"/>
        <v>46</v>
      </c>
      <c r="G2930" s="110" t="s">
        <v>2475</v>
      </c>
    </row>
    <row r="2931" ht="15.75" customHeight="1">
      <c r="B2931" s="95"/>
      <c r="C2931" s="108" t="s">
        <v>210</v>
      </c>
      <c r="D2931" s="101" t="s">
        <v>2430</v>
      </c>
      <c r="E2931" s="101" t="s">
        <v>577</v>
      </c>
      <c r="F2931" s="109">
        <f t="shared" si="8"/>
        <v>47</v>
      </c>
      <c r="G2931" s="110" t="s">
        <v>2476</v>
      </c>
    </row>
    <row r="2932" ht="15.75" customHeight="1">
      <c r="B2932" s="95"/>
      <c r="C2932" s="108" t="s">
        <v>210</v>
      </c>
      <c r="D2932" s="101" t="s">
        <v>2430</v>
      </c>
      <c r="E2932" s="101" t="s">
        <v>577</v>
      </c>
      <c r="F2932" s="109">
        <f t="shared" si="8"/>
        <v>48</v>
      </c>
      <c r="G2932" s="110" t="s">
        <v>2477</v>
      </c>
    </row>
    <row r="2933" ht="15.75" customHeight="1">
      <c r="B2933" s="95"/>
      <c r="C2933" s="108" t="s">
        <v>210</v>
      </c>
      <c r="D2933" s="101" t="s">
        <v>2430</v>
      </c>
      <c r="E2933" s="101" t="s">
        <v>577</v>
      </c>
      <c r="F2933" s="109">
        <f t="shared" si="8"/>
        <v>49</v>
      </c>
      <c r="G2933" s="110" t="s">
        <v>2478</v>
      </c>
    </row>
    <row r="2934" ht="15.75" customHeight="1">
      <c r="B2934" s="95"/>
      <c r="C2934" s="108" t="s">
        <v>210</v>
      </c>
      <c r="D2934" s="101" t="s">
        <v>2430</v>
      </c>
      <c r="E2934" s="101" t="s">
        <v>577</v>
      </c>
      <c r="F2934" s="109">
        <f t="shared" si="8"/>
        <v>50</v>
      </c>
      <c r="G2934" s="110" t="s">
        <v>2479</v>
      </c>
    </row>
    <row r="2935" ht="15.75" customHeight="1">
      <c r="B2935" s="95"/>
      <c r="C2935" s="108" t="s">
        <v>210</v>
      </c>
      <c r="D2935" s="101" t="s">
        <v>2430</v>
      </c>
      <c r="E2935" s="101" t="s">
        <v>577</v>
      </c>
      <c r="F2935" s="109">
        <f t="shared" si="8"/>
        <v>51</v>
      </c>
      <c r="G2935" s="110" t="s">
        <v>2480</v>
      </c>
    </row>
    <row r="2936" ht="15.75" customHeight="1">
      <c r="B2936" s="95"/>
      <c r="C2936" s="108" t="s">
        <v>210</v>
      </c>
      <c r="D2936" s="101" t="s">
        <v>2430</v>
      </c>
      <c r="E2936" s="101" t="s">
        <v>577</v>
      </c>
      <c r="F2936" s="109">
        <f t="shared" si="8"/>
        <v>52</v>
      </c>
      <c r="G2936" s="110" t="s">
        <v>2481</v>
      </c>
    </row>
    <row r="2937" ht="15.75" customHeight="1">
      <c r="B2937" s="95"/>
      <c r="C2937" s="108" t="s">
        <v>210</v>
      </c>
      <c r="D2937" s="101" t="s">
        <v>2430</v>
      </c>
      <c r="E2937" s="101" t="s">
        <v>577</v>
      </c>
      <c r="F2937" s="109">
        <f t="shared" si="8"/>
        <v>53</v>
      </c>
      <c r="G2937" s="110" t="s">
        <v>2482</v>
      </c>
    </row>
    <row r="2938" ht="15.75" customHeight="1">
      <c r="B2938" s="95"/>
      <c r="C2938" s="108" t="s">
        <v>210</v>
      </c>
      <c r="D2938" s="101" t="s">
        <v>2430</v>
      </c>
      <c r="E2938" s="101" t="s">
        <v>577</v>
      </c>
      <c r="F2938" s="109">
        <f t="shared" si="8"/>
        <v>54</v>
      </c>
      <c r="G2938" s="110" t="s">
        <v>2483</v>
      </c>
    </row>
    <row r="2939" ht="15.75" customHeight="1">
      <c r="B2939" s="95"/>
      <c r="C2939" s="108" t="s">
        <v>210</v>
      </c>
      <c r="D2939" s="101" t="s">
        <v>2430</v>
      </c>
      <c r="E2939" s="101" t="s">
        <v>577</v>
      </c>
      <c r="F2939" s="109">
        <f t="shared" si="8"/>
        <v>55</v>
      </c>
      <c r="G2939" s="110" t="s">
        <v>2484</v>
      </c>
    </row>
    <row r="2940" ht="15.75" customHeight="1">
      <c r="B2940" s="95"/>
      <c r="C2940" s="108" t="s">
        <v>210</v>
      </c>
      <c r="D2940" s="101" t="s">
        <v>2430</v>
      </c>
      <c r="E2940" s="101" t="s">
        <v>577</v>
      </c>
      <c r="F2940" s="109">
        <f t="shared" si="8"/>
        <v>56</v>
      </c>
      <c r="G2940" s="110" t="s">
        <v>2485</v>
      </c>
    </row>
    <row r="2941" ht="15.75" customHeight="1">
      <c r="B2941" s="95"/>
      <c r="C2941" s="108" t="s">
        <v>210</v>
      </c>
      <c r="D2941" s="101" t="s">
        <v>2430</v>
      </c>
      <c r="E2941" s="101" t="s">
        <v>577</v>
      </c>
      <c r="F2941" s="109">
        <f t="shared" si="8"/>
        <v>57</v>
      </c>
      <c r="G2941" s="110" t="s">
        <v>2486</v>
      </c>
    </row>
    <row r="2942" ht="15.75" customHeight="1">
      <c r="B2942" s="95"/>
      <c r="C2942" s="108" t="s">
        <v>210</v>
      </c>
      <c r="D2942" s="101" t="s">
        <v>2430</v>
      </c>
      <c r="E2942" s="101" t="s">
        <v>577</v>
      </c>
      <c r="F2942" s="109">
        <f t="shared" si="8"/>
        <v>58</v>
      </c>
      <c r="G2942" s="110" t="s">
        <v>2487</v>
      </c>
    </row>
    <row r="2943" ht="15.75" customHeight="1">
      <c r="B2943" s="95"/>
      <c r="C2943" s="108" t="s">
        <v>210</v>
      </c>
      <c r="D2943" s="101" t="s">
        <v>2430</v>
      </c>
      <c r="E2943" s="101" t="s">
        <v>577</v>
      </c>
      <c r="F2943" s="109">
        <f t="shared" si="8"/>
        <v>59</v>
      </c>
      <c r="G2943" s="110" t="s">
        <v>2488</v>
      </c>
    </row>
    <row r="2944" ht="15.75" customHeight="1">
      <c r="B2944" s="95"/>
      <c r="C2944" s="108" t="s">
        <v>210</v>
      </c>
      <c r="D2944" s="101" t="s">
        <v>2430</v>
      </c>
      <c r="E2944" s="101" t="s">
        <v>577</v>
      </c>
      <c r="F2944" s="109">
        <f t="shared" si="8"/>
        <v>60</v>
      </c>
      <c r="G2944" s="110" t="s">
        <v>2489</v>
      </c>
    </row>
    <row r="2945" ht="15.75" customHeight="1">
      <c r="B2945" s="95"/>
      <c r="C2945" s="108" t="s">
        <v>210</v>
      </c>
      <c r="D2945" s="101" t="s">
        <v>2430</v>
      </c>
      <c r="E2945" s="101" t="s">
        <v>577</v>
      </c>
      <c r="F2945" s="109">
        <f t="shared" si="8"/>
        <v>61</v>
      </c>
      <c r="G2945" s="110" t="s">
        <v>2490</v>
      </c>
    </row>
    <row r="2946" ht="15.75" customHeight="1">
      <c r="B2946" s="95"/>
      <c r="C2946" s="108" t="s">
        <v>210</v>
      </c>
      <c r="D2946" s="101" t="s">
        <v>2430</v>
      </c>
      <c r="E2946" s="101" t="s">
        <v>577</v>
      </c>
      <c r="F2946" s="109">
        <f t="shared" si="8"/>
        <v>62</v>
      </c>
      <c r="G2946" s="110" t="s">
        <v>2491</v>
      </c>
    </row>
    <row r="2947" ht="15.75" customHeight="1">
      <c r="B2947" s="95"/>
      <c r="C2947" s="108" t="s">
        <v>210</v>
      </c>
      <c r="D2947" s="101" t="s">
        <v>2430</v>
      </c>
      <c r="E2947" s="101" t="s">
        <v>577</v>
      </c>
      <c r="F2947" s="109">
        <f t="shared" si="8"/>
        <v>63</v>
      </c>
      <c r="G2947" s="110" t="s">
        <v>2492</v>
      </c>
    </row>
    <row r="2948" ht="15.75" customHeight="1">
      <c r="B2948" s="95"/>
      <c r="C2948" s="108" t="s">
        <v>210</v>
      </c>
      <c r="D2948" s="101" t="s">
        <v>2430</v>
      </c>
      <c r="E2948" s="101" t="s">
        <v>577</v>
      </c>
      <c r="F2948" s="109">
        <f t="shared" si="8"/>
        <v>64</v>
      </c>
      <c r="G2948" s="110" t="s">
        <v>2493</v>
      </c>
    </row>
    <row r="2949" ht="15.75" customHeight="1">
      <c r="B2949" s="95"/>
      <c r="C2949" s="108" t="s">
        <v>210</v>
      </c>
      <c r="D2949" s="101" t="s">
        <v>2430</v>
      </c>
      <c r="E2949" s="101" t="s">
        <v>577</v>
      </c>
      <c r="F2949" s="109">
        <f t="shared" si="8"/>
        <v>65</v>
      </c>
      <c r="G2949" s="110" t="s">
        <v>2494</v>
      </c>
    </row>
    <row r="2950" ht="15.75" customHeight="1">
      <c r="B2950" s="95"/>
      <c r="C2950" s="108" t="s">
        <v>210</v>
      </c>
      <c r="D2950" s="101" t="s">
        <v>2430</v>
      </c>
      <c r="E2950" s="101" t="s">
        <v>577</v>
      </c>
      <c r="F2950" s="109">
        <f t="shared" si="8"/>
        <v>66</v>
      </c>
      <c r="G2950" s="110" t="s">
        <v>2495</v>
      </c>
    </row>
    <row r="2951" ht="15.75" customHeight="1">
      <c r="B2951" s="95"/>
      <c r="C2951" s="108" t="s">
        <v>210</v>
      </c>
      <c r="D2951" s="101" t="s">
        <v>2430</v>
      </c>
      <c r="E2951" s="101" t="s">
        <v>577</v>
      </c>
      <c r="F2951" s="109">
        <f t="shared" si="8"/>
        <v>67</v>
      </c>
      <c r="G2951" s="110" t="s">
        <v>2496</v>
      </c>
    </row>
    <row r="2952" ht="15.75" customHeight="1">
      <c r="B2952" s="95"/>
      <c r="C2952" s="108" t="s">
        <v>210</v>
      </c>
      <c r="D2952" s="101" t="s">
        <v>2430</v>
      </c>
      <c r="E2952" s="101" t="s">
        <v>577</v>
      </c>
      <c r="F2952" s="109">
        <f t="shared" si="8"/>
        <v>68</v>
      </c>
      <c r="G2952" s="110" t="s">
        <v>2497</v>
      </c>
    </row>
    <row r="2953" ht="15.75" customHeight="1">
      <c r="B2953" s="95"/>
      <c r="C2953" s="108" t="s">
        <v>210</v>
      </c>
      <c r="D2953" s="101" t="s">
        <v>2430</v>
      </c>
      <c r="E2953" s="101" t="s">
        <v>577</v>
      </c>
      <c r="F2953" s="109">
        <f t="shared" si="8"/>
        <v>69</v>
      </c>
      <c r="G2953" s="110" t="s">
        <v>2498</v>
      </c>
    </row>
    <row r="2954" ht="15.75" customHeight="1">
      <c r="B2954" s="95"/>
      <c r="C2954" s="108" t="s">
        <v>210</v>
      </c>
      <c r="D2954" s="101" t="s">
        <v>2430</v>
      </c>
      <c r="E2954" s="101" t="s">
        <v>577</v>
      </c>
      <c r="F2954" s="109">
        <f t="shared" si="8"/>
        <v>70</v>
      </c>
      <c r="G2954" s="110" t="s">
        <v>2499</v>
      </c>
    </row>
    <row r="2955" ht="15.75" customHeight="1">
      <c r="B2955" s="95"/>
      <c r="C2955" s="108" t="s">
        <v>210</v>
      </c>
      <c r="D2955" s="101" t="s">
        <v>2430</v>
      </c>
      <c r="E2955" s="101" t="s">
        <v>577</v>
      </c>
      <c r="F2955" s="109">
        <f t="shared" si="8"/>
        <v>71</v>
      </c>
      <c r="G2955" s="110" t="s">
        <v>2500</v>
      </c>
    </row>
    <row r="2956" ht="15.75" customHeight="1">
      <c r="B2956" s="95"/>
      <c r="C2956" s="108" t="s">
        <v>210</v>
      </c>
      <c r="D2956" s="101" t="s">
        <v>2430</v>
      </c>
      <c r="E2956" s="101" t="s">
        <v>577</v>
      </c>
      <c r="F2956" s="109">
        <f t="shared" si="8"/>
        <v>72</v>
      </c>
      <c r="G2956" s="110" t="s">
        <v>2501</v>
      </c>
    </row>
    <row r="2957" ht="15.75" customHeight="1">
      <c r="B2957" s="95"/>
      <c r="C2957" s="108" t="s">
        <v>210</v>
      </c>
      <c r="D2957" s="101" t="s">
        <v>2430</v>
      </c>
      <c r="E2957" s="101" t="s">
        <v>577</v>
      </c>
      <c r="F2957" s="109">
        <f t="shared" si="8"/>
        <v>73</v>
      </c>
      <c r="G2957" s="110" t="s">
        <v>2502</v>
      </c>
    </row>
    <row r="2958" ht="15.75" customHeight="1">
      <c r="B2958" s="95"/>
      <c r="C2958" s="108" t="s">
        <v>210</v>
      </c>
      <c r="D2958" s="101" t="s">
        <v>2430</v>
      </c>
      <c r="E2958" s="101" t="s">
        <v>577</v>
      </c>
      <c r="F2958" s="109">
        <f t="shared" si="8"/>
        <v>74</v>
      </c>
      <c r="G2958" s="110" t="s">
        <v>2503</v>
      </c>
    </row>
    <row r="2959" ht="15.75" customHeight="1">
      <c r="B2959" s="95"/>
      <c r="C2959" s="108" t="s">
        <v>210</v>
      </c>
      <c r="D2959" s="101" t="s">
        <v>2430</v>
      </c>
      <c r="E2959" s="101" t="s">
        <v>577</v>
      </c>
      <c r="F2959" s="109">
        <f t="shared" si="8"/>
        <v>75</v>
      </c>
      <c r="G2959" s="110" t="s">
        <v>2504</v>
      </c>
    </row>
    <row r="2960" ht="15.75" customHeight="1">
      <c r="B2960" s="95"/>
      <c r="C2960" s="108" t="s">
        <v>210</v>
      </c>
      <c r="D2960" s="101" t="s">
        <v>2430</v>
      </c>
      <c r="E2960" s="101" t="s">
        <v>577</v>
      </c>
      <c r="F2960" s="109">
        <f t="shared" si="8"/>
        <v>76</v>
      </c>
      <c r="G2960" s="110" t="s">
        <v>3028</v>
      </c>
    </row>
    <row r="2961" ht="15.75" customHeight="1">
      <c r="B2961" s="95"/>
      <c r="C2961" s="108" t="s">
        <v>210</v>
      </c>
      <c r="D2961" s="101" t="s">
        <v>2430</v>
      </c>
      <c r="E2961" s="101" t="s">
        <v>577</v>
      </c>
      <c r="F2961" s="109">
        <f t="shared" si="8"/>
        <v>77</v>
      </c>
      <c r="G2961" s="110" t="s">
        <v>2506</v>
      </c>
    </row>
    <row r="2962" ht="15.75" customHeight="1">
      <c r="B2962" s="95"/>
      <c r="C2962" s="108" t="s">
        <v>210</v>
      </c>
      <c r="D2962" s="101" t="s">
        <v>2430</v>
      </c>
      <c r="E2962" s="101" t="s">
        <v>577</v>
      </c>
      <c r="F2962" s="109">
        <f t="shared" si="8"/>
        <v>78</v>
      </c>
      <c r="G2962" s="110" t="s">
        <v>3029</v>
      </c>
    </row>
    <row r="2963" ht="15.75" customHeight="1">
      <c r="B2963" s="95"/>
      <c r="C2963" s="108" t="s">
        <v>210</v>
      </c>
      <c r="D2963" s="101" t="s">
        <v>2430</v>
      </c>
      <c r="E2963" s="101" t="s">
        <v>577</v>
      </c>
      <c r="F2963" s="109">
        <f t="shared" si="8"/>
        <v>79</v>
      </c>
      <c r="G2963" s="110" t="s">
        <v>2508</v>
      </c>
    </row>
    <row r="2964" ht="15.75" customHeight="1">
      <c r="B2964" s="95"/>
      <c r="C2964" s="108" t="s">
        <v>210</v>
      </c>
      <c r="D2964" s="101" t="s">
        <v>2430</v>
      </c>
      <c r="E2964" s="101" t="s">
        <v>577</v>
      </c>
      <c r="F2964" s="109">
        <f t="shared" si="8"/>
        <v>80</v>
      </c>
      <c r="G2964" s="110" t="s">
        <v>2509</v>
      </c>
    </row>
    <row r="2965" ht="15.75" customHeight="1">
      <c r="B2965" s="95"/>
      <c r="C2965" s="108" t="s">
        <v>210</v>
      </c>
      <c r="D2965" s="101" t="s">
        <v>2430</v>
      </c>
      <c r="E2965" s="101" t="s">
        <v>577</v>
      </c>
      <c r="F2965" s="109">
        <f t="shared" si="8"/>
        <v>81</v>
      </c>
      <c r="G2965" s="110" t="s">
        <v>2510</v>
      </c>
    </row>
    <row r="2966" ht="15.75" customHeight="1">
      <c r="B2966" s="95"/>
      <c r="C2966" s="108" t="s">
        <v>210</v>
      </c>
      <c r="D2966" s="101" t="s">
        <v>2430</v>
      </c>
      <c r="E2966" s="101" t="s">
        <v>577</v>
      </c>
      <c r="F2966" s="109">
        <f t="shared" si="8"/>
        <v>82</v>
      </c>
      <c r="G2966" s="110" t="s">
        <v>2511</v>
      </c>
    </row>
    <row r="2967" ht="15.75" customHeight="1">
      <c r="B2967" s="95"/>
      <c r="C2967" s="108" t="s">
        <v>210</v>
      </c>
      <c r="D2967" s="101" t="s">
        <v>2430</v>
      </c>
      <c r="E2967" s="101" t="s">
        <v>577</v>
      </c>
      <c r="F2967" s="109">
        <f t="shared" si="8"/>
        <v>83</v>
      </c>
      <c r="G2967" s="110" t="s">
        <v>2512</v>
      </c>
    </row>
    <row r="2968" ht="15.75" customHeight="1">
      <c r="B2968" s="95"/>
      <c r="C2968" s="108" t="s">
        <v>210</v>
      </c>
      <c r="D2968" s="101" t="s">
        <v>2430</v>
      </c>
      <c r="E2968" s="101" t="s">
        <v>577</v>
      </c>
      <c r="F2968" s="109">
        <f t="shared" si="8"/>
        <v>84</v>
      </c>
      <c r="G2968" s="110" t="s">
        <v>2513</v>
      </c>
    </row>
    <row r="2969" ht="15.75" customHeight="1">
      <c r="B2969" s="95"/>
      <c r="C2969" s="108" t="s">
        <v>210</v>
      </c>
      <c r="D2969" s="101" t="s">
        <v>2430</v>
      </c>
      <c r="E2969" s="101" t="s">
        <v>577</v>
      </c>
      <c r="F2969" s="109">
        <f t="shared" si="8"/>
        <v>85</v>
      </c>
      <c r="G2969" s="110" t="s">
        <v>2514</v>
      </c>
    </row>
    <row r="2970" ht="15.75" customHeight="1">
      <c r="B2970" s="95"/>
      <c r="C2970" s="108" t="s">
        <v>210</v>
      </c>
      <c r="D2970" s="101" t="s">
        <v>2430</v>
      </c>
      <c r="E2970" s="101" t="s">
        <v>577</v>
      </c>
      <c r="F2970" s="109">
        <f t="shared" si="8"/>
        <v>86</v>
      </c>
      <c r="G2970" s="110" t="s">
        <v>2515</v>
      </c>
    </row>
    <row r="2971" ht="15.75" customHeight="1">
      <c r="B2971" s="95"/>
      <c r="C2971" s="108" t="s">
        <v>210</v>
      </c>
      <c r="D2971" s="101" t="s">
        <v>2430</v>
      </c>
      <c r="E2971" s="101" t="s">
        <v>577</v>
      </c>
      <c r="F2971" s="109">
        <f t="shared" si="8"/>
        <v>87</v>
      </c>
      <c r="G2971" s="110" t="s">
        <v>2516</v>
      </c>
    </row>
    <row r="2972" ht="15.75" customHeight="1">
      <c r="B2972" s="95"/>
      <c r="C2972" s="108" t="s">
        <v>210</v>
      </c>
      <c r="D2972" s="101" t="s">
        <v>2430</v>
      </c>
      <c r="E2972" s="101" t="s">
        <v>577</v>
      </c>
      <c r="F2972" s="109">
        <f t="shared" si="8"/>
        <v>88</v>
      </c>
      <c r="G2972" s="110" t="s">
        <v>2517</v>
      </c>
    </row>
    <row r="2973" ht="15.75" customHeight="1">
      <c r="B2973" s="95"/>
      <c r="C2973" s="108" t="s">
        <v>210</v>
      </c>
      <c r="D2973" s="101" t="s">
        <v>2430</v>
      </c>
      <c r="E2973" s="101" t="s">
        <v>577</v>
      </c>
      <c r="F2973" s="109">
        <f t="shared" si="8"/>
        <v>89</v>
      </c>
      <c r="G2973" s="110" t="s">
        <v>2518</v>
      </c>
    </row>
    <row r="2974" ht="15.75" customHeight="1">
      <c r="B2974" s="95"/>
      <c r="C2974" s="108" t="s">
        <v>210</v>
      </c>
      <c r="D2974" s="101" t="s">
        <v>2430</v>
      </c>
      <c r="E2974" s="101" t="s">
        <v>577</v>
      </c>
      <c r="F2974" s="109">
        <f t="shared" si="8"/>
        <v>90</v>
      </c>
      <c r="G2974" s="110" t="s">
        <v>2519</v>
      </c>
    </row>
    <row r="2975" ht="15.75" customHeight="1">
      <c r="B2975" s="95"/>
      <c r="C2975" s="108" t="s">
        <v>210</v>
      </c>
      <c r="D2975" s="101" t="s">
        <v>2430</v>
      </c>
      <c r="E2975" s="101" t="s">
        <v>577</v>
      </c>
      <c r="F2975" s="109">
        <f t="shared" si="8"/>
        <v>91</v>
      </c>
      <c r="G2975" s="110" t="s">
        <v>2520</v>
      </c>
    </row>
    <row r="2976" ht="15.75" customHeight="1">
      <c r="B2976" s="95"/>
      <c r="C2976" s="108" t="s">
        <v>210</v>
      </c>
      <c r="D2976" s="101" t="s">
        <v>2430</v>
      </c>
      <c r="E2976" s="101" t="s">
        <v>577</v>
      </c>
      <c r="F2976" s="109">
        <f t="shared" si="8"/>
        <v>92</v>
      </c>
      <c r="G2976" s="110" t="s">
        <v>2521</v>
      </c>
    </row>
    <row r="2977" ht="15.75" customHeight="1">
      <c r="B2977" s="95"/>
      <c r="C2977" s="108" t="s">
        <v>210</v>
      </c>
      <c r="D2977" s="101" t="s">
        <v>2430</v>
      </c>
      <c r="E2977" s="101" t="s">
        <v>577</v>
      </c>
      <c r="F2977" s="109">
        <f t="shared" si="8"/>
        <v>93</v>
      </c>
      <c r="G2977" s="110" t="s">
        <v>2522</v>
      </c>
    </row>
    <row r="2978" ht="15.75" customHeight="1">
      <c r="B2978" s="95"/>
      <c r="C2978" s="108" t="s">
        <v>210</v>
      </c>
      <c r="D2978" s="101" t="s">
        <v>2430</v>
      </c>
      <c r="E2978" s="101" t="s">
        <v>577</v>
      </c>
      <c r="F2978" s="109">
        <f t="shared" si="8"/>
        <v>94</v>
      </c>
      <c r="G2978" s="110" t="s">
        <v>2524</v>
      </c>
    </row>
    <row r="2979" ht="15.75" customHeight="1">
      <c r="B2979" s="95"/>
      <c r="C2979" s="108" t="s">
        <v>210</v>
      </c>
      <c r="D2979" s="101" t="s">
        <v>2430</v>
      </c>
      <c r="E2979" s="101" t="s">
        <v>577</v>
      </c>
      <c r="F2979" s="109">
        <f t="shared" si="8"/>
        <v>95</v>
      </c>
      <c r="G2979" s="110" t="s">
        <v>2525</v>
      </c>
    </row>
    <row r="2980" ht="15.75" customHeight="1">
      <c r="B2980" s="95"/>
      <c r="C2980" s="108" t="s">
        <v>210</v>
      </c>
      <c r="D2980" s="101" t="s">
        <v>2430</v>
      </c>
      <c r="E2980" s="101" t="s">
        <v>577</v>
      </c>
      <c r="F2980" s="109">
        <f t="shared" si="8"/>
        <v>96</v>
      </c>
      <c r="G2980" s="110" t="s">
        <v>2526</v>
      </c>
    </row>
    <row r="2981" ht="15.75" customHeight="1">
      <c r="B2981" s="95"/>
      <c r="C2981" s="108" t="s">
        <v>210</v>
      </c>
      <c r="D2981" s="101" t="s">
        <v>2430</v>
      </c>
      <c r="E2981" s="101" t="s">
        <v>577</v>
      </c>
      <c r="F2981" s="109">
        <f t="shared" si="8"/>
        <v>97</v>
      </c>
      <c r="G2981" s="110" t="s">
        <v>2527</v>
      </c>
    </row>
    <row r="2982" ht="15.75" customHeight="1">
      <c r="B2982" s="95"/>
      <c r="C2982" s="108" t="s">
        <v>210</v>
      </c>
      <c r="D2982" s="101" t="s">
        <v>2430</v>
      </c>
      <c r="E2982" s="101" t="s">
        <v>577</v>
      </c>
      <c r="F2982" s="109">
        <f t="shared" si="8"/>
        <v>98</v>
      </c>
      <c r="G2982" s="110" t="s">
        <v>2528</v>
      </c>
    </row>
    <row r="2983" ht="15.75" customHeight="1">
      <c r="B2983" s="95"/>
      <c r="C2983" s="108" t="s">
        <v>210</v>
      </c>
      <c r="D2983" s="101" t="s">
        <v>2430</v>
      </c>
      <c r="E2983" s="101" t="s">
        <v>577</v>
      </c>
      <c r="F2983" s="109">
        <f t="shared" si="8"/>
        <v>99</v>
      </c>
      <c r="G2983" s="110" t="s">
        <v>2529</v>
      </c>
    </row>
    <row r="2984" ht="15.75" customHeight="1">
      <c r="B2984" s="95"/>
      <c r="C2984" s="108" t="s">
        <v>210</v>
      </c>
      <c r="D2984" s="101" t="s">
        <v>2430</v>
      </c>
      <c r="E2984" s="101" t="s">
        <v>577</v>
      </c>
      <c r="F2984" s="109">
        <f t="shared" si="8"/>
        <v>100</v>
      </c>
      <c r="G2984" s="110" t="s">
        <v>2530</v>
      </c>
    </row>
    <row r="2985" ht="15.75" customHeight="1">
      <c r="B2985" s="95"/>
      <c r="C2985" s="108" t="s">
        <v>210</v>
      </c>
      <c r="D2985" s="101" t="s">
        <v>2430</v>
      </c>
      <c r="E2985" s="101" t="s">
        <v>577</v>
      </c>
      <c r="F2985" s="109">
        <f t="shared" si="8"/>
        <v>101</v>
      </c>
      <c r="G2985" s="110" t="s">
        <v>2532</v>
      </c>
    </row>
    <row r="2986" ht="15.75" customHeight="1">
      <c r="B2986" s="95"/>
      <c r="C2986" s="108" t="s">
        <v>210</v>
      </c>
      <c r="D2986" s="101" t="s">
        <v>2430</v>
      </c>
      <c r="E2986" s="101" t="s">
        <v>577</v>
      </c>
      <c r="F2986" s="109">
        <f t="shared" si="8"/>
        <v>102</v>
      </c>
      <c r="G2986" s="110" t="s">
        <v>2533</v>
      </c>
    </row>
    <row r="2987" ht="15.75" customHeight="1">
      <c r="B2987" s="95"/>
      <c r="C2987" s="108" t="s">
        <v>210</v>
      </c>
      <c r="D2987" s="101" t="s">
        <v>2430</v>
      </c>
      <c r="E2987" s="101" t="s">
        <v>577</v>
      </c>
      <c r="F2987" s="109">
        <f t="shared" si="8"/>
        <v>103</v>
      </c>
      <c r="G2987" s="110" t="s">
        <v>2534</v>
      </c>
    </row>
    <row r="2988" ht="15.75" customHeight="1">
      <c r="B2988" s="95"/>
      <c r="C2988" s="108" t="s">
        <v>210</v>
      </c>
      <c r="D2988" s="101" t="s">
        <v>2430</v>
      </c>
      <c r="E2988" s="101" t="s">
        <v>577</v>
      </c>
      <c r="F2988" s="109">
        <f t="shared" si="8"/>
        <v>104</v>
      </c>
      <c r="G2988" s="110" t="s">
        <v>2535</v>
      </c>
    </row>
    <row r="2989" ht="15.75" customHeight="1">
      <c r="B2989" s="95"/>
      <c r="C2989" s="108" t="s">
        <v>210</v>
      </c>
      <c r="D2989" s="101" t="s">
        <v>2430</v>
      </c>
      <c r="E2989" s="101" t="s">
        <v>577</v>
      </c>
      <c r="F2989" s="109">
        <f t="shared" si="8"/>
        <v>105</v>
      </c>
      <c r="G2989" s="110" t="s">
        <v>2536</v>
      </c>
    </row>
    <row r="2990" ht="15.75" customHeight="1">
      <c r="B2990" s="95"/>
      <c r="C2990" s="108" t="s">
        <v>210</v>
      </c>
      <c r="D2990" s="101" t="s">
        <v>2430</v>
      </c>
      <c r="E2990" s="101" t="s">
        <v>577</v>
      </c>
      <c r="F2990" s="109">
        <f t="shared" si="8"/>
        <v>106</v>
      </c>
      <c r="G2990" s="110" t="s">
        <v>2537</v>
      </c>
    </row>
    <row r="2991" ht="15.75" customHeight="1">
      <c r="B2991" s="95"/>
      <c r="C2991" s="108" t="s">
        <v>210</v>
      </c>
      <c r="D2991" s="101" t="s">
        <v>2430</v>
      </c>
      <c r="E2991" s="101" t="s">
        <v>577</v>
      </c>
      <c r="F2991" s="109">
        <f t="shared" si="8"/>
        <v>107</v>
      </c>
      <c r="G2991" s="110" t="s">
        <v>2538</v>
      </c>
    </row>
    <row r="2992" ht="15.75" customHeight="1">
      <c r="B2992" s="95"/>
      <c r="C2992" s="108" t="s">
        <v>210</v>
      </c>
      <c r="D2992" s="101" t="s">
        <v>2430</v>
      </c>
      <c r="E2992" s="101" t="s">
        <v>577</v>
      </c>
      <c r="F2992" s="109">
        <f t="shared" si="8"/>
        <v>108</v>
      </c>
      <c r="G2992" s="110" t="s">
        <v>2539</v>
      </c>
    </row>
    <row r="2993" ht="15.75" customHeight="1">
      <c r="B2993" s="95"/>
      <c r="C2993" s="108" t="s">
        <v>210</v>
      </c>
      <c r="D2993" s="101" t="s">
        <v>2430</v>
      </c>
      <c r="E2993" s="101" t="s">
        <v>577</v>
      </c>
      <c r="F2993" s="109">
        <f t="shared" si="8"/>
        <v>109</v>
      </c>
      <c r="G2993" s="110" t="s">
        <v>2540</v>
      </c>
    </row>
    <row r="2994" ht="15.75" customHeight="1">
      <c r="B2994" s="95"/>
      <c r="C2994" s="108" t="s">
        <v>210</v>
      </c>
      <c r="D2994" s="101" t="s">
        <v>2430</v>
      </c>
      <c r="E2994" s="101" t="s">
        <v>577</v>
      </c>
      <c r="F2994" s="109">
        <f t="shared" si="8"/>
        <v>110</v>
      </c>
      <c r="G2994" s="110" t="s">
        <v>2541</v>
      </c>
    </row>
    <row r="2995" ht="15.75" customHeight="1">
      <c r="B2995" s="95"/>
      <c r="C2995" s="108" t="s">
        <v>210</v>
      </c>
      <c r="D2995" s="101" t="s">
        <v>2430</v>
      </c>
      <c r="E2995" s="101" t="s">
        <v>577</v>
      </c>
      <c r="F2995" s="109">
        <f t="shared" si="8"/>
        <v>111</v>
      </c>
      <c r="G2995" s="110" t="s">
        <v>2542</v>
      </c>
    </row>
    <row r="2996" ht="15.75" customHeight="1">
      <c r="B2996" s="95"/>
      <c r="C2996" s="108" t="s">
        <v>210</v>
      </c>
      <c r="D2996" s="101" t="s">
        <v>2430</v>
      </c>
      <c r="E2996" s="101" t="s">
        <v>577</v>
      </c>
      <c r="F2996" s="109">
        <f t="shared" si="8"/>
        <v>112</v>
      </c>
      <c r="G2996" s="110" t="s">
        <v>2543</v>
      </c>
    </row>
    <row r="2997" ht="15.75" customHeight="1">
      <c r="B2997" s="95"/>
      <c r="C2997" s="108" t="s">
        <v>210</v>
      </c>
      <c r="D2997" s="101" t="s">
        <v>2430</v>
      </c>
      <c r="E2997" s="101" t="s">
        <v>577</v>
      </c>
      <c r="F2997" s="109">
        <f t="shared" si="8"/>
        <v>113</v>
      </c>
      <c r="G2997" s="110" t="s">
        <v>2544</v>
      </c>
    </row>
    <row r="2998" ht="15.75" customHeight="1">
      <c r="B2998" s="95"/>
      <c r="C2998" s="108" t="s">
        <v>210</v>
      </c>
      <c r="D2998" s="101" t="s">
        <v>2430</v>
      </c>
      <c r="E2998" s="101" t="s">
        <v>577</v>
      </c>
      <c r="F2998" s="109">
        <f t="shared" si="8"/>
        <v>114</v>
      </c>
      <c r="G2998" s="110" t="s">
        <v>2545</v>
      </c>
    </row>
    <row r="2999" ht="15.75" customHeight="1">
      <c r="B2999" s="95"/>
      <c r="C2999" s="108" t="s">
        <v>210</v>
      </c>
      <c r="D2999" s="101" t="s">
        <v>2430</v>
      </c>
      <c r="E2999" s="101" t="s">
        <v>577</v>
      </c>
      <c r="F2999" s="109">
        <f t="shared" si="8"/>
        <v>115</v>
      </c>
      <c r="G2999" s="110" t="s">
        <v>2546</v>
      </c>
    </row>
    <row r="3000" ht="15.75" customHeight="1">
      <c r="B3000" s="95"/>
      <c r="C3000" s="108" t="s">
        <v>210</v>
      </c>
      <c r="D3000" s="101" t="s">
        <v>2430</v>
      </c>
      <c r="E3000" s="101" t="s">
        <v>577</v>
      </c>
      <c r="F3000" s="109">
        <f t="shared" si="8"/>
        <v>116</v>
      </c>
      <c r="G3000" s="110" t="s">
        <v>2547</v>
      </c>
    </row>
    <row r="3001" ht="15.75" customHeight="1">
      <c r="B3001" s="95"/>
      <c r="C3001" s="108" t="s">
        <v>210</v>
      </c>
      <c r="D3001" s="101" t="s">
        <v>2430</v>
      </c>
      <c r="E3001" s="101" t="s">
        <v>577</v>
      </c>
      <c r="F3001" s="109">
        <f t="shared" si="8"/>
        <v>117</v>
      </c>
      <c r="G3001" s="110" t="s">
        <v>2548</v>
      </c>
    </row>
    <row r="3002" ht="15.75" customHeight="1">
      <c r="B3002" s="95"/>
      <c r="C3002" s="108" t="s">
        <v>210</v>
      </c>
      <c r="D3002" s="101" t="s">
        <v>2430</v>
      </c>
      <c r="E3002" s="101" t="s">
        <v>577</v>
      </c>
      <c r="F3002" s="109">
        <f t="shared" si="8"/>
        <v>118</v>
      </c>
      <c r="G3002" s="110" t="s">
        <v>2549</v>
      </c>
    </row>
    <row r="3003" ht="15.75" customHeight="1">
      <c r="B3003" s="95"/>
      <c r="C3003" s="108" t="s">
        <v>210</v>
      </c>
      <c r="D3003" s="101" t="s">
        <v>2430</v>
      </c>
      <c r="E3003" s="101" t="s">
        <v>577</v>
      </c>
      <c r="F3003" s="109">
        <f t="shared" si="8"/>
        <v>119</v>
      </c>
      <c r="G3003" s="110" t="s">
        <v>2550</v>
      </c>
    </row>
    <row r="3004" ht="15.75" customHeight="1">
      <c r="B3004" s="95"/>
      <c r="C3004" s="108" t="s">
        <v>210</v>
      </c>
      <c r="D3004" s="101" t="s">
        <v>2430</v>
      </c>
      <c r="E3004" s="101" t="s">
        <v>577</v>
      </c>
      <c r="F3004" s="109">
        <f t="shared" si="8"/>
        <v>120</v>
      </c>
      <c r="G3004" s="110" t="s">
        <v>3030</v>
      </c>
    </row>
    <row r="3005" ht="15.75" customHeight="1">
      <c r="B3005" s="95"/>
      <c r="C3005" s="108" t="s">
        <v>210</v>
      </c>
      <c r="D3005" s="101" t="s">
        <v>2430</v>
      </c>
      <c r="E3005" s="101" t="s">
        <v>577</v>
      </c>
      <c r="F3005" s="109">
        <f t="shared" si="8"/>
        <v>121</v>
      </c>
      <c r="G3005" s="110" t="s">
        <v>2552</v>
      </c>
    </row>
    <row r="3006" ht="15.75" customHeight="1">
      <c r="B3006" s="95"/>
      <c r="C3006" s="108" t="s">
        <v>210</v>
      </c>
      <c r="D3006" s="101" t="s">
        <v>2430</v>
      </c>
      <c r="E3006" s="101" t="s">
        <v>577</v>
      </c>
      <c r="F3006" s="109">
        <f t="shared" si="8"/>
        <v>122</v>
      </c>
      <c r="G3006" s="110" t="s">
        <v>3031</v>
      </c>
    </row>
    <row r="3007" ht="15.75" customHeight="1">
      <c r="B3007" s="95"/>
      <c r="C3007" s="108" t="s">
        <v>210</v>
      </c>
      <c r="D3007" s="101" t="s">
        <v>2430</v>
      </c>
      <c r="E3007" s="101" t="s">
        <v>577</v>
      </c>
      <c r="F3007" s="109">
        <f t="shared" si="8"/>
        <v>123</v>
      </c>
      <c r="G3007" s="110" t="s">
        <v>2554</v>
      </c>
    </row>
    <row r="3008" ht="15.75" customHeight="1">
      <c r="B3008" s="95"/>
      <c r="C3008" s="108" t="s">
        <v>210</v>
      </c>
      <c r="D3008" s="101" t="s">
        <v>2430</v>
      </c>
      <c r="E3008" s="101" t="s">
        <v>577</v>
      </c>
      <c r="F3008" s="109">
        <f t="shared" si="8"/>
        <v>124</v>
      </c>
      <c r="G3008" s="110" t="s">
        <v>2555</v>
      </c>
    </row>
    <row r="3009" ht="15.75" customHeight="1">
      <c r="B3009" s="95"/>
      <c r="C3009" s="108" t="s">
        <v>210</v>
      </c>
      <c r="D3009" s="101" t="s">
        <v>2430</v>
      </c>
      <c r="E3009" s="101" t="s">
        <v>577</v>
      </c>
      <c r="F3009" s="109">
        <f t="shared" si="8"/>
        <v>125</v>
      </c>
      <c r="G3009" s="110" t="s">
        <v>2556</v>
      </c>
    </row>
    <row r="3010" ht="15.75" customHeight="1">
      <c r="B3010" s="95"/>
      <c r="C3010" s="108" t="s">
        <v>210</v>
      </c>
      <c r="D3010" s="101" t="s">
        <v>2430</v>
      </c>
      <c r="E3010" s="101" t="s">
        <v>577</v>
      </c>
      <c r="F3010" s="109">
        <f t="shared" si="8"/>
        <v>126</v>
      </c>
      <c r="G3010" s="110" t="s">
        <v>2557</v>
      </c>
    </row>
    <row r="3011" ht="15.75" customHeight="1">
      <c r="B3011" s="95"/>
      <c r="C3011" s="108" t="s">
        <v>210</v>
      </c>
      <c r="D3011" s="101" t="s">
        <v>2430</v>
      </c>
      <c r="E3011" s="101" t="s">
        <v>577</v>
      </c>
      <c r="F3011" s="109">
        <f t="shared" si="8"/>
        <v>127</v>
      </c>
      <c r="G3011" s="110" t="s">
        <v>2558</v>
      </c>
    </row>
    <row r="3012" ht="15.75" customHeight="1">
      <c r="B3012" s="95"/>
      <c r="C3012" s="108" t="s">
        <v>210</v>
      </c>
      <c r="D3012" s="101" t="s">
        <v>2430</v>
      </c>
      <c r="E3012" s="101" t="s">
        <v>577</v>
      </c>
      <c r="F3012" s="109">
        <f t="shared" si="8"/>
        <v>128</v>
      </c>
      <c r="G3012" s="110" t="s">
        <v>2559</v>
      </c>
    </row>
    <row r="3013" ht="15.75" customHeight="1">
      <c r="B3013" s="95"/>
      <c r="C3013" s="108" t="s">
        <v>210</v>
      </c>
      <c r="D3013" s="101" t="s">
        <v>2430</v>
      </c>
      <c r="E3013" s="101" t="s">
        <v>577</v>
      </c>
      <c r="F3013" s="109">
        <f t="shared" si="8"/>
        <v>129</v>
      </c>
      <c r="G3013" s="110" t="s">
        <v>2560</v>
      </c>
    </row>
    <row r="3014" ht="15.75" customHeight="1">
      <c r="B3014" s="95"/>
      <c r="C3014" s="108" t="s">
        <v>210</v>
      </c>
      <c r="D3014" s="101" t="s">
        <v>2430</v>
      </c>
      <c r="E3014" s="101" t="s">
        <v>577</v>
      </c>
      <c r="F3014" s="109">
        <f t="shared" si="8"/>
        <v>130</v>
      </c>
      <c r="G3014" s="110" t="s">
        <v>2561</v>
      </c>
    </row>
    <row r="3015" ht="15.75" customHeight="1">
      <c r="B3015" s="95"/>
      <c r="C3015" s="108" t="s">
        <v>210</v>
      </c>
      <c r="D3015" s="101" t="s">
        <v>2430</v>
      </c>
      <c r="E3015" s="101" t="s">
        <v>577</v>
      </c>
      <c r="F3015" s="109">
        <f t="shared" si="8"/>
        <v>131</v>
      </c>
      <c r="G3015" s="110" t="s">
        <v>2562</v>
      </c>
    </row>
    <row r="3016" ht="15.75" customHeight="1">
      <c r="B3016" s="95"/>
      <c r="C3016" s="108" t="s">
        <v>210</v>
      </c>
      <c r="D3016" s="101" t="s">
        <v>2430</v>
      </c>
      <c r="E3016" s="101" t="s">
        <v>577</v>
      </c>
      <c r="F3016" s="109">
        <f t="shared" si="8"/>
        <v>132</v>
      </c>
      <c r="G3016" s="110" t="s">
        <v>2563</v>
      </c>
    </row>
    <row r="3017" ht="15.75" customHeight="1">
      <c r="B3017" s="95"/>
      <c r="C3017" s="108" t="s">
        <v>210</v>
      </c>
      <c r="D3017" s="101" t="s">
        <v>2430</v>
      </c>
      <c r="E3017" s="101" t="s">
        <v>577</v>
      </c>
      <c r="F3017" s="109">
        <f t="shared" si="8"/>
        <v>133</v>
      </c>
      <c r="G3017" s="110" t="s">
        <v>2564</v>
      </c>
    </row>
    <row r="3018" ht="15.75" customHeight="1">
      <c r="B3018" s="95"/>
      <c r="C3018" s="108" t="s">
        <v>210</v>
      </c>
      <c r="D3018" s="101" t="s">
        <v>2430</v>
      </c>
      <c r="E3018" s="101" t="s">
        <v>577</v>
      </c>
      <c r="F3018" s="109">
        <f t="shared" si="8"/>
        <v>134</v>
      </c>
      <c r="G3018" s="110" t="s">
        <v>2565</v>
      </c>
    </row>
    <row r="3019" ht="15.75" customHeight="1">
      <c r="B3019" s="95"/>
      <c r="C3019" s="108" t="s">
        <v>210</v>
      </c>
      <c r="D3019" s="101" t="s">
        <v>2430</v>
      </c>
      <c r="E3019" s="101" t="s">
        <v>577</v>
      </c>
      <c r="F3019" s="109">
        <f t="shared" si="8"/>
        <v>135</v>
      </c>
      <c r="G3019" s="110" t="s">
        <v>2566</v>
      </c>
    </row>
    <row r="3020" ht="15.75" customHeight="1">
      <c r="B3020" s="95"/>
      <c r="C3020" s="108" t="s">
        <v>210</v>
      </c>
      <c r="D3020" s="101" t="s">
        <v>2430</v>
      </c>
      <c r="E3020" s="101" t="s">
        <v>577</v>
      </c>
      <c r="F3020" s="109">
        <f t="shared" si="8"/>
        <v>136</v>
      </c>
      <c r="G3020" s="110" t="s">
        <v>2567</v>
      </c>
    </row>
    <row r="3021" ht="15.75" customHeight="1">
      <c r="B3021" s="95"/>
      <c r="C3021" s="108" t="s">
        <v>210</v>
      </c>
      <c r="D3021" s="101" t="s">
        <v>2430</v>
      </c>
      <c r="E3021" s="101" t="s">
        <v>577</v>
      </c>
      <c r="F3021" s="109">
        <f t="shared" si="8"/>
        <v>137</v>
      </c>
      <c r="G3021" s="110" t="s">
        <v>2568</v>
      </c>
    </row>
    <row r="3022" ht="15.75" customHeight="1">
      <c r="B3022" s="95"/>
      <c r="C3022" s="108" t="s">
        <v>210</v>
      </c>
      <c r="D3022" s="101" t="s">
        <v>2430</v>
      </c>
      <c r="E3022" s="101" t="s">
        <v>577</v>
      </c>
      <c r="F3022" s="109">
        <f t="shared" si="8"/>
        <v>138</v>
      </c>
      <c r="G3022" s="110" t="s">
        <v>2570</v>
      </c>
    </row>
    <row r="3023" ht="15.75" customHeight="1">
      <c r="B3023" s="95"/>
      <c r="C3023" s="108" t="s">
        <v>210</v>
      </c>
      <c r="D3023" s="101" t="s">
        <v>2430</v>
      </c>
      <c r="E3023" s="101" t="s">
        <v>577</v>
      </c>
      <c r="F3023" s="109">
        <f t="shared" si="8"/>
        <v>139</v>
      </c>
      <c r="G3023" s="110" t="s">
        <v>2571</v>
      </c>
    </row>
    <row r="3024" ht="15.75" customHeight="1">
      <c r="B3024" s="95"/>
      <c r="C3024" s="108" t="s">
        <v>210</v>
      </c>
      <c r="D3024" s="101" t="s">
        <v>2430</v>
      </c>
      <c r="E3024" s="101" t="s">
        <v>577</v>
      </c>
      <c r="F3024" s="109">
        <f t="shared" si="8"/>
        <v>140</v>
      </c>
      <c r="G3024" s="110" t="s">
        <v>2572</v>
      </c>
    </row>
    <row r="3025" ht="15.75" customHeight="1">
      <c r="B3025" s="95"/>
      <c r="C3025" s="108" t="s">
        <v>210</v>
      </c>
      <c r="D3025" s="101" t="s">
        <v>2430</v>
      </c>
      <c r="E3025" s="101" t="s">
        <v>577</v>
      </c>
      <c r="F3025" s="109">
        <f t="shared" si="8"/>
        <v>141</v>
      </c>
      <c r="G3025" s="110" t="s">
        <v>2573</v>
      </c>
    </row>
    <row r="3026" ht="15.75" customHeight="1">
      <c r="B3026" s="95"/>
      <c r="C3026" s="108" t="s">
        <v>210</v>
      </c>
      <c r="D3026" s="101" t="s">
        <v>2430</v>
      </c>
      <c r="E3026" s="101" t="s">
        <v>577</v>
      </c>
      <c r="F3026" s="109">
        <f t="shared" si="8"/>
        <v>142</v>
      </c>
      <c r="G3026" s="110" t="s">
        <v>2574</v>
      </c>
    </row>
    <row r="3027" ht="15.75" customHeight="1">
      <c r="B3027" s="95"/>
      <c r="C3027" s="108" t="s">
        <v>210</v>
      </c>
      <c r="D3027" s="101" t="s">
        <v>2430</v>
      </c>
      <c r="E3027" s="101" t="s">
        <v>577</v>
      </c>
      <c r="F3027" s="109">
        <f t="shared" si="8"/>
        <v>143</v>
      </c>
      <c r="G3027" s="110" t="s">
        <v>2575</v>
      </c>
    </row>
    <row r="3028" ht="15.75" customHeight="1">
      <c r="B3028" s="95"/>
      <c r="C3028" s="108" t="s">
        <v>210</v>
      </c>
      <c r="D3028" s="101" t="s">
        <v>2430</v>
      </c>
      <c r="E3028" s="101" t="s">
        <v>577</v>
      </c>
      <c r="F3028" s="109">
        <f t="shared" si="8"/>
        <v>144</v>
      </c>
      <c r="G3028" s="110" t="s">
        <v>2576</v>
      </c>
    </row>
    <row r="3029" ht="15.75" customHeight="1">
      <c r="B3029" s="95"/>
      <c r="C3029" s="108" t="s">
        <v>210</v>
      </c>
      <c r="D3029" s="101" t="s">
        <v>2430</v>
      </c>
      <c r="E3029" s="101" t="s">
        <v>577</v>
      </c>
      <c r="F3029" s="109">
        <f t="shared" si="8"/>
        <v>145</v>
      </c>
      <c r="G3029" s="110" t="s">
        <v>2578</v>
      </c>
    </row>
    <row r="3030" ht="15.75" customHeight="1">
      <c r="B3030" s="95"/>
      <c r="C3030" s="108" t="s">
        <v>210</v>
      </c>
      <c r="D3030" s="101" t="s">
        <v>2430</v>
      </c>
      <c r="E3030" s="101" t="s">
        <v>577</v>
      </c>
      <c r="F3030" s="109">
        <f t="shared" si="8"/>
        <v>146</v>
      </c>
      <c r="G3030" s="110" t="s">
        <v>2579</v>
      </c>
    </row>
    <row r="3031" ht="15.75" customHeight="1">
      <c r="B3031" s="95"/>
      <c r="C3031" s="108" t="s">
        <v>210</v>
      </c>
      <c r="D3031" s="101" t="s">
        <v>2430</v>
      </c>
      <c r="E3031" s="101" t="s">
        <v>577</v>
      </c>
      <c r="F3031" s="109">
        <f t="shared" si="8"/>
        <v>147</v>
      </c>
      <c r="G3031" s="110" t="s">
        <v>2580</v>
      </c>
    </row>
    <row r="3032" ht="15.75" customHeight="1">
      <c r="B3032" s="95"/>
      <c r="C3032" s="108" t="s">
        <v>210</v>
      </c>
      <c r="D3032" s="101" t="s">
        <v>2430</v>
      </c>
      <c r="E3032" s="101" t="s">
        <v>577</v>
      </c>
      <c r="F3032" s="109">
        <f t="shared" si="8"/>
        <v>148</v>
      </c>
      <c r="G3032" s="110" t="s">
        <v>2581</v>
      </c>
    </row>
    <row r="3033" ht="15.75" customHeight="1">
      <c r="B3033" s="95"/>
      <c r="C3033" s="108" t="s">
        <v>210</v>
      </c>
      <c r="D3033" s="101" t="s">
        <v>2430</v>
      </c>
      <c r="E3033" s="101" t="s">
        <v>577</v>
      </c>
      <c r="F3033" s="109">
        <f t="shared" si="8"/>
        <v>149</v>
      </c>
      <c r="G3033" s="110" t="s">
        <v>2582</v>
      </c>
    </row>
    <row r="3034" ht="15.75" customHeight="1">
      <c r="B3034" s="95"/>
      <c r="C3034" s="108" t="s">
        <v>210</v>
      </c>
      <c r="D3034" s="101" t="s">
        <v>2430</v>
      </c>
      <c r="E3034" s="101" t="s">
        <v>577</v>
      </c>
      <c r="F3034" s="109">
        <f t="shared" si="8"/>
        <v>150</v>
      </c>
      <c r="G3034" s="110" t="s">
        <v>2583</v>
      </c>
    </row>
    <row r="3035" ht="15.75" customHeight="1">
      <c r="B3035" s="95"/>
      <c r="C3035" s="108" t="s">
        <v>210</v>
      </c>
      <c r="D3035" s="101" t="s">
        <v>2430</v>
      </c>
      <c r="E3035" s="101" t="s">
        <v>577</v>
      </c>
      <c r="F3035" s="109">
        <f t="shared" si="8"/>
        <v>151</v>
      </c>
      <c r="G3035" s="110" t="s">
        <v>2584</v>
      </c>
    </row>
    <row r="3036" ht="15.75" customHeight="1">
      <c r="B3036" s="95"/>
      <c r="C3036" s="108" t="s">
        <v>210</v>
      </c>
      <c r="D3036" s="101" t="s">
        <v>2430</v>
      </c>
      <c r="E3036" s="101" t="s">
        <v>577</v>
      </c>
      <c r="F3036" s="109">
        <f t="shared" si="8"/>
        <v>152</v>
      </c>
      <c r="G3036" s="110" t="s">
        <v>2585</v>
      </c>
    </row>
    <row r="3037" ht="15.75" customHeight="1">
      <c r="B3037" s="95"/>
      <c r="C3037" s="108" t="s">
        <v>210</v>
      </c>
      <c r="D3037" s="101" t="s">
        <v>2430</v>
      </c>
      <c r="E3037" s="101" t="s">
        <v>577</v>
      </c>
      <c r="F3037" s="109">
        <f t="shared" si="8"/>
        <v>153</v>
      </c>
      <c r="G3037" s="110" t="s">
        <v>2586</v>
      </c>
    </row>
    <row r="3038" ht="15.75" customHeight="1">
      <c r="B3038" s="95"/>
      <c r="C3038" s="108" t="s">
        <v>210</v>
      </c>
      <c r="D3038" s="101" t="s">
        <v>2430</v>
      </c>
      <c r="E3038" s="101" t="s">
        <v>577</v>
      </c>
      <c r="F3038" s="109">
        <f t="shared" si="8"/>
        <v>154</v>
      </c>
      <c r="G3038" s="110" t="s">
        <v>2587</v>
      </c>
    </row>
    <row r="3039" ht="15.75" customHeight="1">
      <c r="B3039" s="95"/>
      <c r="C3039" s="108" t="s">
        <v>210</v>
      </c>
      <c r="D3039" s="101" t="s">
        <v>2430</v>
      </c>
      <c r="E3039" s="101" t="s">
        <v>577</v>
      </c>
      <c r="F3039" s="109">
        <f t="shared" si="8"/>
        <v>155</v>
      </c>
      <c r="G3039" s="110" t="s">
        <v>2588</v>
      </c>
    </row>
    <row r="3040" ht="15.75" customHeight="1">
      <c r="B3040" s="95"/>
      <c r="C3040" s="108" t="s">
        <v>210</v>
      </c>
      <c r="D3040" s="101" t="s">
        <v>2430</v>
      </c>
      <c r="E3040" s="101" t="s">
        <v>577</v>
      </c>
      <c r="F3040" s="109">
        <f t="shared" si="8"/>
        <v>156</v>
      </c>
      <c r="G3040" s="110" t="s">
        <v>2589</v>
      </c>
    </row>
    <row r="3041" ht="15.75" customHeight="1">
      <c r="B3041" s="95"/>
      <c r="C3041" s="108" t="s">
        <v>210</v>
      </c>
      <c r="D3041" s="101" t="s">
        <v>2430</v>
      </c>
      <c r="E3041" s="101" t="s">
        <v>577</v>
      </c>
      <c r="F3041" s="109">
        <f t="shared" si="8"/>
        <v>157</v>
      </c>
      <c r="G3041" s="110" t="s">
        <v>2590</v>
      </c>
    </row>
    <row r="3042" ht="15.75" customHeight="1">
      <c r="B3042" s="95"/>
      <c r="C3042" s="108" t="s">
        <v>210</v>
      </c>
      <c r="D3042" s="101" t="s">
        <v>2430</v>
      </c>
      <c r="E3042" s="101" t="s">
        <v>577</v>
      </c>
      <c r="F3042" s="109">
        <f t="shared" si="8"/>
        <v>158</v>
      </c>
      <c r="G3042" s="110" t="s">
        <v>2591</v>
      </c>
    </row>
    <row r="3043" ht="15.75" customHeight="1">
      <c r="B3043" s="95"/>
      <c r="C3043" s="108" t="s">
        <v>210</v>
      </c>
      <c r="D3043" s="101" t="s">
        <v>2430</v>
      </c>
      <c r="E3043" s="101" t="s">
        <v>577</v>
      </c>
      <c r="F3043" s="109">
        <f t="shared" si="8"/>
        <v>159</v>
      </c>
      <c r="G3043" s="110" t="s">
        <v>2592</v>
      </c>
    </row>
    <row r="3044" ht="15.75" customHeight="1">
      <c r="B3044" s="95"/>
      <c r="C3044" s="108" t="s">
        <v>210</v>
      </c>
      <c r="D3044" s="101" t="s">
        <v>2430</v>
      </c>
      <c r="E3044" s="101" t="s">
        <v>577</v>
      </c>
      <c r="F3044" s="109">
        <f t="shared" si="8"/>
        <v>160</v>
      </c>
      <c r="G3044" s="110" t="s">
        <v>2593</v>
      </c>
    </row>
    <row r="3045" ht="15.75" customHeight="1">
      <c r="B3045" s="95"/>
      <c r="C3045" s="108" t="s">
        <v>210</v>
      </c>
      <c r="D3045" s="101" t="s">
        <v>2430</v>
      </c>
      <c r="E3045" s="101" t="s">
        <v>577</v>
      </c>
      <c r="F3045" s="109">
        <f t="shared" si="8"/>
        <v>161</v>
      </c>
      <c r="G3045" s="110" t="s">
        <v>2594</v>
      </c>
    </row>
    <row r="3046" ht="15.75" customHeight="1">
      <c r="B3046" s="95"/>
      <c r="C3046" s="108" t="s">
        <v>210</v>
      </c>
      <c r="D3046" s="101" t="s">
        <v>2430</v>
      </c>
      <c r="E3046" s="101" t="s">
        <v>577</v>
      </c>
      <c r="F3046" s="109">
        <f t="shared" si="8"/>
        <v>162</v>
      </c>
      <c r="G3046" s="110" t="s">
        <v>2595</v>
      </c>
    </row>
    <row r="3047" ht="15.75" customHeight="1">
      <c r="B3047" s="95"/>
      <c r="C3047" s="108" t="s">
        <v>210</v>
      </c>
      <c r="D3047" s="101" t="s">
        <v>2430</v>
      </c>
      <c r="E3047" s="101" t="s">
        <v>577</v>
      </c>
      <c r="F3047" s="109">
        <f t="shared" si="8"/>
        <v>163</v>
      </c>
      <c r="G3047" s="110" t="s">
        <v>2596</v>
      </c>
    </row>
    <row r="3048" ht="15.75" customHeight="1">
      <c r="B3048" s="95"/>
      <c r="C3048" s="108" t="s">
        <v>210</v>
      </c>
      <c r="D3048" s="101" t="s">
        <v>2430</v>
      </c>
      <c r="E3048" s="101" t="s">
        <v>577</v>
      </c>
      <c r="F3048" s="109">
        <f t="shared" si="8"/>
        <v>164</v>
      </c>
      <c r="G3048" s="110" t="s">
        <v>2597</v>
      </c>
    </row>
    <row r="3049" ht="15.75" customHeight="1">
      <c r="B3049" s="95"/>
      <c r="C3049" s="108" t="s">
        <v>210</v>
      </c>
      <c r="D3049" s="101" t="s">
        <v>2430</v>
      </c>
      <c r="E3049" s="101" t="s">
        <v>577</v>
      </c>
      <c r="F3049" s="109">
        <f t="shared" si="8"/>
        <v>165</v>
      </c>
      <c r="G3049" s="110" t="s">
        <v>2598</v>
      </c>
    </row>
    <row r="3050" ht="15.75" customHeight="1">
      <c r="B3050" s="95"/>
      <c r="C3050" s="108" t="s">
        <v>210</v>
      </c>
      <c r="D3050" s="101" t="s">
        <v>2430</v>
      </c>
      <c r="E3050" s="101" t="s">
        <v>577</v>
      </c>
      <c r="F3050" s="109">
        <f t="shared" si="8"/>
        <v>166</v>
      </c>
      <c r="G3050" s="110" t="s">
        <v>2601</v>
      </c>
    </row>
    <row r="3051" ht="15.75" customHeight="1">
      <c r="B3051" s="95"/>
      <c r="C3051" s="108" t="s">
        <v>210</v>
      </c>
      <c r="D3051" s="101" t="s">
        <v>2430</v>
      </c>
      <c r="E3051" s="101" t="s">
        <v>577</v>
      </c>
      <c r="F3051" s="109">
        <f t="shared" si="8"/>
        <v>167</v>
      </c>
      <c r="G3051" s="110" t="s">
        <v>2602</v>
      </c>
    </row>
    <row r="3052" ht="15.75" customHeight="1">
      <c r="B3052" s="95"/>
      <c r="C3052" s="108" t="s">
        <v>210</v>
      </c>
      <c r="D3052" s="101" t="s">
        <v>2430</v>
      </c>
      <c r="E3052" s="101" t="s">
        <v>577</v>
      </c>
      <c r="F3052" s="109">
        <f t="shared" si="8"/>
        <v>168</v>
      </c>
      <c r="G3052" s="110" t="s">
        <v>2603</v>
      </c>
    </row>
    <row r="3053" ht="15.75" customHeight="1">
      <c r="B3053" s="95"/>
      <c r="C3053" s="108" t="s">
        <v>210</v>
      </c>
      <c r="D3053" s="101" t="s">
        <v>2430</v>
      </c>
      <c r="E3053" s="101" t="s">
        <v>577</v>
      </c>
      <c r="F3053" s="109">
        <f t="shared" si="8"/>
        <v>169</v>
      </c>
      <c r="G3053" s="110" t="s">
        <v>2604</v>
      </c>
    </row>
    <row r="3054" ht="15.75" customHeight="1">
      <c r="B3054" s="95"/>
      <c r="C3054" s="108" t="s">
        <v>210</v>
      </c>
      <c r="D3054" s="101" t="s">
        <v>2430</v>
      </c>
      <c r="E3054" s="101" t="s">
        <v>577</v>
      </c>
      <c r="F3054" s="109">
        <f t="shared" si="8"/>
        <v>170</v>
      </c>
      <c r="G3054" s="110" t="s">
        <v>2605</v>
      </c>
    </row>
    <row r="3055" ht="15.75" customHeight="1">
      <c r="B3055" s="95"/>
      <c r="C3055" s="108" t="s">
        <v>210</v>
      </c>
      <c r="D3055" s="101" t="s">
        <v>2430</v>
      </c>
      <c r="E3055" s="101" t="s">
        <v>577</v>
      </c>
      <c r="F3055" s="109">
        <f t="shared" si="8"/>
        <v>171</v>
      </c>
      <c r="G3055" s="110" t="s">
        <v>2606</v>
      </c>
    </row>
    <row r="3056" ht="15.75" customHeight="1">
      <c r="B3056" s="95"/>
      <c r="C3056" s="108" t="s">
        <v>210</v>
      </c>
      <c r="D3056" s="101" t="s">
        <v>2430</v>
      </c>
      <c r="E3056" s="101" t="s">
        <v>577</v>
      </c>
      <c r="F3056" s="109">
        <f t="shared" si="8"/>
        <v>172</v>
      </c>
      <c r="G3056" s="110" t="s">
        <v>2607</v>
      </c>
    </row>
    <row r="3057" ht="15.75" customHeight="1">
      <c r="B3057" s="95"/>
      <c r="C3057" s="108" t="s">
        <v>210</v>
      </c>
      <c r="D3057" s="101" t="s">
        <v>2430</v>
      </c>
      <c r="E3057" s="101" t="s">
        <v>577</v>
      </c>
      <c r="F3057" s="109">
        <f t="shared" si="8"/>
        <v>173</v>
      </c>
      <c r="G3057" s="110" t="s">
        <v>2608</v>
      </c>
    </row>
    <row r="3058" ht="15.75" customHeight="1">
      <c r="B3058" s="95"/>
      <c r="C3058" s="108" t="s">
        <v>210</v>
      </c>
      <c r="D3058" s="101" t="s">
        <v>2430</v>
      </c>
      <c r="E3058" s="101" t="s">
        <v>577</v>
      </c>
      <c r="F3058" s="109">
        <f t="shared" si="8"/>
        <v>174</v>
      </c>
      <c r="G3058" s="110" t="s">
        <v>2609</v>
      </c>
    </row>
    <row r="3059" ht="15.75" customHeight="1">
      <c r="B3059" s="95"/>
      <c r="C3059" s="108" t="s">
        <v>210</v>
      </c>
      <c r="D3059" s="101" t="s">
        <v>2430</v>
      </c>
      <c r="E3059" s="101" t="s">
        <v>577</v>
      </c>
      <c r="F3059" s="109">
        <f t="shared" si="8"/>
        <v>175</v>
      </c>
      <c r="G3059" s="110" t="s">
        <v>2610</v>
      </c>
    </row>
    <row r="3060" ht="15.75" customHeight="1">
      <c r="B3060" s="95"/>
      <c r="C3060" s="108" t="s">
        <v>210</v>
      </c>
      <c r="D3060" s="101" t="s">
        <v>2430</v>
      </c>
      <c r="E3060" s="101" t="s">
        <v>577</v>
      </c>
      <c r="F3060" s="109">
        <f t="shared" si="8"/>
        <v>176</v>
      </c>
      <c r="G3060" s="110" t="s">
        <v>2611</v>
      </c>
    </row>
    <row r="3061" ht="15.75" customHeight="1">
      <c r="B3061" s="95"/>
      <c r="C3061" s="108" t="s">
        <v>210</v>
      </c>
      <c r="D3061" s="101" t="s">
        <v>2430</v>
      </c>
      <c r="E3061" s="101" t="s">
        <v>577</v>
      </c>
      <c r="F3061" s="109">
        <f t="shared" si="8"/>
        <v>177</v>
      </c>
      <c r="G3061" s="110" t="s">
        <v>2612</v>
      </c>
    </row>
    <row r="3062" ht="15.75" customHeight="1">
      <c r="B3062" s="95"/>
      <c r="C3062" s="108" t="s">
        <v>210</v>
      </c>
      <c r="D3062" s="101" t="s">
        <v>2430</v>
      </c>
      <c r="E3062" s="101" t="s">
        <v>577</v>
      </c>
      <c r="F3062" s="109">
        <f t="shared" si="8"/>
        <v>178</v>
      </c>
      <c r="G3062" s="110" t="s">
        <v>2613</v>
      </c>
    </row>
    <row r="3063" ht="15.75" customHeight="1">
      <c r="B3063" s="95"/>
      <c r="C3063" s="108" t="s">
        <v>210</v>
      </c>
      <c r="D3063" s="101" t="s">
        <v>2430</v>
      </c>
      <c r="E3063" s="101" t="s">
        <v>577</v>
      </c>
      <c r="F3063" s="109">
        <f t="shared" si="8"/>
        <v>179</v>
      </c>
      <c r="G3063" s="110" t="s">
        <v>2616</v>
      </c>
    </row>
    <row r="3064" ht="15.75" customHeight="1">
      <c r="B3064" s="95"/>
      <c r="C3064" s="108" t="s">
        <v>210</v>
      </c>
      <c r="D3064" s="101" t="s">
        <v>2430</v>
      </c>
      <c r="E3064" s="101" t="s">
        <v>577</v>
      </c>
      <c r="F3064" s="109">
        <f t="shared" si="8"/>
        <v>180</v>
      </c>
      <c r="G3064" s="110" t="s">
        <v>2617</v>
      </c>
    </row>
    <row r="3065" ht="15.75" customHeight="1">
      <c r="B3065" s="95"/>
      <c r="C3065" s="108" t="s">
        <v>210</v>
      </c>
      <c r="D3065" s="101" t="s">
        <v>2430</v>
      </c>
      <c r="E3065" s="101" t="s">
        <v>577</v>
      </c>
      <c r="F3065" s="109">
        <f t="shared" si="8"/>
        <v>181</v>
      </c>
      <c r="G3065" s="110" t="s">
        <v>2618</v>
      </c>
    </row>
    <row r="3066" ht="15.75" customHeight="1">
      <c r="B3066" s="95"/>
      <c r="C3066" s="108" t="s">
        <v>210</v>
      </c>
      <c r="D3066" s="101" t="s">
        <v>2430</v>
      </c>
      <c r="E3066" s="101" t="s">
        <v>577</v>
      </c>
      <c r="F3066" s="109">
        <f t="shared" si="8"/>
        <v>182</v>
      </c>
      <c r="G3066" s="110" t="s">
        <v>2619</v>
      </c>
    </row>
    <row r="3067" ht="15.75" customHeight="1">
      <c r="B3067" s="95"/>
      <c r="C3067" s="108" t="s">
        <v>210</v>
      </c>
      <c r="D3067" s="101" t="s">
        <v>2430</v>
      </c>
      <c r="E3067" s="101" t="s">
        <v>577</v>
      </c>
      <c r="F3067" s="109">
        <f t="shared" si="8"/>
        <v>183</v>
      </c>
      <c r="G3067" s="110" t="s">
        <v>2620</v>
      </c>
    </row>
    <row r="3068" ht="15.75" customHeight="1">
      <c r="B3068" s="95"/>
      <c r="C3068" s="108" t="s">
        <v>210</v>
      </c>
      <c r="D3068" s="101" t="s">
        <v>2430</v>
      </c>
      <c r="E3068" s="101" t="s">
        <v>577</v>
      </c>
      <c r="F3068" s="109">
        <f t="shared" si="8"/>
        <v>184</v>
      </c>
      <c r="G3068" s="110" t="s">
        <v>2621</v>
      </c>
    </row>
    <row r="3069" ht="15.75" customHeight="1">
      <c r="B3069" s="95"/>
      <c r="C3069" s="108" t="s">
        <v>210</v>
      </c>
      <c r="D3069" s="101" t="s">
        <v>2430</v>
      </c>
      <c r="E3069" s="101" t="s">
        <v>577</v>
      </c>
      <c r="F3069" s="109">
        <f t="shared" si="8"/>
        <v>185</v>
      </c>
      <c r="G3069" s="110" t="s">
        <v>2622</v>
      </c>
    </row>
    <row r="3070" ht="15.75" customHeight="1">
      <c r="B3070" s="95"/>
      <c r="C3070" s="108" t="s">
        <v>210</v>
      </c>
      <c r="D3070" s="101" t="s">
        <v>2430</v>
      </c>
      <c r="E3070" s="101" t="s">
        <v>577</v>
      </c>
      <c r="F3070" s="109">
        <f t="shared" si="8"/>
        <v>186</v>
      </c>
      <c r="G3070" s="110" t="s">
        <v>2623</v>
      </c>
    </row>
    <row r="3071" ht="15.75" customHeight="1">
      <c r="B3071" s="95"/>
      <c r="C3071" s="108" t="s">
        <v>210</v>
      </c>
      <c r="D3071" s="101" t="s">
        <v>2430</v>
      </c>
      <c r="E3071" s="101" t="s">
        <v>577</v>
      </c>
      <c r="F3071" s="109">
        <f t="shared" si="8"/>
        <v>187</v>
      </c>
      <c r="G3071" s="110" t="s">
        <v>2624</v>
      </c>
    </row>
    <row r="3072" ht="15.75" customHeight="1">
      <c r="B3072" s="95"/>
      <c r="C3072" s="108" t="s">
        <v>210</v>
      </c>
      <c r="D3072" s="101" t="s">
        <v>2430</v>
      </c>
      <c r="E3072" s="101" t="s">
        <v>577</v>
      </c>
      <c r="F3072" s="109">
        <f t="shared" si="8"/>
        <v>188</v>
      </c>
      <c r="G3072" s="110" t="s">
        <v>2625</v>
      </c>
    </row>
    <row r="3073" ht="15.75" customHeight="1">
      <c r="B3073" s="95"/>
      <c r="C3073" s="108" t="s">
        <v>210</v>
      </c>
      <c r="D3073" s="101" t="s">
        <v>2430</v>
      </c>
      <c r="E3073" s="101" t="s">
        <v>577</v>
      </c>
      <c r="F3073" s="109">
        <f t="shared" si="8"/>
        <v>189</v>
      </c>
      <c r="G3073" s="110" t="s">
        <v>2626</v>
      </c>
    </row>
    <row r="3074" ht="15.75" customHeight="1">
      <c r="B3074" s="95"/>
      <c r="C3074" s="108" t="s">
        <v>210</v>
      </c>
      <c r="D3074" s="101" t="s">
        <v>2430</v>
      </c>
      <c r="E3074" s="101" t="s">
        <v>577</v>
      </c>
      <c r="F3074" s="109">
        <f t="shared" si="8"/>
        <v>190</v>
      </c>
      <c r="G3074" s="110" t="s">
        <v>2627</v>
      </c>
    </row>
    <row r="3075" ht="15.75" customHeight="1">
      <c r="B3075" s="95"/>
      <c r="C3075" s="108" t="s">
        <v>210</v>
      </c>
      <c r="D3075" s="101" t="s">
        <v>2430</v>
      </c>
      <c r="E3075" s="101" t="s">
        <v>577</v>
      </c>
      <c r="F3075" s="109">
        <f t="shared" si="8"/>
        <v>191</v>
      </c>
      <c r="G3075" s="110" t="s">
        <v>2628</v>
      </c>
    </row>
    <row r="3076" ht="15.75" customHeight="1">
      <c r="B3076" s="95"/>
      <c r="C3076" s="108" t="s">
        <v>210</v>
      </c>
      <c r="D3076" s="101" t="s">
        <v>2430</v>
      </c>
      <c r="E3076" s="101" t="s">
        <v>577</v>
      </c>
      <c r="F3076" s="109">
        <f t="shared" si="8"/>
        <v>192</v>
      </c>
      <c r="G3076" s="110" t="s">
        <v>2629</v>
      </c>
    </row>
    <row r="3077" ht="15.75" customHeight="1">
      <c r="B3077" s="95"/>
      <c r="C3077" s="108" t="s">
        <v>210</v>
      </c>
      <c r="D3077" s="101" t="s">
        <v>2430</v>
      </c>
      <c r="E3077" s="101" t="s">
        <v>577</v>
      </c>
      <c r="F3077" s="109">
        <f t="shared" si="8"/>
        <v>193</v>
      </c>
      <c r="G3077" s="110" t="s">
        <v>2632</v>
      </c>
    </row>
    <row r="3078" ht="15.75" customHeight="1">
      <c r="B3078" s="95"/>
      <c r="C3078" s="108" t="s">
        <v>210</v>
      </c>
      <c r="D3078" s="101" t="s">
        <v>2430</v>
      </c>
      <c r="E3078" s="101" t="s">
        <v>577</v>
      </c>
      <c r="F3078" s="109">
        <f t="shared" si="8"/>
        <v>194</v>
      </c>
      <c r="G3078" s="110" t="s">
        <v>2633</v>
      </c>
    </row>
    <row r="3079" ht="15.75" customHeight="1">
      <c r="B3079" s="95"/>
      <c r="C3079" s="108" t="s">
        <v>210</v>
      </c>
      <c r="D3079" s="101" t="s">
        <v>2430</v>
      </c>
      <c r="E3079" s="101" t="s">
        <v>577</v>
      </c>
      <c r="F3079" s="109">
        <f t="shared" si="8"/>
        <v>195</v>
      </c>
      <c r="G3079" s="110" t="s">
        <v>2634</v>
      </c>
    </row>
    <row r="3080" ht="15.75" customHeight="1">
      <c r="B3080" s="95"/>
      <c r="C3080" s="108" t="s">
        <v>210</v>
      </c>
      <c r="D3080" s="101" t="s">
        <v>2430</v>
      </c>
      <c r="E3080" s="101" t="s">
        <v>577</v>
      </c>
      <c r="F3080" s="109">
        <f t="shared" si="8"/>
        <v>196</v>
      </c>
      <c r="G3080" s="110" t="s">
        <v>2635</v>
      </c>
    </row>
    <row r="3081" ht="15.75" customHeight="1">
      <c r="B3081" s="95"/>
      <c r="C3081" s="108" t="s">
        <v>210</v>
      </c>
      <c r="D3081" s="101" t="s">
        <v>2430</v>
      </c>
      <c r="E3081" s="101" t="s">
        <v>577</v>
      </c>
      <c r="F3081" s="109">
        <f t="shared" si="8"/>
        <v>197</v>
      </c>
      <c r="G3081" s="110" t="s">
        <v>2636</v>
      </c>
    </row>
    <row r="3082" ht="15.75" customHeight="1">
      <c r="B3082" s="95"/>
      <c r="C3082" s="108" t="s">
        <v>210</v>
      </c>
      <c r="D3082" s="101" t="s">
        <v>2430</v>
      </c>
      <c r="E3082" s="101" t="s">
        <v>577</v>
      </c>
      <c r="F3082" s="109">
        <f t="shared" si="8"/>
        <v>198</v>
      </c>
      <c r="G3082" s="110" t="s">
        <v>2637</v>
      </c>
    </row>
    <row r="3083" ht="15.75" customHeight="1">
      <c r="B3083" s="95"/>
      <c r="C3083" s="108" t="s">
        <v>210</v>
      </c>
      <c r="D3083" s="101" t="s">
        <v>2430</v>
      </c>
      <c r="E3083" s="101" t="s">
        <v>577</v>
      </c>
      <c r="F3083" s="109">
        <f t="shared" si="8"/>
        <v>199</v>
      </c>
      <c r="G3083" s="110" t="s">
        <v>2638</v>
      </c>
    </row>
    <row r="3084" ht="15.75" customHeight="1">
      <c r="B3084" s="95"/>
      <c r="C3084" s="108" t="s">
        <v>210</v>
      </c>
      <c r="D3084" s="101" t="s">
        <v>2430</v>
      </c>
      <c r="E3084" s="101" t="s">
        <v>577</v>
      </c>
      <c r="F3084" s="109">
        <f t="shared" si="8"/>
        <v>200</v>
      </c>
      <c r="G3084" s="110" t="s">
        <v>2639</v>
      </c>
    </row>
    <row r="3085" ht="15.75" customHeight="1">
      <c r="B3085" s="95"/>
      <c r="C3085" s="108" t="s">
        <v>210</v>
      </c>
      <c r="D3085" s="101" t="s">
        <v>2430</v>
      </c>
      <c r="E3085" s="101" t="s">
        <v>577</v>
      </c>
      <c r="F3085" s="109">
        <f t="shared" si="8"/>
        <v>201</v>
      </c>
      <c r="G3085" s="110" t="s">
        <v>2640</v>
      </c>
    </row>
    <row r="3086" ht="15.75" customHeight="1">
      <c r="B3086" s="95"/>
      <c r="C3086" s="108" t="s">
        <v>210</v>
      </c>
      <c r="D3086" s="101" t="s">
        <v>2430</v>
      </c>
      <c r="E3086" s="101" t="s">
        <v>577</v>
      </c>
      <c r="F3086" s="109">
        <f t="shared" si="8"/>
        <v>202</v>
      </c>
      <c r="G3086" s="110" t="s">
        <v>2641</v>
      </c>
    </row>
    <row r="3087" ht="15.75" customHeight="1">
      <c r="B3087" s="95"/>
      <c r="C3087" s="108" t="s">
        <v>210</v>
      </c>
      <c r="D3087" s="101" t="s">
        <v>2430</v>
      </c>
      <c r="E3087" s="101" t="s">
        <v>577</v>
      </c>
      <c r="F3087" s="109">
        <f t="shared" si="8"/>
        <v>203</v>
      </c>
      <c r="G3087" s="110" t="s">
        <v>2642</v>
      </c>
    </row>
    <row r="3088" ht="15.75" customHeight="1">
      <c r="B3088" s="95"/>
      <c r="C3088" s="108" t="s">
        <v>210</v>
      </c>
      <c r="D3088" s="101" t="s">
        <v>2430</v>
      </c>
      <c r="E3088" s="101" t="s">
        <v>577</v>
      </c>
      <c r="F3088" s="109">
        <f t="shared" si="8"/>
        <v>204</v>
      </c>
      <c r="G3088" s="110" t="s">
        <v>2643</v>
      </c>
    </row>
    <row r="3089" ht="15.75" customHeight="1">
      <c r="B3089" s="95"/>
      <c r="C3089" s="108" t="s">
        <v>210</v>
      </c>
      <c r="D3089" s="101" t="s">
        <v>2430</v>
      </c>
      <c r="E3089" s="101" t="s">
        <v>577</v>
      </c>
      <c r="F3089" s="109">
        <f t="shared" si="8"/>
        <v>205</v>
      </c>
      <c r="G3089" s="110" t="s">
        <v>2644</v>
      </c>
    </row>
    <row r="3090" ht="15.75" customHeight="1">
      <c r="B3090" s="95"/>
      <c r="C3090" s="108" t="s">
        <v>210</v>
      </c>
      <c r="D3090" s="101" t="s">
        <v>2430</v>
      </c>
      <c r="E3090" s="101" t="s">
        <v>577</v>
      </c>
      <c r="F3090" s="109">
        <f t="shared" si="8"/>
        <v>206</v>
      </c>
      <c r="G3090" s="110" t="s">
        <v>2647</v>
      </c>
    </row>
    <row r="3091" ht="15.75" customHeight="1">
      <c r="B3091" s="95"/>
      <c r="C3091" s="108" t="s">
        <v>210</v>
      </c>
      <c r="D3091" s="101" t="s">
        <v>2430</v>
      </c>
      <c r="E3091" s="101" t="s">
        <v>577</v>
      </c>
      <c r="F3091" s="109">
        <f t="shared" si="8"/>
        <v>207</v>
      </c>
      <c r="G3091" s="110" t="s">
        <v>2648</v>
      </c>
    </row>
    <row r="3092" ht="15.75" customHeight="1">
      <c r="B3092" s="95"/>
      <c r="C3092" s="108" t="s">
        <v>210</v>
      </c>
      <c r="D3092" s="101" t="s">
        <v>2430</v>
      </c>
      <c r="E3092" s="101" t="s">
        <v>577</v>
      </c>
      <c r="F3092" s="109">
        <f t="shared" si="8"/>
        <v>208</v>
      </c>
      <c r="G3092" s="110" t="s">
        <v>2649</v>
      </c>
    </row>
    <row r="3093" ht="15.75" customHeight="1">
      <c r="B3093" s="95"/>
      <c r="C3093" s="108" t="s">
        <v>210</v>
      </c>
      <c r="D3093" s="101" t="s">
        <v>2430</v>
      </c>
      <c r="E3093" s="101" t="s">
        <v>577</v>
      </c>
      <c r="F3093" s="109">
        <f t="shared" si="8"/>
        <v>209</v>
      </c>
      <c r="G3093" s="110" t="s">
        <v>2650</v>
      </c>
    </row>
    <row r="3094" ht="15.75" customHeight="1">
      <c r="B3094" s="95"/>
      <c r="C3094" s="108" t="s">
        <v>210</v>
      </c>
      <c r="D3094" s="101" t="s">
        <v>2430</v>
      </c>
      <c r="E3094" s="101" t="s">
        <v>577</v>
      </c>
      <c r="F3094" s="109">
        <f t="shared" si="8"/>
        <v>210</v>
      </c>
      <c r="G3094" s="110" t="s">
        <v>2651</v>
      </c>
    </row>
    <row r="3095" ht="15.75" customHeight="1">
      <c r="B3095" s="95"/>
      <c r="C3095" s="108" t="s">
        <v>210</v>
      </c>
      <c r="D3095" s="101" t="s">
        <v>2430</v>
      </c>
      <c r="E3095" s="101" t="s">
        <v>577</v>
      </c>
      <c r="F3095" s="109">
        <f t="shared" si="8"/>
        <v>211</v>
      </c>
      <c r="G3095" s="110" t="s">
        <v>2652</v>
      </c>
    </row>
    <row r="3096" ht="15.75" customHeight="1">
      <c r="B3096" s="95"/>
      <c r="C3096" s="108" t="s">
        <v>210</v>
      </c>
      <c r="D3096" s="101" t="s">
        <v>2430</v>
      </c>
      <c r="E3096" s="101" t="s">
        <v>577</v>
      </c>
      <c r="F3096" s="109">
        <f t="shared" si="8"/>
        <v>212</v>
      </c>
      <c r="G3096" s="110" t="s">
        <v>2653</v>
      </c>
    </row>
    <row r="3097" ht="15.75" customHeight="1">
      <c r="B3097" s="95"/>
      <c r="C3097" s="108" t="s">
        <v>210</v>
      </c>
      <c r="D3097" s="101" t="s">
        <v>2430</v>
      </c>
      <c r="E3097" s="101" t="s">
        <v>577</v>
      </c>
      <c r="F3097" s="109">
        <f t="shared" si="8"/>
        <v>213</v>
      </c>
      <c r="G3097" s="110" t="s">
        <v>2654</v>
      </c>
    </row>
    <row r="3098" ht="15.75" customHeight="1">
      <c r="B3098" s="95"/>
      <c r="C3098" s="108" t="s">
        <v>210</v>
      </c>
      <c r="D3098" s="101" t="s">
        <v>2430</v>
      </c>
      <c r="E3098" s="101" t="s">
        <v>577</v>
      </c>
      <c r="F3098" s="109">
        <f t="shared" si="8"/>
        <v>214</v>
      </c>
      <c r="G3098" s="110" t="s">
        <v>2655</v>
      </c>
    </row>
    <row r="3099" ht="15.75" customHeight="1">
      <c r="B3099" s="95"/>
      <c r="C3099" s="108" t="s">
        <v>210</v>
      </c>
      <c r="D3099" s="101" t="s">
        <v>2430</v>
      </c>
      <c r="E3099" s="101" t="s">
        <v>577</v>
      </c>
      <c r="F3099" s="109">
        <f t="shared" si="8"/>
        <v>215</v>
      </c>
      <c r="G3099" s="110" t="s">
        <v>2656</v>
      </c>
    </row>
    <row r="3100" ht="15.75" customHeight="1">
      <c r="B3100" s="95"/>
      <c r="C3100" s="108" t="s">
        <v>210</v>
      </c>
      <c r="D3100" s="101" t="s">
        <v>2430</v>
      </c>
      <c r="E3100" s="101" t="s">
        <v>577</v>
      </c>
      <c r="F3100" s="109">
        <f t="shared" si="8"/>
        <v>216</v>
      </c>
      <c r="G3100" s="110" t="s">
        <v>2657</v>
      </c>
    </row>
    <row r="3101" ht="15.75" customHeight="1">
      <c r="B3101" s="95"/>
      <c r="C3101" s="108" t="s">
        <v>210</v>
      </c>
      <c r="D3101" s="101" t="s">
        <v>2430</v>
      </c>
      <c r="E3101" s="101" t="s">
        <v>577</v>
      </c>
      <c r="F3101" s="109">
        <f t="shared" si="8"/>
        <v>217</v>
      </c>
      <c r="G3101" s="110" t="s">
        <v>2658</v>
      </c>
    </row>
    <row r="3102" ht="15.75" customHeight="1">
      <c r="B3102" s="95"/>
      <c r="C3102" s="108" t="s">
        <v>210</v>
      </c>
      <c r="D3102" s="101" t="s">
        <v>2430</v>
      </c>
      <c r="E3102" s="101" t="s">
        <v>577</v>
      </c>
      <c r="F3102" s="109">
        <f t="shared" si="8"/>
        <v>218</v>
      </c>
      <c r="G3102" s="110" t="s">
        <v>2659</v>
      </c>
    </row>
    <row r="3103" ht="15.75" customHeight="1">
      <c r="B3103" s="95"/>
      <c r="C3103" s="108" t="s">
        <v>210</v>
      </c>
      <c r="D3103" s="101" t="s">
        <v>2430</v>
      </c>
      <c r="E3103" s="101" t="s">
        <v>577</v>
      </c>
      <c r="F3103" s="109">
        <f t="shared" si="8"/>
        <v>219</v>
      </c>
      <c r="G3103" s="110" t="s">
        <v>2660</v>
      </c>
    </row>
    <row r="3104" ht="15.75" customHeight="1">
      <c r="B3104" s="95"/>
      <c r="C3104" s="108" t="s">
        <v>210</v>
      </c>
      <c r="D3104" s="101" t="s">
        <v>2430</v>
      </c>
      <c r="E3104" s="101" t="s">
        <v>577</v>
      </c>
      <c r="F3104" s="109">
        <f t="shared" si="8"/>
        <v>220</v>
      </c>
      <c r="G3104" s="110" t="s">
        <v>2661</v>
      </c>
    </row>
    <row r="3105" ht="15.75" customHeight="1">
      <c r="B3105" s="95"/>
      <c r="C3105" s="108" t="s">
        <v>210</v>
      </c>
      <c r="D3105" s="101" t="s">
        <v>2430</v>
      </c>
      <c r="E3105" s="101" t="s">
        <v>577</v>
      </c>
      <c r="F3105" s="109">
        <f t="shared" si="8"/>
        <v>221</v>
      </c>
      <c r="G3105" s="110" t="s">
        <v>2662</v>
      </c>
    </row>
    <row r="3106" ht="15.75" customHeight="1">
      <c r="B3106" s="95"/>
      <c r="C3106" s="108" t="s">
        <v>210</v>
      </c>
      <c r="D3106" s="101" t="s">
        <v>2430</v>
      </c>
      <c r="E3106" s="101" t="s">
        <v>577</v>
      </c>
      <c r="F3106" s="109">
        <f t="shared" si="8"/>
        <v>222</v>
      </c>
      <c r="G3106" s="110" t="s">
        <v>2663</v>
      </c>
    </row>
    <row r="3107" ht="15.75" customHeight="1">
      <c r="B3107" s="95"/>
      <c r="C3107" s="108" t="s">
        <v>210</v>
      </c>
      <c r="D3107" s="101" t="s">
        <v>2430</v>
      </c>
      <c r="E3107" s="101" t="s">
        <v>577</v>
      </c>
      <c r="F3107" s="109">
        <f t="shared" si="8"/>
        <v>223</v>
      </c>
      <c r="G3107" s="110" t="s">
        <v>2664</v>
      </c>
    </row>
    <row r="3108" ht="15.75" customHeight="1">
      <c r="B3108" s="95"/>
      <c r="C3108" s="108" t="s">
        <v>210</v>
      </c>
      <c r="D3108" s="101" t="s">
        <v>2430</v>
      </c>
      <c r="E3108" s="101" t="s">
        <v>577</v>
      </c>
      <c r="F3108" s="109">
        <f t="shared" si="8"/>
        <v>224</v>
      </c>
      <c r="G3108" s="110" t="s">
        <v>2665</v>
      </c>
    </row>
    <row r="3109" ht="15.75" customHeight="1">
      <c r="B3109" s="95"/>
      <c r="C3109" s="108" t="s">
        <v>210</v>
      </c>
      <c r="D3109" s="101" t="s">
        <v>2430</v>
      </c>
      <c r="E3109" s="101" t="s">
        <v>577</v>
      </c>
      <c r="F3109" s="109">
        <f t="shared" si="8"/>
        <v>225</v>
      </c>
      <c r="G3109" s="110" t="s">
        <v>2673</v>
      </c>
    </row>
    <row r="3110" ht="15.75" customHeight="1">
      <c r="B3110" s="95"/>
      <c r="C3110" s="108" t="s">
        <v>210</v>
      </c>
      <c r="D3110" s="101" t="s">
        <v>2430</v>
      </c>
      <c r="E3110" s="101" t="s">
        <v>577</v>
      </c>
      <c r="F3110" s="109">
        <f t="shared" si="8"/>
        <v>226</v>
      </c>
      <c r="G3110" s="110" t="s">
        <v>2674</v>
      </c>
    </row>
    <row r="3111" ht="15.75" customHeight="1">
      <c r="B3111" s="95"/>
      <c r="C3111" s="108" t="s">
        <v>210</v>
      </c>
      <c r="D3111" s="101" t="s">
        <v>2430</v>
      </c>
      <c r="E3111" s="101" t="s">
        <v>577</v>
      </c>
      <c r="F3111" s="109">
        <f t="shared" si="8"/>
        <v>227</v>
      </c>
      <c r="G3111" s="110" t="s">
        <v>2675</v>
      </c>
    </row>
    <row r="3112" ht="15.75" customHeight="1">
      <c r="B3112" s="95"/>
      <c r="C3112" s="108" t="s">
        <v>210</v>
      </c>
      <c r="D3112" s="101" t="s">
        <v>2430</v>
      </c>
      <c r="E3112" s="101" t="s">
        <v>577</v>
      </c>
      <c r="F3112" s="109">
        <f t="shared" si="8"/>
        <v>228</v>
      </c>
      <c r="G3112" s="110" t="s">
        <v>2676</v>
      </c>
    </row>
    <row r="3113" ht="15.75" customHeight="1">
      <c r="B3113" s="95"/>
      <c r="C3113" s="108" t="s">
        <v>210</v>
      </c>
      <c r="D3113" s="101" t="s">
        <v>2430</v>
      </c>
      <c r="E3113" s="101" t="s">
        <v>577</v>
      </c>
      <c r="F3113" s="109">
        <f t="shared" si="8"/>
        <v>229</v>
      </c>
      <c r="G3113" s="110" t="s">
        <v>2677</v>
      </c>
    </row>
    <row r="3114" ht="15.75" customHeight="1">
      <c r="B3114" s="95"/>
      <c r="C3114" s="108" t="s">
        <v>210</v>
      </c>
      <c r="D3114" s="101" t="s">
        <v>2430</v>
      </c>
      <c r="E3114" s="101" t="s">
        <v>577</v>
      </c>
      <c r="F3114" s="109">
        <f t="shared" si="8"/>
        <v>230</v>
      </c>
      <c r="G3114" s="110" t="s">
        <v>2678</v>
      </c>
    </row>
    <row r="3115" ht="15.75" customHeight="1">
      <c r="B3115" s="95"/>
      <c r="C3115" s="108" t="s">
        <v>210</v>
      </c>
      <c r="D3115" s="101" t="s">
        <v>2430</v>
      </c>
      <c r="E3115" s="101" t="s">
        <v>577</v>
      </c>
      <c r="F3115" s="109">
        <f t="shared" si="8"/>
        <v>231</v>
      </c>
      <c r="G3115" s="110" t="s">
        <v>2679</v>
      </c>
    </row>
    <row r="3116" ht="15.75" customHeight="1">
      <c r="B3116" s="95"/>
      <c r="C3116" s="108" t="s">
        <v>210</v>
      </c>
      <c r="D3116" s="101" t="s">
        <v>2430</v>
      </c>
      <c r="E3116" s="101" t="s">
        <v>577</v>
      </c>
      <c r="F3116" s="109">
        <f t="shared" si="8"/>
        <v>232</v>
      </c>
      <c r="G3116" s="110" t="s">
        <v>2680</v>
      </c>
    </row>
    <row r="3117" ht="15.75" customHeight="1">
      <c r="B3117" s="95"/>
      <c r="C3117" s="108" t="s">
        <v>210</v>
      </c>
      <c r="D3117" s="101" t="s">
        <v>2430</v>
      </c>
      <c r="E3117" s="101" t="s">
        <v>577</v>
      </c>
      <c r="F3117" s="109">
        <f t="shared" si="8"/>
        <v>233</v>
      </c>
      <c r="G3117" s="110" t="s">
        <v>2681</v>
      </c>
    </row>
    <row r="3118" ht="15.75" customHeight="1">
      <c r="B3118" s="95"/>
      <c r="C3118" s="108" t="s">
        <v>210</v>
      </c>
      <c r="D3118" s="101" t="s">
        <v>2430</v>
      </c>
      <c r="E3118" s="101" t="s">
        <v>577</v>
      </c>
      <c r="F3118" s="109">
        <f t="shared" si="8"/>
        <v>234</v>
      </c>
      <c r="G3118" s="110" t="s">
        <v>2682</v>
      </c>
    </row>
    <row r="3119" ht="15.75" customHeight="1">
      <c r="B3119" s="95"/>
      <c r="C3119" s="108" t="s">
        <v>210</v>
      </c>
      <c r="D3119" s="101" t="s">
        <v>2430</v>
      </c>
      <c r="E3119" s="101" t="s">
        <v>577</v>
      </c>
      <c r="F3119" s="109">
        <f t="shared" si="8"/>
        <v>235</v>
      </c>
      <c r="G3119" s="110" t="s">
        <v>2683</v>
      </c>
    </row>
    <row r="3120" ht="15.75" customHeight="1">
      <c r="B3120" s="95"/>
      <c r="C3120" s="108" t="s">
        <v>210</v>
      </c>
      <c r="D3120" s="101" t="s">
        <v>2430</v>
      </c>
      <c r="E3120" s="101" t="s">
        <v>577</v>
      </c>
      <c r="F3120" s="109">
        <f t="shared" si="8"/>
        <v>236</v>
      </c>
      <c r="G3120" s="110" t="s">
        <v>2684</v>
      </c>
    </row>
    <row r="3121" ht="15.75" customHeight="1">
      <c r="B3121" s="95"/>
      <c r="C3121" s="108" t="s">
        <v>210</v>
      </c>
      <c r="D3121" s="101" t="s">
        <v>2430</v>
      </c>
      <c r="E3121" s="101" t="s">
        <v>577</v>
      </c>
      <c r="F3121" s="109">
        <f t="shared" si="8"/>
        <v>237</v>
      </c>
      <c r="G3121" s="110" t="s">
        <v>2685</v>
      </c>
    </row>
    <row r="3122" ht="15.75" customHeight="1">
      <c r="B3122" s="95"/>
      <c r="C3122" s="108" t="s">
        <v>210</v>
      </c>
      <c r="D3122" s="101" t="s">
        <v>2430</v>
      </c>
      <c r="E3122" s="101" t="s">
        <v>577</v>
      </c>
      <c r="F3122" s="109">
        <f t="shared" si="8"/>
        <v>238</v>
      </c>
      <c r="G3122" s="110" t="s">
        <v>2686</v>
      </c>
    </row>
    <row r="3123" ht="15.75" customHeight="1">
      <c r="B3123" s="95"/>
      <c r="C3123" s="108" t="s">
        <v>210</v>
      </c>
      <c r="D3123" s="101" t="s">
        <v>2430</v>
      </c>
      <c r="E3123" s="101" t="s">
        <v>577</v>
      </c>
      <c r="F3123" s="109">
        <f t="shared" si="8"/>
        <v>239</v>
      </c>
      <c r="G3123" s="110" t="s">
        <v>2687</v>
      </c>
    </row>
    <row r="3124" ht="15.75" customHeight="1">
      <c r="B3124" s="95"/>
      <c r="C3124" s="108" t="s">
        <v>210</v>
      </c>
      <c r="D3124" s="101" t="s">
        <v>2430</v>
      </c>
      <c r="E3124" s="101" t="s">
        <v>577</v>
      </c>
      <c r="F3124" s="109">
        <f t="shared" si="8"/>
        <v>240</v>
      </c>
      <c r="G3124" s="110" t="s">
        <v>2688</v>
      </c>
    </row>
    <row r="3125" ht="15.75" customHeight="1">
      <c r="B3125" s="95"/>
      <c r="C3125" s="108" t="s">
        <v>210</v>
      </c>
      <c r="D3125" s="101" t="s">
        <v>2430</v>
      </c>
      <c r="E3125" s="101" t="s">
        <v>577</v>
      </c>
      <c r="F3125" s="109">
        <f t="shared" si="8"/>
        <v>241</v>
      </c>
      <c r="G3125" s="110" t="s">
        <v>2689</v>
      </c>
    </row>
    <row r="3126" ht="15.75" customHeight="1">
      <c r="B3126" s="95"/>
      <c r="C3126" s="108" t="s">
        <v>210</v>
      </c>
      <c r="D3126" s="101" t="s">
        <v>2430</v>
      </c>
      <c r="E3126" s="101" t="s">
        <v>577</v>
      </c>
      <c r="F3126" s="109">
        <f t="shared" si="8"/>
        <v>242</v>
      </c>
      <c r="G3126" s="110" t="s">
        <v>2690</v>
      </c>
    </row>
    <row r="3127" ht="15.75" customHeight="1">
      <c r="B3127" s="95"/>
      <c r="C3127" s="108" t="s">
        <v>210</v>
      </c>
      <c r="D3127" s="101" t="s">
        <v>2430</v>
      </c>
      <c r="E3127" s="101" t="s">
        <v>577</v>
      </c>
      <c r="F3127" s="109">
        <f t="shared" si="8"/>
        <v>243</v>
      </c>
      <c r="G3127" s="110" t="s">
        <v>2691</v>
      </c>
    </row>
    <row r="3128" ht="15.75" customHeight="1">
      <c r="B3128" s="95"/>
      <c r="C3128" s="108" t="s">
        <v>210</v>
      </c>
      <c r="D3128" s="101" t="s">
        <v>2430</v>
      </c>
      <c r="E3128" s="101" t="s">
        <v>577</v>
      </c>
      <c r="F3128" s="109">
        <f t="shared" si="8"/>
        <v>244</v>
      </c>
      <c r="G3128" s="110" t="s">
        <v>2692</v>
      </c>
    </row>
    <row r="3129" ht="15.75" customHeight="1">
      <c r="B3129" s="95"/>
      <c r="C3129" s="108" t="s">
        <v>210</v>
      </c>
      <c r="D3129" s="101" t="s">
        <v>2430</v>
      </c>
      <c r="E3129" s="101" t="s">
        <v>577</v>
      </c>
      <c r="F3129" s="109">
        <f t="shared" si="8"/>
        <v>245</v>
      </c>
      <c r="G3129" s="110" t="s">
        <v>2693</v>
      </c>
    </row>
    <row r="3130" ht="15.75" customHeight="1">
      <c r="B3130" s="95"/>
      <c r="C3130" s="108" t="s">
        <v>210</v>
      </c>
      <c r="D3130" s="101" t="s">
        <v>2430</v>
      </c>
      <c r="E3130" s="101" t="s">
        <v>577</v>
      </c>
      <c r="F3130" s="109">
        <f t="shared" si="8"/>
        <v>246</v>
      </c>
      <c r="G3130" s="110" t="s">
        <v>2694</v>
      </c>
    </row>
    <row r="3131" ht="15.75" customHeight="1">
      <c r="B3131" s="95"/>
      <c r="C3131" s="108" t="s">
        <v>210</v>
      </c>
      <c r="D3131" s="101" t="s">
        <v>2430</v>
      </c>
      <c r="E3131" s="101" t="s">
        <v>577</v>
      </c>
      <c r="F3131" s="109">
        <f t="shared" si="8"/>
        <v>247</v>
      </c>
      <c r="G3131" s="110" t="s">
        <v>2695</v>
      </c>
    </row>
    <row r="3132" ht="15.75" customHeight="1">
      <c r="B3132" s="95"/>
      <c r="C3132" s="108" t="s">
        <v>210</v>
      </c>
      <c r="D3132" s="101" t="s">
        <v>2430</v>
      </c>
      <c r="E3132" s="101" t="s">
        <v>577</v>
      </c>
      <c r="F3132" s="109">
        <f t="shared" si="8"/>
        <v>248</v>
      </c>
      <c r="G3132" s="110" t="s">
        <v>2696</v>
      </c>
    </row>
    <row r="3133" ht="15.75" customHeight="1">
      <c r="B3133" s="95"/>
      <c r="C3133" s="108" t="s">
        <v>210</v>
      </c>
      <c r="D3133" s="101" t="s">
        <v>2430</v>
      </c>
      <c r="E3133" s="101" t="s">
        <v>577</v>
      </c>
      <c r="F3133" s="109">
        <f t="shared" si="8"/>
        <v>249</v>
      </c>
      <c r="G3133" s="110" t="s">
        <v>2697</v>
      </c>
    </row>
    <row r="3134" ht="15.75" customHeight="1">
      <c r="B3134" s="95"/>
      <c r="C3134" s="108" t="s">
        <v>210</v>
      </c>
      <c r="D3134" s="101" t="s">
        <v>2430</v>
      </c>
      <c r="E3134" s="101" t="s">
        <v>577</v>
      </c>
      <c r="F3134" s="109">
        <f t="shared" si="8"/>
        <v>250</v>
      </c>
      <c r="G3134" s="110" t="s">
        <v>2698</v>
      </c>
    </row>
    <row r="3135" ht="15.75" customHeight="1">
      <c r="B3135" s="95"/>
      <c r="C3135" s="108" t="s">
        <v>210</v>
      </c>
      <c r="D3135" s="101" t="s">
        <v>2430</v>
      </c>
      <c r="E3135" s="101" t="s">
        <v>577</v>
      </c>
      <c r="F3135" s="109">
        <f t="shared" si="8"/>
        <v>251</v>
      </c>
      <c r="G3135" s="110" t="s">
        <v>2699</v>
      </c>
    </row>
    <row r="3136" ht="15.75" customHeight="1">
      <c r="B3136" s="95"/>
      <c r="C3136" s="108" t="s">
        <v>210</v>
      </c>
      <c r="D3136" s="101" t="s">
        <v>2430</v>
      </c>
      <c r="E3136" s="101" t="s">
        <v>577</v>
      </c>
      <c r="F3136" s="109">
        <f t="shared" si="8"/>
        <v>252</v>
      </c>
      <c r="G3136" s="110" t="s">
        <v>2700</v>
      </c>
    </row>
    <row r="3137" ht="15.75" customHeight="1">
      <c r="B3137" s="95"/>
      <c r="C3137" s="108" t="s">
        <v>210</v>
      </c>
      <c r="D3137" s="101" t="s">
        <v>2430</v>
      </c>
      <c r="E3137" s="101" t="s">
        <v>577</v>
      </c>
      <c r="F3137" s="109">
        <f t="shared" si="8"/>
        <v>253</v>
      </c>
      <c r="G3137" s="110" t="s">
        <v>2701</v>
      </c>
    </row>
    <row r="3138" ht="15.75" customHeight="1">
      <c r="B3138" s="95"/>
      <c r="C3138" s="108" t="s">
        <v>210</v>
      </c>
      <c r="D3138" s="101" t="s">
        <v>2430</v>
      </c>
      <c r="E3138" s="101" t="s">
        <v>577</v>
      </c>
      <c r="F3138" s="109">
        <f t="shared" si="8"/>
        <v>254</v>
      </c>
      <c r="G3138" s="110" t="s">
        <v>2702</v>
      </c>
    </row>
    <row r="3139" ht="15.75" customHeight="1">
      <c r="B3139" s="95"/>
      <c r="C3139" s="108" t="s">
        <v>210</v>
      </c>
      <c r="D3139" s="101" t="s">
        <v>2430</v>
      </c>
      <c r="E3139" s="101" t="s">
        <v>577</v>
      </c>
      <c r="F3139" s="109">
        <f t="shared" si="8"/>
        <v>255</v>
      </c>
      <c r="G3139" s="110" t="s">
        <v>2703</v>
      </c>
    </row>
    <row r="3140" ht="15.75" customHeight="1">
      <c r="B3140" s="95"/>
      <c r="C3140" s="108" t="s">
        <v>210</v>
      </c>
      <c r="D3140" s="101" t="s">
        <v>2430</v>
      </c>
      <c r="E3140" s="101" t="s">
        <v>577</v>
      </c>
      <c r="F3140" s="109">
        <f t="shared" si="8"/>
        <v>256</v>
      </c>
      <c r="G3140" s="110" t="s">
        <v>2704</v>
      </c>
    </row>
    <row r="3141" ht="15.75" customHeight="1">
      <c r="B3141" s="95"/>
      <c r="C3141" s="108" t="s">
        <v>211</v>
      </c>
      <c r="D3141" s="101" t="s">
        <v>2430</v>
      </c>
      <c r="E3141" s="101" t="s">
        <v>577</v>
      </c>
      <c r="F3141" s="109">
        <f t="shared" si="8"/>
        <v>2</v>
      </c>
      <c r="G3141" s="110" t="s">
        <v>2431</v>
      </c>
    </row>
    <row r="3142" ht="15.75" customHeight="1">
      <c r="B3142" s="95"/>
      <c r="C3142" s="108" t="s">
        <v>211</v>
      </c>
      <c r="D3142" s="101" t="s">
        <v>2430</v>
      </c>
      <c r="E3142" s="101" t="s">
        <v>577</v>
      </c>
      <c r="F3142" s="109">
        <f t="shared" si="8"/>
        <v>3</v>
      </c>
      <c r="G3142" s="110" t="s">
        <v>2705</v>
      </c>
    </row>
    <row r="3143" ht="15.75" customHeight="1">
      <c r="B3143" s="95"/>
      <c r="C3143" s="108" t="s">
        <v>211</v>
      </c>
      <c r="D3143" s="101" t="s">
        <v>2430</v>
      </c>
      <c r="E3143" s="101" t="s">
        <v>577</v>
      </c>
      <c r="F3143" s="109">
        <f t="shared" si="8"/>
        <v>4</v>
      </c>
      <c r="G3143" s="110" t="s">
        <v>2433</v>
      </c>
    </row>
    <row r="3144" ht="15.75" customHeight="1">
      <c r="B3144" s="95"/>
      <c r="C3144" s="108" t="s">
        <v>211</v>
      </c>
      <c r="D3144" s="101" t="s">
        <v>2430</v>
      </c>
      <c r="E3144" s="101" t="s">
        <v>577</v>
      </c>
      <c r="F3144" s="109">
        <f t="shared" si="8"/>
        <v>5</v>
      </c>
      <c r="G3144" s="110" t="s">
        <v>2706</v>
      </c>
    </row>
    <row r="3145" ht="15.75" customHeight="1">
      <c r="B3145" s="95"/>
      <c r="C3145" s="108" t="s">
        <v>211</v>
      </c>
      <c r="D3145" s="101" t="s">
        <v>2430</v>
      </c>
      <c r="E3145" s="101" t="s">
        <v>577</v>
      </c>
      <c r="F3145" s="109">
        <f t="shared" si="8"/>
        <v>6</v>
      </c>
      <c r="G3145" s="110" t="s">
        <v>2435</v>
      </c>
    </row>
    <row r="3146" ht="15.75" customHeight="1">
      <c r="B3146" s="95"/>
      <c r="C3146" s="108" t="s">
        <v>211</v>
      </c>
      <c r="D3146" s="101" t="s">
        <v>2430</v>
      </c>
      <c r="E3146" s="101" t="s">
        <v>577</v>
      </c>
      <c r="F3146" s="109">
        <f t="shared" si="8"/>
        <v>7</v>
      </c>
      <c r="G3146" s="110" t="s">
        <v>2707</v>
      </c>
    </row>
    <row r="3147" ht="15.75" customHeight="1">
      <c r="B3147" s="95"/>
      <c r="C3147" s="108" t="s">
        <v>211</v>
      </c>
      <c r="D3147" s="101" t="s">
        <v>2430</v>
      </c>
      <c r="E3147" s="101" t="s">
        <v>577</v>
      </c>
      <c r="F3147" s="109">
        <f t="shared" si="8"/>
        <v>8</v>
      </c>
      <c r="G3147" s="110" t="s">
        <v>2437</v>
      </c>
    </row>
    <row r="3148" ht="15.75" customHeight="1">
      <c r="B3148" s="95"/>
      <c r="C3148" s="108" t="s">
        <v>211</v>
      </c>
      <c r="D3148" s="101" t="s">
        <v>2430</v>
      </c>
      <c r="E3148" s="101" t="s">
        <v>577</v>
      </c>
      <c r="F3148" s="109">
        <f t="shared" si="8"/>
        <v>9</v>
      </c>
      <c r="G3148" s="110" t="s">
        <v>2708</v>
      </c>
    </row>
    <row r="3149" ht="15.75" customHeight="1">
      <c r="B3149" s="95"/>
      <c r="C3149" s="108" t="s">
        <v>211</v>
      </c>
      <c r="D3149" s="101" t="s">
        <v>2430</v>
      </c>
      <c r="E3149" s="101" t="s">
        <v>577</v>
      </c>
      <c r="F3149" s="109">
        <f t="shared" si="8"/>
        <v>10</v>
      </c>
      <c r="G3149" s="110" t="s">
        <v>2439</v>
      </c>
    </row>
    <row r="3150" ht="15.75" customHeight="1">
      <c r="B3150" s="95"/>
      <c r="C3150" s="108" t="s">
        <v>211</v>
      </c>
      <c r="D3150" s="101" t="s">
        <v>2430</v>
      </c>
      <c r="E3150" s="101" t="s">
        <v>577</v>
      </c>
      <c r="F3150" s="109">
        <f t="shared" si="8"/>
        <v>11</v>
      </c>
      <c r="G3150" s="110" t="s">
        <v>2709</v>
      </c>
    </row>
    <row r="3151" ht="15.75" customHeight="1">
      <c r="B3151" s="95"/>
      <c r="C3151" s="108" t="s">
        <v>211</v>
      </c>
      <c r="D3151" s="101" t="s">
        <v>2430</v>
      </c>
      <c r="E3151" s="101" t="s">
        <v>577</v>
      </c>
      <c r="F3151" s="109">
        <f t="shared" si="8"/>
        <v>12</v>
      </c>
      <c r="G3151" s="110" t="s">
        <v>2441</v>
      </c>
    </row>
    <row r="3152" ht="15.75" customHeight="1">
      <c r="B3152" s="95"/>
      <c r="C3152" s="108" t="s">
        <v>211</v>
      </c>
      <c r="D3152" s="101" t="s">
        <v>2430</v>
      </c>
      <c r="E3152" s="101" t="s">
        <v>577</v>
      </c>
      <c r="F3152" s="109">
        <f t="shared" si="8"/>
        <v>13</v>
      </c>
      <c r="G3152" s="110" t="s">
        <v>2710</v>
      </c>
    </row>
    <row r="3153" ht="15.75" customHeight="1">
      <c r="B3153" s="95"/>
      <c r="C3153" s="108" t="s">
        <v>211</v>
      </c>
      <c r="D3153" s="101" t="s">
        <v>2430</v>
      </c>
      <c r="E3153" s="101" t="s">
        <v>577</v>
      </c>
      <c r="F3153" s="109">
        <f t="shared" si="8"/>
        <v>14</v>
      </c>
      <c r="G3153" s="110" t="s">
        <v>2443</v>
      </c>
    </row>
    <row r="3154" ht="15.75" customHeight="1">
      <c r="B3154" s="95"/>
      <c r="C3154" s="108" t="s">
        <v>211</v>
      </c>
      <c r="D3154" s="101" t="s">
        <v>2430</v>
      </c>
      <c r="E3154" s="101" t="s">
        <v>577</v>
      </c>
      <c r="F3154" s="109">
        <f t="shared" si="8"/>
        <v>15</v>
      </c>
      <c r="G3154" s="110" t="s">
        <v>2711</v>
      </c>
    </row>
    <row r="3155" ht="15.75" customHeight="1">
      <c r="B3155" s="95"/>
      <c r="C3155" s="108" t="s">
        <v>211</v>
      </c>
      <c r="D3155" s="101" t="s">
        <v>2430</v>
      </c>
      <c r="E3155" s="101" t="s">
        <v>577</v>
      </c>
      <c r="F3155" s="109">
        <f t="shared" si="8"/>
        <v>16</v>
      </c>
      <c r="G3155" s="110" t="s">
        <v>2445</v>
      </c>
    </row>
    <row r="3156" ht="15.75" customHeight="1">
      <c r="B3156" s="95"/>
      <c r="C3156" s="108" t="s">
        <v>211</v>
      </c>
      <c r="D3156" s="101" t="s">
        <v>2430</v>
      </c>
      <c r="E3156" s="101" t="s">
        <v>577</v>
      </c>
      <c r="F3156" s="109">
        <f t="shared" si="8"/>
        <v>17</v>
      </c>
      <c r="G3156" s="110" t="s">
        <v>2712</v>
      </c>
    </row>
    <row r="3157" ht="15.75" customHeight="1">
      <c r="B3157" s="95"/>
      <c r="C3157" s="108" t="s">
        <v>211</v>
      </c>
      <c r="D3157" s="101" t="s">
        <v>2430</v>
      </c>
      <c r="E3157" s="101" t="s">
        <v>577</v>
      </c>
      <c r="F3157" s="109">
        <f t="shared" si="8"/>
        <v>18</v>
      </c>
      <c r="G3157" s="110" t="s">
        <v>3020</v>
      </c>
    </row>
    <row r="3158" ht="15.75" customHeight="1">
      <c r="B3158" s="95"/>
      <c r="C3158" s="108" t="s">
        <v>211</v>
      </c>
      <c r="D3158" s="101" t="s">
        <v>2430</v>
      </c>
      <c r="E3158" s="101" t="s">
        <v>577</v>
      </c>
      <c r="F3158" s="109">
        <f t="shared" si="8"/>
        <v>19</v>
      </c>
      <c r="G3158" s="110" t="s">
        <v>3032</v>
      </c>
    </row>
    <row r="3159" ht="15.75" customHeight="1">
      <c r="B3159" s="95"/>
      <c r="C3159" s="108" t="s">
        <v>211</v>
      </c>
      <c r="D3159" s="101" t="s">
        <v>2430</v>
      </c>
      <c r="E3159" s="101" t="s">
        <v>577</v>
      </c>
      <c r="F3159" s="109">
        <f t="shared" si="8"/>
        <v>20</v>
      </c>
      <c r="G3159" s="110" t="s">
        <v>3022</v>
      </c>
    </row>
    <row r="3160" ht="15.75" customHeight="1">
      <c r="B3160" s="95"/>
      <c r="C3160" s="108" t="s">
        <v>211</v>
      </c>
      <c r="D3160" s="101" t="s">
        <v>2430</v>
      </c>
      <c r="E3160" s="101" t="s">
        <v>577</v>
      </c>
      <c r="F3160" s="109">
        <f t="shared" si="8"/>
        <v>21</v>
      </c>
      <c r="G3160" s="110" t="s">
        <v>3033</v>
      </c>
    </row>
    <row r="3161" ht="15.75" customHeight="1">
      <c r="B3161" s="95"/>
      <c r="C3161" s="108" t="s">
        <v>211</v>
      </c>
      <c r="D3161" s="101" t="s">
        <v>2430</v>
      </c>
      <c r="E3161" s="101" t="s">
        <v>577</v>
      </c>
      <c r="F3161" s="109">
        <f t="shared" si="8"/>
        <v>22</v>
      </c>
      <c r="G3161" s="110" t="s">
        <v>3024</v>
      </c>
    </row>
    <row r="3162" ht="15.75" customHeight="1">
      <c r="B3162" s="95"/>
      <c r="C3162" s="108" t="s">
        <v>211</v>
      </c>
      <c r="D3162" s="101" t="s">
        <v>2430</v>
      </c>
      <c r="E3162" s="101" t="s">
        <v>577</v>
      </c>
      <c r="F3162" s="109">
        <f t="shared" si="8"/>
        <v>23</v>
      </c>
      <c r="G3162" s="110" t="s">
        <v>3034</v>
      </c>
    </row>
    <row r="3163" ht="15.75" customHeight="1">
      <c r="B3163" s="95"/>
      <c r="C3163" s="108" t="s">
        <v>211</v>
      </c>
      <c r="D3163" s="101" t="s">
        <v>2430</v>
      </c>
      <c r="E3163" s="101" t="s">
        <v>577</v>
      </c>
      <c r="F3163" s="109">
        <f t="shared" si="8"/>
        <v>24</v>
      </c>
      <c r="G3163" s="110" t="s">
        <v>3026</v>
      </c>
    </row>
    <row r="3164" ht="15.75" customHeight="1">
      <c r="B3164" s="95"/>
      <c r="C3164" s="108" t="s">
        <v>211</v>
      </c>
      <c r="D3164" s="101" t="s">
        <v>2430</v>
      </c>
      <c r="E3164" s="101" t="s">
        <v>577</v>
      </c>
      <c r="F3164" s="109">
        <f t="shared" si="8"/>
        <v>25</v>
      </c>
      <c r="G3164" s="110" t="s">
        <v>3035</v>
      </c>
    </row>
    <row r="3165" ht="15.75" customHeight="1">
      <c r="B3165" s="95"/>
      <c r="C3165" s="108" t="s">
        <v>211</v>
      </c>
      <c r="D3165" s="101" t="s">
        <v>2430</v>
      </c>
      <c r="E3165" s="101" t="s">
        <v>577</v>
      </c>
      <c r="F3165" s="109">
        <f t="shared" si="8"/>
        <v>26</v>
      </c>
      <c r="G3165" s="110" t="s">
        <v>2456</v>
      </c>
    </row>
    <row r="3166" ht="15.75" customHeight="1">
      <c r="B3166" s="95"/>
      <c r="C3166" s="108" t="s">
        <v>211</v>
      </c>
      <c r="D3166" s="101" t="s">
        <v>2430</v>
      </c>
      <c r="E3166" s="101" t="s">
        <v>577</v>
      </c>
      <c r="F3166" s="109">
        <f t="shared" si="8"/>
        <v>27</v>
      </c>
      <c r="G3166" s="110" t="s">
        <v>2717</v>
      </c>
    </row>
    <row r="3167" ht="15.75" customHeight="1">
      <c r="B3167" s="95"/>
      <c r="C3167" s="108" t="s">
        <v>211</v>
      </c>
      <c r="D3167" s="101" t="s">
        <v>2430</v>
      </c>
      <c r="E3167" s="101" t="s">
        <v>577</v>
      </c>
      <c r="F3167" s="109">
        <f t="shared" si="8"/>
        <v>28</v>
      </c>
      <c r="G3167" s="110" t="s">
        <v>2458</v>
      </c>
    </row>
    <row r="3168" ht="15.75" customHeight="1">
      <c r="B3168" s="95"/>
      <c r="C3168" s="108" t="s">
        <v>211</v>
      </c>
      <c r="D3168" s="101" t="s">
        <v>2430</v>
      </c>
      <c r="E3168" s="101" t="s">
        <v>577</v>
      </c>
      <c r="F3168" s="109">
        <f t="shared" si="8"/>
        <v>29</v>
      </c>
      <c r="G3168" s="110" t="s">
        <v>2718</v>
      </c>
    </row>
    <row r="3169" ht="15.75" customHeight="1">
      <c r="B3169" s="95"/>
      <c r="C3169" s="108" t="s">
        <v>211</v>
      </c>
      <c r="D3169" s="101" t="s">
        <v>2430</v>
      </c>
      <c r="E3169" s="101" t="s">
        <v>577</v>
      </c>
      <c r="F3169" s="109">
        <f t="shared" si="8"/>
        <v>30</v>
      </c>
      <c r="G3169" s="110" t="s">
        <v>2460</v>
      </c>
    </row>
    <row r="3170" ht="15.75" customHeight="1">
      <c r="B3170" s="95"/>
      <c r="C3170" s="108" t="s">
        <v>211</v>
      </c>
      <c r="D3170" s="101" t="s">
        <v>2430</v>
      </c>
      <c r="E3170" s="101" t="s">
        <v>577</v>
      </c>
      <c r="F3170" s="109">
        <f t="shared" si="8"/>
        <v>31</v>
      </c>
      <c r="G3170" s="110" t="s">
        <v>2719</v>
      </c>
    </row>
    <row r="3171" ht="15.75" customHeight="1">
      <c r="B3171" s="95"/>
      <c r="C3171" s="108" t="s">
        <v>211</v>
      </c>
      <c r="D3171" s="101" t="s">
        <v>2430</v>
      </c>
      <c r="E3171" s="101" t="s">
        <v>577</v>
      </c>
      <c r="F3171" s="109">
        <f t="shared" si="8"/>
        <v>32</v>
      </c>
      <c r="G3171" s="110" t="s">
        <v>2462</v>
      </c>
    </row>
    <row r="3172" ht="15.75" customHeight="1">
      <c r="B3172" s="95"/>
      <c r="C3172" s="108" t="s">
        <v>211</v>
      </c>
      <c r="D3172" s="101" t="s">
        <v>2430</v>
      </c>
      <c r="E3172" s="101" t="s">
        <v>577</v>
      </c>
      <c r="F3172" s="109">
        <f t="shared" si="8"/>
        <v>33</v>
      </c>
      <c r="G3172" s="110" t="s">
        <v>2720</v>
      </c>
    </row>
    <row r="3173" ht="15.75" customHeight="1">
      <c r="B3173" s="95"/>
      <c r="C3173" s="108" t="s">
        <v>211</v>
      </c>
      <c r="D3173" s="101" t="s">
        <v>2430</v>
      </c>
      <c r="E3173" s="101" t="s">
        <v>577</v>
      </c>
      <c r="F3173" s="109">
        <f t="shared" si="8"/>
        <v>34</v>
      </c>
      <c r="G3173" s="110" t="s">
        <v>2464</v>
      </c>
    </row>
    <row r="3174" ht="15.75" customHeight="1">
      <c r="B3174" s="95"/>
      <c r="C3174" s="108" t="s">
        <v>211</v>
      </c>
      <c r="D3174" s="101" t="s">
        <v>2430</v>
      </c>
      <c r="E3174" s="101" t="s">
        <v>577</v>
      </c>
      <c r="F3174" s="109">
        <f t="shared" si="8"/>
        <v>35</v>
      </c>
      <c r="G3174" s="110" t="s">
        <v>2721</v>
      </c>
    </row>
    <row r="3175" ht="15.75" customHeight="1">
      <c r="B3175" s="95"/>
      <c r="C3175" s="108" t="s">
        <v>211</v>
      </c>
      <c r="D3175" s="101" t="s">
        <v>2430</v>
      </c>
      <c r="E3175" s="101" t="s">
        <v>577</v>
      </c>
      <c r="F3175" s="109">
        <f t="shared" si="8"/>
        <v>36</v>
      </c>
      <c r="G3175" s="110" t="s">
        <v>2466</v>
      </c>
    </row>
    <row r="3176" ht="15.75" customHeight="1">
      <c r="B3176" s="95"/>
      <c r="C3176" s="108" t="s">
        <v>211</v>
      </c>
      <c r="D3176" s="101" t="s">
        <v>2430</v>
      </c>
      <c r="E3176" s="101" t="s">
        <v>577</v>
      </c>
      <c r="F3176" s="109">
        <f t="shared" si="8"/>
        <v>37</v>
      </c>
      <c r="G3176" s="110" t="s">
        <v>2722</v>
      </c>
    </row>
    <row r="3177" ht="15.75" customHeight="1">
      <c r="B3177" s="95"/>
      <c r="C3177" s="108" t="s">
        <v>211</v>
      </c>
      <c r="D3177" s="101" t="s">
        <v>2430</v>
      </c>
      <c r="E3177" s="101" t="s">
        <v>577</v>
      </c>
      <c r="F3177" s="109">
        <f t="shared" si="8"/>
        <v>38</v>
      </c>
      <c r="G3177" s="110" t="s">
        <v>2468</v>
      </c>
    </row>
    <row r="3178" ht="15.75" customHeight="1">
      <c r="B3178" s="95"/>
      <c r="C3178" s="108" t="s">
        <v>211</v>
      </c>
      <c r="D3178" s="101" t="s">
        <v>2430</v>
      </c>
      <c r="E3178" s="101" t="s">
        <v>577</v>
      </c>
      <c r="F3178" s="109">
        <f t="shared" si="8"/>
        <v>39</v>
      </c>
      <c r="G3178" s="110" t="s">
        <v>2723</v>
      </c>
    </row>
    <row r="3179" ht="15.75" customHeight="1">
      <c r="B3179" s="95"/>
      <c r="C3179" s="108" t="s">
        <v>211</v>
      </c>
      <c r="D3179" s="101" t="s">
        <v>2430</v>
      </c>
      <c r="E3179" s="101" t="s">
        <v>577</v>
      </c>
      <c r="F3179" s="109">
        <f t="shared" si="8"/>
        <v>40</v>
      </c>
      <c r="G3179" s="110" t="s">
        <v>2470</v>
      </c>
    </row>
    <row r="3180" ht="15.75" customHeight="1">
      <c r="B3180" s="95"/>
      <c r="C3180" s="108" t="s">
        <v>211</v>
      </c>
      <c r="D3180" s="101" t="s">
        <v>2430</v>
      </c>
      <c r="E3180" s="101" t="s">
        <v>577</v>
      </c>
      <c r="F3180" s="109">
        <f t="shared" si="8"/>
        <v>41</v>
      </c>
      <c r="G3180" s="110" t="s">
        <v>2724</v>
      </c>
    </row>
    <row r="3181" ht="15.75" customHeight="1">
      <c r="B3181" s="95"/>
      <c r="C3181" s="108" t="s">
        <v>211</v>
      </c>
      <c r="D3181" s="101" t="s">
        <v>2430</v>
      </c>
      <c r="E3181" s="101" t="s">
        <v>577</v>
      </c>
      <c r="F3181" s="109">
        <f t="shared" si="8"/>
        <v>42</v>
      </c>
      <c r="G3181" s="110" t="s">
        <v>2472</v>
      </c>
    </row>
    <row r="3182" ht="15.75" customHeight="1">
      <c r="B3182" s="95"/>
      <c r="C3182" s="108" t="s">
        <v>211</v>
      </c>
      <c r="D3182" s="101" t="s">
        <v>2430</v>
      </c>
      <c r="E3182" s="101" t="s">
        <v>577</v>
      </c>
      <c r="F3182" s="109">
        <f t="shared" si="8"/>
        <v>43</v>
      </c>
      <c r="G3182" s="110" t="s">
        <v>2725</v>
      </c>
    </row>
    <row r="3183" ht="15.75" customHeight="1">
      <c r="B3183" s="95"/>
      <c r="C3183" s="108" t="s">
        <v>211</v>
      </c>
      <c r="D3183" s="101" t="s">
        <v>2430</v>
      </c>
      <c r="E3183" s="101" t="s">
        <v>577</v>
      </c>
      <c r="F3183" s="109">
        <f t="shared" si="8"/>
        <v>44</v>
      </c>
      <c r="G3183" s="110" t="s">
        <v>2474</v>
      </c>
    </row>
    <row r="3184" ht="15.75" customHeight="1">
      <c r="B3184" s="95"/>
      <c r="C3184" s="108" t="s">
        <v>211</v>
      </c>
      <c r="D3184" s="101" t="s">
        <v>2430</v>
      </c>
      <c r="E3184" s="101" t="s">
        <v>577</v>
      </c>
      <c r="F3184" s="109">
        <f t="shared" si="8"/>
        <v>45</v>
      </c>
      <c r="G3184" s="110" t="s">
        <v>2726</v>
      </c>
    </row>
    <row r="3185" ht="15.75" customHeight="1">
      <c r="B3185" s="95"/>
      <c r="C3185" s="108" t="s">
        <v>211</v>
      </c>
      <c r="D3185" s="101" t="s">
        <v>2430</v>
      </c>
      <c r="E3185" s="101" t="s">
        <v>577</v>
      </c>
      <c r="F3185" s="109">
        <f t="shared" si="8"/>
        <v>46</v>
      </c>
      <c r="G3185" s="110" t="s">
        <v>2476</v>
      </c>
    </row>
    <row r="3186" ht="15.75" customHeight="1">
      <c r="B3186" s="95"/>
      <c r="C3186" s="108" t="s">
        <v>211</v>
      </c>
      <c r="D3186" s="101" t="s">
        <v>2430</v>
      </c>
      <c r="E3186" s="101" t="s">
        <v>577</v>
      </c>
      <c r="F3186" s="109">
        <f t="shared" si="8"/>
        <v>47</v>
      </c>
      <c r="G3186" s="110" t="s">
        <v>2727</v>
      </c>
    </row>
    <row r="3187" ht="15.75" customHeight="1">
      <c r="B3187" s="95"/>
      <c r="C3187" s="108" t="s">
        <v>211</v>
      </c>
      <c r="D3187" s="101" t="s">
        <v>2430</v>
      </c>
      <c r="E3187" s="101" t="s">
        <v>577</v>
      </c>
      <c r="F3187" s="109">
        <f t="shared" si="8"/>
        <v>48</v>
      </c>
      <c r="G3187" s="110" t="s">
        <v>2478</v>
      </c>
    </row>
    <row r="3188" ht="15.75" customHeight="1">
      <c r="B3188" s="95"/>
      <c r="C3188" s="108" t="s">
        <v>211</v>
      </c>
      <c r="D3188" s="101" t="s">
        <v>2430</v>
      </c>
      <c r="E3188" s="101" t="s">
        <v>577</v>
      </c>
      <c r="F3188" s="109">
        <f t="shared" si="8"/>
        <v>49</v>
      </c>
      <c r="G3188" s="110" t="s">
        <v>2728</v>
      </c>
    </row>
    <row r="3189" ht="15.75" customHeight="1">
      <c r="B3189" s="95"/>
      <c r="C3189" s="108" t="s">
        <v>211</v>
      </c>
      <c r="D3189" s="101" t="s">
        <v>2430</v>
      </c>
      <c r="E3189" s="101" t="s">
        <v>577</v>
      </c>
      <c r="F3189" s="109">
        <f t="shared" si="8"/>
        <v>50</v>
      </c>
      <c r="G3189" s="110" t="s">
        <v>2480</v>
      </c>
    </row>
    <row r="3190" ht="15.75" customHeight="1">
      <c r="B3190" s="95"/>
      <c r="C3190" s="108" t="s">
        <v>211</v>
      </c>
      <c r="D3190" s="101" t="s">
        <v>2430</v>
      </c>
      <c r="E3190" s="101" t="s">
        <v>577</v>
      </c>
      <c r="F3190" s="109">
        <f t="shared" si="8"/>
        <v>51</v>
      </c>
      <c r="G3190" s="110" t="s">
        <v>2729</v>
      </c>
    </row>
    <row r="3191" ht="15.75" customHeight="1">
      <c r="B3191" s="95"/>
      <c r="C3191" s="108" t="s">
        <v>211</v>
      </c>
      <c r="D3191" s="101" t="s">
        <v>2430</v>
      </c>
      <c r="E3191" s="101" t="s">
        <v>577</v>
      </c>
      <c r="F3191" s="109">
        <f t="shared" si="8"/>
        <v>52</v>
      </c>
      <c r="G3191" s="110" t="s">
        <v>2482</v>
      </c>
    </row>
    <row r="3192" ht="15.75" customHeight="1">
      <c r="B3192" s="95"/>
      <c r="C3192" s="108" t="s">
        <v>211</v>
      </c>
      <c r="D3192" s="101" t="s">
        <v>2430</v>
      </c>
      <c r="E3192" s="101" t="s">
        <v>577</v>
      </c>
      <c r="F3192" s="109">
        <f t="shared" si="8"/>
        <v>53</v>
      </c>
      <c r="G3192" s="110" t="s">
        <v>2730</v>
      </c>
    </row>
    <row r="3193" ht="15.75" customHeight="1">
      <c r="B3193" s="95"/>
      <c r="C3193" s="108" t="s">
        <v>211</v>
      </c>
      <c r="D3193" s="101" t="s">
        <v>2430</v>
      </c>
      <c r="E3193" s="101" t="s">
        <v>577</v>
      </c>
      <c r="F3193" s="109">
        <f t="shared" si="8"/>
        <v>54</v>
      </c>
      <c r="G3193" s="110" t="s">
        <v>2484</v>
      </c>
    </row>
    <row r="3194" ht="15.75" customHeight="1">
      <c r="B3194" s="95"/>
      <c r="C3194" s="108" t="s">
        <v>211</v>
      </c>
      <c r="D3194" s="101" t="s">
        <v>2430</v>
      </c>
      <c r="E3194" s="101" t="s">
        <v>577</v>
      </c>
      <c r="F3194" s="109">
        <f t="shared" si="8"/>
        <v>55</v>
      </c>
      <c r="G3194" s="110" t="s">
        <v>2731</v>
      </c>
    </row>
    <row r="3195" ht="15.75" customHeight="1">
      <c r="B3195" s="95"/>
      <c r="C3195" s="108" t="s">
        <v>211</v>
      </c>
      <c r="D3195" s="101" t="s">
        <v>2430</v>
      </c>
      <c r="E3195" s="101" t="s">
        <v>577</v>
      </c>
      <c r="F3195" s="109">
        <f t="shared" si="8"/>
        <v>56</v>
      </c>
      <c r="G3195" s="110" t="s">
        <v>2486</v>
      </c>
    </row>
    <row r="3196" ht="15.75" customHeight="1">
      <c r="B3196" s="95"/>
      <c r="C3196" s="108" t="s">
        <v>211</v>
      </c>
      <c r="D3196" s="101" t="s">
        <v>2430</v>
      </c>
      <c r="E3196" s="101" t="s">
        <v>577</v>
      </c>
      <c r="F3196" s="109">
        <f t="shared" si="8"/>
        <v>57</v>
      </c>
      <c r="G3196" s="110" t="s">
        <v>2732</v>
      </c>
    </row>
    <row r="3197" ht="15.75" customHeight="1">
      <c r="B3197" s="95"/>
      <c r="C3197" s="108" t="s">
        <v>211</v>
      </c>
      <c r="D3197" s="101" t="s">
        <v>2430</v>
      </c>
      <c r="E3197" s="101" t="s">
        <v>577</v>
      </c>
      <c r="F3197" s="109">
        <f t="shared" si="8"/>
        <v>58</v>
      </c>
      <c r="G3197" s="110" t="s">
        <v>2488</v>
      </c>
    </row>
    <row r="3198" ht="15.75" customHeight="1">
      <c r="B3198" s="95"/>
      <c r="C3198" s="108" t="s">
        <v>211</v>
      </c>
      <c r="D3198" s="101" t="s">
        <v>2430</v>
      </c>
      <c r="E3198" s="101" t="s">
        <v>577</v>
      </c>
      <c r="F3198" s="109">
        <f t="shared" si="8"/>
        <v>59</v>
      </c>
      <c r="G3198" s="110" t="s">
        <v>2733</v>
      </c>
    </row>
    <row r="3199" ht="15.75" customHeight="1">
      <c r="B3199" s="95"/>
      <c r="C3199" s="108" t="s">
        <v>211</v>
      </c>
      <c r="D3199" s="101" t="s">
        <v>2430</v>
      </c>
      <c r="E3199" s="101" t="s">
        <v>577</v>
      </c>
      <c r="F3199" s="109">
        <f t="shared" si="8"/>
        <v>60</v>
      </c>
      <c r="G3199" s="110" t="s">
        <v>2490</v>
      </c>
    </row>
    <row r="3200" ht="15.75" customHeight="1">
      <c r="B3200" s="95"/>
      <c r="C3200" s="108" t="s">
        <v>211</v>
      </c>
      <c r="D3200" s="101" t="s">
        <v>2430</v>
      </c>
      <c r="E3200" s="101" t="s">
        <v>577</v>
      </c>
      <c r="F3200" s="109">
        <f t="shared" si="8"/>
        <v>61</v>
      </c>
      <c r="G3200" s="110" t="s">
        <v>2734</v>
      </c>
    </row>
    <row r="3201" ht="15.75" customHeight="1">
      <c r="B3201" s="95"/>
      <c r="C3201" s="108" t="s">
        <v>211</v>
      </c>
      <c r="D3201" s="101" t="s">
        <v>2430</v>
      </c>
      <c r="E3201" s="101" t="s">
        <v>577</v>
      </c>
      <c r="F3201" s="109">
        <f t="shared" si="8"/>
        <v>62</v>
      </c>
      <c r="G3201" s="110" t="s">
        <v>2492</v>
      </c>
    </row>
    <row r="3202" ht="15.75" customHeight="1">
      <c r="B3202" s="95"/>
      <c r="C3202" s="108" t="s">
        <v>211</v>
      </c>
      <c r="D3202" s="101" t="s">
        <v>2430</v>
      </c>
      <c r="E3202" s="101" t="s">
        <v>577</v>
      </c>
      <c r="F3202" s="109">
        <f t="shared" si="8"/>
        <v>63</v>
      </c>
      <c r="G3202" s="110" t="s">
        <v>2735</v>
      </c>
    </row>
    <row r="3203" ht="15.75" customHeight="1">
      <c r="B3203" s="95"/>
      <c r="C3203" s="108" t="s">
        <v>211</v>
      </c>
      <c r="D3203" s="101" t="s">
        <v>2430</v>
      </c>
      <c r="E3203" s="101" t="s">
        <v>577</v>
      </c>
      <c r="F3203" s="109">
        <f t="shared" si="8"/>
        <v>64</v>
      </c>
      <c r="G3203" s="110" t="s">
        <v>2494</v>
      </c>
    </row>
    <row r="3204" ht="15.75" customHeight="1">
      <c r="B3204" s="95"/>
      <c r="C3204" s="108" t="s">
        <v>211</v>
      </c>
      <c r="D3204" s="101" t="s">
        <v>2430</v>
      </c>
      <c r="E3204" s="101" t="s">
        <v>577</v>
      </c>
      <c r="F3204" s="109">
        <f t="shared" si="8"/>
        <v>65</v>
      </c>
      <c r="G3204" s="110" t="s">
        <v>2736</v>
      </c>
    </row>
    <row r="3205" ht="15.75" customHeight="1">
      <c r="B3205" s="95"/>
      <c r="C3205" s="108" t="s">
        <v>211</v>
      </c>
      <c r="D3205" s="101" t="s">
        <v>2430</v>
      </c>
      <c r="E3205" s="101" t="s">
        <v>577</v>
      </c>
      <c r="F3205" s="109">
        <f t="shared" si="8"/>
        <v>66</v>
      </c>
      <c r="G3205" s="110" t="s">
        <v>2496</v>
      </c>
    </row>
    <row r="3206" ht="15.75" customHeight="1">
      <c r="B3206" s="95"/>
      <c r="C3206" s="108" t="s">
        <v>211</v>
      </c>
      <c r="D3206" s="101" t="s">
        <v>2430</v>
      </c>
      <c r="E3206" s="101" t="s">
        <v>577</v>
      </c>
      <c r="F3206" s="109">
        <f t="shared" si="8"/>
        <v>67</v>
      </c>
      <c r="G3206" s="110" t="s">
        <v>2737</v>
      </c>
    </row>
    <row r="3207" ht="15.75" customHeight="1">
      <c r="B3207" s="95"/>
      <c r="C3207" s="108" t="s">
        <v>211</v>
      </c>
      <c r="D3207" s="101" t="s">
        <v>2430</v>
      </c>
      <c r="E3207" s="101" t="s">
        <v>577</v>
      </c>
      <c r="F3207" s="109">
        <f t="shared" si="8"/>
        <v>68</v>
      </c>
      <c r="G3207" s="110" t="s">
        <v>2498</v>
      </c>
    </row>
    <row r="3208" ht="15.75" customHeight="1">
      <c r="B3208" s="95"/>
      <c r="C3208" s="108" t="s">
        <v>211</v>
      </c>
      <c r="D3208" s="101" t="s">
        <v>2430</v>
      </c>
      <c r="E3208" s="101" t="s">
        <v>577</v>
      </c>
      <c r="F3208" s="109">
        <f t="shared" si="8"/>
        <v>69</v>
      </c>
      <c r="G3208" s="110" t="s">
        <v>2738</v>
      </c>
    </row>
    <row r="3209" ht="15.75" customHeight="1">
      <c r="B3209" s="95"/>
      <c r="C3209" s="108" t="s">
        <v>211</v>
      </c>
      <c r="D3209" s="101" t="s">
        <v>2430</v>
      </c>
      <c r="E3209" s="101" t="s">
        <v>577</v>
      </c>
      <c r="F3209" s="109">
        <f t="shared" si="8"/>
        <v>70</v>
      </c>
      <c r="G3209" s="110" t="s">
        <v>2500</v>
      </c>
    </row>
    <row r="3210" ht="15.75" customHeight="1">
      <c r="B3210" s="95"/>
      <c r="C3210" s="108" t="s">
        <v>211</v>
      </c>
      <c r="D3210" s="101" t="s">
        <v>2430</v>
      </c>
      <c r="E3210" s="101" t="s">
        <v>577</v>
      </c>
      <c r="F3210" s="109">
        <f t="shared" si="8"/>
        <v>71</v>
      </c>
      <c r="G3210" s="110" t="s">
        <v>2501</v>
      </c>
    </row>
    <row r="3211" ht="15.75" customHeight="1">
      <c r="B3211" s="95"/>
      <c r="C3211" s="108" t="s">
        <v>211</v>
      </c>
      <c r="D3211" s="101" t="s">
        <v>2430</v>
      </c>
      <c r="E3211" s="101" t="s">
        <v>577</v>
      </c>
      <c r="F3211" s="109">
        <f t="shared" si="8"/>
        <v>72</v>
      </c>
      <c r="G3211" s="110" t="s">
        <v>2502</v>
      </c>
    </row>
    <row r="3212" ht="15.75" customHeight="1">
      <c r="B3212" s="95"/>
      <c r="C3212" s="108" t="s">
        <v>211</v>
      </c>
      <c r="D3212" s="101" t="s">
        <v>2430</v>
      </c>
      <c r="E3212" s="101" t="s">
        <v>577</v>
      </c>
      <c r="F3212" s="109">
        <f t="shared" si="8"/>
        <v>73</v>
      </c>
      <c r="G3212" s="110" t="s">
        <v>2503</v>
      </c>
    </row>
    <row r="3213" ht="15.75" customHeight="1">
      <c r="B3213" s="95"/>
      <c r="C3213" s="108" t="s">
        <v>211</v>
      </c>
      <c r="D3213" s="101" t="s">
        <v>2430</v>
      </c>
      <c r="E3213" s="101" t="s">
        <v>577</v>
      </c>
      <c r="F3213" s="109">
        <f t="shared" si="8"/>
        <v>74</v>
      </c>
      <c r="G3213" s="110" t="s">
        <v>2504</v>
      </c>
    </row>
    <row r="3214" ht="15.75" customHeight="1">
      <c r="B3214" s="95"/>
      <c r="C3214" s="108" t="s">
        <v>211</v>
      </c>
      <c r="D3214" s="101" t="s">
        <v>2430</v>
      </c>
      <c r="E3214" s="101" t="s">
        <v>577</v>
      </c>
      <c r="F3214" s="109">
        <f t="shared" si="8"/>
        <v>75</v>
      </c>
      <c r="G3214" s="110" t="s">
        <v>3028</v>
      </c>
    </row>
    <row r="3215" ht="15.75" customHeight="1">
      <c r="B3215" s="95"/>
      <c r="C3215" s="108" t="s">
        <v>211</v>
      </c>
      <c r="D3215" s="101" t="s">
        <v>2430</v>
      </c>
      <c r="E3215" s="101" t="s">
        <v>577</v>
      </c>
      <c r="F3215" s="109">
        <f t="shared" si="8"/>
        <v>76</v>
      </c>
      <c r="G3215" s="110" t="s">
        <v>3029</v>
      </c>
    </row>
    <row r="3216" ht="15.75" customHeight="1">
      <c r="B3216" s="95"/>
      <c r="C3216" s="108" t="s">
        <v>211</v>
      </c>
      <c r="D3216" s="101" t="s">
        <v>2430</v>
      </c>
      <c r="E3216" s="101" t="s">
        <v>577</v>
      </c>
      <c r="F3216" s="109">
        <f t="shared" si="8"/>
        <v>77</v>
      </c>
      <c r="G3216" s="110" t="s">
        <v>2508</v>
      </c>
    </row>
    <row r="3217" ht="15.75" customHeight="1">
      <c r="B3217" s="95"/>
      <c r="C3217" s="108" t="s">
        <v>211</v>
      </c>
      <c r="D3217" s="101" t="s">
        <v>2430</v>
      </c>
      <c r="E3217" s="101" t="s">
        <v>577</v>
      </c>
      <c r="F3217" s="109">
        <f t="shared" si="8"/>
        <v>78</v>
      </c>
      <c r="G3217" s="110" t="s">
        <v>2509</v>
      </c>
    </row>
    <row r="3218" ht="15.75" customHeight="1">
      <c r="B3218" s="95"/>
      <c r="C3218" s="108" t="s">
        <v>211</v>
      </c>
      <c r="D3218" s="101" t="s">
        <v>2430</v>
      </c>
      <c r="E3218" s="101" t="s">
        <v>577</v>
      </c>
      <c r="F3218" s="109">
        <f t="shared" si="8"/>
        <v>79</v>
      </c>
      <c r="G3218" s="110" t="s">
        <v>2510</v>
      </c>
    </row>
    <row r="3219" ht="15.75" customHeight="1">
      <c r="B3219" s="95"/>
      <c r="C3219" s="108" t="s">
        <v>211</v>
      </c>
      <c r="D3219" s="101" t="s">
        <v>2430</v>
      </c>
      <c r="E3219" s="101" t="s">
        <v>577</v>
      </c>
      <c r="F3219" s="109">
        <f t="shared" si="8"/>
        <v>80</v>
      </c>
      <c r="G3219" s="110" t="s">
        <v>2511</v>
      </c>
    </row>
    <row r="3220" ht="15.75" customHeight="1">
      <c r="B3220" s="95"/>
      <c r="C3220" s="108" t="s">
        <v>211</v>
      </c>
      <c r="D3220" s="101" t="s">
        <v>2430</v>
      </c>
      <c r="E3220" s="101" t="s">
        <v>577</v>
      </c>
      <c r="F3220" s="109">
        <f t="shared" si="8"/>
        <v>81</v>
      </c>
      <c r="G3220" s="110" t="s">
        <v>2512</v>
      </c>
    </row>
    <row r="3221" ht="15.75" customHeight="1">
      <c r="B3221" s="95"/>
      <c r="C3221" s="108" t="s">
        <v>211</v>
      </c>
      <c r="D3221" s="101" t="s">
        <v>2430</v>
      </c>
      <c r="E3221" s="101" t="s">
        <v>577</v>
      </c>
      <c r="F3221" s="109">
        <f t="shared" si="8"/>
        <v>82</v>
      </c>
      <c r="G3221" s="110" t="s">
        <v>2513</v>
      </c>
    </row>
    <row r="3222" ht="15.75" customHeight="1">
      <c r="B3222" s="95"/>
      <c r="C3222" s="108" t="s">
        <v>211</v>
      </c>
      <c r="D3222" s="101" t="s">
        <v>2430</v>
      </c>
      <c r="E3222" s="101" t="s">
        <v>577</v>
      </c>
      <c r="F3222" s="109">
        <f t="shared" si="8"/>
        <v>83</v>
      </c>
      <c r="G3222" s="110" t="s">
        <v>2514</v>
      </c>
    </row>
    <row r="3223" ht="15.75" customHeight="1">
      <c r="B3223" s="95"/>
      <c r="C3223" s="108" t="s">
        <v>211</v>
      </c>
      <c r="D3223" s="101" t="s">
        <v>2430</v>
      </c>
      <c r="E3223" s="101" t="s">
        <v>577</v>
      </c>
      <c r="F3223" s="109">
        <f t="shared" si="8"/>
        <v>84</v>
      </c>
      <c r="G3223" s="110" t="s">
        <v>2515</v>
      </c>
    </row>
    <row r="3224" ht="15.75" customHeight="1">
      <c r="B3224" s="95"/>
      <c r="C3224" s="108" t="s">
        <v>211</v>
      </c>
      <c r="D3224" s="101" t="s">
        <v>2430</v>
      </c>
      <c r="E3224" s="101" t="s">
        <v>577</v>
      </c>
      <c r="F3224" s="109">
        <f t="shared" si="8"/>
        <v>85</v>
      </c>
      <c r="G3224" s="110" t="s">
        <v>2516</v>
      </c>
    </row>
    <row r="3225" ht="15.75" customHeight="1">
      <c r="B3225" s="95"/>
      <c r="C3225" s="108" t="s">
        <v>211</v>
      </c>
      <c r="D3225" s="101" t="s">
        <v>2430</v>
      </c>
      <c r="E3225" s="101" t="s">
        <v>577</v>
      </c>
      <c r="F3225" s="109">
        <f t="shared" si="8"/>
        <v>86</v>
      </c>
      <c r="G3225" s="110" t="s">
        <v>2517</v>
      </c>
    </row>
    <row r="3226" ht="15.75" customHeight="1">
      <c r="B3226" s="95"/>
      <c r="C3226" s="108" t="s">
        <v>211</v>
      </c>
      <c r="D3226" s="101" t="s">
        <v>2430</v>
      </c>
      <c r="E3226" s="101" t="s">
        <v>577</v>
      </c>
      <c r="F3226" s="109">
        <f t="shared" si="8"/>
        <v>87</v>
      </c>
      <c r="G3226" s="110" t="s">
        <v>2518</v>
      </c>
    </row>
    <row r="3227" ht="15.75" customHeight="1">
      <c r="B3227" s="95"/>
      <c r="C3227" s="108" t="s">
        <v>211</v>
      </c>
      <c r="D3227" s="101" t="s">
        <v>2430</v>
      </c>
      <c r="E3227" s="101" t="s">
        <v>577</v>
      </c>
      <c r="F3227" s="109">
        <f t="shared" si="8"/>
        <v>88</v>
      </c>
      <c r="G3227" s="110" t="s">
        <v>2739</v>
      </c>
    </row>
    <row r="3228" ht="15.75" customHeight="1">
      <c r="B3228" s="95"/>
      <c r="C3228" s="108" t="s">
        <v>211</v>
      </c>
      <c r="D3228" s="101" t="s">
        <v>2430</v>
      </c>
      <c r="E3228" s="101" t="s">
        <v>577</v>
      </c>
      <c r="F3228" s="109">
        <f t="shared" si="8"/>
        <v>89</v>
      </c>
      <c r="G3228" s="110" t="s">
        <v>2519</v>
      </c>
    </row>
    <row r="3229" ht="15.75" customHeight="1">
      <c r="B3229" s="95"/>
      <c r="C3229" s="108" t="s">
        <v>211</v>
      </c>
      <c r="D3229" s="101" t="s">
        <v>2430</v>
      </c>
      <c r="E3229" s="101" t="s">
        <v>577</v>
      </c>
      <c r="F3229" s="109">
        <f t="shared" si="8"/>
        <v>90</v>
      </c>
      <c r="G3229" s="110" t="s">
        <v>2520</v>
      </c>
    </row>
    <row r="3230" ht="15.75" customHeight="1">
      <c r="B3230" s="95"/>
      <c r="C3230" s="108" t="s">
        <v>211</v>
      </c>
      <c r="D3230" s="101" t="s">
        <v>2430</v>
      </c>
      <c r="E3230" s="101" t="s">
        <v>577</v>
      </c>
      <c r="F3230" s="109">
        <f t="shared" si="8"/>
        <v>91</v>
      </c>
      <c r="G3230" s="110" t="s">
        <v>2521</v>
      </c>
    </row>
    <row r="3231" ht="15.75" customHeight="1">
      <c r="B3231" s="95"/>
      <c r="C3231" s="108" t="s">
        <v>211</v>
      </c>
      <c r="D3231" s="101" t="s">
        <v>2430</v>
      </c>
      <c r="E3231" s="101" t="s">
        <v>577</v>
      </c>
      <c r="F3231" s="109">
        <f t="shared" si="8"/>
        <v>92</v>
      </c>
      <c r="G3231" s="110" t="s">
        <v>2522</v>
      </c>
    </row>
    <row r="3232" ht="15.75" customHeight="1">
      <c r="B3232" s="95"/>
      <c r="C3232" s="108" t="s">
        <v>211</v>
      </c>
      <c r="D3232" s="101" t="s">
        <v>2430</v>
      </c>
      <c r="E3232" s="101" t="s">
        <v>577</v>
      </c>
      <c r="F3232" s="109">
        <f t="shared" si="8"/>
        <v>93</v>
      </c>
      <c r="G3232" s="110" t="s">
        <v>2524</v>
      </c>
    </row>
    <row r="3233" ht="15.75" customHeight="1">
      <c r="B3233" s="95"/>
      <c r="C3233" s="108" t="s">
        <v>211</v>
      </c>
      <c r="D3233" s="101" t="s">
        <v>2430</v>
      </c>
      <c r="E3233" s="101" t="s">
        <v>577</v>
      </c>
      <c r="F3233" s="109">
        <f t="shared" si="8"/>
        <v>94</v>
      </c>
      <c r="G3233" s="110" t="s">
        <v>2525</v>
      </c>
    </row>
    <row r="3234" ht="15.75" customHeight="1">
      <c r="B3234" s="95"/>
      <c r="C3234" s="108" t="s">
        <v>211</v>
      </c>
      <c r="D3234" s="101" t="s">
        <v>2430</v>
      </c>
      <c r="E3234" s="101" t="s">
        <v>577</v>
      </c>
      <c r="F3234" s="109">
        <f t="shared" si="8"/>
        <v>95</v>
      </c>
      <c r="G3234" s="110" t="s">
        <v>2526</v>
      </c>
    </row>
    <row r="3235" ht="15.75" customHeight="1">
      <c r="B3235" s="95"/>
      <c r="C3235" s="108" t="s">
        <v>211</v>
      </c>
      <c r="D3235" s="101" t="s">
        <v>2430</v>
      </c>
      <c r="E3235" s="101" t="s">
        <v>577</v>
      </c>
      <c r="F3235" s="109">
        <f t="shared" si="8"/>
        <v>96</v>
      </c>
      <c r="G3235" s="110" t="s">
        <v>2527</v>
      </c>
    </row>
    <row r="3236" ht="15.75" customHeight="1">
      <c r="B3236" s="95"/>
      <c r="C3236" s="108" t="s">
        <v>211</v>
      </c>
      <c r="D3236" s="101" t="s">
        <v>2430</v>
      </c>
      <c r="E3236" s="101" t="s">
        <v>577</v>
      </c>
      <c r="F3236" s="109">
        <f t="shared" si="8"/>
        <v>97</v>
      </c>
      <c r="G3236" s="110" t="s">
        <v>2528</v>
      </c>
    </row>
    <row r="3237" ht="15.75" customHeight="1">
      <c r="B3237" s="95"/>
      <c r="C3237" s="108" t="s">
        <v>211</v>
      </c>
      <c r="D3237" s="101" t="s">
        <v>2430</v>
      </c>
      <c r="E3237" s="101" t="s">
        <v>577</v>
      </c>
      <c r="F3237" s="109">
        <f t="shared" si="8"/>
        <v>98</v>
      </c>
      <c r="G3237" s="110" t="s">
        <v>2529</v>
      </c>
    </row>
    <row r="3238" ht="15.75" customHeight="1">
      <c r="B3238" s="95"/>
      <c r="C3238" s="108" t="s">
        <v>211</v>
      </c>
      <c r="D3238" s="101" t="s">
        <v>2430</v>
      </c>
      <c r="E3238" s="101" t="s">
        <v>577</v>
      </c>
      <c r="F3238" s="109">
        <f t="shared" si="8"/>
        <v>99</v>
      </c>
      <c r="G3238" s="110" t="s">
        <v>2530</v>
      </c>
    </row>
    <row r="3239" ht="15.75" customHeight="1">
      <c r="B3239" s="95"/>
      <c r="C3239" s="108" t="s">
        <v>211</v>
      </c>
      <c r="D3239" s="101" t="s">
        <v>2430</v>
      </c>
      <c r="E3239" s="101" t="s">
        <v>577</v>
      </c>
      <c r="F3239" s="109">
        <f t="shared" si="8"/>
        <v>100</v>
      </c>
      <c r="G3239" s="110" t="s">
        <v>2532</v>
      </c>
    </row>
    <row r="3240" ht="15.75" customHeight="1">
      <c r="B3240" s="95"/>
      <c r="C3240" s="108" t="s">
        <v>211</v>
      </c>
      <c r="D3240" s="101" t="s">
        <v>2430</v>
      </c>
      <c r="E3240" s="101" t="s">
        <v>577</v>
      </c>
      <c r="F3240" s="109">
        <f t="shared" si="8"/>
        <v>101</v>
      </c>
      <c r="G3240" s="110" t="s">
        <v>2533</v>
      </c>
    </row>
    <row r="3241" ht="15.75" customHeight="1">
      <c r="B3241" s="95"/>
      <c r="C3241" s="108" t="s">
        <v>211</v>
      </c>
      <c r="D3241" s="101" t="s">
        <v>2430</v>
      </c>
      <c r="E3241" s="101" t="s">
        <v>577</v>
      </c>
      <c r="F3241" s="109">
        <f t="shared" si="8"/>
        <v>102</v>
      </c>
      <c r="G3241" s="110" t="s">
        <v>2534</v>
      </c>
    </row>
    <row r="3242" ht="15.75" customHeight="1">
      <c r="B3242" s="95"/>
      <c r="C3242" s="108" t="s">
        <v>211</v>
      </c>
      <c r="D3242" s="101" t="s">
        <v>2430</v>
      </c>
      <c r="E3242" s="101" t="s">
        <v>577</v>
      </c>
      <c r="F3242" s="109">
        <f t="shared" si="8"/>
        <v>103</v>
      </c>
      <c r="G3242" s="110" t="s">
        <v>2535</v>
      </c>
    </row>
    <row r="3243" ht="15.75" customHeight="1">
      <c r="B3243" s="95"/>
      <c r="C3243" s="108" t="s">
        <v>211</v>
      </c>
      <c r="D3243" s="101" t="s">
        <v>2430</v>
      </c>
      <c r="E3243" s="101" t="s">
        <v>577</v>
      </c>
      <c r="F3243" s="109">
        <f t="shared" si="8"/>
        <v>104</v>
      </c>
      <c r="G3243" s="110" t="s">
        <v>2536</v>
      </c>
    </row>
    <row r="3244" ht="15.75" customHeight="1">
      <c r="B3244" s="95"/>
      <c r="C3244" s="108" t="s">
        <v>211</v>
      </c>
      <c r="D3244" s="101" t="s">
        <v>2430</v>
      </c>
      <c r="E3244" s="101" t="s">
        <v>577</v>
      </c>
      <c r="F3244" s="109">
        <f t="shared" si="8"/>
        <v>105</v>
      </c>
      <c r="G3244" s="110" t="s">
        <v>2537</v>
      </c>
    </row>
    <row r="3245" ht="15.75" customHeight="1">
      <c r="B3245" s="95"/>
      <c r="C3245" s="108" t="s">
        <v>211</v>
      </c>
      <c r="D3245" s="101" t="s">
        <v>2430</v>
      </c>
      <c r="E3245" s="101" t="s">
        <v>577</v>
      </c>
      <c r="F3245" s="109">
        <f t="shared" si="8"/>
        <v>106</v>
      </c>
      <c r="G3245" s="110" t="s">
        <v>2538</v>
      </c>
    </row>
    <row r="3246" ht="15.75" customHeight="1">
      <c r="B3246" s="95"/>
      <c r="C3246" s="108" t="s">
        <v>211</v>
      </c>
      <c r="D3246" s="101" t="s">
        <v>2430</v>
      </c>
      <c r="E3246" s="101" t="s">
        <v>577</v>
      </c>
      <c r="F3246" s="109">
        <f t="shared" si="8"/>
        <v>107</v>
      </c>
      <c r="G3246" s="110" t="s">
        <v>2539</v>
      </c>
    </row>
    <row r="3247" ht="15.75" customHeight="1">
      <c r="B3247" s="95"/>
      <c r="C3247" s="108" t="s">
        <v>211</v>
      </c>
      <c r="D3247" s="101" t="s">
        <v>2430</v>
      </c>
      <c r="E3247" s="101" t="s">
        <v>577</v>
      </c>
      <c r="F3247" s="109">
        <f t="shared" si="8"/>
        <v>108</v>
      </c>
      <c r="G3247" s="110" t="s">
        <v>2540</v>
      </c>
    </row>
    <row r="3248" ht="15.75" customHeight="1">
      <c r="B3248" s="95"/>
      <c r="C3248" s="108" t="s">
        <v>211</v>
      </c>
      <c r="D3248" s="101" t="s">
        <v>2430</v>
      </c>
      <c r="E3248" s="101" t="s">
        <v>577</v>
      </c>
      <c r="F3248" s="109">
        <f t="shared" si="8"/>
        <v>109</v>
      </c>
      <c r="G3248" s="110" t="s">
        <v>2541</v>
      </c>
    </row>
    <row r="3249" ht="15.75" customHeight="1">
      <c r="B3249" s="95"/>
      <c r="C3249" s="108" t="s">
        <v>211</v>
      </c>
      <c r="D3249" s="101" t="s">
        <v>2430</v>
      </c>
      <c r="E3249" s="101" t="s">
        <v>577</v>
      </c>
      <c r="F3249" s="109">
        <f t="shared" si="8"/>
        <v>110</v>
      </c>
      <c r="G3249" s="110" t="s">
        <v>2542</v>
      </c>
    </row>
    <row r="3250" ht="15.75" customHeight="1">
      <c r="B3250" s="95"/>
      <c r="C3250" s="108" t="s">
        <v>211</v>
      </c>
      <c r="D3250" s="101" t="s">
        <v>2430</v>
      </c>
      <c r="E3250" s="101" t="s">
        <v>577</v>
      </c>
      <c r="F3250" s="109">
        <f t="shared" si="8"/>
        <v>111</v>
      </c>
      <c r="G3250" s="110" t="s">
        <v>2543</v>
      </c>
    </row>
    <row r="3251" ht="15.75" customHeight="1">
      <c r="B3251" s="95"/>
      <c r="C3251" s="108" t="s">
        <v>211</v>
      </c>
      <c r="D3251" s="101" t="s">
        <v>2430</v>
      </c>
      <c r="E3251" s="101" t="s">
        <v>577</v>
      </c>
      <c r="F3251" s="109">
        <f t="shared" si="8"/>
        <v>112</v>
      </c>
      <c r="G3251" s="110" t="s">
        <v>2544</v>
      </c>
    </row>
    <row r="3252" ht="15.75" customHeight="1">
      <c r="B3252" s="95"/>
      <c r="C3252" s="108" t="s">
        <v>211</v>
      </c>
      <c r="D3252" s="101" t="s">
        <v>2430</v>
      </c>
      <c r="E3252" s="101" t="s">
        <v>577</v>
      </c>
      <c r="F3252" s="109">
        <f t="shared" si="8"/>
        <v>113</v>
      </c>
      <c r="G3252" s="110" t="s">
        <v>2545</v>
      </c>
    </row>
    <row r="3253" ht="15.75" customHeight="1">
      <c r="B3253" s="95"/>
      <c r="C3253" s="108" t="s">
        <v>211</v>
      </c>
      <c r="D3253" s="101" t="s">
        <v>2430</v>
      </c>
      <c r="E3253" s="101" t="s">
        <v>577</v>
      </c>
      <c r="F3253" s="109">
        <f t="shared" si="8"/>
        <v>114</v>
      </c>
      <c r="G3253" s="110" t="s">
        <v>2740</v>
      </c>
    </row>
    <row r="3254" ht="15.75" customHeight="1">
      <c r="B3254" s="95"/>
      <c r="C3254" s="108" t="s">
        <v>211</v>
      </c>
      <c r="D3254" s="101" t="s">
        <v>2430</v>
      </c>
      <c r="E3254" s="101" t="s">
        <v>577</v>
      </c>
      <c r="F3254" s="109">
        <f t="shared" si="8"/>
        <v>115</v>
      </c>
      <c r="G3254" s="110" t="s">
        <v>2546</v>
      </c>
    </row>
    <row r="3255" ht="15.75" customHeight="1">
      <c r="B3255" s="95"/>
      <c r="C3255" s="108" t="s">
        <v>211</v>
      </c>
      <c r="D3255" s="101" t="s">
        <v>2430</v>
      </c>
      <c r="E3255" s="101" t="s">
        <v>577</v>
      </c>
      <c r="F3255" s="109">
        <f t="shared" si="8"/>
        <v>116</v>
      </c>
      <c r="G3255" s="110" t="s">
        <v>2547</v>
      </c>
    </row>
    <row r="3256" ht="15.75" customHeight="1">
      <c r="B3256" s="95"/>
      <c r="C3256" s="108" t="s">
        <v>211</v>
      </c>
      <c r="D3256" s="101" t="s">
        <v>2430</v>
      </c>
      <c r="E3256" s="101" t="s">
        <v>577</v>
      </c>
      <c r="F3256" s="109">
        <f t="shared" si="8"/>
        <v>117</v>
      </c>
      <c r="G3256" s="110" t="s">
        <v>2548</v>
      </c>
    </row>
    <row r="3257" ht="15.75" customHeight="1">
      <c r="B3257" s="95"/>
      <c r="C3257" s="108" t="s">
        <v>211</v>
      </c>
      <c r="D3257" s="101" t="s">
        <v>2430</v>
      </c>
      <c r="E3257" s="101" t="s">
        <v>577</v>
      </c>
      <c r="F3257" s="109">
        <f t="shared" si="8"/>
        <v>118</v>
      </c>
      <c r="G3257" s="110" t="s">
        <v>2549</v>
      </c>
    </row>
    <row r="3258" ht="15.75" customHeight="1">
      <c r="B3258" s="95"/>
      <c r="C3258" s="108" t="s">
        <v>211</v>
      </c>
      <c r="D3258" s="101" t="s">
        <v>2430</v>
      </c>
      <c r="E3258" s="101" t="s">
        <v>577</v>
      </c>
      <c r="F3258" s="109">
        <f t="shared" si="8"/>
        <v>119</v>
      </c>
      <c r="G3258" s="110" t="s">
        <v>2550</v>
      </c>
    </row>
    <row r="3259" ht="15.75" customHeight="1">
      <c r="B3259" s="95"/>
      <c r="C3259" s="108" t="s">
        <v>211</v>
      </c>
      <c r="D3259" s="101" t="s">
        <v>2430</v>
      </c>
      <c r="E3259" s="101" t="s">
        <v>577</v>
      </c>
      <c r="F3259" s="109">
        <f t="shared" si="8"/>
        <v>120</v>
      </c>
      <c r="G3259" s="110" t="s">
        <v>3030</v>
      </c>
    </row>
    <row r="3260" ht="15.75" customHeight="1">
      <c r="B3260" s="95"/>
      <c r="C3260" s="108" t="s">
        <v>211</v>
      </c>
      <c r="D3260" s="101" t="s">
        <v>2430</v>
      </c>
      <c r="E3260" s="101" t="s">
        <v>577</v>
      </c>
      <c r="F3260" s="109">
        <f t="shared" si="8"/>
        <v>121</v>
      </c>
      <c r="G3260" s="110" t="s">
        <v>3031</v>
      </c>
    </row>
    <row r="3261" ht="15.75" customHeight="1">
      <c r="B3261" s="95"/>
      <c r="C3261" s="108" t="s">
        <v>211</v>
      </c>
      <c r="D3261" s="101" t="s">
        <v>2430</v>
      </c>
      <c r="E3261" s="101" t="s">
        <v>577</v>
      </c>
      <c r="F3261" s="109">
        <f t="shared" si="8"/>
        <v>122</v>
      </c>
      <c r="G3261" s="110" t="s">
        <v>2554</v>
      </c>
    </row>
    <row r="3262" ht="15.75" customHeight="1">
      <c r="B3262" s="95"/>
      <c r="C3262" s="108" t="s">
        <v>211</v>
      </c>
      <c r="D3262" s="101" t="s">
        <v>2430</v>
      </c>
      <c r="E3262" s="101" t="s">
        <v>577</v>
      </c>
      <c r="F3262" s="109">
        <f t="shared" si="8"/>
        <v>123</v>
      </c>
      <c r="G3262" s="110" t="s">
        <v>2555</v>
      </c>
    </row>
    <row r="3263" ht="15.75" customHeight="1">
      <c r="B3263" s="95"/>
      <c r="C3263" s="108" t="s">
        <v>211</v>
      </c>
      <c r="D3263" s="101" t="s">
        <v>2430</v>
      </c>
      <c r="E3263" s="101" t="s">
        <v>577</v>
      </c>
      <c r="F3263" s="109">
        <f t="shared" si="8"/>
        <v>124</v>
      </c>
      <c r="G3263" s="110" t="s">
        <v>2556</v>
      </c>
    </row>
    <row r="3264" ht="15.75" customHeight="1">
      <c r="B3264" s="95"/>
      <c r="C3264" s="108" t="s">
        <v>211</v>
      </c>
      <c r="D3264" s="101" t="s">
        <v>2430</v>
      </c>
      <c r="E3264" s="101" t="s">
        <v>577</v>
      </c>
      <c r="F3264" s="109">
        <f t="shared" si="8"/>
        <v>125</v>
      </c>
      <c r="G3264" s="110" t="s">
        <v>2557</v>
      </c>
    </row>
    <row r="3265" ht="15.75" customHeight="1">
      <c r="B3265" s="95"/>
      <c r="C3265" s="108" t="s">
        <v>211</v>
      </c>
      <c r="D3265" s="101" t="s">
        <v>2430</v>
      </c>
      <c r="E3265" s="101" t="s">
        <v>577</v>
      </c>
      <c r="F3265" s="109">
        <f t="shared" si="8"/>
        <v>126</v>
      </c>
      <c r="G3265" s="110" t="s">
        <v>2558</v>
      </c>
    </row>
    <row r="3266" ht="15.75" customHeight="1">
      <c r="B3266" s="95"/>
      <c r="C3266" s="108" t="s">
        <v>211</v>
      </c>
      <c r="D3266" s="101" t="s">
        <v>2430</v>
      </c>
      <c r="E3266" s="101" t="s">
        <v>577</v>
      </c>
      <c r="F3266" s="109">
        <f t="shared" si="8"/>
        <v>127</v>
      </c>
      <c r="G3266" s="110" t="s">
        <v>2559</v>
      </c>
    </row>
    <row r="3267" ht="15.75" customHeight="1">
      <c r="B3267" s="95"/>
      <c r="C3267" s="108" t="s">
        <v>211</v>
      </c>
      <c r="D3267" s="101" t="s">
        <v>2430</v>
      </c>
      <c r="E3267" s="101" t="s">
        <v>577</v>
      </c>
      <c r="F3267" s="109">
        <f t="shared" si="8"/>
        <v>128</v>
      </c>
      <c r="G3267" s="110" t="s">
        <v>2560</v>
      </c>
    </row>
    <row r="3268" ht="15.75" customHeight="1">
      <c r="B3268" s="95"/>
      <c r="C3268" s="108" t="s">
        <v>211</v>
      </c>
      <c r="D3268" s="101" t="s">
        <v>2430</v>
      </c>
      <c r="E3268" s="101" t="s">
        <v>577</v>
      </c>
      <c r="F3268" s="109">
        <f t="shared" si="8"/>
        <v>129</v>
      </c>
      <c r="G3268" s="110" t="s">
        <v>2561</v>
      </c>
    </row>
    <row r="3269" ht="15.75" customHeight="1">
      <c r="B3269" s="95"/>
      <c r="C3269" s="108" t="s">
        <v>211</v>
      </c>
      <c r="D3269" s="101" t="s">
        <v>2430</v>
      </c>
      <c r="E3269" s="101" t="s">
        <v>577</v>
      </c>
      <c r="F3269" s="109">
        <f t="shared" si="8"/>
        <v>130</v>
      </c>
      <c r="G3269" s="110" t="s">
        <v>2562</v>
      </c>
    </row>
    <row r="3270" ht="15.75" customHeight="1">
      <c r="B3270" s="95"/>
      <c r="C3270" s="108" t="s">
        <v>211</v>
      </c>
      <c r="D3270" s="101" t="s">
        <v>2430</v>
      </c>
      <c r="E3270" s="101" t="s">
        <v>577</v>
      </c>
      <c r="F3270" s="109">
        <f t="shared" si="8"/>
        <v>131</v>
      </c>
      <c r="G3270" s="110" t="s">
        <v>2563</v>
      </c>
    </row>
    <row r="3271" ht="15.75" customHeight="1">
      <c r="B3271" s="95"/>
      <c r="C3271" s="108" t="s">
        <v>211</v>
      </c>
      <c r="D3271" s="101" t="s">
        <v>2430</v>
      </c>
      <c r="E3271" s="101" t="s">
        <v>577</v>
      </c>
      <c r="F3271" s="109">
        <f t="shared" si="8"/>
        <v>132</v>
      </c>
      <c r="G3271" s="110" t="s">
        <v>2564</v>
      </c>
    </row>
    <row r="3272" ht="15.75" customHeight="1">
      <c r="B3272" s="95"/>
      <c r="C3272" s="108" t="s">
        <v>211</v>
      </c>
      <c r="D3272" s="101" t="s">
        <v>2430</v>
      </c>
      <c r="E3272" s="101" t="s">
        <v>577</v>
      </c>
      <c r="F3272" s="109">
        <f t="shared" si="8"/>
        <v>133</v>
      </c>
      <c r="G3272" s="110" t="s">
        <v>2741</v>
      </c>
    </row>
    <row r="3273" ht="15.75" customHeight="1">
      <c r="B3273" s="95"/>
      <c r="C3273" s="108" t="s">
        <v>211</v>
      </c>
      <c r="D3273" s="101" t="s">
        <v>2430</v>
      </c>
      <c r="E3273" s="101" t="s">
        <v>577</v>
      </c>
      <c r="F3273" s="109">
        <f t="shared" si="8"/>
        <v>134</v>
      </c>
      <c r="G3273" s="110" t="s">
        <v>2565</v>
      </c>
    </row>
    <row r="3274" ht="15.75" customHeight="1">
      <c r="B3274" s="95"/>
      <c r="C3274" s="108" t="s">
        <v>211</v>
      </c>
      <c r="D3274" s="101" t="s">
        <v>2430</v>
      </c>
      <c r="E3274" s="101" t="s">
        <v>577</v>
      </c>
      <c r="F3274" s="109">
        <f t="shared" si="8"/>
        <v>135</v>
      </c>
      <c r="G3274" s="110" t="s">
        <v>2566</v>
      </c>
    </row>
    <row r="3275" ht="15.75" customHeight="1">
      <c r="B3275" s="95"/>
      <c r="C3275" s="108" t="s">
        <v>211</v>
      </c>
      <c r="D3275" s="101" t="s">
        <v>2430</v>
      </c>
      <c r="E3275" s="101" t="s">
        <v>577</v>
      </c>
      <c r="F3275" s="109">
        <f t="shared" si="8"/>
        <v>136</v>
      </c>
      <c r="G3275" s="110" t="s">
        <v>2567</v>
      </c>
    </row>
    <row r="3276" ht="15.75" customHeight="1">
      <c r="B3276" s="95"/>
      <c r="C3276" s="108" t="s">
        <v>211</v>
      </c>
      <c r="D3276" s="101" t="s">
        <v>2430</v>
      </c>
      <c r="E3276" s="101" t="s">
        <v>577</v>
      </c>
      <c r="F3276" s="109">
        <f t="shared" si="8"/>
        <v>137</v>
      </c>
      <c r="G3276" s="110" t="s">
        <v>2568</v>
      </c>
    </row>
    <row r="3277" ht="15.75" customHeight="1">
      <c r="B3277" s="95"/>
      <c r="C3277" s="108" t="s">
        <v>211</v>
      </c>
      <c r="D3277" s="101" t="s">
        <v>2430</v>
      </c>
      <c r="E3277" s="101" t="s">
        <v>577</v>
      </c>
      <c r="F3277" s="109">
        <f t="shared" si="8"/>
        <v>138</v>
      </c>
      <c r="G3277" s="110" t="s">
        <v>2570</v>
      </c>
    </row>
    <row r="3278" ht="15.75" customHeight="1">
      <c r="B3278" s="95"/>
      <c r="C3278" s="108" t="s">
        <v>211</v>
      </c>
      <c r="D3278" s="101" t="s">
        <v>2430</v>
      </c>
      <c r="E3278" s="101" t="s">
        <v>577</v>
      </c>
      <c r="F3278" s="109">
        <f t="shared" si="8"/>
        <v>139</v>
      </c>
      <c r="G3278" s="110" t="s">
        <v>2571</v>
      </c>
    </row>
    <row r="3279" ht="15.75" customHeight="1">
      <c r="B3279" s="95"/>
      <c r="C3279" s="108" t="s">
        <v>211</v>
      </c>
      <c r="D3279" s="101" t="s">
        <v>2430</v>
      </c>
      <c r="E3279" s="101" t="s">
        <v>577</v>
      </c>
      <c r="F3279" s="109">
        <f t="shared" si="8"/>
        <v>140</v>
      </c>
      <c r="G3279" s="110" t="s">
        <v>2572</v>
      </c>
    </row>
    <row r="3280" ht="15.75" customHeight="1">
      <c r="B3280" s="95"/>
      <c r="C3280" s="108" t="s">
        <v>211</v>
      </c>
      <c r="D3280" s="101" t="s">
        <v>2430</v>
      </c>
      <c r="E3280" s="101" t="s">
        <v>577</v>
      </c>
      <c r="F3280" s="109">
        <f t="shared" si="8"/>
        <v>141</v>
      </c>
      <c r="G3280" s="110" t="s">
        <v>2573</v>
      </c>
    </row>
    <row r="3281" ht="15.75" customHeight="1">
      <c r="B3281" s="95"/>
      <c r="C3281" s="108" t="s">
        <v>211</v>
      </c>
      <c r="D3281" s="101" t="s">
        <v>2430</v>
      </c>
      <c r="E3281" s="101" t="s">
        <v>577</v>
      </c>
      <c r="F3281" s="109">
        <f t="shared" si="8"/>
        <v>142</v>
      </c>
      <c r="G3281" s="110" t="s">
        <v>2574</v>
      </c>
    </row>
    <row r="3282" ht="15.75" customHeight="1">
      <c r="B3282" s="95"/>
      <c r="C3282" s="108" t="s">
        <v>211</v>
      </c>
      <c r="D3282" s="101" t="s">
        <v>2430</v>
      </c>
      <c r="E3282" s="101" t="s">
        <v>577</v>
      </c>
      <c r="F3282" s="109">
        <f t="shared" si="8"/>
        <v>143</v>
      </c>
      <c r="G3282" s="110" t="s">
        <v>2575</v>
      </c>
    </row>
    <row r="3283" ht="15.75" customHeight="1">
      <c r="B3283" s="95"/>
      <c r="C3283" s="108" t="s">
        <v>211</v>
      </c>
      <c r="D3283" s="101" t="s">
        <v>2430</v>
      </c>
      <c r="E3283" s="101" t="s">
        <v>577</v>
      </c>
      <c r="F3283" s="109">
        <f t="shared" si="8"/>
        <v>144</v>
      </c>
      <c r="G3283" s="110" t="s">
        <v>2576</v>
      </c>
    </row>
    <row r="3284" ht="15.75" customHeight="1">
      <c r="B3284" s="95"/>
      <c r="C3284" s="108" t="s">
        <v>211</v>
      </c>
      <c r="D3284" s="101" t="s">
        <v>2430</v>
      </c>
      <c r="E3284" s="101" t="s">
        <v>577</v>
      </c>
      <c r="F3284" s="109">
        <f t="shared" si="8"/>
        <v>145</v>
      </c>
      <c r="G3284" s="110" t="s">
        <v>2578</v>
      </c>
    </row>
    <row r="3285" ht="15.75" customHeight="1">
      <c r="B3285" s="95"/>
      <c r="C3285" s="108" t="s">
        <v>211</v>
      </c>
      <c r="D3285" s="101" t="s">
        <v>2430</v>
      </c>
      <c r="E3285" s="101" t="s">
        <v>577</v>
      </c>
      <c r="F3285" s="109">
        <f t="shared" si="8"/>
        <v>146</v>
      </c>
      <c r="G3285" s="110" t="s">
        <v>2579</v>
      </c>
    </row>
    <row r="3286" ht="15.75" customHeight="1">
      <c r="B3286" s="95"/>
      <c r="C3286" s="108" t="s">
        <v>211</v>
      </c>
      <c r="D3286" s="101" t="s">
        <v>2430</v>
      </c>
      <c r="E3286" s="101" t="s">
        <v>577</v>
      </c>
      <c r="F3286" s="109">
        <f t="shared" si="8"/>
        <v>147</v>
      </c>
      <c r="G3286" s="110" t="s">
        <v>2580</v>
      </c>
    </row>
    <row r="3287" ht="15.75" customHeight="1">
      <c r="B3287" s="95"/>
      <c r="C3287" s="108" t="s">
        <v>211</v>
      </c>
      <c r="D3287" s="101" t="s">
        <v>2430</v>
      </c>
      <c r="E3287" s="101" t="s">
        <v>577</v>
      </c>
      <c r="F3287" s="109">
        <f t="shared" si="8"/>
        <v>148</v>
      </c>
      <c r="G3287" s="110" t="s">
        <v>2581</v>
      </c>
    </row>
    <row r="3288" ht="15.75" customHeight="1">
      <c r="B3288" s="95"/>
      <c r="C3288" s="108" t="s">
        <v>211</v>
      </c>
      <c r="D3288" s="101" t="s">
        <v>2430</v>
      </c>
      <c r="E3288" s="101" t="s">
        <v>577</v>
      </c>
      <c r="F3288" s="109">
        <f t="shared" si="8"/>
        <v>149</v>
      </c>
      <c r="G3288" s="110" t="s">
        <v>2582</v>
      </c>
    </row>
    <row r="3289" ht="15.75" customHeight="1">
      <c r="B3289" s="95"/>
      <c r="C3289" s="108" t="s">
        <v>211</v>
      </c>
      <c r="D3289" s="101" t="s">
        <v>2430</v>
      </c>
      <c r="E3289" s="101" t="s">
        <v>577</v>
      </c>
      <c r="F3289" s="109">
        <f t="shared" si="8"/>
        <v>150</v>
      </c>
      <c r="G3289" s="110" t="s">
        <v>2583</v>
      </c>
    </row>
    <row r="3290" ht="15.75" customHeight="1">
      <c r="B3290" s="95"/>
      <c r="C3290" s="108" t="s">
        <v>211</v>
      </c>
      <c r="D3290" s="101" t="s">
        <v>2430</v>
      </c>
      <c r="E3290" s="101" t="s">
        <v>577</v>
      </c>
      <c r="F3290" s="109">
        <f t="shared" si="8"/>
        <v>151</v>
      </c>
      <c r="G3290" s="110" t="s">
        <v>2584</v>
      </c>
    </row>
    <row r="3291" ht="15.75" customHeight="1">
      <c r="B3291" s="95"/>
      <c r="C3291" s="108" t="s">
        <v>211</v>
      </c>
      <c r="D3291" s="101" t="s">
        <v>2430</v>
      </c>
      <c r="E3291" s="101" t="s">
        <v>577</v>
      </c>
      <c r="F3291" s="109">
        <f t="shared" si="8"/>
        <v>152</v>
      </c>
      <c r="G3291" s="110" t="s">
        <v>2585</v>
      </c>
    </row>
    <row r="3292" ht="15.75" customHeight="1">
      <c r="B3292" s="95"/>
      <c r="C3292" s="108" t="s">
        <v>211</v>
      </c>
      <c r="D3292" s="101" t="s">
        <v>2430</v>
      </c>
      <c r="E3292" s="101" t="s">
        <v>577</v>
      </c>
      <c r="F3292" s="109">
        <f t="shared" si="8"/>
        <v>153</v>
      </c>
      <c r="G3292" s="110" t="s">
        <v>2586</v>
      </c>
    </row>
    <row r="3293" ht="15.75" customHeight="1">
      <c r="B3293" s="95"/>
      <c r="C3293" s="108" t="s">
        <v>211</v>
      </c>
      <c r="D3293" s="101" t="s">
        <v>2430</v>
      </c>
      <c r="E3293" s="101" t="s">
        <v>577</v>
      </c>
      <c r="F3293" s="109">
        <f t="shared" si="8"/>
        <v>154</v>
      </c>
      <c r="G3293" s="110" t="s">
        <v>2587</v>
      </c>
    </row>
    <row r="3294" ht="15.75" customHeight="1">
      <c r="B3294" s="95"/>
      <c r="C3294" s="108" t="s">
        <v>211</v>
      </c>
      <c r="D3294" s="101" t="s">
        <v>2430</v>
      </c>
      <c r="E3294" s="101" t="s">
        <v>577</v>
      </c>
      <c r="F3294" s="109">
        <f t="shared" si="8"/>
        <v>155</v>
      </c>
      <c r="G3294" s="110" t="s">
        <v>2588</v>
      </c>
    </row>
    <row r="3295" ht="15.75" customHeight="1">
      <c r="B3295" s="95"/>
      <c r="C3295" s="108" t="s">
        <v>211</v>
      </c>
      <c r="D3295" s="101" t="s">
        <v>2430</v>
      </c>
      <c r="E3295" s="101" t="s">
        <v>577</v>
      </c>
      <c r="F3295" s="109">
        <f t="shared" si="8"/>
        <v>156</v>
      </c>
      <c r="G3295" s="110" t="s">
        <v>2589</v>
      </c>
    </row>
    <row r="3296" ht="15.75" customHeight="1">
      <c r="B3296" s="95"/>
      <c r="C3296" s="108" t="s">
        <v>211</v>
      </c>
      <c r="D3296" s="101" t="s">
        <v>2430</v>
      </c>
      <c r="E3296" s="101" t="s">
        <v>577</v>
      </c>
      <c r="F3296" s="109">
        <f t="shared" si="8"/>
        <v>157</v>
      </c>
      <c r="G3296" s="110" t="s">
        <v>2590</v>
      </c>
    </row>
    <row r="3297" ht="15.75" customHeight="1">
      <c r="B3297" s="95"/>
      <c r="C3297" s="108" t="s">
        <v>211</v>
      </c>
      <c r="D3297" s="101" t="s">
        <v>2430</v>
      </c>
      <c r="E3297" s="101" t="s">
        <v>577</v>
      </c>
      <c r="F3297" s="109">
        <f t="shared" si="8"/>
        <v>158</v>
      </c>
      <c r="G3297" s="110" t="s">
        <v>2591</v>
      </c>
    </row>
    <row r="3298" ht="15.75" customHeight="1">
      <c r="B3298" s="95"/>
      <c r="C3298" s="108" t="s">
        <v>211</v>
      </c>
      <c r="D3298" s="101" t="s">
        <v>2430</v>
      </c>
      <c r="E3298" s="101" t="s">
        <v>577</v>
      </c>
      <c r="F3298" s="109">
        <f t="shared" si="8"/>
        <v>159</v>
      </c>
      <c r="G3298" s="110" t="s">
        <v>2592</v>
      </c>
    </row>
    <row r="3299" ht="15.75" customHeight="1">
      <c r="B3299" s="95"/>
      <c r="C3299" s="108" t="s">
        <v>211</v>
      </c>
      <c r="D3299" s="101" t="s">
        <v>2430</v>
      </c>
      <c r="E3299" s="101" t="s">
        <v>577</v>
      </c>
      <c r="F3299" s="109">
        <f t="shared" si="8"/>
        <v>160</v>
      </c>
      <c r="G3299" s="110" t="s">
        <v>2593</v>
      </c>
    </row>
    <row r="3300" ht="15.75" customHeight="1">
      <c r="B3300" s="95"/>
      <c r="C3300" s="108" t="s">
        <v>211</v>
      </c>
      <c r="D3300" s="101" t="s">
        <v>2430</v>
      </c>
      <c r="E3300" s="101" t="s">
        <v>577</v>
      </c>
      <c r="F3300" s="109">
        <f t="shared" si="8"/>
        <v>161</v>
      </c>
      <c r="G3300" s="110" t="s">
        <v>2595</v>
      </c>
    </row>
    <row r="3301" ht="15.75" customHeight="1">
      <c r="B3301" s="95"/>
      <c r="C3301" s="108" t="s">
        <v>211</v>
      </c>
      <c r="D3301" s="101" t="s">
        <v>2430</v>
      </c>
      <c r="E3301" s="101" t="s">
        <v>577</v>
      </c>
      <c r="F3301" s="109">
        <f t="shared" si="8"/>
        <v>162</v>
      </c>
      <c r="G3301" s="110" t="s">
        <v>2742</v>
      </c>
    </row>
    <row r="3302" ht="15.75" customHeight="1">
      <c r="B3302" s="95"/>
      <c r="C3302" s="108" t="s">
        <v>211</v>
      </c>
      <c r="D3302" s="101" t="s">
        <v>2430</v>
      </c>
      <c r="E3302" s="101" t="s">
        <v>577</v>
      </c>
      <c r="F3302" s="109">
        <f t="shared" si="8"/>
        <v>163</v>
      </c>
      <c r="G3302" s="110" t="s">
        <v>2597</v>
      </c>
    </row>
    <row r="3303" ht="15.75" customHeight="1">
      <c r="B3303" s="95"/>
      <c r="C3303" s="108" t="s">
        <v>211</v>
      </c>
      <c r="D3303" s="101" t="s">
        <v>2430</v>
      </c>
      <c r="E3303" s="101" t="s">
        <v>577</v>
      </c>
      <c r="F3303" s="109">
        <f t="shared" si="8"/>
        <v>164</v>
      </c>
      <c r="G3303" s="110" t="s">
        <v>2743</v>
      </c>
    </row>
    <row r="3304" ht="15.75" customHeight="1">
      <c r="B3304" s="95"/>
      <c r="C3304" s="108" t="s">
        <v>211</v>
      </c>
      <c r="D3304" s="101" t="s">
        <v>2430</v>
      </c>
      <c r="E3304" s="101" t="s">
        <v>577</v>
      </c>
      <c r="F3304" s="109">
        <f t="shared" si="8"/>
        <v>165</v>
      </c>
      <c r="G3304" s="110" t="s">
        <v>2744</v>
      </c>
    </row>
    <row r="3305" ht="15.75" customHeight="1">
      <c r="B3305" s="95"/>
      <c r="C3305" s="108" t="s">
        <v>211</v>
      </c>
      <c r="D3305" s="101" t="s">
        <v>2430</v>
      </c>
      <c r="E3305" s="101" t="s">
        <v>577</v>
      </c>
      <c r="F3305" s="109">
        <f t="shared" si="8"/>
        <v>166</v>
      </c>
      <c r="G3305" s="110" t="s">
        <v>2601</v>
      </c>
    </row>
    <row r="3306" ht="15.75" customHeight="1">
      <c r="B3306" s="95"/>
      <c r="C3306" s="108" t="s">
        <v>211</v>
      </c>
      <c r="D3306" s="101" t="s">
        <v>2430</v>
      </c>
      <c r="E3306" s="101" t="s">
        <v>577</v>
      </c>
      <c r="F3306" s="109">
        <f t="shared" si="8"/>
        <v>167</v>
      </c>
      <c r="G3306" s="110" t="s">
        <v>2745</v>
      </c>
    </row>
    <row r="3307" ht="15.75" customHeight="1">
      <c r="B3307" s="95"/>
      <c r="C3307" s="108" t="s">
        <v>211</v>
      </c>
      <c r="D3307" s="101" t="s">
        <v>2430</v>
      </c>
      <c r="E3307" s="101" t="s">
        <v>577</v>
      </c>
      <c r="F3307" s="109">
        <f t="shared" si="8"/>
        <v>168</v>
      </c>
      <c r="G3307" s="110" t="s">
        <v>2603</v>
      </c>
    </row>
    <row r="3308" ht="15.75" customHeight="1">
      <c r="B3308" s="95"/>
      <c r="C3308" s="108" t="s">
        <v>211</v>
      </c>
      <c r="D3308" s="101" t="s">
        <v>2430</v>
      </c>
      <c r="E3308" s="101" t="s">
        <v>577</v>
      </c>
      <c r="F3308" s="109">
        <f t="shared" si="8"/>
        <v>169</v>
      </c>
      <c r="G3308" s="110" t="s">
        <v>2746</v>
      </c>
    </row>
    <row r="3309" ht="15.75" customHeight="1">
      <c r="B3309" s="95"/>
      <c r="C3309" s="108" t="s">
        <v>211</v>
      </c>
      <c r="D3309" s="101" t="s">
        <v>2430</v>
      </c>
      <c r="E3309" s="101" t="s">
        <v>577</v>
      </c>
      <c r="F3309" s="109">
        <f t="shared" si="8"/>
        <v>170</v>
      </c>
      <c r="G3309" s="110" t="s">
        <v>2605</v>
      </c>
    </row>
    <row r="3310" ht="15.75" customHeight="1">
      <c r="B3310" s="95"/>
      <c r="C3310" s="108" t="s">
        <v>211</v>
      </c>
      <c r="D3310" s="101" t="s">
        <v>2430</v>
      </c>
      <c r="E3310" s="101" t="s">
        <v>577</v>
      </c>
      <c r="F3310" s="109">
        <f t="shared" si="8"/>
        <v>171</v>
      </c>
      <c r="G3310" s="110" t="s">
        <v>2748</v>
      </c>
    </row>
    <row r="3311" ht="15.75" customHeight="1">
      <c r="B3311" s="95"/>
      <c r="C3311" s="108" t="s">
        <v>211</v>
      </c>
      <c r="D3311" s="101" t="s">
        <v>2430</v>
      </c>
      <c r="E3311" s="101" t="s">
        <v>577</v>
      </c>
      <c r="F3311" s="109">
        <f t="shared" si="8"/>
        <v>172</v>
      </c>
      <c r="G3311" s="110" t="s">
        <v>2749</v>
      </c>
    </row>
    <row r="3312" ht="15.75" customHeight="1">
      <c r="B3312" s="95"/>
      <c r="C3312" s="108" t="s">
        <v>211</v>
      </c>
      <c r="D3312" s="101" t="s">
        <v>2430</v>
      </c>
      <c r="E3312" s="101" t="s">
        <v>577</v>
      </c>
      <c r="F3312" s="109">
        <f t="shared" si="8"/>
        <v>173</v>
      </c>
      <c r="G3312" s="110" t="s">
        <v>2608</v>
      </c>
    </row>
    <row r="3313" ht="15.75" customHeight="1">
      <c r="B3313" s="95"/>
      <c r="C3313" s="108" t="s">
        <v>211</v>
      </c>
      <c r="D3313" s="101" t="s">
        <v>2430</v>
      </c>
      <c r="E3313" s="101" t="s">
        <v>577</v>
      </c>
      <c r="F3313" s="109">
        <f t="shared" si="8"/>
        <v>174</v>
      </c>
      <c r="G3313" s="110" t="s">
        <v>2610</v>
      </c>
    </row>
    <row r="3314" ht="15.75" customHeight="1">
      <c r="B3314" s="95"/>
      <c r="C3314" s="108" t="s">
        <v>211</v>
      </c>
      <c r="D3314" s="101" t="s">
        <v>2430</v>
      </c>
      <c r="E3314" s="101" t="s">
        <v>577</v>
      </c>
      <c r="F3314" s="109">
        <f t="shared" si="8"/>
        <v>175</v>
      </c>
      <c r="G3314" s="110" t="s">
        <v>2750</v>
      </c>
    </row>
    <row r="3315" ht="15.75" customHeight="1">
      <c r="B3315" s="95"/>
      <c r="C3315" s="108" t="s">
        <v>211</v>
      </c>
      <c r="D3315" s="101" t="s">
        <v>2430</v>
      </c>
      <c r="E3315" s="101" t="s">
        <v>577</v>
      </c>
      <c r="F3315" s="109">
        <f t="shared" si="8"/>
        <v>176</v>
      </c>
      <c r="G3315" s="110" t="s">
        <v>2612</v>
      </c>
    </row>
    <row r="3316" ht="15.75" customHeight="1">
      <c r="B3316" s="95"/>
      <c r="C3316" s="108" t="s">
        <v>211</v>
      </c>
      <c r="D3316" s="101" t="s">
        <v>2430</v>
      </c>
      <c r="E3316" s="101" t="s">
        <v>577</v>
      </c>
      <c r="F3316" s="109">
        <f t="shared" si="8"/>
        <v>177</v>
      </c>
      <c r="G3316" s="110" t="s">
        <v>2751</v>
      </c>
    </row>
    <row r="3317" ht="15.75" customHeight="1">
      <c r="B3317" s="95"/>
      <c r="C3317" s="108" t="s">
        <v>211</v>
      </c>
      <c r="D3317" s="101" t="s">
        <v>2430</v>
      </c>
      <c r="E3317" s="101" t="s">
        <v>577</v>
      </c>
      <c r="F3317" s="109">
        <f t="shared" si="8"/>
        <v>178</v>
      </c>
      <c r="G3317" s="110" t="s">
        <v>2752</v>
      </c>
    </row>
    <row r="3318" ht="15.75" customHeight="1">
      <c r="B3318" s="95"/>
      <c r="C3318" s="108" t="s">
        <v>211</v>
      </c>
      <c r="D3318" s="101" t="s">
        <v>2430</v>
      </c>
      <c r="E3318" s="101" t="s">
        <v>577</v>
      </c>
      <c r="F3318" s="109">
        <f t="shared" si="8"/>
        <v>179</v>
      </c>
      <c r="G3318" s="110" t="s">
        <v>2616</v>
      </c>
    </row>
    <row r="3319" ht="15.75" customHeight="1">
      <c r="B3319" s="95"/>
      <c r="C3319" s="108" t="s">
        <v>211</v>
      </c>
      <c r="D3319" s="101" t="s">
        <v>2430</v>
      </c>
      <c r="E3319" s="101" t="s">
        <v>577</v>
      </c>
      <c r="F3319" s="109">
        <f t="shared" si="8"/>
        <v>180</v>
      </c>
      <c r="G3319" s="110" t="s">
        <v>2753</v>
      </c>
    </row>
    <row r="3320" ht="15.75" customHeight="1">
      <c r="B3320" s="95"/>
      <c r="C3320" s="108" t="s">
        <v>211</v>
      </c>
      <c r="D3320" s="101" t="s">
        <v>2430</v>
      </c>
      <c r="E3320" s="101" t="s">
        <v>577</v>
      </c>
      <c r="F3320" s="109">
        <f t="shared" si="8"/>
        <v>181</v>
      </c>
      <c r="G3320" s="110" t="s">
        <v>2618</v>
      </c>
    </row>
    <row r="3321" ht="15.75" customHeight="1">
      <c r="B3321" s="95"/>
      <c r="C3321" s="108" t="s">
        <v>211</v>
      </c>
      <c r="D3321" s="101" t="s">
        <v>2430</v>
      </c>
      <c r="E3321" s="101" t="s">
        <v>577</v>
      </c>
      <c r="F3321" s="109">
        <f t="shared" si="8"/>
        <v>182</v>
      </c>
      <c r="G3321" s="110" t="s">
        <v>2754</v>
      </c>
    </row>
    <row r="3322" ht="15.75" customHeight="1">
      <c r="B3322" s="95"/>
      <c r="C3322" s="108" t="s">
        <v>211</v>
      </c>
      <c r="D3322" s="101" t="s">
        <v>2430</v>
      </c>
      <c r="E3322" s="101" t="s">
        <v>577</v>
      </c>
      <c r="F3322" s="109">
        <f t="shared" si="8"/>
        <v>183</v>
      </c>
      <c r="G3322" s="110" t="s">
        <v>2620</v>
      </c>
    </row>
    <row r="3323" ht="15.75" customHeight="1">
      <c r="B3323" s="95"/>
      <c r="C3323" s="108" t="s">
        <v>211</v>
      </c>
      <c r="D3323" s="101" t="s">
        <v>2430</v>
      </c>
      <c r="E3323" s="101" t="s">
        <v>577</v>
      </c>
      <c r="F3323" s="109">
        <f t="shared" si="8"/>
        <v>184</v>
      </c>
      <c r="G3323" s="110" t="s">
        <v>2756</v>
      </c>
    </row>
    <row r="3324" ht="15.75" customHeight="1">
      <c r="B3324" s="95"/>
      <c r="C3324" s="108" t="s">
        <v>211</v>
      </c>
      <c r="D3324" s="101" t="s">
        <v>2430</v>
      </c>
      <c r="E3324" s="101" t="s">
        <v>577</v>
      </c>
      <c r="F3324" s="109">
        <f t="shared" si="8"/>
        <v>185</v>
      </c>
      <c r="G3324" s="110" t="s">
        <v>2757</v>
      </c>
    </row>
    <row r="3325" ht="15.75" customHeight="1">
      <c r="B3325" s="95"/>
      <c r="C3325" s="108" t="s">
        <v>211</v>
      </c>
      <c r="D3325" s="101" t="s">
        <v>2430</v>
      </c>
      <c r="E3325" s="101" t="s">
        <v>577</v>
      </c>
      <c r="F3325" s="109">
        <f t="shared" si="8"/>
        <v>186</v>
      </c>
      <c r="G3325" s="110" t="s">
        <v>2623</v>
      </c>
    </row>
    <row r="3326" ht="15.75" customHeight="1">
      <c r="B3326" s="95"/>
      <c r="C3326" s="108" t="s">
        <v>211</v>
      </c>
      <c r="D3326" s="101" t="s">
        <v>2430</v>
      </c>
      <c r="E3326" s="101" t="s">
        <v>577</v>
      </c>
      <c r="F3326" s="109">
        <f t="shared" si="8"/>
        <v>187</v>
      </c>
      <c r="G3326" s="110" t="s">
        <v>2624</v>
      </c>
    </row>
    <row r="3327" ht="15.75" customHeight="1">
      <c r="B3327" s="95"/>
      <c r="C3327" s="108" t="s">
        <v>211</v>
      </c>
      <c r="D3327" s="101" t="s">
        <v>2430</v>
      </c>
      <c r="E3327" s="101" t="s">
        <v>577</v>
      </c>
      <c r="F3327" s="109">
        <f t="shared" si="8"/>
        <v>188</v>
      </c>
      <c r="G3327" s="110" t="s">
        <v>2626</v>
      </c>
    </row>
    <row r="3328" ht="15.75" customHeight="1">
      <c r="B3328" s="95"/>
      <c r="C3328" s="108" t="s">
        <v>211</v>
      </c>
      <c r="D3328" s="101" t="s">
        <v>2430</v>
      </c>
      <c r="E3328" s="101" t="s">
        <v>577</v>
      </c>
      <c r="F3328" s="109">
        <f t="shared" si="8"/>
        <v>189</v>
      </c>
      <c r="G3328" s="110" t="s">
        <v>2758</v>
      </c>
    </row>
    <row r="3329" ht="15.75" customHeight="1">
      <c r="B3329" s="95"/>
      <c r="C3329" s="108" t="s">
        <v>211</v>
      </c>
      <c r="D3329" s="101" t="s">
        <v>2430</v>
      </c>
      <c r="E3329" s="101" t="s">
        <v>577</v>
      </c>
      <c r="F3329" s="109">
        <f t="shared" si="8"/>
        <v>190</v>
      </c>
      <c r="G3329" s="110" t="s">
        <v>2628</v>
      </c>
    </row>
    <row r="3330" ht="15.75" customHeight="1">
      <c r="B3330" s="95"/>
      <c r="C3330" s="108" t="s">
        <v>211</v>
      </c>
      <c r="D3330" s="101" t="s">
        <v>2430</v>
      </c>
      <c r="E3330" s="101" t="s">
        <v>577</v>
      </c>
      <c r="F3330" s="109">
        <f t="shared" si="8"/>
        <v>191</v>
      </c>
      <c r="G3330" s="110" t="s">
        <v>2759</v>
      </c>
    </row>
    <row r="3331" ht="15.75" customHeight="1">
      <c r="B3331" s="95"/>
      <c r="C3331" s="108" t="s">
        <v>211</v>
      </c>
      <c r="D3331" s="101" t="s">
        <v>2430</v>
      </c>
      <c r="E3331" s="101" t="s">
        <v>577</v>
      </c>
      <c r="F3331" s="109">
        <f t="shared" si="8"/>
        <v>192</v>
      </c>
      <c r="G3331" s="110" t="s">
        <v>2760</v>
      </c>
    </row>
    <row r="3332" ht="15.75" customHeight="1">
      <c r="B3332" s="95"/>
      <c r="C3332" s="108" t="s">
        <v>211</v>
      </c>
      <c r="D3332" s="101" t="s">
        <v>2430</v>
      </c>
      <c r="E3332" s="101" t="s">
        <v>577</v>
      </c>
      <c r="F3332" s="109">
        <f t="shared" si="8"/>
        <v>193</v>
      </c>
      <c r="G3332" s="110" t="s">
        <v>2632</v>
      </c>
    </row>
    <row r="3333" ht="15.75" customHeight="1">
      <c r="B3333" s="95"/>
      <c r="C3333" s="108" t="s">
        <v>211</v>
      </c>
      <c r="D3333" s="101" t="s">
        <v>2430</v>
      </c>
      <c r="E3333" s="101" t="s">
        <v>577</v>
      </c>
      <c r="F3333" s="109">
        <f t="shared" si="8"/>
        <v>194</v>
      </c>
      <c r="G3333" s="110" t="s">
        <v>2761</v>
      </c>
    </row>
    <row r="3334" ht="15.75" customHeight="1">
      <c r="B3334" s="95"/>
      <c r="C3334" s="108" t="s">
        <v>211</v>
      </c>
      <c r="D3334" s="101" t="s">
        <v>2430</v>
      </c>
      <c r="E3334" s="101" t="s">
        <v>577</v>
      </c>
      <c r="F3334" s="109">
        <f t="shared" si="8"/>
        <v>195</v>
      </c>
      <c r="G3334" s="110" t="s">
        <v>2634</v>
      </c>
    </row>
    <row r="3335" ht="15.75" customHeight="1">
      <c r="B3335" s="95"/>
      <c r="C3335" s="108" t="s">
        <v>211</v>
      </c>
      <c r="D3335" s="101" t="s">
        <v>2430</v>
      </c>
      <c r="E3335" s="101" t="s">
        <v>577</v>
      </c>
      <c r="F3335" s="109">
        <f t="shared" si="8"/>
        <v>196</v>
      </c>
      <c r="G3335" s="110" t="s">
        <v>2762</v>
      </c>
    </row>
    <row r="3336" ht="15.75" customHeight="1">
      <c r="B3336" s="95"/>
      <c r="C3336" s="108" t="s">
        <v>211</v>
      </c>
      <c r="D3336" s="101" t="s">
        <v>2430</v>
      </c>
      <c r="E3336" s="101" t="s">
        <v>577</v>
      </c>
      <c r="F3336" s="109">
        <f t="shared" si="8"/>
        <v>197</v>
      </c>
      <c r="G3336" s="110" t="s">
        <v>2636</v>
      </c>
    </row>
    <row r="3337" ht="15.75" customHeight="1">
      <c r="B3337" s="95"/>
      <c r="C3337" s="108" t="s">
        <v>211</v>
      </c>
      <c r="D3337" s="101" t="s">
        <v>2430</v>
      </c>
      <c r="E3337" s="101" t="s">
        <v>577</v>
      </c>
      <c r="F3337" s="109">
        <f t="shared" si="8"/>
        <v>198</v>
      </c>
      <c r="G3337" s="110" t="s">
        <v>2764</v>
      </c>
    </row>
    <row r="3338" ht="15.75" customHeight="1">
      <c r="B3338" s="95"/>
      <c r="C3338" s="108" t="s">
        <v>211</v>
      </c>
      <c r="D3338" s="101" t="s">
        <v>2430</v>
      </c>
      <c r="E3338" s="101" t="s">
        <v>577</v>
      </c>
      <c r="F3338" s="109">
        <f t="shared" si="8"/>
        <v>199</v>
      </c>
      <c r="G3338" s="110" t="s">
        <v>2765</v>
      </c>
    </row>
    <row r="3339" ht="15.75" customHeight="1">
      <c r="B3339" s="95"/>
      <c r="C3339" s="108" t="s">
        <v>211</v>
      </c>
      <c r="D3339" s="101" t="s">
        <v>2430</v>
      </c>
      <c r="E3339" s="101" t="s">
        <v>577</v>
      </c>
      <c r="F3339" s="109">
        <f t="shared" si="8"/>
        <v>200</v>
      </c>
      <c r="G3339" s="110" t="s">
        <v>2639</v>
      </c>
    </row>
    <row r="3340" ht="15.75" customHeight="1">
      <c r="B3340" s="95"/>
      <c r="C3340" s="108" t="s">
        <v>211</v>
      </c>
      <c r="D3340" s="101" t="s">
        <v>2430</v>
      </c>
      <c r="E3340" s="101" t="s">
        <v>577</v>
      </c>
      <c r="F3340" s="109">
        <f t="shared" si="8"/>
        <v>201</v>
      </c>
      <c r="G3340" s="110" t="s">
        <v>2641</v>
      </c>
    </row>
    <row r="3341" ht="15.75" customHeight="1">
      <c r="B3341" s="95"/>
      <c r="C3341" s="108" t="s">
        <v>211</v>
      </c>
      <c r="D3341" s="101" t="s">
        <v>2430</v>
      </c>
      <c r="E3341" s="101" t="s">
        <v>577</v>
      </c>
      <c r="F3341" s="109">
        <f t="shared" si="8"/>
        <v>202</v>
      </c>
      <c r="G3341" s="110" t="s">
        <v>2766</v>
      </c>
    </row>
    <row r="3342" ht="15.75" customHeight="1">
      <c r="B3342" s="95"/>
      <c r="C3342" s="108" t="s">
        <v>211</v>
      </c>
      <c r="D3342" s="101" t="s">
        <v>2430</v>
      </c>
      <c r="E3342" s="101" t="s">
        <v>577</v>
      </c>
      <c r="F3342" s="109">
        <f t="shared" si="8"/>
        <v>203</v>
      </c>
      <c r="G3342" s="110" t="s">
        <v>2643</v>
      </c>
    </row>
    <row r="3343" ht="15.75" customHeight="1">
      <c r="B3343" s="95"/>
      <c r="C3343" s="108" t="s">
        <v>211</v>
      </c>
      <c r="D3343" s="101" t="s">
        <v>2430</v>
      </c>
      <c r="E3343" s="101" t="s">
        <v>577</v>
      </c>
      <c r="F3343" s="109">
        <f t="shared" si="8"/>
        <v>204</v>
      </c>
      <c r="G3343" s="110" t="s">
        <v>2767</v>
      </c>
    </row>
    <row r="3344" ht="15.75" customHeight="1">
      <c r="B3344" s="95"/>
      <c r="C3344" s="108" t="s">
        <v>211</v>
      </c>
      <c r="D3344" s="101" t="s">
        <v>2430</v>
      </c>
      <c r="E3344" s="101" t="s">
        <v>577</v>
      </c>
      <c r="F3344" s="109">
        <f t="shared" si="8"/>
        <v>205</v>
      </c>
      <c r="G3344" s="110" t="s">
        <v>2768</v>
      </c>
    </row>
    <row r="3345" ht="15.75" customHeight="1">
      <c r="B3345" s="95"/>
      <c r="C3345" s="108" t="s">
        <v>211</v>
      </c>
      <c r="D3345" s="101" t="s">
        <v>2430</v>
      </c>
      <c r="E3345" s="101" t="s">
        <v>577</v>
      </c>
      <c r="F3345" s="109">
        <f t="shared" si="8"/>
        <v>206</v>
      </c>
      <c r="G3345" s="110" t="s">
        <v>2647</v>
      </c>
    </row>
    <row r="3346" ht="15.75" customHeight="1">
      <c r="B3346" s="95"/>
      <c r="C3346" s="108" t="s">
        <v>211</v>
      </c>
      <c r="D3346" s="101" t="s">
        <v>2430</v>
      </c>
      <c r="E3346" s="101" t="s">
        <v>577</v>
      </c>
      <c r="F3346" s="109">
        <f t="shared" si="8"/>
        <v>207</v>
      </c>
      <c r="G3346" s="110" t="s">
        <v>2769</v>
      </c>
    </row>
    <row r="3347" ht="15.75" customHeight="1">
      <c r="B3347" s="95"/>
      <c r="C3347" s="108" t="s">
        <v>211</v>
      </c>
      <c r="D3347" s="101" t="s">
        <v>2430</v>
      </c>
      <c r="E3347" s="101" t="s">
        <v>577</v>
      </c>
      <c r="F3347" s="109">
        <f t="shared" si="8"/>
        <v>208</v>
      </c>
      <c r="G3347" s="110" t="s">
        <v>2649</v>
      </c>
    </row>
    <row r="3348" ht="15.75" customHeight="1">
      <c r="B3348" s="95"/>
      <c r="C3348" s="108" t="s">
        <v>211</v>
      </c>
      <c r="D3348" s="101" t="s">
        <v>2430</v>
      </c>
      <c r="E3348" s="101" t="s">
        <v>577</v>
      </c>
      <c r="F3348" s="109">
        <f t="shared" si="8"/>
        <v>209</v>
      </c>
      <c r="G3348" s="110" t="s">
        <v>2770</v>
      </c>
    </row>
    <row r="3349" ht="15.75" customHeight="1">
      <c r="B3349" s="95"/>
      <c r="C3349" s="108" t="s">
        <v>211</v>
      </c>
      <c r="D3349" s="101" t="s">
        <v>2430</v>
      </c>
      <c r="E3349" s="101" t="s">
        <v>577</v>
      </c>
      <c r="F3349" s="109">
        <f t="shared" si="8"/>
        <v>210</v>
      </c>
      <c r="G3349" s="110" t="s">
        <v>2651</v>
      </c>
    </row>
    <row r="3350" ht="15.75" customHeight="1">
      <c r="B3350" s="95"/>
      <c r="C3350" s="108" t="s">
        <v>211</v>
      </c>
      <c r="D3350" s="101" t="s">
        <v>2430</v>
      </c>
      <c r="E3350" s="101" t="s">
        <v>577</v>
      </c>
      <c r="F3350" s="109">
        <f t="shared" si="8"/>
        <v>211</v>
      </c>
      <c r="G3350" s="110" t="s">
        <v>2772</v>
      </c>
    </row>
    <row r="3351" ht="15.75" customHeight="1">
      <c r="B3351" s="95"/>
      <c r="C3351" s="108" t="s">
        <v>211</v>
      </c>
      <c r="D3351" s="101" t="s">
        <v>2430</v>
      </c>
      <c r="E3351" s="101" t="s">
        <v>577</v>
      </c>
      <c r="F3351" s="109">
        <f t="shared" si="8"/>
        <v>212</v>
      </c>
      <c r="G3351" s="110" t="s">
        <v>2773</v>
      </c>
    </row>
    <row r="3352" ht="15.75" customHeight="1">
      <c r="B3352" s="95"/>
      <c r="C3352" s="108" t="s">
        <v>211</v>
      </c>
      <c r="D3352" s="101" t="s">
        <v>2430</v>
      </c>
      <c r="E3352" s="101" t="s">
        <v>577</v>
      </c>
      <c r="F3352" s="109">
        <f t="shared" si="8"/>
        <v>213</v>
      </c>
      <c r="G3352" s="110" t="s">
        <v>2654</v>
      </c>
    </row>
    <row r="3353" ht="15.75" customHeight="1">
      <c r="B3353" s="95"/>
      <c r="C3353" s="108" t="s">
        <v>211</v>
      </c>
      <c r="D3353" s="101" t="s">
        <v>2430</v>
      </c>
      <c r="E3353" s="101" t="s">
        <v>577</v>
      </c>
      <c r="F3353" s="109">
        <f t="shared" si="8"/>
        <v>214</v>
      </c>
      <c r="G3353" s="110" t="s">
        <v>2774</v>
      </c>
    </row>
    <row r="3354" ht="15.75" customHeight="1">
      <c r="B3354" s="95"/>
      <c r="C3354" s="108" t="s">
        <v>211</v>
      </c>
      <c r="D3354" s="101" t="s">
        <v>2430</v>
      </c>
      <c r="E3354" s="101" t="s">
        <v>577</v>
      </c>
      <c r="F3354" s="109">
        <f t="shared" si="8"/>
        <v>215</v>
      </c>
      <c r="G3354" s="110" t="s">
        <v>2656</v>
      </c>
    </row>
    <row r="3355" ht="15.75" customHeight="1">
      <c r="B3355" s="95"/>
      <c r="C3355" s="108" t="s">
        <v>211</v>
      </c>
      <c r="D3355" s="101" t="s">
        <v>2430</v>
      </c>
      <c r="E3355" s="101" t="s">
        <v>577</v>
      </c>
      <c r="F3355" s="109">
        <f t="shared" si="8"/>
        <v>216</v>
      </c>
      <c r="G3355" s="110" t="s">
        <v>2775</v>
      </c>
    </row>
    <row r="3356" ht="15.75" customHeight="1">
      <c r="B3356" s="95"/>
      <c r="C3356" s="108" t="s">
        <v>211</v>
      </c>
      <c r="D3356" s="101" t="s">
        <v>2430</v>
      </c>
      <c r="E3356" s="101" t="s">
        <v>577</v>
      </c>
      <c r="F3356" s="109">
        <f t="shared" si="8"/>
        <v>217</v>
      </c>
      <c r="G3356" s="110" t="s">
        <v>2658</v>
      </c>
    </row>
    <row r="3357" ht="15.75" customHeight="1">
      <c r="B3357" s="95"/>
      <c r="C3357" s="108" t="s">
        <v>211</v>
      </c>
      <c r="D3357" s="101" t="s">
        <v>2430</v>
      </c>
      <c r="E3357" s="101" t="s">
        <v>577</v>
      </c>
      <c r="F3357" s="109">
        <f t="shared" si="8"/>
        <v>218</v>
      </c>
      <c r="G3357" s="110" t="s">
        <v>2776</v>
      </c>
    </row>
    <row r="3358" ht="15.75" customHeight="1">
      <c r="B3358" s="95"/>
      <c r="C3358" s="108" t="s">
        <v>211</v>
      </c>
      <c r="D3358" s="101" t="s">
        <v>2430</v>
      </c>
      <c r="E3358" s="101" t="s">
        <v>577</v>
      </c>
      <c r="F3358" s="109">
        <f t="shared" si="8"/>
        <v>219</v>
      </c>
      <c r="G3358" s="110" t="s">
        <v>2660</v>
      </c>
    </row>
    <row r="3359" ht="15.75" customHeight="1">
      <c r="B3359" s="95"/>
      <c r="C3359" s="108" t="s">
        <v>211</v>
      </c>
      <c r="D3359" s="101" t="s">
        <v>2430</v>
      </c>
      <c r="E3359" s="101" t="s">
        <v>577</v>
      </c>
      <c r="F3359" s="109">
        <f t="shared" si="8"/>
        <v>220</v>
      </c>
      <c r="G3359" s="110" t="s">
        <v>2777</v>
      </c>
    </row>
    <row r="3360" ht="15.75" customHeight="1">
      <c r="B3360" s="95"/>
      <c r="C3360" s="108" t="s">
        <v>211</v>
      </c>
      <c r="D3360" s="101" t="s">
        <v>2430</v>
      </c>
      <c r="E3360" s="101" t="s">
        <v>577</v>
      </c>
      <c r="F3360" s="109">
        <f t="shared" si="8"/>
        <v>221</v>
      </c>
      <c r="G3360" s="110" t="s">
        <v>2662</v>
      </c>
    </row>
    <row r="3361" ht="15.75" customHeight="1">
      <c r="B3361" s="95"/>
      <c r="C3361" s="108" t="s">
        <v>211</v>
      </c>
      <c r="D3361" s="101" t="s">
        <v>2430</v>
      </c>
      <c r="E3361" s="101" t="s">
        <v>577</v>
      </c>
      <c r="F3361" s="109">
        <f t="shared" si="8"/>
        <v>222</v>
      </c>
      <c r="G3361" s="110" t="s">
        <v>2778</v>
      </c>
    </row>
    <row r="3362" ht="15.75" customHeight="1">
      <c r="B3362" s="95"/>
      <c r="C3362" s="108" t="s">
        <v>211</v>
      </c>
      <c r="D3362" s="101" t="s">
        <v>2430</v>
      </c>
      <c r="E3362" s="101" t="s">
        <v>577</v>
      </c>
      <c r="F3362" s="109">
        <f t="shared" si="8"/>
        <v>223</v>
      </c>
      <c r="G3362" s="110" t="s">
        <v>2664</v>
      </c>
    </row>
    <row r="3363" ht="15.75" customHeight="1">
      <c r="B3363" s="95"/>
      <c r="C3363" s="108" t="s">
        <v>211</v>
      </c>
      <c r="D3363" s="101" t="s">
        <v>2430</v>
      </c>
      <c r="E3363" s="101" t="s">
        <v>577</v>
      </c>
      <c r="F3363" s="109">
        <f t="shared" si="8"/>
        <v>224</v>
      </c>
      <c r="G3363" s="110" t="s">
        <v>2779</v>
      </c>
    </row>
    <row r="3364" ht="15.75" customHeight="1">
      <c r="B3364" s="95"/>
      <c r="C3364" s="108" t="s">
        <v>211</v>
      </c>
      <c r="D3364" s="101" t="s">
        <v>2430</v>
      </c>
      <c r="E3364" s="101" t="s">
        <v>577</v>
      </c>
      <c r="F3364" s="109">
        <f t="shared" si="8"/>
        <v>225</v>
      </c>
      <c r="G3364" s="110" t="s">
        <v>2666</v>
      </c>
    </row>
    <row r="3365" ht="15.75" customHeight="1">
      <c r="B3365" s="95"/>
      <c r="C3365" s="108" t="s">
        <v>211</v>
      </c>
      <c r="D3365" s="101" t="s">
        <v>2430</v>
      </c>
      <c r="E3365" s="101" t="s">
        <v>577</v>
      </c>
      <c r="F3365" s="109">
        <f t="shared" si="8"/>
        <v>226</v>
      </c>
      <c r="G3365" s="110" t="s">
        <v>3036</v>
      </c>
    </row>
    <row r="3366" ht="15.75" customHeight="1">
      <c r="B3366" s="95"/>
      <c r="C3366" s="108" t="s">
        <v>211</v>
      </c>
      <c r="D3366" s="101" t="s">
        <v>2430</v>
      </c>
      <c r="E3366" s="101" t="s">
        <v>577</v>
      </c>
      <c r="F3366" s="109">
        <f t="shared" si="8"/>
        <v>227</v>
      </c>
      <c r="G3366" s="110" t="s">
        <v>3037</v>
      </c>
    </row>
    <row r="3367" ht="15.75" customHeight="1">
      <c r="B3367" s="95"/>
      <c r="C3367" s="108" t="s">
        <v>211</v>
      </c>
      <c r="D3367" s="101" t="s">
        <v>2430</v>
      </c>
      <c r="E3367" s="101" t="s">
        <v>577</v>
      </c>
      <c r="F3367" s="109">
        <f t="shared" si="8"/>
        <v>228</v>
      </c>
      <c r="G3367" s="110" t="s">
        <v>2784</v>
      </c>
    </row>
    <row r="3368" ht="15.75" customHeight="1">
      <c r="B3368" s="95"/>
      <c r="C3368" s="108" t="s">
        <v>211</v>
      </c>
      <c r="D3368" s="101" t="s">
        <v>2430</v>
      </c>
      <c r="E3368" s="101" t="s">
        <v>577</v>
      </c>
      <c r="F3368" s="109">
        <f t="shared" si="8"/>
        <v>229</v>
      </c>
      <c r="G3368" s="110" t="s">
        <v>3038</v>
      </c>
    </row>
    <row r="3369" ht="15.75" customHeight="1">
      <c r="B3369" s="95"/>
      <c r="C3369" s="108" t="s">
        <v>211</v>
      </c>
      <c r="D3369" s="101" t="s">
        <v>2430</v>
      </c>
      <c r="E3369" s="101" t="s">
        <v>577</v>
      </c>
      <c r="F3369" s="109">
        <f t="shared" si="8"/>
        <v>230</v>
      </c>
      <c r="G3369" s="110" t="s">
        <v>3039</v>
      </c>
    </row>
    <row r="3370" ht="15.75" customHeight="1">
      <c r="B3370" s="95"/>
      <c r="C3370" s="108" t="s">
        <v>211</v>
      </c>
      <c r="D3370" s="101" t="s">
        <v>2430</v>
      </c>
      <c r="E3370" s="101" t="s">
        <v>577</v>
      </c>
      <c r="F3370" s="109">
        <f t="shared" si="8"/>
        <v>231</v>
      </c>
      <c r="G3370" s="110" t="s">
        <v>2803</v>
      </c>
    </row>
    <row r="3371" ht="15.75" customHeight="1">
      <c r="B3371" s="95"/>
      <c r="C3371" s="108" t="s">
        <v>211</v>
      </c>
      <c r="D3371" s="101" t="s">
        <v>2430</v>
      </c>
      <c r="E3371" s="101" t="s">
        <v>577</v>
      </c>
      <c r="F3371" s="109">
        <f t="shared" si="8"/>
        <v>232</v>
      </c>
      <c r="G3371" s="110" t="s">
        <v>2673</v>
      </c>
    </row>
    <row r="3372" ht="15.75" customHeight="1">
      <c r="B3372" s="95"/>
      <c r="C3372" s="108" t="s">
        <v>211</v>
      </c>
      <c r="D3372" s="101" t="s">
        <v>2430</v>
      </c>
      <c r="E3372" s="101" t="s">
        <v>577</v>
      </c>
      <c r="F3372" s="109">
        <f t="shared" si="8"/>
        <v>233</v>
      </c>
      <c r="G3372" s="110" t="s">
        <v>2818</v>
      </c>
    </row>
    <row r="3373" ht="15.75" customHeight="1">
      <c r="B3373" s="95"/>
      <c r="C3373" s="108" t="s">
        <v>211</v>
      </c>
      <c r="D3373" s="101" t="s">
        <v>2430</v>
      </c>
      <c r="E3373" s="101" t="s">
        <v>577</v>
      </c>
      <c r="F3373" s="109">
        <f t="shared" si="8"/>
        <v>234</v>
      </c>
      <c r="G3373" s="110" t="s">
        <v>2675</v>
      </c>
    </row>
    <row r="3374" ht="15.75" customHeight="1">
      <c r="B3374" s="95"/>
      <c r="C3374" s="108" t="s">
        <v>211</v>
      </c>
      <c r="D3374" s="101" t="s">
        <v>2430</v>
      </c>
      <c r="E3374" s="101" t="s">
        <v>577</v>
      </c>
      <c r="F3374" s="109">
        <f t="shared" si="8"/>
        <v>235</v>
      </c>
      <c r="G3374" s="110" t="s">
        <v>2819</v>
      </c>
    </row>
    <row r="3375" ht="15.75" customHeight="1">
      <c r="B3375" s="95"/>
      <c r="C3375" s="108" t="s">
        <v>211</v>
      </c>
      <c r="D3375" s="101" t="s">
        <v>2430</v>
      </c>
      <c r="E3375" s="101" t="s">
        <v>577</v>
      </c>
      <c r="F3375" s="109">
        <f t="shared" si="8"/>
        <v>236</v>
      </c>
      <c r="G3375" s="110" t="s">
        <v>2677</v>
      </c>
    </row>
    <row r="3376" ht="15.75" customHeight="1">
      <c r="B3376" s="95"/>
      <c r="C3376" s="108" t="s">
        <v>211</v>
      </c>
      <c r="D3376" s="101" t="s">
        <v>2430</v>
      </c>
      <c r="E3376" s="101" t="s">
        <v>577</v>
      </c>
      <c r="F3376" s="109">
        <f t="shared" si="8"/>
        <v>237</v>
      </c>
      <c r="G3376" s="110" t="s">
        <v>2820</v>
      </c>
    </row>
    <row r="3377" ht="15.75" customHeight="1">
      <c r="B3377" s="95"/>
      <c r="C3377" s="108" t="s">
        <v>211</v>
      </c>
      <c r="D3377" s="101" t="s">
        <v>2430</v>
      </c>
      <c r="E3377" s="101" t="s">
        <v>577</v>
      </c>
      <c r="F3377" s="109">
        <f t="shared" si="8"/>
        <v>238</v>
      </c>
      <c r="G3377" s="110" t="s">
        <v>2679</v>
      </c>
    </row>
    <row r="3378" ht="15.75" customHeight="1">
      <c r="B3378" s="95"/>
      <c r="C3378" s="108" t="s">
        <v>211</v>
      </c>
      <c r="D3378" s="101" t="s">
        <v>2430</v>
      </c>
      <c r="E3378" s="101" t="s">
        <v>577</v>
      </c>
      <c r="F3378" s="109">
        <f t="shared" si="8"/>
        <v>239</v>
      </c>
      <c r="G3378" s="110" t="s">
        <v>2821</v>
      </c>
    </row>
    <row r="3379" ht="15.75" customHeight="1">
      <c r="B3379" s="95"/>
      <c r="C3379" s="108" t="s">
        <v>211</v>
      </c>
      <c r="D3379" s="101" t="s">
        <v>2430</v>
      </c>
      <c r="E3379" s="101" t="s">
        <v>577</v>
      </c>
      <c r="F3379" s="109">
        <f t="shared" si="8"/>
        <v>240</v>
      </c>
      <c r="G3379" s="110" t="s">
        <v>2681</v>
      </c>
    </row>
    <row r="3380" ht="15.75" customHeight="1">
      <c r="B3380" s="95"/>
      <c r="C3380" s="108" t="s">
        <v>211</v>
      </c>
      <c r="D3380" s="101" t="s">
        <v>2430</v>
      </c>
      <c r="E3380" s="101" t="s">
        <v>577</v>
      </c>
      <c r="F3380" s="109">
        <f t="shared" si="8"/>
        <v>241</v>
      </c>
      <c r="G3380" s="110" t="s">
        <v>2822</v>
      </c>
    </row>
    <row r="3381" ht="15.75" customHeight="1">
      <c r="B3381" s="95"/>
      <c r="C3381" s="108" t="s">
        <v>211</v>
      </c>
      <c r="D3381" s="101" t="s">
        <v>2430</v>
      </c>
      <c r="E3381" s="101" t="s">
        <v>577</v>
      </c>
      <c r="F3381" s="109">
        <f t="shared" si="8"/>
        <v>242</v>
      </c>
      <c r="G3381" s="110" t="s">
        <v>2683</v>
      </c>
    </row>
    <row r="3382" ht="15.75" customHeight="1">
      <c r="B3382" s="95"/>
      <c r="C3382" s="108" t="s">
        <v>211</v>
      </c>
      <c r="D3382" s="101" t="s">
        <v>2430</v>
      </c>
      <c r="E3382" s="101" t="s">
        <v>577</v>
      </c>
      <c r="F3382" s="109">
        <f t="shared" si="8"/>
        <v>243</v>
      </c>
      <c r="G3382" s="110" t="s">
        <v>2823</v>
      </c>
    </row>
    <row r="3383" ht="15.75" customHeight="1">
      <c r="B3383" s="95"/>
      <c r="C3383" s="108" t="s">
        <v>211</v>
      </c>
      <c r="D3383" s="101" t="s">
        <v>2430</v>
      </c>
      <c r="E3383" s="101" t="s">
        <v>577</v>
      </c>
      <c r="F3383" s="109">
        <f t="shared" si="8"/>
        <v>244</v>
      </c>
      <c r="G3383" s="110" t="s">
        <v>2685</v>
      </c>
    </row>
    <row r="3384" ht="15.75" customHeight="1">
      <c r="B3384" s="95"/>
      <c r="C3384" s="108" t="s">
        <v>211</v>
      </c>
      <c r="D3384" s="101" t="s">
        <v>2430</v>
      </c>
      <c r="E3384" s="101" t="s">
        <v>577</v>
      </c>
      <c r="F3384" s="109">
        <f t="shared" si="8"/>
        <v>245</v>
      </c>
      <c r="G3384" s="110" t="s">
        <v>2824</v>
      </c>
    </row>
    <row r="3385" ht="15.75" customHeight="1">
      <c r="B3385" s="95"/>
      <c r="C3385" s="108" t="s">
        <v>211</v>
      </c>
      <c r="D3385" s="101" t="s">
        <v>2430</v>
      </c>
      <c r="E3385" s="101" t="s">
        <v>577</v>
      </c>
      <c r="F3385" s="109">
        <f t="shared" si="8"/>
        <v>246</v>
      </c>
      <c r="G3385" s="110" t="s">
        <v>2687</v>
      </c>
    </row>
    <row r="3386" ht="15.75" customHeight="1">
      <c r="B3386" s="95"/>
      <c r="C3386" s="108" t="s">
        <v>211</v>
      </c>
      <c r="D3386" s="101" t="s">
        <v>2430</v>
      </c>
      <c r="E3386" s="101" t="s">
        <v>577</v>
      </c>
      <c r="F3386" s="109">
        <f t="shared" si="8"/>
        <v>247</v>
      </c>
      <c r="G3386" s="110" t="s">
        <v>2825</v>
      </c>
    </row>
    <row r="3387" ht="15.75" customHeight="1">
      <c r="B3387" s="95"/>
      <c r="C3387" s="108" t="s">
        <v>211</v>
      </c>
      <c r="D3387" s="101" t="s">
        <v>2430</v>
      </c>
      <c r="E3387" s="101" t="s">
        <v>577</v>
      </c>
      <c r="F3387" s="109">
        <f t="shared" si="8"/>
        <v>248</v>
      </c>
      <c r="G3387" s="110" t="s">
        <v>2689</v>
      </c>
    </row>
    <row r="3388" ht="15.75" customHeight="1">
      <c r="B3388" s="95"/>
      <c r="C3388" s="108" t="s">
        <v>211</v>
      </c>
      <c r="D3388" s="101" t="s">
        <v>2430</v>
      </c>
      <c r="E3388" s="101" t="s">
        <v>577</v>
      </c>
      <c r="F3388" s="109">
        <f t="shared" si="8"/>
        <v>249</v>
      </c>
      <c r="G3388" s="110" t="s">
        <v>2826</v>
      </c>
    </row>
    <row r="3389" ht="15.75" customHeight="1">
      <c r="B3389" s="95"/>
      <c r="C3389" s="108" t="s">
        <v>211</v>
      </c>
      <c r="D3389" s="101" t="s">
        <v>2430</v>
      </c>
      <c r="E3389" s="101" t="s">
        <v>577</v>
      </c>
      <c r="F3389" s="109">
        <f t="shared" si="8"/>
        <v>250</v>
      </c>
      <c r="G3389" s="110" t="s">
        <v>2691</v>
      </c>
    </row>
    <row r="3390" ht="15.75" customHeight="1">
      <c r="B3390" s="95"/>
      <c r="C3390" s="108" t="s">
        <v>211</v>
      </c>
      <c r="D3390" s="101" t="s">
        <v>2430</v>
      </c>
      <c r="E3390" s="101" t="s">
        <v>577</v>
      </c>
      <c r="F3390" s="109">
        <f t="shared" si="8"/>
        <v>251</v>
      </c>
      <c r="G3390" s="110" t="s">
        <v>2827</v>
      </c>
    </row>
    <row r="3391" ht="15.75" customHeight="1">
      <c r="B3391" s="95"/>
      <c r="C3391" s="108" t="s">
        <v>211</v>
      </c>
      <c r="D3391" s="101" t="s">
        <v>2430</v>
      </c>
      <c r="E3391" s="101" t="s">
        <v>577</v>
      </c>
      <c r="F3391" s="109">
        <f t="shared" si="8"/>
        <v>252</v>
      </c>
      <c r="G3391" s="110" t="s">
        <v>2693</v>
      </c>
    </row>
    <row r="3392" ht="15.75" customHeight="1">
      <c r="B3392" s="95"/>
      <c r="C3392" s="108" t="s">
        <v>211</v>
      </c>
      <c r="D3392" s="101" t="s">
        <v>2430</v>
      </c>
      <c r="E3392" s="101" t="s">
        <v>577</v>
      </c>
      <c r="F3392" s="109">
        <f t="shared" si="8"/>
        <v>253</v>
      </c>
      <c r="G3392" s="110" t="s">
        <v>2828</v>
      </c>
    </row>
    <row r="3393" ht="15.75" customHeight="1">
      <c r="B3393" s="95"/>
      <c r="C3393" s="108" t="s">
        <v>211</v>
      </c>
      <c r="D3393" s="101" t="s">
        <v>2430</v>
      </c>
      <c r="E3393" s="101" t="s">
        <v>577</v>
      </c>
      <c r="F3393" s="109">
        <f t="shared" si="8"/>
        <v>254</v>
      </c>
      <c r="G3393" s="110" t="s">
        <v>2695</v>
      </c>
    </row>
    <row r="3394" ht="15.75" customHeight="1">
      <c r="B3394" s="95"/>
      <c r="C3394" s="108" t="s">
        <v>211</v>
      </c>
      <c r="D3394" s="101" t="s">
        <v>2430</v>
      </c>
      <c r="E3394" s="101" t="s">
        <v>577</v>
      </c>
      <c r="F3394" s="109">
        <f t="shared" si="8"/>
        <v>255</v>
      </c>
      <c r="G3394" s="110" t="s">
        <v>2829</v>
      </c>
    </row>
    <row r="3395" ht="15.75" customHeight="1">
      <c r="B3395" s="95"/>
      <c r="C3395" s="108" t="s">
        <v>211</v>
      </c>
      <c r="D3395" s="101" t="s">
        <v>2430</v>
      </c>
      <c r="E3395" s="101" t="s">
        <v>577</v>
      </c>
      <c r="F3395" s="109">
        <f t="shared" si="8"/>
        <v>256</v>
      </c>
      <c r="G3395" s="110" t="s">
        <v>2697</v>
      </c>
    </row>
    <row r="3396" ht="15.75" customHeight="1">
      <c r="B3396" s="95"/>
      <c r="C3396" s="108" t="s">
        <v>211</v>
      </c>
      <c r="D3396" s="101" t="s">
        <v>2430</v>
      </c>
      <c r="E3396" s="101" t="s">
        <v>577</v>
      </c>
      <c r="F3396" s="109">
        <f t="shared" si="8"/>
        <v>257</v>
      </c>
      <c r="G3396" s="110" t="s">
        <v>2830</v>
      </c>
    </row>
    <row r="3397" ht="15.75" customHeight="1">
      <c r="B3397" s="95"/>
      <c r="C3397" s="108" t="s">
        <v>211</v>
      </c>
      <c r="D3397" s="101" t="s">
        <v>2430</v>
      </c>
      <c r="E3397" s="101" t="s">
        <v>577</v>
      </c>
      <c r="F3397" s="109">
        <f t="shared" si="8"/>
        <v>258</v>
      </c>
      <c r="G3397" s="110" t="s">
        <v>2699</v>
      </c>
    </row>
    <row r="3398" ht="15.75" customHeight="1">
      <c r="B3398" s="95"/>
      <c r="C3398" s="108" t="s">
        <v>211</v>
      </c>
      <c r="D3398" s="101" t="s">
        <v>2430</v>
      </c>
      <c r="E3398" s="101" t="s">
        <v>577</v>
      </c>
      <c r="F3398" s="109">
        <f t="shared" si="8"/>
        <v>259</v>
      </c>
      <c r="G3398" s="110" t="s">
        <v>2831</v>
      </c>
    </row>
    <row r="3399" ht="15.75" customHeight="1">
      <c r="B3399" s="95"/>
      <c r="C3399" s="108" t="s">
        <v>211</v>
      </c>
      <c r="D3399" s="101" t="s">
        <v>2430</v>
      </c>
      <c r="E3399" s="101" t="s">
        <v>577</v>
      </c>
      <c r="F3399" s="109">
        <f t="shared" si="8"/>
        <v>260</v>
      </c>
      <c r="G3399" s="110" t="s">
        <v>2701</v>
      </c>
    </row>
    <row r="3400" ht="15.75" customHeight="1">
      <c r="B3400" s="95"/>
      <c r="C3400" s="108" t="s">
        <v>211</v>
      </c>
      <c r="D3400" s="101" t="s">
        <v>2430</v>
      </c>
      <c r="E3400" s="101" t="s">
        <v>577</v>
      </c>
      <c r="F3400" s="109">
        <f t="shared" si="8"/>
        <v>261</v>
      </c>
      <c r="G3400" s="110" t="s">
        <v>2832</v>
      </c>
    </row>
    <row r="3401" ht="15.75" customHeight="1">
      <c r="B3401" s="95"/>
      <c r="C3401" s="108" t="s">
        <v>211</v>
      </c>
      <c r="D3401" s="101" t="s">
        <v>2430</v>
      </c>
      <c r="E3401" s="101" t="s">
        <v>577</v>
      </c>
      <c r="F3401" s="109">
        <f t="shared" si="8"/>
        <v>262</v>
      </c>
      <c r="G3401" s="110" t="s">
        <v>2703</v>
      </c>
    </row>
    <row r="3402" ht="15.75" customHeight="1">
      <c r="B3402" s="95"/>
      <c r="C3402" s="108" t="s">
        <v>211</v>
      </c>
      <c r="D3402" s="101" t="s">
        <v>2430</v>
      </c>
      <c r="E3402" s="101" t="s">
        <v>577</v>
      </c>
      <c r="F3402" s="109">
        <f t="shared" si="8"/>
        <v>263</v>
      </c>
      <c r="G3402" s="110" t="s">
        <v>2833</v>
      </c>
    </row>
    <row r="3403" ht="15.75" customHeight="1">
      <c r="B3403" s="95"/>
      <c r="C3403" s="108" t="s">
        <v>212</v>
      </c>
      <c r="D3403" s="101" t="s">
        <v>2430</v>
      </c>
      <c r="E3403" s="101" t="s">
        <v>577</v>
      </c>
      <c r="F3403" s="109">
        <f t="shared" si="8"/>
        <v>2</v>
      </c>
      <c r="G3403" s="110" t="s">
        <v>2834</v>
      </c>
    </row>
    <row r="3404" ht="15.75" customHeight="1">
      <c r="B3404" s="95"/>
      <c r="C3404" s="108" t="s">
        <v>212</v>
      </c>
      <c r="D3404" s="101" t="s">
        <v>2430</v>
      </c>
      <c r="E3404" s="101" t="s">
        <v>577</v>
      </c>
      <c r="F3404" s="109">
        <f t="shared" si="8"/>
        <v>3</v>
      </c>
      <c r="G3404" s="110" t="s">
        <v>3040</v>
      </c>
    </row>
    <row r="3405" ht="15.75" customHeight="1">
      <c r="B3405" s="95"/>
      <c r="C3405" s="108" t="s">
        <v>212</v>
      </c>
      <c r="D3405" s="101" t="s">
        <v>2430</v>
      </c>
      <c r="E3405" s="101" t="s">
        <v>577</v>
      </c>
      <c r="F3405" s="109">
        <f t="shared" si="8"/>
        <v>4</v>
      </c>
      <c r="G3405" s="110" t="s">
        <v>3041</v>
      </c>
    </row>
    <row r="3406" ht="15.75" customHeight="1">
      <c r="B3406" s="95"/>
      <c r="C3406" s="108" t="s">
        <v>212</v>
      </c>
      <c r="D3406" s="101" t="s">
        <v>2430</v>
      </c>
      <c r="E3406" s="101" t="s">
        <v>577</v>
      </c>
      <c r="F3406" s="109">
        <f t="shared" si="8"/>
        <v>5</v>
      </c>
      <c r="G3406" s="110" t="s">
        <v>2837</v>
      </c>
    </row>
    <row r="3407" ht="15.75" customHeight="1">
      <c r="B3407" s="95"/>
      <c r="C3407" s="108" t="s">
        <v>212</v>
      </c>
      <c r="D3407" s="101" t="s">
        <v>2430</v>
      </c>
      <c r="E3407" s="101" t="s">
        <v>577</v>
      </c>
      <c r="F3407" s="109">
        <f t="shared" si="8"/>
        <v>6</v>
      </c>
      <c r="G3407" s="110" t="s">
        <v>3042</v>
      </c>
    </row>
    <row r="3408" ht="15.75" customHeight="1">
      <c r="B3408" s="95"/>
      <c r="C3408" s="108" t="s">
        <v>212</v>
      </c>
      <c r="D3408" s="101" t="s">
        <v>2430</v>
      </c>
      <c r="E3408" s="101" t="s">
        <v>577</v>
      </c>
      <c r="F3408" s="109">
        <f t="shared" si="8"/>
        <v>7</v>
      </c>
      <c r="G3408" s="110" t="s">
        <v>3043</v>
      </c>
    </row>
    <row r="3409" ht="15.75" customHeight="1">
      <c r="B3409" s="95"/>
      <c r="C3409" s="108" t="s">
        <v>212</v>
      </c>
      <c r="D3409" s="101" t="s">
        <v>2430</v>
      </c>
      <c r="E3409" s="101" t="s">
        <v>577</v>
      </c>
      <c r="F3409" s="109">
        <f t="shared" si="8"/>
        <v>8</v>
      </c>
      <c r="G3409" s="110" t="s">
        <v>2840</v>
      </c>
    </row>
    <row r="3410" ht="15.75" customHeight="1">
      <c r="B3410" s="95"/>
      <c r="C3410" s="108" t="s">
        <v>212</v>
      </c>
      <c r="D3410" s="101" t="s">
        <v>2430</v>
      </c>
      <c r="E3410" s="101" t="s">
        <v>577</v>
      </c>
      <c r="F3410" s="109">
        <f t="shared" si="8"/>
        <v>9</v>
      </c>
      <c r="G3410" s="110" t="s">
        <v>3044</v>
      </c>
    </row>
    <row r="3411" ht="15.75" customHeight="1">
      <c r="B3411" s="95"/>
      <c r="C3411" s="108" t="s">
        <v>212</v>
      </c>
      <c r="D3411" s="101" t="s">
        <v>2430</v>
      </c>
      <c r="E3411" s="101" t="s">
        <v>577</v>
      </c>
      <c r="F3411" s="109">
        <f t="shared" si="8"/>
        <v>10</v>
      </c>
      <c r="G3411" s="110" t="s">
        <v>3045</v>
      </c>
    </row>
    <row r="3412" ht="15.75" customHeight="1">
      <c r="B3412" s="95"/>
      <c r="C3412" s="108" t="s">
        <v>212</v>
      </c>
      <c r="D3412" s="101" t="s">
        <v>2430</v>
      </c>
      <c r="E3412" s="101" t="s">
        <v>577</v>
      </c>
      <c r="F3412" s="109">
        <f t="shared" si="8"/>
        <v>11</v>
      </c>
      <c r="G3412" s="110" t="s">
        <v>3046</v>
      </c>
    </row>
    <row r="3413" ht="15.75" customHeight="1">
      <c r="B3413" s="95"/>
      <c r="C3413" s="108" t="s">
        <v>212</v>
      </c>
      <c r="D3413" s="101" t="s">
        <v>2430</v>
      </c>
      <c r="E3413" s="101" t="s">
        <v>577</v>
      </c>
      <c r="F3413" s="109">
        <f t="shared" si="8"/>
        <v>12</v>
      </c>
      <c r="G3413" s="110" t="s">
        <v>3047</v>
      </c>
    </row>
    <row r="3414" ht="15.75" customHeight="1">
      <c r="B3414" s="95"/>
      <c r="C3414" s="108" t="s">
        <v>212</v>
      </c>
      <c r="D3414" s="101" t="s">
        <v>2430</v>
      </c>
      <c r="E3414" s="101" t="s">
        <v>577</v>
      </c>
      <c r="F3414" s="109">
        <f t="shared" si="8"/>
        <v>13</v>
      </c>
      <c r="G3414" s="110" t="s">
        <v>3048</v>
      </c>
    </row>
    <row r="3415" ht="15.75" customHeight="1">
      <c r="B3415" s="95"/>
      <c r="C3415" s="108" t="s">
        <v>212</v>
      </c>
      <c r="D3415" s="101" t="s">
        <v>2430</v>
      </c>
      <c r="E3415" s="101" t="s">
        <v>577</v>
      </c>
      <c r="F3415" s="109">
        <f t="shared" si="8"/>
        <v>14</v>
      </c>
      <c r="G3415" s="110" t="s">
        <v>3049</v>
      </c>
    </row>
    <row r="3416" ht="15.75" customHeight="1">
      <c r="B3416" s="95"/>
      <c r="C3416" s="108" t="s">
        <v>212</v>
      </c>
      <c r="D3416" s="101" t="s">
        <v>2430</v>
      </c>
      <c r="E3416" s="101" t="s">
        <v>577</v>
      </c>
      <c r="F3416" s="109">
        <f t="shared" si="8"/>
        <v>15</v>
      </c>
      <c r="G3416" s="110" t="s">
        <v>3050</v>
      </c>
    </row>
    <row r="3417" ht="15.75" customHeight="1">
      <c r="B3417" s="95"/>
      <c r="C3417" s="108" t="s">
        <v>212</v>
      </c>
      <c r="D3417" s="101" t="s">
        <v>2430</v>
      </c>
      <c r="E3417" s="101" t="s">
        <v>577</v>
      </c>
      <c r="F3417" s="109">
        <f t="shared" si="8"/>
        <v>16</v>
      </c>
      <c r="G3417" s="110" t="s">
        <v>3051</v>
      </c>
    </row>
    <row r="3418" ht="15.75" customHeight="1">
      <c r="B3418" s="95"/>
      <c r="C3418" s="108" t="s">
        <v>212</v>
      </c>
      <c r="D3418" s="101" t="s">
        <v>2430</v>
      </c>
      <c r="E3418" s="101" t="s">
        <v>577</v>
      </c>
      <c r="F3418" s="109">
        <f t="shared" si="8"/>
        <v>17</v>
      </c>
      <c r="G3418" s="110" t="s">
        <v>2849</v>
      </c>
    </row>
    <row r="3419" ht="15.75" customHeight="1">
      <c r="B3419" s="95"/>
      <c r="C3419" s="108" t="s">
        <v>212</v>
      </c>
      <c r="D3419" s="101" t="s">
        <v>2430</v>
      </c>
      <c r="E3419" s="101" t="s">
        <v>577</v>
      </c>
      <c r="F3419" s="109">
        <f t="shared" si="8"/>
        <v>18</v>
      </c>
      <c r="G3419" s="110" t="s">
        <v>2850</v>
      </c>
    </row>
    <row r="3420" ht="15.75" customHeight="1">
      <c r="B3420" s="95"/>
      <c r="C3420" s="108" t="s">
        <v>213</v>
      </c>
      <c r="D3420" s="101" t="s">
        <v>2430</v>
      </c>
      <c r="E3420" s="101" t="s">
        <v>577</v>
      </c>
      <c r="F3420" s="109">
        <f t="shared" si="8"/>
        <v>2</v>
      </c>
      <c r="G3420" s="110" t="s">
        <v>3020</v>
      </c>
    </row>
    <row r="3421" ht="15.75" customHeight="1">
      <c r="B3421" s="95"/>
      <c r="C3421" s="108" t="s">
        <v>213</v>
      </c>
      <c r="D3421" s="101" t="s">
        <v>2430</v>
      </c>
      <c r="E3421" s="101" t="s">
        <v>577</v>
      </c>
      <c r="F3421" s="109">
        <f t="shared" si="8"/>
        <v>3</v>
      </c>
      <c r="G3421" s="110" t="s">
        <v>3052</v>
      </c>
    </row>
    <row r="3422" ht="15.75" customHeight="1">
      <c r="B3422" s="95"/>
      <c r="C3422" s="108" t="s">
        <v>213</v>
      </c>
      <c r="D3422" s="101" t="s">
        <v>2430</v>
      </c>
      <c r="E3422" s="101" t="s">
        <v>577</v>
      </c>
      <c r="F3422" s="109">
        <f t="shared" si="8"/>
        <v>4</v>
      </c>
      <c r="G3422" s="110" t="s">
        <v>3053</v>
      </c>
    </row>
    <row r="3423" ht="15.75" customHeight="1">
      <c r="B3423" s="95"/>
      <c r="C3423" s="108" t="s">
        <v>213</v>
      </c>
      <c r="D3423" s="101" t="s">
        <v>2430</v>
      </c>
      <c r="E3423" s="101" t="s">
        <v>577</v>
      </c>
      <c r="F3423" s="109">
        <f t="shared" si="8"/>
        <v>5</v>
      </c>
      <c r="G3423" s="110" t="s">
        <v>3054</v>
      </c>
    </row>
    <row r="3424" ht="15.75" customHeight="1">
      <c r="B3424" s="95"/>
      <c r="C3424" s="108" t="s">
        <v>213</v>
      </c>
      <c r="D3424" s="101" t="s">
        <v>2430</v>
      </c>
      <c r="E3424" s="101" t="s">
        <v>577</v>
      </c>
      <c r="F3424" s="109">
        <f t="shared" si="8"/>
        <v>6</v>
      </c>
      <c r="G3424" s="110" t="s">
        <v>3022</v>
      </c>
    </row>
    <row r="3425" ht="15.75" customHeight="1">
      <c r="B3425" s="95"/>
      <c r="C3425" s="108" t="s">
        <v>213</v>
      </c>
      <c r="D3425" s="101" t="s">
        <v>2430</v>
      </c>
      <c r="E3425" s="101" t="s">
        <v>577</v>
      </c>
      <c r="F3425" s="109">
        <f t="shared" si="8"/>
        <v>7</v>
      </c>
      <c r="G3425" s="110" t="s">
        <v>3055</v>
      </c>
    </row>
    <row r="3426" ht="15.75" customHeight="1">
      <c r="B3426" s="95"/>
      <c r="C3426" s="108" t="s">
        <v>213</v>
      </c>
      <c r="D3426" s="101" t="s">
        <v>2430</v>
      </c>
      <c r="E3426" s="101" t="s">
        <v>577</v>
      </c>
      <c r="F3426" s="109">
        <f t="shared" si="8"/>
        <v>8</v>
      </c>
      <c r="G3426" s="110" t="s">
        <v>3056</v>
      </c>
    </row>
    <row r="3427" ht="15.75" customHeight="1">
      <c r="B3427" s="95"/>
      <c r="C3427" s="108" t="s">
        <v>213</v>
      </c>
      <c r="D3427" s="101" t="s">
        <v>2430</v>
      </c>
      <c r="E3427" s="101" t="s">
        <v>577</v>
      </c>
      <c r="F3427" s="109">
        <f t="shared" si="8"/>
        <v>9</v>
      </c>
      <c r="G3427" s="110" t="s">
        <v>3057</v>
      </c>
    </row>
    <row r="3428" ht="15.75" customHeight="1">
      <c r="B3428" s="95"/>
      <c r="C3428" s="108" t="s">
        <v>213</v>
      </c>
      <c r="D3428" s="101" t="s">
        <v>2430</v>
      </c>
      <c r="E3428" s="101" t="s">
        <v>577</v>
      </c>
      <c r="F3428" s="109">
        <f t="shared" si="8"/>
        <v>10</v>
      </c>
      <c r="G3428" s="110" t="s">
        <v>3024</v>
      </c>
    </row>
    <row r="3429" ht="15.75" customHeight="1">
      <c r="B3429" s="95"/>
      <c r="C3429" s="108" t="s">
        <v>213</v>
      </c>
      <c r="D3429" s="101" t="s">
        <v>2430</v>
      </c>
      <c r="E3429" s="101" t="s">
        <v>577</v>
      </c>
      <c r="F3429" s="109">
        <f t="shared" si="8"/>
        <v>11</v>
      </c>
      <c r="G3429" s="110" t="s">
        <v>3058</v>
      </c>
    </row>
    <row r="3430" ht="15.75" customHeight="1">
      <c r="B3430" s="95"/>
      <c r="C3430" s="108" t="s">
        <v>213</v>
      </c>
      <c r="D3430" s="101" t="s">
        <v>2430</v>
      </c>
      <c r="E3430" s="101" t="s">
        <v>577</v>
      </c>
      <c r="F3430" s="109">
        <f t="shared" si="8"/>
        <v>12</v>
      </c>
      <c r="G3430" s="110" t="s">
        <v>3026</v>
      </c>
    </row>
    <row r="3431" ht="15.75" customHeight="1">
      <c r="B3431" s="95"/>
      <c r="C3431" s="108" t="s">
        <v>213</v>
      </c>
      <c r="D3431" s="101" t="s">
        <v>2430</v>
      </c>
      <c r="E3431" s="101" t="s">
        <v>577</v>
      </c>
      <c r="F3431" s="109">
        <f t="shared" si="8"/>
        <v>13</v>
      </c>
      <c r="G3431" s="110" t="s">
        <v>3059</v>
      </c>
    </row>
    <row r="3432" ht="15.75" customHeight="1">
      <c r="B3432" s="95"/>
      <c r="C3432" s="108" t="s">
        <v>213</v>
      </c>
      <c r="D3432" s="101" t="s">
        <v>2430</v>
      </c>
      <c r="E3432" s="101" t="s">
        <v>577</v>
      </c>
      <c r="F3432" s="109">
        <f t="shared" si="8"/>
        <v>14</v>
      </c>
      <c r="G3432" s="110" t="s">
        <v>2500</v>
      </c>
    </row>
    <row r="3433" ht="15.75" customHeight="1">
      <c r="B3433" s="95"/>
      <c r="C3433" s="108" t="s">
        <v>213</v>
      </c>
      <c r="D3433" s="101" t="s">
        <v>2430</v>
      </c>
      <c r="E3433" s="101" t="s">
        <v>577</v>
      </c>
      <c r="F3433" s="109">
        <f t="shared" si="8"/>
        <v>15</v>
      </c>
      <c r="G3433" s="110" t="s">
        <v>3028</v>
      </c>
    </row>
    <row r="3434" ht="15.75" customHeight="1">
      <c r="B3434" s="95"/>
      <c r="C3434" s="108" t="s">
        <v>213</v>
      </c>
      <c r="D3434" s="101" t="s">
        <v>2430</v>
      </c>
      <c r="E3434" s="101" t="s">
        <v>577</v>
      </c>
      <c r="F3434" s="109">
        <f t="shared" si="8"/>
        <v>16</v>
      </c>
      <c r="G3434" s="110" t="s">
        <v>3029</v>
      </c>
    </row>
    <row r="3435" ht="15.75" customHeight="1">
      <c r="B3435" s="95"/>
      <c r="C3435" s="108" t="s">
        <v>213</v>
      </c>
      <c r="D3435" s="101" t="s">
        <v>2430</v>
      </c>
      <c r="E3435" s="101" t="s">
        <v>577</v>
      </c>
      <c r="F3435" s="109">
        <f t="shared" si="8"/>
        <v>17</v>
      </c>
      <c r="G3435" s="110" t="s">
        <v>2913</v>
      </c>
    </row>
    <row r="3436" ht="15.75" customHeight="1">
      <c r="B3436" s="95"/>
      <c r="C3436" s="108" t="s">
        <v>213</v>
      </c>
      <c r="D3436" s="101" t="s">
        <v>2430</v>
      </c>
      <c r="E3436" s="101" t="s">
        <v>577</v>
      </c>
      <c r="F3436" s="109">
        <f t="shared" si="8"/>
        <v>18</v>
      </c>
      <c r="G3436" s="110" t="s">
        <v>2914</v>
      </c>
    </row>
    <row r="3437" ht="15.75" customHeight="1">
      <c r="B3437" s="95"/>
      <c r="C3437" s="108" t="s">
        <v>213</v>
      </c>
      <c r="D3437" s="101" t="s">
        <v>2430</v>
      </c>
      <c r="E3437" s="101" t="s">
        <v>577</v>
      </c>
      <c r="F3437" s="109">
        <f t="shared" si="8"/>
        <v>19</v>
      </c>
      <c r="G3437" s="110" t="s">
        <v>2915</v>
      </c>
    </row>
    <row r="3438" ht="15.75" customHeight="1">
      <c r="B3438" s="95"/>
      <c r="C3438" s="108" t="s">
        <v>213</v>
      </c>
      <c r="D3438" s="101" t="s">
        <v>2430</v>
      </c>
      <c r="E3438" s="101" t="s">
        <v>577</v>
      </c>
      <c r="F3438" s="109">
        <f t="shared" si="8"/>
        <v>20</v>
      </c>
      <c r="G3438" s="110" t="s">
        <v>2546</v>
      </c>
    </row>
    <row r="3439" ht="15.75" customHeight="1">
      <c r="B3439" s="95"/>
      <c r="C3439" s="108" t="s">
        <v>213</v>
      </c>
      <c r="D3439" s="101" t="s">
        <v>2430</v>
      </c>
      <c r="E3439" s="101" t="s">
        <v>577</v>
      </c>
      <c r="F3439" s="109">
        <f t="shared" si="8"/>
        <v>21</v>
      </c>
      <c r="G3439" s="110" t="s">
        <v>3030</v>
      </c>
    </row>
    <row r="3440" ht="15.75" customHeight="1">
      <c r="B3440" s="95"/>
      <c r="C3440" s="108" t="s">
        <v>213</v>
      </c>
      <c r="D3440" s="101" t="s">
        <v>2430</v>
      </c>
      <c r="E3440" s="101" t="s">
        <v>577</v>
      </c>
      <c r="F3440" s="109">
        <f t="shared" si="8"/>
        <v>22</v>
      </c>
      <c r="G3440" s="110" t="s">
        <v>3031</v>
      </c>
    </row>
    <row r="3441" ht="15.75" customHeight="1">
      <c r="B3441" s="95"/>
      <c r="C3441" s="108" t="s">
        <v>213</v>
      </c>
      <c r="D3441" s="101" t="s">
        <v>2430</v>
      </c>
      <c r="E3441" s="101" t="s">
        <v>577</v>
      </c>
      <c r="F3441" s="109">
        <f t="shared" si="8"/>
        <v>23</v>
      </c>
      <c r="G3441" s="110" t="s">
        <v>2916</v>
      </c>
    </row>
    <row r="3442" ht="15.75" customHeight="1">
      <c r="B3442" s="95"/>
      <c r="C3442" s="108" t="s">
        <v>213</v>
      </c>
      <c r="D3442" s="101" t="s">
        <v>2430</v>
      </c>
      <c r="E3442" s="101" t="s">
        <v>577</v>
      </c>
      <c r="F3442" s="109">
        <f t="shared" si="8"/>
        <v>24</v>
      </c>
      <c r="G3442" s="110" t="s">
        <v>2917</v>
      </c>
    </row>
    <row r="3443" ht="15.75" customHeight="1">
      <c r="B3443" s="95"/>
      <c r="C3443" s="108" t="s">
        <v>213</v>
      </c>
      <c r="D3443" s="101" t="s">
        <v>2430</v>
      </c>
      <c r="E3443" s="101" t="s">
        <v>577</v>
      </c>
      <c r="F3443" s="109">
        <f t="shared" si="8"/>
        <v>25</v>
      </c>
      <c r="G3443" s="110" t="s">
        <v>2918</v>
      </c>
    </row>
    <row r="3444" ht="15.75" customHeight="1">
      <c r="B3444" s="95"/>
      <c r="C3444" s="108" t="s">
        <v>213</v>
      </c>
      <c r="D3444" s="101" t="s">
        <v>2430</v>
      </c>
      <c r="E3444" s="101" t="s">
        <v>577</v>
      </c>
      <c r="F3444" s="109">
        <f t="shared" si="8"/>
        <v>26</v>
      </c>
      <c r="G3444" s="110" t="s">
        <v>3017</v>
      </c>
    </row>
    <row r="3445" ht="15.75" customHeight="1">
      <c r="B3445" s="95"/>
      <c r="C3445" s="108" t="s">
        <v>213</v>
      </c>
      <c r="D3445" s="101" t="s">
        <v>2430</v>
      </c>
      <c r="E3445" s="101" t="s">
        <v>577</v>
      </c>
      <c r="F3445" s="109">
        <f t="shared" si="8"/>
        <v>27</v>
      </c>
      <c r="G3445" s="110" t="s">
        <v>3018</v>
      </c>
    </row>
    <row r="3446" ht="15.75" customHeight="1">
      <c r="B3446" s="95"/>
      <c r="C3446" s="108" t="s">
        <v>213</v>
      </c>
      <c r="D3446" s="101" t="s">
        <v>2430</v>
      </c>
      <c r="E3446" s="101" t="s">
        <v>577</v>
      </c>
      <c r="F3446" s="109">
        <f t="shared" si="8"/>
        <v>28</v>
      </c>
      <c r="G3446" s="110" t="s">
        <v>3019</v>
      </c>
    </row>
    <row r="3447" ht="15.75" customHeight="1">
      <c r="B3447" s="95"/>
      <c r="C3447" s="108" t="s">
        <v>214</v>
      </c>
      <c r="D3447" s="101" t="s">
        <v>2430</v>
      </c>
      <c r="E3447" s="101" t="s">
        <v>577</v>
      </c>
      <c r="F3447" s="109">
        <f t="shared" si="8"/>
        <v>2</v>
      </c>
      <c r="G3447" s="110" t="s">
        <v>3060</v>
      </c>
    </row>
    <row r="3448" ht="15.75" customHeight="1">
      <c r="B3448" s="95"/>
      <c r="C3448" s="108" t="s">
        <v>214</v>
      </c>
      <c r="D3448" s="101" t="s">
        <v>2430</v>
      </c>
      <c r="E3448" s="101" t="s">
        <v>577</v>
      </c>
      <c r="F3448" s="109">
        <f t="shared" si="8"/>
        <v>3</v>
      </c>
      <c r="G3448" s="110" t="s">
        <v>3061</v>
      </c>
    </row>
    <row r="3449" ht="15.75" customHeight="1">
      <c r="B3449" s="95"/>
      <c r="C3449" s="108" t="s">
        <v>214</v>
      </c>
      <c r="D3449" s="101" t="s">
        <v>2430</v>
      </c>
      <c r="E3449" s="101" t="s">
        <v>577</v>
      </c>
      <c r="F3449" s="109">
        <f t="shared" si="8"/>
        <v>4</v>
      </c>
      <c r="G3449" s="110" t="s">
        <v>3062</v>
      </c>
    </row>
    <row r="3450" ht="15.75" customHeight="1">
      <c r="B3450" s="95"/>
      <c r="C3450" s="108" t="s">
        <v>214</v>
      </c>
      <c r="D3450" s="101" t="s">
        <v>2430</v>
      </c>
      <c r="E3450" s="101" t="s">
        <v>577</v>
      </c>
      <c r="F3450" s="109">
        <f t="shared" si="8"/>
        <v>5</v>
      </c>
      <c r="G3450" s="110" t="s">
        <v>3063</v>
      </c>
    </row>
    <row r="3451" ht="15.75" customHeight="1">
      <c r="B3451" s="95"/>
      <c r="C3451" s="108" t="s">
        <v>214</v>
      </c>
      <c r="D3451" s="101" t="s">
        <v>2430</v>
      </c>
      <c r="E3451" s="101" t="s">
        <v>577</v>
      </c>
      <c r="F3451" s="109">
        <f t="shared" si="8"/>
        <v>6</v>
      </c>
      <c r="G3451" s="110" t="s">
        <v>3064</v>
      </c>
    </row>
    <row r="3452" ht="15.75" customHeight="1">
      <c r="B3452" s="95"/>
      <c r="C3452" s="108" t="s">
        <v>214</v>
      </c>
      <c r="D3452" s="101" t="s">
        <v>2430</v>
      </c>
      <c r="E3452" s="101" t="s">
        <v>577</v>
      </c>
      <c r="F3452" s="109">
        <f t="shared" si="8"/>
        <v>7</v>
      </c>
      <c r="G3452" s="110" t="s">
        <v>3065</v>
      </c>
    </row>
    <row r="3453" ht="15.75" customHeight="1">
      <c r="B3453" s="95"/>
      <c r="C3453" s="108" t="s">
        <v>214</v>
      </c>
      <c r="D3453" s="101" t="s">
        <v>2430</v>
      </c>
      <c r="E3453" s="101" t="s">
        <v>577</v>
      </c>
      <c r="F3453" s="109">
        <f t="shared" si="8"/>
        <v>8</v>
      </c>
      <c r="G3453" s="110" t="s">
        <v>3066</v>
      </c>
    </row>
    <row r="3454" ht="15.75" customHeight="1">
      <c r="B3454" s="95"/>
      <c r="C3454" s="108" t="s">
        <v>214</v>
      </c>
      <c r="D3454" s="101" t="s">
        <v>2430</v>
      </c>
      <c r="E3454" s="101" t="s">
        <v>577</v>
      </c>
      <c r="F3454" s="109">
        <f t="shared" si="8"/>
        <v>9</v>
      </c>
      <c r="G3454" s="110" t="s">
        <v>3067</v>
      </c>
    </row>
    <row r="3455" ht="15.75" customHeight="1">
      <c r="B3455" s="95"/>
      <c r="C3455" s="108" t="s">
        <v>214</v>
      </c>
      <c r="D3455" s="101" t="s">
        <v>2430</v>
      </c>
      <c r="E3455" s="101" t="s">
        <v>577</v>
      </c>
      <c r="F3455" s="109">
        <f t="shared" si="8"/>
        <v>10</v>
      </c>
      <c r="G3455" s="110" t="s">
        <v>3068</v>
      </c>
    </row>
    <row r="3456" ht="15.75" customHeight="1">
      <c r="B3456" s="95"/>
      <c r="C3456" s="108" t="s">
        <v>214</v>
      </c>
      <c r="D3456" s="101" t="s">
        <v>2430</v>
      </c>
      <c r="E3456" s="101" t="s">
        <v>577</v>
      </c>
      <c r="F3456" s="109">
        <f t="shared" si="8"/>
        <v>11</v>
      </c>
      <c r="G3456" s="110" t="s">
        <v>3069</v>
      </c>
    </row>
    <row r="3457" ht="15.75" customHeight="1">
      <c r="B3457" s="95"/>
      <c r="C3457" s="108" t="s">
        <v>214</v>
      </c>
      <c r="D3457" s="101" t="s">
        <v>2430</v>
      </c>
      <c r="E3457" s="101" t="s">
        <v>577</v>
      </c>
      <c r="F3457" s="109">
        <f t="shared" si="8"/>
        <v>12</v>
      </c>
      <c r="G3457" s="110" t="s">
        <v>3070</v>
      </c>
    </row>
    <row r="3458" ht="15.75" customHeight="1">
      <c r="B3458" s="95"/>
      <c r="C3458" s="108" t="s">
        <v>214</v>
      </c>
      <c r="D3458" s="101" t="s">
        <v>2430</v>
      </c>
      <c r="E3458" s="101" t="s">
        <v>577</v>
      </c>
      <c r="F3458" s="109">
        <f t="shared" si="8"/>
        <v>13</v>
      </c>
      <c r="G3458" s="110" t="s">
        <v>3071</v>
      </c>
    </row>
    <row r="3459" ht="15.75" customHeight="1">
      <c r="B3459" s="95"/>
      <c r="C3459" s="108" t="s">
        <v>214</v>
      </c>
      <c r="D3459" s="101" t="s">
        <v>2430</v>
      </c>
      <c r="E3459" s="101" t="s">
        <v>577</v>
      </c>
      <c r="F3459" s="109">
        <f t="shared" si="8"/>
        <v>14</v>
      </c>
      <c r="G3459" s="110" t="s">
        <v>3072</v>
      </c>
    </row>
    <row r="3460" ht="15.75" customHeight="1">
      <c r="B3460" s="95"/>
      <c r="C3460" s="108" t="s">
        <v>214</v>
      </c>
      <c r="D3460" s="101" t="s">
        <v>2430</v>
      </c>
      <c r="E3460" s="101" t="s">
        <v>577</v>
      </c>
      <c r="F3460" s="109">
        <f t="shared" si="8"/>
        <v>15</v>
      </c>
      <c r="G3460" s="110" t="s">
        <v>3073</v>
      </c>
    </row>
    <row r="3461" ht="15.75" customHeight="1">
      <c r="B3461" s="95"/>
      <c r="C3461" s="108" t="s">
        <v>214</v>
      </c>
      <c r="D3461" s="101" t="s">
        <v>2430</v>
      </c>
      <c r="E3461" s="101" t="s">
        <v>577</v>
      </c>
      <c r="F3461" s="109">
        <f t="shared" si="8"/>
        <v>16</v>
      </c>
      <c r="G3461" s="110" t="s">
        <v>3074</v>
      </c>
    </row>
    <row r="3462" ht="15.75" customHeight="1">
      <c r="B3462" s="95"/>
      <c r="C3462" s="108" t="s">
        <v>214</v>
      </c>
      <c r="D3462" s="101" t="s">
        <v>2430</v>
      </c>
      <c r="E3462" s="101" t="s">
        <v>577</v>
      </c>
      <c r="F3462" s="109">
        <f t="shared" si="8"/>
        <v>17</v>
      </c>
      <c r="G3462" s="110" t="s">
        <v>3075</v>
      </c>
    </row>
    <row r="3463" ht="15.75" customHeight="1">
      <c r="B3463" s="95"/>
      <c r="C3463" s="108" t="s">
        <v>214</v>
      </c>
      <c r="D3463" s="101" t="s">
        <v>2430</v>
      </c>
      <c r="E3463" s="101" t="s">
        <v>577</v>
      </c>
      <c r="F3463" s="109">
        <f t="shared" si="8"/>
        <v>18</v>
      </c>
      <c r="G3463" s="110" t="s">
        <v>3076</v>
      </c>
    </row>
    <row r="3464" ht="15.75" customHeight="1">
      <c r="B3464" s="95"/>
      <c r="C3464" s="108" t="s">
        <v>214</v>
      </c>
      <c r="D3464" s="101" t="s">
        <v>2430</v>
      </c>
      <c r="E3464" s="101" t="s">
        <v>577</v>
      </c>
      <c r="F3464" s="109">
        <f t="shared" si="8"/>
        <v>19</v>
      </c>
      <c r="G3464" s="110" t="s">
        <v>3077</v>
      </c>
    </row>
    <row r="3465" ht="15.75" customHeight="1">
      <c r="B3465" s="95"/>
      <c r="C3465" s="108" t="s">
        <v>214</v>
      </c>
      <c r="D3465" s="101" t="s">
        <v>2430</v>
      </c>
      <c r="E3465" s="101" t="s">
        <v>577</v>
      </c>
      <c r="F3465" s="109">
        <f t="shared" si="8"/>
        <v>20</v>
      </c>
      <c r="G3465" s="110" t="s">
        <v>3078</v>
      </c>
    </row>
    <row r="3466" ht="15.75" customHeight="1">
      <c r="B3466" s="95"/>
      <c r="C3466" s="108" t="s">
        <v>214</v>
      </c>
      <c r="D3466" s="101" t="s">
        <v>2430</v>
      </c>
      <c r="E3466" s="101" t="s">
        <v>577</v>
      </c>
      <c r="F3466" s="109">
        <f t="shared" si="8"/>
        <v>21</v>
      </c>
      <c r="G3466" s="110" t="s">
        <v>3079</v>
      </c>
    </row>
    <row r="3467" ht="15.75" customHeight="1">
      <c r="B3467" s="95"/>
      <c r="C3467" s="108" t="s">
        <v>214</v>
      </c>
      <c r="D3467" s="101" t="s">
        <v>2430</v>
      </c>
      <c r="E3467" s="101" t="s">
        <v>577</v>
      </c>
      <c r="F3467" s="109">
        <f t="shared" si="8"/>
        <v>22</v>
      </c>
      <c r="G3467" s="110" t="s">
        <v>3080</v>
      </c>
    </row>
    <row r="3468" ht="15.75" customHeight="1">
      <c r="B3468" s="95"/>
      <c r="C3468" s="108" t="s">
        <v>214</v>
      </c>
      <c r="D3468" s="101" t="s">
        <v>2430</v>
      </c>
      <c r="E3468" s="101" t="s">
        <v>577</v>
      </c>
      <c r="F3468" s="109">
        <f t="shared" si="8"/>
        <v>23</v>
      </c>
      <c r="G3468" s="110" t="s">
        <v>3081</v>
      </c>
    </row>
    <row r="3469" ht="15.75" customHeight="1">
      <c r="B3469" s="95"/>
      <c r="C3469" s="108" t="s">
        <v>214</v>
      </c>
      <c r="D3469" s="101" t="s">
        <v>2430</v>
      </c>
      <c r="E3469" s="101" t="s">
        <v>577</v>
      </c>
      <c r="F3469" s="109">
        <f t="shared" si="8"/>
        <v>24</v>
      </c>
      <c r="G3469" s="110" t="s">
        <v>3082</v>
      </c>
    </row>
    <row r="3470" ht="15.75" customHeight="1">
      <c r="B3470" s="95"/>
      <c r="C3470" s="108" t="s">
        <v>214</v>
      </c>
      <c r="D3470" s="101" t="s">
        <v>2430</v>
      </c>
      <c r="E3470" s="101" t="s">
        <v>577</v>
      </c>
      <c r="F3470" s="109">
        <f t="shared" si="8"/>
        <v>25</v>
      </c>
      <c r="G3470" s="110" t="s">
        <v>3083</v>
      </c>
    </row>
    <row r="3471" ht="15.75" customHeight="1">
      <c r="B3471" s="95"/>
      <c r="C3471" s="108" t="s">
        <v>214</v>
      </c>
      <c r="D3471" s="101" t="s">
        <v>2430</v>
      </c>
      <c r="E3471" s="101" t="s">
        <v>577</v>
      </c>
      <c r="F3471" s="109">
        <f t="shared" si="8"/>
        <v>26</v>
      </c>
      <c r="G3471" s="110" t="s">
        <v>3084</v>
      </c>
    </row>
    <row r="3472" ht="15.75" customHeight="1">
      <c r="B3472" s="95"/>
      <c r="C3472" s="108" t="s">
        <v>214</v>
      </c>
      <c r="D3472" s="101" t="s">
        <v>2430</v>
      </c>
      <c r="E3472" s="101" t="s">
        <v>577</v>
      </c>
      <c r="F3472" s="109">
        <f t="shared" si="8"/>
        <v>27</v>
      </c>
      <c r="G3472" s="110" t="s">
        <v>3085</v>
      </c>
    </row>
    <row r="3473" ht="15.75" customHeight="1">
      <c r="B3473" s="95"/>
      <c r="C3473" s="108" t="s">
        <v>214</v>
      </c>
      <c r="D3473" s="101" t="s">
        <v>2430</v>
      </c>
      <c r="E3473" s="101" t="s">
        <v>577</v>
      </c>
      <c r="F3473" s="109">
        <f t="shared" si="8"/>
        <v>28</v>
      </c>
      <c r="G3473" s="110" t="s">
        <v>3086</v>
      </c>
    </row>
    <row r="3474" ht="15.75" customHeight="1">
      <c r="B3474" s="95"/>
      <c r="C3474" s="108" t="s">
        <v>214</v>
      </c>
      <c r="D3474" s="101" t="s">
        <v>2430</v>
      </c>
      <c r="E3474" s="101" t="s">
        <v>577</v>
      </c>
      <c r="F3474" s="109">
        <f t="shared" si="8"/>
        <v>29</v>
      </c>
      <c r="G3474" s="110" t="s">
        <v>3087</v>
      </c>
    </row>
    <row r="3475" ht="15.75" customHeight="1">
      <c r="B3475" s="95"/>
      <c r="C3475" s="108" t="s">
        <v>214</v>
      </c>
      <c r="D3475" s="101" t="s">
        <v>2430</v>
      </c>
      <c r="E3475" s="101" t="s">
        <v>577</v>
      </c>
      <c r="F3475" s="109">
        <f t="shared" si="8"/>
        <v>30</v>
      </c>
      <c r="G3475" s="110" t="s">
        <v>3088</v>
      </c>
    </row>
    <row r="3476" ht="15.75" customHeight="1">
      <c r="B3476" s="95"/>
      <c r="C3476" s="108" t="s">
        <v>214</v>
      </c>
      <c r="D3476" s="101" t="s">
        <v>2430</v>
      </c>
      <c r="E3476" s="101" t="s">
        <v>577</v>
      </c>
      <c r="F3476" s="109">
        <f t="shared" si="8"/>
        <v>31</v>
      </c>
      <c r="G3476" s="110" t="s">
        <v>3089</v>
      </c>
    </row>
    <row r="3477" ht="15.75" customHeight="1">
      <c r="B3477" s="95"/>
      <c r="C3477" s="108" t="s">
        <v>214</v>
      </c>
      <c r="D3477" s="101" t="s">
        <v>2430</v>
      </c>
      <c r="E3477" s="101" t="s">
        <v>577</v>
      </c>
      <c r="F3477" s="109">
        <f t="shared" si="8"/>
        <v>32</v>
      </c>
      <c r="G3477" s="110" t="s">
        <v>3090</v>
      </c>
    </row>
    <row r="3478" ht="15.75" customHeight="1">
      <c r="B3478" s="95"/>
      <c r="C3478" s="108" t="s">
        <v>214</v>
      </c>
      <c r="D3478" s="101" t="s">
        <v>2430</v>
      </c>
      <c r="E3478" s="101" t="s">
        <v>577</v>
      </c>
      <c r="F3478" s="109">
        <f t="shared" si="8"/>
        <v>33</v>
      </c>
      <c r="G3478" s="110" t="s">
        <v>3091</v>
      </c>
    </row>
    <row r="3479" ht="15.75" customHeight="1">
      <c r="B3479" s="95"/>
      <c r="C3479" s="108" t="s">
        <v>214</v>
      </c>
      <c r="D3479" s="101" t="s">
        <v>2430</v>
      </c>
      <c r="E3479" s="101" t="s">
        <v>577</v>
      </c>
      <c r="F3479" s="109">
        <f t="shared" si="8"/>
        <v>34</v>
      </c>
      <c r="G3479" s="110" t="s">
        <v>3092</v>
      </c>
    </row>
    <row r="3480" ht="15.75" customHeight="1">
      <c r="B3480" s="95"/>
      <c r="C3480" s="108" t="s">
        <v>214</v>
      </c>
      <c r="D3480" s="101" t="s">
        <v>2430</v>
      </c>
      <c r="E3480" s="101" t="s">
        <v>577</v>
      </c>
      <c r="F3480" s="109">
        <f t="shared" si="8"/>
        <v>35</v>
      </c>
      <c r="G3480" s="110" t="s">
        <v>3093</v>
      </c>
    </row>
    <row r="3481" ht="15.75" customHeight="1">
      <c r="B3481" s="95"/>
      <c r="C3481" s="108" t="s">
        <v>214</v>
      </c>
      <c r="D3481" s="101" t="s">
        <v>2430</v>
      </c>
      <c r="E3481" s="101" t="s">
        <v>577</v>
      </c>
      <c r="F3481" s="109">
        <f t="shared" si="8"/>
        <v>36</v>
      </c>
      <c r="G3481" s="110" t="s">
        <v>3094</v>
      </c>
    </row>
    <row r="3482" ht="15.75" customHeight="1">
      <c r="B3482" s="95"/>
      <c r="C3482" s="108" t="s">
        <v>214</v>
      </c>
      <c r="D3482" s="101" t="s">
        <v>2430</v>
      </c>
      <c r="E3482" s="101" t="s">
        <v>577</v>
      </c>
      <c r="F3482" s="109">
        <f t="shared" si="8"/>
        <v>37</v>
      </c>
      <c r="G3482" s="110" t="s">
        <v>3095</v>
      </c>
    </row>
    <row r="3483" ht="15.75" customHeight="1">
      <c r="B3483" s="95"/>
      <c r="C3483" s="108" t="s">
        <v>214</v>
      </c>
      <c r="D3483" s="101" t="s">
        <v>2430</v>
      </c>
      <c r="E3483" s="101" t="s">
        <v>577</v>
      </c>
      <c r="F3483" s="109">
        <f t="shared" si="8"/>
        <v>38</v>
      </c>
      <c r="G3483" s="110" t="s">
        <v>3096</v>
      </c>
    </row>
    <row r="3484" ht="15.75" customHeight="1">
      <c r="B3484" s="95"/>
      <c r="C3484" s="108" t="s">
        <v>214</v>
      </c>
      <c r="D3484" s="101" t="s">
        <v>2430</v>
      </c>
      <c r="E3484" s="101" t="s">
        <v>577</v>
      </c>
      <c r="F3484" s="109">
        <f t="shared" si="8"/>
        <v>39</v>
      </c>
      <c r="G3484" s="110" t="s">
        <v>3097</v>
      </c>
    </row>
    <row r="3485" ht="15.75" customHeight="1">
      <c r="B3485" s="95"/>
      <c r="C3485" s="108" t="s">
        <v>214</v>
      </c>
      <c r="D3485" s="101" t="s">
        <v>2430</v>
      </c>
      <c r="E3485" s="101" t="s">
        <v>577</v>
      </c>
      <c r="F3485" s="109">
        <f t="shared" si="8"/>
        <v>40</v>
      </c>
      <c r="G3485" s="110" t="s">
        <v>3098</v>
      </c>
    </row>
    <row r="3486" ht="15.75" customHeight="1">
      <c r="B3486" s="95"/>
      <c r="C3486" s="108" t="s">
        <v>214</v>
      </c>
      <c r="D3486" s="101" t="s">
        <v>2430</v>
      </c>
      <c r="E3486" s="101" t="s">
        <v>577</v>
      </c>
      <c r="F3486" s="109">
        <f t="shared" si="8"/>
        <v>41</v>
      </c>
      <c r="G3486" s="110" t="s">
        <v>3099</v>
      </c>
    </row>
    <row r="3487" ht="15.75" customHeight="1">
      <c r="B3487" s="95"/>
      <c r="C3487" s="108" t="s">
        <v>214</v>
      </c>
      <c r="D3487" s="101" t="s">
        <v>2430</v>
      </c>
      <c r="E3487" s="101" t="s">
        <v>577</v>
      </c>
      <c r="F3487" s="109">
        <f t="shared" si="8"/>
        <v>42</v>
      </c>
      <c r="G3487" s="110" t="s">
        <v>3100</v>
      </c>
    </row>
    <row r="3488" ht="15.75" customHeight="1">
      <c r="B3488" s="95"/>
      <c r="C3488" s="108" t="s">
        <v>214</v>
      </c>
      <c r="D3488" s="101" t="s">
        <v>2430</v>
      </c>
      <c r="E3488" s="101" t="s">
        <v>577</v>
      </c>
      <c r="F3488" s="109">
        <f t="shared" si="8"/>
        <v>43</v>
      </c>
      <c r="G3488" s="110" t="s">
        <v>3101</v>
      </c>
    </row>
    <row r="3489" ht="15.75" customHeight="1">
      <c r="B3489" s="95"/>
      <c r="C3489" s="108" t="s">
        <v>214</v>
      </c>
      <c r="D3489" s="101" t="s">
        <v>2430</v>
      </c>
      <c r="E3489" s="101" t="s">
        <v>577</v>
      </c>
      <c r="F3489" s="109">
        <f t="shared" si="8"/>
        <v>44</v>
      </c>
      <c r="G3489" s="110" t="s">
        <v>3102</v>
      </c>
    </row>
    <row r="3490" ht="15.75" customHeight="1">
      <c r="B3490" s="95"/>
      <c r="C3490" s="108" t="s">
        <v>214</v>
      </c>
      <c r="D3490" s="101" t="s">
        <v>2430</v>
      </c>
      <c r="E3490" s="101" t="s">
        <v>577</v>
      </c>
      <c r="F3490" s="109">
        <f t="shared" si="8"/>
        <v>45</v>
      </c>
      <c r="G3490" s="110" t="s">
        <v>3103</v>
      </c>
    </row>
    <row r="3491" ht="15.75" customHeight="1">
      <c r="B3491" s="95"/>
      <c r="C3491" s="108" t="s">
        <v>214</v>
      </c>
      <c r="D3491" s="101" t="s">
        <v>2430</v>
      </c>
      <c r="E3491" s="101" t="s">
        <v>577</v>
      </c>
      <c r="F3491" s="109">
        <f t="shared" si="8"/>
        <v>46</v>
      </c>
      <c r="G3491" s="110" t="s">
        <v>3104</v>
      </c>
    </row>
    <row r="3492" ht="15.75" customHeight="1">
      <c r="B3492" s="95"/>
      <c r="C3492" s="108" t="s">
        <v>214</v>
      </c>
      <c r="D3492" s="101" t="s">
        <v>2430</v>
      </c>
      <c r="E3492" s="101" t="s">
        <v>577</v>
      </c>
      <c r="F3492" s="109">
        <f t="shared" si="8"/>
        <v>47</v>
      </c>
      <c r="G3492" s="110" t="s">
        <v>3105</v>
      </c>
    </row>
    <row r="3493" ht="15.75" customHeight="1">
      <c r="B3493" s="95"/>
      <c r="C3493" s="108" t="s">
        <v>214</v>
      </c>
      <c r="D3493" s="101" t="s">
        <v>2430</v>
      </c>
      <c r="E3493" s="101" t="s">
        <v>577</v>
      </c>
      <c r="F3493" s="109">
        <f t="shared" si="8"/>
        <v>48</v>
      </c>
      <c r="G3493" s="110" t="s">
        <v>3106</v>
      </c>
    </row>
    <row r="3494" ht="15.75" customHeight="1">
      <c r="B3494" s="95"/>
      <c r="C3494" s="108" t="s">
        <v>214</v>
      </c>
      <c r="D3494" s="101" t="s">
        <v>2430</v>
      </c>
      <c r="E3494" s="101" t="s">
        <v>577</v>
      </c>
      <c r="F3494" s="109">
        <f t="shared" si="8"/>
        <v>49</v>
      </c>
      <c r="G3494" s="110" t="s">
        <v>3107</v>
      </c>
    </row>
    <row r="3495" ht="15.75" customHeight="1">
      <c r="B3495" s="95"/>
      <c r="C3495" s="108" t="s">
        <v>214</v>
      </c>
      <c r="D3495" s="101" t="s">
        <v>2430</v>
      </c>
      <c r="E3495" s="101" t="s">
        <v>577</v>
      </c>
      <c r="F3495" s="109">
        <f t="shared" si="8"/>
        <v>50</v>
      </c>
      <c r="G3495" s="110" t="s">
        <v>2834</v>
      </c>
    </row>
    <row r="3496" ht="15.75" customHeight="1">
      <c r="B3496" s="95"/>
      <c r="C3496" s="108" t="s">
        <v>214</v>
      </c>
      <c r="D3496" s="101" t="s">
        <v>2430</v>
      </c>
      <c r="E3496" s="101" t="s">
        <v>577</v>
      </c>
      <c r="F3496" s="109">
        <f t="shared" si="8"/>
        <v>51</v>
      </c>
      <c r="G3496" s="110" t="s">
        <v>3108</v>
      </c>
    </row>
    <row r="3497" ht="15.75" customHeight="1">
      <c r="B3497" s="95"/>
      <c r="C3497" s="108" t="s">
        <v>214</v>
      </c>
      <c r="D3497" s="101" t="s">
        <v>2430</v>
      </c>
      <c r="E3497" s="101" t="s">
        <v>577</v>
      </c>
      <c r="F3497" s="109">
        <f t="shared" si="8"/>
        <v>52</v>
      </c>
      <c r="G3497" s="110" t="s">
        <v>3109</v>
      </c>
    </row>
    <row r="3498" ht="15.75" customHeight="1">
      <c r="B3498" s="95"/>
      <c r="C3498" s="108" t="s">
        <v>214</v>
      </c>
      <c r="D3498" s="101" t="s">
        <v>2430</v>
      </c>
      <c r="E3498" s="101" t="s">
        <v>577</v>
      </c>
      <c r="F3498" s="109">
        <f t="shared" si="8"/>
        <v>53</v>
      </c>
      <c r="G3498" s="110" t="s">
        <v>3110</v>
      </c>
    </row>
    <row r="3499" ht="15.75" customHeight="1">
      <c r="B3499" s="95"/>
      <c r="C3499" s="108" t="s">
        <v>214</v>
      </c>
      <c r="D3499" s="101" t="s">
        <v>2430</v>
      </c>
      <c r="E3499" s="101" t="s">
        <v>577</v>
      </c>
      <c r="F3499" s="109">
        <f t="shared" si="8"/>
        <v>54</v>
      </c>
      <c r="G3499" s="110" t="s">
        <v>3111</v>
      </c>
    </row>
    <row r="3500" ht="15.75" customHeight="1">
      <c r="B3500" s="95"/>
      <c r="C3500" s="108" t="s">
        <v>214</v>
      </c>
      <c r="D3500" s="101" t="s">
        <v>2430</v>
      </c>
      <c r="E3500" s="101" t="s">
        <v>577</v>
      </c>
      <c r="F3500" s="109">
        <f t="shared" si="8"/>
        <v>55</v>
      </c>
      <c r="G3500" s="110" t="s">
        <v>3112</v>
      </c>
    </row>
    <row r="3501" ht="15.75" customHeight="1">
      <c r="B3501" s="95"/>
      <c r="C3501" s="108" t="s">
        <v>214</v>
      </c>
      <c r="D3501" s="101" t="s">
        <v>2430</v>
      </c>
      <c r="E3501" s="101" t="s">
        <v>577</v>
      </c>
      <c r="F3501" s="109">
        <f t="shared" si="8"/>
        <v>56</v>
      </c>
      <c r="G3501" s="110" t="s">
        <v>3113</v>
      </c>
    </row>
    <row r="3502" ht="15.75" customHeight="1">
      <c r="B3502" s="95"/>
      <c r="C3502" s="108" t="s">
        <v>214</v>
      </c>
      <c r="D3502" s="101" t="s">
        <v>2430</v>
      </c>
      <c r="E3502" s="101" t="s">
        <v>577</v>
      </c>
      <c r="F3502" s="109">
        <f t="shared" si="8"/>
        <v>57</v>
      </c>
      <c r="G3502" s="110" t="s">
        <v>3114</v>
      </c>
    </row>
    <row r="3503" ht="15.75" customHeight="1">
      <c r="B3503" s="95"/>
      <c r="C3503" s="108" t="s">
        <v>214</v>
      </c>
      <c r="D3503" s="101" t="s">
        <v>2430</v>
      </c>
      <c r="E3503" s="101" t="s">
        <v>577</v>
      </c>
      <c r="F3503" s="109">
        <f t="shared" si="8"/>
        <v>58</v>
      </c>
      <c r="G3503" s="110" t="s">
        <v>3115</v>
      </c>
    </row>
    <row r="3504" ht="15.75" customHeight="1">
      <c r="B3504" s="95"/>
      <c r="C3504" s="108" t="s">
        <v>214</v>
      </c>
      <c r="D3504" s="101" t="s">
        <v>2430</v>
      </c>
      <c r="E3504" s="101" t="s">
        <v>577</v>
      </c>
      <c r="F3504" s="109">
        <f t="shared" si="8"/>
        <v>59</v>
      </c>
      <c r="G3504" s="110" t="s">
        <v>3116</v>
      </c>
    </row>
    <row r="3505" ht="15.75" customHeight="1">
      <c r="B3505" s="95"/>
      <c r="C3505" s="108" t="s">
        <v>214</v>
      </c>
      <c r="D3505" s="101" t="s">
        <v>2430</v>
      </c>
      <c r="E3505" s="101" t="s">
        <v>577</v>
      </c>
      <c r="F3505" s="109">
        <f t="shared" si="8"/>
        <v>60</v>
      </c>
      <c r="G3505" s="110" t="s">
        <v>3117</v>
      </c>
    </row>
    <row r="3506" ht="15.75" customHeight="1">
      <c r="B3506" s="95"/>
      <c r="C3506" s="108" t="s">
        <v>214</v>
      </c>
      <c r="D3506" s="101" t="s">
        <v>2430</v>
      </c>
      <c r="E3506" s="101" t="s">
        <v>577</v>
      </c>
      <c r="F3506" s="109">
        <f t="shared" si="8"/>
        <v>61</v>
      </c>
      <c r="G3506" s="110" t="s">
        <v>3118</v>
      </c>
    </row>
    <row r="3507" ht="15.75" customHeight="1">
      <c r="B3507" s="95"/>
      <c r="C3507" s="108" t="s">
        <v>214</v>
      </c>
      <c r="D3507" s="101" t="s">
        <v>2430</v>
      </c>
      <c r="E3507" s="101" t="s">
        <v>577</v>
      </c>
      <c r="F3507" s="109">
        <f t="shared" si="8"/>
        <v>62</v>
      </c>
      <c r="G3507" s="110" t="s">
        <v>3119</v>
      </c>
    </row>
    <row r="3508" ht="15.75" customHeight="1">
      <c r="B3508" s="95"/>
      <c r="C3508" s="108" t="s">
        <v>214</v>
      </c>
      <c r="D3508" s="101" t="s">
        <v>2430</v>
      </c>
      <c r="E3508" s="101" t="s">
        <v>577</v>
      </c>
      <c r="F3508" s="109">
        <f t="shared" si="8"/>
        <v>63</v>
      </c>
      <c r="G3508" s="110" t="s">
        <v>3120</v>
      </c>
    </row>
    <row r="3509" ht="15.75" customHeight="1">
      <c r="B3509" s="95"/>
      <c r="C3509" s="108" t="s">
        <v>214</v>
      </c>
      <c r="D3509" s="101" t="s">
        <v>2430</v>
      </c>
      <c r="E3509" s="101" t="s">
        <v>577</v>
      </c>
      <c r="F3509" s="109">
        <f t="shared" si="8"/>
        <v>64</v>
      </c>
      <c r="G3509" s="110" t="s">
        <v>3121</v>
      </c>
    </row>
    <row r="3510" ht="15.75" customHeight="1">
      <c r="B3510" s="95"/>
      <c r="C3510" s="108" t="s">
        <v>214</v>
      </c>
      <c r="D3510" s="101" t="s">
        <v>2430</v>
      </c>
      <c r="E3510" s="101" t="s">
        <v>577</v>
      </c>
      <c r="F3510" s="109">
        <f t="shared" si="8"/>
        <v>65</v>
      </c>
      <c r="G3510" s="110" t="s">
        <v>3122</v>
      </c>
    </row>
    <row r="3511" ht="15.75" customHeight="1">
      <c r="B3511" s="95"/>
      <c r="C3511" s="108" t="s">
        <v>214</v>
      </c>
      <c r="D3511" s="101" t="s">
        <v>2430</v>
      </c>
      <c r="E3511" s="101" t="s">
        <v>577</v>
      </c>
      <c r="F3511" s="109">
        <f t="shared" si="8"/>
        <v>66</v>
      </c>
      <c r="G3511" s="110" t="s">
        <v>3123</v>
      </c>
    </row>
    <row r="3512" ht="15.75" customHeight="1">
      <c r="B3512" s="95"/>
      <c r="C3512" s="108" t="s">
        <v>214</v>
      </c>
      <c r="D3512" s="101" t="s">
        <v>2430</v>
      </c>
      <c r="E3512" s="101" t="s">
        <v>577</v>
      </c>
      <c r="F3512" s="109">
        <f t="shared" si="8"/>
        <v>67</v>
      </c>
      <c r="G3512" s="110" t="s">
        <v>3124</v>
      </c>
    </row>
    <row r="3513" ht="15.75" customHeight="1">
      <c r="B3513" s="95"/>
      <c r="C3513" s="108" t="s">
        <v>214</v>
      </c>
      <c r="D3513" s="101" t="s">
        <v>2430</v>
      </c>
      <c r="E3513" s="101" t="s">
        <v>577</v>
      </c>
      <c r="F3513" s="109">
        <f t="shared" si="8"/>
        <v>68</v>
      </c>
      <c r="G3513" s="110" t="s">
        <v>3125</v>
      </c>
    </row>
    <row r="3514" ht="15.75" customHeight="1">
      <c r="B3514" s="95"/>
      <c r="C3514" s="108" t="s">
        <v>214</v>
      </c>
      <c r="D3514" s="101" t="s">
        <v>2430</v>
      </c>
      <c r="E3514" s="101" t="s">
        <v>577</v>
      </c>
      <c r="F3514" s="109">
        <f t="shared" si="8"/>
        <v>69</v>
      </c>
      <c r="G3514" s="110" t="s">
        <v>3126</v>
      </c>
    </row>
    <row r="3515" ht="15.75" customHeight="1">
      <c r="B3515" s="95"/>
      <c r="C3515" s="108" t="s">
        <v>214</v>
      </c>
      <c r="D3515" s="101" t="s">
        <v>2430</v>
      </c>
      <c r="E3515" s="101" t="s">
        <v>577</v>
      </c>
      <c r="F3515" s="109">
        <f t="shared" si="8"/>
        <v>70</v>
      </c>
      <c r="G3515" s="110" t="s">
        <v>3127</v>
      </c>
    </row>
    <row r="3516" ht="15.75" customHeight="1">
      <c r="B3516" s="95"/>
      <c r="C3516" s="108" t="s">
        <v>214</v>
      </c>
      <c r="D3516" s="101" t="s">
        <v>2430</v>
      </c>
      <c r="E3516" s="101" t="s">
        <v>577</v>
      </c>
      <c r="F3516" s="109">
        <f t="shared" si="8"/>
        <v>71</v>
      </c>
      <c r="G3516" s="110" t="s">
        <v>3128</v>
      </c>
    </row>
    <row r="3517" ht="15.75" customHeight="1">
      <c r="B3517" s="95"/>
      <c r="C3517" s="108" t="s">
        <v>214</v>
      </c>
      <c r="D3517" s="101" t="s">
        <v>2430</v>
      </c>
      <c r="E3517" s="101" t="s">
        <v>577</v>
      </c>
      <c r="F3517" s="109">
        <f t="shared" si="8"/>
        <v>72</v>
      </c>
      <c r="G3517" s="110" t="s">
        <v>3129</v>
      </c>
    </row>
    <row r="3518" ht="15.75" customHeight="1">
      <c r="B3518" s="95"/>
      <c r="C3518" s="108" t="s">
        <v>214</v>
      </c>
      <c r="D3518" s="101" t="s">
        <v>2430</v>
      </c>
      <c r="E3518" s="101" t="s">
        <v>577</v>
      </c>
      <c r="F3518" s="109">
        <f t="shared" si="8"/>
        <v>73</v>
      </c>
      <c r="G3518" s="110" t="s">
        <v>3130</v>
      </c>
    </row>
    <row r="3519" ht="15.75" customHeight="1">
      <c r="B3519" s="95"/>
      <c r="C3519" s="108" t="s">
        <v>214</v>
      </c>
      <c r="D3519" s="101" t="s">
        <v>2430</v>
      </c>
      <c r="E3519" s="101" t="s">
        <v>577</v>
      </c>
      <c r="F3519" s="109">
        <f t="shared" si="8"/>
        <v>74</v>
      </c>
      <c r="G3519" s="110" t="s">
        <v>3131</v>
      </c>
    </row>
    <row r="3520" ht="15.75" customHeight="1">
      <c r="B3520" s="95"/>
      <c r="C3520" s="108" t="s">
        <v>214</v>
      </c>
      <c r="D3520" s="101" t="s">
        <v>2430</v>
      </c>
      <c r="E3520" s="101" t="s">
        <v>577</v>
      </c>
      <c r="F3520" s="109">
        <f t="shared" si="8"/>
        <v>75</v>
      </c>
      <c r="G3520" s="110" t="s">
        <v>3132</v>
      </c>
    </row>
    <row r="3521" ht="15.75" customHeight="1">
      <c r="B3521" s="95"/>
      <c r="C3521" s="108" t="s">
        <v>214</v>
      </c>
      <c r="D3521" s="101" t="s">
        <v>2430</v>
      </c>
      <c r="E3521" s="101" t="s">
        <v>577</v>
      </c>
      <c r="F3521" s="109">
        <f t="shared" si="8"/>
        <v>76</v>
      </c>
      <c r="G3521" s="110" t="s">
        <v>3133</v>
      </c>
    </row>
    <row r="3522" ht="15.75" customHeight="1">
      <c r="B3522" s="95"/>
      <c r="C3522" s="108" t="s">
        <v>214</v>
      </c>
      <c r="D3522" s="101" t="s">
        <v>2430</v>
      </c>
      <c r="E3522" s="101" t="s">
        <v>577</v>
      </c>
      <c r="F3522" s="109">
        <f t="shared" si="8"/>
        <v>77</v>
      </c>
      <c r="G3522" s="110" t="s">
        <v>3134</v>
      </c>
    </row>
    <row r="3523" ht="15.75" customHeight="1">
      <c r="B3523" s="95"/>
      <c r="C3523" s="108" t="s">
        <v>214</v>
      </c>
      <c r="D3523" s="101" t="s">
        <v>2430</v>
      </c>
      <c r="E3523" s="101" t="s">
        <v>577</v>
      </c>
      <c r="F3523" s="109">
        <f t="shared" si="8"/>
        <v>78</v>
      </c>
      <c r="G3523" s="110" t="s">
        <v>3135</v>
      </c>
    </row>
    <row r="3524" ht="15.75" customHeight="1">
      <c r="B3524" s="95"/>
      <c r="C3524" s="108" t="s">
        <v>214</v>
      </c>
      <c r="D3524" s="101" t="s">
        <v>2430</v>
      </c>
      <c r="E3524" s="101" t="s">
        <v>577</v>
      </c>
      <c r="F3524" s="109">
        <f t="shared" si="8"/>
        <v>79</v>
      </c>
      <c r="G3524" s="110" t="s">
        <v>3136</v>
      </c>
    </row>
    <row r="3525" ht="15.75" customHeight="1">
      <c r="B3525" s="95"/>
      <c r="C3525" s="108" t="s">
        <v>214</v>
      </c>
      <c r="D3525" s="101" t="s">
        <v>2430</v>
      </c>
      <c r="E3525" s="101" t="s">
        <v>577</v>
      </c>
      <c r="F3525" s="109">
        <f t="shared" si="8"/>
        <v>80</v>
      </c>
      <c r="G3525" s="110" t="s">
        <v>3137</v>
      </c>
    </row>
    <row r="3526" ht="15.75" customHeight="1">
      <c r="B3526" s="95"/>
      <c r="C3526" s="108" t="s">
        <v>214</v>
      </c>
      <c r="D3526" s="101" t="s">
        <v>2430</v>
      </c>
      <c r="E3526" s="101" t="s">
        <v>577</v>
      </c>
      <c r="F3526" s="109">
        <f t="shared" si="8"/>
        <v>81</v>
      </c>
      <c r="G3526" s="110" t="s">
        <v>3138</v>
      </c>
    </row>
    <row r="3527" ht="15.75" customHeight="1">
      <c r="B3527" s="95"/>
      <c r="C3527" s="108" t="s">
        <v>214</v>
      </c>
      <c r="D3527" s="101" t="s">
        <v>2430</v>
      </c>
      <c r="E3527" s="101" t="s">
        <v>577</v>
      </c>
      <c r="F3527" s="109">
        <f t="shared" si="8"/>
        <v>82</v>
      </c>
      <c r="G3527" s="110" t="s">
        <v>3139</v>
      </c>
    </row>
    <row r="3528" ht="15.75" customHeight="1">
      <c r="B3528" s="95"/>
      <c r="C3528" s="108" t="s">
        <v>214</v>
      </c>
      <c r="D3528" s="101" t="s">
        <v>2430</v>
      </c>
      <c r="E3528" s="101" t="s">
        <v>577</v>
      </c>
      <c r="F3528" s="109">
        <f t="shared" si="8"/>
        <v>83</v>
      </c>
      <c r="G3528" s="110" t="s">
        <v>3140</v>
      </c>
    </row>
    <row r="3529" ht="15.75" customHeight="1">
      <c r="B3529" s="95"/>
      <c r="C3529" s="108" t="s">
        <v>214</v>
      </c>
      <c r="D3529" s="101" t="s">
        <v>2430</v>
      </c>
      <c r="E3529" s="101" t="s">
        <v>577</v>
      </c>
      <c r="F3529" s="109">
        <f t="shared" si="8"/>
        <v>84</v>
      </c>
      <c r="G3529" s="110" t="s">
        <v>3141</v>
      </c>
    </row>
    <row r="3530" ht="15.75" customHeight="1">
      <c r="B3530" s="95"/>
      <c r="C3530" s="108" t="s">
        <v>214</v>
      </c>
      <c r="D3530" s="101" t="s">
        <v>2430</v>
      </c>
      <c r="E3530" s="101" t="s">
        <v>577</v>
      </c>
      <c r="F3530" s="109">
        <f t="shared" si="8"/>
        <v>85</v>
      </c>
      <c r="G3530" s="110" t="s">
        <v>3142</v>
      </c>
    </row>
    <row r="3531" ht="15.75" customHeight="1">
      <c r="B3531" s="95"/>
      <c r="C3531" s="108" t="s">
        <v>214</v>
      </c>
      <c r="D3531" s="101" t="s">
        <v>2430</v>
      </c>
      <c r="E3531" s="101" t="s">
        <v>577</v>
      </c>
      <c r="F3531" s="109">
        <f t="shared" si="8"/>
        <v>86</v>
      </c>
      <c r="G3531" s="110" t="s">
        <v>3143</v>
      </c>
    </row>
    <row r="3532" ht="15.75" customHeight="1">
      <c r="B3532" s="95"/>
      <c r="C3532" s="108" t="s">
        <v>214</v>
      </c>
      <c r="D3532" s="101" t="s">
        <v>2430</v>
      </c>
      <c r="E3532" s="101" t="s">
        <v>577</v>
      </c>
      <c r="F3532" s="109">
        <f t="shared" si="8"/>
        <v>87</v>
      </c>
      <c r="G3532" s="110" t="s">
        <v>3144</v>
      </c>
    </row>
    <row r="3533" ht="15.75" customHeight="1">
      <c r="B3533" s="95"/>
      <c r="C3533" s="108" t="s">
        <v>214</v>
      </c>
      <c r="D3533" s="101" t="s">
        <v>2430</v>
      </c>
      <c r="E3533" s="101" t="s">
        <v>577</v>
      </c>
      <c r="F3533" s="109">
        <f t="shared" si="8"/>
        <v>88</v>
      </c>
      <c r="G3533" s="110" t="s">
        <v>3145</v>
      </c>
    </row>
    <row r="3534" ht="15.75" customHeight="1">
      <c r="B3534" s="95"/>
      <c r="C3534" s="108" t="s">
        <v>214</v>
      </c>
      <c r="D3534" s="101" t="s">
        <v>2430</v>
      </c>
      <c r="E3534" s="101" t="s">
        <v>577</v>
      </c>
      <c r="F3534" s="109">
        <f t="shared" si="8"/>
        <v>89</v>
      </c>
      <c r="G3534" s="110" t="s">
        <v>3146</v>
      </c>
    </row>
    <row r="3535" ht="15.75" customHeight="1">
      <c r="B3535" s="95"/>
      <c r="C3535" s="108" t="s">
        <v>214</v>
      </c>
      <c r="D3535" s="101" t="s">
        <v>2430</v>
      </c>
      <c r="E3535" s="101" t="s">
        <v>577</v>
      </c>
      <c r="F3535" s="109">
        <f t="shared" si="8"/>
        <v>90</v>
      </c>
      <c r="G3535" s="110" t="s">
        <v>3147</v>
      </c>
    </row>
    <row r="3536" ht="15.75" customHeight="1">
      <c r="B3536" s="95"/>
      <c r="C3536" s="108" t="s">
        <v>214</v>
      </c>
      <c r="D3536" s="101" t="s">
        <v>2430</v>
      </c>
      <c r="E3536" s="101" t="s">
        <v>577</v>
      </c>
      <c r="F3536" s="109">
        <f t="shared" si="8"/>
        <v>91</v>
      </c>
      <c r="G3536" s="110" t="s">
        <v>3148</v>
      </c>
    </row>
    <row r="3537" ht="15.75" customHeight="1">
      <c r="B3537" s="95"/>
      <c r="C3537" s="108" t="s">
        <v>214</v>
      </c>
      <c r="D3537" s="101" t="s">
        <v>2430</v>
      </c>
      <c r="E3537" s="101" t="s">
        <v>577</v>
      </c>
      <c r="F3537" s="109">
        <f t="shared" si="8"/>
        <v>92</v>
      </c>
      <c r="G3537" s="110" t="s">
        <v>3149</v>
      </c>
    </row>
    <row r="3538" ht="15.75" customHeight="1">
      <c r="B3538" s="95"/>
      <c r="C3538" s="108" t="s">
        <v>214</v>
      </c>
      <c r="D3538" s="101" t="s">
        <v>2430</v>
      </c>
      <c r="E3538" s="101" t="s">
        <v>577</v>
      </c>
      <c r="F3538" s="109">
        <f t="shared" si="8"/>
        <v>93</v>
      </c>
      <c r="G3538" s="110" t="s">
        <v>3150</v>
      </c>
    </row>
    <row r="3539" ht="15.75" customHeight="1">
      <c r="B3539" s="95"/>
      <c r="C3539" s="108" t="s">
        <v>214</v>
      </c>
      <c r="D3539" s="101" t="s">
        <v>2430</v>
      </c>
      <c r="E3539" s="101" t="s">
        <v>577</v>
      </c>
      <c r="F3539" s="109">
        <f t="shared" si="8"/>
        <v>94</v>
      </c>
      <c r="G3539" s="110" t="s">
        <v>3151</v>
      </c>
    </row>
    <row r="3540" ht="15.75" customHeight="1">
      <c r="B3540" s="95"/>
      <c r="C3540" s="108" t="s">
        <v>214</v>
      </c>
      <c r="D3540" s="101" t="s">
        <v>2430</v>
      </c>
      <c r="E3540" s="101" t="s">
        <v>577</v>
      </c>
      <c r="F3540" s="109">
        <f t="shared" si="8"/>
        <v>95</v>
      </c>
      <c r="G3540" s="110" t="s">
        <v>3152</v>
      </c>
    </row>
    <row r="3541" ht="15.75" customHeight="1">
      <c r="B3541" s="95"/>
      <c r="C3541" s="108" t="s">
        <v>214</v>
      </c>
      <c r="D3541" s="101" t="s">
        <v>2430</v>
      </c>
      <c r="E3541" s="101" t="s">
        <v>577</v>
      </c>
      <c r="F3541" s="109">
        <f t="shared" si="8"/>
        <v>96</v>
      </c>
      <c r="G3541" s="110" t="s">
        <v>3153</v>
      </c>
    </row>
    <row r="3542" ht="15.75" customHeight="1">
      <c r="B3542" s="95"/>
      <c r="C3542" s="108" t="s">
        <v>214</v>
      </c>
      <c r="D3542" s="101" t="s">
        <v>2430</v>
      </c>
      <c r="E3542" s="101" t="s">
        <v>577</v>
      </c>
      <c r="F3542" s="109">
        <f t="shared" si="8"/>
        <v>97</v>
      </c>
      <c r="G3542" s="110" t="s">
        <v>3154</v>
      </c>
    </row>
    <row r="3543" ht="15.75" customHeight="1">
      <c r="B3543" s="95"/>
      <c r="C3543" s="108" t="s">
        <v>214</v>
      </c>
      <c r="D3543" s="101" t="s">
        <v>2430</v>
      </c>
      <c r="E3543" s="101" t="s">
        <v>577</v>
      </c>
      <c r="F3543" s="109">
        <f t="shared" si="8"/>
        <v>98</v>
      </c>
      <c r="G3543" s="110" t="s">
        <v>3155</v>
      </c>
    </row>
    <row r="3544" ht="15.75" customHeight="1">
      <c r="B3544" s="95"/>
      <c r="C3544" s="108" t="s">
        <v>214</v>
      </c>
      <c r="D3544" s="101" t="s">
        <v>2430</v>
      </c>
      <c r="E3544" s="101" t="s">
        <v>577</v>
      </c>
      <c r="F3544" s="109">
        <f t="shared" si="8"/>
        <v>99</v>
      </c>
      <c r="G3544" s="110" t="s">
        <v>3156</v>
      </c>
    </row>
    <row r="3545" ht="15.75" customHeight="1">
      <c r="B3545" s="95"/>
      <c r="C3545" s="108" t="s">
        <v>214</v>
      </c>
      <c r="D3545" s="101" t="s">
        <v>2430</v>
      </c>
      <c r="E3545" s="101" t="s">
        <v>577</v>
      </c>
      <c r="F3545" s="109">
        <f t="shared" si="8"/>
        <v>100</v>
      </c>
      <c r="G3545" s="110" t="s">
        <v>3157</v>
      </c>
    </row>
    <row r="3546" ht="15.75" customHeight="1">
      <c r="B3546" s="95"/>
      <c r="C3546" s="108" t="s">
        <v>214</v>
      </c>
      <c r="D3546" s="101" t="s">
        <v>2430</v>
      </c>
      <c r="E3546" s="101" t="s">
        <v>577</v>
      </c>
      <c r="F3546" s="109">
        <f t="shared" si="8"/>
        <v>101</v>
      </c>
      <c r="G3546" s="110" t="s">
        <v>3158</v>
      </c>
    </row>
    <row r="3547" ht="15.75" customHeight="1">
      <c r="B3547" s="95"/>
      <c r="C3547" s="108" t="s">
        <v>214</v>
      </c>
      <c r="D3547" s="101" t="s">
        <v>2430</v>
      </c>
      <c r="E3547" s="101" t="s">
        <v>577</v>
      </c>
      <c r="F3547" s="109">
        <f t="shared" si="8"/>
        <v>102</v>
      </c>
      <c r="G3547" s="110" t="s">
        <v>3159</v>
      </c>
    </row>
    <row r="3548" ht="15.75" customHeight="1">
      <c r="B3548" s="95"/>
      <c r="C3548" s="108" t="s">
        <v>214</v>
      </c>
      <c r="D3548" s="101" t="s">
        <v>2430</v>
      </c>
      <c r="E3548" s="101" t="s">
        <v>577</v>
      </c>
      <c r="F3548" s="109">
        <f t="shared" si="8"/>
        <v>103</v>
      </c>
      <c r="G3548" s="110" t="s">
        <v>3160</v>
      </c>
    </row>
    <row r="3549" ht="15.75" customHeight="1">
      <c r="B3549" s="95"/>
      <c r="C3549" s="108" t="s">
        <v>214</v>
      </c>
      <c r="D3549" s="101" t="s">
        <v>2430</v>
      </c>
      <c r="E3549" s="101" t="s">
        <v>577</v>
      </c>
      <c r="F3549" s="109">
        <f t="shared" si="8"/>
        <v>104</v>
      </c>
      <c r="G3549" s="110" t="s">
        <v>3161</v>
      </c>
    </row>
    <row r="3550" ht="15.75" customHeight="1">
      <c r="B3550" s="95"/>
      <c r="C3550" s="108" t="s">
        <v>214</v>
      </c>
      <c r="D3550" s="101" t="s">
        <v>2430</v>
      </c>
      <c r="E3550" s="101" t="s">
        <v>577</v>
      </c>
      <c r="F3550" s="109">
        <f t="shared" si="8"/>
        <v>105</v>
      </c>
      <c r="G3550" s="110" t="s">
        <v>3162</v>
      </c>
    </row>
    <row r="3551" ht="15.75" customHeight="1">
      <c r="B3551" s="95"/>
      <c r="C3551" s="108" t="s">
        <v>214</v>
      </c>
      <c r="D3551" s="101" t="s">
        <v>2430</v>
      </c>
      <c r="E3551" s="101" t="s">
        <v>577</v>
      </c>
      <c r="F3551" s="109">
        <f t="shared" si="8"/>
        <v>106</v>
      </c>
      <c r="G3551" s="110" t="s">
        <v>3163</v>
      </c>
    </row>
    <row r="3552" ht="15.75" customHeight="1">
      <c r="B3552" s="95"/>
      <c r="C3552" s="108" t="s">
        <v>214</v>
      </c>
      <c r="D3552" s="101" t="s">
        <v>2430</v>
      </c>
      <c r="E3552" s="101" t="s">
        <v>577</v>
      </c>
      <c r="F3552" s="109">
        <f t="shared" si="8"/>
        <v>107</v>
      </c>
      <c r="G3552" s="110" t="s">
        <v>3164</v>
      </c>
    </row>
    <row r="3553" ht="15.75" customHeight="1">
      <c r="B3553" s="95"/>
      <c r="C3553" s="108" t="s">
        <v>214</v>
      </c>
      <c r="D3553" s="101" t="s">
        <v>2430</v>
      </c>
      <c r="E3553" s="101" t="s">
        <v>577</v>
      </c>
      <c r="F3553" s="109">
        <f t="shared" si="8"/>
        <v>108</v>
      </c>
      <c r="G3553" s="110" t="s">
        <v>3165</v>
      </c>
    </row>
    <row r="3554" ht="15.75" customHeight="1">
      <c r="B3554" s="95"/>
      <c r="C3554" s="108" t="s">
        <v>214</v>
      </c>
      <c r="D3554" s="101" t="s">
        <v>2430</v>
      </c>
      <c r="E3554" s="101" t="s">
        <v>577</v>
      </c>
      <c r="F3554" s="109">
        <f t="shared" si="8"/>
        <v>109</v>
      </c>
      <c r="G3554" s="110" t="s">
        <v>3166</v>
      </c>
    </row>
    <row r="3555" ht="15.75" customHeight="1">
      <c r="B3555" s="95"/>
      <c r="C3555" s="108" t="s">
        <v>214</v>
      </c>
      <c r="D3555" s="101" t="s">
        <v>2430</v>
      </c>
      <c r="E3555" s="101" t="s">
        <v>577</v>
      </c>
      <c r="F3555" s="109">
        <f t="shared" si="8"/>
        <v>110</v>
      </c>
      <c r="G3555" s="110" t="s">
        <v>3167</v>
      </c>
    </row>
    <row r="3556" ht="15.75" customHeight="1">
      <c r="B3556" s="95"/>
      <c r="C3556" s="108" t="s">
        <v>214</v>
      </c>
      <c r="D3556" s="101" t="s">
        <v>2430</v>
      </c>
      <c r="E3556" s="101" t="s">
        <v>577</v>
      </c>
      <c r="F3556" s="109">
        <f t="shared" si="8"/>
        <v>111</v>
      </c>
      <c r="G3556" s="110" t="s">
        <v>3168</v>
      </c>
    </row>
    <row r="3557" ht="15.75" customHeight="1">
      <c r="B3557" s="95"/>
      <c r="C3557" s="108" t="s">
        <v>214</v>
      </c>
      <c r="D3557" s="101" t="s">
        <v>2430</v>
      </c>
      <c r="E3557" s="101" t="s">
        <v>577</v>
      </c>
      <c r="F3557" s="109">
        <f t="shared" si="8"/>
        <v>112</v>
      </c>
      <c r="G3557" s="110" t="s">
        <v>3169</v>
      </c>
    </row>
    <row r="3558" ht="15.75" customHeight="1">
      <c r="B3558" s="95"/>
      <c r="C3558" s="108" t="s">
        <v>214</v>
      </c>
      <c r="D3558" s="101" t="s">
        <v>2430</v>
      </c>
      <c r="E3558" s="101" t="s">
        <v>577</v>
      </c>
      <c r="F3558" s="109">
        <f t="shared" si="8"/>
        <v>113</v>
      </c>
      <c r="G3558" s="110" t="s">
        <v>3170</v>
      </c>
    </row>
    <row r="3559" ht="15.75" customHeight="1">
      <c r="B3559" s="95"/>
      <c r="C3559" s="108" t="s">
        <v>214</v>
      </c>
      <c r="D3559" s="101" t="s">
        <v>2430</v>
      </c>
      <c r="E3559" s="101" t="s">
        <v>577</v>
      </c>
      <c r="F3559" s="109">
        <f t="shared" si="8"/>
        <v>114</v>
      </c>
      <c r="G3559" s="110" t="s">
        <v>3171</v>
      </c>
    </row>
    <row r="3560" ht="15.75" customHeight="1">
      <c r="B3560" s="95"/>
      <c r="C3560" s="108" t="s">
        <v>214</v>
      </c>
      <c r="D3560" s="101" t="s">
        <v>2430</v>
      </c>
      <c r="E3560" s="101" t="s">
        <v>577</v>
      </c>
      <c r="F3560" s="109">
        <f t="shared" si="8"/>
        <v>115</v>
      </c>
      <c r="G3560" s="110" t="s">
        <v>3172</v>
      </c>
    </row>
    <row r="3561" ht="15.75" customHeight="1">
      <c r="B3561" s="95"/>
      <c r="C3561" s="108" t="s">
        <v>214</v>
      </c>
      <c r="D3561" s="101" t="s">
        <v>2430</v>
      </c>
      <c r="E3561" s="101" t="s">
        <v>577</v>
      </c>
      <c r="F3561" s="109">
        <f t="shared" si="8"/>
        <v>116</v>
      </c>
      <c r="G3561" s="110" t="s">
        <v>3173</v>
      </c>
    </row>
    <row r="3562" ht="15.75" customHeight="1">
      <c r="B3562" s="95"/>
      <c r="C3562" s="108" t="s">
        <v>214</v>
      </c>
      <c r="D3562" s="101" t="s">
        <v>2430</v>
      </c>
      <c r="E3562" s="101" t="s">
        <v>577</v>
      </c>
      <c r="F3562" s="109">
        <f t="shared" si="8"/>
        <v>117</v>
      </c>
      <c r="G3562" s="110" t="s">
        <v>3174</v>
      </c>
    </row>
    <row r="3563" ht="15.75" customHeight="1">
      <c r="B3563" s="95"/>
      <c r="C3563" s="108" t="s">
        <v>214</v>
      </c>
      <c r="D3563" s="101" t="s">
        <v>2430</v>
      </c>
      <c r="E3563" s="101" t="s">
        <v>577</v>
      </c>
      <c r="F3563" s="109">
        <f t="shared" si="8"/>
        <v>118</v>
      </c>
      <c r="G3563" s="110" t="s">
        <v>3175</v>
      </c>
    </row>
    <row r="3564" ht="15.75" customHeight="1">
      <c r="B3564" s="95"/>
      <c r="C3564" s="108" t="s">
        <v>214</v>
      </c>
      <c r="D3564" s="101" t="s">
        <v>2430</v>
      </c>
      <c r="E3564" s="101" t="s">
        <v>577</v>
      </c>
      <c r="F3564" s="109">
        <f t="shared" si="8"/>
        <v>119</v>
      </c>
      <c r="G3564" s="110" t="s">
        <v>3176</v>
      </c>
    </row>
    <row r="3565" ht="15.75" customHeight="1">
      <c r="B3565" s="95"/>
      <c r="C3565" s="108" t="s">
        <v>214</v>
      </c>
      <c r="D3565" s="101" t="s">
        <v>2430</v>
      </c>
      <c r="E3565" s="101" t="s">
        <v>577</v>
      </c>
      <c r="F3565" s="109">
        <f t="shared" si="8"/>
        <v>120</v>
      </c>
      <c r="G3565" s="110" t="s">
        <v>3177</v>
      </c>
    </row>
    <row r="3566" ht="15.75" customHeight="1">
      <c r="B3566" s="95"/>
      <c r="C3566" s="108" t="s">
        <v>214</v>
      </c>
      <c r="D3566" s="101" t="s">
        <v>2430</v>
      </c>
      <c r="E3566" s="101" t="s">
        <v>577</v>
      </c>
      <c r="F3566" s="109">
        <f t="shared" si="8"/>
        <v>121</v>
      </c>
      <c r="G3566" s="110" t="s">
        <v>3178</v>
      </c>
    </row>
    <row r="3567" ht="15.75" customHeight="1">
      <c r="B3567" s="95"/>
      <c r="C3567" s="108" t="s">
        <v>214</v>
      </c>
      <c r="D3567" s="101" t="s">
        <v>2430</v>
      </c>
      <c r="E3567" s="101" t="s">
        <v>577</v>
      </c>
      <c r="F3567" s="109">
        <f t="shared" si="8"/>
        <v>122</v>
      </c>
      <c r="G3567" s="110" t="s">
        <v>3179</v>
      </c>
    </row>
    <row r="3568" ht="15.75" customHeight="1">
      <c r="B3568" s="95"/>
      <c r="C3568" s="108" t="s">
        <v>214</v>
      </c>
      <c r="D3568" s="101" t="s">
        <v>2430</v>
      </c>
      <c r="E3568" s="101" t="s">
        <v>577</v>
      </c>
      <c r="F3568" s="109">
        <f t="shared" si="8"/>
        <v>123</v>
      </c>
      <c r="G3568" s="110" t="s">
        <v>3180</v>
      </c>
    </row>
    <row r="3569" ht="15.75" customHeight="1">
      <c r="B3569" s="95"/>
      <c r="C3569" s="108" t="s">
        <v>214</v>
      </c>
      <c r="D3569" s="101" t="s">
        <v>2430</v>
      </c>
      <c r="E3569" s="101" t="s">
        <v>577</v>
      </c>
      <c r="F3569" s="109">
        <f t="shared" si="8"/>
        <v>124</v>
      </c>
      <c r="G3569" s="110" t="s">
        <v>3181</v>
      </c>
    </row>
    <row r="3570" ht="15.75" customHeight="1">
      <c r="B3570" s="95"/>
      <c r="C3570" s="108" t="s">
        <v>214</v>
      </c>
      <c r="D3570" s="101" t="s">
        <v>2430</v>
      </c>
      <c r="E3570" s="101" t="s">
        <v>577</v>
      </c>
      <c r="F3570" s="109">
        <f t="shared" si="8"/>
        <v>125</v>
      </c>
      <c r="G3570" s="110" t="s">
        <v>3182</v>
      </c>
    </row>
    <row r="3571" ht="15.75" customHeight="1">
      <c r="B3571" s="95"/>
      <c r="C3571" s="108" t="s">
        <v>214</v>
      </c>
      <c r="D3571" s="101" t="s">
        <v>2430</v>
      </c>
      <c r="E3571" s="101" t="s">
        <v>577</v>
      </c>
      <c r="F3571" s="109">
        <f t="shared" si="8"/>
        <v>126</v>
      </c>
      <c r="G3571" s="110" t="s">
        <v>3183</v>
      </c>
    </row>
    <row r="3572" ht="15.75" customHeight="1">
      <c r="B3572" s="95"/>
      <c r="C3572" s="108" t="s">
        <v>214</v>
      </c>
      <c r="D3572" s="101" t="s">
        <v>2430</v>
      </c>
      <c r="E3572" s="101" t="s">
        <v>577</v>
      </c>
      <c r="F3572" s="109">
        <f t="shared" si="8"/>
        <v>127</v>
      </c>
      <c r="G3572" s="110" t="s">
        <v>3184</v>
      </c>
    </row>
    <row r="3573" ht="15.75" customHeight="1">
      <c r="B3573" s="95"/>
      <c r="C3573" s="108" t="s">
        <v>214</v>
      </c>
      <c r="D3573" s="101" t="s">
        <v>2430</v>
      </c>
      <c r="E3573" s="101" t="s">
        <v>577</v>
      </c>
      <c r="F3573" s="109">
        <f t="shared" si="8"/>
        <v>128</v>
      </c>
      <c r="G3573" s="110" t="s">
        <v>3185</v>
      </c>
    </row>
    <row r="3574" ht="15.75" customHeight="1">
      <c r="B3574" s="95"/>
      <c r="C3574" s="108" t="s">
        <v>214</v>
      </c>
      <c r="D3574" s="101" t="s">
        <v>2430</v>
      </c>
      <c r="E3574" s="101" t="s">
        <v>577</v>
      </c>
      <c r="F3574" s="109">
        <f t="shared" si="8"/>
        <v>129</v>
      </c>
      <c r="G3574" s="110" t="s">
        <v>3186</v>
      </c>
    </row>
    <row r="3575" ht="15.75" customHeight="1">
      <c r="B3575" s="95"/>
      <c r="C3575" s="108" t="s">
        <v>214</v>
      </c>
      <c r="D3575" s="101" t="s">
        <v>2430</v>
      </c>
      <c r="E3575" s="101" t="s">
        <v>577</v>
      </c>
      <c r="F3575" s="109">
        <f t="shared" si="8"/>
        <v>130</v>
      </c>
      <c r="G3575" s="110" t="s">
        <v>3187</v>
      </c>
    </row>
    <row r="3576" ht="15.75" customHeight="1">
      <c r="B3576" s="95"/>
      <c r="C3576" s="108" t="s">
        <v>214</v>
      </c>
      <c r="D3576" s="101" t="s">
        <v>2430</v>
      </c>
      <c r="E3576" s="101" t="s">
        <v>577</v>
      </c>
      <c r="F3576" s="109">
        <f t="shared" si="8"/>
        <v>131</v>
      </c>
      <c r="G3576" s="110" t="s">
        <v>3188</v>
      </c>
    </row>
    <row r="3577" ht="15.75" customHeight="1">
      <c r="B3577" s="95"/>
      <c r="C3577" s="108" t="s">
        <v>214</v>
      </c>
      <c r="D3577" s="101" t="s">
        <v>2430</v>
      </c>
      <c r="E3577" s="101" t="s">
        <v>577</v>
      </c>
      <c r="F3577" s="109">
        <f t="shared" si="8"/>
        <v>132</v>
      </c>
      <c r="G3577" s="110" t="s">
        <v>3189</v>
      </c>
    </row>
    <row r="3578" ht="15.75" customHeight="1">
      <c r="B3578" s="95"/>
      <c r="C3578" s="108" t="s">
        <v>214</v>
      </c>
      <c r="D3578" s="101" t="s">
        <v>2430</v>
      </c>
      <c r="E3578" s="101" t="s">
        <v>577</v>
      </c>
      <c r="F3578" s="109">
        <f t="shared" si="8"/>
        <v>133</v>
      </c>
      <c r="G3578" s="110" t="s">
        <v>3190</v>
      </c>
    </row>
    <row r="3579" ht="15.75" customHeight="1">
      <c r="B3579" s="95"/>
      <c r="C3579" s="108" t="s">
        <v>214</v>
      </c>
      <c r="D3579" s="101" t="s">
        <v>2430</v>
      </c>
      <c r="E3579" s="101" t="s">
        <v>577</v>
      </c>
      <c r="F3579" s="109">
        <f t="shared" si="8"/>
        <v>134</v>
      </c>
      <c r="G3579" s="110" t="s">
        <v>3191</v>
      </c>
    </row>
    <row r="3580" ht="15.75" customHeight="1">
      <c r="B3580" s="95"/>
      <c r="C3580" s="108" t="s">
        <v>214</v>
      </c>
      <c r="D3580" s="101" t="s">
        <v>2430</v>
      </c>
      <c r="E3580" s="101" t="s">
        <v>577</v>
      </c>
      <c r="F3580" s="109">
        <f t="shared" si="8"/>
        <v>135</v>
      </c>
      <c r="G3580" s="110" t="s">
        <v>3192</v>
      </c>
    </row>
    <row r="3581" ht="15.75" customHeight="1">
      <c r="B3581" s="95"/>
      <c r="C3581" s="108" t="s">
        <v>214</v>
      </c>
      <c r="D3581" s="101" t="s">
        <v>2430</v>
      </c>
      <c r="E3581" s="101" t="s">
        <v>577</v>
      </c>
      <c r="F3581" s="109">
        <f t="shared" si="8"/>
        <v>136</v>
      </c>
      <c r="G3581" s="110" t="s">
        <v>3193</v>
      </c>
    </row>
    <row r="3582" ht="15.75" customHeight="1">
      <c r="B3582" s="95"/>
      <c r="C3582" s="108" t="s">
        <v>214</v>
      </c>
      <c r="D3582" s="101" t="s">
        <v>2430</v>
      </c>
      <c r="E3582" s="101" t="s">
        <v>577</v>
      </c>
      <c r="F3582" s="109">
        <f t="shared" si="8"/>
        <v>137</v>
      </c>
      <c r="G3582" s="110" t="s">
        <v>3194</v>
      </c>
    </row>
    <row r="3583" ht="15.75" customHeight="1">
      <c r="B3583" s="95"/>
      <c r="C3583" s="108" t="s">
        <v>214</v>
      </c>
      <c r="D3583" s="101" t="s">
        <v>2430</v>
      </c>
      <c r="E3583" s="101" t="s">
        <v>577</v>
      </c>
      <c r="F3583" s="109">
        <f t="shared" si="8"/>
        <v>138</v>
      </c>
      <c r="G3583" s="110" t="s">
        <v>3195</v>
      </c>
    </row>
    <row r="3584" ht="15.75" customHeight="1">
      <c r="B3584" s="95"/>
      <c r="C3584" s="108" t="s">
        <v>214</v>
      </c>
      <c r="D3584" s="101" t="s">
        <v>2430</v>
      </c>
      <c r="E3584" s="101" t="s">
        <v>577</v>
      </c>
      <c r="F3584" s="109">
        <f t="shared" si="8"/>
        <v>139</v>
      </c>
      <c r="G3584" s="110" t="s">
        <v>3196</v>
      </c>
    </row>
    <row r="3585" ht="15.75" customHeight="1">
      <c r="B3585" s="95"/>
      <c r="C3585" s="108" t="s">
        <v>214</v>
      </c>
      <c r="D3585" s="101" t="s">
        <v>2430</v>
      </c>
      <c r="E3585" s="101" t="s">
        <v>577</v>
      </c>
      <c r="F3585" s="109">
        <f t="shared" si="8"/>
        <v>140</v>
      </c>
      <c r="G3585" s="110" t="s">
        <v>3197</v>
      </c>
    </row>
    <row r="3586" ht="15.75" customHeight="1">
      <c r="B3586" s="95"/>
      <c r="C3586" s="108" t="s">
        <v>214</v>
      </c>
      <c r="D3586" s="101" t="s">
        <v>2430</v>
      </c>
      <c r="E3586" s="101" t="s">
        <v>577</v>
      </c>
      <c r="F3586" s="109">
        <f t="shared" si="8"/>
        <v>141</v>
      </c>
      <c r="G3586" s="110" t="s">
        <v>3198</v>
      </c>
    </row>
    <row r="3587" ht="15.75" customHeight="1">
      <c r="B3587" s="95"/>
      <c r="C3587" s="108" t="s">
        <v>214</v>
      </c>
      <c r="D3587" s="101" t="s">
        <v>2430</v>
      </c>
      <c r="E3587" s="101" t="s">
        <v>577</v>
      </c>
      <c r="F3587" s="109">
        <f t="shared" si="8"/>
        <v>142</v>
      </c>
      <c r="G3587" s="110" t="s">
        <v>3199</v>
      </c>
    </row>
    <row r="3588" ht="15.75" customHeight="1">
      <c r="B3588" s="95"/>
      <c r="C3588" s="108" t="s">
        <v>214</v>
      </c>
      <c r="D3588" s="101" t="s">
        <v>2430</v>
      </c>
      <c r="E3588" s="101" t="s">
        <v>577</v>
      </c>
      <c r="F3588" s="109">
        <f t="shared" si="8"/>
        <v>143</v>
      </c>
      <c r="G3588" s="110" t="s">
        <v>3200</v>
      </c>
    </row>
    <row r="3589" ht="15.75" customHeight="1">
      <c r="B3589" s="95"/>
      <c r="C3589" s="108" t="s">
        <v>214</v>
      </c>
      <c r="D3589" s="101" t="s">
        <v>2430</v>
      </c>
      <c r="E3589" s="101" t="s">
        <v>577</v>
      </c>
      <c r="F3589" s="109">
        <f t="shared" si="8"/>
        <v>144</v>
      </c>
      <c r="G3589" s="110" t="s">
        <v>3201</v>
      </c>
    </row>
    <row r="3590" ht="15.75" customHeight="1">
      <c r="B3590" s="95"/>
      <c r="C3590" s="108" t="s">
        <v>214</v>
      </c>
      <c r="D3590" s="101" t="s">
        <v>2430</v>
      </c>
      <c r="E3590" s="101" t="s">
        <v>577</v>
      </c>
      <c r="F3590" s="109">
        <f t="shared" si="8"/>
        <v>145</v>
      </c>
      <c r="G3590" s="110" t="s">
        <v>3202</v>
      </c>
    </row>
    <row r="3591" ht="15.75" customHeight="1">
      <c r="B3591" s="95"/>
      <c r="C3591" s="108" t="s">
        <v>214</v>
      </c>
      <c r="D3591" s="101" t="s">
        <v>2430</v>
      </c>
      <c r="E3591" s="101" t="s">
        <v>577</v>
      </c>
      <c r="F3591" s="109">
        <f t="shared" si="8"/>
        <v>146</v>
      </c>
      <c r="G3591" s="110" t="s">
        <v>3203</v>
      </c>
    </row>
    <row r="3592" ht="15.75" customHeight="1">
      <c r="B3592" s="95"/>
      <c r="C3592" s="108" t="s">
        <v>214</v>
      </c>
      <c r="D3592" s="101" t="s">
        <v>2430</v>
      </c>
      <c r="E3592" s="101" t="s">
        <v>577</v>
      </c>
      <c r="F3592" s="109">
        <f t="shared" si="8"/>
        <v>147</v>
      </c>
      <c r="G3592" s="110" t="s">
        <v>3204</v>
      </c>
    </row>
    <row r="3593" ht="15.75" customHeight="1">
      <c r="B3593" s="95"/>
      <c r="C3593" s="108" t="s">
        <v>214</v>
      </c>
      <c r="D3593" s="101" t="s">
        <v>2430</v>
      </c>
      <c r="E3593" s="101" t="s">
        <v>577</v>
      </c>
      <c r="F3593" s="109">
        <f t="shared" si="8"/>
        <v>148</v>
      </c>
      <c r="G3593" s="110" t="s">
        <v>3205</v>
      </c>
    </row>
    <row r="3594" ht="15.75" customHeight="1">
      <c r="B3594" s="95"/>
      <c r="C3594" s="108" t="s">
        <v>214</v>
      </c>
      <c r="D3594" s="101" t="s">
        <v>2430</v>
      </c>
      <c r="E3594" s="101" t="s">
        <v>577</v>
      </c>
      <c r="F3594" s="109">
        <f t="shared" si="8"/>
        <v>149</v>
      </c>
      <c r="G3594" s="110" t="s">
        <v>3206</v>
      </c>
    </row>
    <row r="3595" ht="15.75" customHeight="1">
      <c r="B3595" s="95"/>
      <c r="C3595" s="108" t="s">
        <v>214</v>
      </c>
      <c r="D3595" s="101" t="s">
        <v>2430</v>
      </c>
      <c r="E3595" s="101" t="s">
        <v>577</v>
      </c>
      <c r="F3595" s="109">
        <f t="shared" si="8"/>
        <v>150</v>
      </c>
      <c r="G3595" s="110" t="s">
        <v>3207</v>
      </c>
    </row>
    <row r="3596" ht="15.75" customHeight="1">
      <c r="B3596" s="95"/>
      <c r="C3596" s="108" t="s">
        <v>214</v>
      </c>
      <c r="D3596" s="101" t="s">
        <v>2430</v>
      </c>
      <c r="E3596" s="101" t="s">
        <v>577</v>
      </c>
      <c r="F3596" s="109">
        <f t="shared" si="8"/>
        <v>151</v>
      </c>
      <c r="G3596" s="110" t="s">
        <v>3208</v>
      </c>
    </row>
    <row r="3597" ht="15.75" customHeight="1">
      <c r="B3597" s="95"/>
      <c r="C3597" s="108" t="s">
        <v>214</v>
      </c>
      <c r="D3597" s="101" t="s">
        <v>2430</v>
      </c>
      <c r="E3597" s="101" t="s">
        <v>577</v>
      </c>
      <c r="F3597" s="109">
        <f t="shared" si="8"/>
        <v>152</v>
      </c>
      <c r="G3597" s="110" t="s">
        <v>3209</v>
      </c>
    </row>
    <row r="3598" ht="15.75" customHeight="1">
      <c r="B3598" s="95"/>
      <c r="C3598" s="108" t="s">
        <v>214</v>
      </c>
      <c r="D3598" s="101" t="s">
        <v>2430</v>
      </c>
      <c r="E3598" s="101" t="s">
        <v>577</v>
      </c>
      <c r="F3598" s="109">
        <f t="shared" si="8"/>
        <v>153</v>
      </c>
      <c r="G3598" s="110" t="s">
        <v>3210</v>
      </c>
    </row>
    <row r="3599" ht="15.75" customHeight="1">
      <c r="B3599" s="95"/>
      <c r="C3599" s="108" t="s">
        <v>214</v>
      </c>
      <c r="D3599" s="101" t="s">
        <v>2430</v>
      </c>
      <c r="E3599" s="101" t="s">
        <v>577</v>
      </c>
      <c r="F3599" s="109">
        <f t="shared" si="8"/>
        <v>154</v>
      </c>
      <c r="G3599" s="110" t="s">
        <v>3211</v>
      </c>
    </row>
    <row r="3600" ht="15.75" customHeight="1">
      <c r="B3600" s="95"/>
      <c r="C3600" s="108" t="s">
        <v>214</v>
      </c>
      <c r="D3600" s="101" t="s">
        <v>2430</v>
      </c>
      <c r="E3600" s="101" t="s">
        <v>577</v>
      </c>
      <c r="F3600" s="109">
        <f t="shared" si="8"/>
        <v>155</v>
      </c>
      <c r="G3600" s="110" t="s">
        <v>3212</v>
      </c>
    </row>
    <row r="3601" ht="15.75" customHeight="1">
      <c r="B3601" s="95"/>
      <c r="C3601" s="108" t="s">
        <v>214</v>
      </c>
      <c r="D3601" s="101" t="s">
        <v>2430</v>
      </c>
      <c r="E3601" s="101" t="s">
        <v>577</v>
      </c>
      <c r="F3601" s="109">
        <f t="shared" si="8"/>
        <v>156</v>
      </c>
      <c r="G3601" s="110" t="s">
        <v>3213</v>
      </c>
    </row>
    <row r="3602" ht="15.75" customHeight="1">
      <c r="B3602" s="95"/>
      <c r="C3602" s="108" t="s">
        <v>214</v>
      </c>
      <c r="D3602" s="101" t="s">
        <v>2430</v>
      </c>
      <c r="E3602" s="101" t="s">
        <v>577</v>
      </c>
      <c r="F3602" s="109">
        <f t="shared" si="8"/>
        <v>157</v>
      </c>
      <c r="G3602" s="110" t="s">
        <v>3214</v>
      </c>
    </row>
    <row r="3603" ht="15.75" customHeight="1">
      <c r="B3603" s="95"/>
      <c r="C3603" s="108" t="s">
        <v>214</v>
      </c>
      <c r="D3603" s="101" t="s">
        <v>2430</v>
      </c>
      <c r="E3603" s="101" t="s">
        <v>577</v>
      </c>
      <c r="F3603" s="109">
        <f t="shared" si="8"/>
        <v>158</v>
      </c>
      <c r="G3603" s="110" t="s">
        <v>3215</v>
      </c>
    </row>
    <row r="3604" ht="15.75" customHeight="1">
      <c r="B3604" s="95"/>
      <c r="C3604" s="108" t="s">
        <v>214</v>
      </c>
      <c r="D3604" s="101" t="s">
        <v>2430</v>
      </c>
      <c r="E3604" s="101" t="s">
        <v>577</v>
      </c>
      <c r="F3604" s="109">
        <f t="shared" si="8"/>
        <v>159</v>
      </c>
      <c r="G3604" s="110" t="s">
        <v>3216</v>
      </c>
    </row>
    <row r="3605" ht="15.75" customHeight="1">
      <c r="B3605" s="95"/>
      <c r="C3605" s="108" t="s">
        <v>214</v>
      </c>
      <c r="D3605" s="101" t="s">
        <v>2430</v>
      </c>
      <c r="E3605" s="101" t="s">
        <v>577</v>
      </c>
      <c r="F3605" s="109">
        <f t="shared" si="8"/>
        <v>160</v>
      </c>
      <c r="G3605" s="110" t="s">
        <v>3217</v>
      </c>
    </row>
    <row r="3606" ht="15.75" customHeight="1">
      <c r="B3606" s="95"/>
      <c r="C3606" s="108" t="s">
        <v>214</v>
      </c>
      <c r="D3606" s="101" t="s">
        <v>2430</v>
      </c>
      <c r="E3606" s="101" t="s">
        <v>577</v>
      </c>
      <c r="F3606" s="109">
        <f t="shared" si="8"/>
        <v>161</v>
      </c>
      <c r="G3606" s="110" t="s">
        <v>3218</v>
      </c>
    </row>
    <row r="3607" ht="15.75" customHeight="1">
      <c r="B3607" s="95"/>
      <c r="C3607" s="108" t="s">
        <v>214</v>
      </c>
      <c r="D3607" s="101" t="s">
        <v>2430</v>
      </c>
      <c r="E3607" s="101" t="s">
        <v>577</v>
      </c>
      <c r="F3607" s="109">
        <f t="shared" si="8"/>
        <v>162</v>
      </c>
      <c r="G3607" s="110" t="s">
        <v>3219</v>
      </c>
    </row>
    <row r="3608" ht="15.75" customHeight="1">
      <c r="B3608" s="95"/>
      <c r="C3608" s="108" t="s">
        <v>214</v>
      </c>
      <c r="D3608" s="101" t="s">
        <v>2430</v>
      </c>
      <c r="E3608" s="101" t="s">
        <v>577</v>
      </c>
      <c r="F3608" s="109">
        <f t="shared" si="8"/>
        <v>163</v>
      </c>
      <c r="G3608" s="110" t="s">
        <v>3220</v>
      </c>
    </row>
    <row r="3609" ht="15.75" customHeight="1">
      <c r="B3609" s="95"/>
      <c r="C3609" s="108" t="s">
        <v>214</v>
      </c>
      <c r="D3609" s="101" t="s">
        <v>2430</v>
      </c>
      <c r="E3609" s="101" t="s">
        <v>577</v>
      </c>
      <c r="F3609" s="109">
        <f t="shared" si="8"/>
        <v>164</v>
      </c>
      <c r="G3609" s="110" t="s">
        <v>3221</v>
      </c>
    </row>
    <row r="3610" ht="15.75" customHeight="1">
      <c r="B3610" s="95"/>
      <c r="C3610" s="108" t="s">
        <v>214</v>
      </c>
      <c r="D3610" s="101" t="s">
        <v>2430</v>
      </c>
      <c r="E3610" s="101" t="s">
        <v>577</v>
      </c>
      <c r="F3610" s="109">
        <f t="shared" si="8"/>
        <v>165</v>
      </c>
      <c r="G3610" s="110" t="s">
        <v>3222</v>
      </c>
    </row>
    <row r="3611" ht="15.75" customHeight="1">
      <c r="B3611" s="95"/>
      <c r="C3611" s="108" t="s">
        <v>214</v>
      </c>
      <c r="D3611" s="101" t="s">
        <v>2430</v>
      </c>
      <c r="E3611" s="101" t="s">
        <v>577</v>
      </c>
      <c r="F3611" s="109">
        <f t="shared" si="8"/>
        <v>166</v>
      </c>
      <c r="G3611" s="110" t="s">
        <v>3223</v>
      </c>
    </row>
    <row r="3612" ht="15.75" customHeight="1">
      <c r="B3612" s="95"/>
      <c r="C3612" s="108" t="s">
        <v>214</v>
      </c>
      <c r="D3612" s="101" t="s">
        <v>2430</v>
      </c>
      <c r="E3612" s="101" t="s">
        <v>577</v>
      </c>
      <c r="F3612" s="109">
        <f t="shared" si="8"/>
        <v>167</v>
      </c>
      <c r="G3612" s="110" t="s">
        <v>3224</v>
      </c>
    </row>
    <row r="3613" ht="15.75" customHeight="1">
      <c r="B3613" s="95"/>
      <c r="C3613" s="108" t="s">
        <v>214</v>
      </c>
      <c r="D3613" s="101" t="s">
        <v>2430</v>
      </c>
      <c r="E3613" s="101" t="s">
        <v>577</v>
      </c>
      <c r="F3613" s="109">
        <f t="shared" si="8"/>
        <v>168</v>
      </c>
      <c r="G3613" s="110" t="s">
        <v>3225</v>
      </c>
    </row>
    <row r="3614" ht="15.75" customHeight="1">
      <c r="B3614" s="95"/>
      <c r="C3614" s="108" t="s">
        <v>214</v>
      </c>
      <c r="D3614" s="101" t="s">
        <v>2430</v>
      </c>
      <c r="E3614" s="101" t="s">
        <v>577</v>
      </c>
      <c r="F3614" s="109">
        <f t="shared" si="8"/>
        <v>169</v>
      </c>
      <c r="G3614" s="110" t="s">
        <v>3226</v>
      </c>
    </row>
    <row r="3615" ht="15.75" customHeight="1">
      <c r="B3615" s="95"/>
      <c r="C3615" s="108" t="s">
        <v>214</v>
      </c>
      <c r="D3615" s="101" t="s">
        <v>2430</v>
      </c>
      <c r="E3615" s="101" t="s">
        <v>577</v>
      </c>
      <c r="F3615" s="109">
        <f t="shared" si="8"/>
        <v>170</v>
      </c>
      <c r="G3615" s="110" t="s">
        <v>3227</v>
      </c>
    </row>
    <row r="3616" ht="15.75" customHeight="1">
      <c r="B3616" s="95"/>
      <c r="C3616" s="108" t="s">
        <v>214</v>
      </c>
      <c r="D3616" s="101" t="s">
        <v>2430</v>
      </c>
      <c r="E3616" s="101" t="s">
        <v>577</v>
      </c>
      <c r="F3616" s="109">
        <f t="shared" si="8"/>
        <v>171</v>
      </c>
      <c r="G3616" s="110" t="s">
        <v>3228</v>
      </c>
    </row>
    <row r="3617" ht="15.75" customHeight="1">
      <c r="B3617" s="95"/>
      <c r="C3617" s="108" t="s">
        <v>214</v>
      </c>
      <c r="D3617" s="101" t="s">
        <v>2430</v>
      </c>
      <c r="E3617" s="101" t="s">
        <v>577</v>
      </c>
      <c r="F3617" s="109">
        <f t="shared" si="8"/>
        <v>172</v>
      </c>
      <c r="G3617" s="110" t="s">
        <v>3229</v>
      </c>
    </row>
    <row r="3618" ht="15.75" customHeight="1">
      <c r="B3618" s="95"/>
      <c r="C3618" s="108" t="s">
        <v>214</v>
      </c>
      <c r="D3618" s="101" t="s">
        <v>2430</v>
      </c>
      <c r="E3618" s="101" t="s">
        <v>577</v>
      </c>
      <c r="F3618" s="109">
        <f t="shared" si="8"/>
        <v>173</v>
      </c>
      <c r="G3618" s="110" t="s">
        <v>3230</v>
      </c>
    </row>
    <row r="3619" ht="15.75" customHeight="1">
      <c r="B3619" s="95"/>
      <c r="C3619" s="108" t="s">
        <v>214</v>
      </c>
      <c r="D3619" s="101" t="s">
        <v>2430</v>
      </c>
      <c r="E3619" s="101" t="s">
        <v>577</v>
      </c>
      <c r="F3619" s="109">
        <f t="shared" si="8"/>
        <v>174</v>
      </c>
      <c r="G3619" s="110" t="s">
        <v>3231</v>
      </c>
    </row>
    <row r="3620" ht="15.75" customHeight="1">
      <c r="B3620" s="95"/>
      <c r="C3620" s="108" t="s">
        <v>214</v>
      </c>
      <c r="D3620" s="101" t="s">
        <v>2430</v>
      </c>
      <c r="E3620" s="101" t="s">
        <v>577</v>
      </c>
      <c r="F3620" s="109">
        <f t="shared" si="8"/>
        <v>175</v>
      </c>
      <c r="G3620" s="110" t="s">
        <v>3232</v>
      </c>
    </row>
    <row r="3621" ht="15.75" customHeight="1">
      <c r="B3621" s="95"/>
      <c r="C3621" s="108" t="s">
        <v>214</v>
      </c>
      <c r="D3621" s="101" t="s">
        <v>2430</v>
      </c>
      <c r="E3621" s="101" t="s">
        <v>577</v>
      </c>
      <c r="F3621" s="109">
        <f t="shared" si="8"/>
        <v>176</v>
      </c>
      <c r="G3621" s="110" t="s">
        <v>3233</v>
      </c>
    </row>
    <row r="3622" ht="15.75" customHeight="1">
      <c r="B3622" s="95"/>
      <c r="C3622" s="108" t="s">
        <v>214</v>
      </c>
      <c r="D3622" s="101" t="s">
        <v>2430</v>
      </c>
      <c r="E3622" s="101" t="s">
        <v>577</v>
      </c>
      <c r="F3622" s="109">
        <f t="shared" si="8"/>
        <v>177</v>
      </c>
      <c r="G3622" s="110" t="s">
        <v>3234</v>
      </c>
    </row>
    <row r="3623" ht="15.75" customHeight="1">
      <c r="B3623" s="95"/>
      <c r="C3623" s="108" t="s">
        <v>214</v>
      </c>
      <c r="D3623" s="101" t="s">
        <v>2430</v>
      </c>
      <c r="E3623" s="101" t="s">
        <v>577</v>
      </c>
      <c r="F3623" s="109">
        <f t="shared" si="8"/>
        <v>178</v>
      </c>
      <c r="G3623" s="110" t="s">
        <v>3235</v>
      </c>
    </row>
    <row r="3624" ht="15.75" customHeight="1">
      <c r="B3624" s="95"/>
      <c r="C3624" s="108" t="s">
        <v>214</v>
      </c>
      <c r="D3624" s="101" t="s">
        <v>2430</v>
      </c>
      <c r="E3624" s="101" t="s">
        <v>577</v>
      </c>
      <c r="F3624" s="109">
        <f t="shared" si="8"/>
        <v>179</v>
      </c>
      <c r="G3624" s="110" t="s">
        <v>3236</v>
      </c>
    </row>
    <row r="3625" ht="15.75" customHeight="1">
      <c r="B3625" s="95"/>
      <c r="C3625" s="108" t="s">
        <v>214</v>
      </c>
      <c r="D3625" s="101" t="s">
        <v>2430</v>
      </c>
      <c r="E3625" s="101" t="s">
        <v>577</v>
      </c>
      <c r="F3625" s="109">
        <f t="shared" si="8"/>
        <v>180</v>
      </c>
      <c r="G3625" s="110" t="s">
        <v>3237</v>
      </c>
    </row>
    <row r="3626" ht="15.75" customHeight="1">
      <c r="B3626" s="95"/>
      <c r="C3626" s="108" t="s">
        <v>214</v>
      </c>
      <c r="D3626" s="101" t="s">
        <v>2430</v>
      </c>
      <c r="E3626" s="101" t="s">
        <v>577</v>
      </c>
      <c r="F3626" s="109">
        <f t="shared" si="8"/>
        <v>181</v>
      </c>
      <c r="G3626" s="110" t="s">
        <v>3238</v>
      </c>
    </row>
    <row r="3627" ht="15.75" customHeight="1">
      <c r="B3627" s="95"/>
      <c r="C3627" s="108" t="s">
        <v>214</v>
      </c>
      <c r="D3627" s="101" t="s">
        <v>2430</v>
      </c>
      <c r="E3627" s="101" t="s">
        <v>577</v>
      </c>
      <c r="F3627" s="109">
        <f t="shared" si="8"/>
        <v>182</v>
      </c>
      <c r="G3627" s="110" t="s">
        <v>3239</v>
      </c>
    </row>
    <row r="3628" ht="15.75" customHeight="1">
      <c r="B3628" s="95"/>
      <c r="C3628" s="108" t="s">
        <v>214</v>
      </c>
      <c r="D3628" s="101" t="s">
        <v>2430</v>
      </c>
      <c r="E3628" s="101" t="s">
        <v>577</v>
      </c>
      <c r="F3628" s="109">
        <f t="shared" si="8"/>
        <v>183</v>
      </c>
      <c r="G3628" s="110" t="s">
        <v>3240</v>
      </c>
    </row>
    <row r="3629" ht="15.75" customHeight="1">
      <c r="B3629" s="95"/>
      <c r="C3629" s="108" t="s">
        <v>214</v>
      </c>
      <c r="D3629" s="101" t="s">
        <v>2430</v>
      </c>
      <c r="E3629" s="101" t="s">
        <v>577</v>
      </c>
      <c r="F3629" s="109">
        <f t="shared" si="8"/>
        <v>184</v>
      </c>
      <c r="G3629" s="110" t="s">
        <v>3241</v>
      </c>
    </row>
    <row r="3630" ht="15.75" customHeight="1">
      <c r="B3630" s="95"/>
      <c r="C3630" s="108" t="s">
        <v>214</v>
      </c>
      <c r="D3630" s="101" t="s">
        <v>2430</v>
      </c>
      <c r="E3630" s="101" t="s">
        <v>577</v>
      </c>
      <c r="F3630" s="109">
        <f t="shared" si="8"/>
        <v>185</v>
      </c>
      <c r="G3630" s="110" t="s">
        <v>3242</v>
      </c>
    </row>
    <row r="3631" ht="15.75" customHeight="1">
      <c r="B3631" s="95"/>
      <c r="C3631" s="108" t="s">
        <v>214</v>
      </c>
      <c r="D3631" s="101" t="s">
        <v>2430</v>
      </c>
      <c r="E3631" s="101" t="s">
        <v>577</v>
      </c>
      <c r="F3631" s="109">
        <f t="shared" si="8"/>
        <v>186</v>
      </c>
      <c r="G3631" s="110" t="s">
        <v>3243</v>
      </c>
    </row>
    <row r="3632" ht="15.75" customHeight="1">
      <c r="B3632" s="95"/>
      <c r="C3632" s="108" t="s">
        <v>214</v>
      </c>
      <c r="D3632" s="101" t="s">
        <v>2430</v>
      </c>
      <c r="E3632" s="101" t="s">
        <v>577</v>
      </c>
      <c r="F3632" s="109">
        <f t="shared" si="8"/>
        <v>187</v>
      </c>
      <c r="G3632" s="110" t="s">
        <v>3244</v>
      </c>
    </row>
    <row r="3633" ht="15.75" customHeight="1">
      <c r="B3633" s="95"/>
      <c r="C3633" s="108" t="s">
        <v>214</v>
      </c>
      <c r="D3633" s="101" t="s">
        <v>2430</v>
      </c>
      <c r="E3633" s="101" t="s">
        <v>577</v>
      </c>
      <c r="F3633" s="109">
        <f t="shared" si="8"/>
        <v>188</v>
      </c>
      <c r="G3633" s="110" t="s">
        <v>3245</v>
      </c>
    </row>
    <row r="3634" ht="15.75" customHeight="1">
      <c r="B3634" s="95"/>
      <c r="C3634" s="108" t="s">
        <v>214</v>
      </c>
      <c r="D3634" s="101" t="s">
        <v>2430</v>
      </c>
      <c r="E3634" s="101" t="s">
        <v>577</v>
      </c>
      <c r="F3634" s="109">
        <f t="shared" si="8"/>
        <v>189</v>
      </c>
      <c r="G3634" s="110" t="s">
        <v>3246</v>
      </c>
    </row>
    <row r="3635" ht="15.75" customHeight="1">
      <c r="B3635" s="95"/>
      <c r="C3635" s="108" t="s">
        <v>214</v>
      </c>
      <c r="D3635" s="101" t="s">
        <v>2430</v>
      </c>
      <c r="E3635" s="101" t="s">
        <v>577</v>
      </c>
      <c r="F3635" s="109">
        <f t="shared" si="8"/>
        <v>190</v>
      </c>
      <c r="G3635" s="110" t="s">
        <v>3247</v>
      </c>
    </row>
    <row r="3636" ht="15.75" customHeight="1">
      <c r="B3636" s="95"/>
      <c r="C3636" s="108" t="s">
        <v>214</v>
      </c>
      <c r="D3636" s="101" t="s">
        <v>2430</v>
      </c>
      <c r="E3636" s="101" t="s">
        <v>577</v>
      </c>
      <c r="F3636" s="109">
        <f t="shared" si="8"/>
        <v>191</v>
      </c>
      <c r="G3636" s="110" t="s">
        <v>3248</v>
      </c>
    </row>
    <row r="3637" ht="15.75" customHeight="1">
      <c r="B3637" s="95"/>
      <c r="C3637" s="108" t="s">
        <v>214</v>
      </c>
      <c r="D3637" s="101" t="s">
        <v>2430</v>
      </c>
      <c r="E3637" s="101" t="s">
        <v>577</v>
      </c>
      <c r="F3637" s="109">
        <f t="shared" si="8"/>
        <v>192</v>
      </c>
      <c r="G3637" s="110" t="s">
        <v>3249</v>
      </c>
    </row>
    <row r="3638" ht="15.75" customHeight="1">
      <c r="B3638" s="95"/>
      <c r="C3638" s="108" t="s">
        <v>214</v>
      </c>
      <c r="D3638" s="101" t="s">
        <v>2430</v>
      </c>
      <c r="E3638" s="101" t="s">
        <v>577</v>
      </c>
      <c r="F3638" s="109">
        <f t="shared" si="8"/>
        <v>193</v>
      </c>
      <c r="G3638" s="110" t="s">
        <v>3250</v>
      </c>
    </row>
    <row r="3639" ht="15.75" customHeight="1">
      <c r="B3639" s="95"/>
      <c r="C3639" s="108" t="s">
        <v>214</v>
      </c>
      <c r="D3639" s="101" t="s">
        <v>2430</v>
      </c>
      <c r="E3639" s="101" t="s">
        <v>577</v>
      </c>
      <c r="F3639" s="109">
        <f t="shared" si="8"/>
        <v>194</v>
      </c>
      <c r="G3639" s="110" t="s">
        <v>3251</v>
      </c>
    </row>
    <row r="3640" ht="15.75" customHeight="1">
      <c r="B3640" s="95"/>
      <c r="C3640" s="108" t="s">
        <v>214</v>
      </c>
      <c r="D3640" s="101" t="s">
        <v>2430</v>
      </c>
      <c r="E3640" s="101" t="s">
        <v>577</v>
      </c>
      <c r="F3640" s="109">
        <f t="shared" si="8"/>
        <v>195</v>
      </c>
      <c r="G3640" s="110" t="s">
        <v>3252</v>
      </c>
    </row>
    <row r="3641" ht="15.75" customHeight="1">
      <c r="B3641" s="95"/>
      <c r="C3641" s="108" t="s">
        <v>214</v>
      </c>
      <c r="D3641" s="101" t="s">
        <v>2430</v>
      </c>
      <c r="E3641" s="101" t="s">
        <v>577</v>
      </c>
      <c r="F3641" s="109">
        <f t="shared" si="8"/>
        <v>196</v>
      </c>
      <c r="G3641" s="110" t="s">
        <v>3253</v>
      </c>
    </row>
    <row r="3642" ht="15.75" customHeight="1">
      <c r="B3642" s="95"/>
      <c r="C3642" s="108" t="s">
        <v>214</v>
      </c>
      <c r="D3642" s="101" t="s">
        <v>2430</v>
      </c>
      <c r="E3642" s="101" t="s">
        <v>577</v>
      </c>
      <c r="F3642" s="109">
        <f t="shared" si="8"/>
        <v>197</v>
      </c>
      <c r="G3642" s="110" t="s">
        <v>3254</v>
      </c>
    </row>
    <row r="3643" ht="15.75" customHeight="1">
      <c r="B3643" s="95"/>
      <c r="C3643" s="108" t="s">
        <v>214</v>
      </c>
      <c r="D3643" s="101" t="s">
        <v>2430</v>
      </c>
      <c r="E3643" s="101" t="s">
        <v>577</v>
      </c>
      <c r="F3643" s="109">
        <f t="shared" si="8"/>
        <v>198</v>
      </c>
      <c r="G3643" s="110" t="s">
        <v>3255</v>
      </c>
    </row>
    <row r="3644" ht="15.75" customHeight="1">
      <c r="B3644" s="95"/>
      <c r="C3644" s="108" t="s">
        <v>214</v>
      </c>
      <c r="D3644" s="101" t="s">
        <v>2430</v>
      </c>
      <c r="E3644" s="101" t="s">
        <v>577</v>
      </c>
      <c r="F3644" s="109">
        <f t="shared" si="8"/>
        <v>199</v>
      </c>
      <c r="G3644" s="110" t="s">
        <v>3256</v>
      </c>
    </row>
    <row r="3645" ht="15.75" customHeight="1">
      <c r="B3645" s="95"/>
      <c r="C3645" s="108" t="s">
        <v>214</v>
      </c>
      <c r="D3645" s="101" t="s">
        <v>2430</v>
      </c>
      <c r="E3645" s="101" t="s">
        <v>577</v>
      </c>
      <c r="F3645" s="109">
        <f t="shared" si="8"/>
        <v>200</v>
      </c>
      <c r="G3645" s="110" t="s">
        <v>3257</v>
      </c>
    </row>
    <row r="3646" ht="15.75" customHeight="1">
      <c r="B3646" s="95"/>
      <c r="C3646" s="108" t="s">
        <v>214</v>
      </c>
      <c r="D3646" s="101" t="s">
        <v>2430</v>
      </c>
      <c r="E3646" s="101" t="s">
        <v>577</v>
      </c>
      <c r="F3646" s="109">
        <f t="shared" si="8"/>
        <v>201</v>
      </c>
      <c r="G3646" s="110" t="s">
        <v>3258</v>
      </c>
    </row>
    <row r="3647" ht="15.75" customHeight="1">
      <c r="B3647" s="95"/>
      <c r="C3647" s="108" t="s">
        <v>214</v>
      </c>
      <c r="D3647" s="101" t="s">
        <v>2430</v>
      </c>
      <c r="E3647" s="101" t="s">
        <v>577</v>
      </c>
      <c r="F3647" s="109">
        <f t="shared" si="8"/>
        <v>202</v>
      </c>
      <c r="G3647" s="110" t="s">
        <v>3259</v>
      </c>
    </row>
    <row r="3648" ht="15.75" customHeight="1">
      <c r="B3648" s="95"/>
      <c r="C3648" s="108" t="s">
        <v>214</v>
      </c>
      <c r="D3648" s="101" t="s">
        <v>2430</v>
      </c>
      <c r="E3648" s="101" t="s">
        <v>577</v>
      </c>
      <c r="F3648" s="109">
        <f t="shared" si="8"/>
        <v>203</v>
      </c>
      <c r="G3648" s="110" t="s">
        <v>3260</v>
      </c>
    </row>
    <row r="3649" ht="15.75" customHeight="1">
      <c r="B3649" s="95"/>
      <c r="C3649" s="108" t="s">
        <v>214</v>
      </c>
      <c r="D3649" s="101" t="s">
        <v>2430</v>
      </c>
      <c r="E3649" s="101" t="s">
        <v>577</v>
      </c>
      <c r="F3649" s="109">
        <f t="shared" si="8"/>
        <v>204</v>
      </c>
      <c r="G3649" s="110" t="s">
        <v>3261</v>
      </c>
    </row>
    <row r="3650" ht="15.75" customHeight="1">
      <c r="B3650" s="95"/>
      <c r="C3650" s="108" t="s">
        <v>214</v>
      </c>
      <c r="D3650" s="101" t="s">
        <v>2430</v>
      </c>
      <c r="E3650" s="101" t="s">
        <v>577</v>
      </c>
      <c r="F3650" s="109">
        <f t="shared" si="8"/>
        <v>205</v>
      </c>
      <c r="G3650" s="110" t="s">
        <v>3262</v>
      </c>
    </row>
    <row r="3651" ht="15.75" customHeight="1">
      <c r="B3651" s="95"/>
      <c r="C3651" s="108" t="s">
        <v>214</v>
      </c>
      <c r="D3651" s="101" t="s">
        <v>2430</v>
      </c>
      <c r="E3651" s="101" t="s">
        <v>577</v>
      </c>
      <c r="F3651" s="109">
        <f t="shared" si="8"/>
        <v>206</v>
      </c>
      <c r="G3651" s="110" t="s">
        <v>3263</v>
      </c>
    </row>
    <row r="3652" ht="15.75" customHeight="1">
      <c r="B3652" s="95"/>
      <c r="C3652" s="108" t="s">
        <v>214</v>
      </c>
      <c r="D3652" s="101" t="s">
        <v>2430</v>
      </c>
      <c r="E3652" s="101" t="s">
        <v>577</v>
      </c>
      <c r="F3652" s="109">
        <f t="shared" si="8"/>
        <v>207</v>
      </c>
      <c r="G3652" s="110" t="s">
        <v>3264</v>
      </c>
    </row>
    <row r="3653" ht="15.75" customHeight="1">
      <c r="B3653" s="95"/>
      <c r="C3653" s="108" t="s">
        <v>214</v>
      </c>
      <c r="D3653" s="101" t="s">
        <v>2430</v>
      </c>
      <c r="E3653" s="101" t="s">
        <v>577</v>
      </c>
      <c r="F3653" s="109">
        <f t="shared" si="8"/>
        <v>208</v>
      </c>
      <c r="G3653" s="110" t="s">
        <v>3265</v>
      </c>
    </row>
    <row r="3654" ht="15.75" customHeight="1">
      <c r="B3654" s="95"/>
      <c r="C3654" s="108" t="s">
        <v>214</v>
      </c>
      <c r="D3654" s="101" t="s">
        <v>2430</v>
      </c>
      <c r="E3654" s="101" t="s">
        <v>577</v>
      </c>
      <c r="F3654" s="109">
        <f t="shared" si="8"/>
        <v>209</v>
      </c>
      <c r="G3654" s="110" t="s">
        <v>3266</v>
      </c>
    </row>
    <row r="3655" ht="15.75" customHeight="1">
      <c r="B3655" s="95"/>
      <c r="C3655" s="108" t="s">
        <v>214</v>
      </c>
      <c r="D3655" s="101" t="s">
        <v>2430</v>
      </c>
      <c r="E3655" s="101" t="s">
        <v>577</v>
      </c>
      <c r="F3655" s="109">
        <f t="shared" si="8"/>
        <v>210</v>
      </c>
      <c r="G3655" s="110" t="s">
        <v>3267</v>
      </c>
    </row>
    <row r="3656" ht="15.75" customHeight="1">
      <c r="B3656" s="95"/>
      <c r="C3656" s="108" t="s">
        <v>214</v>
      </c>
      <c r="D3656" s="101" t="s">
        <v>2430</v>
      </c>
      <c r="E3656" s="101" t="s">
        <v>577</v>
      </c>
      <c r="F3656" s="109">
        <f t="shared" si="8"/>
        <v>211</v>
      </c>
      <c r="G3656" s="110" t="s">
        <v>3268</v>
      </c>
    </row>
    <row r="3657" ht="15.75" customHeight="1">
      <c r="B3657" s="95"/>
      <c r="C3657" s="108" t="s">
        <v>214</v>
      </c>
      <c r="D3657" s="101" t="s">
        <v>2430</v>
      </c>
      <c r="E3657" s="101" t="s">
        <v>577</v>
      </c>
      <c r="F3657" s="109">
        <f t="shared" si="8"/>
        <v>212</v>
      </c>
      <c r="G3657" s="110" t="s">
        <v>3269</v>
      </c>
    </row>
    <row r="3658" ht="15.75" customHeight="1">
      <c r="B3658" s="95"/>
      <c r="C3658" s="108" t="s">
        <v>214</v>
      </c>
      <c r="D3658" s="101" t="s">
        <v>2430</v>
      </c>
      <c r="E3658" s="101" t="s">
        <v>577</v>
      </c>
      <c r="F3658" s="109">
        <f t="shared" si="8"/>
        <v>213</v>
      </c>
      <c r="G3658" s="110" t="s">
        <v>3270</v>
      </c>
    </row>
    <row r="3659" ht="15.75" customHeight="1">
      <c r="B3659" s="95"/>
      <c r="C3659" s="108" t="s">
        <v>214</v>
      </c>
      <c r="D3659" s="101" t="s">
        <v>2430</v>
      </c>
      <c r="E3659" s="101" t="s">
        <v>577</v>
      </c>
      <c r="F3659" s="109">
        <f t="shared" si="8"/>
        <v>214</v>
      </c>
      <c r="G3659" s="110" t="s">
        <v>3271</v>
      </c>
    </row>
    <row r="3660" ht="15.75" customHeight="1">
      <c r="B3660" s="95"/>
      <c r="C3660" s="108" t="s">
        <v>214</v>
      </c>
      <c r="D3660" s="101" t="s">
        <v>2430</v>
      </c>
      <c r="E3660" s="101" t="s">
        <v>577</v>
      </c>
      <c r="F3660" s="109">
        <f t="shared" si="8"/>
        <v>215</v>
      </c>
      <c r="G3660" s="110" t="s">
        <v>3272</v>
      </c>
    </row>
    <row r="3661" ht="15.75" customHeight="1">
      <c r="B3661" s="95"/>
      <c r="C3661" s="108" t="s">
        <v>214</v>
      </c>
      <c r="D3661" s="101" t="s">
        <v>2430</v>
      </c>
      <c r="E3661" s="101" t="s">
        <v>577</v>
      </c>
      <c r="F3661" s="109">
        <f t="shared" si="8"/>
        <v>216</v>
      </c>
      <c r="G3661" s="110" t="s">
        <v>3273</v>
      </c>
    </row>
    <row r="3662" ht="15.75" customHeight="1">
      <c r="B3662" s="95"/>
      <c r="C3662" s="108" t="s">
        <v>214</v>
      </c>
      <c r="D3662" s="101" t="s">
        <v>2430</v>
      </c>
      <c r="E3662" s="101" t="s">
        <v>577</v>
      </c>
      <c r="F3662" s="109">
        <f t="shared" si="8"/>
        <v>217</v>
      </c>
      <c r="G3662" s="110" t="s">
        <v>3274</v>
      </c>
    </row>
    <row r="3663" ht="15.75" customHeight="1">
      <c r="B3663" s="95"/>
      <c r="C3663" s="108" t="s">
        <v>215</v>
      </c>
      <c r="D3663" s="101" t="s">
        <v>2430</v>
      </c>
      <c r="E3663" s="101" t="s">
        <v>577</v>
      </c>
      <c r="F3663" s="109">
        <f t="shared" si="8"/>
        <v>2</v>
      </c>
      <c r="G3663" s="110" t="s">
        <v>3275</v>
      </c>
    </row>
    <row r="3664" ht="15.75" customHeight="1">
      <c r="B3664" s="95"/>
      <c r="C3664" s="108" t="s">
        <v>215</v>
      </c>
      <c r="D3664" s="101" t="s">
        <v>2430</v>
      </c>
      <c r="E3664" s="101" t="s">
        <v>577</v>
      </c>
      <c r="F3664" s="109">
        <f t="shared" si="8"/>
        <v>3</v>
      </c>
      <c r="G3664" s="110" t="s">
        <v>3276</v>
      </c>
    </row>
    <row r="3665" ht="15.75" customHeight="1">
      <c r="B3665" s="95"/>
      <c r="C3665" s="108" t="s">
        <v>215</v>
      </c>
      <c r="D3665" s="101" t="s">
        <v>2430</v>
      </c>
      <c r="E3665" s="101" t="s">
        <v>577</v>
      </c>
      <c r="F3665" s="109">
        <f t="shared" si="8"/>
        <v>4</v>
      </c>
      <c r="G3665" s="110" t="s">
        <v>3277</v>
      </c>
    </row>
    <row r="3666" ht="15.75" customHeight="1">
      <c r="B3666" s="95"/>
      <c r="C3666" s="108" t="s">
        <v>215</v>
      </c>
      <c r="D3666" s="101" t="s">
        <v>2430</v>
      </c>
      <c r="E3666" s="101" t="s">
        <v>577</v>
      </c>
      <c r="F3666" s="109">
        <f t="shared" si="8"/>
        <v>5</v>
      </c>
      <c r="G3666" s="110" t="s">
        <v>3278</v>
      </c>
    </row>
    <row r="3667" ht="15.75" customHeight="1">
      <c r="B3667" s="95"/>
      <c r="C3667" s="108" t="s">
        <v>215</v>
      </c>
      <c r="D3667" s="101" t="s">
        <v>2430</v>
      </c>
      <c r="E3667" s="101" t="s">
        <v>577</v>
      </c>
      <c r="F3667" s="109">
        <f t="shared" si="8"/>
        <v>6</v>
      </c>
      <c r="G3667" s="110" t="s">
        <v>3279</v>
      </c>
    </row>
    <row r="3668" ht="15.75" customHeight="1">
      <c r="B3668" s="95"/>
      <c r="C3668" s="108" t="s">
        <v>215</v>
      </c>
      <c r="D3668" s="101" t="s">
        <v>2430</v>
      </c>
      <c r="E3668" s="101" t="s">
        <v>577</v>
      </c>
      <c r="F3668" s="109">
        <f t="shared" si="8"/>
        <v>7</v>
      </c>
      <c r="G3668" s="110" t="s">
        <v>3280</v>
      </c>
    </row>
    <row r="3669" ht="15.75" customHeight="1">
      <c r="B3669" s="95"/>
      <c r="C3669" s="108" t="s">
        <v>215</v>
      </c>
      <c r="D3669" s="101" t="s">
        <v>2430</v>
      </c>
      <c r="E3669" s="101" t="s">
        <v>577</v>
      </c>
      <c r="F3669" s="109">
        <f t="shared" si="8"/>
        <v>8</v>
      </c>
      <c r="G3669" s="110" t="s">
        <v>3281</v>
      </c>
    </row>
    <row r="3670" ht="15.75" customHeight="1">
      <c r="B3670" s="95"/>
      <c r="C3670" s="108" t="s">
        <v>215</v>
      </c>
      <c r="D3670" s="101" t="s">
        <v>2430</v>
      </c>
      <c r="E3670" s="101" t="s">
        <v>577</v>
      </c>
      <c r="F3670" s="109">
        <f t="shared" si="8"/>
        <v>9</v>
      </c>
      <c r="G3670" s="110" t="s">
        <v>3282</v>
      </c>
    </row>
    <row r="3671" ht="15.75" customHeight="1">
      <c r="B3671" s="95"/>
      <c r="C3671" s="108" t="s">
        <v>215</v>
      </c>
      <c r="D3671" s="101" t="s">
        <v>2430</v>
      </c>
      <c r="E3671" s="101" t="s">
        <v>577</v>
      </c>
      <c r="F3671" s="109">
        <f t="shared" si="8"/>
        <v>10</v>
      </c>
      <c r="G3671" s="110" t="s">
        <v>3283</v>
      </c>
    </row>
    <row r="3672" ht="15.75" customHeight="1">
      <c r="B3672" s="95"/>
      <c r="C3672" s="108" t="s">
        <v>215</v>
      </c>
      <c r="D3672" s="101" t="s">
        <v>2430</v>
      </c>
      <c r="E3672" s="101" t="s">
        <v>577</v>
      </c>
      <c r="F3672" s="109">
        <f t="shared" si="8"/>
        <v>11</v>
      </c>
      <c r="G3672" s="110" t="s">
        <v>3284</v>
      </c>
    </row>
    <row r="3673" ht="15.75" customHeight="1">
      <c r="B3673" s="95"/>
      <c r="C3673" s="108" t="s">
        <v>215</v>
      </c>
      <c r="D3673" s="101" t="s">
        <v>2430</v>
      </c>
      <c r="E3673" s="101" t="s">
        <v>577</v>
      </c>
      <c r="F3673" s="109">
        <f t="shared" si="8"/>
        <v>12</v>
      </c>
      <c r="G3673" s="110" t="s">
        <v>2834</v>
      </c>
    </row>
    <row r="3674" ht="15.75" customHeight="1">
      <c r="B3674" s="95"/>
      <c r="C3674" s="108" t="s">
        <v>215</v>
      </c>
      <c r="D3674" s="101" t="s">
        <v>2430</v>
      </c>
      <c r="E3674" s="101" t="s">
        <v>577</v>
      </c>
      <c r="F3674" s="109">
        <f t="shared" si="8"/>
        <v>13</v>
      </c>
      <c r="G3674" s="110" t="s">
        <v>3285</v>
      </c>
    </row>
    <row r="3675" ht="15.75" customHeight="1">
      <c r="B3675" s="95"/>
      <c r="C3675" s="108" t="s">
        <v>215</v>
      </c>
      <c r="D3675" s="101" t="s">
        <v>2430</v>
      </c>
      <c r="E3675" s="101" t="s">
        <v>577</v>
      </c>
      <c r="F3675" s="109">
        <f t="shared" si="8"/>
        <v>14</v>
      </c>
      <c r="G3675" s="110" t="s">
        <v>3286</v>
      </c>
    </row>
    <row r="3676" ht="15.75" customHeight="1">
      <c r="B3676" s="95"/>
      <c r="C3676" s="108" t="s">
        <v>215</v>
      </c>
      <c r="D3676" s="101" t="s">
        <v>2430</v>
      </c>
      <c r="E3676" s="101" t="s">
        <v>577</v>
      </c>
      <c r="F3676" s="109">
        <f t="shared" si="8"/>
        <v>15</v>
      </c>
      <c r="G3676" s="110" t="s">
        <v>3287</v>
      </c>
    </row>
    <row r="3677" ht="15.75" customHeight="1">
      <c r="B3677" s="95"/>
      <c r="C3677" s="108" t="s">
        <v>215</v>
      </c>
      <c r="D3677" s="101" t="s">
        <v>2430</v>
      </c>
      <c r="E3677" s="101" t="s">
        <v>577</v>
      </c>
      <c r="F3677" s="109">
        <f t="shared" si="8"/>
        <v>16</v>
      </c>
      <c r="G3677" s="110" t="s">
        <v>3288</v>
      </c>
    </row>
    <row r="3678" ht="15.75" customHeight="1">
      <c r="B3678" s="95"/>
      <c r="C3678" s="108" t="s">
        <v>215</v>
      </c>
      <c r="D3678" s="101" t="s">
        <v>2430</v>
      </c>
      <c r="E3678" s="101" t="s">
        <v>577</v>
      </c>
      <c r="F3678" s="109">
        <f t="shared" si="8"/>
        <v>17</v>
      </c>
      <c r="G3678" s="110" t="s">
        <v>3289</v>
      </c>
    </row>
    <row r="3679" ht="15.75" customHeight="1">
      <c r="B3679" s="95"/>
      <c r="C3679" s="108" t="s">
        <v>215</v>
      </c>
      <c r="D3679" s="101" t="s">
        <v>2430</v>
      </c>
      <c r="E3679" s="101" t="s">
        <v>577</v>
      </c>
      <c r="F3679" s="109">
        <f t="shared" si="8"/>
        <v>18</v>
      </c>
      <c r="G3679" s="110" t="s">
        <v>3290</v>
      </c>
    </row>
    <row r="3680" ht="15.75" customHeight="1">
      <c r="B3680" s="95"/>
      <c r="C3680" s="108" t="s">
        <v>215</v>
      </c>
      <c r="D3680" s="101" t="s">
        <v>2430</v>
      </c>
      <c r="E3680" s="101" t="s">
        <v>577</v>
      </c>
      <c r="F3680" s="109">
        <f t="shared" si="8"/>
        <v>19</v>
      </c>
      <c r="G3680" s="110" t="s">
        <v>3291</v>
      </c>
    </row>
    <row r="3681" ht="15.75" customHeight="1">
      <c r="B3681" s="95"/>
      <c r="C3681" s="108" t="s">
        <v>215</v>
      </c>
      <c r="D3681" s="101" t="s">
        <v>2430</v>
      </c>
      <c r="E3681" s="101" t="s">
        <v>577</v>
      </c>
      <c r="F3681" s="109">
        <f t="shared" si="8"/>
        <v>20</v>
      </c>
      <c r="G3681" s="110" t="s">
        <v>3292</v>
      </c>
    </row>
    <row r="3682" ht="15.75" customHeight="1">
      <c r="B3682" s="95"/>
      <c r="C3682" s="108" t="s">
        <v>215</v>
      </c>
      <c r="D3682" s="101" t="s">
        <v>2430</v>
      </c>
      <c r="E3682" s="101" t="s">
        <v>577</v>
      </c>
      <c r="F3682" s="109">
        <f t="shared" si="8"/>
        <v>21</v>
      </c>
      <c r="G3682" s="110" t="s">
        <v>3293</v>
      </c>
    </row>
    <row r="3683" ht="15.75" customHeight="1">
      <c r="B3683" s="95"/>
      <c r="C3683" s="108" t="s">
        <v>215</v>
      </c>
      <c r="D3683" s="101" t="s">
        <v>2430</v>
      </c>
      <c r="E3683" s="101" t="s">
        <v>577</v>
      </c>
      <c r="F3683" s="109">
        <f t="shared" si="8"/>
        <v>22</v>
      </c>
      <c r="G3683" s="110" t="s">
        <v>3294</v>
      </c>
    </row>
    <row r="3684" ht="15.75" customHeight="1">
      <c r="B3684" s="95"/>
      <c r="C3684" s="108" t="s">
        <v>215</v>
      </c>
      <c r="D3684" s="101" t="s">
        <v>2430</v>
      </c>
      <c r="E3684" s="101" t="s">
        <v>577</v>
      </c>
      <c r="F3684" s="109">
        <f t="shared" si="8"/>
        <v>23</v>
      </c>
      <c r="G3684" s="110" t="s">
        <v>3295</v>
      </c>
    </row>
    <row r="3685" ht="15.75" customHeight="1">
      <c r="B3685" s="95"/>
      <c r="C3685" s="108" t="s">
        <v>215</v>
      </c>
      <c r="D3685" s="101" t="s">
        <v>2430</v>
      </c>
      <c r="E3685" s="101" t="s">
        <v>577</v>
      </c>
      <c r="F3685" s="109">
        <f t="shared" si="8"/>
        <v>24</v>
      </c>
      <c r="G3685" s="110" t="s">
        <v>3296</v>
      </c>
    </row>
    <row r="3686" ht="15.75" customHeight="1">
      <c r="B3686" s="95"/>
      <c r="C3686" s="108" t="s">
        <v>215</v>
      </c>
      <c r="D3686" s="101" t="s">
        <v>2430</v>
      </c>
      <c r="E3686" s="101" t="s">
        <v>577</v>
      </c>
      <c r="F3686" s="109">
        <f t="shared" si="8"/>
        <v>25</v>
      </c>
      <c r="G3686" s="110" t="s">
        <v>3260</v>
      </c>
    </row>
    <row r="3687" ht="15.75" customHeight="1">
      <c r="B3687" s="95"/>
      <c r="C3687" s="108" t="s">
        <v>215</v>
      </c>
      <c r="D3687" s="101" t="s">
        <v>2430</v>
      </c>
      <c r="E3687" s="101" t="s">
        <v>577</v>
      </c>
      <c r="F3687" s="109">
        <f t="shared" si="8"/>
        <v>26</v>
      </c>
      <c r="G3687" s="110" t="s">
        <v>3297</v>
      </c>
    </row>
    <row r="3688" ht="15.75" customHeight="1">
      <c r="B3688" s="95"/>
      <c r="C3688" s="108" t="s">
        <v>215</v>
      </c>
      <c r="D3688" s="101" t="s">
        <v>2430</v>
      </c>
      <c r="E3688" s="101" t="s">
        <v>577</v>
      </c>
      <c r="F3688" s="109">
        <f t="shared" si="8"/>
        <v>27</v>
      </c>
      <c r="G3688" s="110" t="s">
        <v>3298</v>
      </c>
    </row>
    <row r="3689" ht="15.75" customHeight="1">
      <c r="B3689" s="95"/>
      <c r="C3689" s="108" t="s">
        <v>215</v>
      </c>
      <c r="D3689" s="101" t="s">
        <v>2430</v>
      </c>
      <c r="E3689" s="101" t="s">
        <v>577</v>
      </c>
      <c r="F3689" s="109">
        <f t="shared" si="8"/>
        <v>28</v>
      </c>
      <c r="G3689" s="110" t="s">
        <v>3299</v>
      </c>
    </row>
    <row r="3690" ht="15.75" customHeight="1">
      <c r="B3690" s="95"/>
      <c r="C3690" s="108" t="s">
        <v>215</v>
      </c>
      <c r="D3690" s="101" t="s">
        <v>2430</v>
      </c>
      <c r="E3690" s="101" t="s">
        <v>577</v>
      </c>
      <c r="F3690" s="109">
        <f t="shared" si="8"/>
        <v>29</v>
      </c>
      <c r="G3690" s="110" t="s">
        <v>3300</v>
      </c>
    </row>
    <row r="3691" ht="15.75" customHeight="1">
      <c r="B3691" s="95"/>
      <c r="C3691" s="108" t="s">
        <v>215</v>
      </c>
      <c r="D3691" s="101" t="s">
        <v>2430</v>
      </c>
      <c r="E3691" s="101" t="s">
        <v>577</v>
      </c>
      <c r="F3691" s="109">
        <f t="shared" si="8"/>
        <v>30</v>
      </c>
      <c r="G3691" s="110" t="s">
        <v>3301</v>
      </c>
    </row>
    <row r="3692" ht="15.75" customHeight="1">
      <c r="B3692" s="95"/>
      <c r="C3692" s="108" t="s">
        <v>215</v>
      </c>
      <c r="D3692" s="101" t="s">
        <v>2430</v>
      </c>
      <c r="E3692" s="101" t="s">
        <v>577</v>
      </c>
      <c r="F3692" s="109">
        <f t="shared" si="8"/>
        <v>31</v>
      </c>
      <c r="G3692" s="110" t="s">
        <v>3302</v>
      </c>
    </row>
    <row r="3693" ht="15.75" customHeight="1">
      <c r="B3693" s="95"/>
      <c r="C3693" s="108" t="s">
        <v>3303</v>
      </c>
      <c r="D3693" s="101" t="s">
        <v>2430</v>
      </c>
      <c r="E3693" s="101" t="s">
        <v>577</v>
      </c>
      <c r="F3693" s="109">
        <f t="shared" si="8"/>
        <v>2</v>
      </c>
      <c r="G3693" s="110" t="s">
        <v>2834</v>
      </c>
    </row>
    <row r="3694" ht="15.75" customHeight="1">
      <c r="B3694" s="95"/>
      <c r="C3694" s="108" t="s">
        <v>3303</v>
      </c>
      <c r="D3694" s="101" t="s">
        <v>2430</v>
      </c>
      <c r="E3694" s="101" t="s">
        <v>577</v>
      </c>
      <c r="F3694" s="109">
        <f t="shared" si="8"/>
        <v>3</v>
      </c>
      <c r="G3694" s="110" t="s">
        <v>3304</v>
      </c>
    </row>
    <row r="3695" ht="15.75" customHeight="1">
      <c r="B3695" s="95"/>
      <c r="C3695" s="108" t="s">
        <v>3303</v>
      </c>
      <c r="D3695" s="101" t="s">
        <v>2430</v>
      </c>
      <c r="E3695" s="101" t="s">
        <v>577</v>
      </c>
      <c r="F3695" s="109">
        <f t="shared" si="8"/>
        <v>4</v>
      </c>
      <c r="G3695" s="110" t="s">
        <v>3305</v>
      </c>
    </row>
    <row r="3696" ht="15.75" customHeight="1">
      <c r="B3696" s="95"/>
      <c r="C3696" s="108" t="s">
        <v>3303</v>
      </c>
      <c r="D3696" s="101" t="s">
        <v>2430</v>
      </c>
      <c r="E3696" s="101" t="s">
        <v>577</v>
      </c>
      <c r="F3696" s="109">
        <f t="shared" si="8"/>
        <v>5</v>
      </c>
      <c r="G3696" s="110" t="s">
        <v>3306</v>
      </c>
    </row>
    <row r="3697" ht="15.75" customHeight="1">
      <c r="B3697" s="95"/>
      <c r="C3697" s="108" t="s">
        <v>3303</v>
      </c>
      <c r="D3697" s="101" t="s">
        <v>2430</v>
      </c>
      <c r="E3697" s="101" t="s">
        <v>577</v>
      </c>
      <c r="F3697" s="109">
        <f t="shared" si="8"/>
        <v>6</v>
      </c>
      <c r="G3697" s="110" t="s">
        <v>3307</v>
      </c>
    </row>
    <row r="3698" ht="15.75" customHeight="1">
      <c r="B3698" s="95"/>
      <c r="C3698" s="108" t="s">
        <v>3303</v>
      </c>
      <c r="D3698" s="101" t="s">
        <v>2430</v>
      </c>
      <c r="E3698" s="101" t="s">
        <v>577</v>
      </c>
      <c r="F3698" s="109">
        <f t="shared" si="8"/>
        <v>7</v>
      </c>
      <c r="G3698" s="110" t="s">
        <v>3308</v>
      </c>
    </row>
    <row r="3699" ht="15.75" customHeight="1">
      <c r="B3699" s="95"/>
      <c r="C3699" s="108" t="s">
        <v>3303</v>
      </c>
      <c r="D3699" s="101" t="s">
        <v>2430</v>
      </c>
      <c r="E3699" s="101" t="s">
        <v>577</v>
      </c>
      <c r="F3699" s="109">
        <f t="shared" si="8"/>
        <v>8</v>
      </c>
      <c r="G3699" s="110" t="s">
        <v>3309</v>
      </c>
    </row>
    <row r="3700" ht="15.75" customHeight="1">
      <c r="B3700" s="95"/>
      <c r="C3700" s="108" t="s">
        <v>3303</v>
      </c>
      <c r="D3700" s="101" t="s">
        <v>2430</v>
      </c>
      <c r="E3700" s="101" t="s">
        <v>577</v>
      </c>
      <c r="F3700" s="109">
        <f t="shared" si="8"/>
        <v>9</v>
      </c>
      <c r="G3700" s="110" t="s">
        <v>3310</v>
      </c>
    </row>
    <row r="3701" ht="15.75" customHeight="1">
      <c r="B3701" s="95"/>
      <c r="C3701" s="108" t="s">
        <v>3303</v>
      </c>
      <c r="D3701" s="101" t="s">
        <v>2430</v>
      </c>
      <c r="E3701" s="101" t="s">
        <v>577</v>
      </c>
      <c r="F3701" s="109">
        <f t="shared" si="8"/>
        <v>10</v>
      </c>
      <c r="G3701" s="110" t="s">
        <v>3311</v>
      </c>
    </row>
    <row r="3702" ht="15.75" customHeight="1">
      <c r="B3702" s="95"/>
      <c r="C3702" s="108" t="s">
        <v>3303</v>
      </c>
      <c r="D3702" s="101" t="s">
        <v>2430</v>
      </c>
      <c r="E3702" s="101" t="s">
        <v>577</v>
      </c>
      <c r="F3702" s="109">
        <f t="shared" si="8"/>
        <v>11</v>
      </c>
      <c r="G3702" s="110" t="s">
        <v>3312</v>
      </c>
    </row>
    <row r="3703" ht="15.75" customHeight="1">
      <c r="B3703" s="95"/>
      <c r="C3703" s="108" t="s">
        <v>3303</v>
      </c>
      <c r="D3703" s="101" t="s">
        <v>2430</v>
      </c>
      <c r="E3703" s="101" t="s">
        <v>577</v>
      </c>
      <c r="F3703" s="109">
        <f t="shared" si="8"/>
        <v>12</v>
      </c>
      <c r="G3703" s="110" t="s">
        <v>3313</v>
      </c>
    </row>
    <row r="3704" ht="15.75" customHeight="1">
      <c r="B3704" s="95"/>
      <c r="C3704" s="108" t="s">
        <v>3303</v>
      </c>
      <c r="D3704" s="101" t="s">
        <v>2430</v>
      </c>
      <c r="E3704" s="101" t="s">
        <v>577</v>
      </c>
      <c r="F3704" s="109">
        <f t="shared" si="8"/>
        <v>13</v>
      </c>
      <c r="G3704" s="110" t="s">
        <v>3314</v>
      </c>
    </row>
    <row r="3705" ht="15.75" customHeight="1">
      <c r="B3705" s="95"/>
      <c r="C3705" s="108" t="s">
        <v>3303</v>
      </c>
      <c r="D3705" s="101" t="s">
        <v>2430</v>
      </c>
      <c r="E3705" s="101" t="s">
        <v>577</v>
      </c>
      <c r="F3705" s="109">
        <f t="shared" si="8"/>
        <v>14</v>
      </c>
      <c r="G3705" s="110" t="s">
        <v>3315</v>
      </c>
    </row>
    <row r="3706" ht="15.75" customHeight="1">
      <c r="B3706" s="95"/>
      <c r="C3706" s="108" t="s">
        <v>3303</v>
      </c>
      <c r="D3706" s="101" t="s">
        <v>2430</v>
      </c>
      <c r="E3706" s="101" t="s">
        <v>577</v>
      </c>
      <c r="F3706" s="109">
        <f t="shared" si="8"/>
        <v>15</v>
      </c>
      <c r="G3706" s="110" t="s">
        <v>3316</v>
      </c>
    </row>
    <row r="3707" ht="15.75" customHeight="1">
      <c r="B3707" s="95"/>
      <c r="C3707" s="108" t="s">
        <v>3303</v>
      </c>
      <c r="D3707" s="101" t="s">
        <v>2430</v>
      </c>
      <c r="E3707" s="101" t="s">
        <v>577</v>
      </c>
      <c r="F3707" s="109">
        <f t="shared" si="8"/>
        <v>16</v>
      </c>
      <c r="G3707" s="110" t="s">
        <v>3317</v>
      </c>
    </row>
    <row r="3708" ht="15.75" customHeight="1">
      <c r="B3708" s="95"/>
      <c r="C3708" s="108" t="s">
        <v>3303</v>
      </c>
      <c r="D3708" s="101" t="s">
        <v>2430</v>
      </c>
      <c r="E3708" s="101" t="s">
        <v>577</v>
      </c>
      <c r="F3708" s="109">
        <f t="shared" si="8"/>
        <v>17</v>
      </c>
      <c r="G3708" s="110" t="s">
        <v>3318</v>
      </c>
    </row>
    <row r="3709" ht="15.75" customHeight="1">
      <c r="B3709" s="95"/>
      <c r="C3709" s="108" t="s">
        <v>3303</v>
      </c>
      <c r="D3709" s="101" t="s">
        <v>2430</v>
      </c>
      <c r="E3709" s="101" t="s">
        <v>577</v>
      </c>
      <c r="F3709" s="109">
        <f t="shared" si="8"/>
        <v>18</v>
      </c>
      <c r="G3709" s="110" t="s">
        <v>3319</v>
      </c>
    </row>
    <row r="3710" ht="15.75" customHeight="1">
      <c r="B3710" s="95"/>
      <c r="C3710" s="108" t="s">
        <v>217</v>
      </c>
      <c r="D3710" s="101" t="s">
        <v>2430</v>
      </c>
      <c r="E3710" s="101" t="s">
        <v>577</v>
      </c>
      <c r="F3710" s="109">
        <f t="shared" si="8"/>
        <v>2</v>
      </c>
      <c r="G3710" s="110" t="s">
        <v>3320</v>
      </c>
    </row>
    <row r="3711" ht="15.75" customHeight="1">
      <c r="B3711" s="95"/>
      <c r="C3711" s="108" t="s">
        <v>217</v>
      </c>
      <c r="D3711" s="101" t="s">
        <v>2430</v>
      </c>
      <c r="E3711" s="101" t="s">
        <v>577</v>
      </c>
      <c r="F3711" s="109">
        <f t="shared" si="8"/>
        <v>3</v>
      </c>
      <c r="G3711" s="110" t="s">
        <v>3321</v>
      </c>
    </row>
    <row r="3712" ht="15.75" customHeight="1">
      <c r="B3712" s="95"/>
      <c r="C3712" s="108" t="s">
        <v>217</v>
      </c>
      <c r="D3712" s="101" t="s">
        <v>2430</v>
      </c>
      <c r="E3712" s="101" t="s">
        <v>577</v>
      </c>
      <c r="F3712" s="109">
        <f t="shared" si="8"/>
        <v>4</v>
      </c>
      <c r="G3712" s="110" t="s">
        <v>3322</v>
      </c>
    </row>
    <row r="3713" ht="15.75" customHeight="1">
      <c r="B3713" s="95"/>
      <c r="C3713" s="108" t="s">
        <v>217</v>
      </c>
      <c r="D3713" s="101" t="s">
        <v>2430</v>
      </c>
      <c r="E3713" s="101" t="s">
        <v>577</v>
      </c>
      <c r="F3713" s="109">
        <f t="shared" si="8"/>
        <v>5</v>
      </c>
      <c r="G3713" s="110" t="s">
        <v>3323</v>
      </c>
    </row>
    <row r="3714" ht="15.75" customHeight="1">
      <c r="B3714" s="95"/>
      <c r="C3714" s="108" t="s">
        <v>217</v>
      </c>
      <c r="D3714" s="101" t="s">
        <v>2430</v>
      </c>
      <c r="E3714" s="101" t="s">
        <v>577</v>
      </c>
      <c r="F3714" s="109">
        <f t="shared" si="8"/>
        <v>6</v>
      </c>
      <c r="G3714" s="110" t="s">
        <v>3324</v>
      </c>
    </row>
    <row r="3715" ht="15.75" customHeight="1">
      <c r="B3715" s="95"/>
      <c r="C3715" s="108" t="s">
        <v>217</v>
      </c>
      <c r="D3715" s="101" t="s">
        <v>2430</v>
      </c>
      <c r="E3715" s="101" t="s">
        <v>577</v>
      </c>
      <c r="F3715" s="109">
        <f t="shared" si="8"/>
        <v>7</v>
      </c>
      <c r="G3715" s="110" t="s">
        <v>3325</v>
      </c>
    </row>
    <row r="3716" ht="15.75" customHeight="1">
      <c r="B3716" s="95"/>
      <c r="C3716" s="108" t="s">
        <v>217</v>
      </c>
      <c r="D3716" s="101" t="s">
        <v>2430</v>
      </c>
      <c r="E3716" s="101" t="s">
        <v>577</v>
      </c>
      <c r="F3716" s="109">
        <f t="shared" si="8"/>
        <v>8</v>
      </c>
      <c r="G3716" s="110" t="s">
        <v>3326</v>
      </c>
    </row>
    <row r="3717" ht="15.75" customHeight="1">
      <c r="B3717" s="95"/>
      <c r="C3717" s="108" t="s">
        <v>217</v>
      </c>
      <c r="D3717" s="101" t="s">
        <v>2430</v>
      </c>
      <c r="E3717" s="101" t="s">
        <v>577</v>
      </c>
      <c r="F3717" s="109">
        <f t="shared" si="8"/>
        <v>9</v>
      </c>
      <c r="G3717" s="110" t="s">
        <v>3327</v>
      </c>
    </row>
    <row r="3718" ht="15.75" customHeight="1">
      <c r="B3718" s="95"/>
      <c r="C3718" s="108" t="s">
        <v>217</v>
      </c>
      <c r="D3718" s="101" t="s">
        <v>2430</v>
      </c>
      <c r="E3718" s="101" t="s">
        <v>577</v>
      </c>
      <c r="F3718" s="109">
        <f t="shared" si="8"/>
        <v>10</v>
      </c>
      <c r="G3718" s="110" t="s">
        <v>3328</v>
      </c>
    </row>
    <row r="3719" ht="15.75" customHeight="1">
      <c r="B3719" s="95"/>
      <c r="C3719" s="108" t="s">
        <v>217</v>
      </c>
      <c r="D3719" s="101" t="s">
        <v>2430</v>
      </c>
      <c r="E3719" s="101" t="s">
        <v>577</v>
      </c>
      <c r="F3719" s="109">
        <f t="shared" si="8"/>
        <v>11</v>
      </c>
      <c r="G3719" s="110" t="s">
        <v>3329</v>
      </c>
    </row>
    <row r="3720" ht="15.75" customHeight="1">
      <c r="B3720" s="95"/>
      <c r="C3720" s="108" t="s">
        <v>217</v>
      </c>
      <c r="D3720" s="101" t="s">
        <v>2430</v>
      </c>
      <c r="E3720" s="101" t="s">
        <v>577</v>
      </c>
      <c r="F3720" s="109">
        <f t="shared" si="8"/>
        <v>12</v>
      </c>
      <c r="G3720" s="110" t="s">
        <v>3330</v>
      </c>
    </row>
    <row r="3721" ht="15.75" customHeight="1">
      <c r="B3721" s="95"/>
      <c r="C3721" s="108" t="s">
        <v>217</v>
      </c>
      <c r="D3721" s="101" t="s">
        <v>2430</v>
      </c>
      <c r="E3721" s="101" t="s">
        <v>577</v>
      </c>
      <c r="F3721" s="109">
        <f t="shared" si="8"/>
        <v>13</v>
      </c>
      <c r="G3721" s="110" t="s">
        <v>3331</v>
      </c>
    </row>
    <row r="3722" ht="15.75" customHeight="1">
      <c r="B3722" s="95"/>
      <c r="C3722" s="108" t="s">
        <v>217</v>
      </c>
      <c r="D3722" s="101" t="s">
        <v>2430</v>
      </c>
      <c r="E3722" s="101" t="s">
        <v>577</v>
      </c>
      <c r="F3722" s="109">
        <f t="shared" si="8"/>
        <v>14</v>
      </c>
      <c r="G3722" s="110" t="s">
        <v>3332</v>
      </c>
    </row>
    <row r="3723" ht="15.75" customHeight="1">
      <c r="B3723" s="95"/>
      <c r="C3723" s="108" t="s">
        <v>217</v>
      </c>
      <c r="D3723" s="101" t="s">
        <v>2430</v>
      </c>
      <c r="E3723" s="101" t="s">
        <v>577</v>
      </c>
      <c r="F3723" s="109">
        <f t="shared" si="8"/>
        <v>15</v>
      </c>
      <c r="G3723" s="110" t="s">
        <v>3333</v>
      </c>
    </row>
    <row r="3724" ht="15.75" customHeight="1">
      <c r="B3724" s="95"/>
      <c r="C3724" s="108" t="s">
        <v>217</v>
      </c>
      <c r="D3724" s="101" t="s">
        <v>2430</v>
      </c>
      <c r="E3724" s="101" t="s">
        <v>577</v>
      </c>
      <c r="F3724" s="109">
        <f t="shared" si="8"/>
        <v>16</v>
      </c>
      <c r="G3724" s="110" t="s">
        <v>3334</v>
      </c>
    </row>
    <row r="3725" ht="15.75" customHeight="1">
      <c r="B3725" s="95"/>
      <c r="C3725" s="108" t="s">
        <v>217</v>
      </c>
      <c r="D3725" s="101" t="s">
        <v>2430</v>
      </c>
      <c r="E3725" s="101" t="s">
        <v>577</v>
      </c>
      <c r="F3725" s="109">
        <f t="shared" si="8"/>
        <v>17</v>
      </c>
      <c r="G3725" s="110" t="s">
        <v>3335</v>
      </c>
    </row>
    <row r="3726" ht="15.75" customHeight="1">
      <c r="B3726" s="95"/>
      <c r="C3726" s="108" t="s">
        <v>217</v>
      </c>
      <c r="D3726" s="101" t="s">
        <v>2430</v>
      </c>
      <c r="E3726" s="101" t="s">
        <v>577</v>
      </c>
      <c r="F3726" s="109">
        <f t="shared" si="8"/>
        <v>18</v>
      </c>
      <c r="G3726" s="110" t="s">
        <v>3336</v>
      </c>
    </row>
    <row r="3727" ht="15.75" customHeight="1">
      <c r="B3727" s="95"/>
      <c r="C3727" s="108" t="s">
        <v>217</v>
      </c>
      <c r="D3727" s="101" t="s">
        <v>2430</v>
      </c>
      <c r="E3727" s="101" t="s">
        <v>577</v>
      </c>
      <c r="F3727" s="109">
        <f t="shared" si="8"/>
        <v>19</v>
      </c>
      <c r="G3727" s="110" t="s">
        <v>3337</v>
      </c>
    </row>
    <row r="3728" ht="15.75" customHeight="1">
      <c r="B3728" s="95"/>
      <c r="C3728" s="108" t="s">
        <v>217</v>
      </c>
      <c r="D3728" s="101" t="s">
        <v>2430</v>
      </c>
      <c r="E3728" s="101" t="s">
        <v>577</v>
      </c>
      <c r="F3728" s="109">
        <f t="shared" si="8"/>
        <v>20</v>
      </c>
      <c r="G3728" s="110" t="s">
        <v>3338</v>
      </c>
    </row>
    <row r="3729" ht="15.75" customHeight="1">
      <c r="B3729" s="95"/>
      <c r="C3729" s="108" t="s">
        <v>217</v>
      </c>
      <c r="D3729" s="101" t="s">
        <v>2430</v>
      </c>
      <c r="E3729" s="101" t="s">
        <v>577</v>
      </c>
      <c r="F3729" s="109">
        <f t="shared" si="8"/>
        <v>21</v>
      </c>
      <c r="G3729" s="110" t="s">
        <v>3339</v>
      </c>
    </row>
    <row r="3730" ht="15.75" customHeight="1">
      <c r="B3730" s="95"/>
      <c r="C3730" s="108" t="s">
        <v>217</v>
      </c>
      <c r="D3730" s="101" t="s">
        <v>2430</v>
      </c>
      <c r="E3730" s="101" t="s">
        <v>577</v>
      </c>
      <c r="F3730" s="109">
        <f t="shared" si="8"/>
        <v>22</v>
      </c>
      <c r="G3730" s="110" t="s">
        <v>3340</v>
      </c>
    </row>
    <row r="3731" ht="15.75" customHeight="1">
      <c r="B3731" s="95"/>
      <c r="C3731" s="108" t="s">
        <v>217</v>
      </c>
      <c r="D3731" s="101" t="s">
        <v>2430</v>
      </c>
      <c r="E3731" s="101" t="s">
        <v>577</v>
      </c>
      <c r="F3731" s="109">
        <f t="shared" si="8"/>
        <v>23</v>
      </c>
      <c r="G3731" s="110" t="s">
        <v>3341</v>
      </c>
    </row>
    <row r="3732" ht="15.75" customHeight="1">
      <c r="B3732" s="95"/>
      <c r="C3732" s="108" t="s">
        <v>217</v>
      </c>
      <c r="D3732" s="101" t="s">
        <v>2430</v>
      </c>
      <c r="E3732" s="101" t="s">
        <v>577</v>
      </c>
      <c r="F3732" s="109">
        <f t="shared" si="8"/>
        <v>24</v>
      </c>
      <c r="G3732" s="110" t="s">
        <v>3342</v>
      </c>
    </row>
    <row r="3733" ht="15.75" customHeight="1">
      <c r="B3733" s="95"/>
      <c r="C3733" s="108" t="s">
        <v>217</v>
      </c>
      <c r="D3733" s="101" t="s">
        <v>2430</v>
      </c>
      <c r="E3733" s="101" t="s">
        <v>577</v>
      </c>
      <c r="F3733" s="109">
        <f t="shared" si="8"/>
        <v>25</v>
      </c>
      <c r="G3733" s="110" t="s">
        <v>3343</v>
      </c>
    </row>
    <row r="3734" ht="15.75" customHeight="1">
      <c r="B3734" s="95"/>
      <c r="C3734" s="108" t="s">
        <v>217</v>
      </c>
      <c r="D3734" s="101" t="s">
        <v>2430</v>
      </c>
      <c r="E3734" s="101" t="s">
        <v>577</v>
      </c>
      <c r="F3734" s="109">
        <f t="shared" si="8"/>
        <v>26</v>
      </c>
      <c r="G3734" s="110" t="s">
        <v>3344</v>
      </c>
    </row>
    <row r="3735" ht="15.75" customHeight="1">
      <c r="B3735" s="95"/>
      <c r="C3735" s="108" t="s">
        <v>217</v>
      </c>
      <c r="D3735" s="101" t="s">
        <v>2430</v>
      </c>
      <c r="E3735" s="101" t="s">
        <v>577</v>
      </c>
      <c r="F3735" s="109">
        <f t="shared" si="8"/>
        <v>27</v>
      </c>
      <c r="G3735" s="110" t="s">
        <v>3345</v>
      </c>
    </row>
    <row r="3736" ht="15.75" customHeight="1">
      <c r="B3736" s="95"/>
      <c r="C3736" s="108" t="s">
        <v>217</v>
      </c>
      <c r="D3736" s="101" t="s">
        <v>2430</v>
      </c>
      <c r="E3736" s="101" t="s">
        <v>577</v>
      </c>
      <c r="F3736" s="109">
        <f t="shared" si="8"/>
        <v>28</v>
      </c>
      <c r="G3736" s="110" t="s">
        <v>3346</v>
      </c>
    </row>
    <row r="3737" ht="15.75" customHeight="1">
      <c r="B3737" s="95"/>
      <c r="C3737" s="108" t="s">
        <v>217</v>
      </c>
      <c r="D3737" s="101" t="s">
        <v>2430</v>
      </c>
      <c r="E3737" s="101" t="s">
        <v>577</v>
      </c>
      <c r="F3737" s="109">
        <f t="shared" si="8"/>
        <v>29</v>
      </c>
      <c r="G3737" s="110" t="s">
        <v>3347</v>
      </c>
    </row>
    <row r="3738" ht="15.75" customHeight="1">
      <c r="B3738" s="95"/>
      <c r="C3738" s="108" t="s">
        <v>217</v>
      </c>
      <c r="D3738" s="101" t="s">
        <v>2430</v>
      </c>
      <c r="E3738" s="101" t="s">
        <v>577</v>
      </c>
      <c r="F3738" s="109">
        <f t="shared" si="8"/>
        <v>30</v>
      </c>
      <c r="G3738" s="110" t="s">
        <v>3348</v>
      </c>
    </row>
    <row r="3739" ht="15.75" customHeight="1">
      <c r="B3739" s="95"/>
      <c r="C3739" s="108" t="s">
        <v>217</v>
      </c>
      <c r="D3739" s="101" t="s">
        <v>2430</v>
      </c>
      <c r="E3739" s="101" t="s">
        <v>577</v>
      </c>
      <c r="F3739" s="109">
        <f t="shared" si="8"/>
        <v>31</v>
      </c>
      <c r="G3739" s="110" t="s">
        <v>3349</v>
      </c>
    </row>
    <row r="3740" ht="15.75" customHeight="1">
      <c r="B3740" s="95"/>
      <c r="C3740" s="108" t="s">
        <v>217</v>
      </c>
      <c r="D3740" s="101" t="s">
        <v>2430</v>
      </c>
      <c r="E3740" s="101" t="s">
        <v>577</v>
      </c>
      <c r="F3740" s="109">
        <f t="shared" si="8"/>
        <v>32</v>
      </c>
      <c r="G3740" s="110" t="s">
        <v>2834</v>
      </c>
    </row>
    <row r="3741" ht="15.75" customHeight="1">
      <c r="B3741" s="95"/>
      <c r="C3741" s="108" t="s">
        <v>217</v>
      </c>
      <c r="D3741" s="101" t="s">
        <v>2430</v>
      </c>
      <c r="E3741" s="101" t="s">
        <v>577</v>
      </c>
      <c r="F3741" s="109">
        <f t="shared" si="8"/>
        <v>33</v>
      </c>
      <c r="G3741" s="110" t="s">
        <v>3350</v>
      </c>
    </row>
    <row r="3742" ht="15.75" customHeight="1">
      <c r="B3742" s="95"/>
      <c r="C3742" s="108" t="s">
        <v>217</v>
      </c>
      <c r="D3742" s="101" t="s">
        <v>2430</v>
      </c>
      <c r="E3742" s="101" t="s">
        <v>577</v>
      </c>
      <c r="F3742" s="109">
        <f t="shared" si="8"/>
        <v>34</v>
      </c>
      <c r="G3742" s="110" t="s">
        <v>3351</v>
      </c>
    </row>
    <row r="3743" ht="15.75" customHeight="1">
      <c r="B3743" s="95"/>
      <c r="C3743" s="108" t="s">
        <v>217</v>
      </c>
      <c r="D3743" s="101" t="s">
        <v>2430</v>
      </c>
      <c r="E3743" s="101" t="s">
        <v>577</v>
      </c>
      <c r="F3743" s="109">
        <f t="shared" si="8"/>
        <v>35</v>
      </c>
      <c r="G3743" s="110" t="s">
        <v>3352</v>
      </c>
    </row>
    <row r="3744" ht="15.75" customHeight="1">
      <c r="B3744" s="95"/>
      <c r="C3744" s="108" t="s">
        <v>217</v>
      </c>
      <c r="D3744" s="101" t="s">
        <v>2430</v>
      </c>
      <c r="E3744" s="101" t="s">
        <v>577</v>
      </c>
      <c r="F3744" s="109">
        <f t="shared" si="8"/>
        <v>36</v>
      </c>
      <c r="G3744" s="110" t="s">
        <v>3353</v>
      </c>
    </row>
    <row r="3745" ht="15.75" customHeight="1">
      <c r="B3745" s="95"/>
      <c r="C3745" s="108" t="s">
        <v>217</v>
      </c>
      <c r="D3745" s="101" t="s">
        <v>2430</v>
      </c>
      <c r="E3745" s="101" t="s">
        <v>577</v>
      </c>
      <c r="F3745" s="109">
        <f t="shared" si="8"/>
        <v>37</v>
      </c>
      <c r="G3745" s="110" t="s">
        <v>3354</v>
      </c>
    </row>
    <row r="3746" ht="15.75" customHeight="1">
      <c r="B3746" s="95"/>
      <c r="C3746" s="108" t="s">
        <v>217</v>
      </c>
      <c r="D3746" s="101" t="s">
        <v>2430</v>
      </c>
      <c r="E3746" s="101" t="s">
        <v>577</v>
      </c>
      <c r="F3746" s="109">
        <f t="shared" si="8"/>
        <v>38</v>
      </c>
      <c r="G3746" s="110" t="s">
        <v>3355</v>
      </c>
    </row>
    <row r="3747" ht="15.75" customHeight="1">
      <c r="B3747" s="95"/>
      <c r="C3747" s="108" t="s">
        <v>217</v>
      </c>
      <c r="D3747" s="101" t="s">
        <v>2430</v>
      </c>
      <c r="E3747" s="101" t="s">
        <v>577</v>
      </c>
      <c r="F3747" s="109">
        <f t="shared" si="8"/>
        <v>39</v>
      </c>
      <c r="G3747" s="110" t="s">
        <v>3356</v>
      </c>
    </row>
    <row r="3748" ht="15.75" customHeight="1">
      <c r="B3748" s="95"/>
      <c r="C3748" s="108" t="s">
        <v>217</v>
      </c>
      <c r="D3748" s="101" t="s">
        <v>2430</v>
      </c>
      <c r="E3748" s="101" t="s">
        <v>577</v>
      </c>
      <c r="F3748" s="109">
        <f t="shared" si="8"/>
        <v>40</v>
      </c>
      <c r="G3748" s="110" t="s">
        <v>3357</v>
      </c>
    </row>
    <row r="3749" ht="15.75" customHeight="1">
      <c r="B3749" s="95"/>
      <c r="C3749" s="108" t="s">
        <v>217</v>
      </c>
      <c r="D3749" s="101" t="s">
        <v>2430</v>
      </c>
      <c r="E3749" s="101" t="s">
        <v>577</v>
      </c>
      <c r="F3749" s="109">
        <f t="shared" si="8"/>
        <v>41</v>
      </c>
      <c r="G3749" s="110" t="s">
        <v>3358</v>
      </c>
    </row>
    <row r="3750" ht="15.75" customHeight="1">
      <c r="B3750" s="95"/>
      <c r="C3750" s="108" t="s">
        <v>217</v>
      </c>
      <c r="D3750" s="101" t="s">
        <v>2430</v>
      </c>
      <c r="E3750" s="101" t="s">
        <v>577</v>
      </c>
      <c r="F3750" s="109">
        <f t="shared" si="8"/>
        <v>42</v>
      </c>
      <c r="G3750" s="110" t="s">
        <v>3359</v>
      </c>
    </row>
    <row r="3751" ht="15.75" customHeight="1">
      <c r="B3751" s="95"/>
      <c r="C3751" s="108" t="s">
        <v>217</v>
      </c>
      <c r="D3751" s="101" t="s">
        <v>2430</v>
      </c>
      <c r="E3751" s="101" t="s">
        <v>577</v>
      </c>
      <c r="F3751" s="109">
        <f t="shared" si="8"/>
        <v>43</v>
      </c>
      <c r="G3751" s="110" t="s">
        <v>3360</v>
      </c>
    </row>
    <row r="3752" ht="15.75" customHeight="1">
      <c r="B3752" s="95"/>
      <c r="C3752" s="108" t="s">
        <v>217</v>
      </c>
      <c r="D3752" s="101" t="s">
        <v>2430</v>
      </c>
      <c r="E3752" s="101" t="s">
        <v>577</v>
      </c>
      <c r="F3752" s="109">
        <f t="shared" si="8"/>
        <v>44</v>
      </c>
      <c r="G3752" s="110" t="s">
        <v>3361</v>
      </c>
    </row>
    <row r="3753" ht="15.75" customHeight="1">
      <c r="B3753" s="95"/>
      <c r="C3753" s="108" t="s">
        <v>217</v>
      </c>
      <c r="D3753" s="101" t="s">
        <v>2430</v>
      </c>
      <c r="E3753" s="101" t="s">
        <v>577</v>
      </c>
      <c r="F3753" s="109">
        <f t="shared" si="8"/>
        <v>45</v>
      </c>
      <c r="G3753" s="110" t="s">
        <v>3362</v>
      </c>
    </row>
    <row r="3754" ht="15.75" customHeight="1">
      <c r="B3754" s="95"/>
      <c r="C3754" s="108" t="s">
        <v>217</v>
      </c>
      <c r="D3754" s="101" t="s">
        <v>2430</v>
      </c>
      <c r="E3754" s="101" t="s">
        <v>577</v>
      </c>
      <c r="F3754" s="109">
        <f t="shared" si="8"/>
        <v>46</v>
      </c>
      <c r="G3754" s="110" t="s">
        <v>3363</v>
      </c>
    </row>
    <row r="3755" ht="15.75" customHeight="1">
      <c r="B3755" s="95"/>
      <c r="C3755" s="108" t="s">
        <v>217</v>
      </c>
      <c r="D3755" s="101" t="s">
        <v>2430</v>
      </c>
      <c r="E3755" s="101" t="s">
        <v>577</v>
      </c>
      <c r="F3755" s="109">
        <f t="shared" si="8"/>
        <v>47</v>
      </c>
      <c r="G3755" s="110" t="s">
        <v>3364</v>
      </c>
    </row>
    <row r="3756" ht="15.75" customHeight="1">
      <c r="B3756" s="95"/>
      <c r="C3756" s="108" t="s">
        <v>217</v>
      </c>
      <c r="D3756" s="101" t="s">
        <v>2430</v>
      </c>
      <c r="E3756" s="101" t="s">
        <v>577</v>
      </c>
      <c r="F3756" s="109">
        <f t="shared" si="8"/>
        <v>48</v>
      </c>
      <c r="G3756" s="110" t="s">
        <v>3365</v>
      </c>
    </row>
    <row r="3757" ht="15.75" customHeight="1">
      <c r="B3757" s="95"/>
      <c r="C3757" s="108" t="s">
        <v>217</v>
      </c>
      <c r="D3757" s="101" t="s">
        <v>2430</v>
      </c>
      <c r="E3757" s="101" t="s">
        <v>577</v>
      </c>
      <c r="F3757" s="109">
        <f t="shared" si="8"/>
        <v>49</v>
      </c>
      <c r="G3757" s="110" t="s">
        <v>3366</v>
      </c>
    </row>
    <row r="3758" ht="15.75" customHeight="1">
      <c r="B3758" s="95"/>
      <c r="C3758" s="108" t="s">
        <v>217</v>
      </c>
      <c r="D3758" s="101" t="s">
        <v>2430</v>
      </c>
      <c r="E3758" s="101" t="s">
        <v>577</v>
      </c>
      <c r="F3758" s="109">
        <f t="shared" si="8"/>
        <v>50</v>
      </c>
      <c r="G3758" s="110" t="s">
        <v>3367</v>
      </c>
    </row>
    <row r="3759" ht="15.75" customHeight="1">
      <c r="B3759" s="95"/>
      <c r="C3759" s="108" t="s">
        <v>217</v>
      </c>
      <c r="D3759" s="101" t="s">
        <v>2430</v>
      </c>
      <c r="E3759" s="101" t="s">
        <v>577</v>
      </c>
      <c r="F3759" s="109">
        <f t="shared" si="8"/>
        <v>51</v>
      </c>
      <c r="G3759" s="110" t="s">
        <v>3368</v>
      </c>
    </row>
    <row r="3760" ht="15.75" customHeight="1">
      <c r="B3760" s="95"/>
      <c r="C3760" s="108" t="s">
        <v>217</v>
      </c>
      <c r="D3760" s="101" t="s">
        <v>2430</v>
      </c>
      <c r="E3760" s="101" t="s">
        <v>577</v>
      </c>
      <c r="F3760" s="109">
        <f t="shared" si="8"/>
        <v>52</v>
      </c>
      <c r="G3760" s="110" t="s">
        <v>3369</v>
      </c>
    </row>
    <row r="3761" ht="15.75" customHeight="1">
      <c r="B3761" s="95"/>
      <c r="C3761" s="108" t="s">
        <v>217</v>
      </c>
      <c r="D3761" s="101" t="s">
        <v>2430</v>
      </c>
      <c r="E3761" s="101" t="s">
        <v>577</v>
      </c>
      <c r="F3761" s="109">
        <f t="shared" si="8"/>
        <v>53</v>
      </c>
      <c r="G3761" s="110" t="s">
        <v>3370</v>
      </c>
    </row>
    <row r="3762" ht="15.75" customHeight="1">
      <c r="B3762" s="95"/>
      <c r="C3762" s="108" t="s">
        <v>217</v>
      </c>
      <c r="D3762" s="101" t="s">
        <v>2430</v>
      </c>
      <c r="E3762" s="101" t="s">
        <v>577</v>
      </c>
      <c r="F3762" s="109">
        <f t="shared" si="8"/>
        <v>54</v>
      </c>
      <c r="G3762" s="110" t="s">
        <v>3371</v>
      </c>
    </row>
    <row r="3763" ht="15.75" customHeight="1">
      <c r="B3763" s="95"/>
      <c r="C3763" s="108" t="s">
        <v>217</v>
      </c>
      <c r="D3763" s="101" t="s">
        <v>2430</v>
      </c>
      <c r="E3763" s="101" t="s">
        <v>577</v>
      </c>
      <c r="F3763" s="109">
        <f t="shared" si="8"/>
        <v>55</v>
      </c>
      <c r="G3763" s="110" t="s">
        <v>3372</v>
      </c>
    </row>
    <row r="3764" ht="15.75" customHeight="1">
      <c r="B3764" s="95"/>
      <c r="C3764" s="108" t="s">
        <v>217</v>
      </c>
      <c r="D3764" s="101" t="s">
        <v>2430</v>
      </c>
      <c r="E3764" s="101" t="s">
        <v>577</v>
      </c>
      <c r="F3764" s="109">
        <f t="shared" si="8"/>
        <v>56</v>
      </c>
      <c r="G3764" s="110" t="s">
        <v>3373</v>
      </c>
    </row>
    <row r="3765" ht="15.75" customHeight="1">
      <c r="B3765" s="95"/>
      <c r="C3765" s="108" t="s">
        <v>217</v>
      </c>
      <c r="D3765" s="101" t="s">
        <v>2430</v>
      </c>
      <c r="E3765" s="101" t="s">
        <v>577</v>
      </c>
      <c r="F3765" s="109">
        <f t="shared" si="8"/>
        <v>57</v>
      </c>
      <c r="G3765" s="110" t="s">
        <v>3374</v>
      </c>
    </row>
    <row r="3766" ht="15.75" customHeight="1">
      <c r="B3766" s="95"/>
      <c r="C3766" s="108" t="s">
        <v>217</v>
      </c>
      <c r="D3766" s="101" t="s">
        <v>2430</v>
      </c>
      <c r="E3766" s="101" t="s">
        <v>577</v>
      </c>
      <c r="F3766" s="109">
        <f t="shared" si="8"/>
        <v>58</v>
      </c>
      <c r="G3766" s="110" t="s">
        <v>3375</v>
      </c>
    </row>
    <row r="3767" ht="15.75" customHeight="1">
      <c r="B3767" s="95"/>
      <c r="C3767" s="108" t="s">
        <v>217</v>
      </c>
      <c r="D3767" s="101" t="s">
        <v>2430</v>
      </c>
      <c r="E3767" s="101" t="s">
        <v>577</v>
      </c>
      <c r="F3767" s="109">
        <f t="shared" si="8"/>
        <v>59</v>
      </c>
      <c r="G3767" s="110" t="s">
        <v>3376</v>
      </c>
    </row>
    <row r="3768" ht="15.75" customHeight="1">
      <c r="B3768" s="95"/>
      <c r="C3768" s="108" t="s">
        <v>217</v>
      </c>
      <c r="D3768" s="101" t="s">
        <v>2430</v>
      </c>
      <c r="E3768" s="101" t="s">
        <v>577</v>
      </c>
      <c r="F3768" s="109">
        <f t="shared" si="8"/>
        <v>60</v>
      </c>
      <c r="G3768" s="110" t="s">
        <v>3377</v>
      </c>
    </row>
    <row r="3769" ht="15.75" customHeight="1">
      <c r="B3769" s="95"/>
      <c r="C3769" s="108" t="s">
        <v>217</v>
      </c>
      <c r="D3769" s="101" t="s">
        <v>2430</v>
      </c>
      <c r="E3769" s="101" t="s">
        <v>577</v>
      </c>
      <c r="F3769" s="109">
        <f t="shared" si="8"/>
        <v>61</v>
      </c>
      <c r="G3769" s="110" t="s">
        <v>3378</v>
      </c>
    </row>
    <row r="3770" ht="15.75" customHeight="1">
      <c r="B3770" s="95"/>
      <c r="C3770" s="108" t="s">
        <v>217</v>
      </c>
      <c r="D3770" s="101" t="s">
        <v>2430</v>
      </c>
      <c r="E3770" s="101" t="s">
        <v>577</v>
      </c>
      <c r="F3770" s="109">
        <f t="shared" si="8"/>
        <v>62</v>
      </c>
      <c r="G3770" s="110" t="s">
        <v>3379</v>
      </c>
    </row>
    <row r="3771" ht="15.75" customHeight="1">
      <c r="B3771" s="95"/>
      <c r="C3771" s="108" t="s">
        <v>217</v>
      </c>
      <c r="D3771" s="101" t="s">
        <v>2430</v>
      </c>
      <c r="E3771" s="101" t="s">
        <v>577</v>
      </c>
      <c r="F3771" s="109">
        <f t="shared" si="8"/>
        <v>63</v>
      </c>
      <c r="G3771" s="110" t="s">
        <v>3380</v>
      </c>
    </row>
    <row r="3772" ht="15.75" customHeight="1">
      <c r="B3772" s="95"/>
      <c r="C3772" s="108" t="s">
        <v>217</v>
      </c>
      <c r="D3772" s="101" t="s">
        <v>2430</v>
      </c>
      <c r="E3772" s="101" t="s">
        <v>577</v>
      </c>
      <c r="F3772" s="109">
        <f t="shared" si="8"/>
        <v>64</v>
      </c>
      <c r="G3772" s="110" t="s">
        <v>3381</v>
      </c>
    </row>
    <row r="3773" ht="15.75" customHeight="1">
      <c r="B3773" s="95"/>
      <c r="C3773" s="108" t="s">
        <v>217</v>
      </c>
      <c r="D3773" s="101" t="s">
        <v>2430</v>
      </c>
      <c r="E3773" s="101" t="s">
        <v>577</v>
      </c>
      <c r="F3773" s="109">
        <f t="shared" si="8"/>
        <v>65</v>
      </c>
      <c r="G3773" s="110" t="s">
        <v>3382</v>
      </c>
    </row>
    <row r="3774" ht="15.75" customHeight="1">
      <c r="B3774" s="95"/>
      <c r="C3774" s="108" t="s">
        <v>217</v>
      </c>
      <c r="D3774" s="101" t="s">
        <v>2430</v>
      </c>
      <c r="E3774" s="101" t="s">
        <v>577</v>
      </c>
      <c r="F3774" s="109">
        <f t="shared" si="8"/>
        <v>66</v>
      </c>
      <c r="G3774" s="110" t="s">
        <v>3383</v>
      </c>
    </row>
    <row r="3775" ht="15.75" customHeight="1">
      <c r="B3775" s="95"/>
      <c r="C3775" s="108" t="s">
        <v>217</v>
      </c>
      <c r="D3775" s="101" t="s">
        <v>2430</v>
      </c>
      <c r="E3775" s="101" t="s">
        <v>577</v>
      </c>
      <c r="F3775" s="109">
        <f t="shared" si="8"/>
        <v>67</v>
      </c>
      <c r="G3775" s="110" t="s">
        <v>3384</v>
      </c>
    </row>
    <row r="3776" ht="15.75" customHeight="1">
      <c r="B3776" s="95"/>
      <c r="C3776" s="108" t="s">
        <v>217</v>
      </c>
      <c r="D3776" s="101" t="s">
        <v>2430</v>
      </c>
      <c r="E3776" s="101" t="s">
        <v>577</v>
      </c>
      <c r="F3776" s="109">
        <f t="shared" si="8"/>
        <v>68</v>
      </c>
      <c r="G3776" s="110" t="s">
        <v>3385</v>
      </c>
    </row>
    <row r="3777" ht="15.75" customHeight="1">
      <c r="B3777" s="95"/>
      <c r="C3777" s="108" t="s">
        <v>217</v>
      </c>
      <c r="D3777" s="101" t="s">
        <v>2430</v>
      </c>
      <c r="E3777" s="101" t="s">
        <v>577</v>
      </c>
      <c r="F3777" s="109">
        <f t="shared" si="8"/>
        <v>69</v>
      </c>
      <c r="G3777" s="110" t="s">
        <v>3386</v>
      </c>
    </row>
    <row r="3778" ht="15.75" customHeight="1">
      <c r="B3778" s="95"/>
      <c r="C3778" s="108" t="s">
        <v>217</v>
      </c>
      <c r="D3778" s="101" t="s">
        <v>2430</v>
      </c>
      <c r="E3778" s="101" t="s">
        <v>577</v>
      </c>
      <c r="F3778" s="109">
        <f t="shared" si="8"/>
        <v>70</v>
      </c>
      <c r="G3778" s="110" t="s">
        <v>3387</v>
      </c>
    </row>
    <row r="3779" ht="15.75" customHeight="1">
      <c r="B3779" s="95"/>
      <c r="C3779" s="108" t="s">
        <v>217</v>
      </c>
      <c r="D3779" s="101" t="s">
        <v>2430</v>
      </c>
      <c r="E3779" s="101" t="s">
        <v>577</v>
      </c>
      <c r="F3779" s="109">
        <f t="shared" si="8"/>
        <v>71</v>
      </c>
      <c r="G3779" s="110" t="s">
        <v>3388</v>
      </c>
    </row>
    <row r="3780" ht="15.75" customHeight="1">
      <c r="B3780" s="95"/>
      <c r="C3780" s="108" t="s">
        <v>217</v>
      </c>
      <c r="D3780" s="101" t="s">
        <v>2430</v>
      </c>
      <c r="E3780" s="101" t="s">
        <v>577</v>
      </c>
      <c r="F3780" s="109">
        <f t="shared" si="8"/>
        <v>72</v>
      </c>
      <c r="G3780" s="110" t="s">
        <v>3389</v>
      </c>
    </row>
    <row r="3781" ht="15.75" customHeight="1">
      <c r="B3781" s="95"/>
      <c r="C3781" s="108" t="s">
        <v>217</v>
      </c>
      <c r="D3781" s="101" t="s">
        <v>2430</v>
      </c>
      <c r="E3781" s="101" t="s">
        <v>577</v>
      </c>
      <c r="F3781" s="109">
        <f t="shared" si="8"/>
        <v>73</v>
      </c>
      <c r="G3781" s="110" t="s">
        <v>3390</v>
      </c>
    </row>
    <row r="3782" ht="15.75" customHeight="1">
      <c r="B3782" s="95"/>
      <c r="C3782" s="108" t="s">
        <v>217</v>
      </c>
      <c r="D3782" s="101" t="s">
        <v>2430</v>
      </c>
      <c r="E3782" s="101" t="s">
        <v>577</v>
      </c>
      <c r="F3782" s="109">
        <f t="shared" si="8"/>
        <v>74</v>
      </c>
      <c r="G3782" s="110" t="s">
        <v>3391</v>
      </c>
    </row>
    <row r="3783" ht="15.75" customHeight="1">
      <c r="B3783" s="95"/>
      <c r="C3783" s="108" t="s">
        <v>217</v>
      </c>
      <c r="D3783" s="101" t="s">
        <v>2430</v>
      </c>
      <c r="E3783" s="101" t="s">
        <v>577</v>
      </c>
      <c r="F3783" s="109">
        <f t="shared" si="8"/>
        <v>75</v>
      </c>
      <c r="G3783" s="110" t="s">
        <v>3392</v>
      </c>
    </row>
    <row r="3784" ht="15.75" customHeight="1">
      <c r="B3784" s="95"/>
      <c r="C3784" s="108" t="s">
        <v>217</v>
      </c>
      <c r="D3784" s="101" t="s">
        <v>2430</v>
      </c>
      <c r="E3784" s="101" t="s">
        <v>577</v>
      </c>
      <c r="F3784" s="109">
        <f t="shared" si="8"/>
        <v>76</v>
      </c>
      <c r="G3784" s="110" t="s">
        <v>3393</v>
      </c>
    </row>
    <row r="3785" ht="15.75" customHeight="1">
      <c r="B3785" s="95"/>
      <c r="C3785" s="108" t="s">
        <v>217</v>
      </c>
      <c r="D3785" s="101" t="s">
        <v>2430</v>
      </c>
      <c r="E3785" s="101" t="s">
        <v>577</v>
      </c>
      <c r="F3785" s="109">
        <f t="shared" si="8"/>
        <v>77</v>
      </c>
      <c r="G3785" s="110" t="s">
        <v>3394</v>
      </c>
    </row>
    <row r="3786" ht="15.75" customHeight="1">
      <c r="B3786" s="95"/>
      <c r="C3786" s="108" t="s">
        <v>217</v>
      </c>
      <c r="D3786" s="101" t="s">
        <v>2430</v>
      </c>
      <c r="E3786" s="101" t="s">
        <v>577</v>
      </c>
      <c r="F3786" s="109">
        <f t="shared" si="8"/>
        <v>78</v>
      </c>
      <c r="G3786" s="110" t="s">
        <v>3395</v>
      </c>
    </row>
    <row r="3787" ht="15.75" customHeight="1">
      <c r="B3787" s="95"/>
      <c r="C3787" s="108" t="s">
        <v>217</v>
      </c>
      <c r="D3787" s="101" t="s">
        <v>2430</v>
      </c>
      <c r="E3787" s="101" t="s">
        <v>577</v>
      </c>
      <c r="F3787" s="109">
        <f t="shared" si="8"/>
        <v>79</v>
      </c>
      <c r="G3787" s="110" t="s">
        <v>3396</v>
      </c>
    </row>
    <row r="3788" ht="15.75" customHeight="1">
      <c r="B3788" s="95"/>
      <c r="C3788" s="108" t="s">
        <v>217</v>
      </c>
      <c r="D3788" s="101" t="s">
        <v>2430</v>
      </c>
      <c r="E3788" s="101" t="s">
        <v>577</v>
      </c>
      <c r="F3788" s="109">
        <f t="shared" si="8"/>
        <v>80</v>
      </c>
      <c r="G3788" s="110" t="s">
        <v>3397</v>
      </c>
    </row>
    <row r="3789" ht="15.75" customHeight="1">
      <c r="B3789" s="95"/>
      <c r="C3789" s="108" t="s">
        <v>217</v>
      </c>
      <c r="D3789" s="101" t="s">
        <v>2430</v>
      </c>
      <c r="E3789" s="101" t="s">
        <v>577</v>
      </c>
      <c r="F3789" s="109">
        <f t="shared" si="8"/>
        <v>81</v>
      </c>
      <c r="G3789" s="110" t="s">
        <v>3398</v>
      </c>
    </row>
    <row r="3790" ht="15.75" customHeight="1">
      <c r="B3790" s="95"/>
      <c r="C3790" s="108" t="s">
        <v>217</v>
      </c>
      <c r="D3790" s="101" t="s">
        <v>2430</v>
      </c>
      <c r="E3790" s="101" t="s">
        <v>577</v>
      </c>
      <c r="F3790" s="109">
        <f t="shared" si="8"/>
        <v>82</v>
      </c>
      <c r="G3790" s="110" t="s">
        <v>3399</v>
      </c>
    </row>
    <row r="3791" ht="15.75" customHeight="1">
      <c r="B3791" s="95"/>
      <c r="C3791" s="108" t="s">
        <v>217</v>
      </c>
      <c r="D3791" s="101" t="s">
        <v>2430</v>
      </c>
      <c r="E3791" s="101" t="s">
        <v>577</v>
      </c>
      <c r="F3791" s="109">
        <f t="shared" si="8"/>
        <v>83</v>
      </c>
      <c r="G3791" s="110" t="s">
        <v>3400</v>
      </c>
    </row>
    <row r="3792" ht="15.75" customHeight="1">
      <c r="B3792" s="95"/>
      <c r="C3792" s="108" t="s">
        <v>217</v>
      </c>
      <c r="D3792" s="101" t="s">
        <v>2430</v>
      </c>
      <c r="E3792" s="101" t="s">
        <v>577</v>
      </c>
      <c r="F3792" s="109">
        <f t="shared" si="8"/>
        <v>84</v>
      </c>
      <c r="G3792" s="110" t="s">
        <v>3401</v>
      </c>
    </row>
    <row r="3793" ht="15.75" customHeight="1">
      <c r="B3793" s="95"/>
      <c r="C3793" s="108" t="s">
        <v>217</v>
      </c>
      <c r="D3793" s="101" t="s">
        <v>2430</v>
      </c>
      <c r="E3793" s="101" t="s">
        <v>577</v>
      </c>
      <c r="F3793" s="109">
        <f t="shared" si="8"/>
        <v>85</v>
      </c>
      <c r="G3793" s="110" t="s">
        <v>3402</v>
      </c>
    </row>
    <row r="3794" ht="15.75" customHeight="1">
      <c r="B3794" s="95"/>
      <c r="C3794" s="108" t="s">
        <v>217</v>
      </c>
      <c r="D3794" s="101" t="s">
        <v>2430</v>
      </c>
      <c r="E3794" s="101" t="s">
        <v>577</v>
      </c>
      <c r="F3794" s="109">
        <f t="shared" si="8"/>
        <v>86</v>
      </c>
      <c r="G3794" s="110" t="s">
        <v>3403</v>
      </c>
    </row>
    <row r="3795" ht="15.75" customHeight="1">
      <c r="B3795" s="95"/>
      <c r="C3795" s="108" t="s">
        <v>217</v>
      </c>
      <c r="D3795" s="101" t="s">
        <v>2430</v>
      </c>
      <c r="E3795" s="101" t="s">
        <v>577</v>
      </c>
      <c r="F3795" s="109">
        <f t="shared" si="8"/>
        <v>87</v>
      </c>
      <c r="G3795" s="110" t="s">
        <v>3404</v>
      </c>
    </row>
    <row r="3796" ht="15.75" customHeight="1">
      <c r="B3796" s="95"/>
      <c r="C3796" s="108" t="s">
        <v>217</v>
      </c>
      <c r="D3796" s="101" t="s">
        <v>2430</v>
      </c>
      <c r="E3796" s="101" t="s">
        <v>577</v>
      </c>
      <c r="F3796" s="109">
        <f t="shared" si="8"/>
        <v>88</v>
      </c>
      <c r="G3796" s="110" t="s">
        <v>3405</v>
      </c>
    </row>
    <row r="3797" ht="15.75" customHeight="1">
      <c r="B3797" s="95"/>
      <c r="C3797" s="108" t="s">
        <v>217</v>
      </c>
      <c r="D3797" s="101" t="s">
        <v>2430</v>
      </c>
      <c r="E3797" s="101" t="s">
        <v>577</v>
      </c>
      <c r="F3797" s="109">
        <f t="shared" si="8"/>
        <v>89</v>
      </c>
      <c r="G3797" s="110" t="s">
        <v>3406</v>
      </c>
    </row>
    <row r="3798" ht="15.75" customHeight="1">
      <c r="B3798" s="95"/>
      <c r="C3798" s="108" t="s">
        <v>217</v>
      </c>
      <c r="D3798" s="101" t="s">
        <v>2430</v>
      </c>
      <c r="E3798" s="101" t="s">
        <v>577</v>
      </c>
      <c r="F3798" s="109">
        <f t="shared" si="8"/>
        <v>90</v>
      </c>
      <c r="G3798" s="110" t="s">
        <v>3407</v>
      </c>
    </row>
    <row r="3799" ht="15.75" customHeight="1">
      <c r="B3799" s="95"/>
      <c r="C3799" s="108" t="s">
        <v>217</v>
      </c>
      <c r="D3799" s="101" t="s">
        <v>2430</v>
      </c>
      <c r="E3799" s="101" t="s">
        <v>577</v>
      </c>
      <c r="F3799" s="109">
        <f t="shared" si="8"/>
        <v>91</v>
      </c>
      <c r="G3799" s="110" t="s">
        <v>3408</v>
      </c>
    </row>
    <row r="3800" ht="15.75" customHeight="1">
      <c r="B3800" s="95"/>
      <c r="C3800" s="108" t="s">
        <v>217</v>
      </c>
      <c r="D3800" s="101" t="s">
        <v>2430</v>
      </c>
      <c r="E3800" s="101" t="s">
        <v>577</v>
      </c>
      <c r="F3800" s="109">
        <f t="shared" si="8"/>
        <v>92</v>
      </c>
      <c r="G3800" s="110" t="s">
        <v>3409</v>
      </c>
    </row>
    <row r="3801" ht="15.75" customHeight="1">
      <c r="B3801" s="95"/>
      <c r="C3801" s="108" t="s">
        <v>217</v>
      </c>
      <c r="D3801" s="101" t="s">
        <v>2430</v>
      </c>
      <c r="E3801" s="101" t="s">
        <v>577</v>
      </c>
      <c r="F3801" s="109">
        <f t="shared" si="8"/>
        <v>93</v>
      </c>
      <c r="G3801" s="110" t="s">
        <v>3410</v>
      </c>
    </row>
    <row r="3802" ht="15.75" customHeight="1">
      <c r="B3802" s="95"/>
      <c r="C3802" s="108" t="s">
        <v>217</v>
      </c>
      <c r="D3802" s="101" t="s">
        <v>2430</v>
      </c>
      <c r="E3802" s="101" t="s">
        <v>577</v>
      </c>
      <c r="F3802" s="109">
        <f t="shared" si="8"/>
        <v>94</v>
      </c>
      <c r="G3802" s="110" t="s">
        <v>3411</v>
      </c>
    </row>
    <row r="3803" ht="15.75" customHeight="1">
      <c r="B3803" s="95"/>
      <c r="C3803" s="108" t="s">
        <v>217</v>
      </c>
      <c r="D3803" s="101" t="s">
        <v>2430</v>
      </c>
      <c r="E3803" s="101" t="s">
        <v>577</v>
      </c>
      <c r="F3803" s="109">
        <f t="shared" si="8"/>
        <v>95</v>
      </c>
      <c r="G3803" s="110" t="s">
        <v>3412</v>
      </c>
    </row>
    <row r="3804" ht="15.75" customHeight="1">
      <c r="B3804" s="95"/>
      <c r="C3804" s="108" t="s">
        <v>217</v>
      </c>
      <c r="D3804" s="101" t="s">
        <v>2430</v>
      </c>
      <c r="E3804" s="101" t="s">
        <v>577</v>
      </c>
      <c r="F3804" s="109">
        <f t="shared" si="8"/>
        <v>96</v>
      </c>
      <c r="G3804" s="110" t="s">
        <v>3413</v>
      </c>
    </row>
    <row r="3805" ht="15.75" customHeight="1">
      <c r="B3805" s="95"/>
      <c r="C3805" s="108" t="s">
        <v>217</v>
      </c>
      <c r="D3805" s="101" t="s">
        <v>2430</v>
      </c>
      <c r="E3805" s="101" t="s">
        <v>577</v>
      </c>
      <c r="F3805" s="109">
        <f t="shared" si="8"/>
        <v>97</v>
      </c>
      <c r="G3805" s="110" t="s">
        <v>3414</v>
      </c>
    </row>
    <row r="3806" ht="15.75" customHeight="1">
      <c r="B3806" s="95"/>
      <c r="C3806" s="108" t="s">
        <v>217</v>
      </c>
      <c r="D3806" s="101" t="s">
        <v>2430</v>
      </c>
      <c r="E3806" s="101" t="s">
        <v>577</v>
      </c>
      <c r="F3806" s="109">
        <f t="shared" si="8"/>
        <v>98</v>
      </c>
      <c r="G3806" s="110" t="s">
        <v>3415</v>
      </c>
    </row>
    <row r="3807" ht="15.75" customHeight="1">
      <c r="B3807" s="95"/>
      <c r="C3807" s="108" t="s">
        <v>217</v>
      </c>
      <c r="D3807" s="101" t="s">
        <v>2430</v>
      </c>
      <c r="E3807" s="101" t="s">
        <v>577</v>
      </c>
      <c r="F3807" s="109">
        <f t="shared" si="8"/>
        <v>99</v>
      </c>
      <c r="G3807" s="110" t="s">
        <v>3416</v>
      </c>
    </row>
    <row r="3808" ht="15.75" customHeight="1">
      <c r="B3808" s="95"/>
      <c r="C3808" s="108" t="s">
        <v>217</v>
      </c>
      <c r="D3808" s="101" t="s">
        <v>2430</v>
      </c>
      <c r="E3808" s="101" t="s">
        <v>577</v>
      </c>
      <c r="F3808" s="109">
        <f t="shared" si="8"/>
        <v>100</v>
      </c>
      <c r="G3808" s="110" t="s">
        <v>3417</v>
      </c>
    </row>
    <row r="3809" ht="15.75" customHeight="1">
      <c r="B3809" s="95"/>
      <c r="C3809" s="108" t="s">
        <v>217</v>
      </c>
      <c r="D3809" s="101" t="s">
        <v>2430</v>
      </c>
      <c r="E3809" s="101" t="s">
        <v>577</v>
      </c>
      <c r="F3809" s="109">
        <f t="shared" si="8"/>
        <v>101</v>
      </c>
      <c r="G3809" s="110" t="s">
        <v>3418</v>
      </c>
    </row>
    <row r="3810" ht="15.75" customHeight="1">
      <c r="B3810" s="95"/>
      <c r="C3810" s="108" t="s">
        <v>217</v>
      </c>
      <c r="D3810" s="101" t="s">
        <v>2430</v>
      </c>
      <c r="E3810" s="101" t="s">
        <v>577</v>
      </c>
      <c r="F3810" s="109">
        <f t="shared" si="8"/>
        <v>102</v>
      </c>
      <c r="G3810" s="110" t="s">
        <v>3419</v>
      </c>
    </row>
    <row r="3811" ht="15.75" customHeight="1">
      <c r="B3811" s="95"/>
      <c r="C3811" s="108" t="s">
        <v>217</v>
      </c>
      <c r="D3811" s="101" t="s">
        <v>2430</v>
      </c>
      <c r="E3811" s="101" t="s">
        <v>577</v>
      </c>
      <c r="F3811" s="109">
        <f t="shared" si="8"/>
        <v>103</v>
      </c>
      <c r="G3811" s="110" t="s">
        <v>3420</v>
      </c>
    </row>
    <row r="3812" ht="15.75" customHeight="1">
      <c r="B3812" s="95"/>
      <c r="C3812" s="108" t="s">
        <v>217</v>
      </c>
      <c r="D3812" s="101" t="s">
        <v>2430</v>
      </c>
      <c r="E3812" s="101" t="s">
        <v>577</v>
      </c>
      <c r="F3812" s="109">
        <f t="shared" si="8"/>
        <v>104</v>
      </c>
      <c r="G3812" s="110" t="s">
        <v>3421</v>
      </c>
    </row>
    <row r="3813" ht="15.75" customHeight="1">
      <c r="B3813" s="95"/>
      <c r="C3813" s="108" t="s">
        <v>217</v>
      </c>
      <c r="D3813" s="101" t="s">
        <v>2430</v>
      </c>
      <c r="E3813" s="101" t="s">
        <v>577</v>
      </c>
      <c r="F3813" s="109">
        <f t="shared" si="8"/>
        <v>105</v>
      </c>
      <c r="G3813" s="110" t="s">
        <v>3422</v>
      </c>
    </row>
    <row r="3814" ht="15.75" customHeight="1">
      <c r="B3814" s="95"/>
      <c r="C3814" s="108" t="s">
        <v>218</v>
      </c>
      <c r="D3814" s="101" t="s">
        <v>2430</v>
      </c>
      <c r="E3814" s="101" t="s">
        <v>577</v>
      </c>
      <c r="F3814" s="109">
        <f t="shared" si="8"/>
        <v>2</v>
      </c>
      <c r="G3814" s="110" t="s">
        <v>2834</v>
      </c>
    </row>
    <row r="3815" ht="15.75" customHeight="1">
      <c r="B3815" s="95"/>
      <c r="C3815" s="108" t="s">
        <v>218</v>
      </c>
      <c r="D3815" s="101" t="s">
        <v>2430</v>
      </c>
      <c r="E3815" s="101" t="s">
        <v>577</v>
      </c>
      <c r="F3815" s="109">
        <f t="shared" si="8"/>
        <v>3</v>
      </c>
      <c r="G3815" s="110" t="s">
        <v>3423</v>
      </c>
    </row>
    <row r="3816" ht="15.75" customHeight="1">
      <c r="B3816" s="95"/>
      <c r="C3816" s="108" t="s">
        <v>218</v>
      </c>
      <c r="D3816" s="101" t="s">
        <v>2430</v>
      </c>
      <c r="E3816" s="101" t="s">
        <v>577</v>
      </c>
      <c r="F3816" s="109">
        <f t="shared" si="8"/>
        <v>4</v>
      </c>
      <c r="G3816" s="110" t="s">
        <v>3424</v>
      </c>
    </row>
    <row r="3817" ht="15.75" customHeight="1">
      <c r="B3817" s="95"/>
      <c r="C3817" s="108" t="s">
        <v>218</v>
      </c>
      <c r="D3817" s="101" t="s">
        <v>2430</v>
      </c>
      <c r="E3817" s="101" t="s">
        <v>577</v>
      </c>
      <c r="F3817" s="109">
        <f t="shared" si="8"/>
        <v>5</v>
      </c>
      <c r="G3817" s="110" t="s">
        <v>3425</v>
      </c>
    </row>
    <row r="3818" ht="15.75" customHeight="1">
      <c r="B3818" s="95"/>
      <c r="C3818" s="108" t="s">
        <v>218</v>
      </c>
      <c r="D3818" s="101" t="s">
        <v>2430</v>
      </c>
      <c r="E3818" s="101" t="s">
        <v>577</v>
      </c>
      <c r="F3818" s="109">
        <f t="shared" si="8"/>
        <v>6</v>
      </c>
      <c r="G3818" s="110" t="s">
        <v>3426</v>
      </c>
    </row>
    <row r="3819" ht="15.75" customHeight="1">
      <c r="B3819" s="95"/>
      <c r="C3819" s="108" t="s">
        <v>218</v>
      </c>
      <c r="D3819" s="101" t="s">
        <v>2430</v>
      </c>
      <c r="E3819" s="101" t="s">
        <v>577</v>
      </c>
      <c r="F3819" s="109">
        <f t="shared" si="8"/>
        <v>7</v>
      </c>
      <c r="G3819" s="110" t="s">
        <v>3427</v>
      </c>
    </row>
    <row r="3820" ht="15.75" customHeight="1">
      <c r="B3820" s="95"/>
      <c r="C3820" s="108" t="s">
        <v>218</v>
      </c>
      <c r="D3820" s="101" t="s">
        <v>2430</v>
      </c>
      <c r="E3820" s="101" t="s">
        <v>577</v>
      </c>
      <c r="F3820" s="109">
        <f t="shared" si="8"/>
        <v>8</v>
      </c>
      <c r="G3820" s="110" t="s">
        <v>3428</v>
      </c>
    </row>
    <row r="3821" ht="15.75" customHeight="1">
      <c r="B3821" s="95"/>
      <c r="C3821" s="108" t="s">
        <v>218</v>
      </c>
      <c r="D3821" s="101" t="s">
        <v>2430</v>
      </c>
      <c r="E3821" s="101" t="s">
        <v>577</v>
      </c>
      <c r="F3821" s="109">
        <f t="shared" si="8"/>
        <v>9</v>
      </c>
      <c r="G3821" s="110" t="s">
        <v>3429</v>
      </c>
    </row>
    <row r="3822" ht="15.75" customHeight="1">
      <c r="B3822" s="95"/>
      <c r="C3822" s="108" t="s">
        <v>218</v>
      </c>
      <c r="D3822" s="101" t="s">
        <v>2430</v>
      </c>
      <c r="E3822" s="101" t="s">
        <v>577</v>
      </c>
      <c r="F3822" s="109">
        <f t="shared" si="8"/>
        <v>10</v>
      </c>
      <c r="G3822" s="110" t="s">
        <v>3430</v>
      </c>
    </row>
    <row r="3823" ht="15.75" customHeight="1">
      <c r="B3823" s="95"/>
      <c r="C3823" s="108" t="s">
        <v>218</v>
      </c>
      <c r="D3823" s="101" t="s">
        <v>2430</v>
      </c>
      <c r="E3823" s="101" t="s">
        <v>577</v>
      </c>
      <c r="F3823" s="109">
        <f t="shared" si="8"/>
        <v>11</v>
      </c>
      <c r="G3823" s="110" t="s">
        <v>3431</v>
      </c>
    </row>
    <row r="3824" ht="15.75" customHeight="1">
      <c r="B3824" s="95"/>
      <c r="C3824" s="108" t="s">
        <v>218</v>
      </c>
      <c r="D3824" s="101" t="s">
        <v>2430</v>
      </c>
      <c r="E3824" s="101" t="s">
        <v>577</v>
      </c>
      <c r="F3824" s="109">
        <f t="shared" si="8"/>
        <v>12</v>
      </c>
      <c r="G3824" s="110" t="s">
        <v>3432</v>
      </c>
    </row>
    <row r="3825" ht="15.75" customHeight="1">
      <c r="B3825" s="95"/>
      <c r="C3825" s="108" t="s">
        <v>218</v>
      </c>
      <c r="D3825" s="101" t="s">
        <v>2430</v>
      </c>
      <c r="E3825" s="101" t="s">
        <v>577</v>
      </c>
      <c r="F3825" s="109">
        <f t="shared" si="8"/>
        <v>13</v>
      </c>
      <c r="G3825" s="110" t="s">
        <v>3433</v>
      </c>
    </row>
    <row r="3826" ht="15.75" customHeight="1">
      <c r="B3826" s="95"/>
      <c r="C3826" s="108" t="s">
        <v>218</v>
      </c>
      <c r="D3826" s="101" t="s">
        <v>2430</v>
      </c>
      <c r="E3826" s="101" t="s">
        <v>577</v>
      </c>
      <c r="F3826" s="109">
        <f t="shared" si="8"/>
        <v>14</v>
      </c>
      <c r="G3826" s="110" t="s">
        <v>3434</v>
      </c>
    </row>
    <row r="3827" ht="15.75" customHeight="1">
      <c r="B3827" s="95"/>
      <c r="C3827" s="108" t="s">
        <v>218</v>
      </c>
      <c r="D3827" s="101" t="s">
        <v>2430</v>
      </c>
      <c r="E3827" s="101" t="s">
        <v>577</v>
      </c>
      <c r="F3827" s="109">
        <f t="shared" si="8"/>
        <v>15</v>
      </c>
      <c r="G3827" s="110" t="s">
        <v>3435</v>
      </c>
    </row>
    <row r="3828" ht="15.75" customHeight="1">
      <c r="B3828" s="95"/>
      <c r="C3828" s="108" t="s">
        <v>218</v>
      </c>
      <c r="D3828" s="101" t="s">
        <v>2430</v>
      </c>
      <c r="E3828" s="101" t="s">
        <v>577</v>
      </c>
      <c r="F3828" s="109">
        <f t="shared" si="8"/>
        <v>16</v>
      </c>
      <c r="G3828" s="110" t="s">
        <v>3436</v>
      </c>
    </row>
    <row r="3829" ht="15.75" customHeight="1">
      <c r="B3829" s="95"/>
      <c r="C3829" s="108" t="s">
        <v>218</v>
      </c>
      <c r="D3829" s="101" t="s">
        <v>2430</v>
      </c>
      <c r="E3829" s="101" t="s">
        <v>577</v>
      </c>
      <c r="F3829" s="109">
        <f t="shared" si="8"/>
        <v>17</v>
      </c>
      <c r="G3829" s="110" t="s">
        <v>3437</v>
      </c>
    </row>
    <row r="3830" ht="15.75" customHeight="1">
      <c r="B3830" s="95"/>
      <c r="C3830" s="108" t="s">
        <v>218</v>
      </c>
      <c r="D3830" s="101" t="s">
        <v>2430</v>
      </c>
      <c r="E3830" s="101" t="s">
        <v>577</v>
      </c>
      <c r="F3830" s="109">
        <f t="shared" si="8"/>
        <v>18</v>
      </c>
      <c r="G3830" s="110" t="s">
        <v>3438</v>
      </c>
    </row>
    <row r="3831" ht="15.75" customHeight="1">
      <c r="B3831" s="95"/>
      <c r="C3831" s="108" t="s">
        <v>218</v>
      </c>
      <c r="D3831" s="101" t="s">
        <v>2430</v>
      </c>
      <c r="E3831" s="101" t="s">
        <v>577</v>
      </c>
      <c r="F3831" s="109">
        <f t="shared" si="8"/>
        <v>19</v>
      </c>
      <c r="G3831" s="110" t="s">
        <v>3439</v>
      </c>
    </row>
    <row r="3832" ht="15.75" customHeight="1">
      <c r="B3832" s="95"/>
      <c r="C3832" s="108" t="s">
        <v>218</v>
      </c>
      <c r="D3832" s="101" t="s">
        <v>2430</v>
      </c>
      <c r="E3832" s="101" t="s">
        <v>577</v>
      </c>
      <c r="F3832" s="109">
        <f t="shared" si="8"/>
        <v>20</v>
      </c>
      <c r="G3832" s="110" t="s">
        <v>3440</v>
      </c>
    </row>
    <row r="3833" ht="15.75" customHeight="1">
      <c r="B3833" s="95"/>
      <c r="C3833" s="108" t="s">
        <v>218</v>
      </c>
      <c r="D3833" s="101" t="s">
        <v>2430</v>
      </c>
      <c r="E3833" s="101" t="s">
        <v>577</v>
      </c>
      <c r="F3833" s="109">
        <f t="shared" si="8"/>
        <v>21</v>
      </c>
      <c r="G3833" s="110" t="s">
        <v>3441</v>
      </c>
    </row>
    <row r="3834" ht="15.75" customHeight="1">
      <c r="B3834" s="95"/>
      <c r="C3834" s="108" t="s">
        <v>218</v>
      </c>
      <c r="D3834" s="101" t="s">
        <v>2430</v>
      </c>
      <c r="E3834" s="101" t="s">
        <v>577</v>
      </c>
      <c r="F3834" s="109">
        <f t="shared" si="8"/>
        <v>22</v>
      </c>
      <c r="G3834" s="110" t="s">
        <v>3442</v>
      </c>
    </row>
    <row r="3835" ht="15.75" customHeight="1">
      <c r="B3835" s="95"/>
      <c r="C3835" s="108" t="s">
        <v>218</v>
      </c>
      <c r="D3835" s="101" t="s">
        <v>2430</v>
      </c>
      <c r="E3835" s="101" t="s">
        <v>577</v>
      </c>
      <c r="F3835" s="109">
        <f t="shared" si="8"/>
        <v>23</v>
      </c>
      <c r="G3835" s="110" t="s">
        <v>3443</v>
      </c>
    </row>
    <row r="3836" ht="15.75" customHeight="1">
      <c r="B3836" s="95"/>
      <c r="C3836" s="108" t="s">
        <v>218</v>
      </c>
      <c r="D3836" s="101" t="s">
        <v>2430</v>
      </c>
      <c r="E3836" s="101" t="s">
        <v>577</v>
      </c>
      <c r="F3836" s="109">
        <f t="shared" si="8"/>
        <v>24</v>
      </c>
      <c r="G3836" s="110" t="s">
        <v>3444</v>
      </c>
    </row>
    <row r="3837" ht="15.75" customHeight="1">
      <c r="B3837" s="95"/>
      <c r="C3837" s="108" t="s">
        <v>218</v>
      </c>
      <c r="D3837" s="101" t="s">
        <v>2430</v>
      </c>
      <c r="E3837" s="101" t="s">
        <v>577</v>
      </c>
      <c r="F3837" s="109">
        <f t="shared" si="8"/>
        <v>25</v>
      </c>
      <c r="G3837" s="110" t="s">
        <v>3445</v>
      </c>
    </row>
    <row r="3838" ht="15.75" customHeight="1">
      <c r="B3838" s="95"/>
      <c r="C3838" s="108" t="s">
        <v>218</v>
      </c>
      <c r="D3838" s="101" t="s">
        <v>2430</v>
      </c>
      <c r="E3838" s="101" t="s">
        <v>577</v>
      </c>
      <c r="F3838" s="109">
        <f t="shared" si="8"/>
        <v>26</v>
      </c>
      <c r="G3838" s="110" t="s">
        <v>3446</v>
      </c>
    </row>
    <row r="3839" ht="15.75" customHeight="1">
      <c r="B3839" s="95"/>
      <c r="C3839" s="108" t="s">
        <v>218</v>
      </c>
      <c r="D3839" s="101" t="s">
        <v>2430</v>
      </c>
      <c r="E3839" s="101" t="s">
        <v>577</v>
      </c>
      <c r="F3839" s="109">
        <f t="shared" si="8"/>
        <v>27</v>
      </c>
      <c r="G3839" s="110" t="s">
        <v>3447</v>
      </c>
    </row>
    <row r="3840" ht="15.75" customHeight="1">
      <c r="B3840" s="95"/>
      <c r="C3840" s="108" t="s">
        <v>218</v>
      </c>
      <c r="D3840" s="101" t="s">
        <v>2430</v>
      </c>
      <c r="E3840" s="101" t="s">
        <v>577</v>
      </c>
      <c r="F3840" s="109">
        <f t="shared" si="8"/>
        <v>28</v>
      </c>
      <c r="G3840" s="110" t="s">
        <v>3448</v>
      </c>
    </row>
    <row r="3841" ht="15.75" customHeight="1">
      <c r="B3841" s="95"/>
      <c r="C3841" s="108" t="s">
        <v>218</v>
      </c>
      <c r="D3841" s="101" t="s">
        <v>2430</v>
      </c>
      <c r="E3841" s="101" t="s">
        <v>577</v>
      </c>
      <c r="F3841" s="109">
        <f t="shared" si="8"/>
        <v>29</v>
      </c>
      <c r="G3841" s="110" t="s">
        <v>3449</v>
      </c>
    </row>
    <row r="3842" ht="15.75" customHeight="1">
      <c r="B3842" s="95"/>
      <c r="C3842" s="108" t="s">
        <v>218</v>
      </c>
      <c r="D3842" s="101" t="s">
        <v>2430</v>
      </c>
      <c r="E3842" s="101" t="s">
        <v>577</v>
      </c>
      <c r="F3842" s="109">
        <f t="shared" si="8"/>
        <v>30</v>
      </c>
      <c r="G3842" s="110" t="s">
        <v>3450</v>
      </c>
    </row>
    <row r="3843" ht="15.75" customHeight="1">
      <c r="B3843" s="95"/>
      <c r="C3843" s="108" t="s">
        <v>218</v>
      </c>
      <c r="D3843" s="101" t="s">
        <v>2430</v>
      </c>
      <c r="E3843" s="101" t="s">
        <v>577</v>
      </c>
      <c r="F3843" s="109">
        <f t="shared" si="8"/>
        <v>31</v>
      </c>
      <c r="G3843" s="110" t="s">
        <v>3451</v>
      </c>
    </row>
    <row r="3844" ht="15.75" customHeight="1">
      <c r="B3844" s="95"/>
      <c r="C3844" s="108" t="s">
        <v>218</v>
      </c>
      <c r="D3844" s="101" t="s">
        <v>2430</v>
      </c>
      <c r="E3844" s="101" t="s">
        <v>577</v>
      </c>
      <c r="F3844" s="109">
        <f t="shared" si="8"/>
        <v>32</v>
      </c>
      <c r="G3844" s="110" t="s">
        <v>3452</v>
      </c>
    </row>
    <row r="3845" ht="15.75" customHeight="1">
      <c r="B3845" s="95"/>
      <c r="C3845" s="108" t="s">
        <v>218</v>
      </c>
      <c r="D3845" s="101" t="s">
        <v>2430</v>
      </c>
      <c r="E3845" s="101" t="s">
        <v>577</v>
      </c>
      <c r="F3845" s="109">
        <f t="shared" si="8"/>
        <v>33</v>
      </c>
      <c r="G3845" s="110" t="s">
        <v>3453</v>
      </c>
    </row>
    <row r="3846" ht="15.75" customHeight="1">
      <c r="B3846" s="95"/>
      <c r="C3846" s="108" t="s">
        <v>218</v>
      </c>
      <c r="D3846" s="101" t="s">
        <v>2430</v>
      </c>
      <c r="E3846" s="101" t="s">
        <v>577</v>
      </c>
      <c r="F3846" s="109">
        <f t="shared" si="8"/>
        <v>34</v>
      </c>
      <c r="G3846" s="110" t="s">
        <v>3454</v>
      </c>
    </row>
    <row r="3847" ht="15.75" customHeight="1">
      <c r="B3847" s="95"/>
      <c r="C3847" s="108" t="s">
        <v>219</v>
      </c>
      <c r="D3847" s="101" t="s">
        <v>2430</v>
      </c>
      <c r="E3847" s="101" t="s">
        <v>577</v>
      </c>
      <c r="F3847" s="109">
        <f t="shared" si="8"/>
        <v>2</v>
      </c>
      <c r="G3847" s="110" t="s">
        <v>2834</v>
      </c>
    </row>
    <row r="3848" ht="15.75" customHeight="1">
      <c r="B3848" s="95"/>
      <c r="C3848" s="108" t="s">
        <v>219</v>
      </c>
      <c r="D3848" s="101" t="s">
        <v>2430</v>
      </c>
      <c r="E3848" s="101" t="s">
        <v>577</v>
      </c>
      <c r="F3848" s="109">
        <f t="shared" si="8"/>
        <v>3</v>
      </c>
      <c r="G3848" s="110" t="s">
        <v>3455</v>
      </c>
    </row>
    <row r="3849" ht="15.75" customHeight="1">
      <c r="B3849" s="95"/>
      <c r="C3849" s="108" t="s">
        <v>219</v>
      </c>
      <c r="D3849" s="101" t="s">
        <v>2430</v>
      </c>
      <c r="E3849" s="101" t="s">
        <v>577</v>
      </c>
      <c r="F3849" s="109">
        <f t="shared" si="8"/>
        <v>4</v>
      </c>
      <c r="G3849" s="110" t="s">
        <v>3456</v>
      </c>
    </row>
    <row r="3850" ht="15.75" customHeight="1">
      <c r="B3850" s="95"/>
      <c r="C3850" s="108" t="s">
        <v>219</v>
      </c>
      <c r="D3850" s="101" t="s">
        <v>2430</v>
      </c>
      <c r="E3850" s="101" t="s">
        <v>577</v>
      </c>
      <c r="F3850" s="109">
        <f t="shared" si="8"/>
        <v>5</v>
      </c>
      <c r="G3850" s="110" t="s">
        <v>3457</v>
      </c>
    </row>
    <row r="3851" ht="15.75" customHeight="1">
      <c r="B3851" s="95"/>
      <c r="C3851" s="108" t="s">
        <v>219</v>
      </c>
      <c r="D3851" s="101" t="s">
        <v>2430</v>
      </c>
      <c r="E3851" s="101" t="s">
        <v>577</v>
      </c>
      <c r="F3851" s="109">
        <f t="shared" si="8"/>
        <v>6</v>
      </c>
      <c r="G3851" s="110" t="s">
        <v>3458</v>
      </c>
    </row>
    <row r="3852" ht="15.75" customHeight="1">
      <c r="B3852" s="95"/>
      <c r="C3852" s="108" t="s">
        <v>219</v>
      </c>
      <c r="D3852" s="101" t="s">
        <v>2430</v>
      </c>
      <c r="E3852" s="101" t="s">
        <v>577</v>
      </c>
      <c r="F3852" s="109">
        <f t="shared" si="8"/>
        <v>7</v>
      </c>
      <c r="G3852" s="110" t="s">
        <v>3459</v>
      </c>
    </row>
    <row r="3853" ht="15.75" customHeight="1">
      <c r="B3853" s="95"/>
      <c r="C3853" s="108" t="s">
        <v>219</v>
      </c>
      <c r="D3853" s="101" t="s">
        <v>2430</v>
      </c>
      <c r="E3853" s="101" t="s">
        <v>577</v>
      </c>
      <c r="F3853" s="109">
        <f t="shared" si="8"/>
        <v>8</v>
      </c>
      <c r="G3853" s="110" t="s">
        <v>3460</v>
      </c>
    </row>
    <row r="3854" ht="15.75" customHeight="1">
      <c r="B3854" s="95"/>
      <c r="C3854" s="108" t="s">
        <v>219</v>
      </c>
      <c r="D3854" s="101" t="s">
        <v>2430</v>
      </c>
      <c r="E3854" s="101" t="s">
        <v>577</v>
      </c>
      <c r="F3854" s="109">
        <f t="shared" si="8"/>
        <v>9</v>
      </c>
      <c r="G3854" s="110" t="s">
        <v>3461</v>
      </c>
    </row>
    <row r="3855" ht="15.75" customHeight="1">
      <c r="B3855" s="95"/>
      <c r="C3855" s="108" t="s">
        <v>219</v>
      </c>
      <c r="D3855" s="101" t="s">
        <v>2430</v>
      </c>
      <c r="E3855" s="101" t="s">
        <v>577</v>
      </c>
      <c r="F3855" s="109">
        <f t="shared" si="8"/>
        <v>10</v>
      </c>
      <c r="G3855" s="110" t="s">
        <v>3462</v>
      </c>
    </row>
    <row r="3856" ht="15.75" customHeight="1">
      <c r="B3856" s="95"/>
      <c r="C3856" s="108" t="s">
        <v>219</v>
      </c>
      <c r="D3856" s="101" t="s">
        <v>2430</v>
      </c>
      <c r="E3856" s="101" t="s">
        <v>577</v>
      </c>
      <c r="F3856" s="109">
        <f t="shared" si="8"/>
        <v>11</v>
      </c>
      <c r="G3856" s="110" t="s">
        <v>3463</v>
      </c>
    </row>
    <row r="3857" ht="15.75" customHeight="1">
      <c r="B3857" s="95"/>
      <c r="C3857" s="108" t="s">
        <v>219</v>
      </c>
      <c r="D3857" s="101" t="s">
        <v>2430</v>
      </c>
      <c r="E3857" s="101" t="s">
        <v>577</v>
      </c>
      <c r="F3857" s="109">
        <f t="shared" si="8"/>
        <v>12</v>
      </c>
      <c r="G3857" s="110" t="s">
        <v>3464</v>
      </c>
    </row>
    <row r="3858" ht="15.75" customHeight="1">
      <c r="B3858" s="95"/>
      <c r="C3858" s="108" t="s">
        <v>219</v>
      </c>
      <c r="D3858" s="101" t="s">
        <v>2430</v>
      </c>
      <c r="E3858" s="101" t="s">
        <v>577</v>
      </c>
      <c r="F3858" s="109">
        <f t="shared" si="8"/>
        <v>13</v>
      </c>
      <c r="G3858" s="110" t="s">
        <v>3465</v>
      </c>
    </row>
    <row r="3859" ht="15.75" customHeight="1">
      <c r="B3859" s="95"/>
      <c r="C3859" s="108" t="s">
        <v>219</v>
      </c>
      <c r="D3859" s="101" t="s">
        <v>2430</v>
      </c>
      <c r="E3859" s="101" t="s">
        <v>577</v>
      </c>
      <c r="F3859" s="109">
        <f t="shared" si="8"/>
        <v>14</v>
      </c>
      <c r="G3859" s="110" t="s">
        <v>3466</v>
      </c>
    </row>
    <row r="3860" ht="15.75" customHeight="1">
      <c r="B3860" s="95"/>
      <c r="C3860" s="108" t="s">
        <v>219</v>
      </c>
      <c r="D3860" s="101" t="s">
        <v>2430</v>
      </c>
      <c r="E3860" s="101" t="s">
        <v>577</v>
      </c>
      <c r="F3860" s="109">
        <f t="shared" si="8"/>
        <v>15</v>
      </c>
      <c r="G3860" s="110" t="s">
        <v>3467</v>
      </c>
    </row>
    <row r="3861" ht="15.75" customHeight="1">
      <c r="B3861" s="95"/>
      <c r="C3861" s="108" t="s">
        <v>219</v>
      </c>
      <c r="D3861" s="101" t="s">
        <v>2430</v>
      </c>
      <c r="E3861" s="101" t="s">
        <v>577</v>
      </c>
      <c r="F3861" s="109">
        <f t="shared" si="8"/>
        <v>16</v>
      </c>
      <c r="G3861" s="110" t="s">
        <v>3468</v>
      </c>
    </row>
    <row r="3862" ht="15.75" customHeight="1">
      <c r="B3862" s="95"/>
      <c r="C3862" s="108" t="s">
        <v>219</v>
      </c>
      <c r="D3862" s="101" t="s">
        <v>2430</v>
      </c>
      <c r="E3862" s="101" t="s">
        <v>577</v>
      </c>
      <c r="F3862" s="109">
        <f t="shared" si="8"/>
        <v>17</v>
      </c>
      <c r="G3862" s="110" t="s">
        <v>3469</v>
      </c>
    </row>
    <row r="3863" ht="15.75" customHeight="1">
      <c r="B3863" s="95"/>
      <c r="C3863" s="108" t="s">
        <v>219</v>
      </c>
      <c r="D3863" s="101" t="s">
        <v>2430</v>
      </c>
      <c r="E3863" s="101" t="s">
        <v>577</v>
      </c>
      <c r="F3863" s="109">
        <f t="shared" si="8"/>
        <v>18</v>
      </c>
      <c r="G3863" s="110" t="s">
        <v>3470</v>
      </c>
    </row>
    <row r="3864" ht="15.75" customHeight="1">
      <c r="B3864" s="95"/>
      <c r="C3864" s="108" t="s">
        <v>219</v>
      </c>
      <c r="D3864" s="101" t="s">
        <v>2430</v>
      </c>
      <c r="E3864" s="101" t="s">
        <v>577</v>
      </c>
      <c r="F3864" s="109">
        <f t="shared" si="8"/>
        <v>19</v>
      </c>
      <c r="G3864" s="110" t="s">
        <v>3471</v>
      </c>
    </row>
    <row r="3865" ht="15.75" customHeight="1">
      <c r="B3865" s="95"/>
      <c r="C3865" s="108" t="s">
        <v>219</v>
      </c>
      <c r="D3865" s="101" t="s">
        <v>2430</v>
      </c>
      <c r="E3865" s="101" t="s">
        <v>577</v>
      </c>
      <c r="F3865" s="109">
        <f t="shared" si="8"/>
        <v>20</v>
      </c>
      <c r="G3865" s="110" t="s">
        <v>3472</v>
      </c>
    </row>
    <row r="3866" ht="15.75" customHeight="1">
      <c r="B3866" s="95"/>
      <c r="C3866" s="108" t="s">
        <v>219</v>
      </c>
      <c r="D3866" s="101" t="s">
        <v>2430</v>
      </c>
      <c r="E3866" s="101" t="s">
        <v>577</v>
      </c>
      <c r="F3866" s="109">
        <f t="shared" si="8"/>
        <v>21</v>
      </c>
      <c r="G3866" s="110" t="s">
        <v>3473</v>
      </c>
    </row>
    <row r="3867" ht="15.75" customHeight="1">
      <c r="B3867" s="95"/>
      <c r="C3867" s="108" t="s">
        <v>219</v>
      </c>
      <c r="D3867" s="101" t="s">
        <v>2430</v>
      </c>
      <c r="E3867" s="101" t="s">
        <v>577</v>
      </c>
      <c r="F3867" s="109">
        <f t="shared" si="8"/>
        <v>22</v>
      </c>
      <c r="G3867" s="110" t="s">
        <v>3474</v>
      </c>
    </row>
    <row r="3868" ht="15.75" customHeight="1">
      <c r="B3868" s="95"/>
      <c r="C3868" s="108" t="s">
        <v>219</v>
      </c>
      <c r="D3868" s="101" t="s">
        <v>2430</v>
      </c>
      <c r="E3868" s="101" t="s">
        <v>577</v>
      </c>
      <c r="F3868" s="109">
        <f t="shared" si="8"/>
        <v>23</v>
      </c>
      <c r="G3868" s="110" t="s">
        <v>3475</v>
      </c>
    </row>
    <row r="3869" ht="15.75" customHeight="1">
      <c r="B3869" s="95"/>
      <c r="C3869" s="108" t="s">
        <v>219</v>
      </c>
      <c r="D3869" s="101" t="s">
        <v>2430</v>
      </c>
      <c r="E3869" s="101" t="s">
        <v>577</v>
      </c>
      <c r="F3869" s="109">
        <f t="shared" si="8"/>
        <v>24</v>
      </c>
      <c r="G3869" s="110" t="s">
        <v>3476</v>
      </c>
    </row>
    <row r="3870" ht="15.75" customHeight="1">
      <c r="B3870" s="95"/>
      <c r="C3870" s="108" t="s">
        <v>219</v>
      </c>
      <c r="D3870" s="101" t="s">
        <v>2430</v>
      </c>
      <c r="E3870" s="101" t="s">
        <v>577</v>
      </c>
      <c r="F3870" s="109">
        <f t="shared" si="8"/>
        <v>25</v>
      </c>
      <c r="G3870" s="110" t="s">
        <v>3477</v>
      </c>
    </row>
    <row r="3871" ht="15.75" customHeight="1">
      <c r="B3871" s="95"/>
      <c r="C3871" s="108" t="s">
        <v>219</v>
      </c>
      <c r="D3871" s="101" t="s">
        <v>2430</v>
      </c>
      <c r="E3871" s="101" t="s">
        <v>577</v>
      </c>
      <c r="F3871" s="109">
        <f t="shared" si="8"/>
        <v>26</v>
      </c>
      <c r="G3871" s="110" t="s">
        <v>3478</v>
      </c>
    </row>
    <row r="3872" ht="15.75" customHeight="1">
      <c r="B3872" s="95"/>
      <c r="C3872" s="108" t="s">
        <v>219</v>
      </c>
      <c r="D3872" s="101" t="s">
        <v>2430</v>
      </c>
      <c r="E3872" s="101" t="s">
        <v>577</v>
      </c>
      <c r="F3872" s="109">
        <f t="shared" si="8"/>
        <v>27</v>
      </c>
      <c r="G3872" s="110" t="s">
        <v>3479</v>
      </c>
    </row>
    <row r="3873" ht="15.75" customHeight="1">
      <c r="B3873" s="95"/>
      <c r="C3873" s="108" t="s">
        <v>219</v>
      </c>
      <c r="D3873" s="101" t="s">
        <v>2430</v>
      </c>
      <c r="E3873" s="101" t="s">
        <v>577</v>
      </c>
      <c r="F3873" s="109">
        <f t="shared" si="8"/>
        <v>28</v>
      </c>
      <c r="G3873" s="110" t="s">
        <v>3480</v>
      </c>
    </row>
    <row r="3874" ht="15.75" customHeight="1">
      <c r="B3874" s="95"/>
      <c r="C3874" s="108" t="s">
        <v>219</v>
      </c>
      <c r="D3874" s="101" t="s">
        <v>2430</v>
      </c>
      <c r="E3874" s="101" t="s">
        <v>577</v>
      </c>
      <c r="F3874" s="109">
        <f t="shared" si="8"/>
        <v>29</v>
      </c>
      <c r="G3874" s="110" t="s">
        <v>3481</v>
      </c>
    </row>
    <row r="3875" ht="15.75" customHeight="1">
      <c r="B3875" s="95"/>
      <c r="C3875" s="108" t="s">
        <v>219</v>
      </c>
      <c r="D3875" s="101" t="s">
        <v>2430</v>
      </c>
      <c r="E3875" s="101" t="s">
        <v>577</v>
      </c>
      <c r="F3875" s="109">
        <f t="shared" si="8"/>
        <v>30</v>
      </c>
      <c r="G3875" s="110" t="s">
        <v>3482</v>
      </c>
    </row>
    <row r="3876" ht="15.75" customHeight="1">
      <c r="B3876" s="95"/>
      <c r="C3876" s="108" t="s">
        <v>219</v>
      </c>
      <c r="D3876" s="101" t="s">
        <v>2430</v>
      </c>
      <c r="E3876" s="101" t="s">
        <v>577</v>
      </c>
      <c r="F3876" s="109">
        <f t="shared" si="8"/>
        <v>31</v>
      </c>
      <c r="G3876" s="110" t="s">
        <v>3483</v>
      </c>
    </row>
    <row r="3877" ht="15.75" customHeight="1">
      <c r="B3877" s="95"/>
      <c r="C3877" s="108" t="s">
        <v>219</v>
      </c>
      <c r="D3877" s="101" t="s">
        <v>2430</v>
      </c>
      <c r="E3877" s="101" t="s">
        <v>577</v>
      </c>
      <c r="F3877" s="109">
        <f t="shared" si="8"/>
        <v>32</v>
      </c>
      <c r="G3877" s="110" t="s">
        <v>3484</v>
      </c>
    </row>
    <row r="3878" ht="15.75" customHeight="1">
      <c r="B3878" s="95"/>
      <c r="C3878" s="108" t="s">
        <v>219</v>
      </c>
      <c r="D3878" s="101" t="s">
        <v>2430</v>
      </c>
      <c r="E3878" s="101" t="s">
        <v>577</v>
      </c>
      <c r="F3878" s="109">
        <f t="shared" si="8"/>
        <v>33</v>
      </c>
      <c r="G3878" s="110" t="s">
        <v>3485</v>
      </c>
    </row>
    <row r="3879" ht="15.75" customHeight="1">
      <c r="B3879" s="95"/>
      <c r="C3879" s="108" t="s">
        <v>219</v>
      </c>
      <c r="D3879" s="101" t="s">
        <v>2430</v>
      </c>
      <c r="E3879" s="101" t="s">
        <v>577</v>
      </c>
      <c r="F3879" s="109">
        <f t="shared" si="8"/>
        <v>34</v>
      </c>
      <c r="G3879" s="110" t="s">
        <v>3486</v>
      </c>
    </row>
    <row r="3880" ht="15.75" customHeight="1">
      <c r="B3880" s="95"/>
      <c r="C3880" s="108" t="s">
        <v>219</v>
      </c>
      <c r="D3880" s="101" t="s">
        <v>2430</v>
      </c>
      <c r="E3880" s="101" t="s">
        <v>577</v>
      </c>
      <c r="F3880" s="109">
        <f t="shared" si="8"/>
        <v>35</v>
      </c>
      <c r="G3880" s="110" t="s">
        <v>3487</v>
      </c>
    </row>
    <row r="3881" ht="15.75" customHeight="1">
      <c r="B3881" s="95"/>
      <c r="C3881" s="108" t="s">
        <v>219</v>
      </c>
      <c r="D3881" s="101" t="s">
        <v>2430</v>
      </c>
      <c r="E3881" s="101" t="s">
        <v>577</v>
      </c>
      <c r="F3881" s="109">
        <f t="shared" si="8"/>
        <v>36</v>
      </c>
      <c r="G3881" s="110" t="s">
        <v>3488</v>
      </c>
    </row>
    <row r="3882" ht="15.75" customHeight="1">
      <c r="B3882" s="95"/>
      <c r="C3882" s="108" t="s">
        <v>219</v>
      </c>
      <c r="D3882" s="101" t="s">
        <v>2430</v>
      </c>
      <c r="E3882" s="101" t="s">
        <v>577</v>
      </c>
      <c r="F3882" s="109">
        <f t="shared" si="8"/>
        <v>37</v>
      </c>
      <c r="G3882" s="110" t="s">
        <v>3489</v>
      </c>
    </row>
    <row r="3883" ht="15.75" customHeight="1">
      <c r="B3883" s="95"/>
      <c r="C3883" s="108" t="s">
        <v>219</v>
      </c>
      <c r="D3883" s="101" t="s">
        <v>2430</v>
      </c>
      <c r="E3883" s="101" t="s">
        <v>577</v>
      </c>
      <c r="F3883" s="109">
        <f t="shared" si="8"/>
        <v>38</v>
      </c>
      <c r="G3883" s="110" t="s">
        <v>3490</v>
      </c>
    </row>
    <row r="3884" ht="15.75" customHeight="1">
      <c r="B3884" s="95"/>
      <c r="C3884" s="108" t="s">
        <v>219</v>
      </c>
      <c r="D3884" s="101" t="s">
        <v>2430</v>
      </c>
      <c r="E3884" s="101" t="s">
        <v>577</v>
      </c>
      <c r="F3884" s="109">
        <f t="shared" si="8"/>
        <v>39</v>
      </c>
      <c r="G3884" s="110" t="s">
        <v>3491</v>
      </c>
    </row>
    <row r="3885" ht="15.75" customHeight="1">
      <c r="B3885" s="95"/>
      <c r="C3885" s="108" t="s">
        <v>219</v>
      </c>
      <c r="D3885" s="101" t="s">
        <v>2430</v>
      </c>
      <c r="E3885" s="101" t="s">
        <v>577</v>
      </c>
      <c r="F3885" s="109">
        <f t="shared" si="8"/>
        <v>40</v>
      </c>
      <c r="G3885" s="110" t="s">
        <v>3260</v>
      </c>
    </row>
    <row r="3886" ht="15.75" customHeight="1">
      <c r="B3886" s="95"/>
      <c r="C3886" s="108" t="s">
        <v>219</v>
      </c>
      <c r="D3886" s="101" t="s">
        <v>2430</v>
      </c>
      <c r="E3886" s="101" t="s">
        <v>577</v>
      </c>
      <c r="F3886" s="109">
        <f t="shared" si="8"/>
        <v>41</v>
      </c>
      <c r="G3886" s="110" t="s">
        <v>3492</v>
      </c>
    </row>
    <row r="3887" ht="15.75" customHeight="1">
      <c r="B3887" s="95"/>
      <c r="C3887" s="108" t="s">
        <v>219</v>
      </c>
      <c r="D3887" s="101" t="s">
        <v>2430</v>
      </c>
      <c r="E3887" s="101" t="s">
        <v>577</v>
      </c>
      <c r="F3887" s="109">
        <f t="shared" si="8"/>
        <v>42</v>
      </c>
      <c r="G3887" s="110" t="s">
        <v>3493</v>
      </c>
    </row>
    <row r="3888" ht="15.75" customHeight="1">
      <c r="B3888" s="95"/>
      <c r="C3888" s="108" t="s">
        <v>219</v>
      </c>
      <c r="D3888" s="101" t="s">
        <v>2430</v>
      </c>
      <c r="E3888" s="101" t="s">
        <v>577</v>
      </c>
      <c r="F3888" s="109">
        <f t="shared" si="8"/>
        <v>43</v>
      </c>
      <c r="G3888" s="110" t="s">
        <v>3494</v>
      </c>
    </row>
    <row r="3889" ht="15.75" customHeight="1">
      <c r="B3889" s="95"/>
      <c r="C3889" s="108" t="s">
        <v>219</v>
      </c>
      <c r="D3889" s="101" t="s">
        <v>2430</v>
      </c>
      <c r="E3889" s="101" t="s">
        <v>577</v>
      </c>
      <c r="F3889" s="109">
        <f t="shared" si="8"/>
        <v>44</v>
      </c>
      <c r="G3889" s="110" t="s">
        <v>3495</v>
      </c>
    </row>
    <row r="3890" ht="15.75" customHeight="1">
      <c r="B3890" s="95"/>
      <c r="C3890" s="108" t="s">
        <v>219</v>
      </c>
      <c r="D3890" s="101" t="s">
        <v>2430</v>
      </c>
      <c r="E3890" s="101" t="s">
        <v>577</v>
      </c>
      <c r="F3890" s="109">
        <f t="shared" si="8"/>
        <v>45</v>
      </c>
      <c r="G3890" s="110" t="s">
        <v>3496</v>
      </c>
    </row>
    <row r="3891" ht="15.75" customHeight="1">
      <c r="B3891" s="95"/>
      <c r="C3891" s="108" t="s">
        <v>219</v>
      </c>
      <c r="D3891" s="101" t="s">
        <v>2430</v>
      </c>
      <c r="E3891" s="101" t="s">
        <v>577</v>
      </c>
      <c r="F3891" s="109">
        <f t="shared" si="8"/>
        <v>46</v>
      </c>
      <c r="G3891" s="110" t="s">
        <v>3497</v>
      </c>
    </row>
    <row r="3892" ht="15.75" customHeight="1">
      <c r="B3892" s="95"/>
      <c r="C3892" s="108" t="s">
        <v>219</v>
      </c>
      <c r="D3892" s="101" t="s">
        <v>2430</v>
      </c>
      <c r="E3892" s="101" t="s">
        <v>577</v>
      </c>
      <c r="F3892" s="109">
        <f t="shared" si="8"/>
        <v>47</v>
      </c>
      <c r="G3892" s="110" t="s">
        <v>3498</v>
      </c>
    </row>
    <row r="3893" ht="15.75" customHeight="1">
      <c r="B3893" s="95"/>
      <c r="C3893" s="108" t="s">
        <v>219</v>
      </c>
      <c r="D3893" s="101" t="s">
        <v>2430</v>
      </c>
      <c r="E3893" s="101" t="s">
        <v>577</v>
      </c>
      <c r="F3893" s="109">
        <f t="shared" si="8"/>
        <v>48</v>
      </c>
      <c r="G3893" s="110" t="s">
        <v>3499</v>
      </c>
    </row>
    <row r="3894" ht="15.75" customHeight="1">
      <c r="B3894" s="95"/>
      <c r="C3894" s="108" t="s">
        <v>219</v>
      </c>
      <c r="D3894" s="101" t="s">
        <v>2430</v>
      </c>
      <c r="E3894" s="101" t="s">
        <v>577</v>
      </c>
      <c r="F3894" s="109">
        <f t="shared" si="8"/>
        <v>49</v>
      </c>
      <c r="G3894" s="110" t="s">
        <v>3500</v>
      </c>
    </row>
    <row r="3895" ht="15.75" customHeight="1">
      <c r="B3895" s="95"/>
      <c r="C3895" s="108" t="s">
        <v>219</v>
      </c>
      <c r="D3895" s="101" t="s">
        <v>2430</v>
      </c>
      <c r="E3895" s="101" t="s">
        <v>577</v>
      </c>
      <c r="F3895" s="109">
        <f t="shared" si="8"/>
        <v>50</v>
      </c>
      <c r="G3895" s="110" t="s">
        <v>3501</v>
      </c>
    </row>
    <row r="3896" ht="15.75" customHeight="1">
      <c r="B3896" s="95"/>
      <c r="C3896" s="108" t="s">
        <v>219</v>
      </c>
      <c r="D3896" s="101" t="s">
        <v>2430</v>
      </c>
      <c r="E3896" s="101" t="s">
        <v>577</v>
      </c>
      <c r="F3896" s="109">
        <f t="shared" si="8"/>
        <v>51</v>
      </c>
      <c r="G3896" s="110" t="s">
        <v>3502</v>
      </c>
    </row>
    <row r="3897" ht="15.75" customHeight="1">
      <c r="B3897" s="95"/>
      <c r="C3897" s="108" t="s">
        <v>220</v>
      </c>
      <c r="D3897" s="101" t="s">
        <v>2430</v>
      </c>
      <c r="E3897" s="101" t="s">
        <v>577</v>
      </c>
      <c r="F3897" s="109">
        <f t="shared" si="8"/>
        <v>2</v>
      </c>
      <c r="G3897" s="110" t="s">
        <v>2834</v>
      </c>
    </row>
    <row r="3898" ht="15.75" customHeight="1">
      <c r="B3898" s="95"/>
      <c r="C3898" s="108" t="s">
        <v>220</v>
      </c>
      <c r="D3898" s="101" t="s">
        <v>2430</v>
      </c>
      <c r="E3898" s="101" t="s">
        <v>577</v>
      </c>
      <c r="F3898" s="109">
        <f t="shared" si="8"/>
        <v>3</v>
      </c>
      <c r="G3898" s="110" t="s">
        <v>3503</v>
      </c>
    </row>
    <row r="3899" ht="15.75" customHeight="1">
      <c r="B3899" s="95"/>
      <c r="C3899" s="108" t="s">
        <v>220</v>
      </c>
      <c r="D3899" s="101" t="s">
        <v>2430</v>
      </c>
      <c r="E3899" s="101" t="s">
        <v>577</v>
      </c>
      <c r="F3899" s="109">
        <f t="shared" si="8"/>
        <v>4</v>
      </c>
      <c r="G3899" s="110" t="s">
        <v>3504</v>
      </c>
    </row>
    <row r="3900" ht="15.75" customHeight="1">
      <c r="B3900" s="95"/>
      <c r="C3900" s="108" t="s">
        <v>220</v>
      </c>
      <c r="D3900" s="101" t="s">
        <v>2430</v>
      </c>
      <c r="E3900" s="101" t="s">
        <v>577</v>
      </c>
      <c r="F3900" s="109">
        <f t="shared" si="8"/>
        <v>5</v>
      </c>
      <c r="G3900" s="110" t="s">
        <v>3505</v>
      </c>
    </row>
    <row r="3901" ht="15.75" customHeight="1">
      <c r="B3901" s="95"/>
      <c r="C3901" s="108" t="s">
        <v>220</v>
      </c>
      <c r="D3901" s="101" t="s">
        <v>2430</v>
      </c>
      <c r="E3901" s="101" t="s">
        <v>577</v>
      </c>
      <c r="F3901" s="109">
        <f t="shared" si="8"/>
        <v>6</v>
      </c>
      <c r="G3901" s="110" t="s">
        <v>3506</v>
      </c>
    </row>
    <row r="3902" ht="15.75" customHeight="1">
      <c r="B3902" s="95"/>
      <c r="C3902" s="108" t="s">
        <v>220</v>
      </c>
      <c r="D3902" s="101" t="s">
        <v>2430</v>
      </c>
      <c r="E3902" s="101" t="s">
        <v>577</v>
      </c>
      <c r="F3902" s="109">
        <f t="shared" si="8"/>
        <v>7</v>
      </c>
      <c r="G3902" s="110" t="s">
        <v>3507</v>
      </c>
    </row>
    <row r="3903" ht="15.75" customHeight="1">
      <c r="B3903" s="95"/>
      <c r="C3903" s="108" t="s">
        <v>220</v>
      </c>
      <c r="D3903" s="101" t="s">
        <v>2430</v>
      </c>
      <c r="E3903" s="101" t="s">
        <v>577</v>
      </c>
      <c r="F3903" s="109">
        <f t="shared" si="8"/>
        <v>8</v>
      </c>
      <c r="G3903" s="110" t="s">
        <v>3508</v>
      </c>
    </row>
    <row r="3904" ht="15.75" customHeight="1">
      <c r="B3904" s="95"/>
      <c r="C3904" s="108" t="s">
        <v>220</v>
      </c>
      <c r="D3904" s="101" t="s">
        <v>2430</v>
      </c>
      <c r="E3904" s="101" t="s">
        <v>577</v>
      </c>
      <c r="F3904" s="109">
        <f t="shared" si="8"/>
        <v>9</v>
      </c>
      <c r="G3904" s="110" t="s">
        <v>3509</v>
      </c>
    </row>
    <row r="3905" ht="15.75" customHeight="1">
      <c r="B3905" s="95"/>
      <c r="C3905" s="108" t="s">
        <v>220</v>
      </c>
      <c r="D3905" s="101" t="s">
        <v>2430</v>
      </c>
      <c r="E3905" s="101" t="s">
        <v>577</v>
      </c>
      <c r="F3905" s="109">
        <f t="shared" si="8"/>
        <v>10</v>
      </c>
      <c r="G3905" s="110" t="s">
        <v>3510</v>
      </c>
    </row>
    <row r="3906" ht="15.75" customHeight="1">
      <c r="B3906" s="95"/>
      <c r="C3906" s="108" t="s">
        <v>220</v>
      </c>
      <c r="D3906" s="101" t="s">
        <v>2430</v>
      </c>
      <c r="E3906" s="101" t="s">
        <v>577</v>
      </c>
      <c r="F3906" s="109">
        <f t="shared" si="8"/>
        <v>11</v>
      </c>
      <c r="G3906" s="110" t="s">
        <v>3511</v>
      </c>
    </row>
    <row r="3907" ht="15.75" customHeight="1">
      <c r="B3907" s="95"/>
      <c r="C3907" s="108" t="s">
        <v>220</v>
      </c>
      <c r="D3907" s="101" t="s">
        <v>2430</v>
      </c>
      <c r="E3907" s="101" t="s">
        <v>577</v>
      </c>
      <c r="F3907" s="109">
        <f t="shared" si="8"/>
        <v>12</v>
      </c>
      <c r="G3907" s="110" t="s">
        <v>3512</v>
      </c>
    </row>
    <row r="3908" ht="15.75" customHeight="1">
      <c r="B3908" s="95"/>
      <c r="C3908" s="108" t="s">
        <v>220</v>
      </c>
      <c r="D3908" s="101" t="s">
        <v>2430</v>
      </c>
      <c r="E3908" s="101" t="s">
        <v>577</v>
      </c>
      <c r="F3908" s="109">
        <f t="shared" si="8"/>
        <v>13</v>
      </c>
      <c r="G3908" s="110" t="s">
        <v>3513</v>
      </c>
    </row>
    <row r="3909" ht="15.75" customHeight="1">
      <c r="B3909" s="95"/>
      <c r="C3909" s="108" t="s">
        <v>220</v>
      </c>
      <c r="D3909" s="101" t="s">
        <v>2430</v>
      </c>
      <c r="E3909" s="101" t="s">
        <v>577</v>
      </c>
      <c r="F3909" s="109">
        <f t="shared" si="8"/>
        <v>14</v>
      </c>
      <c r="G3909" s="110" t="s">
        <v>3514</v>
      </c>
    </row>
    <row r="3910" ht="15.75" customHeight="1">
      <c r="B3910" s="95"/>
      <c r="C3910" s="108" t="s">
        <v>220</v>
      </c>
      <c r="D3910" s="101" t="s">
        <v>2430</v>
      </c>
      <c r="E3910" s="101" t="s">
        <v>577</v>
      </c>
      <c r="F3910" s="109">
        <f t="shared" si="8"/>
        <v>15</v>
      </c>
      <c r="G3910" s="110" t="s">
        <v>3515</v>
      </c>
    </row>
    <row r="3911" ht="15.75" customHeight="1">
      <c r="B3911" s="95"/>
      <c r="C3911" s="108" t="s">
        <v>220</v>
      </c>
      <c r="D3911" s="101" t="s">
        <v>2430</v>
      </c>
      <c r="E3911" s="101" t="s">
        <v>577</v>
      </c>
      <c r="F3911" s="109">
        <f t="shared" si="8"/>
        <v>16</v>
      </c>
      <c r="G3911" s="110" t="s">
        <v>3516</v>
      </c>
    </row>
    <row r="3912" ht="15.75" customHeight="1">
      <c r="B3912" s="95"/>
      <c r="C3912" s="108" t="s">
        <v>220</v>
      </c>
      <c r="D3912" s="101" t="s">
        <v>2430</v>
      </c>
      <c r="E3912" s="101" t="s">
        <v>577</v>
      </c>
      <c r="F3912" s="109">
        <f t="shared" si="8"/>
        <v>17</v>
      </c>
      <c r="G3912" s="110" t="s">
        <v>3517</v>
      </c>
    </row>
    <row r="3913" ht="15.75" customHeight="1">
      <c r="B3913" s="95"/>
      <c r="C3913" s="108" t="s">
        <v>220</v>
      </c>
      <c r="D3913" s="101" t="s">
        <v>2430</v>
      </c>
      <c r="E3913" s="101" t="s">
        <v>577</v>
      </c>
      <c r="F3913" s="109">
        <f t="shared" si="8"/>
        <v>18</v>
      </c>
      <c r="G3913" s="110" t="s">
        <v>3518</v>
      </c>
    </row>
    <row r="3914" ht="15.75" customHeight="1">
      <c r="B3914" s="95"/>
      <c r="C3914" s="108" t="s">
        <v>220</v>
      </c>
      <c r="D3914" s="101" t="s">
        <v>2430</v>
      </c>
      <c r="E3914" s="101" t="s">
        <v>577</v>
      </c>
      <c r="F3914" s="109">
        <f t="shared" si="8"/>
        <v>19</v>
      </c>
      <c r="G3914" s="110" t="s">
        <v>3519</v>
      </c>
    </row>
    <row r="3915" ht="15.75" customHeight="1">
      <c r="B3915" s="95"/>
      <c r="C3915" s="108" t="s">
        <v>220</v>
      </c>
      <c r="D3915" s="101" t="s">
        <v>2430</v>
      </c>
      <c r="E3915" s="101" t="s">
        <v>577</v>
      </c>
      <c r="F3915" s="109">
        <f t="shared" si="8"/>
        <v>20</v>
      </c>
      <c r="G3915" s="110" t="s">
        <v>3520</v>
      </c>
    </row>
    <row r="3916" ht="15.75" customHeight="1">
      <c r="B3916" s="95"/>
      <c r="C3916" s="108" t="s">
        <v>220</v>
      </c>
      <c r="D3916" s="101" t="s">
        <v>2430</v>
      </c>
      <c r="E3916" s="101" t="s">
        <v>577</v>
      </c>
      <c r="F3916" s="109">
        <f t="shared" si="8"/>
        <v>21</v>
      </c>
      <c r="G3916" s="110" t="s">
        <v>3521</v>
      </c>
    </row>
    <row r="3917" ht="15.75" customHeight="1">
      <c r="B3917" s="95"/>
      <c r="C3917" s="108" t="s">
        <v>220</v>
      </c>
      <c r="D3917" s="101" t="s">
        <v>2430</v>
      </c>
      <c r="E3917" s="101" t="s">
        <v>577</v>
      </c>
      <c r="F3917" s="109">
        <f t="shared" si="8"/>
        <v>22</v>
      </c>
      <c r="G3917" s="110" t="s">
        <v>3522</v>
      </c>
    </row>
    <row r="3918" ht="15.75" customHeight="1">
      <c r="B3918" s="95"/>
      <c r="C3918" s="108" t="s">
        <v>220</v>
      </c>
      <c r="D3918" s="101" t="s">
        <v>2430</v>
      </c>
      <c r="E3918" s="101" t="s">
        <v>577</v>
      </c>
      <c r="F3918" s="109">
        <f t="shared" si="8"/>
        <v>23</v>
      </c>
      <c r="G3918" s="110" t="s">
        <v>3523</v>
      </c>
    </row>
    <row r="3919" ht="15.75" customHeight="1">
      <c r="B3919" s="95"/>
      <c r="C3919" s="108" t="s">
        <v>220</v>
      </c>
      <c r="D3919" s="101" t="s">
        <v>2430</v>
      </c>
      <c r="E3919" s="101" t="s">
        <v>577</v>
      </c>
      <c r="F3919" s="109">
        <f t="shared" si="8"/>
        <v>24</v>
      </c>
      <c r="G3919" s="110" t="s">
        <v>3524</v>
      </c>
    </row>
    <row r="3920" ht="15.75" customHeight="1">
      <c r="B3920" s="95"/>
      <c r="C3920" s="108" t="s">
        <v>220</v>
      </c>
      <c r="D3920" s="101" t="s">
        <v>2430</v>
      </c>
      <c r="E3920" s="101" t="s">
        <v>577</v>
      </c>
      <c r="F3920" s="109">
        <f t="shared" si="8"/>
        <v>25</v>
      </c>
      <c r="G3920" s="110" t="s">
        <v>3525</v>
      </c>
    </row>
    <row r="3921" ht="15.75" customHeight="1">
      <c r="B3921" s="95"/>
      <c r="C3921" s="108" t="s">
        <v>220</v>
      </c>
      <c r="D3921" s="101" t="s">
        <v>2430</v>
      </c>
      <c r="E3921" s="101" t="s">
        <v>577</v>
      </c>
      <c r="F3921" s="109">
        <f t="shared" si="8"/>
        <v>26</v>
      </c>
      <c r="G3921" s="110" t="s">
        <v>3526</v>
      </c>
    </row>
    <row r="3922" ht="15.75" customHeight="1">
      <c r="B3922" s="95"/>
      <c r="C3922" s="108" t="s">
        <v>220</v>
      </c>
      <c r="D3922" s="101" t="s">
        <v>2430</v>
      </c>
      <c r="E3922" s="101" t="s">
        <v>577</v>
      </c>
      <c r="F3922" s="109">
        <f t="shared" si="8"/>
        <v>27</v>
      </c>
      <c r="G3922" s="110" t="s">
        <v>3527</v>
      </c>
    </row>
    <row r="3923" ht="15.75" customHeight="1">
      <c r="B3923" s="95"/>
      <c r="C3923" s="108" t="s">
        <v>220</v>
      </c>
      <c r="D3923" s="101" t="s">
        <v>2430</v>
      </c>
      <c r="E3923" s="101" t="s">
        <v>577</v>
      </c>
      <c r="F3923" s="109">
        <f t="shared" si="8"/>
        <v>28</v>
      </c>
      <c r="G3923" s="110" t="s">
        <v>3528</v>
      </c>
    </row>
    <row r="3924" ht="15.75" customHeight="1">
      <c r="B3924" s="95"/>
      <c r="C3924" s="108" t="s">
        <v>220</v>
      </c>
      <c r="D3924" s="101" t="s">
        <v>2430</v>
      </c>
      <c r="E3924" s="101" t="s">
        <v>577</v>
      </c>
      <c r="F3924" s="109">
        <f t="shared" si="8"/>
        <v>29</v>
      </c>
      <c r="G3924" s="110" t="s">
        <v>3529</v>
      </c>
    </row>
    <row r="3925" ht="15.75" customHeight="1">
      <c r="B3925" s="95"/>
      <c r="C3925" s="108" t="s">
        <v>220</v>
      </c>
      <c r="D3925" s="101" t="s">
        <v>2430</v>
      </c>
      <c r="E3925" s="101" t="s">
        <v>577</v>
      </c>
      <c r="F3925" s="109">
        <f t="shared" si="8"/>
        <v>30</v>
      </c>
      <c r="G3925" s="110" t="s">
        <v>3530</v>
      </c>
    </row>
    <row r="3926" ht="15.75" customHeight="1">
      <c r="B3926" s="95"/>
      <c r="C3926" s="108" t="s">
        <v>220</v>
      </c>
      <c r="D3926" s="101" t="s">
        <v>2430</v>
      </c>
      <c r="E3926" s="101" t="s">
        <v>577</v>
      </c>
      <c r="F3926" s="109">
        <f t="shared" si="8"/>
        <v>31</v>
      </c>
      <c r="G3926" s="110" t="s">
        <v>3531</v>
      </c>
    </row>
    <row r="3927" ht="15.75" customHeight="1">
      <c r="B3927" s="95"/>
      <c r="C3927" s="108" t="s">
        <v>220</v>
      </c>
      <c r="D3927" s="101" t="s">
        <v>2430</v>
      </c>
      <c r="E3927" s="101" t="s">
        <v>577</v>
      </c>
      <c r="F3927" s="109">
        <f t="shared" si="8"/>
        <v>32</v>
      </c>
      <c r="G3927" s="110" t="s">
        <v>3532</v>
      </c>
    </row>
    <row r="3928" ht="15.75" customHeight="1">
      <c r="B3928" s="95"/>
      <c r="C3928" s="108" t="s">
        <v>220</v>
      </c>
      <c r="D3928" s="101" t="s">
        <v>2430</v>
      </c>
      <c r="E3928" s="101" t="s">
        <v>577</v>
      </c>
      <c r="F3928" s="109">
        <f t="shared" si="8"/>
        <v>33</v>
      </c>
      <c r="G3928" s="110" t="s">
        <v>3533</v>
      </c>
    </row>
    <row r="3929" ht="15.75" customHeight="1">
      <c r="B3929" s="95"/>
      <c r="C3929" s="108" t="s">
        <v>220</v>
      </c>
      <c r="D3929" s="101" t="s">
        <v>2430</v>
      </c>
      <c r="E3929" s="101" t="s">
        <v>577</v>
      </c>
      <c r="F3929" s="109">
        <f t="shared" si="8"/>
        <v>34</v>
      </c>
      <c r="G3929" s="110" t="s">
        <v>3534</v>
      </c>
    </row>
    <row r="3930" ht="15.75" customHeight="1">
      <c r="B3930" s="95"/>
      <c r="C3930" s="108" t="s">
        <v>220</v>
      </c>
      <c r="D3930" s="101" t="s">
        <v>2430</v>
      </c>
      <c r="E3930" s="101" t="s">
        <v>577</v>
      </c>
      <c r="F3930" s="109">
        <f t="shared" si="8"/>
        <v>35</v>
      </c>
      <c r="G3930" s="110" t="s">
        <v>3535</v>
      </c>
    </row>
    <row r="3931" ht="15.75" customHeight="1">
      <c r="B3931" s="95"/>
      <c r="C3931" s="108" t="s">
        <v>220</v>
      </c>
      <c r="D3931" s="101" t="s">
        <v>2430</v>
      </c>
      <c r="E3931" s="101" t="s">
        <v>577</v>
      </c>
      <c r="F3931" s="109">
        <f t="shared" si="8"/>
        <v>36</v>
      </c>
      <c r="G3931" s="110" t="s">
        <v>3260</v>
      </c>
    </row>
    <row r="3932" ht="15.75" customHeight="1">
      <c r="B3932" s="95"/>
      <c r="C3932" s="108" t="s">
        <v>220</v>
      </c>
      <c r="D3932" s="101" t="s">
        <v>2430</v>
      </c>
      <c r="E3932" s="101" t="s">
        <v>577</v>
      </c>
      <c r="F3932" s="109">
        <f t="shared" si="8"/>
        <v>37</v>
      </c>
      <c r="G3932" s="110" t="s">
        <v>3536</v>
      </c>
    </row>
    <row r="3933" ht="15.75" customHeight="1">
      <c r="B3933" s="95"/>
      <c r="C3933" s="108" t="s">
        <v>220</v>
      </c>
      <c r="D3933" s="101" t="s">
        <v>2430</v>
      </c>
      <c r="E3933" s="101" t="s">
        <v>577</v>
      </c>
      <c r="F3933" s="109">
        <f t="shared" si="8"/>
        <v>38</v>
      </c>
      <c r="G3933" s="110" t="s">
        <v>3537</v>
      </c>
    </row>
    <row r="3934" ht="15.75" customHeight="1">
      <c r="B3934" s="95"/>
      <c r="C3934" s="108" t="s">
        <v>220</v>
      </c>
      <c r="D3934" s="101" t="s">
        <v>2430</v>
      </c>
      <c r="E3934" s="101" t="s">
        <v>577</v>
      </c>
      <c r="F3934" s="109">
        <f t="shared" si="8"/>
        <v>39</v>
      </c>
      <c r="G3934" s="110" t="s">
        <v>3538</v>
      </c>
    </row>
    <row r="3935" ht="15.75" customHeight="1">
      <c r="B3935" s="95"/>
      <c r="C3935" s="108" t="s">
        <v>220</v>
      </c>
      <c r="D3935" s="101" t="s">
        <v>2430</v>
      </c>
      <c r="E3935" s="101" t="s">
        <v>577</v>
      </c>
      <c r="F3935" s="109">
        <f t="shared" si="8"/>
        <v>40</v>
      </c>
      <c r="G3935" s="110" t="s">
        <v>3539</v>
      </c>
    </row>
    <row r="3936" ht="15.75" customHeight="1">
      <c r="B3936" s="95"/>
      <c r="C3936" s="108" t="s">
        <v>220</v>
      </c>
      <c r="D3936" s="101" t="s">
        <v>2430</v>
      </c>
      <c r="E3936" s="101" t="s">
        <v>577</v>
      </c>
      <c r="F3936" s="109">
        <f t="shared" si="8"/>
        <v>41</v>
      </c>
      <c r="G3936" s="110" t="s">
        <v>3540</v>
      </c>
    </row>
    <row r="3937" ht="15.75" customHeight="1">
      <c r="B3937" s="95"/>
      <c r="C3937" s="108" t="s">
        <v>220</v>
      </c>
      <c r="D3937" s="101" t="s">
        <v>2430</v>
      </c>
      <c r="E3937" s="101" t="s">
        <v>577</v>
      </c>
      <c r="F3937" s="109">
        <f t="shared" si="8"/>
        <v>42</v>
      </c>
      <c r="G3937" s="110" t="s">
        <v>3541</v>
      </c>
    </row>
    <row r="3938" ht="15.75" customHeight="1">
      <c r="B3938" s="95"/>
      <c r="C3938" s="108" t="s">
        <v>220</v>
      </c>
      <c r="D3938" s="101" t="s">
        <v>2430</v>
      </c>
      <c r="E3938" s="101" t="s">
        <v>577</v>
      </c>
      <c r="F3938" s="109">
        <f t="shared" si="8"/>
        <v>43</v>
      </c>
      <c r="G3938" s="110" t="s">
        <v>3542</v>
      </c>
    </row>
    <row r="3939" ht="15.75" customHeight="1">
      <c r="B3939" s="95"/>
      <c r="C3939" s="108" t="s">
        <v>220</v>
      </c>
      <c r="D3939" s="101" t="s">
        <v>2430</v>
      </c>
      <c r="E3939" s="101" t="s">
        <v>577</v>
      </c>
      <c r="F3939" s="109">
        <f t="shared" si="8"/>
        <v>44</v>
      </c>
      <c r="G3939" s="110" t="s">
        <v>3543</v>
      </c>
    </row>
    <row r="3940" ht="15.75" customHeight="1">
      <c r="B3940" s="95"/>
      <c r="C3940" s="108" t="s">
        <v>220</v>
      </c>
      <c r="D3940" s="101" t="s">
        <v>2430</v>
      </c>
      <c r="E3940" s="101" t="s">
        <v>577</v>
      </c>
      <c r="F3940" s="109">
        <f t="shared" si="8"/>
        <v>45</v>
      </c>
      <c r="G3940" s="110" t="s">
        <v>3544</v>
      </c>
    </row>
    <row r="3941" ht="15.75" customHeight="1">
      <c r="B3941" s="95"/>
      <c r="C3941" s="108" t="s">
        <v>220</v>
      </c>
      <c r="D3941" s="101" t="s">
        <v>2430</v>
      </c>
      <c r="E3941" s="101" t="s">
        <v>577</v>
      </c>
      <c r="F3941" s="109">
        <f t="shared" si="8"/>
        <v>46</v>
      </c>
      <c r="G3941" s="110" t="s">
        <v>3545</v>
      </c>
    </row>
    <row r="3942" ht="15.75" customHeight="1">
      <c r="B3942" s="95"/>
      <c r="C3942" s="108" t="s">
        <v>220</v>
      </c>
      <c r="D3942" s="101" t="s">
        <v>2430</v>
      </c>
      <c r="E3942" s="101" t="s">
        <v>577</v>
      </c>
      <c r="F3942" s="109">
        <f t="shared" si="8"/>
        <v>47</v>
      </c>
      <c r="G3942" s="110" t="s">
        <v>3546</v>
      </c>
    </row>
    <row r="3943" ht="15.75" customHeight="1">
      <c r="B3943" s="95"/>
      <c r="C3943" s="108" t="s">
        <v>220</v>
      </c>
      <c r="D3943" s="101" t="s">
        <v>2430</v>
      </c>
      <c r="E3943" s="101" t="s">
        <v>577</v>
      </c>
      <c r="F3943" s="109">
        <f t="shared" si="8"/>
        <v>48</v>
      </c>
      <c r="G3943" s="110" t="s">
        <v>3547</v>
      </c>
    </row>
    <row r="3944" ht="15.75" customHeight="1">
      <c r="B3944" s="95"/>
      <c r="C3944" s="108" t="s">
        <v>220</v>
      </c>
      <c r="D3944" s="101" t="s">
        <v>2430</v>
      </c>
      <c r="E3944" s="101" t="s">
        <v>577</v>
      </c>
      <c r="F3944" s="109">
        <f t="shared" si="8"/>
        <v>49</v>
      </c>
      <c r="G3944" s="110" t="s">
        <v>3548</v>
      </c>
    </row>
    <row r="3945" ht="15.75" customHeight="1">
      <c r="B3945" s="95"/>
      <c r="C3945" s="108" t="s">
        <v>220</v>
      </c>
      <c r="D3945" s="101" t="s">
        <v>2430</v>
      </c>
      <c r="E3945" s="101" t="s">
        <v>577</v>
      </c>
      <c r="F3945" s="109">
        <f t="shared" si="8"/>
        <v>50</v>
      </c>
      <c r="G3945" s="110" t="s">
        <v>3549</v>
      </c>
    </row>
    <row r="3946" ht="15.75" customHeight="1">
      <c r="B3946" s="95"/>
      <c r="C3946" s="108" t="s">
        <v>220</v>
      </c>
      <c r="D3946" s="101" t="s">
        <v>2430</v>
      </c>
      <c r="E3946" s="101" t="s">
        <v>577</v>
      </c>
      <c r="F3946" s="109">
        <f t="shared" si="8"/>
        <v>51</v>
      </c>
      <c r="G3946" s="110" t="s">
        <v>3550</v>
      </c>
    </row>
    <row r="3947" ht="15.75" customHeight="1">
      <c r="B3947" s="95"/>
      <c r="C3947" s="75" t="s">
        <v>559</v>
      </c>
      <c r="D3947" s="101" t="s">
        <v>2430</v>
      </c>
      <c r="E3947" s="101" t="s">
        <v>577</v>
      </c>
      <c r="F3947" s="109"/>
      <c r="G3947" s="111" t="s">
        <v>3551</v>
      </c>
    </row>
    <row r="3948" ht="15.75" customHeight="1">
      <c r="B3948" s="95"/>
      <c r="C3948" s="75" t="s">
        <v>559</v>
      </c>
      <c r="D3948" s="101" t="s">
        <v>2430</v>
      </c>
      <c r="E3948" s="101" t="s">
        <v>577</v>
      </c>
      <c r="F3948" s="109"/>
      <c r="G3948" s="111" t="s">
        <v>3552</v>
      </c>
    </row>
    <row r="3949" ht="15.75" customHeight="1">
      <c r="B3949" s="95"/>
      <c r="C3949" s="75" t="s">
        <v>559</v>
      </c>
      <c r="D3949" s="101" t="s">
        <v>2430</v>
      </c>
      <c r="E3949" s="101" t="s">
        <v>577</v>
      </c>
      <c r="F3949" s="109"/>
      <c r="G3949" s="111" t="s">
        <v>3553</v>
      </c>
    </row>
    <row r="3950" ht="15.75" customHeight="1">
      <c r="B3950" s="95"/>
      <c r="C3950" s="75" t="s">
        <v>559</v>
      </c>
      <c r="D3950" s="101" t="s">
        <v>2430</v>
      </c>
      <c r="E3950" s="101" t="s">
        <v>577</v>
      </c>
      <c r="F3950" s="109"/>
      <c r="G3950" s="111" t="s">
        <v>3554</v>
      </c>
    </row>
    <row r="3951" ht="15.75" customHeight="1">
      <c r="B3951" s="95"/>
      <c r="C3951" s="112" t="s">
        <v>563</v>
      </c>
      <c r="D3951" s="101" t="s">
        <v>91</v>
      </c>
      <c r="E3951" s="101" t="s">
        <v>577</v>
      </c>
      <c r="F3951" s="101">
        <v>1.0</v>
      </c>
      <c r="G3951" s="101" t="s">
        <v>3555</v>
      </c>
    </row>
    <row r="3952" ht="15.75" customHeight="1">
      <c r="B3952" s="95"/>
      <c r="C3952" s="112" t="s">
        <v>563</v>
      </c>
      <c r="D3952" s="101" t="s">
        <v>91</v>
      </c>
      <c r="E3952" s="101" t="s">
        <v>577</v>
      </c>
      <c r="F3952" s="101">
        <v>1.0</v>
      </c>
      <c r="G3952" s="101" t="s">
        <v>3556</v>
      </c>
    </row>
    <row r="3953" ht="15.75" customHeight="1">
      <c r="B3953" s="95"/>
      <c r="C3953" s="112" t="s">
        <v>563</v>
      </c>
      <c r="D3953" s="101" t="s">
        <v>91</v>
      </c>
      <c r="E3953" s="101" t="s">
        <v>577</v>
      </c>
      <c r="F3953" s="101">
        <v>1.0</v>
      </c>
      <c r="G3953" s="101" t="s">
        <v>3557</v>
      </c>
    </row>
    <row r="3954" ht="15.75" customHeight="1">
      <c r="B3954" s="95"/>
      <c r="C3954" s="75"/>
      <c r="D3954" s="113"/>
      <c r="E3954" s="113"/>
      <c r="F3954" s="109"/>
      <c r="G3954" s="111"/>
    </row>
    <row r="3955" ht="15.75" customHeight="1">
      <c r="B3955" s="95"/>
      <c r="C3955" s="75"/>
      <c r="D3955" s="113"/>
      <c r="E3955" s="113"/>
      <c r="F3955" s="109"/>
      <c r="G3955" s="111"/>
    </row>
    <row r="3956" ht="15.75" customHeight="1">
      <c r="B3956" s="95"/>
      <c r="C3956" s="75"/>
      <c r="D3956" s="113"/>
      <c r="E3956" s="113"/>
      <c r="F3956" s="109"/>
      <c r="G3956" s="111"/>
    </row>
    <row r="3957" ht="15.75" customHeight="1">
      <c r="B3957" s="95"/>
      <c r="C3957" s="75"/>
      <c r="D3957" s="113"/>
      <c r="E3957" s="113"/>
      <c r="F3957" s="109"/>
      <c r="G3957" s="111"/>
    </row>
    <row r="3958" ht="15.75" customHeight="1">
      <c r="B3958" s="95"/>
      <c r="C3958" s="75"/>
      <c r="D3958" s="113"/>
      <c r="E3958" s="113"/>
      <c r="F3958" s="109"/>
      <c r="G3958" s="111"/>
    </row>
    <row r="3959" ht="15.75" customHeight="1">
      <c r="B3959" s="95"/>
      <c r="C3959" s="75"/>
      <c r="D3959" s="113"/>
      <c r="E3959" s="113"/>
      <c r="F3959" s="109"/>
      <c r="G3959" s="111"/>
    </row>
    <row r="3960" ht="15.75" customHeight="1">
      <c r="B3960" s="95"/>
      <c r="C3960" s="75"/>
      <c r="D3960" s="113"/>
      <c r="E3960" s="113"/>
      <c r="F3960" s="109"/>
      <c r="G3960" s="111"/>
    </row>
    <row r="3961" ht="15.75" customHeight="1">
      <c r="B3961" s="95"/>
      <c r="C3961" s="75"/>
      <c r="D3961" s="113"/>
      <c r="E3961" s="113"/>
      <c r="F3961" s="109"/>
      <c r="G3961" s="111"/>
    </row>
    <row r="3962" ht="15.75" customHeight="1">
      <c r="B3962" s="95"/>
      <c r="C3962" s="75"/>
      <c r="D3962" s="113"/>
      <c r="E3962" s="113"/>
      <c r="F3962" s="109"/>
      <c r="G3962" s="111"/>
    </row>
    <row r="3963" ht="15.75" customHeight="1">
      <c r="B3963" s="95"/>
      <c r="C3963" s="75"/>
      <c r="D3963" s="113"/>
      <c r="E3963" s="113"/>
      <c r="F3963" s="109"/>
      <c r="G3963" s="111"/>
    </row>
    <row r="3964" ht="15.75" customHeight="1">
      <c r="B3964" s="95"/>
      <c r="C3964" s="75"/>
      <c r="D3964" s="113"/>
      <c r="E3964" s="113"/>
      <c r="F3964" s="109"/>
      <c r="G3964" s="111"/>
    </row>
    <row r="3965" ht="15.75" customHeight="1">
      <c r="B3965" s="95"/>
      <c r="C3965" s="75"/>
      <c r="D3965" s="113"/>
      <c r="E3965" s="113"/>
      <c r="F3965" s="109"/>
      <c r="G3965" s="111"/>
    </row>
    <row r="3966" ht="15.75" customHeight="1">
      <c r="B3966" s="95"/>
      <c r="C3966" s="75"/>
      <c r="D3966" s="113"/>
      <c r="E3966" s="113"/>
      <c r="F3966" s="109"/>
      <c r="G3966" s="111"/>
    </row>
    <row r="3967" ht="15.75" customHeight="1">
      <c r="B3967" s="95"/>
      <c r="C3967" s="75"/>
      <c r="D3967" s="113"/>
      <c r="E3967" s="113"/>
      <c r="F3967" s="109"/>
      <c r="G3967" s="111"/>
    </row>
    <row r="3968" ht="15.75" customHeight="1">
      <c r="B3968" s="95"/>
      <c r="C3968" s="75"/>
      <c r="D3968" s="113"/>
      <c r="E3968" s="113"/>
      <c r="F3968" s="109"/>
      <c r="G3968" s="111"/>
    </row>
    <row r="3969" ht="15.75" customHeight="1">
      <c r="B3969" s="95"/>
      <c r="C3969" s="75"/>
      <c r="D3969" s="113"/>
      <c r="E3969" s="113"/>
      <c r="F3969" s="109"/>
      <c r="G3969" s="111"/>
    </row>
    <row r="3970" ht="15.75" customHeight="1">
      <c r="B3970" s="95"/>
      <c r="C3970" s="75"/>
      <c r="D3970" s="113"/>
      <c r="E3970" s="113"/>
      <c r="F3970" s="109"/>
      <c r="G3970" s="111"/>
    </row>
    <row r="3971" ht="15.75" customHeight="1">
      <c r="B3971" s="95"/>
      <c r="C3971" s="75"/>
      <c r="D3971" s="113"/>
      <c r="E3971" s="113"/>
      <c r="F3971" s="109"/>
      <c r="G3971" s="111"/>
    </row>
    <row r="3972" ht="15.75" customHeight="1">
      <c r="B3972" s="95"/>
      <c r="C3972" s="75"/>
      <c r="D3972" s="113"/>
      <c r="E3972" s="113"/>
      <c r="F3972" s="109"/>
      <c r="G3972" s="111"/>
    </row>
    <row r="3973" ht="15.75" customHeight="1">
      <c r="B3973" s="95"/>
      <c r="C3973" s="75"/>
      <c r="D3973" s="113"/>
      <c r="E3973" s="113"/>
      <c r="F3973" s="109"/>
      <c r="G3973" s="111"/>
    </row>
    <row r="3974" ht="15.75" customHeight="1">
      <c r="B3974" s="95"/>
      <c r="C3974" s="75"/>
      <c r="D3974" s="113"/>
      <c r="E3974" s="113"/>
      <c r="F3974" s="109"/>
      <c r="G3974" s="111"/>
    </row>
    <row r="3975" ht="15.75" customHeight="1">
      <c r="B3975" s="95"/>
      <c r="C3975" s="75"/>
      <c r="D3975" s="113"/>
      <c r="E3975" s="113"/>
      <c r="F3975" s="109"/>
      <c r="G3975" s="111"/>
    </row>
    <row r="3976" ht="15.75" customHeight="1">
      <c r="B3976" s="95"/>
      <c r="C3976" s="75"/>
      <c r="D3976" s="113"/>
      <c r="E3976" s="113"/>
      <c r="F3976" s="109"/>
      <c r="G3976" s="111"/>
    </row>
    <row r="3977" ht="15.75" customHeight="1">
      <c r="B3977" s="95"/>
      <c r="C3977" s="75"/>
      <c r="D3977" s="113"/>
      <c r="E3977" s="113"/>
      <c r="F3977" s="109"/>
      <c r="G3977" s="111"/>
    </row>
    <row r="3978" ht="15.75" customHeight="1">
      <c r="B3978" s="95"/>
      <c r="C3978" s="75"/>
      <c r="D3978" s="113"/>
      <c r="E3978" s="113"/>
      <c r="F3978" s="109"/>
      <c r="G3978" s="111"/>
    </row>
    <row r="3979" ht="15.75" customHeight="1">
      <c r="B3979" s="95"/>
      <c r="C3979" s="75"/>
      <c r="D3979" s="113"/>
      <c r="E3979" s="113"/>
      <c r="F3979" s="109"/>
      <c r="G3979" s="111"/>
    </row>
    <row r="3980" ht="15.75" customHeight="1">
      <c r="B3980" s="95"/>
      <c r="C3980" s="75"/>
      <c r="D3980" s="113"/>
      <c r="E3980" s="113"/>
      <c r="F3980" s="109"/>
      <c r="G3980" s="111"/>
    </row>
    <row r="3981" ht="15.75" customHeight="1">
      <c r="B3981" s="95"/>
      <c r="C3981" s="75"/>
      <c r="D3981" s="113"/>
      <c r="E3981" s="113"/>
      <c r="F3981" s="109"/>
      <c r="G3981" s="111"/>
    </row>
    <row r="3982" ht="15.75" customHeight="1">
      <c r="B3982" s="95"/>
      <c r="C3982" s="75"/>
      <c r="D3982" s="113"/>
      <c r="E3982" s="113"/>
      <c r="F3982" s="109"/>
      <c r="G3982" s="111"/>
    </row>
    <row r="3983" ht="15.75" customHeight="1">
      <c r="B3983" s="95"/>
      <c r="C3983" s="75"/>
      <c r="D3983" s="113"/>
      <c r="E3983" s="113"/>
      <c r="F3983" s="109"/>
      <c r="G3983" s="111"/>
    </row>
    <row r="3984" ht="15.75" customHeight="1">
      <c r="B3984" s="95"/>
      <c r="C3984" s="75"/>
      <c r="D3984" s="113"/>
      <c r="E3984" s="113"/>
      <c r="F3984" s="109"/>
      <c r="G3984" s="111"/>
    </row>
    <row r="3985" ht="15.75" customHeight="1">
      <c r="B3985" s="95"/>
      <c r="C3985" s="75"/>
      <c r="D3985" s="113"/>
      <c r="E3985" s="113"/>
      <c r="F3985" s="109"/>
      <c r="G3985" s="111"/>
    </row>
    <row r="3986" ht="15.75" customHeight="1">
      <c r="B3986" s="95"/>
      <c r="C3986" s="75"/>
      <c r="D3986" s="113"/>
      <c r="E3986" s="113"/>
      <c r="F3986" s="109"/>
      <c r="G3986" s="111"/>
    </row>
    <row r="3987" ht="15.75" customHeight="1">
      <c r="B3987" s="95"/>
      <c r="C3987" s="75"/>
      <c r="D3987" s="113"/>
      <c r="E3987" s="113"/>
      <c r="F3987" s="109"/>
      <c r="G3987" s="111"/>
    </row>
    <row r="3988" ht="15.75" customHeight="1">
      <c r="B3988" s="95"/>
      <c r="C3988" s="75"/>
      <c r="D3988" s="113"/>
      <c r="E3988" s="113"/>
      <c r="F3988" s="109"/>
      <c r="G3988" s="111"/>
    </row>
    <row r="3989" ht="15.75" customHeight="1">
      <c r="B3989" s="95"/>
      <c r="C3989" s="75"/>
      <c r="D3989" s="113"/>
      <c r="E3989" s="113"/>
      <c r="F3989" s="109"/>
      <c r="G3989" s="111"/>
    </row>
    <row r="3990" ht="15.75" customHeight="1">
      <c r="B3990" s="95"/>
      <c r="C3990" s="75"/>
      <c r="D3990" s="113"/>
      <c r="E3990" s="113"/>
      <c r="F3990" s="109"/>
      <c r="G3990" s="111"/>
    </row>
    <row r="3991" ht="15.75" customHeight="1">
      <c r="B3991" s="95"/>
      <c r="C3991" s="75"/>
      <c r="D3991" s="113"/>
      <c r="E3991" s="113"/>
      <c r="F3991" s="109"/>
      <c r="G3991" s="111"/>
    </row>
    <row r="3992" ht="15.75" customHeight="1">
      <c r="B3992" s="95"/>
      <c r="C3992" s="75"/>
      <c r="D3992" s="113"/>
      <c r="E3992" s="113"/>
      <c r="F3992" s="109"/>
      <c r="G3992" s="111"/>
    </row>
    <row r="3993" ht="15.75" customHeight="1">
      <c r="B3993" s="95"/>
      <c r="C3993" s="75"/>
      <c r="D3993" s="113"/>
      <c r="E3993" s="113"/>
      <c r="F3993" s="109"/>
      <c r="G3993" s="111"/>
    </row>
    <row r="3994" ht="15.75" customHeight="1">
      <c r="B3994" s="95"/>
      <c r="C3994" s="75"/>
      <c r="D3994" s="113"/>
      <c r="E3994" s="113"/>
      <c r="F3994" s="109"/>
      <c r="G3994" s="111"/>
    </row>
    <row r="3995" ht="15.75" customHeight="1">
      <c r="B3995" s="95"/>
      <c r="C3995" s="75"/>
      <c r="D3995" s="113"/>
      <c r="E3995" s="113"/>
      <c r="F3995" s="109"/>
      <c r="G3995" s="111"/>
    </row>
    <row r="3996" ht="15.75" customHeight="1">
      <c r="B3996" s="95"/>
      <c r="C3996" s="75"/>
      <c r="D3996" s="113"/>
      <c r="E3996" s="113"/>
      <c r="F3996" s="109"/>
      <c r="G3996" s="111"/>
    </row>
    <row r="3997" ht="15.75" customHeight="1">
      <c r="B3997" s="95"/>
      <c r="C3997" s="75"/>
      <c r="D3997" s="113"/>
      <c r="E3997" s="113"/>
      <c r="F3997" s="109"/>
      <c r="G3997" s="111"/>
    </row>
    <row r="3998" ht="15.75" customHeight="1">
      <c r="B3998" s="95"/>
      <c r="C3998" s="75"/>
      <c r="D3998" s="113"/>
      <c r="E3998" s="113"/>
      <c r="F3998" s="109"/>
      <c r="G3998" s="111"/>
    </row>
    <row r="3999" ht="15.75" customHeight="1">
      <c r="B3999" s="95"/>
      <c r="C3999" s="75"/>
      <c r="D3999" s="113"/>
      <c r="E3999" s="113"/>
      <c r="F3999" s="109"/>
      <c r="G3999" s="111"/>
    </row>
    <row r="4000" ht="15.75" customHeight="1">
      <c r="B4000" s="95"/>
      <c r="C4000" s="75"/>
      <c r="D4000" s="113"/>
      <c r="E4000" s="113"/>
      <c r="F4000" s="109"/>
      <c r="G4000" s="111"/>
    </row>
    <row r="4001" ht="15.75" customHeight="1">
      <c r="B4001" s="95"/>
      <c r="C4001" s="75"/>
      <c r="D4001" s="113"/>
      <c r="E4001" s="113"/>
      <c r="F4001" s="109"/>
      <c r="G4001" s="111"/>
    </row>
    <row r="4002" ht="15.75" customHeight="1">
      <c r="B4002" s="95"/>
      <c r="C4002" s="75"/>
      <c r="D4002" s="113"/>
      <c r="E4002" s="113"/>
      <c r="F4002" s="109"/>
      <c r="G4002" s="111"/>
    </row>
    <row r="4003" ht="15.75" customHeight="1">
      <c r="B4003" s="95"/>
      <c r="C4003" s="75"/>
      <c r="D4003" s="113"/>
      <c r="E4003" s="113"/>
      <c r="F4003" s="109"/>
      <c r="G4003" s="111"/>
    </row>
    <row r="4004" ht="15.75" customHeight="1">
      <c r="B4004" s="95"/>
      <c r="C4004" s="75"/>
      <c r="D4004" s="113"/>
      <c r="E4004" s="113"/>
      <c r="F4004" s="109"/>
      <c r="G4004" s="111"/>
    </row>
    <row r="4005" ht="15.75" customHeight="1">
      <c r="B4005" s="95"/>
      <c r="C4005" s="75"/>
      <c r="D4005" s="113"/>
      <c r="E4005" s="113"/>
      <c r="F4005" s="109"/>
      <c r="G4005" s="111"/>
    </row>
    <row r="4006" ht="15.75" customHeight="1">
      <c r="B4006" s="95"/>
      <c r="C4006" s="75"/>
      <c r="D4006" s="113"/>
      <c r="E4006" s="113"/>
      <c r="F4006" s="109"/>
      <c r="G4006" s="111"/>
    </row>
    <row r="4007" ht="15.75" customHeight="1">
      <c r="B4007" s="95"/>
      <c r="C4007" s="75"/>
      <c r="D4007" s="113"/>
      <c r="E4007" s="113"/>
      <c r="F4007" s="109"/>
      <c r="G4007" s="111"/>
    </row>
    <row r="4008" ht="15.75" customHeight="1">
      <c r="B4008" s="95"/>
      <c r="C4008" s="75"/>
      <c r="D4008" s="113"/>
      <c r="E4008" s="113"/>
      <c r="F4008" s="109"/>
      <c r="G4008" s="111"/>
    </row>
    <row r="4009" ht="15.75" customHeight="1">
      <c r="B4009" s="95"/>
      <c r="C4009" s="75"/>
      <c r="D4009" s="113"/>
      <c r="E4009" s="113"/>
      <c r="F4009" s="109"/>
      <c r="G4009" s="111"/>
    </row>
    <row r="4010" ht="15.75" customHeight="1">
      <c r="B4010" s="95"/>
      <c r="C4010" s="75"/>
      <c r="D4010" s="113"/>
      <c r="E4010" s="113"/>
      <c r="F4010" s="109"/>
      <c r="G4010" s="111"/>
    </row>
    <row r="4011" ht="15.75" customHeight="1">
      <c r="B4011" s="95"/>
      <c r="C4011" s="75"/>
      <c r="D4011" s="113"/>
      <c r="E4011" s="113"/>
      <c r="F4011" s="109"/>
      <c r="G4011" s="111"/>
    </row>
    <row r="4012" ht="15.75" customHeight="1">
      <c r="B4012" s="95"/>
      <c r="C4012" s="75"/>
      <c r="D4012" s="113"/>
      <c r="E4012" s="113"/>
      <c r="F4012" s="109"/>
      <c r="G4012" s="111"/>
    </row>
    <row r="4013" ht="15.75" customHeight="1">
      <c r="B4013" s="95"/>
      <c r="C4013" s="75"/>
      <c r="D4013" s="113"/>
      <c r="E4013" s="113"/>
      <c r="F4013" s="109"/>
      <c r="G4013" s="111"/>
    </row>
    <row r="4014" ht="15.75" customHeight="1">
      <c r="B4014" s="95"/>
      <c r="C4014" s="75"/>
      <c r="D4014" s="113"/>
      <c r="E4014" s="113"/>
      <c r="F4014" s="109"/>
      <c r="G4014" s="111"/>
    </row>
    <row r="4015" ht="15.75" customHeight="1">
      <c r="B4015" s="95"/>
      <c r="C4015" s="75"/>
      <c r="D4015" s="113"/>
      <c r="E4015" s="113"/>
      <c r="F4015" s="109"/>
      <c r="G4015" s="111"/>
    </row>
    <row r="4016" ht="15.75" customHeight="1">
      <c r="B4016" s="95"/>
      <c r="C4016" s="75"/>
      <c r="D4016" s="113"/>
      <c r="E4016" s="113"/>
      <c r="F4016" s="109"/>
      <c r="G4016" s="111"/>
    </row>
    <row r="4017" ht="15.75" customHeight="1">
      <c r="B4017" s="95"/>
      <c r="C4017" s="75"/>
      <c r="D4017" s="113"/>
      <c r="E4017" s="113"/>
      <c r="F4017" s="109"/>
      <c r="G4017" s="111"/>
    </row>
    <row r="4018" ht="15.75" customHeight="1">
      <c r="B4018" s="95"/>
      <c r="C4018" s="75"/>
      <c r="D4018" s="113"/>
      <c r="E4018" s="113"/>
      <c r="F4018" s="109"/>
      <c r="G4018" s="111"/>
    </row>
    <row r="4019" ht="15.75" customHeight="1">
      <c r="B4019" s="95"/>
      <c r="C4019" s="75"/>
      <c r="D4019" s="113"/>
      <c r="E4019" s="113"/>
      <c r="F4019" s="109"/>
      <c r="G4019" s="111"/>
    </row>
    <row r="4020" ht="15.75" customHeight="1">
      <c r="B4020" s="95"/>
      <c r="C4020" s="75"/>
      <c r="D4020" s="113"/>
      <c r="E4020" s="113"/>
      <c r="F4020" s="109"/>
      <c r="G4020" s="111"/>
    </row>
    <row r="4021" ht="15.75" customHeight="1">
      <c r="B4021" s="95"/>
      <c r="C4021" s="75"/>
      <c r="D4021" s="113"/>
      <c r="E4021" s="113"/>
      <c r="F4021" s="109"/>
      <c r="G4021" s="111"/>
    </row>
    <row r="4022" ht="15.75" customHeight="1">
      <c r="B4022" s="95"/>
      <c r="C4022" s="75"/>
      <c r="D4022" s="113"/>
      <c r="E4022" s="113"/>
      <c r="F4022" s="109"/>
      <c r="G4022" s="111"/>
    </row>
    <row r="4023" ht="15.75" customHeight="1">
      <c r="B4023" s="95"/>
      <c r="C4023" s="75"/>
      <c r="D4023" s="113"/>
      <c r="E4023" s="113"/>
      <c r="F4023" s="109"/>
      <c r="G4023" s="111"/>
    </row>
    <row r="4024" ht="15.75" customHeight="1">
      <c r="B4024" s="95"/>
      <c r="C4024" s="75"/>
      <c r="D4024" s="113"/>
      <c r="E4024" s="113"/>
      <c r="F4024" s="109"/>
      <c r="G4024" s="111"/>
    </row>
    <row r="4025" ht="15.75" customHeight="1">
      <c r="B4025" s="95"/>
      <c r="C4025" s="75"/>
      <c r="D4025" s="113"/>
      <c r="E4025" s="113"/>
      <c r="F4025" s="109"/>
      <c r="G4025" s="111"/>
    </row>
    <row r="4026" ht="15.75" customHeight="1">
      <c r="B4026" s="95"/>
      <c r="C4026" s="75"/>
      <c r="D4026" s="113"/>
      <c r="E4026" s="113"/>
      <c r="F4026" s="109"/>
      <c r="G4026" s="111"/>
    </row>
    <row r="4027" ht="15.75" customHeight="1">
      <c r="B4027" s="95"/>
      <c r="C4027" s="75"/>
      <c r="D4027" s="113"/>
      <c r="E4027" s="113"/>
      <c r="F4027" s="109"/>
      <c r="G4027" s="111"/>
    </row>
    <row r="4028" ht="15.75" customHeight="1">
      <c r="B4028" s="95"/>
      <c r="C4028" s="75"/>
      <c r="D4028" s="113"/>
      <c r="E4028" s="113"/>
      <c r="F4028" s="109"/>
      <c r="G4028" s="111"/>
    </row>
    <row r="4029" ht="15.75" customHeight="1">
      <c r="B4029" s="95"/>
      <c r="C4029" s="75"/>
      <c r="D4029" s="113"/>
      <c r="E4029" s="113"/>
      <c r="F4029" s="109"/>
      <c r="G4029" s="111"/>
    </row>
    <row r="4030" ht="15.75" customHeight="1">
      <c r="B4030" s="95"/>
      <c r="C4030" s="75"/>
      <c r="D4030" s="113"/>
      <c r="E4030" s="113"/>
      <c r="F4030" s="109"/>
      <c r="G4030" s="111"/>
    </row>
    <row r="4031" ht="15.75" customHeight="1">
      <c r="B4031" s="95"/>
      <c r="C4031" s="75"/>
      <c r="D4031" s="113"/>
      <c r="E4031" s="113"/>
      <c r="F4031" s="109"/>
      <c r="G4031" s="111"/>
    </row>
    <row r="4032" ht="15.75" customHeight="1">
      <c r="B4032" s="95"/>
      <c r="C4032" s="75"/>
      <c r="D4032" s="113"/>
      <c r="E4032" s="113"/>
      <c r="F4032" s="109"/>
      <c r="G4032" s="111"/>
    </row>
    <row r="4033" ht="15.75" customHeight="1">
      <c r="B4033" s="95"/>
      <c r="C4033" s="75"/>
      <c r="D4033" s="113"/>
      <c r="E4033" s="113"/>
      <c r="F4033" s="109"/>
      <c r="G4033" s="111"/>
    </row>
    <row r="4034" ht="15.75" customHeight="1">
      <c r="B4034" s="95"/>
      <c r="C4034" s="75"/>
      <c r="D4034" s="113"/>
      <c r="E4034" s="113"/>
      <c r="F4034" s="109"/>
      <c r="G4034" s="111"/>
    </row>
    <row r="4035" ht="15.75" customHeight="1">
      <c r="B4035" s="95"/>
      <c r="C4035" s="75"/>
      <c r="D4035" s="113"/>
      <c r="E4035" s="113"/>
      <c r="F4035" s="109"/>
      <c r="G4035" s="111"/>
    </row>
    <row r="4036" ht="15.75" customHeight="1">
      <c r="B4036" s="95"/>
      <c r="C4036" s="75"/>
      <c r="D4036" s="113"/>
      <c r="E4036" s="113"/>
      <c r="F4036" s="109"/>
      <c r="G4036" s="111"/>
    </row>
    <row r="4037" ht="15.75" customHeight="1">
      <c r="B4037" s="95"/>
      <c r="C4037" s="75"/>
      <c r="D4037" s="113"/>
      <c r="E4037" s="113"/>
      <c r="F4037" s="109"/>
      <c r="G4037" s="111"/>
    </row>
    <row r="4038" ht="15.75" customHeight="1">
      <c r="B4038" s="95"/>
      <c r="C4038" s="75"/>
      <c r="D4038" s="113"/>
      <c r="E4038" s="113"/>
      <c r="F4038" s="109"/>
      <c r="G4038" s="111"/>
    </row>
    <row r="4039" ht="15.75" customHeight="1">
      <c r="B4039" s="95"/>
      <c r="C4039" s="75"/>
      <c r="D4039" s="113"/>
      <c r="E4039" s="113"/>
      <c r="F4039" s="109"/>
      <c r="G4039" s="111"/>
    </row>
    <row r="4040" ht="15.75" customHeight="1">
      <c r="B4040" s="95"/>
      <c r="C4040" s="75"/>
      <c r="D4040" s="113"/>
      <c r="E4040" s="113"/>
      <c r="F4040" s="109"/>
      <c r="G4040" s="111"/>
    </row>
    <row r="4041" ht="15.75" customHeight="1">
      <c r="B4041" s="95"/>
      <c r="C4041" s="75"/>
      <c r="D4041" s="113"/>
      <c r="E4041" s="113"/>
      <c r="F4041" s="109"/>
      <c r="G4041" s="111"/>
    </row>
    <row r="4042" ht="15.75" customHeight="1">
      <c r="B4042" s="95"/>
      <c r="C4042" s="75"/>
      <c r="D4042" s="113"/>
      <c r="E4042" s="113"/>
      <c r="F4042" s="109"/>
      <c r="G4042" s="111"/>
    </row>
    <row r="4043" ht="15.75" customHeight="1">
      <c r="B4043" s="95"/>
      <c r="C4043" s="75"/>
      <c r="D4043" s="113"/>
      <c r="E4043" s="113"/>
      <c r="F4043" s="109"/>
      <c r="G4043" s="111"/>
    </row>
    <row r="4044" ht="15.75" customHeight="1">
      <c r="B4044" s="95"/>
      <c r="C4044" s="75"/>
      <c r="D4044" s="113"/>
      <c r="E4044" s="113"/>
      <c r="F4044" s="109"/>
      <c r="G4044" s="111"/>
    </row>
    <row r="4045" ht="15.75" customHeight="1">
      <c r="B4045" s="95"/>
      <c r="C4045" s="75"/>
      <c r="D4045" s="113"/>
      <c r="E4045" s="113"/>
      <c r="F4045" s="109"/>
      <c r="G4045" s="111"/>
    </row>
    <row r="4046" ht="15.75" customHeight="1">
      <c r="B4046" s="95"/>
      <c r="C4046" s="75"/>
      <c r="D4046" s="113"/>
      <c r="E4046" s="113"/>
      <c r="F4046" s="109"/>
      <c r="G4046" s="111"/>
    </row>
    <row r="4047" ht="15.75" customHeight="1">
      <c r="B4047" s="95"/>
      <c r="C4047" s="75"/>
      <c r="D4047" s="113"/>
      <c r="E4047" s="113"/>
      <c r="F4047" s="109"/>
      <c r="G4047" s="111"/>
    </row>
    <row r="4048" ht="15.75" customHeight="1">
      <c r="B4048" s="95"/>
      <c r="C4048" s="75"/>
      <c r="D4048" s="113"/>
      <c r="E4048" s="113"/>
      <c r="F4048" s="109"/>
      <c r="G4048" s="111"/>
    </row>
    <row r="4049" ht="15.75" customHeight="1">
      <c r="B4049" s="95"/>
      <c r="C4049" s="75"/>
      <c r="D4049" s="113"/>
      <c r="E4049" s="113"/>
      <c r="F4049" s="109"/>
      <c r="G4049" s="111"/>
    </row>
    <row r="4050" ht="15.75" customHeight="1">
      <c r="B4050" s="95"/>
      <c r="C4050" s="75"/>
      <c r="D4050" s="113"/>
      <c r="E4050" s="113"/>
      <c r="F4050" s="109"/>
      <c r="G4050" s="111"/>
    </row>
    <row r="4051" ht="15.75" customHeight="1">
      <c r="B4051" s="95"/>
      <c r="C4051" s="75"/>
      <c r="D4051" s="113"/>
      <c r="E4051" s="113"/>
      <c r="F4051" s="109"/>
      <c r="G4051" s="111"/>
    </row>
    <row r="4052" ht="15.75" customHeight="1">
      <c r="B4052" s="95"/>
      <c r="C4052" s="75"/>
      <c r="D4052" s="113"/>
      <c r="E4052" s="113"/>
      <c r="F4052" s="109"/>
      <c r="G4052" s="111"/>
    </row>
    <row r="4053" ht="15.75" customHeight="1">
      <c r="B4053" s="95"/>
      <c r="C4053" s="75"/>
      <c r="D4053" s="113"/>
      <c r="E4053" s="113"/>
      <c r="F4053" s="109"/>
      <c r="G4053" s="111"/>
    </row>
    <row r="4054" ht="15.75" customHeight="1">
      <c r="B4054" s="95"/>
      <c r="C4054" s="75"/>
      <c r="D4054" s="113"/>
      <c r="E4054" s="113"/>
      <c r="F4054" s="109"/>
      <c r="G4054" s="111"/>
    </row>
    <row r="4055" ht="15.75" customHeight="1">
      <c r="B4055" s="95"/>
      <c r="C4055" s="75"/>
      <c r="D4055" s="113"/>
      <c r="E4055" s="113"/>
      <c r="F4055" s="109"/>
      <c r="G4055" s="111"/>
    </row>
    <row r="4056" ht="15.75" customHeight="1">
      <c r="B4056" s="95"/>
      <c r="C4056" s="75"/>
      <c r="D4056" s="113"/>
      <c r="E4056" s="113"/>
      <c r="F4056" s="109"/>
      <c r="G4056" s="111"/>
    </row>
    <row r="4057" ht="15.75" customHeight="1">
      <c r="B4057" s="95"/>
      <c r="C4057" s="75"/>
      <c r="D4057" s="113"/>
      <c r="E4057" s="113"/>
      <c r="F4057" s="109"/>
      <c r="G4057" s="111"/>
    </row>
    <row r="4058" ht="15.75" customHeight="1">
      <c r="B4058" s="95"/>
      <c r="C4058" s="75"/>
      <c r="D4058" s="113"/>
      <c r="E4058" s="113"/>
      <c r="F4058" s="109"/>
      <c r="G4058" s="111"/>
    </row>
    <row r="4059" ht="15.75" customHeight="1">
      <c r="B4059" s="95"/>
      <c r="C4059" s="75"/>
      <c r="D4059" s="113"/>
      <c r="E4059" s="113"/>
      <c r="F4059" s="109"/>
      <c r="G4059" s="111"/>
    </row>
    <row r="4060" ht="15.75" customHeight="1">
      <c r="B4060" s="95"/>
      <c r="C4060" s="75"/>
      <c r="D4060" s="113"/>
      <c r="E4060" s="113"/>
      <c r="F4060" s="109"/>
      <c r="G4060" s="111"/>
    </row>
    <row r="4061" ht="15.75" customHeight="1">
      <c r="B4061" s="95"/>
      <c r="C4061" s="75"/>
      <c r="D4061" s="113"/>
      <c r="E4061" s="113"/>
      <c r="F4061" s="109"/>
      <c r="G4061" s="111"/>
    </row>
    <row r="4062" ht="15.75" customHeight="1">
      <c r="B4062" s="95"/>
      <c r="C4062" s="75"/>
      <c r="D4062" s="113"/>
      <c r="E4062" s="113"/>
      <c r="F4062" s="109"/>
      <c r="G4062" s="111"/>
    </row>
    <row r="4063" ht="15.75" customHeight="1">
      <c r="B4063" s="95"/>
      <c r="C4063" s="75"/>
      <c r="D4063" s="113"/>
      <c r="E4063" s="113"/>
      <c r="F4063" s="109"/>
      <c r="G4063" s="111"/>
    </row>
    <row r="4064" ht="15.75" customHeight="1">
      <c r="B4064" s="95"/>
      <c r="C4064" s="75"/>
      <c r="D4064" s="113"/>
      <c r="E4064" s="113"/>
      <c r="F4064" s="109"/>
      <c r="G4064" s="111"/>
    </row>
    <row r="4065" ht="15.75" customHeight="1">
      <c r="B4065" s="95"/>
      <c r="C4065" s="75"/>
      <c r="D4065" s="113"/>
      <c r="E4065" s="113"/>
      <c r="F4065" s="109"/>
      <c r="G4065" s="111"/>
    </row>
    <row r="4066" ht="15.75" customHeight="1">
      <c r="B4066" s="95"/>
      <c r="C4066" s="75"/>
      <c r="D4066" s="113"/>
      <c r="E4066" s="113"/>
      <c r="F4066" s="109"/>
      <c r="G4066" s="111"/>
    </row>
    <row r="4067" ht="15.75" customHeight="1">
      <c r="B4067" s="95"/>
      <c r="C4067" s="75"/>
      <c r="D4067" s="113"/>
      <c r="E4067" s="113"/>
      <c r="F4067" s="109"/>
      <c r="G4067" s="111"/>
    </row>
    <row r="4068" ht="15.75" customHeight="1">
      <c r="B4068" s="95"/>
      <c r="C4068" s="75"/>
      <c r="D4068" s="113"/>
      <c r="E4068" s="113"/>
      <c r="F4068" s="109"/>
      <c r="G4068" s="111"/>
    </row>
    <row r="4069" ht="15.75" customHeight="1">
      <c r="B4069" s="95"/>
      <c r="C4069" s="75"/>
      <c r="D4069" s="113"/>
      <c r="E4069" s="113"/>
      <c r="F4069" s="109"/>
      <c r="G4069" s="111"/>
    </row>
    <row r="4070" ht="15.75" customHeight="1">
      <c r="B4070" s="95"/>
      <c r="C4070" s="75"/>
      <c r="D4070" s="113"/>
      <c r="E4070" s="113"/>
      <c r="F4070" s="109"/>
      <c r="G4070" s="111"/>
    </row>
    <row r="4071" ht="15.75" customHeight="1">
      <c r="B4071" s="95"/>
      <c r="C4071" s="75"/>
      <c r="D4071" s="113"/>
      <c r="E4071" s="113"/>
      <c r="F4071" s="109"/>
      <c r="G4071" s="111"/>
    </row>
    <row r="4072" ht="15.75" customHeight="1">
      <c r="B4072" s="95"/>
      <c r="C4072" s="75"/>
      <c r="D4072" s="113"/>
      <c r="E4072" s="113"/>
      <c r="F4072" s="109"/>
      <c r="G4072" s="111"/>
    </row>
    <row r="4073" ht="15.75" customHeight="1">
      <c r="B4073" s="95"/>
      <c r="C4073" s="75"/>
      <c r="D4073" s="113"/>
      <c r="E4073" s="113"/>
      <c r="F4073" s="109"/>
      <c r="G4073" s="111"/>
    </row>
    <row r="4074" ht="15.75" customHeight="1">
      <c r="B4074" s="95"/>
      <c r="C4074" s="75"/>
      <c r="D4074" s="113"/>
      <c r="E4074" s="113"/>
      <c r="F4074" s="109"/>
      <c r="G4074" s="111"/>
    </row>
    <row r="4075" ht="15.75" customHeight="1">
      <c r="B4075" s="95"/>
      <c r="C4075" s="75"/>
      <c r="D4075" s="113"/>
      <c r="E4075" s="113"/>
      <c r="F4075" s="109"/>
      <c r="G4075" s="111"/>
    </row>
    <row r="4076" ht="15.75" customHeight="1">
      <c r="B4076" s="95"/>
      <c r="C4076" s="75"/>
      <c r="D4076" s="113"/>
      <c r="E4076" s="113"/>
      <c r="F4076" s="109"/>
      <c r="G4076" s="111"/>
    </row>
    <row r="4077" ht="15.75" customHeight="1">
      <c r="B4077" s="95"/>
      <c r="C4077" s="75"/>
      <c r="D4077" s="113"/>
      <c r="E4077" s="113"/>
      <c r="F4077" s="109"/>
      <c r="G4077" s="111"/>
    </row>
    <row r="4078" ht="15.75" customHeight="1">
      <c r="B4078" s="95"/>
      <c r="C4078" s="75"/>
      <c r="D4078" s="113"/>
      <c r="E4078" s="113"/>
      <c r="F4078" s="109"/>
      <c r="G4078" s="111"/>
    </row>
    <row r="4079" ht="15.75" customHeight="1">
      <c r="B4079" s="95"/>
      <c r="C4079" s="75"/>
      <c r="D4079" s="113"/>
      <c r="E4079" s="113"/>
      <c r="F4079" s="109"/>
      <c r="G4079" s="111"/>
    </row>
    <row r="4080" ht="15.75" customHeight="1">
      <c r="B4080" s="95"/>
      <c r="C4080" s="75"/>
      <c r="D4080" s="113"/>
      <c r="E4080" s="113"/>
      <c r="F4080" s="109"/>
      <c r="G4080" s="111"/>
    </row>
    <row r="4081" ht="15.75" customHeight="1">
      <c r="B4081" s="95"/>
      <c r="C4081" s="75"/>
      <c r="D4081" s="113"/>
      <c r="E4081" s="113"/>
      <c r="F4081" s="109"/>
      <c r="G4081" s="111"/>
    </row>
    <row r="4082" ht="15.75" customHeight="1">
      <c r="B4082" s="95"/>
      <c r="C4082" s="75"/>
      <c r="D4082" s="113"/>
      <c r="E4082" s="113"/>
      <c r="F4082" s="109"/>
      <c r="G4082" s="111"/>
    </row>
    <row r="4083" ht="15.75" customHeight="1">
      <c r="B4083" s="95"/>
      <c r="C4083" s="75"/>
      <c r="D4083" s="113"/>
      <c r="E4083" s="113"/>
      <c r="F4083" s="109"/>
      <c r="G4083" s="111"/>
    </row>
    <row r="4084" ht="15.75" customHeight="1">
      <c r="B4084" s="95"/>
      <c r="C4084" s="75"/>
      <c r="D4084" s="113"/>
      <c r="E4084" s="113"/>
      <c r="F4084" s="109"/>
      <c r="G4084" s="111"/>
    </row>
    <row r="4085" ht="15.75" customHeight="1">
      <c r="B4085" s="95"/>
      <c r="C4085" s="75"/>
      <c r="D4085" s="113"/>
      <c r="E4085" s="113"/>
      <c r="F4085" s="109"/>
      <c r="G4085" s="111"/>
    </row>
    <row r="4086" ht="15.75" customHeight="1">
      <c r="B4086" s="95"/>
      <c r="C4086" s="75"/>
      <c r="D4086" s="113"/>
      <c r="E4086" s="113"/>
      <c r="F4086" s="109"/>
      <c r="G4086" s="111"/>
    </row>
    <row r="4087" ht="15.75" customHeight="1">
      <c r="B4087" s="95"/>
      <c r="C4087" s="75"/>
      <c r="D4087" s="113"/>
      <c r="E4087" s="113"/>
      <c r="F4087" s="109"/>
      <c r="G4087" s="111"/>
    </row>
    <row r="4088" ht="15.75" customHeight="1">
      <c r="B4088" s="95"/>
      <c r="C4088" s="75"/>
      <c r="D4088" s="113"/>
      <c r="E4088" s="113"/>
      <c r="F4088" s="109"/>
      <c r="G4088" s="111"/>
    </row>
    <row r="4089" ht="15.75" customHeight="1">
      <c r="B4089" s="95"/>
      <c r="C4089" s="75"/>
      <c r="D4089" s="113"/>
      <c r="E4089" s="113"/>
      <c r="F4089" s="109"/>
      <c r="G4089" s="111"/>
    </row>
    <row r="4090" ht="15.75" customHeight="1">
      <c r="B4090" s="95"/>
      <c r="C4090" s="75"/>
      <c r="D4090" s="113"/>
      <c r="E4090" s="113"/>
      <c r="F4090" s="109"/>
      <c r="G4090" s="111"/>
    </row>
    <row r="4091" ht="15.75" customHeight="1">
      <c r="B4091" s="95"/>
      <c r="C4091" s="75"/>
      <c r="D4091" s="113"/>
      <c r="E4091" s="113"/>
      <c r="F4091" s="109"/>
      <c r="G4091" s="111"/>
    </row>
    <row r="4092" ht="15.75" customHeight="1">
      <c r="B4092" s="95"/>
      <c r="C4092" s="75"/>
      <c r="D4092" s="113"/>
      <c r="E4092" s="113"/>
      <c r="F4092" s="109"/>
      <c r="G4092" s="111"/>
    </row>
    <row r="4093" ht="15.75" customHeight="1">
      <c r="B4093" s="95"/>
      <c r="C4093" s="75"/>
      <c r="D4093" s="113"/>
      <c r="E4093" s="113"/>
      <c r="F4093" s="109"/>
      <c r="G4093" s="111"/>
    </row>
    <row r="4094" ht="15.75" customHeight="1">
      <c r="B4094" s="95"/>
      <c r="C4094" s="75"/>
      <c r="D4094" s="113"/>
      <c r="E4094" s="113"/>
      <c r="F4094" s="109"/>
      <c r="G4094" s="111"/>
    </row>
    <row r="4095" ht="15.75" customHeight="1">
      <c r="B4095" s="95"/>
      <c r="C4095" s="75"/>
      <c r="D4095" s="113"/>
      <c r="E4095" s="113"/>
      <c r="F4095" s="109"/>
      <c r="G4095" s="111"/>
    </row>
    <row r="4096" ht="15.75" customHeight="1">
      <c r="B4096" s="95"/>
      <c r="C4096" s="75"/>
      <c r="D4096" s="113"/>
      <c r="E4096" s="113"/>
      <c r="F4096" s="109"/>
      <c r="G4096" s="111"/>
    </row>
    <row r="4097" ht="15.75" customHeight="1">
      <c r="B4097" s="95"/>
      <c r="C4097" s="75"/>
      <c r="D4097" s="113"/>
      <c r="E4097" s="113"/>
      <c r="F4097" s="109"/>
      <c r="G4097" s="111"/>
    </row>
    <row r="4098" ht="15.75" customHeight="1">
      <c r="B4098" s="95"/>
      <c r="C4098" s="75"/>
      <c r="D4098" s="113"/>
      <c r="E4098" s="113"/>
      <c r="F4098" s="109"/>
      <c r="G4098" s="111"/>
    </row>
    <row r="4099" ht="15.75" customHeight="1">
      <c r="B4099" s="95"/>
      <c r="C4099" s="75"/>
      <c r="D4099" s="113"/>
      <c r="E4099" s="113"/>
      <c r="F4099" s="109"/>
      <c r="G4099" s="111"/>
    </row>
    <row r="4100" ht="15.75" customHeight="1">
      <c r="B4100" s="95"/>
      <c r="C4100" s="75"/>
      <c r="D4100" s="113"/>
      <c r="E4100" s="113"/>
      <c r="F4100" s="109"/>
      <c r="G4100" s="111"/>
    </row>
    <row r="4101" ht="15.75" customHeight="1">
      <c r="B4101" s="95"/>
      <c r="C4101" s="75"/>
      <c r="D4101" s="113"/>
      <c r="E4101" s="113"/>
      <c r="F4101" s="109"/>
      <c r="G4101" s="111"/>
    </row>
    <row r="4102" ht="15.75" customHeight="1">
      <c r="B4102" s="95"/>
      <c r="C4102" s="75"/>
      <c r="D4102" s="113"/>
      <c r="E4102" s="113"/>
      <c r="F4102" s="109"/>
      <c r="G4102" s="111"/>
    </row>
    <row r="4103" ht="15.75" customHeight="1">
      <c r="B4103" s="95"/>
      <c r="C4103" s="75"/>
      <c r="D4103" s="113"/>
      <c r="E4103" s="113"/>
      <c r="F4103" s="109"/>
      <c r="G4103" s="111"/>
    </row>
    <row r="4104" ht="15.75" customHeight="1">
      <c r="B4104" s="95"/>
      <c r="C4104" s="75"/>
      <c r="D4104" s="113"/>
      <c r="E4104" s="113"/>
      <c r="F4104" s="109"/>
      <c r="G4104" s="111"/>
    </row>
    <row r="4105" ht="15.75" customHeight="1">
      <c r="B4105" s="95"/>
      <c r="C4105" s="75"/>
      <c r="D4105" s="113"/>
      <c r="E4105" s="113"/>
      <c r="F4105" s="109"/>
      <c r="G4105" s="111"/>
    </row>
    <row r="4106" ht="15.75" customHeight="1">
      <c r="B4106" s="95"/>
      <c r="C4106" s="75"/>
      <c r="D4106" s="113"/>
      <c r="E4106" s="113"/>
      <c r="F4106" s="109"/>
      <c r="G4106" s="111"/>
    </row>
    <row r="4107" ht="15.75" customHeight="1">
      <c r="B4107" s="95"/>
      <c r="C4107" s="75"/>
      <c r="D4107" s="113"/>
      <c r="E4107" s="113"/>
      <c r="F4107" s="109"/>
      <c r="G4107" s="111"/>
    </row>
    <row r="4108" ht="15.75" customHeight="1">
      <c r="B4108" s="95"/>
      <c r="C4108" s="75"/>
      <c r="D4108" s="113"/>
      <c r="E4108" s="113"/>
      <c r="F4108" s="109"/>
      <c r="G4108" s="111"/>
    </row>
    <row r="4109" ht="15.75" customHeight="1">
      <c r="B4109" s="95"/>
      <c r="C4109" s="75"/>
      <c r="D4109" s="113"/>
      <c r="E4109" s="113"/>
      <c r="F4109" s="109"/>
      <c r="G4109" s="111"/>
    </row>
    <row r="4110" ht="15.75" customHeight="1">
      <c r="B4110" s="95"/>
      <c r="C4110" s="75"/>
      <c r="D4110" s="113"/>
      <c r="E4110" s="113"/>
      <c r="F4110" s="109"/>
      <c r="G4110" s="111"/>
    </row>
    <row r="4111" ht="15.75" customHeight="1">
      <c r="B4111" s="95"/>
      <c r="C4111" s="75"/>
      <c r="D4111" s="113"/>
      <c r="E4111" s="113"/>
      <c r="F4111" s="109"/>
      <c r="G4111" s="111"/>
    </row>
    <row r="4112" ht="15.75" customHeight="1">
      <c r="B4112" s="95"/>
      <c r="C4112" s="75"/>
      <c r="D4112" s="113"/>
      <c r="E4112" s="113"/>
      <c r="F4112" s="109"/>
      <c r="G4112" s="111"/>
    </row>
    <row r="4113" ht="15.75" customHeight="1">
      <c r="B4113" s="95"/>
      <c r="C4113" s="75"/>
      <c r="D4113" s="113"/>
      <c r="E4113" s="113"/>
      <c r="F4113" s="109"/>
      <c r="G4113" s="111"/>
    </row>
    <row r="4114" ht="15.75" customHeight="1">
      <c r="B4114" s="95"/>
      <c r="C4114" s="75"/>
      <c r="D4114" s="113"/>
      <c r="E4114" s="113"/>
      <c r="F4114" s="109"/>
      <c r="G4114" s="111"/>
    </row>
    <row r="4115" ht="15.75" customHeight="1">
      <c r="B4115" s="95"/>
      <c r="C4115" s="75"/>
      <c r="D4115" s="113"/>
      <c r="E4115" s="113"/>
      <c r="F4115" s="109"/>
      <c r="G4115" s="111"/>
    </row>
    <row r="4116" ht="15.75" customHeight="1">
      <c r="B4116" s="95"/>
      <c r="C4116" s="75"/>
      <c r="D4116" s="113"/>
      <c r="E4116" s="113"/>
      <c r="F4116" s="109"/>
      <c r="G4116" s="111"/>
    </row>
    <row r="4117" ht="15.75" customHeight="1">
      <c r="B4117" s="95"/>
      <c r="C4117" s="75"/>
      <c r="D4117" s="113"/>
      <c r="E4117" s="113"/>
      <c r="F4117" s="109"/>
      <c r="G4117" s="111"/>
    </row>
    <row r="4118" ht="15.75" customHeight="1">
      <c r="B4118" s="95"/>
      <c r="C4118" s="75"/>
      <c r="D4118" s="113"/>
      <c r="E4118" s="113"/>
      <c r="F4118" s="109"/>
      <c r="G4118" s="111"/>
    </row>
    <row r="4119" ht="15.75" customHeight="1">
      <c r="B4119" s="95"/>
      <c r="C4119" s="75"/>
      <c r="D4119" s="113"/>
      <c r="E4119" s="113"/>
      <c r="F4119" s="109"/>
      <c r="G4119" s="111"/>
    </row>
    <row r="4120" ht="15.75" customHeight="1">
      <c r="B4120" s="95"/>
      <c r="C4120" s="75"/>
      <c r="D4120" s="113"/>
      <c r="E4120" s="113"/>
      <c r="F4120" s="109"/>
      <c r="G4120" s="111"/>
    </row>
    <row r="4121" ht="15.75" customHeight="1">
      <c r="B4121" s="95"/>
      <c r="C4121" s="75"/>
      <c r="D4121" s="113"/>
      <c r="E4121" s="113"/>
      <c r="F4121" s="109"/>
      <c r="G4121" s="111"/>
    </row>
    <row r="4122" ht="15.75" customHeight="1">
      <c r="B4122" s="95"/>
      <c r="C4122" s="75"/>
      <c r="D4122" s="113"/>
      <c r="E4122" s="113"/>
      <c r="F4122" s="109"/>
      <c r="G4122" s="111"/>
    </row>
    <row r="4123" ht="15.75" customHeight="1">
      <c r="B4123" s="95"/>
      <c r="C4123" s="75"/>
      <c r="D4123" s="113"/>
      <c r="E4123" s="113"/>
      <c r="F4123" s="109"/>
      <c r="G4123" s="111"/>
    </row>
    <row r="4124" ht="15.75" customHeight="1">
      <c r="B4124" s="95"/>
      <c r="C4124" s="75"/>
      <c r="D4124" s="113"/>
      <c r="E4124" s="113"/>
      <c r="F4124" s="109"/>
      <c r="G4124" s="111"/>
    </row>
    <row r="4125" ht="15.75" customHeight="1">
      <c r="B4125" s="95"/>
      <c r="C4125" s="75"/>
      <c r="D4125" s="113"/>
      <c r="E4125" s="113"/>
      <c r="F4125" s="109"/>
      <c r="G4125" s="111"/>
    </row>
    <row r="4126" ht="15.75" customHeight="1">
      <c r="B4126" s="95"/>
      <c r="C4126" s="75"/>
      <c r="D4126" s="113"/>
      <c r="E4126" s="113"/>
      <c r="F4126" s="109"/>
      <c r="G4126" s="111"/>
    </row>
    <row r="4127" ht="15.75" customHeight="1">
      <c r="B4127" s="95"/>
      <c r="C4127" s="75"/>
      <c r="D4127" s="113"/>
      <c r="E4127" s="113"/>
      <c r="F4127" s="109"/>
      <c r="G4127" s="111"/>
    </row>
    <row r="4128" ht="15.75" customHeight="1">
      <c r="B4128" s="95"/>
      <c r="C4128" s="75"/>
      <c r="D4128" s="113"/>
      <c r="E4128" s="113"/>
      <c r="F4128" s="109"/>
      <c r="G4128" s="111"/>
    </row>
    <row r="4129" ht="15.75" customHeight="1">
      <c r="B4129" s="95"/>
      <c r="C4129" s="75"/>
      <c r="D4129" s="113"/>
      <c r="E4129" s="113"/>
      <c r="F4129" s="109"/>
      <c r="G4129" s="111"/>
    </row>
    <row r="4130" ht="15.75" customHeight="1">
      <c r="B4130" s="95"/>
      <c r="C4130" s="75"/>
      <c r="D4130" s="113"/>
      <c r="E4130" s="113"/>
      <c r="F4130" s="109"/>
      <c r="G4130" s="111"/>
    </row>
    <row r="4131" ht="15.75" customHeight="1">
      <c r="B4131" s="95"/>
      <c r="C4131" s="75"/>
      <c r="D4131" s="113"/>
      <c r="E4131" s="113"/>
      <c r="F4131" s="109"/>
      <c r="G4131" s="111"/>
    </row>
    <row r="4132" ht="15.75" customHeight="1">
      <c r="B4132" s="95"/>
      <c r="C4132" s="75"/>
      <c r="D4132" s="113"/>
      <c r="E4132" s="113"/>
      <c r="F4132" s="109"/>
      <c r="G4132" s="111"/>
    </row>
    <row r="4133" ht="15.75" customHeight="1">
      <c r="B4133" s="95"/>
      <c r="C4133" s="75"/>
      <c r="D4133" s="113"/>
      <c r="E4133" s="113"/>
      <c r="F4133" s="109"/>
      <c r="G4133" s="111"/>
    </row>
    <row r="4134" ht="15.75" customHeight="1">
      <c r="B4134" s="95"/>
      <c r="C4134" s="75"/>
      <c r="D4134" s="113"/>
      <c r="E4134" s="113"/>
      <c r="F4134" s="109"/>
      <c r="G4134" s="111"/>
    </row>
    <row r="4135" ht="15.75" customHeight="1">
      <c r="B4135" s="95"/>
      <c r="C4135" s="75"/>
      <c r="D4135" s="113"/>
      <c r="E4135" s="113"/>
      <c r="F4135" s="109"/>
      <c r="G4135" s="111"/>
    </row>
    <row r="4136" ht="15.75" customHeight="1">
      <c r="B4136" s="95"/>
      <c r="C4136" s="75"/>
      <c r="D4136" s="113"/>
      <c r="E4136" s="113"/>
      <c r="F4136" s="109"/>
      <c r="G4136" s="111"/>
    </row>
    <row r="4137" ht="15.75" customHeight="1">
      <c r="B4137" s="95"/>
      <c r="C4137" s="75"/>
      <c r="D4137" s="113"/>
      <c r="E4137" s="113"/>
      <c r="F4137" s="109"/>
      <c r="G4137" s="111"/>
    </row>
    <row r="4138" ht="15.75" customHeight="1">
      <c r="B4138" s="95"/>
      <c r="C4138" s="75"/>
      <c r="D4138" s="113"/>
      <c r="E4138" s="113"/>
      <c r="F4138" s="109"/>
      <c r="G4138" s="111"/>
    </row>
    <row r="4139" ht="15.75" customHeight="1">
      <c r="B4139" s="95"/>
      <c r="C4139" s="75"/>
      <c r="D4139" s="113"/>
      <c r="E4139" s="113"/>
      <c r="F4139" s="109"/>
      <c r="G4139" s="111"/>
    </row>
    <row r="4140" ht="15.75" customHeight="1">
      <c r="B4140" s="95"/>
      <c r="C4140" s="75"/>
      <c r="D4140" s="113"/>
      <c r="E4140" s="113"/>
      <c r="F4140" s="109"/>
      <c r="G4140" s="111"/>
    </row>
    <row r="4141" ht="15.75" customHeight="1">
      <c r="B4141" s="95"/>
      <c r="C4141" s="75"/>
      <c r="D4141" s="113"/>
      <c r="E4141" s="113"/>
      <c r="F4141" s="109"/>
      <c r="G4141" s="111"/>
    </row>
    <row r="4142" ht="15.75" customHeight="1">
      <c r="B4142" s="95"/>
      <c r="C4142" s="75"/>
      <c r="D4142" s="113"/>
      <c r="E4142" s="113"/>
      <c r="F4142" s="109"/>
      <c r="G4142" s="111"/>
    </row>
    <row r="4143" ht="15.75" customHeight="1">
      <c r="B4143" s="95"/>
      <c r="C4143" s="75"/>
      <c r="D4143" s="113"/>
      <c r="E4143" s="113"/>
      <c r="F4143" s="109"/>
      <c r="G4143" s="111"/>
    </row>
    <row r="4144" ht="15.75" customHeight="1">
      <c r="B4144" s="95"/>
      <c r="C4144" s="75"/>
      <c r="D4144" s="113"/>
      <c r="E4144" s="113"/>
      <c r="F4144" s="109"/>
      <c r="G4144" s="111"/>
    </row>
    <row r="4145" ht="15.75" customHeight="1">
      <c r="B4145" s="95"/>
      <c r="C4145" s="75"/>
      <c r="D4145" s="113"/>
      <c r="E4145" s="113"/>
      <c r="F4145" s="109"/>
      <c r="G4145" s="111"/>
    </row>
    <row r="4146" ht="15.75" customHeight="1">
      <c r="B4146" s="95"/>
      <c r="C4146" s="75"/>
      <c r="D4146" s="113"/>
      <c r="E4146" s="113"/>
      <c r="F4146" s="109"/>
      <c r="G4146" s="111"/>
    </row>
    <row r="4147" ht="15.75" customHeight="1">
      <c r="B4147" s="95"/>
      <c r="C4147" s="75"/>
      <c r="D4147" s="113"/>
      <c r="E4147" s="113"/>
      <c r="F4147" s="109"/>
      <c r="G4147" s="111"/>
    </row>
    <row r="4148" ht="15.75" customHeight="1">
      <c r="B4148" s="95"/>
      <c r="C4148" s="75"/>
      <c r="D4148" s="113"/>
      <c r="E4148" s="113"/>
      <c r="F4148" s="109"/>
      <c r="G4148" s="111"/>
    </row>
    <row r="4149" ht="15.75" customHeight="1">
      <c r="B4149" s="95"/>
      <c r="C4149" s="75"/>
      <c r="D4149" s="113"/>
      <c r="E4149" s="113"/>
      <c r="F4149" s="109"/>
      <c r="G4149" s="111"/>
    </row>
    <row r="4150" ht="15.75" customHeight="1">
      <c r="B4150" s="95"/>
      <c r="C4150" s="75"/>
      <c r="D4150" s="113"/>
      <c r="E4150" s="113"/>
      <c r="F4150" s="109"/>
      <c r="G4150" s="111"/>
    </row>
    <row r="4151" ht="15.75" customHeight="1">
      <c r="B4151" s="95"/>
      <c r="C4151" s="75"/>
      <c r="D4151" s="113"/>
      <c r="E4151" s="113"/>
      <c r="F4151" s="109"/>
      <c r="G4151" s="111"/>
    </row>
    <row r="4152" ht="15.75" customHeight="1">
      <c r="B4152" s="95"/>
      <c r="C4152" s="75"/>
      <c r="D4152" s="113"/>
      <c r="E4152" s="113"/>
      <c r="F4152" s="109"/>
      <c r="G4152" s="111"/>
    </row>
    <row r="4153" ht="15.75" customHeight="1">
      <c r="B4153" s="95"/>
      <c r="C4153" s="75"/>
      <c r="D4153" s="113"/>
      <c r="E4153" s="113"/>
      <c r="F4153" s="109"/>
      <c r="G4153" s="111"/>
    </row>
    <row r="4154" ht="15.75" customHeight="1">
      <c r="B4154" s="95"/>
      <c r="C4154" s="75"/>
      <c r="D4154" s="113"/>
      <c r="E4154" s="113"/>
      <c r="F4154" s="109"/>
      <c r="G4154" s="111"/>
    </row>
    <row r="4155" ht="15.75" customHeight="1">
      <c r="B4155" s="95"/>
      <c r="C4155" s="75"/>
      <c r="D4155" s="113"/>
      <c r="E4155" s="113"/>
      <c r="F4155" s="109"/>
      <c r="G4155" s="111"/>
    </row>
    <row r="4156" ht="15.75" customHeight="1">
      <c r="B4156" s="95"/>
      <c r="C4156" s="75"/>
      <c r="D4156" s="113"/>
      <c r="E4156" s="113"/>
      <c r="F4156" s="109"/>
      <c r="G4156" s="111"/>
    </row>
    <row r="4157" ht="15.75" customHeight="1">
      <c r="B4157" s="95"/>
      <c r="C4157" s="75"/>
      <c r="D4157" s="113"/>
      <c r="E4157" s="113"/>
      <c r="F4157" s="109"/>
      <c r="G4157" s="111"/>
    </row>
    <row r="4158" ht="15.75" customHeight="1">
      <c r="B4158" s="95"/>
      <c r="C4158" s="75"/>
      <c r="D4158" s="113"/>
      <c r="E4158" s="113"/>
      <c r="F4158" s="109"/>
      <c r="G4158" s="111"/>
    </row>
    <row r="4159" ht="15.75" customHeight="1">
      <c r="B4159" s="95"/>
      <c r="C4159" s="75"/>
      <c r="D4159" s="113"/>
      <c r="E4159" s="113"/>
      <c r="F4159" s="109"/>
      <c r="G4159" s="111"/>
    </row>
    <row r="4160" ht="15.75" customHeight="1">
      <c r="B4160" s="95"/>
      <c r="C4160" s="75"/>
      <c r="D4160" s="113"/>
      <c r="E4160" s="113"/>
      <c r="F4160" s="109"/>
      <c r="G4160" s="111"/>
    </row>
    <row r="4161" ht="15.75" customHeight="1">
      <c r="B4161" s="95"/>
      <c r="C4161" s="75"/>
      <c r="D4161" s="113"/>
      <c r="E4161" s="113"/>
      <c r="F4161" s="109"/>
      <c r="G4161" s="111"/>
    </row>
    <row r="4162" ht="15.75" customHeight="1">
      <c r="B4162" s="95"/>
      <c r="C4162" s="75"/>
      <c r="D4162" s="113"/>
      <c r="E4162" s="113"/>
      <c r="F4162" s="109"/>
      <c r="G4162" s="111"/>
    </row>
    <row r="4163" ht="15.75" customHeight="1">
      <c r="B4163" s="95"/>
      <c r="C4163" s="75"/>
      <c r="D4163" s="113"/>
      <c r="E4163" s="113"/>
      <c r="F4163" s="109"/>
      <c r="G4163" s="111"/>
    </row>
    <row r="4164" ht="15.75" customHeight="1">
      <c r="B4164" s="95"/>
      <c r="C4164" s="75"/>
      <c r="D4164" s="113"/>
      <c r="E4164" s="113"/>
      <c r="F4164" s="109"/>
      <c r="G4164" s="111"/>
    </row>
    <row r="4165" ht="15.75" customHeight="1">
      <c r="B4165" s="95"/>
      <c r="C4165" s="75"/>
      <c r="D4165" s="113"/>
      <c r="E4165" s="113"/>
      <c r="F4165" s="109"/>
      <c r="G4165" s="111"/>
    </row>
    <row r="4166" ht="15.75" customHeight="1">
      <c r="B4166" s="95"/>
      <c r="C4166" s="75"/>
      <c r="D4166" s="113"/>
      <c r="E4166" s="113"/>
      <c r="F4166" s="109"/>
      <c r="G4166" s="111"/>
    </row>
    <row r="4167" ht="15.75" customHeight="1">
      <c r="B4167" s="95"/>
      <c r="C4167" s="75"/>
      <c r="D4167" s="113"/>
      <c r="E4167" s="113"/>
      <c r="F4167" s="109"/>
      <c r="G4167" s="111"/>
    </row>
    <row r="4168" ht="15.75" customHeight="1">
      <c r="B4168" s="95"/>
      <c r="C4168" s="75"/>
      <c r="D4168" s="113"/>
      <c r="E4168" s="113"/>
      <c r="F4168" s="109"/>
      <c r="G4168" s="111"/>
    </row>
    <row r="4169" ht="15.75" customHeight="1">
      <c r="B4169" s="95"/>
      <c r="C4169" s="75"/>
      <c r="D4169" s="113"/>
      <c r="E4169" s="113"/>
      <c r="F4169" s="109"/>
      <c r="G4169" s="111"/>
    </row>
    <row r="4170" ht="15.75" customHeight="1">
      <c r="B4170" s="95"/>
      <c r="C4170" s="75"/>
      <c r="D4170" s="113"/>
      <c r="E4170" s="113"/>
      <c r="F4170" s="109"/>
      <c r="G4170" s="111"/>
    </row>
    <row r="4171" ht="15.75" customHeight="1">
      <c r="B4171" s="95"/>
      <c r="C4171" s="75"/>
      <c r="D4171" s="113"/>
      <c r="E4171" s="113"/>
      <c r="F4171" s="109"/>
      <c r="G4171" s="111"/>
    </row>
    <row r="4172" ht="15.75" customHeight="1">
      <c r="B4172" s="95"/>
      <c r="C4172" s="75"/>
      <c r="D4172" s="113"/>
      <c r="E4172" s="113"/>
      <c r="F4172" s="109"/>
      <c r="G4172" s="111"/>
    </row>
    <row r="4173" ht="15.75" customHeight="1">
      <c r="B4173" s="95"/>
      <c r="C4173" s="75"/>
      <c r="D4173" s="113"/>
      <c r="E4173" s="113"/>
      <c r="F4173" s="109"/>
      <c r="G4173" s="111"/>
    </row>
    <row r="4174" ht="15.75" customHeight="1">
      <c r="B4174" s="95"/>
      <c r="C4174" s="75"/>
      <c r="D4174" s="113"/>
      <c r="E4174" s="113"/>
      <c r="F4174" s="109"/>
      <c r="G4174" s="111"/>
    </row>
    <row r="4175" ht="15.75" customHeight="1">
      <c r="B4175" s="95"/>
      <c r="C4175" s="75"/>
      <c r="D4175" s="113"/>
      <c r="E4175" s="113"/>
      <c r="F4175" s="109"/>
      <c r="G4175" s="111"/>
    </row>
    <row r="4176" ht="15.75" customHeight="1">
      <c r="B4176" s="95"/>
      <c r="C4176" s="75"/>
      <c r="D4176" s="113"/>
      <c r="E4176" s="113"/>
      <c r="F4176" s="109"/>
      <c r="G4176" s="111"/>
    </row>
    <row r="4177" ht="15.75" customHeight="1">
      <c r="B4177" s="95"/>
      <c r="C4177" s="75"/>
      <c r="D4177" s="113"/>
      <c r="E4177" s="113"/>
      <c r="F4177" s="109"/>
      <c r="G4177" s="111"/>
    </row>
    <row r="4178" ht="15.75" customHeight="1">
      <c r="B4178" s="95"/>
      <c r="C4178" s="75"/>
      <c r="D4178" s="113"/>
      <c r="E4178" s="113"/>
      <c r="F4178" s="109"/>
      <c r="G4178" s="111"/>
    </row>
    <row r="4179" ht="15.75" customHeight="1">
      <c r="B4179" s="95"/>
      <c r="C4179" s="75"/>
      <c r="D4179" s="113"/>
      <c r="E4179" s="113"/>
      <c r="F4179" s="109"/>
      <c r="G4179" s="111"/>
    </row>
    <row r="4180" ht="15.75" customHeight="1">
      <c r="B4180" s="95"/>
      <c r="C4180" s="75"/>
      <c r="D4180" s="113"/>
      <c r="E4180" s="113"/>
      <c r="F4180" s="109"/>
      <c r="G4180" s="111"/>
    </row>
    <row r="4181" ht="15.75" customHeight="1">
      <c r="B4181" s="95"/>
      <c r="C4181" s="75"/>
      <c r="D4181" s="113"/>
      <c r="E4181" s="113"/>
      <c r="F4181" s="109"/>
      <c r="G4181" s="111"/>
    </row>
    <row r="4182" ht="15.75" customHeight="1">
      <c r="B4182" s="95"/>
      <c r="C4182" s="75"/>
      <c r="D4182" s="113"/>
      <c r="E4182" s="113"/>
      <c r="F4182" s="109"/>
      <c r="G4182" s="111"/>
    </row>
    <row r="4183" ht="15.75" customHeight="1">
      <c r="B4183" s="95"/>
      <c r="C4183" s="75"/>
      <c r="D4183" s="113"/>
      <c r="E4183" s="113"/>
      <c r="F4183" s="109"/>
      <c r="G4183" s="111"/>
    </row>
    <row r="4184" ht="15.75" customHeight="1">
      <c r="B4184" s="95"/>
      <c r="C4184" s="75"/>
      <c r="D4184" s="113"/>
      <c r="E4184" s="113"/>
      <c r="F4184" s="109"/>
      <c r="G4184" s="111"/>
    </row>
    <row r="4185" ht="15.75" customHeight="1">
      <c r="B4185" s="95"/>
      <c r="C4185" s="75"/>
      <c r="D4185" s="113"/>
      <c r="E4185" s="113"/>
      <c r="F4185" s="109"/>
      <c r="G4185" s="111"/>
    </row>
    <row r="4186" ht="15.75" customHeight="1">
      <c r="B4186" s="95"/>
      <c r="C4186" s="75"/>
      <c r="D4186" s="113"/>
      <c r="E4186" s="113"/>
      <c r="F4186" s="109"/>
      <c r="G4186" s="111"/>
    </row>
    <row r="4187" ht="15.75" customHeight="1">
      <c r="B4187" s="95"/>
      <c r="C4187" s="75"/>
      <c r="D4187" s="113"/>
      <c r="E4187" s="113"/>
      <c r="F4187" s="109"/>
      <c r="G4187" s="111"/>
    </row>
    <row r="4188" ht="15.75" customHeight="1">
      <c r="B4188" s="95"/>
      <c r="C4188" s="75"/>
      <c r="D4188" s="113"/>
      <c r="E4188" s="113"/>
      <c r="F4188" s="109"/>
      <c r="G4188" s="111"/>
    </row>
    <row r="4189" ht="15.75" customHeight="1">
      <c r="B4189" s="95"/>
      <c r="C4189" s="75"/>
      <c r="D4189" s="113"/>
      <c r="E4189" s="113"/>
      <c r="F4189" s="109"/>
      <c r="G4189" s="111"/>
    </row>
    <row r="4190" ht="15.75" customHeight="1">
      <c r="B4190" s="95"/>
      <c r="C4190" s="75"/>
      <c r="D4190" s="113"/>
      <c r="E4190" s="113"/>
      <c r="F4190" s="109"/>
      <c r="G4190" s="111"/>
    </row>
    <row r="4191" ht="15.75" customHeight="1">
      <c r="B4191" s="95"/>
      <c r="C4191" s="75"/>
      <c r="D4191" s="113"/>
      <c r="E4191" s="113"/>
      <c r="F4191" s="109"/>
      <c r="G4191" s="111"/>
    </row>
    <row r="4192" ht="15.75" customHeight="1">
      <c r="B4192" s="95"/>
      <c r="C4192" s="75"/>
      <c r="D4192" s="113"/>
      <c r="E4192" s="113"/>
      <c r="F4192" s="109"/>
      <c r="G4192" s="111"/>
    </row>
    <row r="4193" ht="15.75" customHeight="1">
      <c r="B4193" s="95"/>
      <c r="C4193" s="75"/>
      <c r="D4193" s="113"/>
      <c r="E4193" s="113"/>
      <c r="F4193" s="109"/>
      <c r="G4193" s="111"/>
    </row>
    <row r="4194" ht="15.75" customHeight="1">
      <c r="B4194" s="95"/>
      <c r="C4194" s="75"/>
      <c r="D4194" s="113"/>
      <c r="E4194" s="113"/>
      <c r="F4194" s="109"/>
      <c r="G4194" s="111"/>
    </row>
    <row r="4195" ht="15.75" customHeight="1">
      <c r="B4195" s="95"/>
      <c r="C4195" s="75"/>
      <c r="D4195" s="113"/>
      <c r="E4195" s="113"/>
      <c r="F4195" s="109"/>
      <c r="G4195" s="111"/>
    </row>
    <row r="4196" ht="15.75" customHeight="1">
      <c r="B4196" s="95"/>
      <c r="C4196" s="75"/>
      <c r="D4196" s="113"/>
      <c r="E4196" s="113"/>
      <c r="F4196" s="109"/>
      <c r="G4196" s="111"/>
    </row>
    <row r="4197" ht="15.75" customHeight="1">
      <c r="B4197" s="95"/>
      <c r="C4197" s="75"/>
      <c r="D4197" s="113"/>
      <c r="E4197" s="113"/>
      <c r="F4197" s="109"/>
      <c r="G4197" s="111"/>
    </row>
    <row r="4198" ht="15.75" customHeight="1">
      <c r="B4198" s="95"/>
      <c r="C4198" s="75"/>
      <c r="D4198" s="113"/>
      <c r="E4198" s="113"/>
      <c r="F4198" s="109"/>
      <c r="G4198" s="111"/>
    </row>
    <row r="4199" ht="15.75" customHeight="1">
      <c r="B4199" s="95"/>
      <c r="C4199" s="75"/>
      <c r="D4199" s="113"/>
      <c r="E4199" s="113"/>
      <c r="F4199" s="109"/>
      <c r="G4199" s="111"/>
    </row>
    <row r="4200" ht="15.75" customHeight="1">
      <c r="B4200" s="95"/>
      <c r="C4200" s="75"/>
      <c r="D4200" s="113"/>
      <c r="E4200" s="113"/>
      <c r="F4200" s="109"/>
      <c r="G4200" s="111"/>
    </row>
    <row r="4201" ht="15.75" customHeight="1">
      <c r="B4201" s="95"/>
      <c r="C4201" s="75"/>
      <c r="D4201" s="113"/>
      <c r="E4201" s="113"/>
      <c r="F4201" s="109"/>
      <c r="G4201" s="111"/>
    </row>
    <row r="4202" ht="15.75" customHeight="1">
      <c r="B4202" s="95"/>
      <c r="C4202" s="75"/>
      <c r="D4202" s="113"/>
      <c r="E4202" s="113"/>
      <c r="F4202" s="109"/>
      <c r="G4202" s="111"/>
    </row>
    <row r="4203" ht="15.75" customHeight="1">
      <c r="B4203" s="95"/>
      <c r="C4203" s="75"/>
      <c r="D4203" s="113"/>
      <c r="E4203" s="113"/>
      <c r="F4203" s="109"/>
      <c r="G4203" s="111"/>
    </row>
    <row r="4204" ht="15.75" customHeight="1">
      <c r="B4204" s="95"/>
      <c r="C4204" s="75"/>
      <c r="D4204" s="113"/>
      <c r="E4204" s="113"/>
      <c r="F4204" s="109"/>
      <c r="G4204" s="111"/>
    </row>
    <row r="4205" ht="15.75" customHeight="1">
      <c r="B4205" s="95"/>
      <c r="C4205" s="75"/>
      <c r="D4205" s="113"/>
      <c r="E4205" s="113"/>
      <c r="F4205" s="109"/>
      <c r="G4205" s="111"/>
    </row>
    <row r="4206" ht="15.75" customHeight="1">
      <c r="B4206" s="95"/>
      <c r="C4206" s="75"/>
      <c r="D4206" s="113"/>
      <c r="E4206" s="113"/>
      <c r="F4206" s="109"/>
      <c r="G4206" s="111"/>
    </row>
    <row r="4207" ht="15.75" customHeight="1">
      <c r="B4207" s="95"/>
      <c r="C4207" s="75"/>
      <c r="D4207" s="113"/>
      <c r="E4207" s="113"/>
      <c r="F4207" s="109"/>
      <c r="G4207" s="111"/>
    </row>
    <row r="4208" ht="15.75" customHeight="1">
      <c r="B4208" s="95"/>
      <c r="C4208" s="75"/>
      <c r="D4208" s="113"/>
      <c r="E4208" s="113"/>
      <c r="F4208" s="109"/>
      <c r="G4208" s="111"/>
    </row>
    <row r="4209" ht="15.75" customHeight="1">
      <c r="B4209" s="95"/>
      <c r="C4209" s="75"/>
      <c r="D4209" s="113"/>
      <c r="E4209" s="113"/>
      <c r="F4209" s="109"/>
      <c r="G4209" s="111"/>
    </row>
    <row r="4210" ht="15.75" customHeight="1">
      <c r="B4210" s="95"/>
      <c r="C4210" s="75"/>
      <c r="D4210" s="113"/>
      <c r="E4210" s="113"/>
      <c r="F4210" s="109"/>
      <c r="G4210" s="111"/>
    </row>
    <row r="4211" ht="15.75" customHeight="1">
      <c r="B4211" s="95"/>
      <c r="C4211" s="75"/>
      <c r="D4211" s="113"/>
      <c r="E4211" s="113"/>
      <c r="F4211" s="109"/>
      <c r="G4211" s="111"/>
    </row>
    <row r="4212" ht="15.75" customHeight="1">
      <c r="B4212" s="95"/>
      <c r="C4212" s="75"/>
      <c r="D4212" s="113"/>
      <c r="E4212" s="113"/>
      <c r="F4212" s="109"/>
      <c r="G4212" s="111"/>
    </row>
    <row r="4213" ht="15.75" customHeight="1">
      <c r="B4213" s="95"/>
      <c r="C4213" s="75"/>
      <c r="D4213" s="113"/>
      <c r="E4213" s="113"/>
      <c r="F4213" s="109"/>
      <c r="G4213" s="111"/>
    </row>
    <row r="4214" ht="15.75" customHeight="1">
      <c r="B4214" s="95"/>
      <c r="C4214" s="75"/>
      <c r="D4214" s="113"/>
      <c r="E4214" s="113"/>
      <c r="F4214" s="109"/>
      <c r="G4214" s="111"/>
    </row>
    <row r="4215" ht="15.75" customHeight="1">
      <c r="B4215" s="95"/>
      <c r="C4215" s="75"/>
      <c r="D4215" s="113"/>
      <c r="E4215" s="113"/>
      <c r="F4215" s="109"/>
      <c r="G4215" s="111"/>
    </row>
    <row r="4216" ht="15.75" customHeight="1">
      <c r="B4216" s="95"/>
      <c r="C4216" s="75"/>
      <c r="D4216" s="113"/>
      <c r="E4216" s="113"/>
      <c r="F4216" s="109"/>
      <c r="G4216" s="111"/>
    </row>
    <row r="4217" ht="15.75" customHeight="1">
      <c r="B4217" s="95"/>
      <c r="C4217" s="75"/>
      <c r="D4217" s="113"/>
      <c r="E4217" s="113"/>
      <c r="F4217" s="109"/>
      <c r="G4217" s="111"/>
    </row>
    <row r="4218" ht="15.75" customHeight="1">
      <c r="B4218" s="95"/>
      <c r="C4218" s="75"/>
      <c r="D4218" s="113"/>
      <c r="E4218" s="113"/>
      <c r="F4218" s="109"/>
      <c r="G4218" s="111"/>
    </row>
    <row r="4219" ht="15.75" customHeight="1">
      <c r="B4219" s="95"/>
      <c r="C4219" s="75"/>
      <c r="D4219" s="113"/>
      <c r="E4219" s="113"/>
      <c r="F4219" s="109"/>
      <c r="G4219" s="111"/>
    </row>
    <row r="4220" ht="15.75" customHeight="1">
      <c r="B4220" s="95"/>
      <c r="C4220" s="75"/>
      <c r="D4220" s="113"/>
      <c r="E4220" s="113"/>
      <c r="F4220" s="109"/>
      <c r="G4220" s="111"/>
    </row>
    <row r="4221" ht="15.75" customHeight="1">
      <c r="B4221" s="95"/>
      <c r="C4221" s="75"/>
      <c r="D4221" s="113"/>
      <c r="E4221" s="113"/>
      <c r="F4221" s="109"/>
      <c r="G4221" s="111"/>
    </row>
    <row r="4222" ht="15.75" customHeight="1">
      <c r="B4222" s="95"/>
      <c r="C4222" s="75"/>
      <c r="D4222" s="113"/>
      <c r="E4222" s="113"/>
      <c r="F4222" s="109"/>
      <c r="G4222" s="111"/>
    </row>
    <row r="4223" ht="15.75" customHeight="1">
      <c r="B4223" s="95"/>
      <c r="C4223" s="75"/>
      <c r="D4223" s="113"/>
      <c r="E4223" s="113"/>
      <c r="F4223" s="109"/>
      <c r="G4223" s="111"/>
    </row>
    <row r="4224" ht="15.75" customHeight="1">
      <c r="B4224" s="95"/>
      <c r="C4224" s="75"/>
      <c r="D4224" s="113"/>
      <c r="E4224" s="113"/>
      <c r="F4224" s="109"/>
      <c r="G4224" s="111"/>
    </row>
    <row r="4225" ht="15.75" customHeight="1">
      <c r="B4225" s="95"/>
      <c r="C4225" s="75"/>
      <c r="D4225" s="113"/>
      <c r="E4225" s="113"/>
      <c r="F4225" s="109"/>
      <c r="G4225" s="111"/>
    </row>
    <row r="4226" ht="15.75" customHeight="1">
      <c r="B4226" s="95"/>
      <c r="C4226" s="75"/>
      <c r="D4226" s="113"/>
      <c r="E4226" s="113"/>
      <c r="F4226" s="109"/>
      <c r="G4226" s="111"/>
    </row>
    <row r="4227" ht="15.75" customHeight="1">
      <c r="B4227" s="95"/>
      <c r="C4227" s="75"/>
      <c r="D4227" s="113"/>
      <c r="E4227" s="113"/>
      <c r="F4227" s="109"/>
      <c r="G4227" s="111"/>
    </row>
    <row r="4228" ht="15.75" customHeight="1">
      <c r="B4228" s="95"/>
      <c r="C4228" s="75"/>
      <c r="D4228" s="113"/>
      <c r="E4228" s="113"/>
      <c r="F4228" s="109"/>
      <c r="G4228" s="111"/>
    </row>
    <row r="4229" ht="15.75" customHeight="1">
      <c r="B4229" s="95"/>
      <c r="C4229" s="75"/>
      <c r="D4229" s="113"/>
      <c r="E4229" s="113"/>
      <c r="F4229" s="109"/>
      <c r="G4229" s="111"/>
    </row>
    <row r="4230" ht="15.75" customHeight="1">
      <c r="B4230" s="95"/>
      <c r="C4230" s="75"/>
      <c r="D4230" s="113"/>
      <c r="E4230" s="113"/>
      <c r="F4230" s="109"/>
      <c r="G4230" s="111"/>
    </row>
    <row r="4231" ht="15.75" customHeight="1">
      <c r="B4231" s="95"/>
      <c r="C4231" s="75"/>
      <c r="D4231" s="113"/>
      <c r="E4231" s="113"/>
      <c r="F4231" s="109"/>
      <c r="G4231" s="111"/>
    </row>
    <row r="4232" ht="15.75" customHeight="1">
      <c r="B4232" s="95"/>
      <c r="C4232" s="75"/>
      <c r="D4232" s="113"/>
      <c r="E4232" s="113"/>
      <c r="F4232" s="109"/>
      <c r="G4232" s="111"/>
    </row>
    <row r="4233" ht="15.75" customHeight="1">
      <c r="B4233" s="95"/>
      <c r="C4233" s="75"/>
      <c r="D4233" s="113"/>
      <c r="E4233" s="113"/>
      <c r="F4233" s="109"/>
      <c r="G4233" s="111"/>
    </row>
    <row r="4234" ht="15.75" customHeight="1">
      <c r="B4234" s="95"/>
      <c r="C4234" s="75"/>
      <c r="D4234" s="113"/>
      <c r="E4234" s="113"/>
      <c r="F4234" s="109"/>
      <c r="G4234" s="111"/>
    </row>
    <row r="4235" ht="15.75" customHeight="1">
      <c r="B4235" s="95"/>
      <c r="C4235" s="75"/>
      <c r="D4235" s="113"/>
      <c r="E4235" s="113"/>
      <c r="F4235" s="109"/>
      <c r="G4235" s="111"/>
    </row>
    <row r="4236" ht="15.75" customHeight="1">
      <c r="B4236" s="95"/>
      <c r="C4236" s="75"/>
      <c r="D4236" s="113"/>
      <c r="E4236" s="113"/>
      <c r="F4236" s="109"/>
      <c r="G4236" s="111"/>
    </row>
    <row r="4237" ht="15.75" customHeight="1">
      <c r="B4237" s="95"/>
      <c r="C4237" s="75"/>
      <c r="D4237" s="113"/>
      <c r="E4237" s="113"/>
      <c r="F4237" s="109"/>
      <c r="G4237" s="111"/>
    </row>
    <row r="4238" ht="15.75" customHeight="1">
      <c r="B4238" s="95"/>
      <c r="C4238" s="75"/>
      <c r="D4238" s="113"/>
      <c r="E4238" s="113"/>
      <c r="F4238" s="109"/>
      <c r="G4238" s="111"/>
    </row>
    <row r="4239" ht="15.75" customHeight="1">
      <c r="B4239" s="95"/>
      <c r="C4239" s="75"/>
      <c r="D4239" s="113"/>
      <c r="E4239" s="113"/>
      <c r="F4239" s="109"/>
      <c r="G4239" s="111"/>
    </row>
    <row r="4240" ht="15.75" customHeight="1">
      <c r="B4240" s="95"/>
      <c r="C4240" s="75"/>
      <c r="D4240" s="113"/>
      <c r="E4240" s="113"/>
      <c r="F4240" s="109"/>
      <c r="G4240" s="111"/>
    </row>
    <row r="4241" ht="15.75" customHeight="1">
      <c r="B4241" s="95"/>
      <c r="C4241" s="75"/>
      <c r="D4241" s="113"/>
      <c r="E4241" s="113"/>
      <c r="F4241" s="109"/>
      <c r="G4241" s="111"/>
    </row>
    <row r="4242" ht="15.75" customHeight="1">
      <c r="B4242" s="95"/>
      <c r="C4242" s="75"/>
      <c r="D4242" s="113"/>
      <c r="E4242" s="113"/>
      <c r="F4242" s="109"/>
      <c r="G4242" s="111"/>
    </row>
    <row r="4243" ht="15.75" customHeight="1">
      <c r="B4243" s="95"/>
      <c r="C4243" s="75"/>
      <c r="D4243" s="113"/>
      <c r="E4243" s="113"/>
      <c r="F4243" s="109"/>
      <c r="G4243" s="111"/>
    </row>
    <row r="4244" ht="15.75" customHeight="1">
      <c r="B4244" s="95"/>
      <c r="C4244" s="75"/>
      <c r="D4244" s="113"/>
      <c r="E4244" s="113"/>
      <c r="F4244" s="109"/>
      <c r="G4244" s="111"/>
    </row>
    <row r="4245" ht="15.75" customHeight="1">
      <c r="B4245" s="95"/>
      <c r="C4245" s="75"/>
      <c r="D4245" s="113"/>
      <c r="E4245" s="113"/>
      <c r="F4245" s="109"/>
      <c r="G4245" s="111"/>
    </row>
    <row r="4246" ht="15.75" customHeight="1">
      <c r="B4246" s="95"/>
      <c r="C4246" s="75"/>
      <c r="D4246" s="113"/>
      <c r="E4246" s="113"/>
      <c r="F4246" s="109"/>
      <c r="G4246" s="111"/>
    </row>
    <row r="4247" ht="15.75" customHeight="1">
      <c r="B4247" s="95"/>
      <c r="C4247" s="75"/>
      <c r="D4247" s="113"/>
      <c r="E4247" s="113"/>
      <c r="F4247" s="109"/>
      <c r="G4247" s="111"/>
    </row>
    <row r="4248" ht="15.75" customHeight="1">
      <c r="B4248" s="95"/>
      <c r="C4248" s="75"/>
      <c r="D4248" s="113"/>
      <c r="E4248" s="113"/>
      <c r="F4248" s="109"/>
      <c r="G4248" s="111"/>
    </row>
    <row r="4249" ht="15.75" customHeight="1">
      <c r="B4249" s="95"/>
      <c r="C4249" s="75"/>
      <c r="D4249" s="113"/>
      <c r="E4249" s="113"/>
      <c r="F4249" s="109"/>
      <c r="G4249" s="111"/>
    </row>
    <row r="4250" ht="15.75" customHeight="1">
      <c r="B4250" s="95"/>
      <c r="C4250" s="75"/>
      <c r="D4250" s="113"/>
      <c r="E4250" s="113"/>
      <c r="F4250" s="109"/>
      <c r="G4250" s="111"/>
    </row>
    <row r="4251" ht="15.75" customHeight="1">
      <c r="B4251" s="95"/>
      <c r="C4251" s="75"/>
      <c r="D4251" s="113"/>
      <c r="E4251" s="113"/>
      <c r="F4251" s="109"/>
      <c r="G4251" s="111"/>
    </row>
    <row r="4252" ht="15.75" customHeight="1">
      <c r="B4252" s="95"/>
      <c r="C4252" s="75"/>
      <c r="D4252" s="113"/>
      <c r="E4252" s="113"/>
      <c r="F4252" s="109"/>
      <c r="G4252" s="111"/>
    </row>
    <row r="4253" ht="15.75" customHeight="1">
      <c r="B4253" s="95"/>
      <c r="C4253" s="75"/>
      <c r="D4253" s="113"/>
      <c r="E4253" s="113"/>
      <c r="F4253" s="109"/>
      <c r="G4253" s="111"/>
    </row>
    <row r="4254" ht="15.75" customHeight="1">
      <c r="B4254" s="95"/>
      <c r="C4254" s="75"/>
      <c r="D4254" s="113"/>
      <c r="E4254" s="113"/>
      <c r="F4254" s="109"/>
      <c r="G4254" s="111"/>
    </row>
    <row r="4255" ht="15.75" customHeight="1">
      <c r="B4255" s="95"/>
      <c r="C4255" s="75"/>
      <c r="D4255" s="113"/>
      <c r="E4255" s="113"/>
      <c r="F4255" s="109"/>
      <c r="G4255" s="111"/>
    </row>
    <row r="4256" ht="15.75" customHeight="1">
      <c r="B4256" s="95"/>
      <c r="C4256" s="75"/>
      <c r="D4256" s="113"/>
      <c r="E4256" s="113"/>
      <c r="F4256" s="109"/>
      <c r="G4256" s="111"/>
    </row>
    <row r="4257" ht="15.75" customHeight="1">
      <c r="B4257" s="95"/>
      <c r="C4257" s="75"/>
      <c r="D4257" s="113"/>
      <c r="E4257" s="113"/>
      <c r="F4257" s="109"/>
      <c r="G4257" s="111"/>
    </row>
    <row r="4258" ht="15.75" customHeight="1">
      <c r="B4258" s="95"/>
      <c r="C4258" s="75"/>
      <c r="D4258" s="113"/>
      <c r="E4258" s="113"/>
      <c r="F4258" s="109"/>
      <c r="G4258" s="111"/>
    </row>
    <row r="4259" ht="15.75" customHeight="1">
      <c r="B4259" s="95"/>
      <c r="C4259" s="75"/>
      <c r="D4259" s="113"/>
      <c r="E4259" s="113"/>
      <c r="F4259" s="109"/>
      <c r="G4259" s="111"/>
    </row>
    <row r="4260" ht="15.75" customHeight="1">
      <c r="B4260" s="95"/>
      <c r="C4260" s="75"/>
      <c r="D4260" s="113"/>
      <c r="E4260" s="113"/>
      <c r="F4260" s="109"/>
      <c r="G4260" s="111"/>
    </row>
    <row r="4261" ht="15.75" customHeight="1">
      <c r="B4261" s="95"/>
      <c r="C4261" s="75"/>
      <c r="D4261" s="113"/>
      <c r="E4261" s="113"/>
      <c r="F4261" s="109"/>
      <c r="G4261" s="111"/>
    </row>
    <row r="4262" ht="15.75" customHeight="1">
      <c r="B4262" s="95"/>
      <c r="C4262" s="75"/>
      <c r="D4262" s="113"/>
      <c r="E4262" s="113"/>
      <c r="F4262" s="109"/>
      <c r="G4262" s="111"/>
    </row>
    <row r="4263" ht="15.75" customHeight="1">
      <c r="B4263" s="95"/>
      <c r="C4263" s="75"/>
      <c r="D4263" s="113"/>
      <c r="E4263" s="113"/>
      <c r="F4263" s="109"/>
      <c r="G4263" s="111"/>
    </row>
    <row r="4264" ht="15.75" customHeight="1">
      <c r="B4264" s="95"/>
      <c r="C4264" s="75"/>
      <c r="D4264" s="113"/>
      <c r="E4264" s="113"/>
      <c r="F4264" s="109"/>
      <c r="G4264" s="111"/>
    </row>
    <row r="4265" ht="15.75" customHeight="1">
      <c r="B4265" s="95"/>
      <c r="C4265" s="75"/>
      <c r="D4265" s="113"/>
      <c r="E4265" s="113"/>
      <c r="F4265" s="109"/>
      <c r="G4265" s="111"/>
    </row>
    <row r="4266" ht="15.75" customHeight="1">
      <c r="B4266" s="95"/>
      <c r="C4266" s="75"/>
      <c r="D4266" s="113"/>
      <c r="E4266" s="113"/>
      <c r="F4266" s="109"/>
      <c r="G4266" s="111"/>
    </row>
    <row r="4267" ht="15.75" customHeight="1">
      <c r="B4267" s="95"/>
      <c r="C4267" s="75"/>
      <c r="D4267" s="113"/>
      <c r="E4267" s="113"/>
      <c r="F4267" s="109"/>
      <c r="G4267" s="111"/>
    </row>
    <row r="4268" ht="15.75" customHeight="1">
      <c r="B4268" s="95"/>
      <c r="C4268" s="75"/>
      <c r="D4268" s="113"/>
      <c r="E4268" s="113"/>
      <c r="F4268" s="109"/>
      <c r="G4268" s="111"/>
    </row>
    <row r="4269" ht="15.75" customHeight="1">
      <c r="B4269" s="95"/>
      <c r="C4269" s="75"/>
      <c r="D4269" s="113"/>
      <c r="E4269" s="113"/>
      <c r="F4269" s="109"/>
      <c r="G4269" s="111"/>
    </row>
    <row r="4270" ht="15.75" customHeight="1">
      <c r="B4270" s="95"/>
      <c r="C4270" s="75"/>
      <c r="D4270" s="113"/>
      <c r="E4270" s="113"/>
      <c r="F4270" s="109"/>
      <c r="G4270" s="111"/>
    </row>
    <row r="4271" ht="15.75" customHeight="1">
      <c r="B4271" s="95"/>
      <c r="C4271" s="75"/>
      <c r="D4271" s="113"/>
      <c r="E4271" s="113"/>
      <c r="F4271" s="109"/>
      <c r="G4271" s="111"/>
    </row>
    <row r="4272" ht="15.75" customHeight="1">
      <c r="B4272" s="95"/>
      <c r="C4272" s="75"/>
      <c r="D4272" s="113"/>
      <c r="E4272" s="113"/>
      <c r="F4272" s="109"/>
      <c r="G4272" s="111"/>
    </row>
    <row r="4273" ht="15.75" customHeight="1">
      <c r="B4273" s="95"/>
      <c r="C4273" s="75"/>
      <c r="D4273" s="113"/>
      <c r="E4273" s="113"/>
      <c r="F4273" s="109"/>
      <c r="G4273" s="111"/>
    </row>
    <row r="4274" ht="15.75" customHeight="1">
      <c r="B4274" s="95"/>
      <c r="C4274" s="75"/>
      <c r="D4274" s="113"/>
      <c r="E4274" s="113"/>
      <c r="F4274" s="109"/>
      <c r="G4274" s="111"/>
    </row>
    <row r="4275" ht="15.75" customHeight="1">
      <c r="B4275" s="95"/>
      <c r="C4275" s="75"/>
      <c r="D4275" s="113"/>
      <c r="E4275" s="113"/>
      <c r="F4275" s="109"/>
      <c r="G4275" s="111"/>
    </row>
    <row r="4276" ht="15.75" customHeight="1">
      <c r="B4276" s="95"/>
      <c r="C4276" s="75"/>
      <c r="D4276" s="113"/>
      <c r="E4276" s="113"/>
      <c r="F4276" s="109"/>
      <c r="G4276" s="111"/>
    </row>
    <row r="4277" ht="15.75" customHeight="1">
      <c r="B4277" s="95"/>
      <c r="C4277" s="75"/>
      <c r="D4277" s="113"/>
      <c r="E4277" s="113"/>
      <c r="F4277" s="109"/>
      <c r="G4277" s="111"/>
    </row>
    <row r="4278" ht="15.75" customHeight="1">
      <c r="B4278" s="95"/>
      <c r="C4278" s="75"/>
      <c r="D4278" s="113"/>
      <c r="E4278" s="113"/>
      <c r="F4278" s="109"/>
      <c r="G4278" s="111"/>
    </row>
    <row r="4279" ht="15.75" customHeight="1">
      <c r="B4279" s="95"/>
      <c r="C4279" s="75"/>
      <c r="D4279" s="113"/>
      <c r="E4279" s="113"/>
      <c r="F4279" s="109"/>
      <c r="G4279" s="111"/>
    </row>
    <row r="4280" ht="15.75" customHeight="1">
      <c r="B4280" s="95"/>
      <c r="C4280" s="75"/>
      <c r="D4280" s="113"/>
      <c r="E4280" s="113"/>
      <c r="F4280" s="109"/>
      <c r="G4280" s="111"/>
    </row>
    <row r="4281" ht="15.75" customHeight="1">
      <c r="B4281" s="95"/>
      <c r="C4281" s="75"/>
      <c r="D4281" s="113"/>
      <c r="E4281" s="113"/>
      <c r="F4281" s="109"/>
      <c r="G4281" s="111"/>
    </row>
    <row r="4282" ht="15.75" customHeight="1">
      <c r="B4282" s="95"/>
      <c r="C4282" s="75"/>
      <c r="D4282" s="113"/>
      <c r="E4282" s="113"/>
      <c r="F4282" s="109"/>
      <c r="G4282" s="111"/>
    </row>
    <row r="4283" ht="15.75" customHeight="1">
      <c r="B4283" s="95"/>
      <c r="C4283" s="75"/>
      <c r="D4283" s="113"/>
      <c r="E4283" s="113"/>
      <c r="F4283" s="109"/>
      <c r="G4283" s="111"/>
    </row>
    <row r="4284" ht="15.75" customHeight="1">
      <c r="B4284" s="95"/>
      <c r="C4284" s="75"/>
      <c r="D4284" s="113"/>
      <c r="E4284" s="113"/>
      <c r="F4284" s="109"/>
      <c r="G4284" s="111"/>
    </row>
    <row r="4285" ht="15.75" customHeight="1">
      <c r="B4285" s="95"/>
      <c r="C4285" s="75"/>
      <c r="D4285" s="113"/>
      <c r="E4285" s="113"/>
      <c r="F4285" s="109"/>
      <c r="G4285" s="111"/>
    </row>
    <row r="4286" ht="15.75" customHeight="1">
      <c r="B4286" s="95"/>
      <c r="C4286" s="75"/>
      <c r="D4286" s="113"/>
      <c r="E4286" s="113"/>
      <c r="F4286" s="109"/>
      <c r="G4286" s="111"/>
    </row>
    <row r="4287" ht="15.75" customHeight="1">
      <c r="B4287" s="95"/>
      <c r="C4287" s="75"/>
      <c r="D4287" s="113"/>
      <c r="E4287" s="113"/>
      <c r="F4287" s="109"/>
      <c r="G4287" s="111"/>
    </row>
    <row r="4288" ht="15.75" customHeight="1">
      <c r="B4288" s="95"/>
      <c r="C4288" s="75"/>
      <c r="D4288" s="113"/>
      <c r="E4288" s="113"/>
      <c r="F4288" s="109"/>
      <c r="G4288" s="111"/>
    </row>
    <row r="4289" ht="15.75" customHeight="1">
      <c r="B4289" s="95"/>
      <c r="C4289" s="75"/>
      <c r="D4289" s="113"/>
      <c r="E4289" s="113"/>
      <c r="F4289" s="109"/>
      <c r="G4289" s="111"/>
    </row>
    <row r="4290" ht="15.75" customHeight="1">
      <c r="B4290" s="95"/>
      <c r="C4290" s="75"/>
      <c r="D4290" s="113"/>
      <c r="E4290" s="113"/>
      <c r="F4290" s="109"/>
      <c r="G4290" s="111"/>
    </row>
    <row r="4291" ht="15.75" customHeight="1">
      <c r="B4291" s="95"/>
      <c r="C4291" s="75"/>
      <c r="D4291" s="113"/>
      <c r="E4291" s="113"/>
      <c r="F4291" s="109"/>
      <c r="G4291" s="111"/>
    </row>
    <row r="4292" ht="15.75" customHeight="1">
      <c r="B4292" s="95"/>
      <c r="C4292" s="75"/>
      <c r="D4292" s="113"/>
      <c r="E4292" s="113"/>
      <c r="F4292" s="109"/>
      <c r="G4292" s="111"/>
    </row>
    <row r="4293" ht="15.75" customHeight="1">
      <c r="B4293" s="95"/>
      <c r="C4293" s="75"/>
      <c r="D4293" s="113"/>
      <c r="E4293" s="113"/>
      <c r="F4293" s="109"/>
      <c r="G4293" s="111"/>
    </row>
    <row r="4294" ht="15.75" customHeight="1">
      <c r="B4294" s="95"/>
      <c r="C4294" s="75"/>
      <c r="D4294" s="113"/>
      <c r="E4294" s="113"/>
      <c r="F4294" s="109"/>
      <c r="G4294" s="111"/>
    </row>
    <row r="4295" ht="15.75" customHeight="1">
      <c r="B4295" s="95"/>
      <c r="C4295" s="75"/>
      <c r="D4295" s="113"/>
      <c r="E4295" s="113"/>
      <c r="F4295" s="109"/>
      <c r="G4295" s="111"/>
    </row>
    <row r="4296" ht="15.75" customHeight="1">
      <c r="B4296" s="95"/>
      <c r="C4296" s="75"/>
      <c r="D4296" s="113"/>
      <c r="E4296" s="113"/>
      <c r="F4296" s="109"/>
      <c r="G4296" s="111"/>
    </row>
    <row r="4297" ht="15.75" customHeight="1">
      <c r="B4297" s="95"/>
      <c r="C4297" s="75"/>
      <c r="D4297" s="113"/>
      <c r="E4297" s="113"/>
      <c r="F4297" s="109"/>
      <c r="G4297" s="111"/>
    </row>
    <row r="4298" ht="15.75" customHeight="1">
      <c r="B4298" s="95"/>
      <c r="C4298" s="75"/>
      <c r="D4298" s="113"/>
      <c r="E4298" s="113"/>
      <c r="F4298" s="109"/>
      <c r="G4298" s="111"/>
    </row>
    <row r="4299" ht="15.75" customHeight="1">
      <c r="B4299" s="95"/>
      <c r="C4299" s="75"/>
      <c r="D4299" s="113"/>
      <c r="E4299" s="113"/>
      <c r="F4299" s="109"/>
      <c r="G4299" s="111"/>
    </row>
    <row r="4300" ht="15.75" customHeight="1">
      <c r="B4300" s="95"/>
      <c r="C4300" s="75"/>
      <c r="D4300" s="113"/>
      <c r="E4300" s="113"/>
      <c r="F4300" s="109"/>
      <c r="G4300" s="111"/>
    </row>
    <row r="4301" ht="15.75" customHeight="1">
      <c r="B4301" s="95"/>
      <c r="C4301" s="75"/>
      <c r="D4301" s="113"/>
      <c r="E4301" s="113"/>
      <c r="F4301" s="109"/>
      <c r="G4301" s="111"/>
    </row>
    <row r="4302" ht="15.75" customHeight="1">
      <c r="B4302" s="95"/>
      <c r="C4302" s="75"/>
      <c r="D4302" s="113"/>
      <c r="E4302" s="113"/>
      <c r="F4302" s="109"/>
      <c r="G4302" s="111"/>
    </row>
    <row r="4303" ht="15.75" customHeight="1">
      <c r="B4303" s="95"/>
      <c r="C4303" s="75"/>
      <c r="D4303" s="113"/>
      <c r="E4303" s="113"/>
      <c r="F4303" s="109"/>
      <c r="G4303" s="111"/>
    </row>
    <row r="4304" ht="15.75" customHeight="1">
      <c r="B4304" s="95"/>
      <c r="C4304" s="75"/>
      <c r="D4304" s="113"/>
      <c r="E4304" s="113"/>
      <c r="F4304" s="109"/>
      <c r="G4304" s="111"/>
    </row>
    <row r="4305" ht="15.75" customHeight="1">
      <c r="B4305" s="95"/>
      <c r="C4305" s="75"/>
      <c r="D4305" s="113"/>
      <c r="E4305" s="113"/>
      <c r="F4305" s="109"/>
      <c r="G4305" s="111"/>
    </row>
    <row r="4306" ht="15.75" customHeight="1">
      <c r="B4306" s="95"/>
      <c r="C4306" s="75"/>
      <c r="D4306" s="113"/>
      <c r="E4306" s="113"/>
      <c r="F4306" s="109"/>
      <c r="G4306" s="111"/>
    </row>
    <row r="4307" ht="15.75" customHeight="1">
      <c r="B4307" s="95"/>
      <c r="C4307" s="75"/>
      <c r="D4307" s="113"/>
      <c r="E4307" s="113"/>
      <c r="F4307" s="109"/>
      <c r="G4307" s="111"/>
    </row>
    <row r="4308" ht="15.75" customHeight="1">
      <c r="B4308" s="95"/>
      <c r="C4308" s="75"/>
      <c r="D4308" s="113"/>
      <c r="E4308" s="113"/>
      <c r="F4308" s="109"/>
      <c r="G4308" s="111"/>
    </row>
    <row r="4309" ht="15.75" customHeight="1">
      <c r="B4309" s="95"/>
      <c r="C4309" s="75"/>
      <c r="D4309" s="113"/>
      <c r="E4309" s="113"/>
      <c r="F4309" s="109"/>
      <c r="G4309" s="111"/>
    </row>
    <row r="4310" ht="15.75" customHeight="1">
      <c r="B4310" s="95"/>
      <c r="C4310" s="75"/>
      <c r="D4310" s="113"/>
      <c r="E4310" s="113"/>
      <c r="F4310" s="109"/>
      <c r="G4310" s="111"/>
    </row>
    <row r="4311" ht="15.75" customHeight="1">
      <c r="B4311" s="95"/>
      <c r="C4311" s="75"/>
      <c r="D4311" s="113"/>
      <c r="E4311" s="113"/>
      <c r="F4311" s="109"/>
      <c r="G4311" s="111"/>
    </row>
    <row r="4312" ht="15.75" customHeight="1">
      <c r="B4312" s="95"/>
      <c r="C4312" s="75"/>
      <c r="D4312" s="113"/>
      <c r="E4312" s="113"/>
      <c r="F4312" s="109"/>
      <c r="G4312" s="111"/>
    </row>
    <row r="4313" ht="15.75" customHeight="1">
      <c r="B4313" s="95"/>
      <c r="C4313" s="75"/>
      <c r="D4313" s="113"/>
      <c r="E4313" s="113"/>
      <c r="F4313" s="109"/>
      <c r="G4313" s="111"/>
    </row>
    <row r="4314" ht="15.75" customHeight="1">
      <c r="B4314" s="95"/>
      <c r="C4314" s="75"/>
      <c r="D4314" s="113"/>
      <c r="E4314" s="113"/>
      <c r="F4314" s="109"/>
      <c r="G4314" s="111"/>
    </row>
    <row r="4315" ht="15.75" customHeight="1">
      <c r="B4315" s="95"/>
      <c r="C4315" s="75"/>
      <c r="D4315" s="113"/>
      <c r="E4315" s="113"/>
      <c r="F4315" s="109"/>
      <c r="G4315" s="111"/>
    </row>
    <row r="4316" ht="15.75" customHeight="1">
      <c r="B4316" s="95"/>
      <c r="C4316" s="75"/>
      <c r="D4316" s="113"/>
      <c r="E4316" s="113"/>
      <c r="F4316" s="109"/>
      <c r="G4316" s="111"/>
    </row>
    <row r="4317" ht="15.75" customHeight="1">
      <c r="B4317" s="95"/>
      <c r="C4317" s="75"/>
      <c r="D4317" s="113"/>
      <c r="E4317" s="113"/>
      <c r="F4317" s="109"/>
      <c r="G4317" s="111"/>
    </row>
    <row r="4318" ht="15.75" customHeight="1">
      <c r="B4318" s="95"/>
      <c r="C4318" s="75"/>
      <c r="D4318" s="113"/>
      <c r="E4318" s="113"/>
      <c r="F4318" s="109"/>
      <c r="G4318" s="111"/>
    </row>
    <row r="4319" ht="15.75" customHeight="1">
      <c r="B4319" s="95"/>
      <c r="C4319" s="75"/>
      <c r="D4319" s="113"/>
      <c r="E4319" s="113"/>
      <c r="F4319" s="109"/>
      <c r="G4319" s="111"/>
    </row>
    <row r="4320" ht="15.75" customHeight="1">
      <c r="B4320" s="95"/>
      <c r="C4320" s="75"/>
      <c r="D4320" s="113"/>
      <c r="E4320" s="113"/>
      <c r="F4320" s="109"/>
      <c r="G4320" s="111"/>
    </row>
    <row r="4321" ht="15.75" customHeight="1">
      <c r="B4321" s="95"/>
      <c r="C4321" s="75"/>
      <c r="D4321" s="113"/>
      <c r="E4321" s="113"/>
      <c r="F4321" s="109"/>
      <c r="G4321" s="111"/>
    </row>
    <row r="4322" ht="15.75" customHeight="1">
      <c r="B4322" s="95"/>
      <c r="C4322" s="75"/>
      <c r="D4322" s="113"/>
      <c r="E4322" s="113"/>
      <c r="F4322" s="109"/>
      <c r="G4322" s="111"/>
    </row>
    <row r="4323" ht="15.75" customHeight="1">
      <c r="B4323" s="95"/>
      <c r="C4323" s="75"/>
      <c r="D4323" s="113"/>
      <c r="E4323" s="113"/>
      <c r="F4323" s="109"/>
      <c r="G4323" s="111"/>
    </row>
    <row r="4324" ht="15.75" customHeight="1">
      <c r="B4324" s="95"/>
      <c r="C4324" s="75"/>
      <c r="D4324" s="113"/>
      <c r="E4324" s="113"/>
      <c r="F4324" s="109"/>
      <c r="G4324" s="111"/>
    </row>
    <row r="4325" ht="15.75" customHeight="1">
      <c r="B4325" s="95"/>
      <c r="C4325" s="75"/>
      <c r="D4325" s="113"/>
      <c r="E4325" s="113"/>
      <c r="F4325" s="109"/>
      <c r="G4325" s="111"/>
    </row>
    <row r="4326" ht="15.75" customHeight="1">
      <c r="B4326" s="95"/>
      <c r="C4326" s="75"/>
      <c r="D4326" s="113"/>
      <c r="E4326" s="113"/>
      <c r="F4326" s="109"/>
      <c r="G4326" s="111"/>
    </row>
    <row r="4327" ht="15.75" customHeight="1">
      <c r="B4327" s="95"/>
      <c r="C4327" s="75"/>
      <c r="D4327" s="113"/>
      <c r="E4327" s="113"/>
      <c r="F4327" s="109"/>
      <c r="G4327" s="111"/>
    </row>
    <row r="4328" ht="15.75" customHeight="1">
      <c r="B4328" s="95"/>
      <c r="C4328" s="75"/>
      <c r="D4328" s="113"/>
      <c r="E4328" s="113"/>
      <c r="F4328" s="109"/>
      <c r="G4328" s="111"/>
    </row>
    <row r="4329" ht="15.75" customHeight="1">
      <c r="B4329" s="95"/>
      <c r="C4329" s="75"/>
      <c r="D4329" s="113"/>
      <c r="E4329" s="113"/>
      <c r="F4329" s="109"/>
      <c r="G4329" s="111"/>
    </row>
    <row r="4330" ht="15.75" customHeight="1">
      <c r="B4330" s="95"/>
      <c r="C4330" s="75"/>
      <c r="D4330" s="113"/>
      <c r="E4330" s="113"/>
      <c r="F4330" s="109"/>
      <c r="G4330" s="111"/>
    </row>
    <row r="4331" ht="15.75" customHeight="1">
      <c r="B4331" s="95"/>
      <c r="C4331" s="75"/>
      <c r="D4331" s="113"/>
      <c r="E4331" s="113"/>
      <c r="F4331" s="109"/>
      <c r="G4331" s="111"/>
    </row>
    <row r="4332" ht="15.75" customHeight="1">
      <c r="B4332" s="95"/>
      <c r="C4332" s="75"/>
      <c r="D4332" s="113"/>
      <c r="E4332" s="113"/>
      <c r="F4332" s="109"/>
      <c r="G4332" s="111"/>
    </row>
    <row r="4333" ht="15.75" customHeight="1">
      <c r="B4333" s="95"/>
      <c r="C4333" s="75"/>
      <c r="D4333" s="113"/>
      <c r="E4333" s="113"/>
      <c r="F4333" s="109"/>
      <c r="G4333" s="111"/>
    </row>
    <row r="4334" ht="15.75" customHeight="1">
      <c r="B4334" s="95"/>
      <c r="C4334" s="75"/>
      <c r="D4334" s="113"/>
      <c r="E4334" s="113"/>
      <c r="F4334" s="109"/>
      <c r="G4334" s="111"/>
    </row>
    <row r="4335" ht="15.75" customHeight="1">
      <c r="B4335" s="95"/>
      <c r="C4335" s="75"/>
      <c r="D4335" s="113"/>
      <c r="E4335" s="113"/>
      <c r="F4335" s="109"/>
      <c r="G4335" s="111"/>
    </row>
    <row r="4336" ht="15.75" customHeight="1">
      <c r="B4336" s="95"/>
      <c r="C4336" s="75"/>
      <c r="D4336" s="113"/>
      <c r="E4336" s="113"/>
      <c r="F4336" s="109"/>
      <c r="G4336" s="111"/>
    </row>
    <row r="4337" ht="15.75" customHeight="1">
      <c r="B4337" s="95"/>
      <c r="C4337" s="75"/>
      <c r="D4337" s="113"/>
      <c r="E4337" s="113"/>
      <c r="F4337" s="109"/>
      <c r="G4337" s="111"/>
    </row>
    <row r="4338" ht="15.75" customHeight="1">
      <c r="B4338" s="95"/>
      <c r="C4338" s="75"/>
      <c r="D4338" s="113"/>
      <c r="E4338" s="113"/>
      <c r="F4338" s="109"/>
      <c r="G4338" s="111"/>
    </row>
    <row r="4339" ht="15.75" customHeight="1">
      <c r="B4339" s="95"/>
      <c r="C4339" s="75"/>
      <c r="D4339" s="113"/>
      <c r="E4339" s="113"/>
      <c r="F4339" s="109"/>
      <c r="G4339" s="111"/>
    </row>
    <row r="4340" ht="15.75" customHeight="1">
      <c r="B4340" s="95"/>
      <c r="C4340" s="75"/>
      <c r="D4340" s="113"/>
      <c r="E4340" s="113"/>
      <c r="F4340" s="109"/>
      <c r="G4340" s="111"/>
    </row>
    <row r="4341" ht="15.75" customHeight="1">
      <c r="B4341" s="95"/>
      <c r="C4341" s="75"/>
      <c r="D4341" s="113"/>
      <c r="E4341" s="113"/>
      <c r="F4341" s="109"/>
      <c r="G4341" s="111"/>
    </row>
    <row r="4342" ht="15.75" customHeight="1">
      <c r="B4342" s="95"/>
      <c r="C4342" s="75"/>
      <c r="D4342" s="113"/>
      <c r="E4342" s="113"/>
      <c r="F4342" s="109"/>
      <c r="G4342" s="111"/>
    </row>
    <row r="4343" ht="15.75" customHeight="1">
      <c r="B4343" s="95"/>
      <c r="C4343" s="75"/>
      <c r="D4343" s="113"/>
      <c r="E4343" s="113"/>
      <c r="F4343" s="109"/>
      <c r="G4343" s="111"/>
    </row>
    <row r="4344" ht="15.75" customHeight="1">
      <c r="B4344" s="95"/>
      <c r="C4344" s="75"/>
      <c r="D4344" s="113"/>
      <c r="E4344" s="113"/>
      <c r="F4344" s="109"/>
      <c r="G4344" s="111"/>
    </row>
    <row r="4345" ht="15.75" customHeight="1">
      <c r="B4345" s="95"/>
      <c r="C4345" s="75"/>
      <c r="D4345" s="113"/>
      <c r="E4345" s="113"/>
      <c r="F4345" s="109"/>
      <c r="G4345" s="111"/>
    </row>
    <row r="4346" ht="15.75" customHeight="1">
      <c r="B4346" s="95"/>
      <c r="C4346" s="75"/>
      <c r="D4346" s="113"/>
      <c r="E4346" s="113"/>
      <c r="F4346" s="109"/>
      <c r="G4346" s="111"/>
    </row>
    <row r="4347" ht="15.75" customHeight="1">
      <c r="B4347" s="95"/>
      <c r="C4347" s="75"/>
      <c r="D4347" s="113"/>
      <c r="E4347" s="113"/>
      <c r="F4347" s="109"/>
      <c r="G4347" s="111"/>
    </row>
    <row r="4348" ht="15.75" customHeight="1">
      <c r="B4348" s="95"/>
      <c r="C4348" s="75"/>
      <c r="D4348" s="113"/>
      <c r="E4348" s="113"/>
      <c r="F4348" s="109"/>
      <c r="G4348" s="111"/>
    </row>
    <row r="4349" ht="15.75" customHeight="1">
      <c r="B4349" s="95"/>
      <c r="C4349" s="75"/>
      <c r="D4349" s="113"/>
      <c r="E4349" s="113"/>
      <c r="F4349" s="109"/>
      <c r="G4349" s="111"/>
    </row>
    <row r="4350" ht="15.75" customHeight="1">
      <c r="B4350" s="95"/>
      <c r="C4350" s="75"/>
      <c r="D4350" s="113"/>
      <c r="E4350" s="113"/>
      <c r="F4350" s="109"/>
      <c r="G4350" s="111"/>
    </row>
    <row r="4351" ht="15.75" customHeight="1">
      <c r="B4351" s="95"/>
      <c r="C4351" s="75"/>
      <c r="D4351" s="113"/>
      <c r="E4351" s="113"/>
      <c r="F4351" s="109"/>
      <c r="G4351" s="111"/>
    </row>
    <row r="4352" ht="15.75" customHeight="1">
      <c r="B4352" s="95"/>
      <c r="C4352" s="75"/>
      <c r="D4352" s="113"/>
      <c r="E4352" s="113"/>
      <c r="F4352" s="109"/>
      <c r="G4352" s="111"/>
    </row>
    <row r="4353" ht="15.75" customHeight="1">
      <c r="B4353" s="95"/>
      <c r="C4353" s="75"/>
      <c r="D4353" s="113"/>
      <c r="E4353" s="113"/>
      <c r="F4353" s="109"/>
      <c r="G4353" s="111"/>
    </row>
    <row r="4354" ht="15.75" customHeight="1">
      <c r="B4354" s="95"/>
      <c r="C4354" s="75"/>
      <c r="D4354" s="113"/>
      <c r="E4354" s="113"/>
      <c r="F4354" s="109"/>
      <c r="G4354" s="111"/>
    </row>
    <row r="4355" ht="15.75" customHeight="1">
      <c r="B4355" s="95"/>
      <c r="C4355" s="75"/>
      <c r="D4355" s="113"/>
      <c r="E4355" s="113"/>
      <c r="F4355" s="109"/>
      <c r="G4355" s="111"/>
    </row>
    <row r="4356" ht="15.75" customHeight="1">
      <c r="B4356" s="95"/>
      <c r="C4356" s="75"/>
      <c r="D4356" s="113"/>
      <c r="E4356" s="113"/>
      <c r="F4356" s="109"/>
      <c r="G4356" s="111"/>
    </row>
    <row r="4357" ht="15.75" customHeight="1">
      <c r="B4357" s="95"/>
      <c r="C4357" s="75"/>
      <c r="D4357" s="113"/>
      <c r="E4357" s="113"/>
      <c r="F4357" s="109"/>
      <c r="G4357" s="111"/>
    </row>
    <row r="4358" ht="15.75" customHeight="1">
      <c r="B4358" s="95"/>
      <c r="C4358" s="75"/>
      <c r="D4358" s="113"/>
      <c r="E4358" s="113"/>
      <c r="F4358" s="109"/>
      <c r="G4358" s="111"/>
    </row>
    <row r="4359" ht="15.75" customHeight="1">
      <c r="B4359" s="95"/>
      <c r="C4359" s="75"/>
      <c r="D4359" s="113"/>
      <c r="E4359" s="113"/>
      <c r="F4359" s="109"/>
      <c r="G4359" s="111"/>
    </row>
    <row r="4360" ht="15.75" customHeight="1">
      <c r="B4360" s="95"/>
      <c r="C4360" s="75"/>
      <c r="D4360" s="113"/>
      <c r="E4360" s="113"/>
      <c r="F4360" s="109"/>
      <c r="G4360" s="111"/>
    </row>
    <row r="4361" ht="15.75" customHeight="1">
      <c r="B4361" s="95"/>
      <c r="C4361" s="75"/>
      <c r="D4361" s="113"/>
      <c r="E4361" s="113"/>
      <c r="F4361" s="109"/>
      <c r="G4361" s="111"/>
    </row>
    <row r="4362" ht="15.75" customHeight="1">
      <c r="B4362" s="95"/>
      <c r="C4362" s="75"/>
      <c r="D4362" s="113"/>
      <c r="E4362" s="113"/>
      <c r="F4362" s="109"/>
      <c r="G4362" s="111"/>
    </row>
    <row r="4363" ht="15.75" customHeight="1">
      <c r="B4363" s="95"/>
      <c r="C4363" s="75"/>
      <c r="D4363" s="113"/>
      <c r="E4363" s="113"/>
      <c r="F4363" s="109"/>
      <c r="G4363" s="111"/>
    </row>
    <row r="4364" ht="15.75" customHeight="1">
      <c r="B4364" s="95"/>
      <c r="C4364" s="75"/>
      <c r="D4364" s="113"/>
      <c r="E4364" s="113"/>
      <c r="F4364" s="109"/>
      <c r="G4364" s="111"/>
    </row>
    <row r="4365" ht="15.75" customHeight="1">
      <c r="B4365" s="95"/>
      <c r="C4365" s="75"/>
      <c r="D4365" s="113"/>
      <c r="E4365" s="113"/>
      <c r="F4365" s="109"/>
      <c r="G4365" s="111"/>
    </row>
    <row r="4366" ht="15.75" customHeight="1">
      <c r="B4366" s="95"/>
      <c r="C4366" s="75"/>
      <c r="D4366" s="113"/>
      <c r="E4366" s="113"/>
      <c r="F4366" s="109"/>
      <c r="G4366" s="111"/>
    </row>
    <row r="4367" ht="15.75" customHeight="1">
      <c r="B4367" s="95"/>
      <c r="C4367" s="75"/>
      <c r="D4367" s="113"/>
      <c r="E4367" s="113"/>
      <c r="F4367" s="109"/>
      <c r="G4367" s="111"/>
    </row>
    <row r="4368" ht="15.75" customHeight="1">
      <c r="B4368" s="95"/>
      <c r="C4368" s="75"/>
      <c r="D4368" s="113"/>
      <c r="E4368" s="113"/>
      <c r="F4368" s="109"/>
      <c r="G4368" s="111"/>
    </row>
    <row r="4369" ht="15.75" customHeight="1">
      <c r="B4369" s="95"/>
      <c r="C4369" s="75"/>
      <c r="D4369" s="113"/>
      <c r="E4369" s="113"/>
      <c r="F4369" s="109"/>
      <c r="G4369" s="111"/>
    </row>
    <row r="4370" ht="15.75" customHeight="1">
      <c r="B4370" s="95"/>
      <c r="C4370" s="75"/>
      <c r="D4370" s="113"/>
      <c r="E4370" s="113"/>
      <c r="F4370" s="109"/>
      <c r="G4370" s="111"/>
    </row>
    <row r="4371" ht="15.75" customHeight="1">
      <c r="B4371" s="95"/>
      <c r="C4371" s="75"/>
      <c r="D4371" s="113"/>
      <c r="E4371" s="113"/>
      <c r="F4371" s="109"/>
      <c r="G4371" s="111"/>
    </row>
    <row r="4372" ht="15.75" customHeight="1">
      <c r="B4372" s="95"/>
      <c r="C4372" s="75"/>
      <c r="D4372" s="113"/>
      <c r="E4372" s="113"/>
      <c r="F4372" s="109"/>
      <c r="G4372" s="111"/>
    </row>
    <row r="4373" ht="15.75" customHeight="1">
      <c r="B4373" s="95"/>
      <c r="C4373" s="75"/>
      <c r="D4373" s="113"/>
      <c r="E4373" s="113"/>
      <c r="F4373" s="109"/>
      <c r="G4373" s="111"/>
    </row>
    <row r="4374" ht="15.75" customHeight="1">
      <c r="B4374" s="95"/>
      <c r="C4374" s="75"/>
      <c r="D4374" s="113"/>
      <c r="E4374" s="113"/>
      <c r="F4374" s="109"/>
      <c r="G4374" s="111"/>
    </row>
    <row r="4375" ht="15.75" customHeight="1">
      <c r="B4375" s="95"/>
      <c r="C4375" s="75"/>
      <c r="D4375" s="113"/>
      <c r="E4375" s="113"/>
      <c r="F4375" s="109"/>
      <c r="G4375" s="111"/>
    </row>
    <row r="4376" ht="15.75" customHeight="1">
      <c r="B4376" s="95"/>
      <c r="C4376" s="75"/>
      <c r="D4376" s="113"/>
      <c r="E4376" s="113"/>
      <c r="F4376" s="109"/>
      <c r="G4376" s="111"/>
    </row>
    <row r="4377" ht="15.75" customHeight="1">
      <c r="B4377" s="95"/>
      <c r="C4377" s="75"/>
      <c r="D4377" s="113"/>
      <c r="E4377" s="113"/>
      <c r="F4377" s="109"/>
      <c r="G4377" s="111"/>
    </row>
    <row r="4378" ht="15.75" customHeight="1">
      <c r="B4378" s="95"/>
      <c r="C4378" s="75"/>
      <c r="D4378" s="113"/>
      <c r="E4378" s="113"/>
      <c r="F4378" s="109"/>
      <c r="G4378" s="111"/>
    </row>
    <row r="4379" ht="15.75" customHeight="1">
      <c r="B4379" s="95"/>
      <c r="C4379" s="75"/>
      <c r="D4379" s="113"/>
      <c r="E4379" s="113"/>
      <c r="F4379" s="109"/>
      <c r="G4379" s="111"/>
    </row>
    <row r="4380" ht="15.75" customHeight="1">
      <c r="B4380" s="95"/>
      <c r="C4380" s="75"/>
      <c r="D4380" s="113"/>
      <c r="E4380" s="113"/>
      <c r="F4380" s="109"/>
      <c r="G4380" s="111"/>
    </row>
    <row r="4381" ht="15.75" customHeight="1">
      <c r="B4381" s="95"/>
      <c r="C4381" s="75"/>
      <c r="D4381" s="113"/>
      <c r="E4381" s="113"/>
      <c r="F4381" s="109"/>
      <c r="G4381" s="111"/>
    </row>
    <row r="4382" ht="15.75" customHeight="1">
      <c r="B4382" s="95"/>
      <c r="C4382" s="75"/>
      <c r="D4382" s="113"/>
      <c r="E4382" s="113"/>
      <c r="F4382" s="109"/>
      <c r="G4382" s="111"/>
    </row>
    <row r="4383" ht="15.75" customHeight="1">
      <c r="B4383" s="95"/>
      <c r="C4383" s="75"/>
      <c r="D4383" s="113"/>
      <c r="E4383" s="113"/>
      <c r="F4383" s="109"/>
      <c r="G4383" s="111"/>
    </row>
    <row r="4384" ht="15.75" customHeight="1">
      <c r="B4384" s="95"/>
      <c r="C4384" s="75"/>
      <c r="D4384" s="113"/>
      <c r="E4384" s="113"/>
      <c r="F4384" s="109"/>
      <c r="G4384" s="111"/>
    </row>
    <row r="4385" ht="15.75" customHeight="1">
      <c r="B4385" s="95"/>
      <c r="C4385" s="75"/>
      <c r="D4385" s="113"/>
      <c r="E4385" s="113"/>
      <c r="F4385" s="109"/>
      <c r="G4385" s="111"/>
    </row>
    <row r="4386" ht="15.75" customHeight="1">
      <c r="B4386" s="95"/>
      <c r="C4386" s="75"/>
      <c r="D4386" s="113"/>
      <c r="E4386" s="113"/>
      <c r="F4386" s="109"/>
      <c r="G4386" s="111"/>
    </row>
    <row r="4387" ht="15.75" customHeight="1">
      <c r="B4387" s="95"/>
      <c r="C4387" s="75"/>
      <c r="D4387" s="113"/>
      <c r="E4387" s="113"/>
      <c r="F4387" s="109"/>
      <c r="G4387" s="111"/>
    </row>
    <row r="4388" ht="15.75" customHeight="1">
      <c r="B4388" s="95"/>
      <c r="C4388" s="75"/>
      <c r="D4388" s="113"/>
      <c r="E4388" s="113"/>
      <c r="F4388" s="109"/>
      <c r="G4388" s="111"/>
    </row>
    <row r="4389" ht="15.75" customHeight="1">
      <c r="B4389" s="95"/>
      <c r="C4389" s="75"/>
      <c r="D4389" s="113"/>
      <c r="E4389" s="113"/>
      <c r="F4389" s="109"/>
      <c r="G4389" s="111"/>
    </row>
    <row r="4390" ht="15.75" customHeight="1">
      <c r="B4390" s="95"/>
      <c r="C4390" s="75"/>
      <c r="D4390" s="113"/>
      <c r="E4390" s="113"/>
      <c r="F4390" s="109"/>
      <c r="G4390" s="111"/>
    </row>
    <row r="4391" ht="15.75" customHeight="1">
      <c r="B4391" s="95"/>
      <c r="C4391" s="75"/>
      <c r="D4391" s="113"/>
      <c r="E4391" s="113"/>
      <c r="F4391" s="109"/>
      <c r="G4391" s="111"/>
    </row>
    <row r="4392" ht="15.75" customHeight="1">
      <c r="B4392" s="95"/>
      <c r="C4392" s="75"/>
      <c r="D4392" s="113"/>
      <c r="E4392" s="113"/>
      <c r="F4392" s="109"/>
      <c r="G4392" s="111"/>
    </row>
    <row r="4393" ht="15.75" customHeight="1">
      <c r="B4393" s="95"/>
      <c r="C4393" s="75"/>
      <c r="D4393" s="113"/>
      <c r="E4393" s="113"/>
      <c r="F4393" s="109"/>
      <c r="G4393" s="111"/>
    </row>
    <row r="4394" ht="15.75" customHeight="1">
      <c r="B4394" s="95"/>
      <c r="C4394" s="75"/>
      <c r="D4394" s="113"/>
      <c r="E4394" s="113"/>
      <c r="F4394" s="109"/>
      <c r="G4394" s="111"/>
    </row>
    <row r="4395" ht="15.75" customHeight="1">
      <c r="B4395" s="95"/>
      <c r="C4395" s="75"/>
      <c r="D4395" s="113"/>
      <c r="E4395" s="113"/>
      <c r="F4395" s="109"/>
      <c r="G4395" s="111"/>
    </row>
    <row r="4396" ht="15.75" customHeight="1">
      <c r="B4396" s="95"/>
      <c r="C4396" s="75"/>
      <c r="D4396" s="113"/>
      <c r="E4396" s="113"/>
      <c r="F4396" s="109"/>
      <c r="G4396" s="111"/>
    </row>
    <row r="4397" ht="15.75" customHeight="1">
      <c r="B4397" s="95"/>
      <c r="C4397" s="75"/>
      <c r="D4397" s="113"/>
      <c r="E4397" s="113"/>
      <c r="F4397" s="109"/>
      <c r="G4397" s="111"/>
    </row>
    <row r="4398" ht="15.75" customHeight="1">
      <c r="B4398" s="95"/>
      <c r="C4398" s="75"/>
      <c r="D4398" s="113"/>
      <c r="E4398" s="113"/>
      <c r="F4398" s="109"/>
      <c r="G4398" s="111"/>
    </row>
    <row r="4399" ht="15.75" customHeight="1">
      <c r="B4399" s="95"/>
      <c r="C4399" s="75"/>
      <c r="D4399" s="113"/>
      <c r="E4399" s="113"/>
      <c r="F4399" s="109"/>
      <c r="G4399" s="111"/>
    </row>
    <row r="4400" ht="15.75" customHeight="1">
      <c r="B4400" s="95"/>
      <c r="C4400" s="75"/>
      <c r="D4400" s="113"/>
      <c r="E4400" s="113"/>
      <c r="F4400" s="109"/>
      <c r="G4400" s="111"/>
    </row>
    <row r="4401" ht="15.75" customHeight="1">
      <c r="B4401" s="95"/>
      <c r="C4401" s="75"/>
      <c r="D4401" s="113"/>
      <c r="E4401" s="113"/>
      <c r="F4401" s="109"/>
      <c r="G4401" s="111"/>
    </row>
    <row r="4402" ht="15.75" customHeight="1">
      <c r="B4402" s="95"/>
      <c r="C4402" s="75"/>
      <c r="D4402" s="113"/>
      <c r="E4402" s="113"/>
      <c r="F4402" s="109"/>
      <c r="G4402" s="111"/>
    </row>
    <row r="4403" ht="15.75" customHeight="1">
      <c r="B4403" s="95"/>
      <c r="C4403" s="75"/>
      <c r="D4403" s="113"/>
      <c r="E4403" s="113"/>
      <c r="F4403" s="109"/>
      <c r="G4403" s="111"/>
    </row>
    <row r="4404" ht="15.75" customHeight="1">
      <c r="B4404" s="95"/>
      <c r="C4404" s="75"/>
      <c r="D4404" s="113"/>
      <c r="E4404" s="113"/>
      <c r="F4404" s="109"/>
      <c r="G4404" s="111"/>
    </row>
    <row r="4405" ht="15.75" customHeight="1">
      <c r="B4405" s="95"/>
      <c r="C4405" s="75"/>
      <c r="D4405" s="113"/>
      <c r="E4405" s="113"/>
      <c r="F4405" s="109"/>
      <c r="G4405" s="111"/>
    </row>
    <row r="4406" ht="15.75" customHeight="1">
      <c r="B4406" s="95"/>
      <c r="C4406" s="75"/>
      <c r="D4406" s="113"/>
      <c r="E4406" s="113"/>
      <c r="F4406" s="109"/>
      <c r="G4406" s="111"/>
    </row>
    <row r="4407" ht="15.75" customHeight="1">
      <c r="B4407" s="95"/>
      <c r="C4407" s="75"/>
      <c r="D4407" s="113"/>
      <c r="E4407" s="113"/>
      <c r="F4407" s="109"/>
      <c r="G4407" s="111"/>
    </row>
    <row r="4408" ht="15.75" customHeight="1">
      <c r="B4408" s="95"/>
      <c r="C4408" s="75"/>
      <c r="D4408" s="113"/>
      <c r="E4408" s="113"/>
      <c r="F4408" s="109"/>
      <c r="G4408" s="111"/>
    </row>
    <row r="4409" ht="15.75" customHeight="1">
      <c r="B4409" s="95"/>
      <c r="C4409" s="75"/>
      <c r="D4409" s="113"/>
      <c r="E4409" s="113"/>
      <c r="F4409" s="109"/>
      <c r="G4409" s="111"/>
    </row>
    <row r="4410" ht="15.75" customHeight="1">
      <c r="B4410" s="95"/>
      <c r="C4410" s="75"/>
      <c r="D4410" s="113"/>
      <c r="E4410" s="113"/>
      <c r="F4410" s="109"/>
      <c r="G4410" s="111"/>
    </row>
    <row r="4411" ht="15.75" customHeight="1">
      <c r="B4411" s="95"/>
      <c r="C4411" s="75"/>
      <c r="D4411" s="113"/>
      <c r="E4411" s="113"/>
      <c r="F4411" s="109"/>
      <c r="G4411" s="111"/>
    </row>
    <row r="4412" ht="15.75" customHeight="1">
      <c r="B4412" s="95"/>
      <c r="C4412" s="75"/>
      <c r="D4412" s="113"/>
      <c r="E4412" s="113"/>
      <c r="F4412" s="109"/>
      <c r="G4412" s="111"/>
    </row>
    <row r="4413" ht="15.75" customHeight="1">
      <c r="B4413" s="95"/>
      <c r="C4413" s="75"/>
      <c r="D4413" s="113"/>
      <c r="E4413" s="113"/>
      <c r="F4413" s="109"/>
      <c r="G4413" s="111"/>
    </row>
    <row r="4414" ht="15.75" customHeight="1">
      <c r="B4414" s="95"/>
      <c r="C4414" s="75"/>
      <c r="D4414" s="113"/>
      <c r="E4414" s="113"/>
      <c r="F4414" s="109"/>
      <c r="G4414" s="111"/>
    </row>
    <row r="4415" ht="15.75" customHeight="1">
      <c r="B4415" s="95"/>
      <c r="C4415" s="75"/>
      <c r="D4415" s="113"/>
      <c r="E4415" s="113"/>
      <c r="F4415" s="109"/>
      <c r="G4415" s="111"/>
    </row>
    <row r="4416" ht="15.75" customHeight="1">
      <c r="B4416" s="95"/>
      <c r="C4416" s="75"/>
      <c r="D4416" s="113"/>
      <c r="E4416" s="113"/>
      <c r="F4416" s="109"/>
      <c r="G4416" s="111"/>
    </row>
    <row r="4417" ht="15.75" customHeight="1">
      <c r="B4417" s="95"/>
      <c r="C4417" s="75"/>
      <c r="D4417" s="113"/>
      <c r="E4417" s="113"/>
      <c r="F4417" s="109"/>
      <c r="G4417" s="111"/>
    </row>
    <row r="4418" ht="15.75" customHeight="1">
      <c r="B4418" s="95"/>
      <c r="C4418" s="75"/>
      <c r="D4418" s="113"/>
      <c r="E4418" s="113"/>
      <c r="F4418" s="109"/>
      <c r="G4418" s="111"/>
    </row>
    <row r="4419" ht="15.75" customHeight="1">
      <c r="B4419" s="95"/>
      <c r="C4419" s="75"/>
      <c r="D4419" s="113"/>
      <c r="E4419" s="113"/>
      <c r="F4419" s="109"/>
      <c r="G4419" s="111"/>
    </row>
    <row r="4420" ht="15.75" customHeight="1">
      <c r="B4420" s="95"/>
      <c r="C4420" s="75"/>
      <c r="D4420" s="113"/>
      <c r="E4420" s="113"/>
      <c r="F4420" s="109"/>
      <c r="G4420" s="111"/>
    </row>
    <row r="4421" ht="15.75" customHeight="1">
      <c r="B4421" s="95"/>
      <c r="C4421" s="75"/>
      <c r="D4421" s="113"/>
      <c r="E4421" s="113"/>
      <c r="F4421" s="109"/>
      <c r="G4421" s="111"/>
    </row>
    <row r="4422" ht="15.75" customHeight="1">
      <c r="B4422" s="95"/>
      <c r="C4422" s="75"/>
      <c r="D4422" s="113"/>
      <c r="E4422" s="113"/>
      <c r="F4422" s="109"/>
      <c r="G4422" s="111"/>
    </row>
    <row r="4423" ht="15.75" customHeight="1">
      <c r="B4423" s="95"/>
      <c r="C4423" s="75"/>
      <c r="D4423" s="113"/>
      <c r="E4423" s="113"/>
      <c r="F4423" s="109"/>
      <c r="G4423" s="111"/>
    </row>
    <row r="4424" ht="15.75" customHeight="1">
      <c r="B4424" s="95"/>
      <c r="C4424" s="75"/>
      <c r="D4424" s="113"/>
      <c r="E4424" s="113"/>
      <c r="F4424" s="109"/>
      <c r="G4424" s="111"/>
    </row>
    <row r="4425" ht="15.75" customHeight="1">
      <c r="B4425" s="95"/>
      <c r="C4425" s="75"/>
      <c r="D4425" s="113"/>
      <c r="E4425" s="113"/>
      <c r="F4425" s="109"/>
      <c r="G4425" s="111"/>
    </row>
    <row r="4426" ht="15.75" customHeight="1">
      <c r="B4426" s="95"/>
      <c r="C4426" s="75"/>
      <c r="D4426" s="113"/>
      <c r="E4426" s="113"/>
      <c r="F4426" s="109"/>
      <c r="G4426" s="111"/>
    </row>
    <row r="4427" ht="15.75" customHeight="1">
      <c r="B4427" s="95"/>
      <c r="C4427" s="75"/>
      <c r="D4427" s="113"/>
      <c r="E4427" s="113"/>
      <c r="F4427" s="109"/>
      <c r="G4427" s="111"/>
    </row>
    <row r="4428" ht="15.75" customHeight="1">
      <c r="B4428" s="95"/>
      <c r="C4428" s="75"/>
      <c r="D4428" s="113"/>
      <c r="E4428" s="113"/>
      <c r="F4428" s="109"/>
      <c r="G4428" s="111"/>
    </row>
    <row r="4429" ht="15.75" customHeight="1">
      <c r="B4429" s="95"/>
      <c r="C4429" s="75"/>
      <c r="D4429" s="113"/>
      <c r="E4429" s="113"/>
      <c r="F4429" s="109"/>
      <c r="G4429" s="111"/>
    </row>
    <row r="4430" ht="15.75" customHeight="1">
      <c r="B4430" s="95"/>
      <c r="C4430" s="75"/>
      <c r="D4430" s="113"/>
      <c r="E4430" s="113"/>
      <c r="F4430" s="109"/>
      <c r="G4430" s="111"/>
    </row>
    <row r="4431" ht="15.75" customHeight="1">
      <c r="B4431" s="95"/>
      <c r="C4431" s="75"/>
      <c r="D4431" s="113"/>
      <c r="E4431" s="113"/>
      <c r="F4431" s="109"/>
      <c r="G4431" s="111"/>
    </row>
    <row r="4432" ht="15.75" customHeight="1">
      <c r="B4432" s="95"/>
      <c r="C4432" s="75"/>
      <c r="D4432" s="113"/>
      <c r="E4432" s="113"/>
      <c r="F4432" s="109"/>
      <c r="G4432" s="111"/>
    </row>
    <row r="4433" ht="15.75" customHeight="1">
      <c r="B4433" s="95"/>
      <c r="C4433" s="75"/>
      <c r="D4433" s="113"/>
      <c r="E4433" s="113"/>
      <c r="F4433" s="109"/>
      <c r="G4433" s="111"/>
    </row>
    <row r="4434" ht="15.75" customHeight="1">
      <c r="B4434" s="95"/>
      <c r="C4434" s="75"/>
      <c r="D4434" s="113"/>
      <c r="E4434" s="113"/>
      <c r="F4434" s="109"/>
      <c r="G4434" s="111"/>
    </row>
    <row r="4435" ht="15.75" customHeight="1">
      <c r="B4435" s="95"/>
      <c r="C4435" s="75"/>
      <c r="D4435" s="113"/>
      <c r="E4435" s="113"/>
      <c r="F4435" s="109"/>
      <c r="G4435" s="111"/>
    </row>
    <row r="4436" ht="15.75" customHeight="1">
      <c r="B4436" s="95"/>
      <c r="C4436" s="75"/>
      <c r="D4436" s="113"/>
      <c r="E4436" s="113"/>
      <c r="F4436" s="109"/>
      <c r="G4436" s="111"/>
    </row>
    <row r="4437" ht="15.75" customHeight="1">
      <c r="B4437" s="95"/>
      <c r="C4437" s="75"/>
      <c r="D4437" s="113"/>
      <c r="E4437" s="113"/>
      <c r="F4437" s="109"/>
      <c r="G4437" s="111"/>
    </row>
    <row r="4438" ht="15.75" customHeight="1">
      <c r="B4438" s="95"/>
      <c r="C4438" s="75"/>
      <c r="D4438" s="113"/>
      <c r="E4438" s="113"/>
      <c r="F4438" s="109"/>
      <c r="G4438" s="111"/>
    </row>
    <row r="4439" ht="15.75" customHeight="1">
      <c r="B4439" s="95"/>
      <c r="C4439" s="75"/>
      <c r="D4439" s="113"/>
      <c r="E4439" s="113"/>
      <c r="F4439" s="109"/>
      <c r="G4439" s="111"/>
    </row>
    <row r="4440" ht="15.75" customHeight="1">
      <c r="B4440" s="95"/>
      <c r="C4440" s="75"/>
      <c r="D4440" s="113"/>
      <c r="E4440" s="113"/>
      <c r="F4440" s="109"/>
      <c r="G4440" s="111"/>
    </row>
    <row r="4441" ht="15.75" customHeight="1">
      <c r="B4441" s="95"/>
      <c r="C4441" s="75"/>
      <c r="D4441" s="113"/>
      <c r="E4441" s="113"/>
      <c r="F4441" s="109"/>
      <c r="G4441" s="111"/>
    </row>
    <row r="4442" ht="15.75" customHeight="1">
      <c r="B4442" s="95"/>
      <c r="C4442" s="75"/>
      <c r="D4442" s="113"/>
      <c r="E4442" s="113"/>
      <c r="F4442" s="109"/>
      <c r="G4442" s="111"/>
    </row>
    <row r="4443" ht="15.75" customHeight="1">
      <c r="B4443" s="95"/>
      <c r="C4443" s="75"/>
      <c r="D4443" s="113"/>
      <c r="E4443" s="113"/>
      <c r="F4443" s="109"/>
      <c r="G4443" s="111"/>
    </row>
    <row r="4444" ht="15.75" customHeight="1">
      <c r="B4444" s="95"/>
      <c r="C4444" s="75"/>
      <c r="D4444" s="113"/>
      <c r="E4444" s="113"/>
      <c r="F4444" s="109"/>
      <c r="G4444" s="111"/>
    </row>
    <row r="4445" ht="15.75" customHeight="1">
      <c r="B4445" s="95"/>
      <c r="C4445" s="75"/>
      <c r="D4445" s="113"/>
      <c r="E4445" s="113"/>
      <c r="F4445" s="109"/>
      <c r="G4445" s="111"/>
    </row>
    <row r="4446" ht="15.75" customHeight="1">
      <c r="B4446" s="95"/>
      <c r="C4446" s="75"/>
      <c r="D4446" s="113"/>
      <c r="E4446" s="113"/>
      <c r="F4446" s="109"/>
      <c r="G4446" s="111"/>
    </row>
    <row r="4447" ht="15.75" customHeight="1">
      <c r="B4447" s="95"/>
      <c r="C4447" s="75"/>
      <c r="D4447" s="113"/>
      <c r="E4447" s="113"/>
      <c r="F4447" s="109"/>
      <c r="G4447" s="111"/>
    </row>
    <row r="4448" ht="15.75" customHeight="1">
      <c r="B4448" s="95"/>
      <c r="C4448" s="75"/>
      <c r="D4448" s="113"/>
      <c r="E4448" s="113"/>
      <c r="F4448" s="109"/>
      <c r="G4448" s="111"/>
    </row>
    <row r="4449" ht="15.75" customHeight="1">
      <c r="B4449" s="95"/>
      <c r="C4449" s="75"/>
      <c r="D4449" s="113"/>
      <c r="E4449" s="113"/>
      <c r="F4449" s="109"/>
      <c r="G4449" s="111"/>
    </row>
    <row r="4450" ht="15.75" customHeight="1">
      <c r="B4450" s="95"/>
      <c r="C4450" s="75"/>
      <c r="D4450" s="113"/>
      <c r="E4450" s="113"/>
      <c r="F4450" s="109"/>
      <c r="G4450" s="111"/>
    </row>
    <row r="4451" ht="15.75" customHeight="1">
      <c r="B4451" s="95"/>
      <c r="C4451" s="75"/>
      <c r="D4451" s="113"/>
      <c r="E4451" s="113"/>
      <c r="F4451" s="109"/>
      <c r="G4451" s="111"/>
    </row>
    <row r="4452" ht="15.75" customHeight="1">
      <c r="B4452" s="95"/>
      <c r="C4452" s="75"/>
      <c r="D4452" s="113"/>
      <c r="E4452" s="113"/>
      <c r="F4452" s="109"/>
      <c r="G4452" s="111"/>
    </row>
    <row r="4453" ht="15.75" customHeight="1">
      <c r="B4453" s="95"/>
      <c r="C4453" s="75"/>
      <c r="D4453" s="113"/>
      <c r="E4453" s="113"/>
      <c r="F4453" s="109"/>
      <c r="G4453" s="111"/>
    </row>
    <row r="4454" ht="15.75" customHeight="1">
      <c r="B4454" s="95"/>
      <c r="C4454" s="75"/>
      <c r="D4454" s="113"/>
      <c r="E4454" s="113"/>
      <c r="F4454" s="109"/>
      <c r="G4454" s="111"/>
    </row>
    <row r="4455" ht="15.75" customHeight="1">
      <c r="B4455" s="95"/>
      <c r="C4455" s="75"/>
      <c r="D4455" s="113"/>
      <c r="E4455" s="113"/>
      <c r="F4455" s="109"/>
      <c r="G4455" s="111"/>
    </row>
    <row r="4456" ht="15.75" customHeight="1">
      <c r="B4456" s="95"/>
      <c r="C4456" s="75"/>
      <c r="D4456" s="113"/>
      <c r="E4456" s="113"/>
      <c r="F4456" s="109"/>
      <c r="G4456" s="111"/>
    </row>
    <row r="4457" ht="15.75" customHeight="1">
      <c r="B4457" s="95"/>
      <c r="C4457" s="75"/>
      <c r="D4457" s="113"/>
      <c r="E4457" s="113"/>
      <c r="F4457" s="109"/>
      <c r="G4457" s="111"/>
    </row>
    <row r="4458" ht="15.75" customHeight="1">
      <c r="B4458" s="95"/>
      <c r="C4458" s="75"/>
      <c r="D4458" s="113"/>
      <c r="E4458" s="113"/>
      <c r="F4458" s="109"/>
      <c r="G4458" s="111"/>
    </row>
    <row r="4459" ht="15.75" customHeight="1">
      <c r="B4459" s="95"/>
      <c r="C4459" s="75"/>
      <c r="D4459" s="113"/>
      <c r="E4459" s="113"/>
      <c r="F4459" s="109"/>
      <c r="G4459" s="111"/>
    </row>
    <row r="4460" ht="15.75" customHeight="1">
      <c r="B4460" s="95"/>
      <c r="C4460" s="75"/>
      <c r="D4460" s="113"/>
      <c r="E4460" s="113"/>
      <c r="F4460" s="109"/>
      <c r="G4460" s="111"/>
    </row>
    <row r="4461" ht="15.75" customHeight="1">
      <c r="B4461" s="95"/>
      <c r="C4461" s="75"/>
      <c r="D4461" s="113"/>
      <c r="E4461" s="113"/>
      <c r="F4461" s="109"/>
      <c r="G4461" s="111"/>
    </row>
    <row r="4462" ht="15.75" customHeight="1">
      <c r="B4462" s="95"/>
      <c r="C4462" s="75"/>
      <c r="D4462" s="113"/>
      <c r="E4462" s="113"/>
      <c r="F4462" s="109"/>
      <c r="G4462" s="111"/>
    </row>
    <row r="4463" ht="15.75" customHeight="1">
      <c r="B4463" s="95"/>
      <c r="C4463" s="75"/>
      <c r="D4463" s="113"/>
      <c r="E4463" s="113"/>
      <c r="F4463" s="109"/>
      <c r="G4463" s="111"/>
    </row>
    <row r="4464" ht="15.75" customHeight="1">
      <c r="B4464" s="95"/>
      <c r="C4464" s="75"/>
      <c r="D4464" s="113"/>
      <c r="E4464" s="113"/>
      <c r="F4464" s="109"/>
      <c r="G4464" s="111"/>
    </row>
    <row r="4465" ht="15.75" customHeight="1">
      <c r="B4465" s="95"/>
      <c r="C4465" s="75"/>
      <c r="D4465" s="113"/>
      <c r="E4465" s="113"/>
      <c r="F4465" s="109"/>
      <c r="G4465" s="111"/>
    </row>
    <row r="4466" ht="15.75" customHeight="1">
      <c r="B4466" s="95"/>
      <c r="C4466" s="75"/>
      <c r="D4466" s="113"/>
      <c r="E4466" s="113"/>
      <c r="F4466" s="109"/>
      <c r="G4466" s="111"/>
    </row>
    <row r="4467" ht="15.75" customHeight="1">
      <c r="B4467" s="95"/>
      <c r="C4467" s="75"/>
      <c r="D4467" s="113"/>
      <c r="E4467" s="113"/>
      <c r="F4467" s="109"/>
      <c r="G4467" s="111"/>
    </row>
    <row r="4468" ht="15.75" customHeight="1">
      <c r="B4468" s="95"/>
      <c r="C4468" s="75"/>
      <c r="D4468" s="113"/>
      <c r="E4468" s="113"/>
      <c r="F4468" s="109"/>
      <c r="G4468" s="111"/>
    </row>
    <row r="4469" ht="15.75" customHeight="1">
      <c r="B4469" s="95"/>
      <c r="C4469" s="75"/>
      <c r="D4469" s="113"/>
      <c r="E4469" s="113"/>
      <c r="F4469" s="109"/>
      <c r="G4469" s="111"/>
    </row>
    <row r="4470" ht="15.75" customHeight="1">
      <c r="B4470" s="95"/>
      <c r="C4470" s="75"/>
      <c r="D4470" s="113"/>
      <c r="E4470" s="113"/>
      <c r="F4470" s="109"/>
      <c r="G4470" s="111"/>
    </row>
    <row r="4471" ht="15.75" customHeight="1">
      <c r="B4471" s="95"/>
      <c r="C4471" s="75"/>
      <c r="D4471" s="113"/>
      <c r="E4471" s="113"/>
      <c r="F4471" s="109"/>
      <c r="G4471" s="111"/>
    </row>
    <row r="4472" ht="15.75" customHeight="1">
      <c r="B4472" s="95"/>
      <c r="C4472" s="75"/>
      <c r="D4472" s="113"/>
      <c r="E4472" s="113"/>
      <c r="F4472" s="109"/>
      <c r="G4472" s="111"/>
    </row>
    <row r="4473" ht="15.75" customHeight="1">
      <c r="B4473" s="95"/>
      <c r="C4473" s="75"/>
      <c r="D4473" s="113"/>
      <c r="E4473" s="113"/>
      <c r="F4473" s="109"/>
      <c r="G4473" s="111"/>
    </row>
    <row r="4474" ht="15.75" customHeight="1">
      <c r="B4474" s="95"/>
      <c r="C4474" s="75"/>
      <c r="D4474" s="113"/>
      <c r="E4474" s="113"/>
      <c r="F4474" s="109"/>
      <c r="G4474" s="111"/>
    </row>
    <row r="4475" ht="15.75" customHeight="1">
      <c r="B4475" s="95"/>
      <c r="C4475" s="75"/>
      <c r="D4475" s="113"/>
      <c r="E4475" s="113"/>
      <c r="F4475" s="109"/>
      <c r="G4475" s="111"/>
    </row>
    <row r="4476" ht="15.75" customHeight="1">
      <c r="B4476" s="95"/>
      <c r="C4476" s="75"/>
      <c r="D4476" s="113"/>
      <c r="E4476" s="113"/>
      <c r="F4476" s="109"/>
      <c r="G4476" s="111"/>
    </row>
    <row r="4477" ht="15.75" customHeight="1">
      <c r="B4477" s="95"/>
      <c r="C4477" s="75"/>
      <c r="D4477" s="113"/>
      <c r="E4477" s="113"/>
      <c r="F4477" s="109"/>
      <c r="G4477" s="111"/>
    </row>
    <row r="4478" ht="15.75" customHeight="1">
      <c r="B4478" s="95"/>
      <c r="C4478" s="75"/>
      <c r="D4478" s="113"/>
      <c r="E4478" s="113"/>
      <c r="F4478" s="109"/>
      <c r="G4478" s="111"/>
    </row>
    <row r="4479" ht="15.75" customHeight="1">
      <c r="B4479" s="95"/>
      <c r="C4479" s="75"/>
      <c r="D4479" s="113"/>
      <c r="E4479" s="113"/>
      <c r="F4479" s="109"/>
      <c r="G4479" s="111"/>
    </row>
    <row r="4480" ht="15.75" customHeight="1">
      <c r="B4480" s="95"/>
      <c r="C4480" s="75"/>
      <c r="D4480" s="113"/>
      <c r="E4480" s="113"/>
      <c r="F4480" s="109"/>
      <c r="G4480" s="111"/>
    </row>
    <row r="4481" ht="15.75" customHeight="1">
      <c r="B4481" s="95"/>
      <c r="C4481" s="75"/>
      <c r="D4481" s="113"/>
      <c r="E4481" s="113"/>
      <c r="F4481" s="109"/>
      <c r="G4481" s="111"/>
    </row>
    <row r="4482" ht="15.75" customHeight="1">
      <c r="B4482" s="95"/>
      <c r="C4482" s="75"/>
      <c r="D4482" s="113"/>
      <c r="E4482" s="113"/>
      <c r="F4482" s="109"/>
      <c r="G4482" s="111"/>
    </row>
    <row r="4483" ht="15.75" customHeight="1">
      <c r="B4483" s="95"/>
      <c r="C4483" s="75"/>
      <c r="D4483" s="113"/>
      <c r="E4483" s="113"/>
      <c r="F4483" s="109"/>
      <c r="G4483" s="111"/>
    </row>
    <row r="4484" ht="15.75" customHeight="1">
      <c r="B4484" s="95"/>
      <c r="C4484" s="75"/>
      <c r="D4484" s="113"/>
      <c r="E4484" s="113"/>
      <c r="F4484" s="109"/>
      <c r="G4484" s="111"/>
    </row>
    <row r="4485" ht="15.75" customHeight="1">
      <c r="B4485" s="95"/>
      <c r="C4485" s="75"/>
      <c r="D4485" s="113"/>
      <c r="E4485" s="113"/>
      <c r="F4485" s="109"/>
      <c r="G4485" s="111"/>
    </row>
    <row r="4486" ht="15.75" customHeight="1">
      <c r="B4486" s="95"/>
      <c r="C4486" s="75"/>
      <c r="D4486" s="113"/>
      <c r="E4486" s="113"/>
      <c r="F4486" s="109"/>
      <c r="G4486" s="111"/>
    </row>
    <row r="4487" ht="15.75" customHeight="1">
      <c r="B4487" s="95"/>
      <c r="C4487" s="75"/>
      <c r="D4487" s="113"/>
      <c r="E4487" s="113"/>
      <c r="F4487" s="109"/>
      <c r="G4487" s="111"/>
    </row>
    <row r="4488" ht="15.75" customHeight="1">
      <c r="B4488" s="95"/>
      <c r="C4488" s="75"/>
      <c r="D4488" s="113"/>
      <c r="E4488" s="113"/>
      <c r="F4488" s="109"/>
      <c r="G4488" s="111"/>
    </row>
    <row r="4489" ht="15.75" customHeight="1">
      <c r="B4489" s="95"/>
      <c r="C4489" s="75"/>
      <c r="D4489" s="113"/>
      <c r="E4489" s="113"/>
      <c r="F4489" s="109"/>
      <c r="G4489" s="111"/>
    </row>
    <row r="4490" ht="15.75" customHeight="1">
      <c r="B4490" s="95"/>
      <c r="C4490" s="75"/>
      <c r="D4490" s="113"/>
      <c r="E4490" s="113"/>
      <c r="F4490" s="109"/>
      <c r="G4490" s="111"/>
    </row>
    <row r="4491" ht="15.75" customHeight="1">
      <c r="B4491" s="95"/>
      <c r="C4491" s="75"/>
      <c r="D4491" s="113"/>
      <c r="E4491" s="113"/>
      <c r="F4491" s="109"/>
      <c r="G4491" s="111"/>
    </row>
    <row r="4492" ht="15.75" customHeight="1">
      <c r="B4492" s="95"/>
      <c r="C4492" s="75"/>
      <c r="D4492" s="113"/>
      <c r="E4492" s="113"/>
      <c r="F4492" s="109"/>
      <c r="G4492" s="111"/>
    </row>
    <row r="4493" ht="15.75" customHeight="1">
      <c r="B4493" s="95"/>
      <c r="C4493" s="75"/>
      <c r="D4493" s="113"/>
      <c r="E4493" s="113"/>
      <c r="F4493" s="109"/>
      <c r="G4493" s="111"/>
    </row>
    <row r="4494" ht="15.75" customHeight="1">
      <c r="B4494" s="95"/>
      <c r="C4494" s="75"/>
      <c r="D4494" s="113"/>
      <c r="E4494" s="113"/>
      <c r="F4494" s="109"/>
      <c r="G4494" s="111"/>
    </row>
    <row r="4495" ht="15.75" customHeight="1">
      <c r="B4495" s="95"/>
      <c r="C4495" s="75"/>
      <c r="D4495" s="113"/>
      <c r="E4495" s="113"/>
      <c r="F4495" s="109"/>
      <c r="G4495" s="111"/>
    </row>
    <row r="4496" ht="15.75" customHeight="1">
      <c r="B4496" s="95"/>
      <c r="C4496" s="75"/>
      <c r="D4496" s="113"/>
      <c r="E4496" s="113"/>
      <c r="F4496" s="109"/>
      <c r="G4496" s="111"/>
    </row>
    <row r="4497" ht="15.75" customHeight="1">
      <c r="B4497" s="95"/>
      <c r="C4497" s="75"/>
      <c r="D4497" s="113"/>
      <c r="E4497" s="113"/>
      <c r="F4497" s="109"/>
      <c r="G4497" s="111"/>
    </row>
    <row r="4498" ht="15.75" customHeight="1">
      <c r="B4498" s="95"/>
      <c r="C4498" s="75"/>
      <c r="D4498" s="113"/>
      <c r="E4498" s="113"/>
      <c r="F4498" s="109"/>
      <c r="G4498" s="111"/>
    </row>
    <row r="4499" ht="15.75" customHeight="1">
      <c r="B4499" s="95"/>
      <c r="C4499" s="75"/>
      <c r="D4499" s="113"/>
      <c r="E4499" s="113"/>
      <c r="F4499" s="109"/>
      <c r="G4499" s="111"/>
    </row>
    <row r="4500" ht="15.75" customHeight="1">
      <c r="B4500" s="95"/>
      <c r="C4500" s="75"/>
      <c r="D4500" s="113"/>
      <c r="E4500" s="113"/>
      <c r="F4500" s="109"/>
      <c r="G4500" s="111"/>
    </row>
    <row r="4501" ht="15.75" customHeight="1">
      <c r="B4501" s="95"/>
      <c r="C4501" s="75"/>
      <c r="D4501" s="113"/>
      <c r="E4501" s="113"/>
      <c r="F4501" s="109"/>
      <c r="G4501" s="111"/>
    </row>
    <row r="4502" ht="15.75" customHeight="1">
      <c r="B4502" s="95"/>
      <c r="C4502" s="75"/>
      <c r="D4502" s="113"/>
      <c r="E4502" s="113"/>
      <c r="F4502" s="109"/>
      <c r="G4502" s="111"/>
    </row>
    <row r="4503" ht="15.75" customHeight="1">
      <c r="B4503" s="95"/>
      <c r="C4503" s="75"/>
      <c r="D4503" s="113"/>
      <c r="E4503" s="113"/>
      <c r="F4503" s="109"/>
      <c r="G4503" s="111"/>
    </row>
    <row r="4504" ht="15.75" customHeight="1">
      <c r="B4504" s="95"/>
      <c r="C4504" s="75"/>
      <c r="D4504" s="113"/>
      <c r="E4504" s="113"/>
      <c r="F4504" s="109"/>
      <c r="G4504" s="111"/>
    </row>
    <row r="4505" ht="15.75" customHeight="1">
      <c r="B4505" s="95"/>
      <c r="C4505" s="75"/>
      <c r="D4505" s="113"/>
      <c r="E4505" s="113"/>
      <c r="F4505" s="109"/>
      <c r="G4505" s="111"/>
    </row>
    <row r="4506" ht="15.75" customHeight="1">
      <c r="B4506" s="95"/>
      <c r="C4506" s="75"/>
      <c r="D4506" s="113"/>
      <c r="E4506" s="113"/>
      <c r="F4506" s="109"/>
      <c r="G4506" s="111"/>
    </row>
    <row r="4507" ht="15.75" customHeight="1">
      <c r="B4507" s="95"/>
      <c r="C4507" s="75"/>
      <c r="D4507" s="113"/>
      <c r="E4507" s="113"/>
      <c r="F4507" s="109"/>
      <c r="G4507" s="111"/>
    </row>
    <row r="4508" ht="15.75" customHeight="1">
      <c r="B4508" s="95"/>
      <c r="C4508" s="75"/>
      <c r="D4508" s="113"/>
      <c r="E4508" s="113"/>
      <c r="F4508" s="109"/>
      <c r="G4508" s="111"/>
    </row>
    <row r="4509" ht="15.75" customHeight="1">
      <c r="B4509" s="95"/>
      <c r="C4509" s="75"/>
      <c r="D4509" s="113"/>
      <c r="E4509" s="113"/>
      <c r="F4509" s="109"/>
      <c r="G4509" s="111"/>
    </row>
    <row r="4510" ht="15.75" customHeight="1">
      <c r="B4510" s="95"/>
      <c r="C4510" s="75"/>
      <c r="D4510" s="113"/>
      <c r="E4510" s="113"/>
      <c r="F4510" s="109"/>
      <c r="G4510" s="111"/>
    </row>
    <row r="4511" ht="15.75" customHeight="1">
      <c r="B4511" s="95"/>
      <c r="C4511" s="75"/>
      <c r="D4511" s="113"/>
      <c r="E4511" s="113"/>
      <c r="F4511" s="109"/>
      <c r="G4511" s="111"/>
    </row>
    <row r="4512" ht="15.75" customHeight="1">
      <c r="B4512" s="95"/>
      <c r="C4512" s="75"/>
      <c r="D4512" s="113"/>
      <c r="E4512" s="113"/>
      <c r="F4512" s="109"/>
      <c r="G4512" s="111"/>
    </row>
    <row r="4513" ht="15.75" customHeight="1">
      <c r="B4513" s="95"/>
      <c r="C4513" s="75"/>
      <c r="D4513" s="113"/>
      <c r="E4513" s="113"/>
      <c r="F4513" s="109"/>
      <c r="G4513" s="111"/>
    </row>
    <row r="4514" ht="15.75" customHeight="1">
      <c r="B4514" s="95"/>
      <c r="C4514" s="75"/>
      <c r="D4514" s="113"/>
      <c r="E4514" s="113"/>
      <c r="F4514" s="109"/>
      <c r="G4514" s="111"/>
    </row>
    <row r="4515" ht="15.75" customHeight="1">
      <c r="B4515" s="95"/>
      <c r="C4515" s="75"/>
      <c r="D4515" s="113"/>
      <c r="E4515" s="113"/>
      <c r="F4515" s="109"/>
      <c r="G4515" s="111"/>
    </row>
    <row r="4516" ht="15.75" customHeight="1">
      <c r="B4516" s="95"/>
      <c r="C4516" s="75"/>
      <c r="D4516" s="113"/>
      <c r="E4516" s="113"/>
      <c r="F4516" s="109"/>
      <c r="G4516" s="111"/>
    </row>
    <row r="4517" ht="15.75" customHeight="1">
      <c r="B4517" s="95"/>
      <c r="C4517" s="75"/>
      <c r="D4517" s="113"/>
      <c r="E4517" s="113"/>
      <c r="F4517" s="109"/>
      <c r="G4517" s="111"/>
    </row>
    <row r="4518" ht="15.75" customHeight="1">
      <c r="B4518" s="95"/>
      <c r="C4518" s="75"/>
      <c r="D4518" s="113"/>
      <c r="E4518" s="113"/>
      <c r="F4518" s="109"/>
      <c r="G4518" s="111"/>
    </row>
    <row r="4519" ht="15.75" customHeight="1">
      <c r="B4519" s="95"/>
      <c r="C4519" s="75"/>
      <c r="D4519" s="113"/>
      <c r="E4519" s="113"/>
      <c r="F4519" s="109"/>
      <c r="G4519" s="111"/>
    </row>
    <row r="4520" ht="15.75" customHeight="1">
      <c r="B4520" s="95"/>
      <c r="C4520" s="75"/>
      <c r="D4520" s="113"/>
      <c r="E4520" s="113"/>
      <c r="F4520" s="109"/>
      <c r="G4520" s="111"/>
    </row>
    <row r="4521" ht="15.75" customHeight="1">
      <c r="B4521" s="95"/>
      <c r="C4521" s="75"/>
      <c r="D4521" s="113"/>
      <c r="E4521" s="113"/>
      <c r="F4521" s="109"/>
      <c r="G4521" s="111"/>
    </row>
    <row r="4522" ht="15.75" customHeight="1">
      <c r="B4522" s="95"/>
      <c r="C4522" s="75"/>
      <c r="D4522" s="113"/>
      <c r="E4522" s="113"/>
      <c r="F4522" s="109"/>
      <c r="G4522" s="111"/>
    </row>
    <row r="4523" ht="15.75" customHeight="1">
      <c r="B4523" s="95"/>
      <c r="C4523" s="75"/>
      <c r="D4523" s="113"/>
      <c r="E4523" s="113"/>
      <c r="F4523" s="109"/>
      <c r="G4523" s="111"/>
    </row>
    <row r="4524" ht="15.75" customHeight="1">
      <c r="B4524" s="95"/>
      <c r="C4524" s="75"/>
      <c r="D4524" s="113"/>
      <c r="E4524" s="113"/>
      <c r="F4524" s="109"/>
      <c r="G4524" s="111"/>
    </row>
    <row r="4525" ht="15.75" customHeight="1">
      <c r="B4525" s="95"/>
      <c r="C4525" s="75"/>
      <c r="D4525" s="113"/>
      <c r="E4525" s="113"/>
      <c r="F4525" s="109"/>
      <c r="G4525" s="111"/>
    </row>
    <row r="4526" ht="15.75" customHeight="1">
      <c r="B4526" s="95"/>
      <c r="C4526" s="75"/>
      <c r="D4526" s="113"/>
      <c r="E4526" s="113"/>
      <c r="F4526" s="109"/>
      <c r="G4526" s="111"/>
    </row>
    <row r="4527" ht="15.75" customHeight="1">
      <c r="B4527" s="95"/>
      <c r="C4527" s="75"/>
      <c r="D4527" s="113"/>
      <c r="E4527" s="113"/>
      <c r="F4527" s="109"/>
      <c r="G4527" s="111"/>
    </row>
    <row r="4528" ht="15.75" customHeight="1">
      <c r="B4528" s="95"/>
      <c r="C4528" s="75"/>
      <c r="D4528" s="113"/>
      <c r="E4528" s="113"/>
      <c r="F4528" s="109"/>
      <c r="G4528" s="111"/>
    </row>
    <row r="4529" ht="15.75" customHeight="1">
      <c r="B4529" s="95"/>
      <c r="C4529" s="75"/>
      <c r="D4529" s="113"/>
      <c r="E4529" s="113"/>
      <c r="F4529" s="109"/>
      <c r="G4529" s="111"/>
    </row>
    <row r="4530" ht="15.75" customHeight="1">
      <c r="B4530" s="95"/>
      <c r="C4530" s="75"/>
      <c r="D4530" s="113"/>
      <c r="E4530" s="113"/>
      <c r="F4530" s="109"/>
      <c r="G4530" s="111"/>
    </row>
    <row r="4531" ht="15.75" customHeight="1">
      <c r="B4531" s="95"/>
      <c r="C4531" s="75"/>
      <c r="D4531" s="113"/>
      <c r="E4531" s="113"/>
      <c r="F4531" s="109"/>
      <c r="G4531" s="111"/>
    </row>
    <row r="4532" ht="15.75" customHeight="1">
      <c r="B4532" s="95"/>
      <c r="C4532" s="75"/>
      <c r="D4532" s="113"/>
      <c r="E4532" s="113"/>
      <c r="F4532" s="109"/>
      <c r="G4532" s="111"/>
    </row>
    <row r="4533" ht="15.75" customHeight="1">
      <c r="B4533" s="95"/>
      <c r="C4533" s="75"/>
      <c r="D4533" s="113"/>
      <c r="E4533" s="113"/>
      <c r="F4533" s="109"/>
      <c r="G4533" s="111"/>
    </row>
    <row r="4534" ht="15.75" customHeight="1">
      <c r="B4534" s="95"/>
      <c r="C4534" s="75"/>
      <c r="D4534" s="113"/>
      <c r="E4534" s="113"/>
      <c r="F4534" s="109"/>
      <c r="G4534" s="111"/>
    </row>
    <row r="4535" ht="15.75" customHeight="1">
      <c r="B4535" s="95"/>
      <c r="C4535" s="75"/>
      <c r="D4535" s="113"/>
      <c r="E4535" s="113"/>
      <c r="F4535" s="109"/>
      <c r="G4535" s="111"/>
    </row>
    <row r="4536" ht="15.75" customHeight="1">
      <c r="B4536" s="95"/>
      <c r="C4536" s="75"/>
      <c r="D4536" s="113"/>
      <c r="E4536" s="113"/>
      <c r="F4536" s="109"/>
      <c r="G4536" s="111"/>
    </row>
    <row r="4537" ht="15.75" customHeight="1">
      <c r="B4537" s="95"/>
      <c r="C4537" s="75"/>
      <c r="D4537" s="113"/>
      <c r="E4537" s="113"/>
      <c r="F4537" s="109"/>
      <c r="G4537" s="111"/>
    </row>
    <row r="4538" ht="15.75" customHeight="1">
      <c r="B4538" s="95"/>
      <c r="C4538" s="75"/>
      <c r="D4538" s="113"/>
      <c r="E4538" s="113"/>
      <c r="F4538" s="109"/>
      <c r="G4538" s="111"/>
    </row>
    <row r="4539" ht="15.75" customHeight="1">
      <c r="B4539" s="95"/>
      <c r="C4539" s="75"/>
      <c r="D4539" s="113"/>
      <c r="E4539" s="113"/>
      <c r="F4539" s="109"/>
      <c r="G4539" s="111"/>
    </row>
    <row r="4540" ht="15.75" customHeight="1">
      <c r="B4540" s="95"/>
      <c r="C4540" s="75"/>
      <c r="D4540" s="113"/>
      <c r="E4540" s="113"/>
      <c r="F4540" s="109"/>
      <c r="G4540" s="111"/>
    </row>
    <row r="4541" ht="15.75" customHeight="1">
      <c r="B4541" s="95"/>
      <c r="C4541" s="75"/>
      <c r="D4541" s="113"/>
      <c r="E4541" s="113"/>
      <c r="F4541" s="109"/>
      <c r="G4541" s="111"/>
    </row>
    <row r="4542" ht="15.75" customHeight="1">
      <c r="B4542" s="95"/>
      <c r="C4542" s="75"/>
      <c r="D4542" s="113"/>
      <c r="E4542" s="113"/>
      <c r="F4542" s="109"/>
      <c r="G4542" s="111"/>
    </row>
    <row r="4543" ht="15.75" customHeight="1">
      <c r="B4543" s="95"/>
      <c r="C4543" s="75"/>
      <c r="D4543" s="113"/>
      <c r="E4543" s="113"/>
      <c r="F4543" s="109"/>
      <c r="G4543" s="111"/>
    </row>
    <row r="4544" ht="15.75" customHeight="1">
      <c r="B4544" s="95"/>
      <c r="C4544" s="75"/>
      <c r="D4544" s="113"/>
      <c r="E4544" s="113"/>
      <c r="F4544" s="109"/>
      <c r="G4544" s="111"/>
    </row>
    <row r="4545" ht="15.75" customHeight="1">
      <c r="B4545" s="95"/>
      <c r="C4545" s="75"/>
      <c r="D4545" s="113"/>
      <c r="E4545" s="113"/>
      <c r="F4545" s="109"/>
      <c r="G4545" s="111"/>
    </row>
    <row r="4546" ht="15.75" customHeight="1">
      <c r="B4546" s="95"/>
      <c r="C4546" s="75"/>
      <c r="D4546" s="113"/>
      <c r="E4546" s="113"/>
      <c r="F4546" s="109"/>
      <c r="G4546" s="111"/>
    </row>
    <row r="4547" ht="15.75" customHeight="1">
      <c r="B4547" s="95"/>
      <c r="C4547" s="75"/>
      <c r="D4547" s="113"/>
      <c r="E4547" s="113"/>
      <c r="F4547" s="109"/>
      <c r="G4547" s="111"/>
    </row>
    <row r="4548" ht="15.75" customHeight="1">
      <c r="B4548" s="95"/>
      <c r="C4548" s="75"/>
      <c r="D4548" s="113"/>
      <c r="E4548" s="113"/>
      <c r="F4548" s="109"/>
      <c r="G4548" s="111"/>
    </row>
    <row r="4549" ht="15.75" customHeight="1">
      <c r="B4549" s="95"/>
      <c r="C4549" s="75"/>
      <c r="D4549" s="113"/>
      <c r="E4549" s="113"/>
      <c r="F4549" s="109"/>
      <c r="G4549" s="111"/>
    </row>
    <row r="4550" ht="15.75" customHeight="1">
      <c r="B4550" s="95"/>
      <c r="C4550" s="75"/>
      <c r="D4550" s="113"/>
      <c r="E4550" s="113"/>
      <c r="F4550" s="109"/>
      <c r="G4550" s="111"/>
    </row>
    <row r="4551" ht="15.75" customHeight="1">
      <c r="B4551" s="95"/>
      <c r="C4551" s="75"/>
      <c r="D4551" s="113"/>
      <c r="E4551" s="113"/>
      <c r="F4551" s="109"/>
      <c r="G4551" s="111"/>
    </row>
    <row r="4552" ht="15.75" customHeight="1">
      <c r="B4552" s="95"/>
      <c r="C4552" s="75"/>
      <c r="D4552" s="113"/>
      <c r="E4552" s="113"/>
      <c r="F4552" s="109"/>
      <c r="G4552" s="111"/>
    </row>
    <row r="4553" ht="15.75" customHeight="1">
      <c r="B4553" s="95"/>
      <c r="C4553" s="75"/>
      <c r="D4553" s="113"/>
      <c r="E4553" s="113"/>
      <c r="F4553" s="109"/>
      <c r="G4553" s="111"/>
    </row>
    <row r="4554" ht="15.75" customHeight="1">
      <c r="B4554" s="95"/>
      <c r="C4554" s="75"/>
      <c r="D4554" s="113"/>
      <c r="E4554" s="113"/>
      <c r="F4554" s="109"/>
      <c r="G4554" s="111"/>
    </row>
    <row r="4555" ht="15.75" customHeight="1">
      <c r="B4555" s="95"/>
      <c r="C4555" s="75"/>
      <c r="D4555" s="113"/>
      <c r="E4555" s="113"/>
      <c r="F4555" s="109"/>
      <c r="G4555" s="111"/>
    </row>
    <row r="4556" ht="15.75" customHeight="1">
      <c r="B4556" s="95"/>
      <c r="C4556" s="75"/>
      <c r="D4556" s="113"/>
      <c r="E4556" s="113"/>
      <c r="F4556" s="109"/>
      <c r="G4556" s="111"/>
    </row>
    <row r="4557" ht="15.75" customHeight="1">
      <c r="B4557" s="95"/>
      <c r="C4557" s="75"/>
      <c r="D4557" s="113"/>
      <c r="E4557" s="113"/>
      <c r="F4557" s="109"/>
      <c r="G4557" s="111"/>
    </row>
    <row r="4558" ht="15.75" customHeight="1">
      <c r="B4558" s="95"/>
      <c r="C4558" s="75"/>
      <c r="D4558" s="113"/>
      <c r="E4558" s="113"/>
      <c r="F4558" s="109"/>
      <c r="G4558" s="111"/>
    </row>
    <row r="4559" ht="15.75" customHeight="1">
      <c r="B4559" s="95"/>
      <c r="C4559" s="75"/>
      <c r="D4559" s="113"/>
      <c r="E4559" s="113"/>
      <c r="F4559" s="109"/>
      <c r="G4559" s="111"/>
    </row>
    <row r="4560" ht="15.75" customHeight="1">
      <c r="B4560" s="95"/>
      <c r="C4560" s="75"/>
      <c r="D4560" s="113"/>
      <c r="E4560" s="113"/>
      <c r="F4560" s="109"/>
      <c r="G4560" s="111"/>
    </row>
    <row r="4561" ht="15.75" customHeight="1">
      <c r="B4561" s="95"/>
      <c r="C4561" s="75"/>
      <c r="D4561" s="113"/>
      <c r="E4561" s="113"/>
      <c r="F4561" s="109"/>
      <c r="G4561" s="111"/>
    </row>
    <row r="4562" ht="15.75" customHeight="1">
      <c r="B4562" s="95"/>
      <c r="C4562" s="75"/>
      <c r="D4562" s="113"/>
      <c r="E4562" s="113"/>
      <c r="F4562" s="109"/>
      <c r="G4562" s="111"/>
    </row>
    <row r="4563" ht="15.75" customHeight="1">
      <c r="B4563" s="95"/>
      <c r="C4563" s="75"/>
      <c r="D4563" s="113"/>
      <c r="E4563" s="113"/>
      <c r="F4563" s="109"/>
      <c r="G4563" s="111"/>
    </row>
    <row r="4564" ht="15.75" customHeight="1">
      <c r="B4564" s="95"/>
      <c r="C4564" s="75"/>
      <c r="D4564" s="113"/>
      <c r="E4564" s="113"/>
      <c r="F4564" s="109"/>
      <c r="G4564" s="111"/>
    </row>
    <row r="4565" ht="15.75" customHeight="1">
      <c r="B4565" s="95"/>
      <c r="C4565" s="75"/>
      <c r="D4565" s="113"/>
      <c r="E4565" s="113"/>
      <c r="F4565" s="109"/>
      <c r="G4565" s="111"/>
    </row>
    <row r="4566" ht="15.75" customHeight="1">
      <c r="B4566" s="95"/>
      <c r="C4566" s="75"/>
      <c r="D4566" s="113"/>
      <c r="E4566" s="113"/>
      <c r="F4566" s="109"/>
      <c r="G4566" s="111"/>
    </row>
    <row r="4567" ht="15.75" customHeight="1">
      <c r="B4567" s="95"/>
      <c r="C4567" s="75"/>
      <c r="D4567" s="113"/>
      <c r="E4567" s="113"/>
      <c r="F4567" s="109"/>
      <c r="G4567" s="111"/>
    </row>
    <row r="4568" ht="15.75" customHeight="1">
      <c r="B4568" s="95"/>
      <c r="C4568" s="75"/>
      <c r="D4568" s="113"/>
      <c r="E4568" s="113"/>
      <c r="F4568" s="109"/>
      <c r="G4568" s="111"/>
    </row>
    <row r="4569" ht="15.75" customHeight="1">
      <c r="B4569" s="95"/>
      <c r="C4569" s="75"/>
      <c r="D4569" s="113"/>
      <c r="E4569" s="113"/>
      <c r="F4569" s="109"/>
      <c r="G4569" s="111"/>
    </row>
    <row r="4570" ht="15.75" customHeight="1">
      <c r="B4570" s="95"/>
      <c r="C4570" s="75"/>
      <c r="D4570" s="113"/>
      <c r="E4570" s="113"/>
      <c r="F4570" s="109"/>
      <c r="G4570" s="111"/>
    </row>
    <row r="4571" ht="15.75" customHeight="1">
      <c r="B4571" s="95"/>
      <c r="C4571" s="75"/>
      <c r="D4571" s="113"/>
      <c r="E4571" s="113"/>
      <c r="F4571" s="109"/>
      <c r="G4571" s="111"/>
    </row>
    <row r="4572" ht="15.75" customHeight="1">
      <c r="B4572" s="95"/>
      <c r="C4572" s="75"/>
      <c r="D4572" s="113"/>
      <c r="E4572" s="113"/>
      <c r="F4572" s="109"/>
      <c r="G4572" s="111"/>
    </row>
    <row r="4573" ht="15.75" customHeight="1">
      <c r="B4573" s="95"/>
      <c r="C4573" s="75"/>
      <c r="D4573" s="113"/>
      <c r="E4573" s="113"/>
      <c r="F4573" s="109"/>
      <c r="G4573" s="111"/>
    </row>
    <row r="4574" ht="15.75" customHeight="1">
      <c r="B4574" s="95"/>
      <c r="C4574" s="75"/>
      <c r="D4574" s="113"/>
      <c r="E4574" s="113"/>
      <c r="F4574" s="109"/>
      <c r="G4574" s="111"/>
    </row>
    <row r="4575" ht="15.75" customHeight="1">
      <c r="B4575" s="95"/>
      <c r="C4575" s="75"/>
      <c r="D4575" s="113"/>
      <c r="E4575" s="113"/>
      <c r="F4575" s="109"/>
      <c r="G4575" s="111"/>
    </row>
    <row r="4576" ht="15.75" customHeight="1">
      <c r="B4576" s="95"/>
      <c r="C4576" s="75"/>
      <c r="D4576" s="113"/>
      <c r="E4576" s="113"/>
      <c r="F4576" s="109"/>
      <c r="G4576" s="111"/>
    </row>
    <row r="4577" ht="15.75" customHeight="1">
      <c r="B4577" s="95"/>
      <c r="C4577" s="75"/>
      <c r="D4577" s="113"/>
      <c r="E4577" s="113"/>
      <c r="F4577" s="109"/>
      <c r="G4577" s="111"/>
    </row>
    <row r="4578" ht="15.75" customHeight="1">
      <c r="B4578" s="95"/>
      <c r="C4578" s="75"/>
      <c r="D4578" s="113"/>
      <c r="E4578" s="113"/>
      <c r="F4578" s="109"/>
      <c r="G4578" s="111"/>
    </row>
    <row r="4579" ht="15.75" customHeight="1">
      <c r="B4579" s="95"/>
      <c r="C4579" s="75"/>
      <c r="D4579" s="113"/>
      <c r="E4579" s="113"/>
      <c r="F4579" s="109"/>
      <c r="G4579" s="111"/>
    </row>
    <row r="4580" ht="15.75" customHeight="1">
      <c r="B4580" s="95"/>
      <c r="C4580" s="75"/>
      <c r="D4580" s="113"/>
      <c r="E4580" s="113"/>
      <c r="F4580" s="109"/>
      <c r="G4580" s="111"/>
    </row>
    <row r="4581" ht="15.75" customHeight="1">
      <c r="B4581" s="95"/>
      <c r="C4581" s="75"/>
      <c r="D4581" s="113"/>
      <c r="E4581" s="113"/>
      <c r="F4581" s="109"/>
      <c r="G4581" s="111"/>
    </row>
    <row r="4582" ht="15.75" customHeight="1">
      <c r="B4582" s="95"/>
      <c r="C4582" s="75"/>
      <c r="D4582" s="113"/>
      <c r="E4582" s="113"/>
      <c r="F4582" s="109"/>
      <c r="G4582" s="111"/>
    </row>
    <row r="4583" ht="15.75" customHeight="1">
      <c r="B4583" s="95"/>
      <c r="C4583" s="75"/>
      <c r="D4583" s="113"/>
      <c r="E4583" s="113"/>
      <c r="F4583" s="109"/>
      <c r="G4583" s="111"/>
    </row>
    <row r="4584" ht="15.75" customHeight="1">
      <c r="B4584" s="95"/>
      <c r="C4584" s="75"/>
      <c r="D4584" s="113"/>
      <c r="E4584" s="113"/>
      <c r="F4584" s="109"/>
      <c r="G4584" s="111"/>
    </row>
    <row r="4585" ht="15.75" customHeight="1">
      <c r="B4585" s="95"/>
      <c r="C4585" s="75"/>
      <c r="D4585" s="113"/>
      <c r="E4585" s="113"/>
      <c r="F4585" s="109"/>
      <c r="G4585" s="111"/>
    </row>
    <row r="4586" ht="15.75" customHeight="1">
      <c r="B4586" s="95"/>
      <c r="C4586" s="75"/>
      <c r="D4586" s="113"/>
      <c r="E4586" s="113"/>
      <c r="F4586" s="109"/>
      <c r="G4586" s="111"/>
    </row>
    <row r="4587" ht="15.75" customHeight="1">
      <c r="B4587" s="95"/>
      <c r="C4587" s="75"/>
      <c r="D4587" s="113"/>
      <c r="E4587" s="113"/>
      <c r="F4587" s="109"/>
      <c r="G4587" s="111"/>
    </row>
    <row r="4588" ht="15.75" customHeight="1">
      <c r="B4588" s="95"/>
      <c r="C4588" s="75"/>
      <c r="D4588" s="113"/>
      <c r="E4588" s="113"/>
      <c r="F4588" s="109"/>
      <c r="G4588" s="111"/>
    </row>
    <row r="4589" ht="15.75" customHeight="1">
      <c r="B4589" s="95"/>
      <c r="C4589" s="75"/>
      <c r="D4589" s="113"/>
      <c r="E4589" s="113"/>
      <c r="F4589" s="109"/>
      <c r="G4589" s="111"/>
    </row>
    <row r="4590" ht="15.75" customHeight="1">
      <c r="B4590" s="95"/>
      <c r="C4590" s="75"/>
      <c r="D4590" s="113"/>
      <c r="E4590" s="113"/>
      <c r="F4590" s="109"/>
      <c r="G4590" s="111"/>
    </row>
    <row r="4591" ht="15.75" customHeight="1">
      <c r="B4591" s="95"/>
      <c r="C4591" s="75"/>
      <c r="D4591" s="113"/>
      <c r="E4591" s="113"/>
      <c r="F4591" s="109"/>
      <c r="G4591" s="111"/>
    </row>
    <row r="4592" ht="15.75" customHeight="1">
      <c r="B4592" s="95"/>
      <c r="C4592" s="75"/>
      <c r="D4592" s="113"/>
      <c r="E4592" s="113"/>
      <c r="F4592" s="109"/>
      <c r="G4592" s="111"/>
    </row>
    <row r="4593" ht="15.75" customHeight="1">
      <c r="B4593" s="95"/>
      <c r="C4593" s="75"/>
      <c r="D4593" s="113"/>
      <c r="E4593" s="113"/>
      <c r="F4593" s="109"/>
      <c r="G4593" s="111"/>
    </row>
    <row r="4594" ht="15.75" customHeight="1">
      <c r="B4594" s="95"/>
      <c r="C4594" s="75"/>
      <c r="D4594" s="113"/>
      <c r="E4594" s="113"/>
      <c r="F4594" s="109"/>
      <c r="G4594" s="111"/>
    </row>
    <row r="4595" ht="15.75" customHeight="1">
      <c r="B4595" s="95"/>
      <c r="C4595" s="75"/>
      <c r="D4595" s="113"/>
      <c r="E4595" s="113"/>
      <c r="F4595" s="109"/>
      <c r="G4595" s="111"/>
    </row>
    <row r="4596" ht="15.75" customHeight="1">
      <c r="B4596" s="95"/>
      <c r="C4596" s="75"/>
      <c r="D4596" s="113"/>
      <c r="E4596" s="113"/>
      <c r="F4596" s="109"/>
      <c r="G4596" s="111"/>
    </row>
    <row r="4597" ht="15.75" customHeight="1">
      <c r="B4597" s="95"/>
      <c r="C4597" s="75"/>
      <c r="D4597" s="113"/>
      <c r="E4597" s="113"/>
      <c r="F4597" s="109"/>
      <c r="G4597" s="111"/>
    </row>
    <row r="4598" ht="15.75" customHeight="1">
      <c r="B4598" s="95"/>
      <c r="C4598" s="75"/>
      <c r="D4598" s="113"/>
      <c r="E4598" s="113"/>
      <c r="F4598" s="109"/>
      <c r="G4598" s="111"/>
    </row>
    <row r="4599" ht="15.75" customHeight="1">
      <c r="B4599" s="95"/>
      <c r="C4599" s="75"/>
      <c r="D4599" s="113"/>
      <c r="E4599" s="113"/>
      <c r="F4599" s="109"/>
      <c r="G4599" s="111"/>
    </row>
    <row r="4600" ht="15.75" customHeight="1">
      <c r="B4600" s="95"/>
      <c r="C4600" s="75"/>
      <c r="D4600" s="113"/>
      <c r="E4600" s="113"/>
      <c r="F4600" s="109"/>
      <c r="G4600" s="111"/>
    </row>
    <row r="4601" ht="15.75" customHeight="1">
      <c r="B4601" s="95"/>
      <c r="C4601" s="75"/>
      <c r="D4601" s="113"/>
      <c r="E4601" s="113"/>
      <c r="F4601" s="109"/>
      <c r="G4601" s="111"/>
    </row>
    <row r="4602" ht="15.75" customHeight="1">
      <c r="B4602" s="95"/>
      <c r="C4602" s="75"/>
      <c r="D4602" s="113"/>
      <c r="E4602" s="113"/>
      <c r="F4602" s="109"/>
      <c r="G4602" s="111"/>
    </row>
    <row r="4603" ht="15.75" customHeight="1">
      <c r="B4603" s="95"/>
      <c r="C4603" s="75"/>
      <c r="D4603" s="113"/>
      <c r="E4603" s="113"/>
      <c r="F4603" s="109"/>
      <c r="G4603" s="111"/>
    </row>
    <row r="4604" ht="15.75" customHeight="1">
      <c r="B4604" s="95"/>
      <c r="C4604" s="75"/>
      <c r="D4604" s="113"/>
      <c r="E4604" s="113"/>
      <c r="F4604" s="109"/>
      <c r="G4604" s="111"/>
    </row>
    <row r="4605" ht="15.75" customHeight="1">
      <c r="B4605" s="95"/>
      <c r="C4605" s="75"/>
      <c r="D4605" s="113"/>
      <c r="E4605" s="113"/>
      <c r="F4605" s="109"/>
      <c r="G4605" s="111"/>
    </row>
    <row r="4606" ht="15.75" customHeight="1">
      <c r="B4606" s="95"/>
      <c r="C4606" s="75"/>
      <c r="D4606" s="113"/>
      <c r="E4606" s="113"/>
      <c r="F4606" s="109"/>
      <c r="G4606" s="111"/>
    </row>
    <row r="4607" ht="15.75" customHeight="1">
      <c r="B4607" s="95"/>
      <c r="C4607" s="75"/>
      <c r="D4607" s="113"/>
      <c r="E4607" s="113"/>
      <c r="F4607" s="109"/>
      <c r="G4607" s="111"/>
    </row>
    <row r="4608" ht="15.75" customHeight="1">
      <c r="B4608" s="95"/>
      <c r="C4608" s="75"/>
      <c r="D4608" s="113"/>
      <c r="E4608" s="113"/>
      <c r="F4608" s="109"/>
      <c r="G4608" s="111"/>
    </row>
    <row r="4609" ht="15.75" customHeight="1">
      <c r="B4609" s="95"/>
      <c r="C4609" s="75"/>
      <c r="D4609" s="113"/>
      <c r="E4609" s="113"/>
      <c r="F4609" s="109"/>
      <c r="G4609" s="111"/>
    </row>
    <row r="4610" ht="15.75" customHeight="1">
      <c r="B4610" s="95"/>
      <c r="C4610" s="75"/>
      <c r="D4610" s="113"/>
      <c r="E4610" s="113"/>
      <c r="F4610" s="109"/>
      <c r="G4610" s="111"/>
    </row>
    <row r="4611" ht="15.75" customHeight="1">
      <c r="B4611" s="95"/>
      <c r="C4611" s="75"/>
      <c r="D4611" s="113"/>
      <c r="E4611" s="113"/>
      <c r="F4611" s="109"/>
      <c r="G4611" s="111"/>
    </row>
    <row r="4612" ht="15.75" customHeight="1">
      <c r="B4612" s="95"/>
      <c r="C4612" s="75"/>
      <c r="D4612" s="113"/>
      <c r="E4612" s="113"/>
      <c r="F4612" s="109"/>
      <c r="G4612" s="111"/>
    </row>
    <row r="4613" ht="15.75" customHeight="1">
      <c r="B4613" s="95"/>
      <c r="C4613" s="75"/>
      <c r="D4613" s="113"/>
      <c r="E4613" s="113"/>
      <c r="F4613" s="109"/>
      <c r="G4613" s="111"/>
    </row>
    <row r="4614" ht="15.75" customHeight="1">
      <c r="B4614" s="95"/>
      <c r="C4614" s="75"/>
      <c r="D4614" s="113"/>
      <c r="E4614" s="113"/>
      <c r="F4614" s="109"/>
      <c r="G4614" s="111"/>
    </row>
    <row r="4615" ht="15.75" customHeight="1">
      <c r="B4615" s="95"/>
      <c r="C4615" s="75"/>
      <c r="D4615" s="113"/>
      <c r="E4615" s="113"/>
      <c r="F4615" s="109"/>
      <c r="G4615" s="111"/>
    </row>
    <row r="4616" ht="15.75" customHeight="1">
      <c r="B4616" s="95"/>
      <c r="C4616" s="75"/>
      <c r="D4616" s="113"/>
      <c r="E4616" s="113"/>
      <c r="F4616" s="109"/>
      <c r="G4616" s="111"/>
    </row>
    <row r="4617" ht="15.75" customHeight="1">
      <c r="B4617" s="95"/>
      <c r="C4617" s="75"/>
      <c r="D4617" s="113"/>
      <c r="E4617" s="113"/>
      <c r="F4617" s="109"/>
      <c r="G4617" s="111"/>
    </row>
    <row r="4618" ht="15.75" customHeight="1">
      <c r="B4618" s="95"/>
      <c r="C4618" s="75"/>
      <c r="D4618" s="113"/>
      <c r="E4618" s="113"/>
      <c r="F4618" s="109"/>
      <c r="G4618" s="111"/>
    </row>
    <row r="4619" ht="15.75" customHeight="1">
      <c r="B4619" s="95"/>
      <c r="C4619" s="75"/>
      <c r="D4619" s="113"/>
      <c r="E4619" s="113"/>
      <c r="F4619" s="109"/>
      <c r="G4619" s="111"/>
    </row>
    <row r="4620" ht="15.75" customHeight="1">
      <c r="B4620" s="95"/>
      <c r="C4620" s="75"/>
      <c r="D4620" s="113"/>
      <c r="E4620" s="113"/>
      <c r="F4620" s="109"/>
      <c r="G4620" s="111"/>
    </row>
    <row r="4621" ht="15.75" customHeight="1">
      <c r="B4621" s="95"/>
      <c r="C4621" s="75"/>
      <c r="D4621" s="113"/>
      <c r="E4621" s="113"/>
      <c r="F4621" s="109"/>
      <c r="G4621" s="111"/>
    </row>
    <row r="4622" ht="15.75" customHeight="1">
      <c r="B4622" s="95"/>
      <c r="C4622" s="75"/>
      <c r="D4622" s="113"/>
      <c r="E4622" s="113"/>
      <c r="F4622" s="109"/>
      <c r="G4622" s="111"/>
    </row>
    <row r="4623" ht="15.75" customHeight="1">
      <c r="B4623" s="95"/>
      <c r="C4623" s="75"/>
      <c r="D4623" s="113"/>
      <c r="E4623" s="113"/>
      <c r="F4623" s="109"/>
      <c r="G4623" s="111"/>
    </row>
    <row r="4624" ht="15.75" customHeight="1">
      <c r="B4624" s="95"/>
      <c r="C4624" s="75"/>
      <c r="D4624" s="113"/>
      <c r="E4624" s="113"/>
      <c r="F4624" s="109"/>
      <c r="G4624" s="111"/>
    </row>
    <row r="4625" ht="15.75" customHeight="1">
      <c r="B4625" s="95"/>
      <c r="C4625" s="75"/>
      <c r="D4625" s="113"/>
      <c r="E4625" s="113"/>
      <c r="F4625" s="109"/>
      <c r="G4625" s="111"/>
    </row>
    <row r="4626" ht="15.75" customHeight="1">
      <c r="B4626" s="95"/>
      <c r="C4626" s="75"/>
      <c r="D4626" s="113"/>
      <c r="E4626" s="113"/>
      <c r="F4626" s="109"/>
      <c r="G4626" s="111"/>
    </row>
    <row r="4627" ht="15.75" customHeight="1">
      <c r="B4627" s="95"/>
      <c r="C4627" s="75"/>
      <c r="D4627" s="113"/>
      <c r="E4627" s="113"/>
      <c r="F4627" s="109"/>
      <c r="G4627" s="111"/>
    </row>
    <row r="4628" ht="15.75" customHeight="1">
      <c r="B4628" s="95"/>
      <c r="C4628" s="75"/>
      <c r="D4628" s="113"/>
      <c r="E4628" s="113"/>
      <c r="F4628" s="109"/>
      <c r="G4628" s="111"/>
    </row>
    <row r="4629" ht="15.75" customHeight="1">
      <c r="B4629" s="95"/>
      <c r="C4629" s="75"/>
      <c r="D4629" s="113"/>
      <c r="E4629" s="113"/>
      <c r="F4629" s="109"/>
      <c r="G4629" s="111"/>
    </row>
    <row r="4630" ht="15.75" customHeight="1">
      <c r="B4630" s="95"/>
      <c r="C4630" s="75"/>
      <c r="D4630" s="113"/>
      <c r="E4630" s="113"/>
      <c r="F4630" s="109"/>
      <c r="G4630" s="111"/>
    </row>
    <row r="4631" ht="15.75" customHeight="1">
      <c r="B4631" s="95"/>
      <c r="C4631" s="75"/>
      <c r="D4631" s="113"/>
      <c r="E4631" s="113"/>
      <c r="F4631" s="109"/>
      <c r="G4631" s="111"/>
    </row>
    <row r="4632" ht="15.75" customHeight="1">
      <c r="B4632" s="95"/>
      <c r="C4632" s="75"/>
      <c r="D4632" s="113"/>
      <c r="E4632" s="113"/>
      <c r="F4632" s="109"/>
      <c r="G4632" s="111"/>
    </row>
    <row r="4633" ht="15.75" customHeight="1">
      <c r="B4633" s="95"/>
      <c r="C4633" s="75"/>
      <c r="D4633" s="113"/>
      <c r="E4633" s="113"/>
      <c r="F4633" s="109"/>
      <c r="G4633" s="111"/>
    </row>
    <row r="4634" ht="15.75" customHeight="1">
      <c r="B4634" s="95"/>
      <c r="C4634" s="75"/>
      <c r="D4634" s="113"/>
      <c r="E4634" s="113"/>
      <c r="F4634" s="109"/>
      <c r="G4634" s="111"/>
    </row>
    <row r="4635" ht="15.75" customHeight="1">
      <c r="B4635" s="95"/>
      <c r="C4635" s="75"/>
      <c r="D4635" s="113"/>
      <c r="E4635" s="113"/>
      <c r="F4635" s="109"/>
      <c r="G4635" s="111"/>
    </row>
    <row r="4636" ht="15.75" customHeight="1">
      <c r="B4636" s="95"/>
      <c r="C4636" s="75"/>
      <c r="D4636" s="113"/>
      <c r="E4636" s="113"/>
      <c r="F4636" s="109"/>
      <c r="G4636" s="111"/>
    </row>
    <row r="4637" ht="15.75" customHeight="1">
      <c r="B4637" s="95"/>
      <c r="C4637" s="75"/>
      <c r="D4637" s="113"/>
      <c r="E4637" s="113"/>
      <c r="F4637" s="109"/>
      <c r="G4637" s="111"/>
    </row>
    <row r="4638" ht="15.75" customHeight="1">
      <c r="B4638" s="95"/>
      <c r="C4638" s="75"/>
      <c r="D4638" s="113"/>
      <c r="E4638" s="113"/>
      <c r="F4638" s="109"/>
      <c r="G4638" s="111"/>
    </row>
    <row r="4639" ht="15.75" customHeight="1">
      <c r="B4639" s="95"/>
      <c r="C4639" s="75"/>
      <c r="D4639" s="113"/>
      <c r="E4639" s="113"/>
      <c r="F4639" s="109"/>
      <c r="G4639" s="111"/>
    </row>
    <row r="4640" ht="15.75" customHeight="1">
      <c r="B4640" s="95"/>
      <c r="C4640" s="75"/>
      <c r="D4640" s="113"/>
      <c r="E4640" s="113"/>
      <c r="F4640" s="109"/>
      <c r="G4640" s="111"/>
    </row>
    <row r="4641" ht="15.75" customHeight="1">
      <c r="B4641" s="95"/>
      <c r="C4641" s="75"/>
      <c r="D4641" s="113"/>
      <c r="E4641" s="113"/>
      <c r="F4641" s="109"/>
      <c r="G4641" s="111"/>
    </row>
    <row r="4642" ht="15.75" customHeight="1">
      <c r="B4642" s="95"/>
      <c r="C4642" s="75"/>
      <c r="D4642" s="113"/>
      <c r="E4642" s="113"/>
      <c r="F4642" s="109"/>
      <c r="G4642" s="111"/>
    </row>
    <row r="4643" ht="15.75" customHeight="1">
      <c r="B4643" s="95"/>
      <c r="C4643" s="75"/>
      <c r="D4643" s="113"/>
      <c r="E4643" s="113"/>
      <c r="F4643" s="109"/>
      <c r="G4643" s="111"/>
    </row>
    <row r="4644" ht="15.75" customHeight="1">
      <c r="B4644" s="95"/>
      <c r="C4644" s="75"/>
      <c r="D4644" s="113"/>
      <c r="E4644" s="113"/>
      <c r="F4644" s="109"/>
      <c r="G4644" s="111"/>
    </row>
    <row r="4645" ht="15.75" customHeight="1">
      <c r="B4645" s="95"/>
      <c r="C4645" s="75"/>
      <c r="D4645" s="113"/>
      <c r="E4645" s="113"/>
      <c r="F4645" s="109"/>
      <c r="G4645" s="111"/>
    </row>
    <row r="4646" ht="15.75" customHeight="1">
      <c r="B4646" s="95"/>
      <c r="C4646" s="75"/>
      <c r="D4646" s="113"/>
      <c r="E4646" s="113"/>
      <c r="F4646" s="109"/>
      <c r="G4646" s="111"/>
    </row>
    <row r="4647" ht="15.75" customHeight="1">
      <c r="B4647" s="95"/>
      <c r="C4647" s="75"/>
      <c r="D4647" s="113"/>
      <c r="E4647" s="113"/>
      <c r="F4647" s="109"/>
      <c r="G4647" s="111"/>
    </row>
    <row r="4648" ht="15.75" customHeight="1">
      <c r="B4648" s="95"/>
      <c r="C4648" s="75"/>
      <c r="D4648" s="113"/>
      <c r="E4648" s="113"/>
      <c r="F4648" s="109"/>
      <c r="G4648" s="111"/>
    </row>
    <row r="4649" ht="15.75" customHeight="1">
      <c r="B4649" s="95"/>
      <c r="C4649" s="75"/>
      <c r="D4649" s="113"/>
      <c r="E4649" s="113"/>
      <c r="F4649" s="109"/>
      <c r="G4649" s="111"/>
    </row>
    <row r="4650" ht="15.75" customHeight="1">
      <c r="B4650" s="95"/>
      <c r="C4650" s="75"/>
      <c r="D4650" s="113"/>
      <c r="E4650" s="113"/>
      <c r="F4650" s="109"/>
      <c r="G4650" s="111"/>
    </row>
    <row r="4651" ht="15.75" customHeight="1">
      <c r="B4651" s="95"/>
      <c r="C4651" s="75"/>
      <c r="D4651" s="113"/>
      <c r="E4651" s="113"/>
      <c r="F4651" s="109"/>
      <c r="G4651" s="111"/>
    </row>
    <row r="4652" ht="15.75" customHeight="1">
      <c r="B4652" s="95"/>
      <c r="C4652" s="75"/>
      <c r="D4652" s="113"/>
      <c r="E4652" s="113"/>
      <c r="F4652" s="109"/>
      <c r="G4652" s="111"/>
    </row>
    <row r="4653" ht="15.75" customHeight="1">
      <c r="B4653" s="95"/>
      <c r="C4653" s="75"/>
      <c r="D4653" s="113"/>
      <c r="E4653" s="113"/>
      <c r="F4653" s="109"/>
      <c r="G4653" s="111"/>
    </row>
    <row r="4654" ht="15.75" customHeight="1">
      <c r="B4654" s="95"/>
      <c r="C4654" s="75"/>
      <c r="D4654" s="113"/>
      <c r="E4654" s="113"/>
      <c r="F4654" s="109"/>
      <c r="G4654" s="111"/>
    </row>
    <row r="4655" ht="15.75" customHeight="1">
      <c r="B4655" s="95"/>
      <c r="C4655" s="75"/>
      <c r="D4655" s="113"/>
      <c r="E4655" s="113"/>
      <c r="F4655" s="109"/>
      <c r="G4655" s="111"/>
    </row>
    <row r="4656" ht="15.75" customHeight="1">
      <c r="B4656" s="95"/>
      <c r="C4656" s="75"/>
      <c r="D4656" s="113"/>
      <c r="E4656" s="113"/>
      <c r="F4656" s="109"/>
      <c r="G4656" s="111"/>
    </row>
    <row r="4657" ht="15.75" customHeight="1">
      <c r="B4657" s="95"/>
      <c r="C4657" s="75"/>
      <c r="D4657" s="113"/>
      <c r="E4657" s="113"/>
      <c r="F4657" s="109"/>
      <c r="G4657" s="111"/>
    </row>
    <row r="4658" ht="15.75" customHeight="1">
      <c r="B4658" s="95"/>
      <c r="C4658" s="75"/>
      <c r="D4658" s="113"/>
      <c r="E4658" s="113"/>
      <c r="F4658" s="109"/>
      <c r="G4658" s="111"/>
    </row>
    <row r="4659" ht="15.75" customHeight="1">
      <c r="B4659" s="95"/>
      <c r="C4659" s="75"/>
      <c r="D4659" s="113"/>
      <c r="E4659" s="113"/>
      <c r="F4659" s="109"/>
      <c r="G4659" s="111"/>
    </row>
    <row r="4660" ht="15.75" customHeight="1">
      <c r="B4660" s="95"/>
      <c r="C4660" s="75"/>
      <c r="D4660" s="113"/>
      <c r="E4660" s="113"/>
      <c r="F4660" s="109"/>
      <c r="G4660" s="111"/>
    </row>
    <row r="4661" ht="15.75" customHeight="1">
      <c r="B4661" s="95"/>
      <c r="C4661" s="75"/>
      <c r="D4661" s="113"/>
      <c r="E4661" s="113"/>
      <c r="F4661" s="109"/>
      <c r="G4661" s="111"/>
    </row>
    <row r="4662" ht="15.75" customHeight="1">
      <c r="B4662" s="95"/>
      <c r="C4662" s="75"/>
      <c r="D4662" s="113"/>
      <c r="E4662" s="113"/>
      <c r="F4662" s="109"/>
      <c r="G4662" s="111"/>
    </row>
    <row r="4663" ht="15.75" customHeight="1">
      <c r="B4663" s="95"/>
      <c r="C4663" s="75"/>
      <c r="D4663" s="113"/>
      <c r="E4663" s="113"/>
      <c r="F4663" s="109"/>
      <c r="G4663" s="111"/>
    </row>
    <row r="4664" ht="15.75" customHeight="1">
      <c r="B4664" s="95"/>
      <c r="C4664" s="75"/>
      <c r="D4664" s="113"/>
      <c r="E4664" s="113"/>
      <c r="F4664" s="109"/>
      <c r="G4664" s="111"/>
    </row>
    <row r="4665" ht="15.75" customHeight="1">
      <c r="B4665" s="95"/>
      <c r="C4665" s="75"/>
      <c r="D4665" s="113"/>
      <c r="E4665" s="113"/>
      <c r="F4665" s="109"/>
      <c r="G4665" s="111"/>
    </row>
    <row r="4666" ht="15.75" customHeight="1">
      <c r="B4666" s="95"/>
      <c r="C4666" s="75"/>
      <c r="D4666" s="113"/>
      <c r="E4666" s="113"/>
      <c r="F4666" s="109"/>
      <c r="G4666" s="111"/>
    </row>
    <row r="4667" ht="15.75" customHeight="1">
      <c r="B4667" s="95"/>
      <c r="C4667" s="75"/>
      <c r="D4667" s="113"/>
      <c r="E4667" s="113"/>
      <c r="F4667" s="109"/>
      <c r="G4667" s="111"/>
    </row>
    <row r="4668" ht="15.75" customHeight="1">
      <c r="B4668" s="95"/>
      <c r="C4668" s="75"/>
      <c r="D4668" s="113"/>
      <c r="E4668" s="113"/>
      <c r="F4668" s="109"/>
      <c r="G4668" s="111"/>
    </row>
    <row r="4669" ht="15.75" customHeight="1">
      <c r="B4669" s="95"/>
      <c r="C4669" s="75"/>
      <c r="D4669" s="113"/>
      <c r="E4669" s="113"/>
      <c r="F4669" s="109"/>
      <c r="G4669" s="111"/>
    </row>
    <row r="4670" ht="15.75" customHeight="1">
      <c r="B4670" s="95"/>
      <c r="C4670" s="75"/>
      <c r="D4670" s="113"/>
      <c r="E4670" s="113"/>
      <c r="F4670" s="109"/>
      <c r="G4670" s="111"/>
    </row>
    <row r="4671" ht="15.75" customHeight="1">
      <c r="B4671" s="95"/>
      <c r="C4671" s="75"/>
      <c r="D4671" s="113"/>
      <c r="E4671" s="113"/>
      <c r="F4671" s="109"/>
      <c r="G4671" s="111"/>
    </row>
    <row r="4672" ht="15.75" customHeight="1">
      <c r="B4672" s="95"/>
      <c r="C4672" s="75"/>
      <c r="D4672" s="113"/>
      <c r="E4672" s="113"/>
      <c r="F4672" s="109"/>
      <c r="G4672" s="111"/>
    </row>
    <row r="4673" ht="15.75" customHeight="1">
      <c r="B4673" s="95"/>
      <c r="C4673" s="75"/>
      <c r="D4673" s="113"/>
      <c r="E4673" s="113"/>
      <c r="F4673" s="109"/>
      <c r="G4673" s="111"/>
    </row>
    <row r="4674" ht="15.75" customHeight="1">
      <c r="B4674" s="95"/>
      <c r="C4674" s="75"/>
      <c r="D4674" s="113"/>
      <c r="E4674" s="113"/>
      <c r="F4674" s="109"/>
      <c r="G4674" s="111"/>
    </row>
    <row r="4675" ht="15.75" customHeight="1">
      <c r="B4675" s="95"/>
      <c r="C4675" s="75"/>
      <c r="D4675" s="113"/>
      <c r="E4675" s="113"/>
      <c r="F4675" s="109"/>
      <c r="G4675" s="111"/>
    </row>
    <row r="4676" ht="15.75" customHeight="1">
      <c r="B4676" s="95"/>
      <c r="C4676" s="75"/>
      <c r="D4676" s="113"/>
      <c r="E4676" s="113"/>
      <c r="F4676" s="109"/>
      <c r="G4676" s="111"/>
    </row>
    <row r="4677" ht="15.75" customHeight="1">
      <c r="B4677" s="95"/>
      <c r="C4677" s="75"/>
      <c r="D4677" s="113"/>
      <c r="E4677" s="113"/>
      <c r="F4677" s="109"/>
      <c r="G4677" s="111"/>
    </row>
    <row r="4678" ht="15.75" customHeight="1">
      <c r="B4678" s="95"/>
      <c r="C4678" s="75"/>
      <c r="D4678" s="113"/>
      <c r="E4678" s="113"/>
      <c r="F4678" s="109"/>
      <c r="G4678" s="111"/>
    </row>
    <row r="4679" ht="15.75" customHeight="1">
      <c r="B4679" s="95"/>
      <c r="C4679" s="75"/>
      <c r="D4679" s="113"/>
      <c r="E4679" s="113"/>
      <c r="F4679" s="109"/>
      <c r="G4679" s="111"/>
    </row>
    <row r="4680" ht="15.75" customHeight="1">
      <c r="B4680" s="95"/>
      <c r="C4680" s="75"/>
      <c r="D4680" s="113"/>
      <c r="E4680" s="113"/>
      <c r="F4680" s="109"/>
      <c r="G4680" s="111"/>
    </row>
    <row r="4681" ht="15.75" customHeight="1">
      <c r="B4681" s="95"/>
      <c r="C4681" s="75"/>
      <c r="D4681" s="113"/>
      <c r="E4681" s="113"/>
      <c r="F4681" s="109"/>
      <c r="G4681" s="111"/>
    </row>
    <row r="4682" ht="15.75" customHeight="1">
      <c r="B4682" s="95"/>
      <c r="C4682" s="75"/>
      <c r="D4682" s="113"/>
      <c r="E4682" s="113"/>
      <c r="F4682" s="109"/>
      <c r="G4682" s="111"/>
    </row>
    <row r="4683" ht="15.75" customHeight="1">
      <c r="B4683" s="95"/>
      <c r="C4683" s="75"/>
      <c r="D4683" s="113"/>
      <c r="E4683" s="113"/>
      <c r="F4683" s="109"/>
      <c r="G4683" s="111"/>
    </row>
    <row r="4684" ht="15.75" customHeight="1">
      <c r="B4684" s="95"/>
      <c r="C4684" s="75"/>
      <c r="D4684" s="113"/>
      <c r="E4684" s="113"/>
      <c r="F4684" s="109"/>
      <c r="G4684" s="111"/>
    </row>
    <row r="4685" ht="15.75" customHeight="1">
      <c r="B4685" s="95"/>
      <c r="C4685" s="75"/>
      <c r="D4685" s="113"/>
      <c r="E4685" s="113"/>
      <c r="F4685" s="109"/>
      <c r="G4685" s="111"/>
    </row>
    <row r="4686" ht="15.75" customHeight="1">
      <c r="B4686" s="95"/>
      <c r="C4686" s="75"/>
      <c r="D4686" s="113"/>
      <c r="E4686" s="113"/>
      <c r="F4686" s="109"/>
      <c r="G4686" s="111"/>
    </row>
    <row r="4687" ht="15.75" customHeight="1">
      <c r="B4687" s="95"/>
      <c r="C4687" s="75"/>
      <c r="D4687" s="113"/>
      <c r="E4687" s="113"/>
      <c r="F4687" s="109"/>
      <c r="G4687" s="111"/>
    </row>
    <row r="4688" ht="15.75" customHeight="1">
      <c r="B4688" s="95"/>
      <c r="C4688" s="75"/>
      <c r="D4688" s="113"/>
      <c r="E4688" s="113"/>
      <c r="F4688" s="109"/>
      <c r="G4688" s="111"/>
    </row>
    <row r="4689" ht="15.75" customHeight="1">
      <c r="B4689" s="95"/>
      <c r="C4689" s="75"/>
      <c r="D4689" s="113"/>
      <c r="E4689" s="113"/>
      <c r="F4689" s="109"/>
      <c r="G4689" s="111"/>
    </row>
    <row r="4690" ht="15.75" customHeight="1">
      <c r="B4690" s="95"/>
      <c r="C4690" s="75"/>
      <c r="D4690" s="113"/>
      <c r="E4690" s="113"/>
      <c r="F4690" s="109"/>
      <c r="G4690" s="111"/>
    </row>
    <row r="4691" ht="15.75" customHeight="1">
      <c r="B4691" s="95"/>
      <c r="C4691" s="75"/>
      <c r="D4691" s="113"/>
      <c r="E4691" s="113"/>
      <c r="F4691" s="109"/>
      <c r="G4691" s="111"/>
    </row>
    <row r="4692" ht="15.75" customHeight="1">
      <c r="B4692" s="95"/>
      <c r="C4692" s="75"/>
      <c r="D4692" s="113"/>
      <c r="E4692" s="113"/>
      <c r="F4692" s="109"/>
      <c r="G4692" s="111"/>
    </row>
    <row r="4693" ht="15.75" customHeight="1">
      <c r="B4693" s="95"/>
      <c r="C4693" s="75"/>
      <c r="D4693" s="113"/>
      <c r="E4693" s="113"/>
      <c r="F4693" s="109"/>
      <c r="G4693" s="111"/>
    </row>
    <row r="4694" ht="15.75" customHeight="1">
      <c r="B4694" s="95"/>
      <c r="C4694" s="75"/>
      <c r="D4694" s="113"/>
      <c r="E4694" s="113"/>
      <c r="F4694" s="109"/>
      <c r="G4694" s="111"/>
    </row>
    <row r="4695" ht="15.75" customHeight="1">
      <c r="B4695" s="95"/>
      <c r="C4695" s="75"/>
      <c r="D4695" s="113"/>
      <c r="E4695" s="113"/>
      <c r="F4695" s="109"/>
      <c r="G4695" s="111"/>
    </row>
    <row r="4696" ht="15.75" customHeight="1">
      <c r="B4696" s="95"/>
      <c r="C4696" s="75"/>
      <c r="D4696" s="113"/>
      <c r="E4696" s="113"/>
      <c r="F4696" s="109"/>
      <c r="G4696" s="111"/>
    </row>
    <row r="4697" ht="15.75" customHeight="1">
      <c r="B4697" s="95"/>
      <c r="C4697" s="75"/>
      <c r="D4697" s="113"/>
      <c r="E4697" s="113"/>
      <c r="F4697" s="109"/>
      <c r="G4697" s="111"/>
    </row>
    <row r="4698" ht="15.75" customHeight="1">
      <c r="B4698" s="95"/>
      <c r="C4698" s="75"/>
      <c r="D4698" s="113"/>
      <c r="E4698" s="113"/>
      <c r="F4698" s="109"/>
      <c r="G4698" s="111"/>
    </row>
    <row r="4699" ht="15.75" customHeight="1">
      <c r="B4699" s="95"/>
      <c r="C4699" s="75"/>
      <c r="D4699" s="113"/>
      <c r="E4699" s="113"/>
      <c r="F4699" s="109"/>
      <c r="G4699" s="111"/>
    </row>
    <row r="4700" ht="15.75" customHeight="1">
      <c r="B4700" s="95"/>
      <c r="C4700" s="75"/>
      <c r="D4700" s="113"/>
      <c r="E4700" s="113"/>
      <c r="F4700" s="109"/>
      <c r="G4700" s="111"/>
    </row>
    <row r="4701" ht="15.75" customHeight="1">
      <c r="B4701" s="95"/>
      <c r="C4701" s="75"/>
      <c r="D4701" s="113"/>
      <c r="E4701" s="113"/>
      <c r="F4701" s="109"/>
      <c r="G4701" s="111"/>
    </row>
    <row r="4702" ht="15.75" customHeight="1">
      <c r="B4702" s="95"/>
      <c r="C4702" s="75"/>
      <c r="D4702" s="113"/>
      <c r="E4702" s="113"/>
      <c r="F4702" s="109"/>
      <c r="G4702" s="111"/>
    </row>
    <row r="4703" ht="15.75" customHeight="1">
      <c r="B4703" s="95"/>
      <c r="C4703" s="75"/>
      <c r="D4703" s="113"/>
      <c r="E4703" s="113"/>
      <c r="F4703" s="109"/>
      <c r="G4703" s="111"/>
    </row>
    <row r="4704" ht="15.75" customHeight="1">
      <c r="B4704" s="95"/>
      <c r="C4704" s="75"/>
      <c r="D4704" s="113"/>
      <c r="E4704" s="113"/>
      <c r="F4704" s="109"/>
      <c r="G4704" s="111"/>
    </row>
    <row r="4705" ht="15.75" customHeight="1">
      <c r="B4705" s="95"/>
      <c r="C4705" s="75"/>
      <c r="D4705" s="113"/>
      <c r="E4705" s="113"/>
      <c r="F4705" s="109"/>
      <c r="G4705" s="111"/>
    </row>
    <row r="4706" ht="15.75" customHeight="1">
      <c r="B4706" s="95"/>
      <c r="C4706" s="75"/>
      <c r="D4706" s="113"/>
      <c r="E4706" s="113"/>
      <c r="F4706" s="109"/>
      <c r="G4706" s="111"/>
    </row>
    <row r="4707" ht="15.75" customHeight="1">
      <c r="B4707" s="95"/>
      <c r="C4707" s="75"/>
      <c r="D4707" s="113"/>
      <c r="E4707" s="113"/>
      <c r="F4707" s="109"/>
      <c r="G4707" s="111"/>
    </row>
    <row r="4708" ht="15.75" customHeight="1">
      <c r="B4708" s="95"/>
      <c r="C4708" s="75"/>
      <c r="D4708" s="113"/>
      <c r="E4708" s="113"/>
      <c r="F4708" s="109"/>
      <c r="G4708" s="111"/>
    </row>
    <row r="4709" ht="15.75" customHeight="1">
      <c r="B4709" s="95"/>
      <c r="C4709" s="75"/>
      <c r="D4709" s="113"/>
      <c r="E4709" s="113"/>
      <c r="F4709" s="109"/>
      <c r="G4709" s="111"/>
    </row>
    <row r="4710" ht="15.75" customHeight="1">
      <c r="B4710" s="95"/>
      <c r="C4710" s="75"/>
      <c r="D4710" s="113"/>
      <c r="E4710" s="113"/>
      <c r="F4710" s="109"/>
      <c r="G4710" s="111"/>
    </row>
    <row r="4711" ht="15.75" customHeight="1">
      <c r="B4711" s="95"/>
      <c r="C4711" s="75"/>
      <c r="D4711" s="113"/>
      <c r="E4711" s="113"/>
      <c r="F4711" s="109"/>
      <c r="G4711" s="111"/>
    </row>
    <row r="4712" ht="15.75" customHeight="1">
      <c r="B4712" s="95"/>
      <c r="C4712" s="75"/>
      <c r="D4712" s="113"/>
      <c r="E4712" s="113"/>
      <c r="F4712" s="109"/>
      <c r="G4712" s="111"/>
    </row>
    <row r="4713" ht="15.75" customHeight="1">
      <c r="B4713" s="95"/>
      <c r="C4713" s="75"/>
      <c r="D4713" s="113"/>
      <c r="E4713" s="113"/>
      <c r="F4713" s="109"/>
      <c r="G4713" s="111"/>
    </row>
    <row r="4714" ht="15.75" customHeight="1">
      <c r="B4714" s="95"/>
      <c r="C4714" s="75"/>
      <c r="D4714" s="113"/>
      <c r="E4714" s="113"/>
      <c r="F4714" s="109"/>
      <c r="G4714" s="111"/>
    </row>
    <row r="4715" ht="15.75" customHeight="1">
      <c r="B4715" s="95"/>
      <c r="C4715" s="75"/>
      <c r="D4715" s="113"/>
      <c r="E4715" s="113"/>
      <c r="F4715" s="109"/>
      <c r="G4715" s="111"/>
    </row>
    <row r="4716" ht="15.75" customHeight="1">
      <c r="B4716" s="95"/>
      <c r="C4716" s="75"/>
      <c r="D4716" s="113"/>
      <c r="E4716" s="113"/>
      <c r="F4716" s="109"/>
      <c r="G4716" s="111"/>
    </row>
    <row r="4717" ht="15.75" customHeight="1">
      <c r="B4717" s="95"/>
      <c r="C4717" s="75"/>
      <c r="D4717" s="113"/>
      <c r="E4717" s="113"/>
      <c r="F4717" s="109"/>
      <c r="G4717" s="111"/>
    </row>
    <row r="4718" ht="15.75" customHeight="1">
      <c r="B4718" s="95"/>
      <c r="C4718" s="75"/>
      <c r="D4718" s="113"/>
      <c r="E4718" s="113"/>
      <c r="F4718" s="109"/>
      <c r="G4718" s="111"/>
    </row>
    <row r="4719" ht="15.75" customHeight="1">
      <c r="B4719" s="95"/>
      <c r="C4719" s="75"/>
      <c r="D4719" s="113"/>
      <c r="E4719" s="113"/>
      <c r="F4719" s="109"/>
      <c r="G4719" s="111"/>
    </row>
    <row r="4720" ht="15.75" customHeight="1">
      <c r="B4720" s="95"/>
      <c r="C4720" s="75"/>
      <c r="D4720" s="113"/>
      <c r="E4720" s="113"/>
      <c r="F4720" s="109"/>
      <c r="G4720" s="111"/>
    </row>
    <row r="4721" ht="15.75" customHeight="1">
      <c r="B4721" s="95"/>
      <c r="C4721" s="75"/>
      <c r="D4721" s="113"/>
      <c r="E4721" s="113"/>
      <c r="F4721" s="109"/>
      <c r="G4721" s="111"/>
    </row>
    <row r="4722" ht="15.75" customHeight="1">
      <c r="B4722" s="95"/>
      <c r="C4722" s="75"/>
      <c r="D4722" s="113"/>
      <c r="E4722" s="113"/>
      <c r="F4722" s="109"/>
      <c r="G4722" s="111"/>
    </row>
    <row r="4723" ht="15.75" customHeight="1">
      <c r="B4723" s="95"/>
      <c r="C4723" s="75"/>
      <c r="D4723" s="113"/>
      <c r="E4723" s="113"/>
      <c r="F4723" s="109"/>
      <c r="G4723" s="111"/>
    </row>
    <row r="4724" ht="15.75" customHeight="1">
      <c r="B4724" s="95"/>
      <c r="C4724" s="75"/>
      <c r="D4724" s="113"/>
      <c r="E4724" s="113"/>
      <c r="F4724" s="109"/>
      <c r="G4724" s="111"/>
    </row>
    <row r="4725" ht="15.75" customHeight="1">
      <c r="B4725" s="95"/>
      <c r="C4725" s="75"/>
      <c r="D4725" s="113"/>
      <c r="E4725" s="113"/>
      <c r="F4725" s="109"/>
      <c r="G4725" s="111"/>
    </row>
    <row r="4726" ht="15.75" customHeight="1">
      <c r="B4726" s="95"/>
      <c r="C4726" s="75"/>
      <c r="D4726" s="113"/>
      <c r="E4726" s="113"/>
      <c r="F4726" s="109"/>
      <c r="G4726" s="111"/>
    </row>
    <row r="4727" ht="15.75" customHeight="1">
      <c r="B4727" s="95"/>
      <c r="C4727" s="75"/>
      <c r="D4727" s="113"/>
      <c r="E4727" s="113"/>
      <c r="F4727" s="109"/>
      <c r="G4727" s="111"/>
    </row>
    <row r="4728" ht="15.75" customHeight="1">
      <c r="B4728" s="95"/>
      <c r="C4728" s="75"/>
      <c r="D4728" s="113"/>
      <c r="E4728" s="113"/>
      <c r="F4728" s="109"/>
      <c r="G4728" s="111"/>
    </row>
    <row r="4729" ht="15.75" customHeight="1">
      <c r="B4729" s="95"/>
      <c r="C4729" s="75"/>
      <c r="D4729" s="113"/>
      <c r="E4729" s="113"/>
      <c r="F4729" s="109"/>
      <c r="G4729" s="111"/>
    </row>
    <row r="4730" ht="15.75" customHeight="1">
      <c r="B4730" s="95"/>
      <c r="C4730" s="75"/>
      <c r="D4730" s="113"/>
      <c r="E4730" s="113"/>
      <c r="F4730" s="109"/>
      <c r="G4730" s="111"/>
    </row>
    <row r="4731" ht="15.75" customHeight="1">
      <c r="B4731" s="95"/>
      <c r="C4731" s="75"/>
      <c r="D4731" s="113"/>
      <c r="E4731" s="113"/>
      <c r="F4731" s="109"/>
      <c r="G4731" s="111"/>
    </row>
    <row r="4732" ht="15.75" customHeight="1">
      <c r="B4732" s="95"/>
      <c r="C4732" s="75"/>
      <c r="D4732" s="113"/>
      <c r="E4732" s="113"/>
      <c r="F4732" s="109"/>
      <c r="G4732" s="111"/>
    </row>
    <row r="4733" ht="15.75" customHeight="1">
      <c r="B4733" s="95"/>
      <c r="C4733" s="75"/>
      <c r="D4733" s="113"/>
      <c r="E4733" s="113"/>
      <c r="F4733" s="109"/>
      <c r="G4733" s="111"/>
    </row>
    <row r="4734" ht="15.75" customHeight="1">
      <c r="B4734" s="95"/>
      <c r="C4734" s="75"/>
      <c r="D4734" s="113"/>
      <c r="E4734" s="113"/>
      <c r="F4734" s="109"/>
      <c r="G4734" s="111"/>
    </row>
    <row r="4735" ht="15.75" customHeight="1">
      <c r="B4735" s="95"/>
      <c r="C4735" s="75"/>
      <c r="D4735" s="113"/>
      <c r="E4735" s="113"/>
      <c r="F4735" s="109"/>
      <c r="G4735" s="111"/>
    </row>
    <row r="4736" ht="15.75" customHeight="1">
      <c r="B4736" s="95"/>
      <c r="C4736" s="75"/>
      <c r="D4736" s="113"/>
      <c r="E4736" s="113"/>
      <c r="F4736" s="109"/>
      <c r="G4736" s="111"/>
    </row>
    <row r="4737" ht="15.75" customHeight="1">
      <c r="B4737" s="95"/>
      <c r="C4737" s="75"/>
      <c r="D4737" s="113"/>
      <c r="E4737" s="113"/>
      <c r="F4737" s="109"/>
      <c r="G4737" s="111"/>
    </row>
    <row r="4738" ht="15.75" customHeight="1">
      <c r="B4738" s="95"/>
      <c r="C4738" s="75"/>
      <c r="D4738" s="113"/>
      <c r="E4738" s="113"/>
      <c r="F4738" s="109"/>
      <c r="G4738" s="111"/>
    </row>
    <row r="4739" ht="15.75" customHeight="1">
      <c r="B4739" s="95"/>
      <c r="C4739" s="75"/>
      <c r="D4739" s="113"/>
      <c r="E4739" s="113"/>
      <c r="F4739" s="109"/>
      <c r="G4739" s="111"/>
    </row>
    <row r="4740" ht="15.75" customHeight="1">
      <c r="B4740" s="95"/>
      <c r="C4740" s="75"/>
      <c r="D4740" s="113"/>
      <c r="E4740" s="113"/>
      <c r="F4740" s="109"/>
      <c r="G4740" s="111"/>
    </row>
    <row r="4741" ht="15.75" customHeight="1">
      <c r="B4741" s="95"/>
      <c r="C4741" s="75"/>
      <c r="D4741" s="113"/>
      <c r="E4741" s="113"/>
      <c r="F4741" s="109"/>
      <c r="G4741" s="111"/>
    </row>
    <row r="4742" ht="15.75" customHeight="1">
      <c r="B4742" s="95"/>
      <c r="C4742" s="75"/>
      <c r="D4742" s="113"/>
      <c r="E4742" s="113"/>
      <c r="F4742" s="109"/>
      <c r="G4742" s="111"/>
    </row>
    <row r="4743" ht="15.75" customHeight="1">
      <c r="B4743" s="95"/>
      <c r="C4743" s="75"/>
      <c r="D4743" s="113"/>
      <c r="E4743" s="113"/>
      <c r="F4743" s="109"/>
      <c r="G4743" s="111"/>
    </row>
    <row r="4744" ht="15.75" customHeight="1">
      <c r="B4744" s="95"/>
      <c r="C4744" s="75"/>
      <c r="D4744" s="113"/>
      <c r="E4744" s="113"/>
      <c r="F4744" s="109"/>
      <c r="G4744" s="111"/>
    </row>
    <row r="4745" ht="15.75" customHeight="1">
      <c r="B4745" s="95"/>
      <c r="C4745" s="75"/>
      <c r="D4745" s="113"/>
      <c r="E4745" s="113"/>
      <c r="F4745" s="109"/>
      <c r="G4745" s="111"/>
    </row>
    <row r="4746" ht="15.75" customHeight="1">
      <c r="B4746" s="95"/>
      <c r="C4746" s="75"/>
      <c r="D4746" s="113"/>
      <c r="E4746" s="113"/>
      <c r="F4746" s="109"/>
      <c r="G4746" s="111"/>
    </row>
    <row r="4747" ht="15.75" customHeight="1">
      <c r="B4747" s="95"/>
      <c r="C4747" s="75"/>
      <c r="D4747" s="113"/>
      <c r="E4747" s="113"/>
      <c r="F4747" s="109"/>
      <c r="G4747" s="111"/>
    </row>
    <row r="4748" ht="15.75" customHeight="1">
      <c r="B4748" s="95"/>
      <c r="C4748" s="75"/>
      <c r="D4748" s="113"/>
      <c r="E4748" s="113"/>
      <c r="F4748" s="109"/>
      <c r="G4748" s="111"/>
    </row>
    <row r="4749" ht="15.75" customHeight="1">
      <c r="B4749" s="95"/>
      <c r="C4749" s="75"/>
      <c r="D4749" s="113"/>
      <c r="E4749" s="113"/>
      <c r="F4749" s="109"/>
      <c r="G4749" s="111"/>
    </row>
    <row r="4750" ht="15.75" customHeight="1">
      <c r="B4750" s="95"/>
      <c r="C4750" s="75"/>
      <c r="D4750" s="113"/>
      <c r="E4750" s="113"/>
      <c r="F4750" s="109"/>
      <c r="G4750" s="111"/>
    </row>
    <row r="4751" ht="15.75" customHeight="1">
      <c r="B4751" s="95"/>
      <c r="C4751" s="75"/>
      <c r="D4751" s="113"/>
      <c r="E4751" s="113"/>
      <c r="F4751" s="109"/>
      <c r="G4751" s="111"/>
    </row>
    <row r="4752" ht="15.75" customHeight="1">
      <c r="B4752" s="95"/>
      <c r="C4752" s="75"/>
      <c r="D4752" s="113"/>
      <c r="E4752" s="113"/>
      <c r="F4752" s="109"/>
      <c r="G4752" s="111"/>
    </row>
    <row r="4753" ht="15.75" customHeight="1">
      <c r="B4753" s="95"/>
      <c r="C4753" s="75"/>
      <c r="D4753" s="113"/>
      <c r="E4753" s="113"/>
      <c r="F4753" s="109"/>
      <c r="G4753" s="111"/>
    </row>
    <row r="4754" ht="15.75" customHeight="1">
      <c r="B4754" s="95"/>
      <c r="C4754" s="75"/>
      <c r="D4754" s="113"/>
      <c r="E4754" s="113"/>
      <c r="F4754" s="109"/>
      <c r="G4754" s="111"/>
    </row>
    <row r="4755" ht="15.75" customHeight="1">
      <c r="B4755" s="95"/>
      <c r="C4755" s="75"/>
      <c r="D4755" s="113"/>
      <c r="E4755" s="113"/>
      <c r="F4755" s="109"/>
      <c r="G4755" s="111"/>
    </row>
    <row r="4756" ht="15.75" customHeight="1">
      <c r="B4756" s="95"/>
      <c r="C4756" s="75"/>
      <c r="D4756" s="113"/>
      <c r="E4756" s="113"/>
      <c r="F4756" s="109"/>
      <c r="G4756" s="111"/>
    </row>
    <row r="4757" ht="15.75" customHeight="1">
      <c r="B4757" s="95"/>
      <c r="C4757" s="75"/>
      <c r="D4757" s="113"/>
      <c r="E4757" s="113"/>
      <c r="F4757" s="109"/>
      <c r="G4757" s="111"/>
    </row>
    <row r="4758" ht="15.75" customHeight="1">
      <c r="B4758" s="95"/>
      <c r="C4758" s="75"/>
      <c r="D4758" s="113"/>
      <c r="E4758" s="113"/>
      <c r="F4758" s="109"/>
      <c r="G4758" s="111"/>
    </row>
    <row r="4759" ht="15.75" customHeight="1">
      <c r="B4759" s="95"/>
      <c r="C4759" s="75"/>
      <c r="D4759" s="113"/>
      <c r="E4759" s="113"/>
      <c r="F4759" s="109"/>
      <c r="G4759" s="111"/>
    </row>
    <row r="4760" ht="15.75" customHeight="1">
      <c r="B4760" s="95"/>
      <c r="C4760" s="75"/>
      <c r="D4760" s="113"/>
      <c r="E4760" s="113"/>
      <c r="F4760" s="109"/>
      <c r="G4760" s="111"/>
    </row>
    <row r="4761" ht="15.75" customHeight="1">
      <c r="B4761" s="95"/>
      <c r="C4761" s="75"/>
      <c r="D4761" s="113"/>
      <c r="E4761" s="113"/>
      <c r="F4761" s="109"/>
      <c r="G4761" s="111"/>
    </row>
    <row r="4762" ht="15.75" customHeight="1">
      <c r="B4762" s="95"/>
      <c r="C4762" s="75"/>
      <c r="D4762" s="113"/>
      <c r="E4762" s="113"/>
      <c r="F4762" s="109"/>
      <c r="G4762" s="111"/>
    </row>
    <row r="4763" ht="15.75" customHeight="1">
      <c r="B4763" s="95"/>
      <c r="C4763" s="75"/>
      <c r="D4763" s="113"/>
      <c r="E4763" s="113"/>
      <c r="F4763" s="109"/>
      <c r="G4763" s="111"/>
    </row>
    <row r="4764" ht="15.75" customHeight="1">
      <c r="B4764" s="95"/>
      <c r="C4764" s="75"/>
      <c r="D4764" s="113"/>
      <c r="E4764" s="113"/>
      <c r="F4764" s="109"/>
      <c r="G4764" s="111"/>
    </row>
    <row r="4765" ht="15.75" customHeight="1">
      <c r="B4765" s="95"/>
      <c r="C4765" s="75"/>
      <c r="D4765" s="113"/>
      <c r="E4765" s="113"/>
      <c r="F4765" s="109"/>
      <c r="G4765" s="111"/>
    </row>
    <row r="4766" ht="15.75" customHeight="1">
      <c r="B4766" s="95"/>
      <c r="C4766" s="75"/>
      <c r="D4766" s="113"/>
      <c r="E4766" s="113"/>
      <c r="F4766" s="109"/>
      <c r="G4766" s="111"/>
    </row>
    <row r="4767" ht="15.75" customHeight="1">
      <c r="B4767" s="95"/>
      <c r="C4767" s="75"/>
      <c r="D4767" s="113"/>
      <c r="E4767" s="113"/>
      <c r="F4767" s="109"/>
      <c r="G4767" s="111"/>
    </row>
    <row r="4768" ht="15.75" customHeight="1">
      <c r="B4768" s="95"/>
      <c r="C4768" s="75"/>
      <c r="D4768" s="113"/>
      <c r="E4768" s="113"/>
      <c r="F4768" s="109"/>
      <c r="G4768" s="111"/>
    </row>
    <row r="4769" ht="15.75" customHeight="1">
      <c r="B4769" s="95"/>
      <c r="C4769" s="75"/>
      <c r="D4769" s="113"/>
      <c r="E4769" s="113"/>
      <c r="F4769" s="109"/>
      <c r="G4769" s="111"/>
    </row>
    <row r="4770" ht="15.75" customHeight="1">
      <c r="B4770" s="95"/>
      <c r="C4770" s="75"/>
      <c r="D4770" s="113"/>
      <c r="E4770" s="113"/>
      <c r="F4770" s="109"/>
      <c r="G4770" s="111"/>
    </row>
    <row r="4771" ht="15.75" customHeight="1">
      <c r="B4771" s="95"/>
      <c r="C4771" s="75"/>
      <c r="D4771" s="113"/>
      <c r="E4771" s="113"/>
      <c r="F4771" s="109"/>
      <c r="G4771" s="111"/>
    </row>
    <row r="4772" ht="15.75" customHeight="1">
      <c r="B4772" s="95"/>
      <c r="C4772" s="75"/>
      <c r="D4772" s="113"/>
      <c r="E4772" s="113"/>
      <c r="F4772" s="109"/>
      <c r="G4772" s="111"/>
    </row>
    <row r="4773" ht="15.75" customHeight="1">
      <c r="B4773" s="95"/>
      <c r="C4773" s="75"/>
      <c r="D4773" s="113"/>
      <c r="E4773" s="113"/>
      <c r="F4773" s="109"/>
      <c r="G4773" s="111"/>
    </row>
    <row r="4774" ht="15.75" customHeight="1">
      <c r="B4774" s="95"/>
      <c r="C4774" s="75"/>
      <c r="D4774" s="113"/>
      <c r="E4774" s="113"/>
      <c r="F4774" s="109"/>
      <c r="G4774" s="111"/>
    </row>
    <row r="4775" ht="15.75" customHeight="1">
      <c r="B4775" s="95"/>
      <c r="C4775" s="75"/>
      <c r="D4775" s="113"/>
      <c r="E4775" s="113"/>
      <c r="F4775" s="109"/>
      <c r="G4775" s="111"/>
    </row>
    <row r="4776" ht="15.75" customHeight="1">
      <c r="B4776" s="95"/>
      <c r="C4776" s="75"/>
      <c r="D4776" s="113"/>
      <c r="E4776" s="113"/>
      <c r="F4776" s="109"/>
      <c r="G4776" s="111"/>
    </row>
    <row r="4777" ht="15.75" customHeight="1">
      <c r="B4777" s="95"/>
      <c r="C4777" s="75"/>
      <c r="D4777" s="113"/>
      <c r="E4777" s="113"/>
      <c r="F4777" s="109"/>
      <c r="G4777" s="111"/>
    </row>
    <row r="4778" ht="15.75" customHeight="1">
      <c r="B4778" s="95"/>
      <c r="C4778" s="75"/>
      <c r="D4778" s="113"/>
      <c r="E4778" s="113"/>
      <c r="F4778" s="109"/>
      <c r="G4778" s="111"/>
    </row>
    <row r="4779" ht="15.75" customHeight="1">
      <c r="B4779" s="95"/>
      <c r="C4779" s="75"/>
      <c r="D4779" s="113"/>
      <c r="E4779" s="113"/>
      <c r="F4779" s="109"/>
      <c r="G4779" s="111"/>
    </row>
    <row r="4780" ht="15.75" customHeight="1">
      <c r="B4780" s="95"/>
      <c r="C4780" s="75"/>
      <c r="D4780" s="113"/>
      <c r="E4780" s="113"/>
      <c r="F4780" s="109"/>
      <c r="G4780" s="111"/>
    </row>
    <row r="4781" ht="15.75" customHeight="1">
      <c r="B4781" s="95"/>
      <c r="C4781" s="75"/>
      <c r="D4781" s="113"/>
      <c r="E4781" s="113"/>
      <c r="F4781" s="109"/>
      <c r="G4781" s="111"/>
    </row>
    <row r="4782" ht="15.75" customHeight="1">
      <c r="B4782" s="95"/>
      <c r="C4782" s="75"/>
      <c r="D4782" s="113"/>
      <c r="E4782" s="113"/>
      <c r="F4782" s="109"/>
      <c r="G4782" s="111"/>
    </row>
    <row r="4783" ht="15.75" customHeight="1">
      <c r="B4783" s="95"/>
      <c r="C4783" s="75"/>
      <c r="D4783" s="113"/>
      <c r="E4783" s="113"/>
      <c r="F4783" s="109"/>
      <c r="G4783" s="111"/>
    </row>
    <row r="4784" ht="15.75" customHeight="1">
      <c r="B4784" s="95"/>
      <c r="C4784" s="75"/>
      <c r="D4784" s="113"/>
      <c r="E4784" s="113"/>
      <c r="F4784" s="109"/>
      <c r="G4784" s="111"/>
    </row>
    <row r="4785" ht="15.75" customHeight="1">
      <c r="B4785" s="95"/>
      <c r="C4785" s="75"/>
      <c r="D4785" s="113"/>
      <c r="E4785" s="113"/>
      <c r="F4785" s="109"/>
      <c r="G4785" s="111"/>
    </row>
    <row r="4786" ht="15.75" customHeight="1">
      <c r="B4786" s="95"/>
      <c r="C4786" s="75"/>
      <c r="D4786" s="113"/>
      <c r="E4786" s="113"/>
      <c r="F4786" s="109"/>
      <c r="G4786" s="111"/>
    </row>
    <row r="4787" ht="15.75" customHeight="1">
      <c r="B4787" s="95"/>
      <c r="C4787" s="75"/>
      <c r="D4787" s="113"/>
      <c r="E4787" s="113"/>
      <c r="F4787" s="109"/>
      <c r="G4787" s="111"/>
    </row>
    <row r="4788" ht="15.75" customHeight="1">
      <c r="B4788" s="95"/>
      <c r="C4788" s="75"/>
      <c r="D4788" s="113"/>
      <c r="E4788" s="113"/>
      <c r="F4788" s="109"/>
      <c r="G4788" s="111"/>
    </row>
    <row r="4789" ht="15.75" customHeight="1">
      <c r="B4789" s="95"/>
      <c r="C4789" s="75"/>
      <c r="D4789" s="113"/>
      <c r="E4789" s="113"/>
      <c r="F4789" s="109"/>
      <c r="G4789" s="111"/>
    </row>
    <row r="4790" ht="15.75" customHeight="1">
      <c r="B4790" s="95"/>
      <c r="C4790" s="75"/>
      <c r="D4790" s="113"/>
      <c r="E4790" s="113"/>
      <c r="F4790" s="109"/>
      <c r="G4790" s="111"/>
    </row>
    <row r="4791" ht="15.75" customHeight="1">
      <c r="B4791" s="95"/>
      <c r="C4791" s="75"/>
      <c r="D4791" s="113"/>
      <c r="E4791" s="113"/>
      <c r="F4791" s="109"/>
      <c r="G4791" s="111"/>
    </row>
    <row r="4792" ht="15.75" customHeight="1">
      <c r="B4792" s="95"/>
      <c r="C4792" s="75"/>
      <c r="D4792" s="113"/>
      <c r="E4792" s="113"/>
      <c r="F4792" s="109"/>
      <c r="G4792" s="111"/>
    </row>
    <row r="4793" ht="15.75" customHeight="1">
      <c r="B4793" s="95"/>
      <c r="C4793" s="75"/>
      <c r="D4793" s="113"/>
      <c r="E4793" s="113"/>
      <c r="F4793" s="109"/>
      <c r="G4793" s="111"/>
    </row>
    <row r="4794" ht="15.75" customHeight="1">
      <c r="B4794" s="95"/>
      <c r="C4794" s="75"/>
      <c r="D4794" s="113"/>
      <c r="E4794" s="113"/>
      <c r="F4794" s="109"/>
      <c r="G4794" s="111"/>
    </row>
    <row r="4795" ht="15.75" customHeight="1">
      <c r="B4795" s="95"/>
      <c r="C4795" s="75"/>
      <c r="D4795" s="113"/>
      <c r="E4795" s="113"/>
      <c r="F4795" s="109"/>
      <c r="G4795" s="111"/>
    </row>
    <row r="4796" ht="15.75" customHeight="1">
      <c r="B4796" s="95"/>
      <c r="C4796" s="75"/>
      <c r="D4796" s="113"/>
      <c r="E4796" s="113"/>
      <c r="F4796" s="109"/>
      <c r="G4796" s="111"/>
    </row>
    <row r="4797" ht="15.75" customHeight="1">
      <c r="B4797" s="95"/>
      <c r="C4797" s="75"/>
      <c r="D4797" s="113"/>
      <c r="E4797" s="113"/>
      <c r="F4797" s="109"/>
      <c r="G4797" s="111"/>
    </row>
    <row r="4798" ht="15.75" customHeight="1">
      <c r="B4798" s="95"/>
      <c r="C4798" s="75"/>
      <c r="D4798" s="113"/>
      <c r="E4798" s="113"/>
      <c r="F4798" s="109"/>
      <c r="G4798" s="111"/>
    </row>
    <row r="4799" ht="15.75" customHeight="1">
      <c r="B4799" s="95"/>
      <c r="C4799" s="75"/>
      <c r="D4799" s="113"/>
      <c r="E4799" s="113"/>
      <c r="F4799" s="109"/>
      <c r="G4799" s="111"/>
    </row>
    <row r="4800" ht="15.75" customHeight="1">
      <c r="B4800" s="95"/>
      <c r="C4800" s="75"/>
      <c r="D4800" s="113"/>
      <c r="E4800" s="113"/>
      <c r="F4800" s="109"/>
      <c r="G4800" s="111"/>
    </row>
    <row r="4801" ht="15.75" customHeight="1">
      <c r="B4801" s="95"/>
      <c r="C4801" s="75"/>
      <c r="D4801" s="113"/>
      <c r="E4801" s="113"/>
      <c r="F4801" s="109"/>
      <c r="G4801" s="111"/>
    </row>
    <row r="4802" ht="15.75" customHeight="1">
      <c r="B4802" s="95"/>
      <c r="C4802" s="75"/>
      <c r="D4802" s="113"/>
      <c r="E4802" s="113"/>
      <c r="F4802" s="109"/>
      <c r="G4802" s="111"/>
    </row>
    <row r="4803" ht="15.75" customHeight="1">
      <c r="B4803" s="95"/>
      <c r="C4803" s="75"/>
      <c r="D4803" s="113"/>
      <c r="E4803" s="113"/>
      <c r="F4803" s="109"/>
      <c r="G4803" s="111"/>
    </row>
    <row r="4804" ht="15.75" customHeight="1">
      <c r="B4804" s="95"/>
      <c r="C4804" s="75"/>
      <c r="D4804" s="113"/>
      <c r="E4804" s="113"/>
      <c r="F4804" s="109"/>
      <c r="G4804" s="111"/>
    </row>
    <row r="4805" ht="15.75" customHeight="1">
      <c r="B4805" s="95"/>
      <c r="C4805" s="75"/>
      <c r="D4805" s="113"/>
      <c r="E4805" s="113"/>
      <c r="F4805" s="109"/>
      <c r="G4805" s="111"/>
    </row>
    <row r="4806" ht="15.75" customHeight="1">
      <c r="B4806" s="95"/>
      <c r="C4806" s="75"/>
      <c r="D4806" s="113"/>
      <c r="E4806" s="113"/>
      <c r="F4806" s="109"/>
      <c r="G4806" s="111"/>
    </row>
    <row r="4807" ht="15.75" customHeight="1">
      <c r="B4807" s="95"/>
      <c r="C4807" s="75"/>
      <c r="D4807" s="113"/>
      <c r="E4807" s="113"/>
      <c r="F4807" s="109"/>
      <c r="G4807" s="111"/>
    </row>
    <row r="4808" ht="15.75" customHeight="1">
      <c r="B4808" s="95"/>
      <c r="C4808" s="75"/>
      <c r="D4808" s="113"/>
      <c r="E4808" s="113"/>
      <c r="F4808" s="109"/>
      <c r="G4808" s="111"/>
    </row>
    <row r="4809" ht="15.75" customHeight="1">
      <c r="B4809" s="95"/>
      <c r="C4809" s="75"/>
      <c r="D4809" s="113"/>
      <c r="E4809" s="113"/>
      <c r="F4809" s="109"/>
      <c r="G4809" s="111"/>
    </row>
    <row r="4810" ht="15.75" customHeight="1">
      <c r="B4810" s="95"/>
      <c r="C4810" s="75"/>
      <c r="D4810" s="113"/>
      <c r="E4810" s="113"/>
      <c r="F4810" s="109"/>
      <c r="G4810" s="111"/>
    </row>
    <row r="4811" ht="15.75" customHeight="1">
      <c r="B4811" s="95"/>
      <c r="C4811" s="75"/>
      <c r="D4811" s="113"/>
      <c r="E4811" s="113"/>
      <c r="F4811" s="109"/>
      <c r="G4811" s="111"/>
    </row>
    <row r="4812" ht="15.75" customHeight="1">
      <c r="B4812" s="95"/>
      <c r="C4812" s="75"/>
      <c r="D4812" s="113"/>
      <c r="E4812" s="113"/>
      <c r="F4812" s="109"/>
      <c r="G4812" s="111"/>
    </row>
    <row r="4813" ht="15.75" customHeight="1">
      <c r="B4813" s="95"/>
      <c r="C4813" s="75"/>
      <c r="D4813" s="113"/>
      <c r="E4813" s="113"/>
      <c r="F4813" s="109"/>
      <c r="G4813" s="111"/>
    </row>
    <row r="4814" ht="15.75" customHeight="1">
      <c r="B4814" s="95"/>
      <c r="C4814" s="75"/>
      <c r="D4814" s="113"/>
      <c r="E4814" s="113"/>
      <c r="F4814" s="109"/>
      <c r="G4814" s="111"/>
    </row>
    <row r="4815" ht="15.75" customHeight="1">
      <c r="B4815" s="95"/>
      <c r="C4815" s="75"/>
      <c r="D4815" s="113"/>
      <c r="E4815" s="113"/>
      <c r="F4815" s="109"/>
      <c r="G4815" s="111"/>
    </row>
    <row r="4816" ht="15.75" customHeight="1">
      <c r="B4816" s="95"/>
      <c r="C4816" s="75"/>
      <c r="D4816" s="113"/>
      <c r="E4816" s="113"/>
      <c r="F4816" s="109"/>
      <c r="G4816" s="111"/>
    </row>
    <row r="4817" ht="15.75" customHeight="1">
      <c r="B4817" s="95"/>
      <c r="C4817" s="75"/>
      <c r="D4817" s="113"/>
      <c r="E4817" s="113"/>
      <c r="F4817" s="109"/>
      <c r="G4817" s="111"/>
    </row>
    <row r="4818" ht="15.75" customHeight="1">
      <c r="B4818" s="95"/>
      <c r="C4818" s="75"/>
      <c r="D4818" s="113"/>
      <c r="E4818" s="113"/>
      <c r="F4818" s="109"/>
      <c r="G4818" s="111"/>
    </row>
    <row r="4819" ht="15.75" customHeight="1">
      <c r="B4819" s="95"/>
      <c r="C4819" s="75"/>
      <c r="D4819" s="113"/>
      <c r="E4819" s="113"/>
      <c r="F4819" s="109"/>
      <c r="G4819" s="111"/>
    </row>
    <row r="4820" ht="15.75" customHeight="1">
      <c r="B4820" s="95"/>
      <c r="C4820" s="75"/>
      <c r="D4820" s="113"/>
      <c r="E4820" s="113"/>
      <c r="F4820" s="109"/>
      <c r="G4820" s="111"/>
    </row>
    <row r="4821" ht="15.75" customHeight="1">
      <c r="B4821" s="95"/>
      <c r="C4821" s="75"/>
      <c r="D4821" s="113"/>
      <c r="E4821" s="113"/>
      <c r="F4821" s="109"/>
      <c r="G4821" s="111"/>
    </row>
    <row r="4822" ht="15.75" customHeight="1">
      <c r="B4822" s="95"/>
      <c r="C4822" s="75"/>
      <c r="D4822" s="113"/>
      <c r="E4822" s="113"/>
      <c r="F4822" s="109"/>
      <c r="G4822" s="111"/>
    </row>
    <row r="4823" ht="15.75" customHeight="1">
      <c r="B4823" s="95"/>
      <c r="C4823" s="75"/>
      <c r="D4823" s="113"/>
      <c r="E4823" s="113"/>
      <c r="F4823" s="109"/>
      <c r="G4823" s="111"/>
    </row>
    <row r="4824" ht="15.75" customHeight="1">
      <c r="B4824" s="95"/>
      <c r="C4824" s="75"/>
      <c r="D4824" s="113"/>
      <c r="E4824" s="113"/>
      <c r="F4824" s="109"/>
      <c r="G4824" s="111"/>
    </row>
    <row r="4825" ht="15.75" customHeight="1">
      <c r="B4825" s="95"/>
      <c r="C4825" s="75"/>
      <c r="D4825" s="113"/>
      <c r="E4825" s="113"/>
      <c r="F4825" s="109"/>
      <c r="G4825" s="111"/>
    </row>
    <row r="4826" ht="15.75" customHeight="1">
      <c r="B4826" s="95"/>
      <c r="C4826" s="75"/>
      <c r="D4826" s="113"/>
      <c r="E4826" s="113"/>
      <c r="F4826" s="109"/>
      <c r="G4826" s="111"/>
    </row>
    <row r="4827" ht="15.75" customHeight="1">
      <c r="B4827" s="95"/>
      <c r="C4827" s="75"/>
      <c r="D4827" s="113"/>
      <c r="E4827" s="113"/>
      <c r="F4827" s="109"/>
      <c r="G4827" s="111"/>
    </row>
    <row r="4828" ht="15.75" customHeight="1">
      <c r="B4828" s="95"/>
      <c r="C4828" s="75"/>
      <c r="D4828" s="113"/>
      <c r="E4828" s="113"/>
      <c r="F4828" s="109"/>
      <c r="G4828" s="111"/>
    </row>
    <row r="4829" ht="15.75" customHeight="1">
      <c r="B4829" s="95"/>
      <c r="C4829" s="75"/>
      <c r="D4829" s="113"/>
      <c r="E4829" s="113"/>
      <c r="F4829" s="109"/>
      <c r="G4829" s="111"/>
    </row>
    <row r="4830" ht="15.75" customHeight="1">
      <c r="B4830" s="95"/>
      <c r="C4830" s="75"/>
      <c r="D4830" s="113"/>
      <c r="E4830" s="113"/>
      <c r="F4830" s="109"/>
      <c r="G4830" s="111"/>
    </row>
    <row r="4831" ht="15.75" customHeight="1">
      <c r="B4831" s="95"/>
      <c r="C4831" s="75"/>
      <c r="D4831" s="113"/>
      <c r="E4831" s="113"/>
      <c r="F4831" s="109"/>
      <c r="G4831" s="111"/>
    </row>
    <row r="4832" ht="15.75" customHeight="1">
      <c r="B4832" s="95"/>
      <c r="C4832" s="75"/>
      <c r="D4832" s="113"/>
      <c r="E4832" s="113"/>
      <c r="F4832" s="109"/>
      <c r="G4832" s="111"/>
    </row>
    <row r="4833" ht="15.75" customHeight="1">
      <c r="B4833" s="95"/>
      <c r="C4833" s="75"/>
      <c r="D4833" s="113"/>
      <c r="E4833" s="113"/>
      <c r="F4833" s="109"/>
      <c r="G4833" s="111"/>
    </row>
    <row r="4834" ht="15.75" customHeight="1">
      <c r="B4834" s="95"/>
      <c r="C4834" s="75"/>
      <c r="D4834" s="113"/>
      <c r="E4834" s="113"/>
      <c r="F4834" s="109"/>
      <c r="G4834" s="111"/>
    </row>
    <row r="4835" ht="15.75" customHeight="1">
      <c r="B4835" s="95"/>
      <c r="C4835" s="75"/>
      <c r="D4835" s="113"/>
      <c r="E4835" s="113"/>
      <c r="F4835" s="109"/>
      <c r="G4835" s="111"/>
    </row>
    <row r="4836" ht="15.75" customHeight="1">
      <c r="B4836" s="95"/>
      <c r="C4836" s="75"/>
      <c r="D4836" s="113"/>
      <c r="E4836" s="113"/>
      <c r="F4836" s="109"/>
      <c r="G4836" s="111"/>
    </row>
    <row r="4837" ht="15.75" customHeight="1">
      <c r="B4837" s="95"/>
      <c r="C4837" s="75"/>
      <c r="D4837" s="113"/>
      <c r="E4837" s="113"/>
      <c r="F4837" s="109"/>
      <c r="G4837" s="111"/>
    </row>
    <row r="4838" ht="15.75" customHeight="1">
      <c r="B4838" s="95"/>
      <c r="C4838" s="75"/>
      <c r="D4838" s="113"/>
      <c r="E4838" s="113"/>
      <c r="F4838" s="109"/>
      <c r="G4838" s="111"/>
    </row>
    <row r="4839" ht="15.75" customHeight="1">
      <c r="B4839" s="95"/>
      <c r="C4839" s="75"/>
      <c r="D4839" s="113"/>
      <c r="E4839" s="113"/>
      <c r="F4839" s="109"/>
      <c r="G4839" s="111"/>
    </row>
    <row r="4840" ht="15.75" customHeight="1">
      <c r="B4840" s="95"/>
      <c r="C4840" s="75"/>
      <c r="D4840" s="113"/>
      <c r="E4840" s="113"/>
      <c r="F4840" s="109"/>
      <c r="G4840" s="111"/>
    </row>
    <row r="4841" ht="15.75" customHeight="1">
      <c r="B4841" s="95"/>
      <c r="C4841" s="75"/>
      <c r="D4841" s="113"/>
      <c r="E4841" s="113"/>
      <c r="F4841" s="109"/>
      <c r="G4841" s="111"/>
    </row>
    <row r="4842" ht="15.75" customHeight="1">
      <c r="B4842" s="95"/>
      <c r="C4842" s="75"/>
      <c r="D4842" s="113"/>
      <c r="E4842" s="113"/>
      <c r="F4842" s="109"/>
      <c r="G4842" s="111"/>
    </row>
    <row r="4843" ht="15.75" customHeight="1">
      <c r="B4843" s="95"/>
      <c r="C4843" s="75"/>
      <c r="D4843" s="113"/>
      <c r="E4843" s="113"/>
      <c r="F4843" s="109"/>
      <c r="G4843" s="111"/>
    </row>
    <row r="4844" ht="15.75" customHeight="1">
      <c r="B4844" s="95"/>
      <c r="C4844" s="75"/>
      <c r="D4844" s="113"/>
      <c r="E4844" s="113"/>
      <c r="F4844" s="109"/>
      <c r="G4844" s="111"/>
    </row>
    <row r="4845" ht="15.75" customHeight="1">
      <c r="B4845" s="95"/>
      <c r="C4845" s="75"/>
      <c r="D4845" s="113"/>
      <c r="E4845" s="113"/>
      <c r="F4845" s="109"/>
      <c r="G4845" s="111"/>
    </row>
    <row r="4846" ht="15.75" customHeight="1">
      <c r="B4846" s="95"/>
      <c r="C4846" s="75"/>
      <c r="D4846" s="113"/>
      <c r="E4846" s="113"/>
      <c r="F4846" s="109"/>
      <c r="G4846" s="111"/>
    </row>
    <row r="4847" ht="15.75" customHeight="1">
      <c r="B4847" s="95"/>
      <c r="C4847" s="75"/>
      <c r="D4847" s="113"/>
      <c r="E4847" s="113"/>
      <c r="F4847" s="109"/>
      <c r="G4847" s="111"/>
    </row>
    <row r="4848" ht="15.75" customHeight="1">
      <c r="B4848" s="95"/>
      <c r="C4848" s="75"/>
      <c r="D4848" s="113"/>
      <c r="E4848" s="113"/>
      <c r="F4848" s="109"/>
      <c r="G4848" s="111"/>
    </row>
    <row r="4849" ht="15.75" customHeight="1">
      <c r="B4849" s="95"/>
      <c r="C4849" s="75"/>
      <c r="D4849" s="113"/>
      <c r="E4849" s="113"/>
      <c r="F4849" s="109"/>
      <c r="G4849" s="111"/>
    </row>
    <row r="4850" ht="15.75" customHeight="1">
      <c r="B4850" s="95"/>
      <c r="C4850" s="75"/>
      <c r="D4850" s="113"/>
      <c r="E4850" s="113"/>
      <c r="F4850" s="109"/>
      <c r="G4850" s="111"/>
    </row>
    <row r="4851" ht="15.75" customHeight="1">
      <c r="B4851" s="95"/>
      <c r="C4851" s="75"/>
      <c r="D4851" s="113"/>
      <c r="E4851" s="113"/>
      <c r="F4851" s="109"/>
      <c r="G4851" s="111"/>
    </row>
    <row r="4852" ht="15.75" customHeight="1">
      <c r="B4852" s="95"/>
      <c r="C4852" s="75"/>
      <c r="D4852" s="113"/>
      <c r="E4852" s="113"/>
      <c r="F4852" s="109"/>
      <c r="G4852" s="111"/>
    </row>
    <row r="4853" ht="15.75" customHeight="1">
      <c r="B4853" s="95"/>
      <c r="C4853" s="75"/>
      <c r="D4853" s="113"/>
      <c r="E4853" s="113"/>
      <c r="F4853" s="109"/>
      <c r="G4853" s="111"/>
    </row>
    <row r="4854" ht="15.75" customHeight="1">
      <c r="B4854" s="95"/>
      <c r="C4854" s="75"/>
      <c r="D4854" s="113"/>
      <c r="E4854" s="113"/>
      <c r="F4854" s="109"/>
      <c r="G4854" s="111"/>
    </row>
    <row r="4855" ht="15.75" customHeight="1">
      <c r="B4855" s="95"/>
      <c r="C4855" s="75"/>
      <c r="D4855" s="113"/>
      <c r="E4855" s="113"/>
      <c r="F4855" s="109"/>
      <c r="G4855" s="111"/>
    </row>
    <row r="4856" ht="15.75" customHeight="1">
      <c r="B4856" s="95"/>
      <c r="C4856" s="75"/>
      <c r="D4856" s="113"/>
      <c r="E4856" s="113"/>
      <c r="F4856" s="109"/>
      <c r="G4856" s="111"/>
    </row>
    <row r="4857" ht="15.75" customHeight="1">
      <c r="B4857" s="95"/>
      <c r="C4857" s="75"/>
      <c r="D4857" s="113"/>
      <c r="E4857" s="113"/>
      <c r="F4857" s="109"/>
      <c r="G4857" s="111"/>
    </row>
    <row r="4858" ht="15.75" customHeight="1">
      <c r="B4858" s="95"/>
      <c r="C4858" s="75"/>
      <c r="D4858" s="113"/>
      <c r="E4858" s="113"/>
      <c r="F4858" s="109"/>
      <c r="G4858" s="111"/>
    </row>
    <row r="4859" ht="15.75" customHeight="1">
      <c r="B4859" s="95"/>
      <c r="C4859" s="75"/>
      <c r="D4859" s="113"/>
      <c r="E4859" s="113"/>
      <c r="F4859" s="109"/>
      <c r="G4859" s="111"/>
    </row>
    <row r="4860" ht="15.75" customHeight="1">
      <c r="B4860" s="95"/>
      <c r="C4860" s="75"/>
      <c r="D4860" s="113"/>
      <c r="E4860" s="113"/>
      <c r="F4860" s="109"/>
      <c r="G4860" s="111"/>
    </row>
    <row r="4861" ht="15.75" customHeight="1">
      <c r="B4861" s="95"/>
      <c r="C4861" s="75"/>
      <c r="D4861" s="113"/>
      <c r="E4861" s="113"/>
      <c r="F4861" s="109"/>
      <c r="G4861" s="111"/>
    </row>
    <row r="4862" ht="15.75" customHeight="1">
      <c r="B4862" s="95"/>
      <c r="C4862" s="75"/>
      <c r="D4862" s="113"/>
      <c r="E4862" s="113"/>
      <c r="F4862" s="109"/>
      <c r="G4862" s="111"/>
    </row>
    <row r="4863" ht="15.75" customHeight="1">
      <c r="B4863" s="95"/>
      <c r="C4863" s="75"/>
      <c r="D4863" s="113"/>
      <c r="E4863" s="113"/>
      <c r="F4863" s="109"/>
      <c r="G4863" s="111"/>
    </row>
    <row r="4864" ht="15.75" customHeight="1">
      <c r="B4864" s="95"/>
      <c r="C4864" s="75"/>
      <c r="D4864" s="113"/>
      <c r="E4864" s="113"/>
      <c r="F4864" s="109"/>
      <c r="G4864" s="111"/>
    </row>
    <row r="4865" ht="15.75" customHeight="1">
      <c r="B4865" s="95"/>
      <c r="C4865" s="75"/>
      <c r="D4865" s="113"/>
      <c r="E4865" s="113"/>
      <c r="F4865" s="109"/>
      <c r="G4865" s="111"/>
    </row>
    <row r="4866" ht="15.75" customHeight="1">
      <c r="B4866" s="95"/>
      <c r="C4866" s="75"/>
      <c r="D4866" s="113"/>
      <c r="E4866" s="113"/>
      <c r="F4866" s="109"/>
      <c r="G4866" s="111"/>
    </row>
    <row r="4867" ht="15.75" customHeight="1">
      <c r="B4867" s="95"/>
      <c r="C4867" s="75"/>
      <c r="D4867" s="113"/>
      <c r="E4867" s="113"/>
      <c r="F4867" s="109"/>
      <c r="G4867" s="111"/>
    </row>
    <row r="4868" ht="15.75" customHeight="1">
      <c r="B4868" s="95"/>
      <c r="C4868" s="75"/>
      <c r="D4868" s="113"/>
      <c r="E4868" s="113"/>
      <c r="F4868" s="109"/>
      <c r="G4868" s="111"/>
    </row>
    <row r="4869" ht="15.75" customHeight="1">
      <c r="B4869" s="95"/>
      <c r="C4869" s="75"/>
      <c r="D4869" s="113"/>
      <c r="E4869" s="113"/>
      <c r="F4869" s="109"/>
      <c r="G4869" s="111"/>
    </row>
    <row r="4870" ht="15.75" customHeight="1">
      <c r="B4870" s="95"/>
      <c r="C4870" s="75"/>
      <c r="D4870" s="113"/>
      <c r="E4870" s="113"/>
      <c r="F4870" s="109"/>
      <c r="G4870" s="111"/>
    </row>
    <row r="4871" ht="15.75" customHeight="1">
      <c r="B4871" s="95"/>
      <c r="C4871" s="75"/>
      <c r="D4871" s="113"/>
      <c r="E4871" s="113"/>
      <c r="F4871" s="109"/>
      <c r="G4871" s="111"/>
    </row>
    <row r="4872" ht="15.75" customHeight="1">
      <c r="B4872" s="95"/>
      <c r="C4872" s="75"/>
      <c r="D4872" s="113"/>
      <c r="E4872" s="113"/>
      <c r="F4872" s="109"/>
      <c r="G4872" s="111"/>
    </row>
    <row r="4873" ht="15.75" customHeight="1">
      <c r="B4873" s="95"/>
      <c r="C4873" s="75"/>
      <c r="D4873" s="113"/>
      <c r="E4873" s="113"/>
      <c r="F4873" s="109"/>
      <c r="G4873" s="111"/>
    </row>
    <row r="4874" ht="15.75" customHeight="1">
      <c r="B4874" s="95"/>
      <c r="C4874" s="75"/>
      <c r="D4874" s="113"/>
      <c r="E4874" s="113"/>
      <c r="F4874" s="109"/>
      <c r="G4874" s="111"/>
    </row>
    <row r="4875" ht="15.75" customHeight="1">
      <c r="B4875" s="95"/>
      <c r="C4875" s="75"/>
      <c r="D4875" s="113"/>
      <c r="E4875" s="113"/>
      <c r="F4875" s="109"/>
      <c r="G4875" s="111"/>
    </row>
    <row r="4876" ht="15.75" customHeight="1">
      <c r="B4876" s="95"/>
      <c r="C4876" s="75"/>
      <c r="D4876" s="113"/>
      <c r="E4876" s="113"/>
      <c r="F4876" s="109"/>
      <c r="G4876" s="111"/>
    </row>
    <row r="4877" ht="15.75" customHeight="1">
      <c r="B4877" s="95"/>
      <c r="C4877" s="75"/>
      <c r="D4877" s="113"/>
      <c r="E4877" s="113"/>
      <c r="F4877" s="109"/>
      <c r="G4877" s="111"/>
    </row>
    <row r="4878" ht="15.75" customHeight="1">
      <c r="B4878" s="95"/>
      <c r="C4878" s="75"/>
      <c r="D4878" s="113"/>
      <c r="E4878" s="113"/>
      <c r="F4878" s="109"/>
      <c r="G4878" s="111"/>
    </row>
    <row r="4879" ht="15.75" customHeight="1">
      <c r="B4879" s="95"/>
      <c r="C4879" s="75"/>
      <c r="D4879" s="113"/>
      <c r="E4879" s="113"/>
      <c r="F4879" s="109"/>
      <c r="G4879" s="111"/>
    </row>
    <row r="4880" ht="15.75" customHeight="1">
      <c r="B4880" s="95"/>
      <c r="C4880" s="75"/>
      <c r="D4880" s="113"/>
      <c r="E4880" s="113"/>
      <c r="F4880" s="109"/>
      <c r="G4880" s="111"/>
    </row>
    <row r="4881" ht="15.75" customHeight="1">
      <c r="B4881" s="95"/>
      <c r="C4881" s="75"/>
      <c r="D4881" s="113"/>
      <c r="E4881" s="113"/>
      <c r="F4881" s="109"/>
      <c r="G4881" s="111"/>
    </row>
    <row r="4882" ht="15.75" customHeight="1">
      <c r="B4882" s="95"/>
      <c r="C4882" s="75"/>
      <c r="D4882" s="113"/>
      <c r="E4882" s="113"/>
      <c r="F4882" s="109"/>
      <c r="G4882" s="111"/>
    </row>
    <row r="4883" ht="15.75" customHeight="1">
      <c r="B4883" s="95"/>
      <c r="C4883" s="75"/>
      <c r="D4883" s="113"/>
      <c r="E4883" s="113"/>
      <c r="F4883" s="109"/>
      <c r="G4883" s="111"/>
    </row>
    <row r="4884" ht="15.75" customHeight="1">
      <c r="B4884" s="95"/>
      <c r="C4884" s="75"/>
      <c r="D4884" s="113"/>
      <c r="E4884" s="113"/>
      <c r="F4884" s="109"/>
      <c r="G4884" s="111"/>
    </row>
    <row r="4885" ht="15.75" customHeight="1">
      <c r="B4885" s="95"/>
      <c r="C4885" s="75"/>
      <c r="D4885" s="113"/>
      <c r="E4885" s="113"/>
      <c r="F4885" s="109"/>
      <c r="G4885" s="111"/>
    </row>
    <row r="4886" ht="15.75" customHeight="1">
      <c r="B4886" s="95"/>
      <c r="C4886" s="75"/>
      <c r="D4886" s="113"/>
      <c r="E4886" s="113"/>
      <c r="F4886" s="109"/>
      <c r="G4886" s="111"/>
    </row>
    <row r="4887" ht="15.75" customHeight="1">
      <c r="B4887" s="95"/>
      <c r="C4887" s="75"/>
      <c r="D4887" s="113"/>
      <c r="E4887" s="113"/>
      <c r="F4887" s="109"/>
      <c r="G4887" s="111"/>
    </row>
    <row r="4888" ht="15.75" customHeight="1">
      <c r="B4888" s="95"/>
      <c r="C4888" s="75"/>
      <c r="D4888" s="113"/>
      <c r="E4888" s="113"/>
      <c r="F4888" s="109"/>
      <c r="G4888" s="111"/>
    </row>
    <row r="4889" ht="15.75" customHeight="1">
      <c r="B4889" s="95"/>
      <c r="C4889" s="75"/>
      <c r="D4889" s="113"/>
      <c r="E4889" s="113"/>
      <c r="F4889" s="109"/>
      <c r="G4889" s="111"/>
    </row>
    <row r="4890" ht="15.75" customHeight="1">
      <c r="B4890" s="95"/>
      <c r="C4890" s="75"/>
      <c r="D4890" s="113"/>
      <c r="E4890" s="113"/>
      <c r="F4890" s="109"/>
      <c r="G4890" s="111"/>
    </row>
    <row r="4891" ht="15.75" customHeight="1">
      <c r="B4891" s="95"/>
      <c r="C4891" s="75"/>
      <c r="D4891" s="113"/>
      <c r="E4891" s="113"/>
      <c r="F4891" s="109"/>
      <c r="G4891" s="111"/>
    </row>
    <row r="4892" ht="15.75" customHeight="1">
      <c r="B4892" s="95"/>
      <c r="C4892" s="75"/>
      <c r="D4892" s="113"/>
      <c r="E4892" s="113"/>
      <c r="F4892" s="109"/>
      <c r="G4892" s="111"/>
    </row>
    <row r="4893" ht="15.75" customHeight="1">
      <c r="B4893" s="95"/>
      <c r="C4893" s="75"/>
      <c r="D4893" s="113"/>
      <c r="E4893" s="113"/>
      <c r="F4893" s="109"/>
      <c r="G4893" s="111"/>
    </row>
    <row r="4894" ht="15.75" customHeight="1">
      <c r="B4894" s="95"/>
      <c r="C4894" s="75"/>
      <c r="D4894" s="113"/>
      <c r="E4894" s="113"/>
      <c r="F4894" s="109"/>
      <c r="G4894" s="111"/>
    </row>
    <row r="4895" ht="15.75" customHeight="1">
      <c r="B4895" s="95"/>
      <c r="C4895" s="75"/>
      <c r="D4895" s="113"/>
      <c r="E4895" s="113"/>
      <c r="F4895" s="109"/>
      <c r="G4895" s="111"/>
    </row>
    <row r="4896" ht="15.75" customHeight="1">
      <c r="B4896" s="95"/>
      <c r="C4896" s="75"/>
      <c r="D4896" s="113"/>
      <c r="E4896" s="113"/>
      <c r="F4896" s="109"/>
      <c r="G4896" s="111"/>
    </row>
    <row r="4897" ht="15.75" customHeight="1">
      <c r="B4897" s="95"/>
      <c r="C4897" s="75"/>
      <c r="D4897" s="113"/>
      <c r="E4897" s="113"/>
      <c r="F4897" s="109"/>
      <c r="G4897" s="111"/>
    </row>
    <row r="4898" ht="15.75" customHeight="1">
      <c r="B4898" s="95"/>
      <c r="C4898" s="75"/>
      <c r="D4898" s="113"/>
      <c r="E4898" s="113"/>
      <c r="F4898" s="109"/>
      <c r="G4898" s="111"/>
    </row>
    <row r="4899" ht="15.75" customHeight="1">
      <c r="B4899" s="95"/>
      <c r="C4899" s="75"/>
      <c r="D4899" s="113"/>
      <c r="E4899" s="113"/>
      <c r="F4899" s="109"/>
      <c r="G4899" s="111"/>
    </row>
    <row r="4900" ht="15.75" customHeight="1">
      <c r="B4900" s="95"/>
      <c r="C4900" s="75"/>
      <c r="D4900" s="113"/>
      <c r="E4900" s="113"/>
      <c r="F4900" s="109"/>
      <c r="G4900" s="111"/>
    </row>
    <row r="4901" ht="15.75" customHeight="1">
      <c r="B4901" s="95"/>
      <c r="C4901" s="75"/>
      <c r="D4901" s="113"/>
      <c r="E4901" s="113"/>
      <c r="F4901" s="109"/>
      <c r="G4901" s="111"/>
    </row>
    <row r="4902" ht="15.75" customHeight="1">
      <c r="B4902" s="95"/>
      <c r="C4902" s="75"/>
      <c r="D4902" s="113"/>
      <c r="E4902" s="113"/>
      <c r="F4902" s="109"/>
      <c r="G4902" s="111"/>
    </row>
    <row r="4903" ht="15.75" customHeight="1">
      <c r="B4903" s="95"/>
      <c r="C4903" s="75"/>
      <c r="D4903" s="113"/>
      <c r="E4903" s="113"/>
      <c r="F4903" s="109"/>
      <c r="G4903" s="111"/>
    </row>
    <row r="4904" ht="15.75" customHeight="1">
      <c r="B4904" s="95"/>
      <c r="C4904" s="75"/>
      <c r="D4904" s="113"/>
      <c r="E4904" s="113"/>
      <c r="F4904" s="109"/>
      <c r="G4904" s="111"/>
    </row>
    <row r="4905" ht="15.75" customHeight="1">
      <c r="B4905" s="95"/>
      <c r="C4905" s="75"/>
      <c r="D4905" s="113"/>
      <c r="E4905" s="113"/>
      <c r="F4905" s="109"/>
      <c r="G4905" s="111"/>
    </row>
    <row r="4906" ht="15.75" customHeight="1">
      <c r="B4906" s="95"/>
      <c r="C4906" s="75"/>
      <c r="D4906" s="113"/>
      <c r="E4906" s="113"/>
      <c r="F4906" s="109"/>
      <c r="G4906" s="111"/>
    </row>
    <row r="4907" ht="15.75" customHeight="1">
      <c r="B4907" s="95"/>
      <c r="C4907" s="75"/>
      <c r="D4907" s="113"/>
      <c r="E4907" s="113"/>
      <c r="F4907" s="109"/>
      <c r="G4907" s="111"/>
    </row>
    <row r="4908" ht="15.75" customHeight="1">
      <c r="B4908" s="95"/>
      <c r="C4908" s="75"/>
      <c r="D4908" s="113"/>
      <c r="E4908" s="113"/>
      <c r="F4908" s="109"/>
      <c r="G4908" s="111"/>
    </row>
    <row r="4909" ht="15.75" customHeight="1">
      <c r="B4909" s="95"/>
      <c r="C4909" s="75"/>
      <c r="D4909" s="113"/>
      <c r="E4909" s="113"/>
      <c r="F4909" s="109"/>
      <c r="G4909" s="111"/>
    </row>
    <row r="4910" ht="15.75" customHeight="1">
      <c r="B4910" s="95"/>
      <c r="C4910" s="75"/>
      <c r="D4910" s="113"/>
      <c r="E4910" s="113"/>
      <c r="F4910" s="109"/>
      <c r="G4910" s="111"/>
    </row>
    <row r="4911" ht="15.75" customHeight="1">
      <c r="B4911" s="95"/>
      <c r="C4911" s="75"/>
      <c r="D4911" s="113"/>
      <c r="E4911" s="113"/>
      <c r="F4911" s="109"/>
      <c r="G4911" s="111"/>
    </row>
    <row r="4912" ht="15.75" customHeight="1">
      <c r="B4912" s="95"/>
      <c r="C4912" s="75"/>
      <c r="D4912" s="113"/>
      <c r="E4912" s="113"/>
      <c r="F4912" s="109"/>
      <c r="G4912" s="111"/>
    </row>
    <row r="4913" ht="15.75" customHeight="1">
      <c r="B4913" s="95"/>
      <c r="C4913" s="75"/>
      <c r="D4913" s="113"/>
      <c r="E4913" s="113"/>
      <c r="F4913" s="109"/>
      <c r="G4913" s="111"/>
    </row>
    <row r="4914" ht="15.75" customHeight="1">
      <c r="B4914" s="95"/>
      <c r="C4914" s="75"/>
      <c r="D4914" s="113"/>
      <c r="E4914" s="113"/>
      <c r="F4914" s="109"/>
      <c r="G4914" s="111"/>
    </row>
    <row r="4915" ht="15.75" customHeight="1">
      <c r="B4915" s="95"/>
      <c r="C4915" s="75"/>
      <c r="D4915" s="113"/>
      <c r="E4915" s="113"/>
      <c r="F4915" s="109"/>
      <c r="G4915" s="111"/>
    </row>
    <row r="4916" ht="15.75" customHeight="1">
      <c r="B4916" s="95"/>
      <c r="C4916" s="75"/>
      <c r="D4916" s="113"/>
      <c r="E4916" s="113"/>
      <c r="F4916" s="109"/>
      <c r="G4916" s="111"/>
    </row>
    <row r="4917" ht="15.75" customHeight="1">
      <c r="B4917" s="95"/>
      <c r="C4917" s="75"/>
      <c r="D4917" s="113"/>
      <c r="E4917" s="113"/>
      <c r="F4917" s="109"/>
      <c r="G4917" s="111"/>
    </row>
    <row r="4918" ht="15.75" customHeight="1">
      <c r="B4918" s="95"/>
      <c r="C4918" s="75"/>
      <c r="D4918" s="113"/>
      <c r="E4918" s="113"/>
      <c r="F4918" s="109"/>
      <c r="G4918" s="111"/>
    </row>
    <row r="4919" ht="15.75" customHeight="1">
      <c r="B4919" s="95"/>
      <c r="C4919" s="75"/>
      <c r="D4919" s="113"/>
      <c r="E4919" s="113"/>
      <c r="F4919" s="109"/>
      <c r="G4919" s="111"/>
    </row>
    <row r="4920" ht="15.75" customHeight="1">
      <c r="B4920" s="95"/>
      <c r="C4920" s="75"/>
      <c r="D4920" s="113"/>
      <c r="E4920" s="113"/>
      <c r="F4920" s="109"/>
      <c r="G4920" s="111"/>
    </row>
    <row r="4921" ht="15.75" customHeight="1">
      <c r="B4921" s="95"/>
      <c r="C4921" s="75"/>
      <c r="D4921" s="113"/>
      <c r="E4921" s="113"/>
      <c r="F4921" s="109"/>
      <c r="G4921" s="111"/>
    </row>
    <row r="4922" ht="15.75" customHeight="1">
      <c r="B4922" s="95"/>
      <c r="C4922" s="75"/>
      <c r="D4922" s="113"/>
      <c r="E4922" s="113"/>
      <c r="F4922" s="109"/>
      <c r="G4922" s="111"/>
    </row>
    <row r="4923" ht="15.75" customHeight="1">
      <c r="B4923" s="95"/>
      <c r="C4923" s="75"/>
      <c r="D4923" s="113"/>
      <c r="E4923" s="113"/>
      <c r="F4923" s="109"/>
      <c r="G4923" s="111"/>
    </row>
    <row r="4924" ht="15.75" customHeight="1">
      <c r="B4924" s="95"/>
      <c r="C4924" s="75"/>
      <c r="D4924" s="113"/>
      <c r="E4924" s="113"/>
      <c r="F4924" s="109"/>
      <c r="G4924" s="111"/>
    </row>
    <row r="4925" ht="15.75" customHeight="1">
      <c r="B4925" s="95"/>
      <c r="C4925" s="75"/>
      <c r="D4925" s="113"/>
      <c r="E4925" s="113"/>
      <c r="F4925" s="109"/>
      <c r="G4925" s="111"/>
    </row>
    <row r="4926" ht="15.75" customHeight="1">
      <c r="B4926" s="95"/>
      <c r="C4926" s="75"/>
      <c r="D4926" s="113"/>
      <c r="E4926" s="113"/>
      <c r="F4926" s="109"/>
      <c r="G4926" s="111"/>
    </row>
    <row r="4927" ht="15.75" customHeight="1">
      <c r="B4927" s="95"/>
      <c r="C4927" s="75"/>
      <c r="D4927" s="113"/>
      <c r="E4927" s="113"/>
      <c r="F4927" s="109"/>
      <c r="G4927" s="111"/>
    </row>
    <row r="4928" ht="15.75" customHeight="1">
      <c r="B4928" s="95"/>
      <c r="C4928" s="75"/>
      <c r="D4928" s="113"/>
      <c r="E4928" s="113"/>
      <c r="F4928" s="109"/>
      <c r="G4928" s="111"/>
    </row>
    <row r="4929" ht="15.75" customHeight="1">
      <c r="B4929" s="95"/>
      <c r="C4929" s="75"/>
      <c r="D4929" s="113"/>
      <c r="E4929" s="113"/>
      <c r="F4929" s="109"/>
      <c r="G4929" s="111"/>
    </row>
    <row r="4930" ht="15.75" customHeight="1">
      <c r="B4930" s="95"/>
      <c r="C4930" s="75"/>
      <c r="D4930" s="113"/>
      <c r="E4930" s="113"/>
      <c r="F4930" s="109"/>
      <c r="G4930" s="111"/>
    </row>
    <row r="4931" ht="15.75" customHeight="1">
      <c r="B4931" s="95"/>
      <c r="C4931" s="75"/>
      <c r="D4931" s="113"/>
      <c r="E4931" s="113"/>
      <c r="F4931" s="109"/>
      <c r="G4931" s="111"/>
    </row>
    <row r="4932" ht="15.75" customHeight="1">
      <c r="B4932" s="95"/>
      <c r="C4932" s="75"/>
      <c r="D4932" s="113"/>
      <c r="E4932" s="113"/>
      <c r="F4932" s="109"/>
      <c r="G4932" s="111"/>
    </row>
    <row r="4933" ht="15.75" customHeight="1">
      <c r="B4933" s="95"/>
      <c r="C4933" s="75"/>
      <c r="D4933" s="113"/>
      <c r="E4933" s="113"/>
      <c r="F4933" s="109"/>
      <c r="G4933" s="111"/>
    </row>
    <row r="4934" ht="15.75" customHeight="1">
      <c r="B4934" s="95"/>
      <c r="C4934" s="75"/>
      <c r="D4934" s="113"/>
      <c r="E4934" s="113"/>
      <c r="F4934" s="109"/>
      <c r="G4934" s="111"/>
    </row>
    <row r="4935" ht="15.75" customHeight="1">
      <c r="B4935" s="95"/>
      <c r="C4935" s="75"/>
      <c r="D4935" s="113"/>
      <c r="E4935" s="113"/>
      <c r="F4935" s="109"/>
      <c r="G4935" s="111"/>
    </row>
    <row r="4936" ht="15.75" customHeight="1">
      <c r="B4936" s="95"/>
      <c r="C4936" s="75"/>
      <c r="D4936" s="113"/>
      <c r="E4936" s="113"/>
      <c r="F4936" s="109"/>
      <c r="G4936" s="111"/>
    </row>
    <row r="4937" ht="15.75" customHeight="1">
      <c r="B4937" s="95"/>
      <c r="C4937" s="75"/>
      <c r="D4937" s="113"/>
      <c r="E4937" s="113"/>
      <c r="F4937" s="109"/>
      <c r="G4937" s="111"/>
    </row>
    <row r="4938" ht="15.75" customHeight="1">
      <c r="B4938" s="95"/>
      <c r="C4938" s="75"/>
      <c r="D4938" s="113"/>
      <c r="E4938" s="113"/>
      <c r="F4938" s="109"/>
      <c r="G4938" s="111"/>
    </row>
    <row r="4939" ht="15.75" customHeight="1">
      <c r="B4939" s="95"/>
      <c r="C4939" s="75"/>
      <c r="D4939" s="113"/>
      <c r="E4939" s="113"/>
      <c r="F4939" s="109"/>
      <c r="G4939" s="111"/>
    </row>
    <row r="4940" ht="15.75" customHeight="1">
      <c r="B4940" s="95"/>
      <c r="C4940" s="75"/>
      <c r="D4940" s="113"/>
      <c r="E4940" s="113"/>
      <c r="F4940" s="109"/>
      <c r="G4940" s="111"/>
    </row>
    <row r="4941" ht="15.75" customHeight="1">
      <c r="B4941" s="95"/>
      <c r="C4941" s="75"/>
      <c r="D4941" s="113"/>
      <c r="E4941" s="113"/>
      <c r="F4941" s="109"/>
      <c r="G4941" s="111"/>
    </row>
    <row r="4942" ht="15.75" customHeight="1">
      <c r="B4942" s="95"/>
      <c r="C4942" s="75"/>
      <c r="D4942" s="113"/>
      <c r="E4942" s="113"/>
      <c r="F4942" s="109"/>
      <c r="G4942" s="111"/>
    </row>
    <row r="4943" ht="15.75" customHeight="1">
      <c r="B4943" s="95"/>
      <c r="C4943" s="75"/>
      <c r="D4943" s="113"/>
      <c r="E4943" s="113"/>
      <c r="F4943" s="109"/>
      <c r="G4943" s="111"/>
    </row>
    <row r="4944" ht="15.75" customHeight="1">
      <c r="B4944" s="95"/>
      <c r="C4944" s="75"/>
      <c r="D4944" s="113"/>
      <c r="E4944" s="113"/>
      <c r="F4944" s="109"/>
      <c r="G4944" s="111"/>
    </row>
    <row r="4945" ht="15.75" customHeight="1">
      <c r="B4945" s="95"/>
      <c r="C4945" s="75"/>
      <c r="D4945" s="113"/>
      <c r="E4945" s="113"/>
      <c r="F4945" s="109"/>
      <c r="G4945" s="111"/>
    </row>
    <row r="4946" ht="15.75" customHeight="1">
      <c r="B4946" s="95"/>
      <c r="C4946" s="75"/>
      <c r="D4946" s="113"/>
      <c r="E4946" s="113"/>
      <c r="F4946" s="109"/>
      <c r="G4946" s="111"/>
    </row>
    <row r="4947" ht="15.75" customHeight="1">
      <c r="B4947" s="95"/>
      <c r="C4947" s="75"/>
      <c r="D4947" s="113"/>
      <c r="E4947" s="113"/>
      <c r="F4947" s="109"/>
      <c r="G4947" s="111"/>
    </row>
    <row r="4948" ht="15.75" customHeight="1">
      <c r="B4948" s="95"/>
      <c r="C4948" s="75"/>
      <c r="D4948" s="113"/>
      <c r="E4948" s="113"/>
      <c r="F4948" s="109"/>
      <c r="G4948" s="111"/>
    </row>
    <row r="4949" ht="15.75" customHeight="1">
      <c r="B4949" s="95"/>
      <c r="C4949" s="75"/>
      <c r="D4949" s="113"/>
      <c r="E4949" s="113"/>
      <c r="F4949" s="109"/>
      <c r="G4949" s="111"/>
    </row>
    <row r="4950" ht="15.75" customHeight="1">
      <c r="B4950" s="95"/>
      <c r="C4950" s="75"/>
      <c r="D4950" s="113"/>
      <c r="E4950" s="113"/>
      <c r="F4950" s="109"/>
      <c r="G4950" s="111"/>
    </row>
  </sheetData>
  <autoFilter ref="$A$19:$AD$3953"/>
  <mergeCells count="1">
    <mergeCell ref="C13:F13"/>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366"/>
    <pageSetUpPr/>
  </sheetPr>
  <sheetViews>
    <sheetView workbookViewId="0">
      <pane ySplit="19.0" topLeftCell="A20" activePane="bottomLeft" state="frozen"/>
      <selection activeCell="B21" sqref="B21" pane="bottomLeft"/>
    </sheetView>
  </sheetViews>
  <sheetFormatPr customHeight="1" defaultColWidth="14.43" defaultRowHeight="15.0"/>
  <cols>
    <col customWidth="1" min="1" max="1" width="22.29"/>
    <col customWidth="1" min="2" max="2" width="27.14"/>
    <col customWidth="1" min="3" max="3" width="28.71"/>
    <col customWidth="1" min="4" max="4" width="22.14"/>
    <col customWidth="1" min="5" max="5" width="29.29"/>
    <col customWidth="1" min="6" max="6" width="37.43"/>
    <col customWidth="1" min="7" max="7" width="21.29"/>
    <col customWidth="1" min="8" max="8" width="37.43"/>
    <col customWidth="1" min="9" max="9" width="19.43"/>
    <col customWidth="1" min="10" max="10" width="18.86"/>
    <col customWidth="1" min="11" max="23" width="8.0"/>
  </cols>
  <sheetData>
    <row r="1" ht="30.0" customHeight="1">
      <c r="A1" s="77"/>
      <c r="B1" s="78" t="s">
        <v>60</v>
      </c>
      <c r="C1" s="114"/>
      <c r="D1" s="114"/>
      <c r="E1" s="114"/>
      <c r="F1" s="114"/>
      <c r="G1" s="114"/>
      <c r="H1" s="114"/>
      <c r="I1" s="114"/>
      <c r="J1" s="114"/>
      <c r="K1" s="114"/>
      <c r="L1" s="114"/>
      <c r="M1" s="114"/>
      <c r="N1" s="114"/>
      <c r="O1" s="114"/>
      <c r="P1" s="114"/>
      <c r="Q1" s="114"/>
      <c r="R1" s="114"/>
      <c r="S1" s="114"/>
      <c r="T1" s="114"/>
      <c r="U1" s="114"/>
      <c r="V1" s="114"/>
      <c r="W1" s="114"/>
      <c r="X1" s="115"/>
      <c r="Y1" s="115"/>
      <c r="Z1" s="115"/>
      <c r="AA1" s="115"/>
    </row>
    <row r="2">
      <c r="A2" s="116"/>
      <c r="B2" s="117"/>
      <c r="C2" s="117"/>
      <c r="D2" s="117"/>
      <c r="E2" s="117"/>
      <c r="F2" s="117"/>
      <c r="G2" s="117"/>
      <c r="H2" s="117"/>
      <c r="I2" s="117"/>
      <c r="J2" s="117"/>
      <c r="K2" s="117"/>
      <c r="L2" s="117"/>
      <c r="M2" s="117"/>
      <c r="N2" s="117"/>
      <c r="O2" s="117"/>
      <c r="P2" s="117"/>
      <c r="Q2" s="117"/>
      <c r="R2" s="117"/>
      <c r="S2" s="117"/>
      <c r="T2" s="117"/>
      <c r="U2" s="117"/>
      <c r="V2" s="117"/>
      <c r="W2" s="117"/>
      <c r="X2" s="115"/>
      <c r="Y2" s="115"/>
      <c r="Z2" s="115"/>
      <c r="AA2" s="115"/>
    </row>
    <row r="3" ht="12.0" customHeight="1">
      <c r="A3" s="118"/>
      <c r="B3" s="119"/>
      <c r="C3" s="119"/>
      <c r="D3" s="119"/>
      <c r="E3" s="119"/>
      <c r="F3" s="119"/>
      <c r="G3" s="119"/>
      <c r="H3" s="119"/>
      <c r="I3" s="119"/>
      <c r="J3" s="119"/>
      <c r="K3" s="119"/>
      <c r="L3" s="119"/>
      <c r="M3" s="120"/>
      <c r="N3" s="119"/>
      <c r="O3" s="119"/>
      <c r="P3" s="119"/>
      <c r="Q3" s="119"/>
      <c r="R3" s="119"/>
      <c r="S3" s="119"/>
      <c r="T3" s="119"/>
      <c r="U3" s="119"/>
      <c r="V3" s="119"/>
      <c r="W3" s="119"/>
      <c r="X3" s="115"/>
      <c r="Y3" s="115"/>
      <c r="Z3" s="115"/>
      <c r="AA3" s="115"/>
    </row>
    <row r="4" ht="13.5" hidden="1" customHeight="1">
      <c r="A4" s="118"/>
      <c r="B4" s="119" t="s">
        <v>61</v>
      </c>
      <c r="C4" s="119" t="s">
        <v>59</v>
      </c>
      <c r="D4" s="119"/>
      <c r="E4" s="119"/>
      <c r="F4" s="119"/>
      <c r="G4" s="119"/>
      <c r="H4" s="119"/>
      <c r="I4" s="119"/>
      <c r="J4" s="119"/>
      <c r="K4" s="119"/>
      <c r="L4" s="119"/>
      <c r="M4" s="120"/>
      <c r="N4" s="119"/>
      <c r="O4" s="119"/>
      <c r="P4" s="119"/>
      <c r="Q4" s="119"/>
      <c r="R4" s="119"/>
      <c r="S4" s="119"/>
      <c r="T4" s="119"/>
      <c r="U4" s="119"/>
      <c r="V4" s="119"/>
      <c r="W4" s="119"/>
      <c r="X4" s="115"/>
      <c r="Y4" s="115"/>
      <c r="Z4" s="115"/>
      <c r="AA4" s="115"/>
    </row>
    <row r="5" hidden="1">
      <c r="A5" s="121"/>
      <c r="B5" s="121" t="s">
        <v>62</v>
      </c>
      <c r="C5" s="121" t="s">
        <v>18</v>
      </c>
      <c r="D5" s="121" t="s">
        <v>21</v>
      </c>
      <c r="E5" s="121"/>
      <c r="F5" s="121" t="s">
        <v>51</v>
      </c>
      <c r="G5" s="118"/>
      <c r="H5" s="119"/>
      <c r="I5" s="119"/>
      <c r="J5" s="119"/>
      <c r="K5" s="119"/>
      <c r="L5" s="119"/>
      <c r="M5" s="120"/>
      <c r="N5" s="119"/>
      <c r="O5" s="119"/>
      <c r="P5" s="119"/>
      <c r="Q5" s="119"/>
      <c r="R5" s="119"/>
      <c r="S5" s="119"/>
      <c r="T5" s="119"/>
      <c r="U5" s="119"/>
      <c r="V5" s="119"/>
      <c r="W5" s="119"/>
      <c r="X5" s="115"/>
      <c r="Y5" s="115"/>
      <c r="Z5" s="115"/>
      <c r="AA5" s="115"/>
    </row>
    <row r="6" hidden="1">
      <c r="A6" s="121"/>
      <c r="B6" s="121" t="s">
        <v>7</v>
      </c>
      <c r="C6" s="121" t="s">
        <v>16</v>
      </c>
      <c r="D6" s="121" t="s">
        <v>20</v>
      </c>
      <c r="E6" s="121"/>
      <c r="F6" s="121" t="s">
        <v>50</v>
      </c>
      <c r="G6" s="118"/>
      <c r="H6" s="119"/>
      <c r="I6" s="119"/>
      <c r="J6" s="119"/>
      <c r="K6" s="119"/>
      <c r="L6" s="119"/>
      <c r="M6" s="120"/>
      <c r="N6" s="119"/>
      <c r="O6" s="119"/>
      <c r="P6" s="119"/>
      <c r="Q6" s="119"/>
      <c r="R6" s="119"/>
      <c r="S6" s="119"/>
      <c r="T6" s="119"/>
      <c r="U6" s="119"/>
      <c r="V6" s="119"/>
      <c r="W6" s="119"/>
      <c r="X6" s="115"/>
      <c r="Y6" s="115"/>
      <c r="Z6" s="115"/>
      <c r="AA6" s="115"/>
    </row>
    <row r="7" hidden="1">
      <c r="A7" s="121"/>
      <c r="B7" s="121" t="s">
        <v>66</v>
      </c>
      <c r="C7" s="121"/>
      <c r="D7" s="115" t="s">
        <v>67</v>
      </c>
      <c r="E7" s="121"/>
      <c r="F7" s="121"/>
      <c r="G7" s="118"/>
      <c r="H7" s="119"/>
      <c r="I7" s="119"/>
      <c r="J7" s="119"/>
      <c r="K7" s="119"/>
      <c r="L7" s="119"/>
      <c r="M7" s="120"/>
      <c r="N7" s="119"/>
      <c r="O7" s="119"/>
      <c r="P7" s="119"/>
      <c r="Q7" s="119"/>
      <c r="R7" s="119"/>
      <c r="S7" s="119"/>
      <c r="T7" s="119"/>
      <c r="U7" s="119"/>
      <c r="V7" s="119"/>
      <c r="W7" s="119"/>
      <c r="X7" s="115"/>
      <c r="Y7" s="115"/>
      <c r="Z7" s="115"/>
      <c r="AA7" s="115"/>
    </row>
    <row r="8" hidden="1">
      <c r="A8" s="121"/>
      <c r="B8" s="121" t="s">
        <v>69</v>
      </c>
      <c r="C8" s="121"/>
      <c r="D8" s="121"/>
      <c r="E8" s="121"/>
      <c r="F8" s="121"/>
      <c r="G8" s="118"/>
      <c r="H8" s="119"/>
      <c r="I8" s="119"/>
      <c r="J8" s="119"/>
      <c r="K8" s="119"/>
      <c r="L8" s="119"/>
      <c r="M8" s="120"/>
      <c r="N8" s="119"/>
      <c r="O8" s="119"/>
      <c r="P8" s="119"/>
      <c r="Q8" s="119"/>
      <c r="R8" s="119"/>
      <c r="S8" s="119"/>
      <c r="T8" s="119"/>
      <c r="U8" s="119"/>
      <c r="V8" s="119"/>
      <c r="W8" s="119"/>
      <c r="X8" s="115"/>
      <c r="Y8" s="115"/>
      <c r="Z8" s="115"/>
      <c r="AA8" s="115"/>
    </row>
    <row r="9" hidden="1">
      <c r="A9" s="121"/>
      <c r="B9" s="121" t="s">
        <v>12</v>
      </c>
      <c r="C9" s="121" t="s">
        <v>70</v>
      </c>
      <c r="D9" s="121" t="s">
        <v>70</v>
      </c>
      <c r="E9" s="121"/>
      <c r="F9" s="121" t="s">
        <v>70</v>
      </c>
      <c r="G9" s="118"/>
      <c r="H9" s="119"/>
      <c r="I9" s="119"/>
      <c r="J9" s="119"/>
      <c r="K9" s="119"/>
      <c r="L9" s="119"/>
      <c r="M9" s="120"/>
      <c r="N9" s="119"/>
      <c r="O9" s="119"/>
      <c r="P9" s="119"/>
      <c r="Q9" s="119"/>
      <c r="R9" s="119"/>
      <c r="S9" s="119"/>
      <c r="T9" s="119"/>
      <c r="U9" s="119"/>
      <c r="V9" s="119"/>
      <c r="W9" s="119"/>
      <c r="X9" s="115"/>
      <c r="Y9" s="115"/>
      <c r="Z9" s="115"/>
      <c r="AA9" s="115"/>
    </row>
    <row r="10" hidden="1">
      <c r="A10" s="121"/>
      <c r="B10" s="121" t="s">
        <v>71</v>
      </c>
      <c r="C10" s="121" t="s">
        <v>70</v>
      </c>
      <c r="D10" s="121" t="s">
        <v>70</v>
      </c>
      <c r="E10" s="121"/>
      <c r="F10" s="121" t="s">
        <v>70</v>
      </c>
      <c r="G10" s="118"/>
      <c r="H10" s="119"/>
      <c r="I10" s="119"/>
      <c r="J10" s="119"/>
      <c r="K10" s="119"/>
      <c r="L10" s="119"/>
      <c r="M10" s="120"/>
      <c r="N10" s="119"/>
      <c r="O10" s="119"/>
      <c r="P10" s="119"/>
      <c r="Q10" s="119"/>
      <c r="R10" s="119"/>
      <c r="S10" s="119"/>
      <c r="T10" s="119"/>
      <c r="U10" s="119"/>
      <c r="V10" s="119"/>
      <c r="W10" s="119"/>
      <c r="X10" s="115"/>
      <c r="Y10" s="115"/>
      <c r="Z10" s="115"/>
      <c r="AA10" s="115"/>
    </row>
    <row r="11" hidden="1">
      <c r="A11" s="121"/>
      <c r="B11" s="121" t="s">
        <v>72</v>
      </c>
      <c r="C11" s="121" t="s">
        <v>70</v>
      </c>
      <c r="D11" s="121" t="s">
        <v>70</v>
      </c>
      <c r="E11" s="121"/>
      <c r="F11" s="121" t="s">
        <v>70</v>
      </c>
      <c r="G11" s="118"/>
      <c r="H11" s="119"/>
      <c r="I11" s="119"/>
      <c r="J11" s="119"/>
      <c r="K11" s="119"/>
      <c r="L11" s="119"/>
      <c r="M11" s="120"/>
      <c r="N11" s="119"/>
      <c r="O11" s="119"/>
      <c r="P11" s="119"/>
      <c r="Q11" s="119"/>
      <c r="R11" s="119"/>
      <c r="S11" s="119"/>
      <c r="T11" s="119"/>
      <c r="U11" s="119"/>
      <c r="V11" s="119"/>
      <c r="W11" s="119"/>
      <c r="X11" s="115"/>
      <c r="Y11" s="115"/>
      <c r="Z11" s="115"/>
      <c r="AA11" s="115"/>
    </row>
    <row r="12" hidden="1">
      <c r="A12" s="121"/>
      <c r="B12" s="121" t="s">
        <v>73</v>
      </c>
      <c r="C12" s="121"/>
      <c r="D12" s="121"/>
      <c r="E12" s="121"/>
      <c r="F12" s="121"/>
      <c r="G12" s="118"/>
      <c r="H12" s="119"/>
      <c r="I12" s="119"/>
      <c r="J12" s="119"/>
      <c r="K12" s="119"/>
      <c r="L12" s="119"/>
      <c r="M12" s="120"/>
      <c r="N12" s="119"/>
      <c r="O12" s="119"/>
      <c r="P12" s="119"/>
      <c r="Q12" s="119"/>
      <c r="R12" s="119"/>
      <c r="S12" s="119"/>
      <c r="T12" s="119"/>
      <c r="U12" s="119"/>
      <c r="V12" s="119"/>
      <c r="W12" s="119"/>
      <c r="X12" s="115"/>
      <c r="Y12" s="115"/>
      <c r="Z12" s="115"/>
      <c r="AA12" s="115"/>
    </row>
    <row r="13">
      <c r="A13" s="43"/>
      <c r="B13" s="44" t="s">
        <v>75</v>
      </c>
      <c r="C13" s="45" t="s">
        <v>12</v>
      </c>
      <c r="D13" s="14"/>
      <c r="E13" s="14"/>
      <c r="F13" s="15"/>
      <c r="G13" s="122"/>
      <c r="H13" s="123" t="s">
        <v>3558</v>
      </c>
      <c r="I13" s="120"/>
      <c r="J13" s="120"/>
      <c r="K13" s="120"/>
      <c r="L13" s="120"/>
      <c r="M13" s="120"/>
      <c r="N13" s="120"/>
      <c r="O13" s="120"/>
      <c r="P13" s="120"/>
      <c r="Q13" s="120"/>
      <c r="R13" s="120"/>
      <c r="S13" s="120"/>
      <c r="T13" s="120"/>
      <c r="U13" s="120"/>
      <c r="V13" s="120"/>
      <c r="W13" s="120"/>
      <c r="X13" s="124"/>
      <c r="Y13" s="124"/>
      <c r="Z13" s="124"/>
      <c r="AA13" s="124"/>
    </row>
    <row r="14" ht="15.75" customHeight="1">
      <c r="A14" s="52"/>
      <c r="B14" s="52" t="s">
        <v>87</v>
      </c>
      <c r="C14" s="125"/>
      <c r="D14" s="125"/>
      <c r="E14" s="126" t="s">
        <v>3559</v>
      </c>
      <c r="F14" s="127"/>
      <c r="G14" s="122"/>
      <c r="H14" s="128" t="s">
        <v>3560</v>
      </c>
      <c r="I14" s="122"/>
      <c r="J14" s="122"/>
      <c r="K14" s="122"/>
      <c r="L14" s="122"/>
      <c r="M14" s="122"/>
      <c r="N14" s="122"/>
      <c r="O14" s="122"/>
      <c r="P14" s="122"/>
      <c r="Q14" s="122"/>
      <c r="R14" s="122"/>
      <c r="S14" s="122"/>
      <c r="T14" s="122"/>
      <c r="U14" s="122"/>
      <c r="V14" s="122"/>
      <c r="W14" s="122"/>
      <c r="X14" s="124"/>
      <c r="Y14" s="124"/>
      <c r="Z14" s="124"/>
      <c r="AA14" s="124"/>
    </row>
    <row r="15" ht="15.75" customHeight="1">
      <c r="A15" s="58"/>
      <c r="B15" s="52" t="s">
        <v>3561</v>
      </c>
      <c r="C15" s="125"/>
      <c r="D15" s="125"/>
      <c r="E15" s="126" t="s">
        <v>3562</v>
      </c>
      <c r="F15" s="127"/>
      <c r="G15" s="122"/>
      <c r="H15" s="128" t="s">
        <v>3563</v>
      </c>
      <c r="I15" s="122"/>
      <c r="J15" s="122"/>
      <c r="K15" s="122"/>
      <c r="L15" s="122"/>
      <c r="M15" s="122"/>
      <c r="N15" s="122"/>
      <c r="O15" s="122"/>
      <c r="P15" s="122"/>
      <c r="Q15" s="122"/>
      <c r="R15" s="122"/>
      <c r="S15" s="122"/>
      <c r="T15" s="122"/>
      <c r="U15" s="122"/>
      <c r="V15" s="122"/>
      <c r="W15" s="122"/>
      <c r="X15" s="124"/>
      <c r="Y15" s="124"/>
      <c r="Z15" s="124"/>
      <c r="AA15" s="124"/>
    </row>
    <row r="16">
      <c r="A16" s="43"/>
      <c r="B16" s="44" t="s">
        <v>76</v>
      </c>
      <c r="C16" s="54" t="s">
        <v>13</v>
      </c>
      <c r="D16" s="54" t="s">
        <v>19</v>
      </c>
      <c r="E16" s="129" t="s">
        <v>3564</v>
      </c>
      <c r="F16" s="54" t="s">
        <v>3565</v>
      </c>
      <c r="G16" s="128" t="s">
        <v>3566</v>
      </c>
      <c r="H16" s="123" t="s">
        <v>3567</v>
      </c>
      <c r="I16" s="120"/>
      <c r="J16" s="120"/>
      <c r="K16" s="120"/>
      <c r="L16" s="120"/>
      <c r="M16" s="120"/>
      <c r="N16" s="120"/>
      <c r="O16" s="120"/>
      <c r="P16" s="120"/>
      <c r="Q16" s="120"/>
      <c r="R16" s="120"/>
      <c r="S16" s="120"/>
      <c r="T16" s="120"/>
      <c r="U16" s="120"/>
      <c r="V16" s="120"/>
      <c r="W16" s="120"/>
      <c r="X16" s="124"/>
      <c r="Y16" s="124"/>
      <c r="Z16" s="124"/>
      <c r="AA16" s="124"/>
    </row>
    <row r="17" ht="58.5" customHeight="1">
      <c r="A17" s="52"/>
      <c r="B17" s="130" t="s">
        <v>78</v>
      </c>
      <c r="C17" s="131" t="s">
        <v>79</v>
      </c>
      <c r="D17" s="131" t="s">
        <v>3568</v>
      </c>
      <c r="E17" s="132" t="s">
        <v>3569</v>
      </c>
      <c r="F17" s="131" t="s">
        <v>3570</v>
      </c>
      <c r="G17" s="122"/>
      <c r="H17" s="120"/>
      <c r="I17" s="120"/>
      <c r="J17" s="120"/>
      <c r="K17" s="120"/>
      <c r="L17" s="120"/>
      <c r="M17" s="120"/>
      <c r="N17" s="120"/>
      <c r="O17" s="120"/>
      <c r="P17" s="120"/>
      <c r="Q17" s="120"/>
      <c r="R17" s="120"/>
      <c r="S17" s="120"/>
      <c r="T17" s="120"/>
      <c r="U17" s="120"/>
      <c r="V17" s="120"/>
      <c r="W17" s="120"/>
      <c r="X17" s="124"/>
      <c r="Y17" s="124"/>
      <c r="Z17" s="124"/>
      <c r="AA17" s="124"/>
    </row>
    <row r="18">
      <c r="A18" s="52"/>
      <c r="B18" s="53" t="s">
        <v>7</v>
      </c>
      <c r="C18" s="55" t="s">
        <v>16</v>
      </c>
      <c r="D18" s="55" t="s">
        <v>20</v>
      </c>
      <c r="E18" s="133" t="s">
        <v>564</v>
      </c>
      <c r="F18" s="55" t="s">
        <v>50</v>
      </c>
      <c r="G18" s="122"/>
      <c r="H18" s="120"/>
      <c r="I18" s="120"/>
      <c r="J18" s="120"/>
      <c r="K18" s="120"/>
      <c r="L18" s="120"/>
      <c r="M18" s="120"/>
      <c r="N18" s="120"/>
      <c r="O18" s="120"/>
      <c r="P18" s="120"/>
      <c r="Q18" s="120"/>
      <c r="R18" s="120"/>
      <c r="S18" s="120"/>
      <c r="T18" s="120"/>
      <c r="U18" s="120"/>
      <c r="V18" s="120"/>
      <c r="W18" s="120"/>
      <c r="X18" s="124"/>
      <c r="Y18" s="124"/>
      <c r="Z18" s="124"/>
      <c r="AA18" s="124"/>
    </row>
    <row r="19">
      <c r="A19" s="52"/>
      <c r="B19" s="53" t="s">
        <v>72</v>
      </c>
      <c r="C19" s="55" t="s">
        <v>85</v>
      </c>
      <c r="D19" s="55" t="s">
        <v>85</v>
      </c>
      <c r="E19" s="55" t="s">
        <v>85</v>
      </c>
      <c r="F19" s="55" t="s">
        <v>85</v>
      </c>
      <c r="G19" s="122"/>
      <c r="H19" s="120"/>
      <c r="I19" s="120"/>
      <c r="J19" s="120"/>
      <c r="K19" s="120"/>
      <c r="L19" s="120"/>
      <c r="M19" s="120"/>
      <c r="N19" s="120"/>
      <c r="O19" s="120"/>
      <c r="P19" s="120"/>
      <c r="Q19" s="120"/>
      <c r="R19" s="120"/>
      <c r="S19" s="120"/>
      <c r="T19" s="120"/>
      <c r="U19" s="120"/>
      <c r="V19" s="120"/>
      <c r="W19" s="120"/>
      <c r="X19" s="124"/>
      <c r="Y19" s="124"/>
      <c r="Z19" s="124"/>
      <c r="AA19" s="124"/>
    </row>
    <row r="20">
      <c r="A20" s="59"/>
      <c r="B20" s="63">
        <f t="shared" ref="B20:B15131" si="1">len(C20)</f>
        <v>10</v>
      </c>
      <c r="C20" s="134" t="s">
        <v>145</v>
      </c>
      <c r="D20" s="134" t="s">
        <v>74</v>
      </c>
      <c r="E20" s="135">
        <f t="shared" ref="E20:E410" si="2">COUNTIF($C$20:C20,C20)</f>
        <v>1</v>
      </c>
      <c r="F20" s="134" t="s">
        <v>765</v>
      </c>
      <c r="G20" s="63" t="str">
        <f>VLOOKUP(C20, 'Class Def. - General Data'!$C$20:$C$1000,1,false)</f>
        <v>ZBL1_PAKET</v>
      </c>
      <c r="H20" s="63" t="str">
        <f>IFERROR(__xludf.DUMMYFUNCTION("VLOOKUP(F20, IMPORTRANGE(""https://docs.google.com/spreadsheets/d/1Lhp9OU0JdFf_VYSMzH5lBcEaU4o8teT1piV-SNzShjg/edit?gid=554141278#gid=554141278"", ""'Char Def. - Attributes'!C20:C2242""), 1,false)"),"PAKET")</f>
        <v>PAKET</v>
      </c>
      <c r="I20" s="136"/>
      <c r="J20" s="136"/>
      <c r="K20" s="137"/>
      <c r="L20" s="136"/>
      <c r="M20" s="136"/>
      <c r="N20" s="136"/>
      <c r="O20" s="136"/>
      <c r="P20" s="136"/>
      <c r="Q20" s="136"/>
      <c r="R20" s="136"/>
      <c r="S20" s="136"/>
      <c r="T20" s="136"/>
      <c r="U20" s="136"/>
      <c r="V20" s="136"/>
      <c r="W20" s="136"/>
    </row>
    <row r="21">
      <c r="A21" s="59"/>
      <c r="B21" s="63">
        <f t="shared" si="1"/>
        <v>10</v>
      </c>
      <c r="C21" s="134" t="s">
        <v>145</v>
      </c>
      <c r="D21" s="134" t="s">
        <v>74</v>
      </c>
      <c r="E21" s="135">
        <f t="shared" si="2"/>
        <v>2</v>
      </c>
      <c r="F21" s="134" t="s">
        <v>1164</v>
      </c>
      <c r="G21" s="63" t="str">
        <f>VLOOKUP(C21, 'Class Def. - General Data'!$C$20:$C$1000,1,false)</f>
        <v>ZBL1_PAKET</v>
      </c>
      <c r="H21" s="63" t="str">
        <f>IFERROR(__xludf.DUMMYFUNCTION("VLOOKUP(F21, IMPORTRANGE(""https://docs.google.com/spreadsheets/d/1Lhp9OU0JdFf_VYSMzH5lBcEaU4o8teT1piV-SNzShjg/edit?gid=554141278#gid=554141278"", ""'Char Def. - Attributes'!C20:C2242""), 1,false)"),"EVENT")</f>
        <v>EVENT</v>
      </c>
      <c r="I21" s="136"/>
      <c r="J21" s="136"/>
      <c r="K21" s="137"/>
      <c r="L21" s="136"/>
      <c r="M21" s="136"/>
      <c r="N21" s="136"/>
      <c r="O21" s="136"/>
      <c r="P21" s="136"/>
      <c r="Q21" s="136"/>
      <c r="R21" s="136"/>
      <c r="S21" s="136"/>
      <c r="T21" s="136"/>
      <c r="U21" s="136"/>
      <c r="V21" s="136"/>
      <c r="W21" s="136"/>
    </row>
    <row r="22" ht="15.75" customHeight="1">
      <c r="A22" s="59"/>
      <c r="B22" s="63">
        <f t="shared" si="1"/>
        <v>10</v>
      </c>
      <c r="C22" s="134" t="s">
        <v>145</v>
      </c>
      <c r="D22" s="134" t="s">
        <v>74</v>
      </c>
      <c r="E22" s="135">
        <f t="shared" si="2"/>
        <v>3</v>
      </c>
      <c r="F22" s="134" t="s">
        <v>3571</v>
      </c>
      <c r="G22" s="63" t="str">
        <f>VLOOKUP(C22, 'Class Def. - General Data'!$C$20:$C$1000,1,false)</f>
        <v>ZBL1_PAKET</v>
      </c>
      <c r="H22" s="63" t="str">
        <f>IFERROR(__xludf.DUMMYFUNCTION("VLOOKUP(F22, IMPORTRANGE(""https://docs.google.com/spreadsheets/d/1Lhp9OU0JdFf_VYSMzH5lBcEaU4o8teT1piV-SNzShjg/edit?gid=554141278#gid=554141278"", ""'Char Def. - Attributes'!C20:C2242""), 1,false)"),"MID_ISI1")</f>
        <v>MID_ISI1</v>
      </c>
      <c r="I22" s="136"/>
    </row>
    <row r="23" ht="15.75" customHeight="1">
      <c r="A23" s="59"/>
      <c r="B23" s="63">
        <f t="shared" si="1"/>
        <v>10</v>
      </c>
      <c r="C23" s="134" t="s">
        <v>145</v>
      </c>
      <c r="D23" s="134" t="s">
        <v>74</v>
      </c>
      <c r="E23" s="135">
        <f t="shared" si="2"/>
        <v>4</v>
      </c>
      <c r="F23" s="134" t="s">
        <v>3572</v>
      </c>
      <c r="G23" s="63" t="str">
        <f>VLOOKUP(C23, 'Class Def. - General Data'!$C$20:$C$1000,1,false)</f>
        <v>ZBL1_PAKET</v>
      </c>
      <c r="H23" s="63" t="str">
        <f>IFERROR(__xludf.DUMMYFUNCTION("VLOOKUP(F23, IMPORTRANGE(""https://docs.google.com/spreadsheets/d/1Lhp9OU0JdFf_VYSMzH5lBcEaU4o8teT1piV-SNzShjg/edit?gid=554141278#gid=554141278"", ""'Char Def. - Attributes'!C20:C2242""), 1,false)"),"#N/A")</f>
        <v>#N/A</v>
      </c>
      <c r="I23" s="136"/>
    </row>
    <row r="24" ht="15.75" customHeight="1">
      <c r="A24" s="59"/>
      <c r="B24" s="63">
        <f t="shared" si="1"/>
        <v>10</v>
      </c>
      <c r="C24" s="134" t="s">
        <v>145</v>
      </c>
      <c r="D24" s="134" t="s">
        <v>74</v>
      </c>
      <c r="E24" s="135">
        <f t="shared" si="2"/>
        <v>5</v>
      </c>
      <c r="F24" s="134" t="s">
        <v>3573</v>
      </c>
      <c r="G24" s="63" t="str">
        <f>VLOOKUP(C24, 'Class Def. - General Data'!$C$20:$C$1000,1,false)</f>
        <v>ZBL1_PAKET</v>
      </c>
      <c r="H24" s="63" t="str">
        <f>IFERROR(__xludf.DUMMYFUNCTION("VLOOKUP(F24, IMPORTRANGE(""https://docs.google.com/spreadsheets/d/1Lhp9OU0JdFf_VYSMzH5lBcEaU4o8teT1piV-SNzShjg/edit?gid=554141278#gid=554141278"", ""'Char Def. - Attributes'!C20:C2242""), 1,false)"),"#N/A")</f>
        <v>#N/A</v>
      </c>
      <c r="I24" s="136"/>
    </row>
    <row r="25" ht="15.75" customHeight="1">
      <c r="A25" s="59"/>
      <c r="B25" s="63">
        <f t="shared" si="1"/>
        <v>10</v>
      </c>
      <c r="C25" s="134" t="s">
        <v>145</v>
      </c>
      <c r="D25" s="134" t="s">
        <v>74</v>
      </c>
      <c r="E25" s="135">
        <f t="shared" si="2"/>
        <v>6</v>
      </c>
      <c r="F25" s="134" t="s">
        <v>3574</v>
      </c>
      <c r="G25" s="63" t="str">
        <f>VLOOKUP(C25, 'Class Def. - General Data'!$C$20:$C$1000,1,false)</f>
        <v>ZBL1_PAKET</v>
      </c>
      <c r="H25" s="63" t="str">
        <f>IFERROR(__xludf.DUMMYFUNCTION("VLOOKUP(F25, IMPORTRANGE(""https://docs.google.com/spreadsheets/d/1Lhp9OU0JdFf_VYSMzH5lBcEaU4o8teT1piV-SNzShjg/edit?gid=554141278#gid=554141278"", ""'Char Def. - Attributes'!C20:C2242""), 1,false)"),"#N/A")</f>
        <v>#N/A</v>
      </c>
      <c r="I25" s="136"/>
    </row>
    <row r="26" ht="15.75" customHeight="1">
      <c r="A26" s="59"/>
      <c r="B26" s="63">
        <f t="shared" si="1"/>
        <v>10</v>
      </c>
      <c r="C26" s="134" t="s">
        <v>145</v>
      </c>
      <c r="D26" s="134" t="s">
        <v>74</v>
      </c>
      <c r="E26" s="135">
        <f t="shared" si="2"/>
        <v>7</v>
      </c>
      <c r="F26" s="134" t="s">
        <v>3575</v>
      </c>
      <c r="G26" s="63" t="str">
        <f>VLOOKUP(C26, 'Class Def. - General Data'!$C$20:$C$1000,1,false)</f>
        <v>ZBL1_PAKET</v>
      </c>
      <c r="H26" s="63" t="str">
        <f>IFERROR(__xludf.DUMMYFUNCTION("VLOOKUP(F26, IMPORTRANGE(""https://docs.google.com/spreadsheets/d/1Lhp9OU0JdFf_VYSMzH5lBcEaU4o8teT1piV-SNzShjg/edit?gid=554141278#gid=554141278"", ""'Char Def. - Attributes'!C20:C2242""), 1,false)"),"#N/A")</f>
        <v>#N/A</v>
      </c>
      <c r="I26" s="136"/>
    </row>
    <row r="27" ht="15.75" customHeight="1">
      <c r="A27" s="59"/>
      <c r="B27" s="63">
        <f t="shared" si="1"/>
        <v>10</v>
      </c>
      <c r="C27" s="134" t="s">
        <v>145</v>
      </c>
      <c r="D27" s="134" t="s">
        <v>74</v>
      </c>
      <c r="E27" s="135">
        <f t="shared" si="2"/>
        <v>8</v>
      </c>
      <c r="F27" s="134" t="s">
        <v>3576</v>
      </c>
      <c r="G27" s="63" t="str">
        <f>VLOOKUP(C27, 'Class Def. - General Data'!$C$20:$C$1000,1,false)</f>
        <v>ZBL1_PAKET</v>
      </c>
      <c r="H27" s="63" t="str">
        <f>IFERROR(__xludf.DUMMYFUNCTION("VLOOKUP(F27, IMPORTRANGE(""https://docs.google.com/spreadsheets/d/1Lhp9OU0JdFf_VYSMzH5lBcEaU4o8teT1piV-SNzShjg/edit?gid=554141278#gid=554141278"", ""'Char Def. - Attributes'!C20:C2242""), 1,false)"),"#N/A")</f>
        <v>#N/A</v>
      </c>
      <c r="I27" s="136"/>
    </row>
    <row r="28" ht="15.75" customHeight="1">
      <c r="A28" s="59"/>
      <c r="B28" s="63">
        <f t="shared" si="1"/>
        <v>10</v>
      </c>
      <c r="C28" s="134" t="s">
        <v>145</v>
      </c>
      <c r="D28" s="134" t="s">
        <v>74</v>
      </c>
      <c r="E28" s="135">
        <f t="shared" si="2"/>
        <v>9</v>
      </c>
      <c r="F28" s="134" t="s">
        <v>3577</v>
      </c>
      <c r="G28" s="63" t="str">
        <f>VLOOKUP(C28, 'Class Def. - General Data'!$C$20:$C$1000,1,false)</f>
        <v>ZBL1_PAKET</v>
      </c>
      <c r="H28" s="63" t="str">
        <f>IFERROR(__xludf.DUMMYFUNCTION("VLOOKUP(F28, IMPORTRANGE(""https://docs.google.com/spreadsheets/d/1Lhp9OU0JdFf_VYSMzH5lBcEaU4o8teT1piV-SNzShjg/edit?gid=554141278#gid=554141278"", ""'Char Def. - Attributes'!C20:C2242""), 1,false)"),"#N/A")</f>
        <v>#N/A</v>
      </c>
      <c r="I28" s="136"/>
    </row>
    <row r="29" ht="15.75" customHeight="1">
      <c r="A29" s="59"/>
      <c r="B29" s="63">
        <f t="shared" si="1"/>
        <v>10</v>
      </c>
      <c r="C29" s="134" t="s">
        <v>145</v>
      </c>
      <c r="D29" s="134" t="s">
        <v>74</v>
      </c>
      <c r="E29" s="135">
        <f t="shared" si="2"/>
        <v>10</v>
      </c>
      <c r="F29" s="134" t="s">
        <v>3578</v>
      </c>
      <c r="G29" s="63" t="str">
        <f>VLOOKUP(C29, 'Class Def. - General Data'!$C$20:$C$1000,1,false)</f>
        <v>ZBL1_PAKET</v>
      </c>
      <c r="H29" s="63" t="str">
        <f>IFERROR(__xludf.DUMMYFUNCTION("VLOOKUP(F29, IMPORTRANGE(""https://docs.google.com/spreadsheets/d/1Lhp9OU0JdFf_VYSMzH5lBcEaU4o8teT1piV-SNzShjg/edit?gid=554141278#gid=554141278"", ""'Char Def. - Attributes'!C20:C2242""), 1,false)"),"#N/A")</f>
        <v>#N/A</v>
      </c>
      <c r="I29" s="136"/>
    </row>
    <row r="30" ht="15.75" customHeight="1">
      <c r="A30" s="59"/>
      <c r="B30" s="63">
        <f t="shared" si="1"/>
        <v>10</v>
      </c>
      <c r="C30" s="134" t="s">
        <v>145</v>
      </c>
      <c r="D30" s="134" t="s">
        <v>74</v>
      </c>
      <c r="E30" s="135">
        <f t="shared" si="2"/>
        <v>11</v>
      </c>
      <c r="F30" s="134" t="s">
        <v>3579</v>
      </c>
      <c r="G30" s="63" t="str">
        <f>VLOOKUP(C30, 'Class Def. - General Data'!$C$20:$C$1000,1,false)</f>
        <v>ZBL1_PAKET</v>
      </c>
      <c r="H30" s="63" t="str">
        <f>IFERROR(__xludf.DUMMYFUNCTION("VLOOKUP(F30, IMPORTRANGE(""https://docs.google.com/spreadsheets/d/1Lhp9OU0JdFf_VYSMzH5lBcEaU4o8teT1piV-SNzShjg/edit?gid=554141278#gid=554141278"", ""'Char Def. - Attributes'!C20:C2242""), 1,false)"),"#N/A")</f>
        <v>#N/A</v>
      </c>
      <c r="I30" s="136"/>
    </row>
    <row r="31" ht="15.75" customHeight="1">
      <c r="A31" s="59"/>
      <c r="B31" s="63">
        <f t="shared" si="1"/>
        <v>10</v>
      </c>
      <c r="C31" s="134" t="s">
        <v>145</v>
      </c>
      <c r="D31" s="134" t="s">
        <v>74</v>
      </c>
      <c r="E31" s="135">
        <f t="shared" si="2"/>
        <v>12</v>
      </c>
      <c r="F31" s="134" t="s">
        <v>3580</v>
      </c>
      <c r="G31" s="63" t="str">
        <f>VLOOKUP(C31, 'Class Def. - General Data'!$C$20:$C$1000,1,false)</f>
        <v>ZBL1_PAKET</v>
      </c>
      <c r="H31" s="63" t="str">
        <f>IFERROR(__xludf.DUMMYFUNCTION("VLOOKUP(F31, IMPORTRANGE(""https://docs.google.com/spreadsheets/d/1Lhp9OU0JdFf_VYSMzH5lBcEaU4o8teT1piV-SNzShjg/edit?gid=554141278#gid=554141278"", ""'Char Def. - Attributes'!C20:C2242""), 1,false)"),"#N/A")</f>
        <v>#N/A</v>
      </c>
      <c r="I31" s="136"/>
    </row>
    <row r="32" ht="15.75" customHeight="1">
      <c r="A32" s="59"/>
      <c r="B32" s="63">
        <f t="shared" si="1"/>
        <v>10</v>
      </c>
      <c r="C32" s="134" t="s">
        <v>145</v>
      </c>
      <c r="D32" s="134" t="s">
        <v>74</v>
      </c>
      <c r="E32" s="135">
        <f t="shared" si="2"/>
        <v>13</v>
      </c>
      <c r="F32" s="134" t="s">
        <v>3581</v>
      </c>
      <c r="G32" s="63" t="str">
        <f>VLOOKUP(C32, 'Class Def. - General Data'!$C$20:$C$1000,1,false)</f>
        <v>ZBL1_PAKET</v>
      </c>
      <c r="H32" s="63" t="str">
        <f>IFERROR(__xludf.DUMMYFUNCTION("VLOOKUP(F32, IMPORTRANGE(""https://docs.google.com/spreadsheets/d/1Lhp9OU0JdFf_VYSMzH5lBcEaU4o8teT1piV-SNzShjg/edit?gid=554141278#gid=554141278"", ""'Char Def. - Attributes'!C20:C2242""), 1,false)"),"SEQ")</f>
        <v>SEQ</v>
      </c>
      <c r="I32" s="136"/>
    </row>
    <row r="33" ht="15.75" customHeight="1">
      <c r="A33" s="59"/>
      <c r="B33" s="63">
        <f t="shared" si="1"/>
        <v>10</v>
      </c>
      <c r="C33" s="134" t="s">
        <v>145</v>
      </c>
      <c r="D33" s="134" t="s">
        <v>74</v>
      </c>
      <c r="E33" s="135">
        <f t="shared" si="2"/>
        <v>14</v>
      </c>
      <c r="F33" s="134" t="s">
        <v>3582</v>
      </c>
      <c r="G33" s="63" t="str">
        <f>VLOOKUP(C33, 'Class Def. - General Data'!$C$20:$C$1000,1,false)</f>
        <v>ZBL1_PAKET</v>
      </c>
      <c r="H33" s="63" t="str">
        <f>IFERROR(__xludf.DUMMYFUNCTION("VLOOKUP(F33, IMPORTRANGE(""https://docs.google.com/spreadsheets/d/1Lhp9OU0JdFf_VYSMzH5lBcEaU4o8teT1piV-SNzShjg/edit?gid=554141278#gid=554141278"", ""'Char Def. - Attributes'!C20:C2242""), 1,false)"),"BASE_UNIT")</f>
        <v>BASE_UNIT</v>
      </c>
      <c r="I33" s="136"/>
    </row>
    <row r="34" ht="15.75" customHeight="1">
      <c r="A34" s="59"/>
      <c r="B34" s="63">
        <f t="shared" si="1"/>
        <v>10</v>
      </c>
      <c r="C34" s="134" t="s">
        <v>145</v>
      </c>
      <c r="D34" s="134" t="s">
        <v>74</v>
      </c>
      <c r="E34" s="135">
        <f t="shared" si="2"/>
        <v>15</v>
      </c>
      <c r="F34" s="134" t="s">
        <v>3583</v>
      </c>
      <c r="G34" s="63" t="str">
        <f>VLOOKUP(C34, 'Class Def. - General Data'!$C$20:$C$1000,1,false)</f>
        <v>ZBL1_PAKET</v>
      </c>
      <c r="H34" s="63" t="str">
        <f>IFERROR(__xludf.DUMMYFUNCTION("VLOOKUP(F34, IMPORTRANGE(""https://docs.google.com/spreadsheets/d/1Lhp9OU0JdFf_VYSMzH5lBcEaU4o8teT1piV-SNzShjg/edit?gid=554141278#gid=554141278"", ""'Char Def. - Attributes'!C20:C2242""), 1,false)"),"SALES_UNIT")</f>
        <v>SALES_UNIT</v>
      </c>
      <c r="I34" s="136"/>
    </row>
    <row r="35" ht="15.75" customHeight="1">
      <c r="A35" s="59"/>
      <c r="B35" s="63">
        <f t="shared" si="1"/>
        <v>10</v>
      </c>
      <c r="C35" s="134" t="s">
        <v>145</v>
      </c>
      <c r="D35" s="134" t="s">
        <v>74</v>
      </c>
      <c r="E35" s="135">
        <f t="shared" si="2"/>
        <v>16</v>
      </c>
      <c r="F35" s="134" t="s">
        <v>3584</v>
      </c>
      <c r="G35" s="63" t="str">
        <f>VLOOKUP(C35, 'Class Def. - General Data'!$C$20:$C$1000,1,false)</f>
        <v>ZBL1_PAKET</v>
      </c>
      <c r="H35" s="63" t="str">
        <f>IFERROR(__xludf.DUMMYFUNCTION("VLOOKUP(F35, IMPORTRANGE(""https://docs.google.com/spreadsheets/d/1Lhp9OU0JdFf_VYSMzH5lBcEaU4o8teT1piV-SNzShjg/edit?gid=554141278#gid=554141278"", ""'Char Def. - Attributes'!C20:C2242""), 1,false)"),"UNIT_PER_BOX")</f>
        <v>UNIT_PER_BOX</v>
      </c>
      <c r="I35" s="136"/>
    </row>
    <row r="36" ht="15.75" customHeight="1">
      <c r="A36" s="59"/>
      <c r="B36" s="63">
        <f t="shared" si="1"/>
        <v>10</v>
      </c>
      <c r="C36" s="134" t="s">
        <v>145</v>
      </c>
      <c r="D36" s="134" t="s">
        <v>74</v>
      </c>
      <c r="E36" s="135">
        <f t="shared" si="2"/>
        <v>17</v>
      </c>
      <c r="F36" s="134" t="s">
        <v>3585</v>
      </c>
      <c r="G36" s="63" t="str">
        <f>VLOOKUP(C36, 'Class Def. - General Data'!$C$20:$C$1000,1,false)</f>
        <v>ZBL1_PAKET</v>
      </c>
      <c r="H36" s="63" t="str">
        <f>IFERROR(__xludf.DUMMYFUNCTION("VLOOKUP(F36, IMPORTRANGE(""https://docs.google.com/spreadsheets/d/1Lhp9OU0JdFf_VYSMzH5lBcEaU4o8teT1piV-SNzShjg/edit?gid=554141278#gid=554141278"", ""'Char Def. - Attributes'!C20:C2242""), 1,false)"),"HS_CODE")</f>
        <v>HS_CODE</v>
      </c>
      <c r="I36" s="136"/>
    </row>
    <row r="37" ht="15.75" customHeight="1">
      <c r="A37" s="59"/>
      <c r="B37" s="63">
        <f t="shared" si="1"/>
        <v>10</v>
      </c>
      <c r="C37" s="134" t="s">
        <v>145</v>
      </c>
      <c r="D37" s="134" t="s">
        <v>74</v>
      </c>
      <c r="E37" s="135">
        <f t="shared" si="2"/>
        <v>18</v>
      </c>
      <c r="F37" s="134" t="s">
        <v>3586</v>
      </c>
      <c r="G37" s="63" t="str">
        <f>VLOOKUP(C37, 'Class Def. - General Data'!$C$20:$C$1000,1,false)</f>
        <v>ZBL1_PAKET</v>
      </c>
      <c r="H37" s="63" t="str">
        <f>IFERROR(__xludf.DUMMYFUNCTION("VLOOKUP(F37, IMPORTRANGE(""https://docs.google.com/spreadsheets/d/1Lhp9OU0JdFf_VYSMzH5lBcEaU4o8teT1piV-SNzShjg/edit?gid=554141278#gid=554141278"", ""'Char Def. - Attributes'!C20:C2242""), 1,false)"),"PLANT_PROD")</f>
        <v>PLANT_PROD</v>
      </c>
      <c r="I37" s="136"/>
    </row>
    <row r="38" ht="15.75" customHeight="1">
      <c r="A38" s="59"/>
      <c r="B38" s="63">
        <f t="shared" si="1"/>
        <v>10</v>
      </c>
      <c r="C38" s="134" t="s">
        <v>145</v>
      </c>
      <c r="D38" s="134" t="s">
        <v>74</v>
      </c>
      <c r="E38" s="135">
        <f t="shared" si="2"/>
        <v>19</v>
      </c>
      <c r="F38" s="134" t="s">
        <v>3587</v>
      </c>
      <c r="G38" s="63" t="str">
        <f>VLOOKUP(C38, 'Class Def. - General Data'!$C$20:$C$1000,1,false)</f>
        <v>ZBL1_PAKET</v>
      </c>
      <c r="H38" s="63" t="str">
        <f>IFERROR(__xludf.DUMMYFUNCTION("VLOOKUP(F38, IMPORTRANGE(""https://docs.google.com/spreadsheets/d/1Lhp9OU0JdFf_VYSMzH5lBcEaU4o8teT1piV-SNzShjg/edit?gid=554141278#gid=554141278"", ""'Char Def. - Attributes'!C20:C2242""), 1,false)"),"PLANT_BUY")</f>
        <v>PLANT_BUY</v>
      </c>
      <c r="I38" s="136"/>
    </row>
    <row r="39" ht="15.75" customHeight="1">
      <c r="A39" s="59"/>
      <c r="B39" s="63">
        <f t="shared" si="1"/>
        <v>18</v>
      </c>
      <c r="C39" s="135" t="s">
        <v>206</v>
      </c>
      <c r="D39" s="134" t="s">
        <v>74</v>
      </c>
      <c r="E39" s="135">
        <f t="shared" si="2"/>
        <v>1</v>
      </c>
      <c r="F39" s="134" t="s">
        <v>3588</v>
      </c>
      <c r="G39" s="63" t="str">
        <f>VLOOKUP(C39, 'Class Def. - General Data'!$C$20:$C$1000,1,false)</f>
        <v>ZBM1_ACCATAPGLOSSY</v>
      </c>
      <c r="H39" s="63" t="str">
        <f>IFERROR(__xludf.DUMMYFUNCTION("VLOOKUP(F39, IMPORTRANGE(""https://docs.google.com/spreadsheets/d/1Lhp9OU0JdFf_VYSMzH5lBcEaU4o8teT1piV-SNzShjg/edit?gid=554141278#gid=554141278"", ""'Char Def. - Attributes'!C20:C2242""), 1,false)"),"BM_TYPE")</f>
        <v>BM_TYPE</v>
      </c>
      <c r="I39" s="136"/>
    </row>
    <row r="40" ht="15.75" customHeight="1">
      <c r="A40" s="59"/>
      <c r="B40" s="63">
        <f t="shared" si="1"/>
        <v>18</v>
      </c>
      <c r="C40" s="135" t="s">
        <v>206</v>
      </c>
      <c r="D40" s="134" t="s">
        <v>74</v>
      </c>
      <c r="E40" s="135">
        <f t="shared" si="2"/>
        <v>2</v>
      </c>
      <c r="F40" s="134" t="s">
        <v>3589</v>
      </c>
      <c r="G40" s="63" t="str">
        <f>VLOOKUP(C40, 'Class Def. - General Data'!$C$20:$C$1000,1,false)</f>
        <v>ZBM1_ACCATAPGLOSSY</v>
      </c>
      <c r="H40" s="63" t="str">
        <f>IFERROR(__xludf.DUMMYFUNCTION("VLOOKUP(F40, IMPORTRANGE(""https://docs.google.com/spreadsheets/d/1Lhp9OU0JdFf_VYSMzH5lBcEaU4o8teT1piV-SNzShjg/edit?gid=554141278#gid=554141278"", ""'Char Def. - Attributes'!C20:C2242""), 1,false)"),"BM_BRAND")</f>
        <v>BM_BRAND</v>
      </c>
      <c r="I40" s="136"/>
    </row>
    <row r="41" ht="15.75" customHeight="1">
      <c r="A41" s="59"/>
      <c r="B41" s="63">
        <f t="shared" si="1"/>
        <v>18</v>
      </c>
      <c r="C41" s="135" t="s">
        <v>206</v>
      </c>
      <c r="D41" s="134" t="s">
        <v>74</v>
      </c>
      <c r="E41" s="135">
        <f t="shared" si="2"/>
        <v>3</v>
      </c>
      <c r="F41" s="134" t="s">
        <v>3590</v>
      </c>
      <c r="G41" s="63" t="str">
        <f>VLOOKUP(C41, 'Class Def. - General Data'!$C$20:$C$1000,1,false)</f>
        <v>ZBM1_ACCATAPGLOSSY</v>
      </c>
      <c r="H41" s="63" t="str">
        <f>IFERROR(__xludf.DUMMYFUNCTION("VLOOKUP(F41, IMPORTRANGE(""https://docs.google.com/spreadsheets/d/1Lhp9OU0JdFf_VYSMzH5lBcEaU4o8teT1piV-SNzShjg/edit?gid=554141278#gid=554141278"", ""'Char Def. - Attributes'!C20:C2242""), 1,false)"),"BM_VARIAN")</f>
        <v>BM_VARIAN</v>
      </c>
      <c r="I41" s="136"/>
    </row>
    <row r="42" ht="15.75" customHeight="1">
      <c r="A42" s="59"/>
      <c r="B42" s="63">
        <f t="shared" si="1"/>
        <v>18</v>
      </c>
      <c r="C42" s="135" t="s">
        <v>206</v>
      </c>
      <c r="D42" s="134" t="s">
        <v>74</v>
      </c>
      <c r="E42" s="135">
        <f t="shared" si="2"/>
        <v>4</v>
      </c>
      <c r="F42" s="134" t="s">
        <v>3591</v>
      </c>
      <c r="G42" s="63" t="str">
        <f>VLOOKUP(C42, 'Class Def. - General Data'!$C$20:$C$1000,1,false)</f>
        <v>ZBM1_ACCATAPGLOSSY</v>
      </c>
      <c r="H42" s="63" t="str">
        <f>IFERROR(__xludf.DUMMYFUNCTION("VLOOKUP(F42, IMPORTRANGE(""https://docs.google.com/spreadsheets/d/1Lhp9OU0JdFf_VYSMzH5lBcEaU4o8teT1piV-SNzShjg/edit?gid=554141278#gid=554141278"", ""'Char Def. - Attributes'!C20:C2242""), 1,false)"),"BM_COLOR")</f>
        <v>BM_COLOR</v>
      </c>
      <c r="I42" s="136"/>
    </row>
    <row r="43" ht="15.75" customHeight="1">
      <c r="A43" s="59"/>
      <c r="B43" s="63">
        <f t="shared" si="1"/>
        <v>18</v>
      </c>
      <c r="C43" s="135" t="s">
        <v>206</v>
      </c>
      <c r="D43" s="134" t="s">
        <v>74</v>
      </c>
      <c r="E43" s="135">
        <f t="shared" si="2"/>
        <v>5</v>
      </c>
      <c r="F43" s="134" t="s">
        <v>3592</v>
      </c>
      <c r="G43" s="63" t="str">
        <f>VLOOKUP(C43, 'Class Def. - General Data'!$C$20:$C$1000,1,false)</f>
        <v>ZBM1_ACCATAPGLOSSY</v>
      </c>
      <c r="H43" s="63" t="str">
        <f>IFERROR(__xludf.DUMMYFUNCTION("VLOOKUP(F43, IMPORTRANGE(""https://docs.google.com/spreadsheets/d/1Lhp9OU0JdFf_VYSMzH5lBcEaU4o8teT1piV-SNzShjg/edit?gid=554141278#gid=554141278"", ""'Char Def. - Attributes'!C20:C2242""), 1,false)"),"BM_SIZE")</f>
        <v>BM_SIZE</v>
      </c>
      <c r="I43" s="136"/>
    </row>
    <row r="44" ht="15.75" customHeight="1">
      <c r="A44" s="59"/>
      <c r="B44" s="63">
        <f t="shared" si="1"/>
        <v>18</v>
      </c>
      <c r="C44" s="135" t="s">
        <v>206</v>
      </c>
      <c r="D44" s="134" t="s">
        <v>74</v>
      </c>
      <c r="E44" s="135">
        <f t="shared" si="2"/>
        <v>6</v>
      </c>
      <c r="F44" s="134" t="s">
        <v>3593</v>
      </c>
      <c r="G44" s="63" t="str">
        <f>VLOOKUP(C44, 'Class Def. - General Data'!$C$20:$C$1000,1,false)</f>
        <v>ZBM1_ACCATAPGLOSSY</v>
      </c>
      <c r="H44" s="63" t="str">
        <f>IFERROR(__xludf.DUMMYFUNCTION("VLOOKUP(F44, IMPORTRANGE(""https://docs.google.com/spreadsheets/d/1Lhp9OU0JdFf_VYSMzH5lBcEaU4o8teT1piV-SNzShjg/edit?gid=554141278#gid=554141278"", ""'Char Def. - Attributes'!C20:C2242""), 1,false)"),"BM_GRADE")</f>
        <v>BM_GRADE</v>
      </c>
      <c r="I44" s="136"/>
    </row>
    <row r="45" ht="15.75" customHeight="1">
      <c r="A45" s="59"/>
      <c r="B45" s="63">
        <f t="shared" si="1"/>
        <v>18</v>
      </c>
      <c r="C45" s="135" t="s">
        <v>206</v>
      </c>
      <c r="D45" s="134" t="s">
        <v>74</v>
      </c>
      <c r="E45" s="135">
        <f t="shared" si="2"/>
        <v>7</v>
      </c>
      <c r="F45" s="134" t="s">
        <v>3594</v>
      </c>
      <c r="G45" s="63" t="str">
        <f>VLOOKUP(C45, 'Class Def. - General Data'!$C$20:$C$1000,1,false)</f>
        <v>ZBM1_ACCATAPGLOSSY</v>
      </c>
      <c r="H45" s="63" t="str">
        <f>IFERROR(__xludf.DUMMYFUNCTION("VLOOKUP(F45, IMPORTRANGE(""https://docs.google.com/spreadsheets/d/1Lhp9OU0JdFf_VYSMzH5lBcEaU4o8teT1piV-SNzShjg/edit?gid=554141278#gid=554141278"", ""'Char Def. - Attributes'!C20:C2242""), 1,false)"),"BM_MANUFACTURE")</f>
        <v>BM_MANUFACTURE</v>
      </c>
      <c r="I45" s="136"/>
    </row>
    <row r="46" ht="15.75" customHeight="1">
      <c r="A46" s="59"/>
      <c r="B46" s="63">
        <f t="shared" si="1"/>
        <v>18</v>
      </c>
      <c r="C46" s="135" t="s">
        <v>206</v>
      </c>
      <c r="D46" s="134" t="s">
        <v>74</v>
      </c>
      <c r="E46" s="135">
        <f t="shared" si="2"/>
        <v>8</v>
      </c>
      <c r="F46" s="134" t="s">
        <v>3582</v>
      </c>
      <c r="G46" s="63" t="str">
        <f>VLOOKUP(C46, 'Class Def. - General Data'!$C$20:$C$1000,1,false)</f>
        <v>ZBM1_ACCATAPGLOSSY</v>
      </c>
      <c r="H46" s="63" t="str">
        <f>IFERROR(__xludf.DUMMYFUNCTION("VLOOKUP(F46, IMPORTRANGE(""https://docs.google.com/spreadsheets/d/1Lhp9OU0JdFf_VYSMzH5lBcEaU4o8teT1piV-SNzShjg/edit?gid=554141278#gid=554141278"", ""'Char Def. - Attributes'!C20:C2242""), 1,false)"),"BASE_UNIT")</f>
        <v>BASE_UNIT</v>
      </c>
      <c r="I46" s="136"/>
    </row>
    <row r="47" ht="15.75" customHeight="1">
      <c r="A47" s="59"/>
      <c r="B47" s="63">
        <f t="shared" si="1"/>
        <v>18</v>
      </c>
      <c r="C47" s="135" t="s">
        <v>206</v>
      </c>
      <c r="D47" s="134" t="s">
        <v>74</v>
      </c>
      <c r="E47" s="135">
        <f t="shared" si="2"/>
        <v>9</v>
      </c>
      <c r="F47" s="134" t="s">
        <v>3583</v>
      </c>
      <c r="G47" s="63" t="str">
        <f>VLOOKUP(C47, 'Class Def. - General Data'!$C$20:$C$1000,1,false)</f>
        <v>ZBM1_ACCATAPGLOSSY</v>
      </c>
      <c r="H47" s="63" t="str">
        <f>IFERROR(__xludf.DUMMYFUNCTION("VLOOKUP(F47, IMPORTRANGE(""https://docs.google.com/spreadsheets/d/1Lhp9OU0JdFf_VYSMzH5lBcEaU4o8teT1piV-SNzShjg/edit?gid=554141278#gid=554141278"", ""'Char Def. - Attributes'!C20:C2242""), 1,false)"),"SALES_UNIT")</f>
        <v>SALES_UNIT</v>
      </c>
      <c r="I47" s="136"/>
    </row>
    <row r="48" ht="15.75" customHeight="1">
      <c r="A48" s="59"/>
      <c r="B48" s="63">
        <f t="shared" si="1"/>
        <v>18</v>
      </c>
      <c r="C48" s="135" t="s">
        <v>206</v>
      </c>
      <c r="D48" s="134" t="s">
        <v>74</v>
      </c>
      <c r="E48" s="135">
        <f t="shared" si="2"/>
        <v>10</v>
      </c>
      <c r="F48" s="134" t="s">
        <v>3595</v>
      </c>
      <c r="G48" s="63" t="str">
        <f>VLOOKUP(C48, 'Class Def. - General Data'!$C$20:$C$1000,1,false)</f>
        <v>ZBM1_ACCATAPGLOSSY</v>
      </c>
      <c r="H48" s="63" t="str">
        <f>IFERROR(__xludf.DUMMYFUNCTION("VLOOKUP(F48, IMPORTRANGE(""https://docs.google.com/spreadsheets/d/1Lhp9OU0JdFf_VYSMzH5lBcEaU4o8teT1piV-SNzShjg/edit?gid=554141278#gid=554141278"", ""'Char Def. - Attributes'!C20:C2242""), 1,false)"),"UOM1")</f>
        <v>UOM1</v>
      </c>
      <c r="I48" s="136"/>
    </row>
    <row r="49" ht="15.75" customHeight="1">
      <c r="A49" s="59"/>
      <c r="B49" s="63">
        <f t="shared" si="1"/>
        <v>18</v>
      </c>
      <c r="C49" s="135" t="s">
        <v>206</v>
      </c>
      <c r="D49" s="134" t="s">
        <v>74</v>
      </c>
      <c r="E49" s="135">
        <f t="shared" si="2"/>
        <v>11</v>
      </c>
      <c r="F49" s="134" t="s">
        <v>3596</v>
      </c>
      <c r="G49" s="63" t="str">
        <f>VLOOKUP(C49, 'Class Def. - General Data'!$C$20:$C$1000,1,false)</f>
        <v>ZBM1_ACCATAPGLOSSY</v>
      </c>
      <c r="H49" s="63" t="str">
        <f>IFERROR(__xludf.DUMMYFUNCTION("VLOOKUP(F49, IMPORTRANGE(""https://docs.google.com/spreadsheets/d/1Lhp9OU0JdFf_VYSMzH5lBcEaU4o8teT1piV-SNzShjg/edit?gid=554141278#gid=554141278"", ""'Char Def. - Attributes'!C20:C2242""), 1,false)"),"CONV1")</f>
        <v>CONV1</v>
      </c>
      <c r="I49" s="136"/>
    </row>
    <row r="50" ht="15.75" customHeight="1">
      <c r="A50" s="59"/>
      <c r="B50" s="63">
        <f t="shared" si="1"/>
        <v>18</v>
      </c>
      <c r="C50" s="135" t="s">
        <v>206</v>
      </c>
      <c r="D50" s="134" t="s">
        <v>74</v>
      </c>
      <c r="E50" s="135">
        <f t="shared" si="2"/>
        <v>12</v>
      </c>
      <c r="F50" s="134" t="s">
        <v>3597</v>
      </c>
      <c r="G50" s="63" t="str">
        <f>VLOOKUP(C50, 'Class Def. - General Data'!$C$20:$C$1000,1,false)</f>
        <v>ZBM1_ACCATAPGLOSSY</v>
      </c>
      <c r="H50" s="63" t="str">
        <f>IFERROR(__xludf.DUMMYFUNCTION("VLOOKUP(F50, IMPORTRANGE(""https://docs.google.com/spreadsheets/d/1Lhp9OU0JdFf_VYSMzH5lBcEaU4o8teT1piV-SNzShjg/edit?gid=554141278#gid=554141278"", ""'Char Def. - Attributes'!C20:C2242""), 1,false)"),"UOM2")</f>
        <v>UOM2</v>
      </c>
      <c r="I50" s="136"/>
    </row>
    <row r="51" ht="15.75" customHeight="1">
      <c r="A51" s="59"/>
      <c r="B51" s="63">
        <f t="shared" si="1"/>
        <v>18</v>
      </c>
      <c r="C51" s="135" t="s">
        <v>206</v>
      </c>
      <c r="D51" s="134" t="s">
        <v>74</v>
      </c>
      <c r="E51" s="135">
        <f t="shared" si="2"/>
        <v>13</v>
      </c>
      <c r="F51" s="134" t="s">
        <v>3598</v>
      </c>
      <c r="G51" s="63" t="str">
        <f>VLOOKUP(C51, 'Class Def. - General Data'!$C$20:$C$1000,1,false)</f>
        <v>ZBM1_ACCATAPGLOSSY</v>
      </c>
      <c r="H51" s="63" t="str">
        <f>IFERROR(__xludf.DUMMYFUNCTION("VLOOKUP(F51, IMPORTRANGE(""https://docs.google.com/spreadsheets/d/1Lhp9OU0JdFf_VYSMzH5lBcEaU4o8teT1piV-SNzShjg/edit?gid=554141278#gid=554141278"", ""'Char Def. - Attributes'!C20:C2242""), 1,false)"),"CONV2")</f>
        <v>CONV2</v>
      </c>
      <c r="I51" s="136"/>
    </row>
    <row r="52" ht="15.75" customHeight="1">
      <c r="A52" s="59"/>
      <c r="B52" s="63">
        <f t="shared" si="1"/>
        <v>18</v>
      </c>
      <c r="C52" s="135" t="s">
        <v>206</v>
      </c>
      <c r="D52" s="134" t="s">
        <v>74</v>
      </c>
      <c r="E52" s="135">
        <f t="shared" si="2"/>
        <v>14</v>
      </c>
      <c r="F52" s="134" t="s">
        <v>3599</v>
      </c>
      <c r="G52" s="63" t="str">
        <f>VLOOKUP(C52, 'Class Def. - General Data'!$C$20:$C$1000,1,false)</f>
        <v>ZBM1_ACCATAPGLOSSY</v>
      </c>
      <c r="H52" s="63" t="str">
        <f>IFERROR(__xludf.DUMMYFUNCTION("VLOOKUP(F52, IMPORTRANGE(""https://docs.google.com/spreadsheets/d/1Lhp9OU0JdFf_VYSMzH5lBcEaU4o8teT1piV-SNzShjg/edit?gid=554141278#gid=554141278"", ""'Char Def. - Attributes'!C20:C2242""), 1,false)"),"UOM3")</f>
        <v>UOM3</v>
      </c>
      <c r="I52" s="136"/>
    </row>
    <row r="53" ht="15.75" customHeight="1">
      <c r="A53" s="59"/>
      <c r="B53" s="63">
        <f t="shared" si="1"/>
        <v>18</v>
      </c>
      <c r="C53" s="135" t="s">
        <v>206</v>
      </c>
      <c r="D53" s="134" t="s">
        <v>74</v>
      </c>
      <c r="E53" s="135">
        <f t="shared" si="2"/>
        <v>15</v>
      </c>
      <c r="F53" s="134" t="s">
        <v>3600</v>
      </c>
      <c r="G53" s="63" t="str">
        <f>VLOOKUP(C53, 'Class Def. - General Data'!$C$20:$C$1000,1,false)</f>
        <v>ZBM1_ACCATAPGLOSSY</v>
      </c>
      <c r="H53" s="63" t="str">
        <f>IFERROR(__xludf.DUMMYFUNCTION("VLOOKUP(F53, IMPORTRANGE(""https://docs.google.com/spreadsheets/d/1Lhp9OU0JdFf_VYSMzH5lBcEaU4o8teT1piV-SNzShjg/edit?gid=554141278#gid=554141278"", ""'Char Def. - Attributes'!C20:C2242""), 1,false)"),"CONV3")</f>
        <v>CONV3</v>
      </c>
      <c r="I53" s="136"/>
    </row>
    <row r="54" ht="15.75" customHeight="1">
      <c r="A54" s="59"/>
      <c r="B54" s="63">
        <f t="shared" si="1"/>
        <v>18</v>
      </c>
      <c r="C54" s="135" t="s">
        <v>206</v>
      </c>
      <c r="D54" s="134" t="s">
        <v>74</v>
      </c>
      <c r="E54" s="135">
        <f t="shared" si="2"/>
        <v>16</v>
      </c>
      <c r="F54" s="134" t="s">
        <v>3601</v>
      </c>
      <c r="G54" s="63" t="str">
        <f>VLOOKUP(C54, 'Class Def. - General Data'!$C$20:$C$1000,1,false)</f>
        <v>ZBM1_ACCATAPGLOSSY</v>
      </c>
      <c r="H54" s="63" t="str">
        <f>IFERROR(__xludf.DUMMYFUNCTION("VLOOKUP(F54, IMPORTRANGE(""https://docs.google.com/spreadsheets/d/1Lhp9OU0JdFf_VYSMzH5lBcEaU4o8teT1piV-SNzShjg/edit?gid=554141278#gid=554141278"", ""'Char Def. - Attributes'!C20:C2242""), 1,false)"),"GROSS_WEIGHT")</f>
        <v>GROSS_WEIGHT</v>
      </c>
      <c r="I54" s="136"/>
    </row>
    <row r="55" ht="15.75" customHeight="1">
      <c r="A55" s="59"/>
      <c r="B55" s="63">
        <f t="shared" si="1"/>
        <v>18</v>
      </c>
      <c r="C55" s="135" t="s">
        <v>206</v>
      </c>
      <c r="D55" s="134" t="s">
        <v>74</v>
      </c>
      <c r="E55" s="135">
        <f t="shared" si="2"/>
        <v>17</v>
      </c>
      <c r="F55" s="134" t="s">
        <v>3602</v>
      </c>
      <c r="G55" s="63" t="str">
        <f>VLOOKUP(C55, 'Class Def. - General Data'!$C$20:$C$1000,1,false)</f>
        <v>ZBM1_ACCATAPGLOSSY</v>
      </c>
      <c r="H55" s="63" t="str">
        <f>IFERROR(__xludf.DUMMYFUNCTION("VLOOKUP(F55, IMPORTRANGE(""https://docs.google.com/spreadsheets/d/1Lhp9OU0JdFf_VYSMzH5lBcEaU4o8teT1piV-SNzShjg/edit?gid=554141278#gid=554141278"", ""'Char Def. - Attributes'!C20:C2242""), 1,false)"),"NET_WEIGHT")</f>
        <v>NET_WEIGHT</v>
      </c>
      <c r="I55" s="136"/>
    </row>
    <row r="56" ht="15.75" customHeight="1">
      <c r="A56" s="59"/>
      <c r="B56" s="63">
        <f t="shared" si="1"/>
        <v>18</v>
      </c>
      <c r="C56" s="135" t="s">
        <v>206</v>
      </c>
      <c r="D56" s="134" t="s">
        <v>74</v>
      </c>
      <c r="E56" s="135">
        <f t="shared" si="2"/>
        <v>18</v>
      </c>
      <c r="F56" s="134" t="s">
        <v>3603</v>
      </c>
      <c r="G56" s="63" t="str">
        <f>VLOOKUP(C56, 'Class Def. - General Data'!$C$20:$C$1000,1,false)</f>
        <v>ZBM1_ACCATAPGLOSSY</v>
      </c>
      <c r="H56" s="63" t="str">
        <f>IFERROR(__xludf.DUMMYFUNCTION("VLOOKUP(F56, IMPORTRANGE(""https://docs.google.com/spreadsheets/d/1Lhp9OU0JdFf_VYSMzH5lBcEaU4o8teT1piV-SNzShjg/edit?gid=554141278#gid=554141278"", ""'Char Def. - Attributes'!C20:C2242""), 1,false)"),"VOLUME")</f>
        <v>VOLUME</v>
      </c>
      <c r="I56" s="136"/>
    </row>
    <row r="57" ht="15.75" customHeight="1">
      <c r="A57" s="59"/>
      <c r="B57" s="63">
        <f t="shared" si="1"/>
        <v>18</v>
      </c>
      <c r="C57" s="135" t="s">
        <v>206</v>
      </c>
      <c r="D57" s="134" t="s">
        <v>74</v>
      </c>
      <c r="E57" s="135">
        <f t="shared" si="2"/>
        <v>19</v>
      </c>
      <c r="F57" s="134" t="s">
        <v>3585</v>
      </c>
      <c r="G57" s="63" t="str">
        <f>VLOOKUP(C57, 'Class Def. - General Data'!$C$20:$C$1000,1,false)</f>
        <v>ZBM1_ACCATAPGLOSSY</v>
      </c>
      <c r="H57" s="63" t="str">
        <f>IFERROR(__xludf.DUMMYFUNCTION("VLOOKUP(F57, IMPORTRANGE(""https://docs.google.com/spreadsheets/d/1Lhp9OU0JdFf_VYSMzH5lBcEaU4o8teT1piV-SNzShjg/edit?gid=554141278#gid=554141278"", ""'Char Def. - Attributes'!C20:C2242""), 1,false)"),"HS_CODE")</f>
        <v>HS_CODE</v>
      </c>
      <c r="I57" s="136"/>
    </row>
    <row r="58" ht="15.75" customHeight="1">
      <c r="A58" s="59"/>
      <c r="B58" s="63">
        <f t="shared" si="1"/>
        <v>18</v>
      </c>
      <c r="C58" s="135" t="s">
        <v>206</v>
      </c>
      <c r="D58" s="134" t="s">
        <v>74</v>
      </c>
      <c r="E58" s="135">
        <f t="shared" si="2"/>
        <v>20</v>
      </c>
      <c r="F58" s="134" t="s">
        <v>3586</v>
      </c>
      <c r="G58" s="63" t="str">
        <f>VLOOKUP(C58, 'Class Def. - General Data'!$C$20:$C$1000,1,false)</f>
        <v>ZBM1_ACCATAPGLOSSY</v>
      </c>
      <c r="H58" s="63" t="str">
        <f>IFERROR(__xludf.DUMMYFUNCTION("VLOOKUP(F58, IMPORTRANGE(""https://docs.google.com/spreadsheets/d/1Lhp9OU0JdFf_VYSMzH5lBcEaU4o8teT1piV-SNzShjg/edit?gid=554141278#gid=554141278"", ""'Char Def. - Attributes'!C20:C2242""), 1,false)"),"PLANT_PROD")</f>
        <v>PLANT_PROD</v>
      </c>
      <c r="I58" s="136"/>
    </row>
    <row r="59" ht="15.75" customHeight="1">
      <c r="A59" s="59"/>
      <c r="B59" s="63">
        <f t="shared" si="1"/>
        <v>18</v>
      </c>
      <c r="C59" s="135" t="s">
        <v>206</v>
      </c>
      <c r="D59" s="134" t="s">
        <v>74</v>
      </c>
      <c r="E59" s="135">
        <f t="shared" si="2"/>
        <v>21</v>
      </c>
      <c r="F59" s="134" t="s">
        <v>3587</v>
      </c>
      <c r="G59" s="63" t="str">
        <f>VLOOKUP(C59, 'Class Def. - General Data'!$C$20:$C$1000,1,false)</f>
        <v>ZBM1_ACCATAPGLOSSY</v>
      </c>
      <c r="H59" s="63" t="str">
        <f>IFERROR(__xludf.DUMMYFUNCTION("VLOOKUP(F59, IMPORTRANGE(""https://docs.google.com/spreadsheets/d/1Lhp9OU0JdFf_VYSMzH5lBcEaU4o8teT1piV-SNzShjg/edit?gid=554141278#gid=554141278"", ""'Char Def. - Attributes'!C20:C2242""), 1,false)"),"PLANT_BUY")</f>
        <v>PLANT_BUY</v>
      </c>
      <c r="I59" s="136"/>
    </row>
    <row r="60" ht="15.75" customHeight="1">
      <c r="A60" s="59"/>
      <c r="B60" s="63">
        <f t="shared" si="1"/>
        <v>17</v>
      </c>
      <c r="C60" s="135" t="s">
        <v>207</v>
      </c>
      <c r="D60" s="134" t="s">
        <v>74</v>
      </c>
      <c r="E60" s="135">
        <f t="shared" si="2"/>
        <v>1</v>
      </c>
      <c r="F60" s="134" t="s">
        <v>3588</v>
      </c>
      <c r="G60" s="63" t="str">
        <f>VLOOKUP(C60, 'Class Def. - General Data'!$C$20:$C$1000,1,false)</f>
        <v>ZBM1_ACCATAPMATTE</v>
      </c>
      <c r="H60" s="63" t="str">
        <f>IFERROR(__xludf.DUMMYFUNCTION("VLOOKUP(F60, IMPORTRANGE(""https://docs.google.com/spreadsheets/d/1Lhp9OU0JdFf_VYSMzH5lBcEaU4o8teT1piV-SNzShjg/edit?gid=554141278#gid=554141278"", ""'Char Def. - Attributes'!C20:C2242""), 1,false)"),"BM_TYPE")</f>
        <v>BM_TYPE</v>
      </c>
      <c r="I60" s="136"/>
    </row>
    <row r="61" ht="15.75" customHeight="1">
      <c r="A61" s="59"/>
      <c r="B61" s="63">
        <f t="shared" si="1"/>
        <v>17</v>
      </c>
      <c r="C61" s="135" t="s">
        <v>207</v>
      </c>
      <c r="D61" s="134" t="s">
        <v>74</v>
      </c>
      <c r="E61" s="135">
        <f t="shared" si="2"/>
        <v>2</v>
      </c>
      <c r="F61" s="134" t="s">
        <v>3589</v>
      </c>
      <c r="G61" s="63" t="str">
        <f>VLOOKUP(C61, 'Class Def. - General Data'!$C$20:$C$1000,1,false)</f>
        <v>ZBM1_ACCATAPMATTE</v>
      </c>
      <c r="H61" s="63" t="str">
        <f>IFERROR(__xludf.DUMMYFUNCTION("VLOOKUP(F61, IMPORTRANGE(""https://docs.google.com/spreadsheets/d/1Lhp9OU0JdFf_VYSMzH5lBcEaU4o8teT1piV-SNzShjg/edit?gid=554141278#gid=554141278"", ""'Char Def. - Attributes'!C20:C2242""), 1,false)"),"BM_BRAND")</f>
        <v>BM_BRAND</v>
      </c>
      <c r="I61" s="136"/>
    </row>
    <row r="62" ht="15.75" customHeight="1">
      <c r="A62" s="59"/>
      <c r="B62" s="63">
        <f t="shared" si="1"/>
        <v>17</v>
      </c>
      <c r="C62" s="135" t="s">
        <v>207</v>
      </c>
      <c r="D62" s="134" t="s">
        <v>74</v>
      </c>
      <c r="E62" s="135">
        <f t="shared" si="2"/>
        <v>3</v>
      </c>
      <c r="F62" s="134" t="s">
        <v>3590</v>
      </c>
      <c r="G62" s="63" t="str">
        <f>VLOOKUP(C62, 'Class Def. - General Data'!$C$20:$C$1000,1,false)</f>
        <v>ZBM1_ACCATAPMATTE</v>
      </c>
      <c r="H62" s="63" t="str">
        <f>IFERROR(__xludf.DUMMYFUNCTION("VLOOKUP(F62, IMPORTRANGE(""https://docs.google.com/spreadsheets/d/1Lhp9OU0JdFf_VYSMzH5lBcEaU4o8teT1piV-SNzShjg/edit?gid=554141278#gid=554141278"", ""'Char Def. - Attributes'!C20:C2242""), 1,false)"),"BM_VARIAN")</f>
        <v>BM_VARIAN</v>
      </c>
      <c r="I62" s="136"/>
    </row>
    <row r="63" ht="15.75" customHeight="1">
      <c r="A63" s="59"/>
      <c r="B63" s="63">
        <f t="shared" si="1"/>
        <v>17</v>
      </c>
      <c r="C63" s="135" t="s">
        <v>207</v>
      </c>
      <c r="D63" s="134" t="s">
        <v>74</v>
      </c>
      <c r="E63" s="135">
        <f t="shared" si="2"/>
        <v>4</v>
      </c>
      <c r="F63" s="134" t="s">
        <v>3591</v>
      </c>
      <c r="G63" s="63" t="str">
        <f>VLOOKUP(C63, 'Class Def. - General Data'!$C$20:$C$1000,1,false)</f>
        <v>ZBM1_ACCATAPMATTE</v>
      </c>
      <c r="H63" s="63" t="str">
        <f>IFERROR(__xludf.DUMMYFUNCTION("VLOOKUP(F63, IMPORTRANGE(""https://docs.google.com/spreadsheets/d/1Lhp9OU0JdFf_VYSMzH5lBcEaU4o8teT1piV-SNzShjg/edit?gid=554141278#gid=554141278"", ""'Char Def. - Attributes'!C20:C2242""), 1,false)"),"BM_COLOR")</f>
        <v>BM_COLOR</v>
      </c>
      <c r="I63" s="136"/>
    </row>
    <row r="64" ht="15.75" customHeight="1">
      <c r="A64" s="59"/>
      <c r="B64" s="63">
        <f t="shared" si="1"/>
        <v>17</v>
      </c>
      <c r="C64" s="135" t="s">
        <v>207</v>
      </c>
      <c r="D64" s="134" t="s">
        <v>74</v>
      </c>
      <c r="E64" s="135">
        <f t="shared" si="2"/>
        <v>5</v>
      </c>
      <c r="F64" s="134" t="s">
        <v>3592</v>
      </c>
      <c r="G64" s="63" t="str">
        <f>VLOOKUP(C64, 'Class Def. - General Data'!$C$20:$C$1000,1,false)</f>
        <v>ZBM1_ACCATAPMATTE</v>
      </c>
      <c r="H64" s="63" t="str">
        <f>IFERROR(__xludf.DUMMYFUNCTION("VLOOKUP(F64, IMPORTRANGE(""https://docs.google.com/spreadsheets/d/1Lhp9OU0JdFf_VYSMzH5lBcEaU4o8teT1piV-SNzShjg/edit?gid=554141278#gid=554141278"", ""'Char Def. - Attributes'!C20:C2242""), 1,false)"),"BM_SIZE")</f>
        <v>BM_SIZE</v>
      </c>
      <c r="I64" s="136"/>
    </row>
    <row r="65" ht="15.75" customHeight="1">
      <c r="A65" s="59"/>
      <c r="B65" s="63">
        <f t="shared" si="1"/>
        <v>17</v>
      </c>
      <c r="C65" s="135" t="s">
        <v>207</v>
      </c>
      <c r="D65" s="134" t="s">
        <v>74</v>
      </c>
      <c r="E65" s="135">
        <f t="shared" si="2"/>
        <v>6</v>
      </c>
      <c r="F65" s="134" t="s">
        <v>3593</v>
      </c>
      <c r="G65" s="63" t="str">
        <f>VLOOKUP(C65, 'Class Def. - General Data'!$C$20:$C$1000,1,false)</f>
        <v>ZBM1_ACCATAPMATTE</v>
      </c>
      <c r="H65" s="63" t="str">
        <f>IFERROR(__xludf.DUMMYFUNCTION("VLOOKUP(F65, IMPORTRANGE(""https://docs.google.com/spreadsheets/d/1Lhp9OU0JdFf_VYSMzH5lBcEaU4o8teT1piV-SNzShjg/edit?gid=554141278#gid=554141278"", ""'Char Def. - Attributes'!C20:C2242""), 1,false)"),"BM_GRADE")</f>
        <v>BM_GRADE</v>
      </c>
      <c r="I65" s="136"/>
    </row>
    <row r="66" ht="15.75" customHeight="1">
      <c r="A66" s="59"/>
      <c r="B66" s="63">
        <f t="shared" si="1"/>
        <v>17</v>
      </c>
      <c r="C66" s="135" t="s">
        <v>207</v>
      </c>
      <c r="D66" s="134" t="s">
        <v>74</v>
      </c>
      <c r="E66" s="135">
        <f t="shared" si="2"/>
        <v>7</v>
      </c>
      <c r="F66" s="134" t="s">
        <v>3594</v>
      </c>
      <c r="G66" s="63" t="str">
        <f>VLOOKUP(C66, 'Class Def. - General Data'!$C$20:$C$1000,1,false)</f>
        <v>ZBM1_ACCATAPMATTE</v>
      </c>
      <c r="H66" s="63" t="str">
        <f>IFERROR(__xludf.DUMMYFUNCTION("VLOOKUP(F66, IMPORTRANGE(""https://docs.google.com/spreadsheets/d/1Lhp9OU0JdFf_VYSMzH5lBcEaU4o8teT1piV-SNzShjg/edit?gid=554141278#gid=554141278"", ""'Char Def. - Attributes'!C20:C2242""), 1,false)"),"BM_MANUFACTURE")</f>
        <v>BM_MANUFACTURE</v>
      </c>
      <c r="I66" s="136"/>
    </row>
    <row r="67" ht="15.75" customHeight="1">
      <c r="A67" s="59"/>
      <c r="B67" s="63">
        <f t="shared" si="1"/>
        <v>17</v>
      </c>
      <c r="C67" s="135" t="s">
        <v>207</v>
      </c>
      <c r="D67" s="134" t="s">
        <v>74</v>
      </c>
      <c r="E67" s="135">
        <f t="shared" si="2"/>
        <v>8</v>
      </c>
      <c r="F67" s="134" t="s">
        <v>3582</v>
      </c>
      <c r="G67" s="63" t="str">
        <f>VLOOKUP(C67, 'Class Def. - General Data'!$C$20:$C$1000,1,false)</f>
        <v>ZBM1_ACCATAPMATTE</v>
      </c>
      <c r="H67" s="63" t="str">
        <f>IFERROR(__xludf.DUMMYFUNCTION("VLOOKUP(F67, IMPORTRANGE(""https://docs.google.com/spreadsheets/d/1Lhp9OU0JdFf_VYSMzH5lBcEaU4o8teT1piV-SNzShjg/edit?gid=554141278#gid=554141278"", ""'Char Def. - Attributes'!C20:C2242""), 1,false)"),"BASE_UNIT")</f>
        <v>BASE_UNIT</v>
      </c>
      <c r="I67" s="136"/>
    </row>
    <row r="68" ht="15.75" customHeight="1">
      <c r="A68" s="59"/>
      <c r="B68" s="63">
        <f t="shared" si="1"/>
        <v>17</v>
      </c>
      <c r="C68" s="135" t="s">
        <v>207</v>
      </c>
      <c r="D68" s="134" t="s">
        <v>74</v>
      </c>
      <c r="E68" s="135">
        <f t="shared" si="2"/>
        <v>9</v>
      </c>
      <c r="F68" s="134" t="s">
        <v>3583</v>
      </c>
      <c r="G68" s="63" t="str">
        <f>VLOOKUP(C68, 'Class Def. - General Data'!$C$20:$C$1000,1,false)</f>
        <v>ZBM1_ACCATAPMATTE</v>
      </c>
      <c r="H68" s="63" t="str">
        <f>IFERROR(__xludf.DUMMYFUNCTION("VLOOKUP(F68, IMPORTRANGE(""https://docs.google.com/spreadsheets/d/1Lhp9OU0JdFf_VYSMzH5lBcEaU4o8teT1piV-SNzShjg/edit?gid=554141278#gid=554141278"", ""'Char Def. - Attributes'!C20:C2242""), 1,false)"),"SALES_UNIT")</f>
        <v>SALES_UNIT</v>
      </c>
      <c r="I68" s="136"/>
    </row>
    <row r="69" ht="15.75" customHeight="1">
      <c r="A69" s="59"/>
      <c r="B69" s="63">
        <f t="shared" si="1"/>
        <v>17</v>
      </c>
      <c r="C69" s="135" t="s">
        <v>207</v>
      </c>
      <c r="D69" s="134" t="s">
        <v>74</v>
      </c>
      <c r="E69" s="135">
        <f t="shared" si="2"/>
        <v>10</v>
      </c>
      <c r="F69" s="134" t="s">
        <v>3595</v>
      </c>
      <c r="G69" s="63" t="str">
        <f>VLOOKUP(C69, 'Class Def. - General Data'!$C$20:$C$1000,1,false)</f>
        <v>ZBM1_ACCATAPMATTE</v>
      </c>
      <c r="H69" s="63" t="str">
        <f>IFERROR(__xludf.DUMMYFUNCTION("VLOOKUP(F69, IMPORTRANGE(""https://docs.google.com/spreadsheets/d/1Lhp9OU0JdFf_VYSMzH5lBcEaU4o8teT1piV-SNzShjg/edit?gid=554141278#gid=554141278"", ""'Char Def. - Attributes'!C20:C2242""), 1,false)"),"UOM1")</f>
        <v>UOM1</v>
      </c>
      <c r="I69" s="136"/>
    </row>
    <row r="70" ht="15.75" customHeight="1">
      <c r="A70" s="59"/>
      <c r="B70" s="63">
        <f t="shared" si="1"/>
        <v>17</v>
      </c>
      <c r="C70" s="135" t="s">
        <v>207</v>
      </c>
      <c r="D70" s="134" t="s">
        <v>74</v>
      </c>
      <c r="E70" s="135">
        <f t="shared" si="2"/>
        <v>11</v>
      </c>
      <c r="F70" s="134" t="s">
        <v>3596</v>
      </c>
      <c r="G70" s="63" t="str">
        <f>VLOOKUP(C70, 'Class Def. - General Data'!$C$20:$C$1000,1,false)</f>
        <v>ZBM1_ACCATAPMATTE</v>
      </c>
      <c r="H70" s="63" t="str">
        <f>IFERROR(__xludf.DUMMYFUNCTION("VLOOKUP(F70, IMPORTRANGE(""https://docs.google.com/spreadsheets/d/1Lhp9OU0JdFf_VYSMzH5lBcEaU4o8teT1piV-SNzShjg/edit?gid=554141278#gid=554141278"", ""'Char Def. - Attributes'!C20:C2242""), 1,false)"),"CONV1")</f>
        <v>CONV1</v>
      </c>
      <c r="I70" s="136"/>
    </row>
    <row r="71" ht="15.75" customHeight="1">
      <c r="A71" s="59"/>
      <c r="B71" s="63">
        <f t="shared" si="1"/>
        <v>17</v>
      </c>
      <c r="C71" s="135" t="s">
        <v>207</v>
      </c>
      <c r="D71" s="134" t="s">
        <v>74</v>
      </c>
      <c r="E71" s="135">
        <f t="shared" si="2"/>
        <v>12</v>
      </c>
      <c r="F71" s="134" t="s">
        <v>3597</v>
      </c>
      <c r="G71" s="63" t="str">
        <f>VLOOKUP(C71, 'Class Def. - General Data'!$C$20:$C$1000,1,false)</f>
        <v>ZBM1_ACCATAPMATTE</v>
      </c>
      <c r="H71" s="63" t="str">
        <f>IFERROR(__xludf.DUMMYFUNCTION("VLOOKUP(F71, IMPORTRANGE(""https://docs.google.com/spreadsheets/d/1Lhp9OU0JdFf_VYSMzH5lBcEaU4o8teT1piV-SNzShjg/edit?gid=554141278#gid=554141278"", ""'Char Def. - Attributes'!C20:C2242""), 1,false)"),"UOM2")</f>
        <v>UOM2</v>
      </c>
      <c r="I71" s="136"/>
    </row>
    <row r="72" ht="15.75" customHeight="1">
      <c r="A72" s="59"/>
      <c r="B72" s="63">
        <f t="shared" si="1"/>
        <v>17</v>
      </c>
      <c r="C72" s="135" t="s">
        <v>207</v>
      </c>
      <c r="D72" s="134" t="s">
        <v>74</v>
      </c>
      <c r="E72" s="135">
        <f t="shared" si="2"/>
        <v>13</v>
      </c>
      <c r="F72" s="134" t="s">
        <v>3598</v>
      </c>
      <c r="G72" s="63" t="str">
        <f>VLOOKUP(C72, 'Class Def. - General Data'!$C$20:$C$1000,1,false)</f>
        <v>ZBM1_ACCATAPMATTE</v>
      </c>
      <c r="H72" s="63" t="str">
        <f>IFERROR(__xludf.DUMMYFUNCTION("VLOOKUP(F72, IMPORTRANGE(""https://docs.google.com/spreadsheets/d/1Lhp9OU0JdFf_VYSMzH5lBcEaU4o8teT1piV-SNzShjg/edit?gid=554141278#gid=554141278"", ""'Char Def. - Attributes'!C20:C2242""), 1,false)"),"CONV2")</f>
        <v>CONV2</v>
      </c>
      <c r="I72" s="136"/>
    </row>
    <row r="73" ht="15.75" customHeight="1">
      <c r="A73" s="59"/>
      <c r="B73" s="63">
        <f t="shared" si="1"/>
        <v>17</v>
      </c>
      <c r="C73" s="135" t="s">
        <v>207</v>
      </c>
      <c r="D73" s="134" t="s">
        <v>74</v>
      </c>
      <c r="E73" s="135">
        <f t="shared" si="2"/>
        <v>14</v>
      </c>
      <c r="F73" s="134" t="s">
        <v>3599</v>
      </c>
      <c r="G73" s="63" t="str">
        <f>VLOOKUP(C73, 'Class Def. - General Data'!$C$20:$C$1000,1,false)</f>
        <v>ZBM1_ACCATAPMATTE</v>
      </c>
      <c r="H73" s="63" t="str">
        <f>IFERROR(__xludf.DUMMYFUNCTION("VLOOKUP(F73, IMPORTRANGE(""https://docs.google.com/spreadsheets/d/1Lhp9OU0JdFf_VYSMzH5lBcEaU4o8teT1piV-SNzShjg/edit?gid=554141278#gid=554141278"", ""'Char Def. - Attributes'!C20:C2242""), 1,false)"),"UOM3")</f>
        <v>UOM3</v>
      </c>
      <c r="I73" s="136"/>
    </row>
    <row r="74" ht="15.75" customHeight="1">
      <c r="A74" s="59"/>
      <c r="B74" s="63">
        <f t="shared" si="1"/>
        <v>17</v>
      </c>
      <c r="C74" s="135" t="s">
        <v>207</v>
      </c>
      <c r="D74" s="134" t="s">
        <v>74</v>
      </c>
      <c r="E74" s="135">
        <f t="shared" si="2"/>
        <v>15</v>
      </c>
      <c r="F74" s="134" t="s">
        <v>3600</v>
      </c>
      <c r="G74" s="63" t="str">
        <f>VLOOKUP(C74, 'Class Def. - General Data'!$C$20:$C$1000,1,false)</f>
        <v>ZBM1_ACCATAPMATTE</v>
      </c>
      <c r="H74" s="63" t="str">
        <f>IFERROR(__xludf.DUMMYFUNCTION("VLOOKUP(F74, IMPORTRANGE(""https://docs.google.com/spreadsheets/d/1Lhp9OU0JdFf_VYSMzH5lBcEaU4o8teT1piV-SNzShjg/edit?gid=554141278#gid=554141278"", ""'Char Def. - Attributes'!C20:C2242""), 1,false)"),"CONV3")</f>
        <v>CONV3</v>
      </c>
      <c r="I74" s="136"/>
    </row>
    <row r="75" ht="15.75" customHeight="1">
      <c r="A75" s="59"/>
      <c r="B75" s="63">
        <f t="shared" si="1"/>
        <v>17</v>
      </c>
      <c r="C75" s="135" t="s">
        <v>207</v>
      </c>
      <c r="D75" s="134" t="s">
        <v>74</v>
      </c>
      <c r="E75" s="135">
        <f t="shared" si="2"/>
        <v>16</v>
      </c>
      <c r="F75" s="134" t="s">
        <v>3601</v>
      </c>
      <c r="G75" s="63" t="str">
        <f>VLOOKUP(C75, 'Class Def. - General Data'!$C$20:$C$1000,1,false)</f>
        <v>ZBM1_ACCATAPMATTE</v>
      </c>
      <c r="H75" s="63" t="str">
        <f>IFERROR(__xludf.DUMMYFUNCTION("VLOOKUP(F75, IMPORTRANGE(""https://docs.google.com/spreadsheets/d/1Lhp9OU0JdFf_VYSMzH5lBcEaU4o8teT1piV-SNzShjg/edit?gid=554141278#gid=554141278"", ""'Char Def. - Attributes'!C20:C2242""), 1,false)"),"GROSS_WEIGHT")</f>
        <v>GROSS_WEIGHT</v>
      </c>
      <c r="I75" s="136"/>
    </row>
    <row r="76" ht="15.75" customHeight="1">
      <c r="A76" s="59"/>
      <c r="B76" s="63">
        <f t="shared" si="1"/>
        <v>17</v>
      </c>
      <c r="C76" s="135" t="s">
        <v>207</v>
      </c>
      <c r="D76" s="134" t="s">
        <v>74</v>
      </c>
      <c r="E76" s="135">
        <f t="shared" si="2"/>
        <v>17</v>
      </c>
      <c r="F76" s="134" t="s">
        <v>3602</v>
      </c>
      <c r="G76" s="63" t="str">
        <f>VLOOKUP(C76, 'Class Def. - General Data'!$C$20:$C$1000,1,false)</f>
        <v>ZBM1_ACCATAPMATTE</v>
      </c>
      <c r="H76" s="63" t="str">
        <f>IFERROR(__xludf.DUMMYFUNCTION("VLOOKUP(F76, IMPORTRANGE(""https://docs.google.com/spreadsheets/d/1Lhp9OU0JdFf_VYSMzH5lBcEaU4o8teT1piV-SNzShjg/edit?gid=554141278#gid=554141278"", ""'Char Def. - Attributes'!C20:C2242""), 1,false)"),"NET_WEIGHT")</f>
        <v>NET_WEIGHT</v>
      </c>
      <c r="I76" s="136"/>
    </row>
    <row r="77" ht="15.75" customHeight="1">
      <c r="A77" s="59"/>
      <c r="B77" s="63">
        <f t="shared" si="1"/>
        <v>17</v>
      </c>
      <c r="C77" s="135" t="s">
        <v>207</v>
      </c>
      <c r="D77" s="134" t="s">
        <v>74</v>
      </c>
      <c r="E77" s="135">
        <f t="shared" si="2"/>
        <v>18</v>
      </c>
      <c r="F77" s="134" t="s">
        <v>3603</v>
      </c>
      <c r="G77" s="63" t="str">
        <f>VLOOKUP(C77, 'Class Def. - General Data'!$C$20:$C$1000,1,false)</f>
        <v>ZBM1_ACCATAPMATTE</v>
      </c>
      <c r="H77" s="63" t="str">
        <f>IFERROR(__xludf.DUMMYFUNCTION("VLOOKUP(F77, IMPORTRANGE(""https://docs.google.com/spreadsheets/d/1Lhp9OU0JdFf_VYSMzH5lBcEaU4o8teT1piV-SNzShjg/edit?gid=554141278#gid=554141278"", ""'Char Def. - Attributes'!C20:C2242""), 1,false)"),"VOLUME")</f>
        <v>VOLUME</v>
      </c>
      <c r="I77" s="136"/>
    </row>
    <row r="78" ht="15.75" customHeight="1">
      <c r="A78" s="59"/>
      <c r="B78" s="63">
        <f t="shared" si="1"/>
        <v>17</v>
      </c>
      <c r="C78" s="135" t="s">
        <v>207</v>
      </c>
      <c r="D78" s="134" t="s">
        <v>74</v>
      </c>
      <c r="E78" s="135">
        <f t="shared" si="2"/>
        <v>19</v>
      </c>
      <c r="F78" s="134" t="s">
        <v>3585</v>
      </c>
      <c r="G78" s="63" t="str">
        <f>VLOOKUP(C78, 'Class Def. - General Data'!$C$20:$C$1000,1,false)</f>
        <v>ZBM1_ACCATAPMATTE</v>
      </c>
      <c r="H78" s="63" t="str">
        <f>IFERROR(__xludf.DUMMYFUNCTION("VLOOKUP(F78, IMPORTRANGE(""https://docs.google.com/spreadsheets/d/1Lhp9OU0JdFf_VYSMzH5lBcEaU4o8teT1piV-SNzShjg/edit?gid=554141278#gid=554141278"", ""'Char Def. - Attributes'!C20:C2242""), 1,false)"),"HS_CODE")</f>
        <v>HS_CODE</v>
      </c>
      <c r="I78" s="136"/>
    </row>
    <row r="79" ht="15.75" customHeight="1">
      <c r="A79" s="59"/>
      <c r="B79" s="63">
        <f t="shared" si="1"/>
        <v>17</v>
      </c>
      <c r="C79" s="135" t="s">
        <v>207</v>
      </c>
      <c r="D79" s="134" t="s">
        <v>74</v>
      </c>
      <c r="E79" s="135">
        <f t="shared" si="2"/>
        <v>20</v>
      </c>
      <c r="F79" s="134" t="s">
        <v>3586</v>
      </c>
      <c r="G79" s="63" t="str">
        <f>VLOOKUP(C79, 'Class Def. - General Data'!$C$20:$C$1000,1,false)</f>
        <v>ZBM1_ACCATAPMATTE</v>
      </c>
      <c r="H79" s="63" t="str">
        <f>IFERROR(__xludf.DUMMYFUNCTION("VLOOKUP(F79, IMPORTRANGE(""https://docs.google.com/spreadsheets/d/1Lhp9OU0JdFf_VYSMzH5lBcEaU4o8teT1piV-SNzShjg/edit?gid=554141278#gid=554141278"", ""'Char Def. - Attributes'!C20:C2242""), 1,false)"),"PLANT_PROD")</f>
        <v>PLANT_PROD</v>
      </c>
      <c r="I79" s="136"/>
    </row>
    <row r="80" ht="15.75" customHeight="1">
      <c r="A80" s="59"/>
      <c r="B80" s="63">
        <f t="shared" si="1"/>
        <v>17</v>
      </c>
      <c r="C80" s="135" t="s">
        <v>207</v>
      </c>
      <c r="D80" s="134" t="s">
        <v>74</v>
      </c>
      <c r="E80" s="135">
        <f t="shared" si="2"/>
        <v>21</v>
      </c>
      <c r="F80" s="134" t="s">
        <v>3587</v>
      </c>
      <c r="G80" s="63" t="str">
        <f>VLOOKUP(C80, 'Class Def. - General Data'!$C$20:$C$1000,1,false)</f>
        <v>ZBM1_ACCATAPMATTE</v>
      </c>
      <c r="H80" s="63" t="str">
        <f>IFERROR(__xludf.DUMMYFUNCTION("VLOOKUP(F80, IMPORTRANGE(""https://docs.google.com/spreadsheets/d/1Lhp9OU0JdFf_VYSMzH5lBcEaU4o8teT1piV-SNzShjg/edit?gid=554141278#gid=554141278"", ""'Char Def. - Attributes'!C20:C2242""), 1,false)"),"PLANT_BUY")</f>
        <v>PLANT_BUY</v>
      </c>
      <c r="I80" s="136"/>
    </row>
    <row r="81" ht="15.75" customHeight="1">
      <c r="A81" s="59"/>
      <c r="B81" s="63">
        <f t="shared" si="1"/>
        <v>18</v>
      </c>
      <c r="C81" s="135" t="s">
        <v>208</v>
      </c>
      <c r="D81" s="134" t="s">
        <v>74</v>
      </c>
      <c r="E81" s="135">
        <f t="shared" si="2"/>
        <v>1</v>
      </c>
      <c r="F81" s="134" t="s">
        <v>3588</v>
      </c>
      <c r="G81" s="63" t="str">
        <f>VLOOKUP(C81, 'Class Def. - General Data'!$C$20:$C$1000,1,false)</f>
        <v>ZBM1_ACCATAPSMALLC</v>
      </c>
      <c r="H81" s="63" t="str">
        <f>IFERROR(__xludf.DUMMYFUNCTION("VLOOKUP(F81, IMPORTRANGE(""https://docs.google.com/spreadsheets/d/1Lhp9OU0JdFf_VYSMzH5lBcEaU4o8teT1piV-SNzShjg/edit?gid=554141278#gid=554141278"", ""'Char Def. - Attributes'!C20:C2242""), 1,false)"),"BM_TYPE")</f>
        <v>BM_TYPE</v>
      </c>
      <c r="I81" s="136"/>
    </row>
    <row r="82" ht="15.75" customHeight="1">
      <c r="A82" s="59"/>
      <c r="B82" s="63">
        <f t="shared" si="1"/>
        <v>18</v>
      </c>
      <c r="C82" s="135" t="s">
        <v>208</v>
      </c>
      <c r="D82" s="134" t="s">
        <v>74</v>
      </c>
      <c r="E82" s="135">
        <f t="shared" si="2"/>
        <v>2</v>
      </c>
      <c r="F82" s="134" t="s">
        <v>3589</v>
      </c>
      <c r="G82" s="63" t="str">
        <f>VLOOKUP(C82, 'Class Def. - General Data'!$C$20:$C$1000,1,false)</f>
        <v>ZBM1_ACCATAPSMALLC</v>
      </c>
      <c r="H82" s="63" t="str">
        <f>IFERROR(__xludf.DUMMYFUNCTION("VLOOKUP(F82, IMPORTRANGE(""https://docs.google.com/spreadsheets/d/1Lhp9OU0JdFf_VYSMzH5lBcEaU4o8teT1piV-SNzShjg/edit?gid=554141278#gid=554141278"", ""'Char Def. - Attributes'!C20:C2242""), 1,false)"),"BM_BRAND")</f>
        <v>BM_BRAND</v>
      </c>
      <c r="I82" s="136"/>
    </row>
    <row r="83" ht="15.75" customHeight="1">
      <c r="A83" s="59"/>
      <c r="B83" s="63">
        <f t="shared" si="1"/>
        <v>18</v>
      </c>
      <c r="C83" s="135" t="s">
        <v>208</v>
      </c>
      <c r="D83" s="134" t="s">
        <v>74</v>
      </c>
      <c r="E83" s="135">
        <f t="shared" si="2"/>
        <v>3</v>
      </c>
      <c r="F83" s="134" t="s">
        <v>3590</v>
      </c>
      <c r="G83" s="63" t="str">
        <f>VLOOKUP(C83, 'Class Def. - General Data'!$C$20:$C$1000,1,false)</f>
        <v>ZBM1_ACCATAPSMALLC</v>
      </c>
      <c r="H83" s="63" t="str">
        <f>IFERROR(__xludf.DUMMYFUNCTION("VLOOKUP(F83, IMPORTRANGE(""https://docs.google.com/spreadsheets/d/1Lhp9OU0JdFf_VYSMzH5lBcEaU4o8teT1piV-SNzShjg/edit?gid=554141278#gid=554141278"", ""'Char Def. - Attributes'!C20:C2242""), 1,false)"),"BM_VARIAN")</f>
        <v>BM_VARIAN</v>
      </c>
      <c r="I83" s="136"/>
    </row>
    <row r="84" ht="15.75" customHeight="1">
      <c r="A84" s="59"/>
      <c r="B84" s="63">
        <f t="shared" si="1"/>
        <v>18</v>
      </c>
      <c r="C84" s="135" t="s">
        <v>208</v>
      </c>
      <c r="D84" s="134" t="s">
        <v>74</v>
      </c>
      <c r="E84" s="135">
        <f t="shared" si="2"/>
        <v>4</v>
      </c>
      <c r="F84" s="134" t="s">
        <v>3591</v>
      </c>
      <c r="G84" s="63" t="str">
        <f>VLOOKUP(C84, 'Class Def. - General Data'!$C$20:$C$1000,1,false)</f>
        <v>ZBM1_ACCATAPSMALLC</v>
      </c>
      <c r="H84" s="63" t="str">
        <f>IFERROR(__xludf.DUMMYFUNCTION("VLOOKUP(F84, IMPORTRANGE(""https://docs.google.com/spreadsheets/d/1Lhp9OU0JdFf_VYSMzH5lBcEaU4o8teT1piV-SNzShjg/edit?gid=554141278#gid=554141278"", ""'Char Def. - Attributes'!C20:C2242""), 1,false)"),"BM_COLOR")</f>
        <v>BM_COLOR</v>
      </c>
      <c r="I84" s="136"/>
    </row>
    <row r="85" ht="15.75" customHeight="1">
      <c r="A85" s="59"/>
      <c r="B85" s="63">
        <f t="shared" si="1"/>
        <v>18</v>
      </c>
      <c r="C85" s="135" t="s">
        <v>208</v>
      </c>
      <c r="D85" s="134" t="s">
        <v>74</v>
      </c>
      <c r="E85" s="135">
        <f t="shared" si="2"/>
        <v>5</v>
      </c>
      <c r="F85" s="134" t="s">
        <v>3592</v>
      </c>
      <c r="G85" s="63" t="str">
        <f>VLOOKUP(C85, 'Class Def. - General Data'!$C$20:$C$1000,1,false)</f>
        <v>ZBM1_ACCATAPSMALLC</v>
      </c>
      <c r="H85" s="63" t="str">
        <f>IFERROR(__xludf.DUMMYFUNCTION("VLOOKUP(F85, IMPORTRANGE(""https://docs.google.com/spreadsheets/d/1Lhp9OU0JdFf_VYSMzH5lBcEaU4o8teT1piV-SNzShjg/edit?gid=554141278#gid=554141278"", ""'Char Def. - Attributes'!C20:C2242""), 1,false)"),"BM_SIZE")</f>
        <v>BM_SIZE</v>
      </c>
      <c r="I85" s="136"/>
    </row>
    <row r="86" ht="15.75" customHeight="1">
      <c r="A86" s="59"/>
      <c r="B86" s="63">
        <f t="shared" si="1"/>
        <v>18</v>
      </c>
      <c r="C86" s="135" t="s">
        <v>208</v>
      </c>
      <c r="D86" s="134" t="s">
        <v>74</v>
      </c>
      <c r="E86" s="135">
        <f t="shared" si="2"/>
        <v>6</v>
      </c>
      <c r="F86" s="134" t="s">
        <v>3593</v>
      </c>
      <c r="G86" s="63" t="str">
        <f>VLOOKUP(C86, 'Class Def. - General Data'!$C$20:$C$1000,1,false)</f>
        <v>ZBM1_ACCATAPSMALLC</v>
      </c>
      <c r="H86" s="63" t="str">
        <f>IFERROR(__xludf.DUMMYFUNCTION("VLOOKUP(F86, IMPORTRANGE(""https://docs.google.com/spreadsheets/d/1Lhp9OU0JdFf_VYSMzH5lBcEaU4o8teT1piV-SNzShjg/edit?gid=554141278#gid=554141278"", ""'Char Def. - Attributes'!C20:C2242""), 1,false)"),"BM_GRADE")</f>
        <v>BM_GRADE</v>
      </c>
      <c r="I86" s="136"/>
    </row>
    <row r="87" ht="15.75" customHeight="1">
      <c r="A87" s="59"/>
      <c r="B87" s="63">
        <f t="shared" si="1"/>
        <v>18</v>
      </c>
      <c r="C87" s="135" t="s">
        <v>208</v>
      </c>
      <c r="D87" s="134" t="s">
        <v>74</v>
      </c>
      <c r="E87" s="135">
        <f t="shared" si="2"/>
        <v>7</v>
      </c>
      <c r="F87" s="134" t="s">
        <v>3594</v>
      </c>
      <c r="G87" s="63" t="str">
        <f>VLOOKUP(C87, 'Class Def. - General Data'!$C$20:$C$1000,1,false)</f>
        <v>ZBM1_ACCATAPSMALLC</v>
      </c>
      <c r="H87" s="63" t="str">
        <f>IFERROR(__xludf.DUMMYFUNCTION("VLOOKUP(F87, IMPORTRANGE(""https://docs.google.com/spreadsheets/d/1Lhp9OU0JdFf_VYSMzH5lBcEaU4o8teT1piV-SNzShjg/edit?gid=554141278#gid=554141278"", ""'Char Def. - Attributes'!C20:C2242""), 1,false)"),"BM_MANUFACTURE")</f>
        <v>BM_MANUFACTURE</v>
      </c>
      <c r="I87" s="136"/>
    </row>
    <row r="88" ht="15.75" customHeight="1">
      <c r="A88" s="59"/>
      <c r="B88" s="63">
        <f t="shared" si="1"/>
        <v>18</v>
      </c>
      <c r="C88" s="135" t="s">
        <v>208</v>
      </c>
      <c r="D88" s="134" t="s">
        <v>74</v>
      </c>
      <c r="E88" s="135">
        <f t="shared" si="2"/>
        <v>8</v>
      </c>
      <c r="F88" s="134" t="s">
        <v>3582</v>
      </c>
      <c r="G88" s="63" t="str">
        <f>VLOOKUP(C88, 'Class Def. - General Data'!$C$20:$C$1000,1,false)</f>
        <v>ZBM1_ACCATAPSMALLC</v>
      </c>
      <c r="H88" s="63" t="str">
        <f>IFERROR(__xludf.DUMMYFUNCTION("VLOOKUP(F88, IMPORTRANGE(""https://docs.google.com/spreadsheets/d/1Lhp9OU0JdFf_VYSMzH5lBcEaU4o8teT1piV-SNzShjg/edit?gid=554141278#gid=554141278"", ""'Char Def. - Attributes'!C20:C2242""), 1,false)"),"BASE_UNIT")</f>
        <v>BASE_UNIT</v>
      </c>
      <c r="I88" s="136"/>
    </row>
    <row r="89" ht="15.75" customHeight="1">
      <c r="A89" s="59"/>
      <c r="B89" s="63">
        <f t="shared" si="1"/>
        <v>18</v>
      </c>
      <c r="C89" s="135" t="s">
        <v>208</v>
      </c>
      <c r="D89" s="134" t="s">
        <v>74</v>
      </c>
      <c r="E89" s="135">
        <f t="shared" si="2"/>
        <v>9</v>
      </c>
      <c r="F89" s="134" t="s">
        <v>3583</v>
      </c>
      <c r="G89" s="63" t="str">
        <f>VLOOKUP(C89, 'Class Def. - General Data'!$C$20:$C$1000,1,false)</f>
        <v>ZBM1_ACCATAPSMALLC</v>
      </c>
      <c r="H89" s="63" t="str">
        <f>IFERROR(__xludf.DUMMYFUNCTION("VLOOKUP(F89, IMPORTRANGE(""https://docs.google.com/spreadsheets/d/1Lhp9OU0JdFf_VYSMzH5lBcEaU4o8teT1piV-SNzShjg/edit?gid=554141278#gid=554141278"", ""'Char Def. - Attributes'!C20:C2242""), 1,false)"),"SALES_UNIT")</f>
        <v>SALES_UNIT</v>
      </c>
      <c r="I89" s="136"/>
    </row>
    <row r="90" ht="15.75" customHeight="1">
      <c r="A90" s="59"/>
      <c r="B90" s="63">
        <f t="shared" si="1"/>
        <v>18</v>
      </c>
      <c r="C90" s="135" t="s">
        <v>208</v>
      </c>
      <c r="D90" s="134" t="s">
        <v>74</v>
      </c>
      <c r="E90" s="135">
        <f t="shared" si="2"/>
        <v>10</v>
      </c>
      <c r="F90" s="134" t="s">
        <v>3595</v>
      </c>
      <c r="G90" s="63" t="str">
        <f>VLOOKUP(C90, 'Class Def. - General Data'!$C$20:$C$1000,1,false)</f>
        <v>ZBM1_ACCATAPSMALLC</v>
      </c>
      <c r="H90" s="63" t="str">
        <f>IFERROR(__xludf.DUMMYFUNCTION("VLOOKUP(F90, IMPORTRANGE(""https://docs.google.com/spreadsheets/d/1Lhp9OU0JdFf_VYSMzH5lBcEaU4o8teT1piV-SNzShjg/edit?gid=554141278#gid=554141278"", ""'Char Def. - Attributes'!C20:C2242""), 1,false)"),"UOM1")</f>
        <v>UOM1</v>
      </c>
      <c r="I90" s="136"/>
    </row>
    <row r="91" ht="15.75" customHeight="1">
      <c r="A91" s="59"/>
      <c r="B91" s="63">
        <f t="shared" si="1"/>
        <v>18</v>
      </c>
      <c r="C91" s="135" t="s">
        <v>208</v>
      </c>
      <c r="D91" s="134" t="s">
        <v>74</v>
      </c>
      <c r="E91" s="135">
        <f t="shared" si="2"/>
        <v>11</v>
      </c>
      <c r="F91" s="134" t="s">
        <v>3596</v>
      </c>
      <c r="G91" s="63" t="str">
        <f>VLOOKUP(C91, 'Class Def. - General Data'!$C$20:$C$1000,1,false)</f>
        <v>ZBM1_ACCATAPSMALLC</v>
      </c>
      <c r="H91" s="63" t="str">
        <f>IFERROR(__xludf.DUMMYFUNCTION("VLOOKUP(F91, IMPORTRANGE(""https://docs.google.com/spreadsheets/d/1Lhp9OU0JdFf_VYSMzH5lBcEaU4o8teT1piV-SNzShjg/edit?gid=554141278#gid=554141278"", ""'Char Def. - Attributes'!C20:C2242""), 1,false)"),"CONV1")</f>
        <v>CONV1</v>
      </c>
      <c r="I91" s="136"/>
    </row>
    <row r="92" ht="15.75" customHeight="1">
      <c r="A92" s="59"/>
      <c r="B92" s="63">
        <f t="shared" si="1"/>
        <v>18</v>
      </c>
      <c r="C92" s="135" t="s">
        <v>208</v>
      </c>
      <c r="D92" s="134" t="s">
        <v>74</v>
      </c>
      <c r="E92" s="135">
        <f t="shared" si="2"/>
        <v>12</v>
      </c>
      <c r="F92" s="134" t="s">
        <v>3597</v>
      </c>
      <c r="G92" s="63" t="str">
        <f>VLOOKUP(C92, 'Class Def. - General Data'!$C$20:$C$1000,1,false)</f>
        <v>ZBM1_ACCATAPSMALLC</v>
      </c>
      <c r="H92" s="63" t="str">
        <f>IFERROR(__xludf.DUMMYFUNCTION("VLOOKUP(F92, IMPORTRANGE(""https://docs.google.com/spreadsheets/d/1Lhp9OU0JdFf_VYSMzH5lBcEaU4o8teT1piV-SNzShjg/edit?gid=554141278#gid=554141278"", ""'Char Def. - Attributes'!C20:C2242""), 1,false)"),"UOM2")</f>
        <v>UOM2</v>
      </c>
      <c r="I92" s="136"/>
    </row>
    <row r="93" ht="15.75" customHeight="1">
      <c r="A93" s="59"/>
      <c r="B93" s="63">
        <f t="shared" si="1"/>
        <v>18</v>
      </c>
      <c r="C93" s="135" t="s">
        <v>208</v>
      </c>
      <c r="D93" s="134" t="s">
        <v>74</v>
      </c>
      <c r="E93" s="135">
        <f t="shared" si="2"/>
        <v>13</v>
      </c>
      <c r="F93" s="134" t="s">
        <v>3598</v>
      </c>
      <c r="G93" s="63" t="str">
        <f>VLOOKUP(C93, 'Class Def. - General Data'!$C$20:$C$1000,1,false)</f>
        <v>ZBM1_ACCATAPSMALLC</v>
      </c>
      <c r="H93" s="63" t="str">
        <f>IFERROR(__xludf.DUMMYFUNCTION("VLOOKUP(F93, IMPORTRANGE(""https://docs.google.com/spreadsheets/d/1Lhp9OU0JdFf_VYSMzH5lBcEaU4o8teT1piV-SNzShjg/edit?gid=554141278#gid=554141278"", ""'Char Def. - Attributes'!C20:C2242""), 1,false)"),"CONV2")</f>
        <v>CONV2</v>
      </c>
      <c r="I93" s="136"/>
    </row>
    <row r="94" ht="15.75" customHeight="1">
      <c r="A94" s="59"/>
      <c r="B94" s="63">
        <f t="shared" si="1"/>
        <v>18</v>
      </c>
      <c r="C94" s="135" t="s">
        <v>208</v>
      </c>
      <c r="D94" s="134" t="s">
        <v>74</v>
      </c>
      <c r="E94" s="135">
        <f t="shared" si="2"/>
        <v>14</v>
      </c>
      <c r="F94" s="134" t="s">
        <v>3599</v>
      </c>
      <c r="G94" s="63" t="str">
        <f>VLOOKUP(C94, 'Class Def. - General Data'!$C$20:$C$1000,1,false)</f>
        <v>ZBM1_ACCATAPSMALLC</v>
      </c>
      <c r="H94" s="63" t="str">
        <f>IFERROR(__xludf.DUMMYFUNCTION("VLOOKUP(F94, IMPORTRANGE(""https://docs.google.com/spreadsheets/d/1Lhp9OU0JdFf_VYSMzH5lBcEaU4o8teT1piV-SNzShjg/edit?gid=554141278#gid=554141278"", ""'Char Def. - Attributes'!C20:C2242""), 1,false)"),"UOM3")</f>
        <v>UOM3</v>
      </c>
      <c r="I94" s="136"/>
    </row>
    <row r="95" ht="15.75" customHeight="1">
      <c r="A95" s="59"/>
      <c r="B95" s="63">
        <f t="shared" si="1"/>
        <v>18</v>
      </c>
      <c r="C95" s="135" t="s">
        <v>208</v>
      </c>
      <c r="D95" s="134" t="s">
        <v>74</v>
      </c>
      <c r="E95" s="135">
        <f t="shared" si="2"/>
        <v>15</v>
      </c>
      <c r="F95" s="134" t="s">
        <v>3600</v>
      </c>
      <c r="G95" s="63" t="str">
        <f>VLOOKUP(C95, 'Class Def. - General Data'!$C$20:$C$1000,1,false)</f>
        <v>ZBM1_ACCATAPSMALLC</v>
      </c>
      <c r="H95" s="63" t="str">
        <f>IFERROR(__xludf.DUMMYFUNCTION("VLOOKUP(F95, IMPORTRANGE(""https://docs.google.com/spreadsheets/d/1Lhp9OU0JdFf_VYSMzH5lBcEaU4o8teT1piV-SNzShjg/edit?gid=554141278#gid=554141278"", ""'Char Def. - Attributes'!C20:C2242""), 1,false)"),"CONV3")</f>
        <v>CONV3</v>
      </c>
      <c r="I95" s="136"/>
    </row>
    <row r="96" ht="15.75" customHeight="1">
      <c r="A96" s="59"/>
      <c r="B96" s="63">
        <f t="shared" si="1"/>
        <v>18</v>
      </c>
      <c r="C96" s="135" t="s">
        <v>208</v>
      </c>
      <c r="D96" s="134" t="s">
        <v>74</v>
      </c>
      <c r="E96" s="135">
        <f t="shared" si="2"/>
        <v>16</v>
      </c>
      <c r="F96" s="134" t="s">
        <v>3601</v>
      </c>
      <c r="G96" s="63" t="str">
        <f>VLOOKUP(C96, 'Class Def. - General Data'!$C$20:$C$1000,1,false)</f>
        <v>ZBM1_ACCATAPSMALLC</v>
      </c>
      <c r="H96" s="63" t="str">
        <f>IFERROR(__xludf.DUMMYFUNCTION("VLOOKUP(F96, IMPORTRANGE(""https://docs.google.com/spreadsheets/d/1Lhp9OU0JdFf_VYSMzH5lBcEaU4o8teT1piV-SNzShjg/edit?gid=554141278#gid=554141278"", ""'Char Def. - Attributes'!C20:C2242""), 1,false)"),"GROSS_WEIGHT")</f>
        <v>GROSS_WEIGHT</v>
      </c>
      <c r="I96" s="136"/>
    </row>
    <row r="97" ht="15.75" customHeight="1">
      <c r="A97" s="59"/>
      <c r="B97" s="63">
        <f t="shared" si="1"/>
        <v>18</v>
      </c>
      <c r="C97" s="135" t="s">
        <v>208</v>
      </c>
      <c r="D97" s="134" t="s">
        <v>74</v>
      </c>
      <c r="E97" s="135">
        <f t="shared" si="2"/>
        <v>17</v>
      </c>
      <c r="F97" s="134" t="s">
        <v>3602</v>
      </c>
      <c r="G97" s="63" t="str">
        <f>VLOOKUP(C97, 'Class Def. - General Data'!$C$20:$C$1000,1,false)</f>
        <v>ZBM1_ACCATAPSMALLC</v>
      </c>
      <c r="H97" s="63" t="str">
        <f>IFERROR(__xludf.DUMMYFUNCTION("VLOOKUP(F97, IMPORTRANGE(""https://docs.google.com/spreadsheets/d/1Lhp9OU0JdFf_VYSMzH5lBcEaU4o8teT1piV-SNzShjg/edit?gid=554141278#gid=554141278"", ""'Char Def. - Attributes'!C20:C2242""), 1,false)"),"NET_WEIGHT")</f>
        <v>NET_WEIGHT</v>
      </c>
      <c r="I97" s="136"/>
    </row>
    <row r="98" ht="15.75" customHeight="1">
      <c r="A98" s="59"/>
      <c r="B98" s="63">
        <f t="shared" si="1"/>
        <v>18</v>
      </c>
      <c r="C98" s="135" t="s">
        <v>208</v>
      </c>
      <c r="D98" s="134" t="s">
        <v>74</v>
      </c>
      <c r="E98" s="135">
        <f t="shared" si="2"/>
        <v>18</v>
      </c>
      <c r="F98" s="134" t="s">
        <v>3603</v>
      </c>
      <c r="G98" s="63" t="str">
        <f>VLOOKUP(C98, 'Class Def. - General Data'!$C$20:$C$1000,1,false)</f>
        <v>ZBM1_ACCATAPSMALLC</v>
      </c>
      <c r="H98" s="63" t="str">
        <f>IFERROR(__xludf.DUMMYFUNCTION("VLOOKUP(F98, IMPORTRANGE(""https://docs.google.com/spreadsheets/d/1Lhp9OU0JdFf_VYSMzH5lBcEaU4o8teT1piV-SNzShjg/edit?gid=554141278#gid=554141278"", ""'Char Def. - Attributes'!C20:C2242""), 1,false)"),"VOLUME")</f>
        <v>VOLUME</v>
      </c>
      <c r="I98" s="136"/>
    </row>
    <row r="99" ht="15.75" customHeight="1">
      <c r="A99" s="59"/>
      <c r="B99" s="63">
        <f t="shared" si="1"/>
        <v>18</v>
      </c>
      <c r="C99" s="135" t="s">
        <v>208</v>
      </c>
      <c r="D99" s="134" t="s">
        <v>74</v>
      </c>
      <c r="E99" s="135">
        <f t="shared" si="2"/>
        <v>19</v>
      </c>
      <c r="F99" s="134" t="s">
        <v>3585</v>
      </c>
      <c r="G99" s="63" t="str">
        <f>VLOOKUP(C99, 'Class Def. - General Data'!$C$20:$C$1000,1,false)</f>
        <v>ZBM1_ACCATAPSMALLC</v>
      </c>
      <c r="H99" s="63" t="str">
        <f>IFERROR(__xludf.DUMMYFUNCTION("VLOOKUP(F99, IMPORTRANGE(""https://docs.google.com/spreadsheets/d/1Lhp9OU0JdFf_VYSMzH5lBcEaU4o8teT1piV-SNzShjg/edit?gid=554141278#gid=554141278"", ""'Char Def. - Attributes'!C20:C2242""), 1,false)"),"HS_CODE")</f>
        <v>HS_CODE</v>
      </c>
      <c r="I99" s="136"/>
    </row>
    <row r="100" ht="15.75" customHeight="1">
      <c r="A100" s="59"/>
      <c r="B100" s="63">
        <f t="shared" si="1"/>
        <v>18</v>
      </c>
      <c r="C100" s="135" t="s">
        <v>208</v>
      </c>
      <c r="D100" s="134" t="s">
        <v>74</v>
      </c>
      <c r="E100" s="135">
        <f t="shared" si="2"/>
        <v>20</v>
      </c>
      <c r="F100" s="134" t="s">
        <v>3586</v>
      </c>
      <c r="G100" s="63" t="str">
        <f>VLOOKUP(C100, 'Class Def. - General Data'!$C$20:$C$1000,1,false)</f>
        <v>ZBM1_ACCATAPSMALLC</v>
      </c>
      <c r="H100" s="63" t="str">
        <f>IFERROR(__xludf.DUMMYFUNCTION("VLOOKUP(F100, IMPORTRANGE(""https://docs.google.com/spreadsheets/d/1Lhp9OU0JdFf_VYSMzH5lBcEaU4o8teT1piV-SNzShjg/edit?gid=554141278#gid=554141278"", ""'Char Def. - Attributes'!C20:C2242""), 1,false)"),"PLANT_PROD")</f>
        <v>PLANT_PROD</v>
      </c>
      <c r="I100" s="136"/>
    </row>
    <row r="101" ht="15.75" customHeight="1">
      <c r="A101" s="59"/>
      <c r="B101" s="63">
        <f t="shared" si="1"/>
        <v>18</v>
      </c>
      <c r="C101" s="135" t="s">
        <v>208</v>
      </c>
      <c r="D101" s="134" t="s">
        <v>74</v>
      </c>
      <c r="E101" s="135">
        <f t="shared" si="2"/>
        <v>21</v>
      </c>
      <c r="F101" s="134" t="s">
        <v>3587</v>
      </c>
      <c r="G101" s="63" t="str">
        <f>VLOOKUP(C101, 'Class Def. - General Data'!$C$20:$C$1000,1,false)</f>
        <v>ZBM1_ACCATAPSMALLC</v>
      </c>
      <c r="H101" s="63" t="str">
        <f>IFERROR(__xludf.DUMMYFUNCTION("VLOOKUP(F101, IMPORTRANGE(""https://docs.google.com/spreadsheets/d/1Lhp9OU0JdFf_VYSMzH5lBcEaU4o8teT1piV-SNzShjg/edit?gid=554141278#gid=554141278"", ""'Char Def. - Attributes'!C20:C2242""), 1,false)"),"PLANT_BUY")</f>
        <v>PLANT_BUY</v>
      </c>
      <c r="I101" s="136"/>
    </row>
    <row r="102" ht="15.75" customHeight="1">
      <c r="A102" s="59"/>
      <c r="B102" s="63">
        <f t="shared" si="1"/>
        <v>18</v>
      </c>
      <c r="C102" s="135" t="s">
        <v>209</v>
      </c>
      <c r="D102" s="134" t="s">
        <v>74</v>
      </c>
      <c r="E102" s="135">
        <f t="shared" si="2"/>
        <v>1</v>
      </c>
      <c r="F102" s="134" t="s">
        <v>3588</v>
      </c>
      <c r="G102" s="63" t="str">
        <f>VLOOKUP(C102, 'Class Def. - General Data'!$C$20:$C$1000,1,false)</f>
        <v>ZBM1_ACCATAPUNGLZD</v>
      </c>
      <c r="H102" s="63" t="str">
        <f>IFERROR(__xludf.DUMMYFUNCTION("VLOOKUP(F102, IMPORTRANGE(""https://docs.google.com/spreadsheets/d/1Lhp9OU0JdFf_VYSMzH5lBcEaU4o8teT1piV-SNzShjg/edit?gid=554141278#gid=554141278"", ""'Char Def. - Attributes'!C20:C2242""), 1,false)"),"BM_TYPE")</f>
        <v>BM_TYPE</v>
      </c>
      <c r="I102" s="136"/>
    </row>
    <row r="103" ht="15.75" customHeight="1">
      <c r="A103" s="59"/>
      <c r="B103" s="63">
        <f t="shared" si="1"/>
        <v>18</v>
      </c>
      <c r="C103" s="135" t="s">
        <v>209</v>
      </c>
      <c r="D103" s="134" t="s">
        <v>74</v>
      </c>
      <c r="E103" s="135">
        <f t="shared" si="2"/>
        <v>2</v>
      </c>
      <c r="F103" s="134" t="s">
        <v>3589</v>
      </c>
      <c r="G103" s="63" t="str">
        <f>VLOOKUP(C103, 'Class Def. - General Data'!$C$20:$C$1000,1,false)</f>
        <v>ZBM1_ACCATAPUNGLZD</v>
      </c>
      <c r="H103" s="63" t="str">
        <f>IFERROR(__xludf.DUMMYFUNCTION("VLOOKUP(F103, IMPORTRANGE(""https://docs.google.com/spreadsheets/d/1Lhp9OU0JdFf_VYSMzH5lBcEaU4o8teT1piV-SNzShjg/edit?gid=554141278#gid=554141278"", ""'Char Def. - Attributes'!C20:C2242""), 1,false)"),"BM_BRAND")</f>
        <v>BM_BRAND</v>
      </c>
      <c r="I103" s="136"/>
    </row>
    <row r="104" ht="15.75" customHeight="1">
      <c r="A104" s="59"/>
      <c r="B104" s="63">
        <f t="shared" si="1"/>
        <v>18</v>
      </c>
      <c r="C104" s="135" t="s">
        <v>209</v>
      </c>
      <c r="D104" s="134" t="s">
        <v>74</v>
      </c>
      <c r="E104" s="135">
        <f t="shared" si="2"/>
        <v>3</v>
      </c>
      <c r="F104" s="134" t="s">
        <v>3590</v>
      </c>
      <c r="G104" s="63" t="str">
        <f>VLOOKUP(C104, 'Class Def. - General Data'!$C$20:$C$1000,1,false)</f>
        <v>ZBM1_ACCATAPUNGLZD</v>
      </c>
      <c r="H104" s="63" t="str">
        <f>IFERROR(__xludf.DUMMYFUNCTION("VLOOKUP(F104, IMPORTRANGE(""https://docs.google.com/spreadsheets/d/1Lhp9OU0JdFf_VYSMzH5lBcEaU4o8teT1piV-SNzShjg/edit?gid=554141278#gid=554141278"", ""'Char Def. - Attributes'!C20:C2242""), 1,false)"),"BM_VARIAN")</f>
        <v>BM_VARIAN</v>
      </c>
      <c r="I104" s="136"/>
    </row>
    <row r="105" ht="15.75" customHeight="1">
      <c r="A105" s="59"/>
      <c r="B105" s="63">
        <f t="shared" si="1"/>
        <v>18</v>
      </c>
      <c r="C105" s="135" t="s">
        <v>209</v>
      </c>
      <c r="D105" s="134" t="s">
        <v>74</v>
      </c>
      <c r="E105" s="135">
        <f t="shared" si="2"/>
        <v>4</v>
      </c>
      <c r="F105" s="134" t="s">
        <v>3591</v>
      </c>
      <c r="G105" s="63" t="str">
        <f>VLOOKUP(C105, 'Class Def. - General Data'!$C$20:$C$1000,1,false)</f>
        <v>ZBM1_ACCATAPUNGLZD</v>
      </c>
      <c r="H105" s="63" t="str">
        <f>IFERROR(__xludf.DUMMYFUNCTION("VLOOKUP(F105, IMPORTRANGE(""https://docs.google.com/spreadsheets/d/1Lhp9OU0JdFf_VYSMzH5lBcEaU4o8teT1piV-SNzShjg/edit?gid=554141278#gid=554141278"", ""'Char Def. - Attributes'!C20:C2242""), 1,false)"),"BM_COLOR")</f>
        <v>BM_COLOR</v>
      </c>
      <c r="I105" s="136"/>
    </row>
    <row r="106" ht="15.75" customHeight="1">
      <c r="A106" s="59"/>
      <c r="B106" s="63">
        <f t="shared" si="1"/>
        <v>18</v>
      </c>
      <c r="C106" s="135" t="s">
        <v>209</v>
      </c>
      <c r="D106" s="134" t="s">
        <v>74</v>
      </c>
      <c r="E106" s="135">
        <f t="shared" si="2"/>
        <v>5</v>
      </c>
      <c r="F106" s="134" t="s">
        <v>3592</v>
      </c>
      <c r="G106" s="63" t="str">
        <f>VLOOKUP(C106, 'Class Def. - General Data'!$C$20:$C$1000,1,false)</f>
        <v>ZBM1_ACCATAPUNGLZD</v>
      </c>
      <c r="H106" s="63" t="str">
        <f>IFERROR(__xludf.DUMMYFUNCTION("VLOOKUP(F106, IMPORTRANGE(""https://docs.google.com/spreadsheets/d/1Lhp9OU0JdFf_VYSMzH5lBcEaU4o8teT1piV-SNzShjg/edit?gid=554141278#gid=554141278"", ""'Char Def. - Attributes'!C20:C2242""), 1,false)"),"BM_SIZE")</f>
        <v>BM_SIZE</v>
      </c>
      <c r="I106" s="136"/>
    </row>
    <row r="107" ht="15.75" customHeight="1">
      <c r="A107" s="59"/>
      <c r="B107" s="63">
        <f t="shared" si="1"/>
        <v>18</v>
      </c>
      <c r="C107" s="135" t="s">
        <v>209</v>
      </c>
      <c r="D107" s="134" t="s">
        <v>74</v>
      </c>
      <c r="E107" s="135">
        <f t="shared" si="2"/>
        <v>6</v>
      </c>
      <c r="F107" s="134" t="s">
        <v>3593</v>
      </c>
      <c r="G107" s="63" t="str">
        <f>VLOOKUP(C107, 'Class Def. - General Data'!$C$20:$C$1000,1,false)</f>
        <v>ZBM1_ACCATAPUNGLZD</v>
      </c>
      <c r="H107" s="63" t="str">
        <f>IFERROR(__xludf.DUMMYFUNCTION("VLOOKUP(F107, IMPORTRANGE(""https://docs.google.com/spreadsheets/d/1Lhp9OU0JdFf_VYSMzH5lBcEaU4o8teT1piV-SNzShjg/edit?gid=554141278#gid=554141278"", ""'Char Def. - Attributes'!C20:C2242""), 1,false)"),"BM_GRADE")</f>
        <v>BM_GRADE</v>
      </c>
      <c r="I107" s="136"/>
    </row>
    <row r="108" ht="15.75" customHeight="1">
      <c r="A108" s="59"/>
      <c r="B108" s="63">
        <f t="shared" si="1"/>
        <v>18</v>
      </c>
      <c r="C108" s="135" t="s">
        <v>209</v>
      </c>
      <c r="D108" s="134" t="s">
        <v>74</v>
      </c>
      <c r="E108" s="135">
        <f t="shared" si="2"/>
        <v>7</v>
      </c>
      <c r="F108" s="134" t="s">
        <v>3594</v>
      </c>
      <c r="G108" s="63" t="str">
        <f>VLOOKUP(C108, 'Class Def. - General Data'!$C$20:$C$1000,1,false)</f>
        <v>ZBM1_ACCATAPUNGLZD</v>
      </c>
      <c r="H108" s="63" t="str">
        <f>IFERROR(__xludf.DUMMYFUNCTION("VLOOKUP(F108, IMPORTRANGE(""https://docs.google.com/spreadsheets/d/1Lhp9OU0JdFf_VYSMzH5lBcEaU4o8teT1piV-SNzShjg/edit?gid=554141278#gid=554141278"", ""'Char Def. - Attributes'!C20:C2242""), 1,false)"),"BM_MANUFACTURE")</f>
        <v>BM_MANUFACTURE</v>
      </c>
      <c r="I108" s="136"/>
    </row>
    <row r="109" ht="15.75" customHeight="1">
      <c r="A109" s="59"/>
      <c r="B109" s="63">
        <f t="shared" si="1"/>
        <v>18</v>
      </c>
      <c r="C109" s="135" t="s">
        <v>209</v>
      </c>
      <c r="D109" s="134" t="s">
        <v>74</v>
      </c>
      <c r="E109" s="135">
        <f t="shared" si="2"/>
        <v>8</v>
      </c>
      <c r="F109" s="134" t="s">
        <v>3582</v>
      </c>
      <c r="G109" s="63" t="str">
        <f>VLOOKUP(C109, 'Class Def. - General Data'!$C$20:$C$1000,1,false)</f>
        <v>ZBM1_ACCATAPUNGLZD</v>
      </c>
      <c r="H109" s="63" t="str">
        <f>IFERROR(__xludf.DUMMYFUNCTION("VLOOKUP(F109, IMPORTRANGE(""https://docs.google.com/spreadsheets/d/1Lhp9OU0JdFf_VYSMzH5lBcEaU4o8teT1piV-SNzShjg/edit?gid=554141278#gid=554141278"", ""'Char Def. - Attributes'!C20:C2242""), 1,false)"),"BASE_UNIT")</f>
        <v>BASE_UNIT</v>
      </c>
      <c r="I109" s="136"/>
    </row>
    <row r="110" ht="15.75" customHeight="1">
      <c r="A110" s="59"/>
      <c r="B110" s="63">
        <f t="shared" si="1"/>
        <v>18</v>
      </c>
      <c r="C110" s="135" t="s">
        <v>209</v>
      </c>
      <c r="D110" s="134" t="s">
        <v>74</v>
      </c>
      <c r="E110" s="135">
        <f t="shared" si="2"/>
        <v>9</v>
      </c>
      <c r="F110" s="134" t="s">
        <v>3583</v>
      </c>
      <c r="G110" s="63" t="str">
        <f>VLOOKUP(C110, 'Class Def. - General Data'!$C$20:$C$1000,1,false)</f>
        <v>ZBM1_ACCATAPUNGLZD</v>
      </c>
      <c r="H110" s="63" t="str">
        <f>IFERROR(__xludf.DUMMYFUNCTION("VLOOKUP(F110, IMPORTRANGE(""https://docs.google.com/spreadsheets/d/1Lhp9OU0JdFf_VYSMzH5lBcEaU4o8teT1piV-SNzShjg/edit?gid=554141278#gid=554141278"", ""'Char Def. - Attributes'!C20:C2242""), 1,false)"),"SALES_UNIT")</f>
        <v>SALES_UNIT</v>
      </c>
      <c r="I110" s="136"/>
    </row>
    <row r="111" ht="15.75" customHeight="1">
      <c r="A111" s="59"/>
      <c r="B111" s="63">
        <f t="shared" si="1"/>
        <v>18</v>
      </c>
      <c r="C111" s="135" t="s">
        <v>209</v>
      </c>
      <c r="D111" s="134" t="s">
        <v>74</v>
      </c>
      <c r="E111" s="135">
        <f t="shared" si="2"/>
        <v>10</v>
      </c>
      <c r="F111" s="134" t="s">
        <v>3595</v>
      </c>
      <c r="G111" s="63" t="str">
        <f>VLOOKUP(C111, 'Class Def. - General Data'!$C$20:$C$1000,1,false)</f>
        <v>ZBM1_ACCATAPUNGLZD</v>
      </c>
      <c r="H111" s="63" t="str">
        <f>IFERROR(__xludf.DUMMYFUNCTION("VLOOKUP(F111, IMPORTRANGE(""https://docs.google.com/spreadsheets/d/1Lhp9OU0JdFf_VYSMzH5lBcEaU4o8teT1piV-SNzShjg/edit?gid=554141278#gid=554141278"", ""'Char Def. - Attributes'!C20:C2242""), 1,false)"),"UOM1")</f>
        <v>UOM1</v>
      </c>
      <c r="I111" s="136"/>
    </row>
    <row r="112" ht="15.75" customHeight="1">
      <c r="A112" s="59"/>
      <c r="B112" s="63">
        <f t="shared" si="1"/>
        <v>18</v>
      </c>
      <c r="C112" s="135" t="s">
        <v>209</v>
      </c>
      <c r="D112" s="134" t="s">
        <v>74</v>
      </c>
      <c r="E112" s="135">
        <f t="shared" si="2"/>
        <v>11</v>
      </c>
      <c r="F112" s="134" t="s">
        <v>3596</v>
      </c>
      <c r="G112" s="63" t="str">
        <f>VLOOKUP(C112, 'Class Def. - General Data'!$C$20:$C$1000,1,false)</f>
        <v>ZBM1_ACCATAPUNGLZD</v>
      </c>
      <c r="H112" s="63" t="str">
        <f>IFERROR(__xludf.DUMMYFUNCTION("VLOOKUP(F112, IMPORTRANGE(""https://docs.google.com/spreadsheets/d/1Lhp9OU0JdFf_VYSMzH5lBcEaU4o8teT1piV-SNzShjg/edit?gid=554141278#gid=554141278"", ""'Char Def. - Attributes'!C20:C2242""), 1,false)"),"CONV1")</f>
        <v>CONV1</v>
      </c>
      <c r="I112" s="136"/>
    </row>
    <row r="113" ht="15.75" customHeight="1">
      <c r="A113" s="59"/>
      <c r="B113" s="63">
        <f t="shared" si="1"/>
        <v>18</v>
      </c>
      <c r="C113" s="135" t="s">
        <v>209</v>
      </c>
      <c r="D113" s="134" t="s">
        <v>74</v>
      </c>
      <c r="E113" s="135">
        <f t="shared" si="2"/>
        <v>12</v>
      </c>
      <c r="F113" s="134" t="s">
        <v>3597</v>
      </c>
      <c r="G113" s="63" t="str">
        <f>VLOOKUP(C113, 'Class Def. - General Data'!$C$20:$C$1000,1,false)</f>
        <v>ZBM1_ACCATAPUNGLZD</v>
      </c>
      <c r="H113" s="63" t="str">
        <f>IFERROR(__xludf.DUMMYFUNCTION("VLOOKUP(F113, IMPORTRANGE(""https://docs.google.com/spreadsheets/d/1Lhp9OU0JdFf_VYSMzH5lBcEaU4o8teT1piV-SNzShjg/edit?gid=554141278#gid=554141278"", ""'Char Def. - Attributes'!C20:C2242""), 1,false)"),"UOM2")</f>
        <v>UOM2</v>
      </c>
      <c r="I113" s="136"/>
    </row>
    <row r="114" ht="15.75" customHeight="1">
      <c r="A114" s="59"/>
      <c r="B114" s="63">
        <f t="shared" si="1"/>
        <v>18</v>
      </c>
      <c r="C114" s="135" t="s">
        <v>209</v>
      </c>
      <c r="D114" s="134" t="s">
        <v>74</v>
      </c>
      <c r="E114" s="135">
        <f t="shared" si="2"/>
        <v>13</v>
      </c>
      <c r="F114" s="134" t="s">
        <v>3598</v>
      </c>
      <c r="G114" s="63" t="str">
        <f>VLOOKUP(C114, 'Class Def. - General Data'!$C$20:$C$1000,1,false)</f>
        <v>ZBM1_ACCATAPUNGLZD</v>
      </c>
      <c r="H114" s="63" t="str">
        <f>IFERROR(__xludf.DUMMYFUNCTION("VLOOKUP(F114, IMPORTRANGE(""https://docs.google.com/spreadsheets/d/1Lhp9OU0JdFf_VYSMzH5lBcEaU4o8teT1piV-SNzShjg/edit?gid=554141278#gid=554141278"", ""'Char Def. - Attributes'!C20:C2242""), 1,false)"),"CONV2")</f>
        <v>CONV2</v>
      </c>
      <c r="I114" s="136"/>
    </row>
    <row r="115" ht="15.75" customHeight="1">
      <c r="A115" s="59"/>
      <c r="B115" s="63">
        <f t="shared" si="1"/>
        <v>18</v>
      </c>
      <c r="C115" s="135" t="s">
        <v>209</v>
      </c>
      <c r="D115" s="134" t="s">
        <v>74</v>
      </c>
      <c r="E115" s="135">
        <f t="shared" si="2"/>
        <v>14</v>
      </c>
      <c r="F115" s="134" t="s">
        <v>3599</v>
      </c>
      <c r="G115" s="63" t="str">
        <f>VLOOKUP(C115, 'Class Def. - General Data'!$C$20:$C$1000,1,false)</f>
        <v>ZBM1_ACCATAPUNGLZD</v>
      </c>
      <c r="H115" s="63" t="str">
        <f>IFERROR(__xludf.DUMMYFUNCTION("VLOOKUP(F115, IMPORTRANGE(""https://docs.google.com/spreadsheets/d/1Lhp9OU0JdFf_VYSMzH5lBcEaU4o8teT1piV-SNzShjg/edit?gid=554141278#gid=554141278"", ""'Char Def. - Attributes'!C20:C2242""), 1,false)"),"UOM3")</f>
        <v>UOM3</v>
      </c>
      <c r="I115" s="136"/>
    </row>
    <row r="116" ht="15.75" customHeight="1">
      <c r="A116" s="59"/>
      <c r="B116" s="63">
        <f t="shared" si="1"/>
        <v>18</v>
      </c>
      <c r="C116" s="135" t="s">
        <v>209</v>
      </c>
      <c r="D116" s="134" t="s">
        <v>74</v>
      </c>
      <c r="E116" s="135">
        <f t="shared" si="2"/>
        <v>15</v>
      </c>
      <c r="F116" s="134" t="s">
        <v>3600</v>
      </c>
      <c r="G116" s="63" t="str">
        <f>VLOOKUP(C116, 'Class Def. - General Data'!$C$20:$C$1000,1,false)</f>
        <v>ZBM1_ACCATAPUNGLZD</v>
      </c>
      <c r="H116" s="63" t="str">
        <f>IFERROR(__xludf.DUMMYFUNCTION("VLOOKUP(F116, IMPORTRANGE(""https://docs.google.com/spreadsheets/d/1Lhp9OU0JdFf_VYSMzH5lBcEaU4o8teT1piV-SNzShjg/edit?gid=554141278#gid=554141278"", ""'Char Def. - Attributes'!C20:C2242""), 1,false)"),"CONV3")</f>
        <v>CONV3</v>
      </c>
      <c r="I116" s="136"/>
    </row>
    <row r="117" ht="15.75" customHeight="1">
      <c r="A117" s="59"/>
      <c r="B117" s="63">
        <f t="shared" si="1"/>
        <v>18</v>
      </c>
      <c r="C117" s="135" t="s">
        <v>209</v>
      </c>
      <c r="D117" s="134" t="s">
        <v>74</v>
      </c>
      <c r="E117" s="135">
        <f t="shared" si="2"/>
        <v>16</v>
      </c>
      <c r="F117" s="134" t="s">
        <v>3601</v>
      </c>
      <c r="G117" s="63" t="str">
        <f>VLOOKUP(C117, 'Class Def. - General Data'!$C$20:$C$1000,1,false)</f>
        <v>ZBM1_ACCATAPUNGLZD</v>
      </c>
      <c r="H117" s="63" t="str">
        <f>IFERROR(__xludf.DUMMYFUNCTION("VLOOKUP(F117, IMPORTRANGE(""https://docs.google.com/spreadsheets/d/1Lhp9OU0JdFf_VYSMzH5lBcEaU4o8teT1piV-SNzShjg/edit?gid=554141278#gid=554141278"", ""'Char Def. - Attributes'!C20:C2242""), 1,false)"),"GROSS_WEIGHT")</f>
        <v>GROSS_WEIGHT</v>
      </c>
      <c r="I117" s="136"/>
    </row>
    <row r="118" ht="15.75" customHeight="1">
      <c r="A118" s="59"/>
      <c r="B118" s="63">
        <f t="shared" si="1"/>
        <v>18</v>
      </c>
      <c r="C118" s="135" t="s">
        <v>209</v>
      </c>
      <c r="D118" s="134" t="s">
        <v>74</v>
      </c>
      <c r="E118" s="135">
        <f t="shared" si="2"/>
        <v>17</v>
      </c>
      <c r="F118" s="134" t="s">
        <v>3602</v>
      </c>
      <c r="G118" s="63" t="str">
        <f>VLOOKUP(C118, 'Class Def. - General Data'!$C$20:$C$1000,1,false)</f>
        <v>ZBM1_ACCATAPUNGLZD</v>
      </c>
      <c r="H118" s="63" t="str">
        <f>IFERROR(__xludf.DUMMYFUNCTION("VLOOKUP(F118, IMPORTRANGE(""https://docs.google.com/spreadsheets/d/1Lhp9OU0JdFf_VYSMzH5lBcEaU4o8teT1piV-SNzShjg/edit?gid=554141278#gid=554141278"", ""'Char Def. - Attributes'!C20:C2242""), 1,false)"),"NET_WEIGHT")</f>
        <v>NET_WEIGHT</v>
      </c>
      <c r="I118" s="136"/>
    </row>
    <row r="119" ht="15.75" customHeight="1">
      <c r="A119" s="59"/>
      <c r="B119" s="63">
        <f t="shared" si="1"/>
        <v>18</v>
      </c>
      <c r="C119" s="135" t="s">
        <v>209</v>
      </c>
      <c r="D119" s="134" t="s">
        <v>74</v>
      </c>
      <c r="E119" s="135">
        <f t="shared" si="2"/>
        <v>18</v>
      </c>
      <c r="F119" s="134" t="s">
        <v>3603</v>
      </c>
      <c r="G119" s="63" t="str">
        <f>VLOOKUP(C119, 'Class Def. - General Data'!$C$20:$C$1000,1,false)</f>
        <v>ZBM1_ACCATAPUNGLZD</v>
      </c>
      <c r="H119" s="63" t="str">
        <f>IFERROR(__xludf.DUMMYFUNCTION("VLOOKUP(F119, IMPORTRANGE(""https://docs.google.com/spreadsheets/d/1Lhp9OU0JdFf_VYSMzH5lBcEaU4o8teT1piV-SNzShjg/edit?gid=554141278#gid=554141278"", ""'Char Def. - Attributes'!C20:C2242""), 1,false)"),"VOLUME")</f>
        <v>VOLUME</v>
      </c>
      <c r="I119" s="136"/>
    </row>
    <row r="120" ht="15.75" customHeight="1">
      <c r="A120" s="59"/>
      <c r="B120" s="63">
        <f t="shared" si="1"/>
        <v>18</v>
      </c>
      <c r="C120" s="135" t="s">
        <v>209</v>
      </c>
      <c r="D120" s="134" t="s">
        <v>74</v>
      </c>
      <c r="E120" s="135">
        <f t="shared" si="2"/>
        <v>19</v>
      </c>
      <c r="F120" s="134" t="s">
        <v>3585</v>
      </c>
      <c r="G120" s="63" t="str">
        <f>VLOOKUP(C120, 'Class Def. - General Data'!$C$20:$C$1000,1,false)</f>
        <v>ZBM1_ACCATAPUNGLZD</v>
      </c>
      <c r="H120" s="63" t="str">
        <f>IFERROR(__xludf.DUMMYFUNCTION("VLOOKUP(F120, IMPORTRANGE(""https://docs.google.com/spreadsheets/d/1Lhp9OU0JdFf_VYSMzH5lBcEaU4o8teT1piV-SNzShjg/edit?gid=554141278#gid=554141278"", ""'Char Def. - Attributes'!C20:C2242""), 1,false)"),"HS_CODE")</f>
        <v>HS_CODE</v>
      </c>
      <c r="I120" s="136"/>
    </row>
    <row r="121" ht="15.75" customHeight="1">
      <c r="A121" s="59"/>
      <c r="B121" s="63">
        <f t="shared" si="1"/>
        <v>18</v>
      </c>
      <c r="C121" s="135" t="s">
        <v>209</v>
      </c>
      <c r="D121" s="134" t="s">
        <v>74</v>
      </c>
      <c r="E121" s="135">
        <f t="shared" si="2"/>
        <v>20</v>
      </c>
      <c r="F121" s="134" t="s">
        <v>3586</v>
      </c>
      <c r="G121" s="63" t="str">
        <f>VLOOKUP(C121, 'Class Def. - General Data'!$C$20:$C$1000,1,false)</f>
        <v>ZBM1_ACCATAPUNGLZD</v>
      </c>
      <c r="H121" s="63" t="str">
        <f>IFERROR(__xludf.DUMMYFUNCTION("VLOOKUP(F121, IMPORTRANGE(""https://docs.google.com/spreadsheets/d/1Lhp9OU0JdFf_VYSMzH5lBcEaU4o8teT1piV-SNzShjg/edit?gid=554141278#gid=554141278"", ""'Char Def. - Attributes'!C20:C2242""), 1,false)"),"PLANT_PROD")</f>
        <v>PLANT_PROD</v>
      </c>
      <c r="I121" s="136"/>
    </row>
    <row r="122" ht="15.75" customHeight="1">
      <c r="A122" s="59"/>
      <c r="B122" s="63">
        <f t="shared" si="1"/>
        <v>18</v>
      </c>
      <c r="C122" s="135" t="s">
        <v>209</v>
      </c>
      <c r="D122" s="134" t="s">
        <v>74</v>
      </c>
      <c r="E122" s="135">
        <f t="shared" si="2"/>
        <v>21</v>
      </c>
      <c r="F122" s="134" t="s">
        <v>3587</v>
      </c>
      <c r="G122" s="63" t="str">
        <f>VLOOKUP(C122, 'Class Def. - General Data'!$C$20:$C$1000,1,false)</f>
        <v>ZBM1_ACCATAPUNGLZD</v>
      </c>
      <c r="H122" s="63" t="str">
        <f>IFERROR(__xludf.DUMMYFUNCTION("VLOOKUP(F122, IMPORTRANGE(""https://docs.google.com/spreadsheets/d/1Lhp9OU0JdFf_VYSMzH5lBcEaU4o8teT1piV-SNzShjg/edit?gid=554141278#gid=554141278"", ""'Char Def. - Attributes'!C20:C2242""), 1,false)"),"PLANT_BUY")</f>
        <v>PLANT_BUY</v>
      </c>
      <c r="I122" s="136"/>
    </row>
    <row r="123" ht="15.75" customHeight="1">
      <c r="A123" s="59"/>
      <c r="B123" s="63">
        <f t="shared" si="1"/>
        <v>15</v>
      </c>
      <c r="C123" s="135" t="s">
        <v>210</v>
      </c>
      <c r="D123" s="134" t="s">
        <v>74</v>
      </c>
      <c r="E123" s="135">
        <f t="shared" si="2"/>
        <v>1</v>
      </c>
      <c r="F123" s="134" t="s">
        <v>3588</v>
      </c>
      <c r="G123" s="63" t="str">
        <f>VLOOKUP(C123, 'Class Def. - General Data'!$C$20:$C$1000,1,false)</f>
        <v>ZBM1_ATAPGLOSSY</v>
      </c>
      <c r="H123" s="63" t="str">
        <f>IFERROR(__xludf.DUMMYFUNCTION("VLOOKUP(F123, IMPORTRANGE(""https://docs.google.com/spreadsheets/d/1Lhp9OU0JdFf_VYSMzH5lBcEaU4o8teT1piV-SNzShjg/edit?gid=554141278#gid=554141278"", ""'Char Def. - Attributes'!C20:C2242""), 1,false)"),"BM_TYPE")</f>
        <v>BM_TYPE</v>
      </c>
      <c r="I123" s="136"/>
    </row>
    <row r="124" ht="15.75" customHeight="1">
      <c r="A124" s="59"/>
      <c r="B124" s="63">
        <f t="shared" si="1"/>
        <v>15</v>
      </c>
      <c r="C124" s="135" t="s">
        <v>210</v>
      </c>
      <c r="D124" s="134" t="s">
        <v>74</v>
      </c>
      <c r="E124" s="135">
        <f t="shared" si="2"/>
        <v>2</v>
      </c>
      <c r="F124" s="134" t="s">
        <v>3589</v>
      </c>
      <c r="G124" s="63" t="str">
        <f>VLOOKUP(C124, 'Class Def. - General Data'!$C$20:$C$1000,1,false)</f>
        <v>ZBM1_ATAPGLOSSY</v>
      </c>
      <c r="H124" s="63" t="str">
        <f>IFERROR(__xludf.DUMMYFUNCTION("VLOOKUP(F124, IMPORTRANGE(""https://docs.google.com/spreadsheets/d/1Lhp9OU0JdFf_VYSMzH5lBcEaU4o8teT1piV-SNzShjg/edit?gid=554141278#gid=554141278"", ""'Char Def. - Attributes'!C20:C2242""), 1,false)"),"BM_BRAND")</f>
        <v>BM_BRAND</v>
      </c>
      <c r="I124" s="136"/>
    </row>
    <row r="125" ht="15.75" customHeight="1">
      <c r="A125" s="59"/>
      <c r="B125" s="63">
        <f t="shared" si="1"/>
        <v>15</v>
      </c>
      <c r="C125" s="135" t="s">
        <v>210</v>
      </c>
      <c r="D125" s="134" t="s">
        <v>74</v>
      </c>
      <c r="E125" s="135">
        <f t="shared" si="2"/>
        <v>3</v>
      </c>
      <c r="F125" s="134" t="s">
        <v>3590</v>
      </c>
      <c r="G125" s="63" t="str">
        <f>VLOOKUP(C125, 'Class Def. - General Data'!$C$20:$C$1000,1,false)</f>
        <v>ZBM1_ATAPGLOSSY</v>
      </c>
      <c r="H125" s="63" t="str">
        <f>IFERROR(__xludf.DUMMYFUNCTION("VLOOKUP(F125, IMPORTRANGE(""https://docs.google.com/spreadsheets/d/1Lhp9OU0JdFf_VYSMzH5lBcEaU4o8teT1piV-SNzShjg/edit?gid=554141278#gid=554141278"", ""'Char Def. - Attributes'!C20:C2242""), 1,false)"),"BM_VARIAN")</f>
        <v>BM_VARIAN</v>
      </c>
      <c r="I125" s="136"/>
    </row>
    <row r="126" ht="15.75" customHeight="1">
      <c r="A126" s="59"/>
      <c r="B126" s="63">
        <f t="shared" si="1"/>
        <v>15</v>
      </c>
      <c r="C126" s="135" t="s">
        <v>210</v>
      </c>
      <c r="D126" s="134" t="s">
        <v>74</v>
      </c>
      <c r="E126" s="135">
        <f t="shared" si="2"/>
        <v>4</v>
      </c>
      <c r="F126" s="134" t="s">
        <v>3591</v>
      </c>
      <c r="G126" s="63" t="str">
        <f>VLOOKUP(C126, 'Class Def. - General Data'!$C$20:$C$1000,1,false)</f>
        <v>ZBM1_ATAPGLOSSY</v>
      </c>
      <c r="H126" s="63" t="str">
        <f>IFERROR(__xludf.DUMMYFUNCTION("VLOOKUP(F126, IMPORTRANGE(""https://docs.google.com/spreadsheets/d/1Lhp9OU0JdFf_VYSMzH5lBcEaU4o8teT1piV-SNzShjg/edit?gid=554141278#gid=554141278"", ""'Char Def. - Attributes'!C20:C2242""), 1,false)"),"BM_COLOR")</f>
        <v>BM_COLOR</v>
      </c>
      <c r="I126" s="136"/>
    </row>
    <row r="127" ht="15.75" customHeight="1">
      <c r="A127" s="59"/>
      <c r="B127" s="63">
        <f t="shared" si="1"/>
        <v>15</v>
      </c>
      <c r="C127" s="135" t="s">
        <v>210</v>
      </c>
      <c r="D127" s="134" t="s">
        <v>74</v>
      </c>
      <c r="E127" s="135">
        <f t="shared" si="2"/>
        <v>5</v>
      </c>
      <c r="F127" s="134" t="s">
        <v>3592</v>
      </c>
      <c r="G127" s="63" t="str">
        <f>VLOOKUP(C127, 'Class Def. - General Data'!$C$20:$C$1000,1,false)</f>
        <v>ZBM1_ATAPGLOSSY</v>
      </c>
      <c r="H127" s="63" t="str">
        <f>IFERROR(__xludf.DUMMYFUNCTION("VLOOKUP(F127, IMPORTRANGE(""https://docs.google.com/spreadsheets/d/1Lhp9OU0JdFf_VYSMzH5lBcEaU4o8teT1piV-SNzShjg/edit?gid=554141278#gid=554141278"", ""'Char Def. - Attributes'!C20:C2242""), 1,false)"),"BM_SIZE")</f>
        <v>BM_SIZE</v>
      </c>
      <c r="I127" s="136"/>
    </row>
    <row r="128" ht="15.75" customHeight="1">
      <c r="A128" s="59"/>
      <c r="B128" s="63">
        <f t="shared" si="1"/>
        <v>15</v>
      </c>
      <c r="C128" s="135" t="s">
        <v>210</v>
      </c>
      <c r="D128" s="134" t="s">
        <v>74</v>
      </c>
      <c r="E128" s="135">
        <f t="shared" si="2"/>
        <v>6</v>
      </c>
      <c r="F128" s="134" t="s">
        <v>3593</v>
      </c>
      <c r="G128" s="63" t="str">
        <f>VLOOKUP(C128, 'Class Def. - General Data'!$C$20:$C$1000,1,false)</f>
        <v>ZBM1_ATAPGLOSSY</v>
      </c>
      <c r="H128" s="63" t="str">
        <f>IFERROR(__xludf.DUMMYFUNCTION("VLOOKUP(F128, IMPORTRANGE(""https://docs.google.com/spreadsheets/d/1Lhp9OU0JdFf_VYSMzH5lBcEaU4o8teT1piV-SNzShjg/edit?gid=554141278#gid=554141278"", ""'Char Def. - Attributes'!C20:C2242""), 1,false)"),"BM_GRADE")</f>
        <v>BM_GRADE</v>
      </c>
      <c r="I128" s="136"/>
    </row>
    <row r="129" ht="15.75" customHeight="1">
      <c r="A129" s="59"/>
      <c r="B129" s="63">
        <f t="shared" si="1"/>
        <v>15</v>
      </c>
      <c r="C129" s="135" t="s">
        <v>210</v>
      </c>
      <c r="D129" s="134" t="s">
        <v>74</v>
      </c>
      <c r="E129" s="135">
        <f t="shared" si="2"/>
        <v>7</v>
      </c>
      <c r="F129" s="134" t="s">
        <v>3594</v>
      </c>
      <c r="G129" s="63" t="str">
        <f>VLOOKUP(C129, 'Class Def. - General Data'!$C$20:$C$1000,1,false)</f>
        <v>ZBM1_ATAPGLOSSY</v>
      </c>
      <c r="H129" s="63" t="str">
        <f>IFERROR(__xludf.DUMMYFUNCTION("VLOOKUP(F129, IMPORTRANGE(""https://docs.google.com/spreadsheets/d/1Lhp9OU0JdFf_VYSMzH5lBcEaU4o8teT1piV-SNzShjg/edit?gid=554141278#gid=554141278"", ""'Char Def. - Attributes'!C20:C2242""), 1,false)"),"BM_MANUFACTURE")</f>
        <v>BM_MANUFACTURE</v>
      </c>
      <c r="I129" s="136"/>
    </row>
    <row r="130" ht="15.75" customHeight="1">
      <c r="A130" s="59"/>
      <c r="B130" s="63">
        <f t="shared" si="1"/>
        <v>15</v>
      </c>
      <c r="C130" s="135" t="s">
        <v>210</v>
      </c>
      <c r="D130" s="134" t="s">
        <v>74</v>
      </c>
      <c r="E130" s="135">
        <f t="shared" si="2"/>
        <v>8</v>
      </c>
      <c r="F130" s="134" t="s">
        <v>3582</v>
      </c>
      <c r="G130" s="63" t="str">
        <f>VLOOKUP(C130, 'Class Def. - General Data'!$C$20:$C$1000,1,false)</f>
        <v>ZBM1_ATAPGLOSSY</v>
      </c>
      <c r="H130" s="63" t="str">
        <f>IFERROR(__xludf.DUMMYFUNCTION("VLOOKUP(F130, IMPORTRANGE(""https://docs.google.com/spreadsheets/d/1Lhp9OU0JdFf_VYSMzH5lBcEaU4o8teT1piV-SNzShjg/edit?gid=554141278#gid=554141278"", ""'Char Def. - Attributes'!C20:C2242""), 1,false)"),"BASE_UNIT")</f>
        <v>BASE_UNIT</v>
      </c>
      <c r="I130" s="136"/>
    </row>
    <row r="131" ht="15.75" customHeight="1">
      <c r="A131" s="59"/>
      <c r="B131" s="63">
        <f t="shared" si="1"/>
        <v>15</v>
      </c>
      <c r="C131" s="135" t="s">
        <v>210</v>
      </c>
      <c r="D131" s="134" t="s">
        <v>74</v>
      </c>
      <c r="E131" s="135">
        <f t="shared" si="2"/>
        <v>9</v>
      </c>
      <c r="F131" s="134" t="s">
        <v>3583</v>
      </c>
      <c r="G131" s="63" t="str">
        <f>VLOOKUP(C131, 'Class Def. - General Data'!$C$20:$C$1000,1,false)</f>
        <v>ZBM1_ATAPGLOSSY</v>
      </c>
      <c r="H131" s="63" t="str">
        <f>IFERROR(__xludf.DUMMYFUNCTION("VLOOKUP(F131, IMPORTRANGE(""https://docs.google.com/spreadsheets/d/1Lhp9OU0JdFf_VYSMzH5lBcEaU4o8teT1piV-SNzShjg/edit?gid=554141278#gid=554141278"", ""'Char Def. - Attributes'!C20:C2242""), 1,false)"),"SALES_UNIT")</f>
        <v>SALES_UNIT</v>
      </c>
      <c r="I131" s="136"/>
    </row>
    <row r="132" ht="15.75" customHeight="1">
      <c r="A132" s="59"/>
      <c r="B132" s="63">
        <f t="shared" si="1"/>
        <v>15</v>
      </c>
      <c r="C132" s="135" t="s">
        <v>210</v>
      </c>
      <c r="D132" s="134" t="s">
        <v>74</v>
      </c>
      <c r="E132" s="135">
        <f t="shared" si="2"/>
        <v>10</v>
      </c>
      <c r="F132" s="134" t="s">
        <v>3595</v>
      </c>
      <c r="G132" s="63" t="str">
        <f>VLOOKUP(C132, 'Class Def. - General Data'!$C$20:$C$1000,1,false)</f>
        <v>ZBM1_ATAPGLOSSY</v>
      </c>
      <c r="H132" s="63" t="str">
        <f>IFERROR(__xludf.DUMMYFUNCTION("VLOOKUP(F132, IMPORTRANGE(""https://docs.google.com/spreadsheets/d/1Lhp9OU0JdFf_VYSMzH5lBcEaU4o8teT1piV-SNzShjg/edit?gid=554141278#gid=554141278"", ""'Char Def. - Attributes'!C20:C2242""), 1,false)"),"UOM1")</f>
        <v>UOM1</v>
      </c>
      <c r="I132" s="136"/>
    </row>
    <row r="133" ht="15.75" customHeight="1">
      <c r="A133" s="59"/>
      <c r="B133" s="63">
        <f t="shared" si="1"/>
        <v>15</v>
      </c>
      <c r="C133" s="135" t="s">
        <v>210</v>
      </c>
      <c r="D133" s="134" t="s">
        <v>74</v>
      </c>
      <c r="E133" s="135">
        <f t="shared" si="2"/>
        <v>11</v>
      </c>
      <c r="F133" s="134" t="s">
        <v>3596</v>
      </c>
      <c r="G133" s="63" t="str">
        <f>VLOOKUP(C133, 'Class Def. - General Data'!$C$20:$C$1000,1,false)</f>
        <v>ZBM1_ATAPGLOSSY</v>
      </c>
      <c r="H133" s="63" t="str">
        <f>IFERROR(__xludf.DUMMYFUNCTION("VLOOKUP(F133, IMPORTRANGE(""https://docs.google.com/spreadsheets/d/1Lhp9OU0JdFf_VYSMzH5lBcEaU4o8teT1piV-SNzShjg/edit?gid=554141278#gid=554141278"", ""'Char Def. - Attributes'!C20:C2242""), 1,false)"),"CONV1")</f>
        <v>CONV1</v>
      </c>
      <c r="I133" s="136"/>
    </row>
    <row r="134" ht="15.75" customHeight="1">
      <c r="A134" s="59"/>
      <c r="B134" s="63">
        <f t="shared" si="1"/>
        <v>15</v>
      </c>
      <c r="C134" s="135" t="s">
        <v>210</v>
      </c>
      <c r="D134" s="134" t="s">
        <v>74</v>
      </c>
      <c r="E134" s="135">
        <f t="shared" si="2"/>
        <v>12</v>
      </c>
      <c r="F134" s="134" t="s">
        <v>3597</v>
      </c>
      <c r="G134" s="63" t="str">
        <f>VLOOKUP(C134, 'Class Def. - General Data'!$C$20:$C$1000,1,false)</f>
        <v>ZBM1_ATAPGLOSSY</v>
      </c>
      <c r="H134" s="63" t="str">
        <f>IFERROR(__xludf.DUMMYFUNCTION("VLOOKUP(F134, IMPORTRANGE(""https://docs.google.com/spreadsheets/d/1Lhp9OU0JdFf_VYSMzH5lBcEaU4o8teT1piV-SNzShjg/edit?gid=554141278#gid=554141278"", ""'Char Def. - Attributes'!C20:C2242""), 1,false)"),"UOM2")</f>
        <v>UOM2</v>
      </c>
      <c r="I134" s="136"/>
    </row>
    <row r="135" ht="15.75" customHeight="1">
      <c r="A135" s="59"/>
      <c r="B135" s="63">
        <f t="shared" si="1"/>
        <v>15</v>
      </c>
      <c r="C135" s="135" t="s">
        <v>210</v>
      </c>
      <c r="D135" s="134" t="s">
        <v>74</v>
      </c>
      <c r="E135" s="135">
        <f t="shared" si="2"/>
        <v>13</v>
      </c>
      <c r="F135" s="134" t="s">
        <v>3598</v>
      </c>
      <c r="G135" s="63" t="str">
        <f>VLOOKUP(C135, 'Class Def. - General Data'!$C$20:$C$1000,1,false)</f>
        <v>ZBM1_ATAPGLOSSY</v>
      </c>
      <c r="H135" s="63" t="str">
        <f>IFERROR(__xludf.DUMMYFUNCTION("VLOOKUP(F135, IMPORTRANGE(""https://docs.google.com/spreadsheets/d/1Lhp9OU0JdFf_VYSMzH5lBcEaU4o8teT1piV-SNzShjg/edit?gid=554141278#gid=554141278"", ""'Char Def. - Attributes'!C20:C2242""), 1,false)"),"CONV2")</f>
        <v>CONV2</v>
      </c>
      <c r="I135" s="136"/>
    </row>
    <row r="136" ht="15.75" customHeight="1">
      <c r="A136" s="59"/>
      <c r="B136" s="63">
        <f t="shared" si="1"/>
        <v>15</v>
      </c>
      <c r="C136" s="135" t="s">
        <v>210</v>
      </c>
      <c r="D136" s="134" t="s">
        <v>74</v>
      </c>
      <c r="E136" s="135">
        <f t="shared" si="2"/>
        <v>14</v>
      </c>
      <c r="F136" s="134" t="s">
        <v>3599</v>
      </c>
      <c r="G136" s="63" t="str">
        <f>VLOOKUP(C136, 'Class Def. - General Data'!$C$20:$C$1000,1,false)</f>
        <v>ZBM1_ATAPGLOSSY</v>
      </c>
      <c r="H136" s="63" t="str">
        <f>IFERROR(__xludf.DUMMYFUNCTION("VLOOKUP(F136, IMPORTRANGE(""https://docs.google.com/spreadsheets/d/1Lhp9OU0JdFf_VYSMzH5lBcEaU4o8teT1piV-SNzShjg/edit?gid=554141278#gid=554141278"", ""'Char Def. - Attributes'!C20:C2242""), 1,false)"),"UOM3")</f>
        <v>UOM3</v>
      </c>
      <c r="I136" s="136"/>
    </row>
    <row r="137" ht="15.75" customHeight="1">
      <c r="A137" s="59"/>
      <c r="B137" s="63">
        <f t="shared" si="1"/>
        <v>15</v>
      </c>
      <c r="C137" s="135" t="s">
        <v>210</v>
      </c>
      <c r="D137" s="134" t="s">
        <v>74</v>
      </c>
      <c r="E137" s="135">
        <f t="shared" si="2"/>
        <v>15</v>
      </c>
      <c r="F137" s="134" t="s">
        <v>3600</v>
      </c>
      <c r="G137" s="63" t="str">
        <f>VLOOKUP(C137, 'Class Def. - General Data'!$C$20:$C$1000,1,false)</f>
        <v>ZBM1_ATAPGLOSSY</v>
      </c>
      <c r="H137" s="63" t="str">
        <f>IFERROR(__xludf.DUMMYFUNCTION("VLOOKUP(F137, IMPORTRANGE(""https://docs.google.com/spreadsheets/d/1Lhp9OU0JdFf_VYSMzH5lBcEaU4o8teT1piV-SNzShjg/edit?gid=554141278#gid=554141278"", ""'Char Def. - Attributes'!C20:C2242""), 1,false)"),"CONV3")</f>
        <v>CONV3</v>
      </c>
      <c r="I137" s="136"/>
    </row>
    <row r="138" ht="15.75" customHeight="1">
      <c r="A138" s="59"/>
      <c r="B138" s="63">
        <f t="shared" si="1"/>
        <v>15</v>
      </c>
      <c r="C138" s="135" t="s">
        <v>210</v>
      </c>
      <c r="D138" s="134" t="s">
        <v>74</v>
      </c>
      <c r="E138" s="135">
        <f t="shared" si="2"/>
        <v>16</v>
      </c>
      <c r="F138" s="134" t="s">
        <v>3601</v>
      </c>
      <c r="G138" s="63" t="str">
        <f>VLOOKUP(C138, 'Class Def. - General Data'!$C$20:$C$1000,1,false)</f>
        <v>ZBM1_ATAPGLOSSY</v>
      </c>
      <c r="H138" s="63" t="str">
        <f>IFERROR(__xludf.DUMMYFUNCTION("VLOOKUP(F138, IMPORTRANGE(""https://docs.google.com/spreadsheets/d/1Lhp9OU0JdFf_VYSMzH5lBcEaU4o8teT1piV-SNzShjg/edit?gid=554141278#gid=554141278"", ""'Char Def. - Attributes'!C20:C2242""), 1,false)"),"GROSS_WEIGHT")</f>
        <v>GROSS_WEIGHT</v>
      </c>
      <c r="I138" s="136"/>
    </row>
    <row r="139" ht="15.75" customHeight="1">
      <c r="A139" s="59"/>
      <c r="B139" s="63">
        <f t="shared" si="1"/>
        <v>15</v>
      </c>
      <c r="C139" s="135" t="s">
        <v>210</v>
      </c>
      <c r="D139" s="134" t="s">
        <v>74</v>
      </c>
      <c r="E139" s="135">
        <f t="shared" si="2"/>
        <v>17</v>
      </c>
      <c r="F139" s="134" t="s">
        <v>3602</v>
      </c>
      <c r="G139" s="63" t="str">
        <f>VLOOKUP(C139, 'Class Def. - General Data'!$C$20:$C$1000,1,false)</f>
        <v>ZBM1_ATAPGLOSSY</v>
      </c>
      <c r="H139" s="63" t="str">
        <f>IFERROR(__xludf.DUMMYFUNCTION("VLOOKUP(F139, IMPORTRANGE(""https://docs.google.com/spreadsheets/d/1Lhp9OU0JdFf_VYSMzH5lBcEaU4o8teT1piV-SNzShjg/edit?gid=554141278#gid=554141278"", ""'Char Def. - Attributes'!C20:C2242""), 1,false)"),"NET_WEIGHT")</f>
        <v>NET_WEIGHT</v>
      </c>
      <c r="I139" s="136"/>
    </row>
    <row r="140" ht="15.75" customHeight="1">
      <c r="A140" s="59"/>
      <c r="B140" s="63">
        <f t="shared" si="1"/>
        <v>15</v>
      </c>
      <c r="C140" s="135" t="s">
        <v>210</v>
      </c>
      <c r="D140" s="134" t="s">
        <v>74</v>
      </c>
      <c r="E140" s="135">
        <f t="shared" si="2"/>
        <v>18</v>
      </c>
      <c r="F140" s="134" t="s">
        <v>3603</v>
      </c>
      <c r="G140" s="63" t="str">
        <f>VLOOKUP(C140, 'Class Def. - General Data'!$C$20:$C$1000,1,false)</f>
        <v>ZBM1_ATAPGLOSSY</v>
      </c>
      <c r="H140" s="63" t="str">
        <f>IFERROR(__xludf.DUMMYFUNCTION("VLOOKUP(F140, IMPORTRANGE(""https://docs.google.com/spreadsheets/d/1Lhp9OU0JdFf_VYSMzH5lBcEaU4o8teT1piV-SNzShjg/edit?gid=554141278#gid=554141278"", ""'Char Def. - Attributes'!C20:C2242""), 1,false)"),"VOLUME")</f>
        <v>VOLUME</v>
      </c>
      <c r="I140" s="136"/>
    </row>
    <row r="141" ht="15.75" customHeight="1">
      <c r="A141" s="59"/>
      <c r="B141" s="63">
        <f t="shared" si="1"/>
        <v>15</v>
      </c>
      <c r="C141" s="135" t="s">
        <v>210</v>
      </c>
      <c r="D141" s="134" t="s">
        <v>74</v>
      </c>
      <c r="E141" s="135">
        <f t="shared" si="2"/>
        <v>19</v>
      </c>
      <c r="F141" s="134" t="s">
        <v>3585</v>
      </c>
      <c r="G141" s="63" t="str">
        <f>VLOOKUP(C141, 'Class Def. - General Data'!$C$20:$C$1000,1,false)</f>
        <v>ZBM1_ATAPGLOSSY</v>
      </c>
      <c r="H141" s="63" t="str">
        <f>IFERROR(__xludf.DUMMYFUNCTION("VLOOKUP(F141, IMPORTRANGE(""https://docs.google.com/spreadsheets/d/1Lhp9OU0JdFf_VYSMzH5lBcEaU4o8teT1piV-SNzShjg/edit?gid=554141278#gid=554141278"", ""'Char Def. - Attributes'!C20:C2242""), 1,false)"),"HS_CODE")</f>
        <v>HS_CODE</v>
      </c>
      <c r="I141" s="136"/>
    </row>
    <row r="142" ht="15.75" customHeight="1">
      <c r="A142" s="59"/>
      <c r="B142" s="63">
        <f t="shared" si="1"/>
        <v>15</v>
      </c>
      <c r="C142" s="135" t="s">
        <v>210</v>
      </c>
      <c r="D142" s="134" t="s">
        <v>74</v>
      </c>
      <c r="E142" s="135">
        <f t="shared" si="2"/>
        <v>20</v>
      </c>
      <c r="F142" s="134" t="s">
        <v>3586</v>
      </c>
      <c r="G142" s="63" t="str">
        <f>VLOOKUP(C142, 'Class Def. - General Data'!$C$20:$C$1000,1,false)</f>
        <v>ZBM1_ATAPGLOSSY</v>
      </c>
      <c r="H142" s="63" t="str">
        <f>IFERROR(__xludf.DUMMYFUNCTION("VLOOKUP(F142, IMPORTRANGE(""https://docs.google.com/spreadsheets/d/1Lhp9OU0JdFf_VYSMzH5lBcEaU4o8teT1piV-SNzShjg/edit?gid=554141278#gid=554141278"", ""'Char Def. - Attributes'!C20:C2242""), 1,false)"),"PLANT_PROD")</f>
        <v>PLANT_PROD</v>
      </c>
      <c r="I142" s="136"/>
    </row>
    <row r="143" ht="15.75" customHeight="1">
      <c r="A143" s="59"/>
      <c r="B143" s="63">
        <f t="shared" si="1"/>
        <v>15</v>
      </c>
      <c r="C143" s="135" t="s">
        <v>210</v>
      </c>
      <c r="D143" s="134" t="s">
        <v>74</v>
      </c>
      <c r="E143" s="135">
        <f t="shared" si="2"/>
        <v>21</v>
      </c>
      <c r="F143" s="134" t="s">
        <v>3587</v>
      </c>
      <c r="G143" s="63" t="str">
        <f>VLOOKUP(C143, 'Class Def. - General Data'!$C$20:$C$1000,1,false)</f>
        <v>ZBM1_ATAPGLOSSY</v>
      </c>
      <c r="H143" s="63" t="str">
        <f>IFERROR(__xludf.DUMMYFUNCTION("VLOOKUP(F143, IMPORTRANGE(""https://docs.google.com/spreadsheets/d/1Lhp9OU0JdFf_VYSMzH5lBcEaU4o8teT1piV-SNzShjg/edit?gid=554141278#gid=554141278"", ""'Char Def. - Attributes'!C20:C2242""), 1,false)"),"PLANT_BUY")</f>
        <v>PLANT_BUY</v>
      </c>
      <c r="I143" s="136"/>
    </row>
    <row r="144" ht="15.75" customHeight="1">
      <c r="A144" s="59"/>
      <c r="B144" s="63">
        <f t="shared" si="1"/>
        <v>14</v>
      </c>
      <c r="C144" s="135" t="s">
        <v>211</v>
      </c>
      <c r="D144" s="134" t="s">
        <v>74</v>
      </c>
      <c r="E144" s="135">
        <f t="shared" si="2"/>
        <v>1</v>
      </c>
      <c r="F144" s="134" t="s">
        <v>3588</v>
      </c>
      <c r="G144" s="63" t="str">
        <f>VLOOKUP(C144, 'Class Def. - General Data'!$C$20:$C$1000,1,false)</f>
        <v>ZBM1_ATAPMATTE</v>
      </c>
      <c r="H144" s="63" t="str">
        <f>IFERROR(__xludf.DUMMYFUNCTION("VLOOKUP(F144, IMPORTRANGE(""https://docs.google.com/spreadsheets/d/1Lhp9OU0JdFf_VYSMzH5lBcEaU4o8teT1piV-SNzShjg/edit?gid=554141278#gid=554141278"", ""'Char Def. - Attributes'!C20:C2242""), 1,false)"),"BM_TYPE")</f>
        <v>BM_TYPE</v>
      </c>
      <c r="I144" s="136"/>
    </row>
    <row r="145" ht="15.75" customHeight="1">
      <c r="A145" s="59"/>
      <c r="B145" s="63">
        <f t="shared" si="1"/>
        <v>14</v>
      </c>
      <c r="C145" s="135" t="s">
        <v>211</v>
      </c>
      <c r="D145" s="134" t="s">
        <v>74</v>
      </c>
      <c r="E145" s="135">
        <f t="shared" si="2"/>
        <v>2</v>
      </c>
      <c r="F145" s="134" t="s">
        <v>3589</v>
      </c>
      <c r="G145" s="63" t="str">
        <f>VLOOKUP(C145, 'Class Def. - General Data'!$C$20:$C$1000,1,false)</f>
        <v>ZBM1_ATAPMATTE</v>
      </c>
      <c r="H145" s="63" t="str">
        <f>IFERROR(__xludf.DUMMYFUNCTION("VLOOKUP(F145, IMPORTRANGE(""https://docs.google.com/spreadsheets/d/1Lhp9OU0JdFf_VYSMzH5lBcEaU4o8teT1piV-SNzShjg/edit?gid=554141278#gid=554141278"", ""'Char Def. - Attributes'!C20:C2242""), 1,false)"),"BM_BRAND")</f>
        <v>BM_BRAND</v>
      </c>
      <c r="I145" s="136"/>
    </row>
    <row r="146" ht="15.75" customHeight="1">
      <c r="A146" s="59"/>
      <c r="B146" s="63">
        <f t="shared" si="1"/>
        <v>14</v>
      </c>
      <c r="C146" s="135" t="s">
        <v>211</v>
      </c>
      <c r="D146" s="134" t="s">
        <v>74</v>
      </c>
      <c r="E146" s="135">
        <f t="shared" si="2"/>
        <v>3</v>
      </c>
      <c r="F146" s="134" t="s">
        <v>3590</v>
      </c>
      <c r="G146" s="63" t="str">
        <f>VLOOKUP(C146, 'Class Def. - General Data'!$C$20:$C$1000,1,false)</f>
        <v>ZBM1_ATAPMATTE</v>
      </c>
      <c r="H146" s="63" t="str">
        <f>IFERROR(__xludf.DUMMYFUNCTION("VLOOKUP(F146, IMPORTRANGE(""https://docs.google.com/spreadsheets/d/1Lhp9OU0JdFf_VYSMzH5lBcEaU4o8teT1piV-SNzShjg/edit?gid=554141278#gid=554141278"", ""'Char Def. - Attributes'!C20:C2242""), 1,false)"),"BM_VARIAN")</f>
        <v>BM_VARIAN</v>
      </c>
      <c r="I146" s="136"/>
    </row>
    <row r="147" ht="15.75" customHeight="1">
      <c r="A147" s="59"/>
      <c r="B147" s="63">
        <f t="shared" si="1"/>
        <v>14</v>
      </c>
      <c r="C147" s="135" t="s">
        <v>211</v>
      </c>
      <c r="D147" s="134" t="s">
        <v>74</v>
      </c>
      <c r="E147" s="135">
        <f t="shared" si="2"/>
        <v>4</v>
      </c>
      <c r="F147" s="134" t="s">
        <v>3591</v>
      </c>
      <c r="G147" s="63" t="str">
        <f>VLOOKUP(C147, 'Class Def. - General Data'!$C$20:$C$1000,1,false)</f>
        <v>ZBM1_ATAPMATTE</v>
      </c>
      <c r="H147" s="63" t="str">
        <f>IFERROR(__xludf.DUMMYFUNCTION("VLOOKUP(F147, IMPORTRANGE(""https://docs.google.com/spreadsheets/d/1Lhp9OU0JdFf_VYSMzH5lBcEaU4o8teT1piV-SNzShjg/edit?gid=554141278#gid=554141278"", ""'Char Def. - Attributes'!C20:C2242""), 1,false)"),"BM_COLOR")</f>
        <v>BM_COLOR</v>
      </c>
      <c r="I147" s="136"/>
    </row>
    <row r="148" ht="15.75" customHeight="1">
      <c r="A148" s="59"/>
      <c r="B148" s="63">
        <f t="shared" si="1"/>
        <v>14</v>
      </c>
      <c r="C148" s="135" t="s">
        <v>211</v>
      </c>
      <c r="D148" s="134" t="s">
        <v>74</v>
      </c>
      <c r="E148" s="135">
        <f t="shared" si="2"/>
        <v>5</v>
      </c>
      <c r="F148" s="134" t="s">
        <v>3592</v>
      </c>
      <c r="G148" s="63" t="str">
        <f>VLOOKUP(C148, 'Class Def. - General Data'!$C$20:$C$1000,1,false)</f>
        <v>ZBM1_ATAPMATTE</v>
      </c>
      <c r="H148" s="63" t="str">
        <f>IFERROR(__xludf.DUMMYFUNCTION("VLOOKUP(F148, IMPORTRANGE(""https://docs.google.com/spreadsheets/d/1Lhp9OU0JdFf_VYSMzH5lBcEaU4o8teT1piV-SNzShjg/edit?gid=554141278#gid=554141278"", ""'Char Def. - Attributes'!C20:C2242""), 1,false)"),"BM_SIZE")</f>
        <v>BM_SIZE</v>
      </c>
      <c r="I148" s="136"/>
    </row>
    <row r="149" ht="15.75" customHeight="1">
      <c r="A149" s="59"/>
      <c r="B149" s="63">
        <f t="shared" si="1"/>
        <v>14</v>
      </c>
      <c r="C149" s="135" t="s">
        <v>211</v>
      </c>
      <c r="D149" s="134" t="s">
        <v>74</v>
      </c>
      <c r="E149" s="135">
        <f t="shared" si="2"/>
        <v>6</v>
      </c>
      <c r="F149" s="134" t="s">
        <v>3593</v>
      </c>
      <c r="G149" s="63" t="str">
        <f>VLOOKUP(C149, 'Class Def. - General Data'!$C$20:$C$1000,1,false)</f>
        <v>ZBM1_ATAPMATTE</v>
      </c>
      <c r="H149" s="63" t="str">
        <f>IFERROR(__xludf.DUMMYFUNCTION("VLOOKUP(F149, IMPORTRANGE(""https://docs.google.com/spreadsheets/d/1Lhp9OU0JdFf_VYSMzH5lBcEaU4o8teT1piV-SNzShjg/edit?gid=554141278#gid=554141278"", ""'Char Def. - Attributes'!C20:C2242""), 1,false)"),"BM_GRADE")</f>
        <v>BM_GRADE</v>
      </c>
      <c r="I149" s="136"/>
    </row>
    <row r="150" ht="15.75" customHeight="1">
      <c r="A150" s="59"/>
      <c r="B150" s="63">
        <f t="shared" si="1"/>
        <v>14</v>
      </c>
      <c r="C150" s="135" t="s">
        <v>211</v>
      </c>
      <c r="D150" s="134" t="s">
        <v>74</v>
      </c>
      <c r="E150" s="135">
        <f t="shared" si="2"/>
        <v>7</v>
      </c>
      <c r="F150" s="134" t="s">
        <v>3594</v>
      </c>
      <c r="G150" s="63" t="str">
        <f>VLOOKUP(C150, 'Class Def. - General Data'!$C$20:$C$1000,1,false)</f>
        <v>ZBM1_ATAPMATTE</v>
      </c>
      <c r="H150" s="63" t="str">
        <f>IFERROR(__xludf.DUMMYFUNCTION("VLOOKUP(F150, IMPORTRANGE(""https://docs.google.com/spreadsheets/d/1Lhp9OU0JdFf_VYSMzH5lBcEaU4o8teT1piV-SNzShjg/edit?gid=554141278#gid=554141278"", ""'Char Def. - Attributes'!C20:C2242""), 1,false)"),"BM_MANUFACTURE")</f>
        <v>BM_MANUFACTURE</v>
      </c>
      <c r="I150" s="136"/>
    </row>
    <row r="151" ht="15.75" customHeight="1">
      <c r="A151" s="59"/>
      <c r="B151" s="63">
        <f t="shared" si="1"/>
        <v>14</v>
      </c>
      <c r="C151" s="135" t="s">
        <v>211</v>
      </c>
      <c r="D151" s="134" t="s">
        <v>74</v>
      </c>
      <c r="E151" s="135">
        <f t="shared" si="2"/>
        <v>8</v>
      </c>
      <c r="F151" s="134" t="s">
        <v>3582</v>
      </c>
      <c r="G151" s="63" t="str">
        <f>VLOOKUP(C151, 'Class Def. - General Data'!$C$20:$C$1000,1,false)</f>
        <v>ZBM1_ATAPMATTE</v>
      </c>
      <c r="H151" s="63" t="str">
        <f>IFERROR(__xludf.DUMMYFUNCTION("VLOOKUP(F151, IMPORTRANGE(""https://docs.google.com/spreadsheets/d/1Lhp9OU0JdFf_VYSMzH5lBcEaU4o8teT1piV-SNzShjg/edit?gid=554141278#gid=554141278"", ""'Char Def. - Attributes'!C20:C2242""), 1,false)"),"BASE_UNIT")</f>
        <v>BASE_UNIT</v>
      </c>
      <c r="I151" s="136"/>
    </row>
    <row r="152" ht="15.75" customHeight="1">
      <c r="A152" s="59"/>
      <c r="B152" s="63">
        <f t="shared" si="1"/>
        <v>14</v>
      </c>
      <c r="C152" s="135" t="s">
        <v>211</v>
      </c>
      <c r="D152" s="134" t="s">
        <v>74</v>
      </c>
      <c r="E152" s="135">
        <f t="shared" si="2"/>
        <v>9</v>
      </c>
      <c r="F152" s="134" t="s">
        <v>3583</v>
      </c>
      <c r="G152" s="63" t="str">
        <f>VLOOKUP(C152, 'Class Def. - General Data'!$C$20:$C$1000,1,false)</f>
        <v>ZBM1_ATAPMATTE</v>
      </c>
      <c r="H152" s="63" t="str">
        <f>IFERROR(__xludf.DUMMYFUNCTION("VLOOKUP(F152, IMPORTRANGE(""https://docs.google.com/spreadsheets/d/1Lhp9OU0JdFf_VYSMzH5lBcEaU4o8teT1piV-SNzShjg/edit?gid=554141278#gid=554141278"", ""'Char Def. - Attributes'!C20:C2242""), 1,false)"),"SALES_UNIT")</f>
        <v>SALES_UNIT</v>
      </c>
      <c r="I152" s="136"/>
    </row>
    <row r="153" ht="15.75" customHeight="1">
      <c r="A153" s="59"/>
      <c r="B153" s="63">
        <f t="shared" si="1"/>
        <v>14</v>
      </c>
      <c r="C153" s="135" t="s">
        <v>211</v>
      </c>
      <c r="D153" s="134" t="s">
        <v>74</v>
      </c>
      <c r="E153" s="135">
        <f t="shared" si="2"/>
        <v>10</v>
      </c>
      <c r="F153" s="134" t="s">
        <v>3595</v>
      </c>
      <c r="G153" s="63" t="str">
        <f>VLOOKUP(C153, 'Class Def. - General Data'!$C$20:$C$1000,1,false)</f>
        <v>ZBM1_ATAPMATTE</v>
      </c>
      <c r="H153" s="63" t="str">
        <f>IFERROR(__xludf.DUMMYFUNCTION("VLOOKUP(F153, IMPORTRANGE(""https://docs.google.com/spreadsheets/d/1Lhp9OU0JdFf_VYSMzH5lBcEaU4o8teT1piV-SNzShjg/edit?gid=554141278#gid=554141278"", ""'Char Def. - Attributes'!C20:C2242""), 1,false)"),"UOM1")</f>
        <v>UOM1</v>
      </c>
      <c r="I153" s="136"/>
    </row>
    <row r="154" ht="15.75" customHeight="1">
      <c r="A154" s="59"/>
      <c r="B154" s="63">
        <f t="shared" si="1"/>
        <v>14</v>
      </c>
      <c r="C154" s="135" t="s">
        <v>211</v>
      </c>
      <c r="D154" s="134" t="s">
        <v>74</v>
      </c>
      <c r="E154" s="135">
        <f t="shared" si="2"/>
        <v>11</v>
      </c>
      <c r="F154" s="134" t="s">
        <v>3596</v>
      </c>
      <c r="G154" s="63" t="str">
        <f>VLOOKUP(C154, 'Class Def. - General Data'!$C$20:$C$1000,1,false)</f>
        <v>ZBM1_ATAPMATTE</v>
      </c>
      <c r="H154" s="63" t="str">
        <f>IFERROR(__xludf.DUMMYFUNCTION("VLOOKUP(F154, IMPORTRANGE(""https://docs.google.com/spreadsheets/d/1Lhp9OU0JdFf_VYSMzH5lBcEaU4o8teT1piV-SNzShjg/edit?gid=554141278#gid=554141278"", ""'Char Def. - Attributes'!C20:C2242""), 1,false)"),"CONV1")</f>
        <v>CONV1</v>
      </c>
      <c r="I154" s="136"/>
    </row>
    <row r="155" ht="15.75" customHeight="1">
      <c r="A155" s="59"/>
      <c r="B155" s="63">
        <f t="shared" si="1"/>
        <v>14</v>
      </c>
      <c r="C155" s="135" t="s">
        <v>211</v>
      </c>
      <c r="D155" s="134" t="s">
        <v>74</v>
      </c>
      <c r="E155" s="135">
        <f t="shared" si="2"/>
        <v>12</v>
      </c>
      <c r="F155" s="134" t="s">
        <v>3597</v>
      </c>
      <c r="G155" s="63" t="str">
        <f>VLOOKUP(C155, 'Class Def. - General Data'!$C$20:$C$1000,1,false)</f>
        <v>ZBM1_ATAPMATTE</v>
      </c>
      <c r="H155" s="63" t="str">
        <f>IFERROR(__xludf.DUMMYFUNCTION("VLOOKUP(F155, IMPORTRANGE(""https://docs.google.com/spreadsheets/d/1Lhp9OU0JdFf_VYSMzH5lBcEaU4o8teT1piV-SNzShjg/edit?gid=554141278#gid=554141278"", ""'Char Def. - Attributes'!C20:C2242""), 1,false)"),"UOM2")</f>
        <v>UOM2</v>
      </c>
      <c r="I155" s="136"/>
    </row>
    <row r="156" ht="15.75" customHeight="1">
      <c r="A156" s="59"/>
      <c r="B156" s="63">
        <f t="shared" si="1"/>
        <v>14</v>
      </c>
      <c r="C156" s="135" t="s">
        <v>211</v>
      </c>
      <c r="D156" s="134" t="s">
        <v>74</v>
      </c>
      <c r="E156" s="135">
        <f t="shared" si="2"/>
        <v>13</v>
      </c>
      <c r="F156" s="134" t="s">
        <v>3598</v>
      </c>
      <c r="G156" s="63" t="str">
        <f>VLOOKUP(C156, 'Class Def. - General Data'!$C$20:$C$1000,1,false)</f>
        <v>ZBM1_ATAPMATTE</v>
      </c>
      <c r="H156" s="63" t="str">
        <f>IFERROR(__xludf.DUMMYFUNCTION("VLOOKUP(F156, IMPORTRANGE(""https://docs.google.com/spreadsheets/d/1Lhp9OU0JdFf_VYSMzH5lBcEaU4o8teT1piV-SNzShjg/edit?gid=554141278#gid=554141278"", ""'Char Def. - Attributes'!C20:C2242""), 1,false)"),"CONV2")</f>
        <v>CONV2</v>
      </c>
      <c r="I156" s="136"/>
    </row>
    <row r="157" ht="15.75" customHeight="1">
      <c r="A157" s="59"/>
      <c r="B157" s="63">
        <f t="shared" si="1"/>
        <v>14</v>
      </c>
      <c r="C157" s="135" t="s">
        <v>211</v>
      </c>
      <c r="D157" s="134" t="s">
        <v>74</v>
      </c>
      <c r="E157" s="135">
        <f t="shared" si="2"/>
        <v>14</v>
      </c>
      <c r="F157" s="134" t="s">
        <v>3599</v>
      </c>
      <c r="G157" s="63" t="str">
        <f>VLOOKUP(C157, 'Class Def. - General Data'!$C$20:$C$1000,1,false)</f>
        <v>ZBM1_ATAPMATTE</v>
      </c>
      <c r="H157" s="63" t="str">
        <f>IFERROR(__xludf.DUMMYFUNCTION("VLOOKUP(F157, IMPORTRANGE(""https://docs.google.com/spreadsheets/d/1Lhp9OU0JdFf_VYSMzH5lBcEaU4o8teT1piV-SNzShjg/edit?gid=554141278#gid=554141278"", ""'Char Def. - Attributes'!C20:C2242""), 1,false)"),"UOM3")</f>
        <v>UOM3</v>
      </c>
      <c r="I157" s="136"/>
    </row>
    <row r="158" ht="15.75" customHeight="1">
      <c r="A158" s="59"/>
      <c r="B158" s="63">
        <f t="shared" si="1"/>
        <v>14</v>
      </c>
      <c r="C158" s="135" t="s">
        <v>211</v>
      </c>
      <c r="D158" s="134" t="s">
        <v>74</v>
      </c>
      <c r="E158" s="135">
        <f t="shared" si="2"/>
        <v>15</v>
      </c>
      <c r="F158" s="134" t="s">
        <v>3600</v>
      </c>
      <c r="G158" s="63" t="str">
        <f>VLOOKUP(C158, 'Class Def. - General Data'!$C$20:$C$1000,1,false)</f>
        <v>ZBM1_ATAPMATTE</v>
      </c>
      <c r="H158" s="63" t="str">
        <f>IFERROR(__xludf.DUMMYFUNCTION("VLOOKUP(F158, IMPORTRANGE(""https://docs.google.com/spreadsheets/d/1Lhp9OU0JdFf_VYSMzH5lBcEaU4o8teT1piV-SNzShjg/edit?gid=554141278#gid=554141278"", ""'Char Def. - Attributes'!C20:C2242""), 1,false)"),"CONV3")</f>
        <v>CONV3</v>
      </c>
      <c r="I158" s="136"/>
    </row>
    <row r="159" ht="15.75" customHeight="1">
      <c r="A159" s="59"/>
      <c r="B159" s="63">
        <f t="shared" si="1"/>
        <v>14</v>
      </c>
      <c r="C159" s="135" t="s">
        <v>211</v>
      </c>
      <c r="D159" s="134" t="s">
        <v>74</v>
      </c>
      <c r="E159" s="135">
        <f t="shared" si="2"/>
        <v>16</v>
      </c>
      <c r="F159" s="134" t="s">
        <v>3601</v>
      </c>
      <c r="G159" s="63" t="str">
        <f>VLOOKUP(C159, 'Class Def. - General Data'!$C$20:$C$1000,1,false)</f>
        <v>ZBM1_ATAPMATTE</v>
      </c>
      <c r="H159" s="63" t="str">
        <f>IFERROR(__xludf.DUMMYFUNCTION("VLOOKUP(F159, IMPORTRANGE(""https://docs.google.com/spreadsheets/d/1Lhp9OU0JdFf_VYSMzH5lBcEaU4o8teT1piV-SNzShjg/edit?gid=554141278#gid=554141278"", ""'Char Def. - Attributes'!C20:C2242""), 1,false)"),"GROSS_WEIGHT")</f>
        <v>GROSS_WEIGHT</v>
      </c>
      <c r="I159" s="136"/>
    </row>
    <row r="160" ht="15.75" customHeight="1">
      <c r="A160" s="59"/>
      <c r="B160" s="63">
        <f t="shared" si="1"/>
        <v>14</v>
      </c>
      <c r="C160" s="135" t="s">
        <v>211</v>
      </c>
      <c r="D160" s="134" t="s">
        <v>74</v>
      </c>
      <c r="E160" s="135">
        <f t="shared" si="2"/>
        <v>17</v>
      </c>
      <c r="F160" s="134" t="s">
        <v>3602</v>
      </c>
      <c r="G160" s="63" t="str">
        <f>VLOOKUP(C160, 'Class Def. - General Data'!$C$20:$C$1000,1,false)</f>
        <v>ZBM1_ATAPMATTE</v>
      </c>
      <c r="H160" s="63" t="str">
        <f>IFERROR(__xludf.DUMMYFUNCTION("VLOOKUP(F160, IMPORTRANGE(""https://docs.google.com/spreadsheets/d/1Lhp9OU0JdFf_VYSMzH5lBcEaU4o8teT1piV-SNzShjg/edit?gid=554141278#gid=554141278"", ""'Char Def. - Attributes'!C20:C2242""), 1,false)"),"NET_WEIGHT")</f>
        <v>NET_WEIGHT</v>
      </c>
      <c r="I160" s="136"/>
    </row>
    <row r="161" ht="15.75" customHeight="1">
      <c r="A161" s="59"/>
      <c r="B161" s="63">
        <f t="shared" si="1"/>
        <v>14</v>
      </c>
      <c r="C161" s="135" t="s">
        <v>211</v>
      </c>
      <c r="D161" s="134" t="s">
        <v>74</v>
      </c>
      <c r="E161" s="135">
        <f t="shared" si="2"/>
        <v>18</v>
      </c>
      <c r="F161" s="134" t="s">
        <v>3603</v>
      </c>
      <c r="G161" s="63" t="str">
        <f>VLOOKUP(C161, 'Class Def. - General Data'!$C$20:$C$1000,1,false)</f>
        <v>ZBM1_ATAPMATTE</v>
      </c>
      <c r="H161" s="63" t="str">
        <f>IFERROR(__xludf.DUMMYFUNCTION("VLOOKUP(F161, IMPORTRANGE(""https://docs.google.com/spreadsheets/d/1Lhp9OU0JdFf_VYSMzH5lBcEaU4o8teT1piV-SNzShjg/edit?gid=554141278#gid=554141278"", ""'Char Def. - Attributes'!C20:C2242""), 1,false)"),"VOLUME")</f>
        <v>VOLUME</v>
      </c>
      <c r="I161" s="136"/>
    </row>
    <row r="162" ht="15.75" customHeight="1">
      <c r="A162" s="59"/>
      <c r="B162" s="63">
        <f t="shared" si="1"/>
        <v>14</v>
      </c>
      <c r="C162" s="135" t="s">
        <v>211</v>
      </c>
      <c r="D162" s="134" t="s">
        <v>74</v>
      </c>
      <c r="E162" s="135">
        <f t="shared" si="2"/>
        <v>19</v>
      </c>
      <c r="F162" s="134" t="s">
        <v>3585</v>
      </c>
      <c r="G162" s="63" t="str">
        <f>VLOOKUP(C162, 'Class Def. - General Data'!$C$20:$C$1000,1,false)</f>
        <v>ZBM1_ATAPMATTE</v>
      </c>
      <c r="H162" s="63" t="str">
        <f>IFERROR(__xludf.DUMMYFUNCTION("VLOOKUP(F162, IMPORTRANGE(""https://docs.google.com/spreadsheets/d/1Lhp9OU0JdFf_VYSMzH5lBcEaU4o8teT1piV-SNzShjg/edit?gid=554141278#gid=554141278"", ""'Char Def. - Attributes'!C20:C2242""), 1,false)"),"HS_CODE")</f>
        <v>HS_CODE</v>
      </c>
      <c r="I162" s="136"/>
    </row>
    <row r="163" ht="15.75" customHeight="1">
      <c r="A163" s="59"/>
      <c r="B163" s="63">
        <f t="shared" si="1"/>
        <v>14</v>
      </c>
      <c r="C163" s="135" t="s">
        <v>211</v>
      </c>
      <c r="D163" s="134" t="s">
        <v>74</v>
      </c>
      <c r="E163" s="135">
        <f t="shared" si="2"/>
        <v>20</v>
      </c>
      <c r="F163" s="134" t="s">
        <v>3586</v>
      </c>
      <c r="G163" s="63" t="str">
        <f>VLOOKUP(C163, 'Class Def. - General Data'!$C$20:$C$1000,1,false)</f>
        <v>ZBM1_ATAPMATTE</v>
      </c>
      <c r="H163" s="63" t="str">
        <f>IFERROR(__xludf.DUMMYFUNCTION("VLOOKUP(F163, IMPORTRANGE(""https://docs.google.com/spreadsheets/d/1Lhp9OU0JdFf_VYSMzH5lBcEaU4o8teT1piV-SNzShjg/edit?gid=554141278#gid=554141278"", ""'Char Def. - Attributes'!C20:C2242""), 1,false)"),"PLANT_PROD")</f>
        <v>PLANT_PROD</v>
      </c>
      <c r="I163" s="136"/>
    </row>
    <row r="164" ht="15.75" customHeight="1">
      <c r="A164" s="59"/>
      <c r="B164" s="63">
        <f t="shared" si="1"/>
        <v>14</v>
      </c>
      <c r="C164" s="135" t="s">
        <v>211</v>
      </c>
      <c r="D164" s="134" t="s">
        <v>74</v>
      </c>
      <c r="E164" s="135">
        <f t="shared" si="2"/>
        <v>21</v>
      </c>
      <c r="F164" s="134" t="s">
        <v>3587</v>
      </c>
      <c r="G164" s="63" t="str">
        <f>VLOOKUP(C164, 'Class Def. - General Data'!$C$20:$C$1000,1,false)</f>
        <v>ZBM1_ATAPMATTE</v>
      </c>
      <c r="H164" s="63" t="str">
        <f>IFERROR(__xludf.DUMMYFUNCTION("VLOOKUP(F164, IMPORTRANGE(""https://docs.google.com/spreadsheets/d/1Lhp9OU0JdFf_VYSMzH5lBcEaU4o8teT1piV-SNzShjg/edit?gid=554141278#gid=554141278"", ""'Char Def. - Attributes'!C20:C2242""), 1,false)"),"PLANT_BUY")</f>
        <v>PLANT_BUY</v>
      </c>
      <c r="I164" s="136"/>
    </row>
    <row r="165" ht="15.75" customHeight="1">
      <c r="A165" s="59"/>
      <c r="B165" s="63">
        <f t="shared" si="1"/>
        <v>15</v>
      </c>
      <c r="C165" s="135" t="s">
        <v>212</v>
      </c>
      <c r="D165" s="134" t="s">
        <v>74</v>
      </c>
      <c r="E165" s="135">
        <f t="shared" si="2"/>
        <v>1</v>
      </c>
      <c r="F165" s="134" t="s">
        <v>3588</v>
      </c>
      <c r="G165" s="63" t="str">
        <f>VLOOKUP(C165, 'Class Def. - General Data'!$C$20:$C$1000,1,false)</f>
        <v>ZBM1_ATAPSMALLC</v>
      </c>
      <c r="H165" s="63" t="str">
        <f>IFERROR(__xludf.DUMMYFUNCTION("VLOOKUP(F165, IMPORTRANGE(""https://docs.google.com/spreadsheets/d/1Lhp9OU0JdFf_VYSMzH5lBcEaU4o8teT1piV-SNzShjg/edit?gid=554141278#gid=554141278"", ""'Char Def. - Attributes'!C20:C2242""), 1,false)"),"BM_TYPE")</f>
        <v>BM_TYPE</v>
      </c>
      <c r="I165" s="136"/>
    </row>
    <row r="166" ht="15.75" customHeight="1">
      <c r="A166" s="59"/>
      <c r="B166" s="63">
        <f t="shared" si="1"/>
        <v>15</v>
      </c>
      <c r="C166" s="135" t="s">
        <v>212</v>
      </c>
      <c r="D166" s="134" t="s">
        <v>74</v>
      </c>
      <c r="E166" s="135">
        <f t="shared" si="2"/>
        <v>2</v>
      </c>
      <c r="F166" s="134" t="s">
        <v>3589</v>
      </c>
      <c r="G166" s="63" t="str">
        <f>VLOOKUP(C166, 'Class Def. - General Data'!$C$20:$C$1000,1,false)</f>
        <v>ZBM1_ATAPSMALLC</v>
      </c>
      <c r="H166" s="63" t="str">
        <f>IFERROR(__xludf.DUMMYFUNCTION("VLOOKUP(F166, IMPORTRANGE(""https://docs.google.com/spreadsheets/d/1Lhp9OU0JdFf_VYSMzH5lBcEaU4o8teT1piV-SNzShjg/edit?gid=554141278#gid=554141278"", ""'Char Def. - Attributes'!C20:C2242""), 1,false)"),"BM_BRAND")</f>
        <v>BM_BRAND</v>
      </c>
      <c r="I166" s="136"/>
    </row>
    <row r="167" ht="15.75" customHeight="1">
      <c r="A167" s="59"/>
      <c r="B167" s="63">
        <f t="shared" si="1"/>
        <v>15</v>
      </c>
      <c r="C167" s="135" t="s">
        <v>212</v>
      </c>
      <c r="D167" s="134" t="s">
        <v>74</v>
      </c>
      <c r="E167" s="135">
        <f t="shared" si="2"/>
        <v>3</v>
      </c>
      <c r="F167" s="134" t="s">
        <v>3590</v>
      </c>
      <c r="G167" s="63" t="str">
        <f>VLOOKUP(C167, 'Class Def. - General Data'!$C$20:$C$1000,1,false)</f>
        <v>ZBM1_ATAPSMALLC</v>
      </c>
      <c r="H167" s="63" t="str">
        <f>IFERROR(__xludf.DUMMYFUNCTION("VLOOKUP(F167, IMPORTRANGE(""https://docs.google.com/spreadsheets/d/1Lhp9OU0JdFf_VYSMzH5lBcEaU4o8teT1piV-SNzShjg/edit?gid=554141278#gid=554141278"", ""'Char Def. - Attributes'!C20:C2242""), 1,false)"),"BM_VARIAN")</f>
        <v>BM_VARIAN</v>
      </c>
      <c r="I167" s="136"/>
    </row>
    <row r="168" ht="15.75" customHeight="1">
      <c r="A168" s="59"/>
      <c r="B168" s="63">
        <f t="shared" si="1"/>
        <v>15</v>
      </c>
      <c r="C168" s="135" t="s">
        <v>212</v>
      </c>
      <c r="D168" s="134" t="s">
        <v>74</v>
      </c>
      <c r="E168" s="135">
        <f t="shared" si="2"/>
        <v>4</v>
      </c>
      <c r="F168" s="134" t="s">
        <v>3591</v>
      </c>
      <c r="G168" s="63" t="str">
        <f>VLOOKUP(C168, 'Class Def. - General Data'!$C$20:$C$1000,1,false)</f>
        <v>ZBM1_ATAPSMALLC</v>
      </c>
      <c r="H168" s="63" t="str">
        <f>IFERROR(__xludf.DUMMYFUNCTION("VLOOKUP(F168, IMPORTRANGE(""https://docs.google.com/spreadsheets/d/1Lhp9OU0JdFf_VYSMzH5lBcEaU4o8teT1piV-SNzShjg/edit?gid=554141278#gid=554141278"", ""'Char Def. - Attributes'!C20:C2242""), 1,false)"),"BM_COLOR")</f>
        <v>BM_COLOR</v>
      </c>
      <c r="I168" s="136"/>
    </row>
    <row r="169" ht="15.75" customHeight="1">
      <c r="A169" s="59"/>
      <c r="B169" s="63">
        <f t="shared" si="1"/>
        <v>15</v>
      </c>
      <c r="C169" s="135" t="s">
        <v>212</v>
      </c>
      <c r="D169" s="134" t="s">
        <v>74</v>
      </c>
      <c r="E169" s="135">
        <f t="shared" si="2"/>
        <v>5</v>
      </c>
      <c r="F169" s="134" t="s">
        <v>3592</v>
      </c>
      <c r="G169" s="63" t="str">
        <f>VLOOKUP(C169, 'Class Def. - General Data'!$C$20:$C$1000,1,false)</f>
        <v>ZBM1_ATAPSMALLC</v>
      </c>
      <c r="H169" s="63" t="str">
        <f>IFERROR(__xludf.DUMMYFUNCTION("VLOOKUP(F169, IMPORTRANGE(""https://docs.google.com/spreadsheets/d/1Lhp9OU0JdFf_VYSMzH5lBcEaU4o8teT1piV-SNzShjg/edit?gid=554141278#gid=554141278"", ""'Char Def. - Attributes'!C20:C2242""), 1,false)"),"BM_SIZE")</f>
        <v>BM_SIZE</v>
      </c>
      <c r="I169" s="136"/>
    </row>
    <row r="170" ht="15.75" customHeight="1">
      <c r="A170" s="59"/>
      <c r="B170" s="63">
        <f t="shared" si="1"/>
        <v>15</v>
      </c>
      <c r="C170" s="135" t="s">
        <v>212</v>
      </c>
      <c r="D170" s="134" t="s">
        <v>74</v>
      </c>
      <c r="E170" s="135">
        <f t="shared" si="2"/>
        <v>6</v>
      </c>
      <c r="F170" s="134" t="s">
        <v>3593</v>
      </c>
      <c r="G170" s="63" t="str">
        <f>VLOOKUP(C170, 'Class Def. - General Data'!$C$20:$C$1000,1,false)</f>
        <v>ZBM1_ATAPSMALLC</v>
      </c>
      <c r="H170" s="63" t="str">
        <f>IFERROR(__xludf.DUMMYFUNCTION("VLOOKUP(F170, IMPORTRANGE(""https://docs.google.com/spreadsheets/d/1Lhp9OU0JdFf_VYSMzH5lBcEaU4o8teT1piV-SNzShjg/edit?gid=554141278#gid=554141278"", ""'Char Def. - Attributes'!C20:C2242""), 1,false)"),"BM_GRADE")</f>
        <v>BM_GRADE</v>
      </c>
      <c r="I170" s="136"/>
    </row>
    <row r="171" ht="15.75" customHeight="1">
      <c r="A171" s="59"/>
      <c r="B171" s="63">
        <f t="shared" si="1"/>
        <v>15</v>
      </c>
      <c r="C171" s="135" t="s">
        <v>212</v>
      </c>
      <c r="D171" s="134" t="s">
        <v>74</v>
      </c>
      <c r="E171" s="135">
        <f t="shared" si="2"/>
        <v>7</v>
      </c>
      <c r="F171" s="134" t="s">
        <v>3594</v>
      </c>
      <c r="G171" s="63" t="str">
        <f>VLOOKUP(C171, 'Class Def. - General Data'!$C$20:$C$1000,1,false)</f>
        <v>ZBM1_ATAPSMALLC</v>
      </c>
      <c r="H171" s="63" t="str">
        <f>IFERROR(__xludf.DUMMYFUNCTION("VLOOKUP(F171, IMPORTRANGE(""https://docs.google.com/spreadsheets/d/1Lhp9OU0JdFf_VYSMzH5lBcEaU4o8teT1piV-SNzShjg/edit?gid=554141278#gid=554141278"", ""'Char Def. - Attributes'!C20:C2242""), 1,false)"),"BM_MANUFACTURE")</f>
        <v>BM_MANUFACTURE</v>
      </c>
      <c r="I171" s="136"/>
    </row>
    <row r="172" ht="15.75" customHeight="1">
      <c r="A172" s="59"/>
      <c r="B172" s="63">
        <f t="shared" si="1"/>
        <v>15</v>
      </c>
      <c r="C172" s="135" t="s">
        <v>212</v>
      </c>
      <c r="D172" s="134" t="s">
        <v>74</v>
      </c>
      <c r="E172" s="135">
        <f t="shared" si="2"/>
        <v>8</v>
      </c>
      <c r="F172" s="134" t="s">
        <v>3582</v>
      </c>
      <c r="G172" s="63" t="str">
        <f>VLOOKUP(C172, 'Class Def. - General Data'!$C$20:$C$1000,1,false)</f>
        <v>ZBM1_ATAPSMALLC</v>
      </c>
      <c r="H172" s="63" t="str">
        <f>IFERROR(__xludf.DUMMYFUNCTION("VLOOKUP(F172, IMPORTRANGE(""https://docs.google.com/spreadsheets/d/1Lhp9OU0JdFf_VYSMzH5lBcEaU4o8teT1piV-SNzShjg/edit?gid=554141278#gid=554141278"", ""'Char Def. - Attributes'!C20:C2242""), 1,false)"),"BASE_UNIT")</f>
        <v>BASE_UNIT</v>
      </c>
      <c r="I172" s="136"/>
    </row>
    <row r="173" ht="15.75" customHeight="1">
      <c r="A173" s="59"/>
      <c r="B173" s="63">
        <f t="shared" si="1"/>
        <v>15</v>
      </c>
      <c r="C173" s="135" t="s">
        <v>212</v>
      </c>
      <c r="D173" s="134" t="s">
        <v>74</v>
      </c>
      <c r="E173" s="135">
        <f t="shared" si="2"/>
        <v>9</v>
      </c>
      <c r="F173" s="134" t="s">
        <v>3583</v>
      </c>
      <c r="G173" s="63" t="str">
        <f>VLOOKUP(C173, 'Class Def. - General Data'!$C$20:$C$1000,1,false)</f>
        <v>ZBM1_ATAPSMALLC</v>
      </c>
      <c r="H173" s="63" t="str">
        <f>IFERROR(__xludf.DUMMYFUNCTION("VLOOKUP(F173, IMPORTRANGE(""https://docs.google.com/spreadsheets/d/1Lhp9OU0JdFf_VYSMzH5lBcEaU4o8teT1piV-SNzShjg/edit?gid=554141278#gid=554141278"", ""'Char Def. - Attributes'!C20:C2242""), 1,false)"),"SALES_UNIT")</f>
        <v>SALES_UNIT</v>
      </c>
      <c r="I173" s="136"/>
    </row>
    <row r="174" ht="15.75" customHeight="1">
      <c r="A174" s="59"/>
      <c r="B174" s="63">
        <f t="shared" si="1"/>
        <v>15</v>
      </c>
      <c r="C174" s="135" t="s">
        <v>212</v>
      </c>
      <c r="D174" s="134" t="s">
        <v>74</v>
      </c>
      <c r="E174" s="135">
        <f t="shared" si="2"/>
        <v>10</v>
      </c>
      <c r="F174" s="134" t="s">
        <v>3595</v>
      </c>
      <c r="G174" s="63" t="str">
        <f>VLOOKUP(C174, 'Class Def. - General Data'!$C$20:$C$1000,1,false)</f>
        <v>ZBM1_ATAPSMALLC</v>
      </c>
      <c r="H174" s="63" t="str">
        <f>IFERROR(__xludf.DUMMYFUNCTION("VLOOKUP(F174, IMPORTRANGE(""https://docs.google.com/spreadsheets/d/1Lhp9OU0JdFf_VYSMzH5lBcEaU4o8teT1piV-SNzShjg/edit?gid=554141278#gid=554141278"", ""'Char Def. - Attributes'!C20:C2242""), 1,false)"),"UOM1")</f>
        <v>UOM1</v>
      </c>
      <c r="I174" s="136"/>
    </row>
    <row r="175" ht="15.75" customHeight="1">
      <c r="A175" s="59"/>
      <c r="B175" s="63">
        <f t="shared" si="1"/>
        <v>15</v>
      </c>
      <c r="C175" s="135" t="s">
        <v>212</v>
      </c>
      <c r="D175" s="134" t="s">
        <v>74</v>
      </c>
      <c r="E175" s="135">
        <f t="shared" si="2"/>
        <v>11</v>
      </c>
      <c r="F175" s="134" t="s">
        <v>3596</v>
      </c>
      <c r="G175" s="63" t="str">
        <f>VLOOKUP(C175, 'Class Def. - General Data'!$C$20:$C$1000,1,false)</f>
        <v>ZBM1_ATAPSMALLC</v>
      </c>
      <c r="H175" s="63" t="str">
        <f>IFERROR(__xludf.DUMMYFUNCTION("VLOOKUP(F175, IMPORTRANGE(""https://docs.google.com/spreadsheets/d/1Lhp9OU0JdFf_VYSMzH5lBcEaU4o8teT1piV-SNzShjg/edit?gid=554141278#gid=554141278"", ""'Char Def. - Attributes'!C20:C2242""), 1,false)"),"CONV1")</f>
        <v>CONV1</v>
      </c>
      <c r="I175" s="136"/>
    </row>
    <row r="176" ht="15.75" customHeight="1">
      <c r="A176" s="59"/>
      <c r="B176" s="63">
        <f t="shared" si="1"/>
        <v>15</v>
      </c>
      <c r="C176" s="135" t="s">
        <v>212</v>
      </c>
      <c r="D176" s="134" t="s">
        <v>74</v>
      </c>
      <c r="E176" s="135">
        <f t="shared" si="2"/>
        <v>12</v>
      </c>
      <c r="F176" s="134" t="s">
        <v>3597</v>
      </c>
      <c r="G176" s="63" t="str">
        <f>VLOOKUP(C176, 'Class Def. - General Data'!$C$20:$C$1000,1,false)</f>
        <v>ZBM1_ATAPSMALLC</v>
      </c>
      <c r="H176" s="63" t="str">
        <f>IFERROR(__xludf.DUMMYFUNCTION("VLOOKUP(F176, IMPORTRANGE(""https://docs.google.com/spreadsheets/d/1Lhp9OU0JdFf_VYSMzH5lBcEaU4o8teT1piV-SNzShjg/edit?gid=554141278#gid=554141278"", ""'Char Def. - Attributes'!C20:C2242""), 1,false)"),"UOM2")</f>
        <v>UOM2</v>
      </c>
      <c r="I176" s="136"/>
    </row>
    <row r="177" ht="15.75" customHeight="1">
      <c r="A177" s="59"/>
      <c r="B177" s="63">
        <f t="shared" si="1"/>
        <v>15</v>
      </c>
      <c r="C177" s="135" t="s">
        <v>212</v>
      </c>
      <c r="D177" s="134" t="s">
        <v>74</v>
      </c>
      <c r="E177" s="135">
        <f t="shared" si="2"/>
        <v>13</v>
      </c>
      <c r="F177" s="134" t="s">
        <v>3598</v>
      </c>
      <c r="G177" s="63" t="str">
        <f>VLOOKUP(C177, 'Class Def. - General Data'!$C$20:$C$1000,1,false)</f>
        <v>ZBM1_ATAPSMALLC</v>
      </c>
      <c r="H177" s="63" t="str">
        <f>IFERROR(__xludf.DUMMYFUNCTION("VLOOKUP(F177, IMPORTRANGE(""https://docs.google.com/spreadsheets/d/1Lhp9OU0JdFf_VYSMzH5lBcEaU4o8teT1piV-SNzShjg/edit?gid=554141278#gid=554141278"", ""'Char Def. - Attributes'!C20:C2242""), 1,false)"),"CONV2")</f>
        <v>CONV2</v>
      </c>
      <c r="I177" s="136"/>
    </row>
    <row r="178" ht="15.75" customHeight="1">
      <c r="A178" s="59"/>
      <c r="B178" s="63">
        <f t="shared" si="1"/>
        <v>15</v>
      </c>
      <c r="C178" s="135" t="s">
        <v>212</v>
      </c>
      <c r="D178" s="134" t="s">
        <v>74</v>
      </c>
      <c r="E178" s="135">
        <f t="shared" si="2"/>
        <v>14</v>
      </c>
      <c r="F178" s="134" t="s">
        <v>3599</v>
      </c>
      <c r="G178" s="63" t="str">
        <f>VLOOKUP(C178, 'Class Def. - General Data'!$C$20:$C$1000,1,false)</f>
        <v>ZBM1_ATAPSMALLC</v>
      </c>
      <c r="H178" s="63" t="str">
        <f>IFERROR(__xludf.DUMMYFUNCTION("VLOOKUP(F178, IMPORTRANGE(""https://docs.google.com/spreadsheets/d/1Lhp9OU0JdFf_VYSMzH5lBcEaU4o8teT1piV-SNzShjg/edit?gid=554141278#gid=554141278"", ""'Char Def. - Attributes'!C20:C2242""), 1,false)"),"UOM3")</f>
        <v>UOM3</v>
      </c>
      <c r="I178" s="136"/>
    </row>
    <row r="179" ht="15.75" customHeight="1">
      <c r="A179" s="59"/>
      <c r="B179" s="63">
        <f t="shared" si="1"/>
        <v>15</v>
      </c>
      <c r="C179" s="135" t="s">
        <v>212</v>
      </c>
      <c r="D179" s="134" t="s">
        <v>74</v>
      </c>
      <c r="E179" s="135">
        <f t="shared" si="2"/>
        <v>15</v>
      </c>
      <c r="F179" s="134" t="s">
        <v>3600</v>
      </c>
      <c r="G179" s="63" t="str">
        <f>VLOOKUP(C179, 'Class Def. - General Data'!$C$20:$C$1000,1,false)</f>
        <v>ZBM1_ATAPSMALLC</v>
      </c>
      <c r="H179" s="63" t="str">
        <f>IFERROR(__xludf.DUMMYFUNCTION("VLOOKUP(F179, IMPORTRANGE(""https://docs.google.com/spreadsheets/d/1Lhp9OU0JdFf_VYSMzH5lBcEaU4o8teT1piV-SNzShjg/edit?gid=554141278#gid=554141278"", ""'Char Def. - Attributes'!C20:C2242""), 1,false)"),"CONV3")</f>
        <v>CONV3</v>
      </c>
      <c r="I179" s="136"/>
    </row>
    <row r="180" ht="15.75" customHeight="1">
      <c r="A180" s="59"/>
      <c r="B180" s="63">
        <f t="shared" si="1"/>
        <v>15</v>
      </c>
      <c r="C180" s="135" t="s">
        <v>212</v>
      </c>
      <c r="D180" s="134" t="s">
        <v>74</v>
      </c>
      <c r="E180" s="135">
        <f t="shared" si="2"/>
        <v>16</v>
      </c>
      <c r="F180" s="134" t="s">
        <v>3601</v>
      </c>
      <c r="G180" s="63" t="str">
        <f>VLOOKUP(C180, 'Class Def. - General Data'!$C$20:$C$1000,1,false)</f>
        <v>ZBM1_ATAPSMALLC</v>
      </c>
      <c r="H180" s="63" t="str">
        <f>IFERROR(__xludf.DUMMYFUNCTION("VLOOKUP(F180, IMPORTRANGE(""https://docs.google.com/spreadsheets/d/1Lhp9OU0JdFf_VYSMzH5lBcEaU4o8teT1piV-SNzShjg/edit?gid=554141278#gid=554141278"", ""'Char Def. - Attributes'!C20:C2242""), 1,false)"),"GROSS_WEIGHT")</f>
        <v>GROSS_WEIGHT</v>
      </c>
      <c r="I180" s="136"/>
    </row>
    <row r="181" ht="15.75" customHeight="1">
      <c r="A181" s="59"/>
      <c r="B181" s="63">
        <f t="shared" si="1"/>
        <v>15</v>
      </c>
      <c r="C181" s="135" t="s">
        <v>212</v>
      </c>
      <c r="D181" s="134" t="s">
        <v>74</v>
      </c>
      <c r="E181" s="135">
        <f t="shared" si="2"/>
        <v>17</v>
      </c>
      <c r="F181" s="134" t="s">
        <v>3602</v>
      </c>
      <c r="G181" s="63" t="str">
        <f>VLOOKUP(C181, 'Class Def. - General Data'!$C$20:$C$1000,1,false)</f>
        <v>ZBM1_ATAPSMALLC</v>
      </c>
      <c r="H181" s="63" t="str">
        <f>IFERROR(__xludf.DUMMYFUNCTION("VLOOKUP(F181, IMPORTRANGE(""https://docs.google.com/spreadsheets/d/1Lhp9OU0JdFf_VYSMzH5lBcEaU4o8teT1piV-SNzShjg/edit?gid=554141278#gid=554141278"", ""'Char Def. - Attributes'!C20:C2242""), 1,false)"),"NET_WEIGHT")</f>
        <v>NET_WEIGHT</v>
      </c>
      <c r="I181" s="136"/>
    </row>
    <row r="182" ht="15.75" customHeight="1">
      <c r="A182" s="59"/>
      <c r="B182" s="63">
        <f t="shared" si="1"/>
        <v>15</v>
      </c>
      <c r="C182" s="135" t="s">
        <v>212</v>
      </c>
      <c r="D182" s="134" t="s">
        <v>74</v>
      </c>
      <c r="E182" s="135">
        <f t="shared" si="2"/>
        <v>18</v>
      </c>
      <c r="F182" s="134" t="s">
        <v>3603</v>
      </c>
      <c r="G182" s="63" t="str">
        <f>VLOOKUP(C182, 'Class Def. - General Data'!$C$20:$C$1000,1,false)</f>
        <v>ZBM1_ATAPSMALLC</v>
      </c>
      <c r="H182" s="63" t="str">
        <f>IFERROR(__xludf.DUMMYFUNCTION("VLOOKUP(F182, IMPORTRANGE(""https://docs.google.com/spreadsheets/d/1Lhp9OU0JdFf_VYSMzH5lBcEaU4o8teT1piV-SNzShjg/edit?gid=554141278#gid=554141278"", ""'Char Def. - Attributes'!C20:C2242""), 1,false)"),"VOLUME")</f>
        <v>VOLUME</v>
      </c>
      <c r="I182" s="136"/>
    </row>
    <row r="183" ht="15.75" customHeight="1">
      <c r="A183" s="59"/>
      <c r="B183" s="63">
        <f t="shared" si="1"/>
        <v>15</v>
      </c>
      <c r="C183" s="135" t="s">
        <v>212</v>
      </c>
      <c r="D183" s="134" t="s">
        <v>74</v>
      </c>
      <c r="E183" s="135">
        <f t="shared" si="2"/>
        <v>19</v>
      </c>
      <c r="F183" s="134" t="s">
        <v>3585</v>
      </c>
      <c r="G183" s="63" t="str">
        <f>VLOOKUP(C183, 'Class Def. - General Data'!$C$20:$C$1000,1,false)</f>
        <v>ZBM1_ATAPSMALLC</v>
      </c>
      <c r="H183" s="63" t="str">
        <f>IFERROR(__xludf.DUMMYFUNCTION("VLOOKUP(F183, IMPORTRANGE(""https://docs.google.com/spreadsheets/d/1Lhp9OU0JdFf_VYSMzH5lBcEaU4o8teT1piV-SNzShjg/edit?gid=554141278#gid=554141278"", ""'Char Def. - Attributes'!C20:C2242""), 1,false)"),"HS_CODE")</f>
        <v>HS_CODE</v>
      </c>
      <c r="I183" s="136"/>
    </row>
    <row r="184" ht="15.75" customHeight="1">
      <c r="A184" s="59"/>
      <c r="B184" s="63">
        <f t="shared" si="1"/>
        <v>15</v>
      </c>
      <c r="C184" s="135" t="s">
        <v>212</v>
      </c>
      <c r="D184" s="134" t="s">
        <v>74</v>
      </c>
      <c r="E184" s="135">
        <f t="shared" si="2"/>
        <v>20</v>
      </c>
      <c r="F184" s="134" t="s">
        <v>3586</v>
      </c>
      <c r="G184" s="63" t="str">
        <f>VLOOKUP(C184, 'Class Def. - General Data'!$C$20:$C$1000,1,false)</f>
        <v>ZBM1_ATAPSMALLC</v>
      </c>
      <c r="H184" s="63" t="str">
        <f>IFERROR(__xludf.DUMMYFUNCTION("VLOOKUP(F184, IMPORTRANGE(""https://docs.google.com/spreadsheets/d/1Lhp9OU0JdFf_VYSMzH5lBcEaU4o8teT1piV-SNzShjg/edit?gid=554141278#gid=554141278"", ""'Char Def. - Attributes'!C20:C2242""), 1,false)"),"PLANT_PROD")</f>
        <v>PLANT_PROD</v>
      </c>
      <c r="I184" s="136"/>
    </row>
    <row r="185" ht="15.75" customHeight="1">
      <c r="A185" s="59"/>
      <c r="B185" s="63">
        <f t="shared" si="1"/>
        <v>15</v>
      </c>
      <c r="C185" s="135" t="s">
        <v>212</v>
      </c>
      <c r="D185" s="134" t="s">
        <v>74</v>
      </c>
      <c r="E185" s="135">
        <f t="shared" si="2"/>
        <v>21</v>
      </c>
      <c r="F185" s="134" t="s">
        <v>3587</v>
      </c>
      <c r="G185" s="63" t="str">
        <f>VLOOKUP(C185, 'Class Def. - General Data'!$C$20:$C$1000,1,false)</f>
        <v>ZBM1_ATAPSMALLC</v>
      </c>
      <c r="H185" s="63" t="str">
        <f>IFERROR(__xludf.DUMMYFUNCTION("VLOOKUP(F185, IMPORTRANGE(""https://docs.google.com/spreadsheets/d/1Lhp9OU0JdFf_VYSMzH5lBcEaU4o8teT1piV-SNzShjg/edit?gid=554141278#gid=554141278"", ""'Char Def. - Attributes'!C20:C2242""), 1,false)"),"PLANT_BUY")</f>
        <v>PLANT_BUY</v>
      </c>
      <c r="I185" s="136"/>
    </row>
    <row r="186" ht="15.75" customHeight="1">
      <c r="A186" s="59"/>
      <c r="B186" s="63">
        <f t="shared" si="1"/>
        <v>17</v>
      </c>
      <c r="C186" s="135" t="s">
        <v>213</v>
      </c>
      <c r="D186" s="134" t="s">
        <v>74</v>
      </c>
      <c r="E186" s="135">
        <f t="shared" si="2"/>
        <v>1</v>
      </c>
      <c r="F186" s="134" t="s">
        <v>3588</v>
      </c>
      <c r="G186" s="63" t="str">
        <f>VLOOKUP(C186, 'Class Def. - General Data'!$C$20:$C$1000,1,false)</f>
        <v>ZBM1_ATAPUNGLAZED</v>
      </c>
      <c r="H186" s="63" t="str">
        <f>IFERROR(__xludf.DUMMYFUNCTION("VLOOKUP(F186, IMPORTRANGE(""https://docs.google.com/spreadsheets/d/1Lhp9OU0JdFf_VYSMzH5lBcEaU4o8teT1piV-SNzShjg/edit?gid=554141278#gid=554141278"", ""'Char Def. - Attributes'!C20:C2242""), 1,false)"),"BM_TYPE")</f>
        <v>BM_TYPE</v>
      </c>
      <c r="I186" s="136"/>
    </row>
    <row r="187" ht="15.75" customHeight="1">
      <c r="A187" s="59"/>
      <c r="B187" s="63">
        <f t="shared" si="1"/>
        <v>17</v>
      </c>
      <c r="C187" s="135" t="s">
        <v>213</v>
      </c>
      <c r="D187" s="134" t="s">
        <v>74</v>
      </c>
      <c r="E187" s="135">
        <f t="shared" si="2"/>
        <v>2</v>
      </c>
      <c r="F187" s="134" t="s">
        <v>3589</v>
      </c>
      <c r="G187" s="63" t="str">
        <f>VLOOKUP(C187, 'Class Def. - General Data'!$C$20:$C$1000,1,false)</f>
        <v>ZBM1_ATAPUNGLAZED</v>
      </c>
      <c r="H187" s="63" t="str">
        <f>IFERROR(__xludf.DUMMYFUNCTION("VLOOKUP(F187, IMPORTRANGE(""https://docs.google.com/spreadsheets/d/1Lhp9OU0JdFf_VYSMzH5lBcEaU4o8teT1piV-SNzShjg/edit?gid=554141278#gid=554141278"", ""'Char Def. - Attributes'!C20:C2242""), 1,false)"),"BM_BRAND")</f>
        <v>BM_BRAND</v>
      </c>
      <c r="I187" s="136"/>
    </row>
    <row r="188" ht="15.75" customHeight="1">
      <c r="A188" s="59"/>
      <c r="B188" s="63">
        <f t="shared" si="1"/>
        <v>17</v>
      </c>
      <c r="C188" s="135" t="s">
        <v>213</v>
      </c>
      <c r="D188" s="134" t="s">
        <v>74</v>
      </c>
      <c r="E188" s="135">
        <f t="shared" si="2"/>
        <v>3</v>
      </c>
      <c r="F188" s="134" t="s">
        <v>3590</v>
      </c>
      <c r="G188" s="63" t="str">
        <f>VLOOKUP(C188, 'Class Def. - General Data'!$C$20:$C$1000,1,false)</f>
        <v>ZBM1_ATAPUNGLAZED</v>
      </c>
      <c r="H188" s="63" t="str">
        <f>IFERROR(__xludf.DUMMYFUNCTION("VLOOKUP(F188, IMPORTRANGE(""https://docs.google.com/spreadsheets/d/1Lhp9OU0JdFf_VYSMzH5lBcEaU4o8teT1piV-SNzShjg/edit?gid=554141278#gid=554141278"", ""'Char Def. - Attributes'!C20:C2242""), 1,false)"),"BM_VARIAN")</f>
        <v>BM_VARIAN</v>
      </c>
      <c r="I188" s="136"/>
    </row>
    <row r="189" ht="15.75" customHeight="1">
      <c r="A189" s="59"/>
      <c r="B189" s="63">
        <f t="shared" si="1"/>
        <v>17</v>
      </c>
      <c r="C189" s="135" t="s">
        <v>213</v>
      </c>
      <c r="D189" s="134" t="s">
        <v>74</v>
      </c>
      <c r="E189" s="135">
        <f t="shared" si="2"/>
        <v>4</v>
      </c>
      <c r="F189" s="134" t="s">
        <v>3591</v>
      </c>
      <c r="G189" s="63" t="str">
        <f>VLOOKUP(C189, 'Class Def. - General Data'!$C$20:$C$1000,1,false)</f>
        <v>ZBM1_ATAPUNGLAZED</v>
      </c>
      <c r="H189" s="63" t="str">
        <f>IFERROR(__xludf.DUMMYFUNCTION("VLOOKUP(F189, IMPORTRANGE(""https://docs.google.com/spreadsheets/d/1Lhp9OU0JdFf_VYSMzH5lBcEaU4o8teT1piV-SNzShjg/edit?gid=554141278#gid=554141278"", ""'Char Def. - Attributes'!C20:C2242""), 1,false)"),"BM_COLOR")</f>
        <v>BM_COLOR</v>
      </c>
      <c r="I189" s="136"/>
    </row>
    <row r="190" ht="15.75" customHeight="1">
      <c r="A190" s="59"/>
      <c r="B190" s="63">
        <f t="shared" si="1"/>
        <v>17</v>
      </c>
      <c r="C190" s="135" t="s">
        <v>213</v>
      </c>
      <c r="D190" s="134" t="s">
        <v>74</v>
      </c>
      <c r="E190" s="135">
        <f t="shared" si="2"/>
        <v>5</v>
      </c>
      <c r="F190" s="134" t="s">
        <v>3592</v>
      </c>
      <c r="G190" s="63" t="str">
        <f>VLOOKUP(C190, 'Class Def. - General Data'!$C$20:$C$1000,1,false)</f>
        <v>ZBM1_ATAPUNGLAZED</v>
      </c>
      <c r="H190" s="63" t="str">
        <f>IFERROR(__xludf.DUMMYFUNCTION("VLOOKUP(F190, IMPORTRANGE(""https://docs.google.com/spreadsheets/d/1Lhp9OU0JdFf_VYSMzH5lBcEaU4o8teT1piV-SNzShjg/edit?gid=554141278#gid=554141278"", ""'Char Def. - Attributes'!C20:C2242""), 1,false)"),"BM_SIZE")</f>
        <v>BM_SIZE</v>
      </c>
      <c r="I190" s="136"/>
    </row>
    <row r="191" ht="15.75" customHeight="1">
      <c r="A191" s="59"/>
      <c r="B191" s="63">
        <f t="shared" si="1"/>
        <v>17</v>
      </c>
      <c r="C191" s="135" t="s">
        <v>213</v>
      </c>
      <c r="D191" s="134" t="s">
        <v>74</v>
      </c>
      <c r="E191" s="135">
        <f t="shared" si="2"/>
        <v>6</v>
      </c>
      <c r="F191" s="134" t="s">
        <v>3593</v>
      </c>
      <c r="G191" s="63" t="str">
        <f>VLOOKUP(C191, 'Class Def. - General Data'!$C$20:$C$1000,1,false)</f>
        <v>ZBM1_ATAPUNGLAZED</v>
      </c>
      <c r="H191" s="63" t="str">
        <f>IFERROR(__xludf.DUMMYFUNCTION("VLOOKUP(F191, IMPORTRANGE(""https://docs.google.com/spreadsheets/d/1Lhp9OU0JdFf_VYSMzH5lBcEaU4o8teT1piV-SNzShjg/edit?gid=554141278#gid=554141278"", ""'Char Def. - Attributes'!C20:C2242""), 1,false)"),"BM_GRADE")</f>
        <v>BM_GRADE</v>
      </c>
      <c r="I191" s="136"/>
    </row>
    <row r="192" ht="15.75" customHeight="1">
      <c r="A192" s="59"/>
      <c r="B192" s="63">
        <f t="shared" si="1"/>
        <v>17</v>
      </c>
      <c r="C192" s="135" t="s">
        <v>213</v>
      </c>
      <c r="D192" s="134" t="s">
        <v>74</v>
      </c>
      <c r="E192" s="135">
        <f t="shared" si="2"/>
        <v>7</v>
      </c>
      <c r="F192" s="134" t="s">
        <v>3594</v>
      </c>
      <c r="G192" s="63" t="str">
        <f>VLOOKUP(C192, 'Class Def. - General Data'!$C$20:$C$1000,1,false)</f>
        <v>ZBM1_ATAPUNGLAZED</v>
      </c>
      <c r="H192" s="63" t="str">
        <f>IFERROR(__xludf.DUMMYFUNCTION("VLOOKUP(F192, IMPORTRANGE(""https://docs.google.com/spreadsheets/d/1Lhp9OU0JdFf_VYSMzH5lBcEaU4o8teT1piV-SNzShjg/edit?gid=554141278#gid=554141278"", ""'Char Def. - Attributes'!C20:C2242""), 1,false)"),"BM_MANUFACTURE")</f>
        <v>BM_MANUFACTURE</v>
      </c>
      <c r="I192" s="136"/>
    </row>
    <row r="193" ht="15.75" customHeight="1">
      <c r="A193" s="59"/>
      <c r="B193" s="63">
        <f t="shared" si="1"/>
        <v>17</v>
      </c>
      <c r="C193" s="135" t="s">
        <v>213</v>
      </c>
      <c r="D193" s="134" t="s">
        <v>74</v>
      </c>
      <c r="E193" s="135">
        <f t="shared" si="2"/>
        <v>8</v>
      </c>
      <c r="F193" s="134" t="s">
        <v>3582</v>
      </c>
      <c r="G193" s="63" t="str">
        <f>VLOOKUP(C193, 'Class Def. - General Data'!$C$20:$C$1000,1,false)</f>
        <v>ZBM1_ATAPUNGLAZED</v>
      </c>
      <c r="H193" s="63" t="str">
        <f>IFERROR(__xludf.DUMMYFUNCTION("VLOOKUP(F193, IMPORTRANGE(""https://docs.google.com/spreadsheets/d/1Lhp9OU0JdFf_VYSMzH5lBcEaU4o8teT1piV-SNzShjg/edit?gid=554141278#gid=554141278"", ""'Char Def. - Attributes'!C20:C2242""), 1,false)"),"BASE_UNIT")</f>
        <v>BASE_UNIT</v>
      </c>
      <c r="I193" s="136"/>
    </row>
    <row r="194" ht="15.75" customHeight="1">
      <c r="A194" s="59"/>
      <c r="B194" s="63">
        <f t="shared" si="1"/>
        <v>17</v>
      </c>
      <c r="C194" s="135" t="s">
        <v>213</v>
      </c>
      <c r="D194" s="134" t="s">
        <v>74</v>
      </c>
      <c r="E194" s="135">
        <f t="shared" si="2"/>
        <v>9</v>
      </c>
      <c r="F194" s="134" t="s">
        <v>3583</v>
      </c>
      <c r="G194" s="63" t="str">
        <f>VLOOKUP(C194, 'Class Def. - General Data'!$C$20:$C$1000,1,false)</f>
        <v>ZBM1_ATAPUNGLAZED</v>
      </c>
      <c r="H194" s="63" t="str">
        <f>IFERROR(__xludf.DUMMYFUNCTION("VLOOKUP(F194, IMPORTRANGE(""https://docs.google.com/spreadsheets/d/1Lhp9OU0JdFf_VYSMzH5lBcEaU4o8teT1piV-SNzShjg/edit?gid=554141278#gid=554141278"", ""'Char Def. - Attributes'!C20:C2242""), 1,false)"),"SALES_UNIT")</f>
        <v>SALES_UNIT</v>
      </c>
      <c r="I194" s="136"/>
    </row>
    <row r="195" ht="15.75" customHeight="1">
      <c r="A195" s="59"/>
      <c r="B195" s="63">
        <f t="shared" si="1"/>
        <v>17</v>
      </c>
      <c r="C195" s="135" t="s">
        <v>213</v>
      </c>
      <c r="D195" s="134" t="s">
        <v>74</v>
      </c>
      <c r="E195" s="135">
        <f t="shared" si="2"/>
        <v>10</v>
      </c>
      <c r="F195" s="134" t="s">
        <v>3595</v>
      </c>
      <c r="G195" s="63" t="str">
        <f>VLOOKUP(C195, 'Class Def. - General Data'!$C$20:$C$1000,1,false)</f>
        <v>ZBM1_ATAPUNGLAZED</v>
      </c>
      <c r="H195" s="63" t="str">
        <f>IFERROR(__xludf.DUMMYFUNCTION("VLOOKUP(F195, IMPORTRANGE(""https://docs.google.com/spreadsheets/d/1Lhp9OU0JdFf_VYSMzH5lBcEaU4o8teT1piV-SNzShjg/edit?gid=554141278#gid=554141278"", ""'Char Def. - Attributes'!C20:C2242""), 1,false)"),"UOM1")</f>
        <v>UOM1</v>
      </c>
      <c r="I195" s="136"/>
    </row>
    <row r="196" ht="15.75" customHeight="1">
      <c r="A196" s="59"/>
      <c r="B196" s="63">
        <f t="shared" si="1"/>
        <v>17</v>
      </c>
      <c r="C196" s="135" t="s">
        <v>213</v>
      </c>
      <c r="D196" s="134" t="s">
        <v>74</v>
      </c>
      <c r="E196" s="135">
        <f t="shared" si="2"/>
        <v>11</v>
      </c>
      <c r="F196" s="134" t="s">
        <v>3596</v>
      </c>
      <c r="G196" s="63" t="str">
        <f>VLOOKUP(C196, 'Class Def. - General Data'!$C$20:$C$1000,1,false)</f>
        <v>ZBM1_ATAPUNGLAZED</v>
      </c>
      <c r="H196" s="63" t="str">
        <f>IFERROR(__xludf.DUMMYFUNCTION("VLOOKUP(F196, IMPORTRANGE(""https://docs.google.com/spreadsheets/d/1Lhp9OU0JdFf_VYSMzH5lBcEaU4o8teT1piV-SNzShjg/edit?gid=554141278#gid=554141278"", ""'Char Def. - Attributes'!C20:C2242""), 1,false)"),"CONV1")</f>
        <v>CONV1</v>
      </c>
      <c r="I196" s="136"/>
    </row>
    <row r="197" ht="15.75" customHeight="1">
      <c r="A197" s="59"/>
      <c r="B197" s="63">
        <f t="shared" si="1"/>
        <v>17</v>
      </c>
      <c r="C197" s="135" t="s">
        <v>213</v>
      </c>
      <c r="D197" s="134" t="s">
        <v>74</v>
      </c>
      <c r="E197" s="135">
        <f t="shared" si="2"/>
        <v>12</v>
      </c>
      <c r="F197" s="134" t="s">
        <v>3597</v>
      </c>
      <c r="G197" s="63" t="str">
        <f>VLOOKUP(C197, 'Class Def. - General Data'!$C$20:$C$1000,1,false)</f>
        <v>ZBM1_ATAPUNGLAZED</v>
      </c>
      <c r="H197" s="63" t="str">
        <f>IFERROR(__xludf.DUMMYFUNCTION("VLOOKUP(F197, IMPORTRANGE(""https://docs.google.com/spreadsheets/d/1Lhp9OU0JdFf_VYSMzH5lBcEaU4o8teT1piV-SNzShjg/edit?gid=554141278#gid=554141278"", ""'Char Def. - Attributes'!C20:C2242""), 1,false)"),"UOM2")</f>
        <v>UOM2</v>
      </c>
      <c r="I197" s="136"/>
    </row>
    <row r="198" ht="15.75" customHeight="1">
      <c r="A198" s="59"/>
      <c r="B198" s="63">
        <f t="shared" si="1"/>
        <v>17</v>
      </c>
      <c r="C198" s="135" t="s">
        <v>213</v>
      </c>
      <c r="D198" s="134" t="s">
        <v>74</v>
      </c>
      <c r="E198" s="135">
        <f t="shared" si="2"/>
        <v>13</v>
      </c>
      <c r="F198" s="134" t="s">
        <v>3598</v>
      </c>
      <c r="G198" s="63" t="str">
        <f>VLOOKUP(C198, 'Class Def. - General Data'!$C$20:$C$1000,1,false)</f>
        <v>ZBM1_ATAPUNGLAZED</v>
      </c>
      <c r="H198" s="63" t="str">
        <f>IFERROR(__xludf.DUMMYFUNCTION("VLOOKUP(F198, IMPORTRANGE(""https://docs.google.com/spreadsheets/d/1Lhp9OU0JdFf_VYSMzH5lBcEaU4o8teT1piV-SNzShjg/edit?gid=554141278#gid=554141278"", ""'Char Def. - Attributes'!C20:C2242""), 1,false)"),"CONV2")</f>
        <v>CONV2</v>
      </c>
      <c r="I198" s="136"/>
    </row>
    <row r="199" ht="15.75" customHeight="1">
      <c r="A199" s="59"/>
      <c r="B199" s="63">
        <f t="shared" si="1"/>
        <v>17</v>
      </c>
      <c r="C199" s="135" t="s">
        <v>213</v>
      </c>
      <c r="D199" s="134" t="s">
        <v>74</v>
      </c>
      <c r="E199" s="135">
        <f t="shared" si="2"/>
        <v>14</v>
      </c>
      <c r="F199" s="134" t="s">
        <v>3599</v>
      </c>
      <c r="G199" s="63" t="str">
        <f>VLOOKUP(C199, 'Class Def. - General Data'!$C$20:$C$1000,1,false)</f>
        <v>ZBM1_ATAPUNGLAZED</v>
      </c>
      <c r="H199" s="63" t="str">
        <f>IFERROR(__xludf.DUMMYFUNCTION("VLOOKUP(F199, IMPORTRANGE(""https://docs.google.com/spreadsheets/d/1Lhp9OU0JdFf_VYSMzH5lBcEaU4o8teT1piV-SNzShjg/edit?gid=554141278#gid=554141278"", ""'Char Def. - Attributes'!C20:C2242""), 1,false)"),"UOM3")</f>
        <v>UOM3</v>
      </c>
      <c r="I199" s="136"/>
    </row>
    <row r="200" ht="15.75" customHeight="1">
      <c r="A200" s="59"/>
      <c r="B200" s="63">
        <f t="shared" si="1"/>
        <v>17</v>
      </c>
      <c r="C200" s="135" t="s">
        <v>213</v>
      </c>
      <c r="D200" s="134" t="s">
        <v>74</v>
      </c>
      <c r="E200" s="135">
        <f t="shared" si="2"/>
        <v>15</v>
      </c>
      <c r="F200" s="134" t="s">
        <v>3600</v>
      </c>
      <c r="G200" s="63" t="str">
        <f>VLOOKUP(C200, 'Class Def. - General Data'!$C$20:$C$1000,1,false)</f>
        <v>ZBM1_ATAPUNGLAZED</v>
      </c>
      <c r="H200" s="63" t="str">
        <f>IFERROR(__xludf.DUMMYFUNCTION("VLOOKUP(F200, IMPORTRANGE(""https://docs.google.com/spreadsheets/d/1Lhp9OU0JdFf_VYSMzH5lBcEaU4o8teT1piV-SNzShjg/edit?gid=554141278#gid=554141278"", ""'Char Def. - Attributes'!C20:C2242""), 1,false)"),"CONV3")</f>
        <v>CONV3</v>
      </c>
      <c r="I200" s="136"/>
    </row>
    <row r="201" ht="15.75" customHeight="1">
      <c r="A201" s="59"/>
      <c r="B201" s="63">
        <f t="shared" si="1"/>
        <v>17</v>
      </c>
      <c r="C201" s="135" t="s">
        <v>213</v>
      </c>
      <c r="D201" s="134" t="s">
        <v>74</v>
      </c>
      <c r="E201" s="135">
        <f t="shared" si="2"/>
        <v>16</v>
      </c>
      <c r="F201" s="134" t="s">
        <v>3601</v>
      </c>
      <c r="G201" s="63" t="str">
        <f>VLOOKUP(C201, 'Class Def. - General Data'!$C$20:$C$1000,1,false)</f>
        <v>ZBM1_ATAPUNGLAZED</v>
      </c>
      <c r="H201" s="63" t="str">
        <f>IFERROR(__xludf.DUMMYFUNCTION("VLOOKUP(F201, IMPORTRANGE(""https://docs.google.com/spreadsheets/d/1Lhp9OU0JdFf_VYSMzH5lBcEaU4o8teT1piV-SNzShjg/edit?gid=554141278#gid=554141278"", ""'Char Def. - Attributes'!C20:C2242""), 1,false)"),"GROSS_WEIGHT")</f>
        <v>GROSS_WEIGHT</v>
      </c>
      <c r="I201" s="136"/>
    </row>
    <row r="202" ht="15.75" customHeight="1">
      <c r="A202" s="59"/>
      <c r="B202" s="63">
        <f t="shared" si="1"/>
        <v>17</v>
      </c>
      <c r="C202" s="135" t="s">
        <v>213</v>
      </c>
      <c r="D202" s="134" t="s">
        <v>74</v>
      </c>
      <c r="E202" s="135">
        <f t="shared" si="2"/>
        <v>17</v>
      </c>
      <c r="F202" s="134" t="s">
        <v>3602</v>
      </c>
      <c r="G202" s="63" t="str">
        <f>VLOOKUP(C202, 'Class Def. - General Data'!$C$20:$C$1000,1,false)</f>
        <v>ZBM1_ATAPUNGLAZED</v>
      </c>
      <c r="H202" s="63" t="str">
        <f>IFERROR(__xludf.DUMMYFUNCTION("VLOOKUP(F202, IMPORTRANGE(""https://docs.google.com/spreadsheets/d/1Lhp9OU0JdFf_VYSMzH5lBcEaU4o8teT1piV-SNzShjg/edit?gid=554141278#gid=554141278"", ""'Char Def. - Attributes'!C20:C2242""), 1,false)"),"NET_WEIGHT")</f>
        <v>NET_WEIGHT</v>
      </c>
      <c r="I202" s="136"/>
    </row>
    <row r="203" ht="15.75" customHeight="1">
      <c r="A203" s="59"/>
      <c r="B203" s="63">
        <f t="shared" si="1"/>
        <v>17</v>
      </c>
      <c r="C203" s="135" t="s">
        <v>213</v>
      </c>
      <c r="D203" s="134" t="s">
        <v>74</v>
      </c>
      <c r="E203" s="135">
        <f t="shared" si="2"/>
        <v>18</v>
      </c>
      <c r="F203" s="134" t="s">
        <v>3603</v>
      </c>
      <c r="G203" s="63" t="str">
        <f>VLOOKUP(C203, 'Class Def. - General Data'!$C$20:$C$1000,1,false)</f>
        <v>ZBM1_ATAPUNGLAZED</v>
      </c>
      <c r="H203" s="63" t="str">
        <f>IFERROR(__xludf.DUMMYFUNCTION("VLOOKUP(F203, IMPORTRANGE(""https://docs.google.com/spreadsheets/d/1Lhp9OU0JdFf_VYSMzH5lBcEaU4o8teT1piV-SNzShjg/edit?gid=554141278#gid=554141278"", ""'Char Def. - Attributes'!C20:C2242""), 1,false)"),"VOLUME")</f>
        <v>VOLUME</v>
      </c>
      <c r="I203" s="136"/>
    </row>
    <row r="204" ht="15.75" customHeight="1">
      <c r="A204" s="59"/>
      <c r="B204" s="63">
        <f t="shared" si="1"/>
        <v>17</v>
      </c>
      <c r="C204" s="135" t="s">
        <v>213</v>
      </c>
      <c r="D204" s="134" t="s">
        <v>74</v>
      </c>
      <c r="E204" s="135">
        <f t="shared" si="2"/>
        <v>19</v>
      </c>
      <c r="F204" s="134" t="s">
        <v>3585</v>
      </c>
      <c r="G204" s="63" t="str">
        <f>VLOOKUP(C204, 'Class Def. - General Data'!$C$20:$C$1000,1,false)</f>
        <v>ZBM1_ATAPUNGLAZED</v>
      </c>
      <c r="H204" s="63" t="str">
        <f>IFERROR(__xludf.DUMMYFUNCTION("VLOOKUP(F204, IMPORTRANGE(""https://docs.google.com/spreadsheets/d/1Lhp9OU0JdFf_VYSMzH5lBcEaU4o8teT1piV-SNzShjg/edit?gid=554141278#gid=554141278"", ""'Char Def. - Attributes'!C20:C2242""), 1,false)"),"HS_CODE")</f>
        <v>HS_CODE</v>
      </c>
      <c r="I204" s="136"/>
    </row>
    <row r="205" ht="15.75" customHeight="1">
      <c r="A205" s="59"/>
      <c r="B205" s="63">
        <f t="shared" si="1"/>
        <v>17</v>
      </c>
      <c r="C205" s="135" t="s">
        <v>213</v>
      </c>
      <c r="D205" s="134" t="s">
        <v>74</v>
      </c>
      <c r="E205" s="135">
        <f t="shared" si="2"/>
        <v>20</v>
      </c>
      <c r="F205" s="134" t="s">
        <v>3586</v>
      </c>
      <c r="G205" s="63" t="str">
        <f>VLOOKUP(C205, 'Class Def. - General Data'!$C$20:$C$1000,1,false)</f>
        <v>ZBM1_ATAPUNGLAZED</v>
      </c>
      <c r="H205" s="63" t="str">
        <f>IFERROR(__xludf.DUMMYFUNCTION("VLOOKUP(F205, IMPORTRANGE(""https://docs.google.com/spreadsheets/d/1Lhp9OU0JdFf_VYSMzH5lBcEaU4o8teT1piV-SNzShjg/edit?gid=554141278#gid=554141278"", ""'Char Def. - Attributes'!C20:C2242""), 1,false)"),"PLANT_PROD")</f>
        <v>PLANT_PROD</v>
      </c>
      <c r="I205" s="136"/>
    </row>
    <row r="206" ht="15.75" customHeight="1">
      <c r="A206" s="59"/>
      <c r="B206" s="63">
        <f t="shared" si="1"/>
        <v>17</v>
      </c>
      <c r="C206" s="135" t="s">
        <v>213</v>
      </c>
      <c r="D206" s="134" t="s">
        <v>74</v>
      </c>
      <c r="E206" s="135">
        <f t="shared" si="2"/>
        <v>21</v>
      </c>
      <c r="F206" s="134" t="s">
        <v>3587</v>
      </c>
      <c r="G206" s="63" t="str">
        <f>VLOOKUP(C206, 'Class Def. - General Data'!$C$20:$C$1000,1,false)</f>
        <v>ZBM1_ATAPUNGLAZED</v>
      </c>
      <c r="H206" s="63" t="str">
        <f>IFERROR(__xludf.DUMMYFUNCTION("VLOOKUP(F206, IMPORTRANGE(""https://docs.google.com/spreadsheets/d/1Lhp9OU0JdFf_VYSMzH5lBcEaU4o8teT1piV-SNzShjg/edit?gid=554141278#gid=554141278"", ""'Char Def. - Attributes'!C20:C2242""), 1,false)"),"PLANT_BUY")</f>
        <v>PLANT_BUY</v>
      </c>
      <c r="I206" s="136"/>
    </row>
    <row r="207" ht="15.75" customHeight="1">
      <c r="B207" s="63">
        <f t="shared" si="1"/>
        <v>16</v>
      </c>
      <c r="C207" s="135" t="s">
        <v>221</v>
      </c>
      <c r="D207" s="134" t="s">
        <v>74</v>
      </c>
      <c r="E207" s="135">
        <f t="shared" si="2"/>
        <v>1</v>
      </c>
      <c r="F207" s="134" t="s">
        <v>3588</v>
      </c>
      <c r="G207" s="63" t="str">
        <f>VLOOKUP(C207, 'Class Def. - General Data'!$C$20:$C$1000,1,false)</f>
        <v>ZBM1_FIBERCEMACC</v>
      </c>
      <c r="H207" s="63" t="str">
        <f>IFERROR(__xludf.DUMMYFUNCTION("VLOOKUP(F207, IMPORTRANGE(""https://docs.google.com/spreadsheets/d/1Lhp9OU0JdFf_VYSMzH5lBcEaU4o8teT1piV-SNzShjg/edit?gid=554141278#gid=554141278"", ""'Char Def. - Attributes'!C20:C2242""), 1,false)"),"BM_TYPE")</f>
        <v>BM_TYPE</v>
      </c>
      <c r="I207" s="136"/>
    </row>
    <row r="208" ht="15.75" customHeight="1">
      <c r="B208" s="63">
        <f t="shared" si="1"/>
        <v>16</v>
      </c>
      <c r="C208" s="135" t="s">
        <v>221</v>
      </c>
      <c r="D208" s="134" t="s">
        <v>74</v>
      </c>
      <c r="E208" s="135">
        <f t="shared" si="2"/>
        <v>2</v>
      </c>
      <c r="F208" s="134" t="s">
        <v>3589</v>
      </c>
      <c r="G208" s="63" t="str">
        <f>VLOOKUP(C208, 'Class Def. - General Data'!$C$20:$C$1000,1,false)</f>
        <v>ZBM1_FIBERCEMACC</v>
      </c>
      <c r="H208" s="63" t="str">
        <f>IFERROR(__xludf.DUMMYFUNCTION("VLOOKUP(F208, IMPORTRANGE(""https://docs.google.com/spreadsheets/d/1Lhp9OU0JdFf_VYSMzH5lBcEaU4o8teT1piV-SNzShjg/edit?gid=554141278#gid=554141278"", ""'Char Def. - Attributes'!C20:C2242""), 1,false)"),"BM_BRAND")</f>
        <v>BM_BRAND</v>
      </c>
      <c r="I208" s="136"/>
    </row>
    <row r="209" ht="15.75" customHeight="1">
      <c r="B209" s="63">
        <f t="shared" si="1"/>
        <v>16</v>
      </c>
      <c r="C209" s="135" t="s">
        <v>221</v>
      </c>
      <c r="D209" s="134" t="s">
        <v>74</v>
      </c>
      <c r="E209" s="135">
        <f t="shared" si="2"/>
        <v>3</v>
      </c>
      <c r="F209" s="134" t="s">
        <v>3590</v>
      </c>
      <c r="G209" s="63" t="str">
        <f>VLOOKUP(C209, 'Class Def. - General Data'!$C$20:$C$1000,1,false)</f>
        <v>ZBM1_FIBERCEMACC</v>
      </c>
      <c r="H209" s="63" t="str">
        <f>IFERROR(__xludf.DUMMYFUNCTION("VLOOKUP(F209, IMPORTRANGE(""https://docs.google.com/spreadsheets/d/1Lhp9OU0JdFf_VYSMzH5lBcEaU4o8teT1piV-SNzShjg/edit?gid=554141278#gid=554141278"", ""'Char Def. - Attributes'!C20:C2242""), 1,false)"),"BM_VARIAN")</f>
        <v>BM_VARIAN</v>
      </c>
      <c r="I209" s="136"/>
    </row>
    <row r="210" ht="15.75" customHeight="1">
      <c r="B210" s="63">
        <f t="shared" si="1"/>
        <v>16</v>
      </c>
      <c r="C210" s="135" t="s">
        <v>221</v>
      </c>
      <c r="D210" s="134" t="s">
        <v>74</v>
      </c>
      <c r="E210" s="135">
        <f t="shared" si="2"/>
        <v>4</v>
      </c>
      <c r="F210" s="134" t="s">
        <v>3591</v>
      </c>
      <c r="G210" s="63" t="str">
        <f>VLOOKUP(C210, 'Class Def. - General Data'!$C$20:$C$1000,1,false)</f>
        <v>ZBM1_FIBERCEMACC</v>
      </c>
      <c r="H210" s="63" t="str">
        <f>IFERROR(__xludf.DUMMYFUNCTION("VLOOKUP(F210, IMPORTRANGE(""https://docs.google.com/spreadsheets/d/1Lhp9OU0JdFf_VYSMzH5lBcEaU4o8teT1piV-SNzShjg/edit?gid=554141278#gid=554141278"", ""'Char Def. - Attributes'!C20:C2242""), 1,false)"),"BM_COLOR")</f>
        <v>BM_COLOR</v>
      </c>
      <c r="I210" s="136"/>
    </row>
    <row r="211" ht="15.75" customHeight="1">
      <c r="B211" s="63">
        <f t="shared" si="1"/>
        <v>16</v>
      </c>
      <c r="C211" s="135" t="s">
        <v>221</v>
      </c>
      <c r="D211" s="134" t="s">
        <v>74</v>
      </c>
      <c r="E211" s="135">
        <f t="shared" si="2"/>
        <v>5</v>
      </c>
      <c r="F211" s="134" t="s">
        <v>3592</v>
      </c>
      <c r="G211" s="63" t="str">
        <f>VLOOKUP(C211, 'Class Def. - General Data'!$C$20:$C$1000,1,false)</f>
        <v>ZBM1_FIBERCEMACC</v>
      </c>
      <c r="H211" s="63" t="str">
        <f>IFERROR(__xludf.DUMMYFUNCTION("VLOOKUP(F211, IMPORTRANGE(""https://docs.google.com/spreadsheets/d/1Lhp9OU0JdFf_VYSMzH5lBcEaU4o8teT1piV-SNzShjg/edit?gid=554141278#gid=554141278"", ""'Char Def. - Attributes'!C20:C2242""), 1,false)"),"BM_SIZE")</f>
        <v>BM_SIZE</v>
      </c>
      <c r="I211" s="136"/>
    </row>
    <row r="212" ht="15.75" customHeight="1">
      <c r="B212" s="63">
        <f t="shared" si="1"/>
        <v>16</v>
      </c>
      <c r="C212" s="135" t="s">
        <v>221</v>
      </c>
      <c r="D212" s="134" t="s">
        <v>74</v>
      </c>
      <c r="E212" s="135">
        <f t="shared" si="2"/>
        <v>6</v>
      </c>
      <c r="F212" s="134" t="s">
        <v>3593</v>
      </c>
      <c r="G212" s="63" t="str">
        <f>VLOOKUP(C212, 'Class Def. - General Data'!$C$20:$C$1000,1,false)</f>
        <v>ZBM1_FIBERCEMACC</v>
      </c>
      <c r="H212" s="63" t="str">
        <f>IFERROR(__xludf.DUMMYFUNCTION("VLOOKUP(F212, IMPORTRANGE(""https://docs.google.com/spreadsheets/d/1Lhp9OU0JdFf_VYSMzH5lBcEaU4o8teT1piV-SNzShjg/edit?gid=554141278#gid=554141278"", ""'Char Def. - Attributes'!C20:C2242""), 1,false)"),"BM_GRADE")</f>
        <v>BM_GRADE</v>
      </c>
      <c r="I212" s="136"/>
    </row>
    <row r="213" ht="15.75" customHeight="1">
      <c r="B213" s="63">
        <f t="shared" si="1"/>
        <v>16</v>
      </c>
      <c r="C213" s="135" t="s">
        <v>221</v>
      </c>
      <c r="D213" s="134" t="s">
        <v>74</v>
      </c>
      <c r="E213" s="135">
        <f t="shared" si="2"/>
        <v>7</v>
      </c>
      <c r="F213" s="134" t="s">
        <v>3594</v>
      </c>
      <c r="G213" s="63" t="str">
        <f>VLOOKUP(C213, 'Class Def. - General Data'!$C$20:$C$1000,1,false)</f>
        <v>ZBM1_FIBERCEMACC</v>
      </c>
      <c r="H213" s="63" t="str">
        <f>IFERROR(__xludf.DUMMYFUNCTION("VLOOKUP(F213, IMPORTRANGE(""https://docs.google.com/spreadsheets/d/1Lhp9OU0JdFf_VYSMzH5lBcEaU4o8teT1piV-SNzShjg/edit?gid=554141278#gid=554141278"", ""'Char Def. - Attributes'!C20:C2242""), 1,false)"),"BM_MANUFACTURE")</f>
        <v>BM_MANUFACTURE</v>
      </c>
      <c r="I213" s="136"/>
    </row>
    <row r="214" ht="15.75" customHeight="1">
      <c r="B214" s="63">
        <f t="shared" si="1"/>
        <v>16</v>
      </c>
      <c r="C214" s="135" t="s">
        <v>221</v>
      </c>
      <c r="D214" s="134" t="s">
        <v>74</v>
      </c>
      <c r="E214" s="135">
        <f t="shared" si="2"/>
        <v>8</v>
      </c>
      <c r="F214" s="134" t="s">
        <v>3582</v>
      </c>
      <c r="G214" s="63" t="str">
        <f>VLOOKUP(C214, 'Class Def. - General Data'!$C$20:$C$1000,1,false)</f>
        <v>ZBM1_FIBERCEMACC</v>
      </c>
      <c r="H214" s="63" t="str">
        <f>IFERROR(__xludf.DUMMYFUNCTION("VLOOKUP(F214, IMPORTRANGE(""https://docs.google.com/spreadsheets/d/1Lhp9OU0JdFf_VYSMzH5lBcEaU4o8teT1piV-SNzShjg/edit?gid=554141278#gid=554141278"", ""'Char Def. - Attributes'!C20:C2242""), 1,false)"),"BASE_UNIT")</f>
        <v>BASE_UNIT</v>
      </c>
      <c r="I214" s="136"/>
    </row>
    <row r="215" ht="15.75" customHeight="1">
      <c r="B215" s="63">
        <f t="shared" si="1"/>
        <v>16</v>
      </c>
      <c r="C215" s="135" t="s">
        <v>221</v>
      </c>
      <c r="D215" s="134" t="s">
        <v>74</v>
      </c>
      <c r="E215" s="135">
        <f t="shared" si="2"/>
        <v>9</v>
      </c>
      <c r="F215" s="134" t="s">
        <v>3583</v>
      </c>
      <c r="G215" s="63" t="str">
        <f>VLOOKUP(C215, 'Class Def. - General Data'!$C$20:$C$1000,1,false)</f>
        <v>ZBM1_FIBERCEMACC</v>
      </c>
      <c r="H215" s="63" t="str">
        <f>IFERROR(__xludf.DUMMYFUNCTION("VLOOKUP(F215, IMPORTRANGE(""https://docs.google.com/spreadsheets/d/1Lhp9OU0JdFf_VYSMzH5lBcEaU4o8teT1piV-SNzShjg/edit?gid=554141278#gid=554141278"", ""'Char Def. - Attributes'!C20:C2242""), 1,false)"),"SALES_UNIT")</f>
        <v>SALES_UNIT</v>
      </c>
      <c r="I215" s="136"/>
    </row>
    <row r="216" ht="15.75" customHeight="1">
      <c r="B216" s="63">
        <f t="shared" si="1"/>
        <v>16</v>
      </c>
      <c r="C216" s="135" t="s">
        <v>221</v>
      </c>
      <c r="D216" s="134" t="s">
        <v>74</v>
      </c>
      <c r="E216" s="135">
        <f t="shared" si="2"/>
        <v>10</v>
      </c>
      <c r="F216" s="134" t="s">
        <v>3595</v>
      </c>
      <c r="G216" s="63" t="str">
        <f>VLOOKUP(C216, 'Class Def. - General Data'!$C$20:$C$1000,1,false)</f>
        <v>ZBM1_FIBERCEMACC</v>
      </c>
      <c r="H216" s="63" t="str">
        <f>IFERROR(__xludf.DUMMYFUNCTION("VLOOKUP(F216, IMPORTRANGE(""https://docs.google.com/spreadsheets/d/1Lhp9OU0JdFf_VYSMzH5lBcEaU4o8teT1piV-SNzShjg/edit?gid=554141278#gid=554141278"", ""'Char Def. - Attributes'!C20:C2242""), 1,false)"),"UOM1")</f>
        <v>UOM1</v>
      </c>
      <c r="I216" s="136"/>
    </row>
    <row r="217" ht="15.75" customHeight="1">
      <c r="B217" s="63">
        <f t="shared" si="1"/>
        <v>16</v>
      </c>
      <c r="C217" s="135" t="s">
        <v>221</v>
      </c>
      <c r="D217" s="134" t="s">
        <v>74</v>
      </c>
      <c r="E217" s="135">
        <f t="shared" si="2"/>
        <v>11</v>
      </c>
      <c r="F217" s="134" t="s">
        <v>3596</v>
      </c>
      <c r="G217" s="63" t="str">
        <f>VLOOKUP(C217, 'Class Def. - General Data'!$C$20:$C$1000,1,false)</f>
        <v>ZBM1_FIBERCEMACC</v>
      </c>
      <c r="H217" s="63" t="str">
        <f>IFERROR(__xludf.DUMMYFUNCTION("VLOOKUP(F217, IMPORTRANGE(""https://docs.google.com/spreadsheets/d/1Lhp9OU0JdFf_VYSMzH5lBcEaU4o8teT1piV-SNzShjg/edit?gid=554141278#gid=554141278"", ""'Char Def. - Attributes'!C20:C2242""), 1,false)"),"CONV1")</f>
        <v>CONV1</v>
      </c>
      <c r="I217" s="136"/>
    </row>
    <row r="218" ht="15.75" customHeight="1">
      <c r="B218" s="63">
        <f t="shared" si="1"/>
        <v>16</v>
      </c>
      <c r="C218" s="135" t="s">
        <v>221</v>
      </c>
      <c r="D218" s="134" t="s">
        <v>74</v>
      </c>
      <c r="E218" s="135">
        <f t="shared" si="2"/>
        <v>12</v>
      </c>
      <c r="F218" s="134" t="s">
        <v>3597</v>
      </c>
      <c r="G218" s="63" t="str">
        <f>VLOOKUP(C218, 'Class Def. - General Data'!$C$20:$C$1000,1,false)</f>
        <v>ZBM1_FIBERCEMACC</v>
      </c>
      <c r="H218" s="63" t="str">
        <f>IFERROR(__xludf.DUMMYFUNCTION("VLOOKUP(F218, IMPORTRANGE(""https://docs.google.com/spreadsheets/d/1Lhp9OU0JdFf_VYSMzH5lBcEaU4o8teT1piV-SNzShjg/edit?gid=554141278#gid=554141278"", ""'Char Def. - Attributes'!C20:C2242""), 1,false)"),"UOM2")</f>
        <v>UOM2</v>
      </c>
      <c r="I218" s="136"/>
    </row>
    <row r="219" ht="15.75" customHeight="1">
      <c r="B219" s="63">
        <f t="shared" si="1"/>
        <v>16</v>
      </c>
      <c r="C219" s="135" t="s">
        <v>221</v>
      </c>
      <c r="D219" s="134" t="s">
        <v>74</v>
      </c>
      <c r="E219" s="135">
        <f t="shared" si="2"/>
        <v>13</v>
      </c>
      <c r="F219" s="134" t="s">
        <v>3598</v>
      </c>
      <c r="G219" s="63" t="str">
        <f>VLOOKUP(C219, 'Class Def. - General Data'!$C$20:$C$1000,1,false)</f>
        <v>ZBM1_FIBERCEMACC</v>
      </c>
      <c r="H219" s="63" t="str">
        <f>IFERROR(__xludf.DUMMYFUNCTION("VLOOKUP(F219, IMPORTRANGE(""https://docs.google.com/spreadsheets/d/1Lhp9OU0JdFf_VYSMzH5lBcEaU4o8teT1piV-SNzShjg/edit?gid=554141278#gid=554141278"", ""'Char Def. - Attributes'!C20:C2242""), 1,false)"),"CONV2")</f>
        <v>CONV2</v>
      </c>
      <c r="I219" s="136"/>
    </row>
    <row r="220" ht="15.75" customHeight="1">
      <c r="B220" s="63">
        <f t="shared" si="1"/>
        <v>16</v>
      </c>
      <c r="C220" s="135" t="s">
        <v>221</v>
      </c>
      <c r="D220" s="134" t="s">
        <v>74</v>
      </c>
      <c r="E220" s="135">
        <f t="shared" si="2"/>
        <v>14</v>
      </c>
      <c r="F220" s="134" t="s">
        <v>3599</v>
      </c>
      <c r="G220" s="63" t="str">
        <f>VLOOKUP(C220, 'Class Def. - General Data'!$C$20:$C$1000,1,false)</f>
        <v>ZBM1_FIBERCEMACC</v>
      </c>
      <c r="H220" s="63" t="str">
        <f>IFERROR(__xludf.DUMMYFUNCTION("VLOOKUP(F220, IMPORTRANGE(""https://docs.google.com/spreadsheets/d/1Lhp9OU0JdFf_VYSMzH5lBcEaU4o8teT1piV-SNzShjg/edit?gid=554141278#gid=554141278"", ""'Char Def. - Attributes'!C20:C2242""), 1,false)"),"UOM3")</f>
        <v>UOM3</v>
      </c>
      <c r="I220" s="136"/>
    </row>
    <row r="221" ht="15.75" customHeight="1">
      <c r="B221" s="63">
        <f t="shared" si="1"/>
        <v>16</v>
      </c>
      <c r="C221" s="135" t="s">
        <v>221</v>
      </c>
      <c r="D221" s="134" t="s">
        <v>74</v>
      </c>
      <c r="E221" s="135">
        <f t="shared" si="2"/>
        <v>15</v>
      </c>
      <c r="F221" s="134" t="s">
        <v>3600</v>
      </c>
      <c r="G221" s="63" t="str">
        <f>VLOOKUP(C221, 'Class Def. - General Data'!$C$20:$C$1000,1,false)</f>
        <v>ZBM1_FIBERCEMACC</v>
      </c>
      <c r="H221" s="63" t="str">
        <f>IFERROR(__xludf.DUMMYFUNCTION("VLOOKUP(F221, IMPORTRANGE(""https://docs.google.com/spreadsheets/d/1Lhp9OU0JdFf_VYSMzH5lBcEaU4o8teT1piV-SNzShjg/edit?gid=554141278#gid=554141278"", ""'Char Def. - Attributes'!C20:C2242""), 1,false)"),"CONV3")</f>
        <v>CONV3</v>
      </c>
      <c r="I221" s="136"/>
    </row>
    <row r="222" ht="15.75" customHeight="1">
      <c r="B222" s="63">
        <f t="shared" si="1"/>
        <v>16</v>
      </c>
      <c r="C222" s="135" t="s">
        <v>221</v>
      </c>
      <c r="D222" s="134" t="s">
        <v>74</v>
      </c>
      <c r="E222" s="135">
        <f t="shared" si="2"/>
        <v>16</v>
      </c>
      <c r="F222" s="134" t="s">
        <v>3601</v>
      </c>
      <c r="G222" s="63" t="str">
        <f>VLOOKUP(C222, 'Class Def. - General Data'!$C$20:$C$1000,1,false)</f>
        <v>ZBM1_FIBERCEMACC</v>
      </c>
      <c r="H222" s="63" t="str">
        <f>IFERROR(__xludf.DUMMYFUNCTION("VLOOKUP(F222, IMPORTRANGE(""https://docs.google.com/spreadsheets/d/1Lhp9OU0JdFf_VYSMzH5lBcEaU4o8teT1piV-SNzShjg/edit?gid=554141278#gid=554141278"", ""'Char Def. - Attributes'!C20:C2242""), 1,false)"),"GROSS_WEIGHT")</f>
        <v>GROSS_WEIGHT</v>
      </c>
      <c r="I222" s="136"/>
    </row>
    <row r="223" ht="15.75" customHeight="1">
      <c r="B223" s="63">
        <f t="shared" si="1"/>
        <v>16</v>
      </c>
      <c r="C223" s="135" t="s">
        <v>221</v>
      </c>
      <c r="D223" s="134" t="s">
        <v>74</v>
      </c>
      <c r="E223" s="135">
        <f t="shared" si="2"/>
        <v>17</v>
      </c>
      <c r="F223" s="134" t="s">
        <v>3602</v>
      </c>
      <c r="G223" s="63" t="str">
        <f>VLOOKUP(C223, 'Class Def. - General Data'!$C$20:$C$1000,1,false)</f>
        <v>ZBM1_FIBERCEMACC</v>
      </c>
      <c r="H223" s="63" t="str">
        <f>IFERROR(__xludf.DUMMYFUNCTION("VLOOKUP(F223, IMPORTRANGE(""https://docs.google.com/spreadsheets/d/1Lhp9OU0JdFf_VYSMzH5lBcEaU4o8teT1piV-SNzShjg/edit?gid=554141278#gid=554141278"", ""'Char Def. - Attributes'!C20:C2242""), 1,false)"),"NET_WEIGHT")</f>
        <v>NET_WEIGHT</v>
      </c>
      <c r="I223" s="136"/>
    </row>
    <row r="224" ht="15.75" customHeight="1">
      <c r="B224" s="63">
        <f t="shared" si="1"/>
        <v>16</v>
      </c>
      <c r="C224" s="135" t="s">
        <v>221</v>
      </c>
      <c r="D224" s="134" t="s">
        <v>74</v>
      </c>
      <c r="E224" s="135">
        <f t="shared" si="2"/>
        <v>18</v>
      </c>
      <c r="F224" s="134" t="s">
        <v>3603</v>
      </c>
      <c r="G224" s="63" t="str">
        <f>VLOOKUP(C224, 'Class Def. - General Data'!$C$20:$C$1000,1,false)</f>
        <v>ZBM1_FIBERCEMACC</v>
      </c>
      <c r="H224" s="63" t="str">
        <f>IFERROR(__xludf.DUMMYFUNCTION("VLOOKUP(F224, IMPORTRANGE(""https://docs.google.com/spreadsheets/d/1Lhp9OU0JdFf_VYSMzH5lBcEaU4o8teT1piV-SNzShjg/edit?gid=554141278#gid=554141278"", ""'Char Def. - Attributes'!C20:C2242""), 1,false)"),"VOLUME")</f>
        <v>VOLUME</v>
      </c>
      <c r="I224" s="136"/>
    </row>
    <row r="225" ht="15.75" customHeight="1">
      <c r="B225" s="63">
        <f t="shared" si="1"/>
        <v>16</v>
      </c>
      <c r="C225" s="135" t="s">
        <v>221</v>
      </c>
      <c r="D225" s="134" t="s">
        <v>74</v>
      </c>
      <c r="E225" s="135">
        <f t="shared" si="2"/>
        <v>19</v>
      </c>
      <c r="F225" s="134" t="s">
        <v>3585</v>
      </c>
      <c r="G225" s="63" t="str">
        <f>VLOOKUP(C225, 'Class Def. - General Data'!$C$20:$C$1000,1,false)</f>
        <v>ZBM1_FIBERCEMACC</v>
      </c>
      <c r="H225" s="63" t="str">
        <f>IFERROR(__xludf.DUMMYFUNCTION("VLOOKUP(F225, IMPORTRANGE(""https://docs.google.com/spreadsheets/d/1Lhp9OU0JdFf_VYSMzH5lBcEaU4o8teT1piV-SNzShjg/edit?gid=554141278#gid=554141278"", ""'Char Def. - Attributes'!C20:C2242""), 1,false)"),"HS_CODE")</f>
        <v>HS_CODE</v>
      </c>
      <c r="I225" s="136"/>
    </row>
    <row r="226" ht="15.75" customHeight="1">
      <c r="B226" s="63">
        <f t="shared" si="1"/>
        <v>16</v>
      </c>
      <c r="C226" s="135" t="s">
        <v>221</v>
      </c>
      <c r="D226" s="134" t="s">
        <v>74</v>
      </c>
      <c r="E226" s="135">
        <f t="shared" si="2"/>
        <v>20</v>
      </c>
      <c r="F226" s="134" t="s">
        <v>3586</v>
      </c>
      <c r="G226" s="63" t="str">
        <f>VLOOKUP(C226, 'Class Def. - General Data'!$C$20:$C$1000,1,false)</f>
        <v>ZBM1_FIBERCEMACC</v>
      </c>
      <c r="H226" s="63" t="str">
        <f>IFERROR(__xludf.DUMMYFUNCTION("VLOOKUP(F226, IMPORTRANGE(""https://docs.google.com/spreadsheets/d/1Lhp9OU0JdFf_VYSMzH5lBcEaU4o8teT1piV-SNzShjg/edit?gid=554141278#gid=554141278"", ""'Char Def. - Attributes'!C20:C2242""), 1,false)"),"PLANT_PROD")</f>
        <v>PLANT_PROD</v>
      </c>
      <c r="I226" s="136"/>
    </row>
    <row r="227" ht="15.75" customHeight="1">
      <c r="B227" s="63">
        <f t="shared" si="1"/>
        <v>16</v>
      </c>
      <c r="C227" s="135" t="s">
        <v>221</v>
      </c>
      <c r="D227" s="134" t="s">
        <v>74</v>
      </c>
      <c r="E227" s="135">
        <f t="shared" si="2"/>
        <v>21</v>
      </c>
      <c r="F227" s="134" t="s">
        <v>3587</v>
      </c>
      <c r="G227" s="63" t="str">
        <f>VLOOKUP(C227, 'Class Def. - General Data'!$C$20:$C$1000,1,false)</f>
        <v>ZBM1_FIBERCEMACC</v>
      </c>
      <c r="H227" s="63" t="str">
        <f>IFERROR(__xludf.DUMMYFUNCTION("VLOOKUP(F227, IMPORTRANGE(""https://docs.google.com/spreadsheets/d/1Lhp9OU0JdFf_VYSMzH5lBcEaU4o8teT1piV-SNzShjg/edit?gid=554141278#gid=554141278"", ""'Char Def. - Attributes'!C20:C2242""), 1,false)"),"PLANT_BUY")</f>
        <v>PLANT_BUY</v>
      </c>
      <c r="I227" s="136"/>
    </row>
    <row r="228" ht="15.75" customHeight="1">
      <c r="A228" s="59"/>
      <c r="B228" s="63">
        <f t="shared" si="1"/>
        <v>16</v>
      </c>
      <c r="C228" s="135" t="s">
        <v>214</v>
      </c>
      <c r="D228" s="134" t="s">
        <v>74</v>
      </c>
      <c r="E228" s="135">
        <f t="shared" si="2"/>
        <v>1</v>
      </c>
      <c r="F228" s="134" t="s">
        <v>3588</v>
      </c>
      <c r="G228" s="63" t="str">
        <f>VLOOKUP(C228, 'Class Def. - General Data'!$C$20:$C$1000,1,false)</f>
        <v>ZBM1_GYPSUMBOARD</v>
      </c>
      <c r="H228" s="63" t="str">
        <f>IFERROR(__xludf.DUMMYFUNCTION("VLOOKUP(F228, IMPORTRANGE(""https://docs.google.com/spreadsheets/d/1Lhp9OU0JdFf_VYSMzH5lBcEaU4o8teT1piV-SNzShjg/edit?gid=554141278#gid=554141278"", ""'Char Def. - Attributes'!C20:C2242""), 1,false)"),"BM_TYPE")</f>
        <v>BM_TYPE</v>
      </c>
      <c r="I228" s="136"/>
    </row>
    <row r="229" ht="15.75" customHeight="1">
      <c r="A229" s="59"/>
      <c r="B229" s="63">
        <f t="shared" si="1"/>
        <v>16</v>
      </c>
      <c r="C229" s="135" t="s">
        <v>214</v>
      </c>
      <c r="D229" s="134" t="s">
        <v>74</v>
      </c>
      <c r="E229" s="135">
        <f t="shared" si="2"/>
        <v>2</v>
      </c>
      <c r="F229" s="134" t="s">
        <v>3589</v>
      </c>
      <c r="G229" s="63" t="str">
        <f>VLOOKUP(C229, 'Class Def. - General Data'!$C$20:$C$1000,1,false)</f>
        <v>ZBM1_GYPSUMBOARD</v>
      </c>
      <c r="H229" s="63" t="str">
        <f>IFERROR(__xludf.DUMMYFUNCTION("VLOOKUP(F229, IMPORTRANGE(""https://docs.google.com/spreadsheets/d/1Lhp9OU0JdFf_VYSMzH5lBcEaU4o8teT1piV-SNzShjg/edit?gid=554141278#gid=554141278"", ""'Char Def. - Attributes'!C20:C2242""), 1,false)"),"BM_BRAND")</f>
        <v>BM_BRAND</v>
      </c>
      <c r="I229" s="136"/>
    </row>
    <row r="230" ht="15.75" customHeight="1">
      <c r="A230" s="59"/>
      <c r="B230" s="63">
        <f t="shared" si="1"/>
        <v>16</v>
      </c>
      <c r="C230" s="135" t="s">
        <v>214</v>
      </c>
      <c r="D230" s="134" t="s">
        <v>74</v>
      </c>
      <c r="E230" s="135">
        <f t="shared" si="2"/>
        <v>3</v>
      </c>
      <c r="F230" s="134" t="s">
        <v>3590</v>
      </c>
      <c r="G230" s="63" t="str">
        <f>VLOOKUP(C230, 'Class Def. - General Data'!$C$20:$C$1000,1,false)</f>
        <v>ZBM1_GYPSUMBOARD</v>
      </c>
      <c r="H230" s="63" t="str">
        <f>IFERROR(__xludf.DUMMYFUNCTION("VLOOKUP(F230, IMPORTRANGE(""https://docs.google.com/spreadsheets/d/1Lhp9OU0JdFf_VYSMzH5lBcEaU4o8teT1piV-SNzShjg/edit?gid=554141278#gid=554141278"", ""'Char Def. - Attributes'!C20:C2242""), 1,false)"),"BM_VARIAN")</f>
        <v>BM_VARIAN</v>
      </c>
      <c r="I230" s="136"/>
    </row>
    <row r="231" ht="15.75" customHeight="1">
      <c r="A231" s="59"/>
      <c r="B231" s="63">
        <f t="shared" si="1"/>
        <v>16</v>
      </c>
      <c r="C231" s="135" t="s">
        <v>214</v>
      </c>
      <c r="D231" s="134" t="s">
        <v>74</v>
      </c>
      <c r="E231" s="135">
        <f t="shared" si="2"/>
        <v>4</v>
      </c>
      <c r="F231" s="134" t="s">
        <v>3591</v>
      </c>
      <c r="G231" s="63" t="str">
        <f>VLOOKUP(C231, 'Class Def. - General Data'!$C$20:$C$1000,1,false)</f>
        <v>ZBM1_GYPSUMBOARD</v>
      </c>
      <c r="H231" s="63" t="str">
        <f>IFERROR(__xludf.DUMMYFUNCTION("VLOOKUP(F231, IMPORTRANGE(""https://docs.google.com/spreadsheets/d/1Lhp9OU0JdFf_VYSMzH5lBcEaU4o8teT1piV-SNzShjg/edit?gid=554141278#gid=554141278"", ""'Char Def. - Attributes'!C20:C2242""), 1,false)"),"BM_COLOR")</f>
        <v>BM_COLOR</v>
      </c>
      <c r="I231" s="136"/>
    </row>
    <row r="232" ht="15.75" customHeight="1">
      <c r="A232" s="59"/>
      <c r="B232" s="63">
        <f t="shared" si="1"/>
        <v>16</v>
      </c>
      <c r="C232" s="135" t="s">
        <v>214</v>
      </c>
      <c r="D232" s="134" t="s">
        <v>74</v>
      </c>
      <c r="E232" s="135">
        <f t="shared" si="2"/>
        <v>5</v>
      </c>
      <c r="F232" s="134" t="s">
        <v>3592</v>
      </c>
      <c r="G232" s="63" t="str">
        <f>VLOOKUP(C232, 'Class Def. - General Data'!$C$20:$C$1000,1,false)</f>
        <v>ZBM1_GYPSUMBOARD</v>
      </c>
      <c r="H232" s="63" t="str">
        <f>IFERROR(__xludf.DUMMYFUNCTION("VLOOKUP(F232, IMPORTRANGE(""https://docs.google.com/spreadsheets/d/1Lhp9OU0JdFf_VYSMzH5lBcEaU4o8teT1piV-SNzShjg/edit?gid=554141278#gid=554141278"", ""'Char Def. - Attributes'!C20:C2242""), 1,false)"),"BM_SIZE")</f>
        <v>BM_SIZE</v>
      </c>
      <c r="I232" s="136"/>
    </row>
    <row r="233" ht="15.75" customHeight="1">
      <c r="A233" s="59"/>
      <c r="B233" s="63">
        <f t="shared" si="1"/>
        <v>16</v>
      </c>
      <c r="C233" s="135" t="s">
        <v>214</v>
      </c>
      <c r="D233" s="134" t="s">
        <v>74</v>
      </c>
      <c r="E233" s="135">
        <f t="shared" si="2"/>
        <v>6</v>
      </c>
      <c r="F233" s="134" t="s">
        <v>3593</v>
      </c>
      <c r="G233" s="63" t="str">
        <f>VLOOKUP(C233, 'Class Def. - General Data'!$C$20:$C$1000,1,false)</f>
        <v>ZBM1_GYPSUMBOARD</v>
      </c>
      <c r="H233" s="63" t="str">
        <f>IFERROR(__xludf.DUMMYFUNCTION("VLOOKUP(F233, IMPORTRANGE(""https://docs.google.com/spreadsheets/d/1Lhp9OU0JdFf_VYSMzH5lBcEaU4o8teT1piV-SNzShjg/edit?gid=554141278#gid=554141278"", ""'Char Def. - Attributes'!C20:C2242""), 1,false)"),"BM_GRADE")</f>
        <v>BM_GRADE</v>
      </c>
      <c r="I233" s="136"/>
    </row>
    <row r="234" ht="15.75" customHeight="1">
      <c r="A234" s="59"/>
      <c r="B234" s="63">
        <f t="shared" si="1"/>
        <v>16</v>
      </c>
      <c r="C234" s="135" t="s">
        <v>214</v>
      </c>
      <c r="D234" s="134" t="s">
        <v>74</v>
      </c>
      <c r="E234" s="135">
        <f t="shared" si="2"/>
        <v>7</v>
      </c>
      <c r="F234" s="134" t="s">
        <v>3594</v>
      </c>
      <c r="G234" s="63" t="str">
        <f>VLOOKUP(C234, 'Class Def. - General Data'!$C$20:$C$1000,1,false)</f>
        <v>ZBM1_GYPSUMBOARD</v>
      </c>
      <c r="H234" s="63" t="str">
        <f>IFERROR(__xludf.DUMMYFUNCTION("VLOOKUP(F234, IMPORTRANGE(""https://docs.google.com/spreadsheets/d/1Lhp9OU0JdFf_VYSMzH5lBcEaU4o8teT1piV-SNzShjg/edit?gid=554141278#gid=554141278"", ""'Char Def. - Attributes'!C20:C2242""), 1,false)"),"BM_MANUFACTURE")</f>
        <v>BM_MANUFACTURE</v>
      </c>
      <c r="I234" s="136"/>
    </row>
    <row r="235" ht="15.75" customHeight="1">
      <c r="A235" s="59"/>
      <c r="B235" s="63">
        <f t="shared" si="1"/>
        <v>16</v>
      </c>
      <c r="C235" s="135" t="s">
        <v>214</v>
      </c>
      <c r="D235" s="134" t="s">
        <v>74</v>
      </c>
      <c r="E235" s="135">
        <f t="shared" si="2"/>
        <v>8</v>
      </c>
      <c r="F235" s="134" t="s">
        <v>3582</v>
      </c>
      <c r="G235" s="63" t="str">
        <f>VLOOKUP(C235, 'Class Def. - General Data'!$C$20:$C$1000,1,false)</f>
        <v>ZBM1_GYPSUMBOARD</v>
      </c>
      <c r="H235" s="63" t="str">
        <f>IFERROR(__xludf.DUMMYFUNCTION("VLOOKUP(F235, IMPORTRANGE(""https://docs.google.com/spreadsheets/d/1Lhp9OU0JdFf_VYSMzH5lBcEaU4o8teT1piV-SNzShjg/edit?gid=554141278#gid=554141278"", ""'Char Def. - Attributes'!C20:C2242""), 1,false)"),"BASE_UNIT")</f>
        <v>BASE_UNIT</v>
      </c>
      <c r="I235" s="136"/>
    </row>
    <row r="236" ht="15.75" customHeight="1">
      <c r="A236" s="59"/>
      <c r="B236" s="63">
        <f t="shared" si="1"/>
        <v>16</v>
      </c>
      <c r="C236" s="135" t="s">
        <v>214</v>
      </c>
      <c r="D236" s="134" t="s">
        <v>74</v>
      </c>
      <c r="E236" s="135">
        <f t="shared" si="2"/>
        <v>9</v>
      </c>
      <c r="F236" s="134" t="s">
        <v>3583</v>
      </c>
      <c r="G236" s="63" t="str">
        <f>VLOOKUP(C236, 'Class Def. - General Data'!$C$20:$C$1000,1,false)</f>
        <v>ZBM1_GYPSUMBOARD</v>
      </c>
      <c r="H236" s="63" t="str">
        <f>IFERROR(__xludf.DUMMYFUNCTION("VLOOKUP(F236, IMPORTRANGE(""https://docs.google.com/spreadsheets/d/1Lhp9OU0JdFf_VYSMzH5lBcEaU4o8teT1piV-SNzShjg/edit?gid=554141278#gid=554141278"", ""'Char Def. - Attributes'!C20:C2242""), 1,false)"),"SALES_UNIT")</f>
        <v>SALES_UNIT</v>
      </c>
      <c r="I236" s="136"/>
    </row>
    <row r="237" ht="15.75" customHeight="1">
      <c r="A237" s="59"/>
      <c r="B237" s="63">
        <f t="shared" si="1"/>
        <v>16</v>
      </c>
      <c r="C237" s="135" t="s">
        <v>214</v>
      </c>
      <c r="D237" s="134" t="s">
        <v>74</v>
      </c>
      <c r="E237" s="135">
        <f t="shared" si="2"/>
        <v>10</v>
      </c>
      <c r="F237" s="134" t="s">
        <v>3595</v>
      </c>
      <c r="G237" s="63" t="str">
        <f>VLOOKUP(C237, 'Class Def. - General Data'!$C$20:$C$1000,1,false)</f>
        <v>ZBM1_GYPSUMBOARD</v>
      </c>
      <c r="H237" s="63" t="str">
        <f>IFERROR(__xludf.DUMMYFUNCTION("VLOOKUP(F237, IMPORTRANGE(""https://docs.google.com/spreadsheets/d/1Lhp9OU0JdFf_VYSMzH5lBcEaU4o8teT1piV-SNzShjg/edit?gid=554141278#gid=554141278"", ""'Char Def. - Attributes'!C20:C2242""), 1,false)"),"UOM1")</f>
        <v>UOM1</v>
      </c>
      <c r="I237" s="136"/>
    </row>
    <row r="238" ht="15.75" customHeight="1">
      <c r="A238" s="59"/>
      <c r="B238" s="63">
        <f t="shared" si="1"/>
        <v>16</v>
      </c>
      <c r="C238" s="135" t="s">
        <v>214</v>
      </c>
      <c r="D238" s="134" t="s">
        <v>74</v>
      </c>
      <c r="E238" s="135">
        <f t="shared" si="2"/>
        <v>11</v>
      </c>
      <c r="F238" s="134" t="s">
        <v>3596</v>
      </c>
      <c r="G238" s="63" t="str">
        <f>VLOOKUP(C238, 'Class Def. - General Data'!$C$20:$C$1000,1,false)</f>
        <v>ZBM1_GYPSUMBOARD</v>
      </c>
      <c r="H238" s="63" t="str">
        <f>IFERROR(__xludf.DUMMYFUNCTION("VLOOKUP(F238, IMPORTRANGE(""https://docs.google.com/spreadsheets/d/1Lhp9OU0JdFf_VYSMzH5lBcEaU4o8teT1piV-SNzShjg/edit?gid=554141278#gid=554141278"", ""'Char Def. - Attributes'!C20:C2242""), 1,false)"),"CONV1")</f>
        <v>CONV1</v>
      </c>
      <c r="I238" s="136"/>
    </row>
    <row r="239" ht="15.75" customHeight="1">
      <c r="A239" s="59"/>
      <c r="B239" s="63">
        <f t="shared" si="1"/>
        <v>16</v>
      </c>
      <c r="C239" s="135" t="s">
        <v>214</v>
      </c>
      <c r="D239" s="134" t="s">
        <v>74</v>
      </c>
      <c r="E239" s="135">
        <f t="shared" si="2"/>
        <v>12</v>
      </c>
      <c r="F239" s="134" t="s">
        <v>3597</v>
      </c>
      <c r="G239" s="63" t="str">
        <f>VLOOKUP(C239, 'Class Def. - General Data'!$C$20:$C$1000,1,false)</f>
        <v>ZBM1_GYPSUMBOARD</v>
      </c>
      <c r="H239" s="63" t="str">
        <f>IFERROR(__xludf.DUMMYFUNCTION("VLOOKUP(F239, IMPORTRANGE(""https://docs.google.com/spreadsheets/d/1Lhp9OU0JdFf_VYSMzH5lBcEaU4o8teT1piV-SNzShjg/edit?gid=554141278#gid=554141278"", ""'Char Def. - Attributes'!C20:C2242""), 1,false)"),"UOM2")</f>
        <v>UOM2</v>
      </c>
      <c r="I239" s="136"/>
    </row>
    <row r="240" ht="15.75" customHeight="1">
      <c r="A240" s="59"/>
      <c r="B240" s="63">
        <f t="shared" si="1"/>
        <v>16</v>
      </c>
      <c r="C240" s="135" t="s">
        <v>214</v>
      </c>
      <c r="D240" s="134" t="s">
        <v>74</v>
      </c>
      <c r="E240" s="135">
        <f t="shared" si="2"/>
        <v>13</v>
      </c>
      <c r="F240" s="134" t="s">
        <v>3598</v>
      </c>
      <c r="G240" s="63" t="str">
        <f>VLOOKUP(C240, 'Class Def. - General Data'!$C$20:$C$1000,1,false)</f>
        <v>ZBM1_GYPSUMBOARD</v>
      </c>
      <c r="H240" s="63" t="str">
        <f>IFERROR(__xludf.DUMMYFUNCTION("VLOOKUP(F240, IMPORTRANGE(""https://docs.google.com/spreadsheets/d/1Lhp9OU0JdFf_VYSMzH5lBcEaU4o8teT1piV-SNzShjg/edit?gid=554141278#gid=554141278"", ""'Char Def. - Attributes'!C20:C2242""), 1,false)"),"CONV2")</f>
        <v>CONV2</v>
      </c>
      <c r="I240" s="136"/>
    </row>
    <row r="241" ht="15.75" customHeight="1">
      <c r="A241" s="59"/>
      <c r="B241" s="63">
        <f t="shared" si="1"/>
        <v>16</v>
      </c>
      <c r="C241" s="135" t="s">
        <v>214</v>
      </c>
      <c r="D241" s="134" t="s">
        <v>74</v>
      </c>
      <c r="E241" s="135">
        <f t="shared" si="2"/>
        <v>14</v>
      </c>
      <c r="F241" s="134" t="s">
        <v>3599</v>
      </c>
      <c r="G241" s="63" t="str">
        <f>VLOOKUP(C241, 'Class Def. - General Data'!$C$20:$C$1000,1,false)</f>
        <v>ZBM1_GYPSUMBOARD</v>
      </c>
      <c r="H241" s="63" t="str">
        <f>IFERROR(__xludf.DUMMYFUNCTION("VLOOKUP(F241, IMPORTRANGE(""https://docs.google.com/spreadsheets/d/1Lhp9OU0JdFf_VYSMzH5lBcEaU4o8teT1piV-SNzShjg/edit?gid=554141278#gid=554141278"", ""'Char Def. - Attributes'!C20:C2242""), 1,false)"),"UOM3")</f>
        <v>UOM3</v>
      </c>
      <c r="I241" s="136"/>
    </row>
    <row r="242" ht="15.75" customHeight="1">
      <c r="A242" s="59"/>
      <c r="B242" s="63">
        <f t="shared" si="1"/>
        <v>16</v>
      </c>
      <c r="C242" s="135" t="s">
        <v>214</v>
      </c>
      <c r="D242" s="134" t="s">
        <v>74</v>
      </c>
      <c r="E242" s="135">
        <f t="shared" si="2"/>
        <v>15</v>
      </c>
      <c r="F242" s="134" t="s">
        <v>3600</v>
      </c>
      <c r="G242" s="63" t="str">
        <f>VLOOKUP(C242, 'Class Def. - General Data'!$C$20:$C$1000,1,false)</f>
        <v>ZBM1_GYPSUMBOARD</v>
      </c>
      <c r="H242" s="63" t="str">
        <f>IFERROR(__xludf.DUMMYFUNCTION("VLOOKUP(F242, IMPORTRANGE(""https://docs.google.com/spreadsheets/d/1Lhp9OU0JdFf_VYSMzH5lBcEaU4o8teT1piV-SNzShjg/edit?gid=554141278#gid=554141278"", ""'Char Def. - Attributes'!C20:C2242""), 1,false)"),"CONV3")</f>
        <v>CONV3</v>
      </c>
      <c r="I242" s="136"/>
    </row>
    <row r="243" ht="15.75" customHeight="1">
      <c r="A243" s="59"/>
      <c r="B243" s="63">
        <f t="shared" si="1"/>
        <v>16</v>
      </c>
      <c r="C243" s="135" t="s">
        <v>214</v>
      </c>
      <c r="D243" s="134" t="s">
        <v>74</v>
      </c>
      <c r="E243" s="135">
        <f t="shared" si="2"/>
        <v>16</v>
      </c>
      <c r="F243" s="134" t="s">
        <v>3601</v>
      </c>
      <c r="G243" s="63" t="str">
        <f>VLOOKUP(C243, 'Class Def. - General Data'!$C$20:$C$1000,1,false)</f>
        <v>ZBM1_GYPSUMBOARD</v>
      </c>
      <c r="H243" s="63" t="str">
        <f>IFERROR(__xludf.DUMMYFUNCTION("VLOOKUP(F243, IMPORTRANGE(""https://docs.google.com/spreadsheets/d/1Lhp9OU0JdFf_VYSMzH5lBcEaU4o8teT1piV-SNzShjg/edit?gid=554141278#gid=554141278"", ""'Char Def. - Attributes'!C20:C2242""), 1,false)"),"GROSS_WEIGHT")</f>
        <v>GROSS_WEIGHT</v>
      </c>
      <c r="I243" s="136"/>
    </row>
    <row r="244" ht="15.75" customHeight="1">
      <c r="A244" s="59"/>
      <c r="B244" s="63">
        <f t="shared" si="1"/>
        <v>16</v>
      </c>
      <c r="C244" s="135" t="s">
        <v>214</v>
      </c>
      <c r="D244" s="134" t="s">
        <v>74</v>
      </c>
      <c r="E244" s="135">
        <f t="shared" si="2"/>
        <v>17</v>
      </c>
      <c r="F244" s="134" t="s">
        <v>3602</v>
      </c>
      <c r="G244" s="63" t="str">
        <f>VLOOKUP(C244, 'Class Def. - General Data'!$C$20:$C$1000,1,false)</f>
        <v>ZBM1_GYPSUMBOARD</v>
      </c>
      <c r="H244" s="63" t="str">
        <f>IFERROR(__xludf.DUMMYFUNCTION("VLOOKUP(F244, IMPORTRANGE(""https://docs.google.com/spreadsheets/d/1Lhp9OU0JdFf_VYSMzH5lBcEaU4o8teT1piV-SNzShjg/edit?gid=554141278#gid=554141278"", ""'Char Def. - Attributes'!C20:C2242""), 1,false)"),"NET_WEIGHT")</f>
        <v>NET_WEIGHT</v>
      </c>
      <c r="I244" s="136"/>
    </row>
    <row r="245" ht="15.75" customHeight="1">
      <c r="A245" s="59"/>
      <c r="B245" s="63">
        <f t="shared" si="1"/>
        <v>16</v>
      </c>
      <c r="C245" s="135" t="s">
        <v>214</v>
      </c>
      <c r="D245" s="134" t="s">
        <v>74</v>
      </c>
      <c r="E245" s="135">
        <f t="shared" si="2"/>
        <v>18</v>
      </c>
      <c r="F245" s="134" t="s">
        <v>3603</v>
      </c>
      <c r="G245" s="63" t="str">
        <f>VLOOKUP(C245, 'Class Def. - General Data'!$C$20:$C$1000,1,false)</f>
        <v>ZBM1_GYPSUMBOARD</v>
      </c>
      <c r="H245" s="63" t="str">
        <f>IFERROR(__xludf.DUMMYFUNCTION("VLOOKUP(F245, IMPORTRANGE(""https://docs.google.com/spreadsheets/d/1Lhp9OU0JdFf_VYSMzH5lBcEaU4o8teT1piV-SNzShjg/edit?gid=554141278#gid=554141278"", ""'Char Def. - Attributes'!C20:C2242""), 1,false)"),"VOLUME")</f>
        <v>VOLUME</v>
      </c>
      <c r="I245" s="136"/>
    </row>
    <row r="246" ht="15.75" customHeight="1">
      <c r="A246" s="59"/>
      <c r="B246" s="63">
        <f t="shared" si="1"/>
        <v>16</v>
      </c>
      <c r="C246" s="135" t="s">
        <v>214</v>
      </c>
      <c r="D246" s="134" t="s">
        <v>74</v>
      </c>
      <c r="E246" s="135">
        <f t="shared" si="2"/>
        <v>19</v>
      </c>
      <c r="F246" s="134" t="s">
        <v>3585</v>
      </c>
      <c r="G246" s="63" t="str">
        <f>VLOOKUP(C246, 'Class Def. - General Data'!$C$20:$C$1000,1,false)</f>
        <v>ZBM1_GYPSUMBOARD</v>
      </c>
      <c r="H246" s="63" t="str">
        <f>IFERROR(__xludf.DUMMYFUNCTION("VLOOKUP(F246, IMPORTRANGE(""https://docs.google.com/spreadsheets/d/1Lhp9OU0JdFf_VYSMzH5lBcEaU4o8teT1piV-SNzShjg/edit?gid=554141278#gid=554141278"", ""'Char Def. - Attributes'!C20:C2242""), 1,false)"),"HS_CODE")</f>
        <v>HS_CODE</v>
      </c>
      <c r="I246" s="136"/>
    </row>
    <row r="247" ht="15.75" customHeight="1">
      <c r="A247" s="59"/>
      <c r="B247" s="63">
        <f t="shared" si="1"/>
        <v>16</v>
      </c>
      <c r="C247" s="135" t="s">
        <v>214</v>
      </c>
      <c r="D247" s="134" t="s">
        <v>74</v>
      </c>
      <c r="E247" s="135">
        <f t="shared" si="2"/>
        <v>20</v>
      </c>
      <c r="F247" s="134" t="s">
        <v>3586</v>
      </c>
      <c r="G247" s="63" t="str">
        <f>VLOOKUP(C247, 'Class Def. - General Data'!$C$20:$C$1000,1,false)</f>
        <v>ZBM1_GYPSUMBOARD</v>
      </c>
      <c r="H247" s="63" t="str">
        <f>IFERROR(__xludf.DUMMYFUNCTION("VLOOKUP(F247, IMPORTRANGE(""https://docs.google.com/spreadsheets/d/1Lhp9OU0JdFf_VYSMzH5lBcEaU4o8teT1piV-SNzShjg/edit?gid=554141278#gid=554141278"", ""'Char Def. - Attributes'!C20:C2242""), 1,false)"),"PLANT_PROD")</f>
        <v>PLANT_PROD</v>
      </c>
      <c r="I247" s="136"/>
    </row>
    <row r="248" ht="15.75" customHeight="1">
      <c r="A248" s="59"/>
      <c r="B248" s="63">
        <f t="shared" si="1"/>
        <v>16</v>
      </c>
      <c r="C248" s="135" t="s">
        <v>214</v>
      </c>
      <c r="D248" s="134" t="s">
        <v>74</v>
      </c>
      <c r="E248" s="135">
        <f t="shared" si="2"/>
        <v>21</v>
      </c>
      <c r="F248" s="134" t="s">
        <v>3587</v>
      </c>
      <c r="G248" s="63" t="str">
        <f>VLOOKUP(C248, 'Class Def. - General Data'!$C$20:$C$1000,1,false)</f>
        <v>ZBM1_GYPSUMBOARD</v>
      </c>
      <c r="H248" s="63" t="str">
        <f>IFERROR(__xludf.DUMMYFUNCTION("VLOOKUP(F248, IMPORTRANGE(""https://docs.google.com/spreadsheets/d/1Lhp9OU0JdFf_VYSMzH5lBcEaU4o8teT1piV-SNzShjg/edit?gid=554141278#gid=554141278"", ""'Char Def. - Attributes'!C20:C2242""), 1,false)"),"PLANT_BUY")</f>
        <v>PLANT_BUY</v>
      </c>
      <c r="I248" s="136"/>
    </row>
    <row r="249" ht="15.75" customHeight="1">
      <c r="A249" s="59"/>
      <c r="B249" s="63">
        <f t="shared" si="1"/>
        <v>18</v>
      </c>
      <c r="C249" s="135" t="s">
        <v>215</v>
      </c>
      <c r="D249" s="134" t="s">
        <v>74</v>
      </c>
      <c r="E249" s="135">
        <f t="shared" si="2"/>
        <v>1</v>
      </c>
      <c r="F249" s="134" t="s">
        <v>3588</v>
      </c>
      <c r="G249" s="63" t="str">
        <f>VLOOKUP(C249, 'Class Def. - General Data'!$C$20:$C$1000,1,false)</f>
        <v>ZBM1_GYPSUMCASTING</v>
      </c>
      <c r="H249" s="63" t="str">
        <f>IFERROR(__xludf.DUMMYFUNCTION("VLOOKUP(F249, IMPORTRANGE(""https://docs.google.com/spreadsheets/d/1Lhp9OU0JdFf_VYSMzH5lBcEaU4o8teT1piV-SNzShjg/edit?gid=554141278#gid=554141278"", ""'Char Def. - Attributes'!C20:C2242""), 1,false)"),"BM_TYPE")</f>
        <v>BM_TYPE</v>
      </c>
      <c r="I249" s="136"/>
    </row>
    <row r="250" ht="15.75" customHeight="1">
      <c r="A250" s="59"/>
      <c r="B250" s="63">
        <f t="shared" si="1"/>
        <v>18</v>
      </c>
      <c r="C250" s="135" t="s">
        <v>215</v>
      </c>
      <c r="D250" s="134" t="s">
        <v>74</v>
      </c>
      <c r="E250" s="135">
        <f t="shared" si="2"/>
        <v>2</v>
      </c>
      <c r="F250" s="134" t="s">
        <v>3589</v>
      </c>
      <c r="G250" s="63" t="str">
        <f>VLOOKUP(C250, 'Class Def. - General Data'!$C$20:$C$1000,1,false)</f>
        <v>ZBM1_GYPSUMCASTING</v>
      </c>
      <c r="H250" s="63" t="str">
        <f>IFERROR(__xludf.DUMMYFUNCTION("VLOOKUP(F250, IMPORTRANGE(""https://docs.google.com/spreadsheets/d/1Lhp9OU0JdFf_VYSMzH5lBcEaU4o8teT1piV-SNzShjg/edit?gid=554141278#gid=554141278"", ""'Char Def. - Attributes'!C20:C2242""), 1,false)"),"BM_BRAND")</f>
        <v>BM_BRAND</v>
      </c>
      <c r="I250" s="136"/>
    </row>
    <row r="251" ht="15.75" customHeight="1">
      <c r="A251" s="59"/>
      <c r="B251" s="63">
        <f t="shared" si="1"/>
        <v>18</v>
      </c>
      <c r="C251" s="135" t="s">
        <v>215</v>
      </c>
      <c r="D251" s="134" t="s">
        <v>74</v>
      </c>
      <c r="E251" s="135">
        <f t="shared" si="2"/>
        <v>3</v>
      </c>
      <c r="F251" s="134" t="s">
        <v>3590</v>
      </c>
      <c r="G251" s="63" t="str">
        <f>VLOOKUP(C251, 'Class Def. - General Data'!$C$20:$C$1000,1,false)</f>
        <v>ZBM1_GYPSUMCASTING</v>
      </c>
      <c r="H251" s="63" t="str">
        <f>IFERROR(__xludf.DUMMYFUNCTION("VLOOKUP(F251, IMPORTRANGE(""https://docs.google.com/spreadsheets/d/1Lhp9OU0JdFf_VYSMzH5lBcEaU4o8teT1piV-SNzShjg/edit?gid=554141278#gid=554141278"", ""'Char Def. - Attributes'!C20:C2242""), 1,false)"),"BM_VARIAN")</f>
        <v>BM_VARIAN</v>
      </c>
      <c r="I251" s="136"/>
    </row>
    <row r="252" ht="15.75" customHeight="1">
      <c r="A252" s="59"/>
      <c r="B252" s="63">
        <f t="shared" si="1"/>
        <v>18</v>
      </c>
      <c r="C252" s="135" t="s">
        <v>215</v>
      </c>
      <c r="D252" s="134" t="s">
        <v>74</v>
      </c>
      <c r="E252" s="135">
        <f t="shared" si="2"/>
        <v>4</v>
      </c>
      <c r="F252" s="134" t="s">
        <v>3591</v>
      </c>
      <c r="G252" s="63" t="str">
        <f>VLOOKUP(C252, 'Class Def. - General Data'!$C$20:$C$1000,1,false)</f>
        <v>ZBM1_GYPSUMCASTING</v>
      </c>
      <c r="H252" s="63" t="str">
        <f>IFERROR(__xludf.DUMMYFUNCTION("VLOOKUP(F252, IMPORTRANGE(""https://docs.google.com/spreadsheets/d/1Lhp9OU0JdFf_VYSMzH5lBcEaU4o8teT1piV-SNzShjg/edit?gid=554141278#gid=554141278"", ""'Char Def. - Attributes'!C20:C2242""), 1,false)"),"BM_COLOR")</f>
        <v>BM_COLOR</v>
      </c>
      <c r="I252" s="136"/>
    </row>
    <row r="253" ht="15.75" customHeight="1">
      <c r="A253" s="59"/>
      <c r="B253" s="63">
        <f t="shared" si="1"/>
        <v>18</v>
      </c>
      <c r="C253" s="135" t="s">
        <v>215</v>
      </c>
      <c r="D253" s="134" t="s">
        <v>74</v>
      </c>
      <c r="E253" s="135">
        <f t="shared" si="2"/>
        <v>5</v>
      </c>
      <c r="F253" s="134" t="s">
        <v>3592</v>
      </c>
      <c r="G253" s="63" t="str">
        <f>VLOOKUP(C253, 'Class Def. - General Data'!$C$20:$C$1000,1,false)</f>
        <v>ZBM1_GYPSUMCASTING</v>
      </c>
      <c r="H253" s="63" t="str">
        <f>IFERROR(__xludf.DUMMYFUNCTION("VLOOKUP(F253, IMPORTRANGE(""https://docs.google.com/spreadsheets/d/1Lhp9OU0JdFf_VYSMzH5lBcEaU4o8teT1piV-SNzShjg/edit?gid=554141278#gid=554141278"", ""'Char Def. - Attributes'!C20:C2242""), 1,false)"),"BM_SIZE")</f>
        <v>BM_SIZE</v>
      </c>
      <c r="I253" s="136"/>
    </row>
    <row r="254" ht="15.75" customHeight="1">
      <c r="A254" s="59"/>
      <c r="B254" s="63">
        <f t="shared" si="1"/>
        <v>18</v>
      </c>
      <c r="C254" s="135" t="s">
        <v>215</v>
      </c>
      <c r="D254" s="134" t="s">
        <v>74</v>
      </c>
      <c r="E254" s="135">
        <f t="shared" si="2"/>
        <v>6</v>
      </c>
      <c r="F254" s="134" t="s">
        <v>3593</v>
      </c>
      <c r="G254" s="63" t="str">
        <f>VLOOKUP(C254, 'Class Def. - General Data'!$C$20:$C$1000,1,false)</f>
        <v>ZBM1_GYPSUMCASTING</v>
      </c>
      <c r="H254" s="63" t="str">
        <f>IFERROR(__xludf.DUMMYFUNCTION("VLOOKUP(F254, IMPORTRANGE(""https://docs.google.com/spreadsheets/d/1Lhp9OU0JdFf_VYSMzH5lBcEaU4o8teT1piV-SNzShjg/edit?gid=554141278#gid=554141278"", ""'Char Def. - Attributes'!C20:C2242""), 1,false)"),"BM_GRADE")</f>
        <v>BM_GRADE</v>
      </c>
      <c r="I254" s="136"/>
    </row>
    <row r="255" ht="15.75" customHeight="1">
      <c r="A255" s="59"/>
      <c r="B255" s="63">
        <f t="shared" si="1"/>
        <v>18</v>
      </c>
      <c r="C255" s="135" t="s">
        <v>215</v>
      </c>
      <c r="D255" s="134" t="s">
        <v>74</v>
      </c>
      <c r="E255" s="135">
        <f t="shared" si="2"/>
        <v>7</v>
      </c>
      <c r="F255" s="134" t="s">
        <v>3594</v>
      </c>
      <c r="G255" s="63" t="str">
        <f>VLOOKUP(C255, 'Class Def. - General Data'!$C$20:$C$1000,1,false)</f>
        <v>ZBM1_GYPSUMCASTING</v>
      </c>
      <c r="H255" s="63" t="str">
        <f>IFERROR(__xludf.DUMMYFUNCTION("VLOOKUP(F255, IMPORTRANGE(""https://docs.google.com/spreadsheets/d/1Lhp9OU0JdFf_VYSMzH5lBcEaU4o8teT1piV-SNzShjg/edit?gid=554141278#gid=554141278"", ""'Char Def. - Attributes'!C20:C2242""), 1,false)"),"BM_MANUFACTURE")</f>
        <v>BM_MANUFACTURE</v>
      </c>
      <c r="I255" s="136"/>
    </row>
    <row r="256" ht="15.75" customHeight="1">
      <c r="A256" s="59"/>
      <c r="B256" s="63">
        <f t="shared" si="1"/>
        <v>18</v>
      </c>
      <c r="C256" s="135" t="s">
        <v>215</v>
      </c>
      <c r="D256" s="134" t="s">
        <v>74</v>
      </c>
      <c r="E256" s="135">
        <f t="shared" si="2"/>
        <v>8</v>
      </c>
      <c r="F256" s="134" t="s">
        <v>3582</v>
      </c>
      <c r="G256" s="63" t="str">
        <f>VLOOKUP(C256, 'Class Def. - General Data'!$C$20:$C$1000,1,false)</f>
        <v>ZBM1_GYPSUMCASTING</v>
      </c>
      <c r="H256" s="63" t="str">
        <f>IFERROR(__xludf.DUMMYFUNCTION("VLOOKUP(F256, IMPORTRANGE(""https://docs.google.com/spreadsheets/d/1Lhp9OU0JdFf_VYSMzH5lBcEaU4o8teT1piV-SNzShjg/edit?gid=554141278#gid=554141278"", ""'Char Def. - Attributes'!C20:C2242""), 1,false)"),"BASE_UNIT")</f>
        <v>BASE_UNIT</v>
      </c>
      <c r="I256" s="136"/>
    </row>
    <row r="257" ht="15.75" customHeight="1">
      <c r="A257" s="59"/>
      <c r="B257" s="63">
        <f t="shared" si="1"/>
        <v>18</v>
      </c>
      <c r="C257" s="135" t="s">
        <v>215</v>
      </c>
      <c r="D257" s="134" t="s">
        <v>74</v>
      </c>
      <c r="E257" s="135">
        <f t="shared" si="2"/>
        <v>9</v>
      </c>
      <c r="F257" s="134" t="s">
        <v>3583</v>
      </c>
      <c r="G257" s="63" t="str">
        <f>VLOOKUP(C257, 'Class Def. - General Data'!$C$20:$C$1000,1,false)</f>
        <v>ZBM1_GYPSUMCASTING</v>
      </c>
      <c r="H257" s="63" t="str">
        <f>IFERROR(__xludf.DUMMYFUNCTION("VLOOKUP(F257, IMPORTRANGE(""https://docs.google.com/spreadsheets/d/1Lhp9OU0JdFf_VYSMzH5lBcEaU4o8teT1piV-SNzShjg/edit?gid=554141278#gid=554141278"", ""'Char Def. - Attributes'!C20:C2242""), 1,false)"),"SALES_UNIT")</f>
        <v>SALES_UNIT</v>
      </c>
      <c r="I257" s="136"/>
    </row>
    <row r="258" ht="15.75" customHeight="1">
      <c r="A258" s="59"/>
      <c r="B258" s="63">
        <f t="shared" si="1"/>
        <v>18</v>
      </c>
      <c r="C258" s="135" t="s">
        <v>215</v>
      </c>
      <c r="D258" s="134" t="s">
        <v>74</v>
      </c>
      <c r="E258" s="135">
        <f t="shared" si="2"/>
        <v>10</v>
      </c>
      <c r="F258" s="134" t="s">
        <v>3595</v>
      </c>
      <c r="G258" s="63" t="str">
        <f>VLOOKUP(C258, 'Class Def. - General Data'!$C$20:$C$1000,1,false)</f>
        <v>ZBM1_GYPSUMCASTING</v>
      </c>
      <c r="H258" s="63" t="str">
        <f>IFERROR(__xludf.DUMMYFUNCTION("VLOOKUP(F258, IMPORTRANGE(""https://docs.google.com/spreadsheets/d/1Lhp9OU0JdFf_VYSMzH5lBcEaU4o8teT1piV-SNzShjg/edit?gid=554141278#gid=554141278"", ""'Char Def. - Attributes'!C20:C2242""), 1,false)"),"UOM1")</f>
        <v>UOM1</v>
      </c>
      <c r="I258" s="136"/>
    </row>
    <row r="259" ht="15.75" customHeight="1">
      <c r="A259" s="59"/>
      <c r="B259" s="63">
        <f t="shared" si="1"/>
        <v>18</v>
      </c>
      <c r="C259" s="135" t="s">
        <v>215</v>
      </c>
      <c r="D259" s="134" t="s">
        <v>74</v>
      </c>
      <c r="E259" s="135">
        <f t="shared" si="2"/>
        <v>11</v>
      </c>
      <c r="F259" s="134" t="s">
        <v>3596</v>
      </c>
      <c r="G259" s="63" t="str">
        <f>VLOOKUP(C259, 'Class Def. - General Data'!$C$20:$C$1000,1,false)</f>
        <v>ZBM1_GYPSUMCASTING</v>
      </c>
      <c r="H259" s="63" t="str">
        <f>IFERROR(__xludf.DUMMYFUNCTION("VLOOKUP(F259, IMPORTRANGE(""https://docs.google.com/spreadsheets/d/1Lhp9OU0JdFf_VYSMzH5lBcEaU4o8teT1piV-SNzShjg/edit?gid=554141278#gid=554141278"", ""'Char Def. - Attributes'!C20:C2242""), 1,false)"),"CONV1")</f>
        <v>CONV1</v>
      </c>
      <c r="I259" s="136"/>
    </row>
    <row r="260" ht="15.75" customHeight="1">
      <c r="A260" s="59"/>
      <c r="B260" s="63">
        <f t="shared" si="1"/>
        <v>18</v>
      </c>
      <c r="C260" s="135" t="s">
        <v>215</v>
      </c>
      <c r="D260" s="134" t="s">
        <v>74</v>
      </c>
      <c r="E260" s="135">
        <f t="shared" si="2"/>
        <v>12</v>
      </c>
      <c r="F260" s="134" t="s">
        <v>3597</v>
      </c>
      <c r="G260" s="63" t="str">
        <f>VLOOKUP(C260, 'Class Def. - General Data'!$C$20:$C$1000,1,false)</f>
        <v>ZBM1_GYPSUMCASTING</v>
      </c>
      <c r="H260" s="63" t="str">
        <f>IFERROR(__xludf.DUMMYFUNCTION("VLOOKUP(F260, IMPORTRANGE(""https://docs.google.com/spreadsheets/d/1Lhp9OU0JdFf_VYSMzH5lBcEaU4o8teT1piV-SNzShjg/edit?gid=554141278#gid=554141278"", ""'Char Def. - Attributes'!C20:C2242""), 1,false)"),"UOM2")</f>
        <v>UOM2</v>
      </c>
      <c r="I260" s="136"/>
    </row>
    <row r="261" ht="15.75" customHeight="1">
      <c r="A261" s="59"/>
      <c r="B261" s="63">
        <f t="shared" si="1"/>
        <v>18</v>
      </c>
      <c r="C261" s="135" t="s">
        <v>215</v>
      </c>
      <c r="D261" s="134" t="s">
        <v>74</v>
      </c>
      <c r="E261" s="135">
        <f t="shared" si="2"/>
        <v>13</v>
      </c>
      <c r="F261" s="134" t="s">
        <v>3598</v>
      </c>
      <c r="G261" s="63" t="str">
        <f>VLOOKUP(C261, 'Class Def. - General Data'!$C$20:$C$1000,1,false)</f>
        <v>ZBM1_GYPSUMCASTING</v>
      </c>
      <c r="H261" s="63" t="str">
        <f>IFERROR(__xludf.DUMMYFUNCTION("VLOOKUP(F261, IMPORTRANGE(""https://docs.google.com/spreadsheets/d/1Lhp9OU0JdFf_VYSMzH5lBcEaU4o8teT1piV-SNzShjg/edit?gid=554141278#gid=554141278"", ""'Char Def. - Attributes'!C20:C2242""), 1,false)"),"CONV2")</f>
        <v>CONV2</v>
      </c>
      <c r="I261" s="136"/>
    </row>
    <row r="262" ht="15.75" customHeight="1">
      <c r="A262" s="59"/>
      <c r="B262" s="63">
        <f t="shared" si="1"/>
        <v>18</v>
      </c>
      <c r="C262" s="135" t="s">
        <v>215</v>
      </c>
      <c r="D262" s="134" t="s">
        <v>74</v>
      </c>
      <c r="E262" s="135">
        <f t="shared" si="2"/>
        <v>14</v>
      </c>
      <c r="F262" s="134" t="s">
        <v>3599</v>
      </c>
      <c r="G262" s="63" t="str">
        <f>VLOOKUP(C262, 'Class Def. - General Data'!$C$20:$C$1000,1,false)</f>
        <v>ZBM1_GYPSUMCASTING</v>
      </c>
      <c r="H262" s="63" t="str">
        <f>IFERROR(__xludf.DUMMYFUNCTION("VLOOKUP(F262, IMPORTRANGE(""https://docs.google.com/spreadsheets/d/1Lhp9OU0JdFf_VYSMzH5lBcEaU4o8teT1piV-SNzShjg/edit?gid=554141278#gid=554141278"", ""'Char Def. - Attributes'!C20:C2242""), 1,false)"),"UOM3")</f>
        <v>UOM3</v>
      </c>
      <c r="I262" s="136"/>
    </row>
    <row r="263" ht="15.75" customHeight="1">
      <c r="A263" s="59"/>
      <c r="B263" s="63">
        <f t="shared" si="1"/>
        <v>18</v>
      </c>
      <c r="C263" s="135" t="s">
        <v>215</v>
      </c>
      <c r="D263" s="134" t="s">
        <v>74</v>
      </c>
      <c r="E263" s="135">
        <f t="shared" si="2"/>
        <v>15</v>
      </c>
      <c r="F263" s="134" t="s">
        <v>3600</v>
      </c>
      <c r="G263" s="63" t="str">
        <f>VLOOKUP(C263, 'Class Def. - General Data'!$C$20:$C$1000,1,false)</f>
        <v>ZBM1_GYPSUMCASTING</v>
      </c>
      <c r="H263" s="63" t="str">
        <f>IFERROR(__xludf.DUMMYFUNCTION("VLOOKUP(F263, IMPORTRANGE(""https://docs.google.com/spreadsheets/d/1Lhp9OU0JdFf_VYSMzH5lBcEaU4o8teT1piV-SNzShjg/edit?gid=554141278#gid=554141278"", ""'Char Def. - Attributes'!C20:C2242""), 1,false)"),"CONV3")</f>
        <v>CONV3</v>
      </c>
      <c r="I263" s="136"/>
    </row>
    <row r="264" ht="15.75" customHeight="1">
      <c r="A264" s="59"/>
      <c r="B264" s="63">
        <f t="shared" si="1"/>
        <v>18</v>
      </c>
      <c r="C264" s="135" t="s">
        <v>215</v>
      </c>
      <c r="D264" s="134" t="s">
        <v>74</v>
      </c>
      <c r="E264" s="135">
        <f t="shared" si="2"/>
        <v>16</v>
      </c>
      <c r="F264" s="134" t="s">
        <v>3601</v>
      </c>
      <c r="G264" s="63" t="str">
        <f>VLOOKUP(C264, 'Class Def. - General Data'!$C$20:$C$1000,1,false)</f>
        <v>ZBM1_GYPSUMCASTING</v>
      </c>
      <c r="H264" s="63" t="str">
        <f>IFERROR(__xludf.DUMMYFUNCTION("VLOOKUP(F264, IMPORTRANGE(""https://docs.google.com/spreadsheets/d/1Lhp9OU0JdFf_VYSMzH5lBcEaU4o8teT1piV-SNzShjg/edit?gid=554141278#gid=554141278"", ""'Char Def. - Attributes'!C20:C2242""), 1,false)"),"GROSS_WEIGHT")</f>
        <v>GROSS_WEIGHT</v>
      </c>
      <c r="I264" s="136"/>
    </row>
    <row r="265" ht="15.75" customHeight="1">
      <c r="A265" s="59"/>
      <c r="B265" s="63">
        <f t="shared" si="1"/>
        <v>18</v>
      </c>
      <c r="C265" s="135" t="s">
        <v>215</v>
      </c>
      <c r="D265" s="134" t="s">
        <v>74</v>
      </c>
      <c r="E265" s="135">
        <f t="shared" si="2"/>
        <v>17</v>
      </c>
      <c r="F265" s="134" t="s">
        <v>3602</v>
      </c>
      <c r="G265" s="63" t="str">
        <f>VLOOKUP(C265, 'Class Def. - General Data'!$C$20:$C$1000,1,false)</f>
        <v>ZBM1_GYPSUMCASTING</v>
      </c>
      <c r="H265" s="63" t="str">
        <f>IFERROR(__xludf.DUMMYFUNCTION("VLOOKUP(F265, IMPORTRANGE(""https://docs.google.com/spreadsheets/d/1Lhp9OU0JdFf_VYSMzH5lBcEaU4o8teT1piV-SNzShjg/edit?gid=554141278#gid=554141278"", ""'Char Def. - Attributes'!C20:C2242""), 1,false)"),"NET_WEIGHT")</f>
        <v>NET_WEIGHT</v>
      </c>
      <c r="I265" s="136"/>
    </row>
    <row r="266" ht="15.75" customHeight="1">
      <c r="A266" s="59"/>
      <c r="B266" s="63">
        <f t="shared" si="1"/>
        <v>18</v>
      </c>
      <c r="C266" s="135" t="s">
        <v>215</v>
      </c>
      <c r="D266" s="134" t="s">
        <v>74</v>
      </c>
      <c r="E266" s="135">
        <f t="shared" si="2"/>
        <v>18</v>
      </c>
      <c r="F266" s="134" t="s">
        <v>3603</v>
      </c>
      <c r="G266" s="63" t="str">
        <f>VLOOKUP(C266, 'Class Def. - General Data'!$C$20:$C$1000,1,false)</f>
        <v>ZBM1_GYPSUMCASTING</v>
      </c>
      <c r="H266" s="63" t="str">
        <f>IFERROR(__xludf.DUMMYFUNCTION("VLOOKUP(F266, IMPORTRANGE(""https://docs.google.com/spreadsheets/d/1Lhp9OU0JdFf_VYSMzH5lBcEaU4o8teT1piV-SNzShjg/edit?gid=554141278#gid=554141278"", ""'Char Def. - Attributes'!C20:C2242""), 1,false)"),"VOLUME")</f>
        <v>VOLUME</v>
      </c>
      <c r="I266" s="136"/>
    </row>
    <row r="267" ht="15.75" customHeight="1">
      <c r="A267" s="59"/>
      <c r="B267" s="63">
        <f t="shared" si="1"/>
        <v>18</v>
      </c>
      <c r="C267" s="135" t="s">
        <v>215</v>
      </c>
      <c r="D267" s="134" t="s">
        <v>74</v>
      </c>
      <c r="E267" s="135">
        <f t="shared" si="2"/>
        <v>19</v>
      </c>
      <c r="F267" s="134" t="s">
        <v>3585</v>
      </c>
      <c r="G267" s="63" t="str">
        <f>VLOOKUP(C267, 'Class Def. - General Data'!$C$20:$C$1000,1,false)</f>
        <v>ZBM1_GYPSUMCASTING</v>
      </c>
      <c r="H267" s="63" t="str">
        <f>IFERROR(__xludf.DUMMYFUNCTION("VLOOKUP(F267, IMPORTRANGE(""https://docs.google.com/spreadsheets/d/1Lhp9OU0JdFf_VYSMzH5lBcEaU4o8teT1piV-SNzShjg/edit?gid=554141278#gid=554141278"", ""'Char Def. - Attributes'!C20:C2242""), 1,false)"),"HS_CODE")</f>
        <v>HS_CODE</v>
      </c>
      <c r="I267" s="136"/>
    </row>
    <row r="268" ht="15.75" customHeight="1">
      <c r="A268" s="59"/>
      <c r="B268" s="63">
        <f t="shared" si="1"/>
        <v>18</v>
      </c>
      <c r="C268" s="135" t="s">
        <v>215</v>
      </c>
      <c r="D268" s="134" t="s">
        <v>74</v>
      </c>
      <c r="E268" s="135">
        <f t="shared" si="2"/>
        <v>20</v>
      </c>
      <c r="F268" s="134" t="s">
        <v>3586</v>
      </c>
      <c r="G268" s="63" t="str">
        <f>VLOOKUP(C268, 'Class Def. - General Data'!$C$20:$C$1000,1,false)</f>
        <v>ZBM1_GYPSUMCASTING</v>
      </c>
      <c r="H268" s="63" t="str">
        <f>IFERROR(__xludf.DUMMYFUNCTION("VLOOKUP(F268, IMPORTRANGE(""https://docs.google.com/spreadsheets/d/1Lhp9OU0JdFf_VYSMzH5lBcEaU4o8teT1piV-SNzShjg/edit?gid=554141278#gid=554141278"", ""'Char Def. - Attributes'!C20:C2242""), 1,false)"),"PLANT_PROD")</f>
        <v>PLANT_PROD</v>
      </c>
      <c r="I268" s="136"/>
    </row>
    <row r="269" ht="15.75" customHeight="1">
      <c r="A269" s="59"/>
      <c r="B269" s="63">
        <f t="shared" si="1"/>
        <v>18</v>
      </c>
      <c r="C269" s="135" t="s">
        <v>215</v>
      </c>
      <c r="D269" s="134" t="s">
        <v>74</v>
      </c>
      <c r="E269" s="135">
        <f t="shared" si="2"/>
        <v>21</v>
      </c>
      <c r="F269" s="134" t="s">
        <v>3587</v>
      </c>
      <c r="G269" s="63" t="str">
        <f>VLOOKUP(C269, 'Class Def. - General Data'!$C$20:$C$1000,1,false)</f>
        <v>ZBM1_GYPSUMCASTING</v>
      </c>
      <c r="H269" s="63" t="str">
        <f>IFERROR(__xludf.DUMMYFUNCTION("VLOOKUP(F269, IMPORTRANGE(""https://docs.google.com/spreadsheets/d/1Lhp9OU0JdFf_VYSMzH5lBcEaU4o8teT1piV-SNzShjg/edit?gid=554141278#gid=554141278"", ""'Char Def. - Attributes'!C20:C2242""), 1,false)"),"PLANT_BUY")</f>
        <v>PLANT_BUY</v>
      </c>
      <c r="I269" s="136"/>
    </row>
    <row r="270" ht="15.75" customHeight="1">
      <c r="A270" s="59"/>
      <c r="B270" s="63">
        <f t="shared" si="1"/>
        <v>18</v>
      </c>
      <c r="C270" s="135" t="s">
        <v>216</v>
      </c>
      <c r="D270" s="134" t="s">
        <v>74</v>
      </c>
      <c r="E270" s="135">
        <f t="shared" si="2"/>
        <v>1</v>
      </c>
      <c r="F270" s="134" t="s">
        <v>3588</v>
      </c>
      <c r="G270" s="63" t="str">
        <f>VLOOKUP(C270, 'Class Def. - General Data'!$C$20:$C$1000,1,false)</f>
        <v>ZBM1_GYPSUMCOMPOND</v>
      </c>
      <c r="H270" s="63" t="str">
        <f>IFERROR(__xludf.DUMMYFUNCTION("VLOOKUP(F270, IMPORTRANGE(""https://docs.google.com/spreadsheets/d/1Lhp9OU0JdFf_VYSMzH5lBcEaU4o8teT1piV-SNzShjg/edit?gid=554141278#gid=554141278"", ""'Char Def. - Attributes'!C20:C2242""), 1,false)"),"BM_TYPE")</f>
        <v>BM_TYPE</v>
      </c>
      <c r="I270" s="136"/>
    </row>
    <row r="271" ht="15.75" customHeight="1">
      <c r="A271" s="59"/>
      <c r="B271" s="63">
        <f t="shared" si="1"/>
        <v>18</v>
      </c>
      <c r="C271" s="135" t="s">
        <v>216</v>
      </c>
      <c r="D271" s="134" t="s">
        <v>74</v>
      </c>
      <c r="E271" s="135">
        <f t="shared" si="2"/>
        <v>2</v>
      </c>
      <c r="F271" s="134" t="s">
        <v>3589</v>
      </c>
      <c r="G271" s="63" t="str">
        <f>VLOOKUP(C271, 'Class Def. - General Data'!$C$20:$C$1000,1,false)</f>
        <v>ZBM1_GYPSUMCOMPOND</v>
      </c>
      <c r="H271" s="63" t="str">
        <f>IFERROR(__xludf.DUMMYFUNCTION("VLOOKUP(F271, IMPORTRANGE(""https://docs.google.com/spreadsheets/d/1Lhp9OU0JdFf_VYSMzH5lBcEaU4o8teT1piV-SNzShjg/edit?gid=554141278#gid=554141278"", ""'Char Def. - Attributes'!C20:C2242""), 1,false)"),"BM_BRAND")</f>
        <v>BM_BRAND</v>
      </c>
      <c r="I271" s="136"/>
    </row>
    <row r="272" ht="15.75" customHeight="1">
      <c r="A272" s="59"/>
      <c r="B272" s="63">
        <f t="shared" si="1"/>
        <v>18</v>
      </c>
      <c r="C272" s="135" t="s">
        <v>216</v>
      </c>
      <c r="D272" s="134" t="s">
        <v>74</v>
      </c>
      <c r="E272" s="135">
        <f t="shared" si="2"/>
        <v>3</v>
      </c>
      <c r="F272" s="134" t="s">
        <v>3590</v>
      </c>
      <c r="G272" s="63" t="str">
        <f>VLOOKUP(C272, 'Class Def. - General Data'!$C$20:$C$1000,1,false)</f>
        <v>ZBM1_GYPSUMCOMPOND</v>
      </c>
      <c r="H272" s="63" t="str">
        <f>IFERROR(__xludf.DUMMYFUNCTION("VLOOKUP(F272, IMPORTRANGE(""https://docs.google.com/spreadsheets/d/1Lhp9OU0JdFf_VYSMzH5lBcEaU4o8teT1piV-SNzShjg/edit?gid=554141278#gid=554141278"", ""'Char Def. - Attributes'!C20:C2242""), 1,false)"),"BM_VARIAN")</f>
        <v>BM_VARIAN</v>
      </c>
      <c r="I272" s="136"/>
    </row>
    <row r="273" ht="15.75" customHeight="1">
      <c r="A273" s="59"/>
      <c r="B273" s="63">
        <f t="shared" si="1"/>
        <v>18</v>
      </c>
      <c r="C273" s="135" t="s">
        <v>216</v>
      </c>
      <c r="D273" s="134" t="s">
        <v>74</v>
      </c>
      <c r="E273" s="135">
        <f t="shared" si="2"/>
        <v>4</v>
      </c>
      <c r="F273" s="134" t="s">
        <v>3591</v>
      </c>
      <c r="G273" s="63" t="str">
        <f>VLOOKUP(C273, 'Class Def. - General Data'!$C$20:$C$1000,1,false)</f>
        <v>ZBM1_GYPSUMCOMPOND</v>
      </c>
      <c r="H273" s="63" t="str">
        <f>IFERROR(__xludf.DUMMYFUNCTION("VLOOKUP(F273, IMPORTRANGE(""https://docs.google.com/spreadsheets/d/1Lhp9OU0JdFf_VYSMzH5lBcEaU4o8teT1piV-SNzShjg/edit?gid=554141278#gid=554141278"", ""'Char Def. - Attributes'!C20:C2242""), 1,false)"),"BM_COLOR")</f>
        <v>BM_COLOR</v>
      </c>
      <c r="I273" s="136"/>
    </row>
    <row r="274" ht="15.75" customHeight="1">
      <c r="A274" s="59"/>
      <c r="B274" s="63">
        <f t="shared" si="1"/>
        <v>18</v>
      </c>
      <c r="C274" s="135" t="s">
        <v>216</v>
      </c>
      <c r="D274" s="134" t="s">
        <v>74</v>
      </c>
      <c r="E274" s="135">
        <f t="shared" si="2"/>
        <v>5</v>
      </c>
      <c r="F274" s="134" t="s">
        <v>3592</v>
      </c>
      <c r="G274" s="63" t="str">
        <f>VLOOKUP(C274, 'Class Def. - General Data'!$C$20:$C$1000,1,false)</f>
        <v>ZBM1_GYPSUMCOMPOND</v>
      </c>
      <c r="H274" s="63" t="str">
        <f>IFERROR(__xludf.DUMMYFUNCTION("VLOOKUP(F274, IMPORTRANGE(""https://docs.google.com/spreadsheets/d/1Lhp9OU0JdFf_VYSMzH5lBcEaU4o8teT1piV-SNzShjg/edit?gid=554141278#gid=554141278"", ""'Char Def. - Attributes'!C20:C2242""), 1,false)"),"BM_SIZE")</f>
        <v>BM_SIZE</v>
      </c>
      <c r="I274" s="136"/>
    </row>
    <row r="275" ht="15.75" customHeight="1">
      <c r="A275" s="59"/>
      <c r="B275" s="63">
        <f t="shared" si="1"/>
        <v>18</v>
      </c>
      <c r="C275" s="135" t="s">
        <v>216</v>
      </c>
      <c r="D275" s="134" t="s">
        <v>74</v>
      </c>
      <c r="E275" s="135">
        <f t="shared" si="2"/>
        <v>6</v>
      </c>
      <c r="F275" s="134" t="s">
        <v>3593</v>
      </c>
      <c r="G275" s="63" t="str">
        <f>VLOOKUP(C275, 'Class Def. - General Data'!$C$20:$C$1000,1,false)</f>
        <v>ZBM1_GYPSUMCOMPOND</v>
      </c>
      <c r="H275" s="63" t="str">
        <f>IFERROR(__xludf.DUMMYFUNCTION("VLOOKUP(F275, IMPORTRANGE(""https://docs.google.com/spreadsheets/d/1Lhp9OU0JdFf_VYSMzH5lBcEaU4o8teT1piV-SNzShjg/edit?gid=554141278#gid=554141278"", ""'Char Def. - Attributes'!C20:C2242""), 1,false)"),"BM_GRADE")</f>
        <v>BM_GRADE</v>
      </c>
      <c r="I275" s="136"/>
    </row>
    <row r="276" ht="15.75" customHeight="1">
      <c r="A276" s="59"/>
      <c r="B276" s="63">
        <f t="shared" si="1"/>
        <v>18</v>
      </c>
      <c r="C276" s="135" t="s">
        <v>216</v>
      </c>
      <c r="D276" s="134" t="s">
        <v>74</v>
      </c>
      <c r="E276" s="135">
        <f t="shared" si="2"/>
        <v>7</v>
      </c>
      <c r="F276" s="134" t="s">
        <v>3594</v>
      </c>
      <c r="G276" s="63" t="str">
        <f>VLOOKUP(C276, 'Class Def. - General Data'!$C$20:$C$1000,1,false)</f>
        <v>ZBM1_GYPSUMCOMPOND</v>
      </c>
      <c r="H276" s="63" t="str">
        <f>IFERROR(__xludf.DUMMYFUNCTION("VLOOKUP(F276, IMPORTRANGE(""https://docs.google.com/spreadsheets/d/1Lhp9OU0JdFf_VYSMzH5lBcEaU4o8teT1piV-SNzShjg/edit?gid=554141278#gid=554141278"", ""'Char Def. - Attributes'!C20:C2242""), 1,false)"),"BM_MANUFACTURE")</f>
        <v>BM_MANUFACTURE</v>
      </c>
      <c r="I276" s="136"/>
    </row>
    <row r="277" ht="15.75" customHeight="1">
      <c r="A277" s="59"/>
      <c r="B277" s="63">
        <f t="shared" si="1"/>
        <v>18</v>
      </c>
      <c r="C277" s="135" t="s">
        <v>216</v>
      </c>
      <c r="D277" s="134" t="s">
        <v>74</v>
      </c>
      <c r="E277" s="135">
        <f t="shared" si="2"/>
        <v>8</v>
      </c>
      <c r="F277" s="134" t="s">
        <v>3582</v>
      </c>
      <c r="G277" s="63" t="str">
        <f>VLOOKUP(C277, 'Class Def. - General Data'!$C$20:$C$1000,1,false)</f>
        <v>ZBM1_GYPSUMCOMPOND</v>
      </c>
      <c r="H277" s="63" t="str">
        <f>IFERROR(__xludf.DUMMYFUNCTION("VLOOKUP(F277, IMPORTRANGE(""https://docs.google.com/spreadsheets/d/1Lhp9OU0JdFf_VYSMzH5lBcEaU4o8teT1piV-SNzShjg/edit?gid=554141278#gid=554141278"", ""'Char Def. - Attributes'!C20:C2242""), 1,false)"),"BASE_UNIT")</f>
        <v>BASE_UNIT</v>
      </c>
      <c r="I277" s="136"/>
    </row>
    <row r="278" ht="15.75" customHeight="1">
      <c r="A278" s="59"/>
      <c r="B278" s="63">
        <f t="shared" si="1"/>
        <v>18</v>
      </c>
      <c r="C278" s="135" t="s">
        <v>216</v>
      </c>
      <c r="D278" s="134" t="s">
        <v>74</v>
      </c>
      <c r="E278" s="135">
        <f t="shared" si="2"/>
        <v>9</v>
      </c>
      <c r="F278" s="134" t="s">
        <v>3583</v>
      </c>
      <c r="G278" s="63" t="str">
        <f>VLOOKUP(C278, 'Class Def. - General Data'!$C$20:$C$1000,1,false)</f>
        <v>ZBM1_GYPSUMCOMPOND</v>
      </c>
      <c r="H278" s="63" t="str">
        <f>IFERROR(__xludf.DUMMYFUNCTION("VLOOKUP(F278, IMPORTRANGE(""https://docs.google.com/spreadsheets/d/1Lhp9OU0JdFf_VYSMzH5lBcEaU4o8teT1piV-SNzShjg/edit?gid=554141278#gid=554141278"", ""'Char Def. - Attributes'!C20:C2242""), 1,false)"),"SALES_UNIT")</f>
        <v>SALES_UNIT</v>
      </c>
      <c r="I278" s="136"/>
    </row>
    <row r="279" ht="15.75" customHeight="1">
      <c r="A279" s="59"/>
      <c r="B279" s="63">
        <f t="shared" si="1"/>
        <v>18</v>
      </c>
      <c r="C279" s="135" t="s">
        <v>216</v>
      </c>
      <c r="D279" s="134" t="s">
        <v>74</v>
      </c>
      <c r="E279" s="135">
        <f t="shared" si="2"/>
        <v>10</v>
      </c>
      <c r="F279" s="134" t="s">
        <v>3595</v>
      </c>
      <c r="G279" s="63" t="str">
        <f>VLOOKUP(C279, 'Class Def. - General Data'!$C$20:$C$1000,1,false)</f>
        <v>ZBM1_GYPSUMCOMPOND</v>
      </c>
      <c r="H279" s="63" t="str">
        <f>IFERROR(__xludf.DUMMYFUNCTION("VLOOKUP(F279, IMPORTRANGE(""https://docs.google.com/spreadsheets/d/1Lhp9OU0JdFf_VYSMzH5lBcEaU4o8teT1piV-SNzShjg/edit?gid=554141278#gid=554141278"", ""'Char Def. - Attributes'!C20:C2242""), 1,false)"),"UOM1")</f>
        <v>UOM1</v>
      </c>
      <c r="I279" s="136"/>
    </row>
    <row r="280" ht="15.75" customHeight="1">
      <c r="A280" s="59"/>
      <c r="B280" s="63">
        <f t="shared" si="1"/>
        <v>18</v>
      </c>
      <c r="C280" s="135" t="s">
        <v>216</v>
      </c>
      <c r="D280" s="134" t="s">
        <v>74</v>
      </c>
      <c r="E280" s="135">
        <f t="shared" si="2"/>
        <v>11</v>
      </c>
      <c r="F280" s="134" t="s">
        <v>3596</v>
      </c>
      <c r="G280" s="63" t="str">
        <f>VLOOKUP(C280, 'Class Def. - General Data'!$C$20:$C$1000,1,false)</f>
        <v>ZBM1_GYPSUMCOMPOND</v>
      </c>
      <c r="H280" s="63" t="str">
        <f>IFERROR(__xludf.DUMMYFUNCTION("VLOOKUP(F280, IMPORTRANGE(""https://docs.google.com/spreadsheets/d/1Lhp9OU0JdFf_VYSMzH5lBcEaU4o8teT1piV-SNzShjg/edit?gid=554141278#gid=554141278"", ""'Char Def. - Attributes'!C20:C2242""), 1,false)"),"CONV1")</f>
        <v>CONV1</v>
      </c>
      <c r="I280" s="136"/>
    </row>
    <row r="281" ht="15.75" customHeight="1">
      <c r="A281" s="59"/>
      <c r="B281" s="63">
        <f t="shared" si="1"/>
        <v>18</v>
      </c>
      <c r="C281" s="135" t="s">
        <v>216</v>
      </c>
      <c r="D281" s="134" t="s">
        <v>74</v>
      </c>
      <c r="E281" s="135">
        <f t="shared" si="2"/>
        <v>12</v>
      </c>
      <c r="F281" s="134" t="s">
        <v>3597</v>
      </c>
      <c r="G281" s="63" t="str">
        <f>VLOOKUP(C281, 'Class Def. - General Data'!$C$20:$C$1000,1,false)</f>
        <v>ZBM1_GYPSUMCOMPOND</v>
      </c>
      <c r="H281" s="63" t="str">
        <f>IFERROR(__xludf.DUMMYFUNCTION("VLOOKUP(F281, IMPORTRANGE(""https://docs.google.com/spreadsheets/d/1Lhp9OU0JdFf_VYSMzH5lBcEaU4o8teT1piV-SNzShjg/edit?gid=554141278#gid=554141278"", ""'Char Def. - Attributes'!C20:C2242""), 1,false)"),"UOM2")</f>
        <v>UOM2</v>
      </c>
      <c r="I281" s="136"/>
    </row>
    <row r="282" ht="15.75" customHeight="1">
      <c r="A282" s="59"/>
      <c r="B282" s="63">
        <f t="shared" si="1"/>
        <v>18</v>
      </c>
      <c r="C282" s="135" t="s">
        <v>216</v>
      </c>
      <c r="D282" s="134" t="s">
        <v>74</v>
      </c>
      <c r="E282" s="135">
        <f t="shared" si="2"/>
        <v>13</v>
      </c>
      <c r="F282" s="134" t="s">
        <v>3598</v>
      </c>
      <c r="G282" s="63" t="str">
        <f>VLOOKUP(C282, 'Class Def. - General Data'!$C$20:$C$1000,1,false)</f>
        <v>ZBM1_GYPSUMCOMPOND</v>
      </c>
      <c r="H282" s="63" t="str">
        <f>IFERROR(__xludf.DUMMYFUNCTION("VLOOKUP(F282, IMPORTRANGE(""https://docs.google.com/spreadsheets/d/1Lhp9OU0JdFf_VYSMzH5lBcEaU4o8teT1piV-SNzShjg/edit?gid=554141278#gid=554141278"", ""'Char Def. - Attributes'!C20:C2242""), 1,false)"),"CONV2")</f>
        <v>CONV2</v>
      </c>
      <c r="I282" s="136"/>
    </row>
    <row r="283" ht="15.75" customHeight="1">
      <c r="A283" s="59"/>
      <c r="B283" s="63">
        <f t="shared" si="1"/>
        <v>18</v>
      </c>
      <c r="C283" s="135" t="s">
        <v>216</v>
      </c>
      <c r="D283" s="134" t="s">
        <v>74</v>
      </c>
      <c r="E283" s="135">
        <f t="shared" si="2"/>
        <v>14</v>
      </c>
      <c r="F283" s="134" t="s">
        <v>3599</v>
      </c>
      <c r="G283" s="63" t="str">
        <f>VLOOKUP(C283, 'Class Def. - General Data'!$C$20:$C$1000,1,false)</f>
        <v>ZBM1_GYPSUMCOMPOND</v>
      </c>
      <c r="H283" s="63" t="str">
        <f>IFERROR(__xludf.DUMMYFUNCTION("VLOOKUP(F283, IMPORTRANGE(""https://docs.google.com/spreadsheets/d/1Lhp9OU0JdFf_VYSMzH5lBcEaU4o8teT1piV-SNzShjg/edit?gid=554141278#gid=554141278"", ""'Char Def. - Attributes'!C20:C2242""), 1,false)"),"UOM3")</f>
        <v>UOM3</v>
      </c>
      <c r="I283" s="136"/>
    </row>
    <row r="284" ht="15.75" customHeight="1">
      <c r="A284" s="59"/>
      <c r="B284" s="63">
        <f t="shared" si="1"/>
        <v>18</v>
      </c>
      <c r="C284" s="135" t="s">
        <v>216</v>
      </c>
      <c r="D284" s="134" t="s">
        <v>74</v>
      </c>
      <c r="E284" s="135">
        <f t="shared" si="2"/>
        <v>15</v>
      </c>
      <c r="F284" s="134" t="s">
        <v>3600</v>
      </c>
      <c r="G284" s="63" t="str">
        <f>VLOOKUP(C284, 'Class Def. - General Data'!$C$20:$C$1000,1,false)</f>
        <v>ZBM1_GYPSUMCOMPOND</v>
      </c>
      <c r="H284" s="63" t="str">
        <f>IFERROR(__xludf.DUMMYFUNCTION("VLOOKUP(F284, IMPORTRANGE(""https://docs.google.com/spreadsheets/d/1Lhp9OU0JdFf_VYSMzH5lBcEaU4o8teT1piV-SNzShjg/edit?gid=554141278#gid=554141278"", ""'Char Def. - Attributes'!C20:C2242""), 1,false)"),"CONV3")</f>
        <v>CONV3</v>
      </c>
      <c r="I284" s="136"/>
    </row>
    <row r="285" ht="15.75" customHeight="1">
      <c r="A285" s="59"/>
      <c r="B285" s="63">
        <f t="shared" si="1"/>
        <v>18</v>
      </c>
      <c r="C285" s="135" t="s">
        <v>216</v>
      </c>
      <c r="D285" s="134" t="s">
        <v>74</v>
      </c>
      <c r="E285" s="135">
        <f t="shared" si="2"/>
        <v>16</v>
      </c>
      <c r="F285" s="134" t="s">
        <v>3601</v>
      </c>
      <c r="G285" s="63" t="str">
        <f>VLOOKUP(C285, 'Class Def. - General Data'!$C$20:$C$1000,1,false)</f>
        <v>ZBM1_GYPSUMCOMPOND</v>
      </c>
      <c r="H285" s="63" t="str">
        <f>IFERROR(__xludf.DUMMYFUNCTION("VLOOKUP(F285, IMPORTRANGE(""https://docs.google.com/spreadsheets/d/1Lhp9OU0JdFf_VYSMzH5lBcEaU4o8teT1piV-SNzShjg/edit?gid=554141278#gid=554141278"", ""'Char Def. - Attributes'!C20:C2242""), 1,false)"),"GROSS_WEIGHT")</f>
        <v>GROSS_WEIGHT</v>
      </c>
      <c r="I285" s="136"/>
    </row>
    <row r="286" ht="15.75" customHeight="1">
      <c r="A286" s="59"/>
      <c r="B286" s="63">
        <f t="shared" si="1"/>
        <v>18</v>
      </c>
      <c r="C286" s="135" t="s">
        <v>216</v>
      </c>
      <c r="D286" s="134" t="s">
        <v>74</v>
      </c>
      <c r="E286" s="135">
        <f t="shared" si="2"/>
        <v>17</v>
      </c>
      <c r="F286" s="134" t="s">
        <v>3602</v>
      </c>
      <c r="G286" s="63" t="str">
        <f>VLOOKUP(C286, 'Class Def. - General Data'!$C$20:$C$1000,1,false)</f>
        <v>ZBM1_GYPSUMCOMPOND</v>
      </c>
      <c r="H286" s="63" t="str">
        <f>IFERROR(__xludf.DUMMYFUNCTION("VLOOKUP(F286, IMPORTRANGE(""https://docs.google.com/spreadsheets/d/1Lhp9OU0JdFf_VYSMzH5lBcEaU4o8teT1piV-SNzShjg/edit?gid=554141278#gid=554141278"", ""'Char Def. - Attributes'!C20:C2242""), 1,false)"),"NET_WEIGHT")</f>
        <v>NET_WEIGHT</v>
      </c>
      <c r="I286" s="136"/>
    </row>
    <row r="287" ht="15.75" customHeight="1">
      <c r="A287" s="59"/>
      <c r="B287" s="63">
        <f t="shared" si="1"/>
        <v>18</v>
      </c>
      <c r="C287" s="135" t="s">
        <v>216</v>
      </c>
      <c r="D287" s="134" t="s">
        <v>74</v>
      </c>
      <c r="E287" s="135">
        <f t="shared" si="2"/>
        <v>18</v>
      </c>
      <c r="F287" s="134" t="s">
        <v>3603</v>
      </c>
      <c r="G287" s="63" t="str">
        <f>VLOOKUP(C287, 'Class Def. - General Data'!$C$20:$C$1000,1,false)</f>
        <v>ZBM1_GYPSUMCOMPOND</v>
      </c>
      <c r="H287" s="63" t="str">
        <f>IFERROR(__xludf.DUMMYFUNCTION("VLOOKUP(F287, IMPORTRANGE(""https://docs.google.com/spreadsheets/d/1Lhp9OU0JdFf_VYSMzH5lBcEaU4o8teT1piV-SNzShjg/edit?gid=554141278#gid=554141278"", ""'Char Def. - Attributes'!C20:C2242""), 1,false)"),"VOLUME")</f>
        <v>VOLUME</v>
      </c>
      <c r="I287" s="136"/>
    </row>
    <row r="288" ht="15.75" customHeight="1">
      <c r="A288" s="59"/>
      <c r="B288" s="63">
        <f t="shared" si="1"/>
        <v>18</v>
      </c>
      <c r="C288" s="135" t="s">
        <v>216</v>
      </c>
      <c r="D288" s="134" t="s">
        <v>74</v>
      </c>
      <c r="E288" s="135">
        <f t="shared" si="2"/>
        <v>19</v>
      </c>
      <c r="F288" s="134" t="s">
        <v>3585</v>
      </c>
      <c r="G288" s="63" t="str">
        <f>VLOOKUP(C288, 'Class Def. - General Data'!$C$20:$C$1000,1,false)</f>
        <v>ZBM1_GYPSUMCOMPOND</v>
      </c>
      <c r="H288" s="63" t="str">
        <f>IFERROR(__xludf.DUMMYFUNCTION("VLOOKUP(F288, IMPORTRANGE(""https://docs.google.com/spreadsheets/d/1Lhp9OU0JdFf_VYSMzH5lBcEaU4o8teT1piV-SNzShjg/edit?gid=554141278#gid=554141278"", ""'Char Def. - Attributes'!C20:C2242""), 1,false)"),"HS_CODE")</f>
        <v>HS_CODE</v>
      </c>
      <c r="I288" s="136"/>
    </row>
    <row r="289" ht="15.75" customHeight="1">
      <c r="A289" s="59"/>
      <c r="B289" s="63">
        <f t="shared" si="1"/>
        <v>18</v>
      </c>
      <c r="C289" s="135" t="s">
        <v>216</v>
      </c>
      <c r="D289" s="134" t="s">
        <v>74</v>
      </c>
      <c r="E289" s="135">
        <f t="shared" si="2"/>
        <v>20</v>
      </c>
      <c r="F289" s="134" t="s">
        <v>3586</v>
      </c>
      <c r="G289" s="63" t="str">
        <f>VLOOKUP(C289, 'Class Def. - General Data'!$C$20:$C$1000,1,false)</f>
        <v>ZBM1_GYPSUMCOMPOND</v>
      </c>
      <c r="H289" s="63" t="str">
        <f>IFERROR(__xludf.DUMMYFUNCTION("VLOOKUP(F289, IMPORTRANGE(""https://docs.google.com/spreadsheets/d/1Lhp9OU0JdFf_VYSMzH5lBcEaU4o8teT1piV-SNzShjg/edit?gid=554141278#gid=554141278"", ""'Char Def. - Attributes'!C20:C2242""), 1,false)"),"PLANT_PROD")</f>
        <v>PLANT_PROD</v>
      </c>
      <c r="I289" s="136"/>
    </row>
    <row r="290" ht="15.75" customHeight="1">
      <c r="A290" s="59"/>
      <c r="B290" s="63">
        <f t="shared" si="1"/>
        <v>18</v>
      </c>
      <c r="C290" s="135" t="s">
        <v>216</v>
      </c>
      <c r="D290" s="134" t="s">
        <v>74</v>
      </c>
      <c r="E290" s="135">
        <f t="shared" si="2"/>
        <v>21</v>
      </c>
      <c r="F290" s="134" t="s">
        <v>3587</v>
      </c>
      <c r="G290" s="63" t="str">
        <f>VLOOKUP(C290, 'Class Def. - General Data'!$C$20:$C$1000,1,false)</f>
        <v>ZBM1_GYPSUMCOMPOND</v>
      </c>
      <c r="H290" s="63" t="str">
        <f>IFERROR(__xludf.DUMMYFUNCTION("VLOOKUP(F290, IMPORTRANGE(""https://docs.google.com/spreadsheets/d/1Lhp9OU0JdFf_VYSMzH5lBcEaU4o8teT1piV-SNzShjg/edit?gid=554141278#gid=554141278"", ""'Char Def. - Attributes'!C20:C2242""), 1,false)"),"PLANT_BUY")</f>
        <v>PLANT_BUY</v>
      </c>
      <c r="I290" s="136"/>
    </row>
    <row r="291" ht="15.75" customHeight="1">
      <c r="A291" s="59"/>
      <c r="B291" s="63">
        <f t="shared" si="1"/>
        <v>16</v>
      </c>
      <c r="C291" s="135" t="s">
        <v>217</v>
      </c>
      <c r="D291" s="134" t="s">
        <v>74</v>
      </c>
      <c r="E291" s="135">
        <f t="shared" si="2"/>
        <v>1</v>
      </c>
      <c r="F291" s="134" t="s">
        <v>3588</v>
      </c>
      <c r="G291" s="63" t="str">
        <f>VLOOKUP(C291, 'Class Def. - General Data'!$C$20:$C$1000,1,false)</f>
        <v>ZBM1_GYPSUMFRAME</v>
      </c>
      <c r="H291" s="63" t="str">
        <f>IFERROR(__xludf.DUMMYFUNCTION("VLOOKUP(F291, IMPORTRANGE(""https://docs.google.com/spreadsheets/d/1Lhp9OU0JdFf_VYSMzH5lBcEaU4o8teT1piV-SNzShjg/edit?gid=554141278#gid=554141278"", ""'Char Def. - Attributes'!C20:C2242""), 1,false)"),"BM_TYPE")</f>
        <v>BM_TYPE</v>
      </c>
      <c r="I291" s="136"/>
    </row>
    <row r="292" ht="15.75" customHeight="1">
      <c r="A292" s="59"/>
      <c r="B292" s="63">
        <f t="shared" si="1"/>
        <v>16</v>
      </c>
      <c r="C292" s="135" t="s">
        <v>217</v>
      </c>
      <c r="D292" s="134" t="s">
        <v>74</v>
      </c>
      <c r="E292" s="135">
        <f t="shared" si="2"/>
        <v>2</v>
      </c>
      <c r="F292" s="134" t="s">
        <v>3589</v>
      </c>
      <c r="G292" s="63" t="str">
        <f>VLOOKUP(C292, 'Class Def. - General Data'!$C$20:$C$1000,1,false)</f>
        <v>ZBM1_GYPSUMFRAME</v>
      </c>
      <c r="H292" s="63" t="str">
        <f>IFERROR(__xludf.DUMMYFUNCTION("VLOOKUP(F292, IMPORTRANGE(""https://docs.google.com/spreadsheets/d/1Lhp9OU0JdFf_VYSMzH5lBcEaU4o8teT1piV-SNzShjg/edit?gid=554141278#gid=554141278"", ""'Char Def. - Attributes'!C20:C2242""), 1,false)"),"BM_BRAND")</f>
        <v>BM_BRAND</v>
      </c>
      <c r="I292" s="136"/>
    </row>
    <row r="293" ht="15.75" customHeight="1">
      <c r="A293" s="59"/>
      <c r="B293" s="63">
        <f t="shared" si="1"/>
        <v>16</v>
      </c>
      <c r="C293" s="135" t="s">
        <v>217</v>
      </c>
      <c r="D293" s="134" t="s">
        <v>74</v>
      </c>
      <c r="E293" s="135">
        <f t="shared" si="2"/>
        <v>3</v>
      </c>
      <c r="F293" s="134" t="s">
        <v>3590</v>
      </c>
      <c r="G293" s="63" t="str">
        <f>VLOOKUP(C293, 'Class Def. - General Data'!$C$20:$C$1000,1,false)</f>
        <v>ZBM1_GYPSUMFRAME</v>
      </c>
      <c r="H293" s="63" t="str">
        <f>IFERROR(__xludf.DUMMYFUNCTION("VLOOKUP(F293, IMPORTRANGE(""https://docs.google.com/spreadsheets/d/1Lhp9OU0JdFf_VYSMzH5lBcEaU4o8teT1piV-SNzShjg/edit?gid=554141278#gid=554141278"", ""'Char Def. - Attributes'!C20:C2242""), 1,false)"),"BM_VARIAN")</f>
        <v>BM_VARIAN</v>
      </c>
      <c r="I293" s="136"/>
    </row>
    <row r="294" ht="15.75" customHeight="1">
      <c r="A294" s="59"/>
      <c r="B294" s="63">
        <f t="shared" si="1"/>
        <v>16</v>
      </c>
      <c r="C294" s="135" t="s">
        <v>217</v>
      </c>
      <c r="D294" s="134" t="s">
        <v>74</v>
      </c>
      <c r="E294" s="135">
        <f t="shared" si="2"/>
        <v>4</v>
      </c>
      <c r="F294" s="134" t="s">
        <v>3591</v>
      </c>
      <c r="G294" s="63" t="str">
        <f>VLOOKUP(C294, 'Class Def. - General Data'!$C$20:$C$1000,1,false)</f>
        <v>ZBM1_GYPSUMFRAME</v>
      </c>
      <c r="H294" s="63" t="str">
        <f>IFERROR(__xludf.DUMMYFUNCTION("VLOOKUP(F294, IMPORTRANGE(""https://docs.google.com/spreadsheets/d/1Lhp9OU0JdFf_VYSMzH5lBcEaU4o8teT1piV-SNzShjg/edit?gid=554141278#gid=554141278"", ""'Char Def. - Attributes'!C20:C2242""), 1,false)"),"BM_COLOR")</f>
        <v>BM_COLOR</v>
      </c>
      <c r="I294" s="136"/>
    </row>
    <row r="295" ht="15.75" customHeight="1">
      <c r="A295" s="59"/>
      <c r="B295" s="63">
        <f t="shared" si="1"/>
        <v>16</v>
      </c>
      <c r="C295" s="135" t="s">
        <v>217</v>
      </c>
      <c r="D295" s="134" t="s">
        <v>74</v>
      </c>
      <c r="E295" s="135">
        <f t="shared" si="2"/>
        <v>5</v>
      </c>
      <c r="F295" s="134" t="s">
        <v>3592</v>
      </c>
      <c r="G295" s="63" t="str">
        <f>VLOOKUP(C295, 'Class Def. - General Data'!$C$20:$C$1000,1,false)</f>
        <v>ZBM1_GYPSUMFRAME</v>
      </c>
      <c r="H295" s="63" t="str">
        <f>IFERROR(__xludf.DUMMYFUNCTION("VLOOKUP(F295, IMPORTRANGE(""https://docs.google.com/spreadsheets/d/1Lhp9OU0JdFf_VYSMzH5lBcEaU4o8teT1piV-SNzShjg/edit?gid=554141278#gid=554141278"", ""'Char Def. - Attributes'!C20:C2242""), 1,false)"),"BM_SIZE")</f>
        <v>BM_SIZE</v>
      </c>
      <c r="I295" s="136"/>
    </row>
    <row r="296" ht="15.75" customHeight="1">
      <c r="A296" s="59"/>
      <c r="B296" s="63">
        <f t="shared" si="1"/>
        <v>16</v>
      </c>
      <c r="C296" s="135" t="s">
        <v>217</v>
      </c>
      <c r="D296" s="134" t="s">
        <v>74</v>
      </c>
      <c r="E296" s="135">
        <f t="shared" si="2"/>
        <v>6</v>
      </c>
      <c r="F296" s="134" t="s">
        <v>3593</v>
      </c>
      <c r="G296" s="63" t="str">
        <f>VLOOKUP(C296, 'Class Def. - General Data'!$C$20:$C$1000,1,false)</f>
        <v>ZBM1_GYPSUMFRAME</v>
      </c>
      <c r="H296" s="63" t="str">
        <f>IFERROR(__xludf.DUMMYFUNCTION("VLOOKUP(F296, IMPORTRANGE(""https://docs.google.com/spreadsheets/d/1Lhp9OU0JdFf_VYSMzH5lBcEaU4o8teT1piV-SNzShjg/edit?gid=554141278#gid=554141278"", ""'Char Def. - Attributes'!C20:C2242""), 1,false)"),"BM_GRADE")</f>
        <v>BM_GRADE</v>
      </c>
      <c r="I296" s="136"/>
    </row>
    <row r="297" ht="15.75" customHeight="1">
      <c r="A297" s="59"/>
      <c r="B297" s="63">
        <f t="shared" si="1"/>
        <v>16</v>
      </c>
      <c r="C297" s="135" t="s">
        <v>217</v>
      </c>
      <c r="D297" s="134" t="s">
        <v>74</v>
      </c>
      <c r="E297" s="135">
        <f t="shared" si="2"/>
        <v>7</v>
      </c>
      <c r="F297" s="134" t="s">
        <v>3594</v>
      </c>
      <c r="G297" s="63" t="str">
        <f>VLOOKUP(C297, 'Class Def. - General Data'!$C$20:$C$1000,1,false)</f>
        <v>ZBM1_GYPSUMFRAME</v>
      </c>
      <c r="H297" s="63" t="str">
        <f>IFERROR(__xludf.DUMMYFUNCTION("VLOOKUP(F297, IMPORTRANGE(""https://docs.google.com/spreadsheets/d/1Lhp9OU0JdFf_VYSMzH5lBcEaU4o8teT1piV-SNzShjg/edit?gid=554141278#gid=554141278"", ""'Char Def. - Attributes'!C20:C2242""), 1,false)"),"BM_MANUFACTURE")</f>
        <v>BM_MANUFACTURE</v>
      </c>
      <c r="I297" s="136"/>
    </row>
    <row r="298" ht="15.75" customHeight="1">
      <c r="A298" s="59"/>
      <c r="B298" s="63">
        <f t="shared" si="1"/>
        <v>16</v>
      </c>
      <c r="C298" s="135" t="s">
        <v>217</v>
      </c>
      <c r="D298" s="134" t="s">
        <v>74</v>
      </c>
      <c r="E298" s="135">
        <f t="shared" si="2"/>
        <v>8</v>
      </c>
      <c r="F298" s="134" t="s">
        <v>3582</v>
      </c>
      <c r="G298" s="63" t="str">
        <f>VLOOKUP(C298, 'Class Def. - General Data'!$C$20:$C$1000,1,false)</f>
        <v>ZBM1_GYPSUMFRAME</v>
      </c>
      <c r="H298" s="63" t="str">
        <f>IFERROR(__xludf.DUMMYFUNCTION("VLOOKUP(F298, IMPORTRANGE(""https://docs.google.com/spreadsheets/d/1Lhp9OU0JdFf_VYSMzH5lBcEaU4o8teT1piV-SNzShjg/edit?gid=554141278#gid=554141278"", ""'Char Def. - Attributes'!C20:C2242""), 1,false)"),"BASE_UNIT")</f>
        <v>BASE_UNIT</v>
      </c>
      <c r="I298" s="136"/>
    </row>
    <row r="299" ht="15.75" customHeight="1">
      <c r="A299" s="59"/>
      <c r="B299" s="63">
        <f t="shared" si="1"/>
        <v>16</v>
      </c>
      <c r="C299" s="135" t="s">
        <v>217</v>
      </c>
      <c r="D299" s="134" t="s">
        <v>74</v>
      </c>
      <c r="E299" s="135">
        <f t="shared" si="2"/>
        <v>9</v>
      </c>
      <c r="F299" s="134" t="s">
        <v>3583</v>
      </c>
      <c r="G299" s="63" t="str">
        <f>VLOOKUP(C299, 'Class Def. - General Data'!$C$20:$C$1000,1,false)</f>
        <v>ZBM1_GYPSUMFRAME</v>
      </c>
      <c r="H299" s="63" t="str">
        <f>IFERROR(__xludf.DUMMYFUNCTION("VLOOKUP(F299, IMPORTRANGE(""https://docs.google.com/spreadsheets/d/1Lhp9OU0JdFf_VYSMzH5lBcEaU4o8teT1piV-SNzShjg/edit?gid=554141278#gid=554141278"", ""'Char Def. - Attributes'!C20:C2242""), 1,false)"),"SALES_UNIT")</f>
        <v>SALES_UNIT</v>
      </c>
      <c r="I299" s="136"/>
    </row>
    <row r="300" ht="15.75" customHeight="1">
      <c r="A300" s="59"/>
      <c r="B300" s="63">
        <f t="shared" si="1"/>
        <v>16</v>
      </c>
      <c r="C300" s="135" t="s">
        <v>217</v>
      </c>
      <c r="D300" s="134" t="s">
        <v>74</v>
      </c>
      <c r="E300" s="135">
        <f t="shared" si="2"/>
        <v>10</v>
      </c>
      <c r="F300" s="134" t="s">
        <v>3595</v>
      </c>
      <c r="G300" s="63" t="str">
        <f>VLOOKUP(C300, 'Class Def. - General Data'!$C$20:$C$1000,1,false)</f>
        <v>ZBM1_GYPSUMFRAME</v>
      </c>
      <c r="H300" s="63" t="str">
        <f>IFERROR(__xludf.DUMMYFUNCTION("VLOOKUP(F300, IMPORTRANGE(""https://docs.google.com/spreadsheets/d/1Lhp9OU0JdFf_VYSMzH5lBcEaU4o8teT1piV-SNzShjg/edit?gid=554141278#gid=554141278"", ""'Char Def. - Attributes'!C20:C2242""), 1,false)"),"UOM1")</f>
        <v>UOM1</v>
      </c>
      <c r="I300" s="136"/>
    </row>
    <row r="301" ht="15.75" customHeight="1">
      <c r="A301" s="59"/>
      <c r="B301" s="63">
        <f t="shared" si="1"/>
        <v>16</v>
      </c>
      <c r="C301" s="135" t="s">
        <v>217</v>
      </c>
      <c r="D301" s="134" t="s">
        <v>74</v>
      </c>
      <c r="E301" s="135">
        <f t="shared" si="2"/>
        <v>11</v>
      </c>
      <c r="F301" s="134" t="s">
        <v>3596</v>
      </c>
      <c r="G301" s="63" t="str">
        <f>VLOOKUP(C301, 'Class Def. - General Data'!$C$20:$C$1000,1,false)</f>
        <v>ZBM1_GYPSUMFRAME</v>
      </c>
      <c r="H301" s="63" t="str">
        <f>IFERROR(__xludf.DUMMYFUNCTION("VLOOKUP(F301, IMPORTRANGE(""https://docs.google.com/spreadsheets/d/1Lhp9OU0JdFf_VYSMzH5lBcEaU4o8teT1piV-SNzShjg/edit?gid=554141278#gid=554141278"", ""'Char Def. - Attributes'!C20:C2242""), 1,false)"),"CONV1")</f>
        <v>CONV1</v>
      </c>
      <c r="I301" s="136"/>
    </row>
    <row r="302" ht="15.75" customHeight="1">
      <c r="A302" s="59"/>
      <c r="B302" s="63">
        <f t="shared" si="1"/>
        <v>16</v>
      </c>
      <c r="C302" s="135" t="s">
        <v>217</v>
      </c>
      <c r="D302" s="134" t="s">
        <v>74</v>
      </c>
      <c r="E302" s="135">
        <f t="shared" si="2"/>
        <v>12</v>
      </c>
      <c r="F302" s="134" t="s">
        <v>3597</v>
      </c>
      <c r="G302" s="63" t="str">
        <f>VLOOKUP(C302, 'Class Def. - General Data'!$C$20:$C$1000,1,false)</f>
        <v>ZBM1_GYPSUMFRAME</v>
      </c>
      <c r="H302" s="63" t="str">
        <f>IFERROR(__xludf.DUMMYFUNCTION("VLOOKUP(F302, IMPORTRANGE(""https://docs.google.com/spreadsheets/d/1Lhp9OU0JdFf_VYSMzH5lBcEaU4o8teT1piV-SNzShjg/edit?gid=554141278#gid=554141278"", ""'Char Def. - Attributes'!C20:C2242""), 1,false)"),"UOM2")</f>
        <v>UOM2</v>
      </c>
      <c r="I302" s="136"/>
    </row>
    <row r="303" ht="15.75" customHeight="1">
      <c r="A303" s="59"/>
      <c r="B303" s="63">
        <f t="shared" si="1"/>
        <v>16</v>
      </c>
      <c r="C303" s="135" t="s">
        <v>217</v>
      </c>
      <c r="D303" s="134" t="s">
        <v>74</v>
      </c>
      <c r="E303" s="135">
        <f t="shared" si="2"/>
        <v>13</v>
      </c>
      <c r="F303" s="134" t="s">
        <v>3598</v>
      </c>
      <c r="G303" s="63" t="str">
        <f>VLOOKUP(C303, 'Class Def. - General Data'!$C$20:$C$1000,1,false)</f>
        <v>ZBM1_GYPSUMFRAME</v>
      </c>
      <c r="H303" s="63" t="str">
        <f>IFERROR(__xludf.DUMMYFUNCTION("VLOOKUP(F303, IMPORTRANGE(""https://docs.google.com/spreadsheets/d/1Lhp9OU0JdFf_VYSMzH5lBcEaU4o8teT1piV-SNzShjg/edit?gid=554141278#gid=554141278"", ""'Char Def. - Attributes'!C20:C2242""), 1,false)"),"CONV2")</f>
        <v>CONV2</v>
      </c>
      <c r="I303" s="136"/>
    </row>
    <row r="304" ht="15.75" customHeight="1">
      <c r="A304" s="59"/>
      <c r="B304" s="63">
        <f t="shared" si="1"/>
        <v>16</v>
      </c>
      <c r="C304" s="135" t="s">
        <v>217</v>
      </c>
      <c r="D304" s="134" t="s">
        <v>74</v>
      </c>
      <c r="E304" s="135">
        <f t="shared" si="2"/>
        <v>14</v>
      </c>
      <c r="F304" s="134" t="s">
        <v>3599</v>
      </c>
      <c r="G304" s="63" t="str">
        <f>VLOOKUP(C304, 'Class Def. - General Data'!$C$20:$C$1000,1,false)</f>
        <v>ZBM1_GYPSUMFRAME</v>
      </c>
      <c r="H304" s="63" t="str">
        <f>IFERROR(__xludf.DUMMYFUNCTION("VLOOKUP(F304, IMPORTRANGE(""https://docs.google.com/spreadsheets/d/1Lhp9OU0JdFf_VYSMzH5lBcEaU4o8teT1piV-SNzShjg/edit?gid=554141278#gid=554141278"", ""'Char Def. - Attributes'!C20:C2242""), 1,false)"),"UOM3")</f>
        <v>UOM3</v>
      </c>
      <c r="I304" s="136"/>
    </row>
    <row r="305" ht="15.75" customHeight="1">
      <c r="A305" s="59"/>
      <c r="B305" s="63">
        <f t="shared" si="1"/>
        <v>16</v>
      </c>
      <c r="C305" s="135" t="s">
        <v>217</v>
      </c>
      <c r="D305" s="134" t="s">
        <v>74</v>
      </c>
      <c r="E305" s="135">
        <f t="shared" si="2"/>
        <v>15</v>
      </c>
      <c r="F305" s="134" t="s">
        <v>3600</v>
      </c>
      <c r="G305" s="63" t="str">
        <f>VLOOKUP(C305, 'Class Def. - General Data'!$C$20:$C$1000,1,false)</f>
        <v>ZBM1_GYPSUMFRAME</v>
      </c>
      <c r="H305" s="63" t="str">
        <f>IFERROR(__xludf.DUMMYFUNCTION("VLOOKUP(F305, IMPORTRANGE(""https://docs.google.com/spreadsheets/d/1Lhp9OU0JdFf_VYSMzH5lBcEaU4o8teT1piV-SNzShjg/edit?gid=554141278#gid=554141278"", ""'Char Def. - Attributes'!C20:C2242""), 1,false)"),"CONV3")</f>
        <v>CONV3</v>
      </c>
      <c r="I305" s="136"/>
    </row>
    <row r="306" ht="15.75" customHeight="1">
      <c r="A306" s="59"/>
      <c r="B306" s="63">
        <f t="shared" si="1"/>
        <v>16</v>
      </c>
      <c r="C306" s="135" t="s">
        <v>217</v>
      </c>
      <c r="D306" s="134" t="s">
        <v>74</v>
      </c>
      <c r="E306" s="135">
        <f t="shared" si="2"/>
        <v>16</v>
      </c>
      <c r="F306" s="134" t="s">
        <v>3601</v>
      </c>
      <c r="G306" s="63" t="str">
        <f>VLOOKUP(C306, 'Class Def. - General Data'!$C$20:$C$1000,1,false)</f>
        <v>ZBM1_GYPSUMFRAME</v>
      </c>
      <c r="H306" s="63" t="str">
        <f>IFERROR(__xludf.DUMMYFUNCTION("VLOOKUP(F306, IMPORTRANGE(""https://docs.google.com/spreadsheets/d/1Lhp9OU0JdFf_VYSMzH5lBcEaU4o8teT1piV-SNzShjg/edit?gid=554141278#gid=554141278"", ""'Char Def. - Attributes'!C20:C2242""), 1,false)"),"GROSS_WEIGHT")</f>
        <v>GROSS_WEIGHT</v>
      </c>
      <c r="I306" s="136"/>
    </row>
    <row r="307" ht="15.75" customHeight="1">
      <c r="A307" s="59"/>
      <c r="B307" s="63">
        <f t="shared" si="1"/>
        <v>16</v>
      </c>
      <c r="C307" s="135" t="s">
        <v>217</v>
      </c>
      <c r="D307" s="134" t="s">
        <v>74</v>
      </c>
      <c r="E307" s="135">
        <f t="shared" si="2"/>
        <v>17</v>
      </c>
      <c r="F307" s="134" t="s">
        <v>3602</v>
      </c>
      <c r="G307" s="63" t="str">
        <f>VLOOKUP(C307, 'Class Def. - General Data'!$C$20:$C$1000,1,false)</f>
        <v>ZBM1_GYPSUMFRAME</v>
      </c>
      <c r="H307" s="63" t="str">
        <f>IFERROR(__xludf.DUMMYFUNCTION("VLOOKUP(F307, IMPORTRANGE(""https://docs.google.com/spreadsheets/d/1Lhp9OU0JdFf_VYSMzH5lBcEaU4o8teT1piV-SNzShjg/edit?gid=554141278#gid=554141278"", ""'Char Def. - Attributes'!C20:C2242""), 1,false)"),"NET_WEIGHT")</f>
        <v>NET_WEIGHT</v>
      </c>
      <c r="I307" s="136"/>
    </row>
    <row r="308" ht="15.75" customHeight="1">
      <c r="A308" s="59"/>
      <c r="B308" s="63">
        <f t="shared" si="1"/>
        <v>16</v>
      </c>
      <c r="C308" s="135" t="s">
        <v>217</v>
      </c>
      <c r="D308" s="134" t="s">
        <v>74</v>
      </c>
      <c r="E308" s="135">
        <f t="shared" si="2"/>
        <v>18</v>
      </c>
      <c r="F308" s="134" t="s">
        <v>3603</v>
      </c>
      <c r="G308" s="63" t="str">
        <f>VLOOKUP(C308, 'Class Def. - General Data'!$C$20:$C$1000,1,false)</f>
        <v>ZBM1_GYPSUMFRAME</v>
      </c>
      <c r="H308" s="63" t="str">
        <f>IFERROR(__xludf.DUMMYFUNCTION("VLOOKUP(F308, IMPORTRANGE(""https://docs.google.com/spreadsheets/d/1Lhp9OU0JdFf_VYSMzH5lBcEaU4o8teT1piV-SNzShjg/edit?gid=554141278#gid=554141278"", ""'Char Def. - Attributes'!C20:C2242""), 1,false)"),"VOLUME")</f>
        <v>VOLUME</v>
      </c>
      <c r="I308" s="136"/>
    </row>
    <row r="309" ht="15.75" customHeight="1">
      <c r="A309" s="59"/>
      <c r="B309" s="63">
        <f t="shared" si="1"/>
        <v>16</v>
      </c>
      <c r="C309" s="135" t="s">
        <v>217</v>
      </c>
      <c r="D309" s="134" t="s">
        <v>74</v>
      </c>
      <c r="E309" s="135">
        <f t="shared" si="2"/>
        <v>19</v>
      </c>
      <c r="F309" s="134" t="s">
        <v>3585</v>
      </c>
      <c r="G309" s="63" t="str">
        <f>VLOOKUP(C309, 'Class Def. - General Data'!$C$20:$C$1000,1,false)</f>
        <v>ZBM1_GYPSUMFRAME</v>
      </c>
      <c r="H309" s="63" t="str">
        <f>IFERROR(__xludf.DUMMYFUNCTION("VLOOKUP(F309, IMPORTRANGE(""https://docs.google.com/spreadsheets/d/1Lhp9OU0JdFf_VYSMzH5lBcEaU4o8teT1piV-SNzShjg/edit?gid=554141278#gid=554141278"", ""'Char Def. - Attributes'!C20:C2242""), 1,false)"),"HS_CODE")</f>
        <v>HS_CODE</v>
      </c>
      <c r="I309" s="136"/>
    </row>
    <row r="310" ht="15.75" customHeight="1">
      <c r="A310" s="59"/>
      <c r="B310" s="63">
        <f t="shared" si="1"/>
        <v>16</v>
      </c>
      <c r="C310" s="135" t="s">
        <v>217</v>
      </c>
      <c r="D310" s="134" t="s">
        <v>74</v>
      </c>
      <c r="E310" s="135">
        <f t="shared" si="2"/>
        <v>20</v>
      </c>
      <c r="F310" s="134" t="s">
        <v>3586</v>
      </c>
      <c r="G310" s="63" t="str">
        <f>VLOOKUP(C310, 'Class Def. - General Data'!$C$20:$C$1000,1,false)</f>
        <v>ZBM1_GYPSUMFRAME</v>
      </c>
      <c r="H310" s="63" t="str">
        <f>IFERROR(__xludf.DUMMYFUNCTION("VLOOKUP(F310, IMPORTRANGE(""https://docs.google.com/spreadsheets/d/1Lhp9OU0JdFf_VYSMzH5lBcEaU4o8teT1piV-SNzShjg/edit?gid=554141278#gid=554141278"", ""'Char Def. - Attributes'!C20:C2242""), 1,false)"),"PLANT_PROD")</f>
        <v>PLANT_PROD</v>
      </c>
      <c r="I310" s="136"/>
    </row>
    <row r="311" ht="15.75" customHeight="1">
      <c r="A311" s="59"/>
      <c r="B311" s="63">
        <f t="shared" si="1"/>
        <v>16</v>
      </c>
      <c r="C311" s="135" t="s">
        <v>217</v>
      </c>
      <c r="D311" s="134" t="s">
        <v>74</v>
      </c>
      <c r="E311" s="135">
        <f t="shared" si="2"/>
        <v>21</v>
      </c>
      <c r="F311" s="134" t="s">
        <v>3587</v>
      </c>
      <c r="G311" s="63" t="str">
        <f>VLOOKUP(C311, 'Class Def. - General Data'!$C$20:$C$1000,1,false)</f>
        <v>ZBM1_GYPSUMFRAME</v>
      </c>
      <c r="H311" s="63" t="str">
        <f>IFERROR(__xludf.DUMMYFUNCTION("VLOOKUP(F311, IMPORTRANGE(""https://docs.google.com/spreadsheets/d/1Lhp9OU0JdFf_VYSMzH5lBcEaU4o8teT1piV-SNzShjg/edit?gid=554141278#gid=554141278"", ""'Char Def. - Attributes'!C20:C2242""), 1,false)"),"PLANT_BUY")</f>
        <v>PLANT_BUY</v>
      </c>
      <c r="I311" s="136"/>
    </row>
    <row r="312" ht="15.75" customHeight="1">
      <c r="A312" s="59"/>
      <c r="B312" s="63">
        <f t="shared" si="1"/>
        <v>12</v>
      </c>
      <c r="C312" s="135" t="s">
        <v>218</v>
      </c>
      <c r="D312" s="134" t="s">
        <v>74</v>
      </c>
      <c r="E312" s="135">
        <f t="shared" si="2"/>
        <v>1</v>
      </c>
      <c r="F312" s="134" t="s">
        <v>3588</v>
      </c>
      <c r="G312" s="63" t="str">
        <f>VLOOKUP(C312, 'Class Def. - General Data'!$C$20:$C$1000,1,false)</f>
        <v>ZBM1_GYPTILE</v>
      </c>
      <c r="H312" s="63" t="str">
        <f>IFERROR(__xludf.DUMMYFUNCTION("VLOOKUP(F312, IMPORTRANGE(""https://docs.google.com/spreadsheets/d/1Lhp9OU0JdFf_VYSMzH5lBcEaU4o8teT1piV-SNzShjg/edit?gid=554141278#gid=554141278"", ""'Char Def. - Attributes'!C20:C2242""), 1,false)"),"BM_TYPE")</f>
        <v>BM_TYPE</v>
      </c>
      <c r="I312" s="136"/>
    </row>
    <row r="313" ht="15.75" customHeight="1">
      <c r="A313" s="59"/>
      <c r="B313" s="63">
        <f t="shared" si="1"/>
        <v>12</v>
      </c>
      <c r="C313" s="135" t="s">
        <v>218</v>
      </c>
      <c r="D313" s="134" t="s">
        <v>74</v>
      </c>
      <c r="E313" s="135">
        <f t="shared" si="2"/>
        <v>2</v>
      </c>
      <c r="F313" s="134" t="s">
        <v>3589</v>
      </c>
      <c r="G313" s="63" t="str">
        <f>VLOOKUP(C313, 'Class Def. - General Data'!$C$20:$C$1000,1,false)</f>
        <v>ZBM1_GYPTILE</v>
      </c>
      <c r="H313" s="63" t="str">
        <f>IFERROR(__xludf.DUMMYFUNCTION("VLOOKUP(F313, IMPORTRANGE(""https://docs.google.com/spreadsheets/d/1Lhp9OU0JdFf_VYSMzH5lBcEaU4o8teT1piV-SNzShjg/edit?gid=554141278#gid=554141278"", ""'Char Def. - Attributes'!C20:C2242""), 1,false)"),"BM_BRAND")</f>
        <v>BM_BRAND</v>
      </c>
      <c r="I313" s="136"/>
    </row>
    <row r="314" ht="15.75" customHeight="1">
      <c r="A314" s="59"/>
      <c r="B314" s="63">
        <f t="shared" si="1"/>
        <v>12</v>
      </c>
      <c r="C314" s="135" t="s">
        <v>218</v>
      </c>
      <c r="D314" s="134" t="s">
        <v>74</v>
      </c>
      <c r="E314" s="135">
        <f t="shared" si="2"/>
        <v>3</v>
      </c>
      <c r="F314" s="134" t="s">
        <v>3590</v>
      </c>
      <c r="G314" s="63" t="str">
        <f>VLOOKUP(C314, 'Class Def. - General Data'!$C$20:$C$1000,1,false)</f>
        <v>ZBM1_GYPTILE</v>
      </c>
      <c r="H314" s="63" t="str">
        <f>IFERROR(__xludf.DUMMYFUNCTION("VLOOKUP(F314, IMPORTRANGE(""https://docs.google.com/spreadsheets/d/1Lhp9OU0JdFf_VYSMzH5lBcEaU4o8teT1piV-SNzShjg/edit?gid=554141278#gid=554141278"", ""'Char Def. - Attributes'!C20:C2242""), 1,false)"),"BM_VARIAN")</f>
        <v>BM_VARIAN</v>
      </c>
      <c r="I314" s="136"/>
    </row>
    <row r="315" ht="15.75" customHeight="1">
      <c r="A315" s="59"/>
      <c r="B315" s="63">
        <f t="shared" si="1"/>
        <v>12</v>
      </c>
      <c r="C315" s="135" t="s">
        <v>218</v>
      </c>
      <c r="D315" s="134" t="s">
        <v>74</v>
      </c>
      <c r="E315" s="135">
        <f t="shared" si="2"/>
        <v>4</v>
      </c>
      <c r="F315" s="134" t="s">
        <v>3591</v>
      </c>
      <c r="G315" s="63" t="str">
        <f>VLOOKUP(C315, 'Class Def. - General Data'!$C$20:$C$1000,1,false)</f>
        <v>ZBM1_GYPTILE</v>
      </c>
      <c r="H315" s="63" t="str">
        <f>IFERROR(__xludf.DUMMYFUNCTION("VLOOKUP(F315, IMPORTRANGE(""https://docs.google.com/spreadsheets/d/1Lhp9OU0JdFf_VYSMzH5lBcEaU4o8teT1piV-SNzShjg/edit?gid=554141278#gid=554141278"", ""'Char Def. - Attributes'!C20:C2242""), 1,false)"),"BM_COLOR")</f>
        <v>BM_COLOR</v>
      </c>
      <c r="I315" s="136"/>
    </row>
    <row r="316" ht="15.75" customHeight="1">
      <c r="A316" s="59"/>
      <c r="B316" s="63">
        <f t="shared" si="1"/>
        <v>12</v>
      </c>
      <c r="C316" s="135" t="s">
        <v>218</v>
      </c>
      <c r="D316" s="134" t="s">
        <v>74</v>
      </c>
      <c r="E316" s="135">
        <f t="shared" si="2"/>
        <v>5</v>
      </c>
      <c r="F316" s="134" t="s">
        <v>3592</v>
      </c>
      <c r="G316" s="63" t="str">
        <f>VLOOKUP(C316, 'Class Def. - General Data'!$C$20:$C$1000,1,false)</f>
        <v>ZBM1_GYPTILE</v>
      </c>
      <c r="H316" s="63" t="str">
        <f>IFERROR(__xludf.DUMMYFUNCTION("VLOOKUP(F316, IMPORTRANGE(""https://docs.google.com/spreadsheets/d/1Lhp9OU0JdFf_VYSMzH5lBcEaU4o8teT1piV-SNzShjg/edit?gid=554141278#gid=554141278"", ""'Char Def. - Attributes'!C20:C2242""), 1,false)"),"BM_SIZE")</f>
        <v>BM_SIZE</v>
      </c>
      <c r="I316" s="136"/>
    </row>
    <row r="317" ht="15.75" customHeight="1">
      <c r="A317" s="59"/>
      <c r="B317" s="63">
        <f t="shared" si="1"/>
        <v>12</v>
      </c>
      <c r="C317" s="135" t="s">
        <v>218</v>
      </c>
      <c r="D317" s="134" t="s">
        <v>74</v>
      </c>
      <c r="E317" s="135">
        <f t="shared" si="2"/>
        <v>6</v>
      </c>
      <c r="F317" s="134" t="s">
        <v>3593</v>
      </c>
      <c r="G317" s="63" t="str">
        <f>VLOOKUP(C317, 'Class Def. - General Data'!$C$20:$C$1000,1,false)</f>
        <v>ZBM1_GYPTILE</v>
      </c>
      <c r="H317" s="63" t="str">
        <f>IFERROR(__xludf.DUMMYFUNCTION("VLOOKUP(F317, IMPORTRANGE(""https://docs.google.com/spreadsheets/d/1Lhp9OU0JdFf_VYSMzH5lBcEaU4o8teT1piV-SNzShjg/edit?gid=554141278#gid=554141278"", ""'Char Def. - Attributes'!C20:C2242""), 1,false)"),"BM_GRADE")</f>
        <v>BM_GRADE</v>
      </c>
      <c r="I317" s="136"/>
    </row>
    <row r="318" ht="15.75" customHeight="1">
      <c r="A318" s="59"/>
      <c r="B318" s="63">
        <f t="shared" si="1"/>
        <v>12</v>
      </c>
      <c r="C318" s="135" t="s">
        <v>218</v>
      </c>
      <c r="D318" s="134" t="s">
        <v>74</v>
      </c>
      <c r="E318" s="135">
        <f t="shared" si="2"/>
        <v>7</v>
      </c>
      <c r="F318" s="134" t="s">
        <v>3594</v>
      </c>
      <c r="G318" s="63" t="str">
        <f>VLOOKUP(C318, 'Class Def. - General Data'!$C$20:$C$1000,1,false)</f>
        <v>ZBM1_GYPTILE</v>
      </c>
      <c r="H318" s="63" t="str">
        <f>IFERROR(__xludf.DUMMYFUNCTION("VLOOKUP(F318, IMPORTRANGE(""https://docs.google.com/spreadsheets/d/1Lhp9OU0JdFf_VYSMzH5lBcEaU4o8teT1piV-SNzShjg/edit?gid=554141278#gid=554141278"", ""'Char Def. - Attributes'!C20:C2242""), 1,false)"),"BM_MANUFACTURE")</f>
        <v>BM_MANUFACTURE</v>
      </c>
      <c r="I318" s="136"/>
    </row>
    <row r="319" ht="15.75" customHeight="1">
      <c r="A319" s="59"/>
      <c r="B319" s="63">
        <f t="shared" si="1"/>
        <v>12</v>
      </c>
      <c r="C319" s="135" t="s">
        <v>218</v>
      </c>
      <c r="D319" s="134" t="s">
        <v>74</v>
      </c>
      <c r="E319" s="135">
        <f t="shared" si="2"/>
        <v>8</v>
      </c>
      <c r="F319" s="134" t="s">
        <v>3582</v>
      </c>
      <c r="G319" s="63" t="str">
        <f>VLOOKUP(C319, 'Class Def. - General Data'!$C$20:$C$1000,1,false)</f>
        <v>ZBM1_GYPTILE</v>
      </c>
      <c r="H319" s="63" t="str">
        <f>IFERROR(__xludf.DUMMYFUNCTION("VLOOKUP(F319, IMPORTRANGE(""https://docs.google.com/spreadsheets/d/1Lhp9OU0JdFf_VYSMzH5lBcEaU4o8teT1piV-SNzShjg/edit?gid=554141278#gid=554141278"", ""'Char Def. - Attributes'!C20:C2242""), 1,false)"),"BASE_UNIT")</f>
        <v>BASE_UNIT</v>
      </c>
      <c r="I319" s="136"/>
    </row>
    <row r="320" ht="15.75" customHeight="1">
      <c r="A320" s="59"/>
      <c r="B320" s="63">
        <f t="shared" si="1"/>
        <v>12</v>
      </c>
      <c r="C320" s="135" t="s">
        <v>218</v>
      </c>
      <c r="D320" s="134" t="s">
        <v>74</v>
      </c>
      <c r="E320" s="135">
        <f t="shared" si="2"/>
        <v>9</v>
      </c>
      <c r="F320" s="134" t="s">
        <v>3583</v>
      </c>
      <c r="G320" s="63" t="str">
        <f>VLOOKUP(C320, 'Class Def. - General Data'!$C$20:$C$1000,1,false)</f>
        <v>ZBM1_GYPTILE</v>
      </c>
      <c r="H320" s="63" t="str">
        <f>IFERROR(__xludf.DUMMYFUNCTION("VLOOKUP(F320, IMPORTRANGE(""https://docs.google.com/spreadsheets/d/1Lhp9OU0JdFf_VYSMzH5lBcEaU4o8teT1piV-SNzShjg/edit?gid=554141278#gid=554141278"", ""'Char Def. - Attributes'!C20:C2242""), 1,false)"),"SALES_UNIT")</f>
        <v>SALES_UNIT</v>
      </c>
      <c r="I320" s="136"/>
    </row>
    <row r="321" ht="15.75" customHeight="1">
      <c r="A321" s="59"/>
      <c r="B321" s="63">
        <f t="shared" si="1"/>
        <v>12</v>
      </c>
      <c r="C321" s="135" t="s">
        <v>218</v>
      </c>
      <c r="D321" s="134" t="s">
        <v>74</v>
      </c>
      <c r="E321" s="135">
        <f t="shared" si="2"/>
        <v>10</v>
      </c>
      <c r="F321" s="134" t="s">
        <v>3595</v>
      </c>
      <c r="G321" s="63" t="str">
        <f>VLOOKUP(C321, 'Class Def. - General Data'!$C$20:$C$1000,1,false)</f>
        <v>ZBM1_GYPTILE</v>
      </c>
      <c r="H321" s="63" t="str">
        <f>IFERROR(__xludf.DUMMYFUNCTION("VLOOKUP(F321, IMPORTRANGE(""https://docs.google.com/spreadsheets/d/1Lhp9OU0JdFf_VYSMzH5lBcEaU4o8teT1piV-SNzShjg/edit?gid=554141278#gid=554141278"", ""'Char Def. - Attributes'!C20:C2242""), 1,false)"),"UOM1")</f>
        <v>UOM1</v>
      </c>
      <c r="I321" s="136"/>
    </row>
    <row r="322" ht="15.75" customHeight="1">
      <c r="A322" s="59"/>
      <c r="B322" s="63">
        <f t="shared" si="1"/>
        <v>12</v>
      </c>
      <c r="C322" s="135" t="s">
        <v>218</v>
      </c>
      <c r="D322" s="134" t="s">
        <v>74</v>
      </c>
      <c r="E322" s="135">
        <f t="shared" si="2"/>
        <v>11</v>
      </c>
      <c r="F322" s="134" t="s">
        <v>3596</v>
      </c>
      <c r="G322" s="63" t="str">
        <f>VLOOKUP(C322, 'Class Def. - General Data'!$C$20:$C$1000,1,false)</f>
        <v>ZBM1_GYPTILE</v>
      </c>
      <c r="H322" s="63" t="str">
        <f>IFERROR(__xludf.DUMMYFUNCTION("VLOOKUP(F322, IMPORTRANGE(""https://docs.google.com/spreadsheets/d/1Lhp9OU0JdFf_VYSMzH5lBcEaU4o8teT1piV-SNzShjg/edit?gid=554141278#gid=554141278"", ""'Char Def. - Attributes'!C20:C2242""), 1,false)"),"CONV1")</f>
        <v>CONV1</v>
      </c>
      <c r="I322" s="136"/>
    </row>
    <row r="323" ht="15.75" customHeight="1">
      <c r="A323" s="59"/>
      <c r="B323" s="63">
        <f t="shared" si="1"/>
        <v>12</v>
      </c>
      <c r="C323" s="135" t="s">
        <v>218</v>
      </c>
      <c r="D323" s="134" t="s">
        <v>74</v>
      </c>
      <c r="E323" s="135">
        <f t="shared" si="2"/>
        <v>12</v>
      </c>
      <c r="F323" s="134" t="s">
        <v>3597</v>
      </c>
      <c r="G323" s="63" t="str">
        <f>VLOOKUP(C323, 'Class Def. - General Data'!$C$20:$C$1000,1,false)</f>
        <v>ZBM1_GYPTILE</v>
      </c>
      <c r="H323" s="63" t="str">
        <f>IFERROR(__xludf.DUMMYFUNCTION("VLOOKUP(F323, IMPORTRANGE(""https://docs.google.com/spreadsheets/d/1Lhp9OU0JdFf_VYSMzH5lBcEaU4o8teT1piV-SNzShjg/edit?gid=554141278#gid=554141278"", ""'Char Def. - Attributes'!C20:C2242""), 1,false)"),"UOM2")</f>
        <v>UOM2</v>
      </c>
      <c r="I323" s="136"/>
    </row>
    <row r="324" ht="15.75" customHeight="1">
      <c r="A324" s="59"/>
      <c r="B324" s="63">
        <f t="shared" si="1"/>
        <v>12</v>
      </c>
      <c r="C324" s="135" t="s">
        <v>218</v>
      </c>
      <c r="D324" s="134" t="s">
        <v>74</v>
      </c>
      <c r="E324" s="135">
        <f t="shared" si="2"/>
        <v>13</v>
      </c>
      <c r="F324" s="134" t="s">
        <v>3598</v>
      </c>
      <c r="G324" s="63" t="str">
        <f>VLOOKUP(C324, 'Class Def. - General Data'!$C$20:$C$1000,1,false)</f>
        <v>ZBM1_GYPTILE</v>
      </c>
      <c r="H324" s="63" t="str">
        <f>IFERROR(__xludf.DUMMYFUNCTION("VLOOKUP(F324, IMPORTRANGE(""https://docs.google.com/spreadsheets/d/1Lhp9OU0JdFf_VYSMzH5lBcEaU4o8teT1piV-SNzShjg/edit?gid=554141278#gid=554141278"", ""'Char Def. - Attributes'!C20:C2242""), 1,false)"),"CONV2")</f>
        <v>CONV2</v>
      </c>
      <c r="I324" s="136"/>
    </row>
    <row r="325" ht="15.75" customHeight="1">
      <c r="A325" s="59"/>
      <c r="B325" s="63">
        <f t="shared" si="1"/>
        <v>12</v>
      </c>
      <c r="C325" s="135" t="s">
        <v>218</v>
      </c>
      <c r="D325" s="134" t="s">
        <v>74</v>
      </c>
      <c r="E325" s="135">
        <f t="shared" si="2"/>
        <v>14</v>
      </c>
      <c r="F325" s="134" t="s">
        <v>3599</v>
      </c>
      <c r="G325" s="63" t="str">
        <f>VLOOKUP(C325, 'Class Def. - General Data'!$C$20:$C$1000,1,false)</f>
        <v>ZBM1_GYPTILE</v>
      </c>
      <c r="H325" s="63" t="str">
        <f>IFERROR(__xludf.DUMMYFUNCTION("VLOOKUP(F325, IMPORTRANGE(""https://docs.google.com/spreadsheets/d/1Lhp9OU0JdFf_VYSMzH5lBcEaU4o8teT1piV-SNzShjg/edit?gid=554141278#gid=554141278"", ""'Char Def. - Attributes'!C20:C2242""), 1,false)"),"UOM3")</f>
        <v>UOM3</v>
      </c>
      <c r="I325" s="136"/>
    </row>
    <row r="326" ht="15.75" customHeight="1">
      <c r="A326" s="59"/>
      <c r="B326" s="63">
        <f t="shared" si="1"/>
        <v>12</v>
      </c>
      <c r="C326" s="135" t="s">
        <v>218</v>
      </c>
      <c r="D326" s="134" t="s">
        <v>74</v>
      </c>
      <c r="E326" s="135">
        <f t="shared" si="2"/>
        <v>15</v>
      </c>
      <c r="F326" s="134" t="s">
        <v>3600</v>
      </c>
      <c r="G326" s="63" t="str">
        <f>VLOOKUP(C326, 'Class Def. - General Data'!$C$20:$C$1000,1,false)</f>
        <v>ZBM1_GYPTILE</v>
      </c>
      <c r="H326" s="63" t="str">
        <f>IFERROR(__xludf.DUMMYFUNCTION("VLOOKUP(F326, IMPORTRANGE(""https://docs.google.com/spreadsheets/d/1Lhp9OU0JdFf_VYSMzH5lBcEaU4o8teT1piV-SNzShjg/edit?gid=554141278#gid=554141278"", ""'Char Def. - Attributes'!C20:C2242""), 1,false)"),"CONV3")</f>
        <v>CONV3</v>
      </c>
      <c r="I326" s="136"/>
    </row>
    <row r="327" ht="15.75" customHeight="1">
      <c r="A327" s="59"/>
      <c r="B327" s="63">
        <f t="shared" si="1"/>
        <v>12</v>
      </c>
      <c r="C327" s="135" t="s">
        <v>218</v>
      </c>
      <c r="D327" s="134" t="s">
        <v>74</v>
      </c>
      <c r="E327" s="135">
        <f t="shared" si="2"/>
        <v>16</v>
      </c>
      <c r="F327" s="134" t="s">
        <v>3601</v>
      </c>
      <c r="G327" s="63" t="str">
        <f>VLOOKUP(C327, 'Class Def. - General Data'!$C$20:$C$1000,1,false)</f>
        <v>ZBM1_GYPTILE</v>
      </c>
      <c r="H327" s="63" t="str">
        <f>IFERROR(__xludf.DUMMYFUNCTION("VLOOKUP(F327, IMPORTRANGE(""https://docs.google.com/spreadsheets/d/1Lhp9OU0JdFf_VYSMzH5lBcEaU4o8teT1piV-SNzShjg/edit?gid=554141278#gid=554141278"", ""'Char Def. - Attributes'!C20:C2242""), 1,false)"),"GROSS_WEIGHT")</f>
        <v>GROSS_WEIGHT</v>
      </c>
      <c r="I327" s="136"/>
    </row>
    <row r="328" ht="15.75" customHeight="1">
      <c r="A328" s="59"/>
      <c r="B328" s="63">
        <f t="shared" si="1"/>
        <v>12</v>
      </c>
      <c r="C328" s="135" t="s">
        <v>218</v>
      </c>
      <c r="D328" s="134" t="s">
        <v>74</v>
      </c>
      <c r="E328" s="135">
        <f t="shared" si="2"/>
        <v>17</v>
      </c>
      <c r="F328" s="134" t="s">
        <v>3602</v>
      </c>
      <c r="G328" s="63" t="str">
        <f>VLOOKUP(C328, 'Class Def. - General Data'!$C$20:$C$1000,1,false)</f>
        <v>ZBM1_GYPTILE</v>
      </c>
      <c r="H328" s="63" t="str">
        <f>IFERROR(__xludf.DUMMYFUNCTION("VLOOKUP(F328, IMPORTRANGE(""https://docs.google.com/spreadsheets/d/1Lhp9OU0JdFf_VYSMzH5lBcEaU4o8teT1piV-SNzShjg/edit?gid=554141278#gid=554141278"", ""'Char Def. - Attributes'!C20:C2242""), 1,false)"),"NET_WEIGHT")</f>
        <v>NET_WEIGHT</v>
      </c>
      <c r="I328" s="136"/>
    </row>
    <row r="329" ht="15.75" customHeight="1">
      <c r="A329" s="59"/>
      <c r="B329" s="63">
        <f t="shared" si="1"/>
        <v>12</v>
      </c>
      <c r="C329" s="135" t="s">
        <v>218</v>
      </c>
      <c r="D329" s="134" t="s">
        <v>74</v>
      </c>
      <c r="E329" s="135">
        <f t="shared" si="2"/>
        <v>18</v>
      </c>
      <c r="F329" s="134" t="s">
        <v>3603</v>
      </c>
      <c r="G329" s="63" t="str">
        <f>VLOOKUP(C329, 'Class Def. - General Data'!$C$20:$C$1000,1,false)</f>
        <v>ZBM1_GYPTILE</v>
      </c>
      <c r="H329" s="63" t="str">
        <f>IFERROR(__xludf.DUMMYFUNCTION("VLOOKUP(F329, IMPORTRANGE(""https://docs.google.com/spreadsheets/d/1Lhp9OU0JdFf_VYSMzH5lBcEaU4o8teT1piV-SNzShjg/edit?gid=554141278#gid=554141278"", ""'Char Def. - Attributes'!C20:C2242""), 1,false)"),"VOLUME")</f>
        <v>VOLUME</v>
      </c>
      <c r="I329" s="136"/>
    </row>
    <row r="330" ht="15.75" customHeight="1">
      <c r="A330" s="59"/>
      <c r="B330" s="63">
        <f t="shared" si="1"/>
        <v>12</v>
      </c>
      <c r="C330" s="135" t="s">
        <v>218</v>
      </c>
      <c r="D330" s="134" t="s">
        <v>74</v>
      </c>
      <c r="E330" s="135">
        <f t="shared" si="2"/>
        <v>19</v>
      </c>
      <c r="F330" s="134" t="s">
        <v>3585</v>
      </c>
      <c r="G330" s="63" t="str">
        <f>VLOOKUP(C330, 'Class Def. - General Data'!$C$20:$C$1000,1,false)</f>
        <v>ZBM1_GYPTILE</v>
      </c>
      <c r="H330" s="63" t="str">
        <f>IFERROR(__xludf.DUMMYFUNCTION("VLOOKUP(F330, IMPORTRANGE(""https://docs.google.com/spreadsheets/d/1Lhp9OU0JdFf_VYSMzH5lBcEaU4o8teT1piV-SNzShjg/edit?gid=554141278#gid=554141278"", ""'Char Def. - Attributes'!C20:C2242""), 1,false)"),"HS_CODE")</f>
        <v>HS_CODE</v>
      </c>
      <c r="I330" s="136"/>
    </row>
    <row r="331" ht="15.75" customHeight="1">
      <c r="A331" s="59"/>
      <c r="B331" s="63">
        <f t="shared" si="1"/>
        <v>12</v>
      </c>
      <c r="C331" s="135" t="s">
        <v>218</v>
      </c>
      <c r="D331" s="134" t="s">
        <v>74</v>
      </c>
      <c r="E331" s="135">
        <f t="shared" si="2"/>
        <v>20</v>
      </c>
      <c r="F331" s="134" t="s">
        <v>3586</v>
      </c>
      <c r="G331" s="63" t="str">
        <f>VLOOKUP(C331, 'Class Def. - General Data'!$C$20:$C$1000,1,false)</f>
        <v>ZBM1_GYPTILE</v>
      </c>
      <c r="H331" s="63" t="str">
        <f>IFERROR(__xludf.DUMMYFUNCTION("VLOOKUP(F331, IMPORTRANGE(""https://docs.google.com/spreadsheets/d/1Lhp9OU0JdFf_VYSMzH5lBcEaU4o8teT1piV-SNzShjg/edit?gid=554141278#gid=554141278"", ""'Char Def. - Attributes'!C20:C2242""), 1,false)"),"PLANT_PROD")</f>
        <v>PLANT_PROD</v>
      </c>
      <c r="I331" s="136"/>
    </row>
    <row r="332" ht="15.75" customHeight="1">
      <c r="A332" s="59"/>
      <c r="B332" s="63">
        <f t="shared" si="1"/>
        <v>12</v>
      </c>
      <c r="C332" s="135" t="s">
        <v>218</v>
      </c>
      <c r="D332" s="134" t="s">
        <v>74</v>
      </c>
      <c r="E332" s="135">
        <f t="shared" si="2"/>
        <v>21</v>
      </c>
      <c r="F332" s="134" t="s">
        <v>3587</v>
      </c>
      <c r="G332" s="63" t="str">
        <f>VLOOKUP(C332, 'Class Def. - General Data'!$C$20:$C$1000,1,false)</f>
        <v>ZBM1_GYPTILE</v>
      </c>
      <c r="H332" s="63" t="str">
        <f>IFERROR(__xludf.DUMMYFUNCTION("VLOOKUP(F332, IMPORTRANGE(""https://docs.google.com/spreadsheets/d/1Lhp9OU0JdFf_VYSMzH5lBcEaU4o8teT1piV-SNzShjg/edit?gid=554141278#gid=554141278"", ""'Char Def. - Attributes'!C20:C2242""), 1,false)"),"PLANT_BUY")</f>
        <v>PLANT_BUY</v>
      </c>
      <c r="I332" s="136"/>
    </row>
    <row r="333" ht="15.75" customHeight="1">
      <c r="A333" s="59"/>
      <c r="B333" s="63">
        <f t="shared" si="1"/>
        <v>15</v>
      </c>
      <c r="C333" s="135" t="s">
        <v>219</v>
      </c>
      <c r="D333" s="134" t="s">
        <v>74</v>
      </c>
      <c r="E333" s="135">
        <f t="shared" si="2"/>
        <v>1</v>
      </c>
      <c r="F333" s="134" t="s">
        <v>3588</v>
      </c>
      <c r="G333" s="63" t="str">
        <f>VLOOKUP(C333, 'Class Def. - General Data'!$C$20:$C$1000,1,false)</f>
        <v>ZBM1_PLAINPLANK</v>
      </c>
      <c r="H333" s="63" t="str">
        <f>IFERROR(__xludf.DUMMYFUNCTION("VLOOKUP(F333, IMPORTRANGE(""https://docs.google.com/spreadsheets/d/1Lhp9OU0JdFf_VYSMzH5lBcEaU4o8teT1piV-SNzShjg/edit?gid=554141278#gid=554141278"", ""'Char Def. - Attributes'!C20:C2242""), 1,false)"),"BM_TYPE")</f>
        <v>BM_TYPE</v>
      </c>
      <c r="I333" s="136"/>
    </row>
    <row r="334" ht="15.75" customHeight="1">
      <c r="A334" s="59"/>
      <c r="B334" s="63">
        <f t="shared" si="1"/>
        <v>15</v>
      </c>
      <c r="C334" s="135" t="s">
        <v>219</v>
      </c>
      <c r="D334" s="134" t="s">
        <v>74</v>
      </c>
      <c r="E334" s="135">
        <f t="shared" si="2"/>
        <v>2</v>
      </c>
      <c r="F334" s="134" t="s">
        <v>3589</v>
      </c>
      <c r="G334" s="63" t="str">
        <f>VLOOKUP(C334, 'Class Def. - General Data'!$C$20:$C$1000,1,false)</f>
        <v>ZBM1_PLAINPLANK</v>
      </c>
      <c r="H334" s="63" t="str">
        <f>IFERROR(__xludf.DUMMYFUNCTION("VLOOKUP(F334, IMPORTRANGE(""https://docs.google.com/spreadsheets/d/1Lhp9OU0JdFf_VYSMzH5lBcEaU4o8teT1piV-SNzShjg/edit?gid=554141278#gid=554141278"", ""'Char Def. - Attributes'!C20:C2242""), 1,false)"),"BM_BRAND")</f>
        <v>BM_BRAND</v>
      </c>
      <c r="I334" s="136"/>
    </row>
    <row r="335" ht="15.75" customHeight="1">
      <c r="A335" s="59"/>
      <c r="B335" s="63">
        <f t="shared" si="1"/>
        <v>15</v>
      </c>
      <c r="C335" s="135" t="s">
        <v>219</v>
      </c>
      <c r="D335" s="134" t="s">
        <v>74</v>
      </c>
      <c r="E335" s="135">
        <f t="shared" si="2"/>
        <v>3</v>
      </c>
      <c r="F335" s="134" t="s">
        <v>3590</v>
      </c>
      <c r="G335" s="63" t="str">
        <f>VLOOKUP(C335, 'Class Def. - General Data'!$C$20:$C$1000,1,false)</f>
        <v>ZBM1_PLAINPLANK</v>
      </c>
      <c r="H335" s="63" t="str">
        <f>IFERROR(__xludf.DUMMYFUNCTION("VLOOKUP(F335, IMPORTRANGE(""https://docs.google.com/spreadsheets/d/1Lhp9OU0JdFf_VYSMzH5lBcEaU4o8teT1piV-SNzShjg/edit?gid=554141278#gid=554141278"", ""'Char Def. - Attributes'!C20:C2242""), 1,false)"),"BM_VARIAN")</f>
        <v>BM_VARIAN</v>
      </c>
      <c r="I335" s="136"/>
    </row>
    <row r="336" ht="15.75" customHeight="1">
      <c r="A336" s="59"/>
      <c r="B336" s="63">
        <f t="shared" si="1"/>
        <v>15</v>
      </c>
      <c r="C336" s="135" t="s">
        <v>219</v>
      </c>
      <c r="D336" s="134" t="s">
        <v>74</v>
      </c>
      <c r="E336" s="135">
        <f t="shared" si="2"/>
        <v>4</v>
      </c>
      <c r="F336" s="134" t="s">
        <v>3591</v>
      </c>
      <c r="G336" s="63" t="str">
        <f>VLOOKUP(C336, 'Class Def. - General Data'!$C$20:$C$1000,1,false)</f>
        <v>ZBM1_PLAINPLANK</v>
      </c>
      <c r="H336" s="63" t="str">
        <f>IFERROR(__xludf.DUMMYFUNCTION("VLOOKUP(F336, IMPORTRANGE(""https://docs.google.com/spreadsheets/d/1Lhp9OU0JdFf_VYSMzH5lBcEaU4o8teT1piV-SNzShjg/edit?gid=554141278#gid=554141278"", ""'Char Def. - Attributes'!C20:C2242""), 1,false)"),"BM_COLOR")</f>
        <v>BM_COLOR</v>
      </c>
      <c r="I336" s="136"/>
    </row>
    <row r="337" ht="15.75" customHeight="1">
      <c r="A337" s="59"/>
      <c r="B337" s="63">
        <f t="shared" si="1"/>
        <v>15</v>
      </c>
      <c r="C337" s="135" t="s">
        <v>219</v>
      </c>
      <c r="D337" s="134" t="s">
        <v>74</v>
      </c>
      <c r="E337" s="135">
        <f t="shared" si="2"/>
        <v>5</v>
      </c>
      <c r="F337" s="134" t="s">
        <v>3592</v>
      </c>
      <c r="G337" s="63" t="str">
        <f>VLOOKUP(C337, 'Class Def. - General Data'!$C$20:$C$1000,1,false)</f>
        <v>ZBM1_PLAINPLANK</v>
      </c>
      <c r="H337" s="63" t="str">
        <f>IFERROR(__xludf.DUMMYFUNCTION("VLOOKUP(F337, IMPORTRANGE(""https://docs.google.com/spreadsheets/d/1Lhp9OU0JdFf_VYSMzH5lBcEaU4o8teT1piV-SNzShjg/edit?gid=554141278#gid=554141278"", ""'Char Def. - Attributes'!C20:C2242""), 1,false)"),"BM_SIZE")</f>
        <v>BM_SIZE</v>
      </c>
      <c r="I337" s="136"/>
    </row>
    <row r="338" ht="15.75" customHeight="1">
      <c r="A338" s="59"/>
      <c r="B338" s="63">
        <f t="shared" si="1"/>
        <v>15</v>
      </c>
      <c r="C338" s="135" t="s">
        <v>219</v>
      </c>
      <c r="D338" s="134" t="s">
        <v>74</v>
      </c>
      <c r="E338" s="135">
        <f t="shared" si="2"/>
        <v>6</v>
      </c>
      <c r="F338" s="134" t="s">
        <v>3593</v>
      </c>
      <c r="G338" s="63" t="str">
        <f>VLOOKUP(C338, 'Class Def. - General Data'!$C$20:$C$1000,1,false)</f>
        <v>ZBM1_PLAINPLANK</v>
      </c>
      <c r="H338" s="63" t="str">
        <f>IFERROR(__xludf.DUMMYFUNCTION("VLOOKUP(F338, IMPORTRANGE(""https://docs.google.com/spreadsheets/d/1Lhp9OU0JdFf_VYSMzH5lBcEaU4o8teT1piV-SNzShjg/edit?gid=554141278#gid=554141278"", ""'Char Def. - Attributes'!C20:C2242""), 1,false)"),"BM_GRADE")</f>
        <v>BM_GRADE</v>
      </c>
      <c r="I338" s="136"/>
    </row>
    <row r="339" ht="15.75" customHeight="1">
      <c r="A339" s="59"/>
      <c r="B339" s="63">
        <f t="shared" si="1"/>
        <v>15</v>
      </c>
      <c r="C339" s="135" t="s">
        <v>219</v>
      </c>
      <c r="D339" s="134" t="s">
        <v>74</v>
      </c>
      <c r="E339" s="135">
        <f t="shared" si="2"/>
        <v>7</v>
      </c>
      <c r="F339" s="134" t="s">
        <v>3594</v>
      </c>
      <c r="G339" s="63" t="str">
        <f>VLOOKUP(C339, 'Class Def. - General Data'!$C$20:$C$1000,1,false)</f>
        <v>ZBM1_PLAINPLANK</v>
      </c>
      <c r="H339" s="63" t="str">
        <f>IFERROR(__xludf.DUMMYFUNCTION("VLOOKUP(F339, IMPORTRANGE(""https://docs.google.com/spreadsheets/d/1Lhp9OU0JdFf_VYSMzH5lBcEaU4o8teT1piV-SNzShjg/edit?gid=554141278#gid=554141278"", ""'Char Def. - Attributes'!C20:C2242""), 1,false)"),"BM_MANUFACTURE")</f>
        <v>BM_MANUFACTURE</v>
      </c>
      <c r="I339" s="136"/>
    </row>
    <row r="340" ht="15.75" customHeight="1">
      <c r="A340" s="59"/>
      <c r="B340" s="63">
        <f t="shared" si="1"/>
        <v>15</v>
      </c>
      <c r="C340" s="135" t="s">
        <v>219</v>
      </c>
      <c r="D340" s="134" t="s">
        <v>74</v>
      </c>
      <c r="E340" s="135">
        <f t="shared" si="2"/>
        <v>8</v>
      </c>
      <c r="F340" s="134" t="s">
        <v>3582</v>
      </c>
      <c r="G340" s="63" t="str">
        <f>VLOOKUP(C340, 'Class Def. - General Data'!$C$20:$C$1000,1,false)</f>
        <v>ZBM1_PLAINPLANK</v>
      </c>
      <c r="H340" s="63" t="str">
        <f>IFERROR(__xludf.DUMMYFUNCTION("VLOOKUP(F340, IMPORTRANGE(""https://docs.google.com/spreadsheets/d/1Lhp9OU0JdFf_VYSMzH5lBcEaU4o8teT1piV-SNzShjg/edit?gid=554141278#gid=554141278"", ""'Char Def. - Attributes'!C20:C2242""), 1,false)"),"BASE_UNIT")</f>
        <v>BASE_UNIT</v>
      </c>
      <c r="I340" s="136"/>
    </row>
    <row r="341" ht="15.75" customHeight="1">
      <c r="A341" s="59"/>
      <c r="B341" s="63">
        <f t="shared" si="1"/>
        <v>15</v>
      </c>
      <c r="C341" s="135" t="s">
        <v>219</v>
      </c>
      <c r="D341" s="134" t="s">
        <v>74</v>
      </c>
      <c r="E341" s="135">
        <f t="shared" si="2"/>
        <v>9</v>
      </c>
      <c r="F341" s="134" t="s">
        <v>3583</v>
      </c>
      <c r="G341" s="63" t="str">
        <f>VLOOKUP(C341, 'Class Def. - General Data'!$C$20:$C$1000,1,false)</f>
        <v>ZBM1_PLAINPLANK</v>
      </c>
      <c r="H341" s="63" t="str">
        <f>IFERROR(__xludf.DUMMYFUNCTION("VLOOKUP(F341, IMPORTRANGE(""https://docs.google.com/spreadsheets/d/1Lhp9OU0JdFf_VYSMzH5lBcEaU4o8teT1piV-SNzShjg/edit?gid=554141278#gid=554141278"", ""'Char Def. - Attributes'!C20:C2242""), 1,false)"),"SALES_UNIT")</f>
        <v>SALES_UNIT</v>
      </c>
      <c r="I341" s="136"/>
    </row>
    <row r="342" ht="15.75" customHeight="1">
      <c r="A342" s="59"/>
      <c r="B342" s="63">
        <f t="shared" si="1"/>
        <v>15</v>
      </c>
      <c r="C342" s="135" t="s">
        <v>219</v>
      </c>
      <c r="D342" s="134" t="s">
        <v>74</v>
      </c>
      <c r="E342" s="135">
        <f t="shared" si="2"/>
        <v>10</v>
      </c>
      <c r="F342" s="134" t="s">
        <v>3595</v>
      </c>
      <c r="G342" s="63" t="str">
        <f>VLOOKUP(C342, 'Class Def. - General Data'!$C$20:$C$1000,1,false)</f>
        <v>ZBM1_PLAINPLANK</v>
      </c>
      <c r="H342" s="63" t="str">
        <f>IFERROR(__xludf.DUMMYFUNCTION("VLOOKUP(F342, IMPORTRANGE(""https://docs.google.com/spreadsheets/d/1Lhp9OU0JdFf_VYSMzH5lBcEaU4o8teT1piV-SNzShjg/edit?gid=554141278#gid=554141278"", ""'Char Def. - Attributes'!C20:C2242""), 1,false)"),"UOM1")</f>
        <v>UOM1</v>
      </c>
      <c r="I342" s="136"/>
    </row>
    <row r="343" ht="15.75" customHeight="1">
      <c r="A343" s="59"/>
      <c r="B343" s="63">
        <f t="shared" si="1"/>
        <v>15</v>
      </c>
      <c r="C343" s="135" t="s">
        <v>219</v>
      </c>
      <c r="D343" s="134" t="s">
        <v>74</v>
      </c>
      <c r="E343" s="135">
        <f t="shared" si="2"/>
        <v>11</v>
      </c>
      <c r="F343" s="134" t="s">
        <v>3596</v>
      </c>
      <c r="G343" s="63" t="str">
        <f>VLOOKUP(C343, 'Class Def. - General Data'!$C$20:$C$1000,1,false)</f>
        <v>ZBM1_PLAINPLANK</v>
      </c>
      <c r="H343" s="63" t="str">
        <f>IFERROR(__xludf.DUMMYFUNCTION("VLOOKUP(F343, IMPORTRANGE(""https://docs.google.com/spreadsheets/d/1Lhp9OU0JdFf_VYSMzH5lBcEaU4o8teT1piV-SNzShjg/edit?gid=554141278#gid=554141278"", ""'Char Def. - Attributes'!C20:C2242""), 1,false)"),"CONV1")</f>
        <v>CONV1</v>
      </c>
      <c r="I343" s="136"/>
    </row>
    <row r="344" ht="15.75" customHeight="1">
      <c r="A344" s="59"/>
      <c r="B344" s="63">
        <f t="shared" si="1"/>
        <v>15</v>
      </c>
      <c r="C344" s="135" t="s">
        <v>219</v>
      </c>
      <c r="D344" s="134" t="s">
        <v>74</v>
      </c>
      <c r="E344" s="135">
        <f t="shared" si="2"/>
        <v>12</v>
      </c>
      <c r="F344" s="134" t="s">
        <v>3597</v>
      </c>
      <c r="G344" s="63" t="str">
        <f>VLOOKUP(C344, 'Class Def. - General Data'!$C$20:$C$1000,1,false)</f>
        <v>ZBM1_PLAINPLANK</v>
      </c>
      <c r="H344" s="63" t="str">
        <f>IFERROR(__xludf.DUMMYFUNCTION("VLOOKUP(F344, IMPORTRANGE(""https://docs.google.com/spreadsheets/d/1Lhp9OU0JdFf_VYSMzH5lBcEaU4o8teT1piV-SNzShjg/edit?gid=554141278#gid=554141278"", ""'Char Def. - Attributes'!C20:C2242""), 1,false)"),"UOM2")</f>
        <v>UOM2</v>
      </c>
      <c r="I344" s="136"/>
    </row>
    <row r="345" ht="15.75" customHeight="1">
      <c r="A345" s="59"/>
      <c r="B345" s="63">
        <f t="shared" si="1"/>
        <v>15</v>
      </c>
      <c r="C345" s="135" t="s">
        <v>219</v>
      </c>
      <c r="D345" s="134" t="s">
        <v>74</v>
      </c>
      <c r="E345" s="135">
        <f t="shared" si="2"/>
        <v>13</v>
      </c>
      <c r="F345" s="134" t="s">
        <v>3598</v>
      </c>
      <c r="G345" s="63" t="str">
        <f>VLOOKUP(C345, 'Class Def. - General Data'!$C$20:$C$1000,1,false)</f>
        <v>ZBM1_PLAINPLANK</v>
      </c>
      <c r="H345" s="63" t="str">
        <f>IFERROR(__xludf.DUMMYFUNCTION("VLOOKUP(F345, IMPORTRANGE(""https://docs.google.com/spreadsheets/d/1Lhp9OU0JdFf_VYSMzH5lBcEaU4o8teT1piV-SNzShjg/edit?gid=554141278#gid=554141278"", ""'Char Def. - Attributes'!C20:C2242""), 1,false)"),"CONV2")</f>
        <v>CONV2</v>
      </c>
      <c r="I345" s="136"/>
    </row>
    <row r="346" ht="15.75" customHeight="1">
      <c r="A346" s="59"/>
      <c r="B346" s="63">
        <f t="shared" si="1"/>
        <v>15</v>
      </c>
      <c r="C346" s="135" t="s">
        <v>219</v>
      </c>
      <c r="D346" s="134" t="s">
        <v>74</v>
      </c>
      <c r="E346" s="135">
        <f t="shared" si="2"/>
        <v>14</v>
      </c>
      <c r="F346" s="134" t="s">
        <v>3599</v>
      </c>
      <c r="G346" s="63" t="str">
        <f>VLOOKUP(C346, 'Class Def. - General Data'!$C$20:$C$1000,1,false)</f>
        <v>ZBM1_PLAINPLANK</v>
      </c>
      <c r="H346" s="63" t="str">
        <f>IFERROR(__xludf.DUMMYFUNCTION("VLOOKUP(F346, IMPORTRANGE(""https://docs.google.com/spreadsheets/d/1Lhp9OU0JdFf_VYSMzH5lBcEaU4o8teT1piV-SNzShjg/edit?gid=554141278#gid=554141278"", ""'Char Def. - Attributes'!C20:C2242""), 1,false)"),"UOM3")</f>
        <v>UOM3</v>
      </c>
      <c r="I346" s="136"/>
    </row>
    <row r="347" ht="15.75" customHeight="1">
      <c r="A347" s="59"/>
      <c r="B347" s="63">
        <f t="shared" si="1"/>
        <v>15</v>
      </c>
      <c r="C347" s="135" t="s">
        <v>219</v>
      </c>
      <c r="D347" s="134" t="s">
        <v>74</v>
      </c>
      <c r="E347" s="135">
        <f t="shared" si="2"/>
        <v>15</v>
      </c>
      <c r="F347" s="134" t="s">
        <v>3600</v>
      </c>
      <c r="G347" s="63" t="str">
        <f>VLOOKUP(C347, 'Class Def. - General Data'!$C$20:$C$1000,1,false)</f>
        <v>ZBM1_PLAINPLANK</v>
      </c>
      <c r="H347" s="63" t="str">
        <f>IFERROR(__xludf.DUMMYFUNCTION("VLOOKUP(F347, IMPORTRANGE(""https://docs.google.com/spreadsheets/d/1Lhp9OU0JdFf_VYSMzH5lBcEaU4o8teT1piV-SNzShjg/edit?gid=554141278#gid=554141278"", ""'Char Def. - Attributes'!C20:C2242""), 1,false)"),"CONV3")</f>
        <v>CONV3</v>
      </c>
      <c r="I347" s="136"/>
    </row>
    <row r="348" ht="15.75" customHeight="1">
      <c r="A348" s="59"/>
      <c r="B348" s="63">
        <f t="shared" si="1"/>
        <v>15</v>
      </c>
      <c r="C348" s="135" t="s">
        <v>219</v>
      </c>
      <c r="D348" s="134" t="s">
        <v>74</v>
      </c>
      <c r="E348" s="135">
        <f t="shared" si="2"/>
        <v>16</v>
      </c>
      <c r="F348" s="134" t="s">
        <v>3601</v>
      </c>
      <c r="G348" s="63" t="str">
        <f>VLOOKUP(C348, 'Class Def. - General Data'!$C$20:$C$1000,1,false)</f>
        <v>ZBM1_PLAINPLANK</v>
      </c>
      <c r="H348" s="63" t="str">
        <f>IFERROR(__xludf.DUMMYFUNCTION("VLOOKUP(F348, IMPORTRANGE(""https://docs.google.com/spreadsheets/d/1Lhp9OU0JdFf_VYSMzH5lBcEaU4o8teT1piV-SNzShjg/edit?gid=554141278#gid=554141278"", ""'Char Def. - Attributes'!C20:C2242""), 1,false)"),"GROSS_WEIGHT")</f>
        <v>GROSS_WEIGHT</v>
      </c>
      <c r="I348" s="136"/>
    </row>
    <row r="349" ht="15.75" customHeight="1">
      <c r="A349" s="59"/>
      <c r="B349" s="63">
        <f t="shared" si="1"/>
        <v>15</v>
      </c>
      <c r="C349" s="135" t="s">
        <v>219</v>
      </c>
      <c r="D349" s="134" t="s">
        <v>74</v>
      </c>
      <c r="E349" s="135">
        <f t="shared" si="2"/>
        <v>17</v>
      </c>
      <c r="F349" s="134" t="s">
        <v>3602</v>
      </c>
      <c r="G349" s="63" t="str">
        <f>VLOOKUP(C349, 'Class Def. - General Data'!$C$20:$C$1000,1,false)</f>
        <v>ZBM1_PLAINPLANK</v>
      </c>
      <c r="H349" s="63" t="str">
        <f>IFERROR(__xludf.DUMMYFUNCTION("VLOOKUP(F349, IMPORTRANGE(""https://docs.google.com/spreadsheets/d/1Lhp9OU0JdFf_VYSMzH5lBcEaU4o8teT1piV-SNzShjg/edit?gid=554141278#gid=554141278"", ""'Char Def. - Attributes'!C20:C2242""), 1,false)"),"NET_WEIGHT")</f>
        <v>NET_WEIGHT</v>
      </c>
      <c r="I349" s="136"/>
    </row>
    <row r="350" ht="15.75" customHeight="1">
      <c r="A350" s="59"/>
      <c r="B350" s="63">
        <f t="shared" si="1"/>
        <v>15</v>
      </c>
      <c r="C350" s="135" t="s">
        <v>219</v>
      </c>
      <c r="D350" s="134" t="s">
        <v>74</v>
      </c>
      <c r="E350" s="135">
        <f t="shared" si="2"/>
        <v>18</v>
      </c>
      <c r="F350" s="134" t="s">
        <v>3603</v>
      </c>
      <c r="G350" s="63" t="str">
        <f>VLOOKUP(C350, 'Class Def. - General Data'!$C$20:$C$1000,1,false)</f>
        <v>ZBM1_PLAINPLANK</v>
      </c>
      <c r="H350" s="63" t="str">
        <f>IFERROR(__xludf.DUMMYFUNCTION("VLOOKUP(F350, IMPORTRANGE(""https://docs.google.com/spreadsheets/d/1Lhp9OU0JdFf_VYSMzH5lBcEaU4o8teT1piV-SNzShjg/edit?gid=554141278#gid=554141278"", ""'Char Def. - Attributes'!C20:C2242""), 1,false)"),"VOLUME")</f>
        <v>VOLUME</v>
      </c>
      <c r="I350" s="136"/>
    </row>
    <row r="351" ht="15.75" customHeight="1">
      <c r="A351" s="59"/>
      <c r="B351" s="63">
        <f t="shared" si="1"/>
        <v>15</v>
      </c>
      <c r="C351" s="135" t="s">
        <v>219</v>
      </c>
      <c r="D351" s="134" t="s">
        <v>74</v>
      </c>
      <c r="E351" s="135">
        <f t="shared" si="2"/>
        <v>19</v>
      </c>
      <c r="F351" s="134" t="s">
        <v>3585</v>
      </c>
      <c r="G351" s="63" t="str">
        <f>VLOOKUP(C351, 'Class Def. - General Data'!$C$20:$C$1000,1,false)</f>
        <v>ZBM1_PLAINPLANK</v>
      </c>
      <c r="H351" s="63" t="str">
        <f>IFERROR(__xludf.DUMMYFUNCTION("VLOOKUP(F351, IMPORTRANGE(""https://docs.google.com/spreadsheets/d/1Lhp9OU0JdFf_VYSMzH5lBcEaU4o8teT1piV-SNzShjg/edit?gid=554141278#gid=554141278"", ""'Char Def. - Attributes'!C20:C2242""), 1,false)"),"HS_CODE")</f>
        <v>HS_CODE</v>
      </c>
      <c r="I351" s="136"/>
    </row>
    <row r="352" ht="15.75" customHeight="1">
      <c r="A352" s="59"/>
      <c r="B352" s="63">
        <f t="shared" si="1"/>
        <v>15</v>
      </c>
      <c r="C352" s="135" t="s">
        <v>219</v>
      </c>
      <c r="D352" s="134" t="s">
        <v>74</v>
      </c>
      <c r="E352" s="135">
        <f t="shared" si="2"/>
        <v>20</v>
      </c>
      <c r="F352" s="134" t="s">
        <v>3586</v>
      </c>
      <c r="G352" s="63" t="str">
        <f>VLOOKUP(C352, 'Class Def. - General Data'!$C$20:$C$1000,1,false)</f>
        <v>ZBM1_PLAINPLANK</v>
      </c>
      <c r="H352" s="63" t="str">
        <f>IFERROR(__xludf.DUMMYFUNCTION("VLOOKUP(F352, IMPORTRANGE(""https://docs.google.com/spreadsheets/d/1Lhp9OU0JdFf_VYSMzH5lBcEaU4o8teT1piV-SNzShjg/edit?gid=554141278#gid=554141278"", ""'Char Def. - Attributes'!C20:C2242""), 1,false)"),"PLANT_PROD")</f>
        <v>PLANT_PROD</v>
      </c>
      <c r="I352" s="136"/>
    </row>
    <row r="353" ht="15.75" customHeight="1">
      <c r="A353" s="59"/>
      <c r="B353" s="63">
        <f t="shared" si="1"/>
        <v>15</v>
      </c>
      <c r="C353" s="135" t="s">
        <v>219</v>
      </c>
      <c r="D353" s="134" t="s">
        <v>74</v>
      </c>
      <c r="E353" s="135">
        <f t="shared" si="2"/>
        <v>21</v>
      </c>
      <c r="F353" s="134" t="s">
        <v>3587</v>
      </c>
      <c r="G353" s="63" t="str">
        <f>VLOOKUP(C353, 'Class Def. - General Data'!$C$20:$C$1000,1,false)</f>
        <v>ZBM1_PLAINPLANK</v>
      </c>
      <c r="H353" s="63" t="str">
        <f>IFERROR(__xludf.DUMMYFUNCTION("VLOOKUP(F353, IMPORTRANGE(""https://docs.google.com/spreadsheets/d/1Lhp9OU0JdFf_VYSMzH5lBcEaU4o8teT1piV-SNzShjg/edit?gid=554141278#gid=554141278"", ""'Char Def. - Attributes'!C20:C2242""), 1,false)"),"PLANT_BUY")</f>
        <v>PLANT_BUY</v>
      </c>
      <c r="I353" s="136"/>
    </row>
    <row r="354" ht="15.75" customHeight="1">
      <c r="A354" s="59"/>
      <c r="B354" s="63">
        <f t="shared" si="1"/>
        <v>17</v>
      </c>
      <c r="C354" s="135" t="s">
        <v>220</v>
      </c>
      <c r="D354" s="134" t="s">
        <v>74</v>
      </c>
      <c r="E354" s="135">
        <f t="shared" si="2"/>
        <v>1</v>
      </c>
      <c r="F354" s="134" t="s">
        <v>3588</v>
      </c>
      <c r="G354" s="63" t="str">
        <f>VLOOKUP(C354, 'Class Def. - General Data'!$C$20:$C$1000,1,false)</f>
        <v>ZBM1_TEXTUREPLANK</v>
      </c>
      <c r="H354" s="63" t="str">
        <f>IFERROR(__xludf.DUMMYFUNCTION("VLOOKUP(F354, IMPORTRANGE(""https://docs.google.com/spreadsheets/d/1Lhp9OU0JdFf_VYSMzH5lBcEaU4o8teT1piV-SNzShjg/edit?gid=554141278#gid=554141278"", ""'Char Def. - Attributes'!C20:C2242""), 1,false)"),"BM_TYPE")</f>
        <v>BM_TYPE</v>
      </c>
      <c r="I354" s="136"/>
    </row>
    <row r="355" ht="15.75" customHeight="1">
      <c r="A355" s="59"/>
      <c r="B355" s="63">
        <f t="shared" si="1"/>
        <v>17</v>
      </c>
      <c r="C355" s="135" t="s">
        <v>220</v>
      </c>
      <c r="D355" s="134" t="s">
        <v>74</v>
      </c>
      <c r="E355" s="135">
        <f t="shared" si="2"/>
        <v>2</v>
      </c>
      <c r="F355" s="134" t="s">
        <v>3589</v>
      </c>
      <c r="G355" s="63" t="str">
        <f>VLOOKUP(C355, 'Class Def. - General Data'!$C$20:$C$1000,1,false)</f>
        <v>ZBM1_TEXTUREPLANK</v>
      </c>
      <c r="H355" s="63" t="str">
        <f>IFERROR(__xludf.DUMMYFUNCTION("VLOOKUP(F355, IMPORTRANGE(""https://docs.google.com/spreadsheets/d/1Lhp9OU0JdFf_VYSMzH5lBcEaU4o8teT1piV-SNzShjg/edit?gid=554141278#gid=554141278"", ""'Char Def. - Attributes'!C20:C2242""), 1,false)"),"BM_BRAND")</f>
        <v>BM_BRAND</v>
      </c>
      <c r="I355" s="136"/>
    </row>
    <row r="356" ht="15.75" customHeight="1">
      <c r="A356" s="59"/>
      <c r="B356" s="63">
        <f t="shared" si="1"/>
        <v>17</v>
      </c>
      <c r="C356" s="135" t="s">
        <v>220</v>
      </c>
      <c r="D356" s="134" t="s">
        <v>74</v>
      </c>
      <c r="E356" s="135">
        <f t="shared" si="2"/>
        <v>3</v>
      </c>
      <c r="F356" s="134" t="s">
        <v>3590</v>
      </c>
      <c r="G356" s="63" t="str">
        <f>VLOOKUP(C356, 'Class Def. - General Data'!$C$20:$C$1000,1,false)</f>
        <v>ZBM1_TEXTUREPLANK</v>
      </c>
      <c r="H356" s="63" t="str">
        <f>IFERROR(__xludf.DUMMYFUNCTION("VLOOKUP(F356, IMPORTRANGE(""https://docs.google.com/spreadsheets/d/1Lhp9OU0JdFf_VYSMzH5lBcEaU4o8teT1piV-SNzShjg/edit?gid=554141278#gid=554141278"", ""'Char Def. - Attributes'!C20:C2242""), 1,false)"),"BM_VARIAN")</f>
        <v>BM_VARIAN</v>
      </c>
      <c r="I356" s="136"/>
    </row>
    <row r="357" ht="15.75" customHeight="1">
      <c r="A357" s="59"/>
      <c r="B357" s="63">
        <f t="shared" si="1"/>
        <v>17</v>
      </c>
      <c r="C357" s="135" t="s">
        <v>220</v>
      </c>
      <c r="D357" s="134" t="s">
        <v>74</v>
      </c>
      <c r="E357" s="135">
        <f t="shared" si="2"/>
        <v>4</v>
      </c>
      <c r="F357" s="134" t="s">
        <v>3591</v>
      </c>
      <c r="G357" s="63" t="str">
        <f>VLOOKUP(C357, 'Class Def. - General Data'!$C$20:$C$1000,1,false)</f>
        <v>ZBM1_TEXTUREPLANK</v>
      </c>
      <c r="H357" s="63" t="str">
        <f>IFERROR(__xludf.DUMMYFUNCTION("VLOOKUP(F357, IMPORTRANGE(""https://docs.google.com/spreadsheets/d/1Lhp9OU0JdFf_VYSMzH5lBcEaU4o8teT1piV-SNzShjg/edit?gid=554141278#gid=554141278"", ""'Char Def. - Attributes'!C20:C2242""), 1,false)"),"BM_COLOR")</f>
        <v>BM_COLOR</v>
      </c>
      <c r="I357" s="136"/>
    </row>
    <row r="358" ht="15.75" customHeight="1">
      <c r="A358" s="59"/>
      <c r="B358" s="63">
        <f t="shared" si="1"/>
        <v>17</v>
      </c>
      <c r="C358" s="135" t="s">
        <v>220</v>
      </c>
      <c r="D358" s="134" t="s">
        <v>74</v>
      </c>
      <c r="E358" s="135">
        <f t="shared" si="2"/>
        <v>5</v>
      </c>
      <c r="F358" s="134" t="s">
        <v>3592</v>
      </c>
      <c r="G358" s="63" t="str">
        <f>VLOOKUP(C358, 'Class Def. - General Data'!$C$20:$C$1000,1,false)</f>
        <v>ZBM1_TEXTUREPLANK</v>
      </c>
      <c r="H358" s="63" t="str">
        <f>IFERROR(__xludf.DUMMYFUNCTION("VLOOKUP(F358, IMPORTRANGE(""https://docs.google.com/spreadsheets/d/1Lhp9OU0JdFf_VYSMzH5lBcEaU4o8teT1piV-SNzShjg/edit?gid=554141278#gid=554141278"", ""'Char Def. - Attributes'!C20:C2242""), 1,false)"),"BM_SIZE")</f>
        <v>BM_SIZE</v>
      </c>
      <c r="I358" s="136"/>
    </row>
    <row r="359" ht="15.75" customHeight="1">
      <c r="A359" s="59"/>
      <c r="B359" s="63">
        <f t="shared" si="1"/>
        <v>17</v>
      </c>
      <c r="C359" s="135" t="s">
        <v>220</v>
      </c>
      <c r="D359" s="134" t="s">
        <v>74</v>
      </c>
      <c r="E359" s="135">
        <f t="shared" si="2"/>
        <v>6</v>
      </c>
      <c r="F359" s="134" t="s">
        <v>3593</v>
      </c>
      <c r="G359" s="63" t="str">
        <f>VLOOKUP(C359, 'Class Def. - General Data'!$C$20:$C$1000,1,false)</f>
        <v>ZBM1_TEXTUREPLANK</v>
      </c>
      <c r="H359" s="63" t="str">
        <f>IFERROR(__xludf.DUMMYFUNCTION("VLOOKUP(F359, IMPORTRANGE(""https://docs.google.com/spreadsheets/d/1Lhp9OU0JdFf_VYSMzH5lBcEaU4o8teT1piV-SNzShjg/edit?gid=554141278#gid=554141278"", ""'Char Def. - Attributes'!C20:C2242""), 1,false)"),"BM_GRADE")</f>
        <v>BM_GRADE</v>
      </c>
      <c r="I359" s="136"/>
    </row>
    <row r="360" ht="15.75" customHeight="1">
      <c r="A360" s="59"/>
      <c r="B360" s="63">
        <f t="shared" si="1"/>
        <v>17</v>
      </c>
      <c r="C360" s="135" t="s">
        <v>220</v>
      </c>
      <c r="D360" s="134" t="s">
        <v>74</v>
      </c>
      <c r="E360" s="135">
        <f t="shared" si="2"/>
        <v>7</v>
      </c>
      <c r="F360" s="134" t="s">
        <v>3594</v>
      </c>
      <c r="G360" s="63" t="str">
        <f>VLOOKUP(C360, 'Class Def. - General Data'!$C$20:$C$1000,1,false)</f>
        <v>ZBM1_TEXTUREPLANK</v>
      </c>
      <c r="H360" s="63" t="str">
        <f>IFERROR(__xludf.DUMMYFUNCTION("VLOOKUP(F360, IMPORTRANGE(""https://docs.google.com/spreadsheets/d/1Lhp9OU0JdFf_VYSMzH5lBcEaU4o8teT1piV-SNzShjg/edit?gid=554141278#gid=554141278"", ""'Char Def. - Attributes'!C20:C2242""), 1,false)"),"BM_MANUFACTURE")</f>
        <v>BM_MANUFACTURE</v>
      </c>
      <c r="I360" s="136"/>
    </row>
    <row r="361" ht="15.75" customHeight="1">
      <c r="A361" s="59"/>
      <c r="B361" s="63">
        <f t="shared" si="1"/>
        <v>17</v>
      </c>
      <c r="C361" s="135" t="s">
        <v>220</v>
      </c>
      <c r="D361" s="134" t="s">
        <v>74</v>
      </c>
      <c r="E361" s="135">
        <f t="shared" si="2"/>
        <v>8</v>
      </c>
      <c r="F361" s="134" t="s">
        <v>3582</v>
      </c>
      <c r="G361" s="63" t="str">
        <f>VLOOKUP(C361, 'Class Def. - General Data'!$C$20:$C$1000,1,false)</f>
        <v>ZBM1_TEXTUREPLANK</v>
      </c>
      <c r="H361" s="63" t="str">
        <f>IFERROR(__xludf.DUMMYFUNCTION("VLOOKUP(F361, IMPORTRANGE(""https://docs.google.com/spreadsheets/d/1Lhp9OU0JdFf_VYSMzH5lBcEaU4o8teT1piV-SNzShjg/edit?gid=554141278#gid=554141278"", ""'Char Def. - Attributes'!C20:C2242""), 1,false)"),"BASE_UNIT")</f>
        <v>BASE_UNIT</v>
      </c>
      <c r="I361" s="136"/>
    </row>
    <row r="362" ht="15.75" customHeight="1">
      <c r="A362" s="59"/>
      <c r="B362" s="63">
        <f t="shared" si="1"/>
        <v>17</v>
      </c>
      <c r="C362" s="135" t="s">
        <v>220</v>
      </c>
      <c r="D362" s="134" t="s">
        <v>74</v>
      </c>
      <c r="E362" s="135">
        <f t="shared" si="2"/>
        <v>9</v>
      </c>
      <c r="F362" s="134" t="s">
        <v>3583</v>
      </c>
      <c r="G362" s="63" t="str">
        <f>VLOOKUP(C362, 'Class Def. - General Data'!$C$20:$C$1000,1,false)</f>
        <v>ZBM1_TEXTUREPLANK</v>
      </c>
      <c r="H362" s="63" t="str">
        <f>IFERROR(__xludf.DUMMYFUNCTION("VLOOKUP(F362, IMPORTRANGE(""https://docs.google.com/spreadsheets/d/1Lhp9OU0JdFf_VYSMzH5lBcEaU4o8teT1piV-SNzShjg/edit?gid=554141278#gid=554141278"", ""'Char Def. - Attributes'!C20:C2242""), 1,false)"),"SALES_UNIT")</f>
        <v>SALES_UNIT</v>
      </c>
      <c r="I362" s="136"/>
    </row>
    <row r="363" ht="15.75" customHeight="1">
      <c r="A363" s="59"/>
      <c r="B363" s="63">
        <f t="shared" si="1"/>
        <v>17</v>
      </c>
      <c r="C363" s="135" t="s">
        <v>220</v>
      </c>
      <c r="D363" s="134" t="s">
        <v>74</v>
      </c>
      <c r="E363" s="135">
        <f t="shared" si="2"/>
        <v>10</v>
      </c>
      <c r="F363" s="134" t="s">
        <v>3595</v>
      </c>
      <c r="G363" s="63" t="str">
        <f>VLOOKUP(C363, 'Class Def. - General Data'!$C$20:$C$1000,1,false)</f>
        <v>ZBM1_TEXTUREPLANK</v>
      </c>
      <c r="H363" s="63" t="str">
        <f>IFERROR(__xludf.DUMMYFUNCTION("VLOOKUP(F363, IMPORTRANGE(""https://docs.google.com/spreadsheets/d/1Lhp9OU0JdFf_VYSMzH5lBcEaU4o8teT1piV-SNzShjg/edit?gid=554141278#gid=554141278"", ""'Char Def. - Attributes'!C20:C2242""), 1,false)"),"UOM1")</f>
        <v>UOM1</v>
      </c>
      <c r="I363" s="136"/>
    </row>
    <row r="364" ht="15.75" customHeight="1">
      <c r="A364" s="59"/>
      <c r="B364" s="63">
        <f t="shared" si="1"/>
        <v>17</v>
      </c>
      <c r="C364" s="135" t="s">
        <v>220</v>
      </c>
      <c r="D364" s="134" t="s">
        <v>74</v>
      </c>
      <c r="E364" s="135">
        <f t="shared" si="2"/>
        <v>11</v>
      </c>
      <c r="F364" s="134" t="s">
        <v>3596</v>
      </c>
      <c r="G364" s="63" t="str">
        <f>VLOOKUP(C364, 'Class Def. - General Data'!$C$20:$C$1000,1,false)</f>
        <v>ZBM1_TEXTUREPLANK</v>
      </c>
      <c r="H364" s="63" t="str">
        <f>IFERROR(__xludf.DUMMYFUNCTION("VLOOKUP(F364, IMPORTRANGE(""https://docs.google.com/spreadsheets/d/1Lhp9OU0JdFf_VYSMzH5lBcEaU4o8teT1piV-SNzShjg/edit?gid=554141278#gid=554141278"", ""'Char Def. - Attributes'!C20:C2242""), 1,false)"),"CONV1")</f>
        <v>CONV1</v>
      </c>
      <c r="I364" s="136"/>
    </row>
    <row r="365" ht="15.75" customHeight="1">
      <c r="A365" s="59"/>
      <c r="B365" s="63">
        <f t="shared" si="1"/>
        <v>17</v>
      </c>
      <c r="C365" s="135" t="s">
        <v>220</v>
      </c>
      <c r="D365" s="134" t="s">
        <v>74</v>
      </c>
      <c r="E365" s="135">
        <f t="shared" si="2"/>
        <v>12</v>
      </c>
      <c r="F365" s="134" t="s">
        <v>3597</v>
      </c>
      <c r="G365" s="63" t="str">
        <f>VLOOKUP(C365, 'Class Def. - General Data'!$C$20:$C$1000,1,false)</f>
        <v>ZBM1_TEXTUREPLANK</v>
      </c>
      <c r="H365" s="63" t="str">
        <f>IFERROR(__xludf.DUMMYFUNCTION("VLOOKUP(F365, IMPORTRANGE(""https://docs.google.com/spreadsheets/d/1Lhp9OU0JdFf_VYSMzH5lBcEaU4o8teT1piV-SNzShjg/edit?gid=554141278#gid=554141278"", ""'Char Def. - Attributes'!C20:C2242""), 1,false)"),"UOM2")</f>
        <v>UOM2</v>
      </c>
      <c r="I365" s="136"/>
    </row>
    <row r="366" ht="15.75" customHeight="1">
      <c r="A366" s="59"/>
      <c r="B366" s="63">
        <f t="shared" si="1"/>
        <v>17</v>
      </c>
      <c r="C366" s="135" t="s">
        <v>220</v>
      </c>
      <c r="D366" s="134" t="s">
        <v>74</v>
      </c>
      <c r="E366" s="135">
        <f t="shared" si="2"/>
        <v>13</v>
      </c>
      <c r="F366" s="134" t="s">
        <v>3598</v>
      </c>
      <c r="G366" s="63" t="str">
        <f>VLOOKUP(C366, 'Class Def. - General Data'!$C$20:$C$1000,1,false)</f>
        <v>ZBM1_TEXTUREPLANK</v>
      </c>
      <c r="H366" s="63" t="str">
        <f>IFERROR(__xludf.DUMMYFUNCTION("VLOOKUP(F366, IMPORTRANGE(""https://docs.google.com/spreadsheets/d/1Lhp9OU0JdFf_VYSMzH5lBcEaU4o8teT1piV-SNzShjg/edit?gid=554141278#gid=554141278"", ""'Char Def. - Attributes'!C20:C2242""), 1,false)"),"CONV2")</f>
        <v>CONV2</v>
      </c>
      <c r="I366" s="136"/>
    </row>
    <row r="367" ht="15.75" customHeight="1">
      <c r="A367" s="59"/>
      <c r="B367" s="63">
        <f t="shared" si="1"/>
        <v>17</v>
      </c>
      <c r="C367" s="135" t="s">
        <v>220</v>
      </c>
      <c r="D367" s="134" t="s">
        <v>74</v>
      </c>
      <c r="E367" s="135">
        <f t="shared" si="2"/>
        <v>14</v>
      </c>
      <c r="F367" s="134" t="s">
        <v>3599</v>
      </c>
      <c r="G367" s="63" t="str">
        <f>VLOOKUP(C367, 'Class Def. - General Data'!$C$20:$C$1000,1,false)</f>
        <v>ZBM1_TEXTUREPLANK</v>
      </c>
      <c r="H367" s="63" t="str">
        <f>IFERROR(__xludf.DUMMYFUNCTION("VLOOKUP(F367, IMPORTRANGE(""https://docs.google.com/spreadsheets/d/1Lhp9OU0JdFf_VYSMzH5lBcEaU4o8teT1piV-SNzShjg/edit?gid=554141278#gid=554141278"", ""'Char Def. - Attributes'!C20:C2242""), 1,false)"),"UOM3")</f>
        <v>UOM3</v>
      </c>
      <c r="I367" s="136"/>
    </row>
    <row r="368" ht="15.75" customHeight="1">
      <c r="A368" s="59"/>
      <c r="B368" s="63">
        <f t="shared" si="1"/>
        <v>17</v>
      </c>
      <c r="C368" s="135" t="s">
        <v>220</v>
      </c>
      <c r="D368" s="134" t="s">
        <v>74</v>
      </c>
      <c r="E368" s="135">
        <f t="shared" si="2"/>
        <v>15</v>
      </c>
      <c r="F368" s="134" t="s">
        <v>3600</v>
      </c>
      <c r="G368" s="63" t="str">
        <f>VLOOKUP(C368, 'Class Def. - General Data'!$C$20:$C$1000,1,false)</f>
        <v>ZBM1_TEXTUREPLANK</v>
      </c>
      <c r="H368" s="63" t="str">
        <f>IFERROR(__xludf.DUMMYFUNCTION("VLOOKUP(F368, IMPORTRANGE(""https://docs.google.com/spreadsheets/d/1Lhp9OU0JdFf_VYSMzH5lBcEaU4o8teT1piV-SNzShjg/edit?gid=554141278#gid=554141278"", ""'Char Def. - Attributes'!C20:C2242""), 1,false)"),"CONV3")</f>
        <v>CONV3</v>
      </c>
      <c r="I368" s="136"/>
    </row>
    <row r="369" ht="15.75" customHeight="1">
      <c r="A369" s="59"/>
      <c r="B369" s="63">
        <f t="shared" si="1"/>
        <v>17</v>
      </c>
      <c r="C369" s="135" t="s">
        <v>220</v>
      </c>
      <c r="D369" s="134" t="s">
        <v>74</v>
      </c>
      <c r="E369" s="135">
        <f t="shared" si="2"/>
        <v>16</v>
      </c>
      <c r="F369" s="134" t="s">
        <v>3601</v>
      </c>
      <c r="G369" s="63" t="str">
        <f>VLOOKUP(C369, 'Class Def. - General Data'!$C$20:$C$1000,1,false)</f>
        <v>ZBM1_TEXTUREPLANK</v>
      </c>
      <c r="H369" s="63" t="str">
        <f>IFERROR(__xludf.DUMMYFUNCTION("VLOOKUP(F369, IMPORTRANGE(""https://docs.google.com/spreadsheets/d/1Lhp9OU0JdFf_VYSMzH5lBcEaU4o8teT1piV-SNzShjg/edit?gid=554141278#gid=554141278"", ""'Char Def. - Attributes'!C20:C2242""), 1,false)"),"GROSS_WEIGHT")</f>
        <v>GROSS_WEIGHT</v>
      </c>
      <c r="I369" s="136"/>
    </row>
    <row r="370" ht="15.75" customHeight="1">
      <c r="A370" s="59"/>
      <c r="B370" s="63">
        <f t="shared" si="1"/>
        <v>17</v>
      </c>
      <c r="C370" s="135" t="s">
        <v>220</v>
      </c>
      <c r="D370" s="134" t="s">
        <v>74</v>
      </c>
      <c r="E370" s="135">
        <f t="shared" si="2"/>
        <v>17</v>
      </c>
      <c r="F370" s="134" t="s">
        <v>3602</v>
      </c>
      <c r="G370" s="63" t="str">
        <f>VLOOKUP(C370, 'Class Def. - General Data'!$C$20:$C$1000,1,false)</f>
        <v>ZBM1_TEXTUREPLANK</v>
      </c>
      <c r="H370" s="63" t="str">
        <f>IFERROR(__xludf.DUMMYFUNCTION("VLOOKUP(F370, IMPORTRANGE(""https://docs.google.com/spreadsheets/d/1Lhp9OU0JdFf_VYSMzH5lBcEaU4o8teT1piV-SNzShjg/edit?gid=554141278#gid=554141278"", ""'Char Def. - Attributes'!C20:C2242""), 1,false)"),"NET_WEIGHT")</f>
        <v>NET_WEIGHT</v>
      </c>
      <c r="I370" s="136"/>
    </row>
    <row r="371" ht="15.75" customHeight="1">
      <c r="A371" s="59"/>
      <c r="B371" s="63">
        <f t="shared" si="1"/>
        <v>17</v>
      </c>
      <c r="C371" s="135" t="s">
        <v>220</v>
      </c>
      <c r="D371" s="134" t="s">
        <v>74</v>
      </c>
      <c r="E371" s="135">
        <f t="shared" si="2"/>
        <v>18</v>
      </c>
      <c r="F371" s="134" t="s">
        <v>3603</v>
      </c>
      <c r="G371" s="63" t="str">
        <f>VLOOKUP(C371, 'Class Def. - General Data'!$C$20:$C$1000,1,false)</f>
        <v>ZBM1_TEXTUREPLANK</v>
      </c>
      <c r="H371" s="63" t="str">
        <f>IFERROR(__xludf.DUMMYFUNCTION("VLOOKUP(F371, IMPORTRANGE(""https://docs.google.com/spreadsheets/d/1Lhp9OU0JdFf_VYSMzH5lBcEaU4o8teT1piV-SNzShjg/edit?gid=554141278#gid=554141278"", ""'Char Def. - Attributes'!C20:C2242""), 1,false)"),"VOLUME")</f>
        <v>VOLUME</v>
      </c>
      <c r="I371" s="136"/>
    </row>
    <row r="372" ht="15.75" customHeight="1">
      <c r="A372" s="59"/>
      <c r="B372" s="63">
        <f t="shared" si="1"/>
        <v>17</v>
      </c>
      <c r="C372" s="135" t="s">
        <v>220</v>
      </c>
      <c r="D372" s="134" t="s">
        <v>74</v>
      </c>
      <c r="E372" s="135">
        <f t="shared" si="2"/>
        <v>19</v>
      </c>
      <c r="F372" s="134" t="s">
        <v>3585</v>
      </c>
      <c r="G372" s="63" t="str">
        <f>VLOOKUP(C372, 'Class Def. - General Data'!$C$20:$C$1000,1,false)</f>
        <v>ZBM1_TEXTUREPLANK</v>
      </c>
      <c r="H372" s="63" t="str">
        <f>IFERROR(__xludf.DUMMYFUNCTION("VLOOKUP(F372, IMPORTRANGE(""https://docs.google.com/spreadsheets/d/1Lhp9OU0JdFf_VYSMzH5lBcEaU4o8teT1piV-SNzShjg/edit?gid=554141278#gid=554141278"", ""'Char Def. - Attributes'!C20:C2242""), 1,false)"),"HS_CODE")</f>
        <v>HS_CODE</v>
      </c>
      <c r="I372" s="136"/>
    </row>
    <row r="373" ht="15.75" customHeight="1">
      <c r="A373" s="59"/>
      <c r="B373" s="63">
        <f t="shared" si="1"/>
        <v>17</v>
      </c>
      <c r="C373" s="135" t="s">
        <v>220</v>
      </c>
      <c r="D373" s="134" t="s">
        <v>74</v>
      </c>
      <c r="E373" s="135">
        <f t="shared" si="2"/>
        <v>20</v>
      </c>
      <c r="F373" s="134" t="s">
        <v>3586</v>
      </c>
      <c r="G373" s="63" t="str">
        <f>VLOOKUP(C373, 'Class Def. - General Data'!$C$20:$C$1000,1,false)</f>
        <v>ZBM1_TEXTUREPLANK</v>
      </c>
      <c r="H373" s="63" t="str">
        <f>IFERROR(__xludf.DUMMYFUNCTION("VLOOKUP(F373, IMPORTRANGE(""https://docs.google.com/spreadsheets/d/1Lhp9OU0JdFf_VYSMzH5lBcEaU4o8teT1piV-SNzShjg/edit?gid=554141278#gid=554141278"", ""'Char Def. - Attributes'!C20:C2242""), 1,false)"),"PLANT_PROD")</f>
        <v>PLANT_PROD</v>
      </c>
      <c r="I373" s="136"/>
    </row>
    <row r="374" ht="15.75" customHeight="1">
      <c r="A374" s="59"/>
      <c r="B374" s="63">
        <f t="shared" si="1"/>
        <v>17</v>
      </c>
      <c r="C374" s="135" t="s">
        <v>220</v>
      </c>
      <c r="D374" s="134" t="s">
        <v>74</v>
      </c>
      <c r="E374" s="135">
        <f t="shared" si="2"/>
        <v>21</v>
      </c>
      <c r="F374" s="134" t="s">
        <v>3587</v>
      </c>
      <c r="G374" s="63" t="str">
        <f>VLOOKUP(C374, 'Class Def. - General Data'!$C$20:$C$1000,1,false)</f>
        <v>ZBM1_TEXTUREPLANK</v>
      </c>
      <c r="H374" s="63" t="str">
        <f>IFERROR(__xludf.DUMMYFUNCTION("VLOOKUP(F374, IMPORTRANGE(""https://docs.google.com/spreadsheets/d/1Lhp9OU0JdFf_VYSMzH5lBcEaU4o8teT1piV-SNzShjg/edit?gid=554141278#gid=554141278"", ""'Char Def. - Attributes'!C20:C2242""), 1,false)"),"PLANT_BUY")</f>
        <v>PLANT_BUY</v>
      </c>
      <c r="I374" s="136"/>
    </row>
    <row r="375" ht="15.75" customHeight="1">
      <c r="A375" s="59"/>
      <c r="B375" s="63">
        <f t="shared" si="1"/>
        <v>17</v>
      </c>
      <c r="C375" s="75" t="s">
        <v>553</v>
      </c>
      <c r="D375" s="134" t="s">
        <v>74</v>
      </c>
      <c r="E375" s="135">
        <f t="shared" si="2"/>
        <v>1</v>
      </c>
      <c r="F375" s="134" t="str">
        <f>"BRAND_"&amp;MID(C375,6,20)</f>
        <v>BRAND_ADULTDIAPERS</v>
      </c>
      <c r="G375" s="63" t="str">
        <f>VLOOKUP(C375, 'Class Def. - General Data'!$C$20:$C$1000,1,false)</f>
        <v>ZFG1_ADULTDIAPERS</v>
      </c>
      <c r="H375" s="63" t="str">
        <f>IFERROR(__xludf.DUMMYFUNCTION("VLOOKUP(F375, IMPORTRANGE(""https://docs.google.com/spreadsheets/d/1Lhp9OU0JdFf_VYSMzH5lBcEaU4o8teT1piV-SNzShjg/edit?gid=554141278#gid=554141278"", ""'Char Def. - Attributes'!C20:C2242""), 1,false)"),"BRAND_ADULTDIAPERS")</f>
        <v>BRAND_ADULTDIAPERS</v>
      </c>
      <c r="I375" s="136"/>
    </row>
    <row r="376" ht="15.75" customHeight="1">
      <c r="A376" s="59"/>
      <c r="B376" s="63">
        <f t="shared" si="1"/>
        <v>17</v>
      </c>
      <c r="C376" s="75" t="s">
        <v>553</v>
      </c>
      <c r="D376" s="134" t="s">
        <v>74</v>
      </c>
      <c r="E376" s="135">
        <f t="shared" si="2"/>
        <v>2</v>
      </c>
      <c r="F376" s="134" t="s">
        <v>3604</v>
      </c>
      <c r="G376" s="63" t="str">
        <f>VLOOKUP(C376, 'Class Def. - General Data'!$C$20:$C$1000,1,false)</f>
        <v>ZFG1_ADULTDIAPERS</v>
      </c>
      <c r="H376" s="63" t="str">
        <f>IFERROR(__xludf.DUMMYFUNCTION("VLOOKUP(F376, IMPORTRANGE(""https://docs.google.com/spreadsheets/d/1Lhp9OU0JdFf_VYSMzH5lBcEaU4o8teT1piV-SNzShjg/edit?gid=554141278#gid=554141278"", ""'Char Def. - Attributes'!C20:C2242""), 1,false)"),"#N/A")</f>
        <v>#N/A</v>
      </c>
      <c r="I376" s="136"/>
    </row>
    <row r="377" ht="15.75" customHeight="1">
      <c r="A377" s="59"/>
      <c r="B377" s="63">
        <f t="shared" si="1"/>
        <v>17</v>
      </c>
      <c r="C377" s="75" t="s">
        <v>553</v>
      </c>
      <c r="D377" s="134" t="s">
        <v>74</v>
      </c>
      <c r="E377" s="135">
        <f t="shared" si="2"/>
        <v>3</v>
      </c>
      <c r="F377" s="134" t="s">
        <v>3605</v>
      </c>
      <c r="G377" s="63" t="str">
        <f>VLOOKUP(C377, 'Class Def. - General Data'!$C$20:$C$1000,1,false)</f>
        <v>ZFG1_ADULTDIAPERS</v>
      </c>
      <c r="H377" s="63" t="str">
        <f>IFERROR(__xludf.DUMMYFUNCTION("VLOOKUP(F377, IMPORTRANGE(""https://docs.google.com/spreadsheets/d/1Lhp9OU0JdFf_VYSMzH5lBcEaU4o8teT1piV-SNzShjg/edit?gid=554141278#gid=554141278"", ""'Char Def. - Attributes'!C20:C2242""), 1,false)"),"PACK_NETTO")</f>
        <v>PACK_NETTO</v>
      </c>
      <c r="I377" s="136"/>
    </row>
    <row r="378" ht="15.75" customHeight="1">
      <c r="A378" s="59"/>
      <c r="B378" s="63">
        <f t="shared" si="1"/>
        <v>17</v>
      </c>
      <c r="C378" s="75" t="s">
        <v>553</v>
      </c>
      <c r="D378" s="134" t="s">
        <v>74</v>
      </c>
      <c r="E378" s="135">
        <f t="shared" si="2"/>
        <v>4</v>
      </c>
      <c r="F378" s="134" t="s">
        <v>3606</v>
      </c>
      <c r="G378" s="63" t="str">
        <f>VLOOKUP(C378, 'Class Def. - General Data'!$C$20:$C$1000,1,false)</f>
        <v>ZFG1_ADULTDIAPERS</v>
      </c>
      <c r="H378" s="63" t="str">
        <f>IFERROR(__xludf.DUMMYFUNCTION("VLOOKUP(F378, IMPORTRANGE(""https://docs.google.com/spreadsheets/d/1Lhp9OU0JdFf_VYSMzH5lBcEaU4o8teT1piV-SNzShjg/edit?gid=554141278#gid=554141278"", ""'Char Def. - Attributes'!C20:C2242""), 1,false)"),"#N/A")</f>
        <v>#N/A</v>
      </c>
      <c r="I378" s="136"/>
    </row>
    <row r="379" ht="15.75" customHeight="1">
      <c r="A379" s="59"/>
      <c r="B379" s="63">
        <f t="shared" si="1"/>
        <v>17</v>
      </c>
      <c r="C379" s="75" t="s">
        <v>553</v>
      </c>
      <c r="D379" s="134" t="s">
        <v>74</v>
      </c>
      <c r="E379" s="135">
        <f t="shared" si="2"/>
        <v>5</v>
      </c>
      <c r="F379" s="134" t="s">
        <v>3607</v>
      </c>
      <c r="G379" s="63" t="str">
        <f>VLOOKUP(C379, 'Class Def. - General Data'!$C$20:$C$1000,1,false)</f>
        <v>ZFG1_ADULTDIAPERS</v>
      </c>
      <c r="H379" s="63" t="str">
        <f>IFERROR(__xludf.DUMMYFUNCTION("VLOOKUP(F379, IMPORTRANGE(""https://docs.google.com/spreadsheets/d/1Lhp9OU0JdFf_VYSMzH5lBcEaU4o8teT1piV-SNzShjg/edit?gid=554141278#gid=554141278"", ""'Char Def. - Attributes'!C20:C2242""), 1,false)"),"VARIAN")</f>
        <v>VARIAN</v>
      </c>
      <c r="I379" s="136"/>
    </row>
    <row r="380" ht="15.75" customHeight="1">
      <c r="A380" s="59"/>
      <c r="B380" s="63">
        <f t="shared" si="1"/>
        <v>17</v>
      </c>
      <c r="C380" s="75" t="s">
        <v>553</v>
      </c>
      <c r="D380" s="134" t="s">
        <v>74</v>
      </c>
      <c r="E380" s="135">
        <f t="shared" si="2"/>
        <v>6</v>
      </c>
      <c r="F380" s="134" t="s">
        <v>3608</v>
      </c>
      <c r="G380" s="63" t="str">
        <f>VLOOKUP(C380, 'Class Def. - General Data'!$C$20:$C$1000,1,false)</f>
        <v>ZFG1_ADULTDIAPERS</v>
      </c>
      <c r="H380" s="63" t="str">
        <f>IFERROR(__xludf.DUMMYFUNCTION("VLOOKUP(F380, IMPORTRANGE(""https://docs.google.com/spreadsheets/d/1Lhp9OU0JdFf_VYSMzH5lBcEaU4o8teT1piV-SNzShjg/edit?gid=554141278#gid=554141278"", ""'Char Def. - Attributes'!C20:C2242""), 1,false)"),"PROJECT_NAME")</f>
        <v>PROJECT_NAME</v>
      </c>
      <c r="I380" s="136"/>
    </row>
    <row r="381" ht="15.75" customHeight="1">
      <c r="A381" s="59"/>
      <c r="B381" s="63">
        <f t="shared" si="1"/>
        <v>17</v>
      </c>
      <c r="C381" s="75" t="s">
        <v>553</v>
      </c>
      <c r="D381" s="134" t="s">
        <v>74</v>
      </c>
      <c r="E381" s="135">
        <f t="shared" si="2"/>
        <v>7</v>
      </c>
      <c r="F381" s="134" t="s">
        <v>3609</v>
      </c>
      <c r="G381" s="63" t="str">
        <f>VLOOKUP(C381, 'Class Def. - General Data'!$C$20:$C$1000,1,false)</f>
        <v>ZFG1_ADULTDIAPERS</v>
      </c>
      <c r="H381" s="63" t="str">
        <f>IFERROR(__xludf.DUMMYFUNCTION("VLOOKUP(F381, IMPORTRANGE(""https://docs.google.com/spreadsheets/d/1Lhp9OU0JdFf_VYSMzH5lBcEaU4o8teT1piV-SNzShjg/edit?gid=554141278#gid=554141278"", ""'Char Def. - Attributes'!C20:C2242""), 1,false)"),"ADDITIONAL_PROMO")</f>
        <v>ADDITIONAL_PROMO</v>
      </c>
      <c r="I381" s="136"/>
    </row>
    <row r="382" ht="15.75" customHeight="1">
      <c r="A382" s="59"/>
      <c r="B382" s="63">
        <f t="shared" si="1"/>
        <v>17</v>
      </c>
      <c r="C382" s="75" t="s">
        <v>553</v>
      </c>
      <c r="D382" s="134" t="s">
        <v>74</v>
      </c>
      <c r="E382" s="135">
        <f t="shared" si="2"/>
        <v>8</v>
      </c>
      <c r="F382" s="134" t="s">
        <v>3610</v>
      </c>
      <c r="G382" s="63" t="str">
        <f>VLOOKUP(C382, 'Class Def. - General Data'!$C$20:$C$1000,1,false)</f>
        <v>ZFG1_ADULTDIAPERS</v>
      </c>
      <c r="H382" s="63" t="str">
        <f>IFERROR(__xludf.DUMMYFUNCTION("VLOOKUP(F382, IMPORTRANGE(""https://docs.google.com/spreadsheets/d/1Lhp9OU0JdFf_VYSMzH5lBcEaU4o8teT1piV-SNzShjg/edit?gid=554141278#gid=554141278"", ""'Char Def. - Attributes'!C20:C2242""), 1,false)"),"BANDED_PROMO")</f>
        <v>BANDED_PROMO</v>
      </c>
      <c r="I382" s="136"/>
    </row>
    <row r="383" ht="15.75" customHeight="1">
      <c r="A383" s="59"/>
      <c r="B383" s="63">
        <f t="shared" si="1"/>
        <v>17</v>
      </c>
      <c r="C383" s="75" t="s">
        <v>553</v>
      </c>
      <c r="D383" s="134" t="s">
        <v>74</v>
      </c>
      <c r="E383" s="135">
        <f t="shared" si="2"/>
        <v>9</v>
      </c>
      <c r="F383" s="134" t="s">
        <v>3611</v>
      </c>
      <c r="G383" s="63" t="str">
        <f>VLOOKUP(C383, 'Class Def. - General Data'!$C$20:$C$1000,1,false)</f>
        <v>ZFG1_ADULTDIAPERS</v>
      </c>
      <c r="H383" s="63" t="str">
        <f>IFERROR(__xludf.DUMMYFUNCTION("VLOOKUP(F383, IMPORTRANGE(""https://docs.google.com/spreadsheets/d/1Lhp9OU0JdFf_VYSMzH5lBcEaU4o8teT1piV-SNzShjg/edit?gid=554141278#gid=554141278"", ""'Char Def. - Attributes'!C20:C2242""), 1,false)"),"LOKAL_EKSPOR")</f>
        <v>LOKAL_EKSPOR</v>
      </c>
      <c r="I383" s="136"/>
    </row>
    <row r="384" ht="15.75" customHeight="1">
      <c r="A384" s="59"/>
      <c r="B384" s="63">
        <f t="shared" si="1"/>
        <v>17</v>
      </c>
      <c r="C384" s="75" t="s">
        <v>553</v>
      </c>
      <c r="D384" s="134" t="s">
        <v>74</v>
      </c>
      <c r="E384" s="135">
        <f t="shared" si="2"/>
        <v>10</v>
      </c>
      <c r="F384" s="134" t="s">
        <v>3612</v>
      </c>
      <c r="G384" s="63" t="str">
        <f>VLOOKUP(C384, 'Class Def. - General Data'!$C$20:$C$1000,1,false)</f>
        <v>ZFG1_ADULTDIAPERS</v>
      </c>
      <c r="H384" s="63" t="str">
        <f>IFERROR(__xludf.DUMMYFUNCTION("VLOOKUP(F384, IMPORTRANGE(""https://docs.google.com/spreadsheets/d/1Lhp9OU0JdFf_VYSMzH5lBcEaU4o8teT1piV-SNzShjg/edit?gid=554141278#gid=554141278"", ""'Char Def. - Attributes'!C20:C2242""), 1,false)"),"COUNTRY_EKSPOR")</f>
        <v>COUNTRY_EKSPOR</v>
      </c>
      <c r="I384" s="136"/>
    </row>
    <row r="385" ht="15.75" customHeight="1">
      <c r="A385" s="59"/>
      <c r="B385" s="63">
        <f t="shared" si="1"/>
        <v>17</v>
      </c>
      <c r="C385" s="75" t="s">
        <v>553</v>
      </c>
      <c r="D385" s="134" t="s">
        <v>74</v>
      </c>
      <c r="E385" s="135">
        <f t="shared" si="2"/>
        <v>11</v>
      </c>
      <c r="F385" s="134" t="s">
        <v>3613</v>
      </c>
      <c r="G385" s="63" t="str">
        <f>VLOOKUP(C385, 'Class Def. - General Data'!$C$20:$C$1000,1,false)</f>
        <v>ZFG1_ADULTDIAPERS</v>
      </c>
      <c r="H385" s="63" t="str">
        <f>IFERROR(__xludf.DUMMYFUNCTION("VLOOKUP(F385, IMPORTRANGE(""https://docs.google.com/spreadsheets/d/1Lhp9OU0JdFf_VYSMzH5lBcEaU4o8teT1piV-SNzShjg/edit?gid=554141278#gid=554141278"", ""'Char Def. - Attributes'!C20:C2242""), 1,false)"),"WARNA_SFG")</f>
        <v>WARNA_SFG</v>
      </c>
      <c r="I385" s="136"/>
    </row>
    <row r="386" ht="15.75" customHeight="1">
      <c r="A386" s="59"/>
      <c r="B386" s="63">
        <f t="shared" si="1"/>
        <v>17</v>
      </c>
      <c r="C386" s="75" t="s">
        <v>553</v>
      </c>
      <c r="D386" s="134" t="s">
        <v>74</v>
      </c>
      <c r="E386" s="135">
        <f t="shared" si="2"/>
        <v>12</v>
      </c>
      <c r="F386" s="134" t="s">
        <v>3582</v>
      </c>
      <c r="G386" s="63" t="str">
        <f>VLOOKUP(C386, 'Class Def. - General Data'!$C$20:$C$1000,1,false)</f>
        <v>ZFG1_ADULTDIAPERS</v>
      </c>
      <c r="H386" s="63" t="str">
        <f>IFERROR(__xludf.DUMMYFUNCTION("VLOOKUP(F386, IMPORTRANGE(""https://docs.google.com/spreadsheets/d/1Lhp9OU0JdFf_VYSMzH5lBcEaU4o8teT1piV-SNzShjg/edit?gid=554141278#gid=554141278"", ""'Char Def. - Attributes'!C20:C2242""), 1,false)"),"BASE_UNIT")</f>
        <v>BASE_UNIT</v>
      </c>
      <c r="I386" s="136"/>
    </row>
    <row r="387" ht="15.75" customHeight="1">
      <c r="A387" s="59"/>
      <c r="B387" s="63">
        <f t="shared" si="1"/>
        <v>17</v>
      </c>
      <c r="C387" s="75" t="s">
        <v>553</v>
      </c>
      <c r="D387" s="134" t="s">
        <v>74</v>
      </c>
      <c r="E387" s="135">
        <f t="shared" si="2"/>
        <v>13</v>
      </c>
      <c r="F387" s="134" t="s">
        <v>3583</v>
      </c>
      <c r="G387" s="63" t="str">
        <f>VLOOKUP(C387, 'Class Def. - General Data'!$C$20:$C$1000,1,false)</f>
        <v>ZFG1_ADULTDIAPERS</v>
      </c>
      <c r="H387" s="63" t="str">
        <f>IFERROR(__xludf.DUMMYFUNCTION("VLOOKUP(F387, IMPORTRANGE(""https://docs.google.com/spreadsheets/d/1Lhp9OU0JdFf_VYSMzH5lBcEaU4o8teT1piV-SNzShjg/edit?gid=554141278#gid=554141278"", ""'Char Def. - Attributes'!C20:C2242""), 1,false)"),"SALES_UNIT")</f>
        <v>SALES_UNIT</v>
      </c>
      <c r="I387" s="136"/>
    </row>
    <row r="388" ht="15.75" customHeight="1">
      <c r="A388" s="59"/>
      <c r="B388" s="63">
        <f t="shared" si="1"/>
        <v>17</v>
      </c>
      <c r="C388" s="75" t="s">
        <v>553</v>
      </c>
      <c r="D388" s="134" t="s">
        <v>74</v>
      </c>
      <c r="E388" s="135">
        <f t="shared" si="2"/>
        <v>14</v>
      </c>
      <c r="F388" s="134" t="s">
        <v>3601</v>
      </c>
      <c r="G388" s="63" t="str">
        <f>VLOOKUP(C388, 'Class Def. - General Data'!$C$20:$C$1000,1,false)</f>
        <v>ZFG1_ADULTDIAPERS</v>
      </c>
      <c r="H388" s="63" t="str">
        <f>IFERROR(__xludf.DUMMYFUNCTION("VLOOKUP(F388, IMPORTRANGE(""https://docs.google.com/spreadsheets/d/1Lhp9OU0JdFf_VYSMzH5lBcEaU4o8teT1piV-SNzShjg/edit?gid=554141278#gid=554141278"", ""'Char Def. - Attributes'!C20:C2242""), 1,false)"),"GROSS_WEIGHT")</f>
        <v>GROSS_WEIGHT</v>
      </c>
      <c r="I388" s="136"/>
    </row>
    <row r="389" ht="15.75" customHeight="1">
      <c r="A389" s="59"/>
      <c r="B389" s="63">
        <f t="shared" si="1"/>
        <v>17</v>
      </c>
      <c r="C389" s="75" t="s">
        <v>553</v>
      </c>
      <c r="D389" s="134" t="s">
        <v>74</v>
      </c>
      <c r="E389" s="135">
        <f t="shared" si="2"/>
        <v>15</v>
      </c>
      <c r="F389" s="134" t="s">
        <v>3602</v>
      </c>
      <c r="G389" s="63" t="str">
        <f>VLOOKUP(C389, 'Class Def. - General Data'!$C$20:$C$1000,1,false)</f>
        <v>ZFG1_ADULTDIAPERS</v>
      </c>
      <c r="H389" s="63" t="str">
        <f>IFERROR(__xludf.DUMMYFUNCTION("VLOOKUP(F389, IMPORTRANGE(""https://docs.google.com/spreadsheets/d/1Lhp9OU0JdFf_VYSMzH5lBcEaU4o8teT1piV-SNzShjg/edit?gid=554141278#gid=554141278"", ""'Char Def. - Attributes'!C20:C2242""), 1,false)"),"NET_WEIGHT")</f>
        <v>NET_WEIGHT</v>
      </c>
      <c r="I389" s="136"/>
    </row>
    <row r="390" ht="15.75" customHeight="1">
      <c r="A390" s="59"/>
      <c r="B390" s="63">
        <f t="shared" si="1"/>
        <v>17</v>
      </c>
      <c r="C390" s="75" t="s">
        <v>553</v>
      </c>
      <c r="D390" s="134" t="s">
        <v>74</v>
      </c>
      <c r="E390" s="135">
        <f t="shared" si="2"/>
        <v>16</v>
      </c>
      <c r="F390" s="134" t="s">
        <v>3584</v>
      </c>
      <c r="G390" s="63" t="str">
        <f>VLOOKUP(C390, 'Class Def. - General Data'!$C$20:$C$1000,1,false)</f>
        <v>ZFG1_ADULTDIAPERS</v>
      </c>
      <c r="H390" s="63" t="str">
        <f>IFERROR(__xludf.DUMMYFUNCTION("VLOOKUP(F390, IMPORTRANGE(""https://docs.google.com/spreadsheets/d/1Lhp9OU0JdFf_VYSMzH5lBcEaU4o8teT1piV-SNzShjg/edit?gid=554141278#gid=554141278"", ""'Char Def. - Attributes'!C20:C2242""), 1,false)"),"UNIT_PER_BOX")</f>
        <v>UNIT_PER_BOX</v>
      </c>
      <c r="I390" s="136"/>
    </row>
    <row r="391" ht="15.75" customHeight="1">
      <c r="A391" s="59"/>
      <c r="B391" s="63">
        <f t="shared" si="1"/>
        <v>17</v>
      </c>
      <c r="C391" s="75" t="s">
        <v>553</v>
      </c>
      <c r="D391" s="134" t="s">
        <v>74</v>
      </c>
      <c r="E391" s="135">
        <f t="shared" si="2"/>
        <v>17</v>
      </c>
      <c r="F391" s="134" t="s">
        <v>3614</v>
      </c>
      <c r="G391" s="63" t="str">
        <f>VLOOKUP(C391, 'Class Def. - General Data'!$C$20:$C$1000,1,false)</f>
        <v>ZFG1_ADULTDIAPERS</v>
      </c>
      <c r="H391" s="63" t="str">
        <f>IFERROR(__xludf.DUMMYFUNCTION("VLOOKUP(F391, IMPORTRANGE(""https://docs.google.com/spreadsheets/d/1Lhp9OU0JdFf_VYSMzH5lBcEaU4o8teT1piV-SNzShjg/edit?gid=554141278#gid=554141278"", ""'Char Def. - Attributes'!C20:C2242""), 1,false)"),"UNIT_PER_CTN")</f>
        <v>UNIT_PER_CTN</v>
      </c>
      <c r="I391" s="136"/>
    </row>
    <row r="392" ht="15.75" customHeight="1">
      <c r="A392" s="59"/>
      <c r="B392" s="63">
        <f t="shared" si="1"/>
        <v>17</v>
      </c>
      <c r="C392" s="75" t="s">
        <v>553</v>
      </c>
      <c r="D392" s="134" t="s">
        <v>74</v>
      </c>
      <c r="E392" s="135">
        <f t="shared" si="2"/>
        <v>18</v>
      </c>
      <c r="F392" s="134" t="s">
        <v>3615</v>
      </c>
      <c r="G392" s="63" t="str">
        <f>VLOOKUP(C392, 'Class Def. - General Data'!$C$20:$C$1000,1,false)</f>
        <v>ZFG1_ADULTDIAPERS</v>
      </c>
      <c r="H392" s="63" t="str">
        <f>IFERROR(__xludf.DUMMYFUNCTION("VLOOKUP(F392, IMPORTRANGE(""https://docs.google.com/spreadsheets/d/1Lhp9OU0JdFf_VYSMzH5lBcEaU4o8teT1piV-SNzShjg/edit?gid=554141278#gid=554141278"", ""'Char Def. - Attributes'!C20:C2242""), 1,false)"),"UNIT_PER_BAG")</f>
        <v>UNIT_PER_BAG</v>
      </c>
      <c r="I392" s="136"/>
    </row>
    <row r="393" ht="15.75" customHeight="1">
      <c r="A393" s="59"/>
      <c r="B393" s="63">
        <f t="shared" si="1"/>
        <v>17</v>
      </c>
      <c r="C393" s="75" t="s">
        <v>553</v>
      </c>
      <c r="D393" s="134" t="s">
        <v>74</v>
      </c>
      <c r="E393" s="135">
        <f t="shared" si="2"/>
        <v>19</v>
      </c>
      <c r="F393" s="134" t="s">
        <v>3616</v>
      </c>
      <c r="G393" s="63" t="str">
        <f>VLOOKUP(C393, 'Class Def. - General Data'!$C$20:$C$1000,1,false)</f>
        <v>ZFG1_ADULTDIAPERS</v>
      </c>
      <c r="H393" s="63" t="str">
        <f>IFERROR(__xludf.DUMMYFUNCTION("VLOOKUP(F393, IMPORTRANGE(""https://docs.google.com/spreadsheets/d/1Lhp9OU0JdFf_VYSMzH5lBcEaU4o8teT1piV-SNzShjg/edit?gid=554141278#gid=554141278"", ""'Char Def. - Attributes'!C20:C2242""), 1,false)"),"UNIT_PER_PAL")</f>
        <v>UNIT_PER_PAL</v>
      </c>
      <c r="I393" s="136"/>
    </row>
    <row r="394" ht="15.75" customHeight="1">
      <c r="A394" s="59"/>
      <c r="B394" s="63">
        <f t="shared" si="1"/>
        <v>17</v>
      </c>
      <c r="C394" s="75" t="s">
        <v>553</v>
      </c>
      <c r="D394" s="134" t="s">
        <v>74</v>
      </c>
      <c r="E394" s="135">
        <f t="shared" si="2"/>
        <v>20</v>
      </c>
      <c r="F394" s="134" t="s">
        <v>3617</v>
      </c>
      <c r="G394" s="63" t="str">
        <f>VLOOKUP(C394, 'Class Def. - General Data'!$C$20:$C$1000,1,false)</f>
        <v>ZFG1_ADULTDIAPERS</v>
      </c>
      <c r="H394" s="63" t="str">
        <f>IFERROR(__xludf.DUMMYFUNCTION("VLOOKUP(F394, IMPORTRANGE(""https://docs.google.com/spreadsheets/d/1Lhp9OU0JdFf_VYSMzH5lBcEaU4o8teT1piV-SNzShjg/edit?gid=554141278#gid=554141278"", ""'Char Def. - Attributes'!C20:C2242""), 1,false)"),"UNIT_PER_TIER")</f>
        <v>UNIT_PER_TIER</v>
      </c>
      <c r="I394" s="136"/>
    </row>
    <row r="395" ht="15.75" customHeight="1">
      <c r="A395" s="59"/>
      <c r="B395" s="63">
        <f t="shared" si="1"/>
        <v>17</v>
      </c>
      <c r="C395" s="75" t="s">
        <v>553</v>
      </c>
      <c r="D395" s="134" t="s">
        <v>74</v>
      </c>
      <c r="E395" s="135">
        <f t="shared" si="2"/>
        <v>21</v>
      </c>
      <c r="F395" s="134" t="s">
        <v>3618</v>
      </c>
      <c r="G395" s="63" t="str">
        <f>VLOOKUP(C395, 'Class Def. - General Data'!$C$20:$C$1000,1,false)</f>
        <v>ZFG1_ADULTDIAPERS</v>
      </c>
      <c r="H395" s="63" t="str">
        <f>IFERROR(__xludf.DUMMYFUNCTION("VLOOKUP(F395, IMPORTRANGE(""https://docs.google.com/spreadsheets/d/1Lhp9OU0JdFf_VYSMzH5lBcEaU4o8teT1piV-SNzShjg/edit?gid=554141278#gid=554141278"", ""'Char Def. - Attributes'!C20:C2242""), 1,false)"),"HEIGHT")</f>
        <v>HEIGHT</v>
      </c>
      <c r="I395" s="136"/>
    </row>
    <row r="396" ht="15.75" customHeight="1">
      <c r="A396" s="59"/>
      <c r="B396" s="63">
        <f t="shared" si="1"/>
        <v>17</v>
      </c>
      <c r="C396" s="75" t="s">
        <v>553</v>
      </c>
      <c r="D396" s="134" t="s">
        <v>74</v>
      </c>
      <c r="E396" s="135">
        <f t="shared" si="2"/>
        <v>22</v>
      </c>
      <c r="F396" s="134" t="s">
        <v>3587</v>
      </c>
      <c r="G396" s="63" t="str">
        <f>VLOOKUP(C396, 'Class Def. - General Data'!$C$20:$C$1000,1,false)</f>
        <v>ZFG1_ADULTDIAPERS</v>
      </c>
      <c r="H396" s="63" t="str">
        <f>IFERROR(__xludf.DUMMYFUNCTION("VLOOKUP(F396, IMPORTRANGE(""https://docs.google.com/spreadsheets/d/1Lhp9OU0JdFf_VYSMzH5lBcEaU4o8teT1piV-SNzShjg/edit?gid=554141278#gid=554141278"", ""'Char Def. - Attributes'!C20:C2242""), 1,false)"),"PLANT_BUY")</f>
        <v>PLANT_BUY</v>
      </c>
      <c r="I396" s="136"/>
    </row>
    <row r="397" ht="15.75" customHeight="1">
      <c r="A397" s="59"/>
      <c r="B397" s="63">
        <f t="shared" si="1"/>
        <v>17</v>
      </c>
      <c r="C397" s="75" t="s">
        <v>553</v>
      </c>
      <c r="D397" s="134" t="s">
        <v>74</v>
      </c>
      <c r="E397" s="135">
        <f t="shared" si="2"/>
        <v>23</v>
      </c>
      <c r="F397" s="134" t="s">
        <v>3619</v>
      </c>
      <c r="G397" s="63" t="str">
        <f>VLOOKUP(C397, 'Class Def. - General Data'!$C$20:$C$1000,1,false)</f>
        <v>ZFG1_ADULTDIAPERS</v>
      </c>
      <c r="H397" s="63" t="str">
        <f>IFERROR(__xludf.DUMMYFUNCTION("VLOOKUP(F397, IMPORTRANGE(""https://docs.google.com/spreadsheets/d/1Lhp9OU0JdFf_VYSMzH5lBcEaU4o8teT1piV-SNzShjg/edit?gid=554141278#gid=554141278"", ""'Char Def. - Attributes'!C20:C2242""), 1,false)"),"LENGTH")</f>
        <v>LENGTH</v>
      </c>
      <c r="I397" s="136"/>
    </row>
    <row r="398" ht="15.75" customHeight="1">
      <c r="A398" s="59"/>
      <c r="B398" s="63">
        <f t="shared" si="1"/>
        <v>17</v>
      </c>
      <c r="C398" s="75" t="s">
        <v>553</v>
      </c>
      <c r="D398" s="134" t="s">
        <v>74</v>
      </c>
      <c r="E398" s="135">
        <f t="shared" si="2"/>
        <v>24</v>
      </c>
      <c r="F398" s="134" t="s">
        <v>3586</v>
      </c>
      <c r="G398" s="63" t="str">
        <f>VLOOKUP(C398, 'Class Def. - General Data'!$C$20:$C$1000,1,false)</f>
        <v>ZFG1_ADULTDIAPERS</v>
      </c>
      <c r="H398" s="63" t="str">
        <f>IFERROR(__xludf.DUMMYFUNCTION("VLOOKUP(F398, IMPORTRANGE(""https://docs.google.com/spreadsheets/d/1Lhp9OU0JdFf_VYSMzH5lBcEaU4o8teT1piV-SNzShjg/edit?gid=554141278#gid=554141278"", ""'Char Def. - Attributes'!C20:C2242""), 1,false)"),"PLANT_PROD")</f>
        <v>PLANT_PROD</v>
      </c>
      <c r="I398" s="136"/>
    </row>
    <row r="399" ht="15.75" customHeight="1">
      <c r="A399" s="59"/>
      <c r="B399" s="63">
        <f t="shared" si="1"/>
        <v>17</v>
      </c>
      <c r="C399" s="75" t="s">
        <v>553</v>
      </c>
      <c r="D399" s="134" t="s">
        <v>74</v>
      </c>
      <c r="E399" s="135">
        <f t="shared" si="2"/>
        <v>25</v>
      </c>
      <c r="F399" s="134" t="s">
        <v>3620</v>
      </c>
      <c r="G399" s="63" t="str">
        <f>VLOOKUP(C399, 'Class Def. - General Data'!$C$20:$C$1000,1,false)</f>
        <v>ZFG1_ADULTDIAPERS</v>
      </c>
      <c r="H399" s="63" t="str">
        <f>IFERROR(__xludf.DUMMYFUNCTION("VLOOKUP(F399, IMPORTRANGE(""https://docs.google.com/spreadsheets/d/1Lhp9OU0JdFf_VYSMzH5lBcEaU4o8teT1piV-SNzShjg/edit?gid=554141278#gid=554141278"", ""'Char Def. - Attributes'!C20:C2242""), 1,false)"),"WIDTH")</f>
        <v>WIDTH</v>
      </c>
      <c r="I399" s="136"/>
    </row>
    <row r="400" ht="15.75" customHeight="1">
      <c r="A400" s="59"/>
      <c r="B400" s="63">
        <f t="shared" si="1"/>
        <v>17</v>
      </c>
      <c r="C400" s="75" t="s">
        <v>553</v>
      </c>
      <c r="D400" s="134" t="s">
        <v>74</v>
      </c>
      <c r="E400" s="135">
        <f t="shared" si="2"/>
        <v>26</v>
      </c>
      <c r="F400" s="134" t="s">
        <v>3585</v>
      </c>
      <c r="G400" s="63" t="str">
        <f>VLOOKUP(C400, 'Class Def. - General Data'!$C$20:$C$1000,1,false)</f>
        <v>ZFG1_ADULTDIAPERS</v>
      </c>
      <c r="H400" s="63" t="str">
        <f>IFERROR(__xludf.DUMMYFUNCTION("VLOOKUP(F400, IMPORTRANGE(""https://docs.google.com/spreadsheets/d/1Lhp9OU0JdFf_VYSMzH5lBcEaU4o8teT1piV-SNzShjg/edit?gid=554141278#gid=554141278"", ""'Char Def. - Attributes'!C20:C2242""), 1,false)"),"HS_CODE")</f>
        <v>HS_CODE</v>
      </c>
      <c r="I400" s="136"/>
    </row>
    <row r="401" ht="15.75" customHeight="1">
      <c r="A401" s="59"/>
      <c r="B401" s="63">
        <f t="shared" si="1"/>
        <v>17</v>
      </c>
      <c r="C401" s="75" t="s">
        <v>553</v>
      </c>
      <c r="D401" s="134" t="s">
        <v>74</v>
      </c>
      <c r="E401" s="135">
        <f t="shared" si="2"/>
        <v>27</v>
      </c>
      <c r="F401" s="134" t="s">
        <v>3621</v>
      </c>
      <c r="G401" s="63" t="str">
        <f>VLOOKUP(C401, 'Class Def. - General Data'!$C$20:$C$1000,1,false)</f>
        <v>ZFG1_ADULTDIAPERS</v>
      </c>
      <c r="H401" s="63" t="str">
        <f>IFERROR(__xludf.DUMMYFUNCTION("VLOOKUP(F401, IMPORTRANGE(""https://docs.google.com/spreadsheets/d/1Lhp9OU0JdFf_VYSMzH5lBcEaU4o8teT1piV-SNzShjg/edit?gid=554141278#gid=554141278"", ""'Char Def. - Attributes'!C20:C2242""), 1,false)"),"EAN_PCS")</f>
        <v>EAN_PCS</v>
      </c>
      <c r="I401" s="136"/>
    </row>
    <row r="402" ht="15.75" customHeight="1">
      <c r="A402" s="59"/>
      <c r="B402" s="63">
        <f t="shared" si="1"/>
        <v>17</v>
      </c>
      <c r="C402" s="75" t="s">
        <v>553</v>
      </c>
      <c r="D402" s="134" t="s">
        <v>74</v>
      </c>
      <c r="E402" s="135">
        <f t="shared" si="2"/>
        <v>28</v>
      </c>
      <c r="F402" s="134" t="s">
        <v>3622</v>
      </c>
      <c r="G402" s="63" t="str">
        <f>VLOOKUP(C402, 'Class Def. - General Data'!$C$20:$C$1000,1,false)</f>
        <v>ZFG1_ADULTDIAPERS</v>
      </c>
      <c r="H402" s="63" t="str">
        <f>IFERROR(__xludf.DUMMYFUNCTION("VLOOKUP(F402, IMPORTRANGE(""https://docs.google.com/spreadsheets/d/1Lhp9OU0JdFf_VYSMzH5lBcEaU4o8teT1piV-SNzShjg/edit?gid=554141278#gid=554141278"", ""'Char Def. - Attributes'!C20:C2242""), 1,false)"),"SFG_BRAND")</f>
        <v>SFG_BRAND</v>
      </c>
      <c r="I402" s="136"/>
    </row>
    <row r="403" ht="15.75" customHeight="1">
      <c r="A403" s="59"/>
      <c r="B403" s="63">
        <f t="shared" si="1"/>
        <v>17</v>
      </c>
      <c r="C403" s="75" t="s">
        <v>553</v>
      </c>
      <c r="D403" s="134" t="s">
        <v>74</v>
      </c>
      <c r="E403" s="135">
        <f t="shared" si="2"/>
        <v>29</v>
      </c>
      <c r="F403" s="134" t="s">
        <v>3623</v>
      </c>
      <c r="G403" s="63" t="str">
        <f>VLOOKUP(C403, 'Class Def. - General Data'!$C$20:$C$1000,1,false)</f>
        <v>ZFG1_ADULTDIAPERS</v>
      </c>
      <c r="H403" s="63" t="str">
        <f>IFERROR(__xludf.DUMMYFUNCTION("VLOOKUP(F403, IMPORTRANGE(""https://docs.google.com/spreadsheets/d/1Lhp9OU0JdFf_VYSMzH5lBcEaU4o8teT1piV-SNzShjg/edit?gid=554141278#gid=554141278"", ""'Char Def. - Attributes'!C20:C2242""), 1,false)"),"LANGUAGE")</f>
        <v>LANGUAGE</v>
      </c>
      <c r="I403" s="136"/>
    </row>
    <row r="404" ht="15.75" customHeight="1">
      <c r="A404" s="59"/>
      <c r="B404" s="63">
        <f t="shared" si="1"/>
        <v>17</v>
      </c>
      <c r="C404" s="138" t="s">
        <v>553</v>
      </c>
      <c r="D404" s="139" t="s">
        <v>74</v>
      </c>
      <c r="E404" s="140">
        <f t="shared" si="2"/>
        <v>30</v>
      </c>
      <c r="F404" s="134" t="s">
        <v>3624</v>
      </c>
      <c r="G404" s="63" t="str">
        <f>VLOOKUP(C404, 'Class Def. - General Data'!$C$20:$C$1000,1,false)</f>
        <v>ZFG1_ADULTDIAPERS</v>
      </c>
      <c r="H404" s="63" t="str">
        <f>IFERROR(__xludf.DUMMYFUNCTION("VLOOKUP(F404, IMPORTRANGE(""https://docs.google.com/spreadsheets/d/1Lhp9OU0JdFf_VYSMzH5lBcEaU4o8teT1piV-SNzShjg/edit?gid=554141278#gid=554141278"", ""'Char Def. - Attributes'!C20:C2242""), 1,false)"),"#N/A")</f>
        <v>#N/A</v>
      </c>
      <c r="I404" s="136"/>
    </row>
    <row r="405" ht="15.75" customHeight="1">
      <c r="A405" s="59"/>
      <c r="B405" s="63">
        <f t="shared" si="1"/>
        <v>17</v>
      </c>
      <c r="C405" s="75" t="s">
        <v>553</v>
      </c>
      <c r="D405" s="134" t="s">
        <v>74</v>
      </c>
      <c r="E405" s="135">
        <f t="shared" si="2"/>
        <v>31</v>
      </c>
      <c r="F405" s="134" t="s">
        <v>3625</v>
      </c>
      <c r="G405" s="63" t="str">
        <f>VLOOKUP(C405, 'Class Def. - General Data'!$C$20:$C$1000,1,false)</f>
        <v>ZFG1_ADULTDIAPERS</v>
      </c>
      <c r="H405" s="63" t="str">
        <f>IFERROR(__xludf.DUMMYFUNCTION("VLOOKUP(F405, IMPORTRANGE(""https://docs.google.com/spreadsheets/d/1Lhp9OU0JdFf_VYSMzH5lBcEaU4o8teT1piV-SNzShjg/edit?gid=554141278#gid=554141278"", ""'Char Def. - Attributes'!C20:C2242""), 1,false)"),"REGION_EKSPOR")</f>
        <v>REGION_EKSPOR</v>
      </c>
      <c r="I405" s="136"/>
    </row>
    <row r="406" ht="15.75" customHeight="1">
      <c r="A406" s="59"/>
      <c r="B406" s="63">
        <f t="shared" si="1"/>
        <v>17</v>
      </c>
      <c r="C406" s="75" t="s">
        <v>553</v>
      </c>
      <c r="D406" s="134" t="s">
        <v>74</v>
      </c>
      <c r="E406" s="135">
        <f t="shared" si="2"/>
        <v>32</v>
      </c>
      <c r="F406" s="134" t="s">
        <v>3626</v>
      </c>
      <c r="G406" s="63" t="str">
        <f>VLOOKUP(C406, 'Class Def. - General Data'!$C$20:$C$1000,1,false)</f>
        <v>ZFG1_ADULTDIAPERS</v>
      </c>
      <c r="H406" s="63" t="str">
        <f>IFERROR(__xludf.DUMMYFUNCTION("VLOOKUP(F406, IMPORTRANGE(""https://docs.google.com/spreadsheets/d/1Lhp9OU0JdFf_VYSMzH5lBcEaU4o8teT1piV-SNzShjg/edit?gid=554141278#gid=554141278"", ""'Char Def. - Attributes'!C20:C2242""), 1,false)"),"STICKER_NOT")</f>
        <v>STICKER_NOT</v>
      </c>
      <c r="I406" s="136"/>
    </row>
    <row r="407" ht="15.75" customHeight="1">
      <c r="A407" s="59"/>
      <c r="B407" s="63">
        <f t="shared" si="1"/>
        <v>17</v>
      </c>
      <c r="C407" s="75" t="s">
        <v>553</v>
      </c>
      <c r="D407" s="134" t="s">
        <v>74</v>
      </c>
      <c r="E407" s="135">
        <f t="shared" si="2"/>
        <v>33</v>
      </c>
      <c r="F407" s="134" t="s">
        <v>3627</v>
      </c>
      <c r="G407" s="63" t="str">
        <f>VLOOKUP(C407, 'Class Def. - General Data'!$C$20:$C$1000,1,false)</f>
        <v>ZFG1_ADULTDIAPERS</v>
      </c>
      <c r="H407" s="63" t="str">
        <f>IFERROR(__xludf.DUMMYFUNCTION("VLOOKUP(F407, IMPORTRANGE(""https://docs.google.com/spreadsheets/d/1Lhp9OU0JdFf_VYSMzH5lBcEaU4o8teT1piV-SNzShjg/edit?gid=554141278#gid=554141278"", ""'Char Def. - Attributes'!C20:C2242""), 1,false)"),"SHIP_MARK")</f>
        <v>SHIP_MARK</v>
      </c>
      <c r="I407" s="136"/>
    </row>
    <row r="408" ht="15.75" customHeight="1">
      <c r="A408" s="59"/>
      <c r="B408" s="63">
        <f t="shared" si="1"/>
        <v>17</v>
      </c>
      <c r="C408" s="75" t="s">
        <v>553</v>
      </c>
      <c r="D408" s="134" t="s">
        <v>74</v>
      </c>
      <c r="E408" s="135">
        <f t="shared" si="2"/>
        <v>34</v>
      </c>
      <c r="F408" s="134" t="s">
        <v>3628</v>
      </c>
      <c r="G408" s="63" t="str">
        <f>VLOOKUP(C408, 'Class Def. - General Data'!$C$20:$C$1000,1,false)</f>
        <v>ZFG1_ADULTDIAPERS</v>
      </c>
      <c r="H408" s="63" t="str">
        <f>IFERROR(__xludf.DUMMYFUNCTION("VLOOKUP(F408, IMPORTRANGE(""https://docs.google.com/spreadsheets/d/1Lhp9OU0JdFf_VYSMzH5lBcEaU4o8teT1piV-SNzShjg/edit?gid=554141278#gid=554141278"", ""'Char Def. - Attributes'!C20:C2242""), 1,false)"),"MID_CORE")</f>
        <v>MID_CORE</v>
      </c>
      <c r="I408" s="136"/>
    </row>
    <row r="409" ht="15.75" customHeight="1">
      <c r="A409" s="59"/>
      <c r="B409" s="63">
        <f t="shared" si="1"/>
        <v>17</v>
      </c>
      <c r="C409" s="75" t="s">
        <v>553</v>
      </c>
      <c r="D409" s="134" t="s">
        <v>74</v>
      </c>
      <c r="E409" s="135">
        <f t="shared" si="2"/>
        <v>35</v>
      </c>
      <c r="F409" s="134" t="s">
        <v>3629</v>
      </c>
      <c r="G409" s="63" t="str">
        <f>VLOOKUP(C409, 'Class Def. - General Data'!$C$20:$C$1000,1,false)</f>
        <v>ZFG1_ADULTDIAPERS</v>
      </c>
      <c r="H409" s="63" t="str">
        <f>IFERROR(__xludf.DUMMYFUNCTION("VLOOKUP(F409, IMPORTRANGE(""https://docs.google.com/spreadsheets/d/1Lhp9OU0JdFf_VYSMzH5lBcEaU4o8teT1piV-SNzShjg/edit?gid=554141278#gid=554141278"", ""'Char Def. - Attributes'!C20:C2242""), 1,false)"),"EAN_CTN")</f>
        <v>EAN_CTN</v>
      </c>
      <c r="I409" s="136"/>
    </row>
    <row r="410" ht="15.75" customHeight="1">
      <c r="A410" s="59"/>
      <c r="B410" s="63">
        <f t="shared" si="1"/>
        <v>17</v>
      </c>
      <c r="C410" s="75" t="s">
        <v>553</v>
      </c>
      <c r="D410" s="134" t="s">
        <v>74</v>
      </c>
      <c r="E410" s="135">
        <f t="shared" si="2"/>
        <v>36</v>
      </c>
      <c r="F410" s="134" t="s">
        <v>3630</v>
      </c>
      <c r="G410" s="63" t="str">
        <f>VLOOKUP(C410, 'Class Def. - General Data'!$C$20:$C$1000,1,false)</f>
        <v>ZFG1_ADULTDIAPERS</v>
      </c>
      <c r="H410" s="63" t="str">
        <f>IFERROR(__xludf.DUMMYFUNCTION("VLOOKUP(F410, IMPORTRANGE(""https://docs.google.com/spreadsheets/d/1Lhp9OU0JdFf_VYSMzH5lBcEaU4o8teT1piV-SNzShjg/edit?gid=554141278#gid=554141278"", ""'Char Def. - Attributes'!C20:C2242""), 1,false)"),"EAN_BOX")</f>
        <v>EAN_BOX</v>
      </c>
      <c r="I410" s="136"/>
    </row>
    <row r="411" ht="15.75" customHeight="1">
      <c r="A411" s="59"/>
      <c r="B411" s="63">
        <f t="shared" si="1"/>
        <v>17</v>
      </c>
      <c r="C411" s="75" t="s">
        <v>553</v>
      </c>
      <c r="D411" s="141" t="s">
        <v>74</v>
      </c>
      <c r="E411" s="135">
        <v>22.0</v>
      </c>
      <c r="F411" s="135" t="s">
        <v>3603</v>
      </c>
      <c r="G411" s="63" t="str">
        <f>VLOOKUP(C411, 'Class Def. - General Data'!$C$20:$C$1000,1,false)</f>
        <v>ZFG1_ADULTDIAPERS</v>
      </c>
      <c r="I411" s="136"/>
    </row>
    <row r="412" ht="15.75" customHeight="1">
      <c r="A412" s="59"/>
      <c r="B412" s="63">
        <f t="shared" si="1"/>
        <v>17</v>
      </c>
      <c r="C412" s="134" t="s">
        <v>94</v>
      </c>
      <c r="D412" s="134" t="s">
        <v>74</v>
      </c>
      <c r="E412" s="135">
        <f t="shared" ref="E412:E447" si="3">COUNTIF($C$20:C412,C412)</f>
        <v>1</v>
      </c>
      <c r="F412" s="134" t="str">
        <f>"BRAND_"&amp;MID(C412,6,20)</f>
        <v>BRAND_AIRFRESHENER</v>
      </c>
      <c r="G412" s="63" t="str">
        <f>VLOOKUP(C412, 'Class Def. - General Data'!$C$20:$C$1000,1,false)</f>
        <v>ZFG1_AIRFRESHENER</v>
      </c>
      <c r="H412" s="63" t="str">
        <f>IFERROR(__xludf.DUMMYFUNCTION("VLOOKUP(F412, IMPORTRANGE(""https://docs.google.com/spreadsheets/d/1Lhp9OU0JdFf_VYSMzH5lBcEaU4o8teT1piV-SNzShjg/edit?gid=554141278#gid=554141278"", ""'Char Def. - Attributes'!C20:C2242""), 1,false)"),"BRAND_AIRFRESHENER")</f>
        <v>BRAND_AIRFRESHENER</v>
      </c>
      <c r="I412" s="136"/>
    </row>
    <row r="413" ht="15.75" customHeight="1">
      <c r="A413" s="59"/>
      <c r="B413" s="63">
        <f t="shared" si="1"/>
        <v>17</v>
      </c>
      <c r="C413" s="135" t="s">
        <v>94</v>
      </c>
      <c r="D413" s="134" t="s">
        <v>74</v>
      </c>
      <c r="E413" s="135">
        <f t="shared" si="3"/>
        <v>2</v>
      </c>
      <c r="F413" s="134" t="s">
        <v>3631</v>
      </c>
      <c r="G413" s="63" t="str">
        <f>VLOOKUP(C413, 'Class Def. - General Data'!$C$20:$C$1000,1,false)</f>
        <v>ZFG1_AIRFRESHENER</v>
      </c>
      <c r="H413" s="63" t="str">
        <f>IFERROR(__xludf.DUMMYFUNCTION("VLOOKUP(F413, IMPORTRANGE(""https://docs.google.com/spreadsheets/d/1Lhp9OU0JdFf_VYSMzH5lBcEaU4o8teT1piV-SNzShjg/edit?gid=554141278#gid=554141278"", ""'Char Def. - Attributes'!C20:C2242""), 1,false)"),"PSHAPE_AIRFRESHENER")</f>
        <v>PSHAPE_AIRFRESHENER</v>
      </c>
      <c r="I413" s="136"/>
    </row>
    <row r="414" ht="15.75" customHeight="1">
      <c r="A414" s="59"/>
      <c r="B414" s="63">
        <f t="shared" si="1"/>
        <v>17</v>
      </c>
      <c r="C414" s="134" t="s">
        <v>94</v>
      </c>
      <c r="D414" s="134" t="s">
        <v>74</v>
      </c>
      <c r="E414" s="135">
        <f t="shared" si="3"/>
        <v>3</v>
      </c>
      <c r="F414" s="134" t="s">
        <v>3605</v>
      </c>
      <c r="G414" s="63" t="str">
        <f>VLOOKUP(C414, 'Class Def. - General Data'!$C$20:$C$1000,1,false)</f>
        <v>ZFG1_AIRFRESHENER</v>
      </c>
      <c r="H414" s="63" t="str">
        <f>IFERROR(__xludf.DUMMYFUNCTION("VLOOKUP(F414, IMPORTRANGE(""https://docs.google.com/spreadsheets/d/1Lhp9OU0JdFf_VYSMzH5lBcEaU4o8teT1piV-SNzShjg/edit?gid=554141278#gid=554141278"", ""'Char Def. - Attributes'!C20:C2242""), 1,false)"),"PACK_NETTO")</f>
        <v>PACK_NETTO</v>
      </c>
      <c r="I414" s="136"/>
    </row>
    <row r="415" ht="15.75" customHeight="1">
      <c r="A415" s="59"/>
      <c r="B415" s="63">
        <f t="shared" si="1"/>
        <v>17</v>
      </c>
      <c r="C415" s="135" t="s">
        <v>94</v>
      </c>
      <c r="D415" s="134" t="s">
        <v>74</v>
      </c>
      <c r="E415" s="135">
        <f t="shared" si="3"/>
        <v>4</v>
      </c>
      <c r="F415" s="134" t="s">
        <v>3632</v>
      </c>
      <c r="G415" s="63" t="str">
        <f>VLOOKUP(C415, 'Class Def. - General Data'!$C$20:$C$1000,1,false)</f>
        <v>ZFG1_AIRFRESHENER</v>
      </c>
      <c r="H415" s="63" t="str">
        <f>IFERROR(__xludf.DUMMYFUNCTION("VLOOKUP(F415, IMPORTRANGE(""https://docs.google.com/spreadsheets/d/1Lhp9OU0JdFf_VYSMzH5lBcEaU4o8teT1piV-SNzShjg/edit?gid=554141278#gid=554141278"", ""'Char Def. - Attributes'!C20:C2242""), 1,false)"),"PUOM_AIRFRESHENER")</f>
        <v>PUOM_AIRFRESHENER</v>
      </c>
      <c r="I415" s="136"/>
    </row>
    <row r="416" ht="15.75" customHeight="1">
      <c r="A416" s="59"/>
      <c r="B416" s="63">
        <f t="shared" si="1"/>
        <v>17</v>
      </c>
      <c r="C416" s="134" t="s">
        <v>94</v>
      </c>
      <c r="D416" s="134" t="s">
        <v>74</v>
      </c>
      <c r="E416" s="135">
        <f t="shared" si="3"/>
        <v>5</v>
      </c>
      <c r="F416" s="134" t="s">
        <v>3607</v>
      </c>
      <c r="G416" s="63" t="str">
        <f>VLOOKUP(C416, 'Class Def. - General Data'!$C$20:$C$1000,1,false)</f>
        <v>ZFG1_AIRFRESHENER</v>
      </c>
      <c r="H416" s="63" t="str">
        <f>IFERROR(__xludf.DUMMYFUNCTION("VLOOKUP(F416, IMPORTRANGE(""https://docs.google.com/spreadsheets/d/1Lhp9OU0JdFf_VYSMzH5lBcEaU4o8teT1piV-SNzShjg/edit?gid=554141278#gid=554141278"", ""'Char Def. - Attributes'!C20:C2242""), 1,false)"),"VARIAN")</f>
        <v>VARIAN</v>
      </c>
      <c r="I416" s="136"/>
    </row>
    <row r="417" ht="15.75" customHeight="1">
      <c r="A417" s="59"/>
      <c r="B417" s="63">
        <f t="shared" si="1"/>
        <v>17</v>
      </c>
      <c r="C417" s="134" t="s">
        <v>94</v>
      </c>
      <c r="D417" s="134" t="s">
        <v>74</v>
      </c>
      <c r="E417" s="135">
        <f t="shared" si="3"/>
        <v>6</v>
      </c>
      <c r="F417" s="134" t="s">
        <v>3608</v>
      </c>
      <c r="G417" s="63" t="str">
        <f>VLOOKUP(C417, 'Class Def. - General Data'!$C$20:$C$1000,1,false)</f>
        <v>ZFG1_AIRFRESHENER</v>
      </c>
      <c r="H417" s="63" t="str">
        <f>IFERROR(__xludf.DUMMYFUNCTION("VLOOKUP(F417, IMPORTRANGE(""https://docs.google.com/spreadsheets/d/1Lhp9OU0JdFf_VYSMzH5lBcEaU4o8teT1piV-SNzShjg/edit?gid=554141278#gid=554141278"", ""'Char Def. - Attributes'!C20:C2242""), 1,false)"),"PROJECT_NAME")</f>
        <v>PROJECT_NAME</v>
      </c>
      <c r="I417" s="136"/>
    </row>
    <row r="418" ht="15.75" customHeight="1">
      <c r="A418" s="59"/>
      <c r="B418" s="63">
        <f t="shared" si="1"/>
        <v>17</v>
      </c>
      <c r="C418" s="134" t="s">
        <v>94</v>
      </c>
      <c r="D418" s="134" t="s">
        <v>74</v>
      </c>
      <c r="E418" s="135">
        <f t="shared" si="3"/>
        <v>7</v>
      </c>
      <c r="F418" s="134" t="s">
        <v>3609</v>
      </c>
      <c r="G418" s="63" t="str">
        <f>VLOOKUP(C418, 'Class Def. - General Data'!$C$20:$C$1000,1,false)</f>
        <v>ZFG1_AIRFRESHENER</v>
      </c>
      <c r="H418" s="63" t="str">
        <f>IFERROR(__xludf.DUMMYFUNCTION("VLOOKUP(F418, IMPORTRANGE(""https://docs.google.com/spreadsheets/d/1Lhp9OU0JdFf_VYSMzH5lBcEaU4o8teT1piV-SNzShjg/edit?gid=554141278#gid=554141278"", ""'Char Def. - Attributes'!C20:C2242""), 1,false)"),"ADDITIONAL_PROMO")</f>
        <v>ADDITIONAL_PROMO</v>
      </c>
      <c r="I418" s="136"/>
    </row>
    <row r="419" ht="15.75" customHeight="1">
      <c r="A419" s="59"/>
      <c r="B419" s="63">
        <f t="shared" si="1"/>
        <v>17</v>
      </c>
      <c r="C419" s="134" t="s">
        <v>94</v>
      </c>
      <c r="D419" s="134" t="s">
        <v>74</v>
      </c>
      <c r="E419" s="135">
        <f t="shared" si="3"/>
        <v>8</v>
      </c>
      <c r="F419" s="134" t="s">
        <v>3610</v>
      </c>
      <c r="G419" s="63" t="str">
        <f>VLOOKUP(C419, 'Class Def. - General Data'!$C$20:$C$1000,1,false)</f>
        <v>ZFG1_AIRFRESHENER</v>
      </c>
      <c r="H419" s="63" t="str">
        <f>IFERROR(__xludf.DUMMYFUNCTION("VLOOKUP(F419, IMPORTRANGE(""https://docs.google.com/spreadsheets/d/1Lhp9OU0JdFf_VYSMzH5lBcEaU4o8teT1piV-SNzShjg/edit?gid=554141278#gid=554141278"", ""'Char Def. - Attributes'!C20:C2242""), 1,false)"),"BANDED_PROMO")</f>
        <v>BANDED_PROMO</v>
      </c>
      <c r="I419" s="136"/>
    </row>
    <row r="420" ht="15.75" customHeight="1">
      <c r="A420" s="59"/>
      <c r="B420" s="63">
        <f t="shared" si="1"/>
        <v>17</v>
      </c>
      <c r="C420" s="134" t="s">
        <v>94</v>
      </c>
      <c r="D420" s="134" t="s">
        <v>74</v>
      </c>
      <c r="E420" s="135">
        <f t="shared" si="3"/>
        <v>9</v>
      </c>
      <c r="F420" s="134" t="s">
        <v>3611</v>
      </c>
      <c r="G420" s="63" t="str">
        <f>VLOOKUP(C420, 'Class Def. - General Data'!$C$20:$C$1000,1,false)</f>
        <v>ZFG1_AIRFRESHENER</v>
      </c>
      <c r="H420" s="63" t="str">
        <f>IFERROR(__xludf.DUMMYFUNCTION("VLOOKUP(F420, IMPORTRANGE(""https://docs.google.com/spreadsheets/d/1Lhp9OU0JdFf_VYSMzH5lBcEaU4o8teT1piV-SNzShjg/edit?gid=554141278#gid=554141278"", ""'Char Def. - Attributes'!C20:C2242""), 1,false)"),"LOKAL_EKSPOR")</f>
        <v>LOKAL_EKSPOR</v>
      </c>
      <c r="I420" s="136"/>
    </row>
    <row r="421" ht="15.75" customHeight="1">
      <c r="A421" s="59"/>
      <c r="B421" s="63">
        <f t="shared" si="1"/>
        <v>17</v>
      </c>
      <c r="C421" s="134" t="s">
        <v>94</v>
      </c>
      <c r="D421" s="134" t="s">
        <v>74</v>
      </c>
      <c r="E421" s="135">
        <f t="shared" si="3"/>
        <v>10</v>
      </c>
      <c r="F421" s="134" t="s">
        <v>3612</v>
      </c>
      <c r="G421" s="63" t="str">
        <f>VLOOKUP(C421, 'Class Def. - General Data'!$C$20:$C$1000,1,false)</f>
        <v>ZFG1_AIRFRESHENER</v>
      </c>
      <c r="H421" s="63" t="str">
        <f>IFERROR(__xludf.DUMMYFUNCTION("VLOOKUP(F421, IMPORTRANGE(""https://docs.google.com/spreadsheets/d/1Lhp9OU0JdFf_VYSMzH5lBcEaU4o8teT1piV-SNzShjg/edit?gid=554141278#gid=554141278"", ""'Char Def. - Attributes'!C20:C2242""), 1,false)"),"COUNTRY_EKSPOR")</f>
        <v>COUNTRY_EKSPOR</v>
      </c>
      <c r="I421" s="136"/>
    </row>
    <row r="422" ht="15.75" customHeight="1">
      <c r="A422" s="59"/>
      <c r="B422" s="63">
        <f t="shared" si="1"/>
        <v>17</v>
      </c>
      <c r="C422" s="134" t="s">
        <v>94</v>
      </c>
      <c r="D422" s="134" t="s">
        <v>74</v>
      </c>
      <c r="E422" s="135">
        <f t="shared" si="3"/>
        <v>11</v>
      </c>
      <c r="F422" s="134" t="s">
        <v>3613</v>
      </c>
      <c r="G422" s="63" t="str">
        <f>VLOOKUP(C422, 'Class Def. - General Data'!$C$20:$C$1000,1,false)</f>
        <v>ZFG1_AIRFRESHENER</v>
      </c>
      <c r="H422" s="63" t="str">
        <f>IFERROR(__xludf.DUMMYFUNCTION("VLOOKUP(F422, IMPORTRANGE(""https://docs.google.com/spreadsheets/d/1Lhp9OU0JdFf_VYSMzH5lBcEaU4o8teT1piV-SNzShjg/edit?gid=554141278#gid=554141278"", ""'Char Def. - Attributes'!C20:C2242""), 1,false)"),"WARNA_SFG")</f>
        <v>WARNA_SFG</v>
      </c>
      <c r="I422" s="136"/>
    </row>
    <row r="423" ht="15.75" customHeight="1">
      <c r="A423" s="59"/>
      <c r="B423" s="63">
        <f t="shared" si="1"/>
        <v>17</v>
      </c>
      <c r="C423" s="134" t="s">
        <v>94</v>
      </c>
      <c r="D423" s="134" t="s">
        <v>74</v>
      </c>
      <c r="E423" s="135">
        <f t="shared" si="3"/>
        <v>12</v>
      </c>
      <c r="F423" s="134" t="s">
        <v>3582</v>
      </c>
      <c r="G423" s="63" t="str">
        <f>VLOOKUP(C423, 'Class Def. - General Data'!$C$20:$C$1000,1,false)</f>
        <v>ZFG1_AIRFRESHENER</v>
      </c>
      <c r="H423" s="63" t="str">
        <f>IFERROR(__xludf.DUMMYFUNCTION("VLOOKUP(F423, IMPORTRANGE(""https://docs.google.com/spreadsheets/d/1Lhp9OU0JdFf_VYSMzH5lBcEaU4o8teT1piV-SNzShjg/edit?gid=554141278#gid=554141278"", ""'Char Def. - Attributes'!C20:C2242""), 1,false)"),"BASE_UNIT")</f>
        <v>BASE_UNIT</v>
      </c>
      <c r="I423" s="136"/>
    </row>
    <row r="424" ht="15.75" customHeight="1">
      <c r="A424" s="59"/>
      <c r="B424" s="63">
        <f t="shared" si="1"/>
        <v>17</v>
      </c>
      <c r="C424" s="134" t="s">
        <v>94</v>
      </c>
      <c r="D424" s="134" t="s">
        <v>74</v>
      </c>
      <c r="E424" s="135">
        <f t="shared" si="3"/>
        <v>13</v>
      </c>
      <c r="F424" s="134" t="s">
        <v>3583</v>
      </c>
      <c r="G424" s="63" t="str">
        <f>VLOOKUP(C424, 'Class Def. - General Data'!$C$20:$C$1000,1,false)</f>
        <v>ZFG1_AIRFRESHENER</v>
      </c>
      <c r="H424" s="63" t="str">
        <f>IFERROR(__xludf.DUMMYFUNCTION("VLOOKUP(F424, IMPORTRANGE(""https://docs.google.com/spreadsheets/d/1Lhp9OU0JdFf_VYSMzH5lBcEaU4o8teT1piV-SNzShjg/edit?gid=554141278#gid=554141278"", ""'Char Def. - Attributes'!C20:C2242""), 1,false)"),"SALES_UNIT")</f>
        <v>SALES_UNIT</v>
      </c>
      <c r="I424" s="136"/>
    </row>
    <row r="425" ht="15.75" customHeight="1">
      <c r="A425" s="59"/>
      <c r="B425" s="63">
        <f t="shared" si="1"/>
        <v>17</v>
      </c>
      <c r="C425" s="134" t="s">
        <v>94</v>
      </c>
      <c r="D425" s="134" t="s">
        <v>74</v>
      </c>
      <c r="E425" s="135">
        <f t="shared" si="3"/>
        <v>14</v>
      </c>
      <c r="F425" s="134" t="s">
        <v>3601</v>
      </c>
      <c r="G425" s="63" t="str">
        <f>VLOOKUP(C425, 'Class Def. - General Data'!$C$20:$C$1000,1,false)</f>
        <v>ZFG1_AIRFRESHENER</v>
      </c>
      <c r="H425" s="63" t="str">
        <f>IFERROR(__xludf.DUMMYFUNCTION("VLOOKUP(F425, IMPORTRANGE(""https://docs.google.com/spreadsheets/d/1Lhp9OU0JdFf_VYSMzH5lBcEaU4o8teT1piV-SNzShjg/edit?gid=554141278#gid=554141278"", ""'Char Def. - Attributes'!C20:C2242""), 1,false)"),"GROSS_WEIGHT")</f>
        <v>GROSS_WEIGHT</v>
      </c>
      <c r="I425" s="136"/>
    </row>
    <row r="426" ht="15.75" customHeight="1">
      <c r="A426" s="59"/>
      <c r="B426" s="63">
        <f t="shared" si="1"/>
        <v>17</v>
      </c>
      <c r="C426" s="134" t="s">
        <v>94</v>
      </c>
      <c r="D426" s="134" t="s">
        <v>74</v>
      </c>
      <c r="E426" s="135">
        <f t="shared" si="3"/>
        <v>15</v>
      </c>
      <c r="F426" s="134" t="s">
        <v>3602</v>
      </c>
      <c r="G426" s="63" t="str">
        <f>VLOOKUP(C426, 'Class Def. - General Data'!$C$20:$C$1000,1,false)</f>
        <v>ZFG1_AIRFRESHENER</v>
      </c>
      <c r="H426" s="63" t="str">
        <f>IFERROR(__xludf.DUMMYFUNCTION("VLOOKUP(F426, IMPORTRANGE(""https://docs.google.com/spreadsheets/d/1Lhp9OU0JdFf_VYSMzH5lBcEaU4o8teT1piV-SNzShjg/edit?gid=554141278#gid=554141278"", ""'Char Def. - Attributes'!C20:C2242""), 1,false)"),"NET_WEIGHT")</f>
        <v>NET_WEIGHT</v>
      </c>
      <c r="I426" s="136"/>
    </row>
    <row r="427" ht="15.75" customHeight="1">
      <c r="A427" s="59"/>
      <c r="B427" s="63">
        <f t="shared" si="1"/>
        <v>17</v>
      </c>
      <c r="C427" s="134" t="s">
        <v>94</v>
      </c>
      <c r="D427" s="134" t="s">
        <v>74</v>
      </c>
      <c r="E427" s="135">
        <f t="shared" si="3"/>
        <v>16</v>
      </c>
      <c r="F427" s="134" t="s">
        <v>3584</v>
      </c>
      <c r="G427" s="63" t="str">
        <f>VLOOKUP(C427, 'Class Def. - General Data'!$C$20:$C$1000,1,false)</f>
        <v>ZFG1_AIRFRESHENER</v>
      </c>
      <c r="H427" s="63" t="str">
        <f>IFERROR(__xludf.DUMMYFUNCTION("VLOOKUP(F427, IMPORTRANGE(""https://docs.google.com/spreadsheets/d/1Lhp9OU0JdFf_VYSMzH5lBcEaU4o8teT1piV-SNzShjg/edit?gid=554141278#gid=554141278"", ""'Char Def. - Attributes'!C20:C2242""), 1,false)"),"UNIT_PER_BOX")</f>
        <v>UNIT_PER_BOX</v>
      </c>
      <c r="I427" s="136"/>
    </row>
    <row r="428" ht="15.75" customHeight="1">
      <c r="A428" s="59"/>
      <c r="B428" s="63">
        <f t="shared" si="1"/>
        <v>17</v>
      </c>
      <c r="C428" s="134" t="s">
        <v>94</v>
      </c>
      <c r="D428" s="134" t="s">
        <v>74</v>
      </c>
      <c r="E428" s="135">
        <f t="shared" si="3"/>
        <v>17</v>
      </c>
      <c r="F428" s="134" t="s">
        <v>3614</v>
      </c>
      <c r="G428" s="63" t="str">
        <f>VLOOKUP(C428, 'Class Def. - General Data'!$C$20:$C$1000,1,false)</f>
        <v>ZFG1_AIRFRESHENER</v>
      </c>
      <c r="H428" s="63" t="str">
        <f>IFERROR(__xludf.DUMMYFUNCTION("VLOOKUP(F428, IMPORTRANGE(""https://docs.google.com/spreadsheets/d/1Lhp9OU0JdFf_VYSMzH5lBcEaU4o8teT1piV-SNzShjg/edit?gid=554141278#gid=554141278"", ""'Char Def. - Attributes'!C20:C2242""), 1,false)"),"UNIT_PER_CTN")</f>
        <v>UNIT_PER_CTN</v>
      </c>
      <c r="I428" s="136"/>
    </row>
    <row r="429" ht="15.75" customHeight="1">
      <c r="A429" s="59"/>
      <c r="B429" s="63">
        <f t="shared" si="1"/>
        <v>17</v>
      </c>
      <c r="C429" s="134" t="s">
        <v>94</v>
      </c>
      <c r="D429" s="134" t="s">
        <v>74</v>
      </c>
      <c r="E429" s="135">
        <f t="shared" si="3"/>
        <v>18</v>
      </c>
      <c r="F429" s="134" t="s">
        <v>3615</v>
      </c>
      <c r="G429" s="63" t="str">
        <f>VLOOKUP(C429, 'Class Def. - General Data'!$C$20:$C$1000,1,false)</f>
        <v>ZFG1_AIRFRESHENER</v>
      </c>
      <c r="H429" s="63" t="str">
        <f>IFERROR(__xludf.DUMMYFUNCTION("VLOOKUP(F429, IMPORTRANGE(""https://docs.google.com/spreadsheets/d/1Lhp9OU0JdFf_VYSMzH5lBcEaU4o8teT1piV-SNzShjg/edit?gid=554141278#gid=554141278"", ""'Char Def. - Attributes'!C20:C2242""), 1,false)"),"UNIT_PER_BAG")</f>
        <v>UNIT_PER_BAG</v>
      </c>
      <c r="I429" s="136"/>
    </row>
    <row r="430" ht="15.75" customHeight="1">
      <c r="A430" s="59"/>
      <c r="B430" s="63">
        <f t="shared" si="1"/>
        <v>17</v>
      </c>
      <c r="C430" s="134" t="s">
        <v>94</v>
      </c>
      <c r="D430" s="134" t="s">
        <v>74</v>
      </c>
      <c r="E430" s="135">
        <f t="shared" si="3"/>
        <v>19</v>
      </c>
      <c r="F430" s="134" t="s">
        <v>3616</v>
      </c>
      <c r="G430" s="63" t="str">
        <f>VLOOKUP(C430, 'Class Def. - General Data'!$C$20:$C$1000,1,false)</f>
        <v>ZFG1_AIRFRESHENER</v>
      </c>
      <c r="H430" s="63" t="str">
        <f>IFERROR(__xludf.DUMMYFUNCTION("VLOOKUP(F430, IMPORTRANGE(""https://docs.google.com/spreadsheets/d/1Lhp9OU0JdFf_VYSMzH5lBcEaU4o8teT1piV-SNzShjg/edit?gid=554141278#gid=554141278"", ""'Char Def. - Attributes'!C20:C2242""), 1,false)"),"UNIT_PER_PAL")</f>
        <v>UNIT_PER_PAL</v>
      </c>
      <c r="I430" s="136"/>
    </row>
    <row r="431" ht="15.75" customHeight="1">
      <c r="A431" s="59"/>
      <c r="B431" s="63">
        <f t="shared" si="1"/>
        <v>17</v>
      </c>
      <c r="C431" s="134" t="s">
        <v>94</v>
      </c>
      <c r="D431" s="134" t="s">
        <v>74</v>
      </c>
      <c r="E431" s="135">
        <f t="shared" si="3"/>
        <v>20</v>
      </c>
      <c r="F431" s="134" t="s">
        <v>3617</v>
      </c>
      <c r="G431" s="63" t="str">
        <f>VLOOKUP(C431, 'Class Def. - General Data'!$C$20:$C$1000,1,false)</f>
        <v>ZFG1_AIRFRESHENER</v>
      </c>
      <c r="H431" s="63" t="str">
        <f>IFERROR(__xludf.DUMMYFUNCTION("VLOOKUP(F431, IMPORTRANGE(""https://docs.google.com/spreadsheets/d/1Lhp9OU0JdFf_VYSMzH5lBcEaU4o8teT1piV-SNzShjg/edit?gid=554141278#gid=554141278"", ""'Char Def. - Attributes'!C20:C2242""), 1,false)"),"UNIT_PER_TIER")</f>
        <v>UNIT_PER_TIER</v>
      </c>
      <c r="I431" s="136"/>
    </row>
    <row r="432" ht="15.75" customHeight="1">
      <c r="A432" s="59"/>
      <c r="B432" s="63">
        <f t="shared" si="1"/>
        <v>17</v>
      </c>
      <c r="C432" s="134" t="s">
        <v>94</v>
      </c>
      <c r="D432" s="134" t="s">
        <v>74</v>
      </c>
      <c r="E432" s="135">
        <f t="shared" si="3"/>
        <v>21</v>
      </c>
      <c r="F432" s="134" t="s">
        <v>3618</v>
      </c>
      <c r="G432" s="63" t="str">
        <f>VLOOKUP(C432, 'Class Def. - General Data'!$C$20:$C$1000,1,false)</f>
        <v>ZFG1_AIRFRESHENER</v>
      </c>
      <c r="H432" s="63" t="str">
        <f>IFERROR(__xludf.DUMMYFUNCTION("VLOOKUP(F432, IMPORTRANGE(""https://docs.google.com/spreadsheets/d/1Lhp9OU0JdFf_VYSMzH5lBcEaU4o8teT1piV-SNzShjg/edit?gid=554141278#gid=554141278"", ""'Char Def. - Attributes'!C20:C2242""), 1,false)"),"HEIGHT")</f>
        <v>HEIGHT</v>
      </c>
      <c r="I432" s="136"/>
    </row>
    <row r="433" ht="15.75" customHeight="1">
      <c r="A433" s="59"/>
      <c r="B433" s="63">
        <f t="shared" si="1"/>
        <v>17</v>
      </c>
      <c r="C433" s="134" t="s">
        <v>94</v>
      </c>
      <c r="D433" s="134" t="s">
        <v>74</v>
      </c>
      <c r="E433" s="135">
        <f t="shared" si="3"/>
        <v>22</v>
      </c>
      <c r="F433" s="134" t="s">
        <v>3587</v>
      </c>
      <c r="G433" s="63" t="str">
        <f>VLOOKUP(C433, 'Class Def. - General Data'!$C$20:$C$1000,1,false)</f>
        <v>ZFG1_AIRFRESHENER</v>
      </c>
      <c r="H433" s="63" t="str">
        <f>IFERROR(__xludf.DUMMYFUNCTION("VLOOKUP(F433, IMPORTRANGE(""https://docs.google.com/spreadsheets/d/1Lhp9OU0JdFf_VYSMzH5lBcEaU4o8teT1piV-SNzShjg/edit?gid=554141278#gid=554141278"", ""'Char Def. - Attributes'!C20:C2242""), 1,false)"),"PLANT_BUY")</f>
        <v>PLANT_BUY</v>
      </c>
      <c r="I433" s="136"/>
    </row>
    <row r="434" ht="15.75" customHeight="1">
      <c r="A434" s="59"/>
      <c r="B434" s="63">
        <f t="shared" si="1"/>
        <v>17</v>
      </c>
      <c r="C434" s="134" t="s">
        <v>94</v>
      </c>
      <c r="D434" s="134" t="s">
        <v>74</v>
      </c>
      <c r="E434" s="135">
        <f t="shared" si="3"/>
        <v>23</v>
      </c>
      <c r="F434" s="134" t="s">
        <v>3619</v>
      </c>
      <c r="G434" s="63" t="str">
        <f>VLOOKUP(C434, 'Class Def. - General Data'!$C$20:$C$1000,1,false)</f>
        <v>ZFG1_AIRFRESHENER</v>
      </c>
      <c r="H434" s="63" t="str">
        <f>IFERROR(__xludf.DUMMYFUNCTION("VLOOKUP(F434, IMPORTRANGE(""https://docs.google.com/spreadsheets/d/1Lhp9OU0JdFf_VYSMzH5lBcEaU4o8teT1piV-SNzShjg/edit?gid=554141278#gid=554141278"", ""'Char Def. - Attributes'!C20:C2242""), 1,false)"),"LENGTH")</f>
        <v>LENGTH</v>
      </c>
      <c r="I434" s="136"/>
    </row>
    <row r="435" ht="15.75" customHeight="1">
      <c r="A435" s="59"/>
      <c r="B435" s="63">
        <f t="shared" si="1"/>
        <v>17</v>
      </c>
      <c r="C435" s="134" t="s">
        <v>94</v>
      </c>
      <c r="D435" s="134" t="s">
        <v>74</v>
      </c>
      <c r="E435" s="135">
        <f t="shared" si="3"/>
        <v>24</v>
      </c>
      <c r="F435" s="134" t="s">
        <v>3586</v>
      </c>
      <c r="G435" s="63" t="str">
        <f>VLOOKUP(C435, 'Class Def. - General Data'!$C$20:$C$1000,1,false)</f>
        <v>ZFG1_AIRFRESHENER</v>
      </c>
      <c r="H435" s="63" t="str">
        <f>IFERROR(__xludf.DUMMYFUNCTION("VLOOKUP(F435, IMPORTRANGE(""https://docs.google.com/spreadsheets/d/1Lhp9OU0JdFf_VYSMzH5lBcEaU4o8teT1piV-SNzShjg/edit?gid=554141278#gid=554141278"", ""'Char Def. - Attributes'!C20:C2242""), 1,false)"),"PLANT_PROD")</f>
        <v>PLANT_PROD</v>
      </c>
      <c r="I435" s="136"/>
    </row>
    <row r="436" ht="15.75" customHeight="1">
      <c r="A436" s="59"/>
      <c r="B436" s="63">
        <f t="shared" si="1"/>
        <v>17</v>
      </c>
      <c r="C436" s="134" t="s">
        <v>94</v>
      </c>
      <c r="D436" s="134" t="s">
        <v>74</v>
      </c>
      <c r="E436" s="135">
        <f t="shared" si="3"/>
        <v>25</v>
      </c>
      <c r="F436" s="134" t="s">
        <v>3620</v>
      </c>
      <c r="G436" s="63" t="str">
        <f>VLOOKUP(C436, 'Class Def. - General Data'!$C$20:$C$1000,1,false)</f>
        <v>ZFG1_AIRFRESHENER</v>
      </c>
      <c r="H436" s="63" t="str">
        <f>IFERROR(__xludf.DUMMYFUNCTION("VLOOKUP(F436, IMPORTRANGE(""https://docs.google.com/spreadsheets/d/1Lhp9OU0JdFf_VYSMzH5lBcEaU4o8teT1piV-SNzShjg/edit?gid=554141278#gid=554141278"", ""'Char Def. - Attributes'!C20:C2242""), 1,false)"),"WIDTH")</f>
        <v>WIDTH</v>
      </c>
      <c r="I436" s="136"/>
    </row>
    <row r="437" ht="15.75" customHeight="1">
      <c r="A437" s="59"/>
      <c r="B437" s="63">
        <f t="shared" si="1"/>
        <v>17</v>
      </c>
      <c r="C437" s="134" t="s">
        <v>94</v>
      </c>
      <c r="D437" s="134" t="s">
        <v>74</v>
      </c>
      <c r="E437" s="135">
        <f t="shared" si="3"/>
        <v>26</v>
      </c>
      <c r="F437" s="134" t="s">
        <v>3585</v>
      </c>
      <c r="G437" s="63" t="str">
        <f>VLOOKUP(C437, 'Class Def. - General Data'!$C$20:$C$1000,1,false)</f>
        <v>ZFG1_AIRFRESHENER</v>
      </c>
      <c r="H437" s="63" t="str">
        <f>IFERROR(__xludf.DUMMYFUNCTION("VLOOKUP(F437, IMPORTRANGE(""https://docs.google.com/spreadsheets/d/1Lhp9OU0JdFf_VYSMzH5lBcEaU4o8teT1piV-SNzShjg/edit?gid=554141278#gid=554141278"", ""'Char Def. - Attributes'!C20:C2242""), 1,false)"),"HS_CODE")</f>
        <v>HS_CODE</v>
      </c>
      <c r="I437" s="136"/>
    </row>
    <row r="438" ht="15.75" customHeight="1">
      <c r="A438" s="59"/>
      <c r="B438" s="63">
        <f t="shared" si="1"/>
        <v>17</v>
      </c>
      <c r="C438" s="134" t="s">
        <v>94</v>
      </c>
      <c r="D438" s="134" t="s">
        <v>74</v>
      </c>
      <c r="E438" s="135">
        <f t="shared" si="3"/>
        <v>27</v>
      </c>
      <c r="F438" s="134" t="s">
        <v>3621</v>
      </c>
      <c r="G438" s="63" t="str">
        <f>VLOOKUP(C438, 'Class Def. - General Data'!$C$20:$C$1000,1,false)</f>
        <v>ZFG1_AIRFRESHENER</v>
      </c>
      <c r="H438" s="63" t="str">
        <f>IFERROR(__xludf.DUMMYFUNCTION("VLOOKUP(F438, IMPORTRANGE(""https://docs.google.com/spreadsheets/d/1Lhp9OU0JdFf_VYSMzH5lBcEaU4o8teT1piV-SNzShjg/edit?gid=554141278#gid=554141278"", ""'Char Def. - Attributes'!C20:C2242""), 1,false)"),"EAN_PCS")</f>
        <v>EAN_PCS</v>
      </c>
      <c r="I438" s="136"/>
    </row>
    <row r="439" ht="15.75" customHeight="1">
      <c r="A439" s="59"/>
      <c r="B439" s="63">
        <f t="shared" si="1"/>
        <v>17</v>
      </c>
      <c r="C439" s="134" t="s">
        <v>94</v>
      </c>
      <c r="D439" s="134" t="s">
        <v>74</v>
      </c>
      <c r="E439" s="135">
        <f t="shared" si="3"/>
        <v>28</v>
      </c>
      <c r="F439" s="134" t="s">
        <v>3622</v>
      </c>
      <c r="G439" s="63" t="str">
        <f>VLOOKUP(C439, 'Class Def. - General Data'!$C$20:$C$1000,1,false)</f>
        <v>ZFG1_AIRFRESHENER</v>
      </c>
      <c r="H439" s="63" t="str">
        <f>IFERROR(__xludf.DUMMYFUNCTION("VLOOKUP(F439, IMPORTRANGE(""https://docs.google.com/spreadsheets/d/1Lhp9OU0JdFf_VYSMzH5lBcEaU4o8teT1piV-SNzShjg/edit?gid=554141278#gid=554141278"", ""'Char Def. - Attributes'!C20:C2242""), 1,false)"),"SFG_BRAND")</f>
        <v>SFG_BRAND</v>
      </c>
      <c r="I439" s="136"/>
    </row>
    <row r="440" ht="15.75" customHeight="1">
      <c r="A440" s="59"/>
      <c r="B440" s="63">
        <f t="shared" si="1"/>
        <v>17</v>
      </c>
      <c r="C440" s="134" t="s">
        <v>94</v>
      </c>
      <c r="D440" s="134" t="s">
        <v>74</v>
      </c>
      <c r="E440" s="135">
        <f t="shared" si="3"/>
        <v>29</v>
      </c>
      <c r="F440" s="134" t="s">
        <v>3623</v>
      </c>
      <c r="G440" s="63" t="str">
        <f>VLOOKUP(C440, 'Class Def. - General Data'!$C$20:$C$1000,1,false)</f>
        <v>ZFG1_AIRFRESHENER</v>
      </c>
      <c r="H440" s="63" t="str">
        <f>IFERROR(__xludf.DUMMYFUNCTION("VLOOKUP(F440, IMPORTRANGE(""https://docs.google.com/spreadsheets/d/1Lhp9OU0JdFf_VYSMzH5lBcEaU4o8teT1piV-SNzShjg/edit?gid=554141278#gid=554141278"", ""'Char Def. - Attributes'!C20:C2242""), 1,false)"),"LANGUAGE")</f>
        <v>LANGUAGE</v>
      </c>
      <c r="I440" s="136"/>
    </row>
    <row r="441" ht="15.75" customHeight="1">
      <c r="A441" s="59"/>
      <c r="B441" s="63">
        <f t="shared" si="1"/>
        <v>17</v>
      </c>
      <c r="C441" s="139" t="s">
        <v>94</v>
      </c>
      <c r="D441" s="139" t="s">
        <v>74</v>
      </c>
      <c r="E441" s="140">
        <f t="shared" si="3"/>
        <v>30</v>
      </c>
      <c r="F441" s="134" t="s">
        <v>3624</v>
      </c>
      <c r="G441" s="63" t="str">
        <f>VLOOKUP(C441, 'Class Def. - General Data'!$C$20:$C$1000,1,false)</f>
        <v>ZFG1_AIRFRESHENER</v>
      </c>
      <c r="H441" s="63" t="str">
        <f>IFERROR(__xludf.DUMMYFUNCTION("VLOOKUP(F441, IMPORTRANGE(""https://docs.google.com/spreadsheets/d/1Lhp9OU0JdFf_VYSMzH5lBcEaU4o8teT1piV-SNzShjg/edit?gid=554141278#gid=554141278"", ""'Char Def. - Attributes'!C20:C2242""), 1,false)"),"#N/A")</f>
        <v>#N/A</v>
      </c>
      <c r="I441" s="136"/>
    </row>
    <row r="442" ht="15.75" customHeight="1">
      <c r="A442" s="59"/>
      <c r="B442" s="63">
        <f t="shared" si="1"/>
        <v>17</v>
      </c>
      <c r="C442" s="134" t="s">
        <v>94</v>
      </c>
      <c r="D442" s="134" t="s">
        <v>74</v>
      </c>
      <c r="E442" s="135">
        <f t="shared" si="3"/>
        <v>31</v>
      </c>
      <c r="F442" s="134" t="s">
        <v>3625</v>
      </c>
      <c r="G442" s="63" t="str">
        <f>VLOOKUP(C442, 'Class Def. - General Data'!$C$20:$C$1000,1,false)</f>
        <v>ZFG1_AIRFRESHENER</v>
      </c>
      <c r="H442" s="63" t="str">
        <f>IFERROR(__xludf.DUMMYFUNCTION("VLOOKUP(F442, IMPORTRANGE(""https://docs.google.com/spreadsheets/d/1Lhp9OU0JdFf_VYSMzH5lBcEaU4o8teT1piV-SNzShjg/edit?gid=554141278#gid=554141278"", ""'Char Def. - Attributes'!C20:C2242""), 1,false)"),"REGION_EKSPOR")</f>
        <v>REGION_EKSPOR</v>
      </c>
      <c r="I442" s="136"/>
    </row>
    <row r="443" ht="15.75" customHeight="1">
      <c r="A443" s="59"/>
      <c r="B443" s="63">
        <f t="shared" si="1"/>
        <v>17</v>
      </c>
      <c r="C443" s="134" t="s">
        <v>94</v>
      </c>
      <c r="D443" s="134" t="s">
        <v>74</v>
      </c>
      <c r="E443" s="135">
        <f t="shared" si="3"/>
        <v>32</v>
      </c>
      <c r="F443" s="134" t="s">
        <v>3626</v>
      </c>
      <c r="G443" s="63" t="str">
        <f>VLOOKUP(C443, 'Class Def. - General Data'!$C$20:$C$1000,1,false)</f>
        <v>ZFG1_AIRFRESHENER</v>
      </c>
      <c r="H443" s="63" t="str">
        <f>IFERROR(__xludf.DUMMYFUNCTION("VLOOKUP(F443, IMPORTRANGE(""https://docs.google.com/spreadsheets/d/1Lhp9OU0JdFf_VYSMzH5lBcEaU4o8teT1piV-SNzShjg/edit?gid=554141278#gid=554141278"", ""'Char Def. - Attributes'!C20:C2242""), 1,false)"),"STICKER_NOT")</f>
        <v>STICKER_NOT</v>
      </c>
      <c r="I443" s="136"/>
    </row>
    <row r="444" ht="15.75" customHeight="1">
      <c r="A444" s="59"/>
      <c r="B444" s="63">
        <f t="shared" si="1"/>
        <v>17</v>
      </c>
      <c r="C444" s="134" t="s">
        <v>94</v>
      </c>
      <c r="D444" s="134" t="s">
        <v>74</v>
      </c>
      <c r="E444" s="135">
        <f t="shared" si="3"/>
        <v>33</v>
      </c>
      <c r="F444" s="134" t="s">
        <v>3627</v>
      </c>
      <c r="G444" s="63" t="str">
        <f>VLOOKUP(C444, 'Class Def. - General Data'!$C$20:$C$1000,1,false)</f>
        <v>ZFG1_AIRFRESHENER</v>
      </c>
      <c r="H444" s="63" t="str">
        <f>IFERROR(__xludf.DUMMYFUNCTION("VLOOKUP(F444, IMPORTRANGE(""https://docs.google.com/spreadsheets/d/1Lhp9OU0JdFf_VYSMzH5lBcEaU4o8teT1piV-SNzShjg/edit?gid=554141278#gid=554141278"", ""'Char Def. - Attributes'!C20:C2242""), 1,false)"),"SHIP_MARK")</f>
        <v>SHIP_MARK</v>
      </c>
      <c r="I444" s="136"/>
    </row>
    <row r="445" ht="15.75" customHeight="1">
      <c r="A445" s="59"/>
      <c r="B445" s="63">
        <f t="shared" si="1"/>
        <v>17</v>
      </c>
      <c r="C445" s="134" t="s">
        <v>94</v>
      </c>
      <c r="D445" s="134" t="s">
        <v>74</v>
      </c>
      <c r="E445" s="135">
        <f t="shared" si="3"/>
        <v>34</v>
      </c>
      <c r="F445" s="134" t="s">
        <v>3628</v>
      </c>
      <c r="G445" s="63" t="str">
        <f>VLOOKUP(C445, 'Class Def. - General Data'!$C$20:$C$1000,1,false)</f>
        <v>ZFG1_AIRFRESHENER</v>
      </c>
      <c r="H445" s="63" t="str">
        <f>IFERROR(__xludf.DUMMYFUNCTION("VLOOKUP(F445, IMPORTRANGE(""https://docs.google.com/spreadsheets/d/1Lhp9OU0JdFf_VYSMzH5lBcEaU4o8teT1piV-SNzShjg/edit?gid=554141278#gid=554141278"", ""'Char Def. - Attributes'!C20:C2242""), 1,false)"),"MID_CORE")</f>
        <v>MID_CORE</v>
      </c>
      <c r="I445" s="136"/>
    </row>
    <row r="446" ht="15.75" customHeight="1">
      <c r="A446" s="59"/>
      <c r="B446" s="63">
        <f t="shared" si="1"/>
        <v>17</v>
      </c>
      <c r="C446" s="134" t="s">
        <v>94</v>
      </c>
      <c r="D446" s="134" t="s">
        <v>74</v>
      </c>
      <c r="E446" s="135">
        <f t="shared" si="3"/>
        <v>35</v>
      </c>
      <c r="F446" s="134" t="s">
        <v>3629</v>
      </c>
      <c r="G446" s="63" t="str">
        <f>VLOOKUP(C446, 'Class Def. - General Data'!$C$20:$C$1000,1,false)</f>
        <v>ZFG1_AIRFRESHENER</v>
      </c>
      <c r="H446" s="63" t="str">
        <f>IFERROR(__xludf.DUMMYFUNCTION("VLOOKUP(F446, IMPORTRANGE(""https://docs.google.com/spreadsheets/d/1Lhp9OU0JdFf_VYSMzH5lBcEaU4o8teT1piV-SNzShjg/edit?gid=554141278#gid=554141278"", ""'Char Def. - Attributes'!C20:C2242""), 1,false)"),"EAN_CTN")</f>
        <v>EAN_CTN</v>
      </c>
      <c r="I446" s="136"/>
    </row>
    <row r="447" ht="15.75" customHeight="1">
      <c r="A447" s="59"/>
      <c r="B447" s="63">
        <f t="shared" si="1"/>
        <v>17</v>
      </c>
      <c r="C447" s="134" t="s">
        <v>94</v>
      </c>
      <c r="D447" s="134" t="s">
        <v>74</v>
      </c>
      <c r="E447" s="135">
        <f t="shared" si="3"/>
        <v>36</v>
      </c>
      <c r="F447" s="134" t="s">
        <v>3630</v>
      </c>
      <c r="G447" s="63" t="str">
        <f>VLOOKUP(C447, 'Class Def. - General Data'!$C$20:$C$1000,1,false)</f>
        <v>ZFG1_AIRFRESHENER</v>
      </c>
      <c r="H447" s="63" t="str">
        <f>IFERROR(__xludf.DUMMYFUNCTION("VLOOKUP(F447, IMPORTRANGE(""https://docs.google.com/spreadsheets/d/1Lhp9OU0JdFf_VYSMzH5lBcEaU4o8teT1piV-SNzShjg/edit?gid=554141278#gid=554141278"", ""'Char Def. - Attributes'!C20:C2242""), 1,false)"),"EAN_BOX")</f>
        <v>EAN_BOX</v>
      </c>
      <c r="I447" s="136"/>
    </row>
    <row r="448" ht="15.75" customHeight="1">
      <c r="A448" s="59"/>
      <c r="B448" s="63">
        <f t="shared" si="1"/>
        <v>17</v>
      </c>
      <c r="C448" s="134" t="s">
        <v>94</v>
      </c>
      <c r="D448" s="141" t="s">
        <v>74</v>
      </c>
      <c r="E448" s="135">
        <v>22.0</v>
      </c>
      <c r="F448" s="135" t="s">
        <v>3603</v>
      </c>
      <c r="G448" s="63" t="str">
        <f>VLOOKUP(C448, 'Class Def. - General Data'!$C$20:$C$1000,1,false)</f>
        <v>ZFG1_AIRFRESHENER</v>
      </c>
      <c r="I448" s="136"/>
    </row>
    <row r="449" ht="15.75" customHeight="1">
      <c r="A449" s="59"/>
      <c r="B449" s="63">
        <f t="shared" si="1"/>
        <v>16</v>
      </c>
      <c r="C449" s="134" t="s">
        <v>95</v>
      </c>
      <c r="D449" s="134" t="s">
        <v>74</v>
      </c>
      <c r="E449" s="135">
        <f t="shared" ref="E449:E484" si="4">COUNTIF($C$20:C449,C449)</f>
        <v>1</v>
      </c>
      <c r="F449" s="134" t="s">
        <v>3633</v>
      </c>
      <c r="G449" s="63" t="str">
        <f>VLOOKUP(C449, 'Class Def. - General Data'!$C$20:$C$1000,1,false)</f>
        <v>ZFG1_BABYDIAPERS</v>
      </c>
      <c r="H449" s="63" t="str">
        <f>IFERROR(__xludf.DUMMYFUNCTION("VLOOKUP(F449, IMPORTRANGE(""https://docs.google.com/spreadsheets/d/1Lhp9OU0JdFf_VYSMzH5lBcEaU4o8teT1piV-SNzShjg/edit?gid=554141278#gid=554141278"", ""'Char Def. - Attributes'!C20:C2242""), 1,false)"),"BRAND_BABYDIAPERS")</f>
        <v>BRAND_BABYDIAPERS</v>
      </c>
      <c r="I449" s="136"/>
    </row>
    <row r="450" ht="15.75" customHeight="1">
      <c r="A450" s="59"/>
      <c r="B450" s="63">
        <f t="shared" si="1"/>
        <v>16</v>
      </c>
      <c r="C450" s="135" t="s">
        <v>95</v>
      </c>
      <c r="D450" s="134" t="s">
        <v>74</v>
      </c>
      <c r="E450" s="135">
        <f t="shared" si="4"/>
        <v>2</v>
      </c>
      <c r="F450" s="134" t="s">
        <v>3634</v>
      </c>
      <c r="G450" s="63" t="str">
        <f>VLOOKUP(C450, 'Class Def. - General Data'!$C$20:$C$1000,1,false)</f>
        <v>ZFG1_BABYDIAPERS</v>
      </c>
      <c r="H450" s="63" t="str">
        <f>IFERROR(__xludf.DUMMYFUNCTION("VLOOKUP(F450, IMPORTRANGE(""https://docs.google.com/spreadsheets/d/1Lhp9OU0JdFf_VYSMzH5lBcEaU4o8teT1piV-SNzShjg/edit?gid=554141278#gid=554141278"", ""'Char Def. - Attributes'!C20:C2242""), 1,false)"),"PSHAPE_BABYDIAPERS")</f>
        <v>PSHAPE_BABYDIAPERS</v>
      </c>
      <c r="I450" s="136"/>
    </row>
    <row r="451" ht="15.75" customHeight="1">
      <c r="A451" s="59"/>
      <c r="B451" s="63">
        <f t="shared" si="1"/>
        <v>16</v>
      </c>
      <c r="C451" s="134" t="s">
        <v>95</v>
      </c>
      <c r="D451" s="134" t="s">
        <v>74</v>
      </c>
      <c r="E451" s="135">
        <f t="shared" si="4"/>
        <v>3</v>
      </c>
      <c r="F451" s="134" t="s">
        <v>3605</v>
      </c>
      <c r="G451" s="63" t="str">
        <f>VLOOKUP(C451, 'Class Def. - General Data'!$C$20:$C$1000,1,false)</f>
        <v>ZFG1_BABYDIAPERS</v>
      </c>
      <c r="H451" s="63" t="str">
        <f>IFERROR(__xludf.DUMMYFUNCTION("VLOOKUP(F451, IMPORTRANGE(""https://docs.google.com/spreadsheets/d/1Lhp9OU0JdFf_VYSMzH5lBcEaU4o8teT1piV-SNzShjg/edit?gid=554141278#gid=554141278"", ""'Char Def. - Attributes'!C20:C2242""), 1,false)"),"PACK_NETTO")</f>
        <v>PACK_NETTO</v>
      </c>
      <c r="I451" s="136"/>
    </row>
    <row r="452" ht="15.75" customHeight="1">
      <c r="A452" s="59"/>
      <c r="B452" s="63">
        <f t="shared" si="1"/>
        <v>16</v>
      </c>
      <c r="C452" s="135" t="s">
        <v>95</v>
      </c>
      <c r="D452" s="134" t="s">
        <v>74</v>
      </c>
      <c r="E452" s="135">
        <f t="shared" si="4"/>
        <v>4</v>
      </c>
      <c r="F452" s="134" t="s">
        <v>3635</v>
      </c>
      <c r="G452" s="63" t="str">
        <f>VLOOKUP(C452, 'Class Def. - General Data'!$C$20:$C$1000,1,false)</f>
        <v>ZFG1_BABYDIAPERS</v>
      </c>
      <c r="H452" s="63" t="str">
        <f>IFERROR(__xludf.DUMMYFUNCTION("VLOOKUP(F452, IMPORTRANGE(""https://docs.google.com/spreadsheets/d/1Lhp9OU0JdFf_VYSMzH5lBcEaU4o8teT1piV-SNzShjg/edit?gid=554141278#gid=554141278"", ""'Char Def. - Attributes'!C20:C2242""), 1,false)"),"PUOM_BABYDIAPERS")</f>
        <v>PUOM_BABYDIAPERS</v>
      </c>
      <c r="I452" s="136"/>
    </row>
    <row r="453" ht="15.75" customHeight="1">
      <c r="A453" s="59"/>
      <c r="B453" s="63">
        <f t="shared" si="1"/>
        <v>16</v>
      </c>
      <c r="C453" s="134" t="s">
        <v>95</v>
      </c>
      <c r="D453" s="134" t="s">
        <v>74</v>
      </c>
      <c r="E453" s="135">
        <f t="shared" si="4"/>
        <v>5</v>
      </c>
      <c r="F453" s="134" t="s">
        <v>3607</v>
      </c>
      <c r="G453" s="63" t="str">
        <f>VLOOKUP(C453, 'Class Def. - General Data'!$C$20:$C$1000,1,false)</f>
        <v>ZFG1_BABYDIAPERS</v>
      </c>
      <c r="H453" s="63" t="str">
        <f>IFERROR(__xludf.DUMMYFUNCTION("VLOOKUP(F453, IMPORTRANGE(""https://docs.google.com/spreadsheets/d/1Lhp9OU0JdFf_VYSMzH5lBcEaU4o8teT1piV-SNzShjg/edit?gid=554141278#gid=554141278"", ""'Char Def. - Attributes'!C20:C2242""), 1,false)"),"VARIAN")</f>
        <v>VARIAN</v>
      </c>
      <c r="I453" s="136"/>
    </row>
    <row r="454" ht="15.75" customHeight="1">
      <c r="A454" s="59"/>
      <c r="B454" s="63">
        <f t="shared" si="1"/>
        <v>16</v>
      </c>
      <c r="C454" s="134" t="s">
        <v>95</v>
      </c>
      <c r="D454" s="134" t="s">
        <v>74</v>
      </c>
      <c r="E454" s="135">
        <f t="shared" si="4"/>
        <v>6</v>
      </c>
      <c r="F454" s="134" t="s">
        <v>3608</v>
      </c>
      <c r="G454" s="63" t="str">
        <f>VLOOKUP(C454, 'Class Def. - General Data'!$C$20:$C$1000,1,false)</f>
        <v>ZFG1_BABYDIAPERS</v>
      </c>
      <c r="H454" s="63" t="str">
        <f>IFERROR(__xludf.DUMMYFUNCTION("VLOOKUP(F454, IMPORTRANGE(""https://docs.google.com/spreadsheets/d/1Lhp9OU0JdFf_VYSMzH5lBcEaU4o8teT1piV-SNzShjg/edit?gid=554141278#gid=554141278"", ""'Char Def. - Attributes'!C20:C2242""), 1,false)"),"PROJECT_NAME")</f>
        <v>PROJECT_NAME</v>
      </c>
      <c r="I454" s="136"/>
    </row>
    <row r="455" ht="15.75" customHeight="1">
      <c r="A455" s="59"/>
      <c r="B455" s="63">
        <f t="shared" si="1"/>
        <v>16</v>
      </c>
      <c r="C455" s="134" t="s">
        <v>95</v>
      </c>
      <c r="D455" s="134" t="s">
        <v>74</v>
      </c>
      <c r="E455" s="135">
        <f t="shared" si="4"/>
        <v>7</v>
      </c>
      <c r="F455" s="134" t="s">
        <v>3609</v>
      </c>
      <c r="G455" s="63" t="str">
        <f>VLOOKUP(C455, 'Class Def. - General Data'!$C$20:$C$1000,1,false)</f>
        <v>ZFG1_BABYDIAPERS</v>
      </c>
      <c r="H455" s="63" t="str">
        <f>IFERROR(__xludf.DUMMYFUNCTION("VLOOKUP(F455, IMPORTRANGE(""https://docs.google.com/spreadsheets/d/1Lhp9OU0JdFf_VYSMzH5lBcEaU4o8teT1piV-SNzShjg/edit?gid=554141278#gid=554141278"", ""'Char Def. - Attributes'!C20:C2242""), 1,false)"),"ADDITIONAL_PROMO")</f>
        <v>ADDITIONAL_PROMO</v>
      </c>
      <c r="I455" s="136"/>
    </row>
    <row r="456" ht="15.75" customHeight="1">
      <c r="A456" s="59"/>
      <c r="B456" s="63">
        <f t="shared" si="1"/>
        <v>16</v>
      </c>
      <c r="C456" s="134" t="s">
        <v>95</v>
      </c>
      <c r="D456" s="134" t="s">
        <v>74</v>
      </c>
      <c r="E456" s="135">
        <f t="shared" si="4"/>
        <v>8</v>
      </c>
      <c r="F456" s="134" t="s">
        <v>3610</v>
      </c>
      <c r="G456" s="63" t="str">
        <f>VLOOKUP(C456, 'Class Def. - General Data'!$C$20:$C$1000,1,false)</f>
        <v>ZFG1_BABYDIAPERS</v>
      </c>
      <c r="H456" s="63" t="str">
        <f>IFERROR(__xludf.DUMMYFUNCTION("VLOOKUP(F456, IMPORTRANGE(""https://docs.google.com/spreadsheets/d/1Lhp9OU0JdFf_VYSMzH5lBcEaU4o8teT1piV-SNzShjg/edit?gid=554141278#gid=554141278"", ""'Char Def. - Attributes'!C20:C2242""), 1,false)"),"BANDED_PROMO")</f>
        <v>BANDED_PROMO</v>
      </c>
      <c r="I456" s="136"/>
    </row>
    <row r="457" ht="15.75" customHeight="1">
      <c r="A457" s="59"/>
      <c r="B457" s="63">
        <f t="shared" si="1"/>
        <v>16</v>
      </c>
      <c r="C457" s="134" t="s">
        <v>95</v>
      </c>
      <c r="D457" s="134" t="s">
        <v>74</v>
      </c>
      <c r="E457" s="135">
        <f t="shared" si="4"/>
        <v>9</v>
      </c>
      <c r="F457" s="134" t="s">
        <v>3611</v>
      </c>
      <c r="G457" s="63" t="str">
        <f>VLOOKUP(C457, 'Class Def. - General Data'!$C$20:$C$1000,1,false)</f>
        <v>ZFG1_BABYDIAPERS</v>
      </c>
      <c r="H457" s="63" t="str">
        <f>IFERROR(__xludf.DUMMYFUNCTION("VLOOKUP(F457, IMPORTRANGE(""https://docs.google.com/spreadsheets/d/1Lhp9OU0JdFf_VYSMzH5lBcEaU4o8teT1piV-SNzShjg/edit?gid=554141278#gid=554141278"", ""'Char Def. - Attributes'!C20:C2242""), 1,false)"),"LOKAL_EKSPOR")</f>
        <v>LOKAL_EKSPOR</v>
      </c>
      <c r="I457" s="136"/>
    </row>
    <row r="458" ht="15.75" customHeight="1">
      <c r="A458" s="59"/>
      <c r="B458" s="63">
        <f t="shared" si="1"/>
        <v>16</v>
      </c>
      <c r="C458" s="134" t="s">
        <v>95</v>
      </c>
      <c r="D458" s="134" t="s">
        <v>74</v>
      </c>
      <c r="E458" s="135">
        <f t="shared" si="4"/>
        <v>10</v>
      </c>
      <c r="F458" s="134" t="s">
        <v>3612</v>
      </c>
      <c r="G458" s="63" t="str">
        <f>VLOOKUP(C458, 'Class Def. - General Data'!$C$20:$C$1000,1,false)</f>
        <v>ZFG1_BABYDIAPERS</v>
      </c>
      <c r="H458" s="63" t="str">
        <f>IFERROR(__xludf.DUMMYFUNCTION("VLOOKUP(F458, IMPORTRANGE(""https://docs.google.com/spreadsheets/d/1Lhp9OU0JdFf_VYSMzH5lBcEaU4o8teT1piV-SNzShjg/edit?gid=554141278#gid=554141278"", ""'Char Def. - Attributes'!C20:C2242""), 1,false)"),"COUNTRY_EKSPOR")</f>
        <v>COUNTRY_EKSPOR</v>
      </c>
      <c r="I458" s="136"/>
    </row>
    <row r="459" ht="15.75" customHeight="1">
      <c r="A459" s="59"/>
      <c r="B459" s="63">
        <f t="shared" si="1"/>
        <v>16</v>
      </c>
      <c r="C459" s="134" t="s">
        <v>95</v>
      </c>
      <c r="D459" s="134" t="s">
        <v>74</v>
      </c>
      <c r="E459" s="135">
        <f t="shared" si="4"/>
        <v>11</v>
      </c>
      <c r="F459" s="134" t="s">
        <v>3613</v>
      </c>
      <c r="G459" s="63" t="str">
        <f>VLOOKUP(C459, 'Class Def. - General Data'!$C$20:$C$1000,1,false)</f>
        <v>ZFG1_BABYDIAPERS</v>
      </c>
      <c r="H459" s="63" t="str">
        <f>IFERROR(__xludf.DUMMYFUNCTION("VLOOKUP(F459, IMPORTRANGE(""https://docs.google.com/spreadsheets/d/1Lhp9OU0JdFf_VYSMzH5lBcEaU4o8teT1piV-SNzShjg/edit?gid=554141278#gid=554141278"", ""'Char Def. - Attributes'!C20:C2242""), 1,false)"),"WARNA_SFG")</f>
        <v>WARNA_SFG</v>
      </c>
      <c r="I459" s="136"/>
    </row>
    <row r="460" ht="15.75" customHeight="1">
      <c r="A460" s="59"/>
      <c r="B460" s="63">
        <f t="shared" si="1"/>
        <v>16</v>
      </c>
      <c r="C460" s="134" t="s">
        <v>95</v>
      </c>
      <c r="D460" s="134" t="s">
        <v>74</v>
      </c>
      <c r="E460" s="135">
        <f t="shared" si="4"/>
        <v>12</v>
      </c>
      <c r="F460" s="134" t="s">
        <v>3582</v>
      </c>
      <c r="G460" s="63" t="str">
        <f>VLOOKUP(C460, 'Class Def. - General Data'!$C$20:$C$1000,1,false)</f>
        <v>ZFG1_BABYDIAPERS</v>
      </c>
      <c r="H460" s="63" t="str">
        <f>IFERROR(__xludf.DUMMYFUNCTION("VLOOKUP(F460, IMPORTRANGE(""https://docs.google.com/spreadsheets/d/1Lhp9OU0JdFf_VYSMzH5lBcEaU4o8teT1piV-SNzShjg/edit?gid=554141278#gid=554141278"", ""'Char Def. - Attributes'!C20:C2242""), 1,false)"),"BASE_UNIT")</f>
        <v>BASE_UNIT</v>
      </c>
      <c r="I460" s="136"/>
    </row>
    <row r="461" ht="15.75" customHeight="1">
      <c r="A461" s="59"/>
      <c r="B461" s="63">
        <f t="shared" si="1"/>
        <v>16</v>
      </c>
      <c r="C461" s="134" t="s">
        <v>95</v>
      </c>
      <c r="D461" s="134" t="s">
        <v>74</v>
      </c>
      <c r="E461" s="135">
        <f t="shared" si="4"/>
        <v>13</v>
      </c>
      <c r="F461" s="134" t="s">
        <v>3583</v>
      </c>
      <c r="G461" s="63" t="str">
        <f>VLOOKUP(C461, 'Class Def. - General Data'!$C$20:$C$1000,1,false)</f>
        <v>ZFG1_BABYDIAPERS</v>
      </c>
      <c r="H461" s="63" t="str">
        <f>IFERROR(__xludf.DUMMYFUNCTION("VLOOKUP(F461, IMPORTRANGE(""https://docs.google.com/spreadsheets/d/1Lhp9OU0JdFf_VYSMzH5lBcEaU4o8teT1piV-SNzShjg/edit?gid=554141278#gid=554141278"", ""'Char Def. - Attributes'!C20:C2242""), 1,false)"),"SALES_UNIT")</f>
        <v>SALES_UNIT</v>
      </c>
      <c r="I461" s="136"/>
    </row>
    <row r="462" ht="15.75" customHeight="1">
      <c r="A462" s="59"/>
      <c r="B462" s="63">
        <f t="shared" si="1"/>
        <v>16</v>
      </c>
      <c r="C462" s="134" t="s">
        <v>95</v>
      </c>
      <c r="D462" s="134" t="s">
        <v>74</v>
      </c>
      <c r="E462" s="135">
        <f t="shared" si="4"/>
        <v>14</v>
      </c>
      <c r="F462" s="134" t="s">
        <v>3601</v>
      </c>
      <c r="G462" s="63" t="str">
        <f>VLOOKUP(C462, 'Class Def. - General Data'!$C$20:$C$1000,1,false)</f>
        <v>ZFG1_BABYDIAPERS</v>
      </c>
      <c r="H462" s="63" t="str">
        <f>IFERROR(__xludf.DUMMYFUNCTION("VLOOKUP(F462, IMPORTRANGE(""https://docs.google.com/spreadsheets/d/1Lhp9OU0JdFf_VYSMzH5lBcEaU4o8teT1piV-SNzShjg/edit?gid=554141278#gid=554141278"", ""'Char Def. - Attributes'!C20:C2242""), 1,false)"),"GROSS_WEIGHT")</f>
        <v>GROSS_WEIGHT</v>
      </c>
      <c r="I462" s="136"/>
    </row>
    <row r="463" ht="15.75" customHeight="1">
      <c r="A463" s="59"/>
      <c r="B463" s="63">
        <f t="shared" si="1"/>
        <v>16</v>
      </c>
      <c r="C463" s="134" t="s">
        <v>95</v>
      </c>
      <c r="D463" s="134" t="s">
        <v>74</v>
      </c>
      <c r="E463" s="135">
        <f t="shared" si="4"/>
        <v>15</v>
      </c>
      <c r="F463" s="134" t="s">
        <v>3602</v>
      </c>
      <c r="G463" s="63" t="str">
        <f>VLOOKUP(C463, 'Class Def. - General Data'!$C$20:$C$1000,1,false)</f>
        <v>ZFG1_BABYDIAPERS</v>
      </c>
      <c r="H463" s="63" t="str">
        <f>IFERROR(__xludf.DUMMYFUNCTION("VLOOKUP(F463, IMPORTRANGE(""https://docs.google.com/spreadsheets/d/1Lhp9OU0JdFf_VYSMzH5lBcEaU4o8teT1piV-SNzShjg/edit?gid=554141278#gid=554141278"", ""'Char Def. - Attributes'!C20:C2242""), 1,false)"),"NET_WEIGHT")</f>
        <v>NET_WEIGHT</v>
      </c>
      <c r="I463" s="136"/>
    </row>
    <row r="464" ht="15.75" customHeight="1">
      <c r="A464" s="59"/>
      <c r="B464" s="63">
        <f t="shared" si="1"/>
        <v>16</v>
      </c>
      <c r="C464" s="134" t="s">
        <v>95</v>
      </c>
      <c r="D464" s="134" t="s">
        <v>74</v>
      </c>
      <c r="E464" s="135">
        <f t="shared" si="4"/>
        <v>16</v>
      </c>
      <c r="F464" s="134" t="s">
        <v>3584</v>
      </c>
      <c r="G464" s="63" t="str">
        <f>VLOOKUP(C464, 'Class Def. - General Data'!$C$20:$C$1000,1,false)</f>
        <v>ZFG1_BABYDIAPERS</v>
      </c>
      <c r="H464" s="63" t="str">
        <f>IFERROR(__xludf.DUMMYFUNCTION("VLOOKUP(F464, IMPORTRANGE(""https://docs.google.com/spreadsheets/d/1Lhp9OU0JdFf_VYSMzH5lBcEaU4o8teT1piV-SNzShjg/edit?gid=554141278#gid=554141278"", ""'Char Def. - Attributes'!C20:C2242""), 1,false)"),"UNIT_PER_BOX")</f>
        <v>UNIT_PER_BOX</v>
      </c>
      <c r="I464" s="136"/>
    </row>
    <row r="465" ht="15.75" customHeight="1">
      <c r="A465" s="59"/>
      <c r="B465" s="63">
        <f t="shared" si="1"/>
        <v>16</v>
      </c>
      <c r="C465" s="134" t="s">
        <v>95</v>
      </c>
      <c r="D465" s="134" t="s">
        <v>74</v>
      </c>
      <c r="E465" s="135">
        <f t="shared" si="4"/>
        <v>17</v>
      </c>
      <c r="F465" s="134" t="s">
        <v>3614</v>
      </c>
      <c r="G465" s="63" t="str">
        <f>VLOOKUP(C465, 'Class Def. - General Data'!$C$20:$C$1000,1,false)</f>
        <v>ZFG1_BABYDIAPERS</v>
      </c>
      <c r="H465" s="63" t="str">
        <f>IFERROR(__xludf.DUMMYFUNCTION("VLOOKUP(F465, IMPORTRANGE(""https://docs.google.com/spreadsheets/d/1Lhp9OU0JdFf_VYSMzH5lBcEaU4o8teT1piV-SNzShjg/edit?gid=554141278#gid=554141278"", ""'Char Def. - Attributes'!C20:C2242""), 1,false)"),"UNIT_PER_CTN")</f>
        <v>UNIT_PER_CTN</v>
      </c>
      <c r="I465" s="136"/>
    </row>
    <row r="466" ht="15.75" customHeight="1">
      <c r="A466" s="59"/>
      <c r="B466" s="63">
        <f t="shared" si="1"/>
        <v>16</v>
      </c>
      <c r="C466" s="134" t="s">
        <v>95</v>
      </c>
      <c r="D466" s="134" t="s">
        <v>74</v>
      </c>
      <c r="E466" s="135">
        <f t="shared" si="4"/>
        <v>18</v>
      </c>
      <c r="F466" s="134" t="s">
        <v>3615</v>
      </c>
      <c r="G466" s="63" t="str">
        <f>VLOOKUP(C466, 'Class Def. - General Data'!$C$20:$C$1000,1,false)</f>
        <v>ZFG1_BABYDIAPERS</v>
      </c>
      <c r="H466" s="63" t="str">
        <f>IFERROR(__xludf.DUMMYFUNCTION("VLOOKUP(F466, IMPORTRANGE(""https://docs.google.com/spreadsheets/d/1Lhp9OU0JdFf_VYSMzH5lBcEaU4o8teT1piV-SNzShjg/edit?gid=554141278#gid=554141278"", ""'Char Def. - Attributes'!C20:C2242""), 1,false)"),"UNIT_PER_BAG")</f>
        <v>UNIT_PER_BAG</v>
      </c>
      <c r="I466" s="136"/>
    </row>
    <row r="467" ht="15.75" customHeight="1">
      <c r="A467" s="59"/>
      <c r="B467" s="63">
        <f t="shared" si="1"/>
        <v>16</v>
      </c>
      <c r="C467" s="134" t="s">
        <v>95</v>
      </c>
      <c r="D467" s="134" t="s">
        <v>74</v>
      </c>
      <c r="E467" s="135">
        <f t="shared" si="4"/>
        <v>19</v>
      </c>
      <c r="F467" s="134" t="s">
        <v>3616</v>
      </c>
      <c r="G467" s="63" t="str">
        <f>VLOOKUP(C467, 'Class Def. - General Data'!$C$20:$C$1000,1,false)</f>
        <v>ZFG1_BABYDIAPERS</v>
      </c>
      <c r="H467" s="63" t="str">
        <f>IFERROR(__xludf.DUMMYFUNCTION("VLOOKUP(F467, IMPORTRANGE(""https://docs.google.com/spreadsheets/d/1Lhp9OU0JdFf_VYSMzH5lBcEaU4o8teT1piV-SNzShjg/edit?gid=554141278#gid=554141278"", ""'Char Def. - Attributes'!C20:C2242""), 1,false)"),"UNIT_PER_PAL")</f>
        <v>UNIT_PER_PAL</v>
      </c>
      <c r="I467" s="136"/>
    </row>
    <row r="468" ht="15.75" customHeight="1">
      <c r="A468" s="59"/>
      <c r="B468" s="63">
        <f t="shared" si="1"/>
        <v>16</v>
      </c>
      <c r="C468" s="134" t="s">
        <v>95</v>
      </c>
      <c r="D468" s="134" t="s">
        <v>74</v>
      </c>
      <c r="E468" s="135">
        <f t="shared" si="4"/>
        <v>20</v>
      </c>
      <c r="F468" s="134" t="s">
        <v>3617</v>
      </c>
      <c r="G468" s="63" t="str">
        <f>VLOOKUP(C468, 'Class Def. - General Data'!$C$20:$C$1000,1,false)</f>
        <v>ZFG1_BABYDIAPERS</v>
      </c>
      <c r="H468" s="63" t="str">
        <f>IFERROR(__xludf.DUMMYFUNCTION("VLOOKUP(F468, IMPORTRANGE(""https://docs.google.com/spreadsheets/d/1Lhp9OU0JdFf_VYSMzH5lBcEaU4o8teT1piV-SNzShjg/edit?gid=554141278#gid=554141278"", ""'Char Def. - Attributes'!C20:C2242""), 1,false)"),"UNIT_PER_TIER")</f>
        <v>UNIT_PER_TIER</v>
      </c>
      <c r="I468" s="136"/>
    </row>
    <row r="469" ht="15.75" customHeight="1">
      <c r="A469" s="59"/>
      <c r="B469" s="63">
        <f t="shared" si="1"/>
        <v>16</v>
      </c>
      <c r="C469" s="134" t="s">
        <v>95</v>
      </c>
      <c r="D469" s="134" t="s">
        <v>74</v>
      </c>
      <c r="E469" s="135">
        <f t="shared" si="4"/>
        <v>21</v>
      </c>
      <c r="F469" s="134" t="s">
        <v>3618</v>
      </c>
      <c r="G469" s="63" t="str">
        <f>VLOOKUP(C469, 'Class Def. - General Data'!$C$20:$C$1000,1,false)</f>
        <v>ZFG1_BABYDIAPERS</v>
      </c>
      <c r="H469" s="63" t="str">
        <f>IFERROR(__xludf.DUMMYFUNCTION("VLOOKUP(F469, IMPORTRANGE(""https://docs.google.com/spreadsheets/d/1Lhp9OU0JdFf_VYSMzH5lBcEaU4o8teT1piV-SNzShjg/edit?gid=554141278#gid=554141278"", ""'Char Def. - Attributes'!C20:C2242""), 1,false)"),"HEIGHT")</f>
        <v>HEIGHT</v>
      </c>
      <c r="I469" s="136"/>
    </row>
    <row r="470" ht="15.75" customHeight="1">
      <c r="A470" s="59"/>
      <c r="B470" s="63">
        <f t="shared" si="1"/>
        <v>16</v>
      </c>
      <c r="C470" s="134" t="s">
        <v>95</v>
      </c>
      <c r="D470" s="134" t="s">
        <v>74</v>
      </c>
      <c r="E470" s="135">
        <f t="shared" si="4"/>
        <v>22</v>
      </c>
      <c r="F470" s="134" t="s">
        <v>3587</v>
      </c>
      <c r="G470" s="63" t="str">
        <f>VLOOKUP(C470, 'Class Def. - General Data'!$C$20:$C$1000,1,false)</f>
        <v>ZFG1_BABYDIAPERS</v>
      </c>
      <c r="H470" s="63" t="str">
        <f>IFERROR(__xludf.DUMMYFUNCTION("VLOOKUP(F470, IMPORTRANGE(""https://docs.google.com/spreadsheets/d/1Lhp9OU0JdFf_VYSMzH5lBcEaU4o8teT1piV-SNzShjg/edit?gid=554141278#gid=554141278"", ""'Char Def. - Attributes'!C20:C2242""), 1,false)"),"PLANT_BUY")</f>
        <v>PLANT_BUY</v>
      </c>
      <c r="I470" s="136"/>
    </row>
    <row r="471" ht="15.75" customHeight="1">
      <c r="A471" s="59"/>
      <c r="B471" s="63">
        <f t="shared" si="1"/>
        <v>16</v>
      </c>
      <c r="C471" s="134" t="s">
        <v>95</v>
      </c>
      <c r="D471" s="134" t="s">
        <v>74</v>
      </c>
      <c r="E471" s="135">
        <f t="shared" si="4"/>
        <v>23</v>
      </c>
      <c r="F471" s="134" t="s">
        <v>3619</v>
      </c>
      <c r="G471" s="63" t="str">
        <f>VLOOKUP(C471, 'Class Def. - General Data'!$C$20:$C$1000,1,false)</f>
        <v>ZFG1_BABYDIAPERS</v>
      </c>
      <c r="H471" s="63" t="str">
        <f>IFERROR(__xludf.DUMMYFUNCTION("VLOOKUP(F471, IMPORTRANGE(""https://docs.google.com/spreadsheets/d/1Lhp9OU0JdFf_VYSMzH5lBcEaU4o8teT1piV-SNzShjg/edit?gid=554141278#gid=554141278"", ""'Char Def. - Attributes'!C20:C2242""), 1,false)"),"LENGTH")</f>
        <v>LENGTH</v>
      </c>
      <c r="I471" s="136"/>
    </row>
    <row r="472" ht="15.75" customHeight="1">
      <c r="A472" s="59"/>
      <c r="B472" s="63">
        <f t="shared" si="1"/>
        <v>16</v>
      </c>
      <c r="C472" s="134" t="s">
        <v>95</v>
      </c>
      <c r="D472" s="134" t="s">
        <v>74</v>
      </c>
      <c r="E472" s="135">
        <f t="shared" si="4"/>
        <v>24</v>
      </c>
      <c r="F472" s="134" t="s">
        <v>3586</v>
      </c>
      <c r="G472" s="63" t="str">
        <f>VLOOKUP(C472, 'Class Def. - General Data'!$C$20:$C$1000,1,false)</f>
        <v>ZFG1_BABYDIAPERS</v>
      </c>
      <c r="H472" s="63" t="str">
        <f>IFERROR(__xludf.DUMMYFUNCTION("VLOOKUP(F472, IMPORTRANGE(""https://docs.google.com/spreadsheets/d/1Lhp9OU0JdFf_VYSMzH5lBcEaU4o8teT1piV-SNzShjg/edit?gid=554141278#gid=554141278"", ""'Char Def. - Attributes'!C20:C2242""), 1,false)"),"PLANT_PROD")</f>
        <v>PLANT_PROD</v>
      </c>
      <c r="I472" s="136"/>
    </row>
    <row r="473" ht="15.75" customHeight="1">
      <c r="A473" s="59"/>
      <c r="B473" s="63">
        <f t="shared" si="1"/>
        <v>16</v>
      </c>
      <c r="C473" s="134" t="s">
        <v>95</v>
      </c>
      <c r="D473" s="134" t="s">
        <v>74</v>
      </c>
      <c r="E473" s="135">
        <f t="shared" si="4"/>
        <v>25</v>
      </c>
      <c r="F473" s="134" t="s">
        <v>3620</v>
      </c>
      <c r="G473" s="63" t="str">
        <f>VLOOKUP(C473, 'Class Def. - General Data'!$C$20:$C$1000,1,false)</f>
        <v>ZFG1_BABYDIAPERS</v>
      </c>
      <c r="H473" s="63" t="str">
        <f>IFERROR(__xludf.DUMMYFUNCTION("VLOOKUP(F473, IMPORTRANGE(""https://docs.google.com/spreadsheets/d/1Lhp9OU0JdFf_VYSMzH5lBcEaU4o8teT1piV-SNzShjg/edit?gid=554141278#gid=554141278"", ""'Char Def. - Attributes'!C20:C2242""), 1,false)"),"WIDTH")</f>
        <v>WIDTH</v>
      </c>
      <c r="I473" s="136"/>
    </row>
    <row r="474" ht="15.75" customHeight="1">
      <c r="A474" s="59"/>
      <c r="B474" s="63">
        <f t="shared" si="1"/>
        <v>16</v>
      </c>
      <c r="C474" s="134" t="s">
        <v>95</v>
      </c>
      <c r="D474" s="134" t="s">
        <v>74</v>
      </c>
      <c r="E474" s="135">
        <f t="shared" si="4"/>
        <v>26</v>
      </c>
      <c r="F474" s="134" t="s">
        <v>3585</v>
      </c>
      <c r="G474" s="63" t="str">
        <f>VLOOKUP(C474, 'Class Def. - General Data'!$C$20:$C$1000,1,false)</f>
        <v>ZFG1_BABYDIAPERS</v>
      </c>
      <c r="H474" s="63" t="str">
        <f>IFERROR(__xludf.DUMMYFUNCTION("VLOOKUP(F474, IMPORTRANGE(""https://docs.google.com/spreadsheets/d/1Lhp9OU0JdFf_VYSMzH5lBcEaU4o8teT1piV-SNzShjg/edit?gid=554141278#gid=554141278"", ""'Char Def. - Attributes'!C20:C2242""), 1,false)"),"HS_CODE")</f>
        <v>HS_CODE</v>
      </c>
      <c r="I474" s="136"/>
    </row>
    <row r="475" ht="15.75" customHeight="1">
      <c r="A475" s="59"/>
      <c r="B475" s="63">
        <f t="shared" si="1"/>
        <v>16</v>
      </c>
      <c r="C475" s="134" t="s">
        <v>95</v>
      </c>
      <c r="D475" s="134" t="s">
        <v>74</v>
      </c>
      <c r="E475" s="135">
        <f t="shared" si="4"/>
        <v>27</v>
      </c>
      <c r="F475" s="134" t="s">
        <v>3621</v>
      </c>
      <c r="G475" s="63" t="str">
        <f>VLOOKUP(C475, 'Class Def. - General Data'!$C$20:$C$1000,1,false)</f>
        <v>ZFG1_BABYDIAPERS</v>
      </c>
      <c r="H475" s="63" t="str">
        <f>IFERROR(__xludf.DUMMYFUNCTION("VLOOKUP(F475, IMPORTRANGE(""https://docs.google.com/spreadsheets/d/1Lhp9OU0JdFf_VYSMzH5lBcEaU4o8teT1piV-SNzShjg/edit?gid=554141278#gid=554141278"", ""'Char Def. - Attributes'!C20:C2242""), 1,false)"),"EAN_PCS")</f>
        <v>EAN_PCS</v>
      </c>
      <c r="I475" s="136"/>
    </row>
    <row r="476" ht="15.75" customHeight="1">
      <c r="A476" s="59"/>
      <c r="B476" s="63">
        <f t="shared" si="1"/>
        <v>16</v>
      </c>
      <c r="C476" s="134" t="s">
        <v>95</v>
      </c>
      <c r="D476" s="134" t="s">
        <v>74</v>
      </c>
      <c r="E476" s="135">
        <f t="shared" si="4"/>
        <v>28</v>
      </c>
      <c r="F476" s="134" t="s">
        <v>3622</v>
      </c>
      <c r="G476" s="63" t="str">
        <f>VLOOKUP(C476, 'Class Def. - General Data'!$C$20:$C$1000,1,false)</f>
        <v>ZFG1_BABYDIAPERS</v>
      </c>
      <c r="H476" s="63" t="str">
        <f>IFERROR(__xludf.DUMMYFUNCTION("VLOOKUP(F476, IMPORTRANGE(""https://docs.google.com/spreadsheets/d/1Lhp9OU0JdFf_VYSMzH5lBcEaU4o8teT1piV-SNzShjg/edit?gid=554141278#gid=554141278"", ""'Char Def. - Attributes'!C20:C2242""), 1,false)"),"SFG_BRAND")</f>
        <v>SFG_BRAND</v>
      </c>
      <c r="I476" s="136"/>
    </row>
    <row r="477" ht="15.75" customHeight="1">
      <c r="A477" s="59"/>
      <c r="B477" s="63">
        <f t="shared" si="1"/>
        <v>16</v>
      </c>
      <c r="C477" s="134" t="s">
        <v>95</v>
      </c>
      <c r="D477" s="134" t="s">
        <v>74</v>
      </c>
      <c r="E477" s="135">
        <f t="shared" si="4"/>
        <v>29</v>
      </c>
      <c r="F477" s="134" t="s">
        <v>3623</v>
      </c>
      <c r="G477" s="63" t="str">
        <f>VLOOKUP(C477, 'Class Def. - General Data'!$C$20:$C$1000,1,false)</f>
        <v>ZFG1_BABYDIAPERS</v>
      </c>
      <c r="H477" s="63" t="str">
        <f>IFERROR(__xludf.DUMMYFUNCTION("VLOOKUP(F477, IMPORTRANGE(""https://docs.google.com/spreadsheets/d/1Lhp9OU0JdFf_VYSMzH5lBcEaU4o8teT1piV-SNzShjg/edit?gid=554141278#gid=554141278"", ""'Char Def. - Attributes'!C20:C2242""), 1,false)"),"LANGUAGE")</f>
        <v>LANGUAGE</v>
      </c>
      <c r="I477" s="136"/>
    </row>
    <row r="478" ht="15.75" customHeight="1">
      <c r="A478" s="59"/>
      <c r="B478" s="63">
        <f t="shared" si="1"/>
        <v>16</v>
      </c>
      <c r="C478" s="139" t="s">
        <v>95</v>
      </c>
      <c r="D478" s="139" t="s">
        <v>74</v>
      </c>
      <c r="E478" s="140">
        <f t="shared" si="4"/>
        <v>30</v>
      </c>
      <c r="F478" s="134" t="s">
        <v>3624</v>
      </c>
      <c r="G478" s="63" t="str">
        <f>VLOOKUP(C478, 'Class Def. - General Data'!$C$20:$C$1000,1,false)</f>
        <v>ZFG1_BABYDIAPERS</v>
      </c>
      <c r="H478" s="63" t="str">
        <f>IFERROR(__xludf.DUMMYFUNCTION("VLOOKUP(F478, IMPORTRANGE(""https://docs.google.com/spreadsheets/d/1Lhp9OU0JdFf_VYSMzH5lBcEaU4o8teT1piV-SNzShjg/edit?gid=554141278#gid=554141278"", ""'Char Def. - Attributes'!C20:C2242""), 1,false)"),"#N/A")</f>
        <v>#N/A</v>
      </c>
      <c r="I478" s="136"/>
    </row>
    <row r="479" ht="15.75" customHeight="1">
      <c r="A479" s="59"/>
      <c r="B479" s="63">
        <f t="shared" si="1"/>
        <v>16</v>
      </c>
      <c r="C479" s="134" t="s">
        <v>95</v>
      </c>
      <c r="D479" s="134" t="s">
        <v>74</v>
      </c>
      <c r="E479" s="135">
        <f t="shared" si="4"/>
        <v>31</v>
      </c>
      <c r="F479" s="134" t="s">
        <v>3625</v>
      </c>
      <c r="G479" s="63" t="str">
        <f>VLOOKUP(C479, 'Class Def. - General Data'!$C$20:$C$1000,1,false)</f>
        <v>ZFG1_BABYDIAPERS</v>
      </c>
      <c r="H479" s="63" t="str">
        <f>IFERROR(__xludf.DUMMYFUNCTION("VLOOKUP(F479, IMPORTRANGE(""https://docs.google.com/spreadsheets/d/1Lhp9OU0JdFf_VYSMzH5lBcEaU4o8teT1piV-SNzShjg/edit?gid=554141278#gid=554141278"", ""'Char Def. - Attributes'!C20:C2242""), 1,false)"),"REGION_EKSPOR")</f>
        <v>REGION_EKSPOR</v>
      </c>
      <c r="I479" s="136"/>
    </row>
    <row r="480" ht="15.75" customHeight="1">
      <c r="A480" s="59"/>
      <c r="B480" s="63">
        <f t="shared" si="1"/>
        <v>16</v>
      </c>
      <c r="C480" s="134" t="s">
        <v>95</v>
      </c>
      <c r="D480" s="134" t="s">
        <v>74</v>
      </c>
      <c r="E480" s="135">
        <f t="shared" si="4"/>
        <v>32</v>
      </c>
      <c r="F480" s="134" t="s">
        <v>3626</v>
      </c>
      <c r="G480" s="63" t="str">
        <f>VLOOKUP(C480, 'Class Def. - General Data'!$C$20:$C$1000,1,false)</f>
        <v>ZFG1_BABYDIAPERS</v>
      </c>
      <c r="H480" s="63" t="str">
        <f>IFERROR(__xludf.DUMMYFUNCTION("VLOOKUP(F480, IMPORTRANGE(""https://docs.google.com/spreadsheets/d/1Lhp9OU0JdFf_VYSMzH5lBcEaU4o8teT1piV-SNzShjg/edit?gid=554141278#gid=554141278"", ""'Char Def. - Attributes'!C20:C2242""), 1,false)"),"STICKER_NOT")</f>
        <v>STICKER_NOT</v>
      </c>
      <c r="I480" s="136"/>
    </row>
    <row r="481" ht="15.75" customHeight="1">
      <c r="A481" s="59"/>
      <c r="B481" s="63">
        <f t="shared" si="1"/>
        <v>16</v>
      </c>
      <c r="C481" s="134" t="s">
        <v>95</v>
      </c>
      <c r="D481" s="134" t="s">
        <v>74</v>
      </c>
      <c r="E481" s="135">
        <f t="shared" si="4"/>
        <v>33</v>
      </c>
      <c r="F481" s="134" t="s">
        <v>3627</v>
      </c>
      <c r="G481" s="63" t="str">
        <f>VLOOKUP(C481, 'Class Def. - General Data'!$C$20:$C$1000,1,false)</f>
        <v>ZFG1_BABYDIAPERS</v>
      </c>
      <c r="H481" s="63" t="str">
        <f>IFERROR(__xludf.DUMMYFUNCTION("VLOOKUP(F481, IMPORTRANGE(""https://docs.google.com/spreadsheets/d/1Lhp9OU0JdFf_VYSMzH5lBcEaU4o8teT1piV-SNzShjg/edit?gid=554141278#gid=554141278"", ""'Char Def. - Attributes'!C20:C2242""), 1,false)"),"SHIP_MARK")</f>
        <v>SHIP_MARK</v>
      </c>
      <c r="I481" s="136"/>
    </row>
    <row r="482" ht="15.75" customHeight="1">
      <c r="A482" s="59"/>
      <c r="B482" s="63">
        <f t="shared" si="1"/>
        <v>16</v>
      </c>
      <c r="C482" s="134" t="s">
        <v>95</v>
      </c>
      <c r="D482" s="134" t="s">
        <v>74</v>
      </c>
      <c r="E482" s="135">
        <f t="shared" si="4"/>
        <v>34</v>
      </c>
      <c r="F482" s="134" t="s">
        <v>3628</v>
      </c>
      <c r="G482" s="63" t="str">
        <f>VLOOKUP(C482, 'Class Def. - General Data'!$C$20:$C$1000,1,false)</f>
        <v>ZFG1_BABYDIAPERS</v>
      </c>
      <c r="H482" s="63" t="str">
        <f>IFERROR(__xludf.DUMMYFUNCTION("VLOOKUP(F482, IMPORTRANGE(""https://docs.google.com/spreadsheets/d/1Lhp9OU0JdFf_VYSMzH5lBcEaU4o8teT1piV-SNzShjg/edit?gid=554141278#gid=554141278"", ""'Char Def. - Attributes'!C20:C2242""), 1,false)"),"MID_CORE")</f>
        <v>MID_CORE</v>
      </c>
      <c r="I482" s="136"/>
    </row>
    <row r="483" ht="15.75" customHeight="1">
      <c r="A483" s="59"/>
      <c r="B483" s="63">
        <f t="shared" si="1"/>
        <v>16</v>
      </c>
      <c r="C483" s="134" t="s">
        <v>95</v>
      </c>
      <c r="D483" s="134" t="s">
        <v>74</v>
      </c>
      <c r="E483" s="135">
        <f t="shared" si="4"/>
        <v>35</v>
      </c>
      <c r="F483" s="134" t="s">
        <v>3629</v>
      </c>
      <c r="G483" s="63" t="str">
        <f>VLOOKUP(C483, 'Class Def. - General Data'!$C$20:$C$1000,1,false)</f>
        <v>ZFG1_BABYDIAPERS</v>
      </c>
      <c r="H483" s="63" t="str">
        <f>IFERROR(__xludf.DUMMYFUNCTION("VLOOKUP(F483, IMPORTRANGE(""https://docs.google.com/spreadsheets/d/1Lhp9OU0JdFf_VYSMzH5lBcEaU4o8teT1piV-SNzShjg/edit?gid=554141278#gid=554141278"", ""'Char Def. - Attributes'!C20:C2242""), 1,false)"),"EAN_CTN")</f>
        <v>EAN_CTN</v>
      </c>
      <c r="I483" s="136"/>
    </row>
    <row r="484" ht="15.75" customHeight="1">
      <c r="A484" s="59"/>
      <c r="B484" s="63">
        <f t="shared" si="1"/>
        <v>16</v>
      </c>
      <c r="C484" s="134" t="s">
        <v>95</v>
      </c>
      <c r="D484" s="134" t="s">
        <v>74</v>
      </c>
      <c r="E484" s="135">
        <f t="shared" si="4"/>
        <v>36</v>
      </c>
      <c r="F484" s="134" t="s">
        <v>3630</v>
      </c>
      <c r="G484" s="63" t="str">
        <f>VLOOKUP(C484, 'Class Def. - General Data'!$C$20:$C$1000,1,false)</f>
        <v>ZFG1_BABYDIAPERS</v>
      </c>
      <c r="H484" s="63" t="str">
        <f>IFERROR(__xludf.DUMMYFUNCTION("VLOOKUP(F484, IMPORTRANGE(""https://docs.google.com/spreadsheets/d/1Lhp9OU0JdFf_VYSMzH5lBcEaU4o8teT1piV-SNzShjg/edit?gid=554141278#gid=554141278"", ""'Char Def. - Attributes'!C20:C2242""), 1,false)"),"EAN_BOX")</f>
        <v>EAN_BOX</v>
      </c>
      <c r="I484" s="136"/>
    </row>
    <row r="485" ht="15.75" customHeight="1">
      <c r="A485" s="59"/>
      <c r="B485" s="63">
        <f t="shared" si="1"/>
        <v>16</v>
      </c>
      <c r="C485" s="134" t="s">
        <v>95</v>
      </c>
      <c r="D485" s="141" t="s">
        <v>74</v>
      </c>
      <c r="E485" s="135">
        <v>22.0</v>
      </c>
      <c r="F485" s="135" t="s">
        <v>3603</v>
      </c>
      <c r="G485" s="63" t="str">
        <f>VLOOKUP(C485, 'Class Def. - General Data'!$C$20:$C$1000,1,false)</f>
        <v>ZFG1_BABYDIAPERS</v>
      </c>
      <c r="I485" s="136"/>
    </row>
    <row r="486" ht="15.75" customHeight="1">
      <c r="A486" s="59"/>
      <c r="B486" s="63">
        <f t="shared" si="1"/>
        <v>15</v>
      </c>
      <c r="C486" s="134" t="s">
        <v>96</v>
      </c>
      <c r="D486" s="134" t="s">
        <v>74</v>
      </c>
      <c r="E486" s="135">
        <f t="shared" ref="E486:E521" si="5">COUNTIF($C$20:C486,C486)</f>
        <v>1</v>
      </c>
      <c r="F486" s="134" t="s">
        <v>3636</v>
      </c>
      <c r="G486" s="63" t="str">
        <f>VLOOKUP(C486, 'Class Def. - General Data'!$C$20:$C$1000,1,false)</f>
        <v>ZFG1_BABYPOWDER</v>
      </c>
      <c r="H486" s="63" t="str">
        <f>IFERROR(__xludf.DUMMYFUNCTION("VLOOKUP(F486, IMPORTRANGE(""https://docs.google.com/spreadsheets/d/1Lhp9OU0JdFf_VYSMzH5lBcEaU4o8teT1piV-SNzShjg/edit?gid=554141278#gid=554141278"", ""'Char Def. - Attributes'!C20:C2242""), 1,false)"),"BRAND_BABYPOWDER")</f>
        <v>BRAND_BABYPOWDER</v>
      </c>
      <c r="I486" s="136"/>
    </row>
    <row r="487" ht="15.75" customHeight="1">
      <c r="A487" s="59"/>
      <c r="B487" s="63">
        <f t="shared" si="1"/>
        <v>15</v>
      </c>
      <c r="C487" s="135" t="s">
        <v>96</v>
      </c>
      <c r="D487" s="134" t="s">
        <v>74</v>
      </c>
      <c r="E487" s="135">
        <f t="shared" si="5"/>
        <v>2</v>
      </c>
      <c r="F487" s="134" t="s">
        <v>3637</v>
      </c>
      <c r="G487" s="63" t="str">
        <f>VLOOKUP(C487, 'Class Def. - General Data'!$C$20:$C$1000,1,false)</f>
        <v>ZFG1_BABYPOWDER</v>
      </c>
      <c r="H487" s="63" t="str">
        <f>IFERROR(__xludf.DUMMYFUNCTION("VLOOKUP(F487, IMPORTRANGE(""https://docs.google.com/spreadsheets/d/1Lhp9OU0JdFf_VYSMzH5lBcEaU4o8teT1piV-SNzShjg/edit?gid=554141278#gid=554141278"", ""'Char Def. - Attributes'!C20:C2242""), 1,false)"),"PSHAPE_BABYPOWDER")</f>
        <v>PSHAPE_BABYPOWDER</v>
      </c>
      <c r="I487" s="136"/>
    </row>
    <row r="488" ht="15.75" customHeight="1">
      <c r="A488" s="59"/>
      <c r="B488" s="63">
        <f t="shared" si="1"/>
        <v>15</v>
      </c>
      <c r="C488" s="134" t="s">
        <v>96</v>
      </c>
      <c r="D488" s="134" t="s">
        <v>74</v>
      </c>
      <c r="E488" s="135">
        <f t="shared" si="5"/>
        <v>3</v>
      </c>
      <c r="F488" s="134" t="s">
        <v>3605</v>
      </c>
      <c r="G488" s="63" t="str">
        <f>VLOOKUP(C488, 'Class Def. - General Data'!$C$20:$C$1000,1,false)</f>
        <v>ZFG1_BABYPOWDER</v>
      </c>
      <c r="H488" s="63" t="str">
        <f>IFERROR(__xludf.DUMMYFUNCTION("VLOOKUP(F488, IMPORTRANGE(""https://docs.google.com/spreadsheets/d/1Lhp9OU0JdFf_VYSMzH5lBcEaU4o8teT1piV-SNzShjg/edit?gid=554141278#gid=554141278"", ""'Char Def. - Attributes'!C20:C2242""), 1,false)"),"PACK_NETTO")</f>
        <v>PACK_NETTO</v>
      </c>
      <c r="I488" s="136"/>
    </row>
    <row r="489" ht="15.75" customHeight="1">
      <c r="A489" s="59"/>
      <c r="B489" s="63">
        <f t="shared" si="1"/>
        <v>15</v>
      </c>
      <c r="C489" s="135" t="s">
        <v>96</v>
      </c>
      <c r="D489" s="134" t="s">
        <v>74</v>
      </c>
      <c r="E489" s="135">
        <f t="shared" si="5"/>
        <v>4</v>
      </c>
      <c r="F489" s="134" t="s">
        <v>3638</v>
      </c>
      <c r="G489" s="63" t="str">
        <f>VLOOKUP(C489, 'Class Def. - General Data'!$C$20:$C$1000,1,false)</f>
        <v>ZFG1_BABYPOWDER</v>
      </c>
      <c r="H489" s="63" t="str">
        <f>IFERROR(__xludf.DUMMYFUNCTION("VLOOKUP(F489, IMPORTRANGE(""https://docs.google.com/spreadsheets/d/1Lhp9OU0JdFf_VYSMzH5lBcEaU4o8teT1piV-SNzShjg/edit?gid=554141278#gid=554141278"", ""'Char Def. - Attributes'!C20:C2242""), 1,false)"),"PUOM_BABYPOWDER")</f>
        <v>PUOM_BABYPOWDER</v>
      </c>
      <c r="I489" s="136"/>
    </row>
    <row r="490" ht="15.75" customHeight="1">
      <c r="A490" s="59"/>
      <c r="B490" s="63">
        <f t="shared" si="1"/>
        <v>15</v>
      </c>
      <c r="C490" s="134" t="s">
        <v>96</v>
      </c>
      <c r="D490" s="134" t="s">
        <v>74</v>
      </c>
      <c r="E490" s="135">
        <f t="shared" si="5"/>
        <v>5</v>
      </c>
      <c r="F490" s="134" t="s">
        <v>3607</v>
      </c>
      <c r="G490" s="63" t="str">
        <f>VLOOKUP(C490, 'Class Def. - General Data'!$C$20:$C$1000,1,false)</f>
        <v>ZFG1_BABYPOWDER</v>
      </c>
      <c r="H490" s="63" t="str">
        <f>IFERROR(__xludf.DUMMYFUNCTION("VLOOKUP(F490, IMPORTRANGE(""https://docs.google.com/spreadsheets/d/1Lhp9OU0JdFf_VYSMzH5lBcEaU4o8teT1piV-SNzShjg/edit?gid=554141278#gid=554141278"", ""'Char Def. - Attributes'!C20:C2242""), 1,false)"),"VARIAN")</f>
        <v>VARIAN</v>
      </c>
      <c r="I490" s="136"/>
    </row>
    <row r="491" ht="15.75" customHeight="1">
      <c r="A491" s="59"/>
      <c r="B491" s="63">
        <f t="shared" si="1"/>
        <v>15</v>
      </c>
      <c r="C491" s="134" t="s">
        <v>96</v>
      </c>
      <c r="D491" s="134" t="s">
        <v>74</v>
      </c>
      <c r="E491" s="135">
        <f t="shared" si="5"/>
        <v>6</v>
      </c>
      <c r="F491" s="134" t="s">
        <v>3608</v>
      </c>
      <c r="G491" s="63" t="str">
        <f>VLOOKUP(C491, 'Class Def. - General Data'!$C$20:$C$1000,1,false)</f>
        <v>ZFG1_BABYPOWDER</v>
      </c>
      <c r="H491" s="63" t="str">
        <f>IFERROR(__xludf.DUMMYFUNCTION("VLOOKUP(F491, IMPORTRANGE(""https://docs.google.com/spreadsheets/d/1Lhp9OU0JdFf_VYSMzH5lBcEaU4o8teT1piV-SNzShjg/edit?gid=554141278#gid=554141278"", ""'Char Def. - Attributes'!C20:C2242""), 1,false)"),"PROJECT_NAME")</f>
        <v>PROJECT_NAME</v>
      </c>
      <c r="I491" s="136"/>
    </row>
    <row r="492" ht="15.75" customHeight="1">
      <c r="A492" s="59"/>
      <c r="B492" s="63">
        <f t="shared" si="1"/>
        <v>15</v>
      </c>
      <c r="C492" s="134" t="s">
        <v>96</v>
      </c>
      <c r="D492" s="134" t="s">
        <v>74</v>
      </c>
      <c r="E492" s="135">
        <f t="shared" si="5"/>
        <v>7</v>
      </c>
      <c r="F492" s="134" t="s">
        <v>3609</v>
      </c>
      <c r="G492" s="63" t="str">
        <f>VLOOKUP(C492, 'Class Def. - General Data'!$C$20:$C$1000,1,false)</f>
        <v>ZFG1_BABYPOWDER</v>
      </c>
      <c r="H492" s="63" t="str">
        <f>IFERROR(__xludf.DUMMYFUNCTION("VLOOKUP(F492, IMPORTRANGE(""https://docs.google.com/spreadsheets/d/1Lhp9OU0JdFf_VYSMzH5lBcEaU4o8teT1piV-SNzShjg/edit?gid=554141278#gid=554141278"", ""'Char Def. - Attributes'!C20:C2242""), 1,false)"),"ADDITIONAL_PROMO")</f>
        <v>ADDITIONAL_PROMO</v>
      </c>
      <c r="I492" s="136"/>
    </row>
    <row r="493" ht="15.75" customHeight="1">
      <c r="A493" s="59"/>
      <c r="B493" s="63">
        <f t="shared" si="1"/>
        <v>15</v>
      </c>
      <c r="C493" s="134" t="s">
        <v>96</v>
      </c>
      <c r="D493" s="134" t="s">
        <v>74</v>
      </c>
      <c r="E493" s="135">
        <f t="shared" si="5"/>
        <v>8</v>
      </c>
      <c r="F493" s="134" t="s">
        <v>3610</v>
      </c>
      <c r="G493" s="63" t="str">
        <f>VLOOKUP(C493, 'Class Def. - General Data'!$C$20:$C$1000,1,false)</f>
        <v>ZFG1_BABYPOWDER</v>
      </c>
      <c r="H493" s="63" t="str">
        <f>IFERROR(__xludf.DUMMYFUNCTION("VLOOKUP(F493, IMPORTRANGE(""https://docs.google.com/spreadsheets/d/1Lhp9OU0JdFf_VYSMzH5lBcEaU4o8teT1piV-SNzShjg/edit?gid=554141278#gid=554141278"", ""'Char Def. - Attributes'!C20:C2242""), 1,false)"),"BANDED_PROMO")</f>
        <v>BANDED_PROMO</v>
      </c>
      <c r="I493" s="136"/>
    </row>
    <row r="494" ht="15.75" customHeight="1">
      <c r="A494" s="59"/>
      <c r="B494" s="63">
        <f t="shared" si="1"/>
        <v>15</v>
      </c>
      <c r="C494" s="134" t="s">
        <v>96</v>
      </c>
      <c r="D494" s="134" t="s">
        <v>74</v>
      </c>
      <c r="E494" s="135">
        <f t="shared" si="5"/>
        <v>9</v>
      </c>
      <c r="F494" s="134" t="s">
        <v>3611</v>
      </c>
      <c r="G494" s="63" t="str">
        <f>VLOOKUP(C494, 'Class Def. - General Data'!$C$20:$C$1000,1,false)</f>
        <v>ZFG1_BABYPOWDER</v>
      </c>
      <c r="H494" s="63" t="str">
        <f>IFERROR(__xludf.DUMMYFUNCTION("VLOOKUP(F494, IMPORTRANGE(""https://docs.google.com/spreadsheets/d/1Lhp9OU0JdFf_VYSMzH5lBcEaU4o8teT1piV-SNzShjg/edit?gid=554141278#gid=554141278"", ""'Char Def. - Attributes'!C20:C2242""), 1,false)"),"LOKAL_EKSPOR")</f>
        <v>LOKAL_EKSPOR</v>
      </c>
      <c r="I494" s="136"/>
    </row>
    <row r="495" ht="15.75" customHeight="1">
      <c r="A495" s="59"/>
      <c r="B495" s="63">
        <f t="shared" si="1"/>
        <v>15</v>
      </c>
      <c r="C495" s="134" t="s">
        <v>96</v>
      </c>
      <c r="D495" s="134" t="s">
        <v>74</v>
      </c>
      <c r="E495" s="135">
        <f t="shared" si="5"/>
        <v>10</v>
      </c>
      <c r="F495" s="134" t="s">
        <v>3612</v>
      </c>
      <c r="G495" s="63" t="str">
        <f>VLOOKUP(C495, 'Class Def. - General Data'!$C$20:$C$1000,1,false)</f>
        <v>ZFG1_BABYPOWDER</v>
      </c>
      <c r="H495" s="63" t="str">
        <f>IFERROR(__xludf.DUMMYFUNCTION("VLOOKUP(F495, IMPORTRANGE(""https://docs.google.com/spreadsheets/d/1Lhp9OU0JdFf_VYSMzH5lBcEaU4o8teT1piV-SNzShjg/edit?gid=554141278#gid=554141278"", ""'Char Def. - Attributes'!C20:C2242""), 1,false)"),"COUNTRY_EKSPOR")</f>
        <v>COUNTRY_EKSPOR</v>
      </c>
      <c r="I495" s="136"/>
    </row>
    <row r="496" ht="15.75" customHeight="1">
      <c r="A496" s="59"/>
      <c r="B496" s="63">
        <f t="shared" si="1"/>
        <v>15</v>
      </c>
      <c r="C496" s="134" t="s">
        <v>96</v>
      </c>
      <c r="D496" s="134" t="s">
        <v>74</v>
      </c>
      <c r="E496" s="135">
        <f t="shared" si="5"/>
        <v>11</v>
      </c>
      <c r="F496" s="134" t="s">
        <v>3613</v>
      </c>
      <c r="G496" s="63" t="str">
        <f>VLOOKUP(C496, 'Class Def. - General Data'!$C$20:$C$1000,1,false)</f>
        <v>ZFG1_BABYPOWDER</v>
      </c>
      <c r="H496" s="63" t="str">
        <f>IFERROR(__xludf.DUMMYFUNCTION("VLOOKUP(F496, IMPORTRANGE(""https://docs.google.com/spreadsheets/d/1Lhp9OU0JdFf_VYSMzH5lBcEaU4o8teT1piV-SNzShjg/edit?gid=554141278#gid=554141278"", ""'Char Def. - Attributes'!C20:C2242""), 1,false)"),"WARNA_SFG")</f>
        <v>WARNA_SFG</v>
      </c>
      <c r="I496" s="136"/>
    </row>
    <row r="497" ht="15.75" customHeight="1">
      <c r="A497" s="59"/>
      <c r="B497" s="63">
        <f t="shared" si="1"/>
        <v>15</v>
      </c>
      <c r="C497" s="134" t="s">
        <v>96</v>
      </c>
      <c r="D497" s="134" t="s">
        <v>74</v>
      </c>
      <c r="E497" s="135">
        <f t="shared" si="5"/>
        <v>12</v>
      </c>
      <c r="F497" s="134" t="s">
        <v>3582</v>
      </c>
      <c r="G497" s="63" t="str">
        <f>VLOOKUP(C497, 'Class Def. - General Data'!$C$20:$C$1000,1,false)</f>
        <v>ZFG1_BABYPOWDER</v>
      </c>
      <c r="H497" s="63" t="str">
        <f>IFERROR(__xludf.DUMMYFUNCTION("VLOOKUP(F497, IMPORTRANGE(""https://docs.google.com/spreadsheets/d/1Lhp9OU0JdFf_VYSMzH5lBcEaU4o8teT1piV-SNzShjg/edit?gid=554141278#gid=554141278"", ""'Char Def. - Attributes'!C20:C2242""), 1,false)"),"BASE_UNIT")</f>
        <v>BASE_UNIT</v>
      </c>
      <c r="I497" s="136"/>
    </row>
    <row r="498" ht="15.75" customHeight="1">
      <c r="A498" s="59"/>
      <c r="B498" s="63">
        <f t="shared" si="1"/>
        <v>15</v>
      </c>
      <c r="C498" s="134" t="s">
        <v>96</v>
      </c>
      <c r="D498" s="134" t="s">
        <v>74</v>
      </c>
      <c r="E498" s="135">
        <f t="shared" si="5"/>
        <v>13</v>
      </c>
      <c r="F498" s="134" t="s">
        <v>3583</v>
      </c>
      <c r="G498" s="63" t="str">
        <f>VLOOKUP(C498, 'Class Def. - General Data'!$C$20:$C$1000,1,false)</f>
        <v>ZFG1_BABYPOWDER</v>
      </c>
      <c r="H498" s="63" t="str">
        <f>IFERROR(__xludf.DUMMYFUNCTION("VLOOKUP(F498, IMPORTRANGE(""https://docs.google.com/spreadsheets/d/1Lhp9OU0JdFf_VYSMzH5lBcEaU4o8teT1piV-SNzShjg/edit?gid=554141278#gid=554141278"", ""'Char Def. - Attributes'!C20:C2242""), 1,false)"),"SALES_UNIT")</f>
        <v>SALES_UNIT</v>
      </c>
      <c r="I498" s="136"/>
    </row>
    <row r="499" ht="15.75" customHeight="1">
      <c r="A499" s="59"/>
      <c r="B499" s="63">
        <f t="shared" si="1"/>
        <v>15</v>
      </c>
      <c r="C499" s="134" t="s">
        <v>96</v>
      </c>
      <c r="D499" s="134" t="s">
        <v>74</v>
      </c>
      <c r="E499" s="135">
        <f t="shared" si="5"/>
        <v>14</v>
      </c>
      <c r="F499" s="134" t="s">
        <v>3601</v>
      </c>
      <c r="G499" s="63" t="str">
        <f>VLOOKUP(C499, 'Class Def. - General Data'!$C$20:$C$1000,1,false)</f>
        <v>ZFG1_BABYPOWDER</v>
      </c>
      <c r="H499" s="63" t="str">
        <f>IFERROR(__xludf.DUMMYFUNCTION("VLOOKUP(F499, IMPORTRANGE(""https://docs.google.com/spreadsheets/d/1Lhp9OU0JdFf_VYSMzH5lBcEaU4o8teT1piV-SNzShjg/edit?gid=554141278#gid=554141278"", ""'Char Def. - Attributes'!C20:C2242""), 1,false)"),"GROSS_WEIGHT")</f>
        <v>GROSS_WEIGHT</v>
      </c>
      <c r="I499" s="136"/>
    </row>
    <row r="500" ht="15.75" customHeight="1">
      <c r="A500" s="59"/>
      <c r="B500" s="63">
        <f t="shared" si="1"/>
        <v>15</v>
      </c>
      <c r="C500" s="134" t="s">
        <v>96</v>
      </c>
      <c r="D500" s="134" t="s">
        <v>74</v>
      </c>
      <c r="E500" s="135">
        <f t="shared" si="5"/>
        <v>15</v>
      </c>
      <c r="F500" s="134" t="s">
        <v>3602</v>
      </c>
      <c r="G500" s="63" t="str">
        <f>VLOOKUP(C500, 'Class Def. - General Data'!$C$20:$C$1000,1,false)</f>
        <v>ZFG1_BABYPOWDER</v>
      </c>
      <c r="H500" s="63" t="str">
        <f>IFERROR(__xludf.DUMMYFUNCTION("VLOOKUP(F500, IMPORTRANGE(""https://docs.google.com/spreadsheets/d/1Lhp9OU0JdFf_VYSMzH5lBcEaU4o8teT1piV-SNzShjg/edit?gid=554141278#gid=554141278"", ""'Char Def. - Attributes'!C20:C2242""), 1,false)"),"NET_WEIGHT")</f>
        <v>NET_WEIGHT</v>
      </c>
      <c r="I500" s="136"/>
    </row>
    <row r="501" ht="15.75" customHeight="1">
      <c r="A501" s="59"/>
      <c r="B501" s="63">
        <f t="shared" si="1"/>
        <v>15</v>
      </c>
      <c r="C501" s="134" t="s">
        <v>96</v>
      </c>
      <c r="D501" s="134" t="s">
        <v>74</v>
      </c>
      <c r="E501" s="135">
        <f t="shared" si="5"/>
        <v>16</v>
      </c>
      <c r="F501" s="134" t="s">
        <v>3584</v>
      </c>
      <c r="G501" s="63" t="str">
        <f>VLOOKUP(C501, 'Class Def. - General Data'!$C$20:$C$1000,1,false)</f>
        <v>ZFG1_BABYPOWDER</v>
      </c>
      <c r="H501" s="63" t="str">
        <f>IFERROR(__xludf.DUMMYFUNCTION("VLOOKUP(F501, IMPORTRANGE(""https://docs.google.com/spreadsheets/d/1Lhp9OU0JdFf_VYSMzH5lBcEaU4o8teT1piV-SNzShjg/edit?gid=554141278#gid=554141278"", ""'Char Def. - Attributes'!C20:C2242""), 1,false)"),"UNIT_PER_BOX")</f>
        <v>UNIT_PER_BOX</v>
      </c>
      <c r="I501" s="136"/>
    </row>
    <row r="502" ht="15.75" customHeight="1">
      <c r="A502" s="59"/>
      <c r="B502" s="63">
        <f t="shared" si="1"/>
        <v>15</v>
      </c>
      <c r="C502" s="134" t="s">
        <v>96</v>
      </c>
      <c r="D502" s="134" t="s">
        <v>74</v>
      </c>
      <c r="E502" s="135">
        <f t="shared" si="5"/>
        <v>17</v>
      </c>
      <c r="F502" s="134" t="s">
        <v>3614</v>
      </c>
      <c r="G502" s="63" t="str">
        <f>VLOOKUP(C502, 'Class Def. - General Data'!$C$20:$C$1000,1,false)</f>
        <v>ZFG1_BABYPOWDER</v>
      </c>
      <c r="H502" s="63" t="str">
        <f>IFERROR(__xludf.DUMMYFUNCTION("VLOOKUP(F502, IMPORTRANGE(""https://docs.google.com/spreadsheets/d/1Lhp9OU0JdFf_VYSMzH5lBcEaU4o8teT1piV-SNzShjg/edit?gid=554141278#gid=554141278"", ""'Char Def. - Attributes'!C20:C2242""), 1,false)"),"UNIT_PER_CTN")</f>
        <v>UNIT_PER_CTN</v>
      </c>
      <c r="I502" s="136"/>
    </row>
    <row r="503" ht="15.75" customHeight="1">
      <c r="A503" s="59"/>
      <c r="B503" s="63">
        <f t="shared" si="1"/>
        <v>15</v>
      </c>
      <c r="C503" s="134" t="s">
        <v>96</v>
      </c>
      <c r="D503" s="134" t="s">
        <v>74</v>
      </c>
      <c r="E503" s="135">
        <f t="shared" si="5"/>
        <v>18</v>
      </c>
      <c r="F503" s="134" t="s">
        <v>3615</v>
      </c>
      <c r="G503" s="63" t="str">
        <f>VLOOKUP(C503, 'Class Def. - General Data'!$C$20:$C$1000,1,false)</f>
        <v>ZFG1_BABYPOWDER</v>
      </c>
      <c r="H503" s="63" t="str">
        <f>IFERROR(__xludf.DUMMYFUNCTION("VLOOKUP(F503, IMPORTRANGE(""https://docs.google.com/spreadsheets/d/1Lhp9OU0JdFf_VYSMzH5lBcEaU4o8teT1piV-SNzShjg/edit?gid=554141278#gid=554141278"", ""'Char Def. - Attributes'!C20:C2242""), 1,false)"),"UNIT_PER_BAG")</f>
        <v>UNIT_PER_BAG</v>
      </c>
      <c r="I503" s="136"/>
    </row>
    <row r="504" ht="15.75" customHeight="1">
      <c r="A504" s="59"/>
      <c r="B504" s="63">
        <f t="shared" si="1"/>
        <v>15</v>
      </c>
      <c r="C504" s="134" t="s">
        <v>96</v>
      </c>
      <c r="D504" s="134" t="s">
        <v>74</v>
      </c>
      <c r="E504" s="135">
        <f t="shared" si="5"/>
        <v>19</v>
      </c>
      <c r="F504" s="134" t="s">
        <v>3616</v>
      </c>
      <c r="G504" s="63" t="str">
        <f>VLOOKUP(C504, 'Class Def. - General Data'!$C$20:$C$1000,1,false)</f>
        <v>ZFG1_BABYPOWDER</v>
      </c>
      <c r="H504" s="63" t="str">
        <f>IFERROR(__xludf.DUMMYFUNCTION("VLOOKUP(F504, IMPORTRANGE(""https://docs.google.com/spreadsheets/d/1Lhp9OU0JdFf_VYSMzH5lBcEaU4o8teT1piV-SNzShjg/edit?gid=554141278#gid=554141278"", ""'Char Def. - Attributes'!C20:C2242""), 1,false)"),"UNIT_PER_PAL")</f>
        <v>UNIT_PER_PAL</v>
      </c>
      <c r="I504" s="136"/>
    </row>
    <row r="505" ht="15.75" customHeight="1">
      <c r="A505" s="59"/>
      <c r="B505" s="63">
        <f t="shared" si="1"/>
        <v>15</v>
      </c>
      <c r="C505" s="134" t="s">
        <v>96</v>
      </c>
      <c r="D505" s="134" t="s">
        <v>74</v>
      </c>
      <c r="E505" s="135">
        <f t="shared" si="5"/>
        <v>20</v>
      </c>
      <c r="F505" s="134" t="s">
        <v>3617</v>
      </c>
      <c r="G505" s="63" t="str">
        <f>VLOOKUP(C505, 'Class Def. - General Data'!$C$20:$C$1000,1,false)</f>
        <v>ZFG1_BABYPOWDER</v>
      </c>
      <c r="H505" s="63" t="str">
        <f>IFERROR(__xludf.DUMMYFUNCTION("VLOOKUP(F505, IMPORTRANGE(""https://docs.google.com/spreadsheets/d/1Lhp9OU0JdFf_VYSMzH5lBcEaU4o8teT1piV-SNzShjg/edit?gid=554141278#gid=554141278"", ""'Char Def. - Attributes'!C20:C2242""), 1,false)"),"UNIT_PER_TIER")</f>
        <v>UNIT_PER_TIER</v>
      </c>
      <c r="I505" s="136"/>
    </row>
    <row r="506" ht="15.75" customHeight="1">
      <c r="A506" s="59"/>
      <c r="B506" s="63">
        <f t="shared" si="1"/>
        <v>15</v>
      </c>
      <c r="C506" s="134" t="s">
        <v>96</v>
      </c>
      <c r="D506" s="134" t="s">
        <v>74</v>
      </c>
      <c r="E506" s="135">
        <f t="shared" si="5"/>
        <v>21</v>
      </c>
      <c r="F506" s="134" t="s">
        <v>3618</v>
      </c>
      <c r="G506" s="63" t="str">
        <f>VLOOKUP(C506, 'Class Def. - General Data'!$C$20:$C$1000,1,false)</f>
        <v>ZFG1_BABYPOWDER</v>
      </c>
      <c r="H506" s="63" t="str">
        <f>IFERROR(__xludf.DUMMYFUNCTION("VLOOKUP(F506, IMPORTRANGE(""https://docs.google.com/spreadsheets/d/1Lhp9OU0JdFf_VYSMzH5lBcEaU4o8teT1piV-SNzShjg/edit?gid=554141278#gid=554141278"", ""'Char Def. - Attributes'!C20:C2242""), 1,false)"),"HEIGHT")</f>
        <v>HEIGHT</v>
      </c>
      <c r="I506" s="136"/>
    </row>
    <row r="507" ht="15.75" customHeight="1">
      <c r="A507" s="59"/>
      <c r="B507" s="63">
        <f t="shared" si="1"/>
        <v>15</v>
      </c>
      <c r="C507" s="134" t="s">
        <v>96</v>
      </c>
      <c r="D507" s="134" t="s">
        <v>74</v>
      </c>
      <c r="E507" s="135">
        <f t="shared" si="5"/>
        <v>22</v>
      </c>
      <c r="F507" s="134" t="s">
        <v>3587</v>
      </c>
      <c r="G507" s="63" t="str">
        <f>VLOOKUP(C507, 'Class Def. - General Data'!$C$20:$C$1000,1,false)</f>
        <v>ZFG1_BABYPOWDER</v>
      </c>
      <c r="H507" s="63" t="str">
        <f>IFERROR(__xludf.DUMMYFUNCTION("VLOOKUP(F507, IMPORTRANGE(""https://docs.google.com/spreadsheets/d/1Lhp9OU0JdFf_VYSMzH5lBcEaU4o8teT1piV-SNzShjg/edit?gid=554141278#gid=554141278"", ""'Char Def. - Attributes'!C20:C2242""), 1,false)"),"PLANT_BUY")</f>
        <v>PLANT_BUY</v>
      </c>
      <c r="I507" s="136"/>
    </row>
    <row r="508" ht="15.75" customHeight="1">
      <c r="A508" s="59"/>
      <c r="B508" s="63">
        <f t="shared" si="1"/>
        <v>15</v>
      </c>
      <c r="C508" s="134" t="s">
        <v>96</v>
      </c>
      <c r="D508" s="134" t="s">
        <v>74</v>
      </c>
      <c r="E508" s="135">
        <f t="shared" si="5"/>
        <v>23</v>
      </c>
      <c r="F508" s="134" t="s">
        <v>3619</v>
      </c>
      <c r="G508" s="63" t="str">
        <f>VLOOKUP(C508, 'Class Def. - General Data'!$C$20:$C$1000,1,false)</f>
        <v>ZFG1_BABYPOWDER</v>
      </c>
      <c r="H508" s="63" t="str">
        <f>IFERROR(__xludf.DUMMYFUNCTION("VLOOKUP(F508, IMPORTRANGE(""https://docs.google.com/spreadsheets/d/1Lhp9OU0JdFf_VYSMzH5lBcEaU4o8teT1piV-SNzShjg/edit?gid=554141278#gid=554141278"", ""'Char Def. - Attributes'!C20:C2242""), 1,false)"),"LENGTH")</f>
        <v>LENGTH</v>
      </c>
      <c r="I508" s="136"/>
    </row>
    <row r="509" ht="15.75" customHeight="1">
      <c r="A509" s="59"/>
      <c r="B509" s="63">
        <f t="shared" si="1"/>
        <v>15</v>
      </c>
      <c r="C509" s="134" t="s">
        <v>96</v>
      </c>
      <c r="D509" s="134" t="s">
        <v>74</v>
      </c>
      <c r="E509" s="135">
        <f t="shared" si="5"/>
        <v>24</v>
      </c>
      <c r="F509" s="134" t="s">
        <v>3586</v>
      </c>
      <c r="G509" s="63" t="str">
        <f>VLOOKUP(C509, 'Class Def. - General Data'!$C$20:$C$1000,1,false)</f>
        <v>ZFG1_BABYPOWDER</v>
      </c>
      <c r="H509" s="63" t="str">
        <f>IFERROR(__xludf.DUMMYFUNCTION("VLOOKUP(F509, IMPORTRANGE(""https://docs.google.com/spreadsheets/d/1Lhp9OU0JdFf_VYSMzH5lBcEaU4o8teT1piV-SNzShjg/edit?gid=554141278#gid=554141278"", ""'Char Def. - Attributes'!C20:C2242""), 1,false)"),"PLANT_PROD")</f>
        <v>PLANT_PROD</v>
      </c>
      <c r="I509" s="136"/>
    </row>
    <row r="510" ht="15.75" customHeight="1">
      <c r="A510" s="59"/>
      <c r="B510" s="63">
        <f t="shared" si="1"/>
        <v>15</v>
      </c>
      <c r="C510" s="134" t="s">
        <v>96</v>
      </c>
      <c r="D510" s="134" t="s">
        <v>74</v>
      </c>
      <c r="E510" s="135">
        <f t="shared" si="5"/>
        <v>25</v>
      </c>
      <c r="F510" s="134" t="s">
        <v>3620</v>
      </c>
      <c r="G510" s="63" t="str">
        <f>VLOOKUP(C510, 'Class Def. - General Data'!$C$20:$C$1000,1,false)</f>
        <v>ZFG1_BABYPOWDER</v>
      </c>
      <c r="H510" s="63" t="str">
        <f>IFERROR(__xludf.DUMMYFUNCTION("VLOOKUP(F510, IMPORTRANGE(""https://docs.google.com/spreadsheets/d/1Lhp9OU0JdFf_VYSMzH5lBcEaU4o8teT1piV-SNzShjg/edit?gid=554141278#gid=554141278"", ""'Char Def. - Attributes'!C20:C2242""), 1,false)"),"WIDTH")</f>
        <v>WIDTH</v>
      </c>
      <c r="I510" s="136"/>
    </row>
    <row r="511" ht="15.75" customHeight="1">
      <c r="A511" s="59"/>
      <c r="B511" s="63">
        <f t="shared" si="1"/>
        <v>15</v>
      </c>
      <c r="C511" s="134" t="s">
        <v>96</v>
      </c>
      <c r="D511" s="134" t="s">
        <v>74</v>
      </c>
      <c r="E511" s="135">
        <f t="shared" si="5"/>
        <v>26</v>
      </c>
      <c r="F511" s="134" t="s">
        <v>3585</v>
      </c>
      <c r="G511" s="63" t="str">
        <f>VLOOKUP(C511, 'Class Def. - General Data'!$C$20:$C$1000,1,false)</f>
        <v>ZFG1_BABYPOWDER</v>
      </c>
      <c r="H511" s="63" t="str">
        <f>IFERROR(__xludf.DUMMYFUNCTION("VLOOKUP(F511, IMPORTRANGE(""https://docs.google.com/spreadsheets/d/1Lhp9OU0JdFf_VYSMzH5lBcEaU4o8teT1piV-SNzShjg/edit?gid=554141278#gid=554141278"", ""'Char Def. - Attributes'!C20:C2242""), 1,false)"),"HS_CODE")</f>
        <v>HS_CODE</v>
      </c>
      <c r="I511" s="136"/>
    </row>
    <row r="512" ht="15.75" customHeight="1">
      <c r="A512" s="59"/>
      <c r="B512" s="63">
        <f t="shared" si="1"/>
        <v>15</v>
      </c>
      <c r="C512" s="134" t="s">
        <v>96</v>
      </c>
      <c r="D512" s="134" t="s">
        <v>74</v>
      </c>
      <c r="E512" s="135">
        <f t="shared" si="5"/>
        <v>27</v>
      </c>
      <c r="F512" s="134" t="s">
        <v>3621</v>
      </c>
      <c r="G512" s="63" t="str">
        <f>VLOOKUP(C512, 'Class Def. - General Data'!$C$20:$C$1000,1,false)</f>
        <v>ZFG1_BABYPOWDER</v>
      </c>
      <c r="H512" s="63" t="str">
        <f>IFERROR(__xludf.DUMMYFUNCTION("VLOOKUP(F512, IMPORTRANGE(""https://docs.google.com/spreadsheets/d/1Lhp9OU0JdFf_VYSMzH5lBcEaU4o8teT1piV-SNzShjg/edit?gid=554141278#gid=554141278"", ""'Char Def. - Attributes'!C20:C2242""), 1,false)"),"EAN_PCS")</f>
        <v>EAN_PCS</v>
      </c>
      <c r="I512" s="136"/>
    </row>
    <row r="513" ht="15.75" customHeight="1">
      <c r="A513" s="59"/>
      <c r="B513" s="63">
        <f t="shared" si="1"/>
        <v>15</v>
      </c>
      <c r="C513" s="134" t="s">
        <v>96</v>
      </c>
      <c r="D513" s="134" t="s">
        <v>74</v>
      </c>
      <c r="E513" s="135">
        <f t="shared" si="5"/>
        <v>28</v>
      </c>
      <c r="F513" s="134" t="s">
        <v>3622</v>
      </c>
      <c r="G513" s="63" t="str">
        <f>VLOOKUP(C513, 'Class Def. - General Data'!$C$20:$C$1000,1,false)</f>
        <v>ZFG1_BABYPOWDER</v>
      </c>
      <c r="H513" s="63" t="str">
        <f>IFERROR(__xludf.DUMMYFUNCTION("VLOOKUP(F513, IMPORTRANGE(""https://docs.google.com/spreadsheets/d/1Lhp9OU0JdFf_VYSMzH5lBcEaU4o8teT1piV-SNzShjg/edit?gid=554141278#gid=554141278"", ""'Char Def. - Attributes'!C20:C2242""), 1,false)"),"SFG_BRAND")</f>
        <v>SFG_BRAND</v>
      </c>
      <c r="I513" s="136"/>
    </row>
    <row r="514" ht="15.75" customHeight="1">
      <c r="A514" s="59"/>
      <c r="B514" s="63">
        <f t="shared" si="1"/>
        <v>15</v>
      </c>
      <c r="C514" s="134" t="s">
        <v>96</v>
      </c>
      <c r="D514" s="134" t="s">
        <v>74</v>
      </c>
      <c r="E514" s="135">
        <f t="shared" si="5"/>
        <v>29</v>
      </c>
      <c r="F514" s="134" t="s">
        <v>3623</v>
      </c>
      <c r="G514" s="63" t="str">
        <f>VLOOKUP(C514, 'Class Def. - General Data'!$C$20:$C$1000,1,false)</f>
        <v>ZFG1_BABYPOWDER</v>
      </c>
      <c r="H514" s="63" t="str">
        <f>IFERROR(__xludf.DUMMYFUNCTION("VLOOKUP(F514, IMPORTRANGE(""https://docs.google.com/spreadsheets/d/1Lhp9OU0JdFf_VYSMzH5lBcEaU4o8teT1piV-SNzShjg/edit?gid=554141278#gid=554141278"", ""'Char Def. - Attributes'!C20:C2242""), 1,false)"),"LANGUAGE")</f>
        <v>LANGUAGE</v>
      </c>
      <c r="I514" s="136"/>
    </row>
    <row r="515" ht="15.75" customHeight="1">
      <c r="A515" s="59"/>
      <c r="B515" s="63">
        <f t="shared" si="1"/>
        <v>15</v>
      </c>
      <c r="C515" s="139" t="s">
        <v>96</v>
      </c>
      <c r="D515" s="139" t="s">
        <v>74</v>
      </c>
      <c r="E515" s="140">
        <f t="shared" si="5"/>
        <v>30</v>
      </c>
      <c r="F515" s="134" t="s">
        <v>3624</v>
      </c>
      <c r="G515" s="63" t="str">
        <f>VLOOKUP(C515, 'Class Def. - General Data'!$C$20:$C$1000,1,false)</f>
        <v>ZFG1_BABYPOWDER</v>
      </c>
      <c r="H515" s="63" t="str">
        <f>IFERROR(__xludf.DUMMYFUNCTION("VLOOKUP(F515, IMPORTRANGE(""https://docs.google.com/spreadsheets/d/1Lhp9OU0JdFf_VYSMzH5lBcEaU4o8teT1piV-SNzShjg/edit?gid=554141278#gid=554141278"", ""'Char Def. - Attributes'!C20:C2242""), 1,false)"),"#N/A")</f>
        <v>#N/A</v>
      </c>
      <c r="I515" s="136"/>
    </row>
    <row r="516" ht="15.75" customHeight="1">
      <c r="A516" s="59"/>
      <c r="B516" s="63">
        <f t="shared" si="1"/>
        <v>15</v>
      </c>
      <c r="C516" s="134" t="s">
        <v>96</v>
      </c>
      <c r="D516" s="134" t="s">
        <v>74</v>
      </c>
      <c r="E516" s="135">
        <f t="shared" si="5"/>
        <v>31</v>
      </c>
      <c r="F516" s="134" t="s">
        <v>3625</v>
      </c>
      <c r="G516" s="63" t="str">
        <f>VLOOKUP(C516, 'Class Def. - General Data'!$C$20:$C$1000,1,false)</f>
        <v>ZFG1_BABYPOWDER</v>
      </c>
      <c r="H516" s="63" t="str">
        <f>IFERROR(__xludf.DUMMYFUNCTION("VLOOKUP(F516, IMPORTRANGE(""https://docs.google.com/spreadsheets/d/1Lhp9OU0JdFf_VYSMzH5lBcEaU4o8teT1piV-SNzShjg/edit?gid=554141278#gid=554141278"", ""'Char Def. - Attributes'!C20:C2242""), 1,false)"),"REGION_EKSPOR")</f>
        <v>REGION_EKSPOR</v>
      </c>
      <c r="I516" s="136"/>
    </row>
    <row r="517" ht="15.75" customHeight="1">
      <c r="A517" s="59"/>
      <c r="B517" s="63">
        <f t="shared" si="1"/>
        <v>15</v>
      </c>
      <c r="C517" s="134" t="s">
        <v>96</v>
      </c>
      <c r="D517" s="134" t="s">
        <v>74</v>
      </c>
      <c r="E517" s="135">
        <f t="shared" si="5"/>
        <v>32</v>
      </c>
      <c r="F517" s="134" t="s">
        <v>3626</v>
      </c>
      <c r="G517" s="63" t="str">
        <f>VLOOKUP(C517, 'Class Def. - General Data'!$C$20:$C$1000,1,false)</f>
        <v>ZFG1_BABYPOWDER</v>
      </c>
      <c r="H517" s="63" t="str">
        <f>IFERROR(__xludf.DUMMYFUNCTION("VLOOKUP(F517, IMPORTRANGE(""https://docs.google.com/spreadsheets/d/1Lhp9OU0JdFf_VYSMzH5lBcEaU4o8teT1piV-SNzShjg/edit?gid=554141278#gid=554141278"", ""'Char Def. - Attributes'!C20:C2242""), 1,false)"),"STICKER_NOT")</f>
        <v>STICKER_NOT</v>
      </c>
      <c r="I517" s="136"/>
    </row>
    <row r="518" ht="15.75" customHeight="1">
      <c r="A518" s="59"/>
      <c r="B518" s="63">
        <f t="shared" si="1"/>
        <v>15</v>
      </c>
      <c r="C518" s="134" t="s">
        <v>96</v>
      </c>
      <c r="D518" s="134" t="s">
        <v>74</v>
      </c>
      <c r="E518" s="135">
        <f t="shared" si="5"/>
        <v>33</v>
      </c>
      <c r="F518" s="134" t="s">
        <v>3627</v>
      </c>
      <c r="G518" s="63" t="str">
        <f>VLOOKUP(C518, 'Class Def. - General Data'!$C$20:$C$1000,1,false)</f>
        <v>ZFG1_BABYPOWDER</v>
      </c>
      <c r="H518" s="63" t="str">
        <f>IFERROR(__xludf.DUMMYFUNCTION("VLOOKUP(F518, IMPORTRANGE(""https://docs.google.com/spreadsheets/d/1Lhp9OU0JdFf_VYSMzH5lBcEaU4o8teT1piV-SNzShjg/edit?gid=554141278#gid=554141278"", ""'Char Def. - Attributes'!C20:C2242""), 1,false)"),"SHIP_MARK")</f>
        <v>SHIP_MARK</v>
      </c>
      <c r="I518" s="136"/>
    </row>
    <row r="519" ht="15.75" customHeight="1">
      <c r="A519" s="59"/>
      <c r="B519" s="63">
        <f t="shared" si="1"/>
        <v>15</v>
      </c>
      <c r="C519" s="134" t="s">
        <v>96</v>
      </c>
      <c r="D519" s="134" t="s">
        <v>74</v>
      </c>
      <c r="E519" s="135">
        <f t="shared" si="5"/>
        <v>34</v>
      </c>
      <c r="F519" s="134" t="s">
        <v>3628</v>
      </c>
      <c r="G519" s="63" t="str">
        <f>VLOOKUP(C519, 'Class Def. - General Data'!$C$20:$C$1000,1,false)</f>
        <v>ZFG1_BABYPOWDER</v>
      </c>
      <c r="H519" s="63" t="str">
        <f>IFERROR(__xludf.DUMMYFUNCTION("VLOOKUP(F519, IMPORTRANGE(""https://docs.google.com/spreadsheets/d/1Lhp9OU0JdFf_VYSMzH5lBcEaU4o8teT1piV-SNzShjg/edit?gid=554141278#gid=554141278"", ""'Char Def. - Attributes'!C20:C2242""), 1,false)"),"MID_CORE")</f>
        <v>MID_CORE</v>
      </c>
      <c r="I519" s="136"/>
    </row>
    <row r="520" ht="15.75" customHeight="1">
      <c r="A520" s="59"/>
      <c r="B520" s="63">
        <f t="shared" si="1"/>
        <v>15</v>
      </c>
      <c r="C520" s="134" t="s">
        <v>96</v>
      </c>
      <c r="D520" s="134" t="s">
        <v>74</v>
      </c>
      <c r="E520" s="135">
        <f t="shared" si="5"/>
        <v>35</v>
      </c>
      <c r="F520" s="134" t="s">
        <v>3629</v>
      </c>
      <c r="G520" s="63" t="str">
        <f>VLOOKUP(C520, 'Class Def. - General Data'!$C$20:$C$1000,1,false)</f>
        <v>ZFG1_BABYPOWDER</v>
      </c>
      <c r="H520" s="63" t="str">
        <f>IFERROR(__xludf.DUMMYFUNCTION("VLOOKUP(F520, IMPORTRANGE(""https://docs.google.com/spreadsheets/d/1Lhp9OU0JdFf_VYSMzH5lBcEaU4o8teT1piV-SNzShjg/edit?gid=554141278#gid=554141278"", ""'Char Def. - Attributes'!C20:C2242""), 1,false)"),"EAN_CTN")</f>
        <v>EAN_CTN</v>
      </c>
      <c r="I520" s="136"/>
    </row>
    <row r="521" ht="15.75" customHeight="1">
      <c r="A521" s="59"/>
      <c r="B521" s="63">
        <f t="shared" si="1"/>
        <v>15</v>
      </c>
      <c r="C521" s="134" t="s">
        <v>96</v>
      </c>
      <c r="D521" s="134" t="s">
        <v>74</v>
      </c>
      <c r="E521" s="135">
        <f t="shared" si="5"/>
        <v>36</v>
      </c>
      <c r="F521" s="134" t="s">
        <v>3630</v>
      </c>
      <c r="G521" s="63" t="str">
        <f>VLOOKUP(C521, 'Class Def. - General Data'!$C$20:$C$1000,1,false)</f>
        <v>ZFG1_BABYPOWDER</v>
      </c>
      <c r="H521" s="63" t="str">
        <f>IFERROR(__xludf.DUMMYFUNCTION("VLOOKUP(F521, IMPORTRANGE(""https://docs.google.com/spreadsheets/d/1Lhp9OU0JdFf_VYSMzH5lBcEaU4o8teT1piV-SNzShjg/edit?gid=554141278#gid=554141278"", ""'Char Def. - Attributes'!C20:C2242""), 1,false)"),"EAN_BOX")</f>
        <v>EAN_BOX</v>
      </c>
      <c r="I521" s="136"/>
    </row>
    <row r="522" ht="15.75" customHeight="1">
      <c r="A522" s="59"/>
      <c r="B522" s="63">
        <f t="shared" si="1"/>
        <v>15</v>
      </c>
      <c r="C522" s="134" t="s">
        <v>96</v>
      </c>
      <c r="D522" s="141" t="s">
        <v>74</v>
      </c>
      <c r="E522" s="135">
        <v>22.0</v>
      </c>
      <c r="F522" s="135" t="s">
        <v>3603</v>
      </c>
      <c r="G522" s="63" t="str">
        <f>VLOOKUP(C522, 'Class Def. - General Data'!$C$20:$C$1000,1,false)</f>
        <v>ZFG1_BABYPOWDER</v>
      </c>
      <c r="I522" s="136"/>
    </row>
    <row r="523" ht="15.75" customHeight="1">
      <c r="A523" s="59"/>
      <c r="B523" s="63">
        <f t="shared" si="1"/>
        <v>11</v>
      </c>
      <c r="C523" s="134" t="s">
        <v>97</v>
      </c>
      <c r="D523" s="134" t="s">
        <v>74</v>
      </c>
      <c r="E523" s="135">
        <f t="shared" ref="E523:E558" si="6">COUNTIF($C$20:C523,C523)</f>
        <v>1</v>
      </c>
      <c r="F523" s="134" t="s">
        <v>3639</v>
      </c>
      <c r="G523" s="63" t="str">
        <f>VLOOKUP(C523, 'Class Def. - General Data'!$C$20:$C$1000,1,false)</f>
        <v>ZFG1_BARDET</v>
      </c>
      <c r="H523" s="63" t="str">
        <f>IFERROR(__xludf.DUMMYFUNCTION("VLOOKUP(F523, IMPORTRANGE(""https://docs.google.com/spreadsheets/d/1Lhp9OU0JdFf_VYSMzH5lBcEaU4o8teT1piV-SNzShjg/edit?gid=554141278#gid=554141278"", ""'Char Def. - Attributes'!C20:C2242""), 1,false)"),"BRAND_BARDET")</f>
        <v>BRAND_BARDET</v>
      </c>
      <c r="I523" s="136"/>
    </row>
    <row r="524" ht="15.75" customHeight="1">
      <c r="A524" s="59"/>
      <c r="B524" s="63">
        <f t="shared" si="1"/>
        <v>11</v>
      </c>
      <c r="C524" s="135" t="s">
        <v>97</v>
      </c>
      <c r="D524" s="134" t="s">
        <v>74</v>
      </c>
      <c r="E524" s="135">
        <f t="shared" si="6"/>
        <v>2</v>
      </c>
      <c r="F524" s="134" t="s">
        <v>3640</v>
      </c>
      <c r="G524" s="63" t="str">
        <f>VLOOKUP(C524, 'Class Def. - General Data'!$C$20:$C$1000,1,false)</f>
        <v>ZFG1_BARDET</v>
      </c>
      <c r="H524" s="63" t="str">
        <f>IFERROR(__xludf.DUMMYFUNCTION("VLOOKUP(F524, IMPORTRANGE(""https://docs.google.com/spreadsheets/d/1Lhp9OU0JdFf_VYSMzH5lBcEaU4o8teT1piV-SNzShjg/edit?gid=554141278#gid=554141278"", ""'Char Def. - Attributes'!C20:C2242""), 1,false)"),"PSHAPE_BARDET")</f>
        <v>PSHAPE_BARDET</v>
      </c>
      <c r="I524" s="136"/>
    </row>
    <row r="525" ht="15.75" customHeight="1">
      <c r="A525" s="59"/>
      <c r="B525" s="63">
        <f t="shared" si="1"/>
        <v>11</v>
      </c>
      <c r="C525" s="134" t="s">
        <v>97</v>
      </c>
      <c r="D525" s="134" t="s">
        <v>74</v>
      </c>
      <c r="E525" s="135">
        <f t="shared" si="6"/>
        <v>3</v>
      </c>
      <c r="F525" s="134" t="s">
        <v>3605</v>
      </c>
      <c r="G525" s="63" t="str">
        <f>VLOOKUP(C525, 'Class Def. - General Data'!$C$20:$C$1000,1,false)</f>
        <v>ZFG1_BARDET</v>
      </c>
      <c r="H525" s="63" t="str">
        <f>IFERROR(__xludf.DUMMYFUNCTION("VLOOKUP(F525, IMPORTRANGE(""https://docs.google.com/spreadsheets/d/1Lhp9OU0JdFf_VYSMzH5lBcEaU4o8teT1piV-SNzShjg/edit?gid=554141278#gid=554141278"", ""'Char Def. - Attributes'!C20:C2242""), 1,false)"),"PACK_NETTO")</f>
        <v>PACK_NETTO</v>
      </c>
      <c r="I525" s="136"/>
    </row>
    <row r="526" ht="15.75" customHeight="1">
      <c r="A526" s="59"/>
      <c r="B526" s="63">
        <f t="shared" si="1"/>
        <v>11</v>
      </c>
      <c r="C526" s="135" t="s">
        <v>97</v>
      </c>
      <c r="D526" s="134" t="s">
        <v>74</v>
      </c>
      <c r="E526" s="135">
        <f t="shared" si="6"/>
        <v>4</v>
      </c>
      <c r="F526" s="134" t="s">
        <v>3641</v>
      </c>
      <c r="G526" s="63" t="str">
        <f>VLOOKUP(C526, 'Class Def. - General Data'!$C$20:$C$1000,1,false)</f>
        <v>ZFG1_BARDET</v>
      </c>
      <c r="H526" s="63" t="str">
        <f>IFERROR(__xludf.DUMMYFUNCTION("VLOOKUP(F526, IMPORTRANGE(""https://docs.google.com/spreadsheets/d/1Lhp9OU0JdFf_VYSMzH5lBcEaU4o8teT1piV-SNzShjg/edit?gid=554141278#gid=554141278"", ""'Char Def. - Attributes'!C20:C2242""), 1,false)"),"PUOM_BARDET")</f>
        <v>PUOM_BARDET</v>
      </c>
      <c r="I526" s="136"/>
    </row>
    <row r="527" ht="15.75" customHeight="1">
      <c r="A527" s="59"/>
      <c r="B527" s="63">
        <f t="shared" si="1"/>
        <v>11</v>
      </c>
      <c r="C527" s="134" t="s">
        <v>97</v>
      </c>
      <c r="D527" s="134" t="s">
        <v>74</v>
      </c>
      <c r="E527" s="135">
        <f t="shared" si="6"/>
        <v>5</v>
      </c>
      <c r="F527" s="134" t="s">
        <v>3607</v>
      </c>
      <c r="G527" s="63" t="str">
        <f>VLOOKUP(C527, 'Class Def. - General Data'!$C$20:$C$1000,1,false)</f>
        <v>ZFG1_BARDET</v>
      </c>
      <c r="H527" s="63" t="str">
        <f>IFERROR(__xludf.DUMMYFUNCTION("VLOOKUP(F527, IMPORTRANGE(""https://docs.google.com/spreadsheets/d/1Lhp9OU0JdFf_VYSMzH5lBcEaU4o8teT1piV-SNzShjg/edit?gid=554141278#gid=554141278"", ""'Char Def. - Attributes'!C20:C2242""), 1,false)"),"VARIAN")</f>
        <v>VARIAN</v>
      </c>
      <c r="I527" s="136"/>
    </row>
    <row r="528" ht="15.75" customHeight="1">
      <c r="A528" s="59"/>
      <c r="B528" s="63">
        <f t="shared" si="1"/>
        <v>11</v>
      </c>
      <c r="C528" s="134" t="s">
        <v>97</v>
      </c>
      <c r="D528" s="134" t="s">
        <v>74</v>
      </c>
      <c r="E528" s="135">
        <f t="shared" si="6"/>
        <v>6</v>
      </c>
      <c r="F528" s="134" t="s">
        <v>3608</v>
      </c>
      <c r="G528" s="63" t="str">
        <f>VLOOKUP(C528, 'Class Def. - General Data'!$C$20:$C$1000,1,false)</f>
        <v>ZFG1_BARDET</v>
      </c>
      <c r="H528" s="63" t="str">
        <f>IFERROR(__xludf.DUMMYFUNCTION("VLOOKUP(F528, IMPORTRANGE(""https://docs.google.com/spreadsheets/d/1Lhp9OU0JdFf_VYSMzH5lBcEaU4o8teT1piV-SNzShjg/edit?gid=554141278#gid=554141278"", ""'Char Def. - Attributes'!C20:C2242""), 1,false)"),"PROJECT_NAME")</f>
        <v>PROJECT_NAME</v>
      </c>
      <c r="I528" s="136"/>
    </row>
    <row r="529" ht="15.75" customHeight="1">
      <c r="A529" s="59"/>
      <c r="B529" s="63">
        <f t="shared" si="1"/>
        <v>11</v>
      </c>
      <c r="C529" s="134" t="s">
        <v>97</v>
      </c>
      <c r="D529" s="134" t="s">
        <v>74</v>
      </c>
      <c r="E529" s="135">
        <f t="shared" si="6"/>
        <v>7</v>
      </c>
      <c r="F529" s="134" t="s">
        <v>3609</v>
      </c>
      <c r="G529" s="63" t="str">
        <f>VLOOKUP(C529, 'Class Def. - General Data'!$C$20:$C$1000,1,false)</f>
        <v>ZFG1_BARDET</v>
      </c>
      <c r="H529" s="63" t="str">
        <f>IFERROR(__xludf.DUMMYFUNCTION("VLOOKUP(F529, IMPORTRANGE(""https://docs.google.com/spreadsheets/d/1Lhp9OU0JdFf_VYSMzH5lBcEaU4o8teT1piV-SNzShjg/edit?gid=554141278#gid=554141278"", ""'Char Def. - Attributes'!C20:C2242""), 1,false)"),"ADDITIONAL_PROMO")</f>
        <v>ADDITIONAL_PROMO</v>
      </c>
      <c r="I529" s="136"/>
    </row>
    <row r="530" ht="15.75" customHeight="1">
      <c r="A530" s="59"/>
      <c r="B530" s="63">
        <f t="shared" si="1"/>
        <v>11</v>
      </c>
      <c r="C530" s="134" t="s">
        <v>97</v>
      </c>
      <c r="D530" s="134" t="s">
        <v>74</v>
      </c>
      <c r="E530" s="135">
        <f t="shared" si="6"/>
        <v>8</v>
      </c>
      <c r="F530" s="134" t="s">
        <v>3610</v>
      </c>
      <c r="G530" s="63" t="str">
        <f>VLOOKUP(C530, 'Class Def. - General Data'!$C$20:$C$1000,1,false)</f>
        <v>ZFG1_BARDET</v>
      </c>
      <c r="H530" s="63" t="str">
        <f>IFERROR(__xludf.DUMMYFUNCTION("VLOOKUP(F530, IMPORTRANGE(""https://docs.google.com/spreadsheets/d/1Lhp9OU0JdFf_VYSMzH5lBcEaU4o8teT1piV-SNzShjg/edit?gid=554141278#gid=554141278"", ""'Char Def. - Attributes'!C20:C2242""), 1,false)"),"BANDED_PROMO")</f>
        <v>BANDED_PROMO</v>
      </c>
      <c r="I530" s="136"/>
    </row>
    <row r="531" ht="15.75" customHeight="1">
      <c r="A531" s="59"/>
      <c r="B531" s="63">
        <f t="shared" si="1"/>
        <v>11</v>
      </c>
      <c r="C531" s="134" t="s">
        <v>97</v>
      </c>
      <c r="D531" s="134" t="s">
        <v>74</v>
      </c>
      <c r="E531" s="135">
        <f t="shared" si="6"/>
        <v>9</v>
      </c>
      <c r="F531" s="134" t="s">
        <v>3611</v>
      </c>
      <c r="G531" s="63" t="str">
        <f>VLOOKUP(C531, 'Class Def. - General Data'!$C$20:$C$1000,1,false)</f>
        <v>ZFG1_BARDET</v>
      </c>
      <c r="H531" s="63" t="str">
        <f>IFERROR(__xludf.DUMMYFUNCTION("VLOOKUP(F531, IMPORTRANGE(""https://docs.google.com/spreadsheets/d/1Lhp9OU0JdFf_VYSMzH5lBcEaU4o8teT1piV-SNzShjg/edit?gid=554141278#gid=554141278"", ""'Char Def. - Attributes'!C20:C2242""), 1,false)"),"LOKAL_EKSPOR")</f>
        <v>LOKAL_EKSPOR</v>
      </c>
      <c r="I531" s="136"/>
    </row>
    <row r="532" ht="15.75" customHeight="1">
      <c r="A532" s="59"/>
      <c r="B532" s="63">
        <f t="shared" si="1"/>
        <v>11</v>
      </c>
      <c r="C532" s="134" t="s">
        <v>97</v>
      </c>
      <c r="D532" s="134" t="s">
        <v>74</v>
      </c>
      <c r="E532" s="135">
        <f t="shared" si="6"/>
        <v>10</v>
      </c>
      <c r="F532" s="134" t="s">
        <v>3612</v>
      </c>
      <c r="G532" s="63" t="str">
        <f>VLOOKUP(C532, 'Class Def. - General Data'!$C$20:$C$1000,1,false)</f>
        <v>ZFG1_BARDET</v>
      </c>
      <c r="H532" s="63" t="str">
        <f>IFERROR(__xludf.DUMMYFUNCTION("VLOOKUP(F532, IMPORTRANGE(""https://docs.google.com/spreadsheets/d/1Lhp9OU0JdFf_VYSMzH5lBcEaU4o8teT1piV-SNzShjg/edit?gid=554141278#gid=554141278"", ""'Char Def. - Attributes'!C20:C2242""), 1,false)"),"COUNTRY_EKSPOR")</f>
        <v>COUNTRY_EKSPOR</v>
      </c>
      <c r="I532" s="136"/>
    </row>
    <row r="533" ht="15.75" customHeight="1">
      <c r="A533" s="59"/>
      <c r="B533" s="63">
        <f t="shared" si="1"/>
        <v>11</v>
      </c>
      <c r="C533" s="134" t="s">
        <v>97</v>
      </c>
      <c r="D533" s="134" t="s">
        <v>74</v>
      </c>
      <c r="E533" s="135">
        <f t="shared" si="6"/>
        <v>11</v>
      </c>
      <c r="F533" s="134" t="s">
        <v>3613</v>
      </c>
      <c r="G533" s="63" t="str">
        <f>VLOOKUP(C533, 'Class Def. - General Data'!$C$20:$C$1000,1,false)</f>
        <v>ZFG1_BARDET</v>
      </c>
      <c r="H533" s="63" t="str">
        <f>IFERROR(__xludf.DUMMYFUNCTION("VLOOKUP(F533, IMPORTRANGE(""https://docs.google.com/spreadsheets/d/1Lhp9OU0JdFf_VYSMzH5lBcEaU4o8teT1piV-SNzShjg/edit?gid=554141278#gid=554141278"", ""'Char Def. - Attributes'!C20:C2242""), 1,false)"),"WARNA_SFG")</f>
        <v>WARNA_SFG</v>
      </c>
      <c r="I533" s="136"/>
    </row>
    <row r="534" ht="15.75" customHeight="1">
      <c r="A534" s="59"/>
      <c r="B534" s="63">
        <f t="shared" si="1"/>
        <v>11</v>
      </c>
      <c r="C534" s="134" t="s">
        <v>97</v>
      </c>
      <c r="D534" s="134" t="s">
        <v>74</v>
      </c>
      <c r="E534" s="135">
        <f t="shared" si="6"/>
        <v>12</v>
      </c>
      <c r="F534" s="134" t="s">
        <v>3582</v>
      </c>
      <c r="G534" s="63" t="str">
        <f>VLOOKUP(C534, 'Class Def. - General Data'!$C$20:$C$1000,1,false)</f>
        <v>ZFG1_BARDET</v>
      </c>
      <c r="H534" s="63" t="str">
        <f>IFERROR(__xludf.DUMMYFUNCTION("VLOOKUP(F534, IMPORTRANGE(""https://docs.google.com/spreadsheets/d/1Lhp9OU0JdFf_VYSMzH5lBcEaU4o8teT1piV-SNzShjg/edit?gid=554141278#gid=554141278"", ""'Char Def. - Attributes'!C20:C2242""), 1,false)"),"BASE_UNIT")</f>
        <v>BASE_UNIT</v>
      </c>
      <c r="I534" s="136"/>
    </row>
    <row r="535" ht="15.75" customHeight="1">
      <c r="A535" s="59"/>
      <c r="B535" s="63">
        <f t="shared" si="1"/>
        <v>11</v>
      </c>
      <c r="C535" s="134" t="s">
        <v>97</v>
      </c>
      <c r="D535" s="134" t="s">
        <v>74</v>
      </c>
      <c r="E535" s="135">
        <f t="shared" si="6"/>
        <v>13</v>
      </c>
      <c r="F535" s="134" t="s">
        <v>3583</v>
      </c>
      <c r="G535" s="63" t="str">
        <f>VLOOKUP(C535, 'Class Def. - General Data'!$C$20:$C$1000,1,false)</f>
        <v>ZFG1_BARDET</v>
      </c>
      <c r="H535" s="63" t="str">
        <f>IFERROR(__xludf.DUMMYFUNCTION("VLOOKUP(F535, IMPORTRANGE(""https://docs.google.com/spreadsheets/d/1Lhp9OU0JdFf_VYSMzH5lBcEaU4o8teT1piV-SNzShjg/edit?gid=554141278#gid=554141278"", ""'Char Def. - Attributes'!C20:C2242""), 1,false)"),"SALES_UNIT")</f>
        <v>SALES_UNIT</v>
      </c>
      <c r="I535" s="136"/>
    </row>
    <row r="536" ht="15.75" customHeight="1">
      <c r="A536" s="59"/>
      <c r="B536" s="63">
        <f t="shared" si="1"/>
        <v>11</v>
      </c>
      <c r="C536" s="134" t="s">
        <v>97</v>
      </c>
      <c r="D536" s="134" t="s">
        <v>74</v>
      </c>
      <c r="E536" s="135">
        <f t="shared" si="6"/>
        <v>14</v>
      </c>
      <c r="F536" s="134" t="s">
        <v>3601</v>
      </c>
      <c r="G536" s="63" t="str">
        <f>VLOOKUP(C536, 'Class Def. - General Data'!$C$20:$C$1000,1,false)</f>
        <v>ZFG1_BARDET</v>
      </c>
      <c r="H536" s="63" t="str">
        <f>IFERROR(__xludf.DUMMYFUNCTION("VLOOKUP(F536, IMPORTRANGE(""https://docs.google.com/spreadsheets/d/1Lhp9OU0JdFf_VYSMzH5lBcEaU4o8teT1piV-SNzShjg/edit?gid=554141278#gid=554141278"", ""'Char Def. - Attributes'!C20:C2242""), 1,false)"),"GROSS_WEIGHT")</f>
        <v>GROSS_WEIGHT</v>
      </c>
      <c r="I536" s="136"/>
    </row>
    <row r="537" ht="15.75" customHeight="1">
      <c r="A537" s="59"/>
      <c r="B537" s="63">
        <f t="shared" si="1"/>
        <v>11</v>
      </c>
      <c r="C537" s="134" t="s">
        <v>97</v>
      </c>
      <c r="D537" s="134" t="s">
        <v>74</v>
      </c>
      <c r="E537" s="135">
        <f t="shared" si="6"/>
        <v>15</v>
      </c>
      <c r="F537" s="134" t="s">
        <v>3602</v>
      </c>
      <c r="G537" s="63" t="str">
        <f>VLOOKUP(C537, 'Class Def. - General Data'!$C$20:$C$1000,1,false)</f>
        <v>ZFG1_BARDET</v>
      </c>
      <c r="H537" s="63" t="str">
        <f>IFERROR(__xludf.DUMMYFUNCTION("VLOOKUP(F537, IMPORTRANGE(""https://docs.google.com/spreadsheets/d/1Lhp9OU0JdFf_VYSMzH5lBcEaU4o8teT1piV-SNzShjg/edit?gid=554141278#gid=554141278"", ""'Char Def. - Attributes'!C20:C2242""), 1,false)"),"NET_WEIGHT")</f>
        <v>NET_WEIGHT</v>
      </c>
      <c r="I537" s="136"/>
    </row>
    <row r="538" ht="15.75" customHeight="1">
      <c r="A538" s="59"/>
      <c r="B538" s="63">
        <f t="shared" si="1"/>
        <v>11</v>
      </c>
      <c r="C538" s="134" t="s">
        <v>97</v>
      </c>
      <c r="D538" s="134" t="s">
        <v>74</v>
      </c>
      <c r="E538" s="135">
        <f t="shared" si="6"/>
        <v>16</v>
      </c>
      <c r="F538" s="134" t="s">
        <v>3584</v>
      </c>
      <c r="G538" s="63" t="str">
        <f>VLOOKUP(C538, 'Class Def. - General Data'!$C$20:$C$1000,1,false)</f>
        <v>ZFG1_BARDET</v>
      </c>
      <c r="H538" s="63" t="str">
        <f>IFERROR(__xludf.DUMMYFUNCTION("VLOOKUP(F538, IMPORTRANGE(""https://docs.google.com/spreadsheets/d/1Lhp9OU0JdFf_VYSMzH5lBcEaU4o8teT1piV-SNzShjg/edit?gid=554141278#gid=554141278"", ""'Char Def. - Attributes'!C20:C2242""), 1,false)"),"UNIT_PER_BOX")</f>
        <v>UNIT_PER_BOX</v>
      </c>
      <c r="I538" s="136"/>
    </row>
    <row r="539" ht="15.75" customHeight="1">
      <c r="A539" s="59"/>
      <c r="B539" s="63">
        <f t="shared" si="1"/>
        <v>11</v>
      </c>
      <c r="C539" s="134" t="s">
        <v>97</v>
      </c>
      <c r="D539" s="134" t="s">
        <v>74</v>
      </c>
      <c r="E539" s="135">
        <f t="shared" si="6"/>
        <v>17</v>
      </c>
      <c r="F539" s="134" t="s">
        <v>3614</v>
      </c>
      <c r="G539" s="63" t="str">
        <f>VLOOKUP(C539, 'Class Def. - General Data'!$C$20:$C$1000,1,false)</f>
        <v>ZFG1_BARDET</v>
      </c>
      <c r="H539" s="63" t="str">
        <f>IFERROR(__xludf.DUMMYFUNCTION("VLOOKUP(F539, IMPORTRANGE(""https://docs.google.com/spreadsheets/d/1Lhp9OU0JdFf_VYSMzH5lBcEaU4o8teT1piV-SNzShjg/edit?gid=554141278#gid=554141278"", ""'Char Def. - Attributes'!C20:C2242""), 1,false)"),"UNIT_PER_CTN")</f>
        <v>UNIT_PER_CTN</v>
      </c>
      <c r="I539" s="136"/>
    </row>
    <row r="540" ht="15.75" customHeight="1">
      <c r="A540" s="59"/>
      <c r="B540" s="63">
        <f t="shared" si="1"/>
        <v>11</v>
      </c>
      <c r="C540" s="134" t="s">
        <v>97</v>
      </c>
      <c r="D540" s="134" t="s">
        <v>74</v>
      </c>
      <c r="E540" s="135">
        <f t="shared" si="6"/>
        <v>18</v>
      </c>
      <c r="F540" s="134" t="s">
        <v>3615</v>
      </c>
      <c r="G540" s="63" t="str">
        <f>VLOOKUP(C540, 'Class Def. - General Data'!$C$20:$C$1000,1,false)</f>
        <v>ZFG1_BARDET</v>
      </c>
      <c r="H540" s="63" t="str">
        <f>IFERROR(__xludf.DUMMYFUNCTION("VLOOKUP(F540, IMPORTRANGE(""https://docs.google.com/spreadsheets/d/1Lhp9OU0JdFf_VYSMzH5lBcEaU4o8teT1piV-SNzShjg/edit?gid=554141278#gid=554141278"", ""'Char Def. - Attributes'!C20:C2242""), 1,false)"),"UNIT_PER_BAG")</f>
        <v>UNIT_PER_BAG</v>
      </c>
      <c r="I540" s="136"/>
    </row>
    <row r="541" ht="15.75" customHeight="1">
      <c r="A541" s="59"/>
      <c r="B541" s="63">
        <f t="shared" si="1"/>
        <v>11</v>
      </c>
      <c r="C541" s="134" t="s">
        <v>97</v>
      </c>
      <c r="D541" s="134" t="s">
        <v>74</v>
      </c>
      <c r="E541" s="135">
        <f t="shared" si="6"/>
        <v>19</v>
      </c>
      <c r="F541" s="134" t="s">
        <v>3616</v>
      </c>
      <c r="G541" s="63" t="str">
        <f>VLOOKUP(C541, 'Class Def. - General Data'!$C$20:$C$1000,1,false)</f>
        <v>ZFG1_BARDET</v>
      </c>
      <c r="H541" s="63" t="str">
        <f>IFERROR(__xludf.DUMMYFUNCTION("VLOOKUP(F541, IMPORTRANGE(""https://docs.google.com/spreadsheets/d/1Lhp9OU0JdFf_VYSMzH5lBcEaU4o8teT1piV-SNzShjg/edit?gid=554141278#gid=554141278"", ""'Char Def. - Attributes'!C20:C2242""), 1,false)"),"UNIT_PER_PAL")</f>
        <v>UNIT_PER_PAL</v>
      </c>
      <c r="I541" s="136"/>
    </row>
    <row r="542" ht="15.75" customHeight="1">
      <c r="A542" s="59"/>
      <c r="B542" s="63">
        <f t="shared" si="1"/>
        <v>11</v>
      </c>
      <c r="C542" s="134" t="s">
        <v>97</v>
      </c>
      <c r="D542" s="134" t="s">
        <v>74</v>
      </c>
      <c r="E542" s="135">
        <f t="shared" si="6"/>
        <v>20</v>
      </c>
      <c r="F542" s="134" t="s">
        <v>3617</v>
      </c>
      <c r="G542" s="63" t="str">
        <f>VLOOKUP(C542, 'Class Def. - General Data'!$C$20:$C$1000,1,false)</f>
        <v>ZFG1_BARDET</v>
      </c>
      <c r="H542" s="63" t="str">
        <f>IFERROR(__xludf.DUMMYFUNCTION("VLOOKUP(F542, IMPORTRANGE(""https://docs.google.com/spreadsheets/d/1Lhp9OU0JdFf_VYSMzH5lBcEaU4o8teT1piV-SNzShjg/edit?gid=554141278#gid=554141278"", ""'Char Def. - Attributes'!C20:C2242""), 1,false)"),"UNIT_PER_TIER")</f>
        <v>UNIT_PER_TIER</v>
      </c>
      <c r="I542" s="136"/>
    </row>
    <row r="543" ht="15.75" customHeight="1">
      <c r="A543" s="59"/>
      <c r="B543" s="63">
        <f t="shared" si="1"/>
        <v>11</v>
      </c>
      <c r="C543" s="134" t="s">
        <v>97</v>
      </c>
      <c r="D543" s="134" t="s">
        <v>74</v>
      </c>
      <c r="E543" s="135">
        <f t="shared" si="6"/>
        <v>21</v>
      </c>
      <c r="F543" s="134" t="s">
        <v>3618</v>
      </c>
      <c r="G543" s="63" t="str">
        <f>VLOOKUP(C543, 'Class Def. - General Data'!$C$20:$C$1000,1,false)</f>
        <v>ZFG1_BARDET</v>
      </c>
      <c r="H543" s="63" t="str">
        <f>IFERROR(__xludf.DUMMYFUNCTION("VLOOKUP(F543, IMPORTRANGE(""https://docs.google.com/spreadsheets/d/1Lhp9OU0JdFf_VYSMzH5lBcEaU4o8teT1piV-SNzShjg/edit?gid=554141278#gid=554141278"", ""'Char Def. - Attributes'!C20:C2242""), 1,false)"),"HEIGHT")</f>
        <v>HEIGHT</v>
      </c>
      <c r="I543" s="136"/>
    </row>
    <row r="544" ht="15.75" customHeight="1">
      <c r="A544" s="59"/>
      <c r="B544" s="63">
        <f t="shared" si="1"/>
        <v>11</v>
      </c>
      <c r="C544" s="134" t="s">
        <v>97</v>
      </c>
      <c r="D544" s="134" t="s">
        <v>74</v>
      </c>
      <c r="E544" s="135">
        <f t="shared" si="6"/>
        <v>22</v>
      </c>
      <c r="F544" s="134" t="s">
        <v>3587</v>
      </c>
      <c r="G544" s="63" t="str">
        <f>VLOOKUP(C544, 'Class Def. - General Data'!$C$20:$C$1000,1,false)</f>
        <v>ZFG1_BARDET</v>
      </c>
      <c r="H544" s="63" t="str">
        <f>IFERROR(__xludf.DUMMYFUNCTION("VLOOKUP(F544, IMPORTRANGE(""https://docs.google.com/spreadsheets/d/1Lhp9OU0JdFf_VYSMzH5lBcEaU4o8teT1piV-SNzShjg/edit?gid=554141278#gid=554141278"", ""'Char Def. - Attributes'!C20:C2242""), 1,false)"),"PLANT_BUY")</f>
        <v>PLANT_BUY</v>
      </c>
      <c r="I544" s="136"/>
    </row>
    <row r="545" ht="15.75" customHeight="1">
      <c r="A545" s="59"/>
      <c r="B545" s="63">
        <f t="shared" si="1"/>
        <v>11</v>
      </c>
      <c r="C545" s="134" t="s">
        <v>97</v>
      </c>
      <c r="D545" s="134" t="s">
        <v>74</v>
      </c>
      <c r="E545" s="135">
        <f t="shared" si="6"/>
        <v>23</v>
      </c>
      <c r="F545" s="134" t="s">
        <v>3619</v>
      </c>
      <c r="G545" s="63" t="str">
        <f>VLOOKUP(C545, 'Class Def. - General Data'!$C$20:$C$1000,1,false)</f>
        <v>ZFG1_BARDET</v>
      </c>
      <c r="H545" s="63" t="str">
        <f>IFERROR(__xludf.DUMMYFUNCTION("VLOOKUP(F545, IMPORTRANGE(""https://docs.google.com/spreadsheets/d/1Lhp9OU0JdFf_VYSMzH5lBcEaU4o8teT1piV-SNzShjg/edit?gid=554141278#gid=554141278"", ""'Char Def. - Attributes'!C20:C2242""), 1,false)"),"LENGTH")</f>
        <v>LENGTH</v>
      </c>
      <c r="I545" s="136"/>
    </row>
    <row r="546" ht="15.75" customHeight="1">
      <c r="A546" s="59"/>
      <c r="B546" s="63">
        <f t="shared" si="1"/>
        <v>11</v>
      </c>
      <c r="C546" s="134" t="s">
        <v>97</v>
      </c>
      <c r="D546" s="134" t="s">
        <v>74</v>
      </c>
      <c r="E546" s="135">
        <f t="shared" si="6"/>
        <v>24</v>
      </c>
      <c r="F546" s="134" t="s">
        <v>3586</v>
      </c>
      <c r="G546" s="63" t="str">
        <f>VLOOKUP(C546, 'Class Def. - General Data'!$C$20:$C$1000,1,false)</f>
        <v>ZFG1_BARDET</v>
      </c>
      <c r="H546" s="63" t="str">
        <f>IFERROR(__xludf.DUMMYFUNCTION("VLOOKUP(F546, IMPORTRANGE(""https://docs.google.com/spreadsheets/d/1Lhp9OU0JdFf_VYSMzH5lBcEaU4o8teT1piV-SNzShjg/edit?gid=554141278#gid=554141278"", ""'Char Def. - Attributes'!C20:C2242""), 1,false)"),"PLANT_PROD")</f>
        <v>PLANT_PROD</v>
      </c>
      <c r="I546" s="136"/>
    </row>
    <row r="547" ht="15.75" customHeight="1">
      <c r="A547" s="59"/>
      <c r="B547" s="63">
        <f t="shared" si="1"/>
        <v>11</v>
      </c>
      <c r="C547" s="134" t="s">
        <v>97</v>
      </c>
      <c r="D547" s="134" t="s">
        <v>74</v>
      </c>
      <c r="E547" s="135">
        <f t="shared" si="6"/>
        <v>25</v>
      </c>
      <c r="F547" s="134" t="s">
        <v>3620</v>
      </c>
      <c r="G547" s="63" t="str">
        <f>VLOOKUP(C547, 'Class Def. - General Data'!$C$20:$C$1000,1,false)</f>
        <v>ZFG1_BARDET</v>
      </c>
      <c r="H547" s="63" t="str">
        <f>IFERROR(__xludf.DUMMYFUNCTION("VLOOKUP(F547, IMPORTRANGE(""https://docs.google.com/spreadsheets/d/1Lhp9OU0JdFf_VYSMzH5lBcEaU4o8teT1piV-SNzShjg/edit?gid=554141278#gid=554141278"", ""'Char Def. - Attributes'!C20:C2242""), 1,false)"),"WIDTH")</f>
        <v>WIDTH</v>
      </c>
      <c r="I547" s="136"/>
    </row>
    <row r="548" ht="15.75" customHeight="1">
      <c r="A548" s="59"/>
      <c r="B548" s="63">
        <f t="shared" si="1"/>
        <v>11</v>
      </c>
      <c r="C548" s="134" t="s">
        <v>97</v>
      </c>
      <c r="D548" s="134" t="s">
        <v>74</v>
      </c>
      <c r="E548" s="135">
        <f t="shared" si="6"/>
        <v>26</v>
      </c>
      <c r="F548" s="134" t="s">
        <v>3585</v>
      </c>
      <c r="G548" s="63" t="str">
        <f>VLOOKUP(C548, 'Class Def. - General Data'!$C$20:$C$1000,1,false)</f>
        <v>ZFG1_BARDET</v>
      </c>
      <c r="H548" s="63" t="str">
        <f>IFERROR(__xludf.DUMMYFUNCTION("VLOOKUP(F548, IMPORTRANGE(""https://docs.google.com/spreadsheets/d/1Lhp9OU0JdFf_VYSMzH5lBcEaU4o8teT1piV-SNzShjg/edit?gid=554141278#gid=554141278"", ""'Char Def. - Attributes'!C20:C2242""), 1,false)"),"HS_CODE")</f>
        <v>HS_CODE</v>
      </c>
      <c r="I548" s="136"/>
    </row>
    <row r="549" ht="15.75" customHeight="1">
      <c r="A549" s="59"/>
      <c r="B549" s="63">
        <f t="shared" si="1"/>
        <v>11</v>
      </c>
      <c r="C549" s="134" t="s">
        <v>97</v>
      </c>
      <c r="D549" s="134" t="s">
        <v>74</v>
      </c>
      <c r="E549" s="135">
        <f t="shared" si="6"/>
        <v>27</v>
      </c>
      <c r="F549" s="134" t="s">
        <v>3621</v>
      </c>
      <c r="G549" s="63" t="str">
        <f>VLOOKUP(C549, 'Class Def. - General Data'!$C$20:$C$1000,1,false)</f>
        <v>ZFG1_BARDET</v>
      </c>
      <c r="H549" s="63" t="str">
        <f>IFERROR(__xludf.DUMMYFUNCTION("VLOOKUP(F549, IMPORTRANGE(""https://docs.google.com/spreadsheets/d/1Lhp9OU0JdFf_VYSMzH5lBcEaU4o8teT1piV-SNzShjg/edit?gid=554141278#gid=554141278"", ""'Char Def. - Attributes'!C20:C2242""), 1,false)"),"EAN_PCS")</f>
        <v>EAN_PCS</v>
      </c>
      <c r="I549" s="136"/>
    </row>
    <row r="550" ht="15.75" customHeight="1">
      <c r="A550" s="59"/>
      <c r="B550" s="63">
        <f t="shared" si="1"/>
        <v>11</v>
      </c>
      <c r="C550" s="134" t="s">
        <v>97</v>
      </c>
      <c r="D550" s="134" t="s">
        <v>74</v>
      </c>
      <c r="E550" s="135">
        <f t="shared" si="6"/>
        <v>28</v>
      </c>
      <c r="F550" s="134" t="s">
        <v>3622</v>
      </c>
      <c r="G550" s="63" t="str">
        <f>VLOOKUP(C550, 'Class Def. - General Data'!$C$20:$C$1000,1,false)</f>
        <v>ZFG1_BARDET</v>
      </c>
      <c r="H550" s="63" t="str">
        <f>IFERROR(__xludf.DUMMYFUNCTION("VLOOKUP(F550, IMPORTRANGE(""https://docs.google.com/spreadsheets/d/1Lhp9OU0JdFf_VYSMzH5lBcEaU4o8teT1piV-SNzShjg/edit?gid=554141278#gid=554141278"", ""'Char Def. - Attributes'!C20:C2242""), 1,false)"),"SFG_BRAND")</f>
        <v>SFG_BRAND</v>
      </c>
      <c r="I550" s="136"/>
    </row>
    <row r="551" ht="15.75" customHeight="1">
      <c r="A551" s="59"/>
      <c r="B551" s="63">
        <f t="shared" si="1"/>
        <v>11</v>
      </c>
      <c r="C551" s="134" t="s">
        <v>97</v>
      </c>
      <c r="D551" s="134" t="s">
        <v>74</v>
      </c>
      <c r="E551" s="135">
        <f t="shared" si="6"/>
        <v>29</v>
      </c>
      <c r="F551" s="134" t="s">
        <v>3623</v>
      </c>
      <c r="G551" s="63" t="str">
        <f>VLOOKUP(C551, 'Class Def. - General Data'!$C$20:$C$1000,1,false)</f>
        <v>ZFG1_BARDET</v>
      </c>
      <c r="H551" s="63" t="str">
        <f>IFERROR(__xludf.DUMMYFUNCTION("VLOOKUP(F551, IMPORTRANGE(""https://docs.google.com/spreadsheets/d/1Lhp9OU0JdFf_VYSMzH5lBcEaU4o8teT1piV-SNzShjg/edit?gid=554141278#gid=554141278"", ""'Char Def. - Attributes'!C20:C2242""), 1,false)"),"LANGUAGE")</f>
        <v>LANGUAGE</v>
      </c>
      <c r="I551" s="136"/>
    </row>
    <row r="552" ht="15.75" customHeight="1">
      <c r="A552" s="59"/>
      <c r="B552" s="63">
        <f t="shared" si="1"/>
        <v>11</v>
      </c>
      <c r="C552" s="139" t="s">
        <v>97</v>
      </c>
      <c r="D552" s="139" t="s">
        <v>74</v>
      </c>
      <c r="E552" s="140">
        <f t="shared" si="6"/>
        <v>30</v>
      </c>
      <c r="F552" s="134" t="s">
        <v>3624</v>
      </c>
      <c r="G552" s="63" t="str">
        <f>VLOOKUP(C552, 'Class Def. - General Data'!$C$20:$C$1000,1,false)</f>
        <v>ZFG1_BARDET</v>
      </c>
      <c r="H552" s="63" t="str">
        <f>IFERROR(__xludf.DUMMYFUNCTION("VLOOKUP(F552, IMPORTRANGE(""https://docs.google.com/spreadsheets/d/1Lhp9OU0JdFf_VYSMzH5lBcEaU4o8teT1piV-SNzShjg/edit?gid=554141278#gid=554141278"", ""'Char Def. - Attributes'!C20:C2242""), 1,false)"),"#N/A")</f>
        <v>#N/A</v>
      </c>
      <c r="I552" s="136"/>
    </row>
    <row r="553" ht="15.75" customHeight="1">
      <c r="A553" s="59"/>
      <c r="B553" s="63">
        <f t="shared" si="1"/>
        <v>11</v>
      </c>
      <c r="C553" s="134" t="s">
        <v>97</v>
      </c>
      <c r="D553" s="134" t="s">
        <v>74</v>
      </c>
      <c r="E553" s="135">
        <f t="shared" si="6"/>
        <v>31</v>
      </c>
      <c r="F553" s="134" t="s">
        <v>3625</v>
      </c>
      <c r="G553" s="63" t="str">
        <f>VLOOKUP(C553, 'Class Def. - General Data'!$C$20:$C$1000,1,false)</f>
        <v>ZFG1_BARDET</v>
      </c>
      <c r="H553" s="63" t="str">
        <f>IFERROR(__xludf.DUMMYFUNCTION("VLOOKUP(F553, IMPORTRANGE(""https://docs.google.com/spreadsheets/d/1Lhp9OU0JdFf_VYSMzH5lBcEaU4o8teT1piV-SNzShjg/edit?gid=554141278#gid=554141278"", ""'Char Def. - Attributes'!C20:C2242""), 1,false)"),"REGION_EKSPOR")</f>
        <v>REGION_EKSPOR</v>
      </c>
      <c r="I553" s="136"/>
    </row>
    <row r="554" ht="15.75" customHeight="1">
      <c r="A554" s="59"/>
      <c r="B554" s="63">
        <f t="shared" si="1"/>
        <v>11</v>
      </c>
      <c r="C554" s="134" t="s">
        <v>97</v>
      </c>
      <c r="D554" s="134" t="s">
        <v>74</v>
      </c>
      <c r="E554" s="135">
        <f t="shared" si="6"/>
        <v>32</v>
      </c>
      <c r="F554" s="134" t="s">
        <v>3626</v>
      </c>
      <c r="G554" s="63" t="str">
        <f>VLOOKUP(C554, 'Class Def. - General Data'!$C$20:$C$1000,1,false)</f>
        <v>ZFG1_BARDET</v>
      </c>
      <c r="H554" s="63" t="str">
        <f>IFERROR(__xludf.DUMMYFUNCTION("VLOOKUP(F554, IMPORTRANGE(""https://docs.google.com/spreadsheets/d/1Lhp9OU0JdFf_VYSMzH5lBcEaU4o8teT1piV-SNzShjg/edit?gid=554141278#gid=554141278"", ""'Char Def. - Attributes'!C20:C2242""), 1,false)"),"STICKER_NOT")</f>
        <v>STICKER_NOT</v>
      </c>
      <c r="I554" s="136"/>
    </row>
    <row r="555" ht="15.75" customHeight="1">
      <c r="A555" s="59"/>
      <c r="B555" s="63">
        <f t="shared" si="1"/>
        <v>11</v>
      </c>
      <c r="C555" s="134" t="s">
        <v>97</v>
      </c>
      <c r="D555" s="134" t="s">
        <v>74</v>
      </c>
      <c r="E555" s="135">
        <f t="shared" si="6"/>
        <v>33</v>
      </c>
      <c r="F555" s="134" t="s">
        <v>3627</v>
      </c>
      <c r="G555" s="63" t="str">
        <f>VLOOKUP(C555, 'Class Def. - General Data'!$C$20:$C$1000,1,false)</f>
        <v>ZFG1_BARDET</v>
      </c>
      <c r="H555" s="63" t="str">
        <f>IFERROR(__xludf.DUMMYFUNCTION("VLOOKUP(F555, IMPORTRANGE(""https://docs.google.com/spreadsheets/d/1Lhp9OU0JdFf_VYSMzH5lBcEaU4o8teT1piV-SNzShjg/edit?gid=554141278#gid=554141278"", ""'Char Def. - Attributes'!C20:C2242""), 1,false)"),"SHIP_MARK")</f>
        <v>SHIP_MARK</v>
      </c>
      <c r="I555" s="136"/>
    </row>
    <row r="556" ht="15.75" customHeight="1">
      <c r="A556" s="59"/>
      <c r="B556" s="63">
        <f t="shared" si="1"/>
        <v>11</v>
      </c>
      <c r="C556" s="134" t="s">
        <v>97</v>
      </c>
      <c r="D556" s="134" t="s">
        <v>74</v>
      </c>
      <c r="E556" s="135">
        <f t="shared" si="6"/>
        <v>34</v>
      </c>
      <c r="F556" s="134" t="s">
        <v>3628</v>
      </c>
      <c r="G556" s="63" t="str">
        <f>VLOOKUP(C556, 'Class Def. - General Data'!$C$20:$C$1000,1,false)</f>
        <v>ZFG1_BARDET</v>
      </c>
      <c r="H556" s="63" t="str">
        <f>IFERROR(__xludf.DUMMYFUNCTION("VLOOKUP(F556, IMPORTRANGE(""https://docs.google.com/spreadsheets/d/1Lhp9OU0JdFf_VYSMzH5lBcEaU4o8teT1piV-SNzShjg/edit?gid=554141278#gid=554141278"", ""'Char Def. - Attributes'!C20:C2242""), 1,false)"),"MID_CORE")</f>
        <v>MID_CORE</v>
      </c>
      <c r="I556" s="136"/>
    </row>
    <row r="557" ht="15.75" customHeight="1">
      <c r="A557" s="59"/>
      <c r="B557" s="63">
        <f t="shared" si="1"/>
        <v>11</v>
      </c>
      <c r="C557" s="134" t="s">
        <v>97</v>
      </c>
      <c r="D557" s="134" t="s">
        <v>74</v>
      </c>
      <c r="E557" s="135">
        <f t="shared" si="6"/>
        <v>35</v>
      </c>
      <c r="F557" s="134" t="s">
        <v>3629</v>
      </c>
      <c r="G557" s="63" t="str">
        <f>VLOOKUP(C557, 'Class Def. - General Data'!$C$20:$C$1000,1,false)</f>
        <v>ZFG1_BARDET</v>
      </c>
      <c r="H557" s="63" t="str">
        <f>IFERROR(__xludf.DUMMYFUNCTION("VLOOKUP(F557, IMPORTRANGE(""https://docs.google.com/spreadsheets/d/1Lhp9OU0JdFf_VYSMzH5lBcEaU4o8teT1piV-SNzShjg/edit?gid=554141278#gid=554141278"", ""'Char Def. - Attributes'!C20:C2242""), 1,false)"),"EAN_CTN")</f>
        <v>EAN_CTN</v>
      </c>
      <c r="I557" s="136"/>
    </row>
    <row r="558" ht="15.75" customHeight="1">
      <c r="A558" s="59"/>
      <c r="B558" s="63">
        <f t="shared" si="1"/>
        <v>11</v>
      </c>
      <c r="C558" s="134" t="s">
        <v>97</v>
      </c>
      <c r="D558" s="134" t="s">
        <v>74</v>
      </c>
      <c r="E558" s="135">
        <f t="shared" si="6"/>
        <v>36</v>
      </c>
      <c r="F558" s="134" t="s">
        <v>3630</v>
      </c>
      <c r="G558" s="63" t="str">
        <f>VLOOKUP(C558, 'Class Def. - General Data'!$C$20:$C$1000,1,false)</f>
        <v>ZFG1_BARDET</v>
      </c>
      <c r="H558" s="63" t="str">
        <f>IFERROR(__xludf.DUMMYFUNCTION("VLOOKUP(F558, IMPORTRANGE(""https://docs.google.com/spreadsheets/d/1Lhp9OU0JdFf_VYSMzH5lBcEaU4o8teT1piV-SNzShjg/edit?gid=554141278#gid=554141278"", ""'Char Def. - Attributes'!C20:C2242""), 1,false)"),"EAN_BOX")</f>
        <v>EAN_BOX</v>
      </c>
      <c r="I558" s="136"/>
    </row>
    <row r="559" ht="15.75" customHeight="1">
      <c r="A559" s="59"/>
      <c r="B559" s="63">
        <f t="shared" si="1"/>
        <v>11</v>
      </c>
      <c r="C559" s="134" t="s">
        <v>97</v>
      </c>
      <c r="D559" s="141" t="s">
        <v>74</v>
      </c>
      <c r="E559" s="135">
        <v>22.0</v>
      </c>
      <c r="F559" s="135" t="s">
        <v>3603</v>
      </c>
      <c r="G559" s="63" t="str">
        <f>VLOOKUP(C559, 'Class Def. - General Data'!$C$20:$C$1000,1,false)</f>
        <v>ZFG1_BARDET</v>
      </c>
      <c r="I559" s="136"/>
    </row>
    <row r="560" ht="15.75" customHeight="1">
      <c r="A560" s="59"/>
      <c r="B560" s="63">
        <f t="shared" si="1"/>
        <v>14</v>
      </c>
      <c r="C560" s="134" t="s">
        <v>98</v>
      </c>
      <c r="D560" s="134" t="s">
        <v>74</v>
      </c>
      <c r="E560" s="135">
        <f t="shared" ref="E560:E595" si="7">COUNTIF($C$20:C560,C560)</f>
        <v>1</v>
      </c>
      <c r="F560" s="134" t="s">
        <v>3642</v>
      </c>
      <c r="G560" s="63" t="str">
        <f>VLOOKUP(C560, 'Class Def. - General Data'!$C$20:$C$1000,1,false)</f>
        <v>ZFG1_BLEACHING</v>
      </c>
      <c r="H560" s="63" t="str">
        <f>IFERROR(__xludf.DUMMYFUNCTION("VLOOKUP(F560, IMPORTRANGE(""https://docs.google.com/spreadsheets/d/1Lhp9OU0JdFf_VYSMzH5lBcEaU4o8teT1piV-SNzShjg/edit?gid=554141278#gid=554141278"", ""'Char Def. - Attributes'!C20:C2242""), 1,false)"),"BRAND_BLEACHING")</f>
        <v>BRAND_BLEACHING</v>
      </c>
      <c r="I560" s="136"/>
    </row>
    <row r="561" ht="15.75" customHeight="1">
      <c r="A561" s="59"/>
      <c r="B561" s="63">
        <f t="shared" si="1"/>
        <v>14</v>
      </c>
      <c r="C561" s="135" t="s">
        <v>98</v>
      </c>
      <c r="D561" s="134" t="s">
        <v>74</v>
      </c>
      <c r="E561" s="135">
        <f t="shared" si="7"/>
        <v>2</v>
      </c>
      <c r="F561" s="134" t="s">
        <v>3643</v>
      </c>
      <c r="G561" s="63" t="str">
        <f>VLOOKUP(C561, 'Class Def. - General Data'!$C$20:$C$1000,1,false)</f>
        <v>ZFG1_BLEACHING</v>
      </c>
      <c r="H561" s="63" t="str">
        <f>IFERROR(__xludf.DUMMYFUNCTION("VLOOKUP(F561, IMPORTRANGE(""https://docs.google.com/spreadsheets/d/1Lhp9OU0JdFf_VYSMzH5lBcEaU4o8teT1piV-SNzShjg/edit?gid=554141278#gid=554141278"", ""'Char Def. - Attributes'!C20:C2242""), 1,false)"),"PSHAPE_BLEACHING")</f>
        <v>PSHAPE_BLEACHING</v>
      </c>
      <c r="I561" s="136"/>
    </row>
    <row r="562" ht="15.75" customHeight="1">
      <c r="A562" s="59"/>
      <c r="B562" s="63">
        <f t="shared" si="1"/>
        <v>14</v>
      </c>
      <c r="C562" s="134" t="s">
        <v>98</v>
      </c>
      <c r="D562" s="134" t="s">
        <v>74</v>
      </c>
      <c r="E562" s="135">
        <f t="shared" si="7"/>
        <v>3</v>
      </c>
      <c r="F562" s="134" t="s">
        <v>3605</v>
      </c>
      <c r="G562" s="63" t="str">
        <f>VLOOKUP(C562, 'Class Def. - General Data'!$C$20:$C$1000,1,false)</f>
        <v>ZFG1_BLEACHING</v>
      </c>
      <c r="H562" s="63" t="str">
        <f>IFERROR(__xludf.DUMMYFUNCTION("VLOOKUP(F562, IMPORTRANGE(""https://docs.google.com/spreadsheets/d/1Lhp9OU0JdFf_VYSMzH5lBcEaU4o8teT1piV-SNzShjg/edit?gid=554141278#gid=554141278"", ""'Char Def. - Attributes'!C20:C2242""), 1,false)"),"PACK_NETTO")</f>
        <v>PACK_NETTO</v>
      </c>
      <c r="I562" s="136"/>
    </row>
    <row r="563" ht="15.75" customHeight="1">
      <c r="A563" s="59"/>
      <c r="B563" s="63">
        <f t="shared" si="1"/>
        <v>14</v>
      </c>
      <c r="C563" s="135" t="s">
        <v>98</v>
      </c>
      <c r="D563" s="134" t="s">
        <v>74</v>
      </c>
      <c r="E563" s="135">
        <f t="shared" si="7"/>
        <v>4</v>
      </c>
      <c r="F563" s="134" t="s">
        <v>3644</v>
      </c>
      <c r="G563" s="63" t="str">
        <f>VLOOKUP(C563, 'Class Def. - General Data'!$C$20:$C$1000,1,false)</f>
        <v>ZFG1_BLEACHING</v>
      </c>
      <c r="H563" s="63" t="str">
        <f>IFERROR(__xludf.DUMMYFUNCTION("VLOOKUP(F563, IMPORTRANGE(""https://docs.google.com/spreadsheets/d/1Lhp9OU0JdFf_VYSMzH5lBcEaU4o8teT1piV-SNzShjg/edit?gid=554141278#gid=554141278"", ""'Char Def. - Attributes'!C20:C2242""), 1,false)"),"PUOM_BLEACHING")</f>
        <v>PUOM_BLEACHING</v>
      </c>
      <c r="I563" s="136"/>
    </row>
    <row r="564" ht="15.75" customHeight="1">
      <c r="A564" s="59"/>
      <c r="B564" s="63">
        <f t="shared" si="1"/>
        <v>14</v>
      </c>
      <c r="C564" s="134" t="s">
        <v>98</v>
      </c>
      <c r="D564" s="134" t="s">
        <v>74</v>
      </c>
      <c r="E564" s="135">
        <f t="shared" si="7"/>
        <v>5</v>
      </c>
      <c r="F564" s="134" t="s">
        <v>3607</v>
      </c>
      <c r="G564" s="63" t="str">
        <f>VLOOKUP(C564, 'Class Def. - General Data'!$C$20:$C$1000,1,false)</f>
        <v>ZFG1_BLEACHING</v>
      </c>
      <c r="H564" s="63" t="str">
        <f>IFERROR(__xludf.DUMMYFUNCTION("VLOOKUP(F564, IMPORTRANGE(""https://docs.google.com/spreadsheets/d/1Lhp9OU0JdFf_VYSMzH5lBcEaU4o8teT1piV-SNzShjg/edit?gid=554141278#gid=554141278"", ""'Char Def. - Attributes'!C20:C2242""), 1,false)"),"VARIAN")</f>
        <v>VARIAN</v>
      </c>
      <c r="I564" s="136"/>
    </row>
    <row r="565" ht="15.75" customHeight="1">
      <c r="A565" s="59"/>
      <c r="B565" s="63">
        <f t="shared" si="1"/>
        <v>14</v>
      </c>
      <c r="C565" s="134" t="s">
        <v>98</v>
      </c>
      <c r="D565" s="134" t="s">
        <v>74</v>
      </c>
      <c r="E565" s="135">
        <f t="shared" si="7"/>
        <v>6</v>
      </c>
      <c r="F565" s="134" t="s">
        <v>3608</v>
      </c>
      <c r="G565" s="63" t="str">
        <f>VLOOKUP(C565, 'Class Def. - General Data'!$C$20:$C$1000,1,false)</f>
        <v>ZFG1_BLEACHING</v>
      </c>
      <c r="H565" s="63" t="str">
        <f>IFERROR(__xludf.DUMMYFUNCTION("VLOOKUP(F565, IMPORTRANGE(""https://docs.google.com/spreadsheets/d/1Lhp9OU0JdFf_VYSMzH5lBcEaU4o8teT1piV-SNzShjg/edit?gid=554141278#gid=554141278"", ""'Char Def. - Attributes'!C20:C2242""), 1,false)"),"PROJECT_NAME")</f>
        <v>PROJECT_NAME</v>
      </c>
      <c r="I565" s="136"/>
    </row>
    <row r="566" ht="15.75" customHeight="1">
      <c r="A566" s="59"/>
      <c r="B566" s="63">
        <f t="shared" si="1"/>
        <v>14</v>
      </c>
      <c r="C566" s="134" t="s">
        <v>98</v>
      </c>
      <c r="D566" s="134" t="s">
        <v>74</v>
      </c>
      <c r="E566" s="135">
        <f t="shared" si="7"/>
        <v>7</v>
      </c>
      <c r="F566" s="134" t="s">
        <v>3609</v>
      </c>
      <c r="G566" s="63" t="str">
        <f>VLOOKUP(C566, 'Class Def. - General Data'!$C$20:$C$1000,1,false)</f>
        <v>ZFG1_BLEACHING</v>
      </c>
      <c r="H566" s="63" t="str">
        <f>IFERROR(__xludf.DUMMYFUNCTION("VLOOKUP(F566, IMPORTRANGE(""https://docs.google.com/spreadsheets/d/1Lhp9OU0JdFf_VYSMzH5lBcEaU4o8teT1piV-SNzShjg/edit?gid=554141278#gid=554141278"", ""'Char Def. - Attributes'!C20:C2242""), 1,false)"),"ADDITIONAL_PROMO")</f>
        <v>ADDITIONAL_PROMO</v>
      </c>
      <c r="I566" s="136"/>
    </row>
    <row r="567" ht="15.75" customHeight="1">
      <c r="A567" s="59"/>
      <c r="B567" s="63">
        <f t="shared" si="1"/>
        <v>14</v>
      </c>
      <c r="C567" s="134" t="s">
        <v>98</v>
      </c>
      <c r="D567" s="134" t="s">
        <v>74</v>
      </c>
      <c r="E567" s="135">
        <f t="shared" si="7"/>
        <v>8</v>
      </c>
      <c r="F567" s="134" t="s">
        <v>3610</v>
      </c>
      <c r="G567" s="63" t="str">
        <f>VLOOKUP(C567, 'Class Def. - General Data'!$C$20:$C$1000,1,false)</f>
        <v>ZFG1_BLEACHING</v>
      </c>
      <c r="H567" s="63" t="str">
        <f>IFERROR(__xludf.DUMMYFUNCTION("VLOOKUP(F567, IMPORTRANGE(""https://docs.google.com/spreadsheets/d/1Lhp9OU0JdFf_VYSMzH5lBcEaU4o8teT1piV-SNzShjg/edit?gid=554141278#gid=554141278"", ""'Char Def. - Attributes'!C20:C2242""), 1,false)"),"BANDED_PROMO")</f>
        <v>BANDED_PROMO</v>
      </c>
      <c r="I567" s="136"/>
    </row>
    <row r="568" ht="15.75" customHeight="1">
      <c r="A568" s="59"/>
      <c r="B568" s="63">
        <f t="shared" si="1"/>
        <v>14</v>
      </c>
      <c r="C568" s="134" t="s">
        <v>98</v>
      </c>
      <c r="D568" s="134" t="s">
        <v>74</v>
      </c>
      <c r="E568" s="135">
        <f t="shared" si="7"/>
        <v>9</v>
      </c>
      <c r="F568" s="134" t="s">
        <v>3611</v>
      </c>
      <c r="G568" s="63" t="str">
        <f>VLOOKUP(C568, 'Class Def. - General Data'!$C$20:$C$1000,1,false)</f>
        <v>ZFG1_BLEACHING</v>
      </c>
      <c r="H568" s="63" t="str">
        <f>IFERROR(__xludf.DUMMYFUNCTION("VLOOKUP(F568, IMPORTRANGE(""https://docs.google.com/spreadsheets/d/1Lhp9OU0JdFf_VYSMzH5lBcEaU4o8teT1piV-SNzShjg/edit?gid=554141278#gid=554141278"", ""'Char Def. - Attributes'!C20:C2242""), 1,false)"),"LOKAL_EKSPOR")</f>
        <v>LOKAL_EKSPOR</v>
      </c>
      <c r="I568" s="136"/>
    </row>
    <row r="569" ht="15.75" customHeight="1">
      <c r="A569" s="59"/>
      <c r="B569" s="63">
        <f t="shared" si="1"/>
        <v>14</v>
      </c>
      <c r="C569" s="134" t="s">
        <v>98</v>
      </c>
      <c r="D569" s="134" t="s">
        <v>74</v>
      </c>
      <c r="E569" s="135">
        <f t="shared" si="7"/>
        <v>10</v>
      </c>
      <c r="F569" s="134" t="s">
        <v>3612</v>
      </c>
      <c r="G569" s="63" t="str">
        <f>VLOOKUP(C569, 'Class Def. - General Data'!$C$20:$C$1000,1,false)</f>
        <v>ZFG1_BLEACHING</v>
      </c>
      <c r="H569" s="63" t="str">
        <f>IFERROR(__xludf.DUMMYFUNCTION("VLOOKUP(F569, IMPORTRANGE(""https://docs.google.com/spreadsheets/d/1Lhp9OU0JdFf_VYSMzH5lBcEaU4o8teT1piV-SNzShjg/edit?gid=554141278#gid=554141278"", ""'Char Def. - Attributes'!C20:C2242""), 1,false)"),"COUNTRY_EKSPOR")</f>
        <v>COUNTRY_EKSPOR</v>
      </c>
      <c r="I569" s="136"/>
    </row>
    <row r="570" ht="15.75" customHeight="1">
      <c r="A570" s="59"/>
      <c r="B570" s="63">
        <f t="shared" si="1"/>
        <v>14</v>
      </c>
      <c r="C570" s="134" t="s">
        <v>98</v>
      </c>
      <c r="D570" s="134" t="s">
        <v>74</v>
      </c>
      <c r="E570" s="135">
        <f t="shared" si="7"/>
        <v>11</v>
      </c>
      <c r="F570" s="134" t="s">
        <v>3613</v>
      </c>
      <c r="G570" s="63" t="str">
        <f>VLOOKUP(C570, 'Class Def. - General Data'!$C$20:$C$1000,1,false)</f>
        <v>ZFG1_BLEACHING</v>
      </c>
      <c r="H570" s="63" t="str">
        <f>IFERROR(__xludf.DUMMYFUNCTION("VLOOKUP(F570, IMPORTRANGE(""https://docs.google.com/spreadsheets/d/1Lhp9OU0JdFf_VYSMzH5lBcEaU4o8teT1piV-SNzShjg/edit?gid=554141278#gid=554141278"", ""'Char Def. - Attributes'!C20:C2242""), 1,false)"),"WARNA_SFG")</f>
        <v>WARNA_SFG</v>
      </c>
      <c r="I570" s="136"/>
    </row>
    <row r="571" ht="15.75" customHeight="1">
      <c r="A571" s="59"/>
      <c r="B571" s="63">
        <f t="shared" si="1"/>
        <v>14</v>
      </c>
      <c r="C571" s="134" t="s">
        <v>98</v>
      </c>
      <c r="D571" s="134" t="s">
        <v>74</v>
      </c>
      <c r="E571" s="135">
        <f t="shared" si="7"/>
        <v>12</v>
      </c>
      <c r="F571" s="134" t="s">
        <v>3582</v>
      </c>
      <c r="G571" s="63" t="str">
        <f>VLOOKUP(C571, 'Class Def. - General Data'!$C$20:$C$1000,1,false)</f>
        <v>ZFG1_BLEACHING</v>
      </c>
      <c r="H571" s="63" t="str">
        <f>IFERROR(__xludf.DUMMYFUNCTION("VLOOKUP(F571, IMPORTRANGE(""https://docs.google.com/spreadsheets/d/1Lhp9OU0JdFf_VYSMzH5lBcEaU4o8teT1piV-SNzShjg/edit?gid=554141278#gid=554141278"", ""'Char Def. - Attributes'!C20:C2242""), 1,false)"),"BASE_UNIT")</f>
        <v>BASE_UNIT</v>
      </c>
      <c r="I571" s="136"/>
    </row>
    <row r="572" ht="15.75" customHeight="1">
      <c r="A572" s="59"/>
      <c r="B572" s="63">
        <f t="shared" si="1"/>
        <v>14</v>
      </c>
      <c r="C572" s="134" t="s">
        <v>98</v>
      </c>
      <c r="D572" s="134" t="s">
        <v>74</v>
      </c>
      <c r="E572" s="135">
        <f t="shared" si="7"/>
        <v>13</v>
      </c>
      <c r="F572" s="134" t="s">
        <v>3583</v>
      </c>
      <c r="G572" s="63" t="str">
        <f>VLOOKUP(C572, 'Class Def. - General Data'!$C$20:$C$1000,1,false)</f>
        <v>ZFG1_BLEACHING</v>
      </c>
      <c r="H572" s="63" t="str">
        <f>IFERROR(__xludf.DUMMYFUNCTION("VLOOKUP(F572, IMPORTRANGE(""https://docs.google.com/spreadsheets/d/1Lhp9OU0JdFf_VYSMzH5lBcEaU4o8teT1piV-SNzShjg/edit?gid=554141278#gid=554141278"", ""'Char Def. - Attributes'!C20:C2242""), 1,false)"),"SALES_UNIT")</f>
        <v>SALES_UNIT</v>
      </c>
      <c r="I572" s="136"/>
    </row>
    <row r="573" ht="15.75" customHeight="1">
      <c r="A573" s="59"/>
      <c r="B573" s="63">
        <f t="shared" si="1"/>
        <v>14</v>
      </c>
      <c r="C573" s="134" t="s">
        <v>98</v>
      </c>
      <c r="D573" s="134" t="s">
        <v>74</v>
      </c>
      <c r="E573" s="135">
        <f t="shared" si="7"/>
        <v>14</v>
      </c>
      <c r="F573" s="134" t="s">
        <v>3601</v>
      </c>
      <c r="G573" s="63" t="str">
        <f>VLOOKUP(C573, 'Class Def. - General Data'!$C$20:$C$1000,1,false)</f>
        <v>ZFG1_BLEACHING</v>
      </c>
      <c r="H573" s="63" t="str">
        <f>IFERROR(__xludf.DUMMYFUNCTION("VLOOKUP(F573, IMPORTRANGE(""https://docs.google.com/spreadsheets/d/1Lhp9OU0JdFf_VYSMzH5lBcEaU4o8teT1piV-SNzShjg/edit?gid=554141278#gid=554141278"", ""'Char Def. - Attributes'!C20:C2242""), 1,false)"),"GROSS_WEIGHT")</f>
        <v>GROSS_WEIGHT</v>
      </c>
      <c r="I573" s="136"/>
    </row>
    <row r="574" ht="15.75" customHeight="1">
      <c r="A574" s="59"/>
      <c r="B574" s="63">
        <f t="shared" si="1"/>
        <v>14</v>
      </c>
      <c r="C574" s="134" t="s">
        <v>98</v>
      </c>
      <c r="D574" s="134" t="s">
        <v>74</v>
      </c>
      <c r="E574" s="135">
        <f t="shared" si="7"/>
        <v>15</v>
      </c>
      <c r="F574" s="134" t="s">
        <v>3602</v>
      </c>
      <c r="G574" s="63" t="str">
        <f>VLOOKUP(C574, 'Class Def. - General Data'!$C$20:$C$1000,1,false)</f>
        <v>ZFG1_BLEACHING</v>
      </c>
      <c r="H574" s="63" t="str">
        <f>IFERROR(__xludf.DUMMYFUNCTION("VLOOKUP(F574, IMPORTRANGE(""https://docs.google.com/spreadsheets/d/1Lhp9OU0JdFf_VYSMzH5lBcEaU4o8teT1piV-SNzShjg/edit?gid=554141278#gid=554141278"", ""'Char Def. - Attributes'!C20:C2242""), 1,false)"),"NET_WEIGHT")</f>
        <v>NET_WEIGHT</v>
      </c>
      <c r="I574" s="136"/>
    </row>
    <row r="575" ht="15.75" customHeight="1">
      <c r="A575" s="59"/>
      <c r="B575" s="63">
        <f t="shared" si="1"/>
        <v>14</v>
      </c>
      <c r="C575" s="134" t="s">
        <v>98</v>
      </c>
      <c r="D575" s="134" t="s">
        <v>74</v>
      </c>
      <c r="E575" s="135">
        <f t="shared" si="7"/>
        <v>16</v>
      </c>
      <c r="F575" s="134" t="s">
        <v>3584</v>
      </c>
      <c r="G575" s="63" t="str">
        <f>VLOOKUP(C575, 'Class Def. - General Data'!$C$20:$C$1000,1,false)</f>
        <v>ZFG1_BLEACHING</v>
      </c>
      <c r="H575" s="63" t="str">
        <f>IFERROR(__xludf.DUMMYFUNCTION("VLOOKUP(F575, IMPORTRANGE(""https://docs.google.com/spreadsheets/d/1Lhp9OU0JdFf_VYSMzH5lBcEaU4o8teT1piV-SNzShjg/edit?gid=554141278#gid=554141278"", ""'Char Def. - Attributes'!C20:C2242""), 1,false)"),"UNIT_PER_BOX")</f>
        <v>UNIT_PER_BOX</v>
      </c>
      <c r="I575" s="136"/>
    </row>
    <row r="576" ht="15.75" customHeight="1">
      <c r="A576" s="59"/>
      <c r="B576" s="63">
        <f t="shared" si="1"/>
        <v>14</v>
      </c>
      <c r="C576" s="134" t="s">
        <v>98</v>
      </c>
      <c r="D576" s="134" t="s">
        <v>74</v>
      </c>
      <c r="E576" s="135">
        <f t="shared" si="7"/>
        <v>17</v>
      </c>
      <c r="F576" s="134" t="s">
        <v>3614</v>
      </c>
      <c r="G576" s="63" t="str">
        <f>VLOOKUP(C576, 'Class Def. - General Data'!$C$20:$C$1000,1,false)</f>
        <v>ZFG1_BLEACHING</v>
      </c>
      <c r="H576" s="63" t="str">
        <f>IFERROR(__xludf.DUMMYFUNCTION("VLOOKUP(F576, IMPORTRANGE(""https://docs.google.com/spreadsheets/d/1Lhp9OU0JdFf_VYSMzH5lBcEaU4o8teT1piV-SNzShjg/edit?gid=554141278#gid=554141278"", ""'Char Def. - Attributes'!C20:C2242""), 1,false)"),"UNIT_PER_CTN")</f>
        <v>UNIT_PER_CTN</v>
      </c>
      <c r="I576" s="136"/>
    </row>
    <row r="577" ht="15.75" customHeight="1">
      <c r="A577" s="59"/>
      <c r="B577" s="63">
        <f t="shared" si="1"/>
        <v>14</v>
      </c>
      <c r="C577" s="134" t="s">
        <v>98</v>
      </c>
      <c r="D577" s="134" t="s">
        <v>74</v>
      </c>
      <c r="E577" s="135">
        <f t="shared" si="7"/>
        <v>18</v>
      </c>
      <c r="F577" s="134" t="s">
        <v>3615</v>
      </c>
      <c r="G577" s="63" t="str">
        <f>VLOOKUP(C577, 'Class Def. - General Data'!$C$20:$C$1000,1,false)</f>
        <v>ZFG1_BLEACHING</v>
      </c>
      <c r="H577" s="63" t="str">
        <f>IFERROR(__xludf.DUMMYFUNCTION("VLOOKUP(F577, IMPORTRANGE(""https://docs.google.com/spreadsheets/d/1Lhp9OU0JdFf_VYSMzH5lBcEaU4o8teT1piV-SNzShjg/edit?gid=554141278#gid=554141278"", ""'Char Def. - Attributes'!C20:C2242""), 1,false)"),"UNIT_PER_BAG")</f>
        <v>UNIT_PER_BAG</v>
      </c>
      <c r="I577" s="136"/>
    </row>
    <row r="578" ht="15.75" customHeight="1">
      <c r="A578" s="59"/>
      <c r="B578" s="63">
        <f t="shared" si="1"/>
        <v>14</v>
      </c>
      <c r="C578" s="134" t="s">
        <v>98</v>
      </c>
      <c r="D578" s="134" t="s">
        <v>74</v>
      </c>
      <c r="E578" s="135">
        <f t="shared" si="7"/>
        <v>19</v>
      </c>
      <c r="F578" s="134" t="s">
        <v>3616</v>
      </c>
      <c r="G578" s="63" t="str">
        <f>VLOOKUP(C578, 'Class Def. - General Data'!$C$20:$C$1000,1,false)</f>
        <v>ZFG1_BLEACHING</v>
      </c>
      <c r="H578" s="63" t="str">
        <f>IFERROR(__xludf.DUMMYFUNCTION("VLOOKUP(F578, IMPORTRANGE(""https://docs.google.com/spreadsheets/d/1Lhp9OU0JdFf_VYSMzH5lBcEaU4o8teT1piV-SNzShjg/edit?gid=554141278#gid=554141278"", ""'Char Def. - Attributes'!C20:C2242""), 1,false)"),"UNIT_PER_PAL")</f>
        <v>UNIT_PER_PAL</v>
      </c>
      <c r="I578" s="136"/>
    </row>
    <row r="579" ht="15.75" customHeight="1">
      <c r="A579" s="59"/>
      <c r="B579" s="63">
        <f t="shared" si="1"/>
        <v>14</v>
      </c>
      <c r="C579" s="134" t="s">
        <v>98</v>
      </c>
      <c r="D579" s="134" t="s">
        <v>74</v>
      </c>
      <c r="E579" s="135">
        <f t="shared" si="7"/>
        <v>20</v>
      </c>
      <c r="F579" s="134" t="s">
        <v>3617</v>
      </c>
      <c r="G579" s="63" t="str">
        <f>VLOOKUP(C579, 'Class Def. - General Data'!$C$20:$C$1000,1,false)</f>
        <v>ZFG1_BLEACHING</v>
      </c>
      <c r="H579" s="63" t="str">
        <f>IFERROR(__xludf.DUMMYFUNCTION("VLOOKUP(F579, IMPORTRANGE(""https://docs.google.com/spreadsheets/d/1Lhp9OU0JdFf_VYSMzH5lBcEaU4o8teT1piV-SNzShjg/edit?gid=554141278#gid=554141278"", ""'Char Def. - Attributes'!C20:C2242""), 1,false)"),"UNIT_PER_TIER")</f>
        <v>UNIT_PER_TIER</v>
      </c>
      <c r="I579" s="136"/>
    </row>
    <row r="580" ht="15.75" customHeight="1">
      <c r="A580" s="59"/>
      <c r="B580" s="63">
        <f t="shared" si="1"/>
        <v>14</v>
      </c>
      <c r="C580" s="134" t="s">
        <v>98</v>
      </c>
      <c r="D580" s="134" t="s">
        <v>74</v>
      </c>
      <c r="E580" s="135">
        <f t="shared" si="7"/>
        <v>21</v>
      </c>
      <c r="F580" s="134" t="s">
        <v>3618</v>
      </c>
      <c r="G580" s="63" t="str">
        <f>VLOOKUP(C580, 'Class Def. - General Data'!$C$20:$C$1000,1,false)</f>
        <v>ZFG1_BLEACHING</v>
      </c>
      <c r="H580" s="63" t="str">
        <f>IFERROR(__xludf.DUMMYFUNCTION("VLOOKUP(F580, IMPORTRANGE(""https://docs.google.com/spreadsheets/d/1Lhp9OU0JdFf_VYSMzH5lBcEaU4o8teT1piV-SNzShjg/edit?gid=554141278#gid=554141278"", ""'Char Def. - Attributes'!C20:C2242""), 1,false)"),"HEIGHT")</f>
        <v>HEIGHT</v>
      </c>
      <c r="I580" s="136"/>
    </row>
    <row r="581" ht="15.75" customHeight="1">
      <c r="A581" s="59"/>
      <c r="B581" s="63">
        <f t="shared" si="1"/>
        <v>14</v>
      </c>
      <c r="C581" s="134" t="s">
        <v>98</v>
      </c>
      <c r="D581" s="134" t="s">
        <v>74</v>
      </c>
      <c r="E581" s="135">
        <f t="shared" si="7"/>
        <v>22</v>
      </c>
      <c r="F581" s="134" t="s">
        <v>3587</v>
      </c>
      <c r="G581" s="63" t="str">
        <f>VLOOKUP(C581, 'Class Def. - General Data'!$C$20:$C$1000,1,false)</f>
        <v>ZFG1_BLEACHING</v>
      </c>
      <c r="H581" s="63" t="str">
        <f>IFERROR(__xludf.DUMMYFUNCTION("VLOOKUP(F581, IMPORTRANGE(""https://docs.google.com/spreadsheets/d/1Lhp9OU0JdFf_VYSMzH5lBcEaU4o8teT1piV-SNzShjg/edit?gid=554141278#gid=554141278"", ""'Char Def. - Attributes'!C20:C2242""), 1,false)"),"PLANT_BUY")</f>
        <v>PLANT_BUY</v>
      </c>
      <c r="I581" s="136"/>
    </row>
    <row r="582" ht="15.75" customHeight="1">
      <c r="A582" s="59"/>
      <c r="B582" s="63">
        <f t="shared" si="1"/>
        <v>14</v>
      </c>
      <c r="C582" s="134" t="s">
        <v>98</v>
      </c>
      <c r="D582" s="134" t="s">
        <v>74</v>
      </c>
      <c r="E582" s="135">
        <f t="shared" si="7"/>
        <v>23</v>
      </c>
      <c r="F582" s="134" t="s">
        <v>3619</v>
      </c>
      <c r="G582" s="63" t="str">
        <f>VLOOKUP(C582, 'Class Def. - General Data'!$C$20:$C$1000,1,false)</f>
        <v>ZFG1_BLEACHING</v>
      </c>
      <c r="H582" s="63" t="str">
        <f>IFERROR(__xludf.DUMMYFUNCTION("VLOOKUP(F582, IMPORTRANGE(""https://docs.google.com/spreadsheets/d/1Lhp9OU0JdFf_VYSMzH5lBcEaU4o8teT1piV-SNzShjg/edit?gid=554141278#gid=554141278"", ""'Char Def. - Attributes'!C20:C2242""), 1,false)"),"LENGTH")</f>
        <v>LENGTH</v>
      </c>
      <c r="I582" s="136"/>
    </row>
    <row r="583" ht="15.75" customHeight="1">
      <c r="A583" s="59"/>
      <c r="B583" s="63">
        <f t="shared" si="1"/>
        <v>14</v>
      </c>
      <c r="C583" s="134" t="s">
        <v>98</v>
      </c>
      <c r="D583" s="134" t="s">
        <v>74</v>
      </c>
      <c r="E583" s="135">
        <f t="shared" si="7"/>
        <v>24</v>
      </c>
      <c r="F583" s="134" t="s">
        <v>3586</v>
      </c>
      <c r="G583" s="63" t="str">
        <f>VLOOKUP(C583, 'Class Def. - General Data'!$C$20:$C$1000,1,false)</f>
        <v>ZFG1_BLEACHING</v>
      </c>
      <c r="H583" s="63" t="str">
        <f>IFERROR(__xludf.DUMMYFUNCTION("VLOOKUP(F583, IMPORTRANGE(""https://docs.google.com/spreadsheets/d/1Lhp9OU0JdFf_VYSMzH5lBcEaU4o8teT1piV-SNzShjg/edit?gid=554141278#gid=554141278"", ""'Char Def. - Attributes'!C20:C2242""), 1,false)"),"PLANT_PROD")</f>
        <v>PLANT_PROD</v>
      </c>
      <c r="I583" s="136"/>
    </row>
    <row r="584" ht="15.75" customHeight="1">
      <c r="A584" s="59"/>
      <c r="B584" s="63">
        <f t="shared" si="1"/>
        <v>14</v>
      </c>
      <c r="C584" s="134" t="s">
        <v>98</v>
      </c>
      <c r="D584" s="134" t="s">
        <v>74</v>
      </c>
      <c r="E584" s="135">
        <f t="shared" si="7"/>
        <v>25</v>
      </c>
      <c r="F584" s="134" t="s">
        <v>3620</v>
      </c>
      <c r="G584" s="63" t="str">
        <f>VLOOKUP(C584, 'Class Def. - General Data'!$C$20:$C$1000,1,false)</f>
        <v>ZFG1_BLEACHING</v>
      </c>
      <c r="H584" s="63" t="str">
        <f>IFERROR(__xludf.DUMMYFUNCTION("VLOOKUP(F584, IMPORTRANGE(""https://docs.google.com/spreadsheets/d/1Lhp9OU0JdFf_VYSMzH5lBcEaU4o8teT1piV-SNzShjg/edit?gid=554141278#gid=554141278"", ""'Char Def. - Attributes'!C20:C2242""), 1,false)"),"WIDTH")</f>
        <v>WIDTH</v>
      </c>
      <c r="I584" s="136"/>
    </row>
    <row r="585" ht="15.75" customHeight="1">
      <c r="A585" s="59"/>
      <c r="B585" s="63">
        <f t="shared" si="1"/>
        <v>14</v>
      </c>
      <c r="C585" s="134" t="s">
        <v>98</v>
      </c>
      <c r="D585" s="134" t="s">
        <v>74</v>
      </c>
      <c r="E585" s="135">
        <f t="shared" si="7"/>
        <v>26</v>
      </c>
      <c r="F585" s="134" t="s">
        <v>3585</v>
      </c>
      <c r="G585" s="63" t="str">
        <f>VLOOKUP(C585, 'Class Def. - General Data'!$C$20:$C$1000,1,false)</f>
        <v>ZFG1_BLEACHING</v>
      </c>
      <c r="H585" s="63" t="str">
        <f>IFERROR(__xludf.DUMMYFUNCTION("VLOOKUP(F585, IMPORTRANGE(""https://docs.google.com/spreadsheets/d/1Lhp9OU0JdFf_VYSMzH5lBcEaU4o8teT1piV-SNzShjg/edit?gid=554141278#gid=554141278"", ""'Char Def. - Attributes'!C20:C2242""), 1,false)"),"HS_CODE")</f>
        <v>HS_CODE</v>
      </c>
      <c r="I585" s="136"/>
    </row>
    <row r="586" ht="15.75" customHeight="1">
      <c r="A586" s="59"/>
      <c r="B586" s="63">
        <f t="shared" si="1"/>
        <v>14</v>
      </c>
      <c r="C586" s="134" t="s">
        <v>98</v>
      </c>
      <c r="D586" s="134" t="s">
        <v>74</v>
      </c>
      <c r="E586" s="135">
        <f t="shared" si="7"/>
        <v>27</v>
      </c>
      <c r="F586" s="134" t="s">
        <v>3621</v>
      </c>
      <c r="G586" s="63" t="str">
        <f>VLOOKUP(C586, 'Class Def. - General Data'!$C$20:$C$1000,1,false)</f>
        <v>ZFG1_BLEACHING</v>
      </c>
      <c r="H586" s="63" t="str">
        <f>IFERROR(__xludf.DUMMYFUNCTION("VLOOKUP(F586, IMPORTRANGE(""https://docs.google.com/spreadsheets/d/1Lhp9OU0JdFf_VYSMzH5lBcEaU4o8teT1piV-SNzShjg/edit?gid=554141278#gid=554141278"", ""'Char Def. - Attributes'!C20:C2242""), 1,false)"),"EAN_PCS")</f>
        <v>EAN_PCS</v>
      </c>
      <c r="I586" s="136"/>
    </row>
    <row r="587" ht="15.75" customHeight="1">
      <c r="A587" s="59"/>
      <c r="B587" s="63">
        <f t="shared" si="1"/>
        <v>14</v>
      </c>
      <c r="C587" s="134" t="s">
        <v>98</v>
      </c>
      <c r="D587" s="134" t="s">
        <v>74</v>
      </c>
      <c r="E587" s="135">
        <f t="shared" si="7"/>
        <v>28</v>
      </c>
      <c r="F587" s="134" t="s">
        <v>3622</v>
      </c>
      <c r="G587" s="63" t="str">
        <f>VLOOKUP(C587, 'Class Def. - General Data'!$C$20:$C$1000,1,false)</f>
        <v>ZFG1_BLEACHING</v>
      </c>
      <c r="H587" s="63" t="str">
        <f>IFERROR(__xludf.DUMMYFUNCTION("VLOOKUP(F587, IMPORTRANGE(""https://docs.google.com/spreadsheets/d/1Lhp9OU0JdFf_VYSMzH5lBcEaU4o8teT1piV-SNzShjg/edit?gid=554141278#gid=554141278"", ""'Char Def. - Attributes'!C20:C2242""), 1,false)"),"SFG_BRAND")</f>
        <v>SFG_BRAND</v>
      </c>
      <c r="I587" s="136"/>
    </row>
    <row r="588" ht="15.75" customHeight="1">
      <c r="A588" s="59"/>
      <c r="B588" s="63">
        <f t="shared" si="1"/>
        <v>14</v>
      </c>
      <c r="C588" s="134" t="s">
        <v>98</v>
      </c>
      <c r="D588" s="134" t="s">
        <v>74</v>
      </c>
      <c r="E588" s="135">
        <f t="shared" si="7"/>
        <v>29</v>
      </c>
      <c r="F588" s="134" t="s">
        <v>3623</v>
      </c>
      <c r="G588" s="63" t="str">
        <f>VLOOKUP(C588, 'Class Def. - General Data'!$C$20:$C$1000,1,false)</f>
        <v>ZFG1_BLEACHING</v>
      </c>
      <c r="H588" s="63" t="str">
        <f>IFERROR(__xludf.DUMMYFUNCTION("VLOOKUP(F588, IMPORTRANGE(""https://docs.google.com/spreadsheets/d/1Lhp9OU0JdFf_VYSMzH5lBcEaU4o8teT1piV-SNzShjg/edit?gid=554141278#gid=554141278"", ""'Char Def. - Attributes'!C20:C2242""), 1,false)"),"LANGUAGE")</f>
        <v>LANGUAGE</v>
      </c>
      <c r="I588" s="136"/>
    </row>
    <row r="589" ht="15.75" customHeight="1">
      <c r="A589" s="59"/>
      <c r="B589" s="63">
        <f t="shared" si="1"/>
        <v>14</v>
      </c>
      <c r="C589" s="139" t="s">
        <v>98</v>
      </c>
      <c r="D589" s="139" t="s">
        <v>74</v>
      </c>
      <c r="E589" s="140">
        <f t="shared" si="7"/>
        <v>30</v>
      </c>
      <c r="F589" s="134" t="s">
        <v>3624</v>
      </c>
      <c r="G589" s="63" t="str">
        <f>VLOOKUP(C589, 'Class Def. - General Data'!$C$20:$C$1000,1,false)</f>
        <v>ZFG1_BLEACHING</v>
      </c>
      <c r="H589" s="63" t="str">
        <f>IFERROR(__xludf.DUMMYFUNCTION("VLOOKUP(F589, IMPORTRANGE(""https://docs.google.com/spreadsheets/d/1Lhp9OU0JdFf_VYSMzH5lBcEaU4o8teT1piV-SNzShjg/edit?gid=554141278#gid=554141278"", ""'Char Def. - Attributes'!C20:C2242""), 1,false)"),"#N/A")</f>
        <v>#N/A</v>
      </c>
      <c r="I589" s="136"/>
    </row>
    <row r="590" ht="15.75" customHeight="1">
      <c r="A590" s="59"/>
      <c r="B590" s="63">
        <f t="shared" si="1"/>
        <v>14</v>
      </c>
      <c r="C590" s="134" t="s">
        <v>98</v>
      </c>
      <c r="D590" s="134" t="s">
        <v>74</v>
      </c>
      <c r="E590" s="135">
        <f t="shared" si="7"/>
        <v>31</v>
      </c>
      <c r="F590" s="134" t="s">
        <v>3625</v>
      </c>
      <c r="G590" s="63" t="str">
        <f>VLOOKUP(C590, 'Class Def. - General Data'!$C$20:$C$1000,1,false)</f>
        <v>ZFG1_BLEACHING</v>
      </c>
      <c r="H590" s="63" t="str">
        <f>IFERROR(__xludf.DUMMYFUNCTION("VLOOKUP(F590, IMPORTRANGE(""https://docs.google.com/spreadsheets/d/1Lhp9OU0JdFf_VYSMzH5lBcEaU4o8teT1piV-SNzShjg/edit?gid=554141278#gid=554141278"", ""'Char Def. - Attributes'!C20:C2242""), 1,false)"),"REGION_EKSPOR")</f>
        <v>REGION_EKSPOR</v>
      </c>
      <c r="I590" s="136"/>
    </row>
    <row r="591" ht="15.75" customHeight="1">
      <c r="A591" s="59"/>
      <c r="B591" s="63">
        <f t="shared" si="1"/>
        <v>14</v>
      </c>
      <c r="C591" s="134" t="s">
        <v>98</v>
      </c>
      <c r="D591" s="134" t="s">
        <v>74</v>
      </c>
      <c r="E591" s="135">
        <f t="shared" si="7"/>
        <v>32</v>
      </c>
      <c r="F591" s="134" t="s">
        <v>3626</v>
      </c>
      <c r="G591" s="63" t="str">
        <f>VLOOKUP(C591, 'Class Def. - General Data'!$C$20:$C$1000,1,false)</f>
        <v>ZFG1_BLEACHING</v>
      </c>
      <c r="H591" s="63" t="str">
        <f>IFERROR(__xludf.DUMMYFUNCTION("VLOOKUP(F591, IMPORTRANGE(""https://docs.google.com/spreadsheets/d/1Lhp9OU0JdFf_VYSMzH5lBcEaU4o8teT1piV-SNzShjg/edit?gid=554141278#gid=554141278"", ""'Char Def. - Attributes'!C20:C2242""), 1,false)"),"STICKER_NOT")</f>
        <v>STICKER_NOT</v>
      </c>
      <c r="I591" s="136"/>
    </row>
    <row r="592" ht="15.75" customHeight="1">
      <c r="A592" s="59"/>
      <c r="B592" s="63">
        <f t="shared" si="1"/>
        <v>14</v>
      </c>
      <c r="C592" s="134" t="s">
        <v>98</v>
      </c>
      <c r="D592" s="134" t="s">
        <v>74</v>
      </c>
      <c r="E592" s="135">
        <f t="shared" si="7"/>
        <v>33</v>
      </c>
      <c r="F592" s="134" t="s">
        <v>3627</v>
      </c>
      <c r="G592" s="63" t="str">
        <f>VLOOKUP(C592, 'Class Def. - General Data'!$C$20:$C$1000,1,false)</f>
        <v>ZFG1_BLEACHING</v>
      </c>
      <c r="H592" s="63" t="str">
        <f>IFERROR(__xludf.DUMMYFUNCTION("VLOOKUP(F592, IMPORTRANGE(""https://docs.google.com/spreadsheets/d/1Lhp9OU0JdFf_VYSMzH5lBcEaU4o8teT1piV-SNzShjg/edit?gid=554141278#gid=554141278"", ""'Char Def. - Attributes'!C20:C2242""), 1,false)"),"SHIP_MARK")</f>
        <v>SHIP_MARK</v>
      </c>
      <c r="I592" s="136"/>
    </row>
    <row r="593" ht="15.75" customHeight="1">
      <c r="A593" s="59"/>
      <c r="B593" s="63">
        <f t="shared" si="1"/>
        <v>14</v>
      </c>
      <c r="C593" s="134" t="s">
        <v>98</v>
      </c>
      <c r="D593" s="134" t="s">
        <v>74</v>
      </c>
      <c r="E593" s="135">
        <f t="shared" si="7"/>
        <v>34</v>
      </c>
      <c r="F593" s="134" t="s">
        <v>3628</v>
      </c>
      <c r="G593" s="63" t="str">
        <f>VLOOKUP(C593, 'Class Def. - General Data'!$C$20:$C$1000,1,false)</f>
        <v>ZFG1_BLEACHING</v>
      </c>
      <c r="H593" s="63" t="str">
        <f>IFERROR(__xludf.DUMMYFUNCTION("VLOOKUP(F593, IMPORTRANGE(""https://docs.google.com/spreadsheets/d/1Lhp9OU0JdFf_VYSMzH5lBcEaU4o8teT1piV-SNzShjg/edit?gid=554141278#gid=554141278"", ""'Char Def. - Attributes'!C20:C2242""), 1,false)"),"MID_CORE")</f>
        <v>MID_CORE</v>
      </c>
      <c r="I593" s="136"/>
    </row>
    <row r="594" ht="15.75" customHeight="1">
      <c r="A594" s="59"/>
      <c r="B594" s="63">
        <f t="shared" si="1"/>
        <v>14</v>
      </c>
      <c r="C594" s="134" t="s">
        <v>98</v>
      </c>
      <c r="D594" s="134" t="s">
        <v>74</v>
      </c>
      <c r="E594" s="135">
        <f t="shared" si="7"/>
        <v>35</v>
      </c>
      <c r="F594" s="134" t="s">
        <v>3629</v>
      </c>
      <c r="G594" s="63" t="str">
        <f>VLOOKUP(C594, 'Class Def. - General Data'!$C$20:$C$1000,1,false)</f>
        <v>ZFG1_BLEACHING</v>
      </c>
      <c r="H594" s="63" t="str">
        <f>IFERROR(__xludf.DUMMYFUNCTION("VLOOKUP(F594, IMPORTRANGE(""https://docs.google.com/spreadsheets/d/1Lhp9OU0JdFf_VYSMzH5lBcEaU4o8teT1piV-SNzShjg/edit?gid=554141278#gid=554141278"", ""'Char Def. - Attributes'!C20:C2242""), 1,false)"),"EAN_CTN")</f>
        <v>EAN_CTN</v>
      </c>
      <c r="I594" s="136"/>
    </row>
    <row r="595" ht="15.75" customHeight="1">
      <c r="A595" s="59"/>
      <c r="B595" s="63">
        <f t="shared" si="1"/>
        <v>14</v>
      </c>
      <c r="C595" s="134" t="s">
        <v>98</v>
      </c>
      <c r="D595" s="134" t="s">
        <v>74</v>
      </c>
      <c r="E595" s="135">
        <f t="shared" si="7"/>
        <v>36</v>
      </c>
      <c r="F595" s="134" t="s">
        <v>3630</v>
      </c>
      <c r="G595" s="63" t="str">
        <f>VLOOKUP(C595, 'Class Def. - General Data'!$C$20:$C$1000,1,false)</f>
        <v>ZFG1_BLEACHING</v>
      </c>
      <c r="H595" s="63" t="str">
        <f>IFERROR(__xludf.DUMMYFUNCTION("VLOOKUP(F595, IMPORTRANGE(""https://docs.google.com/spreadsheets/d/1Lhp9OU0JdFf_VYSMzH5lBcEaU4o8teT1piV-SNzShjg/edit?gid=554141278#gid=554141278"", ""'Char Def. - Attributes'!C20:C2242""), 1,false)"),"EAN_BOX")</f>
        <v>EAN_BOX</v>
      </c>
      <c r="I595" s="136"/>
    </row>
    <row r="596" ht="15.75" customHeight="1">
      <c r="A596" s="59"/>
      <c r="B596" s="63">
        <f t="shared" si="1"/>
        <v>14</v>
      </c>
      <c r="C596" s="134" t="s">
        <v>98</v>
      </c>
      <c r="D596" s="141" t="s">
        <v>74</v>
      </c>
      <c r="E596" s="135">
        <v>22.0</v>
      </c>
      <c r="F596" s="135" t="s">
        <v>3603</v>
      </c>
      <c r="G596" s="63" t="str">
        <f>VLOOKUP(C596, 'Class Def. - General Data'!$C$20:$C$1000,1,false)</f>
        <v>ZFG1_BLEACHING</v>
      </c>
      <c r="I596" s="136"/>
    </row>
    <row r="597" ht="15.75" customHeight="1">
      <c r="A597" s="59"/>
      <c r="B597" s="63">
        <f t="shared" si="1"/>
        <v>16</v>
      </c>
      <c r="C597" s="134" t="s">
        <v>99</v>
      </c>
      <c r="D597" s="134" t="s">
        <v>74</v>
      </c>
      <c r="E597" s="135">
        <f t="shared" ref="E597:E632" si="8">COUNTIF($C$20:C597,C597)</f>
        <v>1</v>
      </c>
      <c r="F597" s="134" t="str">
        <f>"BRAND_"&amp;MID(C597,6,20)</f>
        <v>BRAND_BODYBARSOAP</v>
      </c>
      <c r="G597" s="63" t="str">
        <f>VLOOKUP(C597, 'Class Def. - General Data'!$C$20:$C$1000,1,false)</f>
        <v>ZFG1_BODYBARSOAP</v>
      </c>
      <c r="H597" s="63" t="str">
        <f>IFERROR(__xludf.DUMMYFUNCTION("VLOOKUP(F597, IMPORTRANGE(""https://docs.google.com/spreadsheets/d/1Lhp9OU0JdFf_VYSMzH5lBcEaU4o8teT1piV-SNzShjg/edit?gid=554141278#gid=554141278"", ""'Char Def. - Attributes'!C20:C2242""), 1,false)"),"BRAND_BODYBARSOAP")</f>
        <v>BRAND_BODYBARSOAP</v>
      </c>
      <c r="I597" s="136"/>
    </row>
    <row r="598" ht="15.75" customHeight="1">
      <c r="A598" s="59"/>
      <c r="B598" s="63">
        <f t="shared" si="1"/>
        <v>16</v>
      </c>
      <c r="C598" s="134" t="s">
        <v>99</v>
      </c>
      <c r="D598" s="134" t="s">
        <v>74</v>
      </c>
      <c r="E598" s="135">
        <f t="shared" si="8"/>
        <v>2</v>
      </c>
      <c r="F598" s="134" t="str">
        <f>"PSHAPE_"&amp;MID(C598,6,20)</f>
        <v>PSHAPE_BODYBARSOAP</v>
      </c>
      <c r="G598" s="63" t="str">
        <f>VLOOKUP(C598, 'Class Def. - General Data'!$C$20:$C$1000,1,false)</f>
        <v>ZFG1_BODYBARSOAP</v>
      </c>
      <c r="H598" s="63" t="str">
        <f>IFERROR(__xludf.DUMMYFUNCTION("VLOOKUP(F598, IMPORTRANGE(""https://docs.google.com/spreadsheets/d/1Lhp9OU0JdFf_VYSMzH5lBcEaU4o8teT1piV-SNzShjg/edit?gid=554141278#gid=554141278"", ""'Char Def. - Attributes'!C20:C2242""), 1,false)"),"PSHAPE_BODYBARSOAP")</f>
        <v>PSHAPE_BODYBARSOAP</v>
      </c>
      <c r="I598" s="136"/>
    </row>
    <row r="599" ht="15.75" customHeight="1">
      <c r="A599" s="59"/>
      <c r="B599" s="63">
        <f t="shared" si="1"/>
        <v>16</v>
      </c>
      <c r="C599" s="134" t="s">
        <v>99</v>
      </c>
      <c r="D599" s="134" t="s">
        <v>74</v>
      </c>
      <c r="E599" s="135">
        <f t="shared" si="8"/>
        <v>3</v>
      </c>
      <c r="F599" s="134" t="s">
        <v>3605</v>
      </c>
      <c r="G599" s="63" t="str">
        <f>VLOOKUP(C599, 'Class Def. - General Data'!$C$20:$C$1000,1,false)</f>
        <v>ZFG1_BODYBARSOAP</v>
      </c>
      <c r="H599" s="63" t="str">
        <f>IFERROR(__xludf.DUMMYFUNCTION("VLOOKUP(F599, IMPORTRANGE(""https://docs.google.com/spreadsheets/d/1Lhp9OU0JdFf_VYSMzH5lBcEaU4o8teT1piV-SNzShjg/edit?gid=554141278#gid=554141278"", ""'Char Def. - Attributes'!C20:C2242""), 1,false)"),"PACK_NETTO")</f>
        <v>PACK_NETTO</v>
      </c>
      <c r="I599" s="136"/>
    </row>
    <row r="600" ht="15.75" customHeight="1">
      <c r="A600" s="59"/>
      <c r="B600" s="63">
        <f t="shared" si="1"/>
        <v>16</v>
      </c>
      <c r="C600" s="134" t="s">
        <v>99</v>
      </c>
      <c r="D600" s="134" t="s">
        <v>74</v>
      </c>
      <c r="E600" s="135">
        <f t="shared" si="8"/>
        <v>4</v>
      </c>
      <c r="F600" s="134" t="str">
        <f>"PUOM_"&amp;MID(C600,6,20)</f>
        <v>PUOM_BODYBARSOAP</v>
      </c>
      <c r="G600" s="63" t="str">
        <f>VLOOKUP(C600, 'Class Def. - General Data'!$C$20:$C$1000,1,false)</f>
        <v>ZFG1_BODYBARSOAP</v>
      </c>
      <c r="H600" s="63" t="str">
        <f>IFERROR(__xludf.DUMMYFUNCTION("VLOOKUP(F600, IMPORTRANGE(""https://docs.google.com/spreadsheets/d/1Lhp9OU0JdFf_VYSMzH5lBcEaU4o8teT1piV-SNzShjg/edit?gid=554141278#gid=554141278"", ""'Char Def. - Attributes'!C20:C2242""), 1,false)"),"PUOM_BODYBARSOAP")</f>
        <v>PUOM_BODYBARSOAP</v>
      </c>
      <c r="I600" s="136"/>
    </row>
    <row r="601" ht="15.75" customHeight="1">
      <c r="A601" s="59"/>
      <c r="B601" s="63">
        <f t="shared" si="1"/>
        <v>16</v>
      </c>
      <c r="C601" s="134" t="s">
        <v>99</v>
      </c>
      <c r="D601" s="134" t="s">
        <v>74</v>
      </c>
      <c r="E601" s="135">
        <f t="shared" si="8"/>
        <v>5</v>
      </c>
      <c r="F601" s="134" t="s">
        <v>3607</v>
      </c>
      <c r="G601" s="63" t="str">
        <f>VLOOKUP(C601, 'Class Def. - General Data'!$C$20:$C$1000,1,false)</f>
        <v>ZFG1_BODYBARSOAP</v>
      </c>
      <c r="H601" s="63" t="str">
        <f>IFERROR(__xludf.DUMMYFUNCTION("VLOOKUP(F601, IMPORTRANGE(""https://docs.google.com/spreadsheets/d/1Lhp9OU0JdFf_VYSMzH5lBcEaU4o8teT1piV-SNzShjg/edit?gid=554141278#gid=554141278"", ""'Char Def. - Attributes'!C20:C2242""), 1,false)"),"VARIAN")</f>
        <v>VARIAN</v>
      </c>
      <c r="I601" s="136"/>
    </row>
    <row r="602" ht="15.75" customHeight="1">
      <c r="A602" s="59"/>
      <c r="B602" s="63">
        <f t="shared" si="1"/>
        <v>16</v>
      </c>
      <c r="C602" s="134" t="s">
        <v>99</v>
      </c>
      <c r="D602" s="134" t="s">
        <v>74</v>
      </c>
      <c r="E602" s="135">
        <f t="shared" si="8"/>
        <v>6</v>
      </c>
      <c r="F602" s="134" t="s">
        <v>3608</v>
      </c>
      <c r="G602" s="63" t="str">
        <f>VLOOKUP(C602, 'Class Def. - General Data'!$C$20:$C$1000,1,false)</f>
        <v>ZFG1_BODYBARSOAP</v>
      </c>
      <c r="H602" s="63" t="str">
        <f>IFERROR(__xludf.DUMMYFUNCTION("VLOOKUP(F602, IMPORTRANGE(""https://docs.google.com/spreadsheets/d/1Lhp9OU0JdFf_VYSMzH5lBcEaU4o8teT1piV-SNzShjg/edit?gid=554141278#gid=554141278"", ""'Char Def. - Attributes'!C20:C2242""), 1,false)"),"PROJECT_NAME")</f>
        <v>PROJECT_NAME</v>
      </c>
      <c r="I602" s="136"/>
    </row>
    <row r="603" ht="15.75" customHeight="1">
      <c r="A603" s="59"/>
      <c r="B603" s="63">
        <f t="shared" si="1"/>
        <v>16</v>
      </c>
      <c r="C603" s="134" t="s">
        <v>99</v>
      </c>
      <c r="D603" s="134" t="s">
        <v>74</v>
      </c>
      <c r="E603" s="135">
        <f t="shared" si="8"/>
        <v>7</v>
      </c>
      <c r="F603" s="134" t="s">
        <v>3609</v>
      </c>
      <c r="G603" s="63" t="str">
        <f>VLOOKUP(C603, 'Class Def. - General Data'!$C$20:$C$1000,1,false)</f>
        <v>ZFG1_BODYBARSOAP</v>
      </c>
      <c r="H603" s="63" t="str">
        <f>IFERROR(__xludf.DUMMYFUNCTION("VLOOKUP(F603, IMPORTRANGE(""https://docs.google.com/spreadsheets/d/1Lhp9OU0JdFf_VYSMzH5lBcEaU4o8teT1piV-SNzShjg/edit?gid=554141278#gid=554141278"", ""'Char Def. - Attributes'!C20:C2242""), 1,false)"),"ADDITIONAL_PROMO")</f>
        <v>ADDITIONAL_PROMO</v>
      </c>
      <c r="I603" s="136"/>
    </row>
    <row r="604" ht="15.75" customHeight="1">
      <c r="A604" s="59"/>
      <c r="B604" s="63">
        <f t="shared" si="1"/>
        <v>16</v>
      </c>
      <c r="C604" s="134" t="s">
        <v>99</v>
      </c>
      <c r="D604" s="134" t="s">
        <v>74</v>
      </c>
      <c r="E604" s="135">
        <f t="shared" si="8"/>
        <v>8</v>
      </c>
      <c r="F604" s="134" t="s">
        <v>3610</v>
      </c>
      <c r="G604" s="63" t="str">
        <f>VLOOKUP(C604, 'Class Def. - General Data'!$C$20:$C$1000,1,false)</f>
        <v>ZFG1_BODYBARSOAP</v>
      </c>
      <c r="H604" s="63" t="str">
        <f>IFERROR(__xludf.DUMMYFUNCTION("VLOOKUP(F604, IMPORTRANGE(""https://docs.google.com/spreadsheets/d/1Lhp9OU0JdFf_VYSMzH5lBcEaU4o8teT1piV-SNzShjg/edit?gid=554141278#gid=554141278"", ""'Char Def. - Attributes'!C20:C2242""), 1,false)"),"BANDED_PROMO")</f>
        <v>BANDED_PROMO</v>
      </c>
      <c r="I604" s="136"/>
    </row>
    <row r="605" ht="15.75" customHeight="1">
      <c r="A605" s="59"/>
      <c r="B605" s="63">
        <f t="shared" si="1"/>
        <v>16</v>
      </c>
      <c r="C605" s="134" t="s">
        <v>99</v>
      </c>
      <c r="D605" s="134" t="s">
        <v>74</v>
      </c>
      <c r="E605" s="135">
        <f t="shared" si="8"/>
        <v>9</v>
      </c>
      <c r="F605" s="134" t="s">
        <v>3611</v>
      </c>
      <c r="G605" s="63" t="str">
        <f>VLOOKUP(C605, 'Class Def. - General Data'!$C$20:$C$1000,1,false)</f>
        <v>ZFG1_BODYBARSOAP</v>
      </c>
      <c r="H605" s="63" t="str">
        <f>IFERROR(__xludf.DUMMYFUNCTION("VLOOKUP(F605, IMPORTRANGE(""https://docs.google.com/spreadsheets/d/1Lhp9OU0JdFf_VYSMzH5lBcEaU4o8teT1piV-SNzShjg/edit?gid=554141278#gid=554141278"", ""'Char Def. - Attributes'!C20:C2242""), 1,false)"),"LOKAL_EKSPOR")</f>
        <v>LOKAL_EKSPOR</v>
      </c>
      <c r="I605" s="136"/>
    </row>
    <row r="606" ht="15.75" customHeight="1">
      <c r="A606" s="59"/>
      <c r="B606" s="63">
        <f t="shared" si="1"/>
        <v>16</v>
      </c>
      <c r="C606" s="134" t="s">
        <v>99</v>
      </c>
      <c r="D606" s="134" t="s">
        <v>74</v>
      </c>
      <c r="E606" s="135">
        <f t="shared" si="8"/>
        <v>10</v>
      </c>
      <c r="F606" s="134" t="s">
        <v>3612</v>
      </c>
      <c r="G606" s="63" t="str">
        <f>VLOOKUP(C606, 'Class Def. - General Data'!$C$20:$C$1000,1,false)</f>
        <v>ZFG1_BODYBARSOAP</v>
      </c>
      <c r="H606" s="63" t="str">
        <f>IFERROR(__xludf.DUMMYFUNCTION("VLOOKUP(F606, IMPORTRANGE(""https://docs.google.com/spreadsheets/d/1Lhp9OU0JdFf_VYSMzH5lBcEaU4o8teT1piV-SNzShjg/edit?gid=554141278#gid=554141278"", ""'Char Def. - Attributes'!C20:C2242""), 1,false)"),"COUNTRY_EKSPOR")</f>
        <v>COUNTRY_EKSPOR</v>
      </c>
      <c r="I606" s="136"/>
    </row>
    <row r="607" ht="15.75" customHeight="1">
      <c r="A607" s="59"/>
      <c r="B607" s="63">
        <f t="shared" si="1"/>
        <v>16</v>
      </c>
      <c r="C607" s="134" t="s">
        <v>99</v>
      </c>
      <c r="D607" s="134" t="s">
        <v>74</v>
      </c>
      <c r="E607" s="135">
        <f t="shared" si="8"/>
        <v>11</v>
      </c>
      <c r="F607" s="134" t="s">
        <v>3613</v>
      </c>
      <c r="G607" s="63" t="str">
        <f>VLOOKUP(C607, 'Class Def. - General Data'!$C$20:$C$1000,1,false)</f>
        <v>ZFG1_BODYBARSOAP</v>
      </c>
      <c r="H607" s="63" t="str">
        <f>IFERROR(__xludf.DUMMYFUNCTION("VLOOKUP(F607, IMPORTRANGE(""https://docs.google.com/spreadsheets/d/1Lhp9OU0JdFf_VYSMzH5lBcEaU4o8teT1piV-SNzShjg/edit?gid=554141278#gid=554141278"", ""'Char Def. - Attributes'!C20:C2242""), 1,false)"),"WARNA_SFG")</f>
        <v>WARNA_SFG</v>
      </c>
      <c r="I607" s="136"/>
    </row>
    <row r="608" ht="15.75" customHeight="1">
      <c r="A608" s="59"/>
      <c r="B608" s="63">
        <f t="shared" si="1"/>
        <v>16</v>
      </c>
      <c r="C608" s="134" t="s">
        <v>99</v>
      </c>
      <c r="D608" s="134" t="s">
        <v>74</v>
      </c>
      <c r="E608" s="135">
        <f t="shared" si="8"/>
        <v>12</v>
      </c>
      <c r="F608" s="134" t="s">
        <v>3582</v>
      </c>
      <c r="G608" s="63" t="str">
        <f>VLOOKUP(C608, 'Class Def. - General Data'!$C$20:$C$1000,1,false)</f>
        <v>ZFG1_BODYBARSOAP</v>
      </c>
      <c r="H608" s="63" t="str">
        <f>IFERROR(__xludf.DUMMYFUNCTION("VLOOKUP(F608, IMPORTRANGE(""https://docs.google.com/spreadsheets/d/1Lhp9OU0JdFf_VYSMzH5lBcEaU4o8teT1piV-SNzShjg/edit?gid=554141278#gid=554141278"", ""'Char Def. - Attributes'!C20:C2242""), 1,false)"),"BASE_UNIT")</f>
        <v>BASE_UNIT</v>
      </c>
      <c r="I608" s="136"/>
    </row>
    <row r="609" ht="15.75" customHeight="1">
      <c r="A609" s="59"/>
      <c r="B609" s="63">
        <f t="shared" si="1"/>
        <v>16</v>
      </c>
      <c r="C609" s="134" t="s">
        <v>99</v>
      </c>
      <c r="D609" s="134" t="s">
        <v>74</v>
      </c>
      <c r="E609" s="135">
        <f t="shared" si="8"/>
        <v>13</v>
      </c>
      <c r="F609" s="134" t="s">
        <v>3583</v>
      </c>
      <c r="G609" s="63" t="str">
        <f>VLOOKUP(C609, 'Class Def. - General Data'!$C$20:$C$1000,1,false)</f>
        <v>ZFG1_BODYBARSOAP</v>
      </c>
      <c r="H609" s="63" t="str">
        <f>IFERROR(__xludf.DUMMYFUNCTION("VLOOKUP(F609, IMPORTRANGE(""https://docs.google.com/spreadsheets/d/1Lhp9OU0JdFf_VYSMzH5lBcEaU4o8teT1piV-SNzShjg/edit?gid=554141278#gid=554141278"", ""'Char Def. - Attributes'!C20:C2242""), 1,false)"),"SALES_UNIT")</f>
        <v>SALES_UNIT</v>
      </c>
      <c r="I609" s="136"/>
    </row>
    <row r="610" ht="15.75" customHeight="1">
      <c r="A610" s="59"/>
      <c r="B610" s="63">
        <f t="shared" si="1"/>
        <v>16</v>
      </c>
      <c r="C610" s="134" t="s">
        <v>99</v>
      </c>
      <c r="D610" s="134" t="s">
        <v>74</v>
      </c>
      <c r="E610" s="135">
        <f t="shared" si="8"/>
        <v>14</v>
      </c>
      <c r="F610" s="134" t="s">
        <v>3601</v>
      </c>
      <c r="G610" s="63" t="str">
        <f>VLOOKUP(C610, 'Class Def. - General Data'!$C$20:$C$1000,1,false)</f>
        <v>ZFG1_BODYBARSOAP</v>
      </c>
      <c r="H610" s="63" t="str">
        <f>IFERROR(__xludf.DUMMYFUNCTION("VLOOKUP(F610, IMPORTRANGE(""https://docs.google.com/spreadsheets/d/1Lhp9OU0JdFf_VYSMzH5lBcEaU4o8teT1piV-SNzShjg/edit?gid=554141278#gid=554141278"", ""'Char Def. - Attributes'!C20:C2242""), 1,false)"),"GROSS_WEIGHT")</f>
        <v>GROSS_WEIGHT</v>
      </c>
      <c r="I610" s="136"/>
    </row>
    <row r="611" ht="15.75" customHeight="1">
      <c r="A611" s="59"/>
      <c r="B611" s="63">
        <f t="shared" si="1"/>
        <v>16</v>
      </c>
      <c r="C611" s="134" t="s">
        <v>99</v>
      </c>
      <c r="D611" s="134" t="s">
        <v>74</v>
      </c>
      <c r="E611" s="135">
        <f t="shared" si="8"/>
        <v>15</v>
      </c>
      <c r="F611" s="134" t="s">
        <v>3602</v>
      </c>
      <c r="G611" s="63" t="str">
        <f>VLOOKUP(C611, 'Class Def. - General Data'!$C$20:$C$1000,1,false)</f>
        <v>ZFG1_BODYBARSOAP</v>
      </c>
      <c r="H611" s="63" t="str">
        <f>IFERROR(__xludf.DUMMYFUNCTION("VLOOKUP(F611, IMPORTRANGE(""https://docs.google.com/spreadsheets/d/1Lhp9OU0JdFf_VYSMzH5lBcEaU4o8teT1piV-SNzShjg/edit?gid=554141278#gid=554141278"", ""'Char Def. - Attributes'!C20:C2242""), 1,false)"),"NET_WEIGHT")</f>
        <v>NET_WEIGHT</v>
      </c>
      <c r="I611" s="136"/>
    </row>
    <row r="612" ht="15.75" customHeight="1">
      <c r="A612" s="59"/>
      <c r="B612" s="63">
        <f t="shared" si="1"/>
        <v>16</v>
      </c>
      <c r="C612" s="134" t="s">
        <v>99</v>
      </c>
      <c r="D612" s="134" t="s">
        <v>74</v>
      </c>
      <c r="E612" s="135">
        <f t="shared" si="8"/>
        <v>16</v>
      </c>
      <c r="F612" s="134" t="s">
        <v>3584</v>
      </c>
      <c r="G612" s="63" t="str">
        <f>VLOOKUP(C612, 'Class Def. - General Data'!$C$20:$C$1000,1,false)</f>
        <v>ZFG1_BODYBARSOAP</v>
      </c>
      <c r="H612" s="63" t="str">
        <f>IFERROR(__xludf.DUMMYFUNCTION("VLOOKUP(F612, IMPORTRANGE(""https://docs.google.com/spreadsheets/d/1Lhp9OU0JdFf_VYSMzH5lBcEaU4o8teT1piV-SNzShjg/edit?gid=554141278#gid=554141278"", ""'Char Def. - Attributes'!C20:C2242""), 1,false)"),"UNIT_PER_BOX")</f>
        <v>UNIT_PER_BOX</v>
      </c>
      <c r="I612" s="136"/>
    </row>
    <row r="613" ht="15.75" customHeight="1">
      <c r="A613" s="59"/>
      <c r="B613" s="63">
        <f t="shared" si="1"/>
        <v>16</v>
      </c>
      <c r="C613" s="134" t="s">
        <v>99</v>
      </c>
      <c r="D613" s="134" t="s">
        <v>74</v>
      </c>
      <c r="E613" s="135">
        <f t="shared" si="8"/>
        <v>17</v>
      </c>
      <c r="F613" s="134" t="s">
        <v>3614</v>
      </c>
      <c r="G613" s="63" t="str">
        <f>VLOOKUP(C613, 'Class Def. - General Data'!$C$20:$C$1000,1,false)</f>
        <v>ZFG1_BODYBARSOAP</v>
      </c>
      <c r="H613" s="63" t="str">
        <f>IFERROR(__xludf.DUMMYFUNCTION("VLOOKUP(F613, IMPORTRANGE(""https://docs.google.com/spreadsheets/d/1Lhp9OU0JdFf_VYSMzH5lBcEaU4o8teT1piV-SNzShjg/edit?gid=554141278#gid=554141278"", ""'Char Def. - Attributes'!C20:C2242""), 1,false)"),"UNIT_PER_CTN")</f>
        <v>UNIT_PER_CTN</v>
      </c>
      <c r="I613" s="136"/>
    </row>
    <row r="614" ht="15.75" customHeight="1">
      <c r="A614" s="59"/>
      <c r="B614" s="63">
        <f t="shared" si="1"/>
        <v>16</v>
      </c>
      <c r="C614" s="134" t="s">
        <v>99</v>
      </c>
      <c r="D614" s="134" t="s">
        <v>74</v>
      </c>
      <c r="E614" s="135">
        <f t="shared" si="8"/>
        <v>18</v>
      </c>
      <c r="F614" s="134" t="s">
        <v>3615</v>
      </c>
      <c r="G614" s="63" t="str">
        <f>VLOOKUP(C614, 'Class Def. - General Data'!$C$20:$C$1000,1,false)</f>
        <v>ZFG1_BODYBARSOAP</v>
      </c>
      <c r="H614" s="63" t="str">
        <f>IFERROR(__xludf.DUMMYFUNCTION("VLOOKUP(F614, IMPORTRANGE(""https://docs.google.com/spreadsheets/d/1Lhp9OU0JdFf_VYSMzH5lBcEaU4o8teT1piV-SNzShjg/edit?gid=554141278#gid=554141278"", ""'Char Def. - Attributes'!C20:C2242""), 1,false)"),"UNIT_PER_BAG")</f>
        <v>UNIT_PER_BAG</v>
      </c>
      <c r="I614" s="136"/>
    </row>
    <row r="615" ht="15.75" customHeight="1">
      <c r="A615" s="59"/>
      <c r="B615" s="63">
        <f t="shared" si="1"/>
        <v>16</v>
      </c>
      <c r="C615" s="134" t="s">
        <v>99</v>
      </c>
      <c r="D615" s="134" t="s">
        <v>74</v>
      </c>
      <c r="E615" s="135">
        <f t="shared" si="8"/>
        <v>19</v>
      </c>
      <c r="F615" s="134" t="s">
        <v>3616</v>
      </c>
      <c r="G615" s="63" t="str">
        <f>VLOOKUP(C615, 'Class Def. - General Data'!$C$20:$C$1000,1,false)</f>
        <v>ZFG1_BODYBARSOAP</v>
      </c>
      <c r="H615" s="63" t="str">
        <f>IFERROR(__xludf.DUMMYFUNCTION("VLOOKUP(F615, IMPORTRANGE(""https://docs.google.com/spreadsheets/d/1Lhp9OU0JdFf_VYSMzH5lBcEaU4o8teT1piV-SNzShjg/edit?gid=554141278#gid=554141278"", ""'Char Def. - Attributes'!C20:C2242""), 1,false)"),"UNIT_PER_PAL")</f>
        <v>UNIT_PER_PAL</v>
      </c>
      <c r="I615" s="136"/>
    </row>
    <row r="616" ht="15.75" customHeight="1">
      <c r="A616" s="59"/>
      <c r="B616" s="63">
        <f t="shared" si="1"/>
        <v>16</v>
      </c>
      <c r="C616" s="134" t="s">
        <v>99</v>
      </c>
      <c r="D616" s="134" t="s">
        <v>74</v>
      </c>
      <c r="E616" s="135">
        <f t="shared" si="8"/>
        <v>20</v>
      </c>
      <c r="F616" s="134" t="s">
        <v>3617</v>
      </c>
      <c r="G616" s="63" t="str">
        <f>VLOOKUP(C616, 'Class Def. - General Data'!$C$20:$C$1000,1,false)</f>
        <v>ZFG1_BODYBARSOAP</v>
      </c>
      <c r="H616" s="63" t="str">
        <f>IFERROR(__xludf.DUMMYFUNCTION("VLOOKUP(F616, IMPORTRANGE(""https://docs.google.com/spreadsheets/d/1Lhp9OU0JdFf_VYSMzH5lBcEaU4o8teT1piV-SNzShjg/edit?gid=554141278#gid=554141278"", ""'Char Def. - Attributes'!C20:C2242""), 1,false)"),"UNIT_PER_TIER")</f>
        <v>UNIT_PER_TIER</v>
      </c>
      <c r="I616" s="136"/>
    </row>
    <row r="617" ht="15.75" customHeight="1">
      <c r="A617" s="59"/>
      <c r="B617" s="63">
        <f t="shared" si="1"/>
        <v>16</v>
      </c>
      <c r="C617" s="134" t="s">
        <v>99</v>
      </c>
      <c r="D617" s="134" t="s">
        <v>74</v>
      </c>
      <c r="E617" s="135">
        <f t="shared" si="8"/>
        <v>21</v>
      </c>
      <c r="F617" s="134" t="s">
        <v>3618</v>
      </c>
      <c r="G617" s="63" t="str">
        <f>VLOOKUP(C617, 'Class Def. - General Data'!$C$20:$C$1000,1,false)</f>
        <v>ZFG1_BODYBARSOAP</v>
      </c>
      <c r="H617" s="63" t="str">
        <f>IFERROR(__xludf.DUMMYFUNCTION("VLOOKUP(F617, IMPORTRANGE(""https://docs.google.com/spreadsheets/d/1Lhp9OU0JdFf_VYSMzH5lBcEaU4o8teT1piV-SNzShjg/edit?gid=554141278#gid=554141278"", ""'Char Def. - Attributes'!C20:C2242""), 1,false)"),"HEIGHT")</f>
        <v>HEIGHT</v>
      </c>
      <c r="I617" s="136"/>
    </row>
    <row r="618" ht="15.75" customHeight="1">
      <c r="A618" s="59"/>
      <c r="B618" s="63">
        <f t="shared" si="1"/>
        <v>16</v>
      </c>
      <c r="C618" s="134" t="s">
        <v>99</v>
      </c>
      <c r="D618" s="134" t="s">
        <v>74</v>
      </c>
      <c r="E618" s="135">
        <f t="shared" si="8"/>
        <v>22</v>
      </c>
      <c r="F618" s="134" t="s">
        <v>3587</v>
      </c>
      <c r="G618" s="63" t="str">
        <f>VLOOKUP(C618, 'Class Def. - General Data'!$C$20:$C$1000,1,false)</f>
        <v>ZFG1_BODYBARSOAP</v>
      </c>
      <c r="H618" s="63" t="str">
        <f>IFERROR(__xludf.DUMMYFUNCTION("VLOOKUP(F618, IMPORTRANGE(""https://docs.google.com/spreadsheets/d/1Lhp9OU0JdFf_VYSMzH5lBcEaU4o8teT1piV-SNzShjg/edit?gid=554141278#gid=554141278"", ""'Char Def. - Attributes'!C20:C2242""), 1,false)"),"PLANT_BUY")</f>
        <v>PLANT_BUY</v>
      </c>
      <c r="I618" s="136"/>
    </row>
    <row r="619" ht="15.75" customHeight="1">
      <c r="A619" s="59"/>
      <c r="B619" s="63">
        <f t="shared" si="1"/>
        <v>16</v>
      </c>
      <c r="C619" s="134" t="s">
        <v>99</v>
      </c>
      <c r="D619" s="134" t="s">
        <v>74</v>
      </c>
      <c r="E619" s="135">
        <f t="shared" si="8"/>
        <v>23</v>
      </c>
      <c r="F619" s="134" t="s">
        <v>3619</v>
      </c>
      <c r="G619" s="63" t="str">
        <f>VLOOKUP(C619, 'Class Def. - General Data'!$C$20:$C$1000,1,false)</f>
        <v>ZFG1_BODYBARSOAP</v>
      </c>
      <c r="H619" s="63" t="str">
        <f>IFERROR(__xludf.DUMMYFUNCTION("VLOOKUP(F619, IMPORTRANGE(""https://docs.google.com/spreadsheets/d/1Lhp9OU0JdFf_VYSMzH5lBcEaU4o8teT1piV-SNzShjg/edit?gid=554141278#gid=554141278"", ""'Char Def. - Attributes'!C20:C2242""), 1,false)"),"LENGTH")</f>
        <v>LENGTH</v>
      </c>
      <c r="I619" s="136"/>
    </row>
    <row r="620" ht="15.75" customHeight="1">
      <c r="A620" s="59"/>
      <c r="B620" s="63">
        <f t="shared" si="1"/>
        <v>16</v>
      </c>
      <c r="C620" s="134" t="s">
        <v>99</v>
      </c>
      <c r="D620" s="134" t="s">
        <v>74</v>
      </c>
      <c r="E620" s="135">
        <f t="shared" si="8"/>
        <v>24</v>
      </c>
      <c r="F620" s="134" t="s">
        <v>3586</v>
      </c>
      <c r="G620" s="63" t="str">
        <f>VLOOKUP(C620, 'Class Def. - General Data'!$C$20:$C$1000,1,false)</f>
        <v>ZFG1_BODYBARSOAP</v>
      </c>
      <c r="H620" s="63" t="str">
        <f>IFERROR(__xludf.DUMMYFUNCTION("VLOOKUP(F620, IMPORTRANGE(""https://docs.google.com/spreadsheets/d/1Lhp9OU0JdFf_VYSMzH5lBcEaU4o8teT1piV-SNzShjg/edit?gid=554141278#gid=554141278"", ""'Char Def. - Attributes'!C20:C2242""), 1,false)"),"PLANT_PROD")</f>
        <v>PLANT_PROD</v>
      </c>
      <c r="I620" s="136"/>
    </row>
    <row r="621" ht="15.75" customHeight="1">
      <c r="A621" s="59"/>
      <c r="B621" s="63">
        <f t="shared" si="1"/>
        <v>16</v>
      </c>
      <c r="C621" s="134" t="s">
        <v>99</v>
      </c>
      <c r="D621" s="134" t="s">
        <v>74</v>
      </c>
      <c r="E621" s="135">
        <f t="shared" si="8"/>
        <v>25</v>
      </c>
      <c r="F621" s="134" t="s">
        <v>3620</v>
      </c>
      <c r="G621" s="63" t="str">
        <f>VLOOKUP(C621, 'Class Def. - General Data'!$C$20:$C$1000,1,false)</f>
        <v>ZFG1_BODYBARSOAP</v>
      </c>
      <c r="H621" s="63" t="str">
        <f>IFERROR(__xludf.DUMMYFUNCTION("VLOOKUP(F621, IMPORTRANGE(""https://docs.google.com/spreadsheets/d/1Lhp9OU0JdFf_VYSMzH5lBcEaU4o8teT1piV-SNzShjg/edit?gid=554141278#gid=554141278"", ""'Char Def. - Attributes'!C20:C2242""), 1,false)"),"WIDTH")</f>
        <v>WIDTH</v>
      </c>
      <c r="I621" s="136"/>
    </row>
    <row r="622" ht="15.75" customHeight="1">
      <c r="A622" s="59"/>
      <c r="B622" s="63">
        <f t="shared" si="1"/>
        <v>16</v>
      </c>
      <c r="C622" s="134" t="s">
        <v>99</v>
      </c>
      <c r="D622" s="134" t="s">
        <v>74</v>
      </c>
      <c r="E622" s="135">
        <f t="shared" si="8"/>
        <v>26</v>
      </c>
      <c r="F622" s="134" t="s">
        <v>3585</v>
      </c>
      <c r="G622" s="63" t="str">
        <f>VLOOKUP(C622, 'Class Def. - General Data'!$C$20:$C$1000,1,false)</f>
        <v>ZFG1_BODYBARSOAP</v>
      </c>
      <c r="H622" s="63" t="str">
        <f>IFERROR(__xludf.DUMMYFUNCTION("VLOOKUP(F622, IMPORTRANGE(""https://docs.google.com/spreadsheets/d/1Lhp9OU0JdFf_VYSMzH5lBcEaU4o8teT1piV-SNzShjg/edit?gid=554141278#gid=554141278"", ""'Char Def. - Attributes'!C20:C2242""), 1,false)"),"HS_CODE")</f>
        <v>HS_CODE</v>
      </c>
      <c r="I622" s="136"/>
    </row>
    <row r="623" ht="15.75" customHeight="1">
      <c r="A623" s="59"/>
      <c r="B623" s="63">
        <f t="shared" si="1"/>
        <v>16</v>
      </c>
      <c r="C623" s="134" t="s">
        <v>99</v>
      </c>
      <c r="D623" s="134" t="s">
        <v>74</v>
      </c>
      <c r="E623" s="135">
        <f t="shared" si="8"/>
        <v>27</v>
      </c>
      <c r="F623" s="134" t="s">
        <v>3621</v>
      </c>
      <c r="G623" s="63" t="str">
        <f>VLOOKUP(C623, 'Class Def. - General Data'!$C$20:$C$1000,1,false)</f>
        <v>ZFG1_BODYBARSOAP</v>
      </c>
      <c r="H623" s="63" t="str">
        <f>IFERROR(__xludf.DUMMYFUNCTION("VLOOKUP(F623, IMPORTRANGE(""https://docs.google.com/spreadsheets/d/1Lhp9OU0JdFf_VYSMzH5lBcEaU4o8teT1piV-SNzShjg/edit?gid=554141278#gid=554141278"", ""'Char Def. - Attributes'!C20:C2242""), 1,false)"),"EAN_PCS")</f>
        <v>EAN_PCS</v>
      </c>
      <c r="I623" s="136"/>
    </row>
    <row r="624" ht="15.75" customHeight="1">
      <c r="A624" s="59"/>
      <c r="B624" s="63">
        <f t="shared" si="1"/>
        <v>16</v>
      </c>
      <c r="C624" s="134" t="s">
        <v>99</v>
      </c>
      <c r="D624" s="134" t="s">
        <v>74</v>
      </c>
      <c r="E624" s="135">
        <f t="shared" si="8"/>
        <v>28</v>
      </c>
      <c r="F624" s="134" t="s">
        <v>3622</v>
      </c>
      <c r="G624" s="63" t="str">
        <f>VLOOKUP(C624, 'Class Def. - General Data'!$C$20:$C$1000,1,false)</f>
        <v>ZFG1_BODYBARSOAP</v>
      </c>
      <c r="H624" s="63" t="str">
        <f>IFERROR(__xludf.DUMMYFUNCTION("VLOOKUP(F624, IMPORTRANGE(""https://docs.google.com/spreadsheets/d/1Lhp9OU0JdFf_VYSMzH5lBcEaU4o8teT1piV-SNzShjg/edit?gid=554141278#gid=554141278"", ""'Char Def. - Attributes'!C20:C2242""), 1,false)"),"SFG_BRAND")</f>
        <v>SFG_BRAND</v>
      </c>
      <c r="I624" s="136"/>
    </row>
    <row r="625" ht="15.75" customHeight="1">
      <c r="A625" s="59"/>
      <c r="B625" s="63">
        <f t="shared" si="1"/>
        <v>16</v>
      </c>
      <c r="C625" s="134" t="s">
        <v>99</v>
      </c>
      <c r="D625" s="134" t="s">
        <v>74</v>
      </c>
      <c r="E625" s="135">
        <f t="shared" si="8"/>
        <v>29</v>
      </c>
      <c r="F625" s="134" t="s">
        <v>3623</v>
      </c>
      <c r="G625" s="63" t="str">
        <f>VLOOKUP(C625, 'Class Def. - General Data'!$C$20:$C$1000,1,false)</f>
        <v>ZFG1_BODYBARSOAP</v>
      </c>
      <c r="H625" s="63" t="str">
        <f>IFERROR(__xludf.DUMMYFUNCTION("VLOOKUP(F625, IMPORTRANGE(""https://docs.google.com/spreadsheets/d/1Lhp9OU0JdFf_VYSMzH5lBcEaU4o8teT1piV-SNzShjg/edit?gid=554141278#gid=554141278"", ""'Char Def. - Attributes'!C20:C2242""), 1,false)"),"LANGUAGE")</f>
        <v>LANGUAGE</v>
      </c>
      <c r="I625" s="136"/>
    </row>
    <row r="626" ht="15.75" customHeight="1">
      <c r="A626" s="59"/>
      <c r="B626" s="63">
        <f t="shared" si="1"/>
        <v>16</v>
      </c>
      <c r="C626" s="139" t="s">
        <v>99</v>
      </c>
      <c r="D626" s="139" t="s">
        <v>74</v>
      </c>
      <c r="E626" s="140">
        <f t="shared" si="8"/>
        <v>30</v>
      </c>
      <c r="F626" s="134" t="s">
        <v>3624</v>
      </c>
      <c r="G626" s="63" t="str">
        <f>VLOOKUP(C626, 'Class Def. - General Data'!$C$20:$C$1000,1,false)</f>
        <v>ZFG1_BODYBARSOAP</v>
      </c>
      <c r="H626" s="63" t="str">
        <f>IFERROR(__xludf.DUMMYFUNCTION("VLOOKUP(F626, IMPORTRANGE(""https://docs.google.com/spreadsheets/d/1Lhp9OU0JdFf_VYSMzH5lBcEaU4o8teT1piV-SNzShjg/edit?gid=554141278#gid=554141278"", ""'Char Def. - Attributes'!C20:C2242""), 1,false)"),"#N/A")</f>
        <v>#N/A</v>
      </c>
      <c r="I626" s="136"/>
    </row>
    <row r="627" ht="15.75" customHeight="1">
      <c r="A627" s="59"/>
      <c r="B627" s="63">
        <f t="shared" si="1"/>
        <v>16</v>
      </c>
      <c r="C627" s="134" t="s">
        <v>99</v>
      </c>
      <c r="D627" s="134" t="s">
        <v>74</v>
      </c>
      <c r="E627" s="135">
        <f t="shared" si="8"/>
        <v>31</v>
      </c>
      <c r="F627" s="134" t="s">
        <v>3625</v>
      </c>
      <c r="G627" s="63" t="str">
        <f>VLOOKUP(C627, 'Class Def. - General Data'!$C$20:$C$1000,1,false)</f>
        <v>ZFG1_BODYBARSOAP</v>
      </c>
      <c r="H627" s="63" t="str">
        <f>IFERROR(__xludf.DUMMYFUNCTION("VLOOKUP(F627, IMPORTRANGE(""https://docs.google.com/spreadsheets/d/1Lhp9OU0JdFf_VYSMzH5lBcEaU4o8teT1piV-SNzShjg/edit?gid=554141278#gid=554141278"", ""'Char Def. - Attributes'!C20:C2242""), 1,false)"),"REGION_EKSPOR")</f>
        <v>REGION_EKSPOR</v>
      </c>
      <c r="I627" s="136"/>
    </row>
    <row r="628" ht="15.75" customHeight="1">
      <c r="A628" s="59"/>
      <c r="B628" s="63">
        <f t="shared" si="1"/>
        <v>16</v>
      </c>
      <c r="C628" s="134" t="s">
        <v>99</v>
      </c>
      <c r="D628" s="134" t="s">
        <v>74</v>
      </c>
      <c r="E628" s="135">
        <f t="shared" si="8"/>
        <v>32</v>
      </c>
      <c r="F628" s="134" t="s">
        <v>3626</v>
      </c>
      <c r="G628" s="63" t="str">
        <f>VLOOKUP(C628, 'Class Def. - General Data'!$C$20:$C$1000,1,false)</f>
        <v>ZFG1_BODYBARSOAP</v>
      </c>
      <c r="H628" s="63" t="str">
        <f>IFERROR(__xludf.DUMMYFUNCTION("VLOOKUP(F628, IMPORTRANGE(""https://docs.google.com/spreadsheets/d/1Lhp9OU0JdFf_VYSMzH5lBcEaU4o8teT1piV-SNzShjg/edit?gid=554141278#gid=554141278"", ""'Char Def. - Attributes'!C20:C2242""), 1,false)"),"STICKER_NOT")</f>
        <v>STICKER_NOT</v>
      </c>
      <c r="I628" s="136"/>
    </row>
    <row r="629" ht="15.75" customHeight="1">
      <c r="A629" s="59"/>
      <c r="B629" s="63">
        <f t="shared" si="1"/>
        <v>16</v>
      </c>
      <c r="C629" s="134" t="s">
        <v>99</v>
      </c>
      <c r="D629" s="134" t="s">
        <v>74</v>
      </c>
      <c r="E629" s="135">
        <f t="shared" si="8"/>
        <v>33</v>
      </c>
      <c r="F629" s="134" t="s">
        <v>3627</v>
      </c>
      <c r="G629" s="63" t="str">
        <f>VLOOKUP(C629, 'Class Def. - General Data'!$C$20:$C$1000,1,false)</f>
        <v>ZFG1_BODYBARSOAP</v>
      </c>
      <c r="H629" s="63" t="str">
        <f>IFERROR(__xludf.DUMMYFUNCTION("VLOOKUP(F629, IMPORTRANGE(""https://docs.google.com/spreadsheets/d/1Lhp9OU0JdFf_VYSMzH5lBcEaU4o8teT1piV-SNzShjg/edit?gid=554141278#gid=554141278"", ""'Char Def. - Attributes'!C20:C2242""), 1,false)"),"SHIP_MARK")</f>
        <v>SHIP_MARK</v>
      </c>
      <c r="I629" s="136"/>
    </row>
    <row r="630" ht="15.75" customHeight="1">
      <c r="A630" s="59"/>
      <c r="B630" s="63">
        <f t="shared" si="1"/>
        <v>16</v>
      </c>
      <c r="C630" s="134" t="s">
        <v>99</v>
      </c>
      <c r="D630" s="134" t="s">
        <v>74</v>
      </c>
      <c r="E630" s="135">
        <f t="shared" si="8"/>
        <v>34</v>
      </c>
      <c r="F630" s="134" t="s">
        <v>3628</v>
      </c>
      <c r="G630" s="63" t="str">
        <f>VLOOKUP(C630, 'Class Def. - General Data'!$C$20:$C$1000,1,false)</f>
        <v>ZFG1_BODYBARSOAP</v>
      </c>
      <c r="H630" s="63" t="str">
        <f>IFERROR(__xludf.DUMMYFUNCTION("VLOOKUP(F630, IMPORTRANGE(""https://docs.google.com/spreadsheets/d/1Lhp9OU0JdFf_VYSMzH5lBcEaU4o8teT1piV-SNzShjg/edit?gid=554141278#gid=554141278"", ""'Char Def. - Attributes'!C20:C2242""), 1,false)"),"MID_CORE")</f>
        <v>MID_CORE</v>
      </c>
      <c r="I630" s="136"/>
    </row>
    <row r="631" ht="15.75" customHeight="1">
      <c r="A631" s="59"/>
      <c r="B631" s="63">
        <f t="shared" si="1"/>
        <v>16</v>
      </c>
      <c r="C631" s="134" t="s">
        <v>99</v>
      </c>
      <c r="D631" s="134" t="s">
        <v>74</v>
      </c>
      <c r="E631" s="135">
        <f t="shared" si="8"/>
        <v>35</v>
      </c>
      <c r="F631" s="134" t="s">
        <v>3629</v>
      </c>
      <c r="G631" s="63" t="str">
        <f>VLOOKUP(C631, 'Class Def. - General Data'!$C$20:$C$1000,1,false)</f>
        <v>ZFG1_BODYBARSOAP</v>
      </c>
      <c r="H631" s="63" t="str">
        <f>IFERROR(__xludf.DUMMYFUNCTION("VLOOKUP(F631, IMPORTRANGE(""https://docs.google.com/spreadsheets/d/1Lhp9OU0JdFf_VYSMzH5lBcEaU4o8teT1piV-SNzShjg/edit?gid=554141278#gid=554141278"", ""'Char Def. - Attributes'!C20:C2242""), 1,false)"),"EAN_CTN")</f>
        <v>EAN_CTN</v>
      </c>
      <c r="I631" s="136"/>
    </row>
    <row r="632" ht="15.75" customHeight="1">
      <c r="A632" s="59"/>
      <c r="B632" s="63">
        <f t="shared" si="1"/>
        <v>16</v>
      </c>
      <c r="C632" s="134" t="s">
        <v>99</v>
      </c>
      <c r="D632" s="134" t="s">
        <v>74</v>
      </c>
      <c r="E632" s="135">
        <f t="shared" si="8"/>
        <v>36</v>
      </c>
      <c r="F632" s="134" t="s">
        <v>3630</v>
      </c>
      <c r="G632" s="63" t="str">
        <f>VLOOKUP(C632, 'Class Def. - General Data'!$C$20:$C$1000,1,false)</f>
        <v>ZFG1_BODYBARSOAP</v>
      </c>
      <c r="H632" s="63" t="str">
        <f>IFERROR(__xludf.DUMMYFUNCTION("VLOOKUP(F632, IMPORTRANGE(""https://docs.google.com/spreadsheets/d/1Lhp9OU0JdFf_VYSMzH5lBcEaU4o8teT1piV-SNzShjg/edit?gid=554141278#gid=554141278"", ""'Char Def. - Attributes'!C20:C2242""), 1,false)"),"EAN_BOX")</f>
        <v>EAN_BOX</v>
      </c>
      <c r="I632" s="136"/>
    </row>
    <row r="633" ht="15.75" customHeight="1">
      <c r="A633" s="59"/>
      <c r="B633" s="63">
        <f t="shared" si="1"/>
        <v>16</v>
      </c>
      <c r="C633" s="134" t="s">
        <v>99</v>
      </c>
      <c r="D633" s="141" t="s">
        <v>74</v>
      </c>
      <c r="E633" s="135">
        <v>22.0</v>
      </c>
      <c r="F633" s="135" t="s">
        <v>3603</v>
      </c>
      <c r="G633" s="63" t="str">
        <f>VLOOKUP(C633, 'Class Def. - General Data'!$C$20:$C$1000,1,false)</f>
        <v>ZFG1_BODYBARSOAP</v>
      </c>
      <c r="I633" s="136"/>
    </row>
    <row r="634" ht="15.75" customHeight="1">
      <c r="A634" s="59"/>
      <c r="B634" s="63">
        <f t="shared" si="1"/>
        <v>16</v>
      </c>
      <c r="C634" s="134" t="s">
        <v>100</v>
      </c>
      <c r="D634" s="134" t="s">
        <v>74</v>
      </c>
      <c r="E634" s="135">
        <f t="shared" ref="E634:E669" si="9">COUNTIF($C$20:C634,C634)</f>
        <v>1</v>
      </c>
      <c r="F634" s="134" t="s">
        <v>3645</v>
      </c>
      <c r="G634" s="63" t="str">
        <f>VLOOKUP(C634, 'Class Def. - General Data'!$C$20:$C$1000,1,false)</f>
        <v>ZFG1_BODYLIQSOAP</v>
      </c>
      <c r="H634" s="63" t="str">
        <f>IFERROR(__xludf.DUMMYFUNCTION("VLOOKUP(F634, IMPORTRANGE(""https://docs.google.com/spreadsheets/d/1Lhp9OU0JdFf_VYSMzH5lBcEaU4o8teT1piV-SNzShjg/edit?gid=554141278#gid=554141278"", ""'Char Def. - Attributes'!C20:C2242""), 1,false)"),"BRAND_BODYLIQSOAP")</f>
        <v>BRAND_BODYLIQSOAP</v>
      </c>
      <c r="I634" s="136"/>
    </row>
    <row r="635" ht="15.75" customHeight="1">
      <c r="A635" s="59"/>
      <c r="B635" s="63">
        <f t="shared" si="1"/>
        <v>16</v>
      </c>
      <c r="C635" s="135" t="s">
        <v>100</v>
      </c>
      <c r="D635" s="134" t="s">
        <v>74</v>
      </c>
      <c r="E635" s="135">
        <f t="shared" si="9"/>
        <v>2</v>
      </c>
      <c r="F635" s="134" t="s">
        <v>3646</v>
      </c>
      <c r="G635" s="63" t="str">
        <f>VLOOKUP(C635, 'Class Def. - General Data'!$C$20:$C$1000,1,false)</f>
        <v>ZFG1_BODYLIQSOAP</v>
      </c>
      <c r="H635" s="63" t="str">
        <f>IFERROR(__xludf.DUMMYFUNCTION("VLOOKUP(F635, IMPORTRANGE(""https://docs.google.com/spreadsheets/d/1Lhp9OU0JdFf_VYSMzH5lBcEaU4o8teT1piV-SNzShjg/edit?gid=554141278#gid=554141278"", ""'Char Def. - Attributes'!C20:C2242""), 1,false)"),"PSHAPE_BODYLIQSOAP")</f>
        <v>PSHAPE_BODYLIQSOAP</v>
      </c>
      <c r="I635" s="136"/>
    </row>
    <row r="636" ht="15.75" customHeight="1">
      <c r="A636" s="59"/>
      <c r="B636" s="63">
        <f t="shared" si="1"/>
        <v>16</v>
      </c>
      <c r="C636" s="134" t="s">
        <v>100</v>
      </c>
      <c r="D636" s="134" t="s">
        <v>74</v>
      </c>
      <c r="E636" s="135">
        <f t="shared" si="9"/>
        <v>3</v>
      </c>
      <c r="F636" s="134" t="s">
        <v>3605</v>
      </c>
      <c r="G636" s="63" t="str">
        <f>VLOOKUP(C636, 'Class Def. - General Data'!$C$20:$C$1000,1,false)</f>
        <v>ZFG1_BODYLIQSOAP</v>
      </c>
      <c r="H636" s="63" t="str">
        <f>IFERROR(__xludf.DUMMYFUNCTION("VLOOKUP(F636, IMPORTRANGE(""https://docs.google.com/spreadsheets/d/1Lhp9OU0JdFf_VYSMzH5lBcEaU4o8teT1piV-SNzShjg/edit?gid=554141278#gid=554141278"", ""'Char Def. - Attributes'!C20:C2242""), 1,false)"),"PACK_NETTO")</f>
        <v>PACK_NETTO</v>
      </c>
      <c r="I636" s="136"/>
    </row>
    <row r="637" ht="15.75" customHeight="1">
      <c r="A637" s="59"/>
      <c r="B637" s="63">
        <f t="shared" si="1"/>
        <v>16</v>
      </c>
      <c r="C637" s="135" t="s">
        <v>100</v>
      </c>
      <c r="D637" s="134" t="s">
        <v>74</v>
      </c>
      <c r="E637" s="135">
        <f t="shared" si="9"/>
        <v>4</v>
      </c>
      <c r="F637" s="134" t="s">
        <v>3647</v>
      </c>
      <c r="G637" s="63" t="str">
        <f>VLOOKUP(C637, 'Class Def. - General Data'!$C$20:$C$1000,1,false)</f>
        <v>ZFG1_BODYLIQSOAP</v>
      </c>
      <c r="H637" s="63" t="str">
        <f>IFERROR(__xludf.DUMMYFUNCTION("VLOOKUP(F637, IMPORTRANGE(""https://docs.google.com/spreadsheets/d/1Lhp9OU0JdFf_VYSMzH5lBcEaU4o8teT1piV-SNzShjg/edit?gid=554141278#gid=554141278"", ""'Char Def. - Attributes'!C20:C2242""), 1,false)"),"PUOM_BODYLIQSOAP")</f>
        <v>PUOM_BODYLIQSOAP</v>
      </c>
      <c r="I637" s="136"/>
    </row>
    <row r="638" ht="15.75" customHeight="1">
      <c r="A638" s="59"/>
      <c r="B638" s="63">
        <f t="shared" si="1"/>
        <v>16</v>
      </c>
      <c r="C638" s="134" t="s">
        <v>100</v>
      </c>
      <c r="D638" s="134" t="s">
        <v>74</v>
      </c>
      <c r="E638" s="135">
        <f t="shared" si="9"/>
        <v>5</v>
      </c>
      <c r="F638" s="134" t="s">
        <v>3607</v>
      </c>
      <c r="G638" s="63" t="str">
        <f>VLOOKUP(C638, 'Class Def. - General Data'!$C$20:$C$1000,1,false)</f>
        <v>ZFG1_BODYLIQSOAP</v>
      </c>
      <c r="H638" s="63" t="str">
        <f>IFERROR(__xludf.DUMMYFUNCTION("VLOOKUP(F638, IMPORTRANGE(""https://docs.google.com/spreadsheets/d/1Lhp9OU0JdFf_VYSMzH5lBcEaU4o8teT1piV-SNzShjg/edit?gid=554141278#gid=554141278"", ""'Char Def. - Attributes'!C20:C2242""), 1,false)"),"VARIAN")</f>
        <v>VARIAN</v>
      </c>
      <c r="I638" s="136"/>
    </row>
    <row r="639" ht="15.75" customHeight="1">
      <c r="A639" s="59"/>
      <c r="B639" s="63">
        <f t="shared" si="1"/>
        <v>16</v>
      </c>
      <c r="C639" s="134" t="s">
        <v>100</v>
      </c>
      <c r="D639" s="134" t="s">
        <v>74</v>
      </c>
      <c r="E639" s="135">
        <f t="shared" si="9"/>
        <v>6</v>
      </c>
      <c r="F639" s="134" t="s">
        <v>3608</v>
      </c>
      <c r="G639" s="63" t="str">
        <f>VLOOKUP(C639, 'Class Def. - General Data'!$C$20:$C$1000,1,false)</f>
        <v>ZFG1_BODYLIQSOAP</v>
      </c>
      <c r="H639" s="63" t="str">
        <f>IFERROR(__xludf.DUMMYFUNCTION("VLOOKUP(F639, IMPORTRANGE(""https://docs.google.com/spreadsheets/d/1Lhp9OU0JdFf_VYSMzH5lBcEaU4o8teT1piV-SNzShjg/edit?gid=554141278#gid=554141278"", ""'Char Def. - Attributes'!C20:C2242""), 1,false)"),"PROJECT_NAME")</f>
        <v>PROJECT_NAME</v>
      </c>
      <c r="I639" s="136"/>
    </row>
    <row r="640" ht="15.75" customHeight="1">
      <c r="A640" s="59"/>
      <c r="B640" s="63">
        <f t="shared" si="1"/>
        <v>16</v>
      </c>
      <c r="C640" s="134" t="s">
        <v>100</v>
      </c>
      <c r="D640" s="134" t="s">
        <v>74</v>
      </c>
      <c r="E640" s="135">
        <f t="shared" si="9"/>
        <v>7</v>
      </c>
      <c r="F640" s="134" t="s">
        <v>3609</v>
      </c>
      <c r="G640" s="63" t="str">
        <f>VLOOKUP(C640, 'Class Def. - General Data'!$C$20:$C$1000,1,false)</f>
        <v>ZFG1_BODYLIQSOAP</v>
      </c>
      <c r="H640" s="63" t="str">
        <f>IFERROR(__xludf.DUMMYFUNCTION("VLOOKUP(F640, IMPORTRANGE(""https://docs.google.com/spreadsheets/d/1Lhp9OU0JdFf_VYSMzH5lBcEaU4o8teT1piV-SNzShjg/edit?gid=554141278#gid=554141278"", ""'Char Def. - Attributes'!C20:C2242""), 1,false)"),"ADDITIONAL_PROMO")</f>
        <v>ADDITIONAL_PROMO</v>
      </c>
      <c r="I640" s="136"/>
    </row>
    <row r="641" ht="15.75" customHeight="1">
      <c r="A641" s="59"/>
      <c r="B641" s="63">
        <f t="shared" si="1"/>
        <v>16</v>
      </c>
      <c r="C641" s="134" t="s">
        <v>100</v>
      </c>
      <c r="D641" s="134" t="s">
        <v>74</v>
      </c>
      <c r="E641" s="135">
        <f t="shared" si="9"/>
        <v>8</v>
      </c>
      <c r="F641" s="134" t="s">
        <v>3610</v>
      </c>
      <c r="G641" s="63" t="str">
        <f>VLOOKUP(C641, 'Class Def. - General Data'!$C$20:$C$1000,1,false)</f>
        <v>ZFG1_BODYLIQSOAP</v>
      </c>
      <c r="H641" s="63" t="str">
        <f>IFERROR(__xludf.DUMMYFUNCTION("VLOOKUP(F641, IMPORTRANGE(""https://docs.google.com/spreadsheets/d/1Lhp9OU0JdFf_VYSMzH5lBcEaU4o8teT1piV-SNzShjg/edit?gid=554141278#gid=554141278"", ""'Char Def. - Attributes'!C20:C2242""), 1,false)"),"BANDED_PROMO")</f>
        <v>BANDED_PROMO</v>
      </c>
      <c r="I641" s="136"/>
    </row>
    <row r="642" ht="15.75" customHeight="1">
      <c r="A642" s="59"/>
      <c r="B642" s="63">
        <f t="shared" si="1"/>
        <v>16</v>
      </c>
      <c r="C642" s="134" t="s">
        <v>100</v>
      </c>
      <c r="D642" s="134" t="s">
        <v>74</v>
      </c>
      <c r="E642" s="135">
        <f t="shared" si="9"/>
        <v>9</v>
      </c>
      <c r="F642" s="134" t="s">
        <v>3611</v>
      </c>
      <c r="G642" s="63" t="str">
        <f>VLOOKUP(C642, 'Class Def. - General Data'!$C$20:$C$1000,1,false)</f>
        <v>ZFG1_BODYLIQSOAP</v>
      </c>
      <c r="H642" s="63" t="str">
        <f>IFERROR(__xludf.DUMMYFUNCTION("VLOOKUP(F642, IMPORTRANGE(""https://docs.google.com/spreadsheets/d/1Lhp9OU0JdFf_VYSMzH5lBcEaU4o8teT1piV-SNzShjg/edit?gid=554141278#gid=554141278"", ""'Char Def. - Attributes'!C20:C2242""), 1,false)"),"LOKAL_EKSPOR")</f>
        <v>LOKAL_EKSPOR</v>
      </c>
      <c r="I642" s="136"/>
    </row>
    <row r="643" ht="15.75" customHeight="1">
      <c r="A643" s="59"/>
      <c r="B643" s="63">
        <f t="shared" si="1"/>
        <v>16</v>
      </c>
      <c r="C643" s="134" t="s">
        <v>100</v>
      </c>
      <c r="D643" s="134" t="s">
        <v>74</v>
      </c>
      <c r="E643" s="135">
        <f t="shared" si="9"/>
        <v>10</v>
      </c>
      <c r="F643" s="134" t="s">
        <v>3612</v>
      </c>
      <c r="G643" s="63" t="str">
        <f>VLOOKUP(C643, 'Class Def. - General Data'!$C$20:$C$1000,1,false)</f>
        <v>ZFG1_BODYLIQSOAP</v>
      </c>
      <c r="H643" s="63" t="str">
        <f>IFERROR(__xludf.DUMMYFUNCTION("VLOOKUP(F643, IMPORTRANGE(""https://docs.google.com/spreadsheets/d/1Lhp9OU0JdFf_VYSMzH5lBcEaU4o8teT1piV-SNzShjg/edit?gid=554141278#gid=554141278"", ""'Char Def. - Attributes'!C20:C2242""), 1,false)"),"COUNTRY_EKSPOR")</f>
        <v>COUNTRY_EKSPOR</v>
      </c>
      <c r="I643" s="136"/>
    </row>
    <row r="644" ht="15.75" customHeight="1">
      <c r="A644" s="59"/>
      <c r="B644" s="63">
        <f t="shared" si="1"/>
        <v>16</v>
      </c>
      <c r="C644" s="134" t="s">
        <v>100</v>
      </c>
      <c r="D644" s="134" t="s">
        <v>74</v>
      </c>
      <c r="E644" s="135">
        <f t="shared" si="9"/>
        <v>11</v>
      </c>
      <c r="F644" s="134" t="s">
        <v>3613</v>
      </c>
      <c r="G644" s="63" t="str">
        <f>VLOOKUP(C644, 'Class Def. - General Data'!$C$20:$C$1000,1,false)</f>
        <v>ZFG1_BODYLIQSOAP</v>
      </c>
      <c r="H644" s="63" t="str">
        <f>IFERROR(__xludf.DUMMYFUNCTION("VLOOKUP(F644, IMPORTRANGE(""https://docs.google.com/spreadsheets/d/1Lhp9OU0JdFf_VYSMzH5lBcEaU4o8teT1piV-SNzShjg/edit?gid=554141278#gid=554141278"", ""'Char Def. - Attributes'!C20:C2242""), 1,false)"),"WARNA_SFG")</f>
        <v>WARNA_SFG</v>
      </c>
      <c r="I644" s="136"/>
    </row>
    <row r="645" ht="15.75" customHeight="1">
      <c r="A645" s="59"/>
      <c r="B645" s="63">
        <f t="shared" si="1"/>
        <v>16</v>
      </c>
      <c r="C645" s="134" t="s">
        <v>100</v>
      </c>
      <c r="D645" s="134" t="s">
        <v>74</v>
      </c>
      <c r="E645" s="135">
        <f t="shared" si="9"/>
        <v>12</v>
      </c>
      <c r="F645" s="134" t="s">
        <v>3582</v>
      </c>
      <c r="G645" s="63" t="str">
        <f>VLOOKUP(C645, 'Class Def. - General Data'!$C$20:$C$1000,1,false)</f>
        <v>ZFG1_BODYLIQSOAP</v>
      </c>
      <c r="H645" s="63" t="str">
        <f>IFERROR(__xludf.DUMMYFUNCTION("VLOOKUP(F645, IMPORTRANGE(""https://docs.google.com/spreadsheets/d/1Lhp9OU0JdFf_VYSMzH5lBcEaU4o8teT1piV-SNzShjg/edit?gid=554141278#gid=554141278"", ""'Char Def. - Attributes'!C20:C2242""), 1,false)"),"BASE_UNIT")</f>
        <v>BASE_UNIT</v>
      </c>
      <c r="I645" s="136"/>
    </row>
    <row r="646" ht="15.75" customHeight="1">
      <c r="A646" s="59"/>
      <c r="B646" s="63">
        <f t="shared" si="1"/>
        <v>16</v>
      </c>
      <c r="C646" s="134" t="s">
        <v>100</v>
      </c>
      <c r="D646" s="134" t="s">
        <v>74</v>
      </c>
      <c r="E646" s="135">
        <f t="shared" si="9"/>
        <v>13</v>
      </c>
      <c r="F646" s="134" t="s">
        <v>3583</v>
      </c>
      <c r="G646" s="63" t="str">
        <f>VLOOKUP(C646, 'Class Def. - General Data'!$C$20:$C$1000,1,false)</f>
        <v>ZFG1_BODYLIQSOAP</v>
      </c>
      <c r="H646" s="63" t="str">
        <f>IFERROR(__xludf.DUMMYFUNCTION("VLOOKUP(F646, IMPORTRANGE(""https://docs.google.com/spreadsheets/d/1Lhp9OU0JdFf_VYSMzH5lBcEaU4o8teT1piV-SNzShjg/edit?gid=554141278#gid=554141278"", ""'Char Def. - Attributes'!C20:C2242""), 1,false)"),"SALES_UNIT")</f>
        <v>SALES_UNIT</v>
      </c>
      <c r="I646" s="136"/>
    </row>
    <row r="647" ht="15.75" customHeight="1">
      <c r="A647" s="59"/>
      <c r="B647" s="63">
        <f t="shared" si="1"/>
        <v>16</v>
      </c>
      <c r="C647" s="134" t="s">
        <v>100</v>
      </c>
      <c r="D647" s="134" t="s">
        <v>74</v>
      </c>
      <c r="E647" s="135">
        <f t="shared" si="9"/>
        <v>14</v>
      </c>
      <c r="F647" s="134" t="s">
        <v>3601</v>
      </c>
      <c r="G647" s="63" t="str">
        <f>VLOOKUP(C647, 'Class Def. - General Data'!$C$20:$C$1000,1,false)</f>
        <v>ZFG1_BODYLIQSOAP</v>
      </c>
      <c r="H647" s="63" t="str">
        <f>IFERROR(__xludf.DUMMYFUNCTION("VLOOKUP(F647, IMPORTRANGE(""https://docs.google.com/spreadsheets/d/1Lhp9OU0JdFf_VYSMzH5lBcEaU4o8teT1piV-SNzShjg/edit?gid=554141278#gid=554141278"", ""'Char Def. - Attributes'!C20:C2242""), 1,false)"),"GROSS_WEIGHT")</f>
        <v>GROSS_WEIGHT</v>
      </c>
      <c r="I647" s="136"/>
    </row>
    <row r="648" ht="15.75" customHeight="1">
      <c r="A648" s="59"/>
      <c r="B648" s="63">
        <f t="shared" si="1"/>
        <v>16</v>
      </c>
      <c r="C648" s="134" t="s">
        <v>100</v>
      </c>
      <c r="D648" s="134" t="s">
        <v>74</v>
      </c>
      <c r="E648" s="135">
        <f t="shared" si="9"/>
        <v>15</v>
      </c>
      <c r="F648" s="134" t="s">
        <v>3602</v>
      </c>
      <c r="G648" s="63" t="str">
        <f>VLOOKUP(C648, 'Class Def. - General Data'!$C$20:$C$1000,1,false)</f>
        <v>ZFG1_BODYLIQSOAP</v>
      </c>
      <c r="H648" s="63" t="str">
        <f>IFERROR(__xludf.DUMMYFUNCTION("VLOOKUP(F648, IMPORTRANGE(""https://docs.google.com/spreadsheets/d/1Lhp9OU0JdFf_VYSMzH5lBcEaU4o8teT1piV-SNzShjg/edit?gid=554141278#gid=554141278"", ""'Char Def. - Attributes'!C20:C2242""), 1,false)"),"NET_WEIGHT")</f>
        <v>NET_WEIGHT</v>
      </c>
      <c r="I648" s="136"/>
    </row>
    <row r="649" ht="15.75" customHeight="1">
      <c r="A649" s="59"/>
      <c r="B649" s="63">
        <f t="shared" si="1"/>
        <v>16</v>
      </c>
      <c r="C649" s="134" t="s">
        <v>100</v>
      </c>
      <c r="D649" s="134" t="s">
        <v>74</v>
      </c>
      <c r="E649" s="135">
        <f t="shared" si="9"/>
        <v>16</v>
      </c>
      <c r="F649" s="134" t="s">
        <v>3584</v>
      </c>
      <c r="G649" s="63" t="str">
        <f>VLOOKUP(C649, 'Class Def. - General Data'!$C$20:$C$1000,1,false)</f>
        <v>ZFG1_BODYLIQSOAP</v>
      </c>
      <c r="H649" s="63" t="str">
        <f>IFERROR(__xludf.DUMMYFUNCTION("VLOOKUP(F649, IMPORTRANGE(""https://docs.google.com/spreadsheets/d/1Lhp9OU0JdFf_VYSMzH5lBcEaU4o8teT1piV-SNzShjg/edit?gid=554141278#gid=554141278"", ""'Char Def. - Attributes'!C20:C2242""), 1,false)"),"UNIT_PER_BOX")</f>
        <v>UNIT_PER_BOX</v>
      </c>
      <c r="I649" s="136"/>
    </row>
    <row r="650" ht="15.75" customHeight="1">
      <c r="A650" s="59"/>
      <c r="B650" s="63">
        <f t="shared" si="1"/>
        <v>16</v>
      </c>
      <c r="C650" s="134" t="s">
        <v>100</v>
      </c>
      <c r="D650" s="134" t="s">
        <v>74</v>
      </c>
      <c r="E650" s="135">
        <f t="shared" si="9"/>
        <v>17</v>
      </c>
      <c r="F650" s="134" t="s">
        <v>3614</v>
      </c>
      <c r="G650" s="63" t="str">
        <f>VLOOKUP(C650, 'Class Def. - General Data'!$C$20:$C$1000,1,false)</f>
        <v>ZFG1_BODYLIQSOAP</v>
      </c>
      <c r="H650" s="63" t="str">
        <f>IFERROR(__xludf.DUMMYFUNCTION("VLOOKUP(F650, IMPORTRANGE(""https://docs.google.com/spreadsheets/d/1Lhp9OU0JdFf_VYSMzH5lBcEaU4o8teT1piV-SNzShjg/edit?gid=554141278#gid=554141278"", ""'Char Def. - Attributes'!C20:C2242""), 1,false)"),"UNIT_PER_CTN")</f>
        <v>UNIT_PER_CTN</v>
      </c>
      <c r="I650" s="136"/>
    </row>
    <row r="651" ht="15.75" customHeight="1">
      <c r="A651" s="59"/>
      <c r="B651" s="63">
        <f t="shared" si="1"/>
        <v>16</v>
      </c>
      <c r="C651" s="134" t="s">
        <v>100</v>
      </c>
      <c r="D651" s="134" t="s">
        <v>74</v>
      </c>
      <c r="E651" s="135">
        <f t="shared" si="9"/>
        <v>18</v>
      </c>
      <c r="F651" s="134" t="s">
        <v>3615</v>
      </c>
      <c r="G651" s="63" t="str">
        <f>VLOOKUP(C651, 'Class Def. - General Data'!$C$20:$C$1000,1,false)</f>
        <v>ZFG1_BODYLIQSOAP</v>
      </c>
      <c r="H651" s="63" t="str">
        <f>IFERROR(__xludf.DUMMYFUNCTION("VLOOKUP(F651, IMPORTRANGE(""https://docs.google.com/spreadsheets/d/1Lhp9OU0JdFf_VYSMzH5lBcEaU4o8teT1piV-SNzShjg/edit?gid=554141278#gid=554141278"", ""'Char Def. - Attributes'!C20:C2242""), 1,false)"),"UNIT_PER_BAG")</f>
        <v>UNIT_PER_BAG</v>
      </c>
      <c r="I651" s="136"/>
    </row>
    <row r="652" ht="15.75" customHeight="1">
      <c r="A652" s="59"/>
      <c r="B652" s="63">
        <f t="shared" si="1"/>
        <v>16</v>
      </c>
      <c r="C652" s="134" t="s">
        <v>100</v>
      </c>
      <c r="D652" s="134" t="s">
        <v>74</v>
      </c>
      <c r="E652" s="135">
        <f t="shared" si="9"/>
        <v>19</v>
      </c>
      <c r="F652" s="134" t="s">
        <v>3616</v>
      </c>
      <c r="G652" s="63" t="str">
        <f>VLOOKUP(C652, 'Class Def. - General Data'!$C$20:$C$1000,1,false)</f>
        <v>ZFG1_BODYLIQSOAP</v>
      </c>
      <c r="H652" s="63" t="str">
        <f>IFERROR(__xludf.DUMMYFUNCTION("VLOOKUP(F652, IMPORTRANGE(""https://docs.google.com/spreadsheets/d/1Lhp9OU0JdFf_VYSMzH5lBcEaU4o8teT1piV-SNzShjg/edit?gid=554141278#gid=554141278"", ""'Char Def. - Attributes'!C20:C2242""), 1,false)"),"UNIT_PER_PAL")</f>
        <v>UNIT_PER_PAL</v>
      </c>
      <c r="I652" s="136"/>
    </row>
    <row r="653" ht="15.75" customHeight="1">
      <c r="A653" s="59"/>
      <c r="B653" s="63">
        <f t="shared" si="1"/>
        <v>16</v>
      </c>
      <c r="C653" s="134" t="s">
        <v>100</v>
      </c>
      <c r="D653" s="134" t="s">
        <v>74</v>
      </c>
      <c r="E653" s="135">
        <f t="shared" si="9"/>
        <v>20</v>
      </c>
      <c r="F653" s="134" t="s">
        <v>3617</v>
      </c>
      <c r="G653" s="63" t="str">
        <f>VLOOKUP(C653, 'Class Def. - General Data'!$C$20:$C$1000,1,false)</f>
        <v>ZFG1_BODYLIQSOAP</v>
      </c>
      <c r="H653" s="63" t="str">
        <f>IFERROR(__xludf.DUMMYFUNCTION("VLOOKUP(F653, IMPORTRANGE(""https://docs.google.com/spreadsheets/d/1Lhp9OU0JdFf_VYSMzH5lBcEaU4o8teT1piV-SNzShjg/edit?gid=554141278#gid=554141278"", ""'Char Def. - Attributes'!C20:C2242""), 1,false)"),"UNIT_PER_TIER")</f>
        <v>UNIT_PER_TIER</v>
      </c>
      <c r="I653" s="136"/>
    </row>
    <row r="654" ht="15.75" customHeight="1">
      <c r="A654" s="59"/>
      <c r="B654" s="63">
        <f t="shared" si="1"/>
        <v>16</v>
      </c>
      <c r="C654" s="134" t="s">
        <v>100</v>
      </c>
      <c r="D654" s="134" t="s">
        <v>74</v>
      </c>
      <c r="E654" s="135">
        <f t="shared" si="9"/>
        <v>21</v>
      </c>
      <c r="F654" s="134" t="s">
        <v>3618</v>
      </c>
      <c r="G654" s="63" t="str">
        <f>VLOOKUP(C654, 'Class Def. - General Data'!$C$20:$C$1000,1,false)</f>
        <v>ZFG1_BODYLIQSOAP</v>
      </c>
      <c r="H654" s="63" t="str">
        <f>IFERROR(__xludf.DUMMYFUNCTION("VLOOKUP(F654, IMPORTRANGE(""https://docs.google.com/spreadsheets/d/1Lhp9OU0JdFf_VYSMzH5lBcEaU4o8teT1piV-SNzShjg/edit?gid=554141278#gid=554141278"", ""'Char Def. - Attributes'!C20:C2242""), 1,false)"),"HEIGHT")</f>
        <v>HEIGHT</v>
      </c>
      <c r="I654" s="136"/>
    </row>
    <row r="655" ht="15.75" customHeight="1">
      <c r="A655" s="59"/>
      <c r="B655" s="63">
        <f t="shared" si="1"/>
        <v>16</v>
      </c>
      <c r="C655" s="134" t="s">
        <v>100</v>
      </c>
      <c r="D655" s="134" t="s">
        <v>74</v>
      </c>
      <c r="E655" s="135">
        <f t="shared" si="9"/>
        <v>22</v>
      </c>
      <c r="F655" s="134" t="s">
        <v>3587</v>
      </c>
      <c r="G655" s="63" t="str">
        <f>VLOOKUP(C655, 'Class Def. - General Data'!$C$20:$C$1000,1,false)</f>
        <v>ZFG1_BODYLIQSOAP</v>
      </c>
      <c r="H655" s="63" t="str">
        <f>IFERROR(__xludf.DUMMYFUNCTION("VLOOKUP(F655, IMPORTRANGE(""https://docs.google.com/spreadsheets/d/1Lhp9OU0JdFf_VYSMzH5lBcEaU4o8teT1piV-SNzShjg/edit?gid=554141278#gid=554141278"", ""'Char Def. - Attributes'!C20:C2242""), 1,false)"),"PLANT_BUY")</f>
        <v>PLANT_BUY</v>
      </c>
      <c r="I655" s="136"/>
    </row>
    <row r="656" ht="15.75" customHeight="1">
      <c r="A656" s="59"/>
      <c r="B656" s="63">
        <f t="shared" si="1"/>
        <v>16</v>
      </c>
      <c r="C656" s="134" t="s">
        <v>100</v>
      </c>
      <c r="D656" s="134" t="s">
        <v>74</v>
      </c>
      <c r="E656" s="135">
        <f t="shared" si="9"/>
        <v>23</v>
      </c>
      <c r="F656" s="134" t="s">
        <v>3619</v>
      </c>
      <c r="G656" s="63" t="str">
        <f>VLOOKUP(C656, 'Class Def. - General Data'!$C$20:$C$1000,1,false)</f>
        <v>ZFG1_BODYLIQSOAP</v>
      </c>
      <c r="H656" s="63" t="str">
        <f>IFERROR(__xludf.DUMMYFUNCTION("VLOOKUP(F656, IMPORTRANGE(""https://docs.google.com/spreadsheets/d/1Lhp9OU0JdFf_VYSMzH5lBcEaU4o8teT1piV-SNzShjg/edit?gid=554141278#gid=554141278"", ""'Char Def. - Attributes'!C20:C2242""), 1,false)"),"LENGTH")</f>
        <v>LENGTH</v>
      </c>
      <c r="I656" s="136"/>
    </row>
    <row r="657" ht="15.75" customHeight="1">
      <c r="A657" s="59"/>
      <c r="B657" s="63">
        <f t="shared" si="1"/>
        <v>16</v>
      </c>
      <c r="C657" s="134" t="s">
        <v>100</v>
      </c>
      <c r="D657" s="134" t="s">
        <v>74</v>
      </c>
      <c r="E657" s="135">
        <f t="shared" si="9"/>
        <v>24</v>
      </c>
      <c r="F657" s="134" t="s">
        <v>3586</v>
      </c>
      <c r="G657" s="63" t="str">
        <f>VLOOKUP(C657, 'Class Def. - General Data'!$C$20:$C$1000,1,false)</f>
        <v>ZFG1_BODYLIQSOAP</v>
      </c>
      <c r="H657" s="63" t="str">
        <f>IFERROR(__xludf.DUMMYFUNCTION("VLOOKUP(F657, IMPORTRANGE(""https://docs.google.com/spreadsheets/d/1Lhp9OU0JdFf_VYSMzH5lBcEaU4o8teT1piV-SNzShjg/edit?gid=554141278#gid=554141278"", ""'Char Def. - Attributes'!C20:C2242""), 1,false)"),"PLANT_PROD")</f>
        <v>PLANT_PROD</v>
      </c>
      <c r="I657" s="136"/>
    </row>
    <row r="658" ht="15.75" customHeight="1">
      <c r="A658" s="59"/>
      <c r="B658" s="63">
        <f t="shared" si="1"/>
        <v>16</v>
      </c>
      <c r="C658" s="134" t="s">
        <v>100</v>
      </c>
      <c r="D658" s="134" t="s">
        <v>74</v>
      </c>
      <c r="E658" s="135">
        <f t="shared" si="9"/>
        <v>25</v>
      </c>
      <c r="F658" s="134" t="s">
        <v>3620</v>
      </c>
      <c r="G658" s="63" t="str">
        <f>VLOOKUP(C658, 'Class Def. - General Data'!$C$20:$C$1000,1,false)</f>
        <v>ZFG1_BODYLIQSOAP</v>
      </c>
      <c r="H658" s="63" t="str">
        <f>IFERROR(__xludf.DUMMYFUNCTION("VLOOKUP(F658, IMPORTRANGE(""https://docs.google.com/spreadsheets/d/1Lhp9OU0JdFf_VYSMzH5lBcEaU4o8teT1piV-SNzShjg/edit?gid=554141278#gid=554141278"", ""'Char Def. - Attributes'!C20:C2242""), 1,false)"),"WIDTH")</f>
        <v>WIDTH</v>
      </c>
      <c r="I658" s="136"/>
    </row>
    <row r="659" ht="15.75" customHeight="1">
      <c r="A659" s="59"/>
      <c r="B659" s="63">
        <f t="shared" si="1"/>
        <v>16</v>
      </c>
      <c r="C659" s="134" t="s">
        <v>100</v>
      </c>
      <c r="D659" s="134" t="s">
        <v>74</v>
      </c>
      <c r="E659" s="135">
        <f t="shared" si="9"/>
        <v>26</v>
      </c>
      <c r="F659" s="134" t="s">
        <v>3585</v>
      </c>
      <c r="G659" s="63" t="str">
        <f>VLOOKUP(C659, 'Class Def. - General Data'!$C$20:$C$1000,1,false)</f>
        <v>ZFG1_BODYLIQSOAP</v>
      </c>
      <c r="H659" s="63" t="str">
        <f>IFERROR(__xludf.DUMMYFUNCTION("VLOOKUP(F659, IMPORTRANGE(""https://docs.google.com/spreadsheets/d/1Lhp9OU0JdFf_VYSMzH5lBcEaU4o8teT1piV-SNzShjg/edit?gid=554141278#gid=554141278"", ""'Char Def. - Attributes'!C20:C2242""), 1,false)"),"HS_CODE")</f>
        <v>HS_CODE</v>
      </c>
      <c r="I659" s="136"/>
    </row>
    <row r="660" ht="15.75" customHeight="1">
      <c r="A660" s="59"/>
      <c r="B660" s="63">
        <f t="shared" si="1"/>
        <v>16</v>
      </c>
      <c r="C660" s="134" t="s">
        <v>100</v>
      </c>
      <c r="D660" s="134" t="s">
        <v>74</v>
      </c>
      <c r="E660" s="135">
        <f t="shared" si="9"/>
        <v>27</v>
      </c>
      <c r="F660" s="134" t="s">
        <v>3621</v>
      </c>
      <c r="G660" s="63" t="str">
        <f>VLOOKUP(C660, 'Class Def. - General Data'!$C$20:$C$1000,1,false)</f>
        <v>ZFG1_BODYLIQSOAP</v>
      </c>
      <c r="H660" s="63" t="str">
        <f>IFERROR(__xludf.DUMMYFUNCTION("VLOOKUP(F660, IMPORTRANGE(""https://docs.google.com/spreadsheets/d/1Lhp9OU0JdFf_VYSMzH5lBcEaU4o8teT1piV-SNzShjg/edit?gid=554141278#gid=554141278"", ""'Char Def. - Attributes'!C20:C2242""), 1,false)"),"EAN_PCS")</f>
        <v>EAN_PCS</v>
      </c>
      <c r="I660" s="136"/>
    </row>
    <row r="661" ht="15.75" customHeight="1">
      <c r="A661" s="59"/>
      <c r="B661" s="63">
        <f t="shared" si="1"/>
        <v>16</v>
      </c>
      <c r="C661" s="134" t="s">
        <v>100</v>
      </c>
      <c r="D661" s="134" t="s">
        <v>74</v>
      </c>
      <c r="E661" s="135">
        <f t="shared" si="9"/>
        <v>28</v>
      </c>
      <c r="F661" s="134" t="s">
        <v>3622</v>
      </c>
      <c r="G661" s="63" t="str">
        <f>VLOOKUP(C661, 'Class Def. - General Data'!$C$20:$C$1000,1,false)</f>
        <v>ZFG1_BODYLIQSOAP</v>
      </c>
      <c r="H661" s="63" t="str">
        <f>IFERROR(__xludf.DUMMYFUNCTION("VLOOKUP(F661, IMPORTRANGE(""https://docs.google.com/spreadsheets/d/1Lhp9OU0JdFf_VYSMzH5lBcEaU4o8teT1piV-SNzShjg/edit?gid=554141278#gid=554141278"", ""'Char Def. - Attributes'!C20:C2242""), 1,false)"),"SFG_BRAND")</f>
        <v>SFG_BRAND</v>
      </c>
      <c r="I661" s="136"/>
    </row>
    <row r="662" ht="15.75" customHeight="1">
      <c r="A662" s="59"/>
      <c r="B662" s="63">
        <f t="shared" si="1"/>
        <v>16</v>
      </c>
      <c r="C662" s="134" t="s">
        <v>100</v>
      </c>
      <c r="D662" s="134" t="s">
        <v>74</v>
      </c>
      <c r="E662" s="135">
        <f t="shared" si="9"/>
        <v>29</v>
      </c>
      <c r="F662" s="134" t="s">
        <v>3623</v>
      </c>
      <c r="G662" s="63" t="str">
        <f>VLOOKUP(C662, 'Class Def. - General Data'!$C$20:$C$1000,1,false)</f>
        <v>ZFG1_BODYLIQSOAP</v>
      </c>
      <c r="H662" s="63" t="str">
        <f>IFERROR(__xludf.DUMMYFUNCTION("VLOOKUP(F662, IMPORTRANGE(""https://docs.google.com/spreadsheets/d/1Lhp9OU0JdFf_VYSMzH5lBcEaU4o8teT1piV-SNzShjg/edit?gid=554141278#gid=554141278"", ""'Char Def. - Attributes'!C20:C2242""), 1,false)"),"LANGUAGE")</f>
        <v>LANGUAGE</v>
      </c>
      <c r="I662" s="136"/>
    </row>
    <row r="663" ht="15.75" customHeight="1">
      <c r="A663" s="59"/>
      <c r="B663" s="63">
        <f t="shared" si="1"/>
        <v>16</v>
      </c>
      <c r="C663" s="139" t="s">
        <v>100</v>
      </c>
      <c r="D663" s="139" t="s">
        <v>74</v>
      </c>
      <c r="E663" s="140">
        <f t="shared" si="9"/>
        <v>30</v>
      </c>
      <c r="F663" s="134" t="s">
        <v>3624</v>
      </c>
      <c r="G663" s="63" t="str">
        <f>VLOOKUP(C663, 'Class Def. - General Data'!$C$20:$C$1000,1,false)</f>
        <v>ZFG1_BODYLIQSOAP</v>
      </c>
      <c r="H663" s="63" t="str">
        <f>IFERROR(__xludf.DUMMYFUNCTION("VLOOKUP(F663, IMPORTRANGE(""https://docs.google.com/spreadsheets/d/1Lhp9OU0JdFf_VYSMzH5lBcEaU4o8teT1piV-SNzShjg/edit?gid=554141278#gid=554141278"", ""'Char Def. - Attributes'!C20:C2242""), 1,false)"),"#N/A")</f>
        <v>#N/A</v>
      </c>
      <c r="I663" s="136"/>
    </row>
    <row r="664" ht="15.75" customHeight="1">
      <c r="A664" s="59"/>
      <c r="B664" s="63">
        <f t="shared" si="1"/>
        <v>16</v>
      </c>
      <c r="C664" s="134" t="s">
        <v>100</v>
      </c>
      <c r="D664" s="134" t="s">
        <v>74</v>
      </c>
      <c r="E664" s="135">
        <f t="shared" si="9"/>
        <v>31</v>
      </c>
      <c r="F664" s="134" t="s">
        <v>3625</v>
      </c>
      <c r="G664" s="63" t="str">
        <f>VLOOKUP(C664, 'Class Def. - General Data'!$C$20:$C$1000,1,false)</f>
        <v>ZFG1_BODYLIQSOAP</v>
      </c>
      <c r="H664" s="63" t="str">
        <f>IFERROR(__xludf.DUMMYFUNCTION("VLOOKUP(F664, IMPORTRANGE(""https://docs.google.com/spreadsheets/d/1Lhp9OU0JdFf_VYSMzH5lBcEaU4o8teT1piV-SNzShjg/edit?gid=554141278#gid=554141278"", ""'Char Def. - Attributes'!C20:C2242""), 1,false)"),"REGION_EKSPOR")</f>
        <v>REGION_EKSPOR</v>
      </c>
      <c r="I664" s="136"/>
    </row>
    <row r="665" ht="15.75" customHeight="1">
      <c r="A665" s="59"/>
      <c r="B665" s="63">
        <f t="shared" si="1"/>
        <v>16</v>
      </c>
      <c r="C665" s="134" t="s">
        <v>100</v>
      </c>
      <c r="D665" s="134" t="s">
        <v>74</v>
      </c>
      <c r="E665" s="135">
        <f t="shared" si="9"/>
        <v>32</v>
      </c>
      <c r="F665" s="134" t="s">
        <v>3626</v>
      </c>
      <c r="G665" s="63" t="str">
        <f>VLOOKUP(C665, 'Class Def. - General Data'!$C$20:$C$1000,1,false)</f>
        <v>ZFG1_BODYLIQSOAP</v>
      </c>
      <c r="H665" s="63" t="str">
        <f>IFERROR(__xludf.DUMMYFUNCTION("VLOOKUP(F665, IMPORTRANGE(""https://docs.google.com/spreadsheets/d/1Lhp9OU0JdFf_VYSMzH5lBcEaU4o8teT1piV-SNzShjg/edit?gid=554141278#gid=554141278"", ""'Char Def. - Attributes'!C20:C2242""), 1,false)"),"STICKER_NOT")</f>
        <v>STICKER_NOT</v>
      </c>
      <c r="I665" s="136"/>
    </row>
    <row r="666" ht="15.75" customHeight="1">
      <c r="A666" s="59"/>
      <c r="B666" s="63">
        <f t="shared" si="1"/>
        <v>16</v>
      </c>
      <c r="C666" s="134" t="s">
        <v>100</v>
      </c>
      <c r="D666" s="134" t="s">
        <v>74</v>
      </c>
      <c r="E666" s="135">
        <f t="shared" si="9"/>
        <v>33</v>
      </c>
      <c r="F666" s="134" t="s">
        <v>3627</v>
      </c>
      <c r="G666" s="63" t="str">
        <f>VLOOKUP(C666, 'Class Def. - General Data'!$C$20:$C$1000,1,false)</f>
        <v>ZFG1_BODYLIQSOAP</v>
      </c>
      <c r="H666" s="63" t="str">
        <f>IFERROR(__xludf.DUMMYFUNCTION("VLOOKUP(F666, IMPORTRANGE(""https://docs.google.com/spreadsheets/d/1Lhp9OU0JdFf_VYSMzH5lBcEaU4o8teT1piV-SNzShjg/edit?gid=554141278#gid=554141278"", ""'Char Def. - Attributes'!C20:C2242""), 1,false)"),"SHIP_MARK")</f>
        <v>SHIP_MARK</v>
      </c>
      <c r="I666" s="136"/>
    </row>
    <row r="667" ht="15.75" customHeight="1">
      <c r="A667" s="59"/>
      <c r="B667" s="63">
        <f t="shared" si="1"/>
        <v>16</v>
      </c>
      <c r="C667" s="134" t="s">
        <v>100</v>
      </c>
      <c r="D667" s="134" t="s">
        <v>74</v>
      </c>
      <c r="E667" s="135">
        <f t="shared" si="9"/>
        <v>34</v>
      </c>
      <c r="F667" s="134" t="s">
        <v>3628</v>
      </c>
      <c r="G667" s="63" t="str">
        <f>VLOOKUP(C667, 'Class Def. - General Data'!$C$20:$C$1000,1,false)</f>
        <v>ZFG1_BODYLIQSOAP</v>
      </c>
      <c r="H667" s="63" t="str">
        <f>IFERROR(__xludf.DUMMYFUNCTION("VLOOKUP(F667, IMPORTRANGE(""https://docs.google.com/spreadsheets/d/1Lhp9OU0JdFf_VYSMzH5lBcEaU4o8teT1piV-SNzShjg/edit?gid=554141278#gid=554141278"", ""'Char Def. - Attributes'!C20:C2242""), 1,false)"),"MID_CORE")</f>
        <v>MID_CORE</v>
      </c>
      <c r="I667" s="136"/>
    </row>
    <row r="668" ht="15.75" customHeight="1">
      <c r="A668" s="59"/>
      <c r="B668" s="63">
        <f t="shared" si="1"/>
        <v>16</v>
      </c>
      <c r="C668" s="134" t="s">
        <v>100</v>
      </c>
      <c r="D668" s="134" t="s">
        <v>74</v>
      </c>
      <c r="E668" s="135">
        <f t="shared" si="9"/>
        <v>35</v>
      </c>
      <c r="F668" s="134" t="s">
        <v>3629</v>
      </c>
      <c r="G668" s="63" t="str">
        <f>VLOOKUP(C668, 'Class Def. - General Data'!$C$20:$C$1000,1,false)</f>
        <v>ZFG1_BODYLIQSOAP</v>
      </c>
      <c r="H668" s="63" t="str">
        <f>IFERROR(__xludf.DUMMYFUNCTION("VLOOKUP(F668, IMPORTRANGE(""https://docs.google.com/spreadsheets/d/1Lhp9OU0JdFf_VYSMzH5lBcEaU4o8teT1piV-SNzShjg/edit?gid=554141278#gid=554141278"", ""'Char Def. - Attributes'!C20:C2242""), 1,false)"),"EAN_CTN")</f>
        <v>EAN_CTN</v>
      </c>
      <c r="I668" s="136"/>
    </row>
    <row r="669" ht="15.75" customHeight="1">
      <c r="A669" s="59"/>
      <c r="B669" s="63">
        <f t="shared" si="1"/>
        <v>16</v>
      </c>
      <c r="C669" s="134" t="s">
        <v>100</v>
      </c>
      <c r="D669" s="134" t="s">
        <v>74</v>
      </c>
      <c r="E669" s="135">
        <f t="shared" si="9"/>
        <v>36</v>
      </c>
      <c r="F669" s="134" t="s">
        <v>3630</v>
      </c>
      <c r="G669" s="63" t="str">
        <f>VLOOKUP(C669, 'Class Def. - General Data'!$C$20:$C$1000,1,false)</f>
        <v>ZFG1_BODYLIQSOAP</v>
      </c>
      <c r="H669" s="63" t="str">
        <f>IFERROR(__xludf.DUMMYFUNCTION("VLOOKUP(F669, IMPORTRANGE(""https://docs.google.com/spreadsheets/d/1Lhp9OU0JdFf_VYSMzH5lBcEaU4o8teT1piV-SNzShjg/edit?gid=554141278#gid=554141278"", ""'Char Def. - Attributes'!C20:C2242""), 1,false)"),"EAN_BOX")</f>
        <v>EAN_BOX</v>
      </c>
      <c r="I669" s="136"/>
    </row>
    <row r="670" ht="15.75" customHeight="1">
      <c r="A670" s="59"/>
      <c r="B670" s="63">
        <f t="shared" si="1"/>
        <v>16</v>
      </c>
      <c r="C670" s="134" t="s">
        <v>100</v>
      </c>
      <c r="D670" s="141" t="s">
        <v>74</v>
      </c>
      <c r="E670" s="135">
        <v>22.0</v>
      </c>
      <c r="F670" s="135" t="s">
        <v>3603</v>
      </c>
      <c r="G670" s="63" t="str">
        <f>VLOOKUP(C670, 'Class Def. - General Data'!$C$20:$C$1000,1,false)</f>
        <v>ZFG1_BODYLIQSOAP</v>
      </c>
      <c r="I670" s="136"/>
    </row>
    <row r="671" ht="15.75" customHeight="1">
      <c r="A671" s="59"/>
      <c r="B671" s="63">
        <f t="shared" si="1"/>
        <v>16</v>
      </c>
      <c r="C671" s="134" t="s">
        <v>101</v>
      </c>
      <c r="D671" s="134" t="s">
        <v>74</v>
      </c>
      <c r="E671" s="135">
        <f t="shared" ref="E671:E706" si="10">COUNTIF($C$20:C671,C671)</f>
        <v>1</v>
      </c>
      <c r="F671" s="134" t="s">
        <v>3648</v>
      </c>
      <c r="G671" s="63" t="str">
        <f>VLOOKUP(C671, 'Class Def. - General Data'!$C$20:$C$1000,1,false)</f>
        <v>ZFG1_CANDLEAROMA</v>
      </c>
      <c r="H671" s="63" t="str">
        <f>IFERROR(__xludf.DUMMYFUNCTION("VLOOKUP(F671, IMPORTRANGE(""https://docs.google.com/spreadsheets/d/1Lhp9OU0JdFf_VYSMzH5lBcEaU4o8teT1piV-SNzShjg/edit?gid=554141278#gid=554141278"", ""'Char Def. - Attributes'!C20:C2242""), 1,false)"),"BRAND_CANDLEAROMA")</f>
        <v>BRAND_CANDLEAROMA</v>
      </c>
      <c r="I671" s="136"/>
    </row>
    <row r="672" ht="15.75" customHeight="1">
      <c r="A672" s="59"/>
      <c r="B672" s="63">
        <f t="shared" si="1"/>
        <v>16</v>
      </c>
      <c r="C672" s="135" t="s">
        <v>101</v>
      </c>
      <c r="D672" s="134" t="s">
        <v>74</v>
      </c>
      <c r="E672" s="135">
        <f t="shared" si="10"/>
        <v>2</v>
      </c>
      <c r="F672" s="134" t="s">
        <v>3649</v>
      </c>
      <c r="G672" s="63" t="str">
        <f>VLOOKUP(C672, 'Class Def. - General Data'!$C$20:$C$1000,1,false)</f>
        <v>ZFG1_CANDLEAROMA</v>
      </c>
      <c r="H672" s="63" t="str">
        <f>IFERROR(__xludf.DUMMYFUNCTION("VLOOKUP(F672, IMPORTRANGE(""https://docs.google.com/spreadsheets/d/1Lhp9OU0JdFf_VYSMzH5lBcEaU4o8teT1piV-SNzShjg/edit?gid=554141278#gid=554141278"", ""'Char Def. - Attributes'!C20:C2242""), 1,false)"),"PSHAPE_CANDLEAROMA")</f>
        <v>PSHAPE_CANDLEAROMA</v>
      </c>
      <c r="I672" s="136"/>
    </row>
    <row r="673" ht="15.75" customHeight="1">
      <c r="A673" s="59"/>
      <c r="B673" s="63">
        <f t="shared" si="1"/>
        <v>16</v>
      </c>
      <c r="C673" s="134" t="s">
        <v>101</v>
      </c>
      <c r="D673" s="134" t="s">
        <v>74</v>
      </c>
      <c r="E673" s="135">
        <f t="shared" si="10"/>
        <v>3</v>
      </c>
      <c r="F673" s="134" t="s">
        <v>3605</v>
      </c>
      <c r="G673" s="63" t="str">
        <f>VLOOKUP(C673, 'Class Def. - General Data'!$C$20:$C$1000,1,false)</f>
        <v>ZFG1_CANDLEAROMA</v>
      </c>
      <c r="H673" s="63" t="str">
        <f>IFERROR(__xludf.DUMMYFUNCTION("VLOOKUP(F673, IMPORTRANGE(""https://docs.google.com/spreadsheets/d/1Lhp9OU0JdFf_VYSMzH5lBcEaU4o8teT1piV-SNzShjg/edit?gid=554141278#gid=554141278"", ""'Char Def. - Attributes'!C20:C2242""), 1,false)"),"PACK_NETTO")</f>
        <v>PACK_NETTO</v>
      </c>
      <c r="I673" s="136"/>
    </row>
    <row r="674" ht="15.75" customHeight="1">
      <c r="A674" s="59"/>
      <c r="B674" s="63">
        <f t="shared" si="1"/>
        <v>16</v>
      </c>
      <c r="C674" s="135" t="s">
        <v>101</v>
      </c>
      <c r="D674" s="134" t="s">
        <v>74</v>
      </c>
      <c r="E674" s="135">
        <f t="shared" si="10"/>
        <v>4</v>
      </c>
      <c r="F674" s="134" t="s">
        <v>3650</v>
      </c>
      <c r="G674" s="63" t="str">
        <f>VLOOKUP(C674, 'Class Def. - General Data'!$C$20:$C$1000,1,false)</f>
        <v>ZFG1_CANDLEAROMA</v>
      </c>
      <c r="H674" s="63" t="str">
        <f>IFERROR(__xludf.DUMMYFUNCTION("VLOOKUP(F674, IMPORTRANGE(""https://docs.google.com/spreadsheets/d/1Lhp9OU0JdFf_VYSMzH5lBcEaU4o8teT1piV-SNzShjg/edit?gid=554141278#gid=554141278"", ""'Char Def. - Attributes'!C20:C2242""), 1,false)"),"PUOM_CANDLEAROMA")</f>
        <v>PUOM_CANDLEAROMA</v>
      </c>
      <c r="I674" s="136"/>
    </row>
    <row r="675" ht="15.75" customHeight="1">
      <c r="A675" s="59"/>
      <c r="B675" s="63">
        <f t="shared" si="1"/>
        <v>16</v>
      </c>
      <c r="C675" s="134" t="s">
        <v>101</v>
      </c>
      <c r="D675" s="134" t="s">
        <v>74</v>
      </c>
      <c r="E675" s="135">
        <f t="shared" si="10"/>
        <v>5</v>
      </c>
      <c r="F675" s="134" t="s">
        <v>3607</v>
      </c>
      <c r="G675" s="63" t="str">
        <f>VLOOKUP(C675, 'Class Def. - General Data'!$C$20:$C$1000,1,false)</f>
        <v>ZFG1_CANDLEAROMA</v>
      </c>
      <c r="H675" s="63" t="str">
        <f>IFERROR(__xludf.DUMMYFUNCTION("VLOOKUP(F675, IMPORTRANGE(""https://docs.google.com/spreadsheets/d/1Lhp9OU0JdFf_VYSMzH5lBcEaU4o8teT1piV-SNzShjg/edit?gid=554141278#gid=554141278"", ""'Char Def. - Attributes'!C20:C2242""), 1,false)"),"VARIAN")</f>
        <v>VARIAN</v>
      </c>
      <c r="I675" s="136"/>
    </row>
    <row r="676" ht="15.75" customHeight="1">
      <c r="A676" s="59"/>
      <c r="B676" s="63">
        <f t="shared" si="1"/>
        <v>16</v>
      </c>
      <c r="C676" s="134" t="s">
        <v>101</v>
      </c>
      <c r="D676" s="134" t="s">
        <v>74</v>
      </c>
      <c r="E676" s="135">
        <f t="shared" si="10"/>
        <v>6</v>
      </c>
      <c r="F676" s="134" t="s">
        <v>3608</v>
      </c>
      <c r="G676" s="63" t="str">
        <f>VLOOKUP(C676, 'Class Def. - General Data'!$C$20:$C$1000,1,false)</f>
        <v>ZFG1_CANDLEAROMA</v>
      </c>
      <c r="H676" s="63" t="str">
        <f>IFERROR(__xludf.DUMMYFUNCTION("VLOOKUP(F676, IMPORTRANGE(""https://docs.google.com/spreadsheets/d/1Lhp9OU0JdFf_VYSMzH5lBcEaU4o8teT1piV-SNzShjg/edit?gid=554141278#gid=554141278"", ""'Char Def. - Attributes'!C20:C2242""), 1,false)"),"PROJECT_NAME")</f>
        <v>PROJECT_NAME</v>
      </c>
      <c r="I676" s="136"/>
    </row>
    <row r="677" ht="15.75" customHeight="1">
      <c r="A677" s="59"/>
      <c r="B677" s="63">
        <f t="shared" si="1"/>
        <v>16</v>
      </c>
      <c r="C677" s="134" t="s">
        <v>101</v>
      </c>
      <c r="D677" s="134" t="s">
        <v>74</v>
      </c>
      <c r="E677" s="135">
        <f t="shared" si="10"/>
        <v>7</v>
      </c>
      <c r="F677" s="134" t="s">
        <v>3609</v>
      </c>
      <c r="G677" s="63" t="str">
        <f>VLOOKUP(C677, 'Class Def. - General Data'!$C$20:$C$1000,1,false)</f>
        <v>ZFG1_CANDLEAROMA</v>
      </c>
      <c r="H677" s="63" t="str">
        <f>IFERROR(__xludf.DUMMYFUNCTION("VLOOKUP(F677, IMPORTRANGE(""https://docs.google.com/spreadsheets/d/1Lhp9OU0JdFf_VYSMzH5lBcEaU4o8teT1piV-SNzShjg/edit?gid=554141278#gid=554141278"", ""'Char Def. - Attributes'!C20:C2242""), 1,false)"),"ADDITIONAL_PROMO")</f>
        <v>ADDITIONAL_PROMO</v>
      </c>
      <c r="I677" s="136"/>
    </row>
    <row r="678" ht="15.75" customHeight="1">
      <c r="A678" s="59"/>
      <c r="B678" s="63">
        <f t="shared" si="1"/>
        <v>16</v>
      </c>
      <c r="C678" s="134" t="s">
        <v>101</v>
      </c>
      <c r="D678" s="134" t="s">
        <v>74</v>
      </c>
      <c r="E678" s="135">
        <f t="shared" si="10"/>
        <v>8</v>
      </c>
      <c r="F678" s="134" t="s">
        <v>3610</v>
      </c>
      <c r="G678" s="63" t="str">
        <f>VLOOKUP(C678, 'Class Def. - General Data'!$C$20:$C$1000,1,false)</f>
        <v>ZFG1_CANDLEAROMA</v>
      </c>
      <c r="H678" s="63" t="str">
        <f>IFERROR(__xludf.DUMMYFUNCTION("VLOOKUP(F678, IMPORTRANGE(""https://docs.google.com/spreadsheets/d/1Lhp9OU0JdFf_VYSMzH5lBcEaU4o8teT1piV-SNzShjg/edit?gid=554141278#gid=554141278"", ""'Char Def. - Attributes'!C20:C2242""), 1,false)"),"BANDED_PROMO")</f>
        <v>BANDED_PROMO</v>
      </c>
      <c r="I678" s="136"/>
    </row>
    <row r="679" ht="15.75" customHeight="1">
      <c r="A679" s="59"/>
      <c r="B679" s="63">
        <f t="shared" si="1"/>
        <v>16</v>
      </c>
      <c r="C679" s="134" t="s">
        <v>101</v>
      </c>
      <c r="D679" s="134" t="s">
        <v>74</v>
      </c>
      <c r="E679" s="135">
        <f t="shared" si="10"/>
        <v>9</v>
      </c>
      <c r="F679" s="134" t="s">
        <v>3611</v>
      </c>
      <c r="G679" s="63" t="str">
        <f>VLOOKUP(C679, 'Class Def. - General Data'!$C$20:$C$1000,1,false)</f>
        <v>ZFG1_CANDLEAROMA</v>
      </c>
      <c r="H679" s="63" t="str">
        <f>IFERROR(__xludf.DUMMYFUNCTION("VLOOKUP(F679, IMPORTRANGE(""https://docs.google.com/spreadsheets/d/1Lhp9OU0JdFf_VYSMzH5lBcEaU4o8teT1piV-SNzShjg/edit?gid=554141278#gid=554141278"", ""'Char Def. - Attributes'!C20:C2242""), 1,false)"),"LOKAL_EKSPOR")</f>
        <v>LOKAL_EKSPOR</v>
      </c>
      <c r="I679" s="136"/>
    </row>
    <row r="680" ht="15.75" customHeight="1">
      <c r="A680" s="59"/>
      <c r="B680" s="63">
        <f t="shared" si="1"/>
        <v>16</v>
      </c>
      <c r="C680" s="134" t="s">
        <v>101</v>
      </c>
      <c r="D680" s="134" t="s">
        <v>74</v>
      </c>
      <c r="E680" s="135">
        <f t="shared" si="10"/>
        <v>10</v>
      </c>
      <c r="F680" s="134" t="s">
        <v>3612</v>
      </c>
      <c r="G680" s="63" t="str">
        <f>VLOOKUP(C680, 'Class Def. - General Data'!$C$20:$C$1000,1,false)</f>
        <v>ZFG1_CANDLEAROMA</v>
      </c>
      <c r="H680" s="63" t="str">
        <f>IFERROR(__xludf.DUMMYFUNCTION("VLOOKUP(F680, IMPORTRANGE(""https://docs.google.com/spreadsheets/d/1Lhp9OU0JdFf_VYSMzH5lBcEaU4o8teT1piV-SNzShjg/edit?gid=554141278#gid=554141278"", ""'Char Def. - Attributes'!C20:C2242""), 1,false)"),"COUNTRY_EKSPOR")</f>
        <v>COUNTRY_EKSPOR</v>
      </c>
      <c r="I680" s="136"/>
    </row>
    <row r="681" ht="15.75" customHeight="1">
      <c r="A681" s="59"/>
      <c r="B681" s="63">
        <f t="shared" si="1"/>
        <v>16</v>
      </c>
      <c r="C681" s="134" t="s">
        <v>101</v>
      </c>
      <c r="D681" s="134" t="s">
        <v>74</v>
      </c>
      <c r="E681" s="135">
        <f t="shared" si="10"/>
        <v>11</v>
      </c>
      <c r="F681" s="134" t="s">
        <v>3613</v>
      </c>
      <c r="G681" s="63" t="str">
        <f>VLOOKUP(C681, 'Class Def. - General Data'!$C$20:$C$1000,1,false)</f>
        <v>ZFG1_CANDLEAROMA</v>
      </c>
      <c r="H681" s="63" t="str">
        <f>IFERROR(__xludf.DUMMYFUNCTION("VLOOKUP(F681, IMPORTRANGE(""https://docs.google.com/spreadsheets/d/1Lhp9OU0JdFf_VYSMzH5lBcEaU4o8teT1piV-SNzShjg/edit?gid=554141278#gid=554141278"", ""'Char Def. - Attributes'!C20:C2242""), 1,false)"),"WARNA_SFG")</f>
        <v>WARNA_SFG</v>
      </c>
      <c r="I681" s="136"/>
    </row>
    <row r="682" ht="15.75" customHeight="1">
      <c r="A682" s="59"/>
      <c r="B682" s="63">
        <f t="shared" si="1"/>
        <v>16</v>
      </c>
      <c r="C682" s="134" t="s">
        <v>101</v>
      </c>
      <c r="D682" s="134" t="s">
        <v>74</v>
      </c>
      <c r="E682" s="135">
        <f t="shared" si="10"/>
        <v>12</v>
      </c>
      <c r="F682" s="134" t="s">
        <v>3582</v>
      </c>
      <c r="G682" s="63" t="str">
        <f>VLOOKUP(C682, 'Class Def. - General Data'!$C$20:$C$1000,1,false)</f>
        <v>ZFG1_CANDLEAROMA</v>
      </c>
      <c r="H682" s="63" t="str">
        <f>IFERROR(__xludf.DUMMYFUNCTION("VLOOKUP(F682, IMPORTRANGE(""https://docs.google.com/spreadsheets/d/1Lhp9OU0JdFf_VYSMzH5lBcEaU4o8teT1piV-SNzShjg/edit?gid=554141278#gid=554141278"", ""'Char Def. - Attributes'!C20:C2242""), 1,false)"),"BASE_UNIT")</f>
        <v>BASE_UNIT</v>
      </c>
      <c r="I682" s="136"/>
    </row>
    <row r="683" ht="15.75" customHeight="1">
      <c r="A683" s="59"/>
      <c r="B683" s="63">
        <f t="shared" si="1"/>
        <v>16</v>
      </c>
      <c r="C683" s="134" t="s">
        <v>101</v>
      </c>
      <c r="D683" s="134" t="s">
        <v>74</v>
      </c>
      <c r="E683" s="135">
        <f t="shared" si="10"/>
        <v>13</v>
      </c>
      <c r="F683" s="134" t="s">
        <v>3583</v>
      </c>
      <c r="G683" s="63" t="str">
        <f>VLOOKUP(C683, 'Class Def. - General Data'!$C$20:$C$1000,1,false)</f>
        <v>ZFG1_CANDLEAROMA</v>
      </c>
      <c r="H683" s="63" t="str">
        <f>IFERROR(__xludf.DUMMYFUNCTION("VLOOKUP(F683, IMPORTRANGE(""https://docs.google.com/spreadsheets/d/1Lhp9OU0JdFf_VYSMzH5lBcEaU4o8teT1piV-SNzShjg/edit?gid=554141278#gid=554141278"", ""'Char Def. - Attributes'!C20:C2242""), 1,false)"),"SALES_UNIT")</f>
        <v>SALES_UNIT</v>
      </c>
      <c r="I683" s="136"/>
    </row>
    <row r="684" ht="15.75" customHeight="1">
      <c r="A684" s="59"/>
      <c r="B684" s="63">
        <f t="shared" si="1"/>
        <v>16</v>
      </c>
      <c r="C684" s="134" t="s">
        <v>101</v>
      </c>
      <c r="D684" s="134" t="s">
        <v>74</v>
      </c>
      <c r="E684" s="135">
        <f t="shared" si="10"/>
        <v>14</v>
      </c>
      <c r="F684" s="134" t="s">
        <v>3601</v>
      </c>
      <c r="G684" s="63" t="str">
        <f>VLOOKUP(C684, 'Class Def. - General Data'!$C$20:$C$1000,1,false)</f>
        <v>ZFG1_CANDLEAROMA</v>
      </c>
      <c r="H684" s="63" t="str">
        <f>IFERROR(__xludf.DUMMYFUNCTION("VLOOKUP(F684, IMPORTRANGE(""https://docs.google.com/spreadsheets/d/1Lhp9OU0JdFf_VYSMzH5lBcEaU4o8teT1piV-SNzShjg/edit?gid=554141278#gid=554141278"", ""'Char Def. - Attributes'!C20:C2242""), 1,false)"),"GROSS_WEIGHT")</f>
        <v>GROSS_WEIGHT</v>
      </c>
      <c r="I684" s="136"/>
    </row>
    <row r="685" ht="15.75" customHeight="1">
      <c r="A685" s="59"/>
      <c r="B685" s="63">
        <f t="shared" si="1"/>
        <v>16</v>
      </c>
      <c r="C685" s="134" t="s">
        <v>101</v>
      </c>
      <c r="D685" s="134" t="s">
        <v>74</v>
      </c>
      <c r="E685" s="135">
        <f t="shared" si="10"/>
        <v>15</v>
      </c>
      <c r="F685" s="134" t="s">
        <v>3602</v>
      </c>
      <c r="G685" s="63" t="str">
        <f>VLOOKUP(C685, 'Class Def. - General Data'!$C$20:$C$1000,1,false)</f>
        <v>ZFG1_CANDLEAROMA</v>
      </c>
      <c r="H685" s="63" t="str">
        <f>IFERROR(__xludf.DUMMYFUNCTION("VLOOKUP(F685, IMPORTRANGE(""https://docs.google.com/spreadsheets/d/1Lhp9OU0JdFf_VYSMzH5lBcEaU4o8teT1piV-SNzShjg/edit?gid=554141278#gid=554141278"", ""'Char Def. - Attributes'!C20:C2242""), 1,false)"),"NET_WEIGHT")</f>
        <v>NET_WEIGHT</v>
      </c>
      <c r="I685" s="136"/>
    </row>
    <row r="686" ht="15.75" customHeight="1">
      <c r="A686" s="59"/>
      <c r="B686" s="63">
        <f t="shared" si="1"/>
        <v>16</v>
      </c>
      <c r="C686" s="134" t="s">
        <v>101</v>
      </c>
      <c r="D686" s="134" t="s">
        <v>74</v>
      </c>
      <c r="E686" s="135">
        <f t="shared" si="10"/>
        <v>16</v>
      </c>
      <c r="F686" s="134" t="s">
        <v>3584</v>
      </c>
      <c r="G686" s="63" t="str">
        <f>VLOOKUP(C686, 'Class Def. - General Data'!$C$20:$C$1000,1,false)</f>
        <v>ZFG1_CANDLEAROMA</v>
      </c>
      <c r="H686" s="63" t="str">
        <f>IFERROR(__xludf.DUMMYFUNCTION("VLOOKUP(F686, IMPORTRANGE(""https://docs.google.com/spreadsheets/d/1Lhp9OU0JdFf_VYSMzH5lBcEaU4o8teT1piV-SNzShjg/edit?gid=554141278#gid=554141278"", ""'Char Def. - Attributes'!C20:C2242""), 1,false)"),"UNIT_PER_BOX")</f>
        <v>UNIT_PER_BOX</v>
      </c>
      <c r="I686" s="136"/>
    </row>
    <row r="687" ht="15.75" customHeight="1">
      <c r="A687" s="59"/>
      <c r="B687" s="63">
        <f t="shared" si="1"/>
        <v>16</v>
      </c>
      <c r="C687" s="134" t="s">
        <v>101</v>
      </c>
      <c r="D687" s="134" t="s">
        <v>74</v>
      </c>
      <c r="E687" s="135">
        <f t="shared" si="10"/>
        <v>17</v>
      </c>
      <c r="F687" s="134" t="s">
        <v>3614</v>
      </c>
      <c r="G687" s="63" t="str">
        <f>VLOOKUP(C687, 'Class Def. - General Data'!$C$20:$C$1000,1,false)</f>
        <v>ZFG1_CANDLEAROMA</v>
      </c>
      <c r="H687" s="63" t="str">
        <f>IFERROR(__xludf.DUMMYFUNCTION("VLOOKUP(F687, IMPORTRANGE(""https://docs.google.com/spreadsheets/d/1Lhp9OU0JdFf_VYSMzH5lBcEaU4o8teT1piV-SNzShjg/edit?gid=554141278#gid=554141278"", ""'Char Def. - Attributes'!C20:C2242""), 1,false)"),"UNIT_PER_CTN")</f>
        <v>UNIT_PER_CTN</v>
      </c>
      <c r="I687" s="136"/>
    </row>
    <row r="688" ht="15.75" customHeight="1">
      <c r="A688" s="59"/>
      <c r="B688" s="63">
        <f t="shared" si="1"/>
        <v>16</v>
      </c>
      <c r="C688" s="134" t="s">
        <v>101</v>
      </c>
      <c r="D688" s="134" t="s">
        <v>74</v>
      </c>
      <c r="E688" s="135">
        <f t="shared" si="10"/>
        <v>18</v>
      </c>
      <c r="F688" s="134" t="s">
        <v>3615</v>
      </c>
      <c r="G688" s="63" t="str">
        <f>VLOOKUP(C688, 'Class Def. - General Data'!$C$20:$C$1000,1,false)</f>
        <v>ZFG1_CANDLEAROMA</v>
      </c>
      <c r="H688" s="63" t="str">
        <f>IFERROR(__xludf.DUMMYFUNCTION("VLOOKUP(F688, IMPORTRANGE(""https://docs.google.com/spreadsheets/d/1Lhp9OU0JdFf_VYSMzH5lBcEaU4o8teT1piV-SNzShjg/edit?gid=554141278#gid=554141278"", ""'Char Def. - Attributes'!C20:C2242""), 1,false)"),"UNIT_PER_BAG")</f>
        <v>UNIT_PER_BAG</v>
      </c>
      <c r="I688" s="136"/>
    </row>
    <row r="689" ht="15.75" customHeight="1">
      <c r="A689" s="59"/>
      <c r="B689" s="63">
        <f t="shared" si="1"/>
        <v>16</v>
      </c>
      <c r="C689" s="134" t="s">
        <v>101</v>
      </c>
      <c r="D689" s="134" t="s">
        <v>74</v>
      </c>
      <c r="E689" s="135">
        <f t="shared" si="10"/>
        <v>19</v>
      </c>
      <c r="F689" s="134" t="s">
        <v>3616</v>
      </c>
      <c r="G689" s="63" t="str">
        <f>VLOOKUP(C689, 'Class Def. - General Data'!$C$20:$C$1000,1,false)</f>
        <v>ZFG1_CANDLEAROMA</v>
      </c>
      <c r="H689" s="63" t="str">
        <f>IFERROR(__xludf.DUMMYFUNCTION("VLOOKUP(F689, IMPORTRANGE(""https://docs.google.com/spreadsheets/d/1Lhp9OU0JdFf_VYSMzH5lBcEaU4o8teT1piV-SNzShjg/edit?gid=554141278#gid=554141278"", ""'Char Def. - Attributes'!C20:C2242""), 1,false)"),"UNIT_PER_PAL")</f>
        <v>UNIT_PER_PAL</v>
      </c>
      <c r="I689" s="136"/>
    </row>
    <row r="690" ht="15.75" customHeight="1">
      <c r="A690" s="59"/>
      <c r="B690" s="63">
        <f t="shared" si="1"/>
        <v>16</v>
      </c>
      <c r="C690" s="134" t="s">
        <v>101</v>
      </c>
      <c r="D690" s="134" t="s">
        <v>74</v>
      </c>
      <c r="E690" s="135">
        <f t="shared" si="10"/>
        <v>20</v>
      </c>
      <c r="F690" s="134" t="s">
        <v>3617</v>
      </c>
      <c r="G690" s="63" t="str">
        <f>VLOOKUP(C690, 'Class Def. - General Data'!$C$20:$C$1000,1,false)</f>
        <v>ZFG1_CANDLEAROMA</v>
      </c>
      <c r="H690" s="63" t="str">
        <f>IFERROR(__xludf.DUMMYFUNCTION("VLOOKUP(F690, IMPORTRANGE(""https://docs.google.com/spreadsheets/d/1Lhp9OU0JdFf_VYSMzH5lBcEaU4o8teT1piV-SNzShjg/edit?gid=554141278#gid=554141278"", ""'Char Def. - Attributes'!C20:C2242""), 1,false)"),"UNIT_PER_TIER")</f>
        <v>UNIT_PER_TIER</v>
      </c>
      <c r="I690" s="136"/>
    </row>
    <row r="691" ht="15.75" customHeight="1">
      <c r="A691" s="59"/>
      <c r="B691" s="63">
        <f t="shared" si="1"/>
        <v>16</v>
      </c>
      <c r="C691" s="134" t="s">
        <v>101</v>
      </c>
      <c r="D691" s="134" t="s">
        <v>74</v>
      </c>
      <c r="E691" s="135">
        <f t="shared" si="10"/>
        <v>21</v>
      </c>
      <c r="F691" s="134" t="s">
        <v>3618</v>
      </c>
      <c r="G691" s="63" t="str">
        <f>VLOOKUP(C691, 'Class Def. - General Data'!$C$20:$C$1000,1,false)</f>
        <v>ZFG1_CANDLEAROMA</v>
      </c>
      <c r="H691" s="63" t="str">
        <f>IFERROR(__xludf.DUMMYFUNCTION("VLOOKUP(F691, IMPORTRANGE(""https://docs.google.com/spreadsheets/d/1Lhp9OU0JdFf_VYSMzH5lBcEaU4o8teT1piV-SNzShjg/edit?gid=554141278#gid=554141278"", ""'Char Def. - Attributes'!C20:C2242""), 1,false)"),"HEIGHT")</f>
        <v>HEIGHT</v>
      </c>
      <c r="I691" s="136"/>
    </row>
    <row r="692" ht="15.75" customHeight="1">
      <c r="A692" s="59"/>
      <c r="B692" s="63">
        <f t="shared" si="1"/>
        <v>16</v>
      </c>
      <c r="C692" s="134" t="s">
        <v>101</v>
      </c>
      <c r="D692" s="134" t="s">
        <v>74</v>
      </c>
      <c r="E692" s="135">
        <f t="shared" si="10"/>
        <v>22</v>
      </c>
      <c r="F692" s="134" t="s">
        <v>3587</v>
      </c>
      <c r="G692" s="63" t="str">
        <f>VLOOKUP(C692, 'Class Def. - General Data'!$C$20:$C$1000,1,false)</f>
        <v>ZFG1_CANDLEAROMA</v>
      </c>
      <c r="H692" s="63" t="str">
        <f>IFERROR(__xludf.DUMMYFUNCTION("VLOOKUP(F692, IMPORTRANGE(""https://docs.google.com/spreadsheets/d/1Lhp9OU0JdFf_VYSMzH5lBcEaU4o8teT1piV-SNzShjg/edit?gid=554141278#gid=554141278"", ""'Char Def. - Attributes'!C20:C2242""), 1,false)"),"PLANT_BUY")</f>
        <v>PLANT_BUY</v>
      </c>
      <c r="I692" s="136"/>
    </row>
    <row r="693" ht="15.75" customHeight="1">
      <c r="A693" s="59"/>
      <c r="B693" s="63">
        <f t="shared" si="1"/>
        <v>16</v>
      </c>
      <c r="C693" s="134" t="s">
        <v>101</v>
      </c>
      <c r="D693" s="134" t="s">
        <v>74</v>
      </c>
      <c r="E693" s="135">
        <f t="shared" si="10"/>
        <v>23</v>
      </c>
      <c r="F693" s="134" t="s">
        <v>3619</v>
      </c>
      <c r="G693" s="63" t="str">
        <f>VLOOKUP(C693, 'Class Def. - General Data'!$C$20:$C$1000,1,false)</f>
        <v>ZFG1_CANDLEAROMA</v>
      </c>
      <c r="H693" s="63" t="str">
        <f>IFERROR(__xludf.DUMMYFUNCTION("VLOOKUP(F693, IMPORTRANGE(""https://docs.google.com/spreadsheets/d/1Lhp9OU0JdFf_VYSMzH5lBcEaU4o8teT1piV-SNzShjg/edit?gid=554141278#gid=554141278"", ""'Char Def. - Attributes'!C20:C2242""), 1,false)"),"LENGTH")</f>
        <v>LENGTH</v>
      </c>
      <c r="I693" s="136"/>
    </row>
    <row r="694" ht="15.75" customHeight="1">
      <c r="A694" s="59"/>
      <c r="B694" s="63">
        <f t="shared" si="1"/>
        <v>16</v>
      </c>
      <c r="C694" s="134" t="s">
        <v>101</v>
      </c>
      <c r="D694" s="134" t="s">
        <v>74</v>
      </c>
      <c r="E694" s="135">
        <f t="shared" si="10"/>
        <v>24</v>
      </c>
      <c r="F694" s="134" t="s">
        <v>3586</v>
      </c>
      <c r="G694" s="63" t="str">
        <f>VLOOKUP(C694, 'Class Def. - General Data'!$C$20:$C$1000,1,false)</f>
        <v>ZFG1_CANDLEAROMA</v>
      </c>
      <c r="H694" s="63" t="str">
        <f>IFERROR(__xludf.DUMMYFUNCTION("VLOOKUP(F694, IMPORTRANGE(""https://docs.google.com/spreadsheets/d/1Lhp9OU0JdFf_VYSMzH5lBcEaU4o8teT1piV-SNzShjg/edit?gid=554141278#gid=554141278"", ""'Char Def. - Attributes'!C20:C2242""), 1,false)"),"PLANT_PROD")</f>
        <v>PLANT_PROD</v>
      </c>
      <c r="I694" s="136"/>
    </row>
    <row r="695" ht="15.75" customHeight="1">
      <c r="A695" s="59"/>
      <c r="B695" s="63">
        <f t="shared" si="1"/>
        <v>16</v>
      </c>
      <c r="C695" s="134" t="s">
        <v>101</v>
      </c>
      <c r="D695" s="134" t="s">
        <v>74</v>
      </c>
      <c r="E695" s="135">
        <f t="shared" si="10"/>
        <v>25</v>
      </c>
      <c r="F695" s="134" t="s">
        <v>3620</v>
      </c>
      <c r="G695" s="63" t="str">
        <f>VLOOKUP(C695, 'Class Def. - General Data'!$C$20:$C$1000,1,false)</f>
        <v>ZFG1_CANDLEAROMA</v>
      </c>
      <c r="H695" s="63" t="str">
        <f>IFERROR(__xludf.DUMMYFUNCTION("VLOOKUP(F695, IMPORTRANGE(""https://docs.google.com/spreadsheets/d/1Lhp9OU0JdFf_VYSMzH5lBcEaU4o8teT1piV-SNzShjg/edit?gid=554141278#gid=554141278"", ""'Char Def. - Attributes'!C20:C2242""), 1,false)"),"WIDTH")</f>
        <v>WIDTH</v>
      </c>
      <c r="I695" s="136"/>
    </row>
    <row r="696" ht="15.75" customHeight="1">
      <c r="A696" s="59"/>
      <c r="B696" s="63">
        <f t="shared" si="1"/>
        <v>16</v>
      </c>
      <c r="C696" s="134" t="s">
        <v>101</v>
      </c>
      <c r="D696" s="134" t="s">
        <v>74</v>
      </c>
      <c r="E696" s="135">
        <f t="shared" si="10"/>
        <v>26</v>
      </c>
      <c r="F696" s="134" t="s">
        <v>3585</v>
      </c>
      <c r="G696" s="63" t="str">
        <f>VLOOKUP(C696, 'Class Def. - General Data'!$C$20:$C$1000,1,false)</f>
        <v>ZFG1_CANDLEAROMA</v>
      </c>
      <c r="H696" s="63" t="str">
        <f>IFERROR(__xludf.DUMMYFUNCTION("VLOOKUP(F696, IMPORTRANGE(""https://docs.google.com/spreadsheets/d/1Lhp9OU0JdFf_VYSMzH5lBcEaU4o8teT1piV-SNzShjg/edit?gid=554141278#gid=554141278"", ""'Char Def. - Attributes'!C20:C2242""), 1,false)"),"HS_CODE")</f>
        <v>HS_CODE</v>
      </c>
      <c r="I696" s="136"/>
    </row>
    <row r="697" ht="15.75" customHeight="1">
      <c r="A697" s="59"/>
      <c r="B697" s="63">
        <f t="shared" si="1"/>
        <v>16</v>
      </c>
      <c r="C697" s="134" t="s">
        <v>101</v>
      </c>
      <c r="D697" s="134" t="s">
        <v>74</v>
      </c>
      <c r="E697" s="135">
        <f t="shared" si="10"/>
        <v>27</v>
      </c>
      <c r="F697" s="134" t="s">
        <v>3621</v>
      </c>
      <c r="G697" s="63" t="str">
        <f>VLOOKUP(C697, 'Class Def. - General Data'!$C$20:$C$1000,1,false)</f>
        <v>ZFG1_CANDLEAROMA</v>
      </c>
      <c r="H697" s="63" t="str">
        <f>IFERROR(__xludf.DUMMYFUNCTION("VLOOKUP(F697, IMPORTRANGE(""https://docs.google.com/spreadsheets/d/1Lhp9OU0JdFf_VYSMzH5lBcEaU4o8teT1piV-SNzShjg/edit?gid=554141278#gid=554141278"", ""'Char Def. - Attributes'!C20:C2242""), 1,false)"),"EAN_PCS")</f>
        <v>EAN_PCS</v>
      </c>
      <c r="I697" s="136"/>
    </row>
    <row r="698" ht="15.75" customHeight="1">
      <c r="A698" s="59"/>
      <c r="B698" s="63">
        <f t="shared" si="1"/>
        <v>16</v>
      </c>
      <c r="C698" s="134" t="s">
        <v>101</v>
      </c>
      <c r="D698" s="134" t="s">
        <v>74</v>
      </c>
      <c r="E698" s="135">
        <f t="shared" si="10"/>
        <v>28</v>
      </c>
      <c r="F698" s="134" t="s">
        <v>3622</v>
      </c>
      <c r="G698" s="63" t="str">
        <f>VLOOKUP(C698, 'Class Def. - General Data'!$C$20:$C$1000,1,false)</f>
        <v>ZFG1_CANDLEAROMA</v>
      </c>
      <c r="H698" s="63" t="str">
        <f>IFERROR(__xludf.DUMMYFUNCTION("VLOOKUP(F698, IMPORTRANGE(""https://docs.google.com/spreadsheets/d/1Lhp9OU0JdFf_VYSMzH5lBcEaU4o8teT1piV-SNzShjg/edit?gid=554141278#gid=554141278"", ""'Char Def. - Attributes'!C20:C2242""), 1,false)"),"SFG_BRAND")</f>
        <v>SFG_BRAND</v>
      </c>
      <c r="I698" s="136"/>
    </row>
    <row r="699" ht="15.75" customHeight="1">
      <c r="A699" s="59"/>
      <c r="B699" s="63">
        <f t="shared" si="1"/>
        <v>16</v>
      </c>
      <c r="C699" s="134" t="s">
        <v>101</v>
      </c>
      <c r="D699" s="134" t="s">
        <v>74</v>
      </c>
      <c r="E699" s="135">
        <f t="shared" si="10"/>
        <v>29</v>
      </c>
      <c r="F699" s="134" t="s">
        <v>3623</v>
      </c>
      <c r="G699" s="63" t="str">
        <f>VLOOKUP(C699, 'Class Def. - General Data'!$C$20:$C$1000,1,false)</f>
        <v>ZFG1_CANDLEAROMA</v>
      </c>
      <c r="H699" s="63" t="str">
        <f>IFERROR(__xludf.DUMMYFUNCTION("VLOOKUP(F699, IMPORTRANGE(""https://docs.google.com/spreadsheets/d/1Lhp9OU0JdFf_VYSMzH5lBcEaU4o8teT1piV-SNzShjg/edit?gid=554141278#gid=554141278"", ""'Char Def. - Attributes'!C20:C2242""), 1,false)"),"LANGUAGE")</f>
        <v>LANGUAGE</v>
      </c>
      <c r="I699" s="136"/>
    </row>
    <row r="700" ht="15.75" customHeight="1">
      <c r="A700" s="59"/>
      <c r="B700" s="63">
        <f t="shared" si="1"/>
        <v>16</v>
      </c>
      <c r="C700" s="139" t="s">
        <v>101</v>
      </c>
      <c r="D700" s="139" t="s">
        <v>74</v>
      </c>
      <c r="E700" s="140">
        <f t="shared" si="10"/>
        <v>30</v>
      </c>
      <c r="F700" s="134" t="s">
        <v>3624</v>
      </c>
      <c r="G700" s="63" t="str">
        <f>VLOOKUP(C700, 'Class Def. - General Data'!$C$20:$C$1000,1,false)</f>
        <v>ZFG1_CANDLEAROMA</v>
      </c>
      <c r="H700" s="63" t="str">
        <f>IFERROR(__xludf.DUMMYFUNCTION("VLOOKUP(F700, IMPORTRANGE(""https://docs.google.com/spreadsheets/d/1Lhp9OU0JdFf_VYSMzH5lBcEaU4o8teT1piV-SNzShjg/edit?gid=554141278#gid=554141278"", ""'Char Def. - Attributes'!C20:C2242""), 1,false)"),"#N/A")</f>
        <v>#N/A</v>
      </c>
      <c r="I700" s="136"/>
    </row>
    <row r="701" ht="15.75" customHeight="1">
      <c r="A701" s="59"/>
      <c r="B701" s="63">
        <f t="shared" si="1"/>
        <v>16</v>
      </c>
      <c r="C701" s="134" t="s">
        <v>101</v>
      </c>
      <c r="D701" s="134" t="s">
        <v>74</v>
      </c>
      <c r="E701" s="135">
        <f t="shared" si="10"/>
        <v>31</v>
      </c>
      <c r="F701" s="134" t="s">
        <v>3625</v>
      </c>
      <c r="G701" s="63" t="str">
        <f>VLOOKUP(C701, 'Class Def. - General Data'!$C$20:$C$1000,1,false)</f>
        <v>ZFG1_CANDLEAROMA</v>
      </c>
      <c r="H701" s="63" t="str">
        <f>IFERROR(__xludf.DUMMYFUNCTION("VLOOKUP(F701, IMPORTRANGE(""https://docs.google.com/spreadsheets/d/1Lhp9OU0JdFf_VYSMzH5lBcEaU4o8teT1piV-SNzShjg/edit?gid=554141278#gid=554141278"", ""'Char Def. - Attributes'!C20:C2242""), 1,false)"),"REGION_EKSPOR")</f>
        <v>REGION_EKSPOR</v>
      </c>
      <c r="I701" s="136"/>
    </row>
    <row r="702" ht="15.75" customHeight="1">
      <c r="A702" s="59"/>
      <c r="B702" s="63">
        <f t="shared" si="1"/>
        <v>16</v>
      </c>
      <c r="C702" s="134" t="s">
        <v>101</v>
      </c>
      <c r="D702" s="134" t="s">
        <v>74</v>
      </c>
      <c r="E702" s="135">
        <f t="shared" si="10"/>
        <v>32</v>
      </c>
      <c r="F702" s="134" t="s">
        <v>3626</v>
      </c>
      <c r="G702" s="63" t="str">
        <f>VLOOKUP(C702, 'Class Def. - General Data'!$C$20:$C$1000,1,false)</f>
        <v>ZFG1_CANDLEAROMA</v>
      </c>
      <c r="H702" s="63" t="str">
        <f>IFERROR(__xludf.DUMMYFUNCTION("VLOOKUP(F702, IMPORTRANGE(""https://docs.google.com/spreadsheets/d/1Lhp9OU0JdFf_VYSMzH5lBcEaU4o8teT1piV-SNzShjg/edit?gid=554141278#gid=554141278"", ""'Char Def. - Attributes'!C20:C2242""), 1,false)"),"STICKER_NOT")</f>
        <v>STICKER_NOT</v>
      </c>
      <c r="I702" s="136"/>
    </row>
    <row r="703" ht="15.75" customHeight="1">
      <c r="A703" s="59"/>
      <c r="B703" s="63">
        <f t="shared" si="1"/>
        <v>16</v>
      </c>
      <c r="C703" s="134" t="s">
        <v>101</v>
      </c>
      <c r="D703" s="134" t="s">
        <v>74</v>
      </c>
      <c r="E703" s="135">
        <f t="shared" si="10"/>
        <v>33</v>
      </c>
      <c r="F703" s="134" t="s">
        <v>3627</v>
      </c>
      <c r="G703" s="63" t="str">
        <f>VLOOKUP(C703, 'Class Def. - General Data'!$C$20:$C$1000,1,false)</f>
        <v>ZFG1_CANDLEAROMA</v>
      </c>
      <c r="H703" s="63" t="str">
        <f>IFERROR(__xludf.DUMMYFUNCTION("VLOOKUP(F703, IMPORTRANGE(""https://docs.google.com/spreadsheets/d/1Lhp9OU0JdFf_VYSMzH5lBcEaU4o8teT1piV-SNzShjg/edit?gid=554141278#gid=554141278"", ""'Char Def. - Attributes'!C20:C2242""), 1,false)"),"SHIP_MARK")</f>
        <v>SHIP_MARK</v>
      </c>
      <c r="I703" s="136"/>
    </row>
    <row r="704" ht="15.75" customHeight="1">
      <c r="A704" s="59"/>
      <c r="B704" s="63">
        <f t="shared" si="1"/>
        <v>16</v>
      </c>
      <c r="C704" s="134" t="s">
        <v>101</v>
      </c>
      <c r="D704" s="134" t="s">
        <v>74</v>
      </c>
      <c r="E704" s="135">
        <f t="shared" si="10"/>
        <v>34</v>
      </c>
      <c r="F704" s="134" t="s">
        <v>3628</v>
      </c>
      <c r="G704" s="63" t="str">
        <f>VLOOKUP(C704, 'Class Def. - General Data'!$C$20:$C$1000,1,false)</f>
        <v>ZFG1_CANDLEAROMA</v>
      </c>
      <c r="H704" s="63" t="str">
        <f>IFERROR(__xludf.DUMMYFUNCTION("VLOOKUP(F704, IMPORTRANGE(""https://docs.google.com/spreadsheets/d/1Lhp9OU0JdFf_VYSMzH5lBcEaU4o8teT1piV-SNzShjg/edit?gid=554141278#gid=554141278"", ""'Char Def. - Attributes'!C20:C2242""), 1,false)"),"MID_CORE")</f>
        <v>MID_CORE</v>
      </c>
      <c r="I704" s="136"/>
    </row>
    <row r="705" ht="15.75" customHeight="1">
      <c r="A705" s="59"/>
      <c r="B705" s="63">
        <f t="shared" si="1"/>
        <v>16</v>
      </c>
      <c r="C705" s="134" t="s">
        <v>101</v>
      </c>
      <c r="D705" s="134" t="s">
        <v>74</v>
      </c>
      <c r="E705" s="135">
        <f t="shared" si="10"/>
        <v>35</v>
      </c>
      <c r="F705" s="134" t="s">
        <v>3629</v>
      </c>
      <c r="G705" s="63" t="str">
        <f>VLOOKUP(C705, 'Class Def. - General Data'!$C$20:$C$1000,1,false)</f>
        <v>ZFG1_CANDLEAROMA</v>
      </c>
      <c r="H705" s="63" t="str">
        <f>IFERROR(__xludf.DUMMYFUNCTION("VLOOKUP(F705, IMPORTRANGE(""https://docs.google.com/spreadsheets/d/1Lhp9OU0JdFf_VYSMzH5lBcEaU4o8teT1piV-SNzShjg/edit?gid=554141278#gid=554141278"", ""'Char Def. - Attributes'!C20:C2242""), 1,false)"),"EAN_CTN")</f>
        <v>EAN_CTN</v>
      </c>
      <c r="I705" s="136"/>
    </row>
    <row r="706" ht="15.75" customHeight="1">
      <c r="A706" s="59"/>
      <c r="B706" s="63">
        <f t="shared" si="1"/>
        <v>16</v>
      </c>
      <c r="C706" s="134" t="s">
        <v>101</v>
      </c>
      <c r="D706" s="134" t="s">
        <v>74</v>
      </c>
      <c r="E706" s="135">
        <f t="shared" si="10"/>
        <v>36</v>
      </c>
      <c r="F706" s="134" t="s">
        <v>3630</v>
      </c>
      <c r="G706" s="63" t="str">
        <f>VLOOKUP(C706, 'Class Def. - General Data'!$C$20:$C$1000,1,false)</f>
        <v>ZFG1_CANDLEAROMA</v>
      </c>
      <c r="H706" s="63" t="str">
        <f>IFERROR(__xludf.DUMMYFUNCTION("VLOOKUP(F706, IMPORTRANGE(""https://docs.google.com/spreadsheets/d/1Lhp9OU0JdFf_VYSMzH5lBcEaU4o8teT1piV-SNzShjg/edit?gid=554141278#gid=554141278"", ""'Char Def. - Attributes'!C20:C2242""), 1,false)"),"EAN_BOX")</f>
        <v>EAN_BOX</v>
      </c>
      <c r="I706" s="136"/>
    </row>
    <row r="707" ht="15.75" customHeight="1">
      <c r="A707" s="59"/>
      <c r="B707" s="63">
        <f t="shared" si="1"/>
        <v>16</v>
      </c>
      <c r="C707" s="134" t="s">
        <v>101</v>
      </c>
      <c r="D707" s="141" t="s">
        <v>74</v>
      </c>
      <c r="E707" s="135">
        <v>22.0</v>
      </c>
      <c r="F707" s="135" t="s">
        <v>3603</v>
      </c>
      <c r="G707" s="63" t="str">
        <f>VLOOKUP(C707, 'Class Def. - General Data'!$C$20:$C$1000,1,false)</f>
        <v>ZFG1_CANDLEAROMA</v>
      </c>
      <c r="I707" s="136"/>
    </row>
    <row r="708" ht="15.75" customHeight="1">
      <c r="A708" s="59"/>
      <c r="B708" s="63">
        <f t="shared" si="1"/>
        <v>11</v>
      </c>
      <c r="C708" s="134" t="s">
        <v>102</v>
      </c>
      <c r="D708" s="134" t="s">
        <v>74</v>
      </c>
      <c r="E708" s="135">
        <f t="shared" ref="E708:E743" si="11">COUNTIF($C$20:C708,C708)</f>
        <v>1</v>
      </c>
      <c r="F708" s="134" t="s">
        <v>3651</v>
      </c>
      <c r="G708" s="63" t="str">
        <f>VLOOKUP(C708, 'Class Def. - General Data'!$C$20:$C$1000,1,false)</f>
        <v>ZFG1_CARBOL</v>
      </c>
      <c r="H708" s="63" t="str">
        <f>IFERROR(__xludf.DUMMYFUNCTION("VLOOKUP(F708, IMPORTRANGE(""https://docs.google.com/spreadsheets/d/1Lhp9OU0JdFf_VYSMzH5lBcEaU4o8teT1piV-SNzShjg/edit?gid=554141278#gid=554141278"", ""'Char Def. - Attributes'!C20:C2242""), 1,false)"),"BRAND_CARBOL")</f>
        <v>BRAND_CARBOL</v>
      </c>
      <c r="I708" s="136"/>
    </row>
    <row r="709" ht="15.75" customHeight="1">
      <c r="A709" s="59"/>
      <c r="B709" s="63">
        <f t="shared" si="1"/>
        <v>11</v>
      </c>
      <c r="C709" s="135" t="s">
        <v>102</v>
      </c>
      <c r="D709" s="134" t="s">
        <v>74</v>
      </c>
      <c r="E709" s="135">
        <f t="shared" si="11"/>
        <v>2</v>
      </c>
      <c r="F709" s="134" t="s">
        <v>3652</v>
      </c>
      <c r="G709" s="63" t="str">
        <f>VLOOKUP(C709, 'Class Def. - General Data'!$C$20:$C$1000,1,false)</f>
        <v>ZFG1_CARBOL</v>
      </c>
      <c r="H709" s="63" t="str">
        <f>IFERROR(__xludf.DUMMYFUNCTION("VLOOKUP(F709, IMPORTRANGE(""https://docs.google.com/spreadsheets/d/1Lhp9OU0JdFf_VYSMzH5lBcEaU4o8teT1piV-SNzShjg/edit?gid=554141278#gid=554141278"", ""'Char Def. - Attributes'!C20:C2242""), 1,false)"),"PSHAPE_CARBOL")</f>
        <v>PSHAPE_CARBOL</v>
      </c>
      <c r="I709" s="136"/>
    </row>
    <row r="710" ht="15.75" customHeight="1">
      <c r="A710" s="59"/>
      <c r="B710" s="63">
        <f t="shared" si="1"/>
        <v>11</v>
      </c>
      <c r="C710" s="134" t="s">
        <v>102</v>
      </c>
      <c r="D710" s="134" t="s">
        <v>74</v>
      </c>
      <c r="E710" s="135">
        <f t="shared" si="11"/>
        <v>3</v>
      </c>
      <c r="F710" s="134" t="s">
        <v>3605</v>
      </c>
      <c r="G710" s="63" t="str">
        <f>VLOOKUP(C710, 'Class Def. - General Data'!$C$20:$C$1000,1,false)</f>
        <v>ZFG1_CARBOL</v>
      </c>
      <c r="H710" s="63" t="str">
        <f>IFERROR(__xludf.DUMMYFUNCTION("VLOOKUP(F710, IMPORTRANGE(""https://docs.google.com/spreadsheets/d/1Lhp9OU0JdFf_VYSMzH5lBcEaU4o8teT1piV-SNzShjg/edit?gid=554141278#gid=554141278"", ""'Char Def. - Attributes'!C20:C2242""), 1,false)"),"PACK_NETTO")</f>
        <v>PACK_NETTO</v>
      </c>
      <c r="I710" s="136"/>
    </row>
    <row r="711" ht="15.75" customHeight="1">
      <c r="A711" s="59"/>
      <c r="B711" s="63">
        <f t="shared" si="1"/>
        <v>11</v>
      </c>
      <c r="C711" s="135" t="s">
        <v>102</v>
      </c>
      <c r="D711" s="134" t="s">
        <v>74</v>
      </c>
      <c r="E711" s="135">
        <f t="shared" si="11"/>
        <v>4</v>
      </c>
      <c r="F711" s="134" t="s">
        <v>3653</v>
      </c>
      <c r="G711" s="63" t="str">
        <f>VLOOKUP(C711, 'Class Def. - General Data'!$C$20:$C$1000,1,false)</f>
        <v>ZFG1_CARBOL</v>
      </c>
      <c r="H711" s="63" t="str">
        <f>IFERROR(__xludf.DUMMYFUNCTION("VLOOKUP(F711, IMPORTRANGE(""https://docs.google.com/spreadsheets/d/1Lhp9OU0JdFf_VYSMzH5lBcEaU4o8teT1piV-SNzShjg/edit?gid=554141278#gid=554141278"", ""'Char Def. - Attributes'!C20:C2242""), 1,false)"),"PUOM_CARBOL")</f>
        <v>PUOM_CARBOL</v>
      </c>
      <c r="I711" s="136"/>
    </row>
    <row r="712" ht="15.75" customHeight="1">
      <c r="A712" s="59"/>
      <c r="B712" s="63">
        <f t="shared" si="1"/>
        <v>11</v>
      </c>
      <c r="C712" s="134" t="s">
        <v>102</v>
      </c>
      <c r="D712" s="134" t="s">
        <v>74</v>
      </c>
      <c r="E712" s="135">
        <f t="shared" si="11"/>
        <v>5</v>
      </c>
      <c r="F712" s="134" t="s">
        <v>3607</v>
      </c>
      <c r="G712" s="63" t="str">
        <f>VLOOKUP(C712, 'Class Def. - General Data'!$C$20:$C$1000,1,false)</f>
        <v>ZFG1_CARBOL</v>
      </c>
      <c r="H712" s="63" t="str">
        <f>IFERROR(__xludf.DUMMYFUNCTION("VLOOKUP(F712, IMPORTRANGE(""https://docs.google.com/spreadsheets/d/1Lhp9OU0JdFf_VYSMzH5lBcEaU4o8teT1piV-SNzShjg/edit?gid=554141278#gid=554141278"", ""'Char Def. - Attributes'!C20:C2242""), 1,false)"),"VARIAN")</f>
        <v>VARIAN</v>
      </c>
      <c r="I712" s="136"/>
    </row>
    <row r="713" ht="15.75" customHeight="1">
      <c r="A713" s="59"/>
      <c r="B713" s="63">
        <f t="shared" si="1"/>
        <v>11</v>
      </c>
      <c r="C713" s="134" t="s">
        <v>102</v>
      </c>
      <c r="D713" s="134" t="s">
        <v>74</v>
      </c>
      <c r="E713" s="135">
        <f t="shared" si="11"/>
        <v>6</v>
      </c>
      <c r="F713" s="134" t="s">
        <v>3608</v>
      </c>
      <c r="G713" s="63" t="str">
        <f>VLOOKUP(C713, 'Class Def. - General Data'!$C$20:$C$1000,1,false)</f>
        <v>ZFG1_CARBOL</v>
      </c>
      <c r="H713" s="63" t="str">
        <f>IFERROR(__xludf.DUMMYFUNCTION("VLOOKUP(F713, IMPORTRANGE(""https://docs.google.com/spreadsheets/d/1Lhp9OU0JdFf_VYSMzH5lBcEaU4o8teT1piV-SNzShjg/edit?gid=554141278#gid=554141278"", ""'Char Def. - Attributes'!C20:C2242""), 1,false)"),"PROJECT_NAME")</f>
        <v>PROJECT_NAME</v>
      </c>
      <c r="I713" s="136"/>
    </row>
    <row r="714" ht="15.75" customHeight="1">
      <c r="A714" s="59"/>
      <c r="B714" s="63">
        <f t="shared" si="1"/>
        <v>11</v>
      </c>
      <c r="C714" s="134" t="s">
        <v>102</v>
      </c>
      <c r="D714" s="134" t="s">
        <v>74</v>
      </c>
      <c r="E714" s="135">
        <f t="shared" si="11"/>
        <v>7</v>
      </c>
      <c r="F714" s="134" t="s">
        <v>3609</v>
      </c>
      <c r="G714" s="63" t="str">
        <f>VLOOKUP(C714, 'Class Def. - General Data'!$C$20:$C$1000,1,false)</f>
        <v>ZFG1_CARBOL</v>
      </c>
      <c r="H714" s="63" t="str">
        <f>IFERROR(__xludf.DUMMYFUNCTION("VLOOKUP(F714, IMPORTRANGE(""https://docs.google.com/spreadsheets/d/1Lhp9OU0JdFf_VYSMzH5lBcEaU4o8teT1piV-SNzShjg/edit?gid=554141278#gid=554141278"", ""'Char Def. - Attributes'!C20:C2242""), 1,false)"),"ADDITIONAL_PROMO")</f>
        <v>ADDITIONAL_PROMO</v>
      </c>
      <c r="I714" s="136"/>
    </row>
    <row r="715" ht="15.75" customHeight="1">
      <c r="A715" s="59"/>
      <c r="B715" s="63">
        <f t="shared" si="1"/>
        <v>11</v>
      </c>
      <c r="C715" s="134" t="s">
        <v>102</v>
      </c>
      <c r="D715" s="134" t="s">
        <v>74</v>
      </c>
      <c r="E715" s="135">
        <f t="shared" si="11"/>
        <v>8</v>
      </c>
      <c r="F715" s="134" t="s">
        <v>3610</v>
      </c>
      <c r="G715" s="63" t="str">
        <f>VLOOKUP(C715, 'Class Def. - General Data'!$C$20:$C$1000,1,false)</f>
        <v>ZFG1_CARBOL</v>
      </c>
      <c r="H715" s="63" t="str">
        <f>IFERROR(__xludf.DUMMYFUNCTION("VLOOKUP(F715, IMPORTRANGE(""https://docs.google.com/spreadsheets/d/1Lhp9OU0JdFf_VYSMzH5lBcEaU4o8teT1piV-SNzShjg/edit?gid=554141278#gid=554141278"", ""'Char Def. - Attributes'!C20:C2242""), 1,false)"),"BANDED_PROMO")</f>
        <v>BANDED_PROMO</v>
      </c>
      <c r="I715" s="136"/>
    </row>
    <row r="716" ht="15.75" customHeight="1">
      <c r="A716" s="59"/>
      <c r="B716" s="63">
        <f t="shared" si="1"/>
        <v>11</v>
      </c>
      <c r="C716" s="134" t="s">
        <v>102</v>
      </c>
      <c r="D716" s="134" t="s">
        <v>74</v>
      </c>
      <c r="E716" s="135">
        <f t="shared" si="11"/>
        <v>9</v>
      </c>
      <c r="F716" s="134" t="s">
        <v>3611</v>
      </c>
      <c r="G716" s="63" t="str">
        <f>VLOOKUP(C716, 'Class Def. - General Data'!$C$20:$C$1000,1,false)</f>
        <v>ZFG1_CARBOL</v>
      </c>
      <c r="H716" s="63" t="str">
        <f>IFERROR(__xludf.DUMMYFUNCTION("VLOOKUP(F716, IMPORTRANGE(""https://docs.google.com/spreadsheets/d/1Lhp9OU0JdFf_VYSMzH5lBcEaU4o8teT1piV-SNzShjg/edit?gid=554141278#gid=554141278"", ""'Char Def. - Attributes'!C20:C2242""), 1,false)"),"LOKAL_EKSPOR")</f>
        <v>LOKAL_EKSPOR</v>
      </c>
      <c r="I716" s="136"/>
    </row>
    <row r="717" ht="15.75" customHeight="1">
      <c r="A717" s="59"/>
      <c r="B717" s="63">
        <f t="shared" si="1"/>
        <v>11</v>
      </c>
      <c r="C717" s="134" t="s">
        <v>102</v>
      </c>
      <c r="D717" s="134" t="s">
        <v>74</v>
      </c>
      <c r="E717" s="135">
        <f t="shared" si="11"/>
        <v>10</v>
      </c>
      <c r="F717" s="134" t="s">
        <v>3612</v>
      </c>
      <c r="G717" s="63" t="str">
        <f>VLOOKUP(C717, 'Class Def. - General Data'!$C$20:$C$1000,1,false)</f>
        <v>ZFG1_CARBOL</v>
      </c>
      <c r="H717" s="63" t="str">
        <f>IFERROR(__xludf.DUMMYFUNCTION("VLOOKUP(F717, IMPORTRANGE(""https://docs.google.com/spreadsheets/d/1Lhp9OU0JdFf_VYSMzH5lBcEaU4o8teT1piV-SNzShjg/edit?gid=554141278#gid=554141278"", ""'Char Def. - Attributes'!C20:C2242""), 1,false)"),"COUNTRY_EKSPOR")</f>
        <v>COUNTRY_EKSPOR</v>
      </c>
      <c r="I717" s="136"/>
    </row>
    <row r="718" ht="15.75" customHeight="1">
      <c r="A718" s="59"/>
      <c r="B718" s="63">
        <f t="shared" si="1"/>
        <v>11</v>
      </c>
      <c r="C718" s="134" t="s">
        <v>102</v>
      </c>
      <c r="D718" s="134" t="s">
        <v>74</v>
      </c>
      <c r="E718" s="135">
        <f t="shared" si="11"/>
        <v>11</v>
      </c>
      <c r="F718" s="134" t="s">
        <v>3613</v>
      </c>
      <c r="G718" s="63" t="str">
        <f>VLOOKUP(C718, 'Class Def. - General Data'!$C$20:$C$1000,1,false)</f>
        <v>ZFG1_CARBOL</v>
      </c>
      <c r="H718" s="63" t="str">
        <f>IFERROR(__xludf.DUMMYFUNCTION("VLOOKUP(F718, IMPORTRANGE(""https://docs.google.com/spreadsheets/d/1Lhp9OU0JdFf_VYSMzH5lBcEaU4o8teT1piV-SNzShjg/edit?gid=554141278#gid=554141278"", ""'Char Def. - Attributes'!C20:C2242""), 1,false)"),"WARNA_SFG")</f>
        <v>WARNA_SFG</v>
      </c>
      <c r="I718" s="136"/>
    </row>
    <row r="719" ht="15.75" customHeight="1">
      <c r="A719" s="59"/>
      <c r="B719" s="63">
        <f t="shared" si="1"/>
        <v>11</v>
      </c>
      <c r="C719" s="134" t="s">
        <v>102</v>
      </c>
      <c r="D719" s="134" t="s">
        <v>74</v>
      </c>
      <c r="E719" s="135">
        <f t="shared" si="11"/>
        <v>12</v>
      </c>
      <c r="F719" s="134" t="s">
        <v>3582</v>
      </c>
      <c r="G719" s="63" t="str">
        <f>VLOOKUP(C719, 'Class Def. - General Data'!$C$20:$C$1000,1,false)</f>
        <v>ZFG1_CARBOL</v>
      </c>
      <c r="H719" s="63" t="str">
        <f>IFERROR(__xludf.DUMMYFUNCTION("VLOOKUP(F719, IMPORTRANGE(""https://docs.google.com/spreadsheets/d/1Lhp9OU0JdFf_VYSMzH5lBcEaU4o8teT1piV-SNzShjg/edit?gid=554141278#gid=554141278"", ""'Char Def. - Attributes'!C20:C2242""), 1,false)"),"BASE_UNIT")</f>
        <v>BASE_UNIT</v>
      </c>
      <c r="I719" s="136"/>
    </row>
    <row r="720" ht="15.75" customHeight="1">
      <c r="A720" s="59"/>
      <c r="B720" s="63">
        <f t="shared" si="1"/>
        <v>11</v>
      </c>
      <c r="C720" s="134" t="s">
        <v>102</v>
      </c>
      <c r="D720" s="134" t="s">
        <v>74</v>
      </c>
      <c r="E720" s="135">
        <f t="shared" si="11"/>
        <v>13</v>
      </c>
      <c r="F720" s="134" t="s">
        <v>3583</v>
      </c>
      <c r="G720" s="63" t="str">
        <f>VLOOKUP(C720, 'Class Def. - General Data'!$C$20:$C$1000,1,false)</f>
        <v>ZFG1_CARBOL</v>
      </c>
      <c r="H720" s="63" t="str">
        <f>IFERROR(__xludf.DUMMYFUNCTION("VLOOKUP(F720, IMPORTRANGE(""https://docs.google.com/spreadsheets/d/1Lhp9OU0JdFf_VYSMzH5lBcEaU4o8teT1piV-SNzShjg/edit?gid=554141278#gid=554141278"", ""'Char Def. - Attributes'!C20:C2242""), 1,false)"),"SALES_UNIT")</f>
        <v>SALES_UNIT</v>
      </c>
      <c r="I720" s="136"/>
    </row>
    <row r="721" ht="15.75" customHeight="1">
      <c r="A721" s="59"/>
      <c r="B721" s="63">
        <f t="shared" si="1"/>
        <v>11</v>
      </c>
      <c r="C721" s="134" t="s">
        <v>102</v>
      </c>
      <c r="D721" s="134" t="s">
        <v>74</v>
      </c>
      <c r="E721" s="135">
        <f t="shared" si="11"/>
        <v>14</v>
      </c>
      <c r="F721" s="134" t="s">
        <v>3601</v>
      </c>
      <c r="G721" s="63" t="str">
        <f>VLOOKUP(C721, 'Class Def. - General Data'!$C$20:$C$1000,1,false)</f>
        <v>ZFG1_CARBOL</v>
      </c>
      <c r="H721" s="63" t="str">
        <f>IFERROR(__xludf.DUMMYFUNCTION("VLOOKUP(F721, IMPORTRANGE(""https://docs.google.com/spreadsheets/d/1Lhp9OU0JdFf_VYSMzH5lBcEaU4o8teT1piV-SNzShjg/edit?gid=554141278#gid=554141278"", ""'Char Def. - Attributes'!C20:C2242""), 1,false)"),"GROSS_WEIGHT")</f>
        <v>GROSS_WEIGHT</v>
      </c>
      <c r="I721" s="136"/>
    </row>
    <row r="722" ht="15.75" customHeight="1">
      <c r="A722" s="59"/>
      <c r="B722" s="63">
        <f t="shared" si="1"/>
        <v>11</v>
      </c>
      <c r="C722" s="134" t="s">
        <v>102</v>
      </c>
      <c r="D722" s="134" t="s">
        <v>74</v>
      </c>
      <c r="E722" s="135">
        <f t="shared" si="11"/>
        <v>15</v>
      </c>
      <c r="F722" s="134" t="s">
        <v>3602</v>
      </c>
      <c r="G722" s="63" t="str">
        <f>VLOOKUP(C722, 'Class Def. - General Data'!$C$20:$C$1000,1,false)</f>
        <v>ZFG1_CARBOL</v>
      </c>
      <c r="H722" s="63" t="str">
        <f>IFERROR(__xludf.DUMMYFUNCTION("VLOOKUP(F722, IMPORTRANGE(""https://docs.google.com/spreadsheets/d/1Lhp9OU0JdFf_VYSMzH5lBcEaU4o8teT1piV-SNzShjg/edit?gid=554141278#gid=554141278"", ""'Char Def. - Attributes'!C20:C2242""), 1,false)"),"NET_WEIGHT")</f>
        <v>NET_WEIGHT</v>
      </c>
      <c r="I722" s="136"/>
    </row>
    <row r="723" ht="15.75" customHeight="1">
      <c r="A723" s="59"/>
      <c r="B723" s="63">
        <f t="shared" si="1"/>
        <v>11</v>
      </c>
      <c r="C723" s="134" t="s">
        <v>102</v>
      </c>
      <c r="D723" s="134" t="s">
        <v>74</v>
      </c>
      <c r="E723" s="135">
        <f t="shared" si="11"/>
        <v>16</v>
      </c>
      <c r="F723" s="134" t="s">
        <v>3584</v>
      </c>
      <c r="G723" s="63" t="str">
        <f>VLOOKUP(C723, 'Class Def. - General Data'!$C$20:$C$1000,1,false)</f>
        <v>ZFG1_CARBOL</v>
      </c>
      <c r="H723" s="63" t="str">
        <f>IFERROR(__xludf.DUMMYFUNCTION("VLOOKUP(F723, IMPORTRANGE(""https://docs.google.com/spreadsheets/d/1Lhp9OU0JdFf_VYSMzH5lBcEaU4o8teT1piV-SNzShjg/edit?gid=554141278#gid=554141278"", ""'Char Def. - Attributes'!C20:C2242""), 1,false)"),"UNIT_PER_BOX")</f>
        <v>UNIT_PER_BOX</v>
      </c>
      <c r="I723" s="136"/>
    </row>
    <row r="724" ht="15.75" customHeight="1">
      <c r="A724" s="59"/>
      <c r="B724" s="63">
        <f t="shared" si="1"/>
        <v>11</v>
      </c>
      <c r="C724" s="134" t="s">
        <v>102</v>
      </c>
      <c r="D724" s="134" t="s">
        <v>74</v>
      </c>
      <c r="E724" s="135">
        <f t="shared" si="11"/>
        <v>17</v>
      </c>
      <c r="F724" s="134" t="s">
        <v>3614</v>
      </c>
      <c r="G724" s="63" t="str">
        <f>VLOOKUP(C724, 'Class Def. - General Data'!$C$20:$C$1000,1,false)</f>
        <v>ZFG1_CARBOL</v>
      </c>
      <c r="H724" s="63" t="str">
        <f>IFERROR(__xludf.DUMMYFUNCTION("VLOOKUP(F724, IMPORTRANGE(""https://docs.google.com/spreadsheets/d/1Lhp9OU0JdFf_VYSMzH5lBcEaU4o8teT1piV-SNzShjg/edit?gid=554141278#gid=554141278"", ""'Char Def. - Attributes'!C20:C2242""), 1,false)"),"UNIT_PER_CTN")</f>
        <v>UNIT_PER_CTN</v>
      </c>
      <c r="I724" s="136"/>
    </row>
    <row r="725" ht="15.75" customHeight="1">
      <c r="A725" s="59"/>
      <c r="B725" s="63">
        <f t="shared" si="1"/>
        <v>11</v>
      </c>
      <c r="C725" s="134" t="s">
        <v>102</v>
      </c>
      <c r="D725" s="134" t="s">
        <v>74</v>
      </c>
      <c r="E725" s="135">
        <f t="shared" si="11"/>
        <v>18</v>
      </c>
      <c r="F725" s="134" t="s">
        <v>3615</v>
      </c>
      <c r="G725" s="63" t="str">
        <f>VLOOKUP(C725, 'Class Def. - General Data'!$C$20:$C$1000,1,false)</f>
        <v>ZFG1_CARBOL</v>
      </c>
      <c r="H725" s="63" t="str">
        <f>IFERROR(__xludf.DUMMYFUNCTION("VLOOKUP(F725, IMPORTRANGE(""https://docs.google.com/spreadsheets/d/1Lhp9OU0JdFf_VYSMzH5lBcEaU4o8teT1piV-SNzShjg/edit?gid=554141278#gid=554141278"", ""'Char Def. - Attributes'!C20:C2242""), 1,false)"),"UNIT_PER_BAG")</f>
        <v>UNIT_PER_BAG</v>
      </c>
      <c r="I725" s="136"/>
    </row>
    <row r="726" ht="15.75" customHeight="1">
      <c r="A726" s="59"/>
      <c r="B726" s="63">
        <f t="shared" si="1"/>
        <v>11</v>
      </c>
      <c r="C726" s="134" t="s">
        <v>102</v>
      </c>
      <c r="D726" s="134" t="s">
        <v>74</v>
      </c>
      <c r="E726" s="135">
        <f t="shared" si="11"/>
        <v>19</v>
      </c>
      <c r="F726" s="134" t="s">
        <v>3616</v>
      </c>
      <c r="G726" s="63" t="str">
        <f>VLOOKUP(C726, 'Class Def. - General Data'!$C$20:$C$1000,1,false)</f>
        <v>ZFG1_CARBOL</v>
      </c>
      <c r="H726" s="63" t="str">
        <f>IFERROR(__xludf.DUMMYFUNCTION("VLOOKUP(F726, IMPORTRANGE(""https://docs.google.com/spreadsheets/d/1Lhp9OU0JdFf_VYSMzH5lBcEaU4o8teT1piV-SNzShjg/edit?gid=554141278#gid=554141278"", ""'Char Def. - Attributes'!C20:C2242""), 1,false)"),"UNIT_PER_PAL")</f>
        <v>UNIT_PER_PAL</v>
      </c>
      <c r="I726" s="136"/>
    </row>
    <row r="727" ht="15.75" customHeight="1">
      <c r="A727" s="59"/>
      <c r="B727" s="63">
        <f t="shared" si="1"/>
        <v>11</v>
      </c>
      <c r="C727" s="134" t="s">
        <v>102</v>
      </c>
      <c r="D727" s="134" t="s">
        <v>74</v>
      </c>
      <c r="E727" s="135">
        <f t="shared" si="11"/>
        <v>20</v>
      </c>
      <c r="F727" s="134" t="s">
        <v>3617</v>
      </c>
      <c r="G727" s="63" t="str">
        <f>VLOOKUP(C727, 'Class Def. - General Data'!$C$20:$C$1000,1,false)</f>
        <v>ZFG1_CARBOL</v>
      </c>
      <c r="H727" s="63" t="str">
        <f>IFERROR(__xludf.DUMMYFUNCTION("VLOOKUP(F727, IMPORTRANGE(""https://docs.google.com/spreadsheets/d/1Lhp9OU0JdFf_VYSMzH5lBcEaU4o8teT1piV-SNzShjg/edit?gid=554141278#gid=554141278"", ""'Char Def. - Attributes'!C20:C2242""), 1,false)"),"UNIT_PER_TIER")</f>
        <v>UNIT_PER_TIER</v>
      </c>
      <c r="I727" s="136"/>
    </row>
    <row r="728" ht="15.75" customHeight="1">
      <c r="A728" s="59"/>
      <c r="B728" s="63">
        <f t="shared" si="1"/>
        <v>11</v>
      </c>
      <c r="C728" s="134" t="s">
        <v>102</v>
      </c>
      <c r="D728" s="134" t="s">
        <v>74</v>
      </c>
      <c r="E728" s="135">
        <f t="shared" si="11"/>
        <v>21</v>
      </c>
      <c r="F728" s="134" t="s">
        <v>3618</v>
      </c>
      <c r="G728" s="63" t="str">
        <f>VLOOKUP(C728, 'Class Def. - General Data'!$C$20:$C$1000,1,false)</f>
        <v>ZFG1_CARBOL</v>
      </c>
      <c r="H728" s="63" t="str">
        <f>IFERROR(__xludf.DUMMYFUNCTION("VLOOKUP(F728, IMPORTRANGE(""https://docs.google.com/spreadsheets/d/1Lhp9OU0JdFf_VYSMzH5lBcEaU4o8teT1piV-SNzShjg/edit?gid=554141278#gid=554141278"", ""'Char Def. - Attributes'!C20:C2242""), 1,false)"),"HEIGHT")</f>
        <v>HEIGHT</v>
      </c>
      <c r="I728" s="136"/>
    </row>
    <row r="729" ht="15.75" customHeight="1">
      <c r="A729" s="59"/>
      <c r="B729" s="63">
        <f t="shared" si="1"/>
        <v>11</v>
      </c>
      <c r="C729" s="134" t="s">
        <v>102</v>
      </c>
      <c r="D729" s="134" t="s">
        <v>74</v>
      </c>
      <c r="E729" s="135">
        <f t="shared" si="11"/>
        <v>22</v>
      </c>
      <c r="F729" s="134" t="s">
        <v>3587</v>
      </c>
      <c r="G729" s="63" t="str">
        <f>VLOOKUP(C729, 'Class Def. - General Data'!$C$20:$C$1000,1,false)</f>
        <v>ZFG1_CARBOL</v>
      </c>
      <c r="H729" s="63" t="str">
        <f>IFERROR(__xludf.DUMMYFUNCTION("VLOOKUP(F729, IMPORTRANGE(""https://docs.google.com/spreadsheets/d/1Lhp9OU0JdFf_VYSMzH5lBcEaU4o8teT1piV-SNzShjg/edit?gid=554141278#gid=554141278"", ""'Char Def. - Attributes'!C20:C2242""), 1,false)"),"PLANT_BUY")</f>
        <v>PLANT_BUY</v>
      </c>
      <c r="I729" s="136"/>
    </row>
    <row r="730" ht="15.75" customHeight="1">
      <c r="A730" s="59"/>
      <c r="B730" s="63">
        <f t="shared" si="1"/>
        <v>11</v>
      </c>
      <c r="C730" s="134" t="s">
        <v>102</v>
      </c>
      <c r="D730" s="134" t="s">
        <v>74</v>
      </c>
      <c r="E730" s="135">
        <f t="shared" si="11"/>
        <v>23</v>
      </c>
      <c r="F730" s="134" t="s">
        <v>3619</v>
      </c>
      <c r="G730" s="63" t="str">
        <f>VLOOKUP(C730, 'Class Def. - General Data'!$C$20:$C$1000,1,false)</f>
        <v>ZFG1_CARBOL</v>
      </c>
      <c r="H730" s="63" t="str">
        <f>IFERROR(__xludf.DUMMYFUNCTION("VLOOKUP(F730, IMPORTRANGE(""https://docs.google.com/spreadsheets/d/1Lhp9OU0JdFf_VYSMzH5lBcEaU4o8teT1piV-SNzShjg/edit?gid=554141278#gid=554141278"", ""'Char Def. - Attributes'!C20:C2242""), 1,false)"),"LENGTH")</f>
        <v>LENGTH</v>
      </c>
      <c r="I730" s="136"/>
    </row>
    <row r="731" ht="15.75" customHeight="1">
      <c r="A731" s="59"/>
      <c r="B731" s="63">
        <f t="shared" si="1"/>
        <v>11</v>
      </c>
      <c r="C731" s="134" t="s">
        <v>102</v>
      </c>
      <c r="D731" s="134" t="s">
        <v>74</v>
      </c>
      <c r="E731" s="135">
        <f t="shared" si="11"/>
        <v>24</v>
      </c>
      <c r="F731" s="134" t="s">
        <v>3586</v>
      </c>
      <c r="G731" s="63" t="str">
        <f>VLOOKUP(C731, 'Class Def. - General Data'!$C$20:$C$1000,1,false)</f>
        <v>ZFG1_CARBOL</v>
      </c>
      <c r="H731" s="63" t="str">
        <f>IFERROR(__xludf.DUMMYFUNCTION("VLOOKUP(F731, IMPORTRANGE(""https://docs.google.com/spreadsheets/d/1Lhp9OU0JdFf_VYSMzH5lBcEaU4o8teT1piV-SNzShjg/edit?gid=554141278#gid=554141278"", ""'Char Def. - Attributes'!C20:C2242""), 1,false)"),"PLANT_PROD")</f>
        <v>PLANT_PROD</v>
      </c>
      <c r="I731" s="136"/>
    </row>
    <row r="732" ht="15.75" customHeight="1">
      <c r="A732" s="59"/>
      <c r="B732" s="63">
        <f t="shared" si="1"/>
        <v>11</v>
      </c>
      <c r="C732" s="134" t="s">
        <v>102</v>
      </c>
      <c r="D732" s="134" t="s">
        <v>74</v>
      </c>
      <c r="E732" s="135">
        <f t="shared" si="11"/>
        <v>25</v>
      </c>
      <c r="F732" s="134" t="s">
        <v>3620</v>
      </c>
      <c r="G732" s="63" t="str">
        <f>VLOOKUP(C732, 'Class Def. - General Data'!$C$20:$C$1000,1,false)</f>
        <v>ZFG1_CARBOL</v>
      </c>
      <c r="H732" s="63" t="str">
        <f>IFERROR(__xludf.DUMMYFUNCTION("VLOOKUP(F732, IMPORTRANGE(""https://docs.google.com/spreadsheets/d/1Lhp9OU0JdFf_VYSMzH5lBcEaU4o8teT1piV-SNzShjg/edit?gid=554141278#gid=554141278"", ""'Char Def. - Attributes'!C20:C2242""), 1,false)"),"WIDTH")</f>
        <v>WIDTH</v>
      </c>
      <c r="I732" s="136"/>
    </row>
    <row r="733" ht="15.75" customHeight="1">
      <c r="A733" s="59"/>
      <c r="B733" s="63">
        <f t="shared" si="1"/>
        <v>11</v>
      </c>
      <c r="C733" s="134" t="s">
        <v>102</v>
      </c>
      <c r="D733" s="134" t="s">
        <v>74</v>
      </c>
      <c r="E733" s="135">
        <f t="shared" si="11"/>
        <v>26</v>
      </c>
      <c r="F733" s="134" t="s">
        <v>3585</v>
      </c>
      <c r="G733" s="63" t="str">
        <f>VLOOKUP(C733, 'Class Def. - General Data'!$C$20:$C$1000,1,false)</f>
        <v>ZFG1_CARBOL</v>
      </c>
      <c r="H733" s="63" t="str">
        <f>IFERROR(__xludf.DUMMYFUNCTION("VLOOKUP(F733, IMPORTRANGE(""https://docs.google.com/spreadsheets/d/1Lhp9OU0JdFf_VYSMzH5lBcEaU4o8teT1piV-SNzShjg/edit?gid=554141278#gid=554141278"", ""'Char Def. - Attributes'!C20:C2242""), 1,false)"),"HS_CODE")</f>
        <v>HS_CODE</v>
      </c>
      <c r="I733" s="136"/>
    </row>
    <row r="734" ht="15.75" customHeight="1">
      <c r="A734" s="59"/>
      <c r="B734" s="63">
        <f t="shared" si="1"/>
        <v>11</v>
      </c>
      <c r="C734" s="134" t="s">
        <v>102</v>
      </c>
      <c r="D734" s="134" t="s">
        <v>74</v>
      </c>
      <c r="E734" s="135">
        <f t="shared" si="11"/>
        <v>27</v>
      </c>
      <c r="F734" s="134" t="s">
        <v>3621</v>
      </c>
      <c r="G734" s="63" t="str">
        <f>VLOOKUP(C734, 'Class Def. - General Data'!$C$20:$C$1000,1,false)</f>
        <v>ZFG1_CARBOL</v>
      </c>
      <c r="H734" s="63" t="str">
        <f>IFERROR(__xludf.DUMMYFUNCTION("VLOOKUP(F734, IMPORTRANGE(""https://docs.google.com/spreadsheets/d/1Lhp9OU0JdFf_VYSMzH5lBcEaU4o8teT1piV-SNzShjg/edit?gid=554141278#gid=554141278"", ""'Char Def. - Attributes'!C20:C2242""), 1,false)"),"EAN_PCS")</f>
        <v>EAN_PCS</v>
      </c>
      <c r="I734" s="136"/>
    </row>
    <row r="735" ht="15.75" customHeight="1">
      <c r="A735" s="59"/>
      <c r="B735" s="63">
        <f t="shared" si="1"/>
        <v>11</v>
      </c>
      <c r="C735" s="134" t="s">
        <v>102</v>
      </c>
      <c r="D735" s="134" t="s">
        <v>74</v>
      </c>
      <c r="E735" s="135">
        <f t="shared" si="11"/>
        <v>28</v>
      </c>
      <c r="F735" s="134" t="s">
        <v>3622</v>
      </c>
      <c r="G735" s="63" t="str">
        <f>VLOOKUP(C735, 'Class Def. - General Data'!$C$20:$C$1000,1,false)</f>
        <v>ZFG1_CARBOL</v>
      </c>
      <c r="H735" s="63" t="str">
        <f>IFERROR(__xludf.DUMMYFUNCTION("VLOOKUP(F735, IMPORTRANGE(""https://docs.google.com/spreadsheets/d/1Lhp9OU0JdFf_VYSMzH5lBcEaU4o8teT1piV-SNzShjg/edit?gid=554141278#gid=554141278"", ""'Char Def. - Attributes'!C20:C2242""), 1,false)"),"SFG_BRAND")</f>
        <v>SFG_BRAND</v>
      </c>
      <c r="I735" s="136"/>
    </row>
    <row r="736" ht="15.75" customHeight="1">
      <c r="A736" s="59"/>
      <c r="B736" s="63">
        <f t="shared" si="1"/>
        <v>11</v>
      </c>
      <c r="C736" s="134" t="s">
        <v>102</v>
      </c>
      <c r="D736" s="134" t="s">
        <v>74</v>
      </c>
      <c r="E736" s="135">
        <f t="shared" si="11"/>
        <v>29</v>
      </c>
      <c r="F736" s="134" t="s">
        <v>3623</v>
      </c>
      <c r="G736" s="63" t="str">
        <f>VLOOKUP(C736, 'Class Def. - General Data'!$C$20:$C$1000,1,false)</f>
        <v>ZFG1_CARBOL</v>
      </c>
      <c r="H736" s="63" t="str">
        <f>IFERROR(__xludf.DUMMYFUNCTION("VLOOKUP(F736, IMPORTRANGE(""https://docs.google.com/spreadsheets/d/1Lhp9OU0JdFf_VYSMzH5lBcEaU4o8teT1piV-SNzShjg/edit?gid=554141278#gid=554141278"", ""'Char Def. - Attributes'!C20:C2242""), 1,false)"),"LANGUAGE")</f>
        <v>LANGUAGE</v>
      </c>
      <c r="I736" s="136"/>
    </row>
    <row r="737" ht="15.75" customHeight="1">
      <c r="A737" s="59"/>
      <c r="B737" s="63">
        <f t="shared" si="1"/>
        <v>11</v>
      </c>
      <c r="C737" s="139" t="s">
        <v>102</v>
      </c>
      <c r="D737" s="139" t="s">
        <v>74</v>
      </c>
      <c r="E737" s="140">
        <f t="shared" si="11"/>
        <v>30</v>
      </c>
      <c r="F737" s="134" t="s">
        <v>3624</v>
      </c>
      <c r="G737" s="63" t="str">
        <f>VLOOKUP(C737, 'Class Def. - General Data'!$C$20:$C$1000,1,false)</f>
        <v>ZFG1_CARBOL</v>
      </c>
      <c r="H737" s="63" t="str">
        <f>IFERROR(__xludf.DUMMYFUNCTION("VLOOKUP(F737, IMPORTRANGE(""https://docs.google.com/spreadsheets/d/1Lhp9OU0JdFf_VYSMzH5lBcEaU4o8teT1piV-SNzShjg/edit?gid=554141278#gid=554141278"", ""'Char Def. - Attributes'!C20:C2242""), 1,false)"),"#N/A")</f>
        <v>#N/A</v>
      </c>
      <c r="I737" s="136"/>
    </row>
    <row r="738" ht="15.75" customHeight="1">
      <c r="A738" s="59"/>
      <c r="B738" s="63">
        <f t="shared" si="1"/>
        <v>11</v>
      </c>
      <c r="C738" s="134" t="s">
        <v>102</v>
      </c>
      <c r="D738" s="134" t="s">
        <v>74</v>
      </c>
      <c r="E738" s="135">
        <f t="shared" si="11"/>
        <v>31</v>
      </c>
      <c r="F738" s="134" t="s">
        <v>3625</v>
      </c>
      <c r="G738" s="63" t="str">
        <f>VLOOKUP(C738, 'Class Def. - General Data'!$C$20:$C$1000,1,false)</f>
        <v>ZFG1_CARBOL</v>
      </c>
      <c r="H738" s="63" t="str">
        <f>IFERROR(__xludf.DUMMYFUNCTION("VLOOKUP(F738, IMPORTRANGE(""https://docs.google.com/spreadsheets/d/1Lhp9OU0JdFf_VYSMzH5lBcEaU4o8teT1piV-SNzShjg/edit?gid=554141278#gid=554141278"", ""'Char Def. - Attributes'!C20:C2242""), 1,false)"),"REGION_EKSPOR")</f>
        <v>REGION_EKSPOR</v>
      </c>
      <c r="I738" s="136"/>
    </row>
    <row r="739" ht="15.75" customHeight="1">
      <c r="A739" s="59"/>
      <c r="B739" s="63">
        <f t="shared" si="1"/>
        <v>11</v>
      </c>
      <c r="C739" s="134" t="s">
        <v>102</v>
      </c>
      <c r="D739" s="134" t="s">
        <v>74</v>
      </c>
      <c r="E739" s="135">
        <f t="shared" si="11"/>
        <v>32</v>
      </c>
      <c r="F739" s="134" t="s">
        <v>3626</v>
      </c>
      <c r="G739" s="63" t="str">
        <f>VLOOKUP(C739, 'Class Def. - General Data'!$C$20:$C$1000,1,false)</f>
        <v>ZFG1_CARBOL</v>
      </c>
      <c r="H739" s="63" t="str">
        <f>IFERROR(__xludf.DUMMYFUNCTION("VLOOKUP(F739, IMPORTRANGE(""https://docs.google.com/spreadsheets/d/1Lhp9OU0JdFf_VYSMzH5lBcEaU4o8teT1piV-SNzShjg/edit?gid=554141278#gid=554141278"", ""'Char Def. - Attributes'!C20:C2242""), 1,false)"),"STICKER_NOT")</f>
        <v>STICKER_NOT</v>
      </c>
      <c r="I739" s="136"/>
    </row>
    <row r="740" ht="15.75" customHeight="1">
      <c r="A740" s="59"/>
      <c r="B740" s="63">
        <f t="shared" si="1"/>
        <v>11</v>
      </c>
      <c r="C740" s="134" t="s">
        <v>102</v>
      </c>
      <c r="D740" s="134" t="s">
        <v>74</v>
      </c>
      <c r="E740" s="135">
        <f t="shared" si="11"/>
        <v>33</v>
      </c>
      <c r="F740" s="134" t="s">
        <v>3627</v>
      </c>
      <c r="G740" s="63" t="str">
        <f>VLOOKUP(C740, 'Class Def. - General Data'!$C$20:$C$1000,1,false)</f>
        <v>ZFG1_CARBOL</v>
      </c>
      <c r="H740" s="63" t="str">
        <f>IFERROR(__xludf.DUMMYFUNCTION("VLOOKUP(F740, IMPORTRANGE(""https://docs.google.com/spreadsheets/d/1Lhp9OU0JdFf_VYSMzH5lBcEaU4o8teT1piV-SNzShjg/edit?gid=554141278#gid=554141278"", ""'Char Def. - Attributes'!C20:C2242""), 1,false)"),"SHIP_MARK")</f>
        <v>SHIP_MARK</v>
      </c>
      <c r="I740" s="136"/>
    </row>
    <row r="741" ht="15.75" customHeight="1">
      <c r="A741" s="59"/>
      <c r="B741" s="63">
        <f t="shared" si="1"/>
        <v>11</v>
      </c>
      <c r="C741" s="134" t="s">
        <v>102</v>
      </c>
      <c r="D741" s="134" t="s">
        <v>74</v>
      </c>
      <c r="E741" s="135">
        <f t="shared" si="11"/>
        <v>34</v>
      </c>
      <c r="F741" s="134" t="s">
        <v>3628</v>
      </c>
      <c r="G741" s="63" t="str">
        <f>VLOOKUP(C741, 'Class Def. - General Data'!$C$20:$C$1000,1,false)</f>
        <v>ZFG1_CARBOL</v>
      </c>
      <c r="H741" s="63" t="str">
        <f>IFERROR(__xludf.DUMMYFUNCTION("VLOOKUP(F741, IMPORTRANGE(""https://docs.google.com/spreadsheets/d/1Lhp9OU0JdFf_VYSMzH5lBcEaU4o8teT1piV-SNzShjg/edit?gid=554141278#gid=554141278"", ""'Char Def. - Attributes'!C20:C2242""), 1,false)"),"MID_CORE")</f>
        <v>MID_CORE</v>
      </c>
      <c r="I741" s="136"/>
    </row>
    <row r="742" ht="15.75" customHeight="1">
      <c r="A742" s="59"/>
      <c r="B742" s="63">
        <f t="shared" si="1"/>
        <v>11</v>
      </c>
      <c r="C742" s="134" t="s">
        <v>102</v>
      </c>
      <c r="D742" s="134" t="s">
        <v>74</v>
      </c>
      <c r="E742" s="135">
        <f t="shared" si="11"/>
        <v>35</v>
      </c>
      <c r="F742" s="134" t="s">
        <v>3629</v>
      </c>
      <c r="G742" s="63" t="str">
        <f>VLOOKUP(C742, 'Class Def. - General Data'!$C$20:$C$1000,1,false)</f>
        <v>ZFG1_CARBOL</v>
      </c>
      <c r="H742" s="63" t="str">
        <f>IFERROR(__xludf.DUMMYFUNCTION("VLOOKUP(F742, IMPORTRANGE(""https://docs.google.com/spreadsheets/d/1Lhp9OU0JdFf_VYSMzH5lBcEaU4o8teT1piV-SNzShjg/edit?gid=554141278#gid=554141278"", ""'Char Def. - Attributes'!C20:C2242""), 1,false)"),"EAN_CTN")</f>
        <v>EAN_CTN</v>
      </c>
      <c r="I742" s="136"/>
    </row>
    <row r="743" ht="15.75" customHeight="1">
      <c r="A743" s="59"/>
      <c r="B743" s="63">
        <f t="shared" si="1"/>
        <v>11</v>
      </c>
      <c r="C743" s="134" t="s">
        <v>102</v>
      </c>
      <c r="D743" s="134" t="s">
        <v>74</v>
      </c>
      <c r="E743" s="135">
        <f t="shared" si="11"/>
        <v>36</v>
      </c>
      <c r="F743" s="134" t="s">
        <v>3630</v>
      </c>
      <c r="G743" s="63" t="str">
        <f>VLOOKUP(C743, 'Class Def. - General Data'!$C$20:$C$1000,1,false)</f>
        <v>ZFG1_CARBOL</v>
      </c>
      <c r="H743" s="63" t="str">
        <f>IFERROR(__xludf.DUMMYFUNCTION("VLOOKUP(F743, IMPORTRANGE(""https://docs.google.com/spreadsheets/d/1Lhp9OU0JdFf_VYSMzH5lBcEaU4o8teT1piV-SNzShjg/edit?gid=554141278#gid=554141278"", ""'Char Def. - Attributes'!C20:C2242""), 1,false)"),"EAN_BOX")</f>
        <v>EAN_BOX</v>
      </c>
      <c r="I743" s="136"/>
    </row>
    <row r="744" ht="15.75" customHeight="1">
      <c r="A744" s="59"/>
      <c r="B744" s="63">
        <f t="shared" si="1"/>
        <v>11</v>
      </c>
      <c r="C744" s="134" t="s">
        <v>102</v>
      </c>
      <c r="D744" s="141" t="s">
        <v>74</v>
      </c>
      <c r="E744" s="135">
        <v>22.0</v>
      </c>
      <c r="F744" s="135" t="s">
        <v>3603</v>
      </c>
      <c r="G744" s="63" t="str">
        <f>VLOOKUP(C744, 'Class Def. - General Data'!$C$20:$C$1000,1,false)</f>
        <v>ZFG1_CARBOL</v>
      </c>
      <c r="I744" s="136"/>
    </row>
    <row r="745" ht="15.75" customHeight="1">
      <c r="A745" s="59"/>
      <c r="B745" s="63">
        <f t="shared" si="1"/>
        <v>11</v>
      </c>
      <c r="C745" s="134" t="s">
        <v>103</v>
      </c>
      <c r="D745" s="134" t="s">
        <v>74</v>
      </c>
      <c r="E745" s="135">
        <f t="shared" ref="E745:E780" si="12">COUNTIF($C$20:C745,C745)</f>
        <v>1</v>
      </c>
      <c r="F745" s="134" t="s">
        <v>3654</v>
      </c>
      <c r="G745" s="63" t="str">
        <f>VLOOKUP(C745, 'Class Def. - General Data'!$C$20:$C$1000,1,false)</f>
        <v>ZFG1_COFFEE</v>
      </c>
      <c r="H745" s="63" t="str">
        <f>IFERROR(__xludf.DUMMYFUNCTION("VLOOKUP(F745, IMPORTRANGE(""https://docs.google.com/spreadsheets/d/1Lhp9OU0JdFf_VYSMzH5lBcEaU4o8teT1piV-SNzShjg/edit?gid=554141278#gid=554141278"", ""'Char Def. - Attributes'!C20:C2242""), 1,false)"),"BRAND_COFFEE")</f>
        <v>BRAND_COFFEE</v>
      </c>
      <c r="I745" s="136"/>
    </row>
    <row r="746" ht="15.75" customHeight="1">
      <c r="A746" s="59"/>
      <c r="B746" s="63">
        <f t="shared" si="1"/>
        <v>11</v>
      </c>
      <c r="C746" s="135" t="s">
        <v>103</v>
      </c>
      <c r="D746" s="134" t="s">
        <v>74</v>
      </c>
      <c r="E746" s="135">
        <f t="shared" si="12"/>
        <v>2</v>
      </c>
      <c r="F746" s="134" t="s">
        <v>3655</v>
      </c>
      <c r="G746" s="63" t="str">
        <f>VLOOKUP(C746, 'Class Def. - General Data'!$C$20:$C$1000,1,false)</f>
        <v>ZFG1_COFFEE</v>
      </c>
      <c r="H746" s="63" t="str">
        <f>IFERROR(__xludf.DUMMYFUNCTION("VLOOKUP(F746, IMPORTRANGE(""https://docs.google.com/spreadsheets/d/1Lhp9OU0JdFf_VYSMzH5lBcEaU4o8teT1piV-SNzShjg/edit?gid=554141278#gid=554141278"", ""'Char Def. - Attributes'!C20:C2242""), 1,false)"),"PSHAPE_COFFEE")</f>
        <v>PSHAPE_COFFEE</v>
      </c>
      <c r="I746" s="136"/>
    </row>
    <row r="747" ht="15.75" customHeight="1">
      <c r="A747" s="59"/>
      <c r="B747" s="63">
        <f t="shared" si="1"/>
        <v>11</v>
      </c>
      <c r="C747" s="134" t="s">
        <v>103</v>
      </c>
      <c r="D747" s="134" t="s">
        <v>74</v>
      </c>
      <c r="E747" s="135">
        <f t="shared" si="12"/>
        <v>3</v>
      </c>
      <c r="F747" s="134" t="s">
        <v>3605</v>
      </c>
      <c r="G747" s="63" t="str">
        <f>VLOOKUP(C747, 'Class Def. - General Data'!$C$20:$C$1000,1,false)</f>
        <v>ZFG1_COFFEE</v>
      </c>
      <c r="H747" s="63" t="str">
        <f>IFERROR(__xludf.DUMMYFUNCTION("VLOOKUP(F747, IMPORTRANGE(""https://docs.google.com/spreadsheets/d/1Lhp9OU0JdFf_VYSMzH5lBcEaU4o8teT1piV-SNzShjg/edit?gid=554141278#gid=554141278"", ""'Char Def. - Attributes'!C20:C2242""), 1,false)"),"PACK_NETTO")</f>
        <v>PACK_NETTO</v>
      </c>
      <c r="I747" s="136"/>
    </row>
    <row r="748" ht="15.75" customHeight="1">
      <c r="A748" s="59"/>
      <c r="B748" s="63">
        <f t="shared" si="1"/>
        <v>11</v>
      </c>
      <c r="C748" s="135" t="s">
        <v>103</v>
      </c>
      <c r="D748" s="134" t="s">
        <v>74</v>
      </c>
      <c r="E748" s="135">
        <f t="shared" si="12"/>
        <v>4</v>
      </c>
      <c r="F748" s="134" t="s">
        <v>3656</v>
      </c>
      <c r="G748" s="63" t="str">
        <f>VLOOKUP(C748, 'Class Def. - General Data'!$C$20:$C$1000,1,false)</f>
        <v>ZFG1_COFFEE</v>
      </c>
      <c r="H748" s="63" t="str">
        <f>IFERROR(__xludf.DUMMYFUNCTION("VLOOKUP(F748, IMPORTRANGE(""https://docs.google.com/spreadsheets/d/1Lhp9OU0JdFf_VYSMzH5lBcEaU4o8teT1piV-SNzShjg/edit?gid=554141278#gid=554141278"", ""'Char Def. - Attributes'!C20:C2242""), 1,false)"),"PUOM_COFFEE")</f>
        <v>PUOM_COFFEE</v>
      </c>
      <c r="I748" s="136"/>
    </row>
    <row r="749" ht="15.75" customHeight="1">
      <c r="A749" s="59"/>
      <c r="B749" s="63">
        <f t="shared" si="1"/>
        <v>11</v>
      </c>
      <c r="C749" s="134" t="s">
        <v>103</v>
      </c>
      <c r="D749" s="134" t="s">
        <v>74</v>
      </c>
      <c r="E749" s="135">
        <f t="shared" si="12"/>
        <v>5</v>
      </c>
      <c r="F749" s="134" t="s">
        <v>3607</v>
      </c>
      <c r="G749" s="63" t="str">
        <f>VLOOKUP(C749, 'Class Def. - General Data'!$C$20:$C$1000,1,false)</f>
        <v>ZFG1_COFFEE</v>
      </c>
      <c r="H749" s="63" t="str">
        <f>IFERROR(__xludf.DUMMYFUNCTION("VLOOKUP(F749, IMPORTRANGE(""https://docs.google.com/spreadsheets/d/1Lhp9OU0JdFf_VYSMzH5lBcEaU4o8teT1piV-SNzShjg/edit?gid=554141278#gid=554141278"", ""'Char Def. - Attributes'!C20:C2242""), 1,false)"),"VARIAN")</f>
        <v>VARIAN</v>
      </c>
      <c r="I749" s="136"/>
    </row>
    <row r="750" ht="15.75" customHeight="1">
      <c r="A750" s="59"/>
      <c r="B750" s="63">
        <f t="shared" si="1"/>
        <v>11</v>
      </c>
      <c r="C750" s="134" t="s">
        <v>103</v>
      </c>
      <c r="D750" s="134" t="s">
        <v>74</v>
      </c>
      <c r="E750" s="135">
        <f t="shared" si="12"/>
        <v>6</v>
      </c>
      <c r="F750" s="134" t="s">
        <v>3608</v>
      </c>
      <c r="G750" s="63" t="str">
        <f>VLOOKUP(C750, 'Class Def. - General Data'!$C$20:$C$1000,1,false)</f>
        <v>ZFG1_COFFEE</v>
      </c>
      <c r="H750" s="63" t="str">
        <f>IFERROR(__xludf.DUMMYFUNCTION("VLOOKUP(F750, IMPORTRANGE(""https://docs.google.com/spreadsheets/d/1Lhp9OU0JdFf_VYSMzH5lBcEaU4o8teT1piV-SNzShjg/edit?gid=554141278#gid=554141278"", ""'Char Def. - Attributes'!C20:C2242""), 1,false)"),"PROJECT_NAME")</f>
        <v>PROJECT_NAME</v>
      </c>
      <c r="I750" s="136"/>
    </row>
    <row r="751" ht="15.75" customHeight="1">
      <c r="A751" s="59"/>
      <c r="B751" s="63">
        <f t="shared" si="1"/>
        <v>11</v>
      </c>
      <c r="C751" s="134" t="s">
        <v>103</v>
      </c>
      <c r="D751" s="134" t="s">
        <v>74</v>
      </c>
      <c r="E751" s="135">
        <f t="shared" si="12"/>
        <v>7</v>
      </c>
      <c r="F751" s="134" t="s">
        <v>3609</v>
      </c>
      <c r="G751" s="63" t="str">
        <f>VLOOKUP(C751, 'Class Def. - General Data'!$C$20:$C$1000,1,false)</f>
        <v>ZFG1_COFFEE</v>
      </c>
      <c r="H751" s="63" t="str">
        <f>IFERROR(__xludf.DUMMYFUNCTION("VLOOKUP(F751, IMPORTRANGE(""https://docs.google.com/spreadsheets/d/1Lhp9OU0JdFf_VYSMzH5lBcEaU4o8teT1piV-SNzShjg/edit?gid=554141278#gid=554141278"", ""'Char Def. - Attributes'!C20:C2242""), 1,false)"),"ADDITIONAL_PROMO")</f>
        <v>ADDITIONAL_PROMO</v>
      </c>
      <c r="I751" s="136"/>
    </row>
    <row r="752" ht="15.75" customHeight="1">
      <c r="A752" s="59"/>
      <c r="B752" s="63">
        <f t="shared" si="1"/>
        <v>11</v>
      </c>
      <c r="C752" s="134" t="s">
        <v>103</v>
      </c>
      <c r="D752" s="134" t="s">
        <v>74</v>
      </c>
      <c r="E752" s="135">
        <f t="shared" si="12"/>
        <v>8</v>
      </c>
      <c r="F752" s="134" t="s">
        <v>3610</v>
      </c>
      <c r="G752" s="63" t="str">
        <f>VLOOKUP(C752, 'Class Def. - General Data'!$C$20:$C$1000,1,false)</f>
        <v>ZFG1_COFFEE</v>
      </c>
      <c r="H752" s="63" t="str">
        <f>IFERROR(__xludf.DUMMYFUNCTION("VLOOKUP(F752, IMPORTRANGE(""https://docs.google.com/spreadsheets/d/1Lhp9OU0JdFf_VYSMzH5lBcEaU4o8teT1piV-SNzShjg/edit?gid=554141278#gid=554141278"", ""'Char Def. - Attributes'!C20:C2242""), 1,false)"),"BANDED_PROMO")</f>
        <v>BANDED_PROMO</v>
      </c>
      <c r="I752" s="136"/>
    </row>
    <row r="753" ht="15.75" customHeight="1">
      <c r="A753" s="59"/>
      <c r="B753" s="63">
        <f t="shared" si="1"/>
        <v>11</v>
      </c>
      <c r="C753" s="134" t="s">
        <v>103</v>
      </c>
      <c r="D753" s="134" t="s">
        <v>74</v>
      </c>
      <c r="E753" s="135">
        <f t="shared" si="12"/>
        <v>9</v>
      </c>
      <c r="F753" s="134" t="s">
        <v>3611</v>
      </c>
      <c r="G753" s="63" t="str">
        <f>VLOOKUP(C753, 'Class Def. - General Data'!$C$20:$C$1000,1,false)</f>
        <v>ZFG1_COFFEE</v>
      </c>
      <c r="H753" s="63" t="str">
        <f>IFERROR(__xludf.DUMMYFUNCTION("VLOOKUP(F753, IMPORTRANGE(""https://docs.google.com/spreadsheets/d/1Lhp9OU0JdFf_VYSMzH5lBcEaU4o8teT1piV-SNzShjg/edit?gid=554141278#gid=554141278"", ""'Char Def. - Attributes'!C20:C2242""), 1,false)"),"LOKAL_EKSPOR")</f>
        <v>LOKAL_EKSPOR</v>
      </c>
      <c r="I753" s="136"/>
    </row>
    <row r="754" ht="15.75" customHeight="1">
      <c r="A754" s="59"/>
      <c r="B754" s="63">
        <f t="shared" si="1"/>
        <v>11</v>
      </c>
      <c r="C754" s="134" t="s">
        <v>103</v>
      </c>
      <c r="D754" s="134" t="s">
        <v>74</v>
      </c>
      <c r="E754" s="135">
        <f t="shared" si="12"/>
        <v>10</v>
      </c>
      <c r="F754" s="134" t="s">
        <v>3612</v>
      </c>
      <c r="G754" s="63" t="str">
        <f>VLOOKUP(C754, 'Class Def. - General Data'!$C$20:$C$1000,1,false)</f>
        <v>ZFG1_COFFEE</v>
      </c>
      <c r="H754" s="63" t="str">
        <f>IFERROR(__xludf.DUMMYFUNCTION("VLOOKUP(F754, IMPORTRANGE(""https://docs.google.com/spreadsheets/d/1Lhp9OU0JdFf_VYSMzH5lBcEaU4o8teT1piV-SNzShjg/edit?gid=554141278#gid=554141278"", ""'Char Def. - Attributes'!C20:C2242""), 1,false)"),"COUNTRY_EKSPOR")</f>
        <v>COUNTRY_EKSPOR</v>
      </c>
      <c r="I754" s="136"/>
    </row>
    <row r="755" ht="15.75" customHeight="1">
      <c r="A755" s="59"/>
      <c r="B755" s="63">
        <f t="shared" si="1"/>
        <v>11</v>
      </c>
      <c r="C755" s="134" t="s">
        <v>103</v>
      </c>
      <c r="D755" s="134" t="s">
        <v>74</v>
      </c>
      <c r="E755" s="135">
        <f t="shared" si="12"/>
        <v>11</v>
      </c>
      <c r="F755" s="134" t="s">
        <v>3613</v>
      </c>
      <c r="G755" s="63" t="str">
        <f>VLOOKUP(C755, 'Class Def. - General Data'!$C$20:$C$1000,1,false)</f>
        <v>ZFG1_COFFEE</v>
      </c>
      <c r="H755" s="63" t="str">
        <f>IFERROR(__xludf.DUMMYFUNCTION("VLOOKUP(F755, IMPORTRANGE(""https://docs.google.com/spreadsheets/d/1Lhp9OU0JdFf_VYSMzH5lBcEaU4o8teT1piV-SNzShjg/edit?gid=554141278#gid=554141278"", ""'Char Def. - Attributes'!C20:C2242""), 1,false)"),"WARNA_SFG")</f>
        <v>WARNA_SFG</v>
      </c>
      <c r="I755" s="136"/>
    </row>
    <row r="756" ht="15.75" customHeight="1">
      <c r="A756" s="59"/>
      <c r="B756" s="63">
        <f t="shared" si="1"/>
        <v>11</v>
      </c>
      <c r="C756" s="134" t="s">
        <v>103</v>
      </c>
      <c r="D756" s="134" t="s">
        <v>74</v>
      </c>
      <c r="E756" s="135">
        <f t="shared" si="12"/>
        <v>12</v>
      </c>
      <c r="F756" s="134" t="s">
        <v>3582</v>
      </c>
      <c r="G756" s="63" t="str">
        <f>VLOOKUP(C756, 'Class Def. - General Data'!$C$20:$C$1000,1,false)</f>
        <v>ZFG1_COFFEE</v>
      </c>
      <c r="H756" s="63" t="str">
        <f>IFERROR(__xludf.DUMMYFUNCTION("VLOOKUP(F756, IMPORTRANGE(""https://docs.google.com/spreadsheets/d/1Lhp9OU0JdFf_VYSMzH5lBcEaU4o8teT1piV-SNzShjg/edit?gid=554141278#gid=554141278"", ""'Char Def. - Attributes'!C20:C2242""), 1,false)"),"BASE_UNIT")</f>
        <v>BASE_UNIT</v>
      </c>
      <c r="I756" s="136"/>
    </row>
    <row r="757" ht="15.75" customHeight="1">
      <c r="A757" s="59"/>
      <c r="B757" s="63">
        <f t="shared" si="1"/>
        <v>11</v>
      </c>
      <c r="C757" s="134" t="s">
        <v>103</v>
      </c>
      <c r="D757" s="134" t="s">
        <v>74</v>
      </c>
      <c r="E757" s="135">
        <f t="shared" si="12"/>
        <v>13</v>
      </c>
      <c r="F757" s="134" t="s">
        <v>3583</v>
      </c>
      <c r="G757" s="63" t="str">
        <f>VLOOKUP(C757, 'Class Def. - General Data'!$C$20:$C$1000,1,false)</f>
        <v>ZFG1_COFFEE</v>
      </c>
      <c r="H757" s="63" t="str">
        <f>IFERROR(__xludf.DUMMYFUNCTION("VLOOKUP(F757, IMPORTRANGE(""https://docs.google.com/spreadsheets/d/1Lhp9OU0JdFf_VYSMzH5lBcEaU4o8teT1piV-SNzShjg/edit?gid=554141278#gid=554141278"", ""'Char Def. - Attributes'!C20:C2242""), 1,false)"),"SALES_UNIT")</f>
        <v>SALES_UNIT</v>
      </c>
      <c r="I757" s="136"/>
    </row>
    <row r="758" ht="15.75" customHeight="1">
      <c r="A758" s="59"/>
      <c r="B758" s="63">
        <f t="shared" si="1"/>
        <v>11</v>
      </c>
      <c r="C758" s="134" t="s">
        <v>103</v>
      </c>
      <c r="D758" s="134" t="s">
        <v>74</v>
      </c>
      <c r="E758" s="135">
        <f t="shared" si="12"/>
        <v>14</v>
      </c>
      <c r="F758" s="134" t="s">
        <v>3601</v>
      </c>
      <c r="G758" s="63" t="str">
        <f>VLOOKUP(C758, 'Class Def. - General Data'!$C$20:$C$1000,1,false)</f>
        <v>ZFG1_COFFEE</v>
      </c>
      <c r="H758" s="63" t="str">
        <f>IFERROR(__xludf.DUMMYFUNCTION("VLOOKUP(F758, IMPORTRANGE(""https://docs.google.com/spreadsheets/d/1Lhp9OU0JdFf_VYSMzH5lBcEaU4o8teT1piV-SNzShjg/edit?gid=554141278#gid=554141278"", ""'Char Def. - Attributes'!C20:C2242""), 1,false)"),"GROSS_WEIGHT")</f>
        <v>GROSS_WEIGHT</v>
      </c>
      <c r="I758" s="136"/>
    </row>
    <row r="759" ht="15.75" customHeight="1">
      <c r="A759" s="59"/>
      <c r="B759" s="63">
        <f t="shared" si="1"/>
        <v>11</v>
      </c>
      <c r="C759" s="134" t="s">
        <v>103</v>
      </c>
      <c r="D759" s="134" t="s">
        <v>74</v>
      </c>
      <c r="E759" s="135">
        <f t="shared" si="12"/>
        <v>15</v>
      </c>
      <c r="F759" s="134" t="s">
        <v>3602</v>
      </c>
      <c r="G759" s="63" t="str">
        <f>VLOOKUP(C759, 'Class Def. - General Data'!$C$20:$C$1000,1,false)</f>
        <v>ZFG1_COFFEE</v>
      </c>
      <c r="H759" s="63" t="str">
        <f>IFERROR(__xludf.DUMMYFUNCTION("VLOOKUP(F759, IMPORTRANGE(""https://docs.google.com/spreadsheets/d/1Lhp9OU0JdFf_VYSMzH5lBcEaU4o8teT1piV-SNzShjg/edit?gid=554141278#gid=554141278"", ""'Char Def. - Attributes'!C20:C2242""), 1,false)"),"NET_WEIGHT")</f>
        <v>NET_WEIGHT</v>
      </c>
      <c r="I759" s="136"/>
    </row>
    <row r="760" ht="15.75" customHeight="1">
      <c r="A760" s="59"/>
      <c r="B760" s="63">
        <f t="shared" si="1"/>
        <v>11</v>
      </c>
      <c r="C760" s="134" t="s">
        <v>103</v>
      </c>
      <c r="D760" s="134" t="s">
        <v>74</v>
      </c>
      <c r="E760" s="135">
        <f t="shared" si="12"/>
        <v>16</v>
      </c>
      <c r="F760" s="134" t="s">
        <v>3584</v>
      </c>
      <c r="G760" s="63" t="str">
        <f>VLOOKUP(C760, 'Class Def. - General Data'!$C$20:$C$1000,1,false)</f>
        <v>ZFG1_COFFEE</v>
      </c>
      <c r="H760" s="63" t="str">
        <f>IFERROR(__xludf.DUMMYFUNCTION("VLOOKUP(F760, IMPORTRANGE(""https://docs.google.com/spreadsheets/d/1Lhp9OU0JdFf_VYSMzH5lBcEaU4o8teT1piV-SNzShjg/edit?gid=554141278#gid=554141278"", ""'Char Def. - Attributes'!C20:C2242""), 1,false)"),"UNIT_PER_BOX")</f>
        <v>UNIT_PER_BOX</v>
      </c>
      <c r="I760" s="136"/>
    </row>
    <row r="761" ht="15.75" customHeight="1">
      <c r="A761" s="59"/>
      <c r="B761" s="63">
        <f t="shared" si="1"/>
        <v>11</v>
      </c>
      <c r="C761" s="134" t="s">
        <v>103</v>
      </c>
      <c r="D761" s="134" t="s">
        <v>74</v>
      </c>
      <c r="E761" s="135">
        <f t="shared" si="12"/>
        <v>17</v>
      </c>
      <c r="F761" s="134" t="s">
        <v>3614</v>
      </c>
      <c r="G761" s="63" t="str">
        <f>VLOOKUP(C761, 'Class Def. - General Data'!$C$20:$C$1000,1,false)</f>
        <v>ZFG1_COFFEE</v>
      </c>
      <c r="H761" s="63" t="str">
        <f>IFERROR(__xludf.DUMMYFUNCTION("VLOOKUP(F761, IMPORTRANGE(""https://docs.google.com/spreadsheets/d/1Lhp9OU0JdFf_VYSMzH5lBcEaU4o8teT1piV-SNzShjg/edit?gid=554141278#gid=554141278"", ""'Char Def. - Attributes'!C20:C2242""), 1,false)"),"UNIT_PER_CTN")</f>
        <v>UNIT_PER_CTN</v>
      </c>
      <c r="I761" s="136"/>
    </row>
    <row r="762" ht="15.75" customHeight="1">
      <c r="A762" s="59"/>
      <c r="B762" s="63">
        <f t="shared" si="1"/>
        <v>11</v>
      </c>
      <c r="C762" s="134" t="s">
        <v>103</v>
      </c>
      <c r="D762" s="134" t="s">
        <v>74</v>
      </c>
      <c r="E762" s="135">
        <f t="shared" si="12"/>
        <v>18</v>
      </c>
      <c r="F762" s="134" t="s">
        <v>3615</v>
      </c>
      <c r="G762" s="63" t="str">
        <f>VLOOKUP(C762, 'Class Def. - General Data'!$C$20:$C$1000,1,false)</f>
        <v>ZFG1_COFFEE</v>
      </c>
      <c r="H762" s="63" t="str">
        <f>IFERROR(__xludf.DUMMYFUNCTION("VLOOKUP(F762, IMPORTRANGE(""https://docs.google.com/spreadsheets/d/1Lhp9OU0JdFf_VYSMzH5lBcEaU4o8teT1piV-SNzShjg/edit?gid=554141278#gid=554141278"", ""'Char Def. - Attributes'!C20:C2242""), 1,false)"),"UNIT_PER_BAG")</f>
        <v>UNIT_PER_BAG</v>
      </c>
      <c r="I762" s="136"/>
    </row>
    <row r="763" ht="15.75" customHeight="1">
      <c r="A763" s="59"/>
      <c r="B763" s="63">
        <f t="shared" si="1"/>
        <v>11</v>
      </c>
      <c r="C763" s="134" t="s">
        <v>103</v>
      </c>
      <c r="D763" s="134" t="s">
        <v>74</v>
      </c>
      <c r="E763" s="135">
        <f t="shared" si="12"/>
        <v>19</v>
      </c>
      <c r="F763" s="134" t="s">
        <v>3616</v>
      </c>
      <c r="G763" s="63" t="str">
        <f>VLOOKUP(C763, 'Class Def. - General Data'!$C$20:$C$1000,1,false)</f>
        <v>ZFG1_COFFEE</v>
      </c>
      <c r="H763" s="63" t="str">
        <f>IFERROR(__xludf.DUMMYFUNCTION("VLOOKUP(F763, IMPORTRANGE(""https://docs.google.com/spreadsheets/d/1Lhp9OU0JdFf_VYSMzH5lBcEaU4o8teT1piV-SNzShjg/edit?gid=554141278#gid=554141278"", ""'Char Def. - Attributes'!C20:C2242""), 1,false)"),"UNIT_PER_PAL")</f>
        <v>UNIT_PER_PAL</v>
      </c>
      <c r="I763" s="136"/>
    </row>
    <row r="764" ht="15.75" customHeight="1">
      <c r="A764" s="59"/>
      <c r="B764" s="63">
        <f t="shared" si="1"/>
        <v>11</v>
      </c>
      <c r="C764" s="134" t="s">
        <v>103</v>
      </c>
      <c r="D764" s="134" t="s">
        <v>74</v>
      </c>
      <c r="E764" s="135">
        <f t="shared" si="12"/>
        <v>20</v>
      </c>
      <c r="F764" s="134" t="s">
        <v>3617</v>
      </c>
      <c r="G764" s="63" t="str">
        <f>VLOOKUP(C764, 'Class Def. - General Data'!$C$20:$C$1000,1,false)</f>
        <v>ZFG1_COFFEE</v>
      </c>
      <c r="H764" s="63" t="str">
        <f>IFERROR(__xludf.DUMMYFUNCTION("VLOOKUP(F764, IMPORTRANGE(""https://docs.google.com/spreadsheets/d/1Lhp9OU0JdFf_VYSMzH5lBcEaU4o8teT1piV-SNzShjg/edit?gid=554141278#gid=554141278"", ""'Char Def. - Attributes'!C20:C2242""), 1,false)"),"UNIT_PER_TIER")</f>
        <v>UNIT_PER_TIER</v>
      </c>
      <c r="I764" s="136"/>
    </row>
    <row r="765" ht="15.75" customHeight="1">
      <c r="A765" s="59"/>
      <c r="B765" s="63">
        <f t="shared" si="1"/>
        <v>11</v>
      </c>
      <c r="C765" s="134" t="s">
        <v>103</v>
      </c>
      <c r="D765" s="134" t="s">
        <v>74</v>
      </c>
      <c r="E765" s="135">
        <f t="shared" si="12"/>
        <v>21</v>
      </c>
      <c r="F765" s="134" t="s">
        <v>3618</v>
      </c>
      <c r="G765" s="63" t="str">
        <f>VLOOKUP(C765, 'Class Def. - General Data'!$C$20:$C$1000,1,false)</f>
        <v>ZFG1_COFFEE</v>
      </c>
      <c r="H765" s="63" t="str">
        <f>IFERROR(__xludf.DUMMYFUNCTION("VLOOKUP(F765, IMPORTRANGE(""https://docs.google.com/spreadsheets/d/1Lhp9OU0JdFf_VYSMzH5lBcEaU4o8teT1piV-SNzShjg/edit?gid=554141278#gid=554141278"", ""'Char Def. - Attributes'!C20:C2242""), 1,false)"),"HEIGHT")</f>
        <v>HEIGHT</v>
      </c>
      <c r="I765" s="136"/>
    </row>
    <row r="766" ht="15.75" customHeight="1">
      <c r="A766" s="59"/>
      <c r="B766" s="63">
        <f t="shared" si="1"/>
        <v>11</v>
      </c>
      <c r="C766" s="134" t="s">
        <v>103</v>
      </c>
      <c r="D766" s="134" t="s">
        <v>74</v>
      </c>
      <c r="E766" s="135">
        <f t="shared" si="12"/>
        <v>22</v>
      </c>
      <c r="F766" s="134" t="s">
        <v>3587</v>
      </c>
      <c r="G766" s="63" t="str">
        <f>VLOOKUP(C766, 'Class Def. - General Data'!$C$20:$C$1000,1,false)</f>
        <v>ZFG1_COFFEE</v>
      </c>
      <c r="H766" s="63" t="str">
        <f>IFERROR(__xludf.DUMMYFUNCTION("VLOOKUP(F766, IMPORTRANGE(""https://docs.google.com/spreadsheets/d/1Lhp9OU0JdFf_VYSMzH5lBcEaU4o8teT1piV-SNzShjg/edit?gid=554141278#gid=554141278"", ""'Char Def. - Attributes'!C20:C2242""), 1,false)"),"PLANT_BUY")</f>
        <v>PLANT_BUY</v>
      </c>
      <c r="I766" s="136"/>
    </row>
    <row r="767" ht="15.75" customHeight="1">
      <c r="A767" s="59"/>
      <c r="B767" s="63">
        <f t="shared" si="1"/>
        <v>11</v>
      </c>
      <c r="C767" s="134" t="s">
        <v>103</v>
      </c>
      <c r="D767" s="134" t="s">
        <v>74</v>
      </c>
      <c r="E767" s="135">
        <f t="shared" si="12"/>
        <v>23</v>
      </c>
      <c r="F767" s="134" t="s">
        <v>3619</v>
      </c>
      <c r="G767" s="63" t="str">
        <f>VLOOKUP(C767, 'Class Def. - General Data'!$C$20:$C$1000,1,false)</f>
        <v>ZFG1_COFFEE</v>
      </c>
      <c r="H767" s="63" t="str">
        <f>IFERROR(__xludf.DUMMYFUNCTION("VLOOKUP(F767, IMPORTRANGE(""https://docs.google.com/spreadsheets/d/1Lhp9OU0JdFf_VYSMzH5lBcEaU4o8teT1piV-SNzShjg/edit?gid=554141278#gid=554141278"", ""'Char Def. - Attributes'!C20:C2242""), 1,false)"),"LENGTH")</f>
        <v>LENGTH</v>
      </c>
      <c r="I767" s="136"/>
    </row>
    <row r="768" ht="15.75" customHeight="1">
      <c r="A768" s="59"/>
      <c r="B768" s="63">
        <f t="shared" si="1"/>
        <v>11</v>
      </c>
      <c r="C768" s="134" t="s">
        <v>103</v>
      </c>
      <c r="D768" s="134" t="s">
        <v>74</v>
      </c>
      <c r="E768" s="135">
        <f t="shared" si="12"/>
        <v>24</v>
      </c>
      <c r="F768" s="134" t="s">
        <v>3586</v>
      </c>
      <c r="G768" s="63" t="str">
        <f>VLOOKUP(C768, 'Class Def. - General Data'!$C$20:$C$1000,1,false)</f>
        <v>ZFG1_COFFEE</v>
      </c>
      <c r="H768" s="63" t="str">
        <f>IFERROR(__xludf.DUMMYFUNCTION("VLOOKUP(F768, IMPORTRANGE(""https://docs.google.com/spreadsheets/d/1Lhp9OU0JdFf_VYSMzH5lBcEaU4o8teT1piV-SNzShjg/edit?gid=554141278#gid=554141278"", ""'Char Def. - Attributes'!C20:C2242""), 1,false)"),"PLANT_PROD")</f>
        <v>PLANT_PROD</v>
      </c>
      <c r="I768" s="136"/>
    </row>
    <row r="769" ht="15.75" customHeight="1">
      <c r="A769" s="59"/>
      <c r="B769" s="63">
        <f t="shared" si="1"/>
        <v>11</v>
      </c>
      <c r="C769" s="134" t="s">
        <v>103</v>
      </c>
      <c r="D769" s="134" t="s">
        <v>74</v>
      </c>
      <c r="E769" s="135">
        <f t="shared" si="12"/>
        <v>25</v>
      </c>
      <c r="F769" s="134" t="s">
        <v>3620</v>
      </c>
      <c r="G769" s="63" t="str">
        <f>VLOOKUP(C769, 'Class Def. - General Data'!$C$20:$C$1000,1,false)</f>
        <v>ZFG1_COFFEE</v>
      </c>
      <c r="H769" s="63" t="str">
        <f>IFERROR(__xludf.DUMMYFUNCTION("VLOOKUP(F769, IMPORTRANGE(""https://docs.google.com/spreadsheets/d/1Lhp9OU0JdFf_VYSMzH5lBcEaU4o8teT1piV-SNzShjg/edit?gid=554141278#gid=554141278"", ""'Char Def. - Attributes'!C20:C2242""), 1,false)"),"WIDTH")</f>
        <v>WIDTH</v>
      </c>
      <c r="I769" s="136"/>
    </row>
    <row r="770" ht="15.75" customHeight="1">
      <c r="A770" s="59"/>
      <c r="B770" s="63">
        <f t="shared" si="1"/>
        <v>11</v>
      </c>
      <c r="C770" s="134" t="s">
        <v>103</v>
      </c>
      <c r="D770" s="134" t="s">
        <v>74</v>
      </c>
      <c r="E770" s="135">
        <f t="shared" si="12"/>
        <v>26</v>
      </c>
      <c r="F770" s="134" t="s">
        <v>3585</v>
      </c>
      <c r="G770" s="63" t="str">
        <f>VLOOKUP(C770, 'Class Def. - General Data'!$C$20:$C$1000,1,false)</f>
        <v>ZFG1_COFFEE</v>
      </c>
      <c r="H770" s="63" t="str">
        <f>IFERROR(__xludf.DUMMYFUNCTION("VLOOKUP(F770, IMPORTRANGE(""https://docs.google.com/spreadsheets/d/1Lhp9OU0JdFf_VYSMzH5lBcEaU4o8teT1piV-SNzShjg/edit?gid=554141278#gid=554141278"", ""'Char Def. - Attributes'!C20:C2242""), 1,false)"),"HS_CODE")</f>
        <v>HS_CODE</v>
      </c>
      <c r="I770" s="136"/>
    </row>
    <row r="771" ht="15.75" customHeight="1">
      <c r="A771" s="59"/>
      <c r="B771" s="63">
        <f t="shared" si="1"/>
        <v>11</v>
      </c>
      <c r="C771" s="134" t="s">
        <v>103</v>
      </c>
      <c r="D771" s="134" t="s">
        <v>74</v>
      </c>
      <c r="E771" s="135">
        <f t="shared" si="12"/>
        <v>27</v>
      </c>
      <c r="F771" s="134" t="s">
        <v>3621</v>
      </c>
      <c r="G771" s="63" t="str">
        <f>VLOOKUP(C771, 'Class Def. - General Data'!$C$20:$C$1000,1,false)</f>
        <v>ZFG1_COFFEE</v>
      </c>
      <c r="H771" s="63" t="str">
        <f>IFERROR(__xludf.DUMMYFUNCTION("VLOOKUP(F771, IMPORTRANGE(""https://docs.google.com/spreadsheets/d/1Lhp9OU0JdFf_VYSMzH5lBcEaU4o8teT1piV-SNzShjg/edit?gid=554141278#gid=554141278"", ""'Char Def. - Attributes'!C20:C2242""), 1,false)"),"EAN_PCS")</f>
        <v>EAN_PCS</v>
      </c>
      <c r="I771" s="136"/>
    </row>
    <row r="772" ht="15.75" customHeight="1">
      <c r="A772" s="59"/>
      <c r="B772" s="63">
        <f t="shared" si="1"/>
        <v>11</v>
      </c>
      <c r="C772" s="134" t="s">
        <v>103</v>
      </c>
      <c r="D772" s="134" t="s">
        <v>74</v>
      </c>
      <c r="E772" s="135">
        <f t="shared" si="12"/>
        <v>28</v>
      </c>
      <c r="F772" s="134" t="s">
        <v>3622</v>
      </c>
      <c r="G772" s="63" t="str">
        <f>VLOOKUP(C772, 'Class Def. - General Data'!$C$20:$C$1000,1,false)</f>
        <v>ZFG1_COFFEE</v>
      </c>
      <c r="H772" s="63" t="str">
        <f>IFERROR(__xludf.DUMMYFUNCTION("VLOOKUP(F772, IMPORTRANGE(""https://docs.google.com/spreadsheets/d/1Lhp9OU0JdFf_VYSMzH5lBcEaU4o8teT1piV-SNzShjg/edit?gid=554141278#gid=554141278"", ""'Char Def. - Attributes'!C20:C2242""), 1,false)"),"SFG_BRAND")</f>
        <v>SFG_BRAND</v>
      </c>
      <c r="I772" s="136"/>
    </row>
    <row r="773" ht="15.75" customHeight="1">
      <c r="A773" s="59"/>
      <c r="B773" s="63">
        <f t="shared" si="1"/>
        <v>11</v>
      </c>
      <c r="C773" s="134" t="s">
        <v>103</v>
      </c>
      <c r="D773" s="134" t="s">
        <v>74</v>
      </c>
      <c r="E773" s="135">
        <f t="shared" si="12"/>
        <v>29</v>
      </c>
      <c r="F773" s="134" t="s">
        <v>3623</v>
      </c>
      <c r="G773" s="63" t="str">
        <f>VLOOKUP(C773, 'Class Def. - General Data'!$C$20:$C$1000,1,false)</f>
        <v>ZFG1_COFFEE</v>
      </c>
      <c r="H773" s="63" t="str">
        <f>IFERROR(__xludf.DUMMYFUNCTION("VLOOKUP(F773, IMPORTRANGE(""https://docs.google.com/spreadsheets/d/1Lhp9OU0JdFf_VYSMzH5lBcEaU4o8teT1piV-SNzShjg/edit?gid=554141278#gid=554141278"", ""'Char Def. - Attributes'!C20:C2242""), 1,false)"),"LANGUAGE")</f>
        <v>LANGUAGE</v>
      </c>
      <c r="I773" s="136"/>
    </row>
    <row r="774" ht="15.75" customHeight="1">
      <c r="A774" s="59"/>
      <c r="B774" s="63">
        <f t="shared" si="1"/>
        <v>11</v>
      </c>
      <c r="C774" s="139" t="s">
        <v>103</v>
      </c>
      <c r="D774" s="139" t="s">
        <v>74</v>
      </c>
      <c r="E774" s="140">
        <f t="shared" si="12"/>
        <v>30</v>
      </c>
      <c r="F774" s="134" t="s">
        <v>3624</v>
      </c>
      <c r="G774" s="63" t="str">
        <f>VLOOKUP(C774, 'Class Def. - General Data'!$C$20:$C$1000,1,false)</f>
        <v>ZFG1_COFFEE</v>
      </c>
      <c r="H774" s="63" t="str">
        <f>IFERROR(__xludf.DUMMYFUNCTION("VLOOKUP(F774, IMPORTRANGE(""https://docs.google.com/spreadsheets/d/1Lhp9OU0JdFf_VYSMzH5lBcEaU4o8teT1piV-SNzShjg/edit?gid=554141278#gid=554141278"", ""'Char Def. - Attributes'!C20:C2242""), 1,false)"),"#N/A")</f>
        <v>#N/A</v>
      </c>
      <c r="I774" s="136"/>
    </row>
    <row r="775" ht="15.75" customHeight="1">
      <c r="A775" s="59"/>
      <c r="B775" s="63">
        <f t="shared" si="1"/>
        <v>11</v>
      </c>
      <c r="C775" s="134" t="s">
        <v>103</v>
      </c>
      <c r="D775" s="134" t="s">
        <v>74</v>
      </c>
      <c r="E775" s="135">
        <f t="shared" si="12"/>
        <v>31</v>
      </c>
      <c r="F775" s="134" t="s">
        <v>3625</v>
      </c>
      <c r="G775" s="63" t="str">
        <f>VLOOKUP(C775, 'Class Def. - General Data'!$C$20:$C$1000,1,false)</f>
        <v>ZFG1_COFFEE</v>
      </c>
      <c r="H775" s="63" t="str">
        <f>IFERROR(__xludf.DUMMYFUNCTION("VLOOKUP(F775, IMPORTRANGE(""https://docs.google.com/spreadsheets/d/1Lhp9OU0JdFf_VYSMzH5lBcEaU4o8teT1piV-SNzShjg/edit?gid=554141278#gid=554141278"", ""'Char Def. - Attributes'!C20:C2242""), 1,false)"),"REGION_EKSPOR")</f>
        <v>REGION_EKSPOR</v>
      </c>
      <c r="I775" s="136"/>
    </row>
    <row r="776" ht="15.75" customHeight="1">
      <c r="A776" s="59"/>
      <c r="B776" s="63">
        <f t="shared" si="1"/>
        <v>11</v>
      </c>
      <c r="C776" s="134" t="s">
        <v>103</v>
      </c>
      <c r="D776" s="134" t="s">
        <v>74</v>
      </c>
      <c r="E776" s="135">
        <f t="shared" si="12"/>
        <v>32</v>
      </c>
      <c r="F776" s="134" t="s">
        <v>3626</v>
      </c>
      <c r="G776" s="63" t="str">
        <f>VLOOKUP(C776, 'Class Def. - General Data'!$C$20:$C$1000,1,false)</f>
        <v>ZFG1_COFFEE</v>
      </c>
      <c r="H776" s="63" t="str">
        <f>IFERROR(__xludf.DUMMYFUNCTION("VLOOKUP(F776, IMPORTRANGE(""https://docs.google.com/spreadsheets/d/1Lhp9OU0JdFf_VYSMzH5lBcEaU4o8teT1piV-SNzShjg/edit?gid=554141278#gid=554141278"", ""'Char Def. - Attributes'!C20:C2242""), 1,false)"),"STICKER_NOT")</f>
        <v>STICKER_NOT</v>
      </c>
      <c r="I776" s="136"/>
    </row>
    <row r="777" ht="15.75" customHeight="1">
      <c r="A777" s="59"/>
      <c r="B777" s="63">
        <f t="shared" si="1"/>
        <v>11</v>
      </c>
      <c r="C777" s="134" t="s">
        <v>103</v>
      </c>
      <c r="D777" s="134" t="s">
        <v>74</v>
      </c>
      <c r="E777" s="135">
        <f t="shared" si="12"/>
        <v>33</v>
      </c>
      <c r="F777" s="134" t="s">
        <v>3627</v>
      </c>
      <c r="G777" s="63" t="str">
        <f>VLOOKUP(C777, 'Class Def. - General Data'!$C$20:$C$1000,1,false)</f>
        <v>ZFG1_COFFEE</v>
      </c>
      <c r="H777" s="63" t="str">
        <f>IFERROR(__xludf.DUMMYFUNCTION("VLOOKUP(F777, IMPORTRANGE(""https://docs.google.com/spreadsheets/d/1Lhp9OU0JdFf_VYSMzH5lBcEaU4o8teT1piV-SNzShjg/edit?gid=554141278#gid=554141278"", ""'Char Def. - Attributes'!C20:C2242""), 1,false)"),"SHIP_MARK")</f>
        <v>SHIP_MARK</v>
      </c>
      <c r="I777" s="136"/>
    </row>
    <row r="778" ht="15.75" customHeight="1">
      <c r="A778" s="59"/>
      <c r="B778" s="63">
        <f t="shared" si="1"/>
        <v>11</v>
      </c>
      <c r="C778" s="134" t="s">
        <v>103</v>
      </c>
      <c r="D778" s="134" t="s">
        <v>74</v>
      </c>
      <c r="E778" s="135">
        <f t="shared" si="12"/>
        <v>34</v>
      </c>
      <c r="F778" s="134" t="s">
        <v>3628</v>
      </c>
      <c r="G778" s="63" t="str">
        <f>VLOOKUP(C778, 'Class Def. - General Data'!$C$20:$C$1000,1,false)</f>
        <v>ZFG1_COFFEE</v>
      </c>
      <c r="H778" s="63" t="str">
        <f>IFERROR(__xludf.DUMMYFUNCTION("VLOOKUP(F778, IMPORTRANGE(""https://docs.google.com/spreadsheets/d/1Lhp9OU0JdFf_VYSMzH5lBcEaU4o8teT1piV-SNzShjg/edit?gid=554141278#gid=554141278"", ""'Char Def. - Attributes'!C20:C2242""), 1,false)"),"MID_CORE")</f>
        <v>MID_CORE</v>
      </c>
      <c r="I778" s="136"/>
    </row>
    <row r="779" ht="15.75" customHeight="1">
      <c r="A779" s="59"/>
      <c r="B779" s="63">
        <f t="shared" si="1"/>
        <v>11</v>
      </c>
      <c r="C779" s="134" t="s">
        <v>103</v>
      </c>
      <c r="D779" s="134" t="s">
        <v>74</v>
      </c>
      <c r="E779" s="135">
        <f t="shared" si="12"/>
        <v>35</v>
      </c>
      <c r="F779" s="134" t="s">
        <v>3629</v>
      </c>
      <c r="G779" s="63" t="str">
        <f>VLOOKUP(C779, 'Class Def. - General Data'!$C$20:$C$1000,1,false)</f>
        <v>ZFG1_COFFEE</v>
      </c>
      <c r="H779" s="63" t="str">
        <f>IFERROR(__xludf.DUMMYFUNCTION("VLOOKUP(F779, IMPORTRANGE(""https://docs.google.com/spreadsheets/d/1Lhp9OU0JdFf_VYSMzH5lBcEaU4o8teT1piV-SNzShjg/edit?gid=554141278#gid=554141278"", ""'Char Def. - Attributes'!C20:C2242""), 1,false)"),"EAN_CTN")</f>
        <v>EAN_CTN</v>
      </c>
      <c r="I779" s="136"/>
    </row>
    <row r="780" ht="15.75" customHeight="1">
      <c r="A780" s="59"/>
      <c r="B780" s="63">
        <f t="shared" si="1"/>
        <v>11</v>
      </c>
      <c r="C780" s="134" t="s">
        <v>103</v>
      </c>
      <c r="D780" s="134" t="s">
        <v>74</v>
      </c>
      <c r="E780" s="135">
        <f t="shared" si="12"/>
        <v>36</v>
      </c>
      <c r="F780" s="134" t="s">
        <v>3630</v>
      </c>
      <c r="G780" s="63" t="str">
        <f>VLOOKUP(C780, 'Class Def. - General Data'!$C$20:$C$1000,1,false)</f>
        <v>ZFG1_COFFEE</v>
      </c>
      <c r="H780" s="63" t="str">
        <f>IFERROR(__xludf.DUMMYFUNCTION("VLOOKUP(F780, IMPORTRANGE(""https://docs.google.com/spreadsheets/d/1Lhp9OU0JdFf_VYSMzH5lBcEaU4o8teT1piV-SNzShjg/edit?gid=554141278#gid=554141278"", ""'Char Def. - Attributes'!C20:C2242""), 1,false)"),"EAN_BOX")</f>
        <v>EAN_BOX</v>
      </c>
      <c r="I780" s="136"/>
    </row>
    <row r="781" ht="15.75" customHeight="1">
      <c r="A781" s="59"/>
      <c r="B781" s="63">
        <f t="shared" si="1"/>
        <v>11</v>
      </c>
      <c r="C781" s="134" t="s">
        <v>103</v>
      </c>
      <c r="D781" s="141" t="s">
        <v>74</v>
      </c>
      <c r="E781" s="135">
        <v>22.0</v>
      </c>
      <c r="F781" s="135" t="s">
        <v>3603</v>
      </c>
      <c r="G781" s="63" t="str">
        <f>VLOOKUP(C781, 'Class Def. - General Data'!$C$20:$C$1000,1,false)</f>
        <v>ZFG1_COFFEE</v>
      </c>
      <c r="I781" s="136"/>
    </row>
    <row r="782" ht="15.75" customHeight="1">
      <c r="A782" s="59"/>
      <c r="B782" s="63">
        <f t="shared" si="1"/>
        <v>12</v>
      </c>
      <c r="C782" s="134" t="s">
        <v>104</v>
      </c>
      <c r="D782" s="134" t="s">
        <v>74</v>
      </c>
      <c r="E782" s="135">
        <f t="shared" ref="E782:E817" si="13">COUNTIF($C$20:C782,C782)</f>
        <v>1</v>
      </c>
      <c r="F782" s="134" t="s">
        <v>3657</v>
      </c>
      <c r="G782" s="63" t="str">
        <f>VLOOKUP(C782, 'Class Def. - General Data'!$C$20:$C$1000,1,false)</f>
        <v>ZFG1_COLOGNE</v>
      </c>
      <c r="H782" s="63" t="str">
        <f>IFERROR(__xludf.DUMMYFUNCTION("VLOOKUP(F782, IMPORTRANGE(""https://docs.google.com/spreadsheets/d/1Lhp9OU0JdFf_VYSMzH5lBcEaU4o8teT1piV-SNzShjg/edit?gid=554141278#gid=554141278"", ""'Char Def. - Attributes'!C20:C2242""), 1,false)"),"BRAND_COLOGNE")</f>
        <v>BRAND_COLOGNE</v>
      </c>
      <c r="I782" s="136"/>
    </row>
    <row r="783" ht="15.75" customHeight="1">
      <c r="A783" s="59"/>
      <c r="B783" s="63">
        <f t="shared" si="1"/>
        <v>12</v>
      </c>
      <c r="C783" s="135" t="s">
        <v>104</v>
      </c>
      <c r="D783" s="134" t="s">
        <v>74</v>
      </c>
      <c r="E783" s="135">
        <f t="shared" si="13"/>
        <v>2</v>
      </c>
      <c r="F783" s="134" t="s">
        <v>3658</v>
      </c>
      <c r="G783" s="63" t="str">
        <f>VLOOKUP(C783, 'Class Def. - General Data'!$C$20:$C$1000,1,false)</f>
        <v>ZFG1_COLOGNE</v>
      </c>
      <c r="H783" s="63" t="str">
        <f>IFERROR(__xludf.DUMMYFUNCTION("VLOOKUP(F783, IMPORTRANGE(""https://docs.google.com/spreadsheets/d/1Lhp9OU0JdFf_VYSMzH5lBcEaU4o8teT1piV-SNzShjg/edit?gid=554141278#gid=554141278"", ""'Char Def. - Attributes'!C20:C2242""), 1,false)"),"PSHAPE_COLOGNE")</f>
        <v>PSHAPE_COLOGNE</v>
      </c>
      <c r="I783" s="136"/>
    </row>
    <row r="784" ht="15.75" customHeight="1">
      <c r="A784" s="59"/>
      <c r="B784" s="63">
        <f t="shared" si="1"/>
        <v>12</v>
      </c>
      <c r="C784" s="134" t="s">
        <v>104</v>
      </c>
      <c r="D784" s="134" t="s">
        <v>74</v>
      </c>
      <c r="E784" s="135">
        <f t="shared" si="13"/>
        <v>3</v>
      </c>
      <c r="F784" s="134" t="s">
        <v>3605</v>
      </c>
      <c r="G784" s="63" t="str">
        <f>VLOOKUP(C784, 'Class Def. - General Data'!$C$20:$C$1000,1,false)</f>
        <v>ZFG1_COLOGNE</v>
      </c>
      <c r="H784" s="63" t="str">
        <f>IFERROR(__xludf.DUMMYFUNCTION("VLOOKUP(F784, IMPORTRANGE(""https://docs.google.com/spreadsheets/d/1Lhp9OU0JdFf_VYSMzH5lBcEaU4o8teT1piV-SNzShjg/edit?gid=554141278#gid=554141278"", ""'Char Def. - Attributes'!C20:C2242""), 1,false)"),"PACK_NETTO")</f>
        <v>PACK_NETTO</v>
      </c>
      <c r="I784" s="136"/>
    </row>
    <row r="785" ht="15.75" customHeight="1">
      <c r="A785" s="59"/>
      <c r="B785" s="63">
        <f t="shared" si="1"/>
        <v>12</v>
      </c>
      <c r="C785" s="135" t="s">
        <v>104</v>
      </c>
      <c r="D785" s="134" t="s">
        <v>74</v>
      </c>
      <c r="E785" s="135">
        <f t="shared" si="13"/>
        <v>4</v>
      </c>
      <c r="F785" s="134" t="s">
        <v>3659</v>
      </c>
      <c r="G785" s="63" t="str">
        <f>VLOOKUP(C785, 'Class Def. - General Data'!$C$20:$C$1000,1,false)</f>
        <v>ZFG1_COLOGNE</v>
      </c>
      <c r="H785" s="63" t="str">
        <f>IFERROR(__xludf.DUMMYFUNCTION("VLOOKUP(F785, IMPORTRANGE(""https://docs.google.com/spreadsheets/d/1Lhp9OU0JdFf_VYSMzH5lBcEaU4o8teT1piV-SNzShjg/edit?gid=554141278#gid=554141278"", ""'Char Def. - Attributes'!C20:C2242""), 1,false)"),"PUOM_COLOGNE")</f>
        <v>PUOM_COLOGNE</v>
      </c>
      <c r="I785" s="136"/>
    </row>
    <row r="786" ht="15.75" customHeight="1">
      <c r="A786" s="59"/>
      <c r="B786" s="63">
        <f t="shared" si="1"/>
        <v>12</v>
      </c>
      <c r="C786" s="134" t="s">
        <v>104</v>
      </c>
      <c r="D786" s="134" t="s">
        <v>74</v>
      </c>
      <c r="E786" s="135">
        <f t="shared" si="13"/>
        <v>5</v>
      </c>
      <c r="F786" s="134" t="s">
        <v>3607</v>
      </c>
      <c r="G786" s="63" t="str">
        <f>VLOOKUP(C786, 'Class Def. - General Data'!$C$20:$C$1000,1,false)</f>
        <v>ZFG1_COLOGNE</v>
      </c>
      <c r="H786" s="63" t="str">
        <f>IFERROR(__xludf.DUMMYFUNCTION("VLOOKUP(F786, IMPORTRANGE(""https://docs.google.com/spreadsheets/d/1Lhp9OU0JdFf_VYSMzH5lBcEaU4o8teT1piV-SNzShjg/edit?gid=554141278#gid=554141278"", ""'Char Def. - Attributes'!C20:C2242""), 1,false)"),"VARIAN")</f>
        <v>VARIAN</v>
      </c>
      <c r="I786" s="136"/>
    </row>
    <row r="787" ht="15.75" customHeight="1">
      <c r="A787" s="59"/>
      <c r="B787" s="63">
        <f t="shared" si="1"/>
        <v>12</v>
      </c>
      <c r="C787" s="134" t="s">
        <v>104</v>
      </c>
      <c r="D787" s="134" t="s">
        <v>74</v>
      </c>
      <c r="E787" s="135">
        <f t="shared" si="13"/>
        <v>6</v>
      </c>
      <c r="F787" s="134" t="s">
        <v>3608</v>
      </c>
      <c r="G787" s="63" t="str">
        <f>VLOOKUP(C787, 'Class Def. - General Data'!$C$20:$C$1000,1,false)</f>
        <v>ZFG1_COLOGNE</v>
      </c>
      <c r="H787" s="63" t="str">
        <f>IFERROR(__xludf.DUMMYFUNCTION("VLOOKUP(F787, IMPORTRANGE(""https://docs.google.com/spreadsheets/d/1Lhp9OU0JdFf_VYSMzH5lBcEaU4o8teT1piV-SNzShjg/edit?gid=554141278#gid=554141278"", ""'Char Def. - Attributes'!C20:C2242""), 1,false)"),"PROJECT_NAME")</f>
        <v>PROJECT_NAME</v>
      </c>
      <c r="I787" s="136"/>
    </row>
    <row r="788" ht="15.75" customHeight="1">
      <c r="A788" s="59"/>
      <c r="B788" s="63">
        <f t="shared" si="1"/>
        <v>12</v>
      </c>
      <c r="C788" s="134" t="s">
        <v>104</v>
      </c>
      <c r="D788" s="134" t="s">
        <v>74</v>
      </c>
      <c r="E788" s="135">
        <f t="shared" si="13"/>
        <v>7</v>
      </c>
      <c r="F788" s="134" t="s">
        <v>3609</v>
      </c>
      <c r="G788" s="63" t="str">
        <f>VLOOKUP(C788, 'Class Def. - General Data'!$C$20:$C$1000,1,false)</f>
        <v>ZFG1_COLOGNE</v>
      </c>
      <c r="H788" s="63" t="str">
        <f>IFERROR(__xludf.DUMMYFUNCTION("VLOOKUP(F788, IMPORTRANGE(""https://docs.google.com/spreadsheets/d/1Lhp9OU0JdFf_VYSMzH5lBcEaU4o8teT1piV-SNzShjg/edit?gid=554141278#gid=554141278"", ""'Char Def. - Attributes'!C20:C2242""), 1,false)"),"ADDITIONAL_PROMO")</f>
        <v>ADDITIONAL_PROMO</v>
      </c>
      <c r="I788" s="136"/>
    </row>
    <row r="789" ht="15.75" customHeight="1">
      <c r="A789" s="59"/>
      <c r="B789" s="63">
        <f t="shared" si="1"/>
        <v>12</v>
      </c>
      <c r="C789" s="134" t="s">
        <v>104</v>
      </c>
      <c r="D789" s="134" t="s">
        <v>74</v>
      </c>
      <c r="E789" s="135">
        <f t="shared" si="13"/>
        <v>8</v>
      </c>
      <c r="F789" s="134" t="s">
        <v>3610</v>
      </c>
      <c r="G789" s="63" t="str">
        <f>VLOOKUP(C789, 'Class Def. - General Data'!$C$20:$C$1000,1,false)</f>
        <v>ZFG1_COLOGNE</v>
      </c>
      <c r="H789" s="63" t="str">
        <f>IFERROR(__xludf.DUMMYFUNCTION("VLOOKUP(F789, IMPORTRANGE(""https://docs.google.com/spreadsheets/d/1Lhp9OU0JdFf_VYSMzH5lBcEaU4o8teT1piV-SNzShjg/edit?gid=554141278#gid=554141278"", ""'Char Def. - Attributes'!C20:C2242""), 1,false)"),"BANDED_PROMO")</f>
        <v>BANDED_PROMO</v>
      </c>
      <c r="I789" s="136"/>
    </row>
    <row r="790" ht="15.75" customHeight="1">
      <c r="A790" s="59"/>
      <c r="B790" s="63">
        <f t="shared" si="1"/>
        <v>12</v>
      </c>
      <c r="C790" s="134" t="s">
        <v>104</v>
      </c>
      <c r="D790" s="134" t="s">
        <v>74</v>
      </c>
      <c r="E790" s="135">
        <f t="shared" si="13"/>
        <v>9</v>
      </c>
      <c r="F790" s="134" t="s">
        <v>3611</v>
      </c>
      <c r="G790" s="63" t="str">
        <f>VLOOKUP(C790, 'Class Def. - General Data'!$C$20:$C$1000,1,false)</f>
        <v>ZFG1_COLOGNE</v>
      </c>
      <c r="H790" s="63" t="str">
        <f>IFERROR(__xludf.DUMMYFUNCTION("VLOOKUP(F790, IMPORTRANGE(""https://docs.google.com/spreadsheets/d/1Lhp9OU0JdFf_VYSMzH5lBcEaU4o8teT1piV-SNzShjg/edit?gid=554141278#gid=554141278"", ""'Char Def. - Attributes'!C20:C2242""), 1,false)"),"LOKAL_EKSPOR")</f>
        <v>LOKAL_EKSPOR</v>
      </c>
      <c r="I790" s="136"/>
    </row>
    <row r="791" ht="15.75" customHeight="1">
      <c r="A791" s="59"/>
      <c r="B791" s="63">
        <f t="shared" si="1"/>
        <v>12</v>
      </c>
      <c r="C791" s="134" t="s">
        <v>104</v>
      </c>
      <c r="D791" s="134" t="s">
        <v>74</v>
      </c>
      <c r="E791" s="135">
        <f t="shared" si="13"/>
        <v>10</v>
      </c>
      <c r="F791" s="134" t="s">
        <v>3612</v>
      </c>
      <c r="G791" s="63" t="str">
        <f>VLOOKUP(C791, 'Class Def. - General Data'!$C$20:$C$1000,1,false)</f>
        <v>ZFG1_COLOGNE</v>
      </c>
      <c r="H791" s="63" t="str">
        <f>IFERROR(__xludf.DUMMYFUNCTION("VLOOKUP(F791, IMPORTRANGE(""https://docs.google.com/spreadsheets/d/1Lhp9OU0JdFf_VYSMzH5lBcEaU4o8teT1piV-SNzShjg/edit?gid=554141278#gid=554141278"", ""'Char Def. - Attributes'!C20:C2242""), 1,false)"),"COUNTRY_EKSPOR")</f>
        <v>COUNTRY_EKSPOR</v>
      </c>
      <c r="I791" s="136"/>
    </row>
    <row r="792" ht="15.75" customHeight="1">
      <c r="A792" s="59"/>
      <c r="B792" s="63">
        <f t="shared" si="1"/>
        <v>12</v>
      </c>
      <c r="C792" s="134" t="s">
        <v>104</v>
      </c>
      <c r="D792" s="134" t="s">
        <v>74</v>
      </c>
      <c r="E792" s="135">
        <f t="shared" si="13"/>
        <v>11</v>
      </c>
      <c r="F792" s="134" t="s">
        <v>3613</v>
      </c>
      <c r="G792" s="63" t="str">
        <f>VLOOKUP(C792, 'Class Def. - General Data'!$C$20:$C$1000,1,false)</f>
        <v>ZFG1_COLOGNE</v>
      </c>
      <c r="H792" s="63" t="str">
        <f>IFERROR(__xludf.DUMMYFUNCTION("VLOOKUP(F792, IMPORTRANGE(""https://docs.google.com/spreadsheets/d/1Lhp9OU0JdFf_VYSMzH5lBcEaU4o8teT1piV-SNzShjg/edit?gid=554141278#gid=554141278"", ""'Char Def. - Attributes'!C20:C2242""), 1,false)"),"WARNA_SFG")</f>
        <v>WARNA_SFG</v>
      </c>
      <c r="I792" s="136"/>
    </row>
    <row r="793" ht="15.75" customHeight="1">
      <c r="A793" s="59"/>
      <c r="B793" s="63">
        <f t="shared" si="1"/>
        <v>12</v>
      </c>
      <c r="C793" s="134" t="s">
        <v>104</v>
      </c>
      <c r="D793" s="134" t="s">
        <v>74</v>
      </c>
      <c r="E793" s="135">
        <f t="shared" si="13"/>
        <v>12</v>
      </c>
      <c r="F793" s="134" t="s">
        <v>3582</v>
      </c>
      <c r="G793" s="63" t="str">
        <f>VLOOKUP(C793, 'Class Def. - General Data'!$C$20:$C$1000,1,false)</f>
        <v>ZFG1_COLOGNE</v>
      </c>
      <c r="H793" s="63" t="str">
        <f>IFERROR(__xludf.DUMMYFUNCTION("VLOOKUP(F793, IMPORTRANGE(""https://docs.google.com/spreadsheets/d/1Lhp9OU0JdFf_VYSMzH5lBcEaU4o8teT1piV-SNzShjg/edit?gid=554141278#gid=554141278"", ""'Char Def. - Attributes'!C20:C2242""), 1,false)"),"BASE_UNIT")</f>
        <v>BASE_UNIT</v>
      </c>
      <c r="I793" s="136"/>
    </row>
    <row r="794" ht="15.75" customHeight="1">
      <c r="A794" s="59"/>
      <c r="B794" s="63">
        <f t="shared" si="1"/>
        <v>12</v>
      </c>
      <c r="C794" s="134" t="s">
        <v>104</v>
      </c>
      <c r="D794" s="134" t="s">
        <v>74</v>
      </c>
      <c r="E794" s="135">
        <f t="shared" si="13"/>
        <v>13</v>
      </c>
      <c r="F794" s="134" t="s">
        <v>3583</v>
      </c>
      <c r="G794" s="63" t="str">
        <f>VLOOKUP(C794, 'Class Def. - General Data'!$C$20:$C$1000,1,false)</f>
        <v>ZFG1_COLOGNE</v>
      </c>
      <c r="H794" s="63" t="str">
        <f>IFERROR(__xludf.DUMMYFUNCTION("VLOOKUP(F794, IMPORTRANGE(""https://docs.google.com/spreadsheets/d/1Lhp9OU0JdFf_VYSMzH5lBcEaU4o8teT1piV-SNzShjg/edit?gid=554141278#gid=554141278"", ""'Char Def. - Attributes'!C20:C2242""), 1,false)"),"SALES_UNIT")</f>
        <v>SALES_UNIT</v>
      </c>
      <c r="I794" s="136"/>
    </row>
    <row r="795" ht="15.75" customHeight="1">
      <c r="A795" s="59"/>
      <c r="B795" s="63">
        <f t="shared" si="1"/>
        <v>12</v>
      </c>
      <c r="C795" s="134" t="s">
        <v>104</v>
      </c>
      <c r="D795" s="134" t="s">
        <v>74</v>
      </c>
      <c r="E795" s="135">
        <f t="shared" si="13"/>
        <v>14</v>
      </c>
      <c r="F795" s="134" t="s">
        <v>3601</v>
      </c>
      <c r="G795" s="63" t="str">
        <f>VLOOKUP(C795, 'Class Def. - General Data'!$C$20:$C$1000,1,false)</f>
        <v>ZFG1_COLOGNE</v>
      </c>
      <c r="H795" s="63" t="str">
        <f>IFERROR(__xludf.DUMMYFUNCTION("VLOOKUP(F795, IMPORTRANGE(""https://docs.google.com/spreadsheets/d/1Lhp9OU0JdFf_VYSMzH5lBcEaU4o8teT1piV-SNzShjg/edit?gid=554141278#gid=554141278"", ""'Char Def. - Attributes'!C20:C2242""), 1,false)"),"GROSS_WEIGHT")</f>
        <v>GROSS_WEIGHT</v>
      </c>
      <c r="I795" s="136"/>
    </row>
    <row r="796" ht="15.75" customHeight="1">
      <c r="A796" s="59"/>
      <c r="B796" s="63">
        <f t="shared" si="1"/>
        <v>12</v>
      </c>
      <c r="C796" s="134" t="s">
        <v>104</v>
      </c>
      <c r="D796" s="134" t="s">
        <v>74</v>
      </c>
      <c r="E796" s="135">
        <f t="shared" si="13"/>
        <v>15</v>
      </c>
      <c r="F796" s="134" t="s">
        <v>3602</v>
      </c>
      <c r="G796" s="63" t="str">
        <f>VLOOKUP(C796, 'Class Def. - General Data'!$C$20:$C$1000,1,false)</f>
        <v>ZFG1_COLOGNE</v>
      </c>
      <c r="H796" s="63" t="str">
        <f>IFERROR(__xludf.DUMMYFUNCTION("VLOOKUP(F796, IMPORTRANGE(""https://docs.google.com/spreadsheets/d/1Lhp9OU0JdFf_VYSMzH5lBcEaU4o8teT1piV-SNzShjg/edit?gid=554141278#gid=554141278"", ""'Char Def. - Attributes'!C20:C2242""), 1,false)"),"NET_WEIGHT")</f>
        <v>NET_WEIGHT</v>
      </c>
      <c r="I796" s="136"/>
    </row>
    <row r="797" ht="15.75" customHeight="1">
      <c r="A797" s="59"/>
      <c r="B797" s="63">
        <f t="shared" si="1"/>
        <v>12</v>
      </c>
      <c r="C797" s="134" t="s">
        <v>104</v>
      </c>
      <c r="D797" s="134" t="s">
        <v>74</v>
      </c>
      <c r="E797" s="135">
        <f t="shared" si="13"/>
        <v>16</v>
      </c>
      <c r="F797" s="134" t="s">
        <v>3584</v>
      </c>
      <c r="G797" s="63" t="str">
        <f>VLOOKUP(C797, 'Class Def. - General Data'!$C$20:$C$1000,1,false)</f>
        <v>ZFG1_COLOGNE</v>
      </c>
      <c r="H797" s="63" t="str">
        <f>IFERROR(__xludf.DUMMYFUNCTION("VLOOKUP(F797, IMPORTRANGE(""https://docs.google.com/spreadsheets/d/1Lhp9OU0JdFf_VYSMzH5lBcEaU4o8teT1piV-SNzShjg/edit?gid=554141278#gid=554141278"", ""'Char Def. - Attributes'!C20:C2242""), 1,false)"),"UNIT_PER_BOX")</f>
        <v>UNIT_PER_BOX</v>
      </c>
      <c r="I797" s="136"/>
    </row>
    <row r="798" ht="15.75" customHeight="1">
      <c r="A798" s="59"/>
      <c r="B798" s="63">
        <f t="shared" si="1"/>
        <v>12</v>
      </c>
      <c r="C798" s="134" t="s">
        <v>104</v>
      </c>
      <c r="D798" s="134" t="s">
        <v>74</v>
      </c>
      <c r="E798" s="135">
        <f t="shared" si="13"/>
        <v>17</v>
      </c>
      <c r="F798" s="134" t="s">
        <v>3614</v>
      </c>
      <c r="G798" s="63" t="str">
        <f>VLOOKUP(C798, 'Class Def. - General Data'!$C$20:$C$1000,1,false)</f>
        <v>ZFG1_COLOGNE</v>
      </c>
      <c r="H798" s="63" t="str">
        <f>IFERROR(__xludf.DUMMYFUNCTION("VLOOKUP(F798, IMPORTRANGE(""https://docs.google.com/spreadsheets/d/1Lhp9OU0JdFf_VYSMzH5lBcEaU4o8teT1piV-SNzShjg/edit?gid=554141278#gid=554141278"", ""'Char Def. - Attributes'!C20:C2242""), 1,false)"),"UNIT_PER_CTN")</f>
        <v>UNIT_PER_CTN</v>
      </c>
      <c r="I798" s="136"/>
    </row>
    <row r="799" ht="15.75" customHeight="1">
      <c r="A799" s="59"/>
      <c r="B799" s="63">
        <f t="shared" si="1"/>
        <v>12</v>
      </c>
      <c r="C799" s="134" t="s">
        <v>104</v>
      </c>
      <c r="D799" s="134" t="s">
        <v>74</v>
      </c>
      <c r="E799" s="135">
        <f t="shared" si="13"/>
        <v>18</v>
      </c>
      <c r="F799" s="134" t="s">
        <v>3615</v>
      </c>
      <c r="G799" s="63" t="str">
        <f>VLOOKUP(C799, 'Class Def. - General Data'!$C$20:$C$1000,1,false)</f>
        <v>ZFG1_COLOGNE</v>
      </c>
      <c r="H799" s="63" t="str">
        <f>IFERROR(__xludf.DUMMYFUNCTION("VLOOKUP(F799, IMPORTRANGE(""https://docs.google.com/spreadsheets/d/1Lhp9OU0JdFf_VYSMzH5lBcEaU4o8teT1piV-SNzShjg/edit?gid=554141278#gid=554141278"", ""'Char Def. - Attributes'!C20:C2242""), 1,false)"),"UNIT_PER_BAG")</f>
        <v>UNIT_PER_BAG</v>
      </c>
      <c r="I799" s="136"/>
    </row>
    <row r="800" ht="15.75" customHeight="1">
      <c r="A800" s="59"/>
      <c r="B800" s="63">
        <f t="shared" si="1"/>
        <v>12</v>
      </c>
      <c r="C800" s="134" t="s">
        <v>104</v>
      </c>
      <c r="D800" s="134" t="s">
        <v>74</v>
      </c>
      <c r="E800" s="135">
        <f t="shared" si="13"/>
        <v>19</v>
      </c>
      <c r="F800" s="134" t="s">
        <v>3616</v>
      </c>
      <c r="G800" s="63" t="str">
        <f>VLOOKUP(C800, 'Class Def. - General Data'!$C$20:$C$1000,1,false)</f>
        <v>ZFG1_COLOGNE</v>
      </c>
      <c r="H800" s="63" t="str">
        <f>IFERROR(__xludf.DUMMYFUNCTION("VLOOKUP(F800, IMPORTRANGE(""https://docs.google.com/spreadsheets/d/1Lhp9OU0JdFf_VYSMzH5lBcEaU4o8teT1piV-SNzShjg/edit?gid=554141278#gid=554141278"", ""'Char Def. - Attributes'!C20:C2242""), 1,false)"),"UNIT_PER_PAL")</f>
        <v>UNIT_PER_PAL</v>
      </c>
      <c r="I800" s="136"/>
    </row>
    <row r="801" ht="15.75" customHeight="1">
      <c r="A801" s="59"/>
      <c r="B801" s="63">
        <f t="shared" si="1"/>
        <v>12</v>
      </c>
      <c r="C801" s="134" t="s">
        <v>104</v>
      </c>
      <c r="D801" s="134" t="s">
        <v>74</v>
      </c>
      <c r="E801" s="135">
        <f t="shared" si="13"/>
        <v>20</v>
      </c>
      <c r="F801" s="134" t="s">
        <v>3617</v>
      </c>
      <c r="G801" s="63" t="str">
        <f>VLOOKUP(C801, 'Class Def. - General Data'!$C$20:$C$1000,1,false)</f>
        <v>ZFG1_COLOGNE</v>
      </c>
      <c r="H801" s="63" t="str">
        <f>IFERROR(__xludf.DUMMYFUNCTION("VLOOKUP(F801, IMPORTRANGE(""https://docs.google.com/spreadsheets/d/1Lhp9OU0JdFf_VYSMzH5lBcEaU4o8teT1piV-SNzShjg/edit?gid=554141278#gid=554141278"", ""'Char Def. - Attributes'!C20:C2242""), 1,false)"),"UNIT_PER_TIER")</f>
        <v>UNIT_PER_TIER</v>
      </c>
      <c r="I801" s="136"/>
    </row>
    <row r="802" ht="15.75" customHeight="1">
      <c r="A802" s="59"/>
      <c r="B802" s="63">
        <f t="shared" si="1"/>
        <v>12</v>
      </c>
      <c r="C802" s="134" t="s">
        <v>104</v>
      </c>
      <c r="D802" s="134" t="s">
        <v>74</v>
      </c>
      <c r="E802" s="135">
        <f t="shared" si="13"/>
        <v>21</v>
      </c>
      <c r="F802" s="134" t="s">
        <v>3618</v>
      </c>
      <c r="G802" s="63" t="str">
        <f>VLOOKUP(C802, 'Class Def. - General Data'!$C$20:$C$1000,1,false)</f>
        <v>ZFG1_COLOGNE</v>
      </c>
      <c r="H802" s="63" t="str">
        <f>IFERROR(__xludf.DUMMYFUNCTION("VLOOKUP(F802, IMPORTRANGE(""https://docs.google.com/spreadsheets/d/1Lhp9OU0JdFf_VYSMzH5lBcEaU4o8teT1piV-SNzShjg/edit?gid=554141278#gid=554141278"", ""'Char Def. - Attributes'!C20:C2242""), 1,false)"),"HEIGHT")</f>
        <v>HEIGHT</v>
      </c>
      <c r="I802" s="136"/>
    </row>
    <row r="803" ht="15.75" customHeight="1">
      <c r="A803" s="59"/>
      <c r="B803" s="63">
        <f t="shared" si="1"/>
        <v>12</v>
      </c>
      <c r="C803" s="134" t="s">
        <v>104</v>
      </c>
      <c r="D803" s="134" t="s">
        <v>74</v>
      </c>
      <c r="E803" s="135">
        <f t="shared" si="13"/>
        <v>22</v>
      </c>
      <c r="F803" s="134" t="s">
        <v>3587</v>
      </c>
      <c r="G803" s="63" t="str">
        <f>VLOOKUP(C803, 'Class Def. - General Data'!$C$20:$C$1000,1,false)</f>
        <v>ZFG1_COLOGNE</v>
      </c>
      <c r="H803" s="63" t="str">
        <f>IFERROR(__xludf.DUMMYFUNCTION("VLOOKUP(F803, IMPORTRANGE(""https://docs.google.com/spreadsheets/d/1Lhp9OU0JdFf_VYSMzH5lBcEaU4o8teT1piV-SNzShjg/edit?gid=554141278#gid=554141278"", ""'Char Def. - Attributes'!C20:C2242""), 1,false)"),"PLANT_BUY")</f>
        <v>PLANT_BUY</v>
      </c>
      <c r="I803" s="136"/>
    </row>
    <row r="804" ht="15.75" customHeight="1">
      <c r="A804" s="59"/>
      <c r="B804" s="63">
        <f t="shared" si="1"/>
        <v>12</v>
      </c>
      <c r="C804" s="134" t="s">
        <v>104</v>
      </c>
      <c r="D804" s="134" t="s">
        <v>74</v>
      </c>
      <c r="E804" s="135">
        <f t="shared" si="13"/>
        <v>23</v>
      </c>
      <c r="F804" s="134" t="s">
        <v>3619</v>
      </c>
      <c r="G804" s="63" t="str">
        <f>VLOOKUP(C804, 'Class Def. - General Data'!$C$20:$C$1000,1,false)</f>
        <v>ZFG1_COLOGNE</v>
      </c>
      <c r="H804" s="63" t="str">
        <f>IFERROR(__xludf.DUMMYFUNCTION("VLOOKUP(F804, IMPORTRANGE(""https://docs.google.com/spreadsheets/d/1Lhp9OU0JdFf_VYSMzH5lBcEaU4o8teT1piV-SNzShjg/edit?gid=554141278#gid=554141278"", ""'Char Def. - Attributes'!C20:C2242""), 1,false)"),"LENGTH")</f>
        <v>LENGTH</v>
      </c>
      <c r="I804" s="136"/>
    </row>
    <row r="805" ht="15.75" customHeight="1">
      <c r="A805" s="59"/>
      <c r="B805" s="63">
        <f t="shared" si="1"/>
        <v>12</v>
      </c>
      <c r="C805" s="134" t="s">
        <v>104</v>
      </c>
      <c r="D805" s="134" t="s">
        <v>74</v>
      </c>
      <c r="E805" s="135">
        <f t="shared" si="13"/>
        <v>24</v>
      </c>
      <c r="F805" s="134" t="s">
        <v>3586</v>
      </c>
      <c r="G805" s="63" t="str">
        <f>VLOOKUP(C805, 'Class Def. - General Data'!$C$20:$C$1000,1,false)</f>
        <v>ZFG1_COLOGNE</v>
      </c>
      <c r="H805" s="63" t="str">
        <f>IFERROR(__xludf.DUMMYFUNCTION("VLOOKUP(F805, IMPORTRANGE(""https://docs.google.com/spreadsheets/d/1Lhp9OU0JdFf_VYSMzH5lBcEaU4o8teT1piV-SNzShjg/edit?gid=554141278#gid=554141278"", ""'Char Def. - Attributes'!C20:C2242""), 1,false)"),"PLANT_PROD")</f>
        <v>PLANT_PROD</v>
      </c>
      <c r="I805" s="136"/>
    </row>
    <row r="806" ht="15.75" customHeight="1">
      <c r="A806" s="59"/>
      <c r="B806" s="63">
        <f t="shared" si="1"/>
        <v>12</v>
      </c>
      <c r="C806" s="134" t="s">
        <v>104</v>
      </c>
      <c r="D806" s="134" t="s">
        <v>74</v>
      </c>
      <c r="E806" s="135">
        <f t="shared" si="13"/>
        <v>25</v>
      </c>
      <c r="F806" s="134" t="s">
        <v>3620</v>
      </c>
      <c r="G806" s="63" t="str">
        <f>VLOOKUP(C806, 'Class Def. - General Data'!$C$20:$C$1000,1,false)</f>
        <v>ZFG1_COLOGNE</v>
      </c>
      <c r="H806" s="63" t="str">
        <f>IFERROR(__xludf.DUMMYFUNCTION("VLOOKUP(F806, IMPORTRANGE(""https://docs.google.com/spreadsheets/d/1Lhp9OU0JdFf_VYSMzH5lBcEaU4o8teT1piV-SNzShjg/edit?gid=554141278#gid=554141278"", ""'Char Def. - Attributes'!C20:C2242""), 1,false)"),"WIDTH")</f>
        <v>WIDTH</v>
      </c>
      <c r="I806" s="136"/>
    </row>
    <row r="807" ht="15.75" customHeight="1">
      <c r="A807" s="59"/>
      <c r="B807" s="63">
        <f t="shared" si="1"/>
        <v>12</v>
      </c>
      <c r="C807" s="134" t="s">
        <v>104</v>
      </c>
      <c r="D807" s="134" t="s">
        <v>74</v>
      </c>
      <c r="E807" s="135">
        <f t="shared" si="13"/>
        <v>26</v>
      </c>
      <c r="F807" s="134" t="s">
        <v>3585</v>
      </c>
      <c r="G807" s="63" t="str">
        <f>VLOOKUP(C807, 'Class Def. - General Data'!$C$20:$C$1000,1,false)</f>
        <v>ZFG1_COLOGNE</v>
      </c>
      <c r="H807" s="63" t="str">
        <f>IFERROR(__xludf.DUMMYFUNCTION("VLOOKUP(F807, IMPORTRANGE(""https://docs.google.com/spreadsheets/d/1Lhp9OU0JdFf_VYSMzH5lBcEaU4o8teT1piV-SNzShjg/edit?gid=554141278#gid=554141278"", ""'Char Def. - Attributes'!C20:C2242""), 1,false)"),"HS_CODE")</f>
        <v>HS_CODE</v>
      </c>
      <c r="I807" s="136"/>
    </row>
    <row r="808" ht="15.75" customHeight="1">
      <c r="A808" s="59"/>
      <c r="B808" s="63">
        <f t="shared" si="1"/>
        <v>12</v>
      </c>
      <c r="C808" s="134" t="s">
        <v>104</v>
      </c>
      <c r="D808" s="134" t="s">
        <v>74</v>
      </c>
      <c r="E808" s="135">
        <f t="shared" si="13"/>
        <v>27</v>
      </c>
      <c r="F808" s="134" t="s">
        <v>3621</v>
      </c>
      <c r="G808" s="63" t="str">
        <f>VLOOKUP(C808, 'Class Def. - General Data'!$C$20:$C$1000,1,false)</f>
        <v>ZFG1_COLOGNE</v>
      </c>
      <c r="H808" s="63" t="str">
        <f>IFERROR(__xludf.DUMMYFUNCTION("VLOOKUP(F808, IMPORTRANGE(""https://docs.google.com/spreadsheets/d/1Lhp9OU0JdFf_VYSMzH5lBcEaU4o8teT1piV-SNzShjg/edit?gid=554141278#gid=554141278"", ""'Char Def. - Attributes'!C20:C2242""), 1,false)"),"EAN_PCS")</f>
        <v>EAN_PCS</v>
      </c>
      <c r="I808" s="136"/>
    </row>
    <row r="809" ht="15.75" customHeight="1">
      <c r="A809" s="59"/>
      <c r="B809" s="63">
        <f t="shared" si="1"/>
        <v>12</v>
      </c>
      <c r="C809" s="134" t="s">
        <v>104</v>
      </c>
      <c r="D809" s="134" t="s">
        <v>74</v>
      </c>
      <c r="E809" s="135">
        <f t="shared" si="13"/>
        <v>28</v>
      </c>
      <c r="F809" s="134" t="s">
        <v>3622</v>
      </c>
      <c r="G809" s="63" t="str">
        <f>VLOOKUP(C809, 'Class Def. - General Data'!$C$20:$C$1000,1,false)</f>
        <v>ZFG1_COLOGNE</v>
      </c>
      <c r="H809" s="63" t="str">
        <f>IFERROR(__xludf.DUMMYFUNCTION("VLOOKUP(F809, IMPORTRANGE(""https://docs.google.com/spreadsheets/d/1Lhp9OU0JdFf_VYSMzH5lBcEaU4o8teT1piV-SNzShjg/edit?gid=554141278#gid=554141278"", ""'Char Def. - Attributes'!C20:C2242""), 1,false)"),"SFG_BRAND")</f>
        <v>SFG_BRAND</v>
      </c>
      <c r="I809" s="136"/>
    </row>
    <row r="810" ht="15.75" customHeight="1">
      <c r="A810" s="59"/>
      <c r="B810" s="63">
        <f t="shared" si="1"/>
        <v>12</v>
      </c>
      <c r="C810" s="134" t="s">
        <v>104</v>
      </c>
      <c r="D810" s="134" t="s">
        <v>74</v>
      </c>
      <c r="E810" s="135">
        <f t="shared" si="13"/>
        <v>29</v>
      </c>
      <c r="F810" s="134" t="s">
        <v>3623</v>
      </c>
      <c r="G810" s="63" t="str">
        <f>VLOOKUP(C810, 'Class Def. - General Data'!$C$20:$C$1000,1,false)</f>
        <v>ZFG1_COLOGNE</v>
      </c>
      <c r="H810" s="63" t="str">
        <f>IFERROR(__xludf.DUMMYFUNCTION("VLOOKUP(F810, IMPORTRANGE(""https://docs.google.com/spreadsheets/d/1Lhp9OU0JdFf_VYSMzH5lBcEaU4o8teT1piV-SNzShjg/edit?gid=554141278#gid=554141278"", ""'Char Def. - Attributes'!C20:C2242""), 1,false)"),"LANGUAGE")</f>
        <v>LANGUAGE</v>
      </c>
      <c r="I810" s="136"/>
    </row>
    <row r="811" ht="15.75" customHeight="1">
      <c r="A811" s="59"/>
      <c r="B811" s="63">
        <f t="shared" si="1"/>
        <v>12</v>
      </c>
      <c r="C811" s="139" t="s">
        <v>104</v>
      </c>
      <c r="D811" s="139" t="s">
        <v>74</v>
      </c>
      <c r="E811" s="140">
        <f t="shared" si="13"/>
        <v>30</v>
      </c>
      <c r="F811" s="134" t="s">
        <v>3624</v>
      </c>
      <c r="G811" s="63" t="str">
        <f>VLOOKUP(C811, 'Class Def. - General Data'!$C$20:$C$1000,1,false)</f>
        <v>ZFG1_COLOGNE</v>
      </c>
      <c r="H811" s="63" t="str">
        <f>IFERROR(__xludf.DUMMYFUNCTION("VLOOKUP(F811, IMPORTRANGE(""https://docs.google.com/spreadsheets/d/1Lhp9OU0JdFf_VYSMzH5lBcEaU4o8teT1piV-SNzShjg/edit?gid=554141278#gid=554141278"", ""'Char Def. - Attributes'!C20:C2242""), 1,false)"),"#N/A")</f>
        <v>#N/A</v>
      </c>
      <c r="I811" s="136"/>
    </row>
    <row r="812" ht="15.75" customHeight="1">
      <c r="A812" s="59"/>
      <c r="B812" s="63">
        <f t="shared" si="1"/>
        <v>12</v>
      </c>
      <c r="C812" s="134" t="s">
        <v>104</v>
      </c>
      <c r="D812" s="134" t="s">
        <v>74</v>
      </c>
      <c r="E812" s="135">
        <f t="shared" si="13"/>
        <v>31</v>
      </c>
      <c r="F812" s="134" t="s">
        <v>3625</v>
      </c>
      <c r="G812" s="63" t="str">
        <f>VLOOKUP(C812, 'Class Def. - General Data'!$C$20:$C$1000,1,false)</f>
        <v>ZFG1_COLOGNE</v>
      </c>
      <c r="H812" s="63" t="str">
        <f>IFERROR(__xludf.DUMMYFUNCTION("VLOOKUP(F812, IMPORTRANGE(""https://docs.google.com/spreadsheets/d/1Lhp9OU0JdFf_VYSMzH5lBcEaU4o8teT1piV-SNzShjg/edit?gid=554141278#gid=554141278"", ""'Char Def. - Attributes'!C20:C2242""), 1,false)"),"REGION_EKSPOR")</f>
        <v>REGION_EKSPOR</v>
      </c>
      <c r="I812" s="136"/>
    </row>
    <row r="813" ht="15.75" customHeight="1">
      <c r="A813" s="59"/>
      <c r="B813" s="63">
        <f t="shared" si="1"/>
        <v>12</v>
      </c>
      <c r="C813" s="134" t="s">
        <v>104</v>
      </c>
      <c r="D813" s="134" t="s">
        <v>74</v>
      </c>
      <c r="E813" s="135">
        <f t="shared" si="13"/>
        <v>32</v>
      </c>
      <c r="F813" s="134" t="s">
        <v>3626</v>
      </c>
      <c r="G813" s="63" t="str">
        <f>VLOOKUP(C813, 'Class Def. - General Data'!$C$20:$C$1000,1,false)</f>
        <v>ZFG1_COLOGNE</v>
      </c>
      <c r="H813" s="63" t="str">
        <f>IFERROR(__xludf.DUMMYFUNCTION("VLOOKUP(F813, IMPORTRANGE(""https://docs.google.com/spreadsheets/d/1Lhp9OU0JdFf_VYSMzH5lBcEaU4o8teT1piV-SNzShjg/edit?gid=554141278#gid=554141278"", ""'Char Def. - Attributes'!C20:C2242""), 1,false)"),"STICKER_NOT")</f>
        <v>STICKER_NOT</v>
      </c>
      <c r="I813" s="136"/>
    </row>
    <row r="814" ht="15.75" customHeight="1">
      <c r="A814" s="59"/>
      <c r="B814" s="63">
        <f t="shared" si="1"/>
        <v>12</v>
      </c>
      <c r="C814" s="134" t="s">
        <v>104</v>
      </c>
      <c r="D814" s="134" t="s">
        <v>74</v>
      </c>
      <c r="E814" s="135">
        <f t="shared" si="13"/>
        <v>33</v>
      </c>
      <c r="F814" s="134" t="s">
        <v>3627</v>
      </c>
      <c r="G814" s="63" t="str">
        <f>VLOOKUP(C814, 'Class Def. - General Data'!$C$20:$C$1000,1,false)</f>
        <v>ZFG1_COLOGNE</v>
      </c>
      <c r="H814" s="63" t="str">
        <f>IFERROR(__xludf.DUMMYFUNCTION("VLOOKUP(F814, IMPORTRANGE(""https://docs.google.com/spreadsheets/d/1Lhp9OU0JdFf_VYSMzH5lBcEaU4o8teT1piV-SNzShjg/edit?gid=554141278#gid=554141278"", ""'Char Def. - Attributes'!C20:C2242""), 1,false)"),"SHIP_MARK")</f>
        <v>SHIP_MARK</v>
      </c>
      <c r="I814" s="136"/>
    </row>
    <row r="815" ht="15.75" customHeight="1">
      <c r="A815" s="59"/>
      <c r="B815" s="63">
        <f t="shared" si="1"/>
        <v>12</v>
      </c>
      <c r="C815" s="134" t="s">
        <v>104</v>
      </c>
      <c r="D815" s="134" t="s">
        <v>74</v>
      </c>
      <c r="E815" s="135">
        <f t="shared" si="13"/>
        <v>34</v>
      </c>
      <c r="F815" s="134" t="s">
        <v>3628</v>
      </c>
      <c r="G815" s="63" t="str">
        <f>VLOOKUP(C815, 'Class Def. - General Data'!$C$20:$C$1000,1,false)</f>
        <v>ZFG1_COLOGNE</v>
      </c>
      <c r="H815" s="63" t="str">
        <f>IFERROR(__xludf.DUMMYFUNCTION("VLOOKUP(F815, IMPORTRANGE(""https://docs.google.com/spreadsheets/d/1Lhp9OU0JdFf_VYSMzH5lBcEaU4o8teT1piV-SNzShjg/edit?gid=554141278#gid=554141278"", ""'Char Def. - Attributes'!C20:C2242""), 1,false)"),"MID_CORE")</f>
        <v>MID_CORE</v>
      </c>
      <c r="I815" s="136"/>
    </row>
    <row r="816" ht="15.75" customHeight="1">
      <c r="A816" s="59"/>
      <c r="B816" s="63">
        <f t="shared" si="1"/>
        <v>12</v>
      </c>
      <c r="C816" s="134" t="s">
        <v>104</v>
      </c>
      <c r="D816" s="134" t="s">
        <v>74</v>
      </c>
      <c r="E816" s="135">
        <f t="shared" si="13"/>
        <v>35</v>
      </c>
      <c r="F816" s="134" t="s">
        <v>3629</v>
      </c>
      <c r="G816" s="63" t="str">
        <f>VLOOKUP(C816, 'Class Def. - General Data'!$C$20:$C$1000,1,false)</f>
        <v>ZFG1_COLOGNE</v>
      </c>
      <c r="H816" s="63" t="str">
        <f>IFERROR(__xludf.DUMMYFUNCTION("VLOOKUP(F816, IMPORTRANGE(""https://docs.google.com/spreadsheets/d/1Lhp9OU0JdFf_VYSMzH5lBcEaU4o8teT1piV-SNzShjg/edit?gid=554141278#gid=554141278"", ""'Char Def. - Attributes'!C20:C2242""), 1,false)"),"EAN_CTN")</f>
        <v>EAN_CTN</v>
      </c>
      <c r="I816" s="136"/>
    </row>
    <row r="817" ht="15.75" customHeight="1">
      <c r="A817" s="59"/>
      <c r="B817" s="63">
        <f t="shared" si="1"/>
        <v>12</v>
      </c>
      <c r="C817" s="134" t="s">
        <v>104</v>
      </c>
      <c r="D817" s="134" t="s">
        <v>74</v>
      </c>
      <c r="E817" s="135">
        <f t="shared" si="13"/>
        <v>36</v>
      </c>
      <c r="F817" s="134" t="s">
        <v>3630</v>
      </c>
      <c r="G817" s="63" t="str">
        <f>VLOOKUP(C817, 'Class Def. - General Data'!$C$20:$C$1000,1,false)</f>
        <v>ZFG1_COLOGNE</v>
      </c>
      <c r="H817" s="63" t="str">
        <f>IFERROR(__xludf.DUMMYFUNCTION("VLOOKUP(F817, IMPORTRANGE(""https://docs.google.com/spreadsheets/d/1Lhp9OU0JdFf_VYSMzH5lBcEaU4o8teT1piV-SNzShjg/edit?gid=554141278#gid=554141278"", ""'Char Def. - Attributes'!C20:C2242""), 1,false)"),"EAN_BOX")</f>
        <v>EAN_BOX</v>
      </c>
      <c r="I817" s="136"/>
    </row>
    <row r="818" ht="15.75" customHeight="1">
      <c r="A818" s="59"/>
      <c r="B818" s="63">
        <f t="shared" si="1"/>
        <v>12</v>
      </c>
      <c r="C818" s="134" t="s">
        <v>104</v>
      </c>
      <c r="D818" s="141" t="s">
        <v>74</v>
      </c>
      <c r="E818" s="135">
        <v>22.0</v>
      </c>
      <c r="F818" s="135" t="s">
        <v>3603</v>
      </c>
      <c r="G818" s="63" t="str">
        <f>VLOOKUP(C818, 'Class Def. - General Data'!$C$20:$C$1000,1,false)</f>
        <v>ZFG1_COLOGNE</v>
      </c>
      <c r="I818" s="136"/>
    </row>
    <row r="819" ht="15.75" customHeight="1">
      <c r="A819" s="59"/>
      <c r="B819" s="63">
        <f t="shared" si="1"/>
        <v>18</v>
      </c>
      <c r="C819" s="75" t="s">
        <v>554</v>
      </c>
      <c r="D819" s="134" t="s">
        <v>74</v>
      </c>
      <c r="E819" s="135">
        <f t="shared" ref="E819:E854" si="14">COUNTIF($C$20:C819,C819)</f>
        <v>1</v>
      </c>
      <c r="F819" s="134" t="str">
        <f>"BRAND_"&amp;MID(C819,6,20)</f>
        <v>BRAND_COMPACTPOWDER</v>
      </c>
      <c r="G819" s="63" t="str">
        <f>VLOOKUP(C819, 'Class Def. - General Data'!$C$20:$C$1000,1,false)</f>
        <v>ZFG1_COMPACTPOWDER</v>
      </c>
      <c r="H819" s="63" t="str">
        <f>IFERROR(__xludf.DUMMYFUNCTION("VLOOKUP(F819, IMPORTRANGE(""https://docs.google.com/spreadsheets/d/1Lhp9OU0JdFf_VYSMzH5lBcEaU4o8teT1piV-SNzShjg/edit?gid=554141278#gid=554141278"", ""'Char Def. - Attributes'!C20:C2242""), 1,false)"),"BRAND_COMPACTPOWDER")</f>
        <v>BRAND_COMPACTPOWDER</v>
      </c>
      <c r="I819" s="136"/>
    </row>
    <row r="820" ht="15.75" customHeight="1">
      <c r="A820" s="59"/>
      <c r="B820" s="63">
        <f t="shared" si="1"/>
        <v>18</v>
      </c>
      <c r="C820" s="75" t="s">
        <v>554</v>
      </c>
      <c r="D820" s="134" t="s">
        <v>74</v>
      </c>
      <c r="E820" s="135">
        <f t="shared" si="14"/>
        <v>2</v>
      </c>
      <c r="F820" s="134" t="s">
        <v>3660</v>
      </c>
      <c r="G820" s="63" t="str">
        <f>VLOOKUP(C820, 'Class Def. - General Data'!$C$20:$C$1000,1,false)</f>
        <v>ZFG1_COMPACTPOWDER</v>
      </c>
      <c r="H820" s="63" t="str">
        <f>IFERROR(__xludf.DUMMYFUNCTION("VLOOKUP(F820, IMPORTRANGE(""https://docs.google.com/spreadsheets/d/1Lhp9OU0JdFf_VYSMzH5lBcEaU4o8teT1piV-SNzShjg/edit?gid=554141278#gid=554141278"", ""'Char Def. - Attributes'!C20:C2242""), 1,false)"),"#N/A")</f>
        <v>#N/A</v>
      </c>
      <c r="I820" s="136"/>
    </row>
    <row r="821" ht="15.75" customHeight="1">
      <c r="A821" s="59"/>
      <c r="B821" s="63">
        <f t="shared" si="1"/>
        <v>18</v>
      </c>
      <c r="C821" s="75" t="s">
        <v>554</v>
      </c>
      <c r="D821" s="134" t="s">
        <v>74</v>
      </c>
      <c r="E821" s="135">
        <f t="shared" si="14"/>
        <v>3</v>
      </c>
      <c r="F821" s="134" t="s">
        <v>3605</v>
      </c>
      <c r="G821" s="63" t="str">
        <f>VLOOKUP(C821, 'Class Def. - General Data'!$C$20:$C$1000,1,false)</f>
        <v>ZFG1_COMPACTPOWDER</v>
      </c>
      <c r="H821" s="63" t="str">
        <f>IFERROR(__xludf.DUMMYFUNCTION("VLOOKUP(F821, IMPORTRANGE(""https://docs.google.com/spreadsheets/d/1Lhp9OU0JdFf_VYSMzH5lBcEaU4o8teT1piV-SNzShjg/edit?gid=554141278#gid=554141278"", ""'Char Def. - Attributes'!C20:C2242""), 1,false)"),"PACK_NETTO")</f>
        <v>PACK_NETTO</v>
      </c>
      <c r="I821" s="136"/>
    </row>
    <row r="822" ht="15.75" customHeight="1">
      <c r="A822" s="59"/>
      <c r="B822" s="63">
        <f t="shared" si="1"/>
        <v>18</v>
      </c>
      <c r="C822" s="75" t="s">
        <v>554</v>
      </c>
      <c r="D822" s="134" t="s">
        <v>74</v>
      </c>
      <c r="E822" s="135">
        <f t="shared" si="14"/>
        <v>4</v>
      </c>
      <c r="F822" s="134" t="s">
        <v>3661</v>
      </c>
      <c r="G822" s="63" t="str">
        <f>VLOOKUP(C822, 'Class Def. - General Data'!$C$20:$C$1000,1,false)</f>
        <v>ZFG1_COMPACTPOWDER</v>
      </c>
      <c r="H822" s="63" t="str">
        <f>IFERROR(__xludf.DUMMYFUNCTION("VLOOKUP(F822, IMPORTRANGE(""https://docs.google.com/spreadsheets/d/1Lhp9OU0JdFf_VYSMzH5lBcEaU4o8teT1piV-SNzShjg/edit?gid=554141278#gid=554141278"", ""'Char Def. - Attributes'!C20:C2242""), 1,false)"),"#N/A")</f>
        <v>#N/A</v>
      </c>
      <c r="I822" s="136"/>
    </row>
    <row r="823" ht="15.75" customHeight="1">
      <c r="A823" s="59"/>
      <c r="B823" s="63">
        <f t="shared" si="1"/>
        <v>18</v>
      </c>
      <c r="C823" s="75" t="s">
        <v>554</v>
      </c>
      <c r="D823" s="134" t="s">
        <v>74</v>
      </c>
      <c r="E823" s="135">
        <f t="shared" si="14"/>
        <v>5</v>
      </c>
      <c r="F823" s="134" t="s">
        <v>3607</v>
      </c>
      <c r="G823" s="63" t="str">
        <f>VLOOKUP(C823, 'Class Def. - General Data'!$C$20:$C$1000,1,false)</f>
        <v>ZFG1_COMPACTPOWDER</v>
      </c>
      <c r="H823" s="63" t="str">
        <f>IFERROR(__xludf.DUMMYFUNCTION("VLOOKUP(F823, IMPORTRANGE(""https://docs.google.com/spreadsheets/d/1Lhp9OU0JdFf_VYSMzH5lBcEaU4o8teT1piV-SNzShjg/edit?gid=554141278#gid=554141278"", ""'Char Def. - Attributes'!C20:C2242""), 1,false)"),"VARIAN")</f>
        <v>VARIAN</v>
      </c>
      <c r="I823" s="136"/>
    </row>
    <row r="824" ht="15.75" customHeight="1">
      <c r="A824" s="59"/>
      <c r="B824" s="63">
        <f t="shared" si="1"/>
        <v>18</v>
      </c>
      <c r="C824" s="75" t="s">
        <v>554</v>
      </c>
      <c r="D824" s="134" t="s">
        <v>74</v>
      </c>
      <c r="E824" s="135">
        <f t="shared" si="14"/>
        <v>6</v>
      </c>
      <c r="F824" s="134" t="s">
        <v>3608</v>
      </c>
      <c r="G824" s="63" t="str">
        <f>VLOOKUP(C824, 'Class Def. - General Data'!$C$20:$C$1000,1,false)</f>
        <v>ZFG1_COMPACTPOWDER</v>
      </c>
      <c r="H824" s="63" t="str">
        <f>IFERROR(__xludf.DUMMYFUNCTION("VLOOKUP(F824, IMPORTRANGE(""https://docs.google.com/spreadsheets/d/1Lhp9OU0JdFf_VYSMzH5lBcEaU4o8teT1piV-SNzShjg/edit?gid=554141278#gid=554141278"", ""'Char Def. - Attributes'!C20:C2242""), 1,false)"),"PROJECT_NAME")</f>
        <v>PROJECT_NAME</v>
      </c>
      <c r="I824" s="136"/>
    </row>
    <row r="825" ht="15.75" customHeight="1">
      <c r="A825" s="59"/>
      <c r="B825" s="63">
        <f t="shared" si="1"/>
        <v>18</v>
      </c>
      <c r="C825" s="75" t="s">
        <v>554</v>
      </c>
      <c r="D825" s="134" t="s">
        <v>74</v>
      </c>
      <c r="E825" s="135">
        <f t="shared" si="14"/>
        <v>7</v>
      </c>
      <c r="F825" s="134" t="s">
        <v>3609</v>
      </c>
      <c r="G825" s="63" t="str">
        <f>VLOOKUP(C825, 'Class Def. - General Data'!$C$20:$C$1000,1,false)</f>
        <v>ZFG1_COMPACTPOWDER</v>
      </c>
      <c r="H825" s="63" t="str">
        <f>IFERROR(__xludf.DUMMYFUNCTION("VLOOKUP(F825, IMPORTRANGE(""https://docs.google.com/spreadsheets/d/1Lhp9OU0JdFf_VYSMzH5lBcEaU4o8teT1piV-SNzShjg/edit?gid=554141278#gid=554141278"", ""'Char Def. - Attributes'!C20:C2242""), 1,false)"),"ADDITIONAL_PROMO")</f>
        <v>ADDITIONAL_PROMO</v>
      </c>
      <c r="I825" s="136"/>
    </row>
    <row r="826" ht="15.75" customHeight="1">
      <c r="A826" s="59"/>
      <c r="B826" s="63">
        <f t="shared" si="1"/>
        <v>18</v>
      </c>
      <c r="C826" s="75" t="s">
        <v>554</v>
      </c>
      <c r="D826" s="134" t="s">
        <v>74</v>
      </c>
      <c r="E826" s="135">
        <f t="shared" si="14"/>
        <v>8</v>
      </c>
      <c r="F826" s="134" t="s">
        <v>3610</v>
      </c>
      <c r="G826" s="63" t="str">
        <f>VLOOKUP(C826, 'Class Def. - General Data'!$C$20:$C$1000,1,false)</f>
        <v>ZFG1_COMPACTPOWDER</v>
      </c>
      <c r="H826" s="63" t="str">
        <f>IFERROR(__xludf.DUMMYFUNCTION("VLOOKUP(F826, IMPORTRANGE(""https://docs.google.com/spreadsheets/d/1Lhp9OU0JdFf_VYSMzH5lBcEaU4o8teT1piV-SNzShjg/edit?gid=554141278#gid=554141278"", ""'Char Def. - Attributes'!C20:C2242""), 1,false)"),"BANDED_PROMO")</f>
        <v>BANDED_PROMO</v>
      </c>
      <c r="I826" s="136"/>
    </row>
    <row r="827" ht="15.75" customHeight="1">
      <c r="A827" s="59"/>
      <c r="B827" s="63">
        <f t="shared" si="1"/>
        <v>18</v>
      </c>
      <c r="C827" s="75" t="s">
        <v>554</v>
      </c>
      <c r="D827" s="134" t="s">
        <v>74</v>
      </c>
      <c r="E827" s="135">
        <f t="shared" si="14"/>
        <v>9</v>
      </c>
      <c r="F827" s="134" t="s">
        <v>3611</v>
      </c>
      <c r="G827" s="63" t="str">
        <f>VLOOKUP(C827, 'Class Def. - General Data'!$C$20:$C$1000,1,false)</f>
        <v>ZFG1_COMPACTPOWDER</v>
      </c>
      <c r="H827" s="63" t="str">
        <f>IFERROR(__xludf.DUMMYFUNCTION("VLOOKUP(F827, IMPORTRANGE(""https://docs.google.com/spreadsheets/d/1Lhp9OU0JdFf_VYSMzH5lBcEaU4o8teT1piV-SNzShjg/edit?gid=554141278#gid=554141278"", ""'Char Def. - Attributes'!C20:C2242""), 1,false)"),"LOKAL_EKSPOR")</f>
        <v>LOKAL_EKSPOR</v>
      </c>
      <c r="I827" s="136"/>
    </row>
    <row r="828" ht="15.75" customHeight="1">
      <c r="A828" s="59"/>
      <c r="B828" s="63">
        <f t="shared" si="1"/>
        <v>18</v>
      </c>
      <c r="C828" s="75" t="s">
        <v>554</v>
      </c>
      <c r="D828" s="134" t="s">
        <v>74</v>
      </c>
      <c r="E828" s="135">
        <f t="shared" si="14"/>
        <v>10</v>
      </c>
      <c r="F828" s="134" t="s">
        <v>3612</v>
      </c>
      <c r="G828" s="63" t="str">
        <f>VLOOKUP(C828, 'Class Def. - General Data'!$C$20:$C$1000,1,false)</f>
        <v>ZFG1_COMPACTPOWDER</v>
      </c>
      <c r="H828" s="63" t="str">
        <f>IFERROR(__xludf.DUMMYFUNCTION("VLOOKUP(F828, IMPORTRANGE(""https://docs.google.com/spreadsheets/d/1Lhp9OU0JdFf_VYSMzH5lBcEaU4o8teT1piV-SNzShjg/edit?gid=554141278#gid=554141278"", ""'Char Def. - Attributes'!C20:C2242""), 1,false)"),"COUNTRY_EKSPOR")</f>
        <v>COUNTRY_EKSPOR</v>
      </c>
      <c r="I828" s="136"/>
    </row>
    <row r="829" ht="15.75" customHeight="1">
      <c r="A829" s="59"/>
      <c r="B829" s="63">
        <f t="shared" si="1"/>
        <v>18</v>
      </c>
      <c r="C829" s="75" t="s">
        <v>554</v>
      </c>
      <c r="D829" s="134" t="s">
        <v>74</v>
      </c>
      <c r="E829" s="135">
        <f t="shared" si="14"/>
        <v>11</v>
      </c>
      <c r="F829" s="134" t="s">
        <v>3613</v>
      </c>
      <c r="G829" s="63" t="str">
        <f>VLOOKUP(C829, 'Class Def. - General Data'!$C$20:$C$1000,1,false)</f>
        <v>ZFG1_COMPACTPOWDER</v>
      </c>
      <c r="H829" s="63" t="str">
        <f>IFERROR(__xludf.DUMMYFUNCTION("VLOOKUP(F829, IMPORTRANGE(""https://docs.google.com/spreadsheets/d/1Lhp9OU0JdFf_VYSMzH5lBcEaU4o8teT1piV-SNzShjg/edit?gid=554141278#gid=554141278"", ""'Char Def. - Attributes'!C20:C2242""), 1,false)"),"WARNA_SFG")</f>
        <v>WARNA_SFG</v>
      </c>
      <c r="I829" s="136"/>
    </row>
    <row r="830" ht="15.75" customHeight="1">
      <c r="A830" s="59"/>
      <c r="B830" s="63">
        <f t="shared" si="1"/>
        <v>18</v>
      </c>
      <c r="C830" s="75" t="s">
        <v>554</v>
      </c>
      <c r="D830" s="134" t="s">
        <v>74</v>
      </c>
      <c r="E830" s="135">
        <f t="shared" si="14"/>
        <v>12</v>
      </c>
      <c r="F830" s="134" t="s">
        <v>3582</v>
      </c>
      <c r="G830" s="63" t="str">
        <f>VLOOKUP(C830, 'Class Def. - General Data'!$C$20:$C$1000,1,false)</f>
        <v>ZFG1_COMPACTPOWDER</v>
      </c>
      <c r="H830" s="63" t="str">
        <f>IFERROR(__xludf.DUMMYFUNCTION("VLOOKUP(F830, IMPORTRANGE(""https://docs.google.com/spreadsheets/d/1Lhp9OU0JdFf_VYSMzH5lBcEaU4o8teT1piV-SNzShjg/edit?gid=554141278#gid=554141278"", ""'Char Def. - Attributes'!C20:C2242""), 1,false)"),"BASE_UNIT")</f>
        <v>BASE_UNIT</v>
      </c>
      <c r="I830" s="136"/>
    </row>
    <row r="831" ht="15.75" customHeight="1">
      <c r="A831" s="59"/>
      <c r="B831" s="63">
        <f t="shared" si="1"/>
        <v>18</v>
      </c>
      <c r="C831" s="75" t="s">
        <v>554</v>
      </c>
      <c r="D831" s="134" t="s">
        <v>74</v>
      </c>
      <c r="E831" s="135">
        <f t="shared" si="14"/>
        <v>13</v>
      </c>
      <c r="F831" s="134" t="s">
        <v>3583</v>
      </c>
      <c r="G831" s="63" t="str">
        <f>VLOOKUP(C831, 'Class Def. - General Data'!$C$20:$C$1000,1,false)</f>
        <v>ZFG1_COMPACTPOWDER</v>
      </c>
      <c r="H831" s="63" t="str">
        <f>IFERROR(__xludf.DUMMYFUNCTION("VLOOKUP(F831, IMPORTRANGE(""https://docs.google.com/spreadsheets/d/1Lhp9OU0JdFf_VYSMzH5lBcEaU4o8teT1piV-SNzShjg/edit?gid=554141278#gid=554141278"", ""'Char Def. - Attributes'!C20:C2242""), 1,false)"),"SALES_UNIT")</f>
        <v>SALES_UNIT</v>
      </c>
      <c r="I831" s="136"/>
    </row>
    <row r="832" ht="15.75" customHeight="1">
      <c r="A832" s="59"/>
      <c r="B832" s="63">
        <f t="shared" si="1"/>
        <v>18</v>
      </c>
      <c r="C832" s="75" t="s">
        <v>554</v>
      </c>
      <c r="D832" s="134" t="s">
        <v>74</v>
      </c>
      <c r="E832" s="135">
        <f t="shared" si="14"/>
        <v>14</v>
      </c>
      <c r="F832" s="134" t="s">
        <v>3601</v>
      </c>
      <c r="G832" s="63" t="str">
        <f>VLOOKUP(C832, 'Class Def. - General Data'!$C$20:$C$1000,1,false)</f>
        <v>ZFG1_COMPACTPOWDER</v>
      </c>
      <c r="H832" s="63" t="str">
        <f>IFERROR(__xludf.DUMMYFUNCTION("VLOOKUP(F832, IMPORTRANGE(""https://docs.google.com/spreadsheets/d/1Lhp9OU0JdFf_VYSMzH5lBcEaU4o8teT1piV-SNzShjg/edit?gid=554141278#gid=554141278"", ""'Char Def. - Attributes'!C20:C2242""), 1,false)"),"GROSS_WEIGHT")</f>
        <v>GROSS_WEIGHT</v>
      </c>
      <c r="I832" s="136"/>
    </row>
    <row r="833" ht="15.75" customHeight="1">
      <c r="A833" s="59"/>
      <c r="B833" s="63">
        <f t="shared" si="1"/>
        <v>18</v>
      </c>
      <c r="C833" s="75" t="s">
        <v>554</v>
      </c>
      <c r="D833" s="134" t="s">
        <v>74</v>
      </c>
      <c r="E833" s="135">
        <f t="shared" si="14"/>
        <v>15</v>
      </c>
      <c r="F833" s="134" t="s">
        <v>3602</v>
      </c>
      <c r="G833" s="63" t="str">
        <f>VLOOKUP(C833, 'Class Def. - General Data'!$C$20:$C$1000,1,false)</f>
        <v>ZFG1_COMPACTPOWDER</v>
      </c>
      <c r="H833" s="63" t="str">
        <f>IFERROR(__xludf.DUMMYFUNCTION("VLOOKUP(F833, IMPORTRANGE(""https://docs.google.com/spreadsheets/d/1Lhp9OU0JdFf_VYSMzH5lBcEaU4o8teT1piV-SNzShjg/edit?gid=554141278#gid=554141278"", ""'Char Def. - Attributes'!C20:C2242""), 1,false)"),"NET_WEIGHT")</f>
        <v>NET_WEIGHT</v>
      </c>
      <c r="I833" s="136"/>
    </row>
    <row r="834" ht="15.75" customHeight="1">
      <c r="A834" s="59"/>
      <c r="B834" s="63">
        <f t="shared" si="1"/>
        <v>18</v>
      </c>
      <c r="C834" s="75" t="s">
        <v>554</v>
      </c>
      <c r="D834" s="134" t="s">
        <v>74</v>
      </c>
      <c r="E834" s="135">
        <f t="shared" si="14"/>
        <v>16</v>
      </c>
      <c r="F834" s="134" t="s">
        <v>3584</v>
      </c>
      <c r="G834" s="63" t="str">
        <f>VLOOKUP(C834, 'Class Def. - General Data'!$C$20:$C$1000,1,false)</f>
        <v>ZFG1_COMPACTPOWDER</v>
      </c>
      <c r="H834" s="63" t="str">
        <f>IFERROR(__xludf.DUMMYFUNCTION("VLOOKUP(F834, IMPORTRANGE(""https://docs.google.com/spreadsheets/d/1Lhp9OU0JdFf_VYSMzH5lBcEaU4o8teT1piV-SNzShjg/edit?gid=554141278#gid=554141278"", ""'Char Def. - Attributes'!C20:C2242""), 1,false)"),"UNIT_PER_BOX")</f>
        <v>UNIT_PER_BOX</v>
      </c>
      <c r="I834" s="136"/>
    </row>
    <row r="835" ht="15.75" customHeight="1">
      <c r="A835" s="59"/>
      <c r="B835" s="63">
        <f t="shared" si="1"/>
        <v>18</v>
      </c>
      <c r="C835" s="75" t="s">
        <v>554</v>
      </c>
      <c r="D835" s="134" t="s">
        <v>74</v>
      </c>
      <c r="E835" s="135">
        <f t="shared" si="14"/>
        <v>17</v>
      </c>
      <c r="F835" s="134" t="s">
        <v>3614</v>
      </c>
      <c r="G835" s="63" t="str">
        <f>VLOOKUP(C835, 'Class Def. - General Data'!$C$20:$C$1000,1,false)</f>
        <v>ZFG1_COMPACTPOWDER</v>
      </c>
      <c r="H835" s="63" t="str">
        <f>IFERROR(__xludf.DUMMYFUNCTION("VLOOKUP(F835, IMPORTRANGE(""https://docs.google.com/spreadsheets/d/1Lhp9OU0JdFf_VYSMzH5lBcEaU4o8teT1piV-SNzShjg/edit?gid=554141278#gid=554141278"", ""'Char Def. - Attributes'!C20:C2242""), 1,false)"),"UNIT_PER_CTN")</f>
        <v>UNIT_PER_CTN</v>
      </c>
      <c r="I835" s="136"/>
    </row>
    <row r="836" ht="15.75" customHeight="1">
      <c r="A836" s="59"/>
      <c r="B836" s="63">
        <f t="shared" si="1"/>
        <v>18</v>
      </c>
      <c r="C836" s="75" t="s">
        <v>554</v>
      </c>
      <c r="D836" s="134" t="s">
        <v>74</v>
      </c>
      <c r="E836" s="135">
        <f t="shared" si="14"/>
        <v>18</v>
      </c>
      <c r="F836" s="134" t="s">
        <v>3615</v>
      </c>
      <c r="G836" s="63" t="str">
        <f>VLOOKUP(C836, 'Class Def. - General Data'!$C$20:$C$1000,1,false)</f>
        <v>ZFG1_COMPACTPOWDER</v>
      </c>
      <c r="H836" s="63" t="str">
        <f>IFERROR(__xludf.DUMMYFUNCTION("VLOOKUP(F836, IMPORTRANGE(""https://docs.google.com/spreadsheets/d/1Lhp9OU0JdFf_VYSMzH5lBcEaU4o8teT1piV-SNzShjg/edit?gid=554141278#gid=554141278"", ""'Char Def. - Attributes'!C20:C2242""), 1,false)"),"UNIT_PER_BAG")</f>
        <v>UNIT_PER_BAG</v>
      </c>
      <c r="I836" s="136"/>
    </row>
    <row r="837" ht="15.75" customHeight="1">
      <c r="A837" s="59"/>
      <c r="B837" s="63">
        <f t="shared" si="1"/>
        <v>18</v>
      </c>
      <c r="C837" s="75" t="s">
        <v>554</v>
      </c>
      <c r="D837" s="134" t="s">
        <v>74</v>
      </c>
      <c r="E837" s="135">
        <f t="shared" si="14"/>
        <v>19</v>
      </c>
      <c r="F837" s="134" t="s">
        <v>3616</v>
      </c>
      <c r="G837" s="63" t="str">
        <f>VLOOKUP(C837, 'Class Def. - General Data'!$C$20:$C$1000,1,false)</f>
        <v>ZFG1_COMPACTPOWDER</v>
      </c>
      <c r="H837" s="63" t="str">
        <f>IFERROR(__xludf.DUMMYFUNCTION("VLOOKUP(F837, IMPORTRANGE(""https://docs.google.com/spreadsheets/d/1Lhp9OU0JdFf_VYSMzH5lBcEaU4o8teT1piV-SNzShjg/edit?gid=554141278#gid=554141278"", ""'Char Def. - Attributes'!C20:C2242""), 1,false)"),"UNIT_PER_PAL")</f>
        <v>UNIT_PER_PAL</v>
      </c>
      <c r="I837" s="136"/>
    </row>
    <row r="838" ht="15.75" customHeight="1">
      <c r="A838" s="59"/>
      <c r="B838" s="63">
        <f t="shared" si="1"/>
        <v>18</v>
      </c>
      <c r="C838" s="75" t="s">
        <v>554</v>
      </c>
      <c r="D838" s="134" t="s">
        <v>74</v>
      </c>
      <c r="E838" s="135">
        <f t="shared" si="14"/>
        <v>20</v>
      </c>
      <c r="F838" s="134" t="s">
        <v>3617</v>
      </c>
      <c r="G838" s="63" t="str">
        <f>VLOOKUP(C838, 'Class Def. - General Data'!$C$20:$C$1000,1,false)</f>
        <v>ZFG1_COMPACTPOWDER</v>
      </c>
      <c r="H838" s="63" t="str">
        <f>IFERROR(__xludf.DUMMYFUNCTION("VLOOKUP(F838, IMPORTRANGE(""https://docs.google.com/spreadsheets/d/1Lhp9OU0JdFf_VYSMzH5lBcEaU4o8teT1piV-SNzShjg/edit?gid=554141278#gid=554141278"", ""'Char Def. - Attributes'!C20:C2242""), 1,false)"),"UNIT_PER_TIER")</f>
        <v>UNIT_PER_TIER</v>
      </c>
      <c r="I838" s="136"/>
    </row>
    <row r="839" ht="15.75" customHeight="1">
      <c r="A839" s="59"/>
      <c r="B839" s="63">
        <f t="shared" si="1"/>
        <v>18</v>
      </c>
      <c r="C839" s="75" t="s">
        <v>554</v>
      </c>
      <c r="D839" s="134" t="s">
        <v>74</v>
      </c>
      <c r="E839" s="135">
        <f t="shared" si="14"/>
        <v>21</v>
      </c>
      <c r="F839" s="134" t="s">
        <v>3618</v>
      </c>
      <c r="G839" s="63" t="str">
        <f>VLOOKUP(C839, 'Class Def. - General Data'!$C$20:$C$1000,1,false)</f>
        <v>ZFG1_COMPACTPOWDER</v>
      </c>
      <c r="H839" s="63" t="str">
        <f>IFERROR(__xludf.DUMMYFUNCTION("VLOOKUP(F839, IMPORTRANGE(""https://docs.google.com/spreadsheets/d/1Lhp9OU0JdFf_VYSMzH5lBcEaU4o8teT1piV-SNzShjg/edit?gid=554141278#gid=554141278"", ""'Char Def. - Attributes'!C20:C2242""), 1,false)"),"HEIGHT")</f>
        <v>HEIGHT</v>
      </c>
      <c r="I839" s="136"/>
    </row>
    <row r="840" ht="15.75" customHeight="1">
      <c r="A840" s="59"/>
      <c r="B840" s="63">
        <f t="shared" si="1"/>
        <v>18</v>
      </c>
      <c r="C840" s="75" t="s">
        <v>554</v>
      </c>
      <c r="D840" s="134" t="s">
        <v>74</v>
      </c>
      <c r="E840" s="135">
        <f t="shared" si="14"/>
        <v>22</v>
      </c>
      <c r="F840" s="134" t="s">
        <v>3587</v>
      </c>
      <c r="G840" s="63" t="str">
        <f>VLOOKUP(C840, 'Class Def. - General Data'!$C$20:$C$1000,1,false)</f>
        <v>ZFG1_COMPACTPOWDER</v>
      </c>
      <c r="H840" s="63" t="str">
        <f>IFERROR(__xludf.DUMMYFUNCTION("VLOOKUP(F840, IMPORTRANGE(""https://docs.google.com/spreadsheets/d/1Lhp9OU0JdFf_VYSMzH5lBcEaU4o8teT1piV-SNzShjg/edit?gid=554141278#gid=554141278"", ""'Char Def. - Attributes'!C20:C2242""), 1,false)"),"PLANT_BUY")</f>
        <v>PLANT_BUY</v>
      </c>
      <c r="I840" s="136"/>
    </row>
    <row r="841" ht="15.75" customHeight="1">
      <c r="A841" s="59"/>
      <c r="B841" s="63">
        <f t="shared" si="1"/>
        <v>18</v>
      </c>
      <c r="C841" s="75" t="s">
        <v>554</v>
      </c>
      <c r="D841" s="134" t="s">
        <v>74</v>
      </c>
      <c r="E841" s="135">
        <f t="shared" si="14"/>
        <v>23</v>
      </c>
      <c r="F841" s="134" t="s">
        <v>3619</v>
      </c>
      <c r="G841" s="63" t="str">
        <f>VLOOKUP(C841, 'Class Def. - General Data'!$C$20:$C$1000,1,false)</f>
        <v>ZFG1_COMPACTPOWDER</v>
      </c>
      <c r="H841" s="63" t="str">
        <f>IFERROR(__xludf.DUMMYFUNCTION("VLOOKUP(F841, IMPORTRANGE(""https://docs.google.com/spreadsheets/d/1Lhp9OU0JdFf_VYSMzH5lBcEaU4o8teT1piV-SNzShjg/edit?gid=554141278#gid=554141278"", ""'Char Def. - Attributes'!C20:C2242""), 1,false)"),"LENGTH")</f>
        <v>LENGTH</v>
      </c>
      <c r="I841" s="136"/>
    </row>
    <row r="842" ht="15.75" customHeight="1">
      <c r="A842" s="59"/>
      <c r="B842" s="63">
        <f t="shared" si="1"/>
        <v>18</v>
      </c>
      <c r="C842" s="75" t="s">
        <v>554</v>
      </c>
      <c r="D842" s="134" t="s">
        <v>74</v>
      </c>
      <c r="E842" s="135">
        <f t="shared" si="14"/>
        <v>24</v>
      </c>
      <c r="F842" s="134" t="s">
        <v>3586</v>
      </c>
      <c r="G842" s="63" t="str">
        <f>VLOOKUP(C842, 'Class Def. - General Data'!$C$20:$C$1000,1,false)</f>
        <v>ZFG1_COMPACTPOWDER</v>
      </c>
      <c r="H842" s="63" t="str">
        <f>IFERROR(__xludf.DUMMYFUNCTION("VLOOKUP(F842, IMPORTRANGE(""https://docs.google.com/spreadsheets/d/1Lhp9OU0JdFf_VYSMzH5lBcEaU4o8teT1piV-SNzShjg/edit?gid=554141278#gid=554141278"", ""'Char Def. - Attributes'!C20:C2242""), 1,false)"),"PLANT_PROD")</f>
        <v>PLANT_PROD</v>
      </c>
      <c r="I842" s="136"/>
    </row>
    <row r="843" ht="15.75" customHeight="1">
      <c r="A843" s="59"/>
      <c r="B843" s="63">
        <f t="shared" si="1"/>
        <v>18</v>
      </c>
      <c r="C843" s="75" t="s">
        <v>554</v>
      </c>
      <c r="D843" s="134" t="s">
        <v>74</v>
      </c>
      <c r="E843" s="135">
        <f t="shared" si="14"/>
        <v>25</v>
      </c>
      <c r="F843" s="134" t="s">
        <v>3620</v>
      </c>
      <c r="G843" s="63" t="str">
        <f>VLOOKUP(C843, 'Class Def. - General Data'!$C$20:$C$1000,1,false)</f>
        <v>ZFG1_COMPACTPOWDER</v>
      </c>
      <c r="H843" s="63" t="str">
        <f>IFERROR(__xludf.DUMMYFUNCTION("VLOOKUP(F843, IMPORTRANGE(""https://docs.google.com/spreadsheets/d/1Lhp9OU0JdFf_VYSMzH5lBcEaU4o8teT1piV-SNzShjg/edit?gid=554141278#gid=554141278"", ""'Char Def. - Attributes'!C20:C2242""), 1,false)"),"WIDTH")</f>
        <v>WIDTH</v>
      </c>
      <c r="I843" s="136"/>
    </row>
    <row r="844" ht="15.75" customHeight="1">
      <c r="A844" s="59"/>
      <c r="B844" s="63">
        <f t="shared" si="1"/>
        <v>18</v>
      </c>
      <c r="C844" s="75" t="s">
        <v>554</v>
      </c>
      <c r="D844" s="134" t="s">
        <v>74</v>
      </c>
      <c r="E844" s="135">
        <f t="shared" si="14"/>
        <v>26</v>
      </c>
      <c r="F844" s="134" t="s">
        <v>3585</v>
      </c>
      <c r="G844" s="63" t="str">
        <f>VLOOKUP(C844, 'Class Def. - General Data'!$C$20:$C$1000,1,false)</f>
        <v>ZFG1_COMPACTPOWDER</v>
      </c>
      <c r="H844" s="63" t="str">
        <f>IFERROR(__xludf.DUMMYFUNCTION("VLOOKUP(F844, IMPORTRANGE(""https://docs.google.com/spreadsheets/d/1Lhp9OU0JdFf_VYSMzH5lBcEaU4o8teT1piV-SNzShjg/edit?gid=554141278#gid=554141278"", ""'Char Def. - Attributes'!C20:C2242""), 1,false)"),"HS_CODE")</f>
        <v>HS_CODE</v>
      </c>
      <c r="I844" s="136"/>
    </row>
    <row r="845" ht="15.75" customHeight="1">
      <c r="A845" s="59"/>
      <c r="B845" s="63">
        <f t="shared" si="1"/>
        <v>18</v>
      </c>
      <c r="C845" s="75" t="s">
        <v>554</v>
      </c>
      <c r="D845" s="134" t="s">
        <v>74</v>
      </c>
      <c r="E845" s="135">
        <f t="shared" si="14"/>
        <v>27</v>
      </c>
      <c r="F845" s="134" t="s">
        <v>3621</v>
      </c>
      <c r="G845" s="63" t="str">
        <f>VLOOKUP(C845, 'Class Def. - General Data'!$C$20:$C$1000,1,false)</f>
        <v>ZFG1_COMPACTPOWDER</v>
      </c>
      <c r="H845" s="63" t="str">
        <f>IFERROR(__xludf.DUMMYFUNCTION("VLOOKUP(F845, IMPORTRANGE(""https://docs.google.com/spreadsheets/d/1Lhp9OU0JdFf_VYSMzH5lBcEaU4o8teT1piV-SNzShjg/edit?gid=554141278#gid=554141278"", ""'Char Def. - Attributes'!C20:C2242""), 1,false)"),"EAN_PCS")</f>
        <v>EAN_PCS</v>
      </c>
      <c r="I845" s="136"/>
    </row>
    <row r="846" ht="15.75" customHeight="1">
      <c r="A846" s="59"/>
      <c r="B846" s="63">
        <f t="shared" si="1"/>
        <v>18</v>
      </c>
      <c r="C846" s="75" t="s">
        <v>554</v>
      </c>
      <c r="D846" s="134" t="s">
        <v>74</v>
      </c>
      <c r="E846" s="135">
        <f t="shared" si="14"/>
        <v>28</v>
      </c>
      <c r="F846" s="134" t="s">
        <v>3622</v>
      </c>
      <c r="G846" s="63" t="str">
        <f>VLOOKUP(C846, 'Class Def. - General Data'!$C$20:$C$1000,1,false)</f>
        <v>ZFG1_COMPACTPOWDER</v>
      </c>
      <c r="H846" s="63" t="str">
        <f>IFERROR(__xludf.DUMMYFUNCTION("VLOOKUP(F846, IMPORTRANGE(""https://docs.google.com/spreadsheets/d/1Lhp9OU0JdFf_VYSMzH5lBcEaU4o8teT1piV-SNzShjg/edit?gid=554141278#gid=554141278"", ""'Char Def. - Attributes'!C20:C2242""), 1,false)"),"SFG_BRAND")</f>
        <v>SFG_BRAND</v>
      </c>
      <c r="I846" s="136"/>
    </row>
    <row r="847" ht="15.75" customHeight="1">
      <c r="A847" s="59"/>
      <c r="B847" s="63">
        <f t="shared" si="1"/>
        <v>18</v>
      </c>
      <c r="C847" s="75" t="s">
        <v>554</v>
      </c>
      <c r="D847" s="134" t="s">
        <v>74</v>
      </c>
      <c r="E847" s="135">
        <f t="shared" si="14"/>
        <v>29</v>
      </c>
      <c r="F847" s="134" t="s">
        <v>3623</v>
      </c>
      <c r="G847" s="63" t="str">
        <f>VLOOKUP(C847, 'Class Def. - General Data'!$C$20:$C$1000,1,false)</f>
        <v>ZFG1_COMPACTPOWDER</v>
      </c>
      <c r="H847" s="63" t="str">
        <f>IFERROR(__xludf.DUMMYFUNCTION("VLOOKUP(F847, IMPORTRANGE(""https://docs.google.com/spreadsheets/d/1Lhp9OU0JdFf_VYSMzH5lBcEaU4o8teT1piV-SNzShjg/edit?gid=554141278#gid=554141278"", ""'Char Def. - Attributes'!C20:C2242""), 1,false)"),"LANGUAGE")</f>
        <v>LANGUAGE</v>
      </c>
      <c r="I847" s="136"/>
    </row>
    <row r="848" ht="15.75" customHeight="1">
      <c r="A848" s="59"/>
      <c r="B848" s="63">
        <f t="shared" si="1"/>
        <v>18</v>
      </c>
      <c r="C848" s="138" t="s">
        <v>554</v>
      </c>
      <c r="D848" s="139" t="s">
        <v>74</v>
      </c>
      <c r="E848" s="140">
        <f t="shared" si="14"/>
        <v>30</v>
      </c>
      <c r="F848" s="134" t="s">
        <v>3624</v>
      </c>
      <c r="G848" s="63" t="str">
        <f>VLOOKUP(C848, 'Class Def. - General Data'!$C$20:$C$1000,1,false)</f>
        <v>ZFG1_COMPACTPOWDER</v>
      </c>
      <c r="H848" s="63" t="str">
        <f>IFERROR(__xludf.DUMMYFUNCTION("VLOOKUP(F848, IMPORTRANGE(""https://docs.google.com/spreadsheets/d/1Lhp9OU0JdFf_VYSMzH5lBcEaU4o8teT1piV-SNzShjg/edit?gid=554141278#gid=554141278"", ""'Char Def. - Attributes'!C20:C2242""), 1,false)"),"#N/A")</f>
        <v>#N/A</v>
      </c>
      <c r="I848" s="136"/>
    </row>
    <row r="849" ht="15.75" customHeight="1">
      <c r="A849" s="59"/>
      <c r="B849" s="63">
        <f t="shared" si="1"/>
        <v>18</v>
      </c>
      <c r="C849" s="75" t="s">
        <v>554</v>
      </c>
      <c r="D849" s="134" t="s">
        <v>74</v>
      </c>
      <c r="E849" s="135">
        <f t="shared" si="14"/>
        <v>31</v>
      </c>
      <c r="F849" s="134" t="s">
        <v>3625</v>
      </c>
      <c r="G849" s="63" t="str">
        <f>VLOOKUP(C849, 'Class Def. - General Data'!$C$20:$C$1000,1,false)</f>
        <v>ZFG1_COMPACTPOWDER</v>
      </c>
      <c r="H849" s="63" t="str">
        <f>IFERROR(__xludf.DUMMYFUNCTION("VLOOKUP(F849, IMPORTRANGE(""https://docs.google.com/spreadsheets/d/1Lhp9OU0JdFf_VYSMzH5lBcEaU4o8teT1piV-SNzShjg/edit?gid=554141278#gid=554141278"", ""'Char Def. - Attributes'!C20:C2242""), 1,false)"),"REGION_EKSPOR")</f>
        <v>REGION_EKSPOR</v>
      </c>
      <c r="I849" s="136"/>
    </row>
    <row r="850" ht="15.75" customHeight="1">
      <c r="A850" s="59"/>
      <c r="B850" s="63">
        <f t="shared" si="1"/>
        <v>18</v>
      </c>
      <c r="C850" s="75" t="s">
        <v>554</v>
      </c>
      <c r="D850" s="134" t="s">
        <v>74</v>
      </c>
      <c r="E850" s="135">
        <f t="shared" si="14"/>
        <v>32</v>
      </c>
      <c r="F850" s="134" t="s">
        <v>3626</v>
      </c>
      <c r="G850" s="63" t="str">
        <f>VLOOKUP(C850, 'Class Def. - General Data'!$C$20:$C$1000,1,false)</f>
        <v>ZFG1_COMPACTPOWDER</v>
      </c>
      <c r="H850" s="63" t="str">
        <f>IFERROR(__xludf.DUMMYFUNCTION("VLOOKUP(F850, IMPORTRANGE(""https://docs.google.com/spreadsheets/d/1Lhp9OU0JdFf_VYSMzH5lBcEaU4o8teT1piV-SNzShjg/edit?gid=554141278#gid=554141278"", ""'Char Def. - Attributes'!C20:C2242""), 1,false)"),"STICKER_NOT")</f>
        <v>STICKER_NOT</v>
      </c>
      <c r="I850" s="136"/>
    </row>
    <row r="851" ht="15.75" customHeight="1">
      <c r="A851" s="59"/>
      <c r="B851" s="63">
        <f t="shared" si="1"/>
        <v>18</v>
      </c>
      <c r="C851" s="75" t="s">
        <v>554</v>
      </c>
      <c r="D851" s="134" t="s">
        <v>74</v>
      </c>
      <c r="E851" s="135">
        <f t="shared" si="14"/>
        <v>33</v>
      </c>
      <c r="F851" s="134" t="s">
        <v>3627</v>
      </c>
      <c r="G851" s="63" t="str">
        <f>VLOOKUP(C851, 'Class Def. - General Data'!$C$20:$C$1000,1,false)</f>
        <v>ZFG1_COMPACTPOWDER</v>
      </c>
      <c r="H851" s="63" t="str">
        <f>IFERROR(__xludf.DUMMYFUNCTION("VLOOKUP(F851, IMPORTRANGE(""https://docs.google.com/spreadsheets/d/1Lhp9OU0JdFf_VYSMzH5lBcEaU4o8teT1piV-SNzShjg/edit?gid=554141278#gid=554141278"", ""'Char Def. - Attributes'!C20:C2242""), 1,false)"),"SHIP_MARK")</f>
        <v>SHIP_MARK</v>
      </c>
      <c r="I851" s="136"/>
    </row>
    <row r="852" ht="15.75" customHeight="1">
      <c r="A852" s="59"/>
      <c r="B852" s="63">
        <f t="shared" si="1"/>
        <v>18</v>
      </c>
      <c r="C852" s="75" t="s">
        <v>554</v>
      </c>
      <c r="D852" s="134" t="s">
        <v>74</v>
      </c>
      <c r="E852" s="135">
        <f t="shared" si="14"/>
        <v>34</v>
      </c>
      <c r="F852" s="134" t="s">
        <v>3628</v>
      </c>
      <c r="G852" s="63" t="str">
        <f>VLOOKUP(C852, 'Class Def. - General Data'!$C$20:$C$1000,1,false)</f>
        <v>ZFG1_COMPACTPOWDER</v>
      </c>
      <c r="H852" s="63" t="str">
        <f>IFERROR(__xludf.DUMMYFUNCTION("VLOOKUP(F852, IMPORTRANGE(""https://docs.google.com/spreadsheets/d/1Lhp9OU0JdFf_VYSMzH5lBcEaU4o8teT1piV-SNzShjg/edit?gid=554141278#gid=554141278"", ""'Char Def. - Attributes'!C20:C2242""), 1,false)"),"MID_CORE")</f>
        <v>MID_CORE</v>
      </c>
      <c r="I852" s="136"/>
    </row>
    <row r="853" ht="15.75" customHeight="1">
      <c r="A853" s="59"/>
      <c r="B853" s="63">
        <f t="shared" si="1"/>
        <v>18</v>
      </c>
      <c r="C853" s="75" t="s">
        <v>554</v>
      </c>
      <c r="D853" s="134" t="s">
        <v>74</v>
      </c>
      <c r="E853" s="135">
        <f t="shared" si="14"/>
        <v>35</v>
      </c>
      <c r="F853" s="134" t="s">
        <v>3629</v>
      </c>
      <c r="G853" s="63" t="str">
        <f>VLOOKUP(C853, 'Class Def. - General Data'!$C$20:$C$1000,1,false)</f>
        <v>ZFG1_COMPACTPOWDER</v>
      </c>
      <c r="H853" s="63" t="str">
        <f>IFERROR(__xludf.DUMMYFUNCTION("VLOOKUP(F853, IMPORTRANGE(""https://docs.google.com/spreadsheets/d/1Lhp9OU0JdFf_VYSMzH5lBcEaU4o8teT1piV-SNzShjg/edit?gid=554141278#gid=554141278"", ""'Char Def. - Attributes'!C20:C2242""), 1,false)"),"EAN_CTN")</f>
        <v>EAN_CTN</v>
      </c>
      <c r="I853" s="136"/>
    </row>
    <row r="854" ht="15.75" customHeight="1">
      <c r="A854" s="59"/>
      <c r="B854" s="63">
        <f t="shared" si="1"/>
        <v>18</v>
      </c>
      <c r="C854" s="75" t="s">
        <v>554</v>
      </c>
      <c r="D854" s="134" t="s">
        <v>74</v>
      </c>
      <c r="E854" s="135">
        <f t="shared" si="14"/>
        <v>36</v>
      </c>
      <c r="F854" s="134" t="s">
        <v>3630</v>
      </c>
      <c r="G854" s="63" t="str">
        <f>VLOOKUP(C854, 'Class Def. - General Data'!$C$20:$C$1000,1,false)</f>
        <v>ZFG1_COMPACTPOWDER</v>
      </c>
      <c r="H854" s="63" t="str">
        <f>IFERROR(__xludf.DUMMYFUNCTION("VLOOKUP(F854, IMPORTRANGE(""https://docs.google.com/spreadsheets/d/1Lhp9OU0JdFf_VYSMzH5lBcEaU4o8teT1piV-SNzShjg/edit?gid=554141278#gid=554141278"", ""'Char Def. - Attributes'!C20:C2242""), 1,false)"),"EAN_BOX")</f>
        <v>EAN_BOX</v>
      </c>
      <c r="I854" s="136"/>
    </row>
    <row r="855" ht="15.75" customHeight="1">
      <c r="A855" s="59"/>
      <c r="B855" s="63">
        <f t="shared" si="1"/>
        <v>18</v>
      </c>
      <c r="C855" s="75" t="s">
        <v>554</v>
      </c>
      <c r="D855" s="141" t="s">
        <v>74</v>
      </c>
      <c r="E855" s="135">
        <v>22.0</v>
      </c>
      <c r="F855" s="135" t="s">
        <v>3603</v>
      </c>
      <c r="G855" s="63" t="str">
        <f>VLOOKUP(C855, 'Class Def. - General Data'!$C$20:$C$1000,1,false)</f>
        <v>ZFG1_COMPACTPOWDER</v>
      </c>
      <c r="I855" s="136"/>
    </row>
    <row r="856" ht="15.75" customHeight="1">
      <c r="A856" s="59"/>
      <c r="B856" s="63">
        <f t="shared" si="1"/>
        <v>15</v>
      </c>
      <c r="C856" s="134" t="s">
        <v>105</v>
      </c>
      <c r="D856" s="134" t="s">
        <v>74</v>
      </c>
      <c r="E856" s="135">
        <f t="shared" ref="E856:E891" si="15">COUNTIF($C$20:C856,C856)</f>
        <v>1</v>
      </c>
      <c r="F856" s="134" t="s">
        <v>3662</v>
      </c>
      <c r="G856" s="63" t="str">
        <f>VLOOKUP(C856, 'Class Def. - General Data'!$C$20:$C$1000,1,false)</f>
        <v>ZFG1_COOKINGOIL</v>
      </c>
      <c r="H856" s="63" t="str">
        <f>IFERROR(__xludf.DUMMYFUNCTION("VLOOKUP(F856, IMPORTRANGE(""https://docs.google.com/spreadsheets/d/1Lhp9OU0JdFf_VYSMzH5lBcEaU4o8teT1piV-SNzShjg/edit?gid=554141278#gid=554141278"", ""'Char Def. - Attributes'!C20:C2242""), 1,false)"),"BRAND_COOKINGOIL")</f>
        <v>BRAND_COOKINGOIL</v>
      </c>
      <c r="I856" s="136"/>
    </row>
    <row r="857" ht="15.75" customHeight="1">
      <c r="A857" s="59"/>
      <c r="B857" s="63">
        <f t="shared" si="1"/>
        <v>15</v>
      </c>
      <c r="C857" s="135" t="s">
        <v>105</v>
      </c>
      <c r="D857" s="134" t="s">
        <v>74</v>
      </c>
      <c r="E857" s="135">
        <f t="shared" si="15"/>
        <v>2</v>
      </c>
      <c r="F857" s="134" t="s">
        <v>3663</v>
      </c>
      <c r="G857" s="63" t="str">
        <f>VLOOKUP(C857, 'Class Def. - General Data'!$C$20:$C$1000,1,false)</f>
        <v>ZFG1_COOKINGOIL</v>
      </c>
      <c r="H857" s="63" t="str">
        <f>IFERROR(__xludf.DUMMYFUNCTION("VLOOKUP(F857, IMPORTRANGE(""https://docs.google.com/spreadsheets/d/1Lhp9OU0JdFf_VYSMzH5lBcEaU4o8teT1piV-SNzShjg/edit?gid=554141278#gid=554141278"", ""'Char Def. - Attributes'!C20:C2242""), 1,false)"),"PSHAPE_COOKINGOIL")</f>
        <v>PSHAPE_COOKINGOIL</v>
      </c>
      <c r="I857" s="136"/>
    </row>
    <row r="858" ht="15.75" customHeight="1">
      <c r="A858" s="59"/>
      <c r="B858" s="63">
        <f t="shared" si="1"/>
        <v>15</v>
      </c>
      <c r="C858" s="134" t="s">
        <v>105</v>
      </c>
      <c r="D858" s="134" t="s">
        <v>74</v>
      </c>
      <c r="E858" s="135">
        <f t="shared" si="15"/>
        <v>3</v>
      </c>
      <c r="F858" s="134" t="s">
        <v>3605</v>
      </c>
      <c r="G858" s="63" t="str">
        <f>VLOOKUP(C858, 'Class Def. - General Data'!$C$20:$C$1000,1,false)</f>
        <v>ZFG1_COOKINGOIL</v>
      </c>
      <c r="H858" s="63" t="str">
        <f>IFERROR(__xludf.DUMMYFUNCTION("VLOOKUP(F858, IMPORTRANGE(""https://docs.google.com/spreadsheets/d/1Lhp9OU0JdFf_VYSMzH5lBcEaU4o8teT1piV-SNzShjg/edit?gid=554141278#gid=554141278"", ""'Char Def. - Attributes'!C20:C2242""), 1,false)"),"PACK_NETTO")</f>
        <v>PACK_NETTO</v>
      </c>
      <c r="I858" s="136"/>
    </row>
    <row r="859" ht="15.75" customHeight="1">
      <c r="A859" s="59"/>
      <c r="B859" s="63">
        <f t="shared" si="1"/>
        <v>15</v>
      </c>
      <c r="C859" s="135" t="s">
        <v>105</v>
      </c>
      <c r="D859" s="134" t="s">
        <v>74</v>
      </c>
      <c r="E859" s="135">
        <f t="shared" si="15"/>
        <v>4</v>
      </c>
      <c r="F859" s="134" t="s">
        <v>3664</v>
      </c>
      <c r="G859" s="63" t="str">
        <f>VLOOKUP(C859, 'Class Def. - General Data'!$C$20:$C$1000,1,false)</f>
        <v>ZFG1_COOKINGOIL</v>
      </c>
      <c r="H859" s="63" t="str">
        <f>IFERROR(__xludf.DUMMYFUNCTION("VLOOKUP(F859, IMPORTRANGE(""https://docs.google.com/spreadsheets/d/1Lhp9OU0JdFf_VYSMzH5lBcEaU4o8teT1piV-SNzShjg/edit?gid=554141278#gid=554141278"", ""'Char Def. - Attributes'!C20:C2242""), 1,false)"),"PUOM_COOKINGOIL")</f>
        <v>PUOM_COOKINGOIL</v>
      </c>
      <c r="I859" s="136"/>
    </row>
    <row r="860" ht="15.75" customHeight="1">
      <c r="A860" s="59"/>
      <c r="B860" s="63">
        <f t="shared" si="1"/>
        <v>15</v>
      </c>
      <c r="C860" s="134" t="s">
        <v>105</v>
      </c>
      <c r="D860" s="134" t="s">
        <v>74</v>
      </c>
      <c r="E860" s="135">
        <f t="shared" si="15"/>
        <v>5</v>
      </c>
      <c r="F860" s="134" t="s">
        <v>3607</v>
      </c>
      <c r="G860" s="63" t="str">
        <f>VLOOKUP(C860, 'Class Def. - General Data'!$C$20:$C$1000,1,false)</f>
        <v>ZFG1_COOKINGOIL</v>
      </c>
      <c r="H860" s="63" t="str">
        <f>IFERROR(__xludf.DUMMYFUNCTION("VLOOKUP(F860, IMPORTRANGE(""https://docs.google.com/spreadsheets/d/1Lhp9OU0JdFf_VYSMzH5lBcEaU4o8teT1piV-SNzShjg/edit?gid=554141278#gid=554141278"", ""'Char Def. - Attributes'!C20:C2242""), 1,false)"),"VARIAN")</f>
        <v>VARIAN</v>
      </c>
      <c r="I860" s="136"/>
    </row>
    <row r="861" ht="15.75" customHeight="1">
      <c r="A861" s="59"/>
      <c r="B861" s="63">
        <f t="shared" si="1"/>
        <v>15</v>
      </c>
      <c r="C861" s="134" t="s">
        <v>105</v>
      </c>
      <c r="D861" s="134" t="s">
        <v>74</v>
      </c>
      <c r="E861" s="135">
        <f t="shared" si="15"/>
        <v>6</v>
      </c>
      <c r="F861" s="134" t="s">
        <v>3608</v>
      </c>
      <c r="G861" s="63" t="str">
        <f>VLOOKUP(C861, 'Class Def. - General Data'!$C$20:$C$1000,1,false)</f>
        <v>ZFG1_COOKINGOIL</v>
      </c>
      <c r="H861" s="63" t="str">
        <f>IFERROR(__xludf.DUMMYFUNCTION("VLOOKUP(F861, IMPORTRANGE(""https://docs.google.com/spreadsheets/d/1Lhp9OU0JdFf_VYSMzH5lBcEaU4o8teT1piV-SNzShjg/edit?gid=554141278#gid=554141278"", ""'Char Def. - Attributes'!C20:C2242""), 1,false)"),"PROJECT_NAME")</f>
        <v>PROJECT_NAME</v>
      </c>
      <c r="I861" s="136"/>
    </row>
    <row r="862" ht="15.75" customHeight="1">
      <c r="A862" s="59"/>
      <c r="B862" s="63">
        <f t="shared" si="1"/>
        <v>15</v>
      </c>
      <c r="C862" s="134" t="s">
        <v>105</v>
      </c>
      <c r="D862" s="134" t="s">
        <v>74</v>
      </c>
      <c r="E862" s="135">
        <f t="shared" si="15"/>
        <v>7</v>
      </c>
      <c r="F862" s="134" t="s">
        <v>3609</v>
      </c>
      <c r="G862" s="63" t="str">
        <f>VLOOKUP(C862, 'Class Def. - General Data'!$C$20:$C$1000,1,false)</f>
        <v>ZFG1_COOKINGOIL</v>
      </c>
      <c r="H862" s="63" t="str">
        <f>IFERROR(__xludf.DUMMYFUNCTION("VLOOKUP(F862, IMPORTRANGE(""https://docs.google.com/spreadsheets/d/1Lhp9OU0JdFf_VYSMzH5lBcEaU4o8teT1piV-SNzShjg/edit?gid=554141278#gid=554141278"", ""'Char Def. - Attributes'!C20:C2242""), 1,false)"),"ADDITIONAL_PROMO")</f>
        <v>ADDITIONAL_PROMO</v>
      </c>
      <c r="I862" s="136"/>
    </row>
    <row r="863" ht="15.75" customHeight="1">
      <c r="A863" s="59"/>
      <c r="B863" s="63">
        <f t="shared" si="1"/>
        <v>15</v>
      </c>
      <c r="C863" s="134" t="s">
        <v>105</v>
      </c>
      <c r="D863" s="134" t="s">
        <v>74</v>
      </c>
      <c r="E863" s="135">
        <f t="shared" si="15"/>
        <v>8</v>
      </c>
      <c r="F863" s="134" t="s">
        <v>3610</v>
      </c>
      <c r="G863" s="63" t="str">
        <f>VLOOKUP(C863, 'Class Def. - General Data'!$C$20:$C$1000,1,false)</f>
        <v>ZFG1_COOKINGOIL</v>
      </c>
      <c r="H863" s="63" t="str">
        <f>IFERROR(__xludf.DUMMYFUNCTION("VLOOKUP(F863, IMPORTRANGE(""https://docs.google.com/spreadsheets/d/1Lhp9OU0JdFf_VYSMzH5lBcEaU4o8teT1piV-SNzShjg/edit?gid=554141278#gid=554141278"", ""'Char Def. - Attributes'!C20:C2242""), 1,false)"),"BANDED_PROMO")</f>
        <v>BANDED_PROMO</v>
      </c>
      <c r="I863" s="136"/>
    </row>
    <row r="864" ht="15.75" customHeight="1">
      <c r="A864" s="59"/>
      <c r="B864" s="63">
        <f t="shared" si="1"/>
        <v>15</v>
      </c>
      <c r="C864" s="134" t="s">
        <v>105</v>
      </c>
      <c r="D864" s="134" t="s">
        <v>74</v>
      </c>
      <c r="E864" s="135">
        <f t="shared" si="15"/>
        <v>9</v>
      </c>
      <c r="F864" s="134" t="s">
        <v>3611</v>
      </c>
      <c r="G864" s="63" t="str">
        <f>VLOOKUP(C864, 'Class Def. - General Data'!$C$20:$C$1000,1,false)</f>
        <v>ZFG1_COOKINGOIL</v>
      </c>
      <c r="H864" s="63" t="str">
        <f>IFERROR(__xludf.DUMMYFUNCTION("VLOOKUP(F864, IMPORTRANGE(""https://docs.google.com/spreadsheets/d/1Lhp9OU0JdFf_VYSMzH5lBcEaU4o8teT1piV-SNzShjg/edit?gid=554141278#gid=554141278"", ""'Char Def. - Attributes'!C20:C2242""), 1,false)"),"LOKAL_EKSPOR")</f>
        <v>LOKAL_EKSPOR</v>
      </c>
      <c r="I864" s="136"/>
    </row>
    <row r="865" ht="15.75" customHeight="1">
      <c r="A865" s="59"/>
      <c r="B865" s="63">
        <f t="shared" si="1"/>
        <v>15</v>
      </c>
      <c r="C865" s="134" t="s">
        <v>105</v>
      </c>
      <c r="D865" s="134" t="s">
        <v>74</v>
      </c>
      <c r="E865" s="135">
        <f t="shared" si="15"/>
        <v>10</v>
      </c>
      <c r="F865" s="134" t="s">
        <v>3612</v>
      </c>
      <c r="G865" s="63" t="str">
        <f>VLOOKUP(C865, 'Class Def. - General Data'!$C$20:$C$1000,1,false)</f>
        <v>ZFG1_COOKINGOIL</v>
      </c>
      <c r="H865" s="63" t="str">
        <f>IFERROR(__xludf.DUMMYFUNCTION("VLOOKUP(F865, IMPORTRANGE(""https://docs.google.com/spreadsheets/d/1Lhp9OU0JdFf_VYSMzH5lBcEaU4o8teT1piV-SNzShjg/edit?gid=554141278#gid=554141278"", ""'Char Def. - Attributes'!C20:C2242""), 1,false)"),"COUNTRY_EKSPOR")</f>
        <v>COUNTRY_EKSPOR</v>
      </c>
      <c r="I865" s="136"/>
    </row>
    <row r="866" ht="15.75" customHeight="1">
      <c r="A866" s="59"/>
      <c r="B866" s="63">
        <f t="shared" si="1"/>
        <v>15</v>
      </c>
      <c r="C866" s="134" t="s">
        <v>105</v>
      </c>
      <c r="D866" s="134" t="s">
        <v>74</v>
      </c>
      <c r="E866" s="135">
        <f t="shared" si="15"/>
        <v>11</v>
      </c>
      <c r="F866" s="134" t="s">
        <v>3613</v>
      </c>
      <c r="G866" s="63" t="str">
        <f>VLOOKUP(C866, 'Class Def. - General Data'!$C$20:$C$1000,1,false)</f>
        <v>ZFG1_COOKINGOIL</v>
      </c>
      <c r="H866" s="63" t="str">
        <f>IFERROR(__xludf.DUMMYFUNCTION("VLOOKUP(F866, IMPORTRANGE(""https://docs.google.com/spreadsheets/d/1Lhp9OU0JdFf_VYSMzH5lBcEaU4o8teT1piV-SNzShjg/edit?gid=554141278#gid=554141278"", ""'Char Def. - Attributes'!C20:C2242""), 1,false)"),"WARNA_SFG")</f>
        <v>WARNA_SFG</v>
      </c>
      <c r="I866" s="136"/>
    </row>
    <row r="867" ht="15.75" customHeight="1">
      <c r="A867" s="59"/>
      <c r="B867" s="63">
        <f t="shared" si="1"/>
        <v>15</v>
      </c>
      <c r="C867" s="134" t="s">
        <v>105</v>
      </c>
      <c r="D867" s="134" t="s">
        <v>74</v>
      </c>
      <c r="E867" s="135">
        <f t="shared" si="15"/>
        <v>12</v>
      </c>
      <c r="F867" s="134" t="s">
        <v>3582</v>
      </c>
      <c r="G867" s="63" t="str">
        <f>VLOOKUP(C867, 'Class Def. - General Data'!$C$20:$C$1000,1,false)</f>
        <v>ZFG1_COOKINGOIL</v>
      </c>
      <c r="H867" s="63" t="str">
        <f>IFERROR(__xludf.DUMMYFUNCTION("VLOOKUP(F867, IMPORTRANGE(""https://docs.google.com/spreadsheets/d/1Lhp9OU0JdFf_VYSMzH5lBcEaU4o8teT1piV-SNzShjg/edit?gid=554141278#gid=554141278"", ""'Char Def. - Attributes'!C20:C2242""), 1,false)"),"BASE_UNIT")</f>
        <v>BASE_UNIT</v>
      </c>
      <c r="I867" s="136"/>
    </row>
    <row r="868" ht="15.75" customHeight="1">
      <c r="A868" s="59"/>
      <c r="B868" s="63">
        <f t="shared" si="1"/>
        <v>15</v>
      </c>
      <c r="C868" s="134" t="s">
        <v>105</v>
      </c>
      <c r="D868" s="134" t="s">
        <v>74</v>
      </c>
      <c r="E868" s="135">
        <f t="shared" si="15"/>
        <v>13</v>
      </c>
      <c r="F868" s="134" t="s">
        <v>3583</v>
      </c>
      <c r="G868" s="63" t="str">
        <f>VLOOKUP(C868, 'Class Def. - General Data'!$C$20:$C$1000,1,false)</f>
        <v>ZFG1_COOKINGOIL</v>
      </c>
      <c r="H868" s="63" t="str">
        <f>IFERROR(__xludf.DUMMYFUNCTION("VLOOKUP(F868, IMPORTRANGE(""https://docs.google.com/spreadsheets/d/1Lhp9OU0JdFf_VYSMzH5lBcEaU4o8teT1piV-SNzShjg/edit?gid=554141278#gid=554141278"", ""'Char Def. - Attributes'!C20:C2242""), 1,false)"),"SALES_UNIT")</f>
        <v>SALES_UNIT</v>
      </c>
      <c r="I868" s="136"/>
    </row>
    <row r="869" ht="15.75" customHeight="1">
      <c r="A869" s="59"/>
      <c r="B869" s="63">
        <f t="shared" si="1"/>
        <v>15</v>
      </c>
      <c r="C869" s="134" t="s">
        <v>105</v>
      </c>
      <c r="D869" s="134" t="s">
        <v>74</v>
      </c>
      <c r="E869" s="135">
        <f t="shared" si="15"/>
        <v>14</v>
      </c>
      <c r="F869" s="134" t="s">
        <v>3601</v>
      </c>
      <c r="G869" s="63" t="str">
        <f>VLOOKUP(C869, 'Class Def. - General Data'!$C$20:$C$1000,1,false)</f>
        <v>ZFG1_COOKINGOIL</v>
      </c>
      <c r="H869" s="63" t="str">
        <f>IFERROR(__xludf.DUMMYFUNCTION("VLOOKUP(F869, IMPORTRANGE(""https://docs.google.com/spreadsheets/d/1Lhp9OU0JdFf_VYSMzH5lBcEaU4o8teT1piV-SNzShjg/edit?gid=554141278#gid=554141278"", ""'Char Def. - Attributes'!C20:C2242""), 1,false)"),"GROSS_WEIGHT")</f>
        <v>GROSS_WEIGHT</v>
      </c>
      <c r="I869" s="136"/>
    </row>
    <row r="870" ht="15.75" customHeight="1">
      <c r="A870" s="59"/>
      <c r="B870" s="63">
        <f t="shared" si="1"/>
        <v>15</v>
      </c>
      <c r="C870" s="134" t="s">
        <v>105</v>
      </c>
      <c r="D870" s="134" t="s">
        <v>74</v>
      </c>
      <c r="E870" s="135">
        <f t="shared" si="15"/>
        <v>15</v>
      </c>
      <c r="F870" s="134" t="s">
        <v>3602</v>
      </c>
      <c r="G870" s="63" t="str">
        <f>VLOOKUP(C870, 'Class Def. - General Data'!$C$20:$C$1000,1,false)</f>
        <v>ZFG1_COOKINGOIL</v>
      </c>
      <c r="H870" s="63" t="str">
        <f>IFERROR(__xludf.DUMMYFUNCTION("VLOOKUP(F870, IMPORTRANGE(""https://docs.google.com/spreadsheets/d/1Lhp9OU0JdFf_VYSMzH5lBcEaU4o8teT1piV-SNzShjg/edit?gid=554141278#gid=554141278"", ""'Char Def. - Attributes'!C20:C2242""), 1,false)"),"NET_WEIGHT")</f>
        <v>NET_WEIGHT</v>
      </c>
      <c r="I870" s="136"/>
    </row>
    <row r="871" ht="15.75" customHeight="1">
      <c r="A871" s="59"/>
      <c r="B871" s="63">
        <f t="shared" si="1"/>
        <v>15</v>
      </c>
      <c r="C871" s="134" t="s">
        <v>105</v>
      </c>
      <c r="D871" s="134" t="s">
        <v>74</v>
      </c>
      <c r="E871" s="135">
        <f t="shared" si="15"/>
        <v>16</v>
      </c>
      <c r="F871" s="134" t="s">
        <v>3584</v>
      </c>
      <c r="G871" s="63" t="str">
        <f>VLOOKUP(C871, 'Class Def. - General Data'!$C$20:$C$1000,1,false)</f>
        <v>ZFG1_COOKINGOIL</v>
      </c>
      <c r="H871" s="63" t="str">
        <f>IFERROR(__xludf.DUMMYFUNCTION("VLOOKUP(F871, IMPORTRANGE(""https://docs.google.com/spreadsheets/d/1Lhp9OU0JdFf_VYSMzH5lBcEaU4o8teT1piV-SNzShjg/edit?gid=554141278#gid=554141278"", ""'Char Def. - Attributes'!C20:C2242""), 1,false)"),"UNIT_PER_BOX")</f>
        <v>UNIT_PER_BOX</v>
      </c>
      <c r="I871" s="136"/>
    </row>
    <row r="872" ht="15.75" customHeight="1">
      <c r="A872" s="59"/>
      <c r="B872" s="63">
        <f t="shared" si="1"/>
        <v>15</v>
      </c>
      <c r="C872" s="134" t="s">
        <v>105</v>
      </c>
      <c r="D872" s="134" t="s">
        <v>74</v>
      </c>
      <c r="E872" s="135">
        <f t="shared" si="15"/>
        <v>17</v>
      </c>
      <c r="F872" s="134" t="s">
        <v>3614</v>
      </c>
      <c r="G872" s="63" t="str">
        <f>VLOOKUP(C872, 'Class Def. - General Data'!$C$20:$C$1000,1,false)</f>
        <v>ZFG1_COOKINGOIL</v>
      </c>
      <c r="H872" s="63" t="str">
        <f>IFERROR(__xludf.DUMMYFUNCTION("VLOOKUP(F872, IMPORTRANGE(""https://docs.google.com/spreadsheets/d/1Lhp9OU0JdFf_VYSMzH5lBcEaU4o8teT1piV-SNzShjg/edit?gid=554141278#gid=554141278"", ""'Char Def. - Attributes'!C20:C2242""), 1,false)"),"UNIT_PER_CTN")</f>
        <v>UNIT_PER_CTN</v>
      </c>
      <c r="I872" s="136"/>
    </row>
    <row r="873" ht="15.75" customHeight="1">
      <c r="A873" s="59"/>
      <c r="B873" s="63">
        <f t="shared" si="1"/>
        <v>15</v>
      </c>
      <c r="C873" s="134" t="s">
        <v>105</v>
      </c>
      <c r="D873" s="134" t="s">
        <v>74</v>
      </c>
      <c r="E873" s="135">
        <f t="shared" si="15"/>
        <v>18</v>
      </c>
      <c r="F873" s="134" t="s">
        <v>3615</v>
      </c>
      <c r="G873" s="63" t="str">
        <f>VLOOKUP(C873, 'Class Def. - General Data'!$C$20:$C$1000,1,false)</f>
        <v>ZFG1_COOKINGOIL</v>
      </c>
      <c r="H873" s="63" t="str">
        <f>IFERROR(__xludf.DUMMYFUNCTION("VLOOKUP(F873, IMPORTRANGE(""https://docs.google.com/spreadsheets/d/1Lhp9OU0JdFf_VYSMzH5lBcEaU4o8teT1piV-SNzShjg/edit?gid=554141278#gid=554141278"", ""'Char Def. - Attributes'!C20:C2242""), 1,false)"),"UNIT_PER_BAG")</f>
        <v>UNIT_PER_BAG</v>
      </c>
      <c r="I873" s="136"/>
    </row>
    <row r="874" ht="15.75" customHeight="1">
      <c r="A874" s="59"/>
      <c r="B874" s="63">
        <f t="shared" si="1"/>
        <v>15</v>
      </c>
      <c r="C874" s="134" t="s">
        <v>105</v>
      </c>
      <c r="D874" s="134" t="s">
        <v>74</v>
      </c>
      <c r="E874" s="135">
        <f t="shared" si="15"/>
        <v>19</v>
      </c>
      <c r="F874" s="134" t="s">
        <v>3616</v>
      </c>
      <c r="G874" s="63" t="str">
        <f>VLOOKUP(C874, 'Class Def. - General Data'!$C$20:$C$1000,1,false)</f>
        <v>ZFG1_COOKINGOIL</v>
      </c>
      <c r="H874" s="63" t="str">
        <f>IFERROR(__xludf.DUMMYFUNCTION("VLOOKUP(F874, IMPORTRANGE(""https://docs.google.com/spreadsheets/d/1Lhp9OU0JdFf_VYSMzH5lBcEaU4o8teT1piV-SNzShjg/edit?gid=554141278#gid=554141278"", ""'Char Def. - Attributes'!C20:C2242""), 1,false)"),"UNIT_PER_PAL")</f>
        <v>UNIT_PER_PAL</v>
      </c>
      <c r="I874" s="136"/>
    </row>
    <row r="875" ht="15.75" customHeight="1">
      <c r="A875" s="59"/>
      <c r="B875" s="63">
        <f t="shared" si="1"/>
        <v>15</v>
      </c>
      <c r="C875" s="134" t="s">
        <v>105</v>
      </c>
      <c r="D875" s="134" t="s">
        <v>74</v>
      </c>
      <c r="E875" s="135">
        <f t="shared" si="15"/>
        <v>20</v>
      </c>
      <c r="F875" s="134" t="s">
        <v>3617</v>
      </c>
      <c r="G875" s="63" t="str">
        <f>VLOOKUP(C875, 'Class Def. - General Data'!$C$20:$C$1000,1,false)</f>
        <v>ZFG1_COOKINGOIL</v>
      </c>
      <c r="H875" s="63" t="str">
        <f>IFERROR(__xludf.DUMMYFUNCTION("VLOOKUP(F875, IMPORTRANGE(""https://docs.google.com/spreadsheets/d/1Lhp9OU0JdFf_VYSMzH5lBcEaU4o8teT1piV-SNzShjg/edit?gid=554141278#gid=554141278"", ""'Char Def. - Attributes'!C20:C2242""), 1,false)"),"UNIT_PER_TIER")</f>
        <v>UNIT_PER_TIER</v>
      </c>
      <c r="I875" s="136"/>
    </row>
    <row r="876" ht="15.75" customHeight="1">
      <c r="A876" s="59"/>
      <c r="B876" s="63">
        <f t="shared" si="1"/>
        <v>15</v>
      </c>
      <c r="C876" s="134" t="s">
        <v>105</v>
      </c>
      <c r="D876" s="134" t="s">
        <v>74</v>
      </c>
      <c r="E876" s="135">
        <f t="shared" si="15"/>
        <v>21</v>
      </c>
      <c r="F876" s="134" t="s">
        <v>3618</v>
      </c>
      <c r="G876" s="63" t="str">
        <f>VLOOKUP(C876, 'Class Def. - General Data'!$C$20:$C$1000,1,false)</f>
        <v>ZFG1_COOKINGOIL</v>
      </c>
      <c r="H876" s="63" t="str">
        <f>IFERROR(__xludf.DUMMYFUNCTION("VLOOKUP(F876, IMPORTRANGE(""https://docs.google.com/spreadsheets/d/1Lhp9OU0JdFf_VYSMzH5lBcEaU4o8teT1piV-SNzShjg/edit?gid=554141278#gid=554141278"", ""'Char Def. - Attributes'!C20:C2242""), 1,false)"),"HEIGHT")</f>
        <v>HEIGHT</v>
      </c>
      <c r="I876" s="136"/>
    </row>
    <row r="877" ht="15.75" customHeight="1">
      <c r="A877" s="59"/>
      <c r="B877" s="63">
        <f t="shared" si="1"/>
        <v>15</v>
      </c>
      <c r="C877" s="134" t="s">
        <v>105</v>
      </c>
      <c r="D877" s="134" t="s">
        <v>74</v>
      </c>
      <c r="E877" s="135">
        <f t="shared" si="15"/>
        <v>22</v>
      </c>
      <c r="F877" s="134" t="s">
        <v>3587</v>
      </c>
      <c r="G877" s="63" t="str">
        <f>VLOOKUP(C877, 'Class Def. - General Data'!$C$20:$C$1000,1,false)</f>
        <v>ZFG1_COOKINGOIL</v>
      </c>
      <c r="H877" s="63" t="str">
        <f>IFERROR(__xludf.DUMMYFUNCTION("VLOOKUP(F877, IMPORTRANGE(""https://docs.google.com/spreadsheets/d/1Lhp9OU0JdFf_VYSMzH5lBcEaU4o8teT1piV-SNzShjg/edit?gid=554141278#gid=554141278"", ""'Char Def. - Attributes'!C20:C2242""), 1,false)"),"PLANT_BUY")</f>
        <v>PLANT_BUY</v>
      </c>
      <c r="I877" s="136"/>
    </row>
    <row r="878" ht="15.75" customHeight="1">
      <c r="A878" s="59"/>
      <c r="B878" s="63">
        <f t="shared" si="1"/>
        <v>15</v>
      </c>
      <c r="C878" s="134" t="s">
        <v>105</v>
      </c>
      <c r="D878" s="134" t="s">
        <v>74</v>
      </c>
      <c r="E878" s="135">
        <f t="shared" si="15"/>
        <v>23</v>
      </c>
      <c r="F878" s="134" t="s">
        <v>3619</v>
      </c>
      <c r="G878" s="63" t="str">
        <f>VLOOKUP(C878, 'Class Def. - General Data'!$C$20:$C$1000,1,false)</f>
        <v>ZFG1_COOKINGOIL</v>
      </c>
      <c r="H878" s="63" t="str">
        <f>IFERROR(__xludf.DUMMYFUNCTION("VLOOKUP(F878, IMPORTRANGE(""https://docs.google.com/spreadsheets/d/1Lhp9OU0JdFf_VYSMzH5lBcEaU4o8teT1piV-SNzShjg/edit?gid=554141278#gid=554141278"", ""'Char Def. - Attributes'!C20:C2242""), 1,false)"),"LENGTH")</f>
        <v>LENGTH</v>
      </c>
      <c r="I878" s="136"/>
    </row>
    <row r="879" ht="15.75" customHeight="1">
      <c r="A879" s="59"/>
      <c r="B879" s="63">
        <f t="shared" si="1"/>
        <v>15</v>
      </c>
      <c r="C879" s="134" t="s">
        <v>105</v>
      </c>
      <c r="D879" s="134" t="s">
        <v>74</v>
      </c>
      <c r="E879" s="135">
        <f t="shared" si="15"/>
        <v>24</v>
      </c>
      <c r="F879" s="134" t="s">
        <v>3586</v>
      </c>
      <c r="G879" s="63" t="str">
        <f>VLOOKUP(C879, 'Class Def. - General Data'!$C$20:$C$1000,1,false)</f>
        <v>ZFG1_COOKINGOIL</v>
      </c>
      <c r="H879" s="63" t="str">
        <f>IFERROR(__xludf.DUMMYFUNCTION("VLOOKUP(F879, IMPORTRANGE(""https://docs.google.com/spreadsheets/d/1Lhp9OU0JdFf_VYSMzH5lBcEaU4o8teT1piV-SNzShjg/edit?gid=554141278#gid=554141278"", ""'Char Def. - Attributes'!C20:C2242""), 1,false)"),"PLANT_PROD")</f>
        <v>PLANT_PROD</v>
      </c>
      <c r="I879" s="136"/>
    </row>
    <row r="880" ht="15.75" customHeight="1">
      <c r="A880" s="59"/>
      <c r="B880" s="63">
        <f t="shared" si="1"/>
        <v>15</v>
      </c>
      <c r="C880" s="134" t="s">
        <v>105</v>
      </c>
      <c r="D880" s="134" t="s">
        <v>74</v>
      </c>
      <c r="E880" s="135">
        <f t="shared" si="15"/>
        <v>25</v>
      </c>
      <c r="F880" s="134" t="s">
        <v>3620</v>
      </c>
      <c r="G880" s="63" t="str">
        <f>VLOOKUP(C880, 'Class Def. - General Data'!$C$20:$C$1000,1,false)</f>
        <v>ZFG1_COOKINGOIL</v>
      </c>
      <c r="H880" s="63" t="str">
        <f>IFERROR(__xludf.DUMMYFUNCTION("VLOOKUP(F880, IMPORTRANGE(""https://docs.google.com/spreadsheets/d/1Lhp9OU0JdFf_VYSMzH5lBcEaU4o8teT1piV-SNzShjg/edit?gid=554141278#gid=554141278"", ""'Char Def. - Attributes'!C20:C2242""), 1,false)"),"WIDTH")</f>
        <v>WIDTH</v>
      </c>
      <c r="I880" s="136"/>
    </row>
    <row r="881" ht="15.75" customHeight="1">
      <c r="A881" s="59"/>
      <c r="B881" s="63">
        <f t="shared" si="1"/>
        <v>15</v>
      </c>
      <c r="C881" s="134" t="s">
        <v>105</v>
      </c>
      <c r="D881" s="134" t="s">
        <v>74</v>
      </c>
      <c r="E881" s="135">
        <f t="shared" si="15"/>
        <v>26</v>
      </c>
      <c r="F881" s="134" t="s">
        <v>3585</v>
      </c>
      <c r="G881" s="63" t="str">
        <f>VLOOKUP(C881, 'Class Def. - General Data'!$C$20:$C$1000,1,false)</f>
        <v>ZFG1_COOKINGOIL</v>
      </c>
      <c r="H881" s="63" t="str">
        <f>IFERROR(__xludf.DUMMYFUNCTION("VLOOKUP(F881, IMPORTRANGE(""https://docs.google.com/spreadsheets/d/1Lhp9OU0JdFf_VYSMzH5lBcEaU4o8teT1piV-SNzShjg/edit?gid=554141278#gid=554141278"", ""'Char Def. - Attributes'!C20:C2242""), 1,false)"),"HS_CODE")</f>
        <v>HS_CODE</v>
      </c>
      <c r="I881" s="136"/>
    </row>
    <row r="882" ht="15.75" customHeight="1">
      <c r="A882" s="59"/>
      <c r="B882" s="63">
        <f t="shared" si="1"/>
        <v>15</v>
      </c>
      <c r="C882" s="134" t="s">
        <v>105</v>
      </c>
      <c r="D882" s="134" t="s">
        <v>74</v>
      </c>
      <c r="E882" s="135">
        <f t="shared" si="15"/>
        <v>27</v>
      </c>
      <c r="F882" s="134" t="s">
        <v>3621</v>
      </c>
      <c r="G882" s="63" t="str">
        <f>VLOOKUP(C882, 'Class Def. - General Data'!$C$20:$C$1000,1,false)</f>
        <v>ZFG1_COOKINGOIL</v>
      </c>
      <c r="H882" s="63" t="str">
        <f>IFERROR(__xludf.DUMMYFUNCTION("VLOOKUP(F882, IMPORTRANGE(""https://docs.google.com/spreadsheets/d/1Lhp9OU0JdFf_VYSMzH5lBcEaU4o8teT1piV-SNzShjg/edit?gid=554141278#gid=554141278"", ""'Char Def. - Attributes'!C20:C2242""), 1,false)"),"EAN_PCS")</f>
        <v>EAN_PCS</v>
      </c>
      <c r="I882" s="136"/>
    </row>
    <row r="883" ht="15.75" customHeight="1">
      <c r="A883" s="59"/>
      <c r="B883" s="63">
        <f t="shared" si="1"/>
        <v>15</v>
      </c>
      <c r="C883" s="134" t="s">
        <v>105</v>
      </c>
      <c r="D883" s="134" t="s">
        <v>74</v>
      </c>
      <c r="E883" s="135">
        <f t="shared" si="15"/>
        <v>28</v>
      </c>
      <c r="F883" s="134" t="s">
        <v>3622</v>
      </c>
      <c r="G883" s="63" t="str">
        <f>VLOOKUP(C883, 'Class Def. - General Data'!$C$20:$C$1000,1,false)</f>
        <v>ZFG1_COOKINGOIL</v>
      </c>
      <c r="H883" s="63" t="str">
        <f>IFERROR(__xludf.DUMMYFUNCTION("VLOOKUP(F883, IMPORTRANGE(""https://docs.google.com/spreadsheets/d/1Lhp9OU0JdFf_VYSMzH5lBcEaU4o8teT1piV-SNzShjg/edit?gid=554141278#gid=554141278"", ""'Char Def. - Attributes'!C20:C2242""), 1,false)"),"SFG_BRAND")</f>
        <v>SFG_BRAND</v>
      </c>
      <c r="I883" s="136"/>
    </row>
    <row r="884" ht="15.75" customHeight="1">
      <c r="A884" s="59"/>
      <c r="B884" s="63">
        <f t="shared" si="1"/>
        <v>15</v>
      </c>
      <c r="C884" s="134" t="s">
        <v>105</v>
      </c>
      <c r="D884" s="134" t="s">
        <v>74</v>
      </c>
      <c r="E884" s="135">
        <f t="shared" si="15"/>
        <v>29</v>
      </c>
      <c r="F884" s="134" t="s">
        <v>3623</v>
      </c>
      <c r="G884" s="63" t="str">
        <f>VLOOKUP(C884, 'Class Def. - General Data'!$C$20:$C$1000,1,false)</f>
        <v>ZFG1_COOKINGOIL</v>
      </c>
      <c r="H884" s="63" t="str">
        <f>IFERROR(__xludf.DUMMYFUNCTION("VLOOKUP(F884, IMPORTRANGE(""https://docs.google.com/spreadsheets/d/1Lhp9OU0JdFf_VYSMzH5lBcEaU4o8teT1piV-SNzShjg/edit?gid=554141278#gid=554141278"", ""'Char Def. - Attributes'!C20:C2242""), 1,false)"),"LANGUAGE")</f>
        <v>LANGUAGE</v>
      </c>
      <c r="I884" s="136"/>
    </row>
    <row r="885" ht="15.75" customHeight="1">
      <c r="A885" s="59"/>
      <c r="B885" s="63">
        <f t="shared" si="1"/>
        <v>15</v>
      </c>
      <c r="C885" s="139" t="s">
        <v>105</v>
      </c>
      <c r="D885" s="139" t="s">
        <v>74</v>
      </c>
      <c r="E885" s="140">
        <f t="shared" si="15"/>
        <v>30</v>
      </c>
      <c r="F885" s="134" t="s">
        <v>3624</v>
      </c>
      <c r="G885" s="63" t="str">
        <f>VLOOKUP(C885, 'Class Def. - General Data'!$C$20:$C$1000,1,false)</f>
        <v>ZFG1_COOKINGOIL</v>
      </c>
      <c r="H885" s="63" t="str">
        <f>IFERROR(__xludf.DUMMYFUNCTION("VLOOKUP(F885, IMPORTRANGE(""https://docs.google.com/spreadsheets/d/1Lhp9OU0JdFf_VYSMzH5lBcEaU4o8teT1piV-SNzShjg/edit?gid=554141278#gid=554141278"", ""'Char Def. - Attributes'!C20:C2242""), 1,false)"),"#N/A")</f>
        <v>#N/A</v>
      </c>
      <c r="I885" s="136"/>
    </row>
    <row r="886" ht="15.75" customHeight="1">
      <c r="A886" s="59"/>
      <c r="B886" s="63">
        <f t="shared" si="1"/>
        <v>15</v>
      </c>
      <c r="C886" s="134" t="s">
        <v>105</v>
      </c>
      <c r="D886" s="134" t="s">
        <v>74</v>
      </c>
      <c r="E886" s="135">
        <f t="shared" si="15"/>
        <v>31</v>
      </c>
      <c r="F886" s="134" t="s">
        <v>3625</v>
      </c>
      <c r="G886" s="63" t="str">
        <f>VLOOKUP(C886, 'Class Def. - General Data'!$C$20:$C$1000,1,false)</f>
        <v>ZFG1_COOKINGOIL</v>
      </c>
      <c r="H886" s="63" t="str">
        <f>IFERROR(__xludf.DUMMYFUNCTION("VLOOKUP(F886, IMPORTRANGE(""https://docs.google.com/spreadsheets/d/1Lhp9OU0JdFf_VYSMzH5lBcEaU4o8teT1piV-SNzShjg/edit?gid=554141278#gid=554141278"", ""'Char Def. - Attributes'!C20:C2242""), 1,false)"),"REGION_EKSPOR")</f>
        <v>REGION_EKSPOR</v>
      </c>
      <c r="I886" s="136"/>
    </row>
    <row r="887" ht="15.75" customHeight="1">
      <c r="A887" s="59"/>
      <c r="B887" s="63">
        <f t="shared" si="1"/>
        <v>15</v>
      </c>
      <c r="C887" s="134" t="s">
        <v>105</v>
      </c>
      <c r="D887" s="134" t="s">
        <v>74</v>
      </c>
      <c r="E887" s="135">
        <f t="shared" si="15"/>
        <v>32</v>
      </c>
      <c r="F887" s="134" t="s">
        <v>3626</v>
      </c>
      <c r="G887" s="63" t="str">
        <f>VLOOKUP(C887, 'Class Def. - General Data'!$C$20:$C$1000,1,false)</f>
        <v>ZFG1_COOKINGOIL</v>
      </c>
      <c r="H887" s="63" t="str">
        <f>IFERROR(__xludf.DUMMYFUNCTION("VLOOKUP(F887, IMPORTRANGE(""https://docs.google.com/spreadsheets/d/1Lhp9OU0JdFf_VYSMzH5lBcEaU4o8teT1piV-SNzShjg/edit?gid=554141278#gid=554141278"", ""'Char Def. - Attributes'!C20:C2242""), 1,false)"),"STICKER_NOT")</f>
        <v>STICKER_NOT</v>
      </c>
      <c r="I887" s="136"/>
    </row>
    <row r="888" ht="15.75" customHeight="1">
      <c r="A888" s="59"/>
      <c r="B888" s="63">
        <f t="shared" si="1"/>
        <v>15</v>
      </c>
      <c r="C888" s="134" t="s">
        <v>105</v>
      </c>
      <c r="D888" s="134" t="s">
        <v>74</v>
      </c>
      <c r="E888" s="135">
        <f t="shared" si="15"/>
        <v>33</v>
      </c>
      <c r="F888" s="134" t="s">
        <v>3627</v>
      </c>
      <c r="G888" s="63" t="str">
        <f>VLOOKUP(C888, 'Class Def. - General Data'!$C$20:$C$1000,1,false)</f>
        <v>ZFG1_COOKINGOIL</v>
      </c>
      <c r="H888" s="63" t="str">
        <f>IFERROR(__xludf.DUMMYFUNCTION("VLOOKUP(F888, IMPORTRANGE(""https://docs.google.com/spreadsheets/d/1Lhp9OU0JdFf_VYSMzH5lBcEaU4o8teT1piV-SNzShjg/edit?gid=554141278#gid=554141278"", ""'Char Def. - Attributes'!C20:C2242""), 1,false)"),"SHIP_MARK")</f>
        <v>SHIP_MARK</v>
      </c>
      <c r="I888" s="136"/>
    </row>
    <row r="889" ht="15.75" customHeight="1">
      <c r="A889" s="59"/>
      <c r="B889" s="63">
        <f t="shared" si="1"/>
        <v>15</v>
      </c>
      <c r="C889" s="134" t="s">
        <v>105</v>
      </c>
      <c r="D889" s="134" t="s">
        <v>74</v>
      </c>
      <c r="E889" s="135">
        <f t="shared" si="15"/>
        <v>34</v>
      </c>
      <c r="F889" s="134" t="s">
        <v>3628</v>
      </c>
      <c r="G889" s="63" t="str">
        <f>VLOOKUP(C889, 'Class Def. - General Data'!$C$20:$C$1000,1,false)</f>
        <v>ZFG1_COOKINGOIL</v>
      </c>
      <c r="H889" s="63" t="str">
        <f>IFERROR(__xludf.DUMMYFUNCTION("VLOOKUP(F889, IMPORTRANGE(""https://docs.google.com/spreadsheets/d/1Lhp9OU0JdFf_VYSMzH5lBcEaU4o8teT1piV-SNzShjg/edit?gid=554141278#gid=554141278"", ""'Char Def. - Attributes'!C20:C2242""), 1,false)"),"MID_CORE")</f>
        <v>MID_CORE</v>
      </c>
      <c r="I889" s="136"/>
    </row>
    <row r="890" ht="15.75" customHeight="1">
      <c r="A890" s="59"/>
      <c r="B890" s="63">
        <f t="shared" si="1"/>
        <v>15</v>
      </c>
      <c r="C890" s="134" t="s">
        <v>105</v>
      </c>
      <c r="D890" s="134" t="s">
        <v>74</v>
      </c>
      <c r="E890" s="135">
        <f t="shared" si="15"/>
        <v>35</v>
      </c>
      <c r="F890" s="134" t="s">
        <v>3629</v>
      </c>
      <c r="G890" s="63" t="str">
        <f>VLOOKUP(C890, 'Class Def. - General Data'!$C$20:$C$1000,1,false)</f>
        <v>ZFG1_COOKINGOIL</v>
      </c>
      <c r="H890" s="63" t="str">
        <f>IFERROR(__xludf.DUMMYFUNCTION("VLOOKUP(F890, IMPORTRANGE(""https://docs.google.com/spreadsheets/d/1Lhp9OU0JdFf_VYSMzH5lBcEaU4o8teT1piV-SNzShjg/edit?gid=554141278#gid=554141278"", ""'Char Def. - Attributes'!C20:C2242""), 1,false)"),"EAN_CTN")</f>
        <v>EAN_CTN</v>
      </c>
      <c r="I890" s="136"/>
    </row>
    <row r="891" ht="15.75" customHeight="1">
      <c r="A891" s="59"/>
      <c r="B891" s="63">
        <f t="shared" si="1"/>
        <v>15</v>
      </c>
      <c r="C891" s="134" t="s">
        <v>105</v>
      </c>
      <c r="D891" s="134" t="s">
        <v>74</v>
      </c>
      <c r="E891" s="135">
        <f t="shared" si="15"/>
        <v>36</v>
      </c>
      <c r="F891" s="134" t="s">
        <v>3630</v>
      </c>
      <c r="G891" s="63" t="str">
        <f>VLOOKUP(C891, 'Class Def. - General Data'!$C$20:$C$1000,1,false)</f>
        <v>ZFG1_COOKINGOIL</v>
      </c>
      <c r="H891" s="63" t="str">
        <f>IFERROR(__xludf.DUMMYFUNCTION("VLOOKUP(F891, IMPORTRANGE(""https://docs.google.com/spreadsheets/d/1Lhp9OU0JdFf_VYSMzH5lBcEaU4o8teT1piV-SNzShjg/edit?gid=554141278#gid=554141278"", ""'Char Def. - Attributes'!C20:C2242""), 1,false)"),"EAN_BOX")</f>
        <v>EAN_BOX</v>
      </c>
      <c r="I891" s="136"/>
    </row>
    <row r="892" ht="15.75" customHeight="1">
      <c r="A892" s="59"/>
      <c r="B892" s="63">
        <f t="shared" si="1"/>
        <v>15</v>
      </c>
      <c r="C892" s="134" t="s">
        <v>105</v>
      </c>
      <c r="D892" s="141" t="s">
        <v>74</v>
      </c>
      <c r="E892" s="135">
        <v>22.0</v>
      </c>
      <c r="F892" s="135" t="s">
        <v>3603</v>
      </c>
      <c r="G892" s="63" t="str">
        <f>VLOOKUP(C892, 'Class Def. - General Data'!$C$20:$C$1000,1,false)</f>
        <v>ZFG1_COOKINGOIL</v>
      </c>
      <c r="I892" s="136"/>
    </row>
    <row r="893" ht="15.75" customHeight="1">
      <c r="A893" s="59"/>
      <c r="B893" s="63">
        <f t="shared" si="1"/>
        <v>13</v>
      </c>
      <c r="C893" s="134" t="s">
        <v>106</v>
      </c>
      <c r="D893" s="134" t="s">
        <v>74</v>
      </c>
      <c r="E893" s="135">
        <f t="shared" ref="E893:E928" si="16">COUNTIF($C$20:C893,C893)</f>
        <v>1</v>
      </c>
      <c r="F893" s="134" t="s">
        <v>3665</v>
      </c>
      <c r="G893" s="63" t="str">
        <f>VLOOKUP(C893, 'Class Def. - General Data'!$C$20:$C$1000,1,false)</f>
        <v>ZFG1_CREAMDET</v>
      </c>
      <c r="H893" s="63" t="str">
        <f>IFERROR(__xludf.DUMMYFUNCTION("VLOOKUP(F893, IMPORTRANGE(""https://docs.google.com/spreadsheets/d/1Lhp9OU0JdFf_VYSMzH5lBcEaU4o8teT1piV-SNzShjg/edit?gid=554141278#gid=554141278"", ""'Char Def. - Attributes'!C20:C2242""), 1,false)"),"BRAND_CREAMDET")</f>
        <v>BRAND_CREAMDET</v>
      </c>
      <c r="I893" s="136"/>
    </row>
    <row r="894" ht="15.75" customHeight="1">
      <c r="A894" s="59"/>
      <c r="B894" s="63">
        <f t="shared" si="1"/>
        <v>13</v>
      </c>
      <c r="C894" s="135" t="s">
        <v>106</v>
      </c>
      <c r="D894" s="134" t="s">
        <v>74</v>
      </c>
      <c r="E894" s="135">
        <f t="shared" si="16"/>
        <v>2</v>
      </c>
      <c r="F894" s="134" t="s">
        <v>3666</v>
      </c>
      <c r="G894" s="63" t="str">
        <f>VLOOKUP(C894, 'Class Def. - General Data'!$C$20:$C$1000,1,false)</f>
        <v>ZFG1_CREAMDET</v>
      </c>
      <c r="H894" s="63" t="str">
        <f>IFERROR(__xludf.DUMMYFUNCTION("VLOOKUP(F894, IMPORTRANGE(""https://docs.google.com/spreadsheets/d/1Lhp9OU0JdFf_VYSMzH5lBcEaU4o8teT1piV-SNzShjg/edit?gid=554141278#gid=554141278"", ""'Char Def. - Attributes'!C20:C2242""), 1,false)"),"PSHAPE_CREAMDET")</f>
        <v>PSHAPE_CREAMDET</v>
      </c>
      <c r="I894" s="136"/>
    </row>
    <row r="895" ht="15.75" customHeight="1">
      <c r="A895" s="59"/>
      <c r="B895" s="63">
        <f t="shared" si="1"/>
        <v>13</v>
      </c>
      <c r="C895" s="134" t="s">
        <v>106</v>
      </c>
      <c r="D895" s="134" t="s">
        <v>74</v>
      </c>
      <c r="E895" s="135">
        <f t="shared" si="16"/>
        <v>3</v>
      </c>
      <c r="F895" s="134" t="s">
        <v>3605</v>
      </c>
      <c r="G895" s="63" t="str">
        <f>VLOOKUP(C895, 'Class Def. - General Data'!$C$20:$C$1000,1,false)</f>
        <v>ZFG1_CREAMDET</v>
      </c>
      <c r="H895" s="63" t="str">
        <f>IFERROR(__xludf.DUMMYFUNCTION("VLOOKUP(F895, IMPORTRANGE(""https://docs.google.com/spreadsheets/d/1Lhp9OU0JdFf_VYSMzH5lBcEaU4o8teT1piV-SNzShjg/edit?gid=554141278#gid=554141278"", ""'Char Def. - Attributes'!C20:C2242""), 1,false)"),"PACK_NETTO")</f>
        <v>PACK_NETTO</v>
      </c>
      <c r="I895" s="136"/>
    </row>
    <row r="896" ht="15.75" customHeight="1">
      <c r="A896" s="59"/>
      <c r="B896" s="63">
        <f t="shared" si="1"/>
        <v>13</v>
      </c>
      <c r="C896" s="135" t="s">
        <v>106</v>
      </c>
      <c r="D896" s="134" t="s">
        <v>74</v>
      </c>
      <c r="E896" s="135">
        <f t="shared" si="16"/>
        <v>4</v>
      </c>
      <c r="F896" s="134" t="s">
        <v>3667</v>
      </c>
      <c r="G896" s="63" t="str">
        <f>VLOOKUP(C896, 'Class Def. - General Data'!$C$20:$C$1000,1,false)</f>
        <v>ZFG1_CREAMDET</v>
      </c>
      <c r="H896" s="63" t="str">
        <f>IFERROR(__xludf.DUMMYFUNCTION("VLOOKUP(F896, IMPORTRANGE(""https://docs.google.com/spreadsheets/d/1Lhp9OU0JdFf_VYSMzH5lBcEaU4o8teT1piV-SNzShjg/edit?gid=554141278#gid=554141278"", ""'Char Def. - Attributes'!C20:C2242""), 1,false)"),"PUOM_CREAMDET")</f>
        <v>PUOM_CREAMDET</v>
      </c>
      <c r="I896" s="136"/>
    </row>
    <row r="897" ht="15.75" customHeight="1">
      <c r="A897" s="59"/>
      <c r="B897" s="63">
        <f t="shared" si="1"/>
        <v>13</v>
      </c>
      <c r="C897" s="134" t="s">
        <v>106</v>
      </c>
      <c r="D897" s="134" t="s">
        <v>74</v>
      </c>
      <c r="E897" s="135">
        <f t="shared" si="16"/>
        <v>5</v>
      </c>
      <c r="F897" s="134" t="s">
        <v>3607</v>
      </c>
      <c r="G897" s="63" t="str">
        <f>VLOOKUP(C897, 'Class Def. - General Data'!$C$20:$C$1000,1,false)</f>
        <v>ZFG1_CREAMDET</v>
      </c>
      <c r="H897" s="63" t="str">
        <f>IFERROR(__xludf.DUMMYFUNCTION("VLOOKUP(F897, IMPORTRANGE(""https://docs.google.com/spreadsheets/d/1Lhp9OU0JdFf_VYSMzH5lBcEaU4o8teT1piV-SNzShjg/edit?gid=554141278#gid=554141278"", ""'Char Def. - Attributes'!C20:C2242""), 1,false)"),"VARIAN")</f>
        <v>VARIAN</v>
      </c>
      <c r="I897" s="136"/>
    </row>
    <row r="898" ht="15.75" customHeight="1">
      <c r="A898" s="59"/>
      <c r="B898" s="63">
        <f t="shared" si="1"/>
        <v>13</v>
      </c>
      <c r="C898" s="134" t="s">
        <v>106</v>
      </c>
      <c r="D898" s="134" t="s">
        <v>74</v>
      </c>
      <c r="E898" s="135">
        <f t="shared" si="16"/>
        <v>6</v>
      </c>
      <c r="F898" s="134" t="s">
        <v>3608</v>
      </c>
      <c r="G898" s="63" t="str">
        <f>VLOOKUP(C898, 'Class Def. - General Data'!$C$20:$C$1000,1,false)</f>
        <v>ZFG1_CREAMDET</v>
      </c>
      <c r="H898" s="63" t="str">
        <f>IFERROR(__xludf.DUMMYFUNCTION("VLOOKUP(F898, IMPORTRANGE(""https://docs.google.com/spreadsheets/d/1Lhp9OU0JdFf_VYSMzH5lBcEaU4o8teT1piV-SNzShjg/edit?gid=554141278#gid=554141278"", ""'Char Def. - Attributes'!C20:C2242""), 1,false)"),"PROJECT_NAME")</f>
        <v>PROJECT_NAME</v>
      </c>
      <c r="I898" s="136"/>
    </row>
    <row r="899" ht="15.75" customHeight="1">
      <c r="A899" s="59"/>
      <c r="B899" s="63">
        <f t="shared" si="1"/>
        <v>13</v>
      </c>
      <c r="C899" s="134" t="s">
        <v>106</v>
      </c>
      <c r="D899" s="134" t="s">
        <v>74</v>
      </c>
      <c r="E899" s="135">
        <f t="shared" si="16"/>
        <v>7</v>
      </c>
      <c r="F899" s="134" t="s">
        <v>3609</v>
      </c>
      <c r="G899" s="63" t="str">
        <f>VLOOKUP(C899, 'Class Def. - General Data'!$C$20:$C$1000,1,false)</f>
        <v>ZFG1_CREAMDET</v>
      </c>
      <c r="H899" s="63" t="str">
        <f>IFERROR(__xludf.DUMMYFUNCTION("VLOOKUP(F899, IMPORTRANGE(""https://docs.google.com/spreadsheets/d/1Lhp9OU0JdFf_VYSMzH5lBcEaU4o8teT1piV-SNzShjg/edit?gid=554141278#gid=554141278"", ""'Char Def. - Attributes'!C20:C2242""), 1,false)"),"ADDITIONAL_PROMO")</f>
        <v>ADDITIONAL_PROMO</v>
      </c>
      <c r="I899" s="136"/>
    </row>
    <row r="900" ht="15.75" customHeight="1">
      <c r="A900" s="59"/>
      <c r="B900" s="63">
        <f t="shared" si="1"/>
        <v>13</v>
      </c>
      <c r="C900" s="134" t="s">
        <v>106</v>
      </c>
      <c r="D900" s="134" t="s">
        <v>74</v>
      </c>
      <c r="E900" s="135">
        <f t="shared" si="16"/>
        <v>8</v>
      </c>
      <c r="F900" s="134" t="s">
        <v>3610</v>
      </c>
      <c r="G900" s="63" t="str">
        <f>VLOOKUP(C900, 'Class Def. - General Data'!$C$20:$C$1000,1,false)</f>
        <v>ZFG1_CREAMDET</v>
      </c>
      <c r="H900" s="63" t="str">
        <f>IFERROR(__xludf.DUMMYFUNCTION("VLOOKUP(F900, IMPORTRANGE(""https://docs.google.com/spreadsheets/d/1Lhp9OU0JdFf_VYSMzH5lBcEaU4o8teT1piV-SNzShjg/edit?gid=554141278#gid=554141278"", ""'Char Def. - Attributes'!C20:C2242""), 1,false)"),"BANDED_PROMO")</f>
        <v>BANDED_PROMO</v>
      </c>
      <c r="I900" s="136"/>
    </row>
    <row r="901" ht="15.75" customHeight="1">
      <c r="A901" s="59"/>
      <c r="B901" s="63">
        <f t="shared" si="1"/>
        <v>13</v>
      </c>
      <c r="C901" s="134" t="s">
        <v>106</v>
      </c>
      <c r="D901" s="134" t="s">
        <v>74</v>
      </c>
      <c r="E901" s="135">
        <f t="shared" si="16"/>
        <v>9</v>
      </c>
      <c r="F901" s="134" t="s">
        <v>3611</v>
      </c>
      <c r="G901" s="63" t="str">
        <f>VLOOKUP(C901, 'Class Def. - General Data'!$C$20:$C$1000,1,false)</f>
        <v>ZFG1_CREAMDET</v>
      </c>
      <c r="H901" s="63" t="str">
        <f>IFERROR(__xludf.DUMMYFUNCTION("VLOOKUP(F901, IMPORTRANGE(""https://docs.google.com/spreadsheets/d/1Lhp9OU0JdFf_VYSMzH5lBcEaU4o8teT1piV-SNzShjg/edit?gid=554141278#gid=554141278"", ""'Char Def. - Attributes'!C20:C2242""), 1,false)"),"LOKAL_EKSPOR")</f>
        <v>LOKAL_EKSPOR</v>
      </c>
      <c r="I901" s="136"/>
    </row>
    <row r="902" ht="15.75" customHeight="1">
      <c r="A902" s="59"/>
      <c r="B902" s="63">
        <f t="shared" si="1"/>
        <v>13</v>
      </c>
      <c r="C902" s="134" t="s">
        <v>106</v>
      </c>
      <c r="D902" s="134" t="s">
        <v>74</v>
      </c>
      <c r="E902" s="135">
        <f t="shared" si="16"/>
        <v>10</v>
      </c>
      <c r="F902" s="134" t="s">
        <v>3612</v>
      </c>
      <c r="G902" s="63" t="str">
        <f>VLOOKUP(C902, 'Class Def. - General Data'!$C$20:$C$1000,1,false)</f>
        <v>ZFG1_CREAMDET</v>
      </c>
      <c r="H902" s="63" t="str">
        <f>IFERROR(__xludf.DUMMYFUNCTION("VLOOKUP(F902, IMPORTRANGE(""https://docs.google.com/spreadsheets/d/1Lhp9OU0JdFf_VYSMzH5lBcEaU4o8teT1piV-SNzShjg/edit?gid=554141278#gid=554141278"", ""'Char Def. - Attributes'!C20:C2242""), 1,false)"),"COUNTRY_EKSPOR")</f>
        <v>COUNTRY_EKSPOR</v>
      </c>
      <c r="I902" s="136"/>
    </row>
    <row r="903" ht="15.75" customHeight="1">
      <c r="A903" s="59"/>
      <c r="B903" s="63">
        <f t="shared" si="1"/>
        <v>13</v>
      </c>
      <c r="C903" s="134" t="s">
        <v>106</v>
      </c>
      <c r="D903" s="134" t="s">
        <v>74</v>
      </c>
      <c r="E903" s="135">
        <f t="shared" si="16"/>
        <v>11</v>
      </c>
      <c r="F903" s="134" t="s">
        <v>3613</v>
      </c>
      <c r="G903" s="63" t="str">
        <f>VLOOKUP(C903, 'Class Def. - General Data'!$C$20:$C$1000,1,false)</f>
        <v>ZFG1_CREAMDET</v>
      </c>
      <c r="H903" s="63" t="str">
        <f>IFERROR(__xludf.DUMMYFUNCTION("VLOOKUP(F903, IMPORTRANGE(""https://docs.google.com/spreadsheets/d/1Lhp9OU0JdFf_VYSMzH5lBcEaU4o8teT1piV-SNzShjg/edit?gid=554141278#gid=554141278"", ""'Char Def. - Attributes'!C20:C2242""), 1,false)"),"WARNA_SFG")</f>
        <v>WARNA_SFG</v>
      </c>
      <c r="I903" s="136"/>
    </row>
    <row r="904" ht="15.75" customHeight="1">
      <c r="A904" s="59"/>
      <c r="B904" s="63">
        <f t="shared" si="1"/>
        <v>13</v>
      </c>
      <c r="C904" s="134" t="s">
        <v>106</v>
      </c>
      <c r="D904" s="134" t="s">
        <v>74</v>
      </c>
      <c r="E904" s="135">
        <f t="shared" si="16"/>
        <v>12</v>
      </c>
      <c r="F904" s="134" t="s">
        <v>3582</v>
      </c>
      <c r="G904" s="63" t="str">
        <f>VLOOKUP(C904, 'Class Def. - General Data'!$C$20:$C$1000,1,false)</f>
        <v>ZFG1_CREAMDET</v>
      </c>
      <c r="H904" s="63" t="str">
        <f>IFERROR(__xludf.DUMMYFUNCTION("VLOOKUP(F904, IMPORTRANGE(""https://docs.google.com/spreadsheets/d/1Lhp9OU0JdFf_VYSMzH5lBcEaU4o8teT1piV-SNzShjg/edit?gid=554141278#gid=554141278"", ""'Char Def. - Attributes'!C20:C2242""), 1,false)"),"BASE_UNIT")</f>
        <v>BASE_UNIT</v>
      </c>
      <c r="I904" s="136"/>
    </row>
    <row r="905" ht="15.75" customHeight="1">
      <c r="A905" s="59"/>
      <c r="B905" s="63">
        <f t="shared" si="1"/>
        <v>13</v>
      </c>
      <c r="C905" s="134" t="s">
        <v>106</v>
      </c>
      <c r="D905" s="134" t="s">
        <v>74</v>
      </c>
      <c r="E905" s="135">
        <f t="shared" si="16"/>
        <v>13</v>
      </c>
      <c r="F905" s="134" t="s">
        <v>3583</v>
      </c>
      <c r="G905" s="63" t="str">
        <f>VLOOKUP(C905, 'Class Def. - General Data'!$C$20:$C$1000,1,false)</f>
        <v>ZFG1_CREAMDET</v>
      </c>
      <c r="H905" s="63" t="str">
        <f>IFERROR(__xludf.DUMMYFUNCTION("VLOOKUP(F905, IMPORTRANGE(""https://docs.google.com/spreadsheets/d/1Lhp9OU0JdFf_VYSMzH5lBcEaU4o8teT1piV-SNzShjg/edit?gid=554141278#gid=554141278"", ""'Char Def. - Attributes'!C20:C2242""), 1,false)"),"SALES_UNIT")</f>
        <v>SALES_UNIT</v>
      </c>
      <c r="I905" s="136"/>
    </row>
    <row r="906" ht="15.75" customHeight="1">
      <c r="A906" s="59"/>
      <c r="B906" s="63">
        <f t="shared" si="1"/>
        <v>13</v>
      </c>
      <c r="C906" s="134" t="s">
        <v>106</v>
      </c>
      <c r="D906" s="134" t="s">
        <v>74</v>
      </c>
      <c r="E906" s="135">
        <f t="shared" si="16"/>
        <v>14</v>
      </c>
      <c r="F906" s="134" t="s">
        <v>3601</v>
      </c>
      <c r="G906" s="63" t="str">
        <f>VLOOKUP(C906, 'Class Def. - General Data'!$C$20:$C$1000,1,false)</f>
        <v>ZFG1_CREAMDET</v>
      </c>
      <c r="H906" s="63" t="str">
        <f>IFERROR(__xludf.DUMMYFUNCTION("VLOOKUP(F906, IMPORTRANGE(""https://docs.google.com/spreadsheets/d/1Lhp9OU0JdFf_VYSMzH5lBcEaU4o8teT1piV-SNzShjg/edit?gid=554141278#gid=554141278"", ""'Char Def. - Attributes'!C20:C2242""), 1,false)"),"GROSS_WEIGHT")</f>
        <v>GROSS_WEIGHT</v>
      </c>
      <c r="I906" s="136"/>
    </row>
    <row r="907" ht="15.75" customHeight="1">
      <c r="A907" s="59"/>
      <c r="B907" s="63">
        <f t="shared" si="1"/>
        <v>13</v>
      </c>
      <c r="C907" s="134" t="s">
        <v>106</v>
      </c>
      <c r="D907" s="134" t="s">
        <v>74</v>
      </c>
      <c r="E907" s="135">
        <f t="shared" si="16"/>
        <v>15</v>
      </c>
      <c r="F907" s="134" t="s">
        <v>3602</v>
      </c>
      <c r="G907" s="63" t="str">
        <f>VLOOKUP(C907, 'Class Def. - General Data'!$C$20:$C$1000,1,false)</f>
        <v>ZFG1_CREAMDET</v>
      </c>
      <c r="H907" s="63" t="str">
        <f>IFERROR(__xludf.DUMMYFUNCTION("VLOOKUP(F907, IMPORTRANGE(""https://docs.google.com/spreadsheets/d/1Lhp9OU0JdFf_VYSMzH5lBcEaU4o8teT1piV-SNzShjg/edit?gid=554141278#gid=554141278"", ""'Char Def. - Attributes'!C20:C2242""), 1,false)"),"NET_WEIGHT")</f>
        <v>NET_WEIGHT</v>
      </c>
      <c r="I907" s="136"/>
    </row>
    <row r="908" ht="15.75" customHeight="1">
      <c r="A908" s="59"/>
      <c r="B908" s="63">
        <f t="shared" si="1"/>
        <v>13</v>
      </c>
      <c r="C908" s="134" t="s">
        <v>106</v>
      </c>
      <c r="D908" s="134" t="s">
        <v>74</v>
      </c>
      <c r="E908" s="135">
        <f t="shared" si="16"/>
        <v>16</v>
      </c>
      <c r="F908" s="134" t="s">
        <v>3584</v>
      </c>
      <c r="G908" s="63" t="str">
        <f>VLOOKUP(C908, 'Class Def. - General Data'!$C$20:$C$1000,1,false)</f>
        <v>ZFG1_CREAMDET</v>
      </c>
      <c r="H908" s="63" t="str">
        <f>IFERROR(__xludf.DUMMYFUNCTION("VLOOKUP(F908, IMPORTRANGE(""https://docs.google.com/spreadsheets/d/1Lhp9OU0JdFf_VYSMzH5lBcEaU4o8teT1piV-SNzShjg/edit?gid=554141278#gid=554141278"", ""'Char Def. - Attributes'!C20:C2242""), 1,false)"),"UNIT_PER_BOX")</f>
        <v>UNIT_PER_BOX</v>
      </c>
      <c r="I908" s="136"/>
    </row>
    <row r="909" ht="15.75" customHeight="1">
      <c r="A909" s="59"/>
      <c r="B909" s="63">
        <f t="shared" si="1"/>
        <v>13</v>
      </c>
      <c r="C909" s="134" t="s">
        <v>106</v>
      </c>
      <c r="D909" s="134" t="s">
        <v>74</v>
      </c>
      <c r="E909" s="135">
        <f t="shared" si="16"/>
        <v>17</v>
      </c>
      <c r="F909" s="134" t="s">
        <v>3614</v>
      </c>
      <c r="G909" s="63" t="str">
        <f>VLOOKUP(C909, 'Class Def. - General Data'!$C$20:$C$1000,1,false)</f>
        <v>ZFG1_CREAMDET</v>
      </c>
      <c r="H909" s="63" t="str">
        <f>IFERROR(__xludf.DUMMYFUNCTION("VLOOKUP(F909, IMPORTRANGE(""https://docs.google.com/spreadsheets/d/1Lhp9OU0JdFf_VYSMzH5lBcEaU4o8teT1piV-SNzShjg/edit?gid=554141278#gid=554141278"", ""'Char Def. - Attributes'!C20:C2242""), 1,false)"),"UNIT_PER_CTN")</f>
        <v>UNIT_PER_CTN</v>
      </c>
      <c r="I909" s="136"/>
    </row>
    <row r="910" ht="15.75" customHeight="1">
      <c r="A910" s="59"/>
      <c r="B910" s="63">
        <f t="shared" si="1"/>
        <v>13</v>
      </c>
      <c r="C910" s="134" t="s">
        <v>106</v>
      </c>
      <c r="D910" s="134" t="s">
        <v>74</v>
      </c>
      <c r="E910" s="135">
        <f t="shared" si="16"/>
        <v>18</v>
      </c>
      <c r="F910" s="134" t="s">
        <v>3615</v>
      </c>
      <c r="G910" s="63" t="str">
        <f>VLOOKUP(C910, 'Class Def. - General Data'!$C$20:$C$1000,1,false)</f>
        <v>ZFG1_CREAMDET</v>
      </c>
      <c r="H910" s="63" t="str">
        <f>IFERROR(__xludf.DUMMYFUNCTION("VLOOKUP(F910, IMPORTRANGE(""https://docs.google.com/spreadsheets/d/1Lhp9OU0JdFf_VYSMzH5lBcEaU4o8teT1piV-SNzShjg/edit?gid=554141278#gid=554141278"", ""'Char Def. - Attributes'!C20:C2242""), 1,false)"),"UNIT_PER_BAG")</f>
        <v>UNIT_PER_BAG</v>
      </c>
      <c r="I910" s="136"/>
    </row>
    <row r="911" ht="15.75" customHeight="1">
      <c r="A911" s="59"/>
      <c r="B911" s="63">
        <f t="shared" si="1"/>
        <v>13</v>
      </c>
      <c r="C911" s="134" t="s">
        <v>106</v>
      </c>
      <c r="D911" s="134" t="s">
        <v>74</v>
      </c>
      <c r="E911" s="135">
        <f t="shared" si="16"/>
        <v>19</v>
      </c>
      <c r="F911" s="134" t="s">
        <v>3616</v>
      </c>
      <c r="G911" s="63" t="str">
        <f>VLOOKUP(C911, 'Class Def. - General Data'!$C$20:$C$1000,1,false)</f>
        <v>ZFG1_CREAMDET</v>
      </c>
      <c r="H911" s="63" t="str">
        <f>IFERROR(__xludf.DUMMYFUNCTION("VLOOKUP(F911, IMPORTRANGE(""https://docs.google.com/spreadsheets/d/1Lhp9OU0JdFf_VYSMzH5lBcEaU4o8teT1piV-SNzShjg/edit?gid=554141278#gid=554141278"", ""'Char Def. - Attributes'!C20:C2242""), 1,false)"),"UNIT_PER_PAL")</f>
        <v>UNIT_PER_PAL</v>
      </c>
      <c r="I911" s="136"/>
    </row>
    <row r="912" ht="15.75" customHeight="1">
      <c r="A912" s="59"/>
      <c r="B912" s="63">
        <f t="shared" si="1"/>
        <v>13</v>
      </c>
      <c r="C912" s="134" t="s">
        <v>106</v>
      </c>
      <c r="D912" s="134" t="s">
        <v>74</v>
      </c>
      <c r="E912" s="135">
        <f t="shared" si="16"/>
        <v>20</v>
      </c>
      <c r="F912" s="134" t="s">
        <v>3617</v>
      </c>
      <c r="G912" s="63" t="str">
        <f>VLOOKUP(C912, 'Class Def. - General Data'!$C$20:$C$1000,1,false)</f>
        <v>ZFG1_CREAMDET</v>
      </c>
      <c r="H912" s="63" t="str">
        <f>IFERROR(__xludf.DUMMYFUNCTION("VLOOKUP(F912, IMPORTRANGE(""https://docs.google.com/spreadsheets/d/1Lhp9OU0JdFf_VYSMzH5lBcEaU4o8teT1piV-SNzShjg/edit?gid=554141278#gid=554141278"", ""'Char Def. - Attributes'!C20:C2242""), 1,false)"),"UNIT_PER_TIER")</f>
        <v>UNIT_PER_TIER</v>
      </c>
      <c r="I912" s="136"/>
    </row>
    <row r="913" ht="15.75" customHeight="1">
      <c r="A913" s="59"/>
      <c r="B913" s="63">
        <f t="shared" si="1"/>
        <v>13</v>
      </c>
      <c r="C913" s="134" t="s">
        <v>106</v>
      </c>
      <c r="D913" s="134" t="s">
        <v>74</v>
      </c>
      <c r="E913" s="135">
        <f t="shared" si="16"/>
        <v>21</v>
      </c>
      <c r="F913" s="134" t="s">
        <v>3618</v>
      </c>
      <c r="G913" s="63" t="str">
        <f>VLOOKUP(C913, 'Class Def. - General Data'!$C$20:$C$1000,1,false)</f>
        <v>ZFG1_CREAMDET</v>
      </c>
      <c r="H913" s="63" t="str">
        <f>IFERROR(__xludf.DUMMYFUNCTION("VLOOKUP(F913, IMPORTRANGE(""https://docs.google.com/spreadsheets/d/1Lhp9OU0JdFf_VYSMzH5lBcEaU4o8teT1piV-SNzShjg/edit?gid=554141278#gid=554141278"", ""'Char Def. - Attributes'!C20:C2242""), 1,false)"),"HEIGHT")</f>
        <v>HEIGHT</v>
      </c>
      <c r="I913" s="136"/>
    </row>
    <row r="914" ht="15.75" customHeight="1">
      <c r="A914" s="59"/>
      <c r="B914" s="63">
        <f t="shared" si="1"/>
        <v>13</v>
      </c>
      <c r="C914" s="134" t="s">
        <v>106</v>
      </c>
      <c r="D914" s="134" t="s">
        <v>74</v>
      </c>
      <c r="E914" s="135">
        <f t="shared" si="16"/>
        <v>22</v>
      </c>
      <c r="F914" s="134" t="s">
        <v>3587</v>
      </c>
      <c r="G914" s="63" t="str">
        <f>VLOOKUP(C914, 'Class Def. - General Data'!$C$20:$C$1000,1,false)</f>
        <v>ZFG1_CREAMDET</v>
      </c>
      <c r="H914" s="63" t="str">
        <f>IFERROR(__xludf.DUMMYFUNCTION("VLOOKUP(F914, IMPORTRANGE(""https://docs.google.com/spreadsheets/d/1Lhp9OU0JdFf_VYSMzH5lBcEaU4o8teT1piV-SNzShjg/edit?gid=554141278#gid=554141278"", ""'Char Def. - Attributes'!C20:C2242""), 1,false)"),"PLANT_BUY")</f>
        <v>PLANT_BUY</v>
      </c>
      <c r="I914" s="136"/>
    </row>
    <row r="915" ht="15.75" customHeight="1">
      <c r="A915" s="59"/>
      <c r="B915" s="63">
        <f t="shared" si="1"/>
        <v>13</v>
      </c>
      <c r="C915" s="134" t="s">
        <v>106</v>
      </c>
      <c r="D915" s="134" t="s">
        <v>74</v>
      </c>
      <c r="E915" s="135">
        <f t="shared" si="16"/>
        <v>23</v>
      </c>
      <c r="F915" s="134" t="s">
        <v>3619</v>
      </c>
      <c r="G915" s="63" t="str">
        <f>VLOOKUP(C915, 'Class Def. - General Data'!$C$20:$C$1000,1,false)</f>
        <v>ZFG1_CREAMDET</v>
      </c>
      <c r="H915" s="63" t="str">
        <f>IFERROR(__xludf.DUMMYFUNCTION("VLOOKUP(F915, IMPORTRANGE(""https://docs.google.com/spreadsheets/d/1Lhp9OU0JdFf_VYSMzH5lBcEaU4o8teT1piV-SNzShjg/edit?gid=554141278#gid=554141278"", ""'Char Def. - Attributes'!C20:C2242""), 1,false)"),"LENGTH")</f>
        <v>LENGTH</v>
      </c>
      <c r="I915" s="136"/>
    </row>
    <row r="916" ht="15.75" customHeight="1">
      <c r="A916" s="59"/>
      <c r="B916" s="63">
        <f t="shared" si="1"/>
        <v>13</v>
      </c>
      <c r="C916" s="134" t="s">
        <v>106</v>
      </c>
      <c r="D916" s="134" t="s">
        <v>74</v>
      </c>
      <c r="E916" s="135">
        <f t="shared" si="16"/>
        <v>24</v>
      </c>
      <c r="F916" s="134" t="s">
        <v>3586</v>
      </c>
      <c r="G916" s="63" t="str">
        <f>VLOOKUP(C916, 'Class Def. - General Data'!$C$20:$C$1000,1,false)</f>
        <v>ZFG1_CREAMDET</v>
      </c>
      <c r="H916" s="63" t="str">
        <f>IFERROR(__xludf.DUMMYFUNCTION("VLOOKUP(F916, IMPORTRANGE(""https://docs.google.com/spreadsheets/d/1Lhp9OU0JdFf_VYSMzH5lBcEaU4o8teT1piV-SNzShjg/edit?gid=554141278#gid=554141278"", ""'Char Def. - Attributes'!C20:C2242""), 1,false)"),"PLANT_PROD")</f>
        <v>PLANT_PROD</v>
      </c>
      <c r="I916" s="136"/>
    </row>
    <row r="917" ht="15.75" customHeight="1">
      <c r="A917" s="59"/>
      <c r="B917" s="63">
        <f t="shared" si="1"/>
        <v>13</v>
      </c>
      <c r="C917" s="134" t="s">
        <v>106</v>
      </c>
      <c r="D917" s="134" t="s">
        <v>74</v>
      </c>
      <c r="E917" s="135">
        <f t="shared" si="16"/>
        <v>25</v>
      </c>
      <c r="F917" s="134" t="s">
        <v>3620</v>
      </c>
      <c r="G917" s="63" t="str">
        <f>VLOOKUP(C917, 'Class Def. - General Data'!$C$20:$C$1000,1,false)</f>
        <v>ZFG1_CREAMDET</v>
      </c>
      <c r="H917" s="63" t="str">
        <f>IFERROR(__xludf.DUMMYFUNCTION("VLOOKUP(F917, IMPORTRANGE(""https://docs.google.com/spreadsheets/d/1Lhp9OU0JdFf_VYSMzH5lBcEaU4o8teT1piV-SNzShjg/edit?gid=554141278#gid=554141278"", ""'Char Def. - Attributes'!C20:C2242""), 1,false)"),"WIDTH")</f>
        <v>WIDTH</v>
      </c>
      <c r="I917" s="136"/>
    </row>
    <row r="918" ht="15.75" customHeight="1">
      <c r="A918" s="59"/>
      <c r="B918" s="63">
        <f t="shared" si="1"/>
        <v>13</v>
      </c>
      <c r="C918" s="134" t="s">
        <v>106</v>
      </c>
      <c r="D918" s="134" t="s">
        <v>74</v>
      </c>
      <c r="E918" s="135">
        <f t="shared" si="16"/>
        <v>26</v>
      </c>
      <c r="F918" s="134" t="s">
        <v>3585</v>
      </c>
      <c r="G918" s="63" t="str">
        <f>VLOOKUP(C918, 'Class Def. - General Data'!$C$20:$C$1000,1,false)</f>
        <v>ZFG1_CREAMDET</v>
      </c>
      <c r="H918" s="63" t="str">
        <f>IFERROR(__xludf.DUMMYFUNCTION("VLOOKUP(F918, IMPORTRANGE(""https://docs.google.com/spreadsheets/d/1Lhp9OU0JdFf_VYSMzH5lBcEaU4o8teT1piV-SNzShjg/edit?gid=554141278#gid=554141278"", ""'Char Def. - Attributes'!C20:C2242""), 1,false)"),"HS_CODE")</f>
        <v>HS_CODE</v>
      </c>
      <c r="I918" s="136"/>
    </row>
    <row r="919" ht="15.75" customHeight="1">
      <c r="A919" s="59"/>
      <c r="B919" s="63">
        <f t="shared" si="1"/>
        <v>13</v>
      </c>
      <c r="C919" s="134" t="s">
        <v>106</v>
      </c>
      <c r="D919" s="134" t="s">
        <v>74</v>
      </c>
      <c r="E919" s="135">
        <f t="shared" si="16"/>
        <v>27</v>
      </c>
      <c r="F919" s="134" t="s">
        <v>3621</v>
      </c>
      <c r="G919" s="63" t="str">
        <f>VLOOKUP(C919, 'Class Def. - General Data'!$C$20:$C$1000,1,false)</f>
        <v>ZFG1_CREAMDET</v>
      </c>
      <c r="H919" s="63" t="str">
        <f>IFERROR(__xludf.DUMMYFUNCTION("VLOOKUP(F919, IMPORTRANGE(""https://docs.google.com/spreadsheets/d/1Lhp9OU0JdFf_VYSMzH5lBcEaU4o8teT1piV-SNzShjg/edit?gid=554141278#gid=554141278"", ""'Char Def. - Attributes'!C20:C2242""), 1,false)"),"EAN_PCS")</f>
        <v>EAN_PCS</v>
      </c>
      <c r="I919" s="136"/>
    </row>
    <row r="920" ht="15.75" customHeight="1">
      <c r="A920" s="59"/>
      <c r="B920" s="63">
        <f t="shared" si="1"/>
        <v>13</v>
      </c>
      <c r="C920" s="134" t="s">
        <v>106</v>
      </c>
      <c r="D920" s="134" t="s">
        <v>74</v>
      </c>
      <c r="E920" s="135">
        <f t="shared" si="16"/>
        <v>28</v>
      </c>
      <c r="F920" s="134" t="s">
        <v>3622</v>
      </c>
      <c r="G920" s="63" t="str">
        <f>VLOOKUP(C920, 'Class Def. - General Data'!$C$20:$C$1000,1,false)</f>
        <v>ZFG1_CREAMDET</v>
      </c>
      <c r="H920" s="63" t="str">
        <f>IFERROR(__xludf.DUMMYFUNCTION("VLOOKUP(F920, IMPORTRANGE(""https://docs.google.com/spreadsheets/d/1Lhp9OU0JdFf_VYSMzH5lBcEaU4o8teT1piV-SNzShjg/edit?gid=554141278#gid=554141278"", ""'Char Def. - Attributes'!C20:C2242""), 1,false)"),"SFG_BRAND")</f>
        <v>SFG_BRAND</v>
      </c>
      <c r="I920" s="136"/>
    </row>
    <row r="921" ht="15.75" customHeight="1">
      <c r="A921" s="59"/>
      <c r="B921" s="63">
        <f t="shared" si="1"/>
        <v>13</v>
      </c>
      <c r="C921" s="134" t="s">
        <v>106</v>
      </c>
      <c r="D921" s="134" t="s">
        <v>74</v>
      </c>
      <c r="E921" s="135">
        <f t="shared" si="16"/>
        <v>29</v>
      </c>
      <c r="F921" s="134" t="s">
        <v>3623</v>
      </c>
      <c r="G921" s="63" t="str">
        <f>VLOOKUP(C921, 'Class Def. - General Data'!$C$20:$C$1000,1,false)</f>
        <v>ZFG1_CREAMDET</v>
      </c>
      <c r="H921" s="63" t="str">
        <f>IFERROR(__xludf.DUMMYFUNCTION("VLOOKUP(F921, IMPORTRANGE(""https://docs.google.com/spreadsheets/d/1Lhp9OU0JdFf_VYSMzH5lBcEaU4o8teT1piV-SNzShjg/edit?gid=554141278#gid=554141278"", ""'Char Def. - Attributes'!C20:C2242""), 1,false)"),"LANGUAGE")</f>
        <v>LANGUAGE</v>
      </c>
      <c r="I921" s="136"/>
    </row>
    <row r="922" ht="15.75" customHeight="1">
      <c r="A922" s="59"/>
      <c r="B922" s="63">
        <f t="shared" si="1"/>
        <v>13</v>
      </c>
      <c r="C922" s="139" t="s">
        <v>106</v>
      </c>
      <c r="D922" s="139" t="s">
        <v>74</v>
      </c>
      <c r="E922" s="140">
        <f t="shared" si="16"/>
        <v>30</v>
      </c>
      <c r="F922" s="134" t="s">
        <v>3624</v>
      </c>
      <c r="G922" s="63" t="str">
        <f>VLOOKUP(C922, 'Class Def. - General Data'!$C$20:$C$1000,1,false)</f>
        <v>ZFG1_CREAMDET</v>
      </c>
      <c r="H922" s="63" t="str">
        <f>IFERROR(__xludf.DUMMYFUNCTION("VLOOKUP(F922, IMPORTRANGE(""https://docs.google.com/spreadsheets/d/1Lhp9OU0JdFf_VYSMzH5lBcEaU4o8teT1piV-SNzShjg/edit?gid=554141278#gid=554141278"", ""'Char Def. - Attributes'!C20:C2242""), 1,false)"),"#N/A")</f>
        <v>#N/A</v>
      </c>
      <c r="I922" s="136"/>
    </row>
    <row r="923" ht="15.75" customHeight="1">
      <c r="A923" s="59"/>
      <c r="B923" s="63">
        <f t="shared" si="1"/>
        <v>13</v>
      </c>
      <c r="C923" s="134" t="s">
        <v>106</v>
      </c>
      <c r="D923" s="134" t="s">
        <v>74</v>
      </c>
      <c r="E923" s="135">
        <f t="shared" si="16"/>
        <v>31</v>
      </c>
      <c r="F923" s="134" t="s">
        <v>3625</v>
      </c>
      <c r="G923" s="63" t="str">
        <f>VLOOKUP(C923, 'Class Def. - General Data'!$C$20:$C$1000,1,false)</f>
        <v>ZFG1_CREAMDET</v>
      </c>
      <c r="H923" s="63" t="str">
        <f>IFERROR(__xludf.DUMMYFUNCTION("VLOOKUP(F923, IMPORTRANGE(""https://docs.google.com/spreadsheets/d/1Lhp9OU0JdFf_VYSMzH5lBcEaU4o8teT1piV-SNzShjg/edit?gid=554141278#gid=554141278"", ""'Char Def. - Attributes'!C20:C2242""), 1,false)"),"REGION_EKSPOR")</f>
        <v>REGION_EKSPOR</v>
      </c>
      <c r="I923" s="136"/>
    </row>
    <row r="924" ht="15.75" customHeight="1">
      <c r="A924" s="59"/>
      <c r="B924" s="63">
        <f t="shared" si="1"/>
        <v>13</v>
      </c>
      <c r="C924" s="134" t="s">
        <v>106</v>
      </c>
      <c r="D924" s="134" t="s">
        <v>74</v>
      </c>
      <c r="E924" s="135">
        <f t="shared" si="16"/>
        <v>32</v>
      </c>
      <c r="F924" s="134" t="s">
        <v>3626</v>
      </c>
      <c r="G924" s="63" t="str">
        <f>VLOOKUP(C924, 'Class Def. - General Data'!$C$20:$C$1000,1,false)</f>
        <v>ZFG1_CREAMDET</v>
      </c>
      <c r="H924" s="63" t="str">
        <f>IFERROR(__xludf.DUMMYFUNCTION("VLOOKUP(F924, IMPORTRANGE(""https://docs.google.com/spreadsheets/d/1Lhp9OU0JdFf_VYSMzH5lBcEaU4o8teT1piV-SNzShjg/edit?gid=554141278#gid=554141278"", ""'Char Def. - Attributes'!C20:C2242""), 1,false)"),"STICKER_NOT")</f>
        <v>STICKER_NOT</v>
      </c>
      <c r="I924" s="136"/>
    </row>
    <row r="925" ht="15.75" customHeight="1">
      <c r="A925" s="59"/>
      <c r="B925" s="63">
        <f t="shared" si="1"/>
        <v>13</v>
      </c>
      <c r="C925" s="134" t="s">
        <v>106</v>
      </c>
      <c r="D925" s="134" t="s">
        <v>74</v>
      </c>
      <c r="E925" s="135">
        <f t="shared" si="16"/>
        <v>33</v>
      </c>
      <c r="F925" s="134" t="s">
        <v>3627</v>
      </c>
      <c r="G925" s="63" t="str">
        <f>VLOOKUP(C925, 'Class Def. - General Data'!$C$20:$C$1000,1,false)</f>
        <v>ZFG1_CREAMDET</v>
      </c>
      <c r="H925" s="63" t="str">
        <f>IFERROR(__xludf.DUMMYFUNCTION("VLOOKUP(F925, IMPORTRANGE(""https://docs.google.com/spreadsheets/d/1Lhp9OU0JdFf_VYSMzH5lBcEaU4o8teT1piV-SNzShjg/edit?gid=554141278#gid=554141278"", ""'Char Def. - Attributes'!C20:C2242""), 1,false)"),"SHIP_MARK")</f>
        <v>SHIP_MARK</v>
      </c>
      <c r="I925" s="136"/>
    </row>
    <row r="926" ht="15.75" customHeight="1">
      <c r="A926" s="59"/>
      <c r="B926" s="63">
        <f t="shared" si="1"/>
        <v>13</v>
      </c>
      <c r="C926" s="134" t="s">
        <v>106</v>
      </c>
      <c r="D926" s="134" t="s">
        <v>74</v>
      </c>
      <c r="E926" s="135">
        <f t="shared" si="16"/>
        <v>34</v>
      </c>
      <c r="F926" s="134" t="s">
        <v>3628</v>
      </c>
      <c r="G926" s="63" t="str">
        <f>VLOOKUP(C926, 'Class Def. - General Data'!$C$20:$C$1000,1,false)</f>
        <v>ZFG1_CREAMDET</v>
      </c>
      <c r="H926" s="63" t="str">
        <f>IFERROR(__xludf.DUMMYFUNCTION("VLOOKUP(F926, IMPORTRANGE(""https://docs.google.com/spreadsheets/d/1Lhp9OU0JdFf_VYSMzH5lBcEaU4o8teT1piV-SNzShjg/edit?gid=554141278#gid=554141278"", ""'Char Def. - Attributes'!C20:C2242""), 1,false)"),"MID_CORE")</f>
        <v>MID_CORE</v>
      </c>
      <c r="I926" s="136"/>
    </row>
    <row r="927" ht="15.75" customHeight="1">
      <c r="A927" s="59"/>
      <c r="B927" s="63">
        <f t="shared" si="1"/>
        <v>13</v>
      </c>
      <c r="C927" s="134" t="s">
        <v>106</v>
      </c>
      <c r="D927" s="134" t="s">
        <v>74</v>
      </c>
      <c r="E927" s="135">
        <f t="shared" si="16"/>
        <v>35</v>
      </c>
      <c r="F927" s="134" t="s">
        <v>3629</v>
      </c>
      <c r="G927" s="63" t="str">
        <f>VLOOKUP(C927, 'Class Def. - General Data'!$C$20:$C$1000,1,false)</f>
        <v>ZFG1_CREAMDET</v>
      </c>
      <c r="H927" s="63" t="str">
        <f>IFERROR(__xludf.DUMMYFUNCTION("VLOOKUP(F927, IMPORTRANGE(""https://docs.google.com/spreadsheets/d/1Lhp9OU0JdFf_VYSMzH5lBcEaU4o8teT1piV-SNzShjg/edit?gid=554141278#gid=554141278"", ""'Char Def. - Attributes'!C20:C2242""), 1,false)"),"EAN_CTN")</f>
        <v>EAN_CTN</v>
      </c>
      <c r="I927" s="136"/>
    </row>
    <row r="928" ht="15.75" customHeight="1">
      <c r="A928" s="59"/>
      <c r="B928" s="63">
        <f t="shared" si="1"/>
        <v>13</v>
      </c>
      <c r="C928" s="134" t="s">
        <v>106</v>
      </c>
      <c r="D928" s="134" t="s">
        <v>74</v>
      </c>
      <c r="E928" s="135">
        <f t="shared" si="16"/>
        <v>36</v>
      </c>
      <c r="F928" s="134" t="s">
        <v>3630</v>
      </c>
      <c r="G928" s="63" t="str">
        <f>VLOOKUP(C928, 'Class Def. - General Data'!$C$20:$C$1000,1,false)</f>
        <v>ZFG1_CREAMDET</v>
      </c>
      <c r="H928" s="63" t="str">
        <f>IFERROR(__xludf.DUMMYFUNCTION("VLOOKUP(F928, IMPORTRANGE(""https://docs.google.com/spreadsheets/d/1Lhp9OU0JdFf_VYSMzH5lBcEaU4o8teT1piV-SNzShjg/edit?gid=554141278#gid=554141278"", ""'Char Def. - Attributes'!C20:C2242""), 1,false)"),"EAN_BOX")</f>
        <v>EAN_BOX</v>
      </c>
      <c r="I928" s="136"/>
    </row>
    <row r="929" ht="15.75" customHeight="1">
      <c r="A929" s="59"/>
      <c r="B929" s="63">
        <f t="shared" si="1"/>
        <v>13</v>
      </c>
      <c r="C929" s="134" t="s">
        <v>106</v>
      </c>
      <c r="D929" s="141" t="s">
        <v>74</v>
      </c>
      <c r="E929" s="135">
        <v>22.0</v>
      </c>
      <c r="F929" s="135" t="s">
        <v>3603</v>
      </c>
      <c r="G929" s="63" t="str">
        <f>VLOOKUP(C929, 'Class Def. - General Data'!$C$20:$C$1000,1,false)</f>
        <v>ZFG1_CREAMDET</v>
      </c>
      <c r="I929" s="136"/>
    </row>
    <row r="930" ht="15.75" customHeight="1">
      <c r="A930" s="59"/>
      <c r="B930" s="63">
        <f t="shared" si="1"/>
        <v>11</v>
      </c>
      <c r="C930" s="134" t="s">
        <v>107</v>
      </c>
      <c r="D930" s="134" t="s">
        <v>74</v>
      </c>
      <c r="E930" s="135">
        <f t="shared" ref="E930:E965" si="17">COUNTIF($C$20:C930,C930)</f>
        <v>1</v>
      </c>
      <c r="F930" s="134" t="s">
        <v>3668</v>
      </c>
      <c r="G930" s="63" t="str">
        <f>VLOOKUP(C930, 'Class Def. - General Data'!$C$20:$C$1000,1,false)</f>
        <v>ZFG1_CUPRTD</v>
      </c>
      <c r="H930" s="63" t="str">
        <f>IFERROR(__xludf.DUMMYFUNCTION("VLOOKUP(F930, IMPORTRANGE(""https://docs.google.com/spreadsheets/d/1Lhp9OU0JdFf_VYSMzH5lBcEaU4o8teT1piV-SNzShjg/edit?gid=554141278#gid=554141278"", ""'Char Def. - Attributes'!C20:C2242""), 1,false)"),"BRAND_CUPRTD")</f>
        <v>BRAND_CUPRTD</v>
      </c>
      <c r="I930" s="136"/>
    </row>
    <row r="931" ht="15.75" customHeight="1">
      <c r="A931" s="59"/>
      <c r="B931" s="63">
        <f t="shared" si="1"/>
        <v>11</v>
      </c>
      <c r="C931" s="135" t="s">
        <v>107</v>
      </c>
      <c r="D931" s="134" t="s">
        <v>74</v>
      </c>
      <c r="E931" s="135">
        <f t="shared" si="17"/>
        <v>2</v>
      </c>
      <c r="F931" s="134" t="s">
        <v>3669</v>
      </c>
      <c r="G931" s="63" t="str">
        <f>VLOOKUP(C931, 'Class Def. - General Data'!$C$20:$C$1000,1,false)</f>
        <v>ZFG1_CUPRTD</v>
      </c>
      <c r="H931" s="63" t="str">
        <f>IFERROR(__xludf.DUMMYFUNCTION("VLOOKUP(F931, IMPORTRANGE(""https://docs.google.com/spreadsheets/d/1Lhp9OU0JdFf_VYSMzH5lBcEaU4o8teT1piV-SNzShjg/edit?gid=554141278#gid=554141278"", ""'Char Def. - Attributes'!C20:C2242""), 1,false)"),"PSHAPE_CUPRTD")</f>
        <v>PSHAPE_CUPRTD</v>
      </c>
      <c r="I931" s="136"/>
    </row>
    <row r="932" ht="15.75" customHeight="1">
      <c r="A932" s="59"/>
      <c r="B932" s="63">
        <f t="shared" si="1"/>
        <v>11</v>
      </c>
      <c r="C932" s="134" t="s">
        <v>107</v>
      </c>
      <c r="D932" s="134" t="s">
        <v>74</v>
      </c>
      <c r="E932" s="135">
        <f t="shared" si="17"/>
        <v>3</v>
      </c>
      <c r="F932" s="134" t="s">
        <v>3605</v>
      </c>
      <c r="G932" s="63" t="str">
        <f>VLOOKUP(C932, 'Class Def. - General Data'!$C$20:$C$1000,1,false)</f>
        <v>ZFG1_CUPRTD</v>
      </c>
      <c r="H932" s="63" t="str">
        <f>IFERROR(__xludf.DUMMYFUNCTION("VLOOKUP(F932, IMPORTRANGE(""https://docs.google.com/spreadsheets/d/1Lhp9OU0JdFf_VYSMzH5lBcEaU4o8teT1piV-SNzShjg/edit?gid=554141278#gid=554141278"", ""'Char Def. - Attributes'!C20:C2242""), 1,false)"),"PACK_NETTO")</f>
        <v>PACK_NETTO</v>
      </c>
      <c r="I932" s="136"/>
    </row>
    <row r="933" ht="15.75" customHeight="1">
      <c r="A933" s="59"/>
      <c r="B933" s="63">
        <f t="shared" si="1"/>
        <v>11</v>
      </c>
      <c r="C933" s="135" t="s">
        <v>107</v>
      </c>
      <c r="D933" s="134" t="s">
        <v>74</v>
      </c>
      <c r="E933" s="135">
        <f t="shared" si="17"/>
        <v>4</v>
      </c>
      <c r="F933" s="134" t="s">
        <v>3670</v>
      </c>
      <c r="G933" s="63" t="str">
        <f>VLOOKUP(C933, 'Class Def. - General Data'!$C$20:$C$1000,1,false)</f>
        <v>ZFG1_CUPRTD</v>
      </c>
      <c r="H933" s="63" t="str">
        <f>IFERROR(__xludf.DUMMYFUNCTION("VLOOKUP(F933, IMPORTRANGE(""https://docs.google.com/spreadsheets/d/1Lhp9OU0JdFf_VYSMzH5lBcEaU4o8teT1piV-SNzShjg/edit?gid=554141278#gid=554141278"", ""'Char Def. - Attributes'!C20:C2242""), 1,false)"),"PUOM_CUPRTD")</f>
        <v>PUOM_CUPRTD</v>
      </c>
      <c r="I933" s="136"/>
    </row>
    <row r="934" ht="15.75" customHeight="1">
      <c r="A934" s="59"/>
      <c r="B934" s="63">
        <f t="shared" si="1"/>
        <v>11</v>
      </c>
      <c r="C934" s="134" t="s">
        <v>107</v>
      </c>
      <c r="D934" s="134" t="s">
        <v>74</v>
      </c>
      <c r="E934" s="135">
        <f t="shared" si="17"/>
        <v>5</v>
      </c>
      <c r="F934" s="134" t="s">
        <v>3607</v>
      </c>
      <c r="G934" s="63" t="str">
        <f>VLOOKUP(C934, 'Class Def. - General Data'!$C$20:$C$1000,1,false)</f>
        <v>ZFG1_CUPRTD</v>
      </c>
      <c r="H934" s="63" t="str">
        <f>IFERROR(__xludf.DUMMYFUNCTION("VLOOKUP(F934, IMPORTRANGE(""https://docs.google.com/spreadsheets/d/1Lhp9OU0JdFf_VYSMzH5lBcEaU4o8teT1piV-SNzShjg/edit?gid=554141278#gid=554141278"", ""'Char Def. - Attributes'!C20:C2242""), 1,false)"),"VARIAN")</f>
        <v>VARIAN</v>
      </c>
      <c r="I934" s="136"/>
    </row>
    <row r="935" ht="15.75" customHeight="1">
      <c r="A935" s="59"/>
      <c r="B935" s="63">
        <f t="shared" si="1"/>
        <v>11</v>
      </c>
      <c r="C935" s="134" t="s">
        <v>107</v>
      </c>
      <c r="D935" s="134" t="s">
        <v>74</v>
      </c>
      <c r="E935" s="135">
        <f t="shared" si="17"/>
        <v>6</v>
      </c>
      <c r="F935" s="134" t="s">
        <v>3608</v>
      </c>
      <c r="G935" s="63" t="str">
        <f>VLOOKUP(C935, 'Class Def. - General Data'!$C$20:$C$1000,1,false)</f>
        <v>ZFG1_CUPRTD</v>
      </c>
      <c r="H935" s="63" t="str">
        <f>IFERROR(__xludf.DUMMYFUNCTION("VLOOKUP(F935, IMPORTRANGE(""https://docs.google.com/spreadsheets/d/1Lhp9OU0JdFf_VYSMzH5lBcEaU4o8teT1piV-SNzShjg/edit?gid=554141278#gid=554141278"", ""'Char Def. - Attributes'!C20:C2242""), 1,false)"),"PROJECT_NAME")</f>
        <v>PROJECT_NAME</v>
      </c>
      <c r="I935" s="136"/>
    </row>
    <row r="936" ht="15.75" customHeight="1">
      <c r="A936" s="59"/>
      <c r="B936" s="63">
        <f t="shared" si="1"/>
        <v>11</v>
      </c>
      <c r="C936" s="134" t="s">
        <v>107</v>
      </c>
      <c r="D936" s="134" t="s">
        <v>74</v>
      </c>
      <c r="E936" s="135">
        <f t="shared" si="17"/>
        <v>7</v>
      </c>
      <c r="F936" s="134" t="s">
        <v>3609</v>
      </c>
      <c r="G936" s="63" t="str">
        <f>VLOOKUP(C936, 'Class Def. - General Data'!$C$20:$C$1000,1,false)</f>
        <v>ZFG1_CUPRTD</v>
      </c>
      <c r="H936" s="63" t="str">
        <f>IFERROR(__xludf.DUMMYFUNCTION("VLOOKUP(F936, IMPORTRANGE(""https://docs.google.com/spreadsheets/d/1Lhp9OU0JdFf_VYSMzH5lBcEaU4o8teT1piV-SNzShjg/edit?gid=554141278#gid=554141278"", ""'Char Def. - Attributes'!C20:C2242""), 1,false)"),"ADDITIONAL_PROMO")</f>
        <v>ADDITIONAL_PROMO</v>
      </c>
      <c r="I936" s="136"/>
    </row>
    <row r="937" ht="15.75" customHeight="1">
      <c r="A937" s="59"/>
      <c r="B937" s="63">
        <f t="shared" si="1"/>
        <v>11</v>
      </c>
      <c r="C937" s="134" t="s">
        <v>107</v>
      </c>
      <c r="D937" s="134" t="s">
        <v>74</v>
      </c>
      <c r="E937" s="135">
        <f t="shared" si="17"/>
        <v>8</v>
      </c>
      <c r="F937" s="134" t="s">
        <v>3610</v>
      </c>
      <c r="G937" s="63" t="str">
        <f>VLOOKUP(C937, 'Class Def. - General Data'!$C$20:$C$1000,1,false)</f>
        <v>ZFG1_CUPRTD</v>
      </c>
      <c r="H937" s="63" t="str">
        <f>IFERROR(__xludf.DUMMYFUNCTION("VLOOKUP(F937, IMPORTRANGE(""https://docs.google.com/spreadsheets/d/1Lhp9OU0JdFf_VYSMzH5lBcEaU4o8teT1piV-SNzShjg/edit?gid=554141278#gid=554141278"", ""'Char Def. - Attributes'!C20:C2242""), 1,false)"),"BANDED_PROMO")</f>
        <v>BANDED_PROMO</v>
      </c>
      <c r="I937" s="136"/>
    </row>
    <row r="938" ht="15.75" customHeight="1">
      <c r="A938" s="59"/>
      <c r="B938" s="63">
        <f t="shared" si="1"/>
        <v>11</v>
      </c>
      <c r="C938" s="134" t="s">
        <v>107</v>
      </c>
      <c r="D938" s="134" t="s">
        <v>74</v>
      </c>
      <c r="E938" s="135">
        <f t="shared" si="17"/>
        <v>9</v>
      </c>
      <c r="F938" s="134" t="s">
        <v>3611</v>
      </c>
      <c r="G938" s="63" t="str">
        <f>VLOOKUP(C938, 'Class Def. - General Data'!$C$20:$C$1000,1,false)</f>
        <v>ZFG1_CUPRTD</v>
      </c>
      <c r="H938" s="63" t="str">
        <f>IFERROR(__xludf.DUMMYFUNCTION("VLOOKUP(F938, IMPORTRANGE(""https://docs.google.com/spreadsheets/d/1Lhp9OU0JdFf_VYSMzH5lBcEaU4o8teT1piV-SNzShjg/edit?gid=554141278#gid=554141278"", ""'Char Def. - Attributes'!C20:C2242""), 1,false)"),"LOKAL_EKSPOR")</f>
        <v>LOKAL_EKSPOR</v>
      </c>
      <c r="I938" s="136"/>
    </row>
    <row r="939" ht="15.75" customHeight="1">
      <c r="A939" s="59"/>
      <c r="B939" s="63">
        <f t="shared" si="1"/>
        <v>11</v>
      </c>
      <c r="C939" s="134" t="s">
        <v>107</v>
      </c>
      <c r="D939" s="134" t="s">
        <v>74</v>
      </c>
      <c r="E939" s="135">
        <f t="shared" si="17"/>
        <v>10</v>
      </c>
      <c r="F939" s="134" t="s">
        <v>3612</v>
      </c>
      <c r="G939" s="63" t="str">
        <f>VLOOKUP(C939, 'Class Def. - General Data'!$C$20:$C$1000,1,false)</f>
        <v>ZFG1_CUPRTD</v>
      </c>
      <c r="H939" s="63" t="str">
        <f>IFERROR(__xludf.DUMMYFUNCTION("VLOOKUP(F939, IMPORTRANGE(""https://docs.google.com/spreadsheets/d/1Lhp9OU0JdFf_VYSMzH5lBcEaU4o8teT1piV-SNzShjg/edit?gid=554141278#gid=554141278"", ""'Char Def. - Attributes'!C20:C2242""), 1,false)"),"COUNTRY_EKSPOR")</f>
        <v>COUNTRY_EKSPOR</v>
      </c>
      <c r="I939" s="136"/>
    </row>
    <row r="940" ht="15.75" customHeight="1">
      <c r="A940" s="59"/>
      <c r="B940" s="63">
        <f t="shared" si="1"/>
        <v>11</v>
      </c>
      <c r="C940" s="134" t="s">
        <v>107</v>
      </c>
      <c r="D940" s="134" t="s">
        <v>74</v>
      </c>
      <c r="E940" s="135">
        <f t="shared" si="17"/>
        <v>11</v>
      </c>
      <c r="F940" s="134" t="s">
        <v>3613</v>
      </c>
      <c r="G940" s="63" t="str">
        <f>VLOOKUP(C940, 'Class Def. - General Data'!$C$20:$C$1000,1,false)</f>
        <v>ZFG1_CUPRTD</v>
      </c>
      <c r="H940" s="63" t="str">
        <f>IFERROR(__xludf.DUMMYFUNCTION("VLOOKUP(F940, IMPORTRANGE(""https://docs.google.com/spreadsheets/d/1Lhp9OU0JdFf_VYSMzH5lBcEaU4o8teT1piV-SNzShjg/edit?gid=554141278#gid=554141278"", ""'Char Def. - Attributes'!C20:C2242""), 1,false)"),"WARNA_SFG")</f>
        <v>WARNA_SFG</v>
      </c>
      <c r="I940" s="136"/>
    </row>
    <row r="941" ht="15.75" customHeight="1">
      <c r="A941" s="59"/>
      <c r="B941" s="63">
        <f t="shared" si="1"/>
        <v>11</v>
      </c>
      <c r="C941" s="134" t="s">
        <v>107</v>
      </c>
      <c r="D941" s="134" t="s">
        <v>74</v>
      </c>
      <c r="E941" s="135">
        <f t="shared" si="17"/>
        <v>12</v>
      </c>
      <c r="F941" s="134" t="s">
        <v>3582</v>
      </c>
      <c r="G941" s="63" t="str">
        <f>VLOOKUP(C941, 'Class Def. - General Data'!$C$20:$C$1000,1,false)</f>
        <v>ZFG1_CUPRTD</v>
      </c>
      <c r="H941" s="63" t="str">
        <f>IFERROR(__xludf.DUMMYFUNCTION("VLOOKUP(F941, IMPORTRANGE(""https://docs.google.com/spreadsheets/d/1Lhp9OU0JdFf_VYSMzH5lBcEaU4o8teT1piV-SNzShjg/edit?gid=554141278#gid=554141278"", ""'Char Def. - Attributes'!C20:C2242""), 1,false)"),"BASE_UNIT")</f>
        <v>BASE_UNIT</v>
      </c>
      <c r="I941" s="136"/>
    </row>
    <row r="942" ht="15.75" customHeight="1">
      <c r="A942" s="59"/>
      <c r="B942" s="63">
        <f t="shared" si="1"/>
        <v>11</v>
      </c>
      <c r="C942" s="134" t="s">
        <v>107</v>
      </c>
      <c r="D942" s="134" t="s">
        <v>74</v>
      </c>
      <c r="E942" s="135">
        <f t="shared" si="17"/>
        <v>13</v>
      </c>
      <c r="F942" s="134" t="s">
        <v>3583</v>
      </c>
      <c r="G942" s="63" t="str">
        <f>VLOOKUP(C942, 'Class Def. - General Data'!$C$20:$C$1000,1,false)</f>
        <v>ZFG1_CUPRTD</v>
      </c>
      <c r="H942" s="63" t="str">
        <f>IFERROR(__xludf.DUMMYFUNCTION("VLOOKUP(F942, IMPORTRANGE(""https://docs.google.com/spreadsheets/d/1Lhp9OU0JdFf_VYSMzH5lBcEaU4o8teT1piV-SNzShjg/edit?gid=554141278#gid=554141278"", ""'Char Def. - Attributes'!C20:C2242""), 1,false)"),"SALES_UNIT")</f>
        <v>SALES_UNIT</v>
      </c>
      <c r="I942" s="136"/>
    </row>
    <row r="943" ht="15.75" customHeight="1">
      <c r="A943" s="59"/>
      <c r="B943" s="63">
        <f t="shared" si="1"/>
        <v>11</v>
      </c>
      <c r="C943" s="134" t="s">
        <v>107</v>
      </c>
      <c r="D943" s="134" t="s">
        <v>74</v>
      </c>
      <c r="E943" s="135">
        <f t="shared" si="17"/>
        <v>14</v>
      </c>
      <c r="F943" s="134" t="s">
        <v>3601</v>
      </c>
      <c r="G943" s="63" t="str">
        <f>VLOOKUP(C943, 'Class Def. - General Data'!$C$20:$C$1000,1,false)</f>
        <v>ZFG1_CUPRTD</v>
      </c>
      <c r="H943" s="63" t="str">
        <f>IFERROR(__xludf.DUMMYFUNCTION("VLOOKUP(F943, IMPORTRANGE(""https://docs.google.com/spreadsheets/d/1Lhp9OU0JdFf_VYSMzH5lBcEaU4o8teT1piV-SNzShjg/edit?gid=554141278#gid=554141278"", ""'Char Def. - Attributes'!C20:C2242""), 1,false)"),"GROSS_WEIGHT")</f>
        <v>GROSS_WEIGHT</v>
      </c>
      <c r="I943" s="136"/>
    </row>
    <row r="944" ht="15.75" customHeight="1">
      <c r="A944" s="59"/>
      <c r="B944" s="63">
        <f t="shared" si="1"/>
        <v>11</v>
      </c>
      <c r="C944" s="134" t="s">
        <v>107</v>
      </c>
      <c r="D944" s="134" t="s">
        <v>74</v>
      </c>
      <c r="E944" s="135">
        <f t="shared" si="17"/>
        <v>15</v>
      </c>
      <c r="F944" s="134" t="s">
        <v>3602</v>
      </c>
      <c r="G944" s="63" t="str">
        <f>VLOOKUP(C944, 'Class Def. - General Data'!$C$20:$C$1000,1,false)</f>
        <v>ZFG1_CUPRTD</v>
      </c>
      <c r="H944" s="63" t="str">
        <f>IFERROR(__xludf.DUMMYFUNCTION("VLOOKUP(F944, IMPORTRANGE(""https://docs.google.com/spreadsheets/d/1Lhp9OU0JdFf_VYSMzH5lBcEaU4o8teT1piV-SNzShjg/edit?gid=554141278#gid=554141278"", ""'Char Def. - Attributes'!C20:C2242""), 1,false)"),"NET_WEIGHT")</f>
        <v>NET_WEIGHT</v>
      </c>
      <c r="I944" s="136"/>
    </row>
    <row r="945" ht="15.75" customHeight="1">
      <c r="A945" s="59"/>
      <c r="B945" s="63">
        <f t="shared" si="1"/>
        <v>11</v>
      </c>
      <c r="C945" s="134" t="s">
        <v>107</v>
      </c>
      <c r="D945" s="134" t="s">
        <v>74</v>
      </c>
      <c r="E945" s="135">
        <f t="shared" si="17"/>
        <v>16</v>
      </c>
      <c r="F945" s="134" t="s">
        <v>3584</v>
      </c>
      <c r="G945" s="63" t="str">
        <f>VLOOKUP(C945, 'Class Def. - General Data'!$C$20:$C$1000,1,false)</f>
        <v>ZFG1_CUPRTD</v>
      </c>
      <c r="H945" s="63" t="str">
        <f>IFERROR(__xludf.DUMMYFUNCTION("VLOOKUP(F945, IMPORTRANGE(""https://docs.google.com/spreadsheets/d/1Lhp9OU0JdFf_VYSMzH5lBcEaU4o8teT1piV-SNzShjg/edit?gid=554141278#gid=554141278"", ""'Char Def. - Attributes'!C20:C2242""), 1,false)"),"UNIT_PER_BOX")</f>
        <v>UNIT_PER_BOX</v>
      </c>
      <c r="I945" s="136"/>
    </row>
    <row r="946" ht="15.75" customHeight="1">
      <c r="A946" s="59"/>
      <c r="B946" s="63">
        <f t="shared" si="1"/>
        <v>11</v>
      </c>
      <c r="C946" s="134" t="s">
        <v>107</v>
      </c>
      <c r="D946" s="134" t="s">
        <v>74</v>
      </c>
      <c r="E946" s="135">
        <f t="shared" si="17"/>
        <v>17</v>
      </c>
      <c r="F946" s="134" t="s">
        <v>3614</v>
      </c>
      <c r="G946" s="63" t="str">
        <f>VLOOKUP(C946, 'Class Def. - General Data'!$C$20:$C$1000,1,false)</f>
        <v>ZFG1_CUPRTD</v>
      </c>
      <c r="H946" s="63" t="str">
        <f>IFERROR(__xludf.DUMMYFUNCTION("VLOOKUP(F946, IMPORTRANGE(""https://docs.google.com/spreadsheets/d/1Lhp9OU0JdFf_VYSMzH5lBcEaU4o8teT1piV-SNzShjg/edit?gid=554141278#gid=554141278"", ""'Char Def. - Attributes'!C20:C2242""), 1,false)"),"UNIT_PER_CTN")</f>
        <v>UNIT_PER_CTN</v>
      </c>
      <c r="I946" s="136"/>
    </row>
    <row r="947" ht="15.75" customHeight="1">
      <c r="A947" s="59"/>
      <c r="B947" s="63">
        <f t="shared" si="1"/>
        <v>11</v>
      </c>
      <c r="C947" s="134" t="s">
        <v>107</v>
      </c>
      <c r="D947" s="134" t="s">
        <v>74</v>
      </c>
      <c r="E947" s="135">
        <f t="shared" si="17"/>
        <v>18</v>
      </c>
      <c r="F947" s="134" t="s">
        <v>3615</v>
      </c>
      <c r="G947" s="63" t="str">
        <f>VLOOKUP(C947, 'Class Def. - General Data'!$C$20:$C$1000,1,false)</f>
        <v>ZFG1_CUPRTD</v>
      </c>
      <c r="H947" s="63" t="str">
        <f>IFERROR(__xludf.DUMMYFUNCTION("VLOOKUP(F947, IMPORTRANGE(""https://docs.google.com/spreadsheets/d/1Lhp9OU0JdFf_VYSMzH5lBcEaU4o8teT1piV-SNzShjg/edit?gid=554141278#gid=554141278"", ""'Char Def. - Attributes'!C20:C2242""), 1,false)"),"UNIT_PER_BAG")</f>
        <v>UNIT_PER_BAG</v>
      </c>
      <c r="I947" s="136"/>
    </row>
    <row r="948" ht="15.75" customHeight="1">
      <c r="A948" s="59"/>
      <c r="B948" s="63">
        <f t="shared" si="1"/>
        <v>11</v>
      </c>
      <c r="C948" s="134" t="s">
        <v>107</v>
      </c>
      <c r="D948" s="134" t="s">
        <v>74</v>
      </c>
      <c r="E948" s="135">
        <f t="shared" si="17"/>
        <v>19</v>
      </c>
      <c r="F948" s="134" t="s">
        <v>3616</v>
      </c>
      <c r="G948" s="63" t="str">
        <f>VLOOKUP(C948, 'Class Def. - General Data'!$C$20:$C$1000,1,false)</f>
        <v>ZFG1_CUPRTD</v>
      </c>
      <c r="H948" s="63" t="str">
        <f>IFERROR(__xludf.DUMMYFUNCTION("VLOOKUP(F948, IMPORTRANGE(""https://docs.google.com/spreadsheets/d/1Lhp9OU0JdFf_VYSMzH5lBcEaU4o8teT1piV-SNzShjg/edit?gid=554141278#gid=554141278"", ""'Char Def. - Attributes'!C20:C2242""), 1,false)"),"UNIT_PER_PAL")</f>
        <v>UNIT_PER_PAL</v>
      </c>
      <c r="I948" s="136"/>
    </row>
    <row r="949" ht="15.75" customHeight="1">
      <c r="A949" s="59"/>
      <c r="B949" s="63">
        <f t="shared" si="1"/>
        <v>11</v>
      </c>
      <c r="C949" s="134" t="s">
        <v>107</v>
      </c>
      <c r="D949" s="134" t="s">
        <v>74</v>
      </c>
      <c r="E949" s="135">
        <f t="shared" si="17"/>
        <v>20</v>
      </c>
      <c r="F949" s="134" t="s">
        <v>3617</v>
      </c>
      <c r="G949" s="63" t="str">
        <f>VLOOKUP(C949, 'Class Def. - General Data'!$C$20:$C$1000,1,false)</f>
        <v>ZFG1_CUPRTD</v>
      </c>
      <c r="H949" s="63" t="str">
        <f>IFERROR(__xludf.DUMMYFUNCTION("VLOOKUP(F949, IMPORTRANGE(""https://docs.google.com/spreadsheets/d/1Lhp9OU0JdFf_VYSMzH5lBcEaU4o8teT1piV-SNzShjg/edit?gid=554141278#gid=554141278"", ""'Char Def. - Attributes'!C20:C2242""), 1,false)"),"UNIT_PER_TIER")</f>
        <v>UNIT_PER_TIER</v>
      </c>
      <c r="I949" s="136"/>
    </row>
    <row r="950" ht="15.75" customHeight="1">
      <c r="A950" s="59"/>
      <c r="B950" s="63">
        <f t="shared" si="1"/>
        <v>11</v>
      </c>
      <c r="C950" s="134" t="s">
        <v>107</v>
      </c>
      <c r="D950" s="134" t="s">
        <v>74</v>
      </c>
      <c r="E950" s="135">
        <f t="shared" si="17"/>
        <v>21</v>
      </c>
      <c r="F950" s="134" t="s">
        <v>3618</v>
      </c>
      <c r="G950" s="63" t="str">
        <f>VLOOKUP(C950, 'Class Def. - General Data'!$C$20:$C$1000,1,false)</f>
        <v>ZFG1_CUPRTD</v>
      </c>
      <c r="H950" s="63" t="str">
        <f>IFERROR(__xludf.DUMMYFUNCTION("VLOOKUP(F950, IMPORTRANGE(""https://docs.google.com/spreadsheets/d/1Lhp9OU0JdFf_VYSMzH5lBcEaU4o8teT1piV-SNzShjg/edit?gid=554141278#gid=554141278"", ""'Char Def. - Attributes'!C20:C2242""), 1,false)"),"HEIGHT")</f>
        <v>HEIGHT</v>
      </c>
      <c r="I950" s="136"/>
    </row>
    <row r="951" ht="15.75" customHeight="1">
      <c r="A951" s="59"/>
      <c r="B951" s="63">
        <f t="shared" si="1"/>
        <v>11</v>
      </c>
      <c r="C951" s="134" t="s">
        <v>107</v>
      </c>
      <c r="D951" s="134" t="s">
        <v>74</v>
      </c>
      <c r="E951" s="135">
        <f t="shared" si="17"/>
        <v>22</v>
      </c>
      <c r="F951" s="134" t="s">
        <v>3587</v>
      </c>
      <c r="G951" s="63" t="str">
        <f>VLOOKUP(C951, 'Class Def. - General Data'!$C$20:$C$1000,1,false)</f>
        <v>ZFG1_CUPRTD</v>
      </c>
      <c r="H951" s="63" t="str">
        <f>IFERROR(__xludf.DUMMYFUNCTION("VLOOKUP(F951, IMPORTRANGE(""https://docs.google.com/spreadsheets/d/1Lhp9OU0JdFf_VYSMzH5lBcEaU4o8teT1piV-SNzShjg/edit?gid=554141278#gid=554141278"", ""'Char Def. - Attributes'!C20:C2242""), 1,false)"),"PLANT_BUY")</f>
        <v>PLANT_BUY</v>
      </c>
      <c r="I951" s="136"/>
    </row>
    <row r="952" ht="15.75" customHeight="1">
      <c r="A952" s="59"/>
      <c r="B952" s="63">
        <f t="shared" si="1"/>
        <v>11</v>
      </c>
      <c r="C952" s="134" t="s">
        <v>107</v>
      </c>
      <c r="D952" s="134" t="s">
        <v>74</v>
      </c>
      <c r="E952" s="135">
        <f t="shared" si="17"/>
        <v>23</v>
      </c>
      <c r="F952" s="134" t="s">
        <v>3619</v>
      </c>
      <c r="G952" s="63" t="str">
        <f>VLOOKUP(C952, 'Class Def. - General Data'!$C$20:$C$1000,1,false)</f>
        <v>ZFG1_CUPRTD</v>
      </c>
      <c r="H952" s="63" t="str">
        <f>IFERROR(__xludf.DUMMYFUNCTION("VLOOKUP(F952, IMPORTRANGE(""https://docs.google.com/spreadsheets/d/1Lhp9OU0JdFf_VYSMzH5lBcEaU4o8teT1piV-SNzShjg/edit?gid=554141278#gid=554141278"", ""'Char Def. - Attributes'!C20:C2242""), 1,false)"),"LENGTH")</f>
        <v>LENGTH</v>
      </c>
      <c r="I952" s="136"/>
    </row>
    <row r="953" ht="15.75" customHeight="1">
      <c r="A953" s="59"/>
      <c r="B953" s="63">
        <f t="shared" si="1"/>
        <v>11</v>
      </c>
      <c r="C953" s="134" t="s">
        <v>107</v>
      </c>
      <c r="D953" s="134" t="s">
        <v>74</v>
      </c>
      <c r="E953" s="135">
        <f t="shared" si="17"/>
        <v>24</v>
      </c>
      <c r="F953" s="134" t="s">
        <v>3586</v>
      </c>
      <c r="G953" s="63" t="str">
        <f>VLOOKUP(C953, 'Class Def. - General Data'!$C$20:$C$1000,1,false)</f>
        <v>ZFG1_CUPRTD</v>
      </c>
      <c r="H953" s="63" t="str">
        <f>IFERROR(__xludf.DUMMYFUNCTION("VLOOKUP(F953, IMPORTRANGE(""https://docs.google.com/spreadsheets/d/1Lhp9OU0JdFf_VYSMzH5lBcEaU4o8teT1piV-SNzShjg/edit?gid=554141278#gid=554141278"", ""'Char Def. - Attributes'!C20:C2242""), 1,false)"),"PLANT_PROD")</f>
        <v>PLANT_PROD</v>
      </c>
      <c r="I953" s="136"/>
    </row>
    <row r="954" ht="15.75" customHeight="1">
      <c r="A954" s="59"/>
      <c r="B954" s="63">
        <f t="shared" si="1"/>
        <v>11</v>
      </c>
      <c r="C954" s="134" t="s">
        <v>107</v>
      </c>
      <c r="D954" s="134" t="s">
        <v>74</v>
      </c>
      <c r="E954" s="135">
        <f t="shared" si="17"/>
        <v>25</v>
      </c>
      <c r="F954" s="134" t="s">
        <v>3620</v>
      </c>
      <c r="G954" s="63" t="str">
        <f>VLOOKUP(C954, 'Class Def. - General Data'!$C$20:$C$1000,1,false)</f>
        <v>ZFG1_CUPRTD</v>
      </c>
      <c r="H954" s="63" t="str">
        <f>IFERROR(__xludf.DUMMYFUNCTION("VLOOKUP(F954, IMPORTRANGE(""https://docs.google.com/spreadsheets/d/1Lhp9OU0JdFf_VYSMzH5lBcEaU4o8teT1piV-SNzShjg/edit?gid=554141278#gid=554141278"", ""'Char Def. - Attributes'!C20:C2242""), 1,false)"),"WIDTH")</f>
        <v>WIDTH</v>
      </c>
      <c r="I954" s="136"/>
    </row>
    <row r="955" ht="15.75" customHeight="1">
      <c r="A955" s="59"/>
      <c r="B955" s="63">
        <f t="shared" si="1"/>
        <v>11</v>
      </c>
      <c r="C955" s="134" t="s">
        <v>107</v>
      </c>
      <c r="D955" s="134" t="s">
        <v>74</v>
      </c>
      <c r="E955" s="135">
        <f t="shared" si="17"/>
        <v>26</v>
      </c>
      <c r="F955" s="134" t="s">
        <v>3585</v>
      </c>
      <c r="G955" s="63" t="str">
        <f>VLOOKUP(C955, 'Class Def. - General Data'!$C$20:$C$1000,1,false)</f>
        <v>ZFG1_CUPRTD</v>
      </c>
      <c r="H955" s="63" t="str">
        <f>IFERROR(__xludf.DUMMYFUNCTION("VLOOKUP(F955, IMPORTRANGE(""https://docs.google.com/spreadsheets/d/1Lhp9OU0JdFf_VYSMzH5lBcEaU4o8teT1piV-SNzShjg/edit?gid=554141278#gid=554141278"", ""'Char Def. - Attributes'!C20:C2242""), 1,false)"),"HS_CODE")</f>
        <v>HS_CODE</v>
      </c>
      <c r="I955" s="136"/>
    </row>
    <row r="956" ht="15.75" customHeight="1">
      <c r="A956" s="59"/>
      <c r="B956" s="63">
        <f t="shared" si="1"/>
        <v>11</v>
      </c>
      <c r="C956" s="134" t="s">
        <v>107</v>
      </c>
      <c r="D956" s="134" t="s">
        <v>74</v>
      </c>
      <c r="E956" s="135">
        <f t="shared" si="17"/>
        <v>27</v>
      </c>
      <c r="F956" s="134" t="s">
        <v>3621</v>
      </c>
      <c r="G956" s="63" t="str">
        <f>VLOOKUP(C956, 'Class Def. - General Data'!$C$20:$C$1000,1,false)</f>
        <v>ZFG1_CUPRTD</v>
      </c>
      <c r="H956" s="63" t="str">
        <f>IFERROR(__xludf.DUMMYFUNCTION("VLOOKUP(F956, IMPORTRANGE(""https://docs.google.com/spreadsheets/d/1Lhp9OU0JdFf_VYSMzH5lBcEaU4o8teT1piV-SNzShjg/edit?gid=554141278#gid=554141278"", ""'Char Def. - Attributes'!C20:C2242""), 1,false)"),"EAN_PCS")</f>
        <v>EAN_PCS</v>
      </c>
      <c r="I956" s="136"/>
    </row>
    <row r="957" ht="15.75" customHeight="1">
      <c r="A957" s="59"/>
      <c r="B957" s="63">
        <f t="shared" si="1"/>
        <v>11</v>
      </c>
      <c r="C957" s="134" t="s">
        <v>107</v>
      </c>
      <c r="D957" s="134" t="s">
        <v>74</v>
      </c>
      <c r="E957" s="135">
        <f t="shared" si="17"/>
        <v>28</v>
      </c>
      <c r="F957" s="134" t="s">
        <v>3622</v>
      </c>
      <c r="G957" s="63" t="str">
        <f>VLOOKUP(C957, 'Class Def. - General Data'!$C$20:$C$1000,1,false)</f>
        <v>ZFG1_CUPRTD</v>
      </c>
      <c r="H957" s="63" t="str">
        <f>IFERROR(__xludf.DUMMYFUNCTION("VLOOKUP(F957, IMPORTRANGE(""https://docs.google.com/spreadsheets/d/1Lhp9OU0JdFf_VYSMzH5lBcEaU4o8teT1piV-SNzShjg/edit?gid=554141278#gid=554141278"", ""'Char Def. - Attributes'!C20:C2242""), 1,false)"),"SFG_BRAND")</f>
        <v>SFG_BRAND</v>
      </c>
      <c r="I957" s="136"/>
    </row>
    <row r="958" ht="15.75" customHeight="1">
      <c r="A958" s="59"/>
      <c r="B958" s="63">
        <f t="shared" si="1"/>
        <v>11</v>
      </c>
      <c r="C958" s="134" t="s">
        <v>107</v>
      </c>
      <c r="D958" s="134" t="s">
        <v>74</v>
      </c>
      <c r="E958" s="135">
        <f t="shared" si="17"/>
        <v>29</v>
      </c>
      <c r="F958" s="134" t="s">
        <v>3623</v>
      </c>
      <c r="G958" s="63" t="str">
        <f>VLOOKUP(C958, 'Class Def. - General Data'!$C$20:$C$1000,1,false)</f>
        <v>ZFG1_CUPRTD</v>
      </c>
      <c r="H958" s="63" t="str">
        <f>IFERROR(__xludf.DUMMYFUNCTION("VLOOKUP(F958, IMPORTRANGE(""https://docs.google.com/spreadsheets/d/1Lhp9OU0JdFf_VYSMzH5lBcEaU4o8teT1piV-SNzShjg/edit?gid=554141278#gid=554141278"", ""'Char Def. - Attributes'!C20:C2242""), 1,false)"),"LANGUAGE")</f>
        <v>LANGUAGE</v>
      </c>
      <c r="I958" s="136"/>
    </row>
    <row r="959" ht="15.75" customHeight="1">
      <c r="A959" s="59"/>
      <c r="B959" s="63">
        <f t="shared" si="1"/>
        <v>11</v>
      </c>
      <c r="C959" s="139" t="s">
        <v>107</v>
      </c>
      <c r="D959" s="139" t="s">
        <v>74</v>
      </c>
      <c r="E959" s="140">
        <f t="shared" si="17"/>
        <v>30</v>
      </c>
      <c r="F959" s="134" t="s">
        <v>3624</v>
      </c>
      <c r="G959" s="63" t="str">
        <f>VLOOKUP(C959, 'Class Def. - General Data'!$C$20:$C$1000,1,false)</f>
        <v>ZFG1_CUPRTD</v>
      </c>
      <c r="H959" s="63" t="str">
        <f>IFERROR(__xludf.DUMMYFUNCTION("VLOOKUP(F959, IMPORTRANGE(""https://docs.google.com/spreadsheets/d/1Lhp9OU0JdFf_VYSMzH5lBcEaU4o8teT1piV-SNzShjg/edit?gid=554141278#gid=554141278"", ""'Char Def. - Attributes'!C20:C2242""), 1,false)"),"#N/A")</f>
        <v>#N/A</v>
      </c>
      <c r="I959" s="136"/>
    </row>
    <row r="960" ht="15.75" customHeight="1">
      <c r="A960" s="59"/>
      <c r="B960" s="63">
        <f t="shared" si="1"/>
        <v>11</v>
      </c>
      <c r="C960" s="134" t="s">
        <v>107</v>
      </c>
      <c r="D960" s="134" t="s">
        <v>74</v>
      </c>
      <c r="E960" s="135">
        <f t="shared" si="17"/>
        <v>31</v>
      </c>
      <c r="F960" s="134" t="s">
        <v>3625</v>
      </c>
      <c r="G960" s="63" t="str">
        <f>VLOOKUP(C960, 'Class Def. - General Data'!$C$20:$C$1000,1,false)</f>
        <v>ZFG1_CUPRTD</v>
      </c>
      <c r="H960" s="63" t="str">
        <f>IFERROR(__xludf.DUMMYFUNCTION("VLOOKUP(F960, IMPORTRANGE(""https://docs.google.com/spreadsheets/d/1Lhp9OU0JdFf_VYSMzH5lBcEaU4o8teT1piV-SNzShjg/edit?gid=554141278#gid=554141278"", ""'Char Def. - Attributes'!C20:C2242""), 1,false)"),"REGION_EKSPOR")</f>
        <v>REGION_EKSPOR</v>
      </c>
      <c r="I960" s="136"/>
    </row>
    <row r="961" ht="15.75" customHeight="1">
      <c r="A961" s="59"/>
      <c r="B961" s="63">
        <f t="shared" si="1"/>
        <v>11</v>
      </c>
      <c r="C961" s="134" t="s">
        <v>107</v>
      </c>
      <c r="D961" s="134" t="s">
        <v>74</v>
      </c>
      <c r="E961" s="135">
        <f t="shared" si="17"/>
        <v>32</v>
      </c>
      <c r="F961" s="134" t="s">
        <v>3626</v>
      </c>
      <c r="G961" s="63" t="str">
        <f>VLOOKUP(C961, 'Class Def. - General Data'!$C$20:$C$1000,1,false)</f>
        <v>ZFG1_CUPRTD</v>
      </c>
      <c r="H961" s="63" t="str">
        <f>IFERROR(__xludf.DUMMYFUNCTION("VLOOKUP(F961, IMPORTRANGE(""https://docs.google.com/spreadsheets/d/1Lhp9OU0JdFf_VYSMzH5lBcEaU4o8teT1piV-SNzShjg/edit?gid=554141278#gid=554141278"", ""'Char Def. - Attributes'!C20:C2242""), 1,false)"),"STICKER_NOT")</f>
        <v>STICKER_NOT</v>
      </c>
      <c r="I961" s="136"/>
    </row>
    <row r="962" ht="15.75" customHeight="1">
      <c r="A962" s="59"/>
      <c r="B962" s="63">
        <f t="shared" si="1"/>
        <v>11</v>
      </c>
      <c r="C962" s="134" t="s">
        <v>107</v>
      </c>
      <c r="D962" s="134" t="s">
        <v>74</v>
      </c>
      <c r="E962" s="135">
        <f t="shared" si="17"/>
        <v>33</v>
      </c>
      <c r="F962" s="134" t="s">
        <v>3627</v>
      </c>
      <c r="G962" s="63" t="str">
        <f>VLOOKUP(C962, 'Class Def. - General Data'!$C$20:$C$1000,1,false)</f>
        <v>ZFG1_CUPRTD</v>
      </c>
      <c r="H962" s="63" t="str">
        <f>IFERROR(__xludf.DUMMYFUNCTION("VLOOKUP(F962, IMPORTRANGE(""https://docs.google.com/spreadsheets/d/1Lhp9OU0JdFf_VYSMzH5lBcEaU4o8teT1piV-SNzShjg/edit?gid=554141278#gid=554141278"", ""'Char Def. - Attributes'!C20:C2242""), 1,false)"),"SHIP_MARK")</f>
        <v>SHIP_MARK</v>
      </c>
      <c r="I962" s="136"/>
    </row>
    <row r="963" ht="15.75" customHeight="1">
      <c r="A963" s="59"/>
      <c r="B963" s="63">
        <f t="shared" si="1"/>
        <v>11</v>
      </c>
      <c r="C963" s="134" t="s">
        <v>107</v>
      </c>
      <c r="D963" s="134" t="s">
        <v>74</v>
      </c>
      <c r="E963" s="135">
        <f t="shared" si="17"/>
        <v>34</v>
      </c>
      <c r="F963" s="134" t="s">
        <v>3628</v>
      </c>
      <c r="G963" s="63" t="str">
        <f>VLOOKUP(C963, 'Class Def. - General Data'!$C$20:$C$1000,1,false)</f>
        <v>ZFG1_CUPRTD</v>
      </c>
      <c r="H963" s="63" t="str">
        <f>IFERROR(__xludf.DUMMYFUNCTION("VLOOKUP(F963, IMPORTRANGE(""https://docs.google.com/spreadsheets/d/1Lhp9OU0JdFf_VYSMzH5lBcEaU4o8teT1piV-SNzShjg/edit?gid=554141278#gid=554141278"", ""'Char Def. - Attributes'!C20:C2242""), 1,false)"),"MID_CORE")</f>
        <v>MID_CORE</v>
      </c>
      <c r="I963" s="136"/>
    </row>
    <row r="964" ht="15.75" customHeight="1">
      <c r="A964" s="59"/>
      <c r="B964" s="63">
        <f t="shared" si="1"/>
        <v>11</v>
      </c>
      <c r="C964" s="134" t="s">
        <v>107</v>
      </c>
      <c r="D964" s="134" t="s">
        <v>74</v>
      </c>
      <c r="E964" s="135">
        <f t="shared" si="17"/>
        <v>35</v>
      </c>
      <c r="F964" s="134" t="s">
        <v>3629</v>
      </c>
      <c r="G964" s="63" t="str">
        <f>VLOOKUP(C964, 'Class Def. - General Data'!$C$20:$C$1000,1,false)</f>
        <v>ZFG1_CUPRTD</v>
      </c>
      <c r="H964" s="63" t="str">
        <f>IFERROR(__xludf.DUMMYFUNCTION("VLOOKUP(F964, IMPORTRANGE(""https://docs.google.com/spreadsheets/d/1Lhp9OU0JdFf_VYSMzH5lBcEaU4o8teT1piV-SNzShjg/edit?gid=554141278#gid=554141278"", ""'Char Def. - Attributes'!C20:C2242""), 1,false)"),"EAN_CTN")</f>
        <v>EAN_CTN</v>
      </c>
      <c r="I964" s="136"/>
    </row>
    <row r="965" ht="15.75" customHeight="1">
      <c r="A965" s="59"/>
      <c r="B965" s="63">
        <f t="shared" si="1"/>
        <v>11</v>
      </c>
      <c r="C965" s="134" t="s">
        <v>107</v>
      </c>
      <c r="D965" s="134" t="s">
        <v>74</v>
      </c>
      <c r="E965" s="135">
        <f t="shared" si="17"/>
        <v>36</v>
      </c>
      <c r="F965" s="134" t="s">
        <v>3630</v>
      </c>
      <c r="G965" s="63" t="str">
        <f>VLOOKUP(C965, 'Class Def. - General Data'!$C$20:$C$1000,1,false)</f>
        <v>ZFG1_CUPRTD</v>
      </c>
      <c r="H965" s="63" t="str">
        <f>IFERROR(__xludf.DUMMYFUNCTION("VLOOKUP(F965, IMPORTRANGE(""https://docs.google.com/spreadsheets/d/1Lhp9OU0JdFf_VYSMzH5lBcEaU4o8teT1piV-SNzShjg/edit?gid=554141278#gid=554141278"", ""'Char Def. - Attributes'!C20:C2242""), 1,false)"),"EAN_BOX")</f>
        <v>EAN_BOX</v>
      </c>
      <c r="I965" s="136"/>
    </row>
    <row r="966" ht="15.75" customHeight="1">
      <c r="A966" s="59"/>
      <c r="B966" s="63">
        <f t="shared" si="1"/>
        <v>11</v>
      </c>
      <c r="C966" s="134" t="s">
        <v>107</v>
      </c>
      <c r="D966" s="141" t="s">
        <v>74</v>
      </c>
      <c r="E966" s="135">
        <v>22.0</v>
      </c>
      <c r="F966" s="135" t="s">
        <v>3603</v>
      </c>
      <c r="G966" s="63" t="str">
        <f>VLOOKUP(C966, 'Class Def. - General Data'!$C$20:$C$1000,1,false)</f>
        <v>ZFG1_CUPRTD</v>
      </c>
      <c r="I966" s="136"/>
    </row>
    <row r="967" ht="15.75" customHeight="1">
      <c r="A967" s="59"/>
      <c r="B967" s="63">
        <f t="shared" si="1"/>
        <v>16</v>
      </c>
      <c r="C967" s="134" t="s">
        <v>108</v>
      </c>
      <c r="D967" s="134" t="s">
        <v>74</v>
      </c>
      <c r="E967" s="135">
        <f t="shared" ref="E967:E1002" si="18">COUNTIF($C$20:C967,C967)</f>
        <v>1</v>
      </c>
      <c r="F967" s="134" t="str">
        <f>"BRAND_"&amp;MID(C967,6,20)</f>
        <v>BRAND_DISHWASHBAR</v>
      </c>
      <c r="G967" s="63" t="str">
        <f>VLOOKUP(C967, 'Class Def. - General Data'!$C$20:$C$1000,1,false)</f>
        <v>ZFG1_DISHWASHBAR</v>
      </c>
      <c r="H967" s="63" t="str">
        <f>IFERROR(__xludf.DUMMYFUNCTION("VLOOKUP(F967, IMPORTRANGE(""https://docs.google.com/spreadsheets/d/1Lhp9OU0JdFf_VYSMzH5lBcEaU4o8teT1piV-SNzShjg/edit?gid=554141278#gid=554141278"", ""'Char Def. - Attributes'!C20:C2242""), 1,false)"),"BRAND_DISHWASHBAR")</f>
        <v>BRAND_DISHWASHBAR</v>
      </c>
      <c r="I967" s="136"/>
    </row>
    <row r="968" ht="15.75" customHeight="1">
      <c r="A968" s="59"/>
      <c r="B968" s="63">
        <f t="shared" si="1"/>
        <v>16</v>
      </c>
      <c r="C968" s="134" t="s">
        <v>108</v>
      </c>
      <c r="D968" s="134" t="s">
        <v>74</v>
      </c>
      <c r="E968" s="135">
        <f t="shared" si="18"/>
        <v>2</v>
      </c>
      <c r="F968" s="134" t="str">
        <f>"PSHAPE_"&amp;MID(C968,6,20)</f>
        <v>PSHAPE_DISHWASHBAR</v>
      </c>
      <c r="G968" s="63" t="str">
        <f>VLOOKUP(C968, 'Class Def. - General Data'!$C$20:$C$1000,1,false)</f>
        <v>ZFG1_DISHWASHBAR</v>
      </c>
      <c r="H968" s="63" t="str">
        <f>IFERROR(__xludf.DUMMYFUNCTION("VLOOKUP(F968, IMPORTRANGE(""https://docs.google.com/spreadsheets/d/1Lhp9OU0JdFf_VYSMzH5lBcEaU4o8teT1piV-SNzShjg/edit?gid=554141278#gid=554141278"", ""'Char Def. - Attributes'!C20:C2242""), 1,false)"),"PSHAPE_DISHWASHBAR")</f>
        <v>PSHAPE_DISHWASHBAR</v>
      </c>
      <c r="I968" s="136"/>
    </row>
    <row r="969" ht="15.75" customHeight="1">
      <c r="A969" s="59"/>
      <c r="B969" s="63">
        <f t="shared" si="1"/>
        <v>16</v>
      </c>
      <c r="C969" s="134" t="s">
        <v>108</v>
      </c>
      <c r="D969" s="134" t="s">
        <v>74</v>
      </c>
      <c r="E969" s="135">
        <f t="shared" si="18"/>
        <v>3</v>
      </c>
      <c r="F969" s="134" t="s">
        <v>3605</v>
      </c>
      <c r="G969" s="63" t="str">
        <f>VLOOKUP(C969, 'Class Def. - General Data'!$C$20:$C$1000,1,false)</f>
        <v>ZFG1_DISHWASHBAR</v>
      </c>
      <c r="H969" s="63" t="str">
        <f>IFERROR(__xludf.DUMMYFUNCTION("VLOOKUP(F969, IMPORTRANGE(""https://docs.google.com/spreadsheets/d/1Lhp9OU0JdFf_VYSMzH5lBcEaU4o8teT1piV-SNzShjg/edit?gid=554141278#gid=554141278"", ""'Char Def. - Attributes'!C20:C2242""), 1,false)"),"PACK_NETTO")</f>
        <v>PACK_NETTO</v>
      </c>
      <c r="I969" s="136"/>
    </row>
    <row r="970" ht="15.75" customHeight="1">
      <c r="A970" s="59"/>
      <c r="B970" s="63">
        <f t="shared" si="1"/>
        <v>16</v>
      </c>
      <c r="C970" s="134" t="s">
        <v>108</v>
      </c>
      <c r="D970" s="134" t="s">
        <v>74</v>
      </c>
      <c r="E970" s="135">
        <f t="shared" si="18"/>
        <v>4</v>
      </c>
      <c r="F970" s="134" t="str">
        <f>"PUOM_"&amp;MID(C970,6,20)</f>
        <v>PUOM_DISHWASHBAR</v>
      </c>
      <c r="G970" s="63" t="str">
        <f>VLOOKUP(C970, 'Class Def. - General Data'!$C$20:$C$1000,1,false)</f>
        <v>ZFG1_DISHWASHBAR</v>
      </c>
      <c r="H970" s="63" t="str">
        <f>IFERROR(__xludf.DUMMYFUNCTION("VLOOKUP(F970, IMPORTRANGE(""https://docs.google.com/spreadsheets/d/1Lhp9OU0JdFf_VYSMzH5lBcEaU4o8teT1piV-SNzShjg/edit?gid=554141278#gid=554141278"", ""'Char Def. - Attributes'!C20:C2242""), 1,false)"),"PUOM_DISHWASHBAR")</f>
        <v>PUOM_DISHWASHBAR</v>
      </c>
      <c r="I970" s="136"/>
    </row>
    <row r="971" ht="15.75" customHeight="1">
      <c r="A971" s="59"/>
      <c r="B971" s="63">
        <f t="shared" si="1"/>
        <v>16</v>
      </c>
      <c r="C971" s="134" t="s">
        <v>108</v>
      </c>
      <c r="D971" s="134" t="s">
        <v>74</v>
      </c>
      <c r="E971" s="135">
        <f t="shared" si="18"/>
        <v>5</v>
      </c>
      <c r="F971" s="134" t="s">
        <v>3607</v>
      </c>
      <c r="G971" s="63" t="str">
        <f>VLOOKUP(C971, 'Class Def. - General Data'!$C$20:$C$1000,1,false)</f>
        <v>ZFG1_DISHWASHBAR</v>
      </c>
      <c r="H971" s="63" t="str">
        <f>IFERROR(__xludf.DUMMYFUNCTION("VLOOKUP(F971, IMPORTRANGE(""https://docs.google.com/spreadsheets/d/1Lhp9OU0JdFf_VYSMzH5lBcEaU4o8teT1piV-SNzShjg/edit?gid=554141278#gid=554141278"", ""'Char Def. - Attributes'!C20:C2242""), 1,false)"),"VARIAN")</f>
        <v>VARIAN</v>
      </c>
      <c r="I971" s="136"/>
    </row>
    <row r="972" ht="15.75" customHeight="1">
      <c r="A972" s="59"/>
      <c r="B972" s="63">
        <f t="shared" si="1"/>
        <v>16</v>
      </c>
      <c r="C972" s="134" t="s">
        <v>108</v>
      </c>
      <c r="D972" s="134" t="s">
        <v>74</v>
      </c>
      <c r="E972" s="135">
        <f t="shared" si="18"/>
        <v>6</v>
      </c>
      <c r="F972" s="134" t="s">
        <v>3608</v>
      </c>
      <c r="G972" s="63" t="str">
        <f>VLOOKUP(C972, 'Class Def. - General Data'!$C$20:$C$1000,1,false)</f>
        <v>ZFG1_DISHWASHBAR</v>
      </c>
      <c r="H972" s="63" t="str">
        <f>IFERROR(__xludf.DUMMYFUNCTION("VLOOKUP(F972, IMPORTRANGE(""https://docs.google.com/spreadsheets/d/1Lhp9OU0JdFf_VYSMzH5lBcEaU4o8teT1piV-SNzShjg/edit?gid=554141278#gid=554141278"", ""'Char Def. - Attributes'!C20:C2242""), 1,false)"),"PROJECT_NAME")</f>
        <v>PROJECT_NAME</v>
      </c>
      <c r="I972" s="136"/>
    </row>
    <row r="973" ht="15.75" customHeight="1">
      <c r="A973" s="59"/>
      <c r="B973" s="63">
        <f t="shared" si="1"/>
        <v>16</v>
      </c>
      <c r="C973" s="134" t="s">
        <v>108</v>
      </c>
      <c r="D973" s="134" t="s">
        <v>74</v>
      </c>
      <c r="E973" s="135">
        <f t="shared" si="18"/>
        <v>7</v>
      </c>
      <c r="F973" s="134" t="s">
        <v>3609</v>
      </c>
      <c r="G973" s="63" t="str">
        <f>VLOOKUP(C973, 'Class Def. - General Data'!$C$20:$C$1000,1,false)</f>
        <v>ZFG1_DISHWASHBAR</v>
      </c>
      <c r="H973" s="63" t="str">
        <f>IFERROR(__xludf.DUMMYFUNCTION("VLOOKUP(F973, IMPORTRANGE(""https://docs.google.com/spreadsheets/d/1Lhp9OU0JdFf_VYSMzH5lBcEaU4o8teT1piV-SNzShjg/edit?gid=554141278#gid=554141278"", ""'Char Def. - Attributes'!C20:C2242""), 1,false)"),"ADDITIONAL_PROMO")</f>
        <v>ADDITIONAL_PROMO</v>
      </c>
      <c r="I973" s="136"/>
    </row>
    <row r="974" ht="15.75" customHeight="1">
      <c r="A974" s="59"/>
      <c r="B974" s="63">
        <f t="shared" si="1"/>
        <v>16</v>
      </c>
      <c r="C974" s="134" t="s">
        <v>108</v>
      </c>
      <c r="D974" s="134" t="s">
        <v>74</v>
      </c>
      <c r="E974" s="135">
        <f t="shared" si="18"/>
        <v>8</v>
      </c>
      <c r="F974" s="134" t="s">
        <v>3610</v>
      </c>
      <c r="G974" s="63" t="str">
        <f>VLOOKUP(C974, 'Class Def. - General Data'!$C$20:$C$1000,1,false)</f>
        <v>ZFG1_DISHWASHBAR</v>
      </c>
      <c r="H974" s="63" t="str">
        <f>IFERROR(__xludf.DUMMYFUNCTION("VLOOKUP(F974, IMPORTRANGE(""https://docs.google.com/spreadsheets/d/1Lhp9OU0JdFf_VYSMzH5lBcEaU4o8teT1piV-SNzShjg/edit?gid=554141278#gid=554141278"", ""'Char Def. - Attributes'!C20:C2242""), 1,false)"),"BANDED_PROMO")</f>
        <v>BANDED_PROMO</v>
      </c>
      <c r="I974" s="136"/>
    </row>
    <row r="975" ht="15.75" customHeight="1">
      <c r="A975" s="59"/>
      <c r="B975" s="63">
        <f t="shared" si="1"/>
        <v>16</v>
      </c>
      <c r="C975" s="134" t="s">
        <v>108</v>
      </c>
      <c r="D975" s="134" t="s">
        <v>74</v>
      </c>
      <c r="E975" s="135">
        <f t="shared" si="18"/>
        <v>9</v>
      </c>
      <c r="F975" s="134" t="s">
        <v>3611</v>
      </c>
      <c r="G975" s="63" t="str">
        <f>VLOOKUP(C975, 'Class Def. - General Data'!$C$20:$C$1000,1,false)</f>
        <v>ZFG1_DISHWASHBAR</v>
      </c>
      <c r="H975" s="63" t="str">
        <f>IFERROR(__xludf.DUMMYFUNCTION("VLOOKUP(F975, IMPORTRANGE(""https://docs.google.com/spreadsheets/d/1Lhp9OU0JdFf_VYSMzH5lBcEaU4o8teT1piV-SNzShjg/edit?gid=554141278#gid=554141278"", ""'Char Def. - Attributes'!C20:C2242""), 1,false)"),"LOKAL_EKSPOR")</f>
        <v>LOKAL_EKSPOR</v>
      </c>
      <c r="I975" s="136"/>
    </row>
    <row r="976" ht="15.75" customHeight="1">
      <c r="A976" s="59"/>
      <c r="B976" s="63">
        <f t="shared" si="1"/>
        <v>16</v>
      </c>
      <c r="C976" s="134" t="s">
        <v>108</v>
      </c>
      <c r="D976" s="134" t="s">
        <v>74</v>
      </c>
      <c r="E976" s="135">
        <f t="shared" si="18"/>
        <v>10</v>
      </c>
      <c r="F976" s="134" t="s">
        <v>3612</v>
      </c>
      <c r="G976" s="63" t="str">
        <f>VLOOKUP(C976, 'Class Def. - General Data'!$C$20:$C$1000,1,false)</f>
        <v>ZFG1_DISHWASHBAR</v>
      </c>
      <c r="H976" s="63" t="str">
        <f>IFERROR(__xludf.DUMMYFUNCTION("VLOOKUP(F976, IMPORTRANGE(""https://docs.google.com/spreadsheets/d/1Lhp9OU0JdFf_VYSMzH5lBcEaU4o8teT1piV-SNzShjg/edit?gid=554141278#gid=554141278"", ""'Char Def. - Attributes'!C20:C2242""), 1,false)"),"COUNTRY_EKSPOR")</f>
        <v>COUNTRY_EKSPOR</v>
      </c>
      <c r="I976" s="136"/>
    </row>
    <row r="977" ht="15.75" customHeight="1">
      <c r="A977" s="59"/>
      <c r="B977" s="63">
        <f t="shared" si="1"/>
        <v>16</v>
      </c>
      <c r="C977" s="134" t="s">
        <v>108</v>
      </c>
      <c r="D977" s="134" t="s">
        <v>74</v>
      </c>
      <c r="E977" s="135">
        <f t="shared" si="18"/>
        <v>11</v>
      </c>
      <c r="F977" s="134" t="s">
        <v>3613</v>
      </c>
      <c r="G977" s="63" t="str">
        <f>VLOOKUP(C977, 'Class Def. - General Data'!$C$20:$C$1000,1,false)</f>
        <v>ZFG1_DISHWASHBAR</v>
      </c>
      <c r="H977" s="63" t="str">
        <f>IFERROR(__xludf.DUMMYFUNCTION("VLOOKUP(F977, IMPORTRANGE(""https://docs.google.com/spreadsheets/d/1Lhp9OU0JdFf_VYSMzH5lBcEaU4o8teT1piV-SNzShjg/edit?gid=554141278#gid=554141278"", ""'Char Def. - Attributes'!C20:C2242""), 1,false)"),"WARNA_SFG")</f>
        <v>WARNA_SFG</v>
      </c>
      <c r="I977" s="136"/>
    </row>
    <row r="978" ht="15.75" customHeight="1">
      <c r="A978" s="59"/>
      <c r="B978" s="63">
        <f t="shared" si="1"/>
        <v>16</v>
      </c>
      <c r="C978" s="134" t="s">
        <v>108</v>
      </c>
      <c r="D978" s="134" t="s">
        <v>74</v>
      </c>
      <c r="E978" s="135">
        <f t="shared" si="18"/>
        <v>12</v>
      </c>
      <c r="F978" s="134" t="s">
        <v>3582</v>
      </c>
      <c r="G978" s="63" t="str">
        <f>VLOOKUP(C978, 'Class Def. - General Data'!$C$20:$C$1000,1,false)</f>
        <v>ZFG1_DISHWASHBAR</v>
      </c>
      <c r="H978" s="63" t="str">
        <f>IFERROR(__xludf.DUMMYFUNCTION("VLOOKUP(F978, IMPORTRANGE(""https://docs.google.com/spreadsheets/d/1Lhp9OU0JdFf_VYSMzH5lBcEaU4o8teT1piV-SNzShjg/edit?gid=554141278#gid=554141278"", ""'Char Def. - Attributes'!C20:C2242""), 1,false)"),"BASE_UNIT")</f>
        <v>BASE_UNIT</v>
      </c>
      <c r="I978" s="136"/>
    </row>
    <row r="979" ht="15.75" customHeight="1">
      <c r="A979" s="59"/>
      <c r="B979" s="63">
        <f t="shared" si="1"/>
        <v>16</v>
      </c>
      <c r="C979" s="134" t="s">
        <v>108</v>
      </c>
      <c r="D979" s="134" t="s">
        <v>74</v>
      </c>
      <c r="E979" s="135">
        <f t="shared" si="18"/>
        <v>13</v>
      </c>
      <c r="F979" s="134" t="s">
        <v>3583</v>
      </c>
      <c r="G979" s="63" t="str">
        <f>VLOOKUP(C979, 'Class Def. - General Data'!$C$20:$C$1000,1,false)</f>
        <v>ZFG1_DISHWASHBAR</v>
      </c>
      <c r="H979" s="63" t="str">
        <f>IFERROR(__xludf.DUMMYFUNCTION("VLOOKUP(F979, IMPORTRANGE(""https://docs.google.com/spreadsheets/d/1Lhp9OU0JdFf_VYSMzH5lBcEaU4o8teT1piV-SNzShjg/edit?gid=554141278#gid=554141278"", ""'Char Def. - Attributes'!C20:C2242""), 1,false)"),"SALES_UNIT")</f>
        <v>SALES_UNIT</v>
      </c>
      <c r="I979" s="136"/>
    </row>
    <row r="980" ht="15.75" customHeight="1">
      <c r="A980" s="59"/>
      <c r="B980" s="63">
        <f t="shared" si="1"/>
        <v>16</v>
      </c>
      <c r="C980" s="134" t="s">
        <v>108</v>
      </c>
      <c r="D980" s="134" t="s">
        <v>74</v>
      </c>
      <c r="E980" s="135">
        <f t="shared" si="18"/>
        <v>14</v>
      </c>
      <c r="F980" s="134" t="s">
        <v>3601</v>
      </c>
      <c r="G980" s="63" t="str">
        <f>VLOOKUP(C980, 'Class Def. - General Data'!$C$20:$C$1000,1,false)</f>
        <v>ZFG1_DISHWASHBAR</v>
      </c>
      <c r="H980" s="63" t="str">
        <f>IFERROR(__xludf.DUMMYFUNCTION("VLOOKUP(F980, IMPORTRANGE(""https://docs.google.com/spreadsheets/d/1Lhp9OU0JdFf_VYSMzH5lBcEaU4o8teT1piV-SNzShjg/edit?gid=554141278#gid=554141278"", ""'Char Def. - Attributes'!C20:C2242""), 1,false)"),"GROSS_WEIGHT")</f>
        <v>GROSS_WEIGHT</v>
      </c>
      <c r="I980" s="136"/>
    </row>
    <row r="981" ht="15.75" customHeight="1">
      <c r="A981" s="59"/>
      <c r="B981" s="63">
        <f t="shared" si="1"/>
        <v>16</v>
      </c>
      <c r="C981" s="134" t="s">
        <v>108</v>
      </c>
      <c r="D981" s="134" t="s">
        <v>74</v>
      </c>
      <c r="E981" s="135">
        <f t="shared" si="18"/>
        <v>15</v>
      </c>
      <c r="F981" s="134" t="s">
        <v>3602</v>
      </c>
      <c r="G981" s="63" t="str">
        <f>VLOOKUP(C981, 'Class Def. - General Data'!$C$20:$C$1000,1,false)</f>
        <v>ZFG1_DISHWASHBAR</v>
      </c>
      <c r="H981" s="63" t="str">
        <f>IFERROR(__xludf.DUMMYFUNCTION("VLOOKUP(F981, IMPORTRANGE(""https://docs.google.com/spreadsheets/d/1Lhp9OU0JdFf_VYSMzH5lBcEaU4o8teT1piV-SNzShjg/edit?gid=554141278#gid=554141278"", ""'Char Def. - Attributes'!C20:C2242""), 1,false)"),"NET_WEIGHT")</f>
        <v>NET_WEIGHT</v>
      </c>
      <c r="I981" s="136"/>
    </row>
    <row r="982" ht="15.75" customHeight="1">
      <c r="A982" s="59"/>
      <c r="B982" s="63">
        <f t="shared" si="1"/>
        <v>16</v>
      </c>
      <c r="C982" s="134" t="s">
        <v>108</v>
      </c>
      <c r="D982" s="134" t="s">
        <v>74</v>
      </c>
      <c r="E982" s="135">
        <f t="shared" si="18"/>
        <v>16</v>
      </c>
      <c r="F982" s="134" t="s">
        <v>3584</v>
      </c>
      <c r="G982" s="63" t="str">
        <f>VLOOKUP(C982, 'Class Def. - General Data'!$C$20:$C$1000,1,false)</f>
        <v>ZFG1_DISHWASHBAR</v>
      </c>
      <c r="H982" s="63" t="str">
        <f>IFERROR(__xludf.DUMMYFUNCTION("VLOOKUP(F982, IMPORTRANGE(""https://docs.google.com/spreadsheets/d/1Lhp9OU0JdFf_VYSMzH5lBcEaU4o8teT1piV-SNzShjg/edit?gid=554141278#gid=554141278"", ""'Char Def. - Attributes'!C20:C2242""), 1,false)"),"UNIT_PER_BOX")</f>
        <v>UNIT_PER_BOX</v>
      </c>
      <c r="I982" s="136"/>
    </row>
    <row r="983" ht="15.75" customHeight="1">
      <c r="A983" s="59"/>
      <c r="B983" s="63">
        <f t="shared" si="1"/>
        <v>16</v>
      </c>
      <c r="C983" s="134" t="s">
        <v>108</v>
      </c>
      <c r="D983" s="134" t="s">
        <v>74</v>
      </c>
      <c r="E983" s="135">
        <f t="shared" si="18"/>
        <v>17</v>
      </c>
      <c r="F983" s="134" t="s">
        <v>3614</v>
      </c>
      <c r="G983" s="63" t="str">
        <f>VLOOKUP(C983, 'Class Def. - General Data'!$C$20:$C$1000,1,false)</f>
        <v>ZFG1_DISHWASHBAR</v>
      </c>
      <c r="H983" s="63" t="str">
        <f>IFERROR(__xludf.DUMMYFUNCTION("VLOOKUP(F983, IMPORTRANGE(""https://docs.google.com/spreadsheets/d/1Lhp9OU0JdFf_VYSMzH5lBcEaU4o8teT1piV-SNzShjg/edit?gid=554141278#gid=554141278"", ""'Char Def. - Attributes'!C20:C2242""), 1,false)"),"UNIT_PER_CTN")</f>
        <v>UNIT_PER_CTN</v>
      </c>
      <c r="I983" s="136"/>
    </row>
    <row r="984" ht="15.75" customHeight="1">
      <c r="A984" s="59"/>
      <c r="B984" s="63">
        <f t="shared" si="1"/>
        <v>16</v>
      </c>
      <c r="C984" s="134" t="s">
        <v>108</v>
      </c>
      <c r="D984" s="134" t="s">
        <v>74</v>
      </c>
      <c r="E984" s="135">
        <f t="shared" si="18"/>
        <v>18</v>
      </c>
      <c r="F984" s="134" t="s">
        <v>3615</v>
      </c>
      <c r="G984" s="63" t="str">
        <f>VLOOKUP(C984, 'Class Def. - General Data'!$C$20:$C$1000,1,false)</f>
        <v>ZFG1_DISHWASHBAR</v>
      </c>
      <c r="H984" s="63" t="str">
        <f>IFERROR(__xludf.DUMMYFUNCTION("VLOOKUP(F984, IMPORTRANGE(""https://docs.google.com/spreadsheets/d/1Lhp9OU0JdFf_VYSMzH5lBcEaU4o8teT1piV-SNzShjg/edit?gid=554141278#gid=554141278"", ""'Char Def. - Attributes'!C20:C2242""), 1,false)"),"UNIT_PER_BAG")</f>
        <v>UNIT_PER_BAG</v>
      </c>
      <c r="I984" s="136"/>
    </row>
    <row r="985" ht="15.75" customHeight="1">
      <c r="A985" s="59"/>
      <c r="B985" s="63">
        <f t="shared" si="1"/>
        <v>16</v>
      </c>
      <c r="C985" s="134" t="s">
        <v>108</v>
      </c>
      <c r="D985" s="134" t="s">
        <v>74</v>
      </c>
      <c r="E985" s="135">
        <f t="shared" si="18"/>
        <v>19</v>
      </c>
      <c r="F985" s="134" t="s">
        <v>3616</v>
      </c>
      <c r="G985" s="63" t="str">
        <f>VLOOKUP(C985, 'Class Def. - General Data'!$C$20:$C$1000,1,false)</f>
        <v>ZFG1_DISHWASHBAR</v>
      </c>
      <c r="H985" s="63" t="str">
        <f>IFERROR(__xludf.DUMMYFUNCTION("VLOOKUP(F985, IMPORTRANGE(""https://docs.google.com/spreadsheets/d/1Lhp9OU0JdFf_VYSMzH5lBcEaU4o8teT1piV-SNzShjg/edit?gid=554141278#gid=554141278"", ""'Char Def. - Attributes'!C20:C2242""), 1,false)"),"UNIT_PER_PAL")</f>
        <v>UNIT_PER_PAL</v>
      </c>
      <c r="I985" s="136"/>
    </row>
    <row r="986" ht="15.75" customHeight="1">
      <c r="A986" s="59"/>
      <c r="B986" s="63">
        <f t="shared" si="1"/>
        <v>16</v>
      </c>
      <c r="C986" s="134" t="s">
        <v>108</v>
      </c>
      <c r="D986" s="134" t="s">
        <v>74</v>
      </c>
      <c r="E986" s="135">
        <f t="shared" si="18"/>
        <v>20</v>
      </c>
      <c r="F986" s="134" t="s">
        <v>3617</v>
      </c>
      <c r="G986" s="63" t="str">
        <f>VLOOKUP(C986, 'Class Def. - General Data'!$C$20:$C$1000,1,false)</f>
        <v>ZFG1_DISHWASHBAR</v>
      </c>
      <c r="H986" s="63" t="str">
        <f>IFERROR(__xludf.DUMMYFUNCTION("VLOOKUP(F986, IMPORTRANGE(""https://docs.google.com/spreadsheets/d/1Lhp9OU0JdFf_VYSMzH5lBcEaU4o8teT1piV-SNzShjg/edit?gid=554141278#gid=554141278"", ""'Char Def. - Attributes'!C20:C2242""), 1,false)"),"UNIT_PER_TIER")</f>
        <v>UNIT_PER_TIER</v>
      </c>
      <c r="I986" s="136"/>
    </row>
    <row r="987" ht="15.75" customHeight="1">
      <c r="A987" s="59"/>
      <c r="B987" s="63">
        <f t="shared" si="1"/>
        <v>16</v>
      </c>
      <c r="C987" s="134" t="s">
        <v>108</v>
      </c>
      <c r="D987" s="134" t="s">
        <v>74</v>
      </c>
      <c r="E987" s="135">
        <f t="shared" si="18"/>
        <v>21</v>
      </c>
      <c r="F987" s="134" t="s">
        <v>3618</v>
      </c>
      <c r="G987" s="63" t="str">
        <f>VLOOKUP(C987, 'Class Def. - General Data'!$C$20:$C$1000,1,false)</f>
        <v>ZFG1_DISHWASHBAR</v>
      </c>
      <c r="H987" s="63" t="str">
        <f>IFERROR(__xludf.DUMMYFUNCTION("VLOOKUP(F987, IMPORTRANGE(""https://docs.google.com/spreadsheets/d/1Lhp9OU0JdFf_VYSMzH5lBcEaU4o8teT1piV-SNzShjg/edit?gid=554141278#gid=554141278"", ""'Char Def. - Attributes'!C20:C2242""), 1,false)"),"HEIGHT")</f>
        <v>HEIGHT</v>
      </c>
      <c r="I987" s="136"/>
    </row>
    <row r="988" ht="15.75" customHeight="1">
      <c r="A988" s="59"/>
      <c r="B988" s="63">
        <f t="shared" si="1"/>
        <v>16</v>
      </c>
      <c r="C988" s="134" t="s">
        <v>108</v>
      </c>
      <c r="D988" s="134" t="s">
        <v>74</v>
      </c>
      <c r="E988" s="135">
        <f t="shared" si="18"/>
        <v>22</v>
      </c>
      <c r="F988" s="134" t="s">
        <v>3587</v>
      </c>
      <c r="G988" s="63" t="str">
        <f>VLOOKUP(C988, 'Class Def. - General Data'!$C$20:$C$1000,1,false)</f>
        <v>ZFG1_DISHWASHBAR</v>
      </c>
      <c r="H988" s="63" t="str">
        <f>IFERROR(__xludf.DUMMYFUNCTION("VLOOKUP(F988, IMPORTRANGE(""https://docs.google.com/spreadsheets/d/1Lhp9OU0JdFf_VYSMzH5lBcEaU4o8teT1piV-SNzShjg/edit?gid=554141278#gid=554141278"", ""'Char Def. - Attributes'!C20:C2242""), 1,false)"),"PLANT_BUY")</f>
        <v>PLANT_BUY</v>
      </c>
      <c r="I988" s="136"/>
    </row>
    <row r="989" ht="15.75" customHeight="1">
      <c r="A989" s="59"/>
      <c r="B989" s="63">
        <f t="shared" si="1"/>
        <v>16</v>
      </c>
      <c r="C989" s="134" t="s">
        <v>108</v>
      </c>
      <c r="D989" s="134" t="s">
        <v>74</v>
      </c>
      <c r="E989" s="135">
        <f t="shared" si="18"/>
        <v>23</v>
      </c>
      <c r="F989" s="134" t="s">
        <v>3619</v>
      </c>
      <c r="G989" s="63" t="str">
        <f>VLOOKUP(C989, 'Class Def. - General Data'!$C$20:$C$1000,1,false)</f>
        <v>ZFG1_DISHWASHBAR</v>
      </c>
      <c r="H989" s="63" t="str">
        <f>IFERROR(__xludf.DUMMYFUNCTION("VLOOKUP(F989, IMPORTRANGE(""https://docs.google.com/spreadsheets/d/1Lhp9OU0JdFf_VYSMzH5lBcEaU4o8teT1piV-SNzShjg/edit?gid=554141278#gid=554141278"", ""'Char Def. - Attributes'!C20:C2242""), 1,false)"),"LENGTH")</f>
        <v>LENGTH</v>
      </c>
      <c r="I989" s="136"/>
    </row>
    <row r="990" ht="15.75" customHeight="1">
      <c r="A990" s="59"/>
      <c r="B990" s="63">
        <f t="shared" si="1"/>
        <v>16</v>
      </c>
      <c r="C990" s="134" t="s">
        <v>108</v>
      </c>
      <c r="D990" s="134" t="s">
        <v>74</v>
      </c>
      <c r="E990" s="135">
        <f t="shared" si="18"/>
        <v>24</v>
      </c>
      <c r="F990" s="134" t="s">
        <v>3586</v>
      </c>
      <c r="G990" s="63" t="str">
        <f>VLOOKUP(C990, 'Class Def. - General Data'!$C$20:$C$1000,1,false)</f>
        <v>ZFG1_DISHWASHBAR</v>
      </c>
      <c r="H990" s="63" t="str">
        <f>IFERROR(__xludf.DUMMYFUNCTION("VLOOKUP(F990, IMPORTRANGE(""https://docs.google.com/spreadsheets/d/1Lhp9OU0JdFf_VYSMzH5lBcEaU4o8teT1piV-SNzShjg/edit?gid=554141278#gid=554141278"", ""'Char Def. - Attributes'!C20:C2242""), 1,false)"),"PLANT_PROD")</f>
        <v>PLANT_PROD</v>
      </c>
      <c r="I990" s="136"/>
    </row>
    <row r="991" ht="15.75" customHeight="1">
      <c r="A991" s="59"/>
      <c r="B991" s="63">
        <f t="shared" si="1"/>
        <v>16</v>
      </c>
      <c r="C991" s="134" t="s">
        <v>108</v>
      </c>
      <c r="D991" s="134" t="s">
        <v>74</v>
      </c>
      <c r="E991" s="135">
        <f t="shared" si="18"/>
        <v>25</v>
      </c>
      <c r="F991" s="134" t="s">
        <v>3620</v>
      </c>
      <c r="G991" s="63" t="str">
        <f>VLOOKUP(C991, 'Class Def. - General Data'!$C$20:$C$1000,1,false)</f>
        <v>ZFG1_DISHWASHBAR</v>
      </c>
      <c r="H991" s="63" t="str">
        <f>IFERROR(__xludf.DUMMYFUNCTION("VLOOKUP(F991, IMPORTRANGE(""https://docs.google.com/spreadsheets/d/1Lhp9OU0JdFf_VYSMzH5lBcEaU4o8teT1piV-SNzShjg/edit?gid=554141278#gid=554141278"", ""'Char Def. - Attributes'!C20:C2242""), 1,false)"),"WIDTH")</f>
        <v>WIDTH</v>
      </c>
      <c r="I991" s="136"/>
    </row>
    <row r="992" ht="15.75" customHeight="1">
      <c r="A992" s="59"/>
      <c r="B992" s="63">
        <f t="shared" si="1"/>
        <v>16</v>
      </c>
      <c r="C992" s="134" t="s">
        <v>108</v>
      </c>
      <c r="D992" s="134" t="s">
        <v>74</v>
      </c>
      <c r="E992" s="135">
        <f t="shared" si="18"/>
        <v>26</v>
      </c>
      <c r="F992" s="134" t="s">
        <v>3585</v>
      </c>
      <c r="G992" s="63" t="str">
        <f>VLOOKUP(C992, 'Class Def. - General Data'!$C$20:$C$1000,1,false)</f>
        <v>ZFG1_DISHWASHBAR</v>
      </c>
      <c r="H992" s="63" t="str">
        <f>IFERROR(__xludf.DUMMYFUNCTION("VLOOKUP(F992, IMPORTRANGE(""https://docs.google.com/spreadsheets/d/1Lhp9OU0JdFf_VYSMzH5lBcEaU4o8teT1piV-SNzShjg/edit?gid=554141278#gid=554141278"", ""'Char Def. - Attributes'!C20:C2242""), 1,false)"),"HS_CODE")</f>
        <v>HS_CODE</v>
      </c>
      <c r="I992" s="136"/>
    </row>
    <row r="993" ht="15.75" customHeight="1">
      <c r="A993" s="59"/>
      <c r="B993" s="63">
        <f t="shared" si="1"/>
        <v>16</v>
      </c>
      <c r="C993" s="134" t="s">
        <v>108</v>
      </c>
      <c r="D993" s="134" t="s">
        <v>74</v>
      </c>
      <c r="E993" s="135">
        <f t="shared" si="18"/>
        <v>27</v>
      </c>
      <c r="F993" s="134" t="s">
        <v>3621</v>
      </c>
      <c r="G993" s="63" t="str">
        <f>VLOOKUP(C993, 'Class Def. - General Data'!$C$20:$C$1000,1,false)</f>
        <v>ZFG1_DISHWASHBAR</v>
      </c>
      <c r="H993" s="63" t="str">
        <f>IFERROR(__xludf.DUMMYFUNCTION("VLOOKUP(F993, IMPORTRANGE(""https://docs.google.com/spreadsheets/d/1Lhp9OU0JdFf_VYSMzH5lBcEaU4o8teT1piV-SNzShjg/edit?gid=554141278#gid=554141278"", ""'Char Def. - Attributes'!C20:C2242""), 1,false)"),"EAN_PCS")</f>
        <v>EAN_PCS</v>
      </c>
      <c r="I993" s="136"/>
    </row>
    <row r="994" ht="15.75" customHeight="1">
      <c r="A994" s="59"/>
      <c r="B994" s="63">
        <f t="shared" si="1"/>
        <v>16</v>
      </c>
      <c r="C994" s="134" t="s">
        <v>108</v>
      </c>
      <c r="D994" s="134" t="s">
        <v>74</v>
      </c>
      <c r="E994" s="135">
        <f t="shared" si="18"/>
        <v>28</v>
      </c>
      <c r="F994" s="134" t="s">
        <v>3622</v>
      </c>
      <c r="G994" s="63" t="str">
        <f>VLOOKUP(C994, 'Class Def. - General Data'!$C$20:$C$1000,1,false)</f>
        <v>ZFG1_DISHWASHBAR</v>
      </c>
      <c r="H994" s="63" t="str">
        <f>IFERROR(__xludf.DUMMYFUNCTION("VLOOKUP(F994, IMPORTRANGE(""https://docs.google.com/spreadsheets/d/1Lhp9OU0JdFf_VYSMzH5lBcEaU4o8teT1piV-SNzShjg/edit?gid=554141278#gid=554141278"", ""'Char Def. - Attributes'!C20:C2242""), 1,false)"),"SFG_BRAND")</f>
        <v>SFG_BRAND</v>
      </c>
      <c r="I994" s="136"/>
    </row>
    <row r="995" ht="15.75" customHeight="1">
      <c r="A995" s="59"/>
      <c r="B995" s="63">
        <f t="shared" si="1"/>
        <v>16</v>
      </c>
      <c r="C995" s="134" t="s">
        <v>108</v>
      </c>
      <c r="D995" s="134" t="s">
        <v>74</v>
      </c>
      <c r="E995" s="135">
        <f t="shared" si="18"/>
        <v>29</v>
      </c>
      <c r="F995" s="134" t="s">
        <v>3623</v>
      </c>
      <c r="G995" s="63" t="str">
        <f>VLOOKUP(C995, 'Class Def. - General Data'!$C$20:$C$1000,1,false)</f>
        <v>ZFG1_DISHWASHBAR</v>
      </c>
      <c r="H995" s="63" t="str">
        <f>IFERROR(__xludf.DUMMYFUNCTION("VLOOKUP(F995, IMPORTRANGE(""https://docs.google.com/spreadsheets/d/1Lhp9OU0JdFf_VYSMzH5lBcEaU4o8teT1piV-SNzShjg/edit?gid=554141278#gid=554141278"", ""'Char Def. - Attributes'!C20:C2242""), 1,false)"),"LANGUAGE")</f>
        <v>LANGUAGE</v>
      </c>
      <c r="I995" s="136"/>
    </row>
    <row r="996" ht="15.75" customHeight="1">
      <c r="A996" s="59"/>
      <c r="B996" s="63">
        <f t="shared" si="1"/>
        <v>16</v>
      </c>
      <c r="C996" s="139" t="s">
        <v>108</v>
      </c>
      <c r="D996" s="139" t="s">
        <v>74</v>
      </c>
      <c r="E996" s="140">
        <f t="shared" si="18"/>
        <v>30</v>
      </c>
      <c r="F996" s="134" t="s">
        <v>3624</v>
      </c>
      <c r="G996" s="63" t="str">
        <f>VLOOKUP(C996, 'Class Def. - General Data'!$C$20:$C$1000,1,false)</f>
        <v>ZFG1_DISHWASHBAR</v>
      </c>
      <c r="H996" s="63" t="str">
        <f>IFERROR(__xludf.DUMMYFUNCTION("VLOOKUP(F996, IMPORTRANGE(""https://docs.google.com/spreadsheets/d/1Lhp9OU0JdFf_VYSMzH5lBcEaU4o8teT1piV-SNzShjg/edit?gid=554141278#gid=554141278"", ""'Char Def. - Attributes'!C20:C2242""), 1,false)"),"#N/A")</f>
        <v>#N/A</v>
      </c>
      <c r="I996" s="136"/>
    </row>
    <row r="997" ht="15.75" customHeight="1">
      <c r="A997" s="59"/>
      <c r="B997" s="63">
        <f t="shared" si="1"/>
        <v>16</v>
      </c>
      <c r="C997" s="134" t="s">
        <v>108</v>
      </c>
      <c r="D997" s="134" t="s">
        <v>74</v>
      </c>
      <c r="E997" s="135">
        <f t="shared" si="18"/>
        <v>31</v>
      </c>
      <c r="F997" s="134" t="s">
        <v>3625</v>
      </c>
      <c r="G997" s="63" t="str">
        <f>VLOOKUP(C997, 'Class Def. - General Data'!$C$20:$C$1000,1,false)</f>
        <v>ZFG1_DISHWASHBAR</v>
      </c>
      <c r="H997" s="63" t="str">
        <f>IFERROR(__xludf.DUMMYFUNCTION("VLOOKUP(F997, IMPORTRANGE(""https://docs.google.com/spreadsheets/d/1Lhp9OU0JdFf_VYSMzH5lBcEaU4o8teT1piV-SNzShjg/edit?gid=554141278#gid=554141278"", ""'Char Def. - Attributes'!C20:C2242""), 1,false)"),"REGION_EKSPOR")</f>
        <v>REGION_EKSPOR</v>
      </c>
      <c r="I997" s="136"/>
    </row>
    <row r="998" ht="15.75" customHeight="1">
      <c r="A998" s="59"/>
      <c r="B998" s="63">
        <f t="shared" si="1"/>
        <v>16</v>
      </c>
      <c r="C998" s="134" t="s">
        <v>108</v>
      </c>
      <c r="D998" s="134" t="s">
        <v>74</v>
      </c>
      <c r="E998" s="135">
        <f t="shared" si="18"/>
        <v>32</v>
      </c>
      <c r="F998" s="134" t="s">
        <v>3626</v>
      </c>
      <c r="G998" s="63" t="str">
        <f>VLOOKUP(C998, 'Class Def. - General Data'!$C$20:$C$1000,1,false)</f>
        <v>ZFG1_DISHWASHBAR</v>
      </c>
      <c r="H998" s="63" t="str">
        <f>IFERROR(__xludf.DUMMYFUNCTION("VLOOKUP(F998, IMPORTRANGE(""https://docs.google.com/spreadsheets/d/1Lhp9OU0JdFf_VYSMzH5lBcEaU4o8teT1piV-SNzShjg/edit?gid=554141278#gid=554141278"", ""'Char Def. - Attributes'!C20:C2242""), 1,false)"),"STICKER_NOT")</f>
        <v>STICKER_NOT</v>
      </c>
      <c r="I998" s="136"/>
    </row>
    <row r="999" ht="15.75" customHeight="1">
      <c r="A999" s="59"/>
      <c r="B999" s="63">
        <f t="shared" si="1"/>
        <v>16</v>
      </c>
      <c r="C999" s="134" t="s">
        <v>108</v>
      </c>
      <c r="D999" s="134" t="s">
        <v>74</v>
      </c>
      <c r="E999" s="135">
        <f t="shared" si="18"/>
        <v>33</v>
      </c>
      <c r="F999" s="134" t="s">
        <v>3627</v>
      </c>
      <c r="G999" s="63" t="str">
        <f>VLOOKUP(C999, 'Class Def. - General Data'!$C$20:$C$1000,1,false)</f>
        <v>ZFG1_DISHWASHBAR</v>
      </c>
      <c r="H999" s="63" t="str">
        <f>IFERROR(__xludf.DUMMYFUNCTION("VLOOKUP(F999, IMPORTRANGE(""https://docs.google.com/spreadsheets/d/1Lhp9OU0JdFf_VYSMzH5lBcEaU4o8teT1piV-SNzShjg/edit?gid=554141278#gid=554141278"", ""'Char Def. - Attributes'!C20:C2242""), 1,false)"),"SHIP_MARK")</f>
        <v>SHIP_MARK</v>
      </c>
      <c r="I999" s="136"/>
    </row>
    <row r="1000" ht="15.75" customHeight="1">
      <c r="A1000" s="59"/>
      <c r="B1000" s="63">
        <f t="shared" si="1"/>
        <v>16</v>
      </c>
      <c r="C1000" s="134" t="s">
        <v>108</v>
      </c>
      <c r="D1000" s="134" t="s">
        <v>74</v>
      </c>
      <c r="E1000" s="135">
        <f t="shared" si="18"/>
        <v>34</v>
      </c>
      <c r="F1000" s="134" t="s">
        <v>3628</v>
      </c>
      <c r="G1000" s="63" t="str">
        <f>VLOOKUP(C1000, 'Class Def. - General Data'!$C$20:$C$1000,1,false)</f>
        <v>ZFG1_DISHWASHBAR</v>
      </c>
      <c r="H1000" s="63" t="str">
        <f>IFERROR(__xludf.DUMMYFUNCTION("VLOOKUP(F1000, IMPORTRANGE(""https://docs.google.com/spreadsheets/d/1Lhp9OU0JdFf_VYSMzH5lBcEaU4o8teT1piV-SNzShjg/edit?gid=554141278#gid=554141278"", ""'Char Def. - Attributes'!C20:C2242""), 1,false)"),"MID_CORE")</f>
        <v>MID_CORE</v>
      </c>
      <c r="I1000" s="136"/>
    </row>
    <row r="1001" ht="15.75" customHeight="1">
      <c r="A1001" s="59"/>
      <c r="B1001" s="63">
        <f t="shared" si="1"/>
        <v>16</v>
      </c>
      <c r="C1001" s="134" t="s">
        <v>108</v>
      </c>
      <c r="D1001" s="134" t="s">
        <v>74</v>
      </c>
      <c r="E1001" s="135">
        <f t="shared" si="18"/>
        <v>35</v>
      </c>
      <c r="F1001" s="134" t="s">
        <v>3629</v>
      </c>
      <c r="G1001" s="63" t="str">
        <f>VLOOKUP(C1001, 'Class Def. - General Data'!$C$20:$C$1000,1,false)</f>
        <v>ZFG1_DISHWASHBAR</v>
      </c>
      <c r="H1001" s="63" t="str">
        <f>IFERROR(__xludf.DUMMYFUNCTION("VLOOKUP(F1001, IMPORTRANGE(""https://docs.google.com/spreadsheets/d/1Lhp9OU0JdFf_VYSMzH5lBcEaU4o8teT1piV-SNzShjg/edit?gid=554141278#gid=554141278"", ""'Char Def. - Attributes'!C20:C2242""), 1,false)"),"EAN_CTN")</f>
        <v>EAN_CTN</v>
      </c>
      <c r="I1001" s="136"/>
    </row>
    <row r="1002" ht="15.75" customHeight="1">
      <c r="A1002" s="59"/>
      <c r="B1002" s="63">
        <f t="shared" si="1"/>
        <v>16</v>
      </c>
      <c r="C1002" s="134" t="s">
        <v>108</v>
      </c>
      <c r="D1002" s="134" t="s">
        <v>74</v>
      </c>
      <c r="E1002" s="135">
        <f t="shared" si="18"/>
        <v>36</v>
      </c>
      <c r="F1002" s="134" t="s">
        <v>3630</v>
      </c>
      <c r="G1002" s="63" t="str">
        <f>VLOOKUP(C1002, 'Class Def. - General Data'!$C$20:$C$1000,1,false)</f>
        <v>ZFG1_DISHWASHBAR</v>
      </c>
      <c r="H1002" s="63" t="str">
        <f>IFERROR(__xludf.DUMMYFUNCTION("VLOOKUP(F1002, IMPORTRANGE(""https://docs.google.com/spreadsheets/d/1Lhp9OU0JdFf_VYSMzH5lBcEaU4o8teT1piV-SNzShjg/edit?gid=554141278#gid=554141278"", ""'Char Def. - Attributes'!C20:C2242""), 1,false)"),"EAN_BOX")</f>
        <v>EAN_BOX</v>
      </c>
      <c r="I1002" s="136"/>
    </row>
    <row r="1003" ht="15.75" customHeight="1">
      <c r="A1003" s="59"/>
      <c r="B1003" s="63">
        <f t="shared" si="1"/>
        <v>16</v>
      </c>
      <c r="C1003" s="134" t="s">
        <v>108</v>
      </c>
      <c r="D1003" s="141" t="s">
        <v>74</v>
      </c>
      <c r="E1003" s="135">
        <v>22.0</v>
      </c>
      <c r="F1003" s="135" t="s">
        <v>3603</v>
      </c>
      <c r="G1003" s="63" t="str">
        <f>VLOOKUP(C1003, 'Class Def. - General Data'!$C$20:$C$1000,1,false)</f>
        <v>ZFG1_DISHWASHBAR</v>
      </c>
      <c r="I1003" s="136"/>
    </row>
    <row r="1004" ht="15.75" customHeight="1">
      <c r="A1004" s="59"/>
      <c r="B1004" s="63">
        <f t="shared" si="1"/>
        <v>16</v>
      </c>
      <c r="C1004" s="134" t="s">
        <v>109</v>
      </c>
      <c r="D1004" s="134" t="s">
        <v>74</v>
      </c>
      <c r="E1004" s="135">
        <f t="shared" ref="E1004:E1039" si="19">COUNTIF($C$20:C1004,C1004)</f>
        <v>1</v>
      </c>
      <c r="F1004" s="134" t="s">
        <v>3671</v>
      </c>
      <c r="G1004" s="63" t="str">
        <f>VLOOKUP(C1004, 'Class Def. - General Data'!$C$20:$C$1000,1,false)</f>
        <v>ZFG1_DISHWASHLIQ</v>
      </c>
      <c r="H1004" s="63" t="str">
        <f>IFERROR(__xludf.DUMMYFUNCTION("VLOOKUP(F1004, IMPORTRANGE(""https://docs.google.com/spreadsheets/d/1Lhp9OU0JdFf_VYSMzH5lBcEaU4o8teT1piV-SNzShjg/edit?gid=554141278#gid=554141278"", ""'Char Def. - Attributes'!C20:C2242""), 1,false)"),"BRAND_DISHWASHLIQ")</f>
        <v>BRAND_DISHWASHLIQ</v>
      </c>
      <c r="I1004" s="136"/>
    </row>
    <row r="1005" ht="15.75" customHeight="1">
      <c r="A1005" s="59"/>
      <c r="B1005" s="63">
        <f t="shared" si="1"/>
        <v>16</v>
      </c>
      <c r="C1005" s="135" t="s">
        <v>109</v>
      </c>
      <c r="D1005" s="134" t="s">
        <v>74</v>
      </c>
      <c r="E1005" s="135">
        <f t="shared" si="19"/>
        <v>2</v>
      </c>
      <c r="F1005" s="134" t="s">
        <v>3672</v>
      </c>
      <c r="G1005" s="63" t="str">
        <f>VLOOKUP(C1005, 'Class Def. - General Data'!$C$20:$C$1000,1,false)</f>
        <v>ZFG1_DISHWASHLIQ</v>
      </c>
      <c r="H1005" s="63" t="str">
        <f>IFERROR(__xludf.DUMMYFUNCTION("VLOOKUP(F1005, IMPORTRANGE(""https://docs.google.com/spreadsheets/d/1Lhp9OU0JdFf_VYSMzH5lBcEaU4o8teT1piV-SNzShjg/edit?gid=554141278#gid=554141278"", ""'Char Def. - Attributes'!C20:C2242""), 1,false)"),"PSHAPE_DISHWASHLIQ")</f>
        <v>PSHAPE_DISHWASHLIQ</v>
      </c>
      <c r="I1005" s="136"/>
    </row>
    <row r="1006" ht="15.75" customHeight="1">
      <c r="A1006" s="59"/>
      <c r="B1006" s="63">
        <f t="shared" si="1"/>
        <v>16</v>
      </c>
      <c r="C1006" s="134" t="s">
        <v>109</v>
      </c>
      <c r="D1006" s="134" t="s">
        <v>74</v>
      </c>
      <c r="E1006" s="135">
        <f t="shared" si="19"/>
        <v>3</v>
      </c>
      <c r="F1006" s="134" t="s">
        <v>3605</v>
      </c>
      <c r="G1006" s="63" t="str">
        <f>VLOOKUP(C1006, 'Class Def. - General Data'!$C$20:$C$1000,1,false)</f>
        <v>ZFG1_DISHWASHLIQ</v>
      </c>
      <c r="H1006" s="63" t="str">
        <f>IFERROR(__xludf.DUMMYFUNCTION("VLOOKUP(F1006, IMPORTRANGE(""https://docs.google.com/spreadsheets/d/1Lhp9OU0JdFf_VYSMzH5lBcEaU4o8teT1piV-SNzShjg/edit?gid=554141278#gid=554141278"", ""'Char Def. - Attributes'!C20:C2242""), 1,false)"),"PACK_NETTO")</f>
        <v>PACK_NETTO</v>
      </c>
      <c r="I1006" s="136"/>
    </row>
    <row r="1007" ht="15.75" customHeight="1">
      <c r="A1007" s="59"/>
      <c r="B1007" s="63">
        <f t="shared" si="1"/>
        <v>16</v>
      </c>
      <c r="C1007" s="135" t="s">
        <v>109</v>
      </c>
      <c r="D1007" s="134" t="s">
        <v>74</v>
      </c>
      <c r="E1007" s="135">
        <f t="shared" si="19"/>
        <v>4</v>
      </c>
      <c r="F1007" s="134" t="s">
        <v>3673</v>
      </c>
      <c r="G1007" s="63" t="str">
        <f>VLOOKUP(C1007, 'Class Def. - General Data'!$C$20:$C$1000,1,false)</f>
        <v>ZFG1_DISHWASHLIQ</v>
      </c>
      <c r="H1007" s="63" t="str">
        <f>IFERROR(__xludf.DUMMYFUNCTION("VLOOKUP(F1007, IMPORTRANGE(""https://docs.google.com/spreadsheets/d/1Lhp9OU0JdFf_VYSMzH5lBcEaU4o8teT1piV-SNzShjg/edit?gid=554141278#gid=554141278"", ""'Char Def. - Attributes'!C20:C2242""), 1,false)"),"PUOM_DISHWASHLIQ")</f>
        <v>PUOM_DISHWASHLIQ</v>
      </c>
      <c r="I1007" s="136"/>
    </row>
    <row r="1008" ht="15.75" customHeight="1">
      <c r="A1008" s="59"/>
      <c r="B1008" s="63">
        <f t="shared" si="1"/>
        <v>16</v>
      </c>
      <c r="C1008" s="134" t="s">
        <v>109</v>
      </c>
      <c r="D1008" s="134" t="s">
        <v>74</v>
      </c>
      <c r="E1008" s="135">
        <f t="shared" si="19"/>
        <v>5</v>
      </c>
      <c r="F1008" s="134" t="s">
        <v>3607</v>
      </c>
      <c r="G1008" s="63" t="str">
        <f>VLOOKUP(C1008, 'Class Def. - General Data'!$C$20:$C$1000,1,false)</f>
        <v>ZFG1_DISHWASHLIQ</v>
      </c>
      <c r="H1008" s="63" t="str">
        <f>IFERROR(__xludf.DUMMYFUNCTION("VLOOKUP(F1008, IMPORTRANGE(""https://docs.google.com/spreadsheets/d/1Lhp9OU0JdFf_VYSMzH5lBcEaU4o8teT1piV-SNzShjg/edit?gid=554141278#gid=554141278"", ""'Char Def. - Attributes'!C20:C2242""), 1,false)"),"VARIAN")</f>
        <v>VARIAN</v>
      </c>
      <c r="I1008" s="136"/>
    </row>
    <row r="1009" ht="15.75" customHeight="1">
      <c r="A1009" s="59"/>
      <c r="B1009" s="63">
        <f t="shared" si="1"/>
        <v>16</v>
      </c>
      <c r="C1009" s="134" t="s">
        <v>109</v>
      </c>
      <c r="D1009" s="134" t="s">
        <v>74</v>
      </c>
      <c r="E1009" s="135">
        <f t="shared" si="19"/>
        <v>6</v>
      </c>
      <c r="F1009" s="134" t="s">
        <v>3608</v>
      </c>
      <c r="G1009" s="63" t="str">
        <f>VLOOKUP(C1009, 'Class Def. - General Data'!$C$20:$C$1000,1,false)</f>
        <v>ZFG1_DISHWASHLIQ</v>
      </c>
      <c r="H1009" s="63" t="str">
        <f>IFERROR(__xludf.DUMMYFUNCTION("VLOOKUP(F1009, IMPORTRANGE(""https://docs.google.com/spreadsheets/d/1Lhp9OU0JdFf_VYSMzH5lBcEaU4o8teT1piV-SNzShjg/edit?gid=554141278#gid=554141278"", ""'Char Def. - Attributes'!C20:C2242""), 1,false)"),"PROJECT_NAME")</f>
        <v>PROJECT_NAME</v>
      </c>
      <c r="I1009" s="136"/>
    </row>
    <row r="1010" ht="15.75" customHeight="1">
      <c r="A1010" s="59"/>
      <c r="B1010" s="63">
        <f t="shared" si="1"/>
        <v>16</v>
      </c>
      <c r="C1010" s="134" t="s">
        <v>109</v>
      </c>
      <c r="D1010" s="134" t="s">
        <v>74</v>
      </c>
      <c r="E1010" s="135">
        <f t="shared" si="19"/>
        <v>7</v>
      </c>
      <c r="F1010" s="134" t="s">
        <v>3609</v>
      </c>
      <c r="G1010" s="63" t="str">
        <f>VLOOKUP(C1010, 'Class Def. - General Data'!$C$20:$C$1000,1,false)</f>
        <v>ZFG1_DISHWASHLIQ</v>
      </c>
      <c r="H1010" s="63" t="str">
        <f>IFERROR(__xludf.DUMMYFUNCTION("VLOOKUP(F1010, IMPORTRANGE(""https://docs.google.com/spreadsheets/d/1Lhp9OU0JdFf_VYSMzH5lBcEaU4o8teT1piV-SNzShjg/edit?gid=554141278#gid=554141278"", ""'Char Def. - Attributes'!C20:C2242""), 1,false)"),"ADDITIONAL_PROMO")</f>
        <v>ADDITIONAL_PROMO</v>
      </c>
      <c r="I1010" s="136"/>
    </row>
    <row r="1011" ht="15.75" customHeight="1">
      <c r="A1011" s="59"/>
      <c r="B1011" s="63">
        <f t="shared" si="1"/>
        <v>16</v>
      </c>
      <c r="C1011" s="134" t="s">
        <v>109</v>
      </c>
      <c r="D1011" s="134" t="s">
        <v>74</v>
      </c>
      <c r="E1011" s="135">
        <f t="shared" si="19"/>
        <v>8</v>
      </c>
      <c r="F1011" s="134" t="s">
        <v>3610</v>
      </c>
      <c r="G1011" s="63" t="str">
        <f>VLOOKUP(C1011, 'Class Def. - General Data'!$C$20:$C$1000,1,false)</f>
        <v>ZFG1_DISHWASHLIQ</v>
      </c>
      <c r="H1011" s="63" t="str">
        <f>IFERROR(__xludf.DUMMYFUNCTION("VLOOKUP(F1011, IMPORTRANGE(""https://docs.google.com/spreadsheets/d/1Lhp9OU0JdFf_VYSMzH5lBcEaU4o8teT1piV-SNzShjg/edit?gid=554141278#gid=554141278"", ""'Char Def. - Attributes'!C20:C2242""), 1,false)"),"BANDED_PROMO")</f>
        <v>BANDED_PROMO</v>
      </c>
      <c r="I1011" s="136"/>
    </row>
    <row r="1012" ht="15.75" customHeight="1">
      <c r="A1012" s="59"/>
      <c r="B1012" s="63">
        <f t="shared" si="1"/>
        <v>16</v>
      </c>
      <c r="C1012" s="134" t="s">
        <v>109</v>
      </c>
      <c r="D1012" s="134" t="s">
        <v>74</v>
      </c>
      <c r="E1012" s="135">
        <f t="shared" si="19"/>
        <v>9</v>
      </c>
      <c r="F1012" s="134" t="s">
        <v>3611</v>
      </c>
      <c r="G1012" s="63" t="str">
        <f>VLOOKUP(C1012, 'Class Def. - General Data'!$C$20:$C$1000,1,false)</f>
        <v>ZFG1_DISHWASHLIQ</v>
      </c>
      <c r="H1012" s="63" t="str">
        <f>IFERROR(__xludf.DUMMYFUNCTION("VLOOKUP(F1012, IMPORTRANGE(""https://docs.google.com/spreadsheets/d/1Lhp9OU0JdFf_VYSMzH5lBcEaU4o8teT1piV-SNzShjg/edit?gid=554141278#gid=554141278"", ""'Char Def. - Attributes'!C20:C2242""), 1,false)"),"LOKAL_EKSPOR")</f>
        <v>LOKAL_EKSPOR</v>
      </c>
      <c r="I1012" s="136"/>
    </row>
    <row r="1013" ht="15.75" customHeight="1">
      <c r="A1013" s="59"/>
      <c r="B1013" s="63">
        <f t="shared" si="1"/>
        <v>16</v>
      </c>
      <c r="C1013" s="134" t="s">
        <v>109</v>
      </c>
      <c r="D1013" s="134" t="s">
        <v>74</v>
      </c>
      <c r="E1013" s="135">
        <f t="shared" si="19"/>
        <v>10</v>
      </c>
      <c r="F1013" s="134" t="s">
        <v>3612</v>
      </c>
      <c r="G1013" s="63" t="str">
        <f>VLOOKUP(C1013, 'Class Def. - General Data'!$C$20:$C$1000,1,false)</f>
        <v>ZFG1_DISHWASHLIQ</v>
      </c>
      <c r="H1013" s="63" t="str">
        <f>IFERROR(__xludf.DUMMYFUNCTION("VLOOKUP(F1013, IMPORTRANGE(""https://docs.google.com/spreadsheets/d/1Lhp9OU0JdFf_VYSMzH5lBcEaU4o8teT1piV-SNzShjg/edit?gid=554141278#gid=554141278"", ""'Char Def. - Attributes'!C20:C2242""), 1,false)"),"COUNTRY_EKSPOR")</f>
        <v>COUNTRY_EKSPOR</v>
      </c>
      <c r="I1013" s="136"/>
    </row>
    <row r="1014" ht="15.75" customHeight="1">
      <c r="A1014" s="59"/>
      <c r="B1014" s="63">
        <f t="shared" si="1"/>
        <v>16</v>
      </c>
      <c r="C1014" s="134" t="s">
        <v>109</v>
      </c>
      <c r="D1014" s="134" t="s">
        <v>74</v>
      </c>
      <c r="E1014" s="135">
        <f t="shared" si="19"/>
        <v>11</v>
      </c>
      <c r="F1014" s="134" t="s">
        <v>3613</v>
      </c>
      <c r="G1014" s="63" t="str">
        <f>VLOOKUP(C1014, 'Class Def. - General Data'!$C$20:$C$1000,1,false)</f>
        <v>ZFG1_DISHWASHLIQ</v>
      </c>
      <c r="H1014" s="63" t="str">
        <f>IFERROR(__xludf.DUMMYFUNCTION("VLOOKUP(F1014, IMPORTRANGE(""https://docs.google.com/spreadsheets/d/1Lhp9OU0JdFf_VYSMzH5lBcEaU4o8teT1piV-SNzShjg/edit?gid=554141278#gid=554141278"", ""'Char Def. - Attributes'!C20:C2242""), 1,false)"),"WARNA_SFG")</f>
        <v>WARNA_SFG</v>
      </c>
      <c r="I1014" s="136"/>
    </row>
    <row r="1015" ht="15.75" customHeight="1">
      <c r="A1015" s="59"/>
      <c r="B1015" s="63">
        <f t="shared" si="1"/>
        <v>16</v>
      </c>
      <c r="C1015" s="134" t="s">
        <v>109</v>
      </c>
      <c r="D1015" s="134" t="s">
        <v>74</v>
      </c>
      <c r="E1015" s="135">
        <f t="shared" si="19"/>
        <v>12</v>
      </c>
      <c r="F1015" s="134" t="s">
        <v>3582</v>
      </c>
      <c r="G1015" s="63" t="str">
        <f>VLOOKUP(C1015, 'Class Def. - General Data'!$C$20:$C$1000,1,false)</f>
        <v>ZFG1_DISHWASHLIQ</v>
      </c>
      <c r="H1015" s="63" t="str">
        <f>IFERROR(__xludf.DUMMYFUNCTION("VLOOKUP(F1015, IMPORTRANGE(""https://docs.google.com/spreadsheets/d/1Lhp9OU0JdFf_VYSMzH5lBcEaU4o8teT1piV-SNzShjg/edit?gid=554141278#gid=554141278"", ""'Char Def. - Attributes'!C20:C2242""), 1,false)"),"BASE_UNIT")</f>
        <v>BASE_UNIT</v>
      </c>
      <c r="I1015" s="136"/>
    </row>
    <row r="1016" ht="15.75" customHeight="1">
      <c r="A1016" s="59"/>
      <c r="B1016" s="63">
        <f t="shared" si="1"/>
        <v>16</v>
      </c>
      <c r="C1016" s="134" t="s">
        <v>109</v>
      </c>
      <c r="D1016" s="134" t="s">
        <v>74</v>
      </c>
      <c r="E1016" s="135">
        <f t="shared" si="19"/>
        <v>13</v>
      </c>
      <c r="F1016" s="134" t="s">
        <v>3583</v>
      </c>
      <c r="G1016" s="63" t="str">
        <f>VLOOKUP(C1016, 'Class Def. - General Data'!$C$20:$C$1000,1,false)</f>
        <v>ZFG1_DISHWASHLIQ</v>
      </c>
      <c r="H1016" s="63" t="str">
        <f>IFERROR(__xludf.DUMMYFUNCTION("VLOOKUP(F1016, IMPORTRANGE(""https://docs.google.com/spreadsheets/d/1Lhp9OU0JdFf_VYSMzH5lBcEaU4o8teT1piV-SNzShjg/edit?gid=554141278#gid=554141278"", ""'Char Def. - Attributes'!C20:C2242""), 1,false)"),"SALES_UNIT")</f>
        <v>SALES_UNIT</v>
      </c>
      <c r="I1016" s="136"/>
    </row>
    <row r="1017" ht="15.75" customHeight="1">
      <c r="A1017" s="59"/>
      <c r="B1017" s="63">
        <f t="shared" si="1"/>
        <v>16</v>
      </c>
      <c r="C1017" s="134" t="s">
        <v>109</v>
      </c>
      <c r="D1017" s="134" t="s">
        <v>74</v>
      </c>
      <c r="E1017" s="135">
        <f t="shared" si="19"/>
        <v>14</v>
      </c>
      <c r="F1017" s="134" t="s">
        <v>3601</v>
      </c>
      <c r="G1017" s="63" t="str">
        <f>VLOOKUP(C1017, 'Class Def. - General Data'!$C$20:$C$1000,1,false)</f>
        <v>ZFG1_DISHWASHLIQ</v>
      </c>
      <c r="H1017" s="63" t="str">
        <f>IFERROR(__xludf.DUMMYFUNCTION("VLOOKUP(F1017, IMPORTRANGE(""https://docs.google.com/spreadsheets/d/1Lhp9OU0JdFf_VYSMzH5lBcEaU4o8teT1piV-SNzShjg/edit?gid=554141278#gid=554141278"", ""'Char Def. - Attributes'!C20:C2242""), 1,false)"),"GROSS_WEIGHT")</f>
        <v>GROSS_WEIGHT</v>
      </c>
      <c r="I1017" s="136"/>
    </row>
    <row r="1018" ht="15.75" customHeight="1">
      <c r="A1018" s="59"/>
      <c r="B1018" s="63">
        <f t="shared" si="1"/>
        <v>16</v>
      </c>
      <c r="C1018" s="134" t="s">
        <v>109</v>
      </c>
      <c r="D1018" s="134" t="s">
        <v>74</v>
      </c>
      <c r="E1018" s="135">
        <f t="shared" si="19"/>
        <v>15</v>
      </c>
      <c r="F1018" s="134" t="s">
        <v>3602</v>
      </c>
      <c r="G1018" s="63" t="str">
        <f>VLOOKUP(C1018, 'Class Def. - General Data'!$C$20:$C$1000,1,false)</f>
        <v>ZFG1_DISHWASHLIQ</v>
      </c>
      <c r="H1018" s="63" t="str">
        <f>IFERROR(__xludf.DUMMYFUNCTION("VLOOKUP(F1018, IMPORTRANGE(""https://docs.google.com/spreadsheets/d/1Lhp9OU0JdFf_VYSMzH5lBcEaU4o8teT1piV-SNzShjg/edit?gid=554141278#gid=554141278"", ""'Char Def. - Attributes'!C20:C2242""), 1,false)"),"NET_WEIGHT")</f>
        <v>NET_WEIGHT</v>
      </c>
      <c r="I1018" s="136"/>
    </row>
    <row r="1019" ht="15.75" customHeight="1">
      <c r="A1019" s="59"/>
      <c r="B1019" s="63">
        <f t="shared" si="1"/>
        <v>16</v>
      </c>
      <c r="C1019" s="134" t="s">
        <v>109</v>
      </c>
      <c r="D1019" s="134" t="s">
        <v>74</v>
      </c>
      <c r="E1019" s="135">
        <f t="shared" si="19"/>
        <v>16</v>
      </c>
      <c r="F1019" s="134" t="s">
        <v>3584</v>
      </c>
      <c r="G1019" s="63" t="str">
        <f>VLOOKUP(C1019, 'Class Def. - General Data'!$C$20:$C$1000,1,false)</f>
        <v>ZFG1_DISHWASHLIQ</v>
      </c>
      <c r="H1019" s="63" t="str">
        <f>IFERROR(__xludf.DUMMYFUNCTION("VLOOKUP(F1019, IMPORTRANGE(""https://docs.google.com/spreadsheets/d/1Lhp9OU0JdFf_VYSMzH5lBcEaU4o8teT1piV-SNzShjg/edit?gid=554141278#gid=554141278"", ""'Char Def. - Attributes'!C20:C2242""), 1,false)"),"UNIT_PER_BOX")</f>
        <v>UNIT_PER_BOX</v>
      </c>
      <c r="I1019" s="136"/>
    </row>
    <row r="1020" ht="15.75" customHeight="1">
      <c r="A1020" s="59"/>
      <c r="B1020" s="63">
        <f t="shared" si="1"/>
        <v>16</v>
      </c>
      <c r="C1020" s="134" t="s">
        <v>109</v>
      </c>
      <c r="D1020" s="134" t="s">
        <v>74</v>
      </c>
      <c r="E1020" s="135">
        <f t="shared" si="19"/>
        <v>17</v>
      </c>
      <c r="F1020" s="134" t="s">
        <v>3614</v>
      </c>
      <c r="G1020" s="63" t="str">
        <f>VLOOKUP(C1020, 'Class Def. - General Data'!$C$20:$C$1000,1,false)</f>
        <v>ZFG1_DISHWASHLIQ</v>
      </c>
      <c r="H1020" s="63" t="str">
        <f>IFERROR(__xludf.DUMMYFUNCTION("VLOOKUP(F1020, IMPORTRANGE(""https://docs.google.com/spreadsheets/d/1Lhp9OU0JdFf_VYSMzH5lBcEaU4o8teT1piV-SNzShjg/edit?gid=554141278#gid=554141278"", ""'Char Def. - Attributes'!C20:C2242""), 1,false)"),"UNIT_PER_CTN")</f>
        <v>UNIT_PER_CTN</v>
      </c>
      <c r="I1020" s="136"/>
    </row>
    <row r="1021" ht="15.75" customHeight="1">
      <c r="A1021" s="59"/>
      <c r="B1021" s="63">
        <f t="shared" si="1"/>
        <v>16</v>
      </c>
      <c r="C1021" s="134" t="s">
        <v>109</v>
      </c>
      <c r="D1021" s="134" t="s">
        <v>74</v>
      </c>
      <c r="E1021" s="135">
        <f t="shared" si="19"/>
        <v>18</v>
      </c>
      <c r="F1021" s="134" t="s">
        <v>3615</v>
      </c>
      <c r="G1021" s="63" t="str">
        <f>VLOOKUP(C1021, 'Class Def. - General Data'!$C$20:$C$1000,1,false)</f>
        <v>ZFG1_DISHWASHLIQ</v>
      </c>
      <c r="H1021" s="63" t="str">
        <f>IFERROR(__xludf.DUMMYFUNCTION("VLOOKUP(F1021, IMPORTRANGE(""https://docs.google.com/spreadsheets/d/1Lhp9OU0JdFf_VYSMzH5lBcEaU4o8teT1piV-SNzShjg/edit?gid=554141278#gid=554141278"", ""'Char Def. - Attributes'!C20:C2242""), 1,false)"),"UNIT_PER_BAG")</f>
        <v>UNIT_PER_BAG</v>
      </c>
      <c r="I1021" s="136"/>
    </row>
    <row r="1022" ht="15.75" customHeight="1">
      <c r="A1022" s="59"/>
      <c r="B1022" s="63">
        <f t="shared" si="1"/>
        <v>16</v>
      </c>
      <c r="C1022" s="134" t="s">
        <v>109</v>
      </c>
      <c r="D1022" s="134" t="s">
        <v>74</v>
      </c>
      <c r="E1022" s="135">
        <f t="shared" si="19"/>
        <v>19</v>
      </c>
      <c r="F1022" s="134" t="s">
        <v>3616</v>
      </c>
      <c r="G1022" s="63" t="str">
        <f>VLOOKUP(C1022, 'Class Def. - General Data'!$C$20:$C$1000,1,false)</f>
        <v>ZFG1_DISHWASHLIQ</v>
      </c>
      <c r="H1022" s="63" t="str">
        <f>IFERROR(__xludf.DUMMYFUNCTION("VLOOKUP(F1022, IMPORTRANGE(""https://docs.google.com/spreadsheets/d/1Lhp9OU0JdFf_VYSMzH5lBcEaU4o8teT1piV-SNzShjg/edit?gid=554141278#gid=554141278"", ""'Char Def. - Attributes'!C20:C2242""), 1,false)"),"UNIT_PER_PAL")</f>
        <v>UNIT_PER_PAL</v>
      </c>
      <c r="I1022" s="136"/>
    </row>
    <row r="1023" ht="15.75" customHeight="1">
      <c r="A1023" s="59"/>
      <c r="B1023" s="63">
        <f t="shared" si="1"/>
        <v>16</v>
      </c>
      <c r="C1023" s="134" t="s">
        <v>109</v>
      </c>
      <c r="D1023" s="134" t="s">
        <v>74</v>
      </c>
      <c r="E1023" s="135">
        <f t="shared" si="19"/>
        <v>20</v>
      </c>
      <c r="F1023" s="134" t="s">
        <v>3617</v>
      </c>
      <c r="G1023" s="63" t="str">
        <f>VLOOKUP(C1023, 'Class Def. - General Data'!$C$20:$C$1000,1,false)</f>
        <v>ZFG1_DISHWASHLIQ</v>
      </c>
      <c r="H1023" s="63" t="str">
        <f>IFERROR(__xludf.DUMMYFUNCTION("VLOOKUP(F1023, IMPORTRANGE(""https://docs.google.com/spreadsheets/d/1Lhp9OU0JdFf_VYSMzH5lBcEaU4o8teT1piV-SNzShjg/edit?gid=554141278#gid=554141278"", ""'Char Def. - Attributes'!C20:C2242""), 1,false)"),"UNIT_PER_TIER")</f>
        <v>UNIT_PER_TIER</v>
      </c>
      <c r="I1023" s="136"/>
    </row>
    <row r="1024" ht="15.75" customHeight="1">
      <c r="A1024" s="59"/>
      <c r="B1024" s="63">
        <f t="shared" si="1"/>
        <v>16</v>
      </c>
      <c r="C1024" s="134" t="s">
        <v>109</v>
      </c>
      <c r="D1024" s="134" t="s">
        <v>74</v>
      </c>
      <c r="E1024" s="135">
        <f t="shared" si="19"/>
        <v>21</v>
      </c>
      <c r="F1024" s="134" t="s">
        <v>3618</v>
      </c>
      <c r="G1024" s="63" t="str">
        <f>VLOOKUP(C1024, 'Class Def. - General Data'!$C$20:$C$1000,1,false)</f>
        <v>ZFG1_DISHWASHLIQ</v>
      </c>
      <c r="H1024" s="63" t="str">
        <f>IFERROR(__xludf.DUMMYFUNCTION("VLOOKUP(F1024, IMPORTRANGE(""https://docs.google.com/spreadsheets/d/1Lhp9OU0JdFf_VYSMzH5lBcEaU4o8teT1piV-SNzShjg/edit?gid=554141278#gid=554141278"", ""'Char Def. - Attributes'!C20:C2242""), 1,false)"),"HEIGHT")</f>
        <v>HEIGHT</v>
      </c>
      <c r="I1024" s="136"/>
    </row>
    <row r="1025" ht="15.75" customHeight="1">
      <c r="A1025" s="59"/>
      <c r="B1025" s="63">
        <f t="shared" si="1"/>
        <v>16</v>
      </c>
      <c r="C1025" s="134" t="s">
        <v>109</v>
      </c>
      <c r="D1025" s="134" t="s">
        <v>74</v>
      </c>
      <c r="E1025" s="135">
        <f t="shared" si="19"/>
        <v>22</v>
      </c>
      <c r="F1025" s="134" t="s">
        <v>3587</v>
      </c>
      <c r="G1025" s="63" t="str">
        <f>VLOOKUP(C1025, 'Class Def. - General Data'!$C$20:$C$1000,1,false)</f>
        <v>ZFG1_DISHWASHLIQ</v>
      </c>
      <c r="H1025" s="63" t="str">
        <f>IFERROR(__xludf.DUMMYFUNCTION("VLOOKUP(F1025, IMPORTRANGE(""https://docs.google.com/spreadsheets/d/1Lhp9OU0JdFf_VYSMzH5lBcEaU4o8teT1piV-SNzShjg/edit?gid=554141278#gid=554141278"", ""'Char Def. - Attributes'!C20:C2242""), 1,false)"),"PLANT_BUY")</f>
        <v>PLANT_BUY</v>
      </c>
      <c r="I1025" s="136"/>
    </row>
    <row r="1026" ht="15.75" customHeight="1">
      <c r="A1026" s="59"/>
      <c r="B1026" s="63">
        <f t="shared" si="1"/>
        <v>16</v>
      </c>
      <c r="C1026" s="134" t="s">
        <v>109</v>
      </c>
      <c r="D1026" s="134" t="s">
        <v>74</v>
      </c>
      <c r="E1026" s="135">
        <f t="shared" si="19"/>
        <v>23</v>
      </c>
      <c r="F1026" s="134" t="s">
        <v>3619</v>
      </c>
      <c r="G1026" s="63" t="str">
        <f>VLOOKUP(C1026, 'Class Def. - General Data'!$C$20:$C$1000,1,false)</f>
        <v>ZFG1_DISHWASHLIQ</v>
      </c>
      <c r="H1026" s="63" t="str">
        <f>IFERROR(__xludf.DUMMYFUNCTION("VLOOKUP(F1026, IMPORTRANGE(""https://docs.google.com/spreadsheets/d/1Lhp9OU0JdFf_VYSMzH5lBcEaU4o8teT1piV-SNzShjg/edit?gid=554141278#gid=554141278"", ""'Char Def. - Attributes'!C20:C2242""), 1,false)"),"LENGTH")</f>
        <v>LENGTH</v>
      </c>
      <c r="I1026" s="136"/>
    </row>
    <row r="1027" ht="15.75" customHeight="1">
      <c r="A1027" s="59"/>
      <c r="B1027" s="63">
        <f t="shared" si="1"/>
        <v>16</v>
      </c>
      <c r="C1027" s="134" t="s">
        <v>109</v>
      </c>
      <c r="D1027" s="134" t="s">
        <v>74</v>
      </c>
      <c r="E1027" s="135">
        <f t="shared" si="19"/>
        <v>24</v>
      </c>
      <c r="F1027" s="134" t="s">
        <v>3586</v>
      </c>
      <c r="G1027" s="63" t="str">
        <f>VLOOKUP(C1027, 'Class Def. - General Data'!$C$20:$C$1000,1,false)</f>
        <v>ZFG1_DISHWASHLIQ</v>
      </c>
      <c r="H1027" s="63" t="str">
        <f>IFERROR(__xludf.DUMMYFUNCTION("VLOOKUP(F1027, IMPORTRANGE(""https://docs.google.com/spreadsheets/d/1Lhp9OU0JdFf_VYSMzH5lBcEaU4o8teT1piV-SNzShjg/edit?gid=554141278#gid=554141278"", ""'Char Def. - Attributes'!C20:C2242""), 1,false)"),"PLANT_PROD")</f>
        <v>PLANT_PROD</v>
      </c>
      <c r="I1027" s="136"/>
    </row>
    <row r="1028" ht="15.75" customHeight="1">
      <c r="A1028" s="59"/>
      <c r="B1028" s="63">
        <f t="shared" si="1"/>
        <v>16</v>
      </c>
      <c r="C1028" s="134" t="s">
        <v>109</v>
      </c>
      <c r="D1028" s="134" t="s">
        <v>74</v>
      </c>
      <c r="E1028" s="135">
        <f t="shared" si="19"/>
        <v>25</v>
      </c>
      <c r="F1028" s="134" t="s">
        <v>3620</v>
      </c>
      <c r="G1028" s="63" t="str">
        <f>VLOOKUP(C1028, 'Class Def. - General Data'!$C$20:$C$1000,1,false)</f>
        <v>ZFG1_DISHWASHLIQ</v>
      </c>
      <c r="H1028" s="63" t="str">
        <f>IFERROR(__xludf.DUMMYFUNCTION("VLOOKUP(F1028, IMPORTRANGE(""https://docs.google.com/spreadsheets/d/1Lhp9OU0JdFf_VYSMzH5lBcEaU4o8teT1piV-SNzShjg/edit?gid=554141278#gid=554141278"", ""'Char Def. - Attributes'!C20:C2242""), 1,false)"),"WIDTH")</f>
        <v>WIDTH</v>
      </c>
      <c r="I1028" s="136"/>
    </row>
    <row r="1029" ht="15.75" customHeight="1">
      <c r="A1029" s="59"/>
      <c r="B1029" s="63">
        <f t="shared" si="1"/>
        <v>16</v>
      </c>
      <c r="C1029" s="134" t="s">
        <v>109</v>
      </c>
      <c r="D1029" s="134" t="s">
        <v>74</v>
      </c>
      <c r="E1029" s="135">
        <f t="shared" si="19"/>
        <v>26</v>
      </c>
      <c r="F1029" s="134" t="s">
        <v>3585</v>
      </c>
      <c r="G1029" s="63" t="str">
        <f>VLOOKUP(C1029, 'Class Def. - General Data'!$C$20:$C$1000,1,false)</f>
        <v>ZFG1_DISHWASHLIQ</v>
      </c>
      <c r="H1029" s="63" t="str">
        <f>IFERROR(__xludf.DUMMYFUNCTION("VLOOKUP(F1029, IMPORTRANGE(""https://docs.google.com/spreadsheets/d/1Lhp9OU0JdFf_VYSMzH5lBcEaU4o8teT1piV-SNzShjg/edit?gid=554141278#gid=554141278"", ""'Char Def. - Attributes'!C20:C2242""), 1,false)"),"HS_CODE")</f>
        <v>HS_CODE</v>
      </c>
      <c r="I1029" s="136"/>
    </row>
    <row r="1030" ht="15.75" customHeight="1">
      <c r="A1030" s="59"/>
      <c r="B1030" s="63">
        <f t="shared" si="1"/>
        <v>16</v>
      </c>
      <c r="C1030" s="134" t="s">
        <v>109</v>
      </c>
      <c r="D1030" s="134" t="s">
        <v>74</v>
      </c>
      <c r="E1030" s="135">
        <f t="shared" si="19"/>
        <v>27</v>
      </c>
      <c r="F1030" s="134" t="s">
        <v>3621</v>
      </c>
      <c r="G1030" s="63" t="str">
        <f>VLOOKUP(C1030, 'Class Def. - General Data'!$C$20:$C$1000,1,false)</f>
        <v>ZFG1_DISHWASHLIQ</v>
      </c>
      <c r="H1030" s="63" t="str">
        <f>IFERROR(__xludf.DUMMYFUNCTION("VLOOKUP(F1030, IMPORTRANGE(""https://docs.google.com/spreadsheets/d/1Lhp9OU0JdFf_VYSMzH5lBcEaU4o8teT1piV-SNzShjg/edit?gid=554141278#gid=554141278"", ""'Char Def. - Attributes'!C20:C2242""), 1,false)"),"EAN_PCS")</f>
        <v>EAN_PCS</v>
      </c>
      <c r="I1030" s="136"/>
    </row>
    <row r="1031" ht="15.75" customHeight="1">
      <c r="A1031" s="59"/>
      <c r="B1031" s="63">
        <f t="shared" si="1"/>
        <v>16</v>
      </c>
      <c r="C1031" s="134" t="s">
        <v>109</v>
      </c>
      <c r="D1031" s="134" t="s">
        <v>74</v>
      </c>
      <c r="E1031" s="135">
        <f t="shared" si="19"/>
        <v>28</v>
      </c>
      <c r="F1031" s="134" t="s">
        <v>3622</v>
      </c>
      <c r="G1031" s="63" t="str">
        <f>VLOOKUP(C1031, 'Class Def. - General Data'!$C$20:$C$1000,1,false)</f>
        <v>ZFG1_DISHWASHLIQ</v>
      </c>
      <c r="H1031" s="63" t="str">
        <f>IFERROR(__xludf.DUMMYFUNCTION("VLOOKUP(F1031, IMPORTRANGE(""https://docs.google.com/spreadsheets/d/1Lhp9OU0JdFf_VYSMzH5lBcEaU4o8teT1piV-SNzShjg/edit?gid=554141278#gid=554141278"", ""'Char Def. - Attributes'!C20:C2242""), 1,false)"),"SFG_BRAND")</f>
        <v>SFG_BRAND</v>
      </c>
      <c r="I1031" s="136"/>
    </row>
    <row r="1032" ht="15.75" customHeight="1">
      <c r="A1032" s="59"/>
      <c r="B1032" s="63">
        <f t="shared" si="1"/>
        <v>16</v>
      </c>
      <c r="C1032" s="134" t="s">
        <v>109</v>
      </c>
      <c r="D1032" s="134" t="s">
        <v>74</v>
      </c>
      <c r="E1032" s="135">
        <f t="shared" si="19"/>
        <v>29</v>
      </c>
      <c r="F1032" s="134" t="s">
        <v>3623</v>
      </c>
      <c r="G1032" s="63" t="str">
        <f>VLOOKUP(C1032, 'Class Def. - General Data'!$C$20:$C$1000,1,false)</f>
        <v>ZFG1_DISHWASHLIQ</v>
      </c>
      <c r="H1032" s="63" t="str">
        <f>IFERROR(__xludf.DUMMYFUNCTION("VLOOKUP(F1032, IMPORTRANGE(""https://docs.google.com/spreadsheets/d/1Lhp9OU0JdFf_VYSMzH5lBcEaU4o8teT1piV-SNzShjg/edit?gid=554141278#gid=554141278"", ""'Char Def. - Attributes'!C20:C2242""), 1,false)"),"LANGUAGE")</f>
        <v>LANGUAGE</v>
      </c>
      <c r="I1032" s="136"/>
    </row>
    <row r="1033" ht="15.75" customHeight="1">
      <c r="A1033" s="59"/>
      <c r="B1033" s="63">
        <f t="shared" si="1"/>
        <v>16</v>
      </c>
      <c r="C1033" s="139" t="s">
        <v>109</v>
      </c>
      <c r="D1033" s="139" t="s">
        <v>74</v>
      </c>
      <c r="E1033" s="140">
        <f t="shared" si="19"/>
        <v>30</v>
      </c>
      <c r="F1033" s="134" t="s">
        <v>3624</v>
      </c>
      <c r="G1033" s="63" t="str">
        <f>VLOOKUP(C1033, 'Class Def. - General Data'!$C$20:$C$1000,1,false)</f>
        <v>ZFG1_DISHWASHLIQ</v>
      </c>
      <c r="H1033" s="63" t="str">
        <f>IFERROR(__xludf.DUMMYFUNCTION("VLOOKUP(F1033, IMPORTRANGE(""https://docs.google.com/spreadsheets/d/1Lhp9OU0JdFf_VYSMzH5lBcEaU4o8teT1piV-SNzShjg/edit?gid=554141278#gid=554141278"", ""'Char Def. - Attributes'!C20:C2242""), 1,false)"),"#N/A")</f>
        <v>#N/A</v>
      </c>
      <c r="I1033" s="136"/>
    </row>
    <row r="1034" ht="15.75" customHeight="1">
      <c r="A1034" s="59"/>
      <c r="B1034" s="63">
        <f t="shared" si="1"/>
        <v>16</v>
      </c>
      <c r="C1034" s="134" t="s">
        <v>109</v>
      </c>
      <c r="D1034" s="134" t="s">
        <v>74</v>
      </c>
      <c r="E1034" s="135">
        <f t="shared" si="19"/>
        <v>31</v>
      </c>
      <c r="F1034" s="134" t="s">
        <v>3625</v>
      </c>
      <c r="G1034" s="63" t="str">
        <f>VLOOKUP(C1034, 'Class Def. - General Data'!$C$20:$C$1000,1,false)</f>
        <v>ZFG1_DISHWASHLIQ</v>
      </c>
      <c r="H1034" s="63" t="str">
        <f>IFERROR(__xludf.DUMMYFUNCTION("VLOOKUP(F1034, IMPORTRANGE(""https://docs.google.com/spreadsheets/d/1Lhp9OU0JdFf_VYSMzH5lBcEaU4o8teT1piV-SNzShjg/edit?gid=554141278#gid=554141278"", ""'Char Def. - Attributes'!C20:C2242""), 1,false)"),"REGION_EKSPOR")</f>
        <v>REGION_EKSPOR</v>
      </c>
      <c r="I1034" s="136"/>
    </row>
    <row r="1035" ht="15.75" customHeight="1">
      <c r="A1035" s="59"/>
      <c r="B1035" s="63">
        <f t="shared" si="1"/>
        <v>16</v>
      </c>
      <c r="C1035" s="134" t="s">
        <v>109</v>
      </c>
      <c r="D1035" s="134" t="s">
        <v>74</v>
      </c>
      <c r="E1035" s="135">
        <f t="shared" si="19"/>
        <v>32</v>
      </c>
      <c r="F1035" s="134" t="s">
        <v>3626</v>
      </c>
      <c r="G1035" s="63" t="str">
        <f>VLOOKUP(C1035, 'Class Def. - General Data'!$C$20:$C$1000,1,false)</f>
        <v>ZFG1_DISHWASHLIQ</v>
      </c>
      <c r="H1035" s="63" t="str">
        <f>IFERROR(__xludf.DUMMYFUNCTION("VLOOKUP(F1035, IMPORTRANGE(""https://docs.google.com/spreadsheets/d/1Lhp9OU0JdFf_VYSMzH5lBcEaU4o8teT1piV-SNzShjg/edit?gid=554141278#gid=554141278"", ""'Char Def. - Attributes'!C20:C2242""), 1,false)"),"STICKER_NOT")</f>
        <v>STICKER_NOT</v>
      </c>
      <c r="I1035" s="136"/>
    </row>
    <row r="1036" ht="15.75" customHeight="1">
      <c r="A1036" s="59"/>
      <c r="B1036" s="63">
        <f t="shared" si="1"/>
        <v>16</v>
      </c>
      <c r="C1036" s="134" t="s">
        <v>109</v>
      </c>
      <c r="D1036" s="134" t="s">
        <v>74</v>
      </c>
      <c r="E1036" s="135">
        <f t="shared" si="19"/>
        <v>33</v>
      </c>
      <c r="F1036" s="134" t="s">
        <v>3627</v>
      </c>
      <c r="G1036" s="63" t="str">
        <f>VLOOKUP(C1036, 'Class Def. - General Data'!$C$20:$C$1000,1,false)</f>
        <v>ZFG1_DISHWASHLIQ</v>
      </c>
      <c r="H1036" s="63" t="str">
        <f>IFERROR(__xludf.DUMMYFUNCTION("VLOOKUP(F1036, IMPORTRANGE(""https://docs.google.com/spreadsheets/d/1Lhp9OU0JdFf_VYSMzH5lBcEaU4o8teT1piV-SNzShjg/edit?gid=554141278#gid=554141278"", ""'Char Def. - Attributes'!C20:C2242""), 1,false)"),"SHIP_MARK")</f>
        <v>SHIP_MARK</v>
      </c>
      <c r="I1036" s="136"/>
    </row>
    <row r="1037" ht="15.75" customHeight="1">
      <c r="A1037" s="59"/>
      <c r="B1037" s="63">
        <f t="shared" si="1"/>
        <v>16</v>
      </c>
      <c r="C1037" s="134" t="s">
        <v>109</v>
      </c>
      <c r="D1037" s="134" t="s">
        <v>74</v>
      </c>
      <c r="E1037" s="135">
        <f t="shared" si="19"/>
        <v>34</v>
      </c>
      <c r="F1037" s="134" t="s">
        <v>3628</v>
      </c>
      <c r="G1037" s="63" t="str">
        <f>VLOOKUP(C1037, 'Class Def. - General Data'!$C$20:$C$1000,1,false)</f>
        <v>ZFG1_DISHWASHLIQ</v>
      </c>
      <c r="H1037" s="63" t="str">
        <f>IFERROR(__xludf.DUMMYFUNCTION("VLOOKUP(F1037, IMPORTRANGE(""https://docs.google.com/spreadsheets/d/1Lhp9OU0JdFf_VYSMzH5lBcEaU4o8teT1piV-SNzShjg/edit?gid=554141278#gid=554141278"", ""'Char Def. - Attributes'!C20:C2242""), 1,false)"),"MID_CORE")</f>
        <v>MID_CORE</v>
      </c>
      <c r="I1037" s="136"/>
    </row>
    <row r="1038" ht="15.75" customHeight="1">
      <c r="A1038" s="59"/>
      <c r="B1038" s="63">
        <f t="shared" si="1"/>
        <v>16</v>
      </c>
      <c r="C1038" s="134" t="s">
        <v>109</v>
      </c>
      <c r="D1038" s="134" t="s">
        <v>74</v>
      </c>
      <c r="E1038" s="135">
        <f t="shared" si="19"/>
        <v>35</v>
      </c>
      <c r="F1038" s="134" t="s">
        <v>3629</v>
      </c>
      <c r="G1038" s="63" t="str">
        <f>VLOOKUP(C1038, 'Class Def. - General Data'!$C$20:$C$1000,1,false)</f>
        <v>ZFG1_DISHWASHLIQ</v>
      </c>
      <c r="H1038" s="63" t="str">
        <f>IFERROR(__xludf.DUMMYFUNCTION("VLOOKUP(F1038, IMPORTRANGE(""https://docs.google.com/spreadsheets/d/1Lhp9OU0JdFf_VYSMzH5lBcEaU4o8teT1piV-SNzShjg/edit?gid=554141278#gid=554141278"", ""'Char Def. - Attributes'!C20:C2242""), 1,false)"),"EAN_CTN")</f>
        <v>EAN_CTN</v>
      </c>
      <c r="I1038" s="136"/>
    </row>
    <row r="1039" ht="15.75" customHeight="1">
      <c r="A1039" s="59"/>
      <c r="B1039" s="63">
        <f t="shared" si="1"/>
        <v>16</v>
      </c>
      <c r="C1039" s="134" t="s">
        <v>109</v>
      </c>
      <c r="D1039" s="134" t="s">
        <v>74</v>
      </c>
      <c r="E1039" s="135">
        <f t="shared" si="19"/>
        <v>36</v>
      </c>
      <c r="F1039" s="134" t="s">
        <v>3630</v>
      </c>
      <c r="G1039" s="63" t="str">
        <f>VLOOKUP(C1039, 'Class Def. - General Data'!$C$20:$C$1000,1,false)</f>
        <v>ZFG1_DISHWASHLIQ</v>
      </c>
      <c r="H1039" s="63" t="str">
        <f>IFERROR(__xludf.DUMMYFUNCTION("VLOOKUP(F1039, IMPORTRANGE(""https://docs.google.com/spreadsheets/d/1Lhp9OU0JdFf_VYSMzH5lBcEaU4o8teT1piV-SNzShjg/edit?gid=554141278#gid=554141278"", ""'Char Def. - Attributes'!C20:C2242""), 1,false)"),"EAN_BOX")</f>
        <v>EAN_BOX</v>
      </c>
      <c r="I1039" s="136"/>
    </row>
    <row r="1040" ht="15.75" customHeight="1">
      <c r="A1040" s="59"/>
      <c r="B1040" s="63">
        <f t="shared" si="1"/>
        <v>16</v>
      </c>
      <c r="C1040" s="134" t="s">
        <v>109</v>
      </c>
      <c r="D1040" s="141" t="s">
        <v>74</v>
      </c>
      <c r="E1040" s="135">
        <v>22.0</v>
      </c>
      <c r="F1040" s="135" t="s">
        <v>3603</v>
      </c>
      <c r="G1040" s="63" t="str">
        <f>VLOOKUP(C1040, 'Class Def. - General Data'!$C$20:$C$1000,1,false)</f>
        <v>ZFG1_DISHWASHLIQ</v>
      </c>
      <c r="I1040" s="136"/>
    </row>
    <row r="1041" ht="15.75" customHeight="1">
      <c r="A1041" s="59"/>
      <c r="B1041" s="63">
        <f t="shared" si="1"/>
        <v>17</v>
      </c>
      <c r="C1041" s="134" t="s">
        <v>110</v>
      </c>
      <c r="D1041" s="134" t="s">
        <v>74</v>
      </c>
      <c r="E1041" s="135">
        <f t="shared" ref="E1041:E1076" si="20">COUNTIF($C$20:C1041,C1041)</f>
        <v>1</v>
      </c>
      <c r="F1041" s="134" t="s">
        <v>3674</v>
      </c>
      <c r="G1041" s="63" t="str">
        <f>VLOOKUP(C1041, 'Class Def. - General Data'!$C$20:$C$1000,1,false)</f>
        <v>ZFG1_DISINFECTANT</v>
      </c>
      <c r="H1041" s="63" t="str">
        <f>IFERROR(__xludf.DUMMYFUNCTION("VLOOKUP(F1041, IMPORTRANGE(""https://docs.google.com/spreadsheets/d/1Lhp9OU0JdFf_VYSMzH5lBcEaU4o8teT1piV-SNzShjg/edit?gid=554141278#gid=554141278"", ""'Char Def. - Attributes'!C20:C2242""), 1,false)"),"BRAND_DISINFECTANT")</f>
        <v>BRAND_DISINFECTANT</v>
      </c>
      <c r="I1041" s="136"/>
    </row>
    <row r="1042" ht="15.75" customHeight="1">
      <c r="A1042" s="59"/>
      <c r="B1042" s="63">
        <f t="shared" si="1"/>
        <v>17</v>
      </c>
      <c r="C1042" s="135" t="s">
        <v>110</v>
      </c>
      <c r="D1042" s="134" t="s">
        <v>74</v>
      </c>
      <c r="E1042" s="135">
        <f t="shared" si="20"/>
        <v>2</v>
      </c>
      <c r="F1042" s="134" t="s">
        <v>3675</v>
      </c>
      <c r="G1042" s="63" t="str">
        <f>VLOOKUP(C1042, 'Class Def. - General Data'!$C$20:$C$1000,1,false)</f>
        <v>ZFG1_DISINFECTANT</v>
      </c>
      <c r="H1042" s="63" t="str">
        <f>IFERROR(__xludf.DUMMYFUNCTION("VLOOKUP(F1042, IMPORTRANGE(""https://docs.google.com/spreadsheets/d/1Lhp9OU0JdFf_VYSMzH5lBcEaU4o8teT1piV-SNzShjg/edit?gid=554141278#gid=554141278"", ""'Char Def. - Attributes'!C20:C2242""), 1,false)"),"PSHAPE_DISINFECTANT")</f>
        <v>PSHAPE_DISINFECTANT</v>
      </c>
      <c r="I1042" s="136"/>
    </row>
    <row r="1043" ht="15.75" customHeight="1">
      <c r="A1043" s="59"/>
      <c r="B1043" s="63">
        <f t="shared" si="1"/>
        <v>17</v>
      </c>
      <c r="C1043" s="134" t="s">
        <v>110</v>
      </c>
      <c r="D1043" s="134" t="s">
        <v>74</v>
      </c>
      <c r="E1043" s="135">
        <f t="shared" si="20"/>
        <v>3</v>
      </c>
      <c r="F1043" s="134" t="s">
        <v>3605</v>
      </c>
      <c r="G1043" s="63" t="str">
        <f>VLOOKUP(C1043, 'Class Def. - General Data'!$C$20:$C$1000,1,false)</f>
        <v>ZFG1_DISINFECTANT</v>
      </c>
      <c r="H1043" s="63" t="str">
        <f>IFERROR(__xludf.DUMMYFUNCTION("VLOOKUP(F1043, IMPORTRANGE(""https://docs.google.com/spreadsheets/d/1Lhp9OU0JdFf_VYSMzH5lBcEaU4o8teT1piV-SNzShjg/edit?gid=554141278#gid=554141278"", ""'Char Def. - Attributes'!C20:C2242""), 1,false)"),"PACK_NETTO")</f>
        <v>PACK_NETTO</v>
      </c>
      <c r="I1043" s="136"/>
    </row>
    <row r="1044" ht="15.75" customHeight="1">
      <c r="A1044" s="59"/>
      <c r="B1044" s="63">
        <f t="shared" si="1"/>
        <v>17</v>
      </c>
      <c r="C1044" s="135" t="s">
        <v>110</v>
      </c>
      <c r="D1044" s="134" t="s">
        <v>74</v>
      </c>
      <c r="E1044" s="135">
        <f t="shared" si="20"/>
        <v>4</v>
      </c>
      <c r="F1044" s="134" t="s">
        <v>3676</v>
      </c>
      <c r="G1044" s="63" t="str">
        <f>VLOOKUP(C1044, 'Class Def. - General Data'!$C$20:$C$1000,1,false)</f>
        <v>ZFG1_DISINFECTANT</v>
      </c>
      <c r="H1044" s="63" t="str">
        <f>IFERROR(__xludf.DUMMYFUNCTION("VLOOKUP(F1044, IMPORTRANGE(""https://docs.google.com/spreadsheets/d/1Lhp9OU0JdFf_VYSMzH5lBcEaU4o8teT1piV-SNzShjg/edit?gid=554141278#gid=554141278"", ""'Char Def. - Attributes'!C20:C2242""), 1,false)"),"PUOM_DISINFECTANT")</f>
        <v>PUOM_DISINFECTANT</v>
      </c>
      <c r="I1044" s="136"/>
    </row>
    <row r="1045" ht="15.75" customHeight="1">
      <c r="A1045" s="59"/>
      <c r="B1045" s="63">
        <f t="shared" si="1"/>
        <v>17</v>
      </c>
      <c r="C1045" s="134" t="s">
        <v>110</v>
      </c>
      <c r="D1045" s="134" t="s">
        <v>74</v>
      </c>
      <c r="E1045" s="135">
        <f t="shared" si="20"/>
        <v>5</v>
      </c>
      <c r="F1045" s="134" t="s">
        <v>3607</v>
      </c>
      <c r="G1045" s="63" t="str">
        <f>VLOOKUP(C1045, 'Class Def. - General Data'!$C$20:$C$1000,1,false)</f>
        <v>ZFG1_DISINFECTANT</v>
      </c>
      <c r="H1045" s="63" t="str">
        <f>IFERROR(__xludf.DUMMYFUNCTION("VLOOKUP(F1045, IMPORTRANGE(""https://docs.google.com/spreadsheets/d/1Lhp9OU0JdFf_VYSMzH5lBcEaU4o8teT1piV-SNzShjg/edit?gid=554141278#gid=554141278"", ""'Char Def. - Attributes'!C20:C2242""), 1,false)"),"VARIAN")</f>
        <v>VARIAN</v>
      </c>
      <c r="I1045" s="136"/>
    </row>
    <row r="1046" ht="15.75" customHeight="1">
      <c r="A1046" s="59"/>
      <c r="B1046" s="63">
        <f t="shared" si="1"/>
        <v>17</v>
      </c>
      <c r="C1046" s="134" t="s">
        <v>110</v>
      </c>
      <c r="D1046" s="134" t="s">
        <v>74</v>
      </c>
      <c r="E1046" s="135">
        <f t="shared" si="20"/>
        <v>6</v>
      </c>
      <c r="F1046" s="134" t="s">
        <v>3608</v>
      </c>
      <c r="G1046" s="63" t="str">
        <f>VLOOKUP(C1046, 'Class Def. - General Data'!$C$20:$C$1000,1,false)</f>
        <v>ZFG1_DISINFECTANT</v>
      </c>
      <c r="H1046" s="63" t="str">
        <f>IFERROR(__xludf.DUMMYFUNCTION("VLOOKUP(F1046, IMPORTRANGE(""https://docs.google.com/spreadsheets/d/1Lhp9OU0JdFf_VYSMzH5lBcEaU4o8teT1piV-SNzShjg/edit?gid=554141278#gid=554141278"", ""'Char Def. - Attributes'!C20:C2242""), 1,false)"),"PROJECT_NAME")</f>
        <v>PROJECT_NAME</v>
      </c>
      <c r="I1046" s="136"/>
    </row>
    <row r="1047" ht="15.75" customHeight="1">
      <c r="A1047" s="59"/>
      <c r="B1047" s="63">
        <f t="shared" si="1"/>
        <v>17</v>
      </c>
      <c r="C1047" s="134" t="s">
        <v>110</v>
      </c>
      <c r="D1047" s="134" t="s">
        <v>74</v>
      </c>
      <c r="E1047" s="135">
        <f t="shared" si="20"/>
        <v>7</v>
      </c>
      <c r="F1047" s="134" t="s">
        <v>3609</v>
      </c>
      <c r="G1047" s="63" t="str">
        <f>VLOOKUP(C1047, 'Class Def. - General Data'!$C$20:$C$1000,1,false)</f>
        <v>ZFG1_DISINFECTANT</v>
      </c>
      <c r="H1047" s="63" t="str">
        <f>IFERROR(__xludf.DUMMYFUNCTION("VLOOKUP(F1047, IMPORTRANGE(""https://docs.google.com/spreadsheets/d/1Lhp9OU0JdFf_VYSMzH5lBcEaU4o8teT1piV-SNzShjg/edit?gid=554141278#gid=554141278"", ""'Char Def. - Attributes'!C20:C2242""), 1,false)"),"ADDITIONAL_PROMO")</f>
        <v>ADDITIONAL_PROMO</v>
      </c>
      <c r="I1047" s="136"/>
    </row>
    <row r="1048" ht="15.75" customHeight="1">
      <c r="A1048" s="59"/>
      <c r="B1048" s="63">
        <f t="shared" si="1"/>
        <v>17</v>
      </c>
      <c r="C1048" s="134" t="s">
        <v>110</v>
      </c>
      <c r="D1048" s="134" t="s">
        <v>74</v>
      </c>
      <c r="E1048" s="135">
        <f t="shared" si="20"/>
        <v>8</v>
      </c>
      <c r="F1048" s="134" t="s">
        <v>3610</v>
      </c>
      <c r="G1048" s="63" t="str">
        <f>VLOOKUP(C1048, 'Class Def. - General Data'!$C$20:$C$1000,1,false)</f>
        <v>ZFG1_DISINFECTANT</v>
      </c>
      <c r="H1048" s="63" t="str">
        <f>IFERROR(__xludf.DUMMYFUNCTION("VLOOKUP(F1048, IMPORTRANGE(""https://docs.google.com/spreadsheets/d/1Lhp9OU0JdFf_VYSMzH5lBcEaU4o8teT1piV-SNzShjg/edit?gid=554141278#gid=554141278"", ""'Char Def. - Attributes'!C20:C2242""), 1,false)"),"BANDED_PROMO")</f>
        <v>BANDED_PROMO</v>
      </c>
      <c r="I1048" s="136"/>
    </row>
    <row r="1049" ht="15.75" customHeight="1">
      <c r="A1049" s="59"/>
      <c r="B1049" s="63">
        <f t="shared" si="1"/>
        <v>17</v>
      </c>
      <c r="C1049" s="134" t="s">
        <v>110</v>
      </c>
      <c r="D1049" s="134" t="s">
        <v>74</v>
      </c>
      <c r="E1049" s="135">
        <f t="shared" si="20"/>
        <v>9</v>
      </c>
      <c r="F1049" s="134" t="s">
        <v>3611</v>
      </c>
      <c r="G1049" s="63" t="str">
        <f>VLOOKUP(C1049, 'Class Def. - General Data'!$C$20:$C$1000,1,false)</f>
        <v>ZFG1_DISINFECTANT</v>
      </c>
      <c r="H1049" s="63" t="str">
        <f>IFERROR(__xludf.DUMMYFUNCTION("VLOOKUP(F1049, IMPORTRANGE(""https://docs.google.com/spreadsheets/d/1Lhp9OU0JdFf_VYSMzH5lBcEaU4o8teT1piV-SNzShjg/edit?gid=554141278#gid=554141278"", ""'Char Def. - Attributes'!C20:C2242""), 1,false)"),"LOKAL_EKSPOR")</f>
        <v>LOKAL_EKSPOR</v>
      </c>
      <c r="I1049" s="136"/>
    </row>
    <row r="1050" ht="15.75" customHeight="1">
      <c r="A1050" s="59"/>
      <c r="B1050" s="63">
        <f t="shared" si="1"/>
        <v>17</v>
      </c>
      <c r="C1050" s="134" t="s">
        <v>110</v>
      </c>
      <c r="D1050" s="134" t="s">
        <v>74</v>
      </c>
      <c r="E1050" s="135">
        <f t="shared" si="20"/>
        <v>10</v>
      </c>
      <c r="F1050" s="134" t="s">
        <v>3612</v>
      </c>
      <c r="G1050" s="63" t="str">
        <f>VLOOKUP(C1050, 'Class Def. - General Data'!$C$20:$C$1000,1,false)</f>
        <v>ZFG1_DISINFECTANT</v>
      </c>
      <c r="H1050" s="63" t="str">
        <f>IFERROR(__xludf.DUMMYFUNCTION("VLOOKUP(F1050, IMPORTRANGE(""https://docs.google.com/spreadsheets/d/1Lhp9OU0JdFf_VYSMzH5lBcEaU4o8teT1piV-SNzShjg/edit?gid=554141278#gid=554141278"", ""'Char Def. - Attributes'!C20:C2242""), 1,false)"),"COUNTRY_EKSPOR")</f>
        <v>COUNTRY_EKSPOR</v>
      </c>
      <c r="I1050" s="136"/>
    </row>
    <row r="1051" ht="15.75" customHeight="1">
      <c r="A1051" s="59"/>
      <c r="B1051" s="63">
        <f t="shared" si="1"/>
        <v>17</v>
      </c>
      <c r="C1051" s="134" t="s">
        <v>110</v>
      </c>
      <c r="D1051" s="134" t="s">
        <v>74</v>
      </c>
      <c r="E1051" s="135">
        <f t="shared" si="20"/>
        <v>11</v>
      </c>
      <c r="F1051" s="134" t="s">
        <v>3613</v>
      </c>
      <c r="G1051" s="63" t="str">
        <f>VLOOKUP(C1051, 'Class Def. - General Data'!$C$20:$C$1000,1,false)</f>
        <v>ZFG1_DISINFECTANT</v>
      </c>
      <c r="H1051" s="63" t="str">
        <f>IFERROR(__xludf.DUMMYFUNCTION("VLOOKUP(F1051, IMPORTRANGE(""https://docs.google.com/spreadsheets/d/1Lhp9OU0JdFf_VYSMzH5lBcEaU4o8teT1piV-SNzShjg/edit?gid=554141278#gid=554141278"", ""'Char Def. - Attributes'!C20:C2242""), 1,false)"),"WARNA_SFG")</f>
        <v>WARNA_SFG</v>
      </c>
      <c r="I1051" s="136"/>
    </row>
    <row r="1052" ht="15.75" customHeight="1">
      <c r="A1052" s="59"/>
      <c r="B1052" s="63">
        <f t="shared" si="1"/>
        <v>17</v>
      </c>
      <c r="C1052" s="134" t="s">
        <v>110</v>
      </c>
      <c r="D1052" s="134" t="s">
        <v>74</v>
      </c>
      <c r="E1052" s="135">
        <f t="shared" si="20"/>
        <v>12</v>
      </c>
      <c r="F1052" s="134" t="s">
        <v>3582</v>
      </c>
      <c r="G1052" s="63" t="str">
        <f>VLOOKUP(C1052, 'Class Def. - General Data'!$C$20:$C$1000,1,false)</f>
        <v>ZFG1_DISINFECTANT</v>
      </c>
      <c r="H1052" s="63" t="str">
        <f>IFERROR(__xludf.DUMMYFUNCTION("VLOOKUP(F1052, IMPORTRANGE(""https://docs.google.com/spreadsheets/d/1Lhp9OU0JdFf_VYSMzH5lBcEaU4o8teT1piV-SNzShjg/edit?gid=554141278#gid=554141278"", ""'Char Def. - Attributes'!C20:C2242""), 1,false)"),"BASE_UNIT")</f>
        <v>BASE_UNIT</v>
      </c>
      <c r="I1052" s="136"/>
    </row>
    <row r="1053" ht="15.75" customHeight="1">
      <c r="A1053" s="59"/>
      <c r="B1053" s="63">
        <f t="shared" si="1"/>
        <v>17</v>
      </c>
      <c r="C1053" s="134" t="s">
        <v>110</v>
      </c>
      <c r="D1053" s="134" t="s">
        <v>74</v>
      </c>
      <c r="E1053" s="135">
        <f t="shared" si="20"/>
        <v>13</v>
      </c>
      <c r="F1053" s="134" t="s">
        <v>3583</v>
      </c>
      <c r="G1053" s="63" t="str">
        <f>VLOOKUP(C1053, 'Class Def. - General Data'!$C$20:$C$1000,1,false)</f>
        <v>ZFG1_DISINFECTANT</v>
      </c>
      <c r="H1053" s="63" t="str">
        <f>IFERROR(__xludf.DUMMYFUNCTION("VLOOKUP(F1053, IMPORTRANGE(""https://docs.google.com/spreadsheets/d/1Lhp9OU0JdFf_VYSMzH5lBcEaU4o8teT1piV-SNzShjg/edit?gid=554141278#gid=554141278"", ""'Char Def. - Attributes'!C20:C2242""), 1,false)"),"SALES_UNIT")</f>
        <v>SALES_UNIT</v>
      </c>
      <c r="I1053" s="136"/>
    </row>
    <row r="1054" ht="15.75" customHeight="1">
      <c r="A1054" s="59"/>
      <c r="B1054" s="63">
        <f t="shared" si="1"/>
        <v>17</v>
      </c>
      <c r="C1054" s="134" t="s">
        <v>110</v>
      </c>
      <c r="D1054" s="134" t="s">
        <v>74</v>
      </c>
      <c r="E1054" s="135">
        <f t="shared" si="20"/>
        <v>14</v>
      </c>
      <c r="F1054" s="134" t="s">
        <v>3601</v>
      </c>
      <c r="G1054" s="63" t="str">
        <f>VLOOKUP(C1054, 'Class Def. - General Data'!$C$20:$C$1000,1,false)</f>
        <v>ZFG1_DISINFECTANT</v>
      </c>
      <c r="H1054" s="63" t="str">
        <f>IFERROR(__xludf.DUMMYFUNCTION("VLOOKUP(F1054, IMPORTRANGE(""https://docs.google.com/spreadsheets/d/1Lhp9OU0JdFf_VYSMzH5lBcEaU4o8teT1piV-SNzShjg/edit?gid=554141278#gid=554141278"", ""'Char Def. - Attributes'!C20:C2242""), 1,false)"),"GROSS_WEIGHT")</f>
        <v>GROSS_WEIGHT</v>
      </c>
      <c r="I1054" s="136"/>
    </row>
    <row r="1055" ht="15.75" customHeight="1">
      <c r="A1055" s="59"/>
      <c r="B1055" s="63">
        <f t="shared" si="1"/>
        <v>17</v>
      </c>
      <c r="C1055" s="134" t="s">
        <v>110</v>
      </c>
      <c r="D1055" s="134" t="s">
        <v>74</v>
      </c>
      <c r="E1055" s="135">
        <f t="shared" si="20"/>
        <v>15</v>
      </c>
      <c r="F1055" s="134" t="s">
        <v>3602</v>
      </c>
      <c r="G1055" s="63" t="str">
        <f>VLOOKUP(C1055, 'Class Def. - General Data'!$C$20:$C$1000,1,false)</f>
        <v>ZFG1_DISINFECTANT</v>
      </c>
      <c r="H1055" s="63" t="str">
        <f>IFERROR(__xludf.DUMMYFUNCTION("VLOOKUP(F1055, IMPORTRANGE(""https://docs.google.com/spreadsheets/d/1Lhp9OU0JdFf_VYSMzH5lBcEaU4o8teT1piV-SNzShjg/edit?gid=554141278#gid=554141278"", ""'Char Def. - Attributes'!C20:C2242""), 1,false)"),"NET_WEIGHT")</f>
        <v>NET_WEIGHT</v>
      </c>
      <c r="I1055" s="136"/>
    </row>
    <row r="1056" ht="15.75" customHeight="1">
      <c r="A1056" s="59"/>
      <c r="B1056" s="63">
        <f t="shared" si="1"/>
        <v>17</v>
      </c>
      <c r="C1056" s="134" t="s">
        <v>110</v>
      </c>
      <c r="D1056" s="134" t="s">
        <v>74</v>
      </c>
      <c r="E1056" s="135">
        <f t="shared" si="20"/>
        <v>16</v>
      </c>
      <c r="F1056" s="134" t="s">
        <v>3584</v>
      </c>
      <c r="G1056" s="63" t="str">
        <f>VLOOKUP(C1056, 'Class Def. - General Data'!$C$20:$C$1000,1,false)</f>
        <v>ZFG1_DISINFECTANT</v>
      </c>
      <c r="H1056" s="63" t="str">
        <f>IFERROR(__xludf.DUMMYFUNCTION("VLOOKUP(F1056, IMPORTRANGE(""https://docs.google.com/spreadsheets/d/1Lhp9OU0JdFf_VYSMzH5lBcEaU4o8teT1piV-SNzShjg/edit?gid=554141278#gid=554141278"", ""'Char Def. - Attributes'!C20:C2242""), 1,false)"),"UNIT_PER_BOX")</f>
        <v>UNIT_PER_BOX</v>
      </c>
      <c r="I1056" s="136"/>
    </row>
    <row r="1057" ht="15.75" customHeight="1">
      <c r="A1057" s="59"/>
      <c r="B1057" s="63">
        <f t="shared" si="1"/>
        <v>17</v>
      </c>
      <c r="C1057" s="134" t="s">
        <v>110</v>
      </c>
      <c r="D1057" s="134" t="s">
        <v>74</v>
      </c>
      <c r="E1057" s="135">
        <f t="shared" si="20"/>
        <v>17</v>
      </c>
      <c r="F1057" s="134" t="s">
        <v>3614</v>
      </c>
      <c r="G1057" s="63" t="str">
        <f>VLOOKUP(C1057, 'Class Def. - General Data'!$C$20:$C$1000,1,false)</f>
        <v>ZFG1_DISINFECTANT</v>
      </c>
      <c r="H1057" s="63" t="str">
        <f>IFERROR(__xludf.DUMMYFUNCTION("VLOOKUP(F1057, IMPORTRANGE(""https://docs.google.com/spreadsheets/d/1Lhp9OU0JdFf_VYSMzH5lBcEaU4o8teT1piV-SNzShjg/edit?gid=554141278#gid=554141278"", ""'Char Def. - Attributes'!C20:C2242""), 1,false)"),"UNIT_PER_CTN")</f>
        <v>UNIT_PER_CTN</v>
      </c>
      <c r="I1057" s="136"/>
    </row>
    <row r="1058" ht="15.75" customHeight="1">
      <c r="A1058" s="59"/>
      <c r="B1058" s="63">
        <f t="shared" si="1"/>
        <v>17</v>
      </c>
      <c r="C1058" s="134" t="s">
        <v>110</v>
      </c>
      <c r="D1058" s="134" t="s">
        <v>74</v>
      </c>
      <c r="E1058" s="135">
        <f t="shared" si="20"/>
        <v>18</v>
      </c>
      <c r="F1058" s="134" t="s">
        <v>3615</v>
      </c>
      <c r="G1058" s="63" t="str">
        <f>VLOOKUP(C1058, 'Class Def. - General Data'!$C$20:$C$1000,1,false)</f>
        <v>ZFG1_DISINFECTANT</v>
      </c>
      <c r="H1058" s="63" t="str">
        <f>IFERROR(__xludf.DUMMYFUNCTION("VLOOKUP(F1058, IMPORTRANGE(""https://docs.google.com/spreadsheets/d/1Lhp9OU0JdFf_VYSMzH5lBcEaU4o8teT1piV-SNzShjg/edit?gid=554141278#gid=554141278"", ""'Char Def. - Attributes'!C20:C2242""), 1,false)"),"UNIT_PER_BAG")</f>
        <v>UNIT_PER_BAG</v>
      </c>
      <c r="I1058" s="136"/>
    </row>
    <row r="1059" ht="15.75" customHeight="1">
      <c r="A1059" s="59"/>
      <c r="B1059" s="63">
        <f t="shared" si="1"/>
        <v>17</v>
      </c>
      <c r="C1059" s="134" t="s">
        <v>110</v>
      </c>
      <c r="D1059" s="134" t="s">
        <v>74</v>
      </c>
      <c r="E1059" s="135">
        <f t="shared" si="20"/>
        <v>19</v>
      </c>
      <c r="F1059" s="134" t="s">
        <v>3616</v>
      </c>
      <c r="G1059" s="63" t="str">
        <f>VLOOKUP(C1059, 'Class Def. - General Data'!$C$20:$C$1000,1,false)</f>
        <v>ZFG1_DISINFECTANT</v>
      </c>
      <c r="H1059" s="63" t="str">
        <f>IFERROR(__xludf.DUMMYFUNCTION("VLOOKUP(F1059, IMPORTRANGE(""https://docs.google.com/spreadsheets/d/1Lhp9OU0JdFf_VYSMzH5lBcEaU4o8teT1piV-SNzShjg/edit?gid=554141278#gid=554141278"", ""'Char Def. - Attributes'!C20:C2242""), 1,false)"),"UNIT_PER_PAL")</f>
        <v>UNIT_PER_PAL</v>
      </c>
      <c r="I1059" s="136"/>
    </row>
    <row r="1060" ht="15.75" customHeight="1">
      <c r="A1060" s="59"/>
      <c r="B1060" s="63">
        <f t="shared" si="1"/>
        <v>17</v>
      </c>
      <c r="C1060" s="134" t="s">
        <v>110</v>
      </c>
      <c r="D1060" s="134" t="s">
        <v>74</v>
      </c>
      <c r="E1060" s="135">
        <f t="shared" si="20"/>
        <v>20</v>
      </c>
      <c r="F1060" s="134" t="s">
        <v>3617</v>
      </c>
      <c r="G1060" s="63" t="str">
        <f>VLOOKUP(C1060, 'Class Def. - General Data'!$C$20:$C$1000,1,false)</f>
        <v>ZFG1_DISINFECTANT</v>
      </c>
      <c r="H1060" s="63" t="str">
        <f>IFERROR(__xludf.DUMMYFUNCTION("VLOOKUP(F1060, IMPORTRANGE(""https://docs.google.com/spreadsheets/d/1Lhp9OU0JdFf_VYSMzH5lBcEaU4o8teT1piV-SNzShjg/edit?gid=554141278#gid=554141278"", ""'Char Def. - Attributes'!C20:C2242""), 1,false)"),"UNIT_PER_TIER")</f>
        <v>UNIT_PER_TIER</v>
      </c>
      <c r="I1060" s="136"/>
    </row>
    <row r="1061" ht="15.75" customHeight="1">
      <c r="A1061" s="59"/>
      <c r="B1061" s="63">
        <f t="shared" si="1"/>
        <v>17</v>
      </c>
      <c r="C1061" s="134" t="s">
        <v>110</v>
      </c>
      <c r="D1061" s="134" t="s">
        <v>74</v>
      </c>
      <c r="E1061" s="135">
        <f t="shared" si="20"/>
        <v>21</v>
      </c>
      <c r="F1061" s="134" t="s">
        <v>3618</v>
      </c>
      <c r="G1061" s="63" t="str">
        <f>VLOOKUP(C1061, 'Class Def. - General Data'!$C$20:$C$1000,1,false)</f>
        <v>ZFG1_DISINFECTANT</v>
      </c>
      <c r="H1061" s="63" t="str">
        <f>IFERROR(__xludf.DUMMYFUNCTION("VLOOKUP(F1061, IMPORTRANGE(""https://docs.google.com/spreadsheets/d/1Lhp9OU0JdFf_VYSMzH5lBcEaU4o8teT1piV-SNzShjg/edit?gid=554141278#gid=554141278"", ""'Char Def. - Attributes'!C20:C2242""), 1,false)"),"HEIGHT")</f>
        <v>HEIGHT</v>
      </c>
      <c r="I1061" s="136"/>
    </row>
    <row r="1062" ht="15.75" customHeight="1">
      <c r="A1062" s="59"/>
      <c r="B1062" s="63">
        <f t="shared" si="1"/>
        <v>17</v>
      </c>
      <c r="C1062" s="134" t="s">
        <v>110</v>
      </c>
      <c r="D1062" s="134" t="s">
        <v>74</v>
      </c>
      <c r="E1062" s="135">
        <f t="shared" si="20"/>
        <v>22</v>
      </c>
      <c r="F1062" s="134" t="s">
        <v>3587</v>
      </c>
      <c r="G1062" s="63" t="str">
        <f>VLOOKUP(C1062, 'Class Def. - General Data'!$C$20:$C$1000,1,false)</f>
        <v>ZFG1_DISINFECTANT</v>
      </c>
      <c r="H1062" s="63" t="str">
        <f>IFERROR(__xludf.DUMMYFUNCTION("VLOOKUP(F1062, IMPORTRANGE(""https://docs.google.com/spreadsheets/d/1Lhp9OU0JdFf_VYSMzH5lBcEaU4o8teT1piV-SNzShjg/edit?gid=554141278#gid=554141278"", ""'Char Def. - Attributes'!C20:C2242""), 1,false)"),"PLANT_BUY")</f>
        <v>PLANT_BUY</v>
      </c>
      <c r="I1062" s="136"/>
    </row>
    <row r="1063" ht="15.75" customHeight="1">
      <c r="A1063" s="59"/>
      <c r="B1063" s="63">
        <f t="shared" si="1"/>
        <v>17</v>
      </c>
      <c r="C1063" s="134" t="s">
        <v>110</v>
      </c>
      <c r="D1063" s="134" t="s">
        <v>74</v>
      </c>
      <c r="E1063" s="135">
        <f t="shared" si="20"/>
        <v>23</v>
      </c>
      <c r="F1063" s="134" t="s">
        <v>3619</v>
      </c>
      <c r="G1063" s="63" t="str">
        <f>VLOOKUP(C1063, 'Class Def. - General Data'!$C$20:$C$1000,1,false)</f>
        <v>ZFG1_DISINFECTANT</v>
      </c>
      <c r="H1063" s="63" t="str">
        <f>IFERROR(__xludf.DUMMYFUNCTION("VLOOKUP(F1063, IMPORTRANGE(""https://docs.google.com/spreadsheets/d/1Lhp9OU0JdFf_VYSMzH5lBcEaU4o8teT1piV-SNzShjg/edit?gid=554141278#gid=554141278"", ""'Char Def. - Attributes'!C20:C2242""), 1,false)"),"LENGTH")</f>
        <v>LENGTH</v>
      </c>
      <c r="I1063" s="136"/>
    </row>
    <row r="1064" ht="15.75" customHeight="1">
      <c r="A1064" s="59"/>
      <c r="B1064" s="63">
        <f t="shared" si="1"/>
        <v>17</v>
      </c>
      <c r="C1064" s="134" t="s">
        <v>110</v>
      </c>
      <c r="D1064" s="134" t="s">
        <v>74</v>
      </c>
      <c r="E1064" s="135">
        <f t="shared" si="20"/>
        <v>24</v>
      </c>
      <c r="F1064" s="134" t="s">
        <v>3586</v>
      </c>
      <c r="G1064" s="63" t="str">
        <f>VLOOKUP(C1064, 'Class Def. - General Data'!$C$20:$C$1000,1,false)</f>
        <v>ZFG1_DISINFECTANT</v>
      </c>
      <c r="H1064" s="63" t="str">
        <f>IFERROR(__xludf.DUMMYFUNCTION("VLOOKUP(F1064, IMPORTRANGE(""https://docs.google.com/spreadsheets/d/1Lhp9OU0JdFf_VYSMzH5lBcEaU4o8teT1piV-SNzShjg/edit?gid=554141278#gid=554141278"", ""'Char Def. - Attributes'!C20:C2242""), 1,false)"),"PLANT_PROD")</f>
        <v>PLANT_PROD</v>
      </c>
      <c r="I1064" s="136"/>
    </row>
    <row r="1065" ht="15.75" customHeight="1">
      <c r="A1065" s="59"/>
      <c r="B1065" s="63">
        <f t="shared" si="1"/>
        <v>17</v>
      </c>
      <c r="C1065" s="134" t="s">
        <v>110</v>
      </c>
      <c r="D1065" s="134" t="s">
        <v>74</v>
      </c>
      <c r="E1065" s="135">
        <f t="shared" si="20"/>
        <v>25</v>
      </c>
      <c r="F1065" s="134" t="s">
        <v>3620</v>
      </c>
      <c r="G1065" s="63" t="str">
        <f>VLOOKUP(C1065, 'Class Def. - General Data'!$C$20:$C$1000,1,false)</f>
        <v>ZFG1_DISINFECTANT</v>
      </c>
      <c r="H1065" s="63" t="str">
        <f>IFERROR(__xludf.DUMMYFUNCTION("VLOOKUP(F1065, IMPORTRANGE(""https://docs.google.com/spreadsheets/d/1Lhp9OU0JdFf_VYSMzH5lBcEaU4o8teT1piV-SNzShjg/edit?gid=554141278#gid=554141278"", ""'Char Def. - Attributes'!C20:C2242""), 1,false)"),"WIDTH")</f>
        <v>WIDTH</v>
      </c>
      <c r="I1065" s="136"/>
    </row>
    <row r="1066" ht="15.75" customHeight="1">
      <c r="A1066" s="59"/>
      <c r="B1066" s="63">
        <f t="shared" si="1"/>
        <v>17</v>
      </c>
      <c r="C1066" s="134" t="s">
        <v>110</v>
      </c>
      <c r="D1066" s="134" t="s">
        <v>74</v>
      </c>
      <c r="E1066" s="135">
        <f t="shared" si="20"/>
        <v>26</v>
      </c>
      <c r="F1066" s="134" t="s">
        <v>3585</v>
      </c>
      <c r="G1066" s="63" t="str">
        <f>VLOOKUP(C1066, 'Class Def. - General Data'!$C$20:$C$1000,1,false)</f>
        <v>ZFG1_DISINFECTANT</v>
      </c>
      <c r="H1066" s="63" t="str">
        <f>IFERROR(__xludf.DUMMYFUNCTION("VLOOKUP(F1066, IMPORTRANGE(""https://docs.google.com/spreadsheets/d/1Lhp9OU0JdFf_VYSMzH5lBcEaU4o8teT1piV-SNzShjg/edit?gid=554141278#gid=554141278"", ""'Char Def. - Attributes'!C20:C2242""), 1,false)"),"HS_CODE")</f>
        <v>HS_CODE</v>
      </c>
      <c r="I1066" s="136"/>
    </row>
    <row r="1067" ht="15.75" customHeight="1">
      <c r="A1067" s="59"/>
      <c r="B1067" s="63">
        <f t="shared" si="1"/>
        <v>17</v>
      </c>
      <c r="C1067" s="134" t="s">
        <v>110</v>
      </c>
      <c r="D1067" s="134" t="s">
        <v>74</v>
      </c>
      <c r="E1067" s="135">
        <f t="shared" si="20"/>
        <v>27</v>
      </c>
      <c r="F1067" s="134" t="s">
        <v>3621</v>
      </c>
      <c r="G1067" s="63" t="str">
        <f>VLOOKUP(C1067, 'Class Def. - General Data'!$C$20:$C$1000,1,false)</f>
        <v>ZFG1_DISINFECTANT</v>
      </c>
      <c r="H1067" s="63" t="str">
        <f>IFERROR(__xludf.DUMMYFUNCTION("VLOOKUP(F1067, IMPORTRANGE(""https://docs.google.com/spreadsheets/d/1Lhp9OU0JdFf_VYSMzH5lBcEaU4o8teT1piV-SNzShjg/edit?gid=554141278#gid=554141278"", ""'Char Def. - Attributes'!C20:C2242""), 1,false)"),"EAN_PCS")</f>
        <v>EAN_PCS</v>
      </c>
      <c r="I1067" s="136"/>
    </row>
    <row r="1068" ht="15.75" customHeight="1">
      <c r="A1068" s="59"/>
      <c r="B1068" s="63">
        <f t="shared" si="1"/>
        <v>17</v>
      </c>
      <c r="C1068" s="134" t="s">
        <v>110</v>
      </c>
      <c r="D1068" s="134" t="s">
        <v>74</v>
      </c>
      <c r="E1068" s="135">
        <f t="shared" si="20"/>
        <v>28</v>
      </c>
      <c r="F1068" s="134" t="s">
        <v>3622</v>
      </c>
      <c r="G1068" s="63" t="str">
        <f>VLOOKUP(C1068, 'Class Def. - General Data'!$C$20:$C$1000,1,false)</f>
        <v>ZFG1_DISINFECTANT</v>
      </c>
      <c r="H1068" s="63" t="str">
        <f>IFERROR(__xludf.DUMMYFUNCTION("VLOOKUP(F1068, IMPORTRANGE(""https://docs.google.com/spreadsheets/d/1Lhp9OU0JdFf_VYSMzH5lBcEaU4o8teT1piV-SNzShjg/edit?gid=554141278#gid=554141278"", ""'Char Def. - Attributes'!C20:C2242""), 1,false)"),"SFG_BRAND")</f>
        <v>SFG_BRAND</v>
      </c>
      <c r="I1068" s="136"/>
    </row>
    <row r="1069" ht="15.75" customHeight="1">
      <c r="A1069" s="59"/>
      <c r="B1069" s="63">
        <f t="shared" si="1"/>
        <v>17</v>
      </c>
      <c r="C1069" s="134" t="s">
        <v>110</v>
      </c>
      <c r="D1069" s="134" t="s">
        <v>74</v>
      </c>
      <c r="E1069" s="135">
        <f t="shared" si="20"/>
        <v>29</v>
      </c>
      <c r="F1069" s="134" t="s">
        <v>3623</v>
      </c>
      <c r="G1069" s="63" t="str">
        <f>VLOOKUP(C1069, 'Class Def. - General Data'!$C$20:$C$1000,1,false)</f>
        <v>ZFG1_DISINFECTANT</v>
      </c>
      <c r="H1069" s="63" t="str">
        <f>IFERROR(__xludf.DUMMYFUNCTION("VLOOKUP(F1069, IMPORTRANGE(""https://docs.google.com/spreadsheets/d/1Lhp9OU0JdFf_VYSMzH5lBcEaU4o8teT1piV-SNzShjg/edit?gid=554141278#gid=554141278"", ""'Char Def. - Attributes'!C20:C2242""), 1,false)"),"LANGUAGE")</f>
        <v>LANGUAGE</v>
      </c>
      <c r="I1069" s="136"/>
    </row>
    <row r="1070" ht="15.75" customHeight="1">
      <c r="A1070" s="59"/>
      <c r="B1070" s="63">
        <f t="shared" si="1"/>
        <v>17</v>
      </c>
      <c r="C1070" s="139" t="s">
        <v>110</v>
      </c>
      <c r="D1070" s="139" t="s">
        <v>74</v>
      </c>
      <c r="E1070" s="140">
        <f t="shared" si="20"/>
        <v>30</v>
      </c>
      <c r="F1070" s="134" t="s">
        <v>3624</v>
      </c>
      <c r="G1070" s="63" t="str">
        <f>VLOOKUP(C1070, 'Class Def. - General Data'!$C$20:$C$1000,1,false)</f>
        <v>ZFG1_DISINFECTANT</v>
      </c>
      <c r="H1070" s="63" t="str">
        <f>IFERROR(__xludf.DUMMYFUNCTION("VLOOKUP(F1070, IMPORTRANGE(""https://docs.google.com/spreadsheets/d/1Lhp9OU0JdFf_VYSMzH5lBcEaU4o8teT1piV-SNzShjg/edit?gid=554141278#gid=554141278"", ""'Char Def. - Attributes'!C20:C2242""), 1,false)"),"#N/A")</f>
        <v>#N/A</v>
      </c>
      <c r="I1070" s="136"/>
    </row>
    <row r="1071" ht="15.75" customHeight="1">
      <c r="A1071" s="59"/>
      <c r="B1071" s="63">
        <f t="shared" si="1"/>
        <v>17</v>
      </c>
      <c r="C1071" s="134" t="s">
        <v>110</v>
      </c>
      <c r="D1071" s="134" t="s">
        <v>74</v>
      </c>
      <c r="E1071" s="135">
        <f t="shared" si="20"/>
        <v>31</v>
      </c>
      <c r="F1071" s="134" t="s">
        <v>3625</v>
      </c>
      <c r="G1071" s="63" t="str">
        <f>VLOOKUP(C1071, 'Class Def. - General Data'!$C$20:$C$1000,1,false)</f>
        <v>ZFG1_DISINFECTANT</v>
      </c>
      <c r="H1071" s="63" t="str">
        <f>IFERROR(__xludf.DUMMYFUNCTION("VLOOKUP(F1071, IMPORTRANGE(""https://docs.google.com/spreadsheets/d/1Lhp9OU0JdFf_VYSMzH5lBcEaU4o8teT1piV-SNzShjg/edit?gid=554141278#gid=554141278"", ""'Char Def. - Attributes'!C20:C2242""), 1,false)"),"REGION_EKSPOR")</f>
        <v>REGION_EKSPOR</v>
      </c>
      <c r="I1071" s="136"/>
    </row>
    <row r="1072" ht="15.75" customHeight="1">
      <c r="A1072" s="59"/>
      <c r="B1072" s="63">
        <f t="shared" si="1"/>
        <v>17</v>
      </c>
      <c r="C1072" s="134" t="s">
        <v>110</v>
      </c>
      <c r="D1072" s="134" t="s">
        <v>74</v>
      </c>
      <c r="E1072" s="135">
        <f t="shared" si="20"/>
        <v>32</v>
      </c>
      <c r="F1072" s="134" t="s">
        <v>3626</v>
      </c>
      <c r="G1072" s="63" t="str">
        <f>VLOOKUP(C1072, 'Class Def. - General Data'!$C$20:$C$1000,1,false)</f>
        <v>ZFG1_DISINFECTANT</v>
      </c>
      <c r="H1072" s="63" t="str">
        <f>IFERROR(__xludf.DUMMYFUNCTION("VLOOKUP(F1072, IMPORTRANGE(""https://docs.google.com/spreadsheets/d/1Lhp9OU0JdFf_VYSMzH5lBcEaU4o8teT1piV-SNzShjg/edit?gid=554141278#gid=554141278"", ""'Char Def. - Attributes'!C20:C2242""), 1,false)"),"STICKER_NOT")</f>
        <v>STICKER_NOT</v>
      </c>
      <c r="I1072" s="136"/>
    </row>
    <row r="1073" ht="15.75" customHeight="1">
      <c r="A1073" s="59"/>
      <c r="B1073" s="63">
        <f t="shared" si="1"/>
        <v>17</v>
      </c>
      <c r="C1073" s="134" t="s">
        <v>110</v>
      </c>
      <c r="D1073" s="134" t="s">
        <v>74</v>
      </c>
      <c r="E1073" s="135">
        <f t="shared" si="20"/>
        <v>33</v>
      </c>
      <c r="F1073" s="134" t="s">
        <v>3627</v>
      </c>
      <c r="G1073" s="63" t="str">
        <f>VLOOKUP(C1073, 'Class Def. - General Data'!$C$20:$C$1000,1,false)</f>
        <v>ZFG1_DISINFECTANT</v>
      </c>
      <c r="H1073" s="63" t="str">
        <f>IFERROR(__xludf.DUMMYFUNCTION("VLOOKUP(F1073, IMPORTRANGE(""https://docs.google.com/spreadsheets/d/1Lhp9OU0JdFf_VYSMzH5lBcEaU4o8teT1piV-SNzShjg/edit?gid=554141278#gid=554141278"", ""'Char Def. - Attributes'!C20:C2242""), 1,false)"),"SHIP_MARK")</f>
        <v>SHIP_MARK</v>
      </c>
      <c r="I1073" s="136"/>
    </row>
    <row r="1074" ht="15.75" customHeight="1">
      <c r="A1074" s="59"/>
      <c r="B1074" s="63">
        <f t="shared" si="1"/>
        <v>17</v>
      </c>
      <c r="C1074" s="134" t="s">
        <v>110</v>
      </c>
      <c r="D1074" s="134" t="s">
        <v>74</v>
      </c>
      <c r="E1074" s="135">
        <f t="shared" si="20"/>
        <v>34</v>
      </c>
      <c r="F1074" s="134" t="s">
        <v>3628</v>
      </c>
      <c r="G1074" s="63" t="str">
        <f>VLOOKUP(C1074, 'Class Def. - General Data'!$C$20:$C$1000,1,false)</f>
        <v>ZFG1_DISINFECTANT</v>
      </c>
      <c r="H1074" s="63" t="str">
        <f>IFERROR(__xludf.DUMMYFUNCTION("VLOOKUP(F1074, IMPORTRANGE(""https://docs.google.com/spreadsheets/d/1Lhp9OU0JdFf_VYSMzH5lBcEaU4o8teT1piV-SNzShjg/edit?gid=554141278#gid=554141278"", ""'Char Def. - Attributes'!C20:C2242""), 1,false)"),"MID_CORE")</f>
        <v>MID_CORE</v>
      </c>
      <c r="I1074" s="136"/>
    </row>
    <row r="1075" ht="15.75" customHeight="1">
      <c r="A1075" s="59"/>
      <c r="B1075" s="63">
        <f t="shared" si="1"/>
        <v>17</v>
      </c>
      <c r="C1075" s="134" t="s">
        <v>110</v>
      </c>
      <c r="D1075" s="134" t="s">
        <v>74</v>
      </c>
      <c r="E1075" s="135">
        <f t="shared" si="20"/>
        <v>35</v>
      </c>
      <c r="F1075" s="134" t="s">
        <v>3629</v>
      </c>
      <c r="G1075" s="63" t="str">
        <f>VLOOKUP(C1075, 'Class Def. - General Data'!$C$20:$C$1000,1,false)</f>
        <v>ZFG1_DISINFECTANT</v>
      </c>
      <c r="H1075" s="63" t="str">
        <f>IFERROR(__xludf.DUMMYFUNCTION("VLOOKUP(F1075, IMPORTRANGE(""https://docs.google.com/spreadsheets/d/1Lhp9OU0JdFf_VYSMzH5lBcEaU4o8teT1piV-SNzShjg/edit?gid=554141278#gid=554141278"", ""'Char Def. - Attributes'!C20:C2242""), 1,false)"),"EAN_CTN")</f>
        <v>EAN_CTN</v>
      </c>
      <c r="I1075" s="136"/>
    </row>
    <row r="1076" ht="15.75" customHeight="1">
      <c r="A1076" s="59"/>
      <c r="B1076" s="63">
        <f t="shared" si="1"/>
        <v>17</v>
      </c>
      <c r="C1076" s="134" t="s">
        <v>110</v>
      </c>
      <c r="D1076" s="134" t="s">
        <v>74</v>
      </c>
      <c r="E1076" s="135">
        <f t="shared" si="20"/>
        <v>36</v>
      </c>
      <c r="F1076" s="134" t="s">
        <v>3630</v>
      </c>
      <c r="G1076" s="63" t="str">
        <f>VLOOKUP(C1076, 'Class Def. - General Data'!$C$20:$C$1000,1,false)</f>
        <v>ZFG1_DISINFECTANT</v>
      </c>
      <c r="H1076" s="63" t="str">
        <f>IFERROR(__xludf.DUMMYFUNCTION("VLOOKUP(F1076, IMPORTRANGE(""https://docs.google.com/spreadsheets/d/1Lhp9OU0JdFf_VYSMzH5lBcEaU4o8teT1piV-SNzShjg/edit?gid=554141278#gid=554141278"", ""'Char Def. - Attributes'!C20:C2242""), 1,false)"),"EAN_BOX")</f>
        <v>EAN_BOX</v>
      </c>
      <c r="I1076" s="136"/>
    </row>
    <row r="1077" ht="15.75" customHeight="1">
      <c r="A1077" s="59"/>
      <c r="B1077" s="63">
        <f t="shared" si="1"/>
        <v>17</v>
      </c>
      <c r="C1077" s="134" t="s">
        <v>110</v>
      </c>
      <c r="D1077" s="141" t="s">
        <v>74</v>
      </c>
      <c r="E1077" s="135">
        <v>22.0</v>
      </c>
      <c r="F1077" s="135" t="s">
        <v>3603</v>
      </c>
      <c r="G1077" s="63" t="str">
        <f>VLOOKUP(C1077, 'Class Def. - General Data'!$C$20:$C$1000,1,false)</f>
        <v>ZFG1_DISINFECTANT</v>
      </c>
      <c r="I1077" s="136"/>
    </row>
    <row r="1078" ht="15.75" customHeight="1">
      <c r="A1078" s="59"/>
      <c r="B1078" s="63">
        <f t="shared" si="1"/>
        <v>15</v>
      </c>
      <c r="C1078" s="134" t="s">
        <v>111</v>
      </c>
      <c r="D1078" s="134" t="s">
        <v>74</v>
      </c>
      <c r="E1078" s="135">
        <f t="shared" ref="E1078:E1113" si="21">COUNTIF($C$20:C1078,C1078)</f>
        <v>1</v>
      </c>
      <c r="F1078" s="134" t="s">
        <v>3677</v>
      </c>
      <c r="G1078" s="63" t="str">
        <f>VLOOKUP(C1078, 'Class Def. - General Data'!$C$20:$C$1000,1,false)</f>
        <v>ZFG1_DISPOSMASK</v>
      </c>
      <c r="H1078" s="63" t="str">
        <f>IFERROR(__xludf.DUMMYFUNCTION("VLOOKUP(F1078, IMPORTRANGE(""https://docs.google.com/spreadsheets/d/1Lhp9OU0JdFf_VYSMzH5lBcEaU4o8teT1piV-SNzShjg/edit?gid=554141278#gid=554141278"", ""'Char Def. - Attributes'!C20:C2242""), 1,false)"),"BRAND_DISPOSMASK")</f>
        <v>BRAND_DISPOSMASK</v>
      </c>
      <c r="I1078" s="136"/>
    </row>
    <row r="1079" ht="15.75" customHeight="1">
      <c r="A1079" s="59"/>
      <c r="B1079" s="63">
        <f t="shared" si="1"/>
        <v>15</v>
      </c>
      <c r="C1079" s="135" t="s">
        <v>111</v>
      </c>
      <c r="D1079" s="134" t="s">
        <v>74</v>
      </c>
      <c r="E1079" s="135">
        <f t="shared" si="21"/>
        <v>2</v>
      </c>
      <c r="F1079" s="134" t="s">
        <v>3678</v>
      </c>
      <c r="G1079" s="63" t="str">
        <f>VLOOKUP(C1079, 'Class Def. - General Data'!$C$20:$C$1000,1,false)</f>
        <v>ZFG1_DISPOSMASK</v>
      </c>
      <c r="H1079" s="63" t="str">
        <f>IFERROR(__xludf.DUMMYFUNCTION("VLOOKUP(F1079, IMPORTRANGE(""https://docs.google.com/spreadsheets/d/1Lhp9OU0JdFf_VYSMzH5lBcEaU4o8teT1piV-SNzShjg/edit?gid=554141278#gid=554141278"", ""'Char Def. - Attributes'!C20:C2242""), 1,false)"),"PSHAPE_DISPOSMASK")</f>
        <v>PSHAPE_DISPOSMASK</v>
      </c>
      <c r="I1079" s="136"/>
    </row>
    <row r="1080" ht="15.75" customHeight="1">
      <c r="A1080" s="59"/>
      <c r="B1080" s="63">
        <f t="shared" si="1"/>
        <v>15</v>
      </c>
      <c r="C1080" s="134" t="s">
        <v>111</v>
      </c>
      <c r="D1080" s="134" t="s">
        <v>74</v>
      </c>
      <c r="E1080" s="135">
        <f t="shared" si="21"/>
        <v>3</v>
      </c>
      <c r="F1080" s="134" t="s">
        <v>3605</v>
      </c>
      <c r="G1080" s="63" t="str">
        <f>VLOOKUP(C1080, 'Class Def. - General Data'!$C$20:$C$1000,1,false)</f>
        <v>ZFG1_DISPOSMASK</v>
      </c>
      <c r="H1080" s="63" t="str">
        <f>IFERROR(__xludf.DUMMYFUNCTION("VLOOKUP(F1080, IMPORTRANGE(""https://docs.google.com/spreadsheets/d/1Lhp9OU0JdFf_VYSMzH5lBcEaU4o8teT1piV-SNzShjg/edit?gid=554141278#gid=554141278"", ""'Char Def. - Attributes'!C20:C2242""), 1,false)"),"PACK_NETTO")</f>
        <v>PACK_NETTO</v>
      </c>
      <c r="I1080" s="136"/>
    </row>
    <row r="1081" ht="15.75" customHeight="1">
      <c r="A1081" s="59"/>
      <c r="B1081" s="63">
        <f t="shared" si="1"/>
        <v>15</v>
      </c>
      <c r="C1081" s="135" t="s">
        <v>111</v>
      </c>
      <c r="D1081" s="134" t="s">
        <v>74</v>
      </c>
      <c r="E1081" s="135">
        <f t="shared" si="21"/>
        <v>4</v>
      </c>
      <c r="F1081" s="134" t="s">
        <v>3679</v>
      </c>
      <c r="G1081" s="63" t="str">
        <f>VLOOKUP(C1081, 'Class Def. - General Data'!$C$20:$C$1000,1,false)</f>
        <v>ZFG1_DISPOSMASK</v>
      </c>
      <c r="H1081" s="63" t="str">
        <f>IFERROR(__xludf.DUMMYFUNCTION("VLOOKUP(F1081, IMPORTRANGE(""https://docs.google.com/spreadsheets/d/1Lhp9OU0JdFf_VYSMzH5lBcEaU4o8teT1piV-SNzShjg/edit?gid=554141278#gid=554141278"", ""'Char Def. - Attributes'!C20:C2242""), 1,false)"),"PUOM_DISPOSMASK")</f>
        <v>PUOM_DISPOSMASK</v>
      </c>
      <c r="I1081" s="136"/>
    </row>
    <row r="1082" ht="15.75" customHeight="1">
      <c r="A1082" s="59"/>
      <c r="B1082" s="63">
        <f t="shared" si="1"/>
        <v>15</v>
      </c>
      <c r="C1082" s="134" t="s">
        <v>111</v>
      </c>
      <c r="D1082" s="134" t="s">
        <v>74</v>
      </c>
      <c r="E1082" s="135">
        <f t="shared" si="21"/>
        <v>5</v>
      </c>
      <c r="F1082" s="134" t="s">
        <v>3607</v>
      </c>
      <c r="G1082" s="63" t="str">
        <f>VLOOKUP(C1082, 'Class Def. - General Data'!$C$20:$C$1000,1,false)</f>
        <v>ZFG1_DISPOSMASK</v>
      </c>
      <c r="H1082" s="63" t="str">
        <f>IFERROR(__xludf.DUMMYFUNCTION("VLOOKUP(F1082, IMPORTRANGE(""https://docs.google.com/spreadsheets/d/1Lhp9OU0JdFf_VYSMzH5lBcEaU4o8teT1piV-SNzShjg/edit?gid=554141278#gid=554141278"", ""'Char Def. - Attributes'!C20:C2242""), 1,false)"),"VARIAN")</f>
        <v>VARIAN</v>
      </c>
      <c r="I1082" s="136"/>
    </row>
    <row r="1083" ht="15.75" customHeight="1">
      <c r="A1083" s="59"/>
      <c r="B1083" s="63">
        <f t="shared" si="1"/>
        <v>15</v>
      </c>
      <c r="C1083" s="134" t="s">
        <v>111</v>
      </c>
      <c r="D1083" s="134" t="s">
        <v>74</v>
      </c>
      <c r="E1083" s="135">
        <f t="shared" si="21"/>
        <v>6</v>
      </c>
      <c r="F1083" s="134" t="s">
        <v>3608</v>
      </c>
      <c r="G1083" s="63" t="str">
        <f>VLOOKUP(C1083, 'Class Def. - General Data'!$C$20:$C$1000,1,false)</f>
        <v>ZFG1_DISPOSMASK</v>
      </c>
      <c r="H1083" s="63" t="str">
        <f>IFERROR(__xludf.DUMMYFUNCTION("VLOOKUP(F1083, IMPORTRANGE(""https://docs.google.com/spreadsheets/d/1Lhp9OU0JdFf_VYSMzH5lBcEaU4o8teT1piV-SNzShjg/edit?gid=554141278#gid=554141278"", ""'Char Def. - Attributes'!C20:C2242""), 1,false)"),"PROJECT_NAME")</f>
        <v>PROJECT_NAME</v>
      </c>
      <c r="I1083" s="136"/>
    </row>
    <row r="1084" ht="15.75" customHeight="1">
      <c r="A1084" s="59"/>
      <c r="B1084" s="63">
        <f t="shared" si="1"/>
        <v>15</v>
      </c>
      <c r="C1084" s="134" t="s">
        <v>111</v>
      </c>
      <c r="D1084" s="134" t="s">
        <v>74</v>
      </c>
      <c r="E1084" s="135">
        <f t="shared" si="21"/>
        <v>7</v>
      </c>
      <c r="F1084" s="134" t="s">
        <v>3609</v>
      </c>
      <c r="G1084" s="63" t="str">
        <f>VLOOKUP(C1084, 'Class Def. - General Data'!$C$20:$C$1000,1,false)</f>
        <v>ZFG1_DISPOSMASK</v>
      </c>
      <c r="H1084" s="63" t="str">
        <f>IFERROR(__xludf.DUMMYFUNCTION("VLOOKUP(F1084, IMPORTRANGE(""https://docs.google.com/spreadsheets/d/1Lhp9OU0JdFf_VYSMzH5lBcEaU4o8teT1piV-SNzShjg/edit?gid=554141278#gid=554141278"", ""'Char Def. - Attributes'!C20:C2242""), 1,false)"),"ADDITIONAL_PROMO")</f>
        <v>ADDITIONAL_PROMO</v>
      </c>
      <c r="I1084" s="136"/>
    </row>
    <row r="1085" ht="15.75" customHeight="1">
      <c r="A1085" s="59"/>
      <c r="B1085" s="63">
        <f t="shared" si="1"/>
        <v>15</v>
      </c>
      <c r="C1085" s="134" t="s">
        <v>111</v>
      </c>
      <c r="D1085" s="134" t="s">
        <v>74</v>
      </c>
      <c r="E1085" s="135">
        <f t="shared" si="21"/>
        <v>8</v>
      </c>
      <c r="F1085" s="134" t="s">
        <v>3610</v>
      </c>
      <c r="G1085" s="63" t="str">
        <f>VLOOKUP(C1085, 'Class Def. - General Data'!$C$20:$C$1000,1,false)</f>
        <v>ZFG1_DISPOSMASK</v>
      </c>
      <c r="H1085" s="63" t="str">
        <f>IFERROR(__xludf.DUMMYFUNCTION("VLOOKUP(F1085, IMPORTRANGE(""https://docs.google.com/spreadsheets/d/1Lhp9OU0JdFf_VYSMzH5lBcEaU4o8teT1piV-SNzShjg/edit?gid=554141278#gid=554141278"", ""'Char Def. - Attributes'!C20:C2242""), 1,false)"),"BANDED_PROMO")</f>
        <v>BANDED_PROMO</v>
      </c>
      <c r="I1085" s="136"/>
    </row>
    <row r="1086" ht="15.75" customHeight="1">
      <c r="A1086" s="59"/>
      <c r="B1086" s="63">
        <f t="shared" si="1"/>
        <v>15</v>
      </c>
      <c r="C1086" s="134" t="s">
        <v>111</v>
      </c>
      <c r="D1086" s="134" t="s">
        <v>74</v>
      </c>
      <c r="E1086" s="135">
        <f t="shared" si="21"/>
        <v>9</v>
      </c>
      <c r="F1086" s="134" t="s">
        <v>3611</v>
      </c>
      <c r="G1086" s="63" t="str">
        <f>VLOOKUP(C1086, 'Class Def. - General Data'!$C$20:$C$1000,1,false)</f>
        <v>ZFG1_DISPOSMASK</v>
      </c>
      <c r="H1086" s="63" t="str">
        <f>IFERROR(__xludf.DUMMYFUNCTION("VLOOKUP(F1086, IMPORTRANGE(""https://docs.google.com/spreadsheets/d/1Lhp9OU0JdFf_VYSMzH5lBcEaU4o8teT1piV-SNzShjg/edit?gid=554141278#gid=554141278"", ""'Char Def. - Attributes'!C20:C2242""), 1,false)"),"LOKAL_EKSPOR")</f>
        <v>LOKAL_EKSPOR</v>
      </c>
      <c r="I1086" s="136"/>
    </row>
    <row r="1087" ht="15.75" customHeight="1">
      <c r="A1087" s="59"/>
      <c r="B1087" s="63">
        <f t="shared" si="1"/>
        <v>15</v>
      </c>
      <c r="C1087" s="134" t="s">
        <v>111</v>
      </c>
      <c r="D1087" s="134" t="s">
        <v>74</v>
      </c>
      <c r="E1087" s="135">
        <f t="shared" si="21"/>
        <v>10</v>
      </c>
      <c r="F1087" s="134" t="s">
        <v>3612</v>
      </c>
      <c r="G1087" s="63" t="str">
        <f>VLOOKUP(C1087, 'Class Def. - General Data'!$C$20:$C$1000,1,false)</f>
        <v>ZFG1_DISPOSMASK</v>
      </c>
      <c r="H1087" s="63" t="str">
        <f>IFERROR(__xludf.DUMMYFUNCTION("VLOOKUP(F1087, IMPORTRANGE(""https://docs.google.com/spreadsheets/d/1Lhp9OU0JdFf_VYSMzH5lBcEaU4o8teT1piV-SNzShjg/edit?gid=554141278#gid=554141278"", ""'Char Def. - Attributes'!C20:C2242""), 1,false)"),"COUNTRY_EKSPOR")</f>
        <v>COUNTRY_EKSPOR</v>
      </c>
      <c r="I1087" s="136"/>
    </row>
    <row r="1088" ht="15.75" customHeight="1">
      <c r="A1088" s="59"/>
      <c r="B1088" s="63">
        <f t="shared" si="1"/>
        <v>15</v>
      </c>
      <c r="C1088" s="134" t="s">
        <v>111</v>
      </c>
      <c r="D1088" s="134" t="s">
        <v>74</v>
      </c>
      <c r="E1088" s="135">
        <f t="shared" si="21"/>
        <v>11</v>
      </c>
      <c r="F1088" s="134" t="s">
        <v>3613</v>
      </c>
      <c r="G1088" s="63" t="str">
        <f>VLOOKUP(C1088, 'Class Def. - General Data'!$C$20:$C$1000,1,false)</f>
        <v>ZFG1_DISPOSMASK</v>
      </c>
      <c r="H1088" s="63" t="str">
        <f>IFERROR(__xludf.DUMMYFUNCTION("VLOOKUP(F1088, IMPORTRANGE(""https://docs.google.com/spreadsheets/d/1Lhp9OU0JdFf_VYSMzH5lBcEaU4o8teT1piV-SNzShjg/edit?gid=554141278#gid=554141278"", ""'Char Def. - Attributes'!C20:C2242""), 1,false)"),"WARNA_SFG")</f>
        <v>WARNA_SFG</v>
      </c>
      <c r="I1088" s="136"/>
    </row>
    <row r="1089" ht="15.75" customHeight="1">
      <c r="A1089" s="59"/>
      <c r="B1089" s="63">
        <f t="shared" si="1"/>
        <v>15</v>
      </c>
      <c r="C1089" s="134" t="s">
        <v>111</v>
      </c>
      <c r="D1089" s="134" t="s">
        <v>74</v>
      </c>
      <c r="E1089" s="135">
        <f t="shared" si="21"/>
        <v>12</v>
      </c>
      <c r="F1089" s="134" t="s">
        <v>3582</v>
      </c>
      <c r="G1089" s="63" t="str">
        <f>VLOOKUP(C1089, 'Class Def. - General Data'!$C$20:$C$1000,1,false)</f>
        <v>ZFG1_DISPOSMASK</v>
      </c>
      <c r="H1089" s="63" t="str">
        <f>IFERROR(__xludf.DUMMYFUNCTION("VLOOKUP(F1089, IMPORTRANGE(""https://docs.google.com/spreadsheets/d/1Lhp9OU0JdFf_VYSMzH5lBcEaU4o8teT1piV-SNzShjg/edit?gid=554141278#gid=554141278"", ""'Char Def. - Attributes'!C20:C2242""), 1,false)"),"BASE_UNIT")</f>
        <v>BASE_UNIT</v>
      </c>
      <c r="I1089" s="136"/>
    </row>
    <row r="1090" ht="15.75" customHeight="1">
      <c r="A1090" s="59"/>
      <c r="B1090" s="63">
        <f t="shared" si="1"/>
        <v>15</v>
      </c>
      <c r="C1090" s="134" t="s">
        <v>111</v>
      </c>
      <c r="D1090" s="134" t="s">
        <v>74</v>
      </c>
      <c r="E1090" s="135">
        <f t="shared" si="21"/>
        <v>13</v>
      </c>
      <c r="F1090" s="134" t="s">
        <v>3583</v>
      </c>
      <c r="G1090" s="63" t="str">
        <f>VLOOKUP(C1090, 'Class Def. - General Data'!$C$20:$C$1000,1,false)</f>
        <v>ZFG1_DISPOSMASK</v>
      </c>
      <c r="H1090" s="63" t="str">
        <f>IFERROR(__xludf.DUMMYFUNCTION("VLOOKUP(F1090, IMPORTRANGE(""https://docs.google.com/spreadsheets/d/1Lhp9OU0JdFf_VYSMzH5lBcEaU4o8teT1piV-SNzShjg/edit?gid=554141278#gid=554141278"", ""'Char Def. - Attributes'!C20:C2242""), 1,false)"),"SALES_UNIT")</f>
        <v>SALES_UNIT</v>
      </c>
      <c r="I1090" s="136"/>
    </row>
    <row r="1091" ht="15.75" customHeight="1">
      <c r="A1091" s="59"/>
      <c r="B1091" s="63">
        <f t="shared" si="1"/>
        <v>15</v>
      </c>
      <c r="C1091" s="134" t="s">
        <v>111</v>
      </c>
      <c r="D1091" s="134" t="s">
        <v>74</v>
      </c>
      <c r="E1091" s="135">
        <f t="shared" si="21"/>
        <v>14</v>
      </c>
      <c r="F1091" s="134" t="s">
        <v>3601</v>
      </c>
      <c r="G1091" s="63" t="str">
        <f>VLOOKUP(C1091, 'Class Def. - General Data'!$C$20:$C$1000,1,false)</f>
        <v>ZFG1_DISPOSMASK</v>
      </c>
      <c r="H1091" s="63" t="str">
        <f>IFERROR(__xludf.DUMMYFUNCTION("VLOOKUP(F1091, IMPORTRANGE(""https://docs.google.com/spreadsheets/d/1Lhp9OU0JdFf_VYSMzH5lBcEaU4o8teT1piV-SNzShjg/edit?gid=554141278#gid=554141278"", ""'Char Def. - Attributes'!C20:C2242""), 1,false)"),"GROSS_WEIGHT")</f>
        <v>GROSS_WEIGHT</v>
      </c>
      <c r="I1091" s="136"/>
    </row>
    <row r="1092" ht="15.75" customHeight="1">
      <c r="A1092" s="59"/>
      <c r="B1092" s="63">
        <f t="shared" si="1"/>
        <v>15</v>
      </c>
      <c r="C1092" s="134" t="s">
        <v>111</v>
      </c>
      <c r="D1092" s="134" t="s">
        <v>74</v>
      </c>
      <c r="E1092" s="135">
        <f t="shared" si="21"/>
        <v>15</v>
      </c>
      <c r="F1092" s="134" t="s">
        <v>3602</v>
      </c>
      <c r="G1092" s="63" t="str">
        <f>VLOOKUP(C1092, 'Class Def. - General Data'!$C$20:$C$1000,1,false)</f>
        <v>ZFG1_DISPOSMASK</v>
      </c>
      <c r="H1092" s="63" t="str">
        <f>IFERROR(__xludf.DUMMYFUNCTION("VLOOKUP(F1092, IMPORTRANGE(""https://docs.google.com/spreadsheets/d/1Lhp9OU0JdFf_VYSMzH5lBcEaU4o8teT1piV-SNzShjg/edit?gid=554141278#gid=554141278"", ""'Char Def. - Attributes'!C20:C2242""), 1,false)"),"NET_WEIGHT")</f>
        <v>NET_WEIGHT</v>
      </c>
      <c r="I1092" s="136"/>
    </row>
    <row r="1093" ht="15.75" customHeight="1">
      <c r="A1093" s="59"/>
      <c r="B1093" s="63">
        <f t="shared" si="1"/>
        <v>15</v>
      </c>
      <c r="C1093" s="134" t="s">
        <v>111</v>
      </c>
      <c r="D1093" s="134" t="s">
        <v>74</v>
      </c>
      <c r="E1093" s="135">
        <f t="shared" si="21"/>
        <v>16</v>
      </c>
      <c r="F1093" s="134" t="s">
        <v>3584</v>
      </c>
      <c r="G1093" s="63" t="str">
        <f>VLOOKUP(C1093, 'Class Def. - General Data'!$C$20:$C$1000,1,false)</f>
        <v>ZFG1_DISPOSMASK</v>
      </c>
      <c r="H1093" s="63" t="str">
        <f>IFERROR(__xludf.DUMMYFUNCTION("VLOOKUP(F1093, IMPORTRANGE(""https://docs.google.com/spreadsheets/d/1Lhp9OU0JdFf_VYSMzH5lBcEaU4o8teT1piV-SNzShjg/edit?gid=554141278#gid=554141278"", ""'Char Def. - Attributes'!C20:C2242""), 1,false)"),"UNIT_PER_BOX")</f>
        <v>UNIT_PER_BOX</v>
      </c>
      <c r="I1093" s="136"/>
    </row>
    <row r="1094" ht="15.75" customHeight="1">
      <c r="A1094" s="59"/>
      <c r="B1094" s="63">
        <f t="shared" si="1"/>
        <v>15</v>
      </c>
      <c r="C1094" s="134" t="s">
        <v>111</v>
      </c>
      <c r="D1094" s="134" t="s">
        <v>74</v>
      </c>
      <c r="E1094" s="135">
        <f t="shared" si="21"/>
        <v>17</v>
      </c>
      <c r="F1094" s="134" t="s">
        <v>3614</v>
      </c>
      <c r="G1094" s="63" t="str">
        <f>VLOOKUP(C1094, 'Class Def. - General Data'!$C$20:$C$1000,1,false)</f>
        <v>ZFG1_DISPOSMASK</v>
      </c>
      <c r="H1094" s="63" t="str">
        <f>IFERROR(__xludf.DUMMYFUNCTION("VLOOKUP(F1094, IMPORTRANGE(""https://docs.google.com/spreadsheets/d/1Lhp9OU0JdFf_VYSMzH5lBcEaU4o8teT1piV-SNzShjg/edit?gid=554141278#gid=554141278"", ""'Char Def. - Attributes'!C20:C2242""), 1,false)"),"UNIT_PER_CTN")</f>
        <v>UNIT_PER_CTN</v>
      </c>
      <c r="I1094" s="136"/>
    </row>
    <row r="1095" ht="15.75" customHeight="1">
      <c r="A1095" s="59"/>
      <c r="B1095" s="63">
        <f t="shared" si="1"/>
        <v>15</v>
      </c>
      <c r="C1095" s="134" t="s">
        <v>111</v>
      </c>
      <c r="D1095" s="134" t="s">
        <v>74</v>
      </c>
      <c r="E1095" s="135">
        <f t="shared" si="21"/>
        <v>18</v>
      </c>
      <c r="F1095" s="134" t="s">
        <v>3615</v>
      </c>
      <c r="G1095" s="63" t="str">
        <f>VLOOKUP(C1095, 'Class Def. - General Data'!$C$20:$C$1000,1,false)</f>
        <v>ZFG1_DISPOSMASK</v>
      </c>
      <c r="H1095" s="63" t="str">
        <f>IFERROR(__xludf.DUMMYFUNCTION("VLOOKUP(F1095, IMPORTRANGE(""https://docs.google.com/spreadsheets/d/1Lhp9OU0JdFf_VYSMzH5lBcEaU4o8teT1piV-SNzShjg/edit?gid=554141278#gid=554141278"", ""'Char Def. - Attributes'!C20:C2242""), 1,false)"),"UNIT_PER_BAG")</f>
        <v>UNIT_PER_BAG</v>
      </c>
      <c r="I1095" s="136"/>
    </row>
    <row r="1096" ht="15.75" customHeight="1">
      <c r="A1096" s="59"/>
      <c r="B1096" s="63">
        <f t="shared" si="1"/>
        <v>15</v>
      </c>
      <c r="C1096" s="134" t="s">
        <v>111</v>
      </c>
      <c r="D1096" s="134" t="s">
        <v>74</v>
      </c>
      <c r="E1096" s="135">
        <f t="shared" si="21"/>
        <v>19</v>
      </c>
      <c r="F1096" s="134" t="s">
        <v>3616</v>
      </c>
      <c r="G1096" s="63" t="str">
        <f>VLOOKUP(C1096, 'Class Def. - General Data'!$C$20:$C$1000,1,false)</f>
        <v>ZFG1_DISPOSMASK</v>
      </c>
      <c r="H1096" s="63" t="str">
        <f>IFERROR(__xludf.DUMMYFUNCTION("VLOOKUP(F1096, IMPORTRANGE(""https://docs.google.com/spreadsheets/d/1Lhp9OU0JdFf_VYSMzH5lBcEaU4o8teT1piV-SNzShjg/edit?gid=554141278#gid=554141278"", ""'Char Def. - Attributes'!C20:C2242""), 1,false)"),"UNIT_PER_PAL")</f>
        <v>UNIT_PER_PAL</v>
      </c>
      <c r="I1096" s="136"/>
    </row>
    <row r="1097" ht="15.75" customHeight="1">
      <c r="A1097" s="59"/>
      <c r="B1097" s="63">
        <f t="shared" si="1"/>
        <v>15</v>
      </c>
      <c r="C1097" s="134" t="s">
        <v>111</v>
      </c>
      <c r="D1097" s="134" t="s">
        <v>74</v>
      </c>
      <c r="E1097" s="135">
        <f t="shared" si="21"/>
        <v>20</v>
      </c>
      <c r="F1097" s="134" t="s">
        <v>3617</v>
      </c>
      <c r="G1097" s="63" t="str">
        <f>VLOOKUP(C1097, 'Class Def. - General Data'!$C$20:$C$1000,1,false)</f>
        <v>ZFG1_DISPOSMASK</v>
      </c>
      <c r="H1097" s="63" t="str">
        <f>IFERROR(__xludf.DUMMYFUNCTION("VLOOKUP(F1097, IMPORTRANGE(""https://docs.google.com/spreadsheets/d/1Lhp9OU0JdFf_VYSMzH5lBcEaU4o8teT1piV-SNzShjg/edit?gid=554141278#gid=554141278"", ""'Char Def. - Attributes'!C20:C2242""), 1,false)"),"UNIT_PER_TIER")</f>
        <v>UNIT_PER_TIER</v>
      </c>
      <c r="I1097" s="136"/>
    </row>
    <row r="1098" ht="15.75" customHeight="1">
      <c r="A1098" s="59"/>
      <c r="B1098" s="63">
        <f t="shared" si="1"/>
        <v>15</v>
      </c>
      <c r="C1098" s="134" t="s">
        <v>111</v>
      </c>
      <c r="D1098" s="134" t="s">
        <v>74</v>
      </c>
      <c r="E1098" s="135">
        <f t="shared" si="21"/>
        <v>21</v>
      </c>
      <c r="F1098" s="134" t="s">
        <v>3618</v>
      </c>
      <c r="G1098" s="63" t="str">
        <f>VLOOKUP(C1098, 'Class Def. - General Data'!$C$20:$C$1000,1,false)</f>
        <v>ZFG1_DISPOSMASK</v>
      </c>
      <c r="H1098" s="63" t="str">
        <f>IFERROR(__xludf.DUMMYFUNCTION("VLOOKUP(F1098, IMPORTRANGE(""https://docs.google.com/spreadsheets/d/1Lhp9OU0JdFf_VYSMzH5lBcEaU4o8teT1piV-SNzShjg/edit?gid=554141278#gid=554141278"", ""'Char Def. - Attributes'!C20:C2242""), 1,false)"),"HEIGHT")</f>
        <v>HEIGHT</v>
      </c>
      <c r="I1098" s="136"/>
    </row>
    <row r="1099" ht="15.75" customHeight="1">
      <c r="A1099" s="59"/>
      <c r="B1099" s="63">
        <f t="shared" si="1"/>
        <v>15</v>
      </c>
      <c r="C1099" s="134" t="s">
        <v>111</v>
      </c>
      <c r="D1099" s="134" t="s">
        <v>74</v>
      </c>
      <c r="E1099" s="135">
        <f t="shared" si="21"/>
        <v>22</v>
      </c>
      <c r="F1099" s="134" t="s">
        <v>3587</v>
      </c>
      <c r="G1099" s="63" t="str">
        <f>VLOOKUP(C1099, 'Class Def. - General Data'!$C$20:$C$1000,1,false)</f>
        <v>ZFG1_DISPOSMASK</v>
      </c>
      <c r="H1099" s="63" t="str">
        <f>IFERROR(__xludf.DUMMYFUNCTION("VLOOKUP(F1099, IMPORTRANGE(""https://docs.google.com/spreadsheets/d/1Lhp9OU0JdFf_VYSMzH5lBcEaU4o8teT1piV-SNzShjg/edit?gid=554141278#gid=554141278"", ""'Char Def. - Attributes'!C20:C2242""), 1,false)"),"PLANT_BUY")</f>
        <v>PLANT_BUY</v>
      </c>
      <c r="I1099" s="136"/>
    </row>
    <row r="1100" ht="15.75" customHeight="1">
      <c r="A1100" s="59"/>
      <c r="B1100" s="63">
        <f t="shared" si="1"/>
        <v>15</v>
      </c>
      <c r="C1100" s="134" t="s">
        <v>111</v>
      </c>
      <c r="D1100" s="134" t="s">
        <v>74</v>
      </c>
      <c r="E1100" s="135">
        <f t="shared" si="21"/>
        <v>23</v>
      </c>
      <c r="F1100" s="134" t="s">
        <v>3619</v>
      </c>
      <c r="G1100" s="63" t="str">
        <f>VLOOKUP(C1100, 'Class Def. - General Data'!$C$20:$C$1000,1,false)</f>
        <v>ZFG1_DISPOSMASK</v>
      </c>
      <c r="H1100" s="63" t="str">
        <f>IFERROR(__xludf.DUMMYFUNCTION("VLOOKUP(F1100, IMPORTRANGE(""https://docs.google.com/spreadsheets/d/1Lhp9OU0JdFf_VYSMzH5lBcEaU4o8teT1piV-SNzShjg/edit?gid=554141278#gid=554141278"", ""'Char Def. - Attributes'!C20:C2242""), 1,false)"),"LENGTH")</f>
        <v>LENGTH</v>
      </c>
      <c r="I1100" s="136"/>
    </row>
    <row r="1101" ht="15.75" customHeight="1">
      <c r="A1101" s="59"/>
      <c r="B1101" s="63">
        <f t="shared" si="1"/>
        <v>15</v>
      </c>
      <c r="C1101" s="134" t="s">
        <v>111</v>
      </c>
      <c r="D1101" s="134" t="s">
        <v>74</v>
      </c>
      <c r="E1101" s="135">
        <f t="shared" si="21"/>
        <v>24</v>
      </c>
      <c r="F1101" s="134" t="s">
        <v>3586</v>
      </c>
      <c r="G1101" s="63" t="str">
        <f>VLOOKUP(C1101, 'Class Def. - General Data'!$C$20:$C$1000,1,false)</f>
        <v>ZFG1_DISPOSMASK</v>
      </c>
      <c r="H1101" s="63" t="str">
        <f>IFERROR(__xludf.DUMMYFUNCTION("VLOOKUP(F1101, IMPORTRANGE(""https://docs.google.com/spreadsheets/d/1Lhp9OU0JdFf_VYSMzH5lBcEaU4o8teT1piV-SNzShjg/edit?gid=554141278#gid=554141278"", ""'Char Def. - Attributes'!C20:C2242""), 1,false)"),"PLANT_PROD")</f>
        <v>PLANT_PROD</v>
      </c>
      <c r="I1101" s="136"/>
    </row>
    <row r="1102" ht="15.75" customHeight="1">
      <c r="A1102" s="59"/>
      <c r="B1102" s="63">
        <f t="shared" si="1"/>
        <v>15</v>
      </c>
      <c r="C1102" s="134" t="s">
        <v>111</v>
      </c>
      <c r="D1102" s="134" t="s">
        <v>74</v>
      </c>
      <c r="E1102" s="135">
        <f t="shared" si="21"/>
        <v>25</v>
      </c>
      <c r="F1102" s="134" t="s">
        <v>3620</v>
      </c>
      <c r="G1102" s="63" t="str">
        <f>VLOOKUP(C1102, 'Class Def. - General Data'!$C$20:$C$1000,1,false)</f>
        <v>ZFG1_DISPOSMASK</v>
      </c>
      <c r="H1102" s="63" t="str">
        <f>IFERROR(__xludf.DUMMYFUNCTION("VLOOKUP(F1102, IMPORTRANGE(""https://docs.google.com/spreadsheets/d/1Lhp9OU0JdFf_VYSMzH5lBcEaU4o8teT1piV-SNzShjg/edit?gid=554141278#gid=554141278"", ""'Char Def. - Attributes'!C20:C2242""), 1,false)"),"WIDTH")</f>
        <v>WIDTH</v>
      </c>
      <c r="I1102" s="136"/>
    </row>
    <row r="1103" ht="15.75" customHeight="1">
      <c r="A1103" s="59"/>
      <c r="B1103" s="63">
        <f t="shared" si="1"/>
        <v>15</v>
      </c>
      <c r="C1103" s="134" t="s">
        <v>111</v>
      </c>
      <c r="D1103" s="134" t="s">
        <v>74</v>
      </c>
      <c r="E1103" s="135">
        <f t="shared" si="21"/>
        <v>26</v>
      </c>
      <c r="F1103" s="134" t="s">
        <v>3585</v>
      </c>
      <c r="G1103" s="63" t="str">
        <f>VLOOKUP(C1103, 'Class Def. - General Data'!$C$20:$C$1000,1,false)</f>
        <v>ZFG1_DISPOSMASK</v>
      </c>
      <c r="H1103" s="63" t="str">
        <f>IFERROR(__xludf.DUMMYFUNCTION("VLOOKUP(F1103, IMPORTRANGE(""https://docs.google.com/spreadsheets/d/1Lhp9OU0JdFf_VYSMzH5lBcEaU4o8teT1piV-SNzShjg/edit?gid=554141278#gid=554141278"", ""'Char Def. - Attributes'!C20:C2242""), 1,false)"),"HS_CODE")</f>
        <v>HS_CODE</v>
      </c>
      <c r="I1103" s="136"/>
    </row>
    <row r="1104" ht="15.75" customHeight="1">
      <c r="A1104" s="59"/>
      <c r="B1104" s="63">
        <f t="shared" si="1"/>
        <v>15</v>
      </c>
      <c r="C1104" s="134" t="s">
        <v>111</v>
      </c>
      <c r="D1104" s="134" t="s">
        <v>74</v>
      </c>
      <c r="E1104" s="135">
        <f t="shared" si="21"/>
        <v>27</v>
      </c>
      <c r="F1104" s="134" t="s">
        <v>3621</v>
      </c>
      <c r="G1104" s="63" t="str">
        <f>VLOOKUP(C1104, 'Class Def. - General Data'!$C$20:$C$1000,1,false)</f>
        <v>ZFG1_DISPOSMASK</v>
      </c>
      <c r="H1104" s="63" t="str">
        <f>IFERROR(__xludf.DUMMYFUNCTION("VLOOKUP(F1104, IMPORTRANGE(""https://docs.google.com/spreadsheets/d/1Lhp9OU0JdFf_VYSMzH5lBcEaU4o8teT1piV-SNzShjg/edit?gid=554141278#gid=554141278"", ""'Char Def. - Attributes'!C20:C2242""), 1,false)"),"EAN_PCS")</f>
        <v>EAN_PCS</v>
      </c>
      <c r="I1104" s="136"/>
    </row>
    <row r="1105" ht="15.75" customHeight="1">
      <c r="A1105" s="59"/>
      <c r="B1105" s="63">
        <f t="shared" si="1"/>
        <v>15</v>
      </c>
      <c r="C1105" s="134" t="s">
        <v>111</v>
      </c>
      <c r="D1105" s="134" t="s">
        <v>74</v>
      </c>
      <c r="E1105" s="135">
        <f t="shared" si="21"/>
        <v>28</v>
      </c>
      <c r="F1105" s="134" t="s">
        <v>3622</v>
      </c>
      <c r="G1105" s="63" t="str">
        <f>VLOOKUP(C1105, 'Class Def. - General Data'!$C$20:$C$1000,1,false)</f>
        <v>ZFG1_DISPOSMASK</v>
      </c>
      <c r="H1105" s="63" t="str">
        <f>IFERROR(__xludf.DUMMYFUNCTION("VLOOKUP(F1105, IMPORTRANGE(""https://docs.google.com/spreadsheets/d/1Lhp9OU0JdFf_VYSMzH5lBcEaU4o8teT1piV-SNzShjg/edit?gid=554141278#gid=554141278"", ""'Char Def. - Attributes'!C20:C2242""), 1,false)"),"SFG_BRAND")</f>
        <v>SFG_BRAND</v>
      </c>
      <c r="I1105" s="136"/>
    </row>
    <row r="1106" ht="15.75" customHeight="1">
      <c r="A1106" s="59"/>
      <c r="B1106" s="63">
        <f t="shared" si="1"/>
        <v>15</v>
      </c>
      <c r="C1106" s="134" t="s">
        <v>111</v>
      </c>
      <c r="D1106" s="134" t="s">
        <v>74</v>
      </c>
      <c r="E1106" s="135">
        <f t="shared" si="21"/>
        <v>29</v>
      </c>
      <c r="F1106" s="134" t="s">
        <v>3623</v>
      </c>
      <c r="G1106" s="63" t="str">
        <f>VLOOKUP(C1106, 'Class Def. - General Data'!$C$20:$C$1000,1,false)</f>
        <v>ZFG1_DISPOSMASK</v>
      </c>
      <c r="H1106" s="63" t="str">
        <f>IFERROR(__xludf.DUMMYFUNCTION("VLOOKUP(F1106, IMPORTRANGE(""https://docs.google.com/spreadsheets/d/1Lhp9OU0JdFf_VYSMzH5lBcEaU4o8teT1piV-SNzShjg/edit?gid=554141278#gid=554141278"", ""'Char Def. - Attributes'!C20:C2242""), 1,false)"),"LANGUAGE")</f>
        <v>LANGUAGE</v>
      </c>
      <c r="I1106" s="136"/>
    </row>
    <row r="1107" ht="15.75" customHeight="1">
      <c r="A1107" s="59"/>
      <c r="B1107" s="63">
        <f t="shared" si="1"/>
        <v>15</v>
      </c>
      <c r="C1107" s="139" t="s">
        <v>111</v>
      </c>
      <c r="D1107" s="139" t="s">
        <v>74</v>
      </c>
      <c r="E1107" s="140">
        <f t="shared" si="21"/>
        <v>30</v>
      </c>
      <c r="F1107" s="134" t="s">
        <v>3624</v>
      </c>
      <c r="G1107" s="63" t="str">
        <f>VLOOKUP(C1107, 'Class Def. - General Data'!$C$20:$C$1000,1,false)</f>
        <v>ZFG1_DISPOSMASK</v>
      </c>
      <c r="H1107" s="63" t="str">
        <f>IFERROR(__xludf.DUMMYFUNCTION("VLOOKUP(F1107, IMPORTRANGE(""https://docs.google.com/spreadsheets/d/1Lhp9OU0JdFf_VYSMzH5lBcEaU4o8teT1piV-SNzShjg/edit?gid=554141278#gid=554141278"", ""'Char Def. - Attributes'!C20:C2242""), 1,false)"),"#N/A")</f>
        <v>#N/A</v>
      </c>
      <c r="I1107" s="136"/>
    </row>
    <row r="1108" ht="15.75" customHeight="1">
      <c r="A1108" s="59"/>
      <c r="B1108" s="63">
        <f t="shared" si="1"/>
        <v>15</v>
      </c>
      <c r="C1108" s="134" t="s">
        <v>111</v>
      </c>
      <c r="D1108" s="134" t="s">
        <v>74</v>
      </c>
      <c r="E1108" s="135">
        <f t="shared" si="21"/>
        <v>31</v>
      </c>
      <c r="F1108" s="134" t="s">
        <v>3625</v>
      </c>
      <c r="G1108" s="63" t="str">
        <f>VLOOKUP(C1108, 'Class Def. - General Data'!$C$20:$C$1000,1,false)</f>
        <v>ZFG1_DISPOSMASK</v>
      </c>
      <c r="H1108" s="63" t="str">
        <f>IFERROR(__xludf.DUMMYFUNCTION("VLOOKUP(F1108, IMPORTRANGE(""https://docs.google.com/spreadsheets/d/1Lhp9OU0JdFf_VYSMzH5lBcEaU4o8teT1piV-SNzShjg/edit?gid=554141278#gid=554141278"", ""'Char Def. - Attributes'!C20:C2242""), 1,false)"),"REGION_EKSPOR")</f>
        <v>REGION_EKSPOR</v>
      </c>
      <c r="I1108" s="136"/>
    </row>
    <row r="1109" ht="15.75" customHeight="1">
      <c r="A1109" s="59"/>
      <c r="B1109" s="63">
        <f t="shared" si="1"/>
        <v>15</v>
      </c>
      <c r="C1109" s="134" t="s">
        <v>111</v>
      </c>
      <c r="D1109" s="134" t="s">
        <v>74</v>
      </c>
      <c r="E1109" s="135">
        <f t="shared" si="21"/>
        <v>32</v>
      </c>
      <c r="F1109" s="134" t="s">
        <v>3626</v>
      </c>
      <c r="G1109" s="63" t="str">
        <f>VLOOKUP(C1109, 'Class Def. - General Data'!$C$20:$C$1000,1,false)</f>
        <v>ZFG1_DISPOSMASK</v>
      </c>
      <c r="H1109" s="63" t="str">
        <f>IFERROR(__xludf.DUMMYFUNCTION("VLOOKUP(F1109, IMPORTRANGE(""https://docs.google.com/spreadsheets/d/1Lhp9OU0JdFf_VYSMzH5lBcEaU4o8teT1piV-SNzShjg/edit?gid=554141278#gid=554141278"", ""'Char Def. - Attributes'!C20:C2242""), 1,false)"),"STICKER_NOT")</f>
        <v>STICKER_NOT</v>
      </c>
      <c r="I1109" s="136"/>
    </row>
    <row r="1110" ht="15.75" customHeight="1">
      <c r="A1110" s="59"/>
      <c r="B1110" s="63">
        <f t="shared" si="1"/>
        <v>15</v>
      </c>
      <c r="C1110" s="134" t="s">
        <v>111</v>
      </c>
      <c r="D1110" s="134" t="s">
        <v>74</v>
      </c>
      <c r="E1110" s="135">
        <f t="shared" si="21"/>
        <v>33</v>
      </c>
      <c r="F1110" s="134" t="s">
        <v>3627</v>
      </c>
      <c r="G1110" s="63" t="str">
        <f>VLOOKUP(C1110, 'Class Def. - General Data'!$C$20:$C$1000,1,false)</f>
        <v>ZFG1_DISPOSMASK</v>
      </c>
      <c r="H1110" s="63" t="str">
        <f>IFERROR(__xludf.DUMMYFUNCTION("VLOOKUP(F1110, IMPORTRANGE(""https://docs.google.com/spreadsheets/d/1Lhp9OU0JdFf_VYSMzH5lBcEaU4o8teT1piV-SNzShjg/edit?gid=554141278#gid=554141278"", ""'Char Def. - Attributes'!C20:C2242""), 1,false)"),"SHIP_MARK")</f>
        <v>SHIP_MARK</v>
      </c>
      <c r="I1110" s="136"/>
    </row>
    <row r="1111" ht="15.75" customHeight="1">
      <c r="A1111" s="59"/>
      <c r="B1111" s="63">
        <f t="shared" si="1"/>
        <v>15</v>
      </c>
      <c r="C1111" s="134" t="s">
        <v>111</v>
      </c>
      <c r="D1111" s="134" t="s">
        <v>74</v>
      </c>
      <c r="E1111" s="135">
        <f t="shared" si="21"/>
        <v>34</v>
      </c>
      <c r="F1111" s="134" t="s">
        <v>3628</v>
      </c>
      <c r="G1111" s="63" t="str">
        <f>VLOOKUP(C1111, 'Class Def. - General Data'!$C$20:$C$1000,1,false)</f>
        <v>ZFG1_DISPOSMASK</v>
      </c>
      <c r="H1111" s="63" t="str">
        <f>IFERROR(__xludf.DUMMYFUNCTION("VLOOKUP(F1111, IMPORTRANGE(""https://docs.google.com/spreadsheets/d/1Lhp9OU0JdFf_VYSMzH5lBcEaU4o8teT1piV-SNzShjg/edit?gid=554141278#gid=554141278"", ""'Char Def. - Attributes'!C20:C2242""), 1,false)"),"MID_CORE")</f>
        <v>MID_CORE</v>
      </c>
      <c r="I1111" s="136"/>
    </row>
    <row r="1112" ht="15.75" customHeight="1">
      <c r="A1112" s="59"/>
      <c r="B1112" s="63">
        <f t="shared" si="1"/>
        <v>15</v>
      </c>
      <c r="C1112" s="134" t="s">
        <v>111</v>
      </c>
      <c r="D1112" s="134" t="s">
        <v>74</v>
      </c>
      <c r="E1112" s="135">
        <f t="shared" si="21"/>
        <v>35</v>
      </c>
      <c r="F1112" s="134" t="s">
        <v>3629</v>
      </c>
      <c r="G1112" s="63" t="str">
        <f>VLOOKUP(C1112, 'Class Def. - General Data'!$C$20:$C$1000,1,false)</f>
        <v>ZFG1_DISPOSMASK</v>
      </c>
      <c r="H1112" s="63" t="str">
        <f>IFERROR(__xludf.DUMMYFUNCTION("VLOOKUP(F1112, IMPORTRANGE(""https://docs.google.com/spreadsheets/d/1Lhp9OU0JdFf_VYSMzH5lBcEaU4o8teT1piV-SNzShjg/edit?gid=554141278#gid=554141278"", ""'Char Def. - Attributes'!C20:C2242""), 1,false)"),"EAN_CTN")</f>
        <v>EAN_CTN</v>
      </c>
      <c r="I1112" s="136"/>
    </row>
    <row r="1113" ht="15.75" customHeight="1">
      <c r="A1113" s="59"/>
      <c r="B1113" s="63">
        <f t="shared" si="1"/>
        <v>15</v>
      </c>
      <c r="C1113" s="134" t="s">
        <v>111</v>
      </c>
      <c r="D1113" s="134" t="s">
        <v>74</v>
      </c>
      <c r="E1113" s="135">
        <f t="shared" si="21"/>
        <v>36</v>
      </c>
      <c r="F1113" s="134" t="s">
        <v>3630</v>
      </c>
      <c r="G1113" s="63" t="str">
        <f>VLOOKUP(C1113, 'Class Def. - General Data'!$C$20:$C$1000,1,false)</f>
        <v>ZFG1_DISPOSMASK</v>
      </c>
      <c r="H1113" s="63" t="str">
        <f>IFERROR(__xludf.DUMMYFUNCTION("VLOOKUP(F1113, IMPORTRANGE(""https://docs.google.com/spreadsheets/d/1Lhp9OU0JdFf_VYSMzH5lBcEaU4o8teT1piV-SNzShjg/edit?gid=554141278#gid=554141278"", ""'Char Def. - Attributes'!C20:C2242""), 1,false)"),"EAN_BOX")</f>
        <v>EAN_BOX</v>
      </c>
      <c r="I1113" s="136"/>
    </row>
    <row r="1114" ht="15.75" customHeight="1">
      <c r="A1114" s="59"/>
      <c r="B1114" s="63">
        <f t="shared" si="1"/>
        <v>15</v>
      </c>
      <c r="C1114" s="134" t="s">
        <v>111</v>
      </c>
      <c r="D1114" s="141" t="s">
        <v>74</v>
      </c>
      <c r="E1114" s="135">
        <v>22.0</v>
      </c>
      <c r="F1114" s="135" t="s">
        <v>3603</v>
      </c>
      <c r="G1114" s="63" t="str">
        <f>VLOOKUP(C1114, 'Class Def. - General Data'!$C$20:$C$1000,1,false)</f>
        <v>ZFG1_DISPOSMASK</v>
      </c>
      <c r="I1114" s="136"/>
    </row>
    <row r="1115" ht="15.75" customHeight="1">
      <c r="A1115" s="59"/>
      <c r="B1115" s="63">
        <f t="shared" si="1"/>
        <v>17</v>
      </c>
      <c r="C1115" s="134" t="s">
        <v>112</v>
      </c>
      <c r="D1115" s="134" t="s">
        <v>74</v>
      </c>
      <c r="E1115" s="135">
        <f t="shared" ref="E1115:E1150" si="22">COUNTIF($C$20:C1115,C1115)</f>
        <v>1</v>
      </c>
      <c r="F1115" s="134" t="s">
        <v>3680</v>
      </c>
      <c r="G1115" s="63" t="str">
        <f>VLOOKUP(C1115, 'Class Def. - General Data'!$C$20:$C$1000,1,false)</f>
        <v>ZFG1_ESSENTIALOIL</v>
      </c>
      <c r="H1115" s="63" t="str">
        <f>IFERROR(__xludf.DUMMYFUNCTION("VLOOKUP(F1115, IMPORTRANGE(""https://docs.google.com/spreadsheets/d/1Lhp9OU0JdFf_VYSMzH5lBcEaU4o8teT1piV-SNzShjg/edit?gid=554141278#gid=554141278"", ""'Char Def. - Attributes'!C20:C2242""), 1,false)"),"BRAND_ESSENTIALOIL")</f>
        <v>BRAND_ESSENTIALOIL</v>
      </c>
      <c r="I1115" s="136"/>
    </row>
    <row r="1116" ht="15.75" customHeight="1">
      <c r="A1116" s="59"/>
      <c r="B1116" s="63">
        <f t="shared" si="1"/>
        <v>17</v>
      </c>
      <c r="C1116" s="135" t="s">
        <v>112</v>
      </c>
      <c r="D1116" s="134" t="s">
        <v>74</v>
      </c>
      <c r="E1116" s="135">
        <f t="shared" si="22"/>
        <v>2</v>
      </c>
      <c r="F1116" s="134" t="s">
        <v>3681</v>
      </c>
      <c r="G1116" s="63" t="str">
        <f>VLOOKUP(C1116, 'Class Def. - General Data'!$C$20:$C$1000,1,false)</f>
        <v>ZFG1_ESSENTIALOIL</v>
      </c>
      <c r="H1116" s="63" t="str">
        <f>IFERROR(__xludf.DUMMYFUNCTION("VLOOKUP(F1116, IMPORTRANGE(""https://docs.google.com/spreadsheets/d/1Lhp9OU0JdFf_VYSMzH5lBcEaU4o8teT1piV-SNzShjg/edit?gid=554141278#gid=554141278"", ""'Char Def. - Attributes'!C20:C2242""), 1,false)"),"PSHAPE_ESSENTIALOIL")</f>
        <v>PSHAPE_ESSENTIALOIL</v>
      </c>
      <c r="I1116" s="136"/>
    </row>
    <row r="1117" ht="15.75" customHeight="1">
      <c r="A1117" s="59"/>
      <c r="B1117" s="63">
        <f t="shared" si="1"/>
        <v>17</v>
      </c>
      <c r="C1117" s="134" t="s">
        <v>112</v>
      </c>
      <c r="D1117" s="134" t="s">
        <v>74</v>
      </c>
      <c r="E1117" s="135">
        <f t="shared" si="22"/>
        <v>3</v>
      </c>
      <c r="F1117" s="134" t="s">
        <v>3605</v>
      </c>
      <c r="G1117" s="63" t="str">
        <f>VLOOKUP(C1117, 'Class Def. - General Data'!$C$20:$C$1000,1,false)</f>
        <v>ZFG1_ESSENTIALOIL</v>
      </c>
      <c r="H1117" s="63" t="str">
        <f>IFERROR(__xludf.DUMMYFUNCTION("VLOOKUP(F1117, IMPORTRANGE(""https://docs.google.com/spreadsheets/d/1Lhp9OU0JdFf_VYSMzH5lBcEaU4o8teT1piV-SNzShjg/edit?gid=554141278#gid=554141278"", ""'Char Def. - Attributes'!C20:C2242""), 1,false)"),"PACK_NETTO")</f>
        <v>PACK_NETTO</v>
      </c>
      <c r="I1117" s="136"/>
    </row>
    <row r="1118" ht="15.75" customHeight="1">
      <c r="A1118" s="59"/>
      <c r="B1118" s="63">
        <f t="shared" si="1"/>
        <v>17</v>
      </c>
      <c r="C1118" s="135" t="s">
        <v>112</v>
      </c>
      <c r="D1118" s="134" t="s">
        <v>74</v>
      </c>
      <c r="E1118" s="135">
        <f t="shared" si="22"/>
        <v>4</v>
      </c>
      <c r="F1118" s="134" t="s">
        <v>3682</v>
      </c>
      <c r="G1118" s="63" t="str">
        <f>VLOOKUP(C1118, 'Class Def. - General Data'!$C$20:$C$1000,1,false)</f>
        <v>ZFG1_ESSENTIALOIL</v>
      </c>
      <c r="H1118" s="63" t="str">
        <f>IFERROR(__xludf.DUMMYFUNCTION("VLOOKUP(F1118, IMPORTRANGE(""https://docs.google.com/spreadsheets/d/1Lhp9OU0JdFf_VYSMzH5lBcEaU4o8teT1piV-SNzShjg/edit?gid=554141278#gid=554141278"", ""'Char Def. - Attributes'!C20:C2242""), 1,false)"),"PUOM_ESSENTIALOIL")</f>
        <v>PUOM_ESSENTIALOIL</v>
      </c>
      <c r="I1118" s="136"/>
    </row>
    <row r="1119" ht="15.75" customHeight="1">
      <c r="A1119" s="59"/>
      <c r="B1119" s="63">
        <f t="shared" si="1"/>
        <v>17</v>
      </c>
      <c r="C1119" s="134" t="s">
        <v>112</v>
      </c>
      <c r="D1119" s="134" t="s">
        <v>74</v>
      </c>
      <c r="E1119" s="135">
        <f t="shared" si="22"/>
        <v>5</v>
      </c>
      <c r="F1119" s="134" t="s">
        <v>3607</v>
      </c>
      <c r="G1119" s="63" t="str">
        <f>VLOOKUP(C1119, 'Class Def. - General Data'!$C$20:$C$1000,1,false)</f>
        <v>ZFG1_ESSENTIALOIL</v>
      </c>
      <c r="H1119" s="63" t="str">
        <f>IFERROR(__xludf.DUMMYFUNCTION("VLOOKUP(F1119, IMPORTRANGE(""https://docs.google.com/spreadsheets/d/1Lhp9OU0JdFf_VYSMzH5lBcEaU4o8teT1piV-SNzShjg/edit?gid=554141278#gid=554141278"", ""'Char Def. - Attributes'!C20:C2242""), 1,false)"),"VARIAN")</f>
        <v>VARIAN</v>
      </c>
      <c r="I1119" s="136"/>
    </row>
    <row r="1120" ht="15.75" customHeight="1">
      <c r="A1120" s="59"/>
      <c r="B1120" s="63">
        <f t="shared" si="1"/>
        <v>17</v>
      </c>
      <c r="C1120" s="134" t="s">
        <v>112</v>
      </c>
      <c r="D1120" s="134" t="s">
        <v>74</v>
      </c>
      <c r="E1120" s="135">
        <f t="shared" si="22"/>
        <v>6</v>
      </c>
      <c r="F1120" s="134" t="s">
        <v>3608</v>
      </c>
      <c r="G1120" s="63" t="str">
        <f>VLOOKUP(C1120, 'Class Def. - General Data'!$C$20:$C$1000,1,false)</f>
        <v>ZFG1_ESSENTIALOIL</v>
      </c>
      <c r="H1120" s="63" t="str">
        <f>IFERROR(__xludf.DUMMYFUNCTION("VLOOKUP(F1120, IMPORTRANGE(""https://docs.google.com/spreadsheets/d/1Lhp9OU0JdFf_VYSMzH5lBcEaU4o8teT1piV-SNzShjg/edit?gid=554141278#gid=554141278"", ""'Char Def. - Attributes'!C20:C2242""), 1,false)"),"PROJECT_NAME")</f>
        <v>PROJECT_NAME</v>
      </c>
      <c r="I1120" s="136"/>
    </row>
    <row r="1121" ht="15.75" customHeight="1">
      <c r="A1121" s="59"/>
      <c r="B1121" s="63">
        <f t="shared" si="1"/>
        <v>17</v>
      </c>
      <c r="C1121" s="134" t="s">
        <v>112</v>
      </c>
      <c r="D1121" s="134" t="s">
        <v>74</v>
      </c>
      <c r="E1121" s="135">
        <f t="shared" si="22"/>
        <v>7</v>
      </c>
      <c r="F1121" s="134" t="s">
        <v>3609</v>
      </c>
      <c r="G1121" s="63" t="str">
        <f>VLOOKUP(C1121, 'Class Def. - General Data'!$C$20:$C$1000,1,false)</f>
        <v>ZFG1_ESSENTIALOIL</v>
      </c>
      <c r="H1121" s="63" t="str">
        <f>IFERROR(__xludf.DUMMYFUNCTION("VLOOKUP(F1121, IMPORTRANGE(""https://docs.google.com/spreadsheets/d/1Lhp9OU0JdFf_VYSMzH5lBcEaU4o8teT1piV-SNzShjg/edit?gid=554141278#gid=554141278"", ""'Char Def. - Attributes'!C20:C2242""), 1,false)"),"ADDITIONAL_PROMO")</f>
        <v>ADDITIONAL_PROMO</v>
      </c>
      <c r="I1121" s="136"/>
    </row>
    <row r="1122" ht="15.75" customHeight="1">
      <c r="A1122" s="59"/>
      <c r="B1122" s="63">
        <f t="shared" si="1"/>
        <v>17</v>
      </c>
      <c r="C1122" s="134" t="s">
        <v>112</v>
      </c>
      <c r="D1122" s="134" t="s">
        <v>74</v>
      </c>
      <c r="E1122" s="135">
        <f t="shared" si="22"/>
        <v>8</v>
      </c>
      <c r="F1122" s="134" t="s">
        <v>3610</v>
      </c>
      <c r="G1122" s="63" t="str">
        <f>VLOOKUP(C1122, 'Class Def. - General Data'!$C$20:$C$1000,1,false)</f>
        <v>ZFG1_ESSENTIALOIL</v>
      </c>
      <c r="H1122" s="63" t="str">
        <f>IFERROR(__xludf.DUMMYFUNCTION("VLOOKUP(F1122, IMPORTRANGE(""https://docs.google.com/spreadsheets/d/1Lhp9OU0JdFf_VYSMzH5lBcEaU4o8teT1piV-SNzShjg/edit?gid=554141278#gid=554141278"", ""'Char Def. - Attributes'!C20:C2242""), 1,false)"),"BANDED_PROMO")</f>
        <v>BANDED_PROMO</v>
      </c>
      <c r="I1122" s="136"/>
    </row>
    <row r="1123" ht="15.75" customHeight="1">
      <c r="A1123" s="59"/>
      <c r="B1123" s="63">
        <f t="shared" si="1"/>
        <v>17</v>
      </c>
      <c r="C1123" s="134" t="s">
        <v>112</v>
      </c>
      <c r="D1123" s="134" t="s">
        <v>74</v>
      </c>
      <c r="E1123" s="135">
        <f t="shared" si="22"/>
        <v>9</v>
      </c>
      <c r="F1123" s="134" t="s">
        <v>3611</v>
      </c>
      <c r="G1123" s="63" t="str">
        <f>VLOOKUP(C1123, 'Class Def. - General Data'!$C$20:$C$1000,1,false)</f>
        <v>ZFG1_ESSENTIALOIL</v>
      </c>
      <c r="H1123" s="63" t="str">
        <f>IFERROR(__xludf.DUMMYFUNCTION("VLOOKUP(F1123, IMPORTRANGE(""https://docs.google.com/spreadsheets/d/1Lhp9OU0JdFf_VYSMzH5lBcEaU4o8teT1piV-SNzShjg/edit?gid=554141278#gid=554141278"", ""'Char Def. - Attributes'!C20:C2242""), 1,false)"),"LOKAL_EKSPOR")</f>
        <v>LOKAL_EKSPOR</v>
      </c>
      <c r="I1123" s="136"/>
    </row>
    <row r="1124" ht="15.75" customHeight="1">
      <c r="A1124" s="59"/>
      <c r="B1124" s="63">
        <f t="shared" si="1"/>
        <v>17</v>
      </c>
      <c r="C1124" s="134" t="s">
        <v>112</v>
      </c>
      <c r="D1124" s="134" t="s">
        <v>74</v>
      </c>
      <c r="E1124" s="135">
        <f t="shared" si="22"/>
        <v>10</v>
      </c>
      <c r="F1124" s="134" t="s">
        <v>3612</v>
      </c>
      <c r="G1124" s="63" t="str">
        <f>VLOOKUP(C1124, 'Class Def. - General Data'!$C$20:$C$1000,1,false)</f>
        <v>ZFG1_ESSENTIALOIL</v>
      </c>
      <c r="H1124" s="63" t="str">
        <f>IFERROR(__xludf.DUMMYFUNCTION("VLOOKUP(F1124, IMPORTRANGE(""https://docs.google.com/spreadsheets/d/1Lhp9OU0JdFf_VYSMzH5lBcEaU4o8teT1piV-SNzShjg/edit?gid=554141278#gid=554141278"", ""'Char Def. - Attributes'!C20:C2242""), 1,false)"),"COUNTRY_EKSPOR")</f>
        <v>COUNTRY_EKSPOR</v>
      </c>
      <c r="I1124" s="136"/>
    </row>
    <row r="1125" ht="15.75" customHeight="1">
      <c r="A1125" s="59"/>
      <c r="B1125" s="63">
        <f t="shared" si="1"/>
        <v>17</v>
      </c>
      <c r="C1125" s="134" t="s">
        <v>112</v>
      </c>
      <c r="D1125" s="134" t="s">
        <v>74</v>
      </c>
      <c r="E1125" s="135">
        <f t="shared" si="22"/>
        <v>11</v>
      </c>
      <c r="F1125" s="134" t="s">
        <v>3613</v>
      </c>
      <c r="G1125" s="63" t="str">
        <f>VLOOKUP(C1125, 'Class Def. - General Data'!$C$20:$C$1000,1,false)</f>
        <v>ZFG1_ESSENTIALOIL</v>
      </c>
      <c r="H1125" s="63" t="str">
        <f>IFERROR(__xludf.DUMMYFUNCTION("VLOOKUP(F1125, IMPORTRANGE(""https://docs.google.com/spreadsheets/d/1Lhp9OU0JdFf_VYSMzH5lBcEaU4o8teT1piV-SNzShjg/edit?gid=554141278#gid=554141278"", ""'Char Def. - Attributes'!C20:C2242""), 1,false)"),"WARNA_SFG")</f>
        <v>WARNA_SFG</v>
      </c>
      <c r="I1125" s="136"/>
    </row>
    <row r="1126" ht="15.75" customHeight="1">
      <c r="A1126" s="59"/>
      <c r="B1126" s="63">
        <f t="shared" si="1"/>
        <v>17</v>
      </c>
      <c r="C1126" s="134" t="s">
        <v>112</v>
      </c>
      <c r="D1126" s="134" t="s">
        <v>74</v>
      </c>
      <c r="E1126" s="135">
        <f t="shared" si="22"/>
        <v>12</v>
      </c>
      <c r="F1126" s="134" t="s">
        <v>3582</v>
      </c>
      <c r="G1126" s="63" t="str">
        <f>VLOOKUP(C1126, 'Class Def. - General Data'!$C$20:$C$1000,1,false)</f>
        <v>ZFG1_ESSENTIALOIL</v>
      </c>
      <c r="H1126" s="63" t="str">
        <f>IFERROR(__xludf.DUMMYFUNCTION("VLOOKUP(F1126, IMPORTRANGE(""https://docs.google.com/spreadsheets/d/1Lhp9OU0JdFf_VYSMzH5lBcEaU4o8teT1piV-SNzShjg/edit?gid=554141278#gid=554141278"", ""'Char Def. - Attributes'!C20:C2242""), 1,false)"),"BASE_UNIT")</f>
        <v>BASE_UNIT</v>
      </c>
      <c r="I1126" s="136"/>
    </row>
    <row r="1127" ht="15.75" customHeight="1">
      <c r="A1127" s="59"/>
      <c r="B1127" s="63">
        <f t="shared" si="1"/>
        <v>17</v>
      </c>
      <c r="C1127" s="134" t="s">
        <v>112</v>
      </c>
      <c r="D1127" s="134" t="s">
        <v>74</v>
      </c>
      <c r="E1127" s="135">
        <f t="shared" si="22"/>
        <v>13</v>
      </c>
      <c r="F1127" s="134" t="s">
        <v>3583</v>
      </c>
      <c r="G1127" s="63" t="str">
        <f>VLOOKUP(C1127, 'Class Def. - General Data'!$C$20:$C$1000,1,false)</f>
        <v>ZFG1_ESSENTIALOIL</v>
      </c>
      <c r="H1127" s="63" t="str">
        <f>IFERROR(__xludf.DUMMYFUNCTION("VLOOKUP(F1127, IMPORTRANGE(""https://docs.google.com/spreadsheets/d/1Lhp9OU0JdFf_VYSMzH5lBcEaU4o8teT1piV-SNzShjg/edit?gid=554141278#gid=554141278"", ""'Char Def. - Attributes'!C20:C2242""), 1,false)"),"SALES_UNIT")</f>
        <v>SALES_UNIT</v>
      </c>
      <c r="I1127" s="136"/>
    </row>
    <row r="1128" ht="15.75" customHeight="1">
      <c r="A1128" s="59"/>
      <c r="B1128" s="63">
        <f t="shared" si="1"/>
        <v>17</v>
      </c>
      <c r="C1128" s="134" t="s">
        <v>112</v>
      </c>
      <c r="D1128" s="134" t="s">
        <v>74</v>
      </c>
      <c r="E1128" s="135">
        <f t="shared" si="22"/>
        <v>14</v>
      </c>
      <c r="F1128" s="134" t="s">
        <v>3601</v>
      </c>
      <c r="G1128" s="63" t="str">
        <f>VLOOKUP(C1128, 'Class Def. - General Data'!$C$20:$C$1000,1,false)</f>
        <v>ZFG1_ESSENTIALOIL</v>
      </c>
      <c r="H1128" s="63" t="str">
        <f>IFERROR(__xludf.DUMMYFUNCTION("VLOOKUP(F1128, IMPORTRANGE(""https://docs.google.com/spreadsheets/d/1Lhp9OU0JdFf_VYSMzH5lBcEaU4o8teT1piV-SNzShjg/edit?gid=554141278#gid=554141278"", ""'Char Def. - Attributes'!C20:C2242""), 1,false)"),"GROSS_WEIGHT")</f>
        <v>GROSS_WEIGHT</v>
      </c>
      <c r="I1128" s="136"/>
    </row>
    <row r="1129" ht="15.75" customHeight="1">
      <c r="A1129" s="59"/>
      <c r="B1129" s="63">
        <f t="shared" si="1"/>
        <v>17</v>
      </c>
      <c r="C1129" s="134" t="s">
        <v>112</v>
      </c>
      <c r="D1129" s="134" t="s">
        <v>74</v>
      </c>
      <c r="E1129" s="135">
        <f t="shared" si="22"/>
        <v>15</v>
      </c>
      <c r="F1129" s="134" t="s">
        <v>3602</v>
      </c>
      <c r="G1129" s="63" t="str">
        <f>VLOOKUP(C1129, 'Class Def. - General Data'!$C$20:$C$1000,1,false)</f>
        <v>ZFG1_ESSENTIALOIL</v>
      </c>
      <c r="H1129" s="63" t="str">
        <f>IFERROR(__xludf.DUMMYFUNCTION("VLOOKUP(F1129, IMPORTRANGE(""https://docs.google.com/spreadsheets/d/1Lhp9OU0JdFf_VYSMzH5lBcEaU4o8teT1piV-SNzShjg/edit?gid=554141278#gid=554141278"", ""'Char Def. - Attributes'!C20:C2242""), 1,false)"),"NET_WEIGHT")</f>
        <v>NET_WEIGHT</v>
      </c>
      <c r="I1129" s="136"/>
    </row>
    <row r="1130" ht="15.75" customHeight="1">
      <c r="A1130" s="59"/>
      <c r="B1130" s="63">
        <f t="shared" si="1"/>
        <v>17</v>
      </c>
      <c r="C1130" s="134" t="s">
        <v>112</v>
      </c>
      <c r="D1130" s="134" t="s">
        <v>74</v>
      </c>
      <c r="E1130" s="135">
        <f t="shared" si="22"/>
        <v>16</v>
      </c>
      <c r="F1130" s="134" t="s">
        <v>3584</v>
      </c>
      <c r="G1130" s="63" t="str">
        <f>VLOOKUP(C1130, 'Class Def. - General Data'!$C$20:$C$1000,1,false)</f>
        <v>ZFG1_ESSENTIALOIL</v>
      </c>
      <c r="H1130" s="63" t="str">
        <f>IFERROR(__xludf.DUMMYFUNCTION("VLOOKUP(F1130, IMPORTRANGE(""https://docs.google.com/spreadsheets/d/1Lhp9OU0JdFf_VYSMzH5lBcEaU4o8teT1piV-SNzShjg/edit?gid=554141278#gid=554141278"", ""'Char Def. - Attributes'!C20:C2242""), 1,false)"),"UNIT_PER_BOX")</f>
        <v>UNIT_PER_BOX</v>
      </c>
      <c r="I1130" s="136"/>
    </row>
    <row r="1131" ht="15.75" customHeight="1">
      <c r="A1131" s="59"/>
      <c r="B1131" s="63">
        <f t="shared" si="1"/>
        <v>17</v>
      </c>
      <c r="C1131" s="134" t="s">
        <v>112</v>
      </c>
      <c r="D1131" s="134" t="s">
        <v>74</v>
      </c>
      <c r="E1131" s="135">
        <f t="shared" si="22"/>
        <v>17</v>
      </c>
      <c r="F1131" s="134" t="s">
        <v>3614</v>
      </c>
      <c r="G1131" s="63" t="str">
        <f>VLOOKUP(C1131, 'Class Def. - General Data'!$C$20:$C$1000,1,false)</f>
        <v>ZFG1_ESSENTIALOIL</v>
      </c>
      <c r="H1131" s="63" t="str">
        <f>IFERROR(__xludf.DUMMYFUNCTION("VLOOKUP(F1131, IMPORTRANGE(""https://docs.google.com/spreadsheets/d/1Lhp9OU0JdFf_VYSMzH5lBcEaU4o8teT1piV-SNzShjg/edit?gid=554141278#gid=554141278"", ""'Char Def. - Attributes'!C20:C2242""), 1,false)"),"UNIT_PER_CTN")</f>
        <v>UNIT_PER_CTN</v>
      </c>
      <c r="I1131" s="136"/>
    </row>
    <row r="1132" ht="15.75" customHeight="1">
      <c r="A1132" s="59"/>
      <c r="B1132" s="63">
        <f t="shared" si="1"/>
        <v>17</v>
      </c>
      <c r="C1132" s="134" t="s">
        <v>112</v>
      </c>
      <c r="D1132" s="134" t="s">
        <v>74</v>
      </c>
      <c r="E1132" s="135">
        <f t="shared" si="22"/>
        <v>18</v>
      </c>
      <c r="F1132" s="134" t="s">
        <v>3615</v>
      </c>
      <c r="G1132" s="63" t="str">
        <f>VLOOKUP(C1132, 'Class Def. - General Data'!$C$20:$C$1000,1,false)</f>
        <v>ZFG1_ESSENTIALOIL</v>
      </c>
      <c r="H1132" s="63" t="str">
        <f>IFERROR(__xludf.DUMMYFUNCTION("VLOOKUP(F1132, IMPORTRANGE(""https://docs.google.com/spreadsheets/d/1Lhp9OU0JdFf_VYSMzH5lBcEaU4o8teT1piV-SNzShjg/edit?gid=554141278#gid=554141278"", ""'Char Def. - Attributes'!C20:C2242""), 1,false)"),"UNIT_PER_BAG")</f>
        <v>UNIT_PER_BAG</v>
      </c>
      <c r="I1132" s="136"/>
    </row>
    <row r="1133" ht="15.75" customHeight="1">
      <c r="A1133" s="59"/>
      <c r="B1133" s="63">
        <f t="shared" si="1"/>
        <v>17</v>
      </c>
      <c r="C1133" s="134" t="s">
        <v>112</v>
      </c>
      <c r="D1133" s="134" t="s">
        <v>74</v>
      </c>
      <c r="E1133" s="135">
        <f t="shared" si="22"/>
        <v>19</v>
      </c>
      <c r="F1133" s="134" t="s">
        <v>3616</v>
      </c>
      <c r="G1133" s="63" t="str">
        <f>VLOOKUP(C1133, 'Class Def. - General Data'!$C$20:$C$1000,1,false)</f>
        <v>ZFG1_ESSENTIALOIL</v>
      </c>
      <c r="H1133" s="63" t="str">
        <f>IFERROR(__xludf.DUMMYFUNCTION("VLOOKUP(F1133, IMPORTRANGE(""https://docs.google.com/spreadsheets/d/1Lhp9OU0JdFf_VYSMzH5lBcEaU4o8teT1piV-SNzShjg/edit?gid=554141278#gid=554141278"", ""'Char Def. - Attributes'!C20:C2242""), 1,false)"),"UNIT_PER_PAL")</f>
        <v>UNIT_PER_PAL</v>
      </c>
      <c r="I1133" s="136"/>
    </row>
    <row r="1134" ht="15.75" customHeight="1">
      <c r="A1134" s="59"/>
      <c r="B1134" s="63">
        <f t="shared" si="1"/>
        <v>17</v>
      </c>
      <c r="C1134" s="134" t="s">
        <v>112</v>
      </c>
      <c r="D1134" s="134" t="s">
        <v>74</v>
      </c>
      <c r="E1134" s="135">
        <f t="shared" si="22"/>
        <v>20</v>
      </c>
      <c r="F1134" s="134" t="s">
        <v>3617</v>
      </c>
      <c r="G1134" s="63" t="str">
        <f>VLOOKUP(C1134, 'Class Def. - General Data'!$C$20:$C$1000,1,false)</f>
        <v>ZFG1_ESSENTIALOIL</v>
      </c>
      <c r="H1134" s="63" t="str">
        <f>IFERROR(__xludf.DUMMYFUNCTION("VLOOKUP(F1134, IMPORTRANGE(""https://docs.google.com/spreadsheets/d/1Lhp9OU0JdFf_VYSMzH5lBcEaU4o8teT1piV-SNzShjg/edit?gid=554141278#gid=554141278"", ""'Char Def. - Attributes'!C20:C2242""), 1,false)"),"UNIT_PER_TIER")</f>
        <v>UNIT_PER_TIER</v>
      </c>
      <c r="I1134" s="136"/>
    </row>
    <row r="1135" ht="15.75" customHeight="1">
      <c r="A1135" s="59"/>
      <c r="B1135" s="63">
        <f t="shared" si="1"/>
        <v>17</v>
      </c>
      <c r="C1135" s="134" t="s">
        <v>112</v>
      </c>
      <c r="D1135" s="134" t="s">
        <v>74</v>
      </c>
      <c r="E1135" s="135">
        <f t="shared" si="22"/>
        <v>21</v>
      </c>
      <c r="F1135" s="134" t="s">
        <v>3618</v>
      </c>
      <c r="G1135" s="63" t="str">
        <f>VLOOKUP(C1135, 'Class Def. - General Data'!$C$20:$C$1000,1,false)</f>
        <v>ZFG1_ESSENTIALOIL</v>
      </c>
      <c r="H1135" s="63" t="str">
        <f>IFERROR(__xludf.DUMMYFUNCTION("VLOOKUP(F1135, IMPORTRANGE(""https://docs.google.com/spreadsheets/d/1Lhp9OU0JdFf_VYSMzH5lBcEaU4o8teT1piV-SNzShjg/edit?gid=554141278#gid=554141278"", ""'Char Def. - Attributes'!C20:C2242""), 1,false)"),"HEIGHT")</f>
        <v>HEIGHT</v>
      </c>
      <c r="I1135" s="136"/>
    </row>
    <row r="1136" ht="15.75" customHeight="1">
      <c r="A1136" s="59"/>
      <c r="B1136" s="63">
        <f t="shared" si="1"/>
        <v>17</v>
      </c>
      <c r="C1136" s="134" t="s">
        <v>112</v>
      </c>
      <c r="D1136" s="134" t="s">
        <v>74</v>
      </c>
      <c r="E1136" s="135">
        <f t="shared" si="22"/>
        <v>22</v>
      </c>
      <c r="F1136" s="134" t="s">
        <v>3587</v>
      </c>
      <c r="G1136" s="63" t="str">
        <f>VLOOKUP(C1136, 'Class Def. - General Data'!$C$20:$C$1000,1,false)</f>
        <v>ZFG1_ESSENTIALOIL</v>
      </c>
      <c r="H1136" s="63" t="str">
        <f>IFERROR(__xludf.DUMMYFUNCTION("VLOOKUP(F1136, IMPORTRANGE(""https://docs.google.com/spreadsheets/d/1Lhp9OU0JdFf_VYSMzH5lBcEaU4o8teT1piV-SNzShjg/edit?gid=554141278#gid=554141278"", ""'Char Def. - Attributes'!C20:C2242""), 1,false)"),"PLANT_BUY")</f>
        <v>PLANT_BUY</v>
      </c>
      <c r="I1136" s="136"/>
    </row>
    <row r="1137" ht="15.75" customHeight="1">
      <c r="A1137" s="59"/>
      <c r="B1137" s="63">
        <f t="shared" si="1"/>
        <v>17</v>
      </c>
      <c r="C1137" s="134" t="s">
        <v>112</v>
      </c>
      <c r="D1137" s="134" t="s">
        <v>74</v>
      </c>
      <c r="E1137" s="135">
        <f t="shared" si="22"/>
        <v>23</v>
      </c>
      <c r="F1137" s="134" t="s">
        <v>3619</v>
      </c>
      <c r="G1137" s="63" t="str">
        <f>VLOOKUP(C1137, 'Class Def. - General Data'!$C$20:$C$1000,1,false)</f>
        <v>ZFG1_ESSENTIALOIL</v>
      </c>
      <c r="H1137" s="63" t="str">
        <f>IFERROR(__xludf.DUMMYFUNCTION("VLOOKUP(F1137, IMPORTRANGE(""https://docs.google.com/spreadsheets/d/1Lhp9OU0JdFf_VYSMzH5lBcEaU4o8teT1piV-SNzShjg/edit?gid=554141278#gid=554141278"", ""'Char Def. - Attributes'!C20:C2242""), 1,false)"),"LENGTH")</f>
        <v>LENGTH</v>
      </c>
      <c r="I1137" s="136"/>
    </row>
    <row r="1138" ht="15.75" customHeight="1">
      <c r="A1138" s="59"/>
      <c r="B1138" s="63">
        <f t="shared" si="1"/>
        <v>17</v>
      </c>
      <c r="C1138" s="134" t="s">
        <v>112</v>
      </c>
      <c r="D1138" s="134" t="s">
        <v>74</v>
      </c>
      <c r="E1138" s="135">
        <f t="shared" si="22"/>
        <v>24</v>
      </c>
      <c r="F1138" s="134" t="s">
        <v>3586</v>
      </c>
      <c r="G1138" s="63" t="str">
        <f>VLOOKUP(C1138, 'Class Def. - General Data'!$C$20:$C$1000,1,false)</f>
        <v>ZFG1_ESSENTIALOIL</v>
      </c>
      <c r="H1138" s="63" t="str">
        <f>IFERROR(__xludf.DUMMYFUNCTION("VLOOKUP(F1138, IMPORTRANGE(""https://docs.google.com/spreadsheets/d/1Lhp9OU0JdFf_VYSMzH5lBcEaU4o8teT1piV-SNzShjg/edit?gid=554141278#gid=554141278"", ""'Char Def. - Attributes'!C20:C2242""), 1,false)"),"PLANT_PROD")</f>
        <v>PLANT_PROD</v>
      </c>
      <c r="I1138" s="136"/>
    </row>
    <row r="1139" ht="15.75" customHeight="1">
      <c r="A1139" s="59"/>
      <c r="B1139" s="63">
        <f t="shared" si="1"/>
        <v>17</v>
      </c>
      <c r="C1139" s="134" t="s">
        <v>112</v>
      </c>
      <c r="D1139" s="134" t="s">
        <v>74</v>
      </c>
      <c r="E1139" s="135">
        <f t="shared" si="22"/>
        <v>25</v>
      </c>
      <c r="F1139" s="134" t="s">
        <v>3620</v>
      </c>
      <c r="G1139" s="63" t="str">
        <f>VLOOKUP(C1139, 'Class Def. - General Data'!$C$20:$C$1000,1,false)</f>
        <v>ZFG1_ESSENTIALOIL</v>
      </c>
      <c r="H1139" s="63" t="str">
        <f>IFERROR(__xludf.DUMMYFUNCTION("VLOOKUP(F1139, IMPORTRANGE(""https://docs.google.com/spreadsheets/d/1Lhp9OU0JdFf_VYSMzH5lBcEaU4o8teT1piV-SNzShjg/edit?gid=554141278#gid=554141278"", ""'Char Def. - Attributes'!C20:C2242""), 1,false)"),"WIDTH")</f>
        <v>WIDTH</v>
      </c>
      <c r="I1139" s="136"/>
    </row>
    <row r="1140" ht="15.75" customHeight="1">
      <c r="A1140" s="59"/>
      <c r="B1140" s="63">
        <f t="shared" si="1"/>
        <v>17</v>
      </c>
      <c r="C1140" s="134" t="s">
        <v>112</v>
      </c>
      <c r="D1140" s="134" t="s">
        <v>74</v>
      </c>
      <c r="E1140" s="135">
        <f t="shared" si="22"/>
        <v>26</v>
      </c>
      <c r="F1140" s="134" t="s">
        <v>3585</v>
      </c>
      <c r="G1140" s="63" t="str">
        <f>VLOOKUP(C1140, 'Class Def. - General Data'!$C$20:$C$1000,1,false)</f>
        <v>ZFG1_ESSENTIALOIL</v>
      </c>
      <c r="H1140" s="63" t="str">
        <f>IFERROR(__xludf.DUMMYFUNCTION("VLOOKUP(F1140, IMPORTRANGE(""https://docs.google.com/spreadsheets/d/1Lhp9OU0JdFf_VYSMzH5lBcEaU4o8teT1piV-SNzShjg/edit?gid=554141278#gid=554141278"", ""'Char Def. - Attributes'!C20:C2242""), 1,false)"),"HS_CODE")</f>
        <v>HS_CODE</v>
      </c>
      <c r="I1140" s="136"/>
    </row>
    <row r="1141" ht="15.75" customHeight="1">
      <c r="A1141" s="59"/>
      <c r="B1141" s="63">
        <f t="shared" si="1"/>
        <v>17</v>
      </c>
      <c r="C1141" s="134" t="s">
        <v>112</v>
      </c>
      <c r="D1141" s="134" t="s">
        <v>74</v>
      </c>
      <c r="E1141" s="135">
        <f t="shared" si="22"/>
        <v>27</v>
      </c>
      <c r="F1141" s="134" t="s">
        <v>3621</v>
      </c>
      <c r="G1141" s="63" t="str">
        <f>VLOOKUP(C1141, 'Class Def. - General Data'!$C$20:$C$1000,1,false)</f>
        <v>ZFG1_ESSENTIALOIL</v>
      </c>
      <c r="H1141" s="63" t="str">
        <f>IFERROR(__xludf.DUMMYFUNCTION("VLOOKUP(F1141, IMPORTRANGE(""https://docs.google.com/spreadsheets/d/1Lhp9OU0JdFf_VYSMzH5lBcEaU4o8teT1piV-SNzShjg/edit?gid=554141278#gid=554141278"", ""'Char Def. - Attributes'!C20:C2242""), 1,false)"),"EAN_PCS")</f>
        <v>EAN_PCS</v>
      </c>
      <c r="I1141" s="136"/>
    </row>
    <row r="1142" ht="15.75" customHeight="1">
      <c r="A1142" s="59"/>
      <c r="B1142" s="63">
        <f t="shared" si="1"/>
        <v>17</v>
      </c>
      <c r="C1142" s="134" t="s">
        <v>112</v>
      </c>
      <c r="D1142" s="134" t="s">
        <v>74</v>
      </c>
      <c r="E1142" s="135">
        <f t="shared" si="22"/>
        <v>28</v>
      </c>
      <c r="F1142" s="134" t="s">
        <v>3622</v>
      </c>
      <c r="G1142" s="63" t="str">
        <f>VLOOKUP(C1142, 'Class Def. - General Data'!$C$20:$C$1000,1,false)</f>
        <v>ZFG1_ESSENTIALOIL</v>
      </c>
      <c r="H1142" s="63" t="str">
        <f>IFERROR(__xludf.DUMMYFUNCTION("VLOOKUP(F1142, IMPORTRANGE(""https://docs.google.com/spreadsheets/d/1Lhp9OU0JdFf_VYSMzH5lBcEaU4o8teT1piV-SNzShjg/edit?gid=554141278#gid=554141278"", ""'Char Def. - Attributes'!C20:C2242""), 1,false)"),"SFG_BRAND")</f>
        <v>SFG_BRAND</v>
      </c>
      <c r="I1142" s="136"/>
    </row>
    <row r="1143" ht="15.75" customHeight="1">
      <c r="A1143" s="59"/>
      <c r="B1143" s="63">
        <f t="shared" si="1"/>
        <v>17</v>
      </c>
      <c r="C1143" s="134" t="s">
        <v>112</v>
      </c>
      <c r="D1143" s="134" t="s">
        <v>74</v>
      </c>
      <c r="E1143" s="135">
        <f t="shared" si="22"/>
        <v>29</v>
      </c>
      <c r="F1143" s="134" t="s">
        <v>3623</v>
      </c>
      <c r="G1143" s="63" t="str">
        <f>VLOOKUP(C1143, 'Class Def. - General Data'!$C$20:$C$1000,1,false)</f>
        <v>ZFG1_ESSENTIALOIL</v>
      </c>
      <c r="H1143" s="63" t="str">
        <f>IFERROR(__xludf.DUMMYFUNCTION("VLOOKUP(F1143, IMPORTRANGE(""https://docs.google.com/spreadsheets/d/1Lhp9OU0JdFf_VYSMzH5lBcEaU4o8teT1piV-SNzShjg/edit?gid=554141278#gid=554141278"", ""'Char Def. - Attributes'!C20:C2242""), 1,false)"),"LANGUAGE")</f>
        <v>LANGUAGE</v>
      </c>
      <c r="I1143" s="136"/>
    </row>
    <row r="1144" ht="15.75" customHeight="1">
      <c r="A1144" s="59"/>
      <c r="B1144" s="63">
        <f t="shared" si="1"/>
        <v>17</v>
      </c>
      <c r="C1144" s="139" t="s">
        <v>112</v>
      </c>
      <c r="D1144" s="139" t="s">
        <v>74</v>
      </c>
      <c r="E1144" s="140">
        <f t="shared" si="22"/>
        <v>30</v>
      </c>
      <c r="F1144" s="134" t="s">
        <v>3624</v>
      </c>
      <c r="G1144" s="63" t="str">
        <f>VLOOKUP(C1144, 'Class Def. - General Data'!$C$20:$C$1000,1,false)</f>
        <v>ZFG1_ESSENTIALOIL</v>
      </c>
      <c r="H1144" s="63" t="str">
        <f>IFERROR(__xludf.DUMMYFUNCTION("VLOOKUP(F1144, IMPORTRANGE(""https://docs.google.com/spreadsheets/d/1Lhp9OU0JdFf_VYSMzH5lBcEaU4o8teT1piV-SNzShjg/edit?gid=554141278#gid=554141278"", ""'Char Def. - Attributes'!C20:C2242""), 1,false)"),"#N/A")</f>
        <v>#N/A</v>
      </c>
      <c r="I1144" s="136"/>
    </row>
    <row r="1145" ht="15.75" customHeight="1">
      <c r="A1145" s="59"/>
      <c r="B1145" s="63">
        <f t="shared" si="1"/>
        <v>17</v>
      </c>
      <c r="C1145" s="134" t="s">
        <v>112</v>
      </c>
      <c r="D1145" s="134" t="s">
        <v>74</v>
      </c>
      <c r="E1145" s="135">
        <f t="shared" si="22"/>
        <v>31</v>
      </c>
      <c r="F1145" s="134" t="s">
        <v>3625</v>
      </c>
      <c r="G1145" s="63" t="str">
        <f>VLOOKUP(C1145, 'Class Def. - General Data'!$C$20:$C$1000,1,false)</f>
        <v>ZFG1_ESSENTIALOIL</v>
      </c>
      <c r="H1145" s="63" t="str">
        <f>IFERROR(__xludf.DUMMYFUNCTION("VLOOKUP(F1145, IMPORTRANGE(""https://docs.google.com/spreadsheets/d/1Lhp9OU0JdFf_VYSMzH5lBcEaU4o8teT1piV-SNzShjg/edit?gid=554141278#gid=554141278"", ""'Char Def. - Attributes'!C20:C2242""), 1,false)"),"REGION_EKSPOR")</f>
        <v>REGION_EKSPOR</v>
      </c>
      <c r="I1145" s="136"/>
    </row>
    <row r="1146" ht="15.75" customHeight="1">
      <c r="A1146" s="59"/>
      <c r="B1146" s="63">
        <f t="shared" si="1"/>
        <v>17</v>
      </c>
      <c r="C1146" s="134" t="s">
        <v>112</v>
      </c>
      <c r="D1146" s="134" t="s">
        <v>74</v>
      </c>
      <c r="E1146" s="135">
        <f t="shared" si="22"/>
        <v>32</v>
      </c>
      <c r="F1146" s="134" t="s">
        <v>3626</v>
      </c>
      <c r="G1146" s="63" t="str">
        <f>VLOOKUP(C1146, 'Class Def. - General Data'!$C$20:$C$1000,1,false)</f>
        <v>ZFG1_ESSENTIALOIL</v>
      </c>
      <c r="H1146" s="63" t="str">
        <f>IFERROR(__xludf.DUMMYFUNCTION("VLOOKUP(F1146, IMPORTRANGE(""https://docs.google.com/spreadsheets/d/1Lhp9OU0JdFf_VYSMzH5lBcEaU4o8teT1piV-SNzShjg/edit?gid=554141278#gid=554141278"", ""'Char Def. - Attributes'!C20:C2242""), 1,false)"),"STICKER_NOT")</f>
        <v>STICKER_NOT</v>
      </c>
      <c r="I1146" s="136"/>
    </row>
    <row r="1147" ht="15.75" customHeight="1">
      <c r="A1147" s="59"/>
      <c r="B1147" s="63">
        <f t="shared" si="1"/>
        <v>17</v>
      </c>
      <c r="C1147" s="134" t="s">
        <v>112</v>
      </c>
      <c r="D1147" s="134" t="s">
        <v>74</v>
      </c>
      <c r="E1147" s="135">
        <f t="shared" si="22"/>
        <v>33</v>
      </c>
      <c r="F1147" s="134" t="s">
        <v>3627</v>
      </c>
      <c r="G1147" s="63" t="str">
        <f>VLOOKUP(C1147, 'Class Def. - General Data'!$C$20:$C$1000,1,false)</f>
        <v>ZFG1_ESSENTIALOIL</v>
      </c>
      <c r="H1147" s="63" t="str">
        <f>IFERROR(__xludf.DUMMYFUNCTION("VLOOKUP(F1147, IMPORTRANGE(""https://docs.google.com/spreadsheets/d/1Lhp9OU0JdFf_VYSMzH5lBcEaU4o8teT1piV-SNzShjg/edit?gid=554141278#gid=554141278"", ""'Char Def. - Attributes'!C20:C2242""), 1,false)"),"SHIP_MARK")</f>
        <v>SHIP_MARK</v>
      </c>
      <c r="I1147" s="136"/>
    </row>
    <row r="1148" ht="15.75" customHeight="1">
      <c r="A1148" s="59"/>
      <c r="B1148" s="63">
        <f t="shared" si="1"/>
        <v>17</v>
      </c>
      <c r="C1148" s="134" t="s">
        <v>112</v>
      </c>
      <c r="D1148" s="134" t="s">
        <v>74</v>
      </c>
      <c r="E1148" s="135">
        <f t="shared" si="22"/>
        <v>34</v>
      </c>
      <c r="F1148" s="134" t="s">
        <v>3628</v>
      </c>
      <c r="G1148" s="63" t="str">
        <f>VLOOKUP(C1148, 'Class Def. - General Data'!$C$20:$C$1000,1,false)</f>
        <v>ZFG1_ESSENTIALOIL</v>
      </c>
      <c r="H1148" s="63" t="str">
        <f>IFERROR(__xludf.DUMMYFUNCTION("VLOOKUP(F1148, IMPORTRANGE(""https://docs.google.com/spreadsheets/d/1Lhp9OU0JdFf_VYSMzH5lBcEaU4o8teT1piV-SNzShjg/edit?gid=554141278#gid=554141278"", ""'Char Def. - Attributes'!C20:C2242""), 1,false)"),"MID_CORE")</f>
        <v>MID_CORE</v>
      </c>
      <c r="I1148" s="136"/>
    </row>
    <row r="1149" ht="15.75" customHeight="1">
      <c r="A1149" s="59"/>
      <c r="B1149" s="63">
        <f t="shared" si="1"/>
        <v>17</v>
      </c>
      <c r="C1149" s="134" t="s">
        <v>112</v>
      </c>
      <c r="D1149" s="134" t="s">
        <v>74</v>
      </c>
      <c r="E1149" s="135">
        <f t="shared" si="22"/>
        <v>35</v>
      </c>
      <c r="F1149" s="134" t="s">
        <v>3629</v>
      </c>
      <c r="G1149" s="63" t="str">
        <f>VLOOKUP(C1149, 'Class Def. - General Data'!$C$20:$C$1000,1,false)</f>
        <v>ZFG1_ESSENTIALOIL</v>
      </c>
      <c r="H1149" s="63" t="str">
        <f>IFERROR(__xludf.DUMMYFUNCTION("VLOOKUP(F1149, IMPORTRANGE(""https://docs.google.com/spreadsheets/d/1Lhp9OU0JdFf_VYSMzH5lBcEaU4o8teT1piV-SNzShjg/edit?gid=554141278#gid=554141278"", ""'Char Def. - Attributes'!C20:C2242""), 1,false)"),"EAN_CTN")</f>
        <v>EAN_CTN</v>
      </c>
      <c r="I1149" s="136"/>
    </row>
    <row r="1150" ht="15.75" customHeight="1">
      <c r="A1150" s="59"/>
      <c r="B1150" s="63">
        <f t="shared" si="1"/>
        <v>17</v>
      </c>
      <c r="C1150" s="134" t="s">
        <v>112</v>
      </c>
      <c r="D1150" s="134" t="s">
        <v>74</v>
      </c>
      <c r="E1150" s="135">
        <f t="shared" si="22"/>
        <v>36</v>
      </c>
      <c r="F1150" s="134" t="s">
        <v>3630</v>
      </c>
      <c r="G1150" s="63" t="str">
        <f>VLOOKUP(C1150, 'Class Def. - General Data'!$C$20:$C$1000,1,false)</f>
        <v>ZFG1_ESSENTIALOIL</v>
      </c>
      <c r="H1150" s="63" t="str">
        <f>IFERROR(__xludf.DUMMYFUNCTION("VLOOKUP(F1150, IMPORTRANGE(""https://docs.google.com/spreadsheets/d/1Lhp9OU0JdFf_VYSMzH5lBcEaU4o8teT1piV-SNzShjg/edit?gid=554141278#gid=554141278"", ""'Char Def. - Attributes'!C20:C2242""), 1,false)"),"EAN_BOX")</f>
        <v>EAN_BOX</v>
      </c>
      <c r="I1150" s="136"/>
    </row>
    <row r="1151" ht="15.75" customHeight="1">
      <c r="A1151" s="59"/>
      <c r="B1151" s="63">
        <f t="shared" si="1"/>
        <v>17</v>
      </c>
      <c r="C1151" s="134" t="s">
        <v>112</v>
      </c>
      <c r="D1151" s="141" t="s">
        <v>74</v>
      </c>
      <c r="E1151" s="135">
        <v>22.0</v>
      </c>
      <c r="F1151" s="135" t="s">
        <v>3603</v>
      </c>
      <c r="G1151" s="63" t="str">
        <f>VLOOKUP(C1151, 'Class Def. - General Data'!$C$20:$C$1000,1,false)</f>
        <v>ZFG1_ESSENTIALOIL</v>
      </c>
      <c r="I1151" s="136"/>
    </row>
    <row r="1152" ht="15.75" customHeight="1">
      <c r="A1152" s="59"/>
      <c r="B1152" s="63">
        <f t="shared" si="1"/>
        <v>15</v>
      </c>
      <c r="C1152" s="134" t="s">
        <v>113</v>
      </c>
      <c r="D1152" s="134" t="s">
        <v>74</v>
      </c>
      <c r="E1152" s="135">
        <f t="shared" ref="E1152:E1187" si="23">COUNTIF($C$20:C1152,C1152)</f>
        <v>1</v>
      </c>
      <c r="F1152" s="134" t="str">
        <f>"BRAND_"&amp;MID(C1152,6,20)</f>
        <v>BRAND_EYESMAKEUP</v>
      </c>
      <c r="G1152" s="63" t="str">
        <f>VLOOKUP(C1152, 'Class Def. - General Data'!$C$20:$C$1000,1,false)</f>
        <v>ZFG1_EYESMAKEUP</v>
      </c>
      <c r="H1152" s="63" t="str">
        <f>IFERROR(__xludf.DUMMYFUNCTION("VLOOKUP(F1152, IMPORTRANGE(""https://docs.google.com/spreadsheets/d/1Lhp9OU0JdFf_VYSMzH5lBcEaU4o8teT1piV-SNzShjg/edit?gid=554141278#gid=554141278"", ""'Char Def. - Attributes'!C20:C2242""), 1,false)"),"BRAND_EYESMAKEUP")</f>
        <v>BRAND_EYESMAKEUP</v>
      </c>
      <c r="I1152" s="136"/>
    </row>
    <row r="1153" ht="15.75" customHeight="1">
      <c r="A1153" s="59"/>
      <c r="B1153" s="63">
        <f t="shared" si="1"/>
        <v>15</v>
      </c>
      <c r="C1153" s="134" t="s">
        <v>113</v>
      </c>
      <c r="D1153" s="134" t="s">
        <v>74</v>
      </c>
      <c r="E1153" s="135">
        <f t="shared" si="23"/>
        <v>2</v>
      </c>
      <c r="F1153" s="134" t="str">
        <f>"PSHAPE_"&amp;MID(C1153,6,20)</f>
        <v>PSHAPE_EYESMAKEUP</v>
      </c>
      <c r="G1153" s="63" t="str">
        <f>VLOOKUP(C1153, 'Class Def. - General Data'!$C$20:$C$1000,1,false)</f>
        <v>ZFG1_EYESMAKEUP</v>
      </c>
      <c r="H1153" s="63" t="str">
        <f>IFERROR(__xludf.DUMMYFUNCTION("VLOOKUP(F1153, IMPORTRANGE(""https://docs.google.com/spreadsheets/d/1Lhp9OU0JdFf_VYSMzH5lBcEaU4o8teT1piV-SNzShjg/edit?gid=554141278#gid=554141278"", ""'Char Def. - Attributes'!C20:C2242""), 1,false)"),"PSHAPE_EYESMAKEUP")</f>
        <v>PSHAPE_EYESMAKEUP</v>
      </c>
      <c r="I1153" s="136"/>
    </row>
    <row r="1154" ht="15.75" customHeight="1">
      <c r="A1154" s="59"/>
      <c r="B1154" s="63">
        <f t="shared" si="1"/>
        <v>15</v>
      </c>
      <c r="C1154" s="134" t="s">
        <v>113</v>
      </c>
      <c r="D1154" s="134" t="s">
        <v>74</v>
      </c>
      <c r="E1154" s="135">
        <f t="shared" si="23"/>
        <v>3</v>
      </c>
      <c r="F1154" s="134" t="s">
        <v>3605</v>
      </c>
      <c r="G1154" s="63" t="str">
        <f>VLOOKUP(C1154, 'Class Def. - General Data'!$C$20:$C$1000,1,false)</f>
        <v>ZFG1_EYESMAKEUP</v>
      </c>
      <c r="H1154" s="63" t="str">
        <f>IFERROR(__xludf.DUMMYFUNCTION("VLOOKUP(F1154, IMPORTRANGE(""https://docs.google.com/spreadsheets/d/1Lhp9OU0JdFf_VYSMzH5lBcEaU4o8teT1piV-SNzShjg/edit?gid=554141278#gid=554141278"", ""'Char Def. - Attributes'!C20:C2242""), 1,false)"),"PACK_NETTO")</f>
        <v>PACK_NETTO</v>
      </c>
      <c r="I1154" s="136"/>
    </row>
    <row r="1155" ht="15.75" customHeight="1">
      <c r="A1155" s="59"/>
      <c r="B1155" s="63">
        <f t="shared" si="1"/>
        <v>15</v>
      </c>
      <c r="C1155" s="134" t="s">
        <v>113</v>
      </c>
      <c r="D1155" s="134" t="s">
        <v>74</v>
      </c>
      <c r="E1155" s="135">
        <f t="shared" si="23"/>
        <v>4</v>
      </c>
      <c r="F1155" s="134" t="str">
        <f>"PUOM_"&amp;MID(C1155,6,20)</f>
        <v>PUOM_EYESMAKEUP</v>
      </c>
      <c r="G1155" s="63" t="str">
        <f>VLOOKUP(C1155, 'Class Def. - General Data'!$C$20:$C$1000,1,false)</f>
        <v>ZFG1_EYESMAKEUP</v>
      </c>
      <c r="H1155" s="63" t="str">
        <f>IFERROR(__xludf.DUMMYFUNCTION("VLOOKUP(F1155, IMPORTRANGE(""https://docs.google.com/spreadsheets/d/1Lhp9OU0JdFf_VYSMzH5lBcEaU4o8teT1piV-SNzShjg/edit?gid=554141278#gid=554141278"", ""'Char Def. - Attributes'!C20:C2242""), 1,false)"),"PUOM_EYESMAKEUP")</f>
        <v>PUOM_EYESMAKEUP</v>
      </c>
      <c r="I1155" s="136"/>
    </row>
    <row r="1156" ht="15.75" customHeight="1">
      <c r="A1156" s="59"/>
      <c r="B1156" s="63">
        <f t="shared" si="1"/>
        <v>15</v>
      </c>
      <c r="C1156" s="134" t="s">
        <v>113</v>
      </c>
      <c r="D1156" s="134" t="s">
        <v>74</v>
      </c>
      <c r="E1156" s="135">
        <f t="shared" si="23"/>
        <v>5</v>
      </c>
      <c r="F1156" s="134" t="s">
        <v>3607</v>
      </c>
      <c r="G1156" s="63" t="str">
        <f>VLOOKUP(C1156, 'Class Def. - General Data'!$C$20:$C$1000,1,false)</f>
        <v>ZFG1_EYESMAKEUP</v>
      </c>
      <c r="H1156" s="63" t="str">
        <f>IFERROR(__xludf.DUMMYFUNCTION("VLOOKUP(F1156, IMPORTRANGE(""https://docs.google.com/spreadsheets/d/1Lhp9OU0JdFf_VYSMzH5lBcEaU4o8teT1piV-SNzShjg/edit?gid=554141278#gid=554141278"", ""'Char Def. - Attributes'!C20:C2242""), 1,false)"),"VARIAN")</f>
        <v>VARIAN</v>
      </c>
      <c r="I1156" s="136"/>
    </row>
    <row r="1157" ht="15.75" customHeight="1">
      <c r="A1157" s="59"/>
      <c r="B1157" s="63">
        <f t="shared" si="1"/>
        <v>15</v>
      </c>
      <c r="C1157" s="134" t="s">
        <v>113</v>
      </c>
      <c r="D1157" s="134" t="s">
        <v>74</v>
      </c>
      <c r="E1157" s="135">
        <f t="shared" si="23"/>
        <v>6</v>
      </c>
      <c r="F1157" s="134" t="s">
        <v>3608</v>
      </c>
      <c r="G1157" s="63" t="str">
        <f>VLOOKUP(C1157, 'Class Def. - General Data'!$C$20:$C$1000,1,false)</f>
        <v>ZFG1_EYESMAKEUP</v>
      </c>
      <c r="H1157" s="63" t="str">
        <f>IFERROR(__xludf.DUMMYFUNCTION("VLOOKUP(F1157, IMPORTRANGE(""https://docs.google.com/spreadsheets/d/1Lhp9OU0JdFf_VYSMzH5lBcEaU4o8teT1piV-SNzShjg/edit?gid=554141278#gid=554141278"", ""'Char Def. - Attributes'!C20:C2242""), 1,false)"),"PROJECT_NAME")</f>
        <v>PROJECT_NAME</v>
      </c>
      <c r="I1157" s="136"/>
    </row>
    <row r="1158" ht="15.75" customHeight="1">
      <c r="A1158" s="59"/>
      <c r="B1158" s="63">
        <f t="shared" si="1"/>
        <v>15</v>
      </c>
      <c r="C1158" s="134" t="s">
        <v>113</v>
      </c>
      <c r="D1158" s="134" t="s">
        <v>74</v>
      </c>
      <c r="E1158" s="135">
        <f t="shared" si="23"/>
        <v>7</v>
      </c>
      <c r="F1158" s="134" t="s">
        <v>3609</v>
      </c>
      <c r="G1158" s="63" t="str">
        <f>VLOOKUP(C1158, 'Class Def. - General Data'!$C$20:$C$1000,1,false)</f>
        <v>ZFG1_EYESMAKEUP</v>
      </c>
      <c r="H1158" s="63" t="str">
        <f>IFERROR(__xludf.DUMMYFUNCTION("VLOOKUP(F1158, IMPORTRANGE(""https://docs.google.com/spreadsheets/d/1Lhp9OU0JdFf_VYSMzH5lBcEaU4o8teT1piV-SNzShjg/edit?gid=554141278#gid=554141278"", ""'Char Def. - Attributes'!C20:C2242""), 1,false)"),"ADDITIONAL_PROMO")</f>
        <v>ADDITIONAL_PROMO</v>
      </c>
      <c r="I1158" s="136"/>
    </row>
    <row r="1159" ht="15.75" customHeight="1">
      <c r="A1159" s="59"/>
      <c r="B1159" s="63">
        <f t="shared" si="1"/>
        <v>15</v>
      </c>
      <c r="C1159" s="134" t="s">
        <v>113</v>
      </c>
      <c r="D1159" s="134" t="s">
        <v>74</v>
      </c>
      <c r="E1159" s="135">
        <f t="shared" si="23"/>
        <v>8</v>
      </c>
      <c r="F1159" s="134" t="s">
        <v>3610</v>
      </c>
      <c r="G1159" s="63" t="str">
        <f>VLOOKUP(C1159, 'Class Def. - General Data'!$C$20:$C$1000,1,false)</f>
        <v>ZFG1_EYESMAKEUP</v>
      </c>
      <c r="H1159" s="63" t="str">
        <f>IFERROR(__xludf.DUMMYFUNCTION("VLOOKUP(F1159, IMPORTRANGE(""https://docs.google.com/spreadsheets/d/1Lhp9OU0JdFf_VYSMzH5lBcEaU4o8teT1piV-SNzShjg/edit?gid=554141278#gid=554141278"", ""'Char Def. - Attributes'!C20:C2242""), 1,false)"),"BANDED_PROMO")</f>
        <v>BANDED_PROMO</v>
      </c>
      <c r="I1159" s="136"/>
    </row>
    <row r="1160" ht="15.75" customHeight="1">
      <c r="A1160" s="59"/>
      <c r="B1160" s="63">
        <f t="shared" si="1"/>
        <v>15</v>
      </c>
      <c r="C1160" s="134" t="s">
        <v>113</v>
      </c>
      <c r="D1160" s="134" t="s">
        <v>74</v>
      </c>
      <c r="E1160" s="135">
        <f t="shared" si="23"/>
        <v>9</v>
      </c>
      <c r="F1160" s="134" t="s">
        <v>3611</v>
      </c>
      <c r="G1160" s="63" t="str">
        <f>VLOOKUP(C1160, 'Class Def. - General Data'!$C$20:$C$1000,1,false)</f>
        <v>ZFG1_EYESMAKEUP</v>
      </c>
      <c r="H1160" s="63" t="str">
        <f>IFERROR(__xludf.DUMMYFUNCTION("VLOOKUP(F1160, IMPORTRANGE(""https://docs.google.com/spreadsheets/d/1Lhp9OU0JdFf_VYSMzH5lBcEaU4o8teT1piV-SNzShjg/edit?gid=554141278#gid=554141278"", ""'Char Def. - Attributes'!C20:C2242""), 1,false)"),"LOKAL_EKSPOR")</f>
        <v>LOKAL_EKSPOR</v>
      </c>
      <c r="I1160" s="136"/>
    </row>
    <row r="1161" ht="15.75" customHeight="1">
      <c r="A1161" s="59"/>
      <c r="B1161" s="63">
        <f t="shared" si="1"/>
        <v>15</v>
      </c>
      <c r="C1161" s="134" t="s">
        <v>113</v>
      </c>
      <c r="D1161" s="134" t="s">
        <v>74</v>
      </c>
      <c r="E1161" s="135">
        <f t="shared" si="23"/>
        <v>10</v>
      </c>
      <c r="F1161" s="134" t="s">
        <v>3612</v>
      </c>
      <c r="G1161" s="63" t="str">
        <f>VLOOKUP(C1161, 'Class Def. - General Data'!$C$20:$C$1000,1,false)</f>
        <v>ZFG1_EYESMAKEUP</v>
      </c>
      <c r="H1161" s="63" t="str">
        <f>IFERROR(__xludf.DUMMYFUNCTION("VLOOKUP(F1161, IMPORTRANGE(""https://docs.google.com/spreadsheets/d/1Lhp9OU0JdFf_VYSMzH5lBcEaU4o8teT1piV-SNzShjg/edit?gid=554141278#gid=554141278"", ""'Char Def. - Attributes'!C20:C2242""), 1,false)"),"COUNTRY_EKSPOR")</f>
        <v>COUNTRY_EKSPOR</v>
      </c>
      <c r="I1161" s="136"/>
    </row>
    <row r="1162" ht="15.75" customHeight="1">
      <c r="A1162" s="59"/>
      <c r="B1162" s="63">
        <f t="shared" si="1"/>
        <v>15</v>
      </c>
      <c r="C1162" s="134" t="s">
        <v>113</v>
      </c>
      <c r="D1162" s="134" t="s">
        <v>74</v>
      </c>
      <c r="E1162" s="135">
        <f t="shared" si="23"/>
        <v>11</v>
      </c>
      <c r="F1162" s="134" t="s">
        <v>3613</v>
      </c>
      <c r="G1162" s="63" t="str">
        <f>VLOOKUP(C1162, 'Class Def. - General Data'!$C$20:$C$1000,1,false)</f>
        <v>ZFG1_EYESMAKEUP</v>
      </c>
      <c r="H1162" s="63" t="str">
        <f>IFERROR(__xludf.DUMMYFUNCTION("VLOOKUP(F1162, IMPORTRANGE(""https://docs.google.com/spreadsheets/d/1Lhp9OU0JdFf_VYSMzH5lBcEaU4o8teT1piV-SNzShjg/edit?gid=554141278#gid=554141278"", ""'Char Def. - Attributes'!C20:C2242""), 1,false)"),"WARNA_SFG")</f>
        <v>WARNA_SFG</v>
      </c>
      <c r="I1162" s="136"/>
    </row>
    <row r="1163" ht="15.75" customHeight="1">
      <c r="A1163" s="59"/>
      <c r="B1163" s="63">
        <f t="shared" si="1"/>
        <v>15</v>
      </c>
      <c r="C1163" s="134" t="s">
        <v>113</v>
      </c>
      <c r="D1163" s="134" t="s">
        <v>74</v>
      </c>
      <c r="E1163" s="135">
        <f t="shared" si="23"/>
        <v>12</v>
      </c>
      <c r="F1163" s="134" t="s">
        <v>3582</v>
      </c>
      <c r="G1163" s="63" t="str">
        <f>VLOOKUP(C1163, 'Class Def. - General Data'!$C$20:$C$1000,1,false)</f>
        <v>ZFG1_EYESMAKEUP</v>
      </c>
      <c r="H1163" s="63" t="str">
        <f>IFERROR(__xludf.DUMMYFUNCTION("VLOOKUP(F1163, IMPORTRANGE(""https://docs.google.com/spreadsheets/d/1Lhp9OU0JdFf_VYSMzH5lBcEaU4o8teT1piV-SNzShjg/edit?gid=554141278#gid=554141278"", ""'Char Def. - Attributes'!C20:C2242""), 1,false)"),"BASE_UNIT")</f>
        <v>BASE_UNIT</v>
      </c>
      <c r="I1163" s="136"/>
    </row>
    <row r="1164" ht="15.75" customHeight="1">
      <c r="A1164" s="59"/>
      <c r="B1164" s="63">
        <f t="shared" si="1"/>
        <v>15</v>
      </c>
      <c r="C1164" s="134" t="s">
        <v>113</v>
      </c>
      <c r="D1164" s="134" t="s">
        <v>74</v>
      </c>
      <c r="E1164" s="135">
        <f t="shared" si="23"/>
        <v>13</v>
      </c>
      <c r="F1164" s="134" t="s">
        <v>3583</v>
      </c>
      <c r="G1164" s="63" t="str">
        <f>VLOOKUP(C1164, 'Class Def. - General Data'!$C$20:$C$1000,1,false)</f>
        <v>ZFG1_EYESMAKEUP</v>
      </c>
      <c r="H1164" s="63" t="str">
        <f>IFERROR(__xludf.DUMMYFUNCTION("VLOOKUP(F1164, IMPORTRANGE(""https://docs.google.com/spreadsheets/d/1Lhp9OU0JdFf_VYSMzH5lBcEaU4o8teT1piV-SNzShjg/edit?gid=554141278#gid=554141278"", ""'Char Def. - Attributes'!C20:C2242""), 1,false)"),"SALES_UNIT")</f>
        <v>SALES_UNIT</v>
      </c>
      <c r="I1164" s="136"/>
    </row>
    <row r="1165" ht="15.75" customHeight="1">
      <c r="A1165" s="59"/>
      <c r="B1165" s="63">
        <f t="shared" si="1"/>
        <v>15</v>
      </c>
      <c r="C1165" s="134" t="s">
        <v>113</v>
      </c>
      <c r="D1165" s="134" t="s">
        <v>74</v>
      </c>
      <c r="E1165" s="135">
        <f t="shared" si="23"/>
        <v>14</v>
      </c>
      <c r="F1165" s="134" t="s">
        <v>3601</v>
      </c>
      <c r="G1165" s="63" t="str">
        <f>VLOOKUP(C1165, 'Class Def. - General Data'!$C$20:$C$1000,1,false)</f>
        <v>ZFG1_EYESMAKEUP</v>
      </c>
      <c r="H1165" s="63" t="str">
        <f>IFERROR(__xludf.DUMMYFUNCTION("VLOOKUP(F1165, IMPORTRANGE(""https://docs.google.com/spreadsheets/d/1Lhp9OU0JdFf_VYSMzH5lBcEaU4o8teT1piV-SNzShjg/edit?gid=554141278#gid=554141278"", ""'Char Def. - Attributes'!C20:C2242""), 1,false)"),"GROSS_WEIGHT")</f>
        <v>GROSS_WEIGHT</v>
      </c>
      <c r="I1165" s="136"/>
    </row>
    <row r="1166" ht="15.75" customHeight="1">
      <c r="A1166" s="59"/>
      <c r="B1166" s="63">
        <f t="shared" si="1"/>
        <v>15</v>
      </c>
      <c r="C1166" s="134" t="s">
        <v>113</v>
      </c>
      <c r="D1166" s="134" t="s">
        <v>74</v>
      </c>
      <c r="E1166" s="135">
        <f t="shared" si="23"/>
        <v>15</v>
      </c>
      <c r="F1166" s="134" t="s">
        <v>3602</v>
      </c>
      <c r="G1166" s="63" t="str">
        <f>VLOOKUP(C1166, 'Class Def. - General Data'!$C$20:$C$1000,1,false)</f>
        <v>ZFG1_EYESMAKEUP</v>
      </c>
      <c r="H1166" s="63" t="str">
        <f>IFERROR(__xludf.DUMMYFUNCTION("VLOOKUP(F1166, IMPORTRANGE(""https://docs.google.com/spreadsheets/d/1Lhp9OU0JdFf_VYSMzH5lBcEaU4o8teT1piV-SNzShjg/edit?gid=554141278#gid=554141278"", ""'Char Def. - Attributes'!C20:C2242""), 1,false)"),"NET_WEIGHT")</f>
        <v>NET_WEIGHT</v>
      </c>
      <c r="I1166" s="136"/>
    </row>
    <row r="1167" ht="15.75" customHeight="1">
      <c r="A1167" s="59"/>
      <c r="B1167" s="63">
        <f t="shared" si="1"/>
        <v>15</v>
      </c>
      <c r="C1167" s="134" t="s">
        <v>113</v>
      </c>
      <c r="D1167" s="134" t="s">
        <v>74</v>
      </c>
      <c r="E1167" s="135">
        <f t="shared" si="23"/>
        <v>16</v>
      </c>
      <c r="F1167" s="134" t="s">
        <v>3584</v>
      </c>
      <c r="G1167" s="63" t="str">
        <f>VLOOKUP(C1167, 'Class Def. - General Data'!$C$20:$C$1000,1,false)</f>
        <v>ZFG1_EYESMAKEUP</v>
      </c>
      <c r="H1167" s="63" t="str">
        <f>IFERROR(__xludf.DUMMYFUNCTION("VLOOKUP(F1167, IMPORTRANGE(""https://docs.google.com/spreadsheets/d/1Lhp9OU0JdFf_VYSMzH5lBcEaU4o8teT1piV-SNzShjg/edit?gid=554141278#gid=554141278"", ""'Char Def. - Attributes'!C20:C2242""), 1,false)"),"UNIT_PER_BOX")</f>
        <v>UNIT_PER_BOX</v>
      </c>
      <c r="I1167" s="136"/>
    </row>
    <row r="1168" ht="15.75" customHeight="1">
      <c r="A1168" s="59"/>
      <c r="B1168" s="63">
        <f t="shared" si="1"/>
        <v>15</v>
      </c>
      <c r="C1168" s="134" t="s">
        <v>113</v>
      </c>
      <c r="D1168" s="134" t="s">
        <v>74</v>
      </c>
      <c r="E1168" s="135">
        <f t="shared" si="23"/>
        <v>17</v>
      </c>
      <c r="F1168" s="134" t="s">
        <v>3614</v>
      </c>
      <c r="G1168" s="63" t="str">
        <f>VLOOKUP(C1168, 'Class Def. - General Data'!$C$20:$C$1000,1,false)</f>
        <v>ZFG1_EYESMAKEUP</v>
      </c>
      <c r="H1168" s="63" t="str">
        <f>IFERROR(__xludf.DUMMYFUNCTION("VLOOKUP(F1168, IMPORTRANGE(""https://docs.google.com/spreadsheets/d/1Lhp9OU0JdFf_VYSMzH5lBcEaU4o8teT1piV-SNzShjg/edit?gid=554141278#gid=554141278"", ""'Char Def. - Attributes'!C20:C2242""), 1,false)"),"UNIT_PER_CTN")</f>
        <v>UNIT_PER_CTN</v>
      </c>
      <c r="I1168" s="136"/>
    </row>
    <row r="1169" ht="15.75" customHeight="1">
      <c r="A1169" s="59"/>
      <c r="B1169" s="63">
        <f t="shared" si="1"/>
        <v>15</v>
      </c>
      <c r="C1169" s="134" t="s">
        <v>113</v>
      </c>
      <c r="D1169" s="134" t="s">
        <v>74</v>
      </c>
      <c r="E1169" s="135">
        <f t="shared" si="23"/>
        <v>18</v>
      </c>
      <c r="F1169" s="134" t="s">
        <v>3615</v>
      </c>
      <c r="G1169" s="63" t="str">
        <f>VLOOKUP(C1169, 'Class Def. - General Data'!$C$20:$C$1000,1,false)</f>
        <v>ZFG1_EYESMAKEUP</v>
      </c>
      <c r="H1169" s="63" t="str">
        <f>IFERROR(__xludf.DUMMYFUNCTION("VLOOKUP(F1169, IMPORTRANGE(""https://docs.google.com/spreadsheets/d/1Lhp9OU0JdFf_VYSMzH5lBcEaU4o8teT1piV-SNzShjg/edit?gid=554141278#gid=554141278"", ""'Char Def. - Attributes'!C20:C2242""), 1,false)"),"UNIT_PER_BAG")</f>
        <v>UNIT_PER_BAG</v>
      </c>
      <c r="I1169" s="136"/>
    </row>
    <row r="1170" ht="15.75" customHeight="1">
      <c r="A1170" s="59"/>
      <c r="B1170" s="63">
        <f t="shared" si="1"/>
        <v>15</v>
      </c>
      <c r="C1170" s="134" t="s">
        <v>113</v>
      </c>
      <c r="D1170" s="134" t="s">
        <v>74</v>
      </c>
      <c r="E1170" s="135">
        <f t="shared" si="23"/>
        <v>19</v>
      </c>
      <c r="F1170" s="134" t="s">
        <v>3616</v>
      </c>
      <c r="G1170" s="63" t="str">
        <f>VLOOKUP(C1170, 'Class Def. - General Data'!$C$20:$C$1000,1,false)</f>
        <v>ZFG1_EYESMAKEUP</v>
      </c>
      <c r="H1170" s="63" t="str">
        <f>IFERROR(__xludf.DUMMYFUNCTION("VLOOKUP(F1170, IMPORTRANGE(""https://docs.google.com/spreadsheets/d/1Lhp9OU0JdFf_VYSMzH5lBcEaU4o8teT1piV-SNzShjg/edit?gid=554141278#gid=554141278"", ""'Char Def. - Attributes'!C20:C2242""), 1,false)"),"UNIT_PER_PAL")</f>
        <v>UNIT_PER_PAL</v>
      </c>
      <c r="I1170" s="136"/>
    </row>
    <row r="1171" ht="15.75" customHeight="1">
      <c r="A1171" s="59"/>
      <c r="B1171" s="63">
        <f t="shared" si="1"/>
        <v>15</v>
      </c>
      <c r="C1171" s="134" t="s">
        <v>113</v>
      </c>
      <c r="D1171" s="134" t="s">
        <v>74</v>
      </c>
      <c r="E1171" s="135">
        <f t="shared" si="23"/>
        <v>20</v>
      </c>
      <c r="F1171" s="134" t="s">
        <v>3617</v>
      </c>
      <c r="G1171" s="63" t="str">
        <f>VLOOKUP(C1171, 'Class Def. - General Data'!$C$20:$C$1000,1,false)</f>
        <v>ZFG1_EYESMAKEUP</v>
      </c>
      <c r="H1171" s="63" t="str">
        <f>IFERROR(__xludf.DUMMYFUNCTION("VLOOKUP(F1171, IMPORTRANGE(""https://docs.google.com/spreadsheets/d/1Lhp9OU0JdFf_VYSMzH5lBcEaU4o8teT1piV-SNzShjg/edit?gid=554141278#gid=554141278"", ""'Char Def. - Attributes'!C20:C2242""), 1,false)"),"UNIT_PER_TIER")</f>
        <v>UNIT_PER_TIER</v>
      </c>
      <c r="I1171" s="136"/>
    </row>
    <row r="1172" ht="15.75" customHeight="1">
      <c r="A1172" s="59"/>
      <c r="B1172" s="63">
        <f t="shared" si="1"/>
        <v>15</v>
      </c>
      <c r="C1172" s="134" t="s">
        <v>113</v>
      </c>
      <c r="D1172" s="134" t="s">
        <v>74</v>
      </c>
      <c r="E1172" s="135">
        <f t="shared" si="23"/>
        <v>21</v>
      </c>
      <c r="F1172" s="134" t="s">
        <v>3618</v>
      </c>
      <c r="G1172" s="63" t="str">
        <f>VLOOKUP(C1172, 'Class Def. - General Data'!$C$20:$C$1000,1,false)</f>
        <v>ZFG1_EYESMAKEUP</v>
      </c>
      <c r="H1172" s="63" t="str">
        <f>IFERROR(__xludf.DUMMYFUNCTION("VLOOKUP(F1172, IMPORTRANGE(""https://docs.google.com/spreadsheets/d/1Lhp9OU0JdFf_VYSMzH5lBcEaU4o8teT1piV-SNzShjg/edit?gid=554141278#gid=554141278"", ""'Char Def. - Attributes'!C20:C2242""), 1,false)"),"HEIGHT")</f>
        <v>HEIGHT</v>
      </c>
      <c r="I1172" s="136"/>
    </row>
    <row r="1173" ht="15.75" customHeight="1">
      <c r="A1173" s="59"/>
      <c r="B1173" s="63">
        <f t="shared" si="1"/>
        <v>15</v>
      </c>
      <c r="C1173" s="134" t="s">
        <v>113</v>
      </c>
      <c r="D1173" s="134" t="s">
        <v>74</v>
      </c>
      <c r="E1173" s="135">
        <f t="shared" si="23"/>
        <v>22</v>
      </c>
      <c r="F1173" s="134" t="s">
        <v>3587</v>
      </c>
      <c r="G1173" s="63" t="str">
        <f>VLOOKUP(C1173, 'Class Def. - General Data'!$C$20:$C$1000,1,false)</f>
        <v>ZFG1_EYESMAKEUP</v>
      </c>
      <c r="H1173" s="63" t="str">
        <f>IFERROR(__xludf.DUMMYFUNCTION("VLOOKUP(F1173, IMPORTRANGE(""https://docs.google.com/spreadsheets/d/1Lhp9OU0JdFf_VYSMzH5lBcEaU4o8teT1piV-SNzShjg/edit?gid=554141278#gid=554141278"", ""'Char Def. - Attributes'!C20:C2242""), 1,false)"),"PLANT_BUY")</f>
        <v>PLANT_BUY</v>
      </c>
      <c r="I1173" s="136"/>
    </row>
    <row r="1174" ht="15.75" customHeight="1">
      <c r="A1174" s="59"/>
      <c r="B1174" s="63">
        <f t="shared" si="1"/>
        <v>15</v>
      </c>
      <c r="C1174" s="134" t="s">
        <v>113</v>
      </c>
      <c r="D1174" s="134" t="s">
        <v>74</v>
      </c>
      <c r="E1174" s="135">
        <f t="shared" si="23"/>
        <v>23</v>
      </c>
      <c r="F1174" s="134" t="s">
        <v>3619</v>
      </c>
      <c r="G1174" s="63" t="str">
        <f>VLOOKUP(C1174, 'Class Def. - General Data'!$C$20:$C$1000,1,false)</f>
        <v>ZFG1_EYESMAKEUP</v>
      </c>
      <c r="H1174" s="63" t="str">
        <f>IFERROR(__xludf.DUMMYFUNCTION("VLOOKUP(F1174, IMPORTRANGE(""https://docs.google.com/spreadsheets/d/1Lhp9OU0JdFf_VYSMzH5lBcEaU4o8teT1piV-SNzShjg/edit?gid=554141278#gid=554141278"", ""'Char Def. - Attributes'!C20:C2242""), 1,false)"),"LENGTH")</f>
        <v>LENGTH</v>
      </c>
      <c r="I1174" s="136"/>
    </row>
    <row r="1175" ht="15.75" customHeight="1">
      <c r="A1175" s="59"/>
      <c r="B1175" s="63">
        <f t="shared" si="1"/>
        <v>15</v>
      </c>
      <c r="C1175" s="134" t="s">
        <v>113</v>
      </c>
      <c r="D1175" s="134" t="s">
        <v>74</v>
      </c>
      <c r="E1175" s="135">
        <f t="shared" si="23"/>
        <v>24</v>
      </c>
      <c r="F1175" s="134" t="s">
        <v>3586</v>
      </c>
      <c r="G1175" s="63" t="str">
        <f>VLOOKUP(C1175, 'Class Def. - General Data'!$C$20:$C$1000,1,false)</f>
        <v>ZFG1_EYESMAKEUP</v>
      </c>
      <c r="H1175" s="63" t="str">
        <f>IFERROR(__xludf.DUMMYFUNCTION("VLOOKUP(F1175, IMPORTRANGE(""https://docs.google.com/spreadsheets/d/1Lhp9OU0JdFf_VYSMzH5lBcEaU4o8teT1piV-SNzShjg/edit?gid=554141278#gid=554141278"", ""'Char Def. - Attributes'!C20:C2242""), 1,false)"),"PLANT_PROD")</f>
        <v>PLANT_PROD</v>
      </c>
      <c r="I1175" s="136"/>
    </row>
    <row r="1176" ht="15.75" customHeight="1">
      <c r="A1176" s="59"/>
      <c r="B1176" s="63">
        <f t="shared" si="1"/>
        <v>15</v>
      </c>
      <c r="C1176" s="134" t="s">
        <v>113</v>
      </c>
      <c r="D1176" s="134" t="s">
        <v>74</v>
      </c>
      <c r="E1176" s="135">
        <f t="shared" si="23"/>
        <v>25</v>
      </c>
      <c r="F1176" s="134" t="s">
        <v>3620</v>
      </c>
      <c r="G1176" s="63" t="str">
        <f>VLOOKUP(C1176, 'Class Def. - General Data'!$C$20:$C$1000,1,false)</f>
        <v>ZFG1_EYESMAKEUP</v>
      </c>
      <c r="H1176" s="63" t="str">
        <f>IFERROR(__xludf.DUMMYFUNCTION("VLOOKUP(F1176, IMPORTRANGE(""https://docs.google.com/spreadsheets/d/1Lhp9OU0JdFf_VYSMzH5lBcEaU4o8teT1piV-SNzShjg/edit?gid=554141278#gid=554141278"", ""'Char Def. - Attributes'!C20:C2242""), 1,false)"),"WIDTH")</f>
        <v>WIDTH</v>
      </c>
      <c r="I1176" s="136"/>
    </row>
    <row r="1177" ht="15.75" customHeight="1">
      <c r="A1177" s="59"/>
      <c r="B1177" s="63">
        <f t="shared" si="1"/>
        <v>15</v>
      </c>
      <c r="C1177" s="134" t="s">
        <v>113</v>
      </c>
      <c r="D1177" s="134" t="s">
        <v>74</v>
      </c>
      <c r="E1177" s="135">
        <f t="shared" si="23"/>
        <v>26</v>
      </c>
      <c r="F1177" s="134" t="s">
        <v>3585</v>
      </c>
      <c r="G1177" s="63" t="str">
        <f>VLOOKUP(C1177, 'Class Def. - General Data'!$C$20:$C$1000,1,false)</f>
        <v>ZFG1_EYESMAKEUP</v>
      </c>
      <c r="H1177" s="63" t="str">
        <f>IFERROR(__xludf.DUMMYFUNCTION("VLOOKUP(F1177, IMPORTRANGE(""https://docs.google.com/spreadsheets/d/1Lhp9OU0JdFf_VYSMzH5lBcEaU4o8teT1piV-SNzShjg/edit?gid=554141278#gid=554141278"", ""'Char Def. - Attributes'!C20:C2242""), 1,false)"),"HS_CODE")</f>
        <v>HS_CODE</v>
      </c>
      <c r="I1177" s="136"/>
    </row>
    <row r="1178" ht="15.75" customHeight="1">
      <c r="A1178" s="59"/>
      <c r="B1178" s="63">
        <f t="shared" si="1"/>
        <v>15</v>
      </c>
      <c r="C1178" s="134" t="s">
        <v>113</v>
      </c>
      <c r="D1178" s="134" t="s">
        <v>74</v>
      </c>
      <c r="E1178" s="135">
        <f t="shared" si="23"/>
        <v>27</v>
      </c>
      <c r="F1178" s="134" t="s">
        <v>3621</v>
      </c>
      <c r="G1178" s="63" t="str">
        <f>VLOOKUP(C1178, 'Class Def. - General Data'!$C$20:$C$1000,1,false)</f>
        <v>ZFG1_EYESMAKEUP</v>
      </c>
      <c r="H1178" s="63" t="str">
        <f>IFERROR(__xludf.DUMMYFUNCTION("VLOOKUP(F1178, IMPORTRANGE(""https://docs.google.com/spreadsheets/d/1Lhp9OU0JdFf_VYSMzH5lBcEaU4o8teT1piV-SNzShjg/edit?gid=554141278#gid=554141278"", ""'Char Def. - Attributes'!C20:C2242""), 1,false)"),"EAN_PCS")</f>
        <v>EAN_PCS</v>
      </c>
      <c r="I1178" s="136"/>
    </row>
    <row r="1179" ht="15.75" customHeight="1">
      <c r="A1179" s="59"/>
      <c r="B1179" s="63">
        <f t="shared" si="1"/>
        <v>15</v>
      </c>
      <c r="C1179" s="134" t="s">
        <v>113</v>
      </c>
      <c r="D1179" s="134" t="s">
        <v>74</v>
      </c>
      <c r="E1179" s="135">
        <f t="shared" si="23"/>
        <v>28</v>
      </c>
      <c r="F1179" s="134" t="s">
        <v>3622</v>
      </c>
      <c r="G1179" s="63" t="str">
        <f>VLOOKUP(C1179, 'Class Def. - General Data'!$C$20:$C$1000,1,false)</f>
        <v>ZFG1_EYESMAKEUP</v>
      </c>
      <c r="H1179" s="63" t="str">
        <f>IFERROR(__xludf.DUMMYFUNCTION("VLOOKUP(F1179, IMPORTRANGE(""https://docs.google.com/spreadsheets/d/1Lhp9OU0JdFf_VYSMzH5lBcEaU4o8teT1piV-SNzShjg/edit?gid=554141278#gid=554141278"", ""'Char Def. - Attributes'!C20:C2242""), 1,false)"),"SFG_BRAND")</f>
        <v>SFG_BRAND</v>
      </c>
      <c r="I1179" s="136"/>
    </row>
    <row r="1180" ht="15.75" customHeight="1">
      <c r="A1180" s="59"/>
      <c r="B1180" s="63">
        <f t="shared" si="1"/>
        <v>15</v>
      </c>
      <c r="C1180" s="134" t="s">
        <v>113</v>
      </c>
      <c r="D1180" s="134" t="s">
        <v>74</v>
      </c>
      <c r="E1180" s="135">
        <f t="shared" si="23"/>
        <v>29</v>
      </c>
      <c r="F1180" s="134" t="s">
        <v>3623</v>
      </c>
      <c r="G1180" s="63" t="str">
        <f>VLOOKUP(C1180, 'Class Def. - General Data'!$C$20:$C$1000,1,false)</f>
        <v>ZFG1_EYESMAKEUP</v>
      </c>
      <c r="H1180" s="63" t="str">
        <f>IFERROR(__xludf.DUMMYFUNCTION("VLOOKUP(F1180, IMPORTRANGE(""https://docs.google.com/spreadsheets/d/1Lhp9OU0JdFf_VYSMzH5lBcEaU4o8teT1piV-SNzShjg/edit?gid=554141278#gid=554141278"", ""'Char Def. - Attributes'!C20:C2242""), 1,false)"),"LANGUAGE")</f>
        <v>LANGUAGE</v>
      </c>
      <c r="I1180" s="136"/>
    </row>
    <row r="1181" ht="15.75" customHeight="1">
      <c r="A1181" s="142"/>
      <c r="B1181" s="63">
        <f t="shared" si="1"/>
        <v>15</v>
      </c>
      <c r="C1181" s="139" t="s">
        <v>113</v>
      </c>
      <c r="D1181" s="139" t="s">
        <v>74</v>
      </c>
      <c r="E1181" s="140">
        <f t="shared" si="23"/>
        <v>30</v>
      </c>
      <c r="F1181" s="134" t="s">
        <v>3624</v>
      </c>
      <c r="G1181" s="63" t="str">
        <f>VLOOKUP(C1181, 'Class Def. - General Data'!$C$20:$C$1000,1,false)</f>
        <v>ZFG1_EYESMAKEUP</v>
      </c>
      <c r="H1181" s="63" t="str">
        <f>IFERROR(__xludf.DUMMYFUNCTION("VLOOKUP(F1181, IMPORTRANGE(""https://docs.google.com/spreadsheets/d/1Lhp9OU0JdFf_VYSMzH5lBcEaU4o8teT1piV-SNzShjg/edit?gid=554141278#gid=554141278"", ""'Char Def. - Attributes'!C20:C2242""), 1,false)"),"#N/A")</f>
        <v>#N/A</v>
      </c>
      <c r="I1181" s="136"/>
    </row>
    <row r="1182" ht="15.75" customHeight="1">
      <c r="A1182" s="59"/>
      <c r="B1182" s="63">
        <f t="shared" si="1"/>
        <v>15</v>
      </c>
      <c r="C1182" s="134" t="s">
        <v>113</v>
      </c>
      <c r="D1182" s="134" t="s">
        <v>74</v>
      </c>
      <c r="E1182" s="135">
        <f t="shared" si="23"/>
        <v>31</v>
      </c>
      <c r="F1182" s="134" t="s">
        <v>3625</v>
      </c>
      <c r="G1182" s="63" t="str">
        <f>VLOOKUP(C1182, 'Class Def. - General Data'!$C$20:$C$1000,1,false)</f>
        <v>ZFG1_EYESMAKEUP</v>
      </c>
      <c r="H1182" s="63" t="str">
        <f>IFERROR(__xludf.DUMMYFUNCTION("VLOOKUP(F1182, IMPORTRANGE(""https://docs.google.com/spreadsheets/d/1Lhp9OU0JdFf_VYSMzH5lBcEaU4o8teT1piV-SNzShjg/edit?gid=554141278#gid=554141278"", ""'Char Def. - Attributes'!C20:C2242""), 1,false)"),"REGION_EKSPOR")</f>
        <v>REGION_EKSPOR</v>
      </c>
      <c r="I1182" s="136"/>
    </row>
    <row r="1183" ht="15.75" customHeight="1">
      <c r="A1183" s="59"/>
      <c r="B1183" s="63">
        <f t="shared" si="1"/>
        <v>15</v>
      </c>
      <c r="C1183" s="134" t="s">
        <v>113</v>
      </c>
      <c r="D1183" s="134" t="s">
        <v>74</v>
      </c>
      <c r="E1183" s="135">
        <f t="shared" si="23"/>
        <v>32</v>
      </c>
      <c r="F1183" s="134" t="s">
        <v>3626</v>
      </c>
      <c r="G1183" s="63" t="str">
        <f>VLOOKUP(C1183, 'Class Def. - General Data'!$C$20:$C$1000,1,false)</f>
        <v>ZFG1_EYESMAKEUP</v>
      </c>
      <c r="H1183" s="63" t="str">
        <f>IFERROR(__xludf.DUMMYFUNCTION("VLOOKUP(F1183, IMPORTRANGE(""https://docs.google.com/spreadsheets/d/1Lhp9OU0JdFf_VYSMzH5lBcEaU4o8teT1piV-SNzShjg/edit?gid=554141278#gid=554141278"", ""'Char Def. - Attributes'!C20:C2242""), 1,false)"),"STICKER_NOT")</f>
        <v>STICKER_NOT</v>
      </c>
      <c r="I1183" s="136"/>
    </row>
    <row r="1184" ht="15.75" customHeight="1">
      <c r="A1184" s="59"/>
      <c r="B1184" s="63">
        <f t="shared" si="1"/>
        <v>15</v>
      </c>
      <c r="C1184" s="134" t="s">
        <v>113</v>
      </c>
      <c r="D1184" s="134" t="s">
        <v>74</v>
      </c>
      <c r="E1184" s="135">
        <f t="shared" si="23"/>
        <v>33</v>
      </c>
      <c r="F1184" s="134" t="s">
        <v>3627</v>
      </c>
      <c r="G1184" s="63" t="str">
        <f>VLOOKUP(C1184, 'Class Def. - General Data'!$C$20:$C$1000,1,false)</f>
        <v>ZFG1_EYESMAKEUP</v>
      </c>
      <c r="H1184" s="63" t="str">
        <f>IFERROR(__xludf.DUMMYFUNCTION("VLOOKUP(F1184, IMPORTRANGE(""https://docs.google.com/spreadsheets/d/1Lhp9OU0JdFf_VYSMzH5lBcEaU4o8teT1piV-SNzShjg/edit?gid=554141278#gid=554141278"", ""'Char Def. - Attributes'!C20:C2242""), 1,false)"),"SHIP_MARK")</f>
        <v>SHIP_MARK</v>
      </c>
      <c r="I1184" s="136"/>
    </row>
    <row r="1185" ht="15.75" customHeight="1">
      <c r="A1185" s="59"/>
      <c r="B1185" s="63">
        <f t="shared" si="1"/>
        <v>15</v>
      </c>
      <c r="C1185" s="134" t="s">
        <v>113</v>
      </c>
      <c r="D1185" s="134" t="s">
        <v>74</v>
      </c>
      <c r="E1185" s="135">
        <f t="shared" si="23"/>
        <v>34</v>
      </c>
      <c r="F1185" s="134" t="s">
        <v>3628</v>
      </c>
      <c r="G1185" s="63" t="str">
        <f>VLOOKUP(C1185, 'Class Def. - General Data'!$C$20:$C$1000,1,false)</f>
        <v>ZFG1_EYESMAKEUP</v>
      </c>
      <c r="H1185" s="63" t="str">
        <f>IFERROR(__xludf.DUMMYFUNCTION("VLOOKUP(F1185, IMPORTRANGE(""https://docs.google.com/spreadsheets/d/1Lhp9OU0JdFf_VYSMzH5lBcEaU4o8teT1piV-SNzShjg/edit?gid=554141278#gid=554141278"", ""'Char Def. - Attributes'!C20:C2242""), 1,false)"),"MID_CORE")</f>
        <v>MID_CORE</v>
      </c>
      <c r="I1185" s="136"/>
    </row>
    <row r="1186" ht="15.75" customHeight="1">
      <c r="A1186" s="59"/>
      <c r="B1186" s="63">
        <f t="shared" si="1"/>
        <v>15</v>
      </c>
      <c r="C1186" s="134" t="s">
        <v>113</v>
      </c>
      <c r="D1186" s="134" t="s">
        <v>74</v>
      </c>
      <c r="E1186" s="135">
        <f t="shared" si="23"/>
        <v>35</v>
      </c>
      <c r="F1186" s="134" t="s">
        <v>3629</v>
      </c>
      <c r="G1186" s="63" t="str">
        <f>VLOOKUP(C1186, 'Class Def. - General Data'!$C$20:$C$1000,1,false)</f>
        <v>ZFG1_EYESMAKEUP</v>
      </c>
      <c r="H1186" s="63" t="str">
        <f>IFERROR(__xludf.DUMMYFUNCTION("VLOOKUP(F1186, IMPORTRANGE(""https://docs.google.com/spreadsheets/d/1Lhp9OU0JdFf_VYSMzH5lBcEaU4o8teT1piV-SNzShjg/edit?gid=554141278#gid=554141278"", ""'Char Def. - Attributes'!C20:C2242""), 1,false)"),"EAN_CTN")</f>
        <v>EAN_CTN</v>
      </c>
      <c r="I1186" s="136"/>
    </row>
    <row r="1187" ht="15.75" customHeight="1">
      <c r="A1187" s="59"/>
      <c r="B1187" s="63">
        <f t="shared" si="1"/>
        <v>15</v>
      </c>
      <c r="C1187" s="134" t="s">
        <v>113</v>
      </c>
      <c r="D1187" s="134" t="s">
        <v>74</v>
      </c>
      <c r="E1187" s="135">
        <f t="shared" si="23"/>
        <v>36</v>
      </c>
      <c r="F1187" s="134" t="s">
        <v>3630</v>
      </c>
      <c r="G1187" s="63" t="str">
        <f>VLOOKUP(C1187, 'Class Def. - General Data'!$C$20:$C$1000,1,false)</f>
        <v>ZFG1_EYESMAKEUP</v>
      </c>
      <c r="H1187" s="63" t="str">
        <f>IFERROR(__xludf.DUMMYFUNCTION("VLOOKUP(F1187, IMPORTRANGE(""https://docs.google.com/spreadsheets/d/1Lhp9OU0JdFf_VYSMzH5lBcEaU4o8teT1piV-SNzShjg/edit?gid=554141278#gid=554141278"", ""'Char Def. - Attributes'!C20:C2242""), 1,false)"),"EAN_BOX")</f>
        <v>EAN_BOX</v>
      </c>
      <c r="I1187" s="136"/>
    </row>
    <row r="1188" ht="15.75" customHeight="1">
      <c r="A1188" s="59"/>
      <c r="B1188" s="63">
        <f t="shared" si="1"/>
        <v>15</v>
      </c>
      <c r="C1188" s="134" t="s">
        <v>113</v>
      </c>
      <c r="D1188" s="141" t="s">
        <v>74</v>
      </c>
      <c r="E1188" s="135">
        <v>22.0</v>
      </c>
      <c r="F1188" s="135" t="s">
        <v>3603</v>
      </c>
      <c r="G1188" s="63" t="str">
        <f>VLOOKUP(C1188, 'Class Def. - General Data'!$C$20:$C$1000,1,false)</f>
        <v>ZFG1_EYESMAKEUP</v>
      </c>
      <c r="I1188" s="136"/>
    </row>
    <row r="1189" ht="15.75" customHeight="1">
      <c r="A1189" s="59"/>
      <c r="B1189" s="63">
        <f t="shared" si="1"/>
        <v>15</v>
      </c>
      <c r="C1189" s="134" t="s">
        <v>114</v>
      </c>
      <c r="D1189" s="134" t="s">
        <v>74</v>
      </c>
      <c r="E1189" s="135">
        <f t="shared" ref="E1189:E1224" si="24">COUNTIF($C$20:C1189,C1189)</f>
        <v>1</v>
      </c>
      <c r="F1189" s="134" t="s">
        <v>3683</v>
      </c>
      <c r="G1189" s="63" t="str">
        <f>VLOOKUP(C1189, 'Class Def. - General Data'!$C$20:$C$1000,1,false)</f>
        <v>ZFG1_FACEMAKEUP</v>
      </c>
      <c r="H1189" s="63" t="str">
        <f>IFERROR(__xludf.DUMMYFUNCTION("VLOOKUP(F1189, IMPORTRANGE(""https://docs.google.com/spreadsheets/d/1Lhp9OU0JdFf_VYSMzH5lBcEaU4o8teT1piV-SNzShjg/edit?gid=554141278#gid=554141278"", ""'Char Def. - Attributes'!C20:C2242""), 1,false)"),"BRAND_FACEMAKEUP")</f>
        <v>BRAND_FACEMAKEUP</v>
      </c>
      <c r="I1189" s="136"/>
    </row>
    <row r="1190" ht="15.75" customHeight="1">
      <c r="A1190" s="59"/>
      <c r="B1190" s="63">
        <f t="shared" si="1"/>
        <v>15</v>
      </c>
      <c r="C1190" s="135" t="s">
        <v>114</v>
      </c>
      <c r="D1190" s="134" t="s">
        <v>74</v>
      </c>
      <c r="E1190" s="135">
        <f t="shared" si="24"/>
        <v>2</v>
      </c>
      <c r="F1190" s="134" t="s">
        <v>3684</v>
      </c>
      <c r="G1190" s="63" t="str">
        <f>VLOOKUP(C1190, 'Class Def. - General Data'!$C$20:$C$1000,1,false)</f>
        <v>ZFG1_FACEMAKEUP</v>
      </c>
      <c r="H1190" s="63" t="str">
        <f>IFERROR(__xludf.DUMMYFUNCTION("VLOOKUP(F1190, IMPORTRANGE(""https://docs.google.com/spreadsheets/d/1Lhp9OU0JdFf_VYSMzH5lBcEaU4o8teT1piV-SNzShjg/edit?gid=554141278#gid=554141278"", ""'Char Def. - Attributes'!C20:C2242""), 1,false)"),"PSHAPE_FACEMAKEUP")</f>
        <v>PSHAPE_FACEMAKEUP</v>
      </c>
      <c r="I1190" s="136"/>
    </row>
    <row r="1191" ht="15.75" customHeight="1">
      <c r="A1191" s="59"/>
      <c r="B1191" s="63">
        <f t="shared" si="1"/>
        <v>15</v>
      </c>
      <c r="C1191" s="134" t="s">
        <v>114</v>
      </c>
      <c r="D1191" s="134" t="s">
        <v>74</v>
      </c>
      <c r="E1191" s="135">
        <f t="shared" si="24"/>
        <v>3</v>
      </c>
      <c r="F1191" s="134" t="s">
        <v>3605</v>
      </c>
      <c r="G1191" s="63" t="str">
        <f>VLOOKUP(C1191, 'Class Def. - General Data'!$C$20:$C$1000,1,false)</f>
        <v>ZFG1_FACEMAKEUP</v>
      </c>
      <c r="H1191" s="63" t="str">
        <f>IFERROR(__xludf.DUMMYFUNCTION("VLOOKUP(F1191, IMPORTRANGE(""https://docs.google.com/spreadsheets/d/1Lhp9OU0JdFf_VYSMzH5lBcEaU4o8teT1piV-SNzShjg/edit?gid=554141278#gid=554141278"", ""'Char Def. - Attributes'!C20:C2242""), 1,false)"),"PACK_NETTO")</f>
        <v>PACK_NETTO</v>
      </c>
      <c r="I1191" s="136"/>
    </row>
    <row r="1192" ht="15.75" customHeight="1">
      <c r="A1192" s="66"/>
      <c r="B1192" s="63">
        <f t="shared" si="1"/>
        <v>15</v>
      </c>
      <c r="C1192" s="135" t="s">
        <v>114</v>
      </c>
      <c r="D1192" s="134" t="s">
        <v>74</v>
      </c>
      <c r="E1192" s="135">
        <f t="shared" si="24"/>
        <v>4</v>
      </c>
      <c r="F1192" s="134" t="s">
        <v>3685</v>
      </c>
      <c r="G1192" s="63" t="str">
        <f>VLOOKUP(C1192, 'Class Def. - General Data'!$C$20:$C$1000,1,false)</f>
        <v>ZFG1_FACEMAKEUP</v>
      </c>
      <c r="H1192" s="63" t="str">
        <f>IFERROR(__xludf.DUMMYFUNCTION("VLOOKUP(F1192, IMPORTRANGE(""https://docs.google.com/spreadsheets/d/1Lhp9OU0JdFf_VYSMzH5lBcEaU4o8teT1piV-SNzShjg/edit?gid=554141278#gid=554141278"", ""'Char Def. - Attributes'!C20:C2242""), 1,false)"),"PUOM_FACEMAKEUP")</f>
        <v>PUOM_FACEMAKEUP</v>
      </c>
      <c r="I1192" s="136"/>
    </row>
    <row r="1193" ht="15.75" customHeight="1">
      <c r="A1193" s="66"/>
      <c r="B1193" s="63">
        <f t="shared" si="1"/>
        <v>15</v>
      </c>
      <c r="C1193" s="134" t="s">
        <v>114</v>
      </c>
      <c r="D1193" s="134" t="s">
        <v>74</v>
      </c>
      <c r="E1193" s="135">
        <f t="shared" si="24"/>
        <v>5</v>
      </c>
      <c r="F1193" s="134" t="s">
        <v>3607</v>
      </c>
      <c r="G1193" s="63" t="str">
        <f>VLOOKUP(C1193, 'Class Def. - General Data'!$C$20:$C$1000,1,false)</f>
        <v>ZFG1_FACEMAKEUP</v>
      </c>
      <c r="H1193" s="63" t="str">
        <f>IFERROR(__xludf.DUMMYFUNCTION("VLOOKUP(F1193, IMPORTRANGE(""https://docs.google.com/spreadsheets/d/1Lhp9OU0JdFf_VYSMzH5lBcEaU4o8teT1piV-SNzShjg/edit?gid=554141278#gid=554141278"", ""'Char Def. - Attributes'!C20:C2242""), 1,false)"),"VARIAN")</f>
        <v>VARIAN</v>
      </c>
      <c r="I1193" s="136"/>
    </row>
    <row r="1194" ht="15.75" customHeight="1">
      <c r="A1194" s="59"/>
      <c r="B1194" s="63">
        <f t="shared" si="1"/>
        <v>15</v>
      </c>
      <c r="C1194" s="134" t="s">
        <v>114</v>
      </c>
      <c r="D1194" s="134" t="s">
        <v>74</v>
      </c>
      <c r="E1194" s="135">
        <f t="shared" si="24"/>
        <v>6</v>
      </c>
      <c r="F1194" s="134" t="s">
        <v>3608</v>
      </c>
      <c r="G1194" s="63" t="str">
        <f>VLOOKUP(C1194, 'Class Def. - General Data'!$C$20:$C$1000,1,false)</f>
        <v>ZFG1_FACEMAKEUP</v>
      </c>
      <c r="H1194" s="63" t="str">
        <f>IFERROR(__xludf.DUMMYFUNCTION("VLOOKUP(F1194, IMPORTRANGE(""https://docs.google.com/spreadsheets/d/1Lhp9OU0JdFf_VYSMzH5lBcEaU4o8teT1piV-SNzShjg/edit?gid=554141278#gid=554141278"", ""'Char Def. - Attributes'!C20:C2242""), 1,false)"),"PROJECT_NAME")</f>
        <v>PROJECT_NAME</v>
      </c>
      <c r="I1194" s="136"/>
    </row>
    <row r="1195" ht="15.75" customHeight="1">
      <c r="A1195" s="59"/>
      <c r="B1195" s="63">
        <f t="shared" si="1"/>
        <v>15</v>
      </c>
      <c r="C1195" s="134" t="s">
        <v>114</v>
      </c>
      <c r="D1195" s="134" t="s">
        <v>74</v>
      </c>
      <c r="E1195" s="135">
        <f t="shared" si="24"/>
        <v>7</v>
      </c>
      <c r="F1195" s="134" t="s">
        <v>3609</v>
      </c>
      <c r="G1195" s="63" t="str">
        <f>VLOOKUP(C1195, 'Class Def. - General Data'!$C$20:$C$1000,1,false)</f>
        <v>ZFG1_FACEMAKEUP</v>
      </c>
      <c r="H1195" s="63" t="str">
        <f>IFERROR(__xludf.DUMMYFUNCTION("VLOOKUP(F1195, IMPORTRANGE(""https://docs.google.com/spreadsheets/d/1Lhp9OU0JdFf_VYSMzH5lBcEaU4o8teT1piV-SNzShjg/edit?gid=554141278#gid=554141278"", ""'Char Def. - Attributes'!C20:C2242""), 1,false)"),"ADDITIONAL_PROMO")</f>
        <v>ADDITIONAL_PROMO</v>
      </c>
      <c r="I1195" s="136"/>
    </row>
    <row r="1196" ht="15.75" customHeight="1">
      <c r="A1196" s="59"/>
      <c r="B1196" s="63">
        <f t="shared" si="1"/>
        <v>15</v>
      </c>
      <c r="C1196" s="134" t="s">
        <v>114</v>
      </c>
      <c r="D1196" s="134" t="s">
        <v>74</v>
      </c>
      <c r="E1196" s="135">
        <f t="shared" si="24"/>
        <v>8</v>
      </c>
      <c r="F1196" s="134" t="s">
        <v>3610</v>
      </c>
      <c r="G1196" s="63" t="str">
        <f>VLOOKUP(C1196, 'Class Def. - General Data'!$C$20:$C$1000,1,false)</f>
        <v>ZFG1_FACEMAKEUP</v>
      </c>
      <c r="H1196" s="63" t="str">
        <f>IFERROR(__xludf.DUMMYFUNCTION("VLOOKUP(F1196, IMPORTRANGE(""https://docs.google.com/spreadsheets/d/1Lhp9OU0JdFf_VYSMzH5lBcEaU4o8teT1piV-SNzShjg/edit?gid=554141278#gid=554141278"", ""'Char Def. - Attributes'!C20:C2242""), 1,false)"),"BANDED_PROMO")</f>
        <v>BANDED_PROMO</v>
      </c>
      <c r="I1196" s="136"/>
    </row>
    <row r="1197" ht="15.75" customHeight="1">
      <c r="A1197" s="59"/>
      <c r="B1197" s="63">
        <f t="shared" si="1"/>
        <v>15</v>
      </c>
      <c r="C1197" s="134" t="s">
        <v>114</v>
      </c>
      <c r="D1197" s="134" t="s">
        <v>74</v>
      </c>
      <c r="E1197" s="135">
        <f t="shared" si="24"/>
        <v>9</v>
      </c>
      <c r="F1197" s="134" t="s">
        <v>3611</v>
      </c>
      <c r="G1197" s="63" t="str">
        <f>VLOOKUP(C1197, 'Class Def. - General Data'!$C$20:$C$1000,1,false)</f>
        <v>ZFG1_FACEMAKEUP</v>
      </c>
      <c r="H1197" s="63" t="str">
        <f>IFERROR(__xludf.DUMMYFUNCTION("VLOOKUP(F1197, IMPORTRANGE(""https://docs.google.com/spreadsheets/d/1Lhp9OU0JdFf_VYSMzH5lBcEaU4o8teT1piV-SNzShjg/edit?gid=554141278#gid=554141278"", ""'Char Def. - Attributes'!C20:C2242""), 1,false)"),"LOKAL_EKSPOR")</f>
        <v>LOKAL_EKSPOR</v>
      </c>
      <c r="I1197" s="136"/>
    </row>
    <row r="1198" ht="15.75" customHeight="1">
      <c r="A1198" s="59"/>
      <c r="B1198" s="63">
        <f t="shared" si="1"/>
        <v>15</v>
      </c>
      <c r="C1198" s="134" t="s">
        <v>114</v>
      </c>
      <c r="D1198" s="134" t="s">
        <v>74</v>
      </c>
      <c r="E1198" s="135">
        <f t="shared" si="24"/>
        <v>10</v>
      </c>
      <c r="F1198" s="134" t="s">
        <v>3612</v>
      </c>
      <c r="G1198" s="63" t="str">
        <f>VLOOKUP(C1198, 'Class Def. - General Data'!$C$20:$C$1000,1,false)</f>
        <v>ZFG1_FACEMAKEUP</v>
      </c>
      <c r="H1198" s="63" t="str">
        <f>IFERROR(__xludf.DUMMYFUNCTION("VLOOKUP(F1198, IMPORTRANGE(""https://docs.google.com/spreadsheets/d/1Lhp9OU0JdFf_VYSMzH5lBcEaU4o8teT1piV-SNzShjg/edit?gid=554141278#gid=554141278"", ""'Char Def. - Attributes'!C20:C2242""), 1,false)"),"COUNTRY_EKSPOR")</f>
        <v>COUNTRY_EKSPOR</v>
      </c>
      <c r="I1198" s="136"/>
    </row>
    <row r="1199" ht="15.75" customHeight="1">
      <c r="A1199" s="59"/>
      <c r="B1199" s="63">
        <f t="shared" si="1"/>
        <v>15</v>
      </c>
      <c r="C1199" s="134" t="s">
        <v>114</v>
      </c>
      <c r="D1199" s="134" t="s">
        <v>74</v>
      </c>
      <c r="E1199" s="135">
        <f t="shared" si="24"/>
        <v>11</v>
      </c>
      <c r="F1199" s="134" t="s">
        <v>3613</v>
      </c>
      <c r="G1199" s="63" t="str">
        <f>VLOOKUP(C1199, 'Class Def. - General Data'!$C$20:$C$1000,1,false)</f>
        <v>ZFG1_FACEMAKEUP</v>
      </c>
      <c r="H1199" s="63" t="str">
        <f>IFERROR(__xludf.DUMMYFUNCTION("VLOOKUP(F1199, IMPORTRANGE(""https://docs.google.com/spreadsheets/d/1Lhp9OU0JdFf_VYSMzH5lBcEaU4o8teT1piV-SNzShjg/edit?gid=554141278#gid=554141278"", ""'Char Def. - Attributes'!C20:C2242""), 1,false)"),"WARNA_SFG")</f>
        <v>WARNA_SFG</v>
      </c>
      <c r="I1199" s="136"/>
    </row>
    <row r="1200" ht="15.75" customHeight="1">
      <c r="A1200" s="59"/>
      <c r="B1200" s="63">
        <f t="shared" si="1"/>
        <v>15</v>
      </c>
      <c r="C1200" s="134" t="s">
        <v>114</v>
      </c>
      <c r="D1200" s="134" t="s">
        <v>74</v>
      </c>
      <c r="E1200" s="135">
        <f t="shared" si="24"/>
        <v>12</v>
      </c>
      <c r="F1200" s="134" t="s">
        <v>3582</v>
      </c>
      <c r="G1200" s="63" t="str">
        <f>VLOOKUP(C1200, 'Class Def. - General Data'!$C$20:$C$1000,1,false)</f>
        <v>ZFG1_FACEMAKEUP</v>
      </c>
      <c r="H1200" s="63" t="str">
        <f>IFERROR(__xludf.DUMMYFUNCTION("VLOOKUP(F1200, IMPORTRANGE(""https://docs.google.com/spreadsheets/d/1Lhp9OU0JdFf_VYSMzH5lBcEaU4o8teT1piV-SNzShjg/edit?gid=554141278#gid=554141278"", ""'Char Def. - Attributes'!C20:C2242""), 1,false)"),"BASE_UNIT")</f>
        <v>BASE_UNIT</v>
      </c>
      <c r="I1200" s="136"/>
    </row>
    <row r="1201" ht="15.75" customHeight="1">
      <c r="A1201" s="59"/>
      <c r="B1201" s="63">
        <f t="shared" si="1"/>
        <v>15</v>
      </c>
      <c r="C1201" s="134" t="s">
        <v>114</v>
      </c>
      <c r="D1201" s="134" t="s">
        <v>74</v>
      </c>
      <c r="E1201" s="135">
        <f t="shared" si="24"/>
        <v>13</v>
      </c>
      <c r="F1201" s="134" t="s">
        <v>3583</v>
      </c>
      <c r="G1201" s="63" t="str">
        <f>VLOOKUP(C1201, 'Class Def. - General Data'!$C$20:$C$1000,1,false)</f>
        <v>ZFG1_FACEMAKEUP</v>
      </c>
      <c r="H1201" s="63" t="str">
        <f>IFERROR(__xludf.DUMMYFUNCTION("VLOOKUP(F1201, IMPORTRANGE(""https://docs.google.com/spreadsheets/d/1Lhp9OU0JdFf_VYSMzH5lBcEaU4o8teT1piV-SNzShjg/edit?gid=554141278#gid=554141278"", ""'Char Def. - Attributes'!C20:C2242""), 1,false)"),"SALES_UNIT")</f>
        <v>SALES_UNIT</v>
      </c>
      <c r="I1201" s="136"/>
    </row>
    <row r="1202" ht="15.75" customHeight="1">
      <c r="A1202" s="59"/>
      <c r="B1202" s="63">
        <f t="shared" si="1"/>
        <v>15</v>
      </c>
      <c r="C1202" s="134" t="s">
        <v>114</v>
      </c>
      <c r="D1202" s="134" t="s">
        <v>74</v>
      </c>
      <c r="E1202" s="135">
        <f t="shared" si="24"/>
        <v>14</v>
      </c>
      <c r="F1202" s="134" t="s">
        <v>3601</v>
      </c>
      <c r="G1202" s="63" t="str">
        <f>VLOOKUP(C1202, 'Class Def. - General Data'!$C$20:$C$1000,1,false)</f>
        <v>ZFG1_FACEMAKEUP</v>
      </c>
      <c r="H1202" s="63" t="str">
        <f>IFERROR(__xludf.DUMMYFUNCTION("VLOOKUP(F1202, IMPORTRANGE(""https://docs.google.com/spreadsheets/d/1Lhp9OU0JdFf_VYSMzH5lBcEaU4o8teT1piV-SNzShjg/edit?gid=554141278#gid=554141278"", ""'Char Def. - Attributes'!C20:C2242""), 1,false)"),"GROSS_WEIGHT")</f>
        <v>GROSS_WEIGHT</v>
      </c>
      <c r="I1202" s="136"/>
    </row>
    <row r="1203" ht="15.75" customHeight="1">
      <c r="A1203" s="59"/>
      <c r="B1203" s="63">
        <f t="shared" si="1"/>
        <v>15</v>
      </c>
      <c r="C1203" s="134" t="s">
        <v>114</v>
      </c>
      <c r="D1203" s="134" t="s">
        <v>74</v>
      </c>
      <c r="E1203" s="135">
        <f t="shared" si="24"/>
        <v>15</v>
      </c>
      <c r="F1203" s="134" t="s">
        <v>3602</v>
      </c>
      <c r="G1203" s="63" t="str">
        <f>VLOOKUP(C1203, 'Class Def. - General Data'!$C$20:$C$1000,1,false)</f>
        <v>ZFG1_FACEMAKEUP</v>
      </c>
      <c r="H1203" s="63" t="str">
        <f>IFERROR(__xludf.DUMMYFUNCTION("VLOOKUP(F1203, IMPORTRANGE(""https://docs.google.com/spreadsheets/d/1Lhp9OU0JdFf_VYSMzH5lBcEaU4o8teT1piV-SNzShjg/edit?gid=554141278#gid=554141278"", ""'Char Def. - Attributes'!C20:C2242""), 1,false)"),"NET_WEIGHT")</f>
        <v>NET_WEIGHT</v>
      </c>
      <c r="I1203" s="136"/>
    </row>
    <row r="1204" ht="15.75" customHeight="1">
      <c r="A1204" s="59"/>
      <c r="B1204" s="63">
        <f t="shared" si="1"/>
        <v>15</v>
      </c>
      <c r="C1204" s="134" t="s">
        <v>114</v>
      </c>
      <c r="D1204" s="134" t="s">
        <v>74</v>
      </c>
      <c r="E1204" s="135">
        <f t="shared" si="24"/>
        <v>16</v>
      </c>
      <c r="F1204" s="134" t="s">
        <v>3584</v>
      </c>
      <c r="G1204" s="63" t="str">
        <f>VLOOKUP(C1204, 'Class Def. - General Data'!$C$20:$C$1000,1,false)</f>
        <v>ZFG1_FACEMAKEUP</v>
      </c>
      <c r="H1204" s="63" t="str">
        <f>IFERROR(__xludf.DUMMYFUNCTION("VLOOKUP(F1204, IMPORTRANGE(""https://docs.google.com/spreadsheets/d/1Lhp9OU0JdFf_VYSMzH5lBcEaU4o8teT1piV-SNzShjg/edit?gid=554141278#gid=554141278"", ""'Char Def. - Attributes'!C20:C2242""), 1,false)"),"UNIT_PER_BOX")</f>
        <v>UNIT_PER_BOX</v>
      </c>
      <c r="I1204" s="136"/>
    </row>
    <row r="1205" ht="15.75" customHeight="1">
      <c r="A1205" s="59"/>
      <c r="B1205" s="63">
        <f t="shared" si="1"/>
        <v>15</v>
      </c>
      <c r="C1205" s="134" t="s">
        <v>114</v>
      </c>
      <c r="D1205" s="134" t="s">
        <v>74</v>
      </c>
      <c r="E1205" s="135">
        <f t="shared" si="24"/>
        <v>17</v>
      </c>
      <c r="F1205" s="134" t="s">
        <v>3614</v>
      </c>
      <c r="G1205" s="63" t="str">
        <f>VLOOKUP(C1205, 'Class Def. - General Data'!$C$20:$C$1000,1,false)</f>
        <v>ZFG1_FACEMAKEUP</v>
      </c>
      <c r="H1205" s="63" t="str">
        <f>IFERROR(__xludf.DUMMYFUNCTION("VLOOKUP(F1205, IMPORTRANGE(""https://docs.google.com/spreadsheets/d/1Lhp9OU0JdFf_VYSMzH5lBcEaU4o8teT1piV-SNzShjg/edit?gid=554141278#gid=554141278"", ""'Char Def. - Attributes'!C20:C2242""), 1,false)"),"UNIT_PER_CTN")</f>
        <v>UNIT_PER_CTN</v>
      </c>
      <c r="I1205" s="136"/>
    </row>
    <row r="1206" ht="15.75" customHeight="1">
      <c r="A1206" s="59"/>
      <c r="B1206" s="63">
        <f t="shared" si="1"/>
        <v>15</v>
      </c>
      <c r="C1206" s="134" t="s">
        <v>114</v>
      </c>
      <c r="D1206" s="134" t="s">
        <v>74</v>
      </c>
      <c r="E1206" s="135">
        <f t="shared" si="24"/>
        <v>18</v>
      </c>
      <c r="F1206" s="134" t="s">
        <v>3615</v>
      </c>
      <c r="G1206" s="63" t="str">
        <f>VLOOKUP(C1206, 'Class Def. - General Data'!$C$20:$C$1000,1,false)</f>
        <v>ZFG1_FACEMAKEUP</v>
      </c>
      <c r="H1206" s="63" t="str">
        <f>IFERROR(__xludf.DUMMYFUNCTION("VLOOKUP(F1206, IMPORTRANGE(""https://docs.google.com/spreadsheets/d/1Lhp9OU0JdFf_VYSMzH5lBcEaU4o8teT1piV-SNzShjg/edit?gid=554141278#gid=554141278"", ""'Char Def. - Attributes'!C20:C2242""), 1,false)"),"UNIT_PER_BAG")</f>
        <v>UNIT_PER_BAG</v>
      </c>
      <c r="I1206" s="136"/>
    </row>
    <row r="1207" ht="15.75" customHeight="1">
      <c r="A1207" s="59"/>
      <c r="B1207" s="63">
        <f t="shared" si="1"/>
        <v>15</v>
      </c>
      <c r="C1207" s="134" t="s">
        <v>114</v>
      </c>
      <c r="D1207" s="134" t="s">
        <v>74</v>
      </c>
      <c r="E1207" s="135">
        <f t="shared" si="24"/>
        <v>19</v>
      </c>
      <c r="F1207" s="134" t="s">
        <v>3616</v>
      </c>
      <c r="G1207" s="63" t="str">
        <f>VLOOKUP(C1207, 'Class Def. - General Data'!$C$20:$C$1000,1,false)</f>
        <v>ZFG1_FACEMAKEUP</v>
      </c>
      <c r="H1207" s="63" t="str">
        <f>IFERROR(__xludf.DUMMYFUNCTION("VLOOKUP(F1207, IMPORTRANGE(""https://docs.google.com/spreadsheets/d/1Lhp9OU0JdFf_VYSMzH5lBcEaU4o8teT1piV-SNzShjg/edit?gid=554141278#gid=554141278"", ""'Char Def. - Attributes'!C20:C2242""), 1,false)"),"UNIT_PER_PAL")</f>
        <v>UNIT_PER_PAL</v>
      </c>
      <c r="I1207" s="136"/>
    </row>
    <row r="1208" ht="15.75" customHeight="1">
      <c r="A1208" s="59"/>
      <c r="B1208" s="63">
        <f t="shared" si="1"/>
        <v>15</v>
      </c>
      <c r="C1208" s="134" t="s">
        <v>114</v>
      </c>
      <c r="D1208" s="134" t="s">
        <v>74</v>
      </c>
      <c r="E1208" s="135">
        <f t="shared" si="24"/>
        <v>20</v>
      </c>
      <c r="F1208" s="134" t="s">
        <v>3617</v>
      </c>
      <c r="G1208" s="63" t="str">
        <f>VLOOKUP(C1208, 'Class Def. - General Data'!$C$20:$C$1000,1,false)</f>
        <v>ZFG1_FACEMAKEUP</v>
      </c>
      <c r="H1208" s="63" t="str">
        <f>IFERROR(__xludf.DUMMYFUNCTION("VLOOKUP(F1208, IMPORTRANGE(""https://docs.google.com/spreadsheets/d/1Lhp9OU0JdFf_VYSMzH5lBcEaU4o8teT1piV-SNzShjg/edit?gid=554141278#gid=554141278"", ""'Char Def. - Attributes'!C20:C2242""), 1,false)"),"UNIT_PER_TIER")</f>
        <v>UNIT_PER_TIER</v>
      </c>
      <c r="I1208" s="136"/>
    </row>
    <row r="1209" ht="15.75" customHeight="1">
      <c r="A1209" s="59"/>
      <c r="B1209" s="63">
        <f t="shared" si="1"/>
        <v>15</v>
      </c>
      <c r="C1209" s="134" t="s">
        <v>114</v>
      </c>
      <c r="D1209" s="134" t="s">
        <v>74</v>
      </c>
      <c r="E1209" s="135">
        <f t="shared" si="24"/>
        <v>21</v>
      </c>
      <c r="F1209" s="134" t="s">
        <v>3618</v>
      </c>
      <c r="G1209" s="63" t="str">
        <f>VLOOKUP(C1209, 'Class Def. - General Data'!$C$20:$C$1000,1,false)</f>
        <v>ZFG1_FACEMAKEUP</v>
      </c>
      <c r="H1209" s="63" t="str">
        <f>IFERROR(__xludf.DUMMYFUNCTION("VLOOKUP(F1209, IMPORTRANGE(""https://docs.google.com/spreadsheets/d/1Lhp9OU0JdFf_VYSMzH5lBcEaU4o8teT1piV-SNzShjg/edit?gid=554141278#gid=554141278"", ""'Char Def. - Attributes'!C20:C2242""), 1,false)"),"HEIGHT")</f>
        <v>HEIGHT</v>
      </c>
      <c r="I1209" s="136"/>
    </row>
    <row r="1210" ht="15.75" customHeight="1">
      <c r="A1210" s="59"/>
      <c r="B1210" s="63">
        <f t="shared" si="1"/>
        <v>15</v>
      </c>
      <c r="C1210" s="134" t="s">
        <v>114</v>
      </c>
      <c r="D1210" s="134" t="s">
        <v>74</v>
      </c>
      <c r="E1210" s="135">
        <f t="shared" si="24"/>
        <v>22</v>
      </c>
      <c r="F1210" s="134" t="s">
        <v>3587</v>
      </c>
      <c r="G1210" s="63" t="str">
        <f>VLOOKUP(C1210, 'Class Def. - General Data'!$C$20:$C$1000,1,false)</f>
        <v>ZFG1_FACEMAKEUP</v>
      </c>
      <c r="H1210" s="63" t="str">
        <f>IFERROR(__xludf.DUMMYFUNCTION("VLOOKUP(F1210, IMPORTRANGE(""https://docs.google.com/spreadsheets/d/1Lhp9OU0JdFf_VYSMzH5lBcEaU4o8teT1piV-SNzShjg/edit?gid=554141278#gid=554141278"", ""'Char Def. - Attributes'!C20:C2242""), 1,false)"),"PLANT_BUY")</f>
        <v>PLANT_BUY</v>
      </c>
      <c r="I1210" s="136"/>
    </row>
    <row r="1211" ht="15.75" customHeight="1">
      <c r="A1211" s="59"/>
      <c r="B1211" s="63">
        <f t="shared" si="1"/>
        <v>15</v>
      </c>
      <c r="C1211" s="134" t="s">
        <v>114</v>
      </c>
      <c r="D1211" s="134" t="s">
        <v>74</v>
      </c>
      <c r="E1211" s="135">
        <f t="shared" si="24"/>
        <v>23</v>
      </c>
      <c r="F1211" s="134" t="s">
        <v>3619</v>
      </c>
      <c r="G1211" s="63" t="str">
        <f>VLOOKUP(C1211, 'Class Def. - General Data'!$C$20:$C$1000,1,false)</f>
        <v>ZFG1_FACEMAKEUP</v>
      </c>
      <c r="H1211" s="63" t="str">
        <f>IFERROR(__xludf.DUMMYFUNCTION("VLOOKUP(F1211, IMPORTRANGE(""https://docs.google.com/spreadsheets/d/1Lhp9OU0JdFf_VYSMzH5lBcEaU4o8teT1piV-SNzShjg/edit?gid=554141278#gid=554141278"", ""'Char Def. - Attributes'!C20:C2242""), 1,false)"),"LENGTH")</f>
        <v>LENGTH</v>
      </c>
      <c r="I1211" s="136"/>
    </row>
    <row r="1212" ht="15.75" customHeight="1">
      <c r="A1212" s="59"/>
      <c r="B1212" s="63">
        <f t="shared" si="1"/>
        <v>15</v>
      </c>
      <c r="C1212" s="134" t="s">
        <v>114</v>
      </c>
      <c r="D1212" s="134" t="s">
        <v>74</v>
      </c>
      <c r="E1212" s="135">
        <f t="shared" si="24"/>
        <v>24</v>
      </c>
      <c r="F1212" s="134" t="s">
        <v>3586</v>
      </c>
      <c r="G1212" s="63" t="str">
        <f>VLOOKUP(C1212, 'Class Def. - General Data'!$C$20:$C$1000,1,false)</f>
        <v>ZFG1_FACEMAKEUP</v>
      </c>
      <c r="H1212" s="63" t="str">
        <f>IFERROR(__xludf.DUMMYFUNCTION("VLOOKUP(F1212, IMPORTRANGE(""https://docs.google.com/spreadsheets/d/1Lhp9OU0JdFf_VYSMzH5lBcEaU4o8teT1piV-SNzShjg/edit?gid=554141278#gid=554141278"", ""'Char Def. - Attributes'!C20:C2242""), 1,false)"),"PLANT_PROD")</f>
        <v>PLANT_PROD</v>
      </c>
      <c r="I1212" s="136"/>
    </row>
    <row r="1213" ht="15.75" customHeight="1">
      <c r="A1213" s="59"/>
      <c r="B1213" s="63">
        <f t="shared" si="1"/>
        <v>15</v>
      </c>
      <c r="C1213" s="134" t="s">
        <v>114</v>
      </c>
      <c r="D1213" s="134" t="s">
        <v>74</v>
      </c>
      <c r="E1213" s="135">
        <f t="shared" si="24"/>
        <v>25</v>
      </c>
      <c r="F1213" s="134" t="s">
        <v>3620</v>
      </c>
      <c r="G1213" s="63" t="str">
        <f>VLOOKUP(C1213, 'Class Def. - General Data'!$C$20:$C$1000,1,false)</f>
        <v>ZFG1_FACEMAKEUP</v>
      </c>
      <c r="H1213" s="63" t="str">
        <f>IFERROR(__xludf.DUMMYFUNCTION("VLOOKUP(F1213, IMPORTRANGE(""https://docs.google.com/spreadsheets/d/1Lhp9OU0JdFf_VYSMzH5lBcEaU4o8teT1piV-SNzShjg/edit?gid=554141278#gid=554141278"", ""'Char Def. - Attributes'!C20:C2242""), 1,false)"),"WIDTH")</f>
        <v>WIDTH</v>
      </c>
      <c r="I1213" s="136"/>
    </row>
    <row r="1214" ht="15.75" customHeight="1">
      <c r="A1214" s="59"/>
      <c r="B1214" s="63">
        <f t="shared" si="1"/>
        <v>15</v>
      </c>
      <c r="C1214" s="134" t="s">
        <v>114</v>
      </c>
      <c r="D1214" s="134" t="s">
        <v>74</v>
      </c>
      <c r="E1214" s="135">
        <f t="shared" si="24"/>
        <v>26</v>
      </c>
      <c r="F1214" s="134" t="s">
        <v>3585</v>
      </c>
      <c r="G1214" s="63" t="str">
        <f>VLOOKUP(C1214, 'Class Def. - General Data'!$C$20:$C$1000,1,false)</f>
        <v>ZFG1_FACEMAKEUP</v>
      </c>
      <c r="H1214" s="63" t="str">
        <f>IFERROR(__xludf.DUMMYFUNCTION("VLOOKUP(F1214, IMPORTRANGE(""https://docs.google.com/spreadsheets/d/1Lhp9OU0JdFf_VYSMzH5lBcEaU4o8teT1piV-SNzShjg/edit?gid=554141278#gid=554141278"", ""'Char Def. - Attributes'!C20:C2242""), 1,false)"),"HS_CODE")</f>
        <v>HS_CODE</v>
      </c>
      <c r="I1214" s="136"/>
    </row>
    <row r="1215" ht="15.75" customHeight="1">
      <c r="A1215" s="59"/>
      <c r="B1215" s="63">
        <f t="shared" si="1"/>
        <v>15</v>
      </c>
      <c r="C1215" s="134" t="s">
        <v>114</v>
      </c>
      <c r="D1215" s="134" t="s">
        <v>74</v>
      </c>
      <c r="E1215" s="135">
        <f t="shared" si="24"/>
        <v>27</v>
      </c>
      <c r="F1215" s="134" t="s">
        <v>3621</v>
      </c>
      <c r="G1215" s="63" t="str">
        <f>VLOOKUP(C1215, 'Class Def. - General Data'!$C$20:$C$1000,1,false)</f>
        <v>ZFG1_FACEMAKEUP</v>
      </c>
      <c r="H1215" s="63" t="str">
        <f>IFERROR(__xludf.DUMMYFUNCTION("VLOOKUP(F1215, IMPORTRANGE(""https://docs.google.com/spreadsheets/d/1Lhp9OU0JdFf_VYSMzH5lBcEaU4o8teT1piV-SNzShjg/edit?gid=554141278#gid=554141278"", ""'Char Def. - Attributes'!C20:C2242""), 1,false)"),"EAN_PCS")</f>
        <v>EAN_PCS</v>
      </c>
      <c r="I1215" s="136"/>
    </row>
    <row r="1216" ht="15.75" customHeight="1">
      <c r="A1216" s="59"/>
      <c r="B1216" s="63">
        <f t="shared" si="1"/>
        <v>15</v>
      </c>
      <c r="C1216" s="134" t="s">
        <v>114</v>
      </c>
      <c r="D1216" s="134" t="s">
        <v>74</v>
      </c>
      <c r="E1216" s="135">
        <f t="shared" si="24"/>
        <v>28</v>
      </c>
      <c r="F1216" s="134" t="s">
        <v>3622</v>
      </c>
      <c r="G1216" s="63" t="str">
        <f>VLOOKUP(C1216, 'Class Def. - General Data'!$C$20:$C$1000,1,false)</f>
        <v>ZFG1_FACEMAKEUP</v>
      </c>
      <c r="H1216" s="63" t="str">
        <f>IFERROR(__xludf.DUMMYFUNCTION("VLOOKUP(F1216, IMPORTRANGE(""https://docs.google.com/spreadsheets/d/1Lhp9OU0JdFf_VYSMzH5lBcEaU4o8teT1piV-SNzShjg/edit?gid=554141278#gid=554141278"", ""'Char Def. - Attributes'!C20:C2242""), 1,false)"),"SFG_BRAND")</f>
        <v>SFG_BRAND</v>
      </c>
      <c r="I1216" s="136"/>
    </row>
    <row r="1217" ht="15.75" customHeight="1">
      <c r="A1217" s="59"/>
      <c r="B1217" s="63">
        <f t="shared" si="1"/>
        <v>15</v>
      </c>
      <c r="C1217" s="134" t="s">
        <v>114</v>
      </c>
      <c r="D1217" s="134" t="s">
        <v>74</v>
      </c>
      <c r="E1217" s="135">
        <f t="shared" si="24"/>
        <v>29</v>
      </c>
      <c r="F1217" s="134" t="s">
        <v>3623</v>
      </c>
      <c r="G1217" s="63" t="str">
        <f>VLOOKUP(C1217, 'Class Def. - General Data'!$C$20:$C$1000,1,false)</f>
        <v>ZFG1_FACEMAKEUP</v>
      </c>
      <c r="H1217" s="63" t="str">
        <f>IFERROR(__xludf.DUMMYFUNCTION("VLOOKUP(F1217, IMPORTRANGE(""https://docs.google.com/spreadsheets/d/1Lhp9OU0JdFf_VYSMzH5lBcEaU4o8teT1piV-SNzShjg/edit?gid=554141278#gid=554141278"", ""'Char Def. - Attributes'!C20:C2242""), 1,false)"),"LANGUAGE")</f>
        <v>LANGUAGE</v>
      </c>
      <c r="I1217" s="136"/>
    </row>
    <row r="1218" ht="15.75" customHeight="1">
      <c r="A1218" s="59"/>
      <c r="B1218" s="63">
        <f t="shared" si="1"/>
        <v>15</v>
      </c>
      <c r="C1218" s="139" t="s">
        <v>114</v>
      </c>
      <c r="D1218" s="139" t="s">
        <v>74</v>
      </c>
      <c r="E1218" s="140">
        <f t="shared" si="24"/>
        <v>30</v>
      </c>
      <c r="F1218" s="134" t="s">
        <v>3624</v>
      </c>
      <c r="G1218" s="63" t="str">
        <f>VLOOKUP(C1218, 'Class Def. - General Data'!$C$20:$C$1000,1,false)</f>
        <v>ZFG1_FACEMAKEUP</v>
      </c>
      <c r="H1218" s="63" t="str">
        <f>IFERROR(__xludf.DUMMYFUNCTION("VLOOKUP(F1218, IMPORTRANGE(""https://docs.google.com/spreadsheets/d/1Lhp9OU0JdFf_VYSMzH5lBcEaU4o8teT1piV-SNzShjg/edit?gid=554141278#gid=554141278"", ""'Char Def. - Attributes'!C20:C2242""), 1,false)"),"#N/A")</f>
        <v>#N/A</v>
      </c>
      <c r="I1218" s="136"/>
    </row>
    <row r="1219" ht="15.75" customHeight="1">
      <c r="A1219" s="59"/>
      <c r="B1219" s="63">
        <f t="shared" si="1"/>
        <v>15</v>
      </c>
      <c r="C1219" s="134" t="s">
        <v>114</v>
      </c>
      <c r="D1219" s="134" t="s">
        <v>74</v>
      </c>
      <c r="E1219" s="135">
        <f t="shared" si="24"/>
        <v>31</v>
      </c>
      <c r="F1219" s="134" t="s">
        <v>3625</v>
      </c>
      <c r="G1219" s="63" t="str">
        <f>VLOOKUP(C1219, 'Class Def. - General Data'!$C$20:$C$1000,1,false)</f>
        <v>ZFG1_FACEMAKEUP</v>
      </c>
      <c r="H1219" s="63" t="str">
        <f>IFERROR(__xludf.DUMMYFUNCTION("VLOOKUP(F1219, IMPORTRANGE(""https://docs.google.com/spreadsheets/d/1Lhp9OU0JdFf_VYSMzH5lBcEaU4o8teT1piV-SNzShjg/edit?gid=554141278#gid=554141278"", ""'Char Def. - Attributes'!C20:C2242""), 1,false)"),"REGION_EKSPOR")</f>
        <v>REGION_EKSPOR</v>
      </c>
      <c r="I1219" s="136"/>
    </row>
    <row r="1220" ht="15.75" customHeight="1">
      <c r="A1220" s="59"/>
      <c r="B1220" s="63">
        <f t="shared" si="1"/>
        <v>15</v>
      </c>
      <c r="C1220" s="134" t="s">
        <v>114</v>
      </c>
      <c r="D1220" s="134" t="s">
        <v>74</v>
      </c>
      <c r="E1220" s="135">
        <f t="shared" si="24"/>
        <v>32</v>
      </c>
      <c r="F1220" s="134" t="s">
        <v>3626</v>
      </c>
      <c r="G1220" s="63" t="str">
        <f>VLOOKUP(C1220, 'Class Def. - General Data'!$C$20:$C$1000,1,false)</f>
        <v>ZFG1_FACEMAKEUP</v>
      </c>
      <c r="H1220" s="63" t="str">
        <f>IFERROR(__xludf.DUMMYFUNCTION("VLOOKUP(F1220, IMPORTRANGE(""https://docs.google.com/spreadsheets/d/1Lhp9OU0JdFf_VYSMzH5lBcEaU4o8teT1piV-SNzShjg/edit?gid=554141278#gid=554141278"", ""'Char Def. - Attributes'!C20:C2242""), 1,false)"),"STICKER_NOT")</f>
        <v>STICKER_NOT</v>
      </c>
      <c r="I1220" s="136"/>
    </row>
    <row r="1221" ht="15.75" customHeight="1">
      <c r="A1221" s="59"/>
      <c r="B1221" s="63">
        <f t="shared" si="1"/>
        <v>15</v>
      </c>
      <c r="C1221" s="134" t="s">
        <v>114</v>
      </c>
      <c r="D1221" s="134" t="s">
        <v>74</v>
      </c>
      <c r="E1221" s="135">
        <f t="shared" si="24"/>
        <v>33</v>
      </c>
      <c r="F1221" s="134" t="s">
        <v>3627</v>
      </c>
      <c r="G1221" s="63" t="str">
        <f>VLOOKUP(C1221, 'Class Def. - General Data'!$C$20:$C$1000,1,false)</f>
        <v>ZFG1_FACEMAKEUP</v>
      </c>
      <c r="H1221" s="63" t="str">
        <f>IFERROR(__xludf.DUMMYFUNCTION("VLOOKUP(F1221, IMPORTRANGE(""https://docs.google.com/spreadsheets/d/1Lhp9OU0JdFf_VYSMzH5lBcEaU4o8teT1piV-SNzShjg/edit?gid=554141278#gid=554141278"", ""'Char Def. - Attributes'!C20:C2242""), 1,false)"),"SHIP_MARK")</f>
        <v>SHIP_MARK</v>
      </c>
      <c r="I1221" s="136"/>
    </row>
    <row r="1222" ht="15.75" customHeight="1">
      <c r="A1222" s="59"/>
      <c r="B1222" s="63">
        <f t="shared" si="1"/>
        <v>15</v>
      </c>
      <c r="C1222" s="134" t="s">
        <v>114</v>
      </c>
      <c r="D1222" s="134" t="s">
        <v>74</v>
      </c>
      <c r="E1222" s="135">
        <f t="shared" si="24"/>
        <v>34</v>
      </c>
      <c r="F1222" s="134" t="s">
        <v>3628</v>
      </c>
      <c r="G1222" s="63" t="str">
        <f>VLOOKUP(C1222, 'Class Def. - General Data'!$C$20:$C$1000,1,false)</f>
        <v>ZFG1_FACEMAKEUP</v>
      </c>
      <c r="H1222" s="63" t="str">
        <f>IFERROR(__xludf.DUMMYFUNCTION("VLOOKUP(F1222, IMPORTRANGE(""https://docs.google.com/spreadsheets/d/1Lhp9OU0JdFf_VYSMzH5lBcEaU4o8teT1piV-SNzShjg/edit?gid=554141278#gid=554141278"", ""'Char Def. - Attributes'!C20:C2242""), 1,false)"),"MID_CORE")</f>
        <v>MID_CORE</v>
      </c>
      <c r="I1222" s="136"/>
    </row>
    <row r="1223" ht="15.75" customHeight="1">
      <c r="A1223" s="59"/>
      <c r="B1223" s="63">
        <f t="shared" si="1"/>
        <v>15</v>
      </c>
      <c r="C1223" s="134" t="s">
        <v>114</v>
      </c>
      <c r="D1223" s="134" t="s">
        <v>74</v>
      </c>
      <c r="E1223" s="135">
        <f t="shared" si="24"/>
        <v>35</v>
      </c>
      <c r="F1223" s="134" t="s">
        <v>3629</v>
      </c>
      <c r="G1223" s="63" t="str">
        <f>VLOOKUP(C1223, 'Class Def. - General Data'!$C$20:$C$1000,1,false)</f>
        <v>ZFG1_FACEMAKEUP</v>
      </c>
      <c r="H1223" s="63" t="str">
        <f>IFERROR(__xludf.DUMMYFUNCTION("VLOOKUP(F1223, IMPORTRANGE(""https://docs.google.com/spreadsheets/d/1Lhp9OU0JdFf_VYSMzH5lBcEaU4o8teT1piV-SNzShjg/edit?gid=554141278#gid=554141278"", ""'Char Def. - Attributes'!C20:C2242""), 1,false)"),"EAN_CTN")</f>
        <v>EAN_CTN</v>
      </c>
      <c r="I1223" s="136"/>
    </row>
    <row r="1224" ht="15.75" customHeight="1">
      <c r="A1224" s="59"/>
      <c r="B1224" s="63">
        <f t="shared" si="1"/>
        <v>15</v>
      </c>
      <c r="C1224" s="134" t="s">
        <v>114</v>
      </c>
      <c r="D1224" s="134" t="s">
        <v>74</v>
      </c>
      <c r="E1224" s="135">
        <f t="shared" si="24"/>
        <v>36</v>
      </c>
      <c r="F1224" s="134" t="s">
        <v>3630</v>
      </c>
      <c r="G1224" s="63" t="str">
        <f>VLOOKUP(C1224, 'Class Def. - General Data'!$C$20:$C$1000,1,false)</f>
        <v>ZFG1_FACEMAKEUP</v>
      </c>
      <c r="H1224" s="63" t="str">
        <f>IFERROR(__xludf.DUMMYFUNCTION("VLOOKUP(F1224, IMPORTRANGE(""https://docs.google.com/spreadsheets/d/1Lhp9OU0JdFf_VYSMzH5lBcEaU4o8teT1piV-SNzShjg/edit?gid=554141278#gid=554141278"", ""'Char Def. - Attributes'!C20:C2242""), 1,false)"),"EAN_BOX")</f>
        <v>EAN_BOX</v>
      </c>
      <c r="I1224" s="136"/>
    </row>
    <row r="1225" ht="15.75" customHeight="1">
      <c r="A1225" s="59"/>
      <c r="B1225" s="63">
        <f t="shared" si="1"/>
        <v>15</v>
      </c>
      <c r="C1225" s="134" t="s">
        <v>114</v>
      </c>
      <c r="D1225" s="141" t="s">
        <v>74</v>
      </c>
      <c r="E1225" s="135">
        <v>22.0</v>
      </c>
      <c r="F1225" s="135" t="s">
        <v>3603</v>
      </c>
      <c r="G1225" s="63" t="str">
        <f>VLOOKUP(C1225, 'Class Def. - General Data'!$C$20:$C$1000,1,false)</f>
        <v>ZFG1_FACEMAKEUP</v>
      </c>
      <c r="I1225" s="136"/>
    </row>
    <row r="1226" ht="15.75" customHeight="1">
      <c r="A1226" s="59"/>
      <c r="B1226" s="63">
        <f t="shared" si="1"/>
        <v>17</v>
      </c>
      <c r="C1226" s="134" t="s">
        <v>115</v>
      </c>
      <c r="D1226" s="134" t="s">
        <v>74</v>
      </c>
      <c r="E1226" s="135">
        <f t="shared" ref="E1226:E1261" si="25">COUNTIF($C$20:C1226,C1226)</f>
        <v>1</v>
      </c>
      <c r="F1226" s="134" t="s">
        <v>3686</v>
      </c>
      <c r="G1226" s="63" t="str">
        <f>VLOOKUP(C1226, 'Class Def. - General Data'!$C$20:$C$1000,1,false)</f>
        <v>ZFG1_FLOORCLEANER</v>
      </c>
      <c r="H1226" s="63" t="str">
        <f>IFERROR(__xludf.DUMMYFUNCTION("VLOOKUP(F1226, IMPORTRANGE(""https://docs.google.com/spreadsheets/d/1Lhp9OU0JdFf_VYSMzH5lBcEaU4o8teT1piV-SNzShjg/edit?gid=554141278#gid=554141278"", ""'Char Def. - Attributes'!C20:C2242""), 1,false)"),"BRAND_FLOORCLEANER")</f>
        <v>BRAND_FLOORCLEANER</v>
      </c>
      <c r="I1226" s="136"/>
    </row>
    <row r="1227" ht="15.75" customHeight="1">
      <c r="A1227" s="59"/>
      <c r="B1227" s="63">
        <f t="shared" si="1"/>
        <v>17</v>
      </c>
      <c r="C1227" s="135" t="s">
        <v>115</v>
      </c>
      <c r="D1227" s="134" t="s">
        <v>74</v>
      </c>
      <c r="E1227" s="135">
        <f t="shared" si="25"/>
        <v>2</v>
      </c>
      <c r="F1227" s="134" t="s">
        <v>3687</v>
      </c>
      <c r="G1227" s="63" t="str">
        <f>VLOOKUP(C1227, 'Class Def. - General Data'!$C$20:$C$1000,1,false)</f>
        <v>ZFG1_FLOORCLEANER</v>
      </c>
      <c r="H1227" s="63" t="str">
        <f>IFERROR(__xludf.DUMMYFUNCTION("VLOOKUP(F1227, IMPORTRANGE(""https://docs.google.com/spreadsheets/d/1Lhp9OU0JdFf_VYSMzH5lBcEaU4o8teT1piV-SNzShjg/edit?gid=554141278#gid=554141278"", ""'Char Def. - Attributes'!C20:C2242""), 1,false)"),"PSHAPE_FLOORCLEANER")</f>
        <v>PSHAPE_FLOORCLEANER</v>
      </c>
      <c r="I1227" s="136"/>
    </row>
    <row r="1228" ht="15.75" customHeight="1">
      <c r="A1228" s="59"/>
      <c r="B1228" s="63">
        <f t="shared" si="1"/>
        <v>17</v>
      </c>
      <c r="C1228" s="134" t="s">
        <v>115</v>
      </c>
      <c r="D1228" s="134" t="s">
        <v>74</v>
      </c>
      <c r="E1228" s="135">
        <f t="shared" si="25"/>
        <v>3</v>
      </c>
      <c r="F1228" s="134" t="s">
        <v>3605</v>
      </c>
      <c r="G1228" s="63" t="str">
        <f>VLOOKUP(C1228, 'Class Def. - General Data'!$C$20:$C$1000,1,false)</f>
        <v>ZFG1_FLOORCLEANER</v>
      </c>
      <c r="H1228" s="63" t="str">
        <f>IFERROR(__xludf.DUMMYFUNCTION("VLOOKUP(F1228, IMPORTRANGE(""https://docs.google.com/spreadsheets/d/1Lhp9OU0JdFf_VYSMzH5lBcEaU4o8teT1piV-SNzShjg/edit?gid=554141278#gid=554141278"", ""'Char Def. - Attributes'!C20:C2242""), 1,false)"),"PACK_NETTO")</f>
        <v>PACK_NETTO</v>
      </c>
      <c r="I1228" s="136"/>
    </row>
    <row r="1229" ht="15.75" customHeight="1">
      <c r="A1229" s="59"/>
      <c r="B1229" s="63">
        <f t="shared" si="1"/>
        <v>17</v>
      </c>
      <c r="C1229" s="135" t="s">
        <v>115</v>
      </c>
      <c r="D1229" s="134" t="s">
        <v>74</v>
      </c>
      <c r="E1229" s="135">
        <f t="shared" si="25"/>
        <v>4</v>
      </c>
      <c r="F1229" s="134" t="s">
        <v>3688</v>
      </c>
      <c r="G1229" s="63" t="str">
        <f>VLOOKUP(C1229, 'Class Def. - General Data'!$C$20:$C$1000,1,false)</f>
        <v>ZFG1_FLOORCLEANER</v>
      </c>
      <c r="H1229" s="63" t="str">
        <f>IFERROR(__xludf.DUMMYFUNCTION("VLOOKUP(F1229, IMPORTRANGE(""https://docs.google.com/spreadsheets/d/1Lhp9OU0JdFf_VYSMzH5lBcEaU4o8teT1piV-SNzShjg/edit?gid=554141278#gid=554141278"", ""'Char Def. - Attributes'!C20:C2242""), 1,false)"),"PUOM_FLOORCLEANER")</f>
        <v>PUOM_FLOORCLEANER</v>
      </c>
      <c r="I1229" s="136"/>
    </row>
    <row r="1230" ht="15.75" customHeight="1">
      <c r="A1230" s="59"/>
      <c r="B1230" s="63">
        <f t="shared" si="1"/>
        <v>17</v>
      </c>
      <c r="C1230" s="134" t="s">
        <v>115</v>
      </c>
      <c r="D1230" s="134" t="s">
        <v>74</v>
      </c>
      <c r="E1230" s="135">
        <f t="shared" si="25"/>
        <v>5</v>
      </c>
      <c r="F1230" s="134" t="s">
        <v>3607</v>
      </c>
      <c r="G1230" s="63" t="str">
        <f>VLOOKUP(C1230, 'Class Def. - General Data'!$C$20:$C$1000,1,false)</f>
        <v>ZFG1_FLOORCLEANER</v>
      </c>
      <c r="H1230" s="63" t="str">
        <f>IFERROR(__xludf.DUMMYFUNCTION("VLOOKUP(F1230, IMPORTRANGE(""https://docs.google.com/spreadsheets/d/1Lhp9OU0JdFf_VYSMzH5lBcEaU4o8teT1piV-SNzShjg/edit?gid=554141278#gid=554141278"", ""'Char Def. - Attributes'!C20:C2242""), 1,false)"),"VARIAN")</f>
        <v>VARIAN</v>
      </c>
      <c r="I1230" s="136"/>
    </row>
    <row r="1231" ht="15.75" customHeight="1">
      <c r="A1231" s="59"/>
      <c r="B1231" s="63">
        <f t="shared" si="1"/>
        <v>17</v>
      </c>
      <c r="C1231" s="134" t="s">
        <v>115</v>
      </c>
      <c r="D1231" s="134" t="s">
        <v>74</v>
      </c>
      <c r="E1231" s="135">
        <f t="shared" si="25"/>
        <v>6</v>
      </c>
      <c r="F1231" s="134" t="s">
        <v>3608</v>
      </c>
      <c r="G1231" s="63" t="str">
        <f>VLOOKUP(C1231, 'Class Def. - General Data'!$C$20:$C$1000,1,false)</f>
        <v>ZFG1_FLOORCLEANER</v>
      </c>
      <c r="H1231" s="63" t="str">
        <f>IFERROR(__xludf.DUMMYFUNCTION("VLOOKUP(F1231, IMPORTRANGE(""https://docs.google.com/spreadsheets/d/1Lhp9OU0JdFf_VYSMzH5lBcEaU4o8teT1piV-SNzShjg/edit?gid=554141278#gid=554141278"", ""'Char Def. - Attributes'!C20:C2242""), 1,false)"),"PROJECT_NAME")</f>
        <v>PROJECT_NAME</v>
      </c>
      <c r="I1231" s="136"/>
    </row>
    <row r="1232" ht="15.75" customHeight="1">
      <c r="A1232" s="59"/>
      <c r="B1232" s="63">
        <f t="shared" si="1"/>
        <v>17</v>
      </c>
      <c r="C1232" s="134" t="s">
        <v>115</v>
      </c>
      <c r="D1232" s="134" t="s">
        <v>74</v>
      </c>
      <c r="E1232" s="135">
        <f t="shared" si="25"/>
        <v>7</v>
      </c>
      <c r="F1232" s="134" t="s">
        <v>3609</v>
      </c>
      <c r="G1232" s="63" t="str">
        <f>VLOOKUP(C1232, 'Class Def. - General Data'!$C$20:$C$1000,1,false)</f>
        <v>ZFG1_FLOORCLEANER</v>
      </c>
      <c r="H1232" s="63" t="str">
        <f>IFERROR(__xludf.DUMMYFUNCTION("VLOOKUP(F1232, IMPORTRANGE(""https://docs.google.com/spreadsheets/d/1Lhp9OU0JdFf_VYSMzH5lBcEaU4o8teT1piV-SNzShjg/edit?gid=554141278#gid=554141278"", ""'Char Def. - Attributes'!C20:C2242""), 1,false)"),"ADDITIONAL_PROMO")</f>
        <v>ADDITIONAL_PROMO</v>
      </c>
      <c r="I1232" s="136"/>
    </row>
    <row r="1233" ht="15.75" customHeight="1">
      <c r="A1233" s="59"/>
      <c r="B1233" s="63">
        <f t="shared" si="1"/>
        <v>17</v>
      </c>
      <c r="C1233" s="134" t="s">
        <v>115</v>
      </c>
      <c r="D1233" s="134" t="s">
        <v>74</v>
      </c>
      <c r="E1233" s="135">
        <f t="shared" si="25"/>
        <v>8</v>
      </c>
      <c r="F1233" s="134" t="s">
        <v>3610</v>
      </c>
      <c r="G1233" s="63" t="str">
        <f>VLOOKUP(C1233, 'Class Def. - General Data'!$C$20:$C$1000,1,false)</f>
        <v>ZFG1_FLOORCLEANER</v>
      </c>
      <c r="H1233" s="63" t="str">
        <f>IFERROR(__xludf.DUMMYFUNCTION("VLOOKUP(F1233, IMPORTRANGE(""https://docs.google.com/spreadsheets/d/1Lhp9OU0JdFf_VYSMzH5lBcEaU4o8teT1piV-SNzShjg/edit?gid=554141278#gid=554141278"", ""'Char Def. - Attributes'!C20:C2242""), 1,false)"),"BANDED_PROMO")</f>
        <v>BANDED_PROMO</v>
      </c>
      <c r="I1233" s="136"/>
    </row>
    <row r="1234" ht="15.75" customHeight="1">
      <c r="A1234" s="59"/>
      <c r="B1234" s="63">
        <f t="shared" si="1"/>
        <v>17</v>
      </c>
      <c r="C1234" s="134" t="s">
        <v>115</v>
      </c>
      <c r="D1234" s="134" t="s">
        <v>74</v>
      </c>
      <c r="E1234" s="135">
        <f t="shared" si="25"/>
        <v>9</v>
      </c>
      <c r="F1234" s="134" t="s">
        <v>3611</v>
      </c>
      <c r="G1234" s="63" t="str">
        <f>VLOOKUP(C1234, 'Class Def. - General Data'!$C$20:$C$1000,1,false)</f>
        <v>ZFG1_FLOORCLEANER</v>
      </c>
      <c r="H1234" s="63" t="str">
        <f>IFERROR(__xludf.DUMMYFUNCTION("VLOOKUP(F1234, IMPORTRANGE(""https://docs.google.com/spreadsheets/d/1Lhp9OU0JdFf_VYSMzH5lBcEaU4o8teT1piV-SNzShjg/edit?gid=554141278#gid=554141278"", ""'Char Def. - Attributes'!C20:C2242""), 1,false)"),"LOKAL_EKSPOR")</f>
        <v>LOKAL_EKSPOR</v>
      </c>
      <c r="I1234" s="136"/>
    </row>
    <row r="1235" ht="15.75" customHeight="1">
      <c r="A1235" s="59"/>
      <c r="B1235" s="63">
        <f t="shared" si="1"/>
        <v>17</v>
      </c>
      <c r="C1235" s="134" t="s">
        <v>115</v>
      </c>
      <c r="D1235" s="134" t="s">
        <v>74</v>
      </c>
      <c r="E1235" s="135">
        <f t="shared" si="25"/>
        <v>10</v>
      </c>
      <c r="F1235" s="134" t="s">
        <v>3612</v>
      </c>
      <c r="G1235" s="63" t="str">
        <f>VLOOKUP(C1235, 'Class Def. - General Data'!$C$20:$C$1000,1,false)</f>
        <v>ZFG1_FLOORCLEANER</v>
      </c>
      <c r="H1235" s="63" t="str">
        <f>IFERROR(__xludf.DUMMYFUNCTION("VLOOKUP(F1235, IMPORTRANGE(""https://docs.google.com/spreadsheets/d/1Lhp9OU0JdFf_VYSMzH5lBcEaU4o8teT1piV-SNzShjg/edit?gid=554141278#gid=554141278"", ""'Char Def. - Attributes'!C20:C2242""), 1,false)"),"COUNTRY_EKSPOR")</f>
        <v>COUNTRY_EKSPOR</v>
      </c>
      <c r="I1235" s="136"/>
    </row>
    <row r="1236" ht="15.75" customHeight="1">
      <c r="A1236" s="59"/>
      <c r="B1236" s="63">
        <f t="shared" si="1"/>
        <v>17</v>
      </c>
      <c r="C1236" s="134" t="s">
        <v>115</v>
      </c>
      <c r="D1236" s="134" t="s">
        <v>74</v>
      </c>
      <c r="E1236" s="135">
        <f t="shared" si="25"/>
        <v>11</v>
      </c>
      <c r="F1236" s="134" t="s">
        <v>3613</v>
      </c>
      <c r="G1236" s="63" t="str">
        <f>VLOOKUP(C1236, 'Class Def. - General Data'!$C$20:$C$1000,1,false)</f>
        <v>ZFG1_FLOORCLEANER</v>
      </c>
      <c r="H1236" s="63" t="str">
        <f>IFERROR(__xludf.DUMMYFUNCTION("VLOOKUP(F1236, IMPORTRANGE(""https://docs.google.com/spreadsheets/d/1Lhp9OU0JdFf_VYSMzH5lBcEaU4o8teT1piV-SNzShjg/edit?gid=554141278#gid=554141278"", ""'Char Def. - Attributes'!C20:C2242""), 1,false)"),"WARNA_SFG")</f>
        <v>WARNA_SFG</v>
      </c>
      <c r="I1236" s="136"/>
    </row>
    <row r="1237" ht="15.75" customHeight="1">
      <c r="A1237" s="66"/>
      <c r="B1237" s="63">
        <f t="shared" si="1"/>
        <v>17</v>
      </c>
      <c r="C1237" s="134" t="s">
        <v>115</v>
      </c>
      <c r="D1237" s="134" t="s">
        <v>74</v>
      </c>
      <c r="E1237" s="135">
        <f t="shared" si="25"/>
        <v>12</v>
      </c>
      <c r="F1237" s="134" t="s">
        <v>3582</v>
      </c>
      <c r="G1237" s="63" t="str">
        <f>VLOOKUP(C1237, 'Class Def. - General Data'!$C$20:$C$1000,1,false)</f>
        <v>ZFG1_FLOORCLEANER</v>
      </c>
      <c r="H1237" s="63" t="str">
        <f>IFERROR(__xludf.DUMMYFUNCTION("VLOOKUP(F1237, IMPORTRANGE(""https://docs.google.com/spreadsheets/d/1Lhp9OU0JdFf_VYSMzH5lBcEaU4o8teT1piV-SNzShjg/edit?gid=554141278#gid=554141278"", ""'Char Def. - Attributes'!C20:C2242""), 1,false)"),"BASE_UNIT")</f>
        <v>BASE_UNIT</v>
      </c>
      <c r="I1237" s="136"/>
    </row>
    <row r="1238" ht="15.75" customHeight="1">
      <c r="A1238" s="66"/>
      <c r="B1238" s="63">
        <f t="shared" si="1"/>
        <v>17</v>
      </c>
      <c r="C1238" s="134" t="s">
        <v>115</v>
      </c>
      <c r="D1238" s="134" t="s">
        <v>74</v>
      </c>
      <c r="E1238" s="135">
        <f t="shared" si="25"/>
        <v>13</v>
      </c>
      <c r="F1238" s="134" t="s">
        <v>3583</v>
      </c>
      <c r="G1238" s="63" t="str">
        <f>VLOOKUP(C1238, 'Class Def. - General Data'!$C$20:$C$1000,1,false)</f>
        <v>ZFG1_FLOORCLEANER</v>
      </c>
      <c r="H1238" s="63" t="str">
        <f>IFERROR(__xludf.DUMMYFUNCTION("VLOOKUP(F1238, IMPORTRANGE(""https://docs.google.com/spreadsheets/d/1Lhp9OU0JdFf_VYSMzH5lBcEaU4o8teT1piV-SNzShjg/edit?gid=554141278#gid=554141278"", ""'Char Def. - Attributes'!C20:C2242""), 1,false)"),"SALES_UNIT")</f>
        <v>SALES_UNIT</v>
      </c>
      <c r="I1238" s="136"/>
    </row>
    <row r="1239" ht="15.75" customHeight="1">
      <c r="A1239" s="59"/>
      <c r="B1239" s="63">
        <f t="shared" si="1"/>
        <v>17</v>
      </c>
      <c r="C1239" s="134" t="s">
        <v>115</v>
      </c>
      <c r="D1239" s="134" t="s">
        <v>74</v>
      </c>
      <c r="E1239" s="135">
        <f t="shared" si="25"/>
        <v>14</v>
      </c>
      <c r="F1239" s="134" t="s">
        <v>3601</v>
      </c>
      <c r="G1239" s="63" t="str">
        <f>VLOOKUP(C1239, 'Class Def. - General Data'!$C$20:$C$1000,1,false)</f>
        <v>ZFG1_FLOORCLEANER</v>
      </c>
      <c r="H1239" s="63" t="str">
        <f>IFERROR(__xludf.DUMMYFUNCTION("VLOOKUP(F1239, IMPORTRANGE(""https://docs.google.com/spreadsheets/d/1Lhp9OU0JdFf_VYSMzH5lBcEaU4o8teT1piV-SNzShjg/edit?gid=554141278#gid=554141278"", ""'Char Def. - Attributes'!C20:C2242""), 1,false)"),"GROSS_WEIGHT")</f>
        <v>GROSS_WEIGHT</v>
      </c>
      <c r="I1239" s="136"/>
    </row>
    <row r="1240" ht="15.75" customHeight="1">
      <c r="A1240" s="59"/>
      <c r="B1240" s="63">
        <f t="shared" si="1"/>
        <v>17</v>
      </c>
      <c r="C1240" s="134" t="s">
        <v>115</v>
      </c>
      <c r="D1240" s="134" t="s">
        <v>74</v>
      </c>
      <c r="E1240" s="135">
        <f t="shared" si="25"/>
        <v>15</v>
      </c>
      <c r="F1240" s="134" t="s">
        <v>3602</v>
      </c>
      <c r="G1240" s="63" t="str">
        <f>VLOOKUP(C1240, 'Class Def. - General Data'!$C$20:$C$1000,1,false)</f>
        <v>ZFG1_FLOORCLEANER</v>
      </c>
      <c r="H1240" s="63" t="str">
        <f>IFERROR(__xludf.DUMMYFUNCTION("VLOOKUP(F1240, IMPORTRANGE(""https://docs.google.com/spreadsheets/d/1Lhp9OU0JdFf_VYSMzH5lBcEaU4o8teT1piV-SNzShjg/edit?gid=554141278#gid=554141278"", ""'Char Def. - Attributes'!C20:C2242""), 1,false)"),"NET_WEIGHT")</f>
        <v>NET_WEIGHT</v>
      </c>
      <c r="I1240" s="136"/>
    </row>
    <row r="1241" ht="15.75" customHeight="1">
      <c r="A1241" s="59"/>
      <c r="B1241" s="63">
        <f t="shared" si="1"/>
        <v>17</v>
      </c>
      <c r="C1241" s="134" t="s">
        <v>115</v>
      </c>
      <c r="D1241" s="134" t="s">
        <v>74</v>
      </c>
      <c r="E1241" s="135">
        <f t="shared" si="25"/>
        <v>16</v>
      </c>
      <c r="F1241" s="134" t="s">
        <v>3584</v>
      </c>
      <c r="G1241" s="63" t="str">
        <f>VLOOKUP(C1241, 'Class Def. - General Data'!$C$20:$C$1000,1,false)</f>
        <v>ZFG1_FLOORCLEANER</v>
      </c>
      <c r="H1241" s="63" t="str">
        <f>IFERROR(__xludf.DUMMYFUNCTION("VLOOKUP(F1241, IMPORTRANGE(""https://docs.google.com/spreadsheets/d/1Lhp9OU0JdFf_VYSMzH5lBcEaU4o8teT1piV-SNzShjg/edit?gid=554141278#gid=554141278"", ""'Char Def. - Attributes'!C20:C2242""), 1,false)"),"UNIT_PER_BOX")</f>
        <v>UNIT_PER_BOX</v>
      </c>
      <c r="I1241" s="136"/>
    </row>
    <row r="1242" ht="15.75" customHeight="1">
      <c r="A1242" s="59"/>
      <c r="B1242" s="63">
        <f t="shared" si="1"/>
        <v>17</v>
      </c>
      <c r="C1242" s="134" t="s">
        <v>115</v>
      </c>
      <c r="D1242" s="134" t="s">
        <v>74</v>
      </c>
      <c r="E1242" s="135">
        <f t="shared" si="25"/>
        <v>17</v>
      </c>
      <c r="F1242" s="134" t="s">
        <v>3614</v>
      </c>
      <c r="G1242" s="63" t="str">
        <f>VLOOKUP(C1242, 'Class Def. - General Data'!$C$20:$C$1000,1,false)</f>
        <v>ZFG1_FLOORCLEANER</v>
      </c>
      <c r="H1242" s="63" t="str">
        <f>IFERROR(__xludf.DUMMYFUNCTION("VLOOKUP(F1242, IMPORTRANGE(""https://docs.google.com/spreadsheets/d/1Lhp9OU0JdFf_VYSMzH5lBcEaU4o8teT1piV-SNzShjg/edit?gid=554141278#gid=554141278"", ""'Char Def. - Attributes'!C20:C2242""), 1,false)"),"UNIT_PER_CTN")</f>
        <v>UNIT_PER_CTN</v>
      </c>
      <c r="I1242" s="136"/>
    </row>
    <row r="1243" ht="15.75" customHeight="1">
      <c r="A1243" s="59"/>
      <c r="B1243" s="63">
        <f t="shared" si="1"/>
        <v>17</v>
      </c>
      <c r="C1243" s="134" t="s">
        <v>115</v>
      </c>
      <c r="D1243" s="134" t="s">
        <v>74</v>
      </c>
      <c r="E1243" s="135">
        <f t="shared" si="25"/>
        <v>18</v>
      </c>
      <c r="F1243" s="134" t="s">
        <v>3615</v>
      </c>
      <c r="G1243" s="63" t="str">
        <f>VLOOKUP(C1243, 'Class Def. - General Data'!$C$20:$C$1000,1,false)</f>
        <v>ZFG1_FLOORCLEANER</v>
      </c>
      <c r="H1243" s="63" t="str">
        <f>IFERROR(__xludf.DUMMYFUNCTION("VLOOKUP(F1243, IMPORTRANGE(""https://docs.google.com/spreadsheets/d/1Lhp9OU0JdFf_VYSMzH5lBcEaU4o8teT1piV-SNzShjg/edit?gid=554141278#gid=554141278"", ""'Char Def. - Attributes'!C20:C2242""), 1,false)"),"UNIT_PER_BAG")</f>
        <v>UNIT_PER_BAG</v>
      </c>
      <c r="I1243" s="136"/>
    </row>
    <row r="1244" ht="15.75" customHeight="1">
      <c r="A1244" s="59"/>
      <c r="B1244" s="63">
        <f t="shared" si="1"/>
        <v>17</v>
      </c>
      <c r="C1244" s="134" t="s">
        <v>115</v>
      </c>
      <c r="D1244" s="134" t="s">
        <v>74</v>
      </c>
      <c r="E1244" s="135">
        <f t="shared" si="25"/>
        <v>19</v>
      </c>
      <c r="F1244" s="134" t="s">
        <v>3616</v>
      </c>
      <c r="G1244" s="63" t="str">
        <f>VLOOKUP(C1244, 'Class Def. - General Data'!$C$20:$C$1000,1,false)</f>
        <v>ZFG1_FLOORCLEANER</v>
      </c>
      <c r="H1244" s="63" t="str">
        <f>IFERROR(__xludf.DUMMYFUNCTION("VLOOKUP(F1244, IMPORTRANGE(""https://docs.google.com/spreadsheets/d/1Lhp9OU0JdFf_VYSMzH5lBcEaU4o8teT1piV-SNzShjg/edit?gid=554141278#gid=554141278"", ""'Char Def. - Attributes'!C20:C2242""), 1,false)"),"UNIT_PER_PAL")</f>
        <v>UNIT_PER_PAL</v>
      </c>
      <c r="I1244" s="136"/>
    </row>
    <row r="1245" ht="15.75" customHeight="1">
      <c r="A1245" s="59"/>
      <c r="B1245" s="63">
        <f t="shared" si="1"/>
        <v>17</v>
      </c>
      <c r="C1245" s="134" t="s">
        <v>115</v>
      </c>
      <c r="D1245" s="134" t="s">
        <v>74</v>
      </c>
      <c r="E1245" s="135">
        <f t="shared" si="25"/>
        <v>20</v>
      </c>
      <c r="F1245" s="134" t="s">
        <v>3617</v>
      </c>
      <c r="G1245" s="63" t="str">
        <f>VLOOKUP(C1245, 'Class Def. - General Data'!$C$20:$C$1000,1,false)</f>
        <v>ZFG1_FLOORCLEANER</v>
      </c>
      <c r="H1245" s="63" t="str">
        <f>IFERROR(__xludf.DUMMYFUNCTION("VLOOKUP(F1245, IMPORTRANGE(""https://docs.google.com/spreadsheets/d/1Lhp9OU0JdFf_VYSMzH5lBcEaU4o8teT1piV-SNzShjg/edit?gid=554141278#gid=554141278"", ""'Char Def. - Attributes'!C20:C2242""), 1,false)"),"UNIT_PER_TIER")</f>
        <v>UNIT_PER_TIER</v>
      </c>
      <c r="I1245" s="136"/>
    </row>
    <row r="1246" ht="15.75" customHeight="1">
      <c r="A1246" s="59"/>
      <c r="B1246" s="63">
        <f t="shared" si="1"/>
        <v>17</v>
      </c>
      <c r="C1246" s="134" t="s">
        <v>115</v>
      </c>
      <c r="D1246" s="134" t="s">
        <v>74</v>
      </c>
      <c r="E1246" s="135">
        <f t="shared" si="25"/>
        <v>21</v>
      </c>
      <c r="F1246" s="134" t="s">
        <v>3618</v>
      </c>
      <c r="G1246" s="63" t="str">
        <f>VLOOKUP(C1246, 'Class Def. - General Data'!$C$20:$C$1000,1,false)</f>
        <v>ZFG1_FLOORCLEANER</v>
      </c>
      <c r="H1246" s="63" t="str">
        <f>IFERROR(__xludf.DUMMYFUNCTION("VLOOKUP(F1246, IMPORTRANGE(""https://docs.google.com/spreadsheets/d/1Lhp9OU0JdFf_VYSMzH5lBcEaU4o8teT1piV-SNzShjg/edit?gid=554141278#gid=554141278"", ""'Char Def. - Attributes'!C20:C2242""), 1,false)"),"HEIGHT")</f>
        <v>HEIGHT</v>
      </c>
      <c r="I1246" s="136"/>
    </row>
    <row r="1247" ht="15.75" customHeight="1">
      <c r="A1247" s="59"/>
      <c r="B1247" s="63">
        <f t="shared" si="1"/>
        <v>17</v>
      </c>
      <c r="C1247" s="134" t="s">
        <v>115</v>
      </c>
      <c r="D1247" s="134" t="s">
        <v>74</v>
      </c>
      <c r="E1247" s="135">
        <f t="shared" si="25"/>
        <v>22</v>
      </c>
      <c r="F1247" s="134" t="s">
        <v>3587</v>
      </c>
      <c r="G1247" s="63" t="str">
        <f>VLOOKUP(C1247, 'Class Def. - General Data'!$C$20:$C$1000,1,false)</f>
        <v>ZFG1_FLOORCLEANER</v>
      </c>
      <c r="H1247" s="63" t="str">
        <f>IFERROR(__xludf.DUMMYFUNCTION("VLOOKUP(F1247, IMPORTRANGE(""https://docs.google.com/spreadsheets/d/1Lhp9OU0JdFf_VYSMzH5lBcEaU4o8teT1piV-SNzShjg/edit?gid=554141278#gid=554141278"", ""'Char Def. - Attributes'!C20:C2242""), 1,false)"),"PLANT_BUY")</f>
        <v>PLANT_BUY</v>
      </c>
      <c r="I1247" s="136"/>
    </row>
    <row r="1248" ht="15.75" customHeight="1">
      <c r="A1248" s="59"/>
      <c r="B1248" s="63">
        <f t="shared" si="1"/>
        <v>17</v>
      </c>
      <c r="C1248" s="134" t="s">
        <v>115</v>
      </c>
      <c r="D1248" s="134" t="s">
        <v>74</v>
      </c>
      <c r="E1248" s="135">
        <f t="shared" si="25"/>
        <v>23</v>
      </c>
      <c r="F1248" s="134" t="s">
        <v>3619</v>
      </c>
      <c r="G1248" s="63" t="str">
        <f>VLOOKUP(C1248, 'Class Def. - General Data'!$C$20:$C$1000,1,false)</f>
        <v>ZFG1_FLOORCLEANER</v>
      </c>
      <c r="H1248" s="63" t="str">
        <f>IFERROR(__xludf.DUMMYFUNCTION("VLOOKUP(F1248, IMPORTRANGE(""https://docs.google.com/spreadsheets/d/1Lhp9OU0JdFf_VYSMzH5lBcEaU4o8teT1piV-SNzShjg/edit?gid=554141278#gid=554141278"", ""'Char Def. - Attributes'!C20:C2242""), 1,false)"),"LENGTH")</f>
        <v>LENGTH</v>
      </c>
      <c r="I1248" s="136"/>
    </row>
    <row r="1249" ht="15.75" customHeight="1">
      <c r="A1249" s="59"/>
      <c r="B1249" s="63">
        <f t="shared" si="1"/>
        <v>17</v>
      </c>
      <c r="C1249" s="134" t="s">
        <v>115</v>
      </c>
      <c r="D1249" s="134" t="s">
        <v>74</v>
      </c>
      <c r="E1249" s="135">
        <f t="shared" si="25"/>
        <v>24</v>
      </c>
      <c r="F1249" s="134" t="s">
        <v>3586</v>
      </c>
      <c r="G1249" s="63" t="str">
        <f>VLOOKUP(C1249, 'Class Def. - General Data'!$C$20:$C$1000,1,false)</f>
        <v>ZFG1_FLOORCLEANER</v>
      </c>
      <c r="H1249" s="63" t="str">
        <f>IFERROR(__xludf.DUMMYFUNCTION("VLOOKUP(F1249, IMPORTRANGE(""https://docs.google.com/spreadsheets/d/1Lhp9OU0JdFf_VYSMzH5lBcEaU4o8teT1piV-SNzShjg/edit?gid=554141278#gid=554141278"", ""'Char Def. - Attributes'!C20:C2242""), 1,false)"),"PLANT_PROD")</f>
        <v>PLANT_PROD</v>
      </c>
      <c r="I1249" s="136"/>
    </row>
    <row r="1250" ht="15.75" customHeight="1">
      <c r="A1250" s="59"/>
      <c r="B1250" s="63">
        <f t="shared" si="1"/>
        <v>17</v>
      </c>
      <c r="C1250" s="134" t="s">
        <v>115</v>
      </c>
      <c r="D1250" s="134" t="s">
        <v>74</v>
      </c>
      <c r="E1250" s="135">
        <f t="shared" si="25"/>
        <v>25</v>
      </c>
      <c r="F1250" s="134" t="s">
        <v>3620</v>
      </c>
      <c r="G1250" s="63" t="str">
        <f>VLOOKUP(C1250, 'Class Def. - General Data'!$C$20:$C$1000,1,false)</f>
        <v>ZFG1_FLOORCLEANER</v>
      </c>
      <c r="H1250" s="63" t="str">
        <f>IFERROR(__xludf.DUMMYFUNCTION("VLOOKUP(F1250, IMPORTRANGE(""https://docs.google.com/spreadsheets/d/1Lhp9OU0JdFf_VYSMzH5lBcEaU4o8teT1piV-SNzShjg/edit?gid=554141278#gid=554141278"", ""'Char Def. - Attributes'!C20:C2242""), 1,false)"),"WIDTH")</f>
        <v>WIDTH</v>
      </c>
      <c r="I1250" s="136"/>
    </row>
    <row r="1251" ht="15.75" customHeight="1">
      <c r="A1251" s="59"/>
      <c r="B1251" s="63">
        <f t="shared" si="1"/>
        <v>17</v>
      </c>
      <c r="C1251" s="134" t="s">
        <v>115</v>
      </c>
      <c r="D1251" s="134" t="s">
        <v>74</v>
      </c>
      <c r="E1251" s="135">
        <f t="shared" si="25"/>
        <v>26</v>
      </c>
      <c r="F1251" s="134" t="s">
        <v>3585</v>
      </c>
      <c r="G1251" s="63" t="str">
        <f>VLOOKUP(C1251, 'Class Def. - General Data'!$C$20:$C$1000,1,false)</f>
        <v>ZFG1_FLOORCLEANER</v>
      </c>
      <c r="H1251" s="63" t="str">
        <f>IFERROR(__xludf.DUMMYFUNCTION("VLOOKUP(F1251, IMPORTRANGE(""https://docs.google.com/spreadsheets/d/1Lhp9OU0JdFf_VYSMzH5lBcEaU4o8teT1piV-SNzShjg/edit?gid=554141278#gid=554141278"", ""'Char Def. - Attributes'!C20:C2242""), 1,false)"),"HS_CODE")</f>
        <v>HS_CODE</v>
      </c>
      <c r="I1251" s="136"/>
    </row>
    <row r="1252" ht="15.75" customHeight="1">
      <c r="A1252" s="59"/>
      <c r="B1252" s="63">
        <f t="shared" si="1"/>
        <v>17</v>
      </c>
      <c r="C1252" s="134" t="s">
        <v>115</v>
      </c>
      <c r="D1252" s="134" t="s">
        <v>74</v>
      </c>
      <c r="E1252" s="135">
        <f t="shared" si="25"/>
        <v>27</v>
      </c>
      <c r="F1252" s="134" t="s">
        <v>3621</v>
      </c>
      <c r="G1252" s="63" t="str">
        <f>VLOOKUP(C1252, 'Class Def. - General Data'!$C$20:$C$1000,1,false)</f>
        <v>ZFG1_FLOORCLEANER</v>
      </c>
      <c r="H1252" s="63" t="str">
        <f>IFERROR(__xludf.DUMMYFUNCTION("VLOOKUP(F1252, IMPORTRANGE(""https://docs.google.com/spreadsheets/d/1Lhp9OU0JdFf_VYSMzH5lBcEaU4o8teT1piV-SNzShjg/edit?gid=554141278#gid=554141278"", ""'Char Def. - Attributes'!C20:C2242""), 1,false)"),"EAN_PCS")</f>
        <v>EAN_PCS</v>
      </c>
      <c r="I1252" s="136"/>
    </row>
    <row r="1253" ht="15.75" customHeight="1">
      <c r="A1253" s="59"/>
      <c r="B1253" s="63">
        <f t="shared" si="1"/>
        <v>17</v>
      </c>
      <c r="C1253" s="134" t="s">
        <v>115</v>
      </c>
      <c r="D1253" s="134" t="s">
        <v>74</v>
      </c>
      <c r="E1253" s="135">
        <f t="shared" si="25"/>
        <v>28</v>
      </c>
      <c r="F1253" s="134" t="s">
        <v>3622</v>
      </c>
      <c r="G1253" s="63" t="str">
        <f>VLOOKUP(C1253, 'Class Def. - General Data'!$C$20:$C$1000,1,false)</f>
        <v>ZFG1_FLOORCLEANER</v>
      </c>
      <c r="H1253" s="63" t="str">
        <f>IFERROR(__xludf.DUMMYFUNCTION("VLOOKUP(F1253, IMPORTRANGE(""https://docs.google.com/spreadsheets/d/1Lhp9OU0JdFf_VYSMzH5lBcEaU4o8teT1piV-SNzShjg/edit?gid=554141278#gid=554141278"", ""'Char Def. - Attributes'!C20:C2242""), 1,false)"),"SFG_BRAND")</f>
        <v>SFG_BRAND</v>
      </c>
      <c r="I1253" s="136"/>
    </row>
    <row r="1254" ht="15.75" customHeight="1">
      <c r="A1254" s="59"/>
      <c r="B1254" s="63">
        <f t="shared" si="1"/>
        <v>17</v>
      </c>
      <c r="C1254" s="134" t="s">
        <v>115</v>
      </c>
      <c r="D1254" s="134" t="s">
        <v>74</v>
      </c>
      <c r="E1254" s="135">
        <f t="shared" si="25"/>
        <v>29</v>
      </c>
      <c r="F1254" s="134" t="s">
        <v>3623</v>
      </c>
      <c r="G1254" s="63" t="str">
        <f>VLOOKUP(C1254, 'Class Def. - General Data'!$C$20:$C$1000,1,false)</f>
        <v>ZFG1_FLOORCLEANER</v>
      </c>
      <c r="H1254" s="63" t="str">
        <f>IFERROR(__xludf.DUMMYFUNCTION("VLOOKUP(F1254, IMPORTRANGE(""https://docs.google.com/spreadsheets/d/1Lhp9OU0JdFf_VYSMzH5lBcEaU4o8teT1piV-SNzShjg/edit?gid=554141278#gid=554141278"", ""'Char Def. - Attributes'!C20:C2242""), 1,false)"),"LANGUAGE")</f>
        <v>LANGUAGE</v>
      </c>
      <c r="I1254" s="136"/>
    </row>
    <row r="1255" ht="15.75" customHeight="1">
      <c r="A1255" s="59"/>
      <c r="B1255" s="63">
        <f t="shared" si="1"/>
        <v>17</v>
      </c>
      <c r="C1255" s="139" t="s">
        <v>115</v>
      </c>
      <c r="D1255" s="139" t="s">
        <v>74</v>
      </c>
      <c r="E1255" s="140">
        <f t="shared" si="25"/>
        <v>30</v>
      </c>
      <c r="F1255" s="134" t="s">
        <v>3624</v>
      </c>
      <c r="G1255" s="63" t="str">
        <f>VLOOKUP(C1255, 'Class Def. - General Data'!$C$20:$C$1000,1,false)</f>
        <v>ZFG1_FLOORCLEANER</v>
      </c>
      <c r="H1255" s="63" t="str">
        <f>IFERROR(__xludf.DUMMYFUNCTION("VLOOKUP(F1255, IMPORTRANGE(""https://docs.google.com/spreadsheets/d/1Lhp9OU0JdFf_VYSMzH5lBcEaU4o8teT1piV-SNzShjg/edit?gid=554141278#gid=554141278"", ""'Char Def. - Attributes'!C20:C2242""), 1,false)"),"#N/A")</f>
        <v>#N/A</v>
      </c>
      <c r="I1255" s="136"/>
    </row>
    <row r="1256" ht="15.75" customHeight="1">
      <c r="A1256" s="59"/>
      <c r="B1256" s="63">
        <f t="shared" si="1"/>
        <v>17</v>
      </c>
      <c r="C1256" s="134" t="s">
        <v>115</v>
      </c>
      <c r="D1256" s="134" t="s">
        <v>74</v>
      </c>
      <c r="E1256" s="135">
        <f t="shared" si="25"/>
        <v>31</v>
      </c>
      <c r="F1256" s="134" t="s">
        <v>3625</v>
      </c>
      <c r="G1256" s="63" t="str">
        <f>VLOOKUP(C1256, 'Class Def. - General Data'!$C$20:$C$1000,1,false)</f>
        <v>ZFG1_FLOORCLEANER</v>
      </c>
      <c r="H1256" s="63" t="str">
        <f>IFERROR(__xludf.DUMMYFUNCTION("VLOOKUP(F1256, IMPORTRANGE(""https://docs.google.com/spreadsheets/d/1Lhp9OU0JdFf_VYSMzH5lBcEaU4o8teT1piV-SNzShjg/edit?gid=554141278#gid=554141278"", ""'Char Def. - Attributes'!C20:C2242""), 1,false)"),"REGION_EKSPOR")</f>
        <v>REGION_EKSPOR</v>
      </c>
      <c r="I1256" s="136"/>
    </row>
    <row r="1257" ht="15.75" customHeight="1">
      <c r="A1257" s="59"/>
      <c r="B1257" s="63">
        <f t="shared" si="1"/>
        <v>17</v>
      </c>
      <c r="C1257" s="134" t="s">
        <v>115</v>
      </c>
      <c r="D1257" s="134" t="s">
        <v>74</v>
      </c>
      <c r="E1257" s="135">
        <f t="shared" si="25"/>
        <v>32</v>
      </c>
      <c r="F1257" s="134" t="s">
        <v>3626</v>
      </c>
      <c r="G1257" s="63" t="str">
        <f>VLOOKUP(C1257, 'Class Def. - General Data'!$C$20:$C$1000,1,false)</f>
        <v>ZFG1_FLOORCLEANER</v>
      </c>
      <c r="H1257" s="63" t="str">
        <f>IFERROR(__xludf.DUMMYFUNCTION("VLOOKUP(F1257, IMPORTRANGE(""https://docs.google.com/spreadsheets/d/1Lhp9OU0JdFf_VYSMzH5lBcEaU4o8teT1piV-SNzShjg/edit?gid=554141278#gid=554141278"", ""'Char Def. - Attributes'!C20:C2242""), 1,false)"),"STICKER_NOT")</f>
        <v>STICKER_NOT</v>
      </c>
      <c r="I1257" s="136"/>
    </row>
    <row r="1258" ht="15.75" customHeight="1">
      <c r="A1258" s="59"/>
      <c r="B1258" s="63">
        <f t="shared" si="1"/>
        <v>17</v>
      </c>
      <c r="C1258" s="134" t="s">
        <v>115</v>
      </c>
      <c r="D1258" s="134" t="s">
        <v>74</v>
      </c>
      <c r="E1258" s="135">
        <f t="shared" si="25"/>
        <v>33</v>
      </c>
      <c r="F1258" s="134" t="s">
        <v>3627</v>
      </c>
      <c r="G1258" s="63" t="str">
        <f>VLOOKUP(C1258, 'Class Def. - General Data'!$C$20:$C$1000,1,false)</f>
        <v>ZFG1_FLOORCLEANER</v>
      </c>
      <c r="H1258" s="63" t="str">
        <f>IFERROR(__xludf.DUMMYFUNCTION("VLOOKUP(F1258, IMPORTRANGE(""https://docs.google.com/spreadsheets/d/1Lhp9OU0JdFf_VYSMzH5lBcEaU4o8teT1piV-SNzShjg/edit?gid=554141278#gid=554141278"", ""'Char Def. - Attributes'!C20:C2242""), 1,false)"),"SHIP_MARK")</f>
        <v>SHIP_MARK</v>
      </c>
      <c r="I1258" s="136"/>
    </row>
    <row r="1259" ht="15.75" customHeight="1">
      <c r="A1259" s="59"/>
      <c r="B1259" s="63">
        <f t="shared" si="1"/>
        <v>17</v>
      </c>
      <c r="C1259" s="134" t="s">
        <v>115</v>
      </c>
      <c r="D1259" s="134" t="s">
        <v>74</v>
      </c>
      <c r="E1259" s="135">
        <f t="shared" si="25"/>
        <v>34</v>
      </c>
      <c r="F1259" s="134" t="s">
        <v>3628</v>
      </c>
      <c r="G1259" s="63" t="str">
        <f>VLOOKUP(C1259, 'Class Def. - General Data'!$C$20:$C$1000,1,false)</f>
        <v>ZFG1_FLOORCLEANER</v>
      </c>
      <c r="H1259" s="63" t="str">
        <f>IFERROR(__xludf.DUMMYFUNCTION("VLOOKUP(F1259, IMPORTRANGE(""https://docs.google.com/spreadsheets/d/1Lhp9OU0JdFf_VYSMzH5lBcEaU4o8teT1piV-SNzShjg/edit?gid=554141278#gid=554141278"", ""'Char Def. - Attributes'!C20:C2242""), 1,false)"),"MID_CORE")</f>
        <v>MID_CORE</v>
      </c>
      <c r="I1259" s="136"/>
    </row>
    <row r="1260" ht="15.75" customHeight="1">
      <c r="A1260" s="59"/>
      <c r="B1260" s="63">
        <f t="shared" si="1"/>
        <v>17</v>
      </c>
      <c r="C1260" s="134" t="s">
        <v>115</v>
      </c>
      <c r="D1260" s="134" t="s">
        <v>74</v>
      </c>
      <c r="E1260" s="135">
        <f t="shared" si="25"/>
        <v>35</v>
      </c>
      <c r="F1260" s="134" t="s">
        <v>3629</v>
      </c>
      <c r="G1260" s="63" t="str">
        <f>VLOOKUP(C1260, 'Class Def. - General Data'!$C$20:$C$1000,1,false)</f>
        <v>ZFG1_FLOORCLEANER</v>
      </c>
      <c r="H1260" s="63" t="str">
        <f>IFERROR(__xludf.DUMMYFUNCTION("VLOOKUP(F1260, IMPORTRANGE(""https://docs.google.com/spreadsheets/d/1Lhp9OU0JdFf_VYSMzH5lBcEaU4o8teT1piV-SNzShjg/edit?gid=554141278#gid=554141278"", ""'Char Def. - Attributes'!C20:C2242""), 1,false)"),"EAN_CTN")</f>
        <v>EAN_CTN</v>
      </c>
      <c r="I1260" s="136"/>
    </row>
    <row r="1261" ht="15.75" customHeight="1">
      <c r="A1261" s="59"/>
      <c r="B1261" s="63">
        <f t="shared" si="1"/>
        <v>17</v>
      </c>
      <c r="C1261" s="134" t="s">
        <v>115</v>
      </c>
      <c r="D1261" s="134" t="s">
        <v>74</v>
      </c>
      <c r="E1261" s="135">
        <f t="shared" si="25"/>
        <v>36</v>
      </c>
      <c r="F1261" s="134" t="s">
        <v>3630</v>
      </c>
      <c r="G1261" s="63" t="str">
        <f>VLOOKUP(C1261, 'Class Def. - General Data'!$C$20:$C$1000,1,false)</f>
        <v>ZFG1_FLOORCLEANER</v>
      </c>
      <c r="H1261" s="63" t="str">
        <f>IFERROR(__xludf.DUMMYFUNCTION("VLOOKUP(F1261, IMPORTRANGE(""https://docs.google.com/spreadsheets/d/1Lhp9OU0JdFf_VYSMzH5lBcEaU4o8teT1piV-SNzShjg/edit?gid=554141278#gid=554141278"", ""'Char Def. - Attributes'!C20:C2242""), 1,false)"),"EAN_BOX")</f>
        <v>EAN_BOX</v>
      </c>
      <c r="I1261" s="136"/>
    </row>
    <row r="1262" ht="15.75" customHeight="1">
      <c r="A1262" s="59"/>
      <c r="B1262" s="63">
        <f t="shared" si="1"/>
        <v>17</v>
      </c>
      <c r="C1262" s="134" t="s">
        <v>115</v>
      </c>
      <c r="D1262" s="141" t="s">
        <v>74</v>
      </c>
      <c r="E1262" s="135">
        <v>22.0</v>
      </c>
      <c r="F1262" s="135" t="s">
        <v>3603</v>
      </c>
      <c r="G1262" s="63" t="str">
        <f>VLOOKUP(C1262, 'Class Def. - General Data'!$C$20:$C$1000,1,false)</f>
        <v>ZFG1_FLOORCLEANER</v>
      </c>
      <c r="I1262" s="136"/>
    </row>
    <row r="1263" ht="15.75" customHeight="1">
      <c r="A1263" s="59"/>
      <c r="B1263" s="63">
        <f t="shared" si="1"/>
        <v>17</v>
      </c>
      <c r="C1263" s="134" t="s">
        <v>116</v>
      </c>
      <c r="D1263" s="134" t="s">
        <v>74</v>
      </c>
      <c r="E1263" s="135">
        <f t="shared" ref="E1263:E1298" si="26">COUNTIF($C$20:C1263,C1263)</f>
        <v>1</v>
      </c>
      <c r="F1263" s="134" t="s">
        <v>3689</v>
      </c>
      <c r="G1263" s="63" t="str">
        <f>VLOOKUP(C1263, 'Class Def. - General Data'!$C$20:$C$1000,1,false)</f>
        <v>ZFG1_GLASSCLEANER</v>
      </c>
      <c r="H1263" s="63" t="str">
        <f>IFERROR(__xludf.DUMMYFUNCTION("VLOOKUP(F1263, IMPORTRANGE(""https://docs.google.com/spreadsheets/d/1Lhp9OU0JdFf_VYSMzH5lBcEaU4o8teT1piV-SNzShjg/edit?gid=554141278#gid=554141278"", ""'Char Def. - Attributes'!C20:C2242""), 1,false)"),"BRAND_GLASSCLEANER")</f>
        <v>BRAND_GLASSCLEANER</v>
      </c>
      <c r="I1263" s="136"/>
    </row>
    <row r="1264" ht="15.75" customHeight="1">
      <c r="A1264" s="59"/>
      <c r="B1264" s="63">
        <f t="shared" si="1"/>
        <v>17</v>
      </c>
      <c r="C1264" s="135" t="s">
        <v>116</v>
      </c>
      <c r="D1264" s="134" t="s">
        <v>74</v>
      </c>
      <c r="E1264" s="135">
        <f t="shared" si="26"/>
        <v>2</v>
      </c>
      <c r="F1264" s="134" t="s">
        <v>3690</v>
      </c>
      <c r="G1264" s="63" t="str">
        <f>VLOOKUP(C1264, 'Class Def. - General Data'!$C$20:$C$1000,1,false)</f>
        <v>ZFG1_GLASSCLEANER</v>
      </c>
      <c r="H1264" s="63" t="str">
        <f>IFERROR(__xludf.DUMMYFUNCTION("VLOOKUP(F1264, IMPORTRANGE(""https://docs.google.com/spreadsheets/d/1Lhp9OU0JdFf_VYSMzH5lBcEaU4o8teT1piV-SNzShjg/edit?gid=554141278#gid=554141278"", ""'Char Def. - Attributes'!C20:C2242""), 1,false)"),"PSHAPE_GLASSCLEANER")</f>
        <v>PSHAPE_GLASSCLEANER</v>
      </c>
      <c r="I1264" s="136"/>
    </row>
    <row r="1265" ht="15.75" customHeight="1">
      <c r="A1265" s="59"/>
      <c r="B1265" s="63">
        <f t="shared" si="1"/>
        <v>17</v>
      </c>
      <c r="C1265" s="134" t="s">
        <v>116</v>
      </c>
      <c r="D1265" s="134" t="s">
        <v>74</v>
      </c>
      <c r="E1265" s="135">
        <f t="shared" si="26"/>
        <v>3</v>
      </c>
      <c r="F1265" s="134" t="s">
        <v>3605</v>
      </c>
      <c r="G1265" s="63" t="str">
        <f>VLOOKUP(C1265, 'Class Def. - General Data'!$C$20:$C$1000,1,false)</f>
        <v>ZFG1_GLASSCLEANER</v>
      </c>
      <c r="H1265" s="63" t="str">
        <f>IFERROR(__xludf.DUMMYFUNCTION("VLOOKUP(F1265, IMPORTRANGE(""https://docs.google.com/spreadsheets/d/1Lhp9OU0JdFf_VYSMzH5lBcEaU4o8teT1piV-SNzShjg/edit?gid=554141278#gid=554141278"", ""'Char Def. - Attributes'!C20:C2242""), 1,false)"),"PACK_NETTO")</f>
        <v>PACK_NETTO</v>
      </c>
      <c r="I1265" s="136"/>
    </row>
    <row r="1266" ht="15.75" customHeight="1">
      <c r="A1266" s="59"/>
      <c r="B1266" s="63">
        <f t="shared" si="1"/>
        <v>17</v>
      </c>
      <c r="C1266" s="135" t="s">
        <v>116</v>
      </c>
      <c r="D1266" s="134" t="s">
        <v>74</v>
      </c>
      <c r="E1266" s="135">
        <f t="shared" si="26"/>
        <v>4</v>
      </c>
      <c r="F1266" s="134" t="s">
        <v>3691</v>
      </c>
      <c r="G1266" s="63" t="str">
        <f>VLOOKUP(C1266, 'Class Def. - General Data'!$C$20:$C$1000,1,false)</f>
        <v>ZFG1_GLASSCLEANER</v>
      </c>
      <c r="H1266" s="63" t="str">
        <f>IFERROR(__xludf.DUMMYFUNCTION("VLOOKUP(F1266, IMPORTRANGE(""https://docs.google.com/spreadsheets/d/1Lhp9OU0JdFf_VYSMzH5lBcEaU4o8teT1piV-SNzShjg/edit?gid=554141278#gid=554141278"", ""'Char Def. - Attributes'!C20:C2242""), 1,false)"),"PUOM_GLASSCLEANER")</f>
        <v>PUOM_GLASSCLEANER</v>
      </c>
      <c r="I1266" s="136"/>
    </row>
    <row r="1267" ht="15.75" customHeight="1">
      <c r="A1267" s="59"/>
      <c r="B1267" s="63">
        <f t="shared" si="1"/>
        <v>17</v>
      </c>
      <c r="C1267" s="134" t="s">
        <v>116</v>
      </c>
      <c r="D1267" s="134" t="s">
        <v>74</v>
      </c>
      <c r="E1267" s="135">
        <f t="shared" si="26"/>
        <v>5</v>
      </c>
      <c r="F1267" s="134" t="s">
        <v>3607</v>
      </c>
      <c r="G1267" s="63" t="str">
        <f>VLOOKUP(C1267, 'Class Def. - General Data'!$C$20:$C$1000,1,false)</f>
        <v>ZFG1_GLASSCLEANER</v>
      </c>
      <c r="H1267" s="63" t="str">
        <f>IFERROR(__xludf.DUMMYFUNCTION("VLOOKUP(F1267, IMPORTRANGE(""https://docs.google.com/spreadsheets/d/1Lhp9OU0JdFf_VYSMzH5lBcEaU4o8teT1piV-SNzShjg/edit?gid=554141278#gid=554141278"", ""'Char Def. - Attributes'!C20:C2242""), 1,false)"),"VARIAN")</f>
        <v>VARIAN</v>
      </c>
      <c r="I1267" s="136"/>
    </row>
    <row r="1268" ht="15.75" customHeight="1">
      <c r="A1268" s="59"/>
      <c r="B1268" s="63">
        <f t="shared" si="1"/>
        <v>17</v>
      </c>
      <c r="C1268" s="134" t="s">
        <v>116</v>
      </c>
      <c r="D1268" s="134" t="s">
        <v>74</v>
      </c>
      <c r="E1268" s="135">
        <f t="shared" si="26"/>
        <v>6</v>
      </c>
      <c r="F1268" s="134" t="s">
        <v>3608</v>
      </c>
      <c r="G1268" s="63" t="str">
        <f>VLOOKUP(C1268, 'Class Def. - General Data'!$C$20:$C$1000,1,false)</f>
        <v>ZFG1_GLASSCLEANER</v>
      </c>
      <c r="H1268" s="63" t="str">
        <f>IFERROR(__xludf.DUMMYFUNCTION("VLOOKUP(F1268, IMPORTRANGE(""https://docs.google.com/spreadsheets/d/1Lhp9OU0JdFf_VYSMzH5lBcEaU4o8teT1piV-SNzShjg/edit?gid=554141278#gid=554141278"", ""'Char Def. - Attributes'!C20:C2242""), 1,false)"),"PROJECT_NAME")</f>
        <v>PROJECT_NAME</v>
      </c>
      <c r="I1268" s="136"/>
    </row>
    <row r="1269" ht="15.75" customHeight="1">
      <c r="A1269" s="59"/>
      <c r="B1269" s="63">
        <f t="shared" si="1"/>
        <v>17</v>
      </c>
      <c r="C1269" s="134" t="s">
        <v>116</v>
      </c>
      <c r="D1269" s="134" t="s">
        <v>74</v>
      </c>
      <c r="E1269" s="135">
        <f t="shared" si="26"/>
        <v>7</v>
      </c>
      <c r="F1269" s="134" t="s">
        <v>3609</v>
      </c>
      <c r="G1269" s="63" t="str">
        <f>VLOOKUP(C1269, 'Class Def. - General Data'!$C$20:$C$1000,1,false)</f>
        <v>ZFG1_GLASSCLEANER</v>
      </c>
      <c r="H1269" s="63" t="str">
        <f>IFERROR(__xludf.DUMMYFUNCTION("VLOOKUP(F1269, IMPORTRANGE(""https://docs.google.com/spreadsheets/d/1Lhp9OU0JdFf_VYSMzH5lBcEaU4o8teT1piV-SNzShjg/edit?gid=554141278#gid=554141278"", ""'Char Def. - Attributes'!C20:C2242""), 1,false)"),"ADDITIONAL_PROMO")</f>
        <v>ADDITIONAL_PROMO</v>
      </c>
      <c r="I1269" s="136"/>
    </row>
    <row r="1270" ht="15.75" customHeight="1">
      <c r="A1270" s="59"/>
      <c r="B1270" s="63">
        <f t="shared" si="1"/>
        <v>17</v>
      </c>
      <c r="C1270" s="134" t="s">
        <v>116</v>
      </c>
      <c r="D1270" s="134" t="s">
        <v>74</v>
      </c>
      <c r="E1270" s="135">
        <f t="shared" si="26"/>
        <v>8</v>
      </c>
      <c r="F1270" s="134" t="s">
        <v>3610</v>
      </c>
      <c r="G1270" s="63" t="str">
        <f>VLOOKUP(C1270, 'Class Def. - General Data'!$C$20:$C$1000,1,false)</f>
        <v>ZFG1_GLASSCLEANER</v>
      </c>
      <c r="H1270" s="63" t="str">
        <f>IFERROR(__xludf.DUMMYFUNCTION("VLOOKUP(F1270, IMPORTRANGE(""https://docs.google.com/spreadsheets/d/1Lhp9OU0JdFf_VYSMzH5lBcEaU4o8teT1piV-SNzShjg/edit?gid=554141278#gid=554141278"", ""'Char Def. - Attributes'!C20:C2242""), 1,false)"),"BANDED_PROMO")</f>
        <v>BANDED_PROMO</v>
      </c>
      <c r="I1270" s="136"/>
    </row>
    <row r="1271" ht="15.75" customHeight="1">
      <c r="A1271" s="59"/>
      <c r="B1271" s="63">
        <f t="shared" si="1"/>
        <v>17</v>
      </c>
      <c r="C1271" s="134" t="s">
        <v>116</v>
      </c>
      <c r="D1271" s="134" t="s">
        <v>74</v>
      </c>
      <c r="E1271" s="135">
        <f t="shared" si="26"/>
        <v>9</v>
      </c>
      <c r="F1271" s="134" t="s">
        <v>3611</v>
      </c>
      <c r="G1271" s="63" t="str">
        <f>VLOOKUP(C1271, 'Class Def. - General Data'!$C$20:$C$1000,1,false)</f>
        <v>ZFG1_GLASSCLEANER</v>
      </c>
      <c r="H1271" s="63" t="str">
        <f>IFERROR(__xludf.DUMMYFUNCTION("VLOOKUP(F1271, IMPORTRANGE(""https://docs.google.com/spreadsheets/d/1Lhp9OU0JdFf_VYSMzH5lBcEaU4o8teT1piV-SNzShjg/edit?gid=554141278#gid=554141278"", ""'Char Def. - Attributes'!C20:C2242""), 1,false)"),"LOKAL_EKSPOR")</f>
        <v>LOKAL_EKSPOR</v>
      </c>
      <c r="I1271" s="136"/>
    </row>
    <row r="1272" ht="15.75" customHeight="1">
      <c r="A1272" s="59"/>
      <c r="B1272" s="63">
        <f t="shared" si="1"/>
        <v>17</v>
      </c>
      <c r="C1272" s="134" t="s">
        <v>116</v>
      </c>
      <c r="D1272" s="134" t="s">
        <v>74</v>
      </c>
      <c r="E1272" s="135">
        <f t="shared" si="26"/>
        <v>10</v>
      </c>
      <c r="F1272" s="134" t="s">
        <v>3612</v>
      </c>
      <c r="G1272" s="63" t="str">
        <f>VLOOKUP(C1272, 'Class Def. - General Data'!$C$20:$C$1000,1,false)</f>
        <v>ZFG1_GLASSCLEANER</v>
      </c>
      <c r="H1272" s="63" t="str">
        <f>IFERROR(__xludf.DUMMYFUNCTION("VLOOKUP(F1272, IMPORTRANGE(""https://docs.google.com/spreadsheets/d/1Lhp9OU0JdFf_VYSMzH5lBcEaU4o8teT1piV-SNzShjg/edit?gid=554141278#gid=554141278"", ""'Char Def. - Attributes'!C20:C2242""), 1,false)"),"COUNTRY_EKSPOR")</f>
        <v>COUNTRY_EKSPOR</v>
      </c>
      <c r="I1272" s="136"/>
    </row>
    <row r="1273" ht="15.75" customHeight="1">
      <c r="A1273" s="59"/>
      <c r="B1273" s="63">
        <f t="shared" si="1"/>
        <v>17</v>
      </c>
      <c r="C1273" s="134" t="s">
        <v>116</v>
      </c>
      <c r="D1273" s="134" t="s">
        <v>74</v>
      </c>
      <c r="E1273" s="135">
        <f t="shared" si="26"/>
        <v>11</v>
      </c>
      <c r="F1273" s="134" t="s">
        <v>3613</v>
      </c>
      <c r="G1273" s="63" t="str">
        <f>VLOOKUP(C1273, 'Class Def. - General Data'!$C$20:$C$1000,1,false)</f>
        <v>ZFG1_GLASSCLEANER</v>
      </c>
      <c r="H1273" s="63" t="str">
        <f>IFERROR(__xludf.DUMMYFUNCTION("VLOOKUP(F1273, IMPORTRANGE(""https://docs.google.com/spreadsheets/d/1Lhp9OU0JdFf_VYSMzH5lBcEaU4o8teT1piV-SNzShjg/edit?gid=554141278#gid=554141278"", ""'Char Def. - Attributes'!C20:C2242""), 1,false)"),"WARNA_SFG")</f>
        <v>WARNA_SFG</v>
      </c>
      <c r="I1273" s="136"/>
    </row>
    <row r="1274" ht="15.75" customHeight="1">
      <c r="A1274" s="66"/>
      <c r="B1274" s="63">
        <f t="shared" si="1"/>
        <v>17</v>
      </c>
      <c r="C1274" s="134" t="s">
        <v>116</v>
      </c>
      <c r="D1274" s="134" t="s">
        <v>74</v>
      </c>
      <c r="E1274" s="135">
        <f t="shared" si="26"/>
        <v>12</v>
      </c>
      <c r="F1274" s="134" t="s">
        <v>3582</v>
      </c>
      <c r="G1274" s="63" t="str">
        <f>VLOOKUP(C1274, 'Class Def. - General Data'!$C$20:$C$1000,1,false)</f>
        <v>ZFG1_GLASSCLEANER</v>
      </c>
      <c r="H1274" s="63" t="str">
        <f>IFERROR(__xludf.DUMMYFUNCTION("VLOOKUP(F1274, IMPORTRANGE(""https://docs.google.com/spreadsheets/d/1Lhp9OU0JdFf_VYSMzH5lBcEaU4o8teT1piV-SNzShjg/edit?gid=554141278#gid=554141278"", ""'Char Def. - Attributes'!C20:C2242""), 1,false)"),"BASE_UNIT")</f>
        <v>BASE_UNIT</v>
      </c>
      <c r="I1274" s="136"/>
    </row>
    <row r="1275" ht="15.75" customHeight="1">
      <c r="A1275" s="59"/>
      <c r="B1275" s="63">
        <f t="shared" si="1"/>
        <v>17</v>
      </c>
      <c r="C1275" s="134" t="s">
        <v>116</v>
      </c>
      <c r="D1275" s="134" t="s">
        <v>74</v>
      </c>
      <c r="E1275" s="135">
        <f t="shared" si="26"/>
        <v>13</v>
      </c>
      <c r="F1275" s="134" t="s">
        <v>3583</v>
      </c>
      <c r="G1275" s="63" t="str">
        <f>VLOOKUP(C1275, 'Class Def. - General Data'!$C$20:$C$1000,1,false)</f>
        <v>ZFG1_GLASSCLEANER</v>
      </c>
      <c r="H1275" s="63" t="str">
        <f>IFERROR(__xludf.DUMMYFUNCTION("VLOOKUP(F1275, IMPORTRANGE(""https://docs.google.com/spreadsheets/d/1Lhp9OU0JdFf_VYSMzH5lBcEaU4o8teT1piV-SNzShjg/edit?gid=554141278#gid=554141278"", ""'Char Def. - Attributes'!C20:C2242""), 1,false)"),"SALES_UNIT")</f>
        <v>SALES_UNIT</v>
      </c>
      <c r="I1275" s="136"/>
    </row>
    <row r="1276" ht="15.75" customHeight="1">
      <c r="A1276" s="59"/>
      <c r="B1276" s="63">
        <f t="shared" si="1"/>
        <v>17</v>
      </c>
      <c r="C1276" s="134" t="s">
        <v>116</v>
      </c>
      <c r="D1276" s="134" t="s">
        <v>74</v>
      </c>
      <c r="E1276" s="135">
        <f t="shared" si="26"/>
        <v>14</v>
      </c>
      <c r="F1276" s="134" t="s">
        <v>3601</v>
      </c>
      <c r="G1276" s="63" t="str">
        <f>VLOOKUP(C1276, 'Class Def. - General Data'!$C$20:$C$1000,1,false)</f>
        <v>ZFG1_GLASSCLEANER</v>
      </c>
      <c r="H1276" s="63" t="str">
        <f>IFERROR(__xludf.DUMMYFUNCTION("VLOOKUP(F1276, IMPORTRANGE(""https://docs.google.com/spreadsheets/d/1Lhp9OU0JdFf_VYSMzH5lBcEaU4o8teT1piV-SNzShjg/edit?gid=554141278#gid=554141278"", ""'Char Def. - Attributes'!C20:C2242""), 1,false)"),"GROSS_WEIGHT")</f>
        <v>GROSS_WEIGHT</v>
      </c>
      <c r="I1276" s="136"/>
    </row>
    <row r="1277" ht="15.75" customHeight="1">
      <c r="A1277" s="59"/>
      <c r="B1277" s="63">
        <f t="shared" si="1"/>
        <v>17</v>
      </c>
      <c r="C1277" s="134" t="s">
        <v>116</v>
      </c>
      <c r="D1277" s="134" t="s">
        <v>74</v>
      </c>
      <c r="E1277" s="135">
        <f t="shared" si="26"/>
        <v>15</v>
      </c>
      <c r="F1277" s="134" t="s">
        <v>3602</v>
      </c>
      <c r="G1277" s="63" t="str">
        <f>VLOOKUP(C1277, 'Class Def. - General Data'!$C$20:$C$1000,1,false)</f>
        <v>ZFG1_GLASSCLEANER</v>
      </c>
      <c r="H1277" s="63" t="str">
        <f>IFERROR(__xludf.DUMMYFUNCTION("VLOOKUP(F1277, IMPORTRANGE(""https://docs.google.com/spreadsheets/d/1Lhp9OU0JdFf_VYSMzH5lBcEaU4o8teT1piV-SNzShjg/edit?gid=554141278#gid=554141278"", ""'Char Def. - Attributes'!C20:C2242""), 1,false)"),"NET_WEIGHT")</f>
        <v>NET_WEIGHT</v>
      </c>
      <c r="I1277" s="136"/>
    </row>
    <row r="1278" ht="15.75" customHeight="1">
      <c r="A1278" s="59"/>
      <c r="B1278" s="63">
        <f t="shared" si="1"/>
        <v>17</v>
      </c>
      <c r="C1278" s="134" t="s">
        <v>116</v>
      </c>
      <c r="D1278" s="134" t="s">
        <v>74</v>
      </c>
      <c r="E1278" s="135">
        <f t="shared" si="26"/>
        <v>16</v>
      </c>
      <c r="F1278" s="134" t="s">
        <v>3584</v>
      </c>
      <c r="G1278" s="63" t="str">
        <f>VLOOKUP(C1278, 'Class Def. - General Data'!$C$20:$C$1000,1,false)</f>
        <v>ZFG1_GLASSCLEANER</v>
      </c>
      <c r="H1278" s="63" t="str">
        <f>IFERROR(__xludf.DUMMYFUNCTION("VLOOKUP(F1278, IMPORTRANGE(""https://docs.google.com/spreadsheets/d/1Lhp9OU0JdFf_VYSMzH5lBcEaU4o8teT1piV-SNzShjg/edit?gid=554141278#gid=554141278"", ""'Char Def. - Attributes'!C20:C2242""), 1,false)"),"UNIT_PER_BOX")</f>
        <v>UNIT_PER_BOX</v>
      </c>
      <c r="I1278" s="136"/>
    </row>
    <row r="1279" ht="15.75" customHeight="1">
      <c r="A1279" s="59"/>
      <c r="B1279" s="63">
        <f t="shared" si="1"/>
        <v>17</v>
      </c>
      <c r="C1279" s="134" t="s">
        <v>116</v>
      </c>
      <c r="D1279" s="134" t="s">
        <v>74</v>
      </c>
      <c r="E1279" s="135">
        <f t="shared" si="26"/>
        <v>17</v>
      </c>
      <c r="F1279" s="134" t="s">
        <v>3614</v>
      </c>
      <c r="G1279" s="63" t="str">
        <f>VLOOKUP(C1279, 'Class Def. - General Data'!$C$20:$C$1000,1,false)</f>
        <v>ZFG1_GLASSCLEANER</v>
      </c>
      <c r="H1279" s="63" t="str">
        <f>IFERROR(__xludf.DUMMYFUNCTION("VLOOKUP(F1279, IMPORTRANGE(""https://docs.google.com/spreadsheets/d/1Lhp9OU0JdFf_VYSMzH5lBcEaU4o8teT1piV-SNzShjg/edit?gid=554141278#gid=554141278"", ""'Char Def. - Attributes'!C20:C2242""), 1,false)"),"UNIT_PER_CTN")</f>
        <v>UNIT_PER_CTN</v>
      </c>
      <c r="I1279" s="136"/>
    </row>
    <row r="1280" ht="15.75" customHeight="1">
      <c r="A1280" s="59"/>
      <c r="B1280" s="63">
        <f t="shared" si="1"/>
        <v>17</v>
      </c>
      <c r="C1280" s="134" t="s">
        <v>116</v>
      </c>
      <c r="D1280" s="134" t="s">
        <v>74</v>
      </c>
      <c r="E1280" s="135">
        <f t="shared" si="26"/>
        <v>18</v>
      </c>
      <c r="F1280" s="134" t="s">
        <v>3615</v>
      </c>
      <c r="G1280" s="63" t="str">
        <f>VLOOKUP(C1280, 'Class Def. - General Data'!$C$20:$C$1000,1,false)</f>
        <v>ZFG1_GLASSCLEANER</v>
      </c>
      <c r="H1280" s="63" t="str">
        <f>IFERROR(__xludf.DUMMYFUNCTION("VLOOKUP(F1280, IMPORTRANGE(""https://docs.google.com/spreadsheets/d/1Lhp9OU0JdFf_VYSMzH5lBcEaU4o8teT1piV-SNzShjg/edit?gid=554141278#gid=554141278"", ""'Char Def. - Attributes'!C20:C2242""), 1,false)"),"UNIT_PER_BAG")</f>
        <v>UNIT_PER_BAG</v>
      </c>
      <c r="I1280" s="136"/>
    </row>
    <row r="1281" ht="15.75" customHeight="1">
      <c r="A1281" s="59"/>
      <c r="B1281" s="63">
        <f t="shared" si="1"/>
        <v>17</v>
      </c>
      <c r="C1281" s="134" t="s">
        <v>116</v>
      </c>
      <c r="D1281" s="134" t="s">
        <v>74</v>
      </c>
      <c r="E1281" s="135">
        <f t="shared" si="26"/>
        <v>19</v>
      </c>
      <c r="F1281" s="134" t="s">
        <v>3616</v>
      </c>
      <c r="G1281" s="63" t="str">
        <f>VLOOKUP(C1281, 'Class Def. - General Data'!$C$20:$C$1000,1,false)</f>
        <v>ZFG1_GLASSCLEANER</v>
      </c>
      <c r="H1281" s="63" t="str">
        <f>IFERROR(__xludf.DUMMYFUNCTION("VLOOKUP(F1281, IMPORTRANGE(""https://docs.google.com/spreadsheets/d/1Lhp9OU0JdFf_VYSMzH5lBcEaU4o8teT1piV-SNzShjg/edit?gid=554141278#gid=554141278"", ""'Char Def. - Attributes'!C20:C2242""), 1,false)"),"UNIT_PER_PAL")</f>
        <v>UNIT_PER_PAL</v>
      </c>
      <c r="I1281" s="136"/>
    </row>
    <row r="1282" ht="15.75" customHeight="1">
      <c r="A1282" s="66"/>
      <c r="B1282" s="63">
        <f t="shared" si="1"/>
        <v>17</v>
      </c>
      <c r="C1282" s="134" t="s">
        <v>116</v>
      </c>
      <c r="D1282" s="134" t="s">
        <v>74</v>
      </c>
      <c r="E1282" s="135">
        <f t="shared" si="26"/>
        <v>20</v>
      </c>
      <c r="F1282" s="134" t="s">
        <v>3617</v>
      </c>
      <c r="G1282" s="63" t="str">
        <f>VLOOKUP(C1282, 'Class Def. - General Data'!$C$20:$C$1000,1,false)</f>
        <v>ZFG1_GLASSCLEANER</v>
      </c>
      <c r="H1282" s="63" t="str">
        <f>IFERROR(__xludf.DUMMYFUNCTION("VLOOKUP(F1282, IMPORTRANGE(""https://docs.google.com/spreadsheets/d/1Lhp9OU0JdFf_VYSMzH5lBcEaU4o8teT1piV-SNzShjg/edit?gid=554141278#gid=554141278"", ""'Char Def. - Attributes'!C20:C2242""), 1,false)"),"UNIT_PER_TIER")</f>
        <v>UNIT_PER_TIER</v>
      </c>
      <c r="I1282" s="136"/>
    </row>
    <row r="1283" ht="15.75" customHeight="1">
      <c r="A1283" s="66"/>
      <c r="B1283" s="63">
        <f t="shared" si="1"/>
        <v>17</v>
      </c>
      <c r="C1283" s="134" t="s">
        <v>116</v>
      </c>
      <c r="D1283" s="134" t="s">
        <v>74</v>
      </c>
      <c r="E1283" s="135">
        <f t="shared" si="26"/>
        <v>21</v>
      </c>
      <c r="F1283" s="134" t="s">
        <v>3618</v>
      </c>
      <c r="G1283" s="63" t="str">
        <f>VLOOKUP(C1283, 'Class Def. - General Data'!$C$20:$C$1000,1,false)</f>
        <v>ZFG1_GLASSCLEANER</v>
      </c>
      <c r="H1283" s="63" t="str">
        <f>IFERROR(__xludf.DUMMYFUNCTION("VLOOKUP(F1283, IMPORTRANGE(""https://docs.google.com/spreadsheets/d/1Lhp9OU0JdFf_VYSMzH5lBcEaU4o8teT1piV-SNzShjg/edit?gid=554141278#gid=554141278"", ""'Char Def. - Attributes'!C20:C2242""), 1,false)"),"HEIGHT")</f>
        <v>HEIGHT</v>
      </c>
      <c r="I1283" s="136"/>
    </row>
    <row r="1284" ht="15.75" customHeight="1">
      <c r="A1284" s="59"/>
      <c r="B1284" s="63">
        <f t="shared" si="1"/>
        <v>17</v>
      </c>
      <c r="C1284" s="134" t="s">
        <v>116</v>
      </c>
      <c r="D1284" s="134" t="s">
        <v>74</v>
      </c>
      <c r="E1284" s="135">
        <f t="shared" si="26"/>
        <v>22</v>
      </c>
      <c r="F1284" s="134" t="s">
        <v>3587</v>
      </c>
      <c r="G1284" s="63" t="str">
        <f>VLOOKUP(C1284, 'Class Def. - General Data'!$C$20:$C$1000,1,false)</f>
        <v>ZFG1_GLASSCLEANER</v>
      </c>
      <c r="H1284" s="63" t="str">
        <f>IFERROR(__xludf.DUMMYFUNCTION("VLOOKUP(F1284, IMPORTRANGE(""https://docs.google.com/spreadsheets/d/1Lhp9OU0JdFf_VYSMzH5lBcEaU4o8teT1piV-SNzShjg/edit?gid=554141278#gid=554141278"", ""'Char Def. - Attributes'!C20:C2242""), 1,false)"),"PLANT_BUY")</f>
        <v>PLANT_BUY</v>
      </c>
      <c r="I1284" s="136"/>
    </row>
    <row r="1285" ht="15.75" customHeight="1">
      <c r="A1285" s="59"/>
      <c r="B1285" s="63">
        <f t="shared" si="1"/>
        <v>17</v>
      </c>
      <c r="C1285" s="134" t="s">
        <v>116</v>
      </c>
      <c r="D1285" s="134" t="s">
        <v>74</v>
      </c>
      <c r="E1285" s="135">
        <f t="shared" si="26"/>
        <v>23</v>
      </c>
      <c r="F1285" s="134" t="s">
        <v>3619</v>
      </c>
      <c r="G1285" s="63" t="str">
        <f>VLOOKUP(C1285, 'Class Def. - General Data'!$C$20:$C$1000,1,false)</f>
        <v>ZFG1_GLASSCLEANER</v>
      </c>
      <c r="H1285" s="63" t="str">
        <f>IFERROR(__xludf.DUMMYFUNCTION("VLOOKUP(F1285, IMPORTRANGE(""https://docs.google.com/spreadsheets/d/1Lhp9OU0JdFf_VYSMzH5lBcEaU4o8teT1piV-SNzShjg/edit?gid=554141278#gid=554141278"", ""'Char Def. - Attributes'!C20:C2242""), 1,false)"),"LENGTH")</f>
        <v>LENGTH</v>
      </c>
      <c r="I1285" s="136"/>
    </row>
    <row r="1286" ht="15.75" customHeight="1">
      <c r="A1286" s="59"/>
      <c r="B1286" s="63">
        <f t="shared" si="1"/>
        <v>17</v>
      </c>
      <c r="C1286" s="134" t="s">
        <v>116</v>
      </c>
      <c r="D1286" s="134" t="s">
        <v>74</v>
      </c>
      <c r="E1286" s="135">
        <f t="shared" si="26"/>
        <v>24</v>
      </c>
      <c r="F1286" s="134" t="s">
        <v>3586</v>
      </c>
      <c r="G1286" s="63" t="str">
        <f>VLOOKUP(C1286, 'Class Def. - General Data'!$C$20:$C$1000,1,false)</f>
        <v>ZFG1_GLASSCLEANER</v>
      </c>
      <c r="H1286" s="63" t="str">
        <f>IFERROR(__xludf.DUMMYFUNCTION("VLOOKUP(F1286, IMPORTRANGE(""https://docs.google.com/spreadsheets/d/1Lhp9OU0JdFf_VYSMzH5lBcEaU4o8teT1piV-SNzShjg/edit?gid=554141278#gid=554141278"", ""'Char Def. - Attributes'!C20:C2242""), 1,false)"),"PLANT_PROD")</f>
        <v>PLANT_PROD</v>
      </c>
      <c r="I1286" s="136"/>
    </row>
    <row r="1287" ht="15.75" customHeight="1">
      <c r="A1287" s="59"/>
      <c r="B1287" s="63">
        <f t="shared" si="1"/>
        <v>17</v>
      </c>
      <c r="C1287" s="134" t="s">
        <v>116</v>
      </c>
      <c r="D1287" s="134" t="s">
        <v>74</v>
      </c>
      <c r="E1287" s="135">
        <f t="shared" si="26"/>
        <v>25</v>
      </c>
      <c r="F1287" s="134" t="s">
        <v>3620</v>
      </c>
      <c r="G1287" s="63" t="str">
        <f>VLOOKUP(C1287, 'Class Def. - General Data'!$C$20:$C$1000,1,false)</f>
        <v>ZFG1_GLASSCLEANER</v>
      </c>
      <c r="H1287" s="63" t="str">
        <f>IFERROR(__xludf.DUMMYFUNCTION("VLOOKUP(F1287, IMPORTRANGE(""https://docs.google.com/spreadsheets/d/1Lhp9OU0JdFf_VYSMzH5lBcEaU4o8teT1piV-SNzShjg/edit?gid=554141278#gid=554141278"", ""'Char Def. - Attributes'!C20:C2242""), 1,false)"),"WIDTH")</f>
        <v>WIDTH</v>
      </c>
      <c r="I1287" s="136"/>
    </row>
    <row r="1288" ht="15.75" customHeight="1">
      <c r="A1288" s="59"/>
      <c r="B1288" s="63">
        <f t="shared" si="1"/>
        <v>17</v>
      </c>
      <c r="C1288" s="134" t="s">
        <v>116</v>
      </c>
      <c r="D1288" s="134" t="s">
        <v>74</v>
      </c>
      <c r="E1288" s="135">
        <f t="shared" si="26"/>
        <v>26</v>
      </c>
      <c r="F1288" s="134" t="s">
        <v>3585</v>
      </c>
      <c r="G1288" s="63" t="str">
        <f>VLOOKUP(C1288, 'Class Def. - General Data'!$C$20:$C$1000,1,false)</f>
        <v>ZFG1_GLASSCLEANER</v>
      </c>
      <c r="H1288" s="63" t="str">
        <f>IFERROR(__xludf.DUMMYFUNCTION("VLOOKUP(F1288, IMPORTRANGE(""https://docs.google.com/spreadsheets/d/1Lhp9OU0JdFf_VYSMzH5lBcEaU4o8teT1piV-SNzShjg/edit?gid=554141278#gid=554141278"", ""'Char Def. - Attributes'!C20:C2242""), 1,false)"),"HS_CODE")</f>
        <v>HS_CODE</v>
      </c>
      <c r="I1288" s="136"/>
    </row>
    <row r="1289" ht="15.75" customHeight="1">
      <c r="A1289" s="59"/>
      <c r="B1289" s="63">
        <f t="shared" si="1"/>
        <v>17</v>
      </c>
      <c r="C1289" s="134" t="s">
        <v>116</v>
      </c>
      <c r="D1289" s="134" t="s">
        <v>74</v>
      </c>
      <c r="E1289" s="135">
        <f t="shared" si="26"/>
        <v>27</v>
      </c>
      <c r="F1289" s="134" t="s">
        <v>3621</v>
      </c>
      <c r="G1289" s="63" t="str">
        <f>VLOOKUP(C1289, 'Class Def. - General Data'!$C$20:$C$1000,1,false)</f>
        <v>ZFG1_GLASSCLEANER</v>
      </c>
      <c r="H1289" s="63" t="str">
        <f>IFERROR(__xludf.DUMMYFUNCTION("VLOOKUP(F1289, IMPORTRANGE(""https://docs.google.com/spreadsheets/d/1Lhp9OU0JdFf_VYSMzH5lBcEaU4o8teT1piV-SNzShjg/edit?gid=554141278#gid=554141278"", ""'Char Def. - Attributes'!C20:C2242""), 1,false)"),"EAN_PCS")</f>
        <v>EAN_PCS</v>
      </c>
      <c r="I1289" s="136"/>
    </row>
    <row r="1290" ht="15.75" customHeight="1">
      <c r="A1290" s="59"/>
      <c r="B1290" s="63">
        <f t="shared" si="1"/>
        <v>17</v>
      </c>
      <c r="C1290" s="134" t="s">
        <v>116</v>
      </c>
      <c r="D1290" s="134" t="s">
        <v>74</v>
      </c>
      <c r="E1290" s="135">
        <f t="shared" si="26"/>
        <v>28</v>
      </c>
      <c r="F1290" s="134" t="s">
        <v>3622</v>
      </c>
      <c r="G1290" s="63" t="str">
        <f>VLOOKUP(C1290, 'Class Def. - General Data'!$C$20:$C$1000,1,false)</f>
        <v>ZFG1_GLASSCLEANER</v>
      </c>
      <c r="H1290" s="63" t="str">
        <f>IFERROR(__xludf.DUMMYFUNCTION("VLOOKUP(F1290, IMPORTRANGE(""https://docs.google.com/spreadsheets/d/1Lhp9OU0JdFf_VYSMzH5lBcEaU4o8teT1piV-SNzShjg/edit?gid=554141278#gid=554141278"", ""'Char Def. - Attributes'!C20:C2242""), 1,false)"),"SFG_BRAND")</f>
        <v>SFG_BRAND</v>
      </c>
      <c r="I1290" s="136"/>
    </row>
    <row r="1291" ht="15.75" customHeight="1">
      <c r="A1291" s="59"/>
      <c r="B1291" s="63">
        <f t="shared" si="1"/>
        <v>17</v>
      </c>
      <c r="C1291" s="134" t="s">
        <v>116</v>
      </c>
      <c r="D1291" s="134" t="s">
        <v>74</v>
      </c>
      <c r="E1291" s="135">
        <f t="shared" si="26"/>
        <v>29</v>
      </c>
      <c r="F1291" s="134" t="s">
        <v>3623</v>
      </c>
      <c r="G1291" s="63" t="str">
        <f>VLOOKUP(C1291, 'Class Def. - General Data'!$C$20:$C$1000,1,false)</f>
        <v>ZFG1_GLASSCLEANER</v>
      </c>
      <c r="H1291" s="63" t="str">
        <f>IFERROR(__xludf.DUMMYFUNCTION("VLOOKUP(F1291, IMPORTRANGE(""https://docs.google.com/spreadsheets/d/1Lhp9OU0JdFf_VYSMzH5lBcEaU4o8teT1piV-SNzShjg/edit?gid=554141278#gid=554141278"", ""'Char Def. - Attributes'!C20:C2242""), 1,false)"),"LANGUAGE")</f>
        <v>LANGUAGE</v>
      </c>
      <c r="I1291" s="136"/>
    </row>
    <row r="1292" ht="15.75" customHeight="1">
      <c r="A1292" s="59"/>
      <c r="B1292" s="63">
        <f t="shared" si="1"/>
        <v>17</v>
      </c>
      <c r="C1292" s="139" t="s">
        <v>116</v>
      </c>
      <c r="D1292" s="139" t="s">
        <v>74</v>
      </c>
      <c r="E1292" s="140">
        <f t="shared" si="26"/>
        <v>30</v>
      </c>
      <c r="F1292" s="134" t="s">
        <v>3624</v>
      </c>
      <c r="G1292" s="63" t="str">
        <f>VLOOKUP(C1292, 'Class Def. - General Data'!$C$20:$C$1000,1,false)</f>
        <v>ZFG1_GLASSCLEANER</v>
      </c>
      <c r="H1292" s="63" t="str">
        <f>IFERROR(__xludf.DUMMYFUNCTION("VLOOKUP(F1292, IMPORTRANGE(""https://docs.google.com/spreadsheets/d/1Lhp9OU0JdFf_VYSMzH5lBcEaU4o8teT1piV-SNzShjg/edit?gid=554141278#gid=554141278"", ""'Char Def. - Attributes'!C20:C2242""), 1,false)"),"#N/A")</f>
        <v>#N/A</v>
      </c>
      <c r="I1292" s="136"/>
    </row>
    <row r="1293" ht="15.75" customHeight="1">
      <c r="A1293" s="59"/>
      <c r="B1293" s="63">
        <f t="shared" si="1"/>
        <v>17</v>
      </c>
      <c r="C1293" s="134" t="s">
        <v>116</v>
      </c>
      <c r="D1293" s="134" t="s">
        <v>74</v>
      </c>
      <c r="E1293" s="135">
        <f t="shared" si="26"/>
        <v>31</v>
      </c>
      <c r="F1293" s="134" t="s">
        <v>3625</v>
      </c>
      <c r="G1293" s="63" t="str">
        <f>VLOOKUP(C1293, 'Class Def. - General Data'!$C$20:$C$1000,1,false)</f>
        <v>ZFG1_GLASSCLEANER</v>
      </c>
      <c r="H1293" s="63" t="str">
        <f>IFERROR(__xludf.DUMMYFUNCTION("VLOOKUP(F1293, IMPORTRANGE(""https://docs.google.com/spreadsheets/d/1Lhp9OU0JdFf_VYSMzH5lBcEaU4o8teT1piV-SNzShjg/edit?gid=554141278#gid=554141278"", ""'Char Def. - Attributes'!C20:C2242""), 1,false)"),"REGION_EKSPOR")</f>
        <v>REGION_EKSPOR</v>
      </c>
      <c r="I1293" s="136"/>
    </row>
    <row r="1294" ht="15.75" customHeight="1">
      <c r="A1294" s="59"/>
      <c r="B1294" s="63">
        <f t="shared" si="1"/>
        <v>17</v>
      </c>
      <c r="C1294" s="134" t="s">
        <v>116</v>
      </c>
      <c r="D1294" s="134" t="s">
        <v>74</v>
      </c>
      <c r="E1294" s="135">
        <f t="shared" si="26"/>
        <v>32</v>
      </c>
      <c r="F1294" s="134" t="s">
        <v>3626</v>
      </c>
      <c r="G1294" s="63" t="str">
        <f>VLOOKUP(C1294, 'Class Def. - General Data'!$C$20:$C$1000,1,false)</f>
        <v>ZFG1_GLASSCLEANER</v>
      </c>
      <c r="H1294" s="63" t="str">
        <f>IFERROR(__xludf.DUMMYFUNCTION("VLOOKUP(F1294, IMPORTRANGE(""https://docs.google.com/spreadsheets/d/1Lhp9OU0JdFf_VYSMzH5lBcEaU4o8teT1piV-SNzShjg/edit?gid=554141278#gid=554141278"", ""'Char Def. - Attributes'!C20:C2242""), 1,false)"),"STICKER_NOT")</f>
        <v>STICKER_NOT</v>
      </c>
      <c r="I1294" s="136"/>
    </row>
    <row r="1295" ht="15.75" customHeight="1">
      <c r="A1295" s="59"/>
      <c r="B1295" s="63">
        <f t="shared" si="1"/>
        <v>17</v>
      </c>
      <c r="C1295" s="134" t="s">
        <v>116</v>
      </c>
      <c r="D1295" s="134" t="s">
        <v>74</v>
      </c>
      <c r="E1295" s="135">
        <f t="shared" si="26"/>
        <v>33</v>
      </c>
      <c r="F1295" s="134" t="s">
        <v>3627</v>
      </c>
      <c r="G1295" s="63" t="str">
        <f>VLOOKUP(C1295, 'Class Def. - General Data'!$C$20:$C$1000,1,false)</f>
        <v>ZFG1_GLASSCLEANER</v>
      </c>
      <c r="H1295" s="63" t="str">
        <f>IFERROR(__xludf.DUMMYFUNCTION("VLOOKUP(F1295, IMPORTRANGE(""https://docs.google.com/spreadsheets/d/1Lhp9OU0JdFf_VYSMzH5lBcEaU4o8teT1piV-SNzShjg/edit?gid=554141278#gid=554141278"", ""'Char Def. - Attributes'!C20:C2242""), 1,false)"),"SHIP_MARK")</f>
        <v>SHIP_MARK</v>
      </c>
      <c r="I1295" s="136"/>
    </row>
    <row r="1296" ht="15.75" customHeight="1">
      <c r="A1296" s="59"/>
      <c r="B1296" s="63">
        <f t="shared" si="1"/>
        <v>17</v>
      </c>
      <c r="C1296" s="134" t="s">
        <v>116</v>
      </c>
      <c r="D1296" s="134" t="s">
        <v>74</v>
      </c>
      <c r="E1296" s="135">
        <f t="shared" si="26"/>
        <v>34</v>
      </c>
      <c r="F1296" s="134" t="s">
        <v>3628</v>
      </c>
      <c r="G1296" s="63" t="str">
        <f>VLOOKUP(C1296, 'Class Def. - General Data'!$C$20:$C$1000,1,false)</f>
        <v>ZFG1_GLASSCLEANER</v>
      </c>
      <c r="H1296" s="63" t="str">
        <f>IFERROR(__xludf.DUMMYFUNCTION("VLOOKUP(F1296, IMPORTRANGE(""https://docs.google.com/spreadsheets/d/1Lhp9OU0JdFf_VYSMzH5lBcEaU4o8teT1piV-SNzShjg/edit?gid=554141278#gid=554141278"", ""'Char Def. - Attributes'!C20:C2242""), 1,false)"),"MID_CORE")</f>
        <v>MID_CORE</v>
      </c>
      <c r="I1296" s="136"/>
    </row>
    <row r="1297" ht="15.75" customHeight="1">
      <c r="A1297" s="59"/>
      <c r="B1297" s="63">
        <f t="shared" si="1"/>
        <v>17</v>
      </c>
      <c r="C1297" s="134" t="s">
        <v>116</v>
      </c>
      <c r="D1297" s="134" t="s">
        <v>74</v>
      </c>
      <c r="E1297" s="135">
        <f t="shared" si="26"/>
        <v>35</v>
      </c>
      <c r="F1297" s="134" t="s">
        <v>3629</v>
      </c>
      <c r="G1297" s="63" t="str">
        <f>VLOOKUP(C1297, 'Class Def. - General Data'!$C$20:$C$1000,1,false)</f>
        <v>ZFG1_GLASSCLEANER</v>
      </c>
      <c r="H1297" s="63" t="str">
        <f>IFERROR(__xludf.DUMMYFUNCTION("VLOOKUP(F1297, IMPORTRANGE(""https://docs.google.com/spreadsheets/d/1Lhp9OU0JdFf_VYSMzH5lBcEaU4o8teT1piV-SNzShjg/edit?gid=554141278#gid=554141278"", ""'Char Def. - Attributes'!C20:C2242""), 1,false)"),"EAN_CTN")</f>
        <v>EAN_CTN</v>
      </c>
      <c r="I1297" s="136"/>
    </row>
    <row r="1298" ht="15.75" customHeight="1">
      <c r="A1298" s="59"/>
      <c r="B1298" s="63">
        <f t="shared" si="1"/>
        <v>17</v>
      </c>
      <c r="C1298" s="134" t="s">
        <v>116</v>
      </c>
      <c r="D1298" s="134" t="s">
        <v>74</v>
      </c>
      <c r="E1298" s="135">
        <f t="shared" si="26"/>
        <v>36</v>
      </c>
      <c r="F1298" s="134" t="s">
        <v>3630</v>
      </c>
      <c r="G1298" s="63" t="str">
        <f>VLOOKUP(C1298, 'Class Def. - General Data'!$C$20:$C$1000,1,false)</f>
        <v>ZFG1_GLASSCLEANER</v>
      </c>
      <c r="H1298" s="63" t="str">
        <f>IFERROR(__xludf.DUMMYFUNCTION("VLOOKUP(F1298, IMPORTRANGE(""https://docs.google.com/spreadsheets/d/1Lhp9OU0JdFf_VYSMzH5lBcEaU4o8teT1piV-SNzShjg/edit?gid=554141278#gid=554141278"", ""'Char Def. - Attributes'!C20:C2242""), 1,false)"),"EAN_BOX")</f>
        <v>EAN_BOX</v>
      </c>
      <c r="I1298" s="136"/>
    </row>
    <row r="1299" ht="15.75" customHeight="1">
      <c r="A1299" s="59"/>
      <c r="B1299" s="63">
        <f t="shared" si="1"/>
        <v>17</v>
      </c>
      <c r="C1299" s="134" t="s">
        <v>116</v>
      </c>
      <c r="D1299" s="141" t="s">
        <v>74</v>
      </c>
      <c r="E1299" s="135">
        <v>22.0</v>
      </c>
      <c r="F1299" s="135" t="s">
        <v>3603</v>
      </c>
      <c r="G1299" s="63" t="str">
        <f>VLOOKUP(C1299, 'Class Def. - General Data'!$C$20:$C$1000,1,false)</f>
        <v>ZFG1_GLASSCLEANER</v>
      </c>
      <c r="I1299" s="136"/>
    </row>
    <row r="1300" ht="15.75" customHeight="1">
      <c r="A1300" s="59"/>
      <c r="B1300" s="63">
        <f t="shared" si="1"/>
        <v>13</v>
      </c>
      <c r="C1300" s="134" t="s">
        <v>117</v>
      </c>
      <c r="D1300" s="134" t="s">
        <v>74</v>
      </c>
      <c r="E1300" s="135">
        <f t="shared" ref="E1300:E1335" si="27">COUNTIF($C$20:C1300,C1300)</f>
        <v>1</v>
      </c>
      <c r="F1300" s="134" t="s">
        <v>3692</v>
      </c>
      <c r="G1300" s="63" t="str">
        <f>VLOOKUP(C1300, 'Class Def. - General Data'!$C$20:$C$1000,1,false)</f>
        <v>ZFG1_HAIRCARE</v>
      </c>
      <c r="H1300" s="63" t="str">
        <f>IFERROR(__xludf.DUMMYFUNCTION("VLOOKUP(F1300, IMPORTRANGE(""https://docs.google.com/spreadsheets/d/1Lhp9OU0JdFf_VYSMzH5lBcEaU4o8teT1piV-SNzShjg/edit?gid=554141278#gid=554141278"", ""'Char Def. - Attributes'!C20:C2242""), 1,false)"),"BRAND_HAIRCARE")</f>
        <v>BRAND_HAIRCARE</v>
      </c>
      <c r="I1300" s="136"/>
    </row>
    <row r="1301" ht="15.75" customHeight="1">
      <c r="A1301" s="59"/>
      <c r="B1301" s="63">
        <f t="shared" si="1"/>
        <v>13</v>
      </c>
      <c r="C1301" s="135" t="s">
        <v>117</v>
      </c>
      <c r="D1301" s="134" t="s">
        <v>74</v>
      </c>
      <c r="E1301" s="135">
        <f t="shared" si="27"/>
        <v>2</v>
      </c>
      <c r="F1301" s="134" t="s">
        <v>3693</v>
      </c>
      <c r="G1301" s="63" t="str">
        <f>VLOOKUP(C1301, 'Class Def. - General Data'!$C$20:$C$1000,1,false)</f>
        <v>ZFG1_HAIRCARE</v>
      </c>
      <c r="H1301" s="63" t="str">
        <f>IFERROR(__xludf.DUMMYFUNCTION("VLOOKUP(F1301, IMPORTRANGE(""https://docs.google.com/spreadsheets/d/1Lhp9OU0JdFf_VYSMzH5lBcEaU4o8teT1piV-SNzShjg/edit?gid=554141278#gid=554141278"", ""'Char Def. - Attributes'!C20:C2242""), 1,false)"),"PSHAPE_HAIRCARE")</f>
        <v>PSHAPE_HAIRCARE</v>
      </c>
      <c r="I1301" s="136"/>
    </row>
    <row r="1302" ht="15.75" customHeight="1">
      <c r="A1302" s="59"/>
      <c r="B1302" s="63">
        <f t="shared" si="1"/>
        <v>13</v>
      </c>
      <c r="C1302" s="134" t="s">
        <v>117</v>
      </c>
      <c r="D1302" s="134" t="s">
        <v>74</v>
      </c>
      <c r="E1302" s="135">
        <f t="shared" si="27"/>
        <v>3</v>
      </c>
      <c r="F1302" s="134" t="s">
        <v>3605</v>
      </c>
      <c r="G1302" s="63" t="str">
        <f>VLOOKUP(C1302, 'Class Def. - General Data'!$C$20:$C$1000,1,false)</f>
        <v>ZFG1_HAIRCARE</v>
      </c>
      <c r="H1302" s="63" t="str">
        <f>IFERROR(__xludf.DUMMYFUNCTION("VLOOKUP(F1302, IMPORTRANGE(""https://docs.google.com/spreadsheets/d/1Lhp9OU0JdFf_VYSMzH5lBcEaU4o8teT1piV-SNzShjg/edit?gid=554141278#gid=554141278"", ""'Char Def. - Attributes'!C20:C2242""), 1,false)"),"PACK_NETTO")</f>
        <v>PACK_NETTO</v>
      </c>
      <c r="I1302" s="136"/>
    </row>
    <row r="1303" ht="15.75" customHeight="1">
      <c r="A1303" s="59"/>
      <c r="B1303" s="63">
        <f t="shared" si="1"/>
        <v>13</v>
      </c>
      <c r="C1303" s="135" t="s">
        <v>117</v>
      </c>
      <c r="D1303" s="134" t="s">
        <v>74</v>
      </c>
      <c r="E1303" s="135">
        <f t="shared" si="27"/>
        <v>4</v>
      </c>
      <c r="F1303" s="134" t="s">
        <v>3694</v>
      </c>
      <c r="G1303" s="63" t="str">
        <f>VLOOKUP(C1303, 'Class Def. - General Data'!$C$20:$C$1000,1,false)</f>
        <v>ZFG1_HAIRCARE</v>
      </c>
      <c r="H1303" s="63" t="str">
        <f>IFERROR(__xludf.DUMMYFUNCTION("VLOOKUP(F1303, IMPORTRANGE(""https://docs.google.com/spreadsheets/d/1Lhp9OU0JdFf_VYSMzH5lBcEaU4o8teT1piV-SNzShjg/edit?gid=554141278#gid=554141278"", ""'Char Def. - Attributes'!C20:C2242""), 1,false)"),"PUOM_HAIRCARE")</f>
        <v>PUOM_HAIRCARE</v>
      </c>
      <c r="I1303" s="136"/>
    </row>
    <row r="1304" ht="15.75" customHeight="1">
      <c r="A1304" s="59"/>
      <c r="B1304" s="63">
        <f t="shared" si="1"/>
        <v>13</v>
      </c>
      <c r="C1304" s="134" t="s">
        <v>117</v>
      </c>
      <c r="D1304" s="134" t="s">
        <v>74</v>
      </c>
      <c r="E1304" s="135">
        <f t="shared" si="27"/>
        <v>5</v>
      </c>
      <c r="F1304" s="134" t="s">
        <v>3607</v>
      </c>
      <c r="G1304" s="63" t="str">
        <f>VLOOKUP(C1304, 'Class Def. - General Data'!$C$20:$C$1000,1,false)</f>
        <v>ZFG1_HAIRCARE</v>
      </c>
      <c r="H1304" s="63" t="str">
        <f>IFERROR(__xludf.DUMMYFUNCTION("VLOOKUP(F1304, IMPORTRANGE(""https://docs.google.com/spreadsheets/d/1Lhp9OU0JdFf_VYSMzH5lBcEaU4o8teT1piV-SNzShjg/edit?gid=554141278#gid=554141278"", ""'Char Def. - Attributes'!C20:C2242""), 1,false)"),"VARIAN")</f>
        <v>VARIAN</v>
      </c>
      <c r="I1304" s="136"/>
    </row>
    <row r="1305" ht="15.75" customHeight="1">
      <c r="A1305" s="59"/>
      <c r="B1305" s="63">
        <f t="shared" si="1"/>
        <v>13</v>
      </c>
      <c r="C1305" s="134" t="s">
        <v>117</v>
      </c>
      <c r="D1305" s="134" t="s">
        <v>74</v>
      </c>
      <c r="E1305" s="135">
        <f t="shared" si="27"/>
        <v>6</v>
      </c>
      <c r="F1305" s="134" t="s">
        <v>3608</v>
      </c>
      <c r="G1305" s="63" t="str">
        <f>VLOOKUP(C1305, 'Class Def. - General Data'!$C$20:$C$1000,1,false)</f>
        <v>ZFG1_HAIRCARE</v>
      </c>
      <c r="H1305" s="63" t="str">
        <f>IFERROR(__xludf.DUMMYFUNCTION("VLOOKUP(F1305, IMPORTRANGE(""https://docs.google.com/spreadsheets/d/1Lhp9OU0JdFf_VYSMzH5lBcEaU4o8teT1piV-SNzShjg/edit?gid=554141278#gid=554141278"", ""'Char Def. - Attributes'!C20:C2242""), 1,false)"),"PROJECT_NAME")</f>
        <v>PROJECT_NAME</v>
      </c>
      <c r="I1305" s="136"/>
    </row>
    <row r="1306" ht="15.75" customHeight="1">
      <c r="A1306" s="59"/>
      <c r="B1306" s="63">
        <f t="shared" si="1"/>
        <v>13</v>
      </c>
      <c r="C1306" s="134" t="s">
        <v>117</v>
      </c>
      <c r="D1306" s="134" t="s">
        <v>74</v>
      </c>
      <c r="E1306" s="135">
        <f t="shared" si="27"/>
        <v>7</v>
      </c>
      <c r="F1306" s="134" t="s">
        <v>3609</v>
      </c>
      <c r="G1306" s="63" t="str">
        <f>VLOOKUP(C1306, 'Class Def. - General Data'!$C$20:$C$1000,1,false)</f>
        <v>ZFG1_HAIRCARE</v>
      </c>
      <c r="H1306" s="63" t="str">
        <f>IFERROR(__xludf.DUMMYFUNCTION("VLOOKUP(F1306, IMPORTRANGE(""https://docs.google.com/spreadsheets/d/1Lhp9OU0JdFf_VYSMzH5lBcEaU4o8teT1piV-SNzShjg/edit?gid=554141278#gid=554141278"", ""'Char Def. - Attributes'!C20:C2242""), 1,false)"),"ADDITIONAL_PROMO")</f>
        <v>ADDITIONAL_PROMO</v>
      </c>
      <c r="I1306" s="136"/>
    </row>
    <row r="1307" ht="15.75" customHeight="1">
      <c r="A1307" s="59"/>
      <c r="B1307" s="63">
        <f t="shared" si="1"/>
        <v>13</v>
      </c>
      <c r="C1307" s="134" t="s">
        <v>117</v>
      </c>
      <c r="D1307" s="134" t="s">
        <v>74</v>
      </c>
      <c r="E1307" s="135">
        <f t="shared" si="27"/>
        <v>8</v>
      </c>
      <c r="F1307" s="134" t="s">
        <v>3610</v>
      </c>
      <c r="G1307" s="63" t="str">
        <f>VLOOKUP(C1307, 'Class Def. - General Data'!$C$20:$C$1000,1,false)</f>
        <v>ZFG1_HAIRCARE</v>
      </c>
      <c r="H1307" s="63" t="str">
        <f>IFERROR(__xludf.DUMMYFUNCTION("VLOOKUP(F1307, IMPORTRANGE(""https://docs.google.com/spreadsheets/d/1Lhp9OU0JdFf_VYSMzH5lBcEaU4o8teT1piV-SNzShjg/edit?gid=554141278#gid=554141278"", ""'Char Def. - Attributes'!C20:C2242""), 1,false)"),"BANDED_PROMO")</f>
        <v>BANDED_PROMO</v>
      </c>
      <c r="I1307" s="136"/>
    </row>
    <row r="1308" ht="15.75" customHeight="1">
      <c r="A1308" s="59"/>
      <c r="B1308" s="63">
        <f t="shared" si="1"/>
        <v>13</v>
      </c>
      <c r="C1308" s="134" t="s">
        <v>117</v>
      </c>
      <c r="D1308" s="134" t="s">
        <v>74</v>
      </c>
      <c r="E1308" s="135">
        <f t="shared" si="27"/>
        <v>9</v>
      </c>
      <c r="F1308" s="134" t="s">
        <v>3611</v>
      </c>
      <c r="G1308" s="63" t="str">
        <f>VLOOKUP(C1308, 'Class Def. - General Data'!$C$20:$C$1000,1,false)</f>
        <v>ZFG1_HAIRCARE</v>
      </c>
      <c r="H1308" s="63" t="str">
        <f>IFERROR(__xludf.DUMMYFUNCTION("VLOOKUP(F1308, IMPORTRANGE(""https://docs.google.com/spreadsheets/d/1Lhp9OU0JdFf_VYSMzH5lBcEaU4o8teT1piV-SNzShjg/edit?gid=554141278#gid=554141278"", ""'Char Def. - Attributes'!C20:C2242""), 1,false)"),"LOKAL_EKSPOR")</f>
        <v>LOKAL_EKSPOR</v>
      </c>
      <c r="I1308" s="136"/>
    </row>
    <row r="1309" ht="15.75" customHeight="1">
      <c r="A1309" s="59"/>
      <c r="B1309" s="63">
        <f t="shared" si="1"/>
        <v>13</v>
      </c>
      <c r="C1309" s="134" t="s">
        <v>117</v>
      </c>
      <c r="D1309" s="134" t="s">
        <v>74</v>
      </c>
      <c r="E1309" s="135">
        <f t="shared" si="27"/>
        <v>10</v>
      </c>
      <c r="F1309" s="134" t="s">
        <v>3612</v>
      </c>
      <c r="G1309" s="63" t="str">
        <f>VLOOKUP(C1309, 'Class Def. - General Data'!$C$20:$C$1000,1,false)</f>
        <v>ZFG1_HAIRCARE</v>
      </c>
      <c r="H1309" s="63" t="str">
        <f>IFERROR(__xludf.DUMMYFUNCTION("VLOOKUP(F1309, IMPORTRANGE(""https://docs.google.com/spreadsheets/d/1Lhp9OU0JdFf_VYSMzH5lBcEaU4o8teT1piV-SNzShjg/edit?gid=554141278#gid=554141278"", ""'Char Def. - Attributes'!C20:C2242""), 1,false)"),"COUNTRY_EKSPOR")</f>
        <v>COUNTRY_EKSPOR</v>
      </c>
      <c r="I1309" s="136"/>
    </row>
    <row r="1310" ht="15.75" customHeight="1">
      <c r="A1310" s="59"/>
      <c r="B1310" s="63">
        <f t="shared" si="1"/>
        <v>13</v>
      </c>
      <c r="C1310" s="134" t="s">
        <v>117</v>
      </c>
      <c r="D1310" s="134" t="s">
        <v>74</v>
      </c>
      <c r="E1310" s="135">
        <f t="shared" si="27"/>
        <v>11</v>
      </c>
      <c r="F1310" s="134" t="s">
        <v>3613</v>
      </c>
      <c r="G1310" s="63" t="str">
        <f>VLOOKUP(C1310, 'Class Def. - General Data'!$C$20:$C$1000,1,false)</f>
        <v>ZFG1_HAIRCARE</v>
      </c>
      <c r="H1310" s="63" t="str">
        <f>IFERROR(__xludf.DUMMYFUNCTION("VLOOKUP(F1310, IMPORTRANGE(""https://docs.google.com/spreadsheets/d/1Lhp9OU0JdFf_VYSMzH5lBcEaU4o8teT1piV-SNzShjg/edit?gid=554141278#gid=554141278"", ""'Char Def. - Attributes'!C20:C2242""), 1,false)"),"WARNA_SFG")</f>
        <v>WARNA_SFG</v>
      </c>
      <c r="I1310" s="136"/>
    </row>
    <row r="1311" ht="15.75" customHeight="1">
      <c r="A1311" s="59"/>
      <c r="B1311" s="63">
        <f t="shared" si="1"/>
        <v>13</v>
      </c>
      <c r="C1311" s="134" t="s">
        <v>117</v>
      </c>
      <c r="D1311" s="134" t="s">
        <v>74</v>
      </c>
      <c r="E1311" s="135">
        <f t="shared" si="27"/>
        <v>12</v>
      </c>
      <c r="F1311" s="134" t="s">
        <v>3582</v>
      </c>
      <c r="G1311" s="63" t="str">
        <f>VLOOKUP(C1311, 'Class Def. - General Data'!$C$20:$C$1000,1,false)</f>
        <v>ZFG1_HAIRCARE</v>
      </c>
      <c r="H1311" s="63" t="str">
        <f>IFERROR(__xludf.DUMMYFUNCTION("VLOOKUP(F1311, IMPORTRANGE(""https://docs.google.com/spreadsheets/d/1Lhp9OU0JdFf_VYSMzH5lBcEaU4o8teT1piV-SNzShjg/edit?gid=554141278#gid=554141278"", ""'Char Def. - Attributes'!C20:C2242""), 1,false)"),"BASE_UNIT")</f>
        <v>BASE_UNIT</v>
      </c>
      <c r="I1311" s="136"/>
    </row>
    <row r="1312" ht="15.75" customHeight="1">
      <c r="A1312" s="59"/>
      <c r="B1312" s="63">
        <f t="shared" si="1"/>
        <v>13</v>
      </c>
      <c r="C1312" s="134" t="s">
        <v>117</v>
      </c>
      <c r="D1312" s="134" t="s">
        <v>74</v>
      </c>
      <c r="E1312" s="135">
        <f t="shared" si="27"/>
        <v>13</v>
      </c>
      <c r="F1312" s="134" t="s">
        <v>3583</v>
      </c>
      <c r="G1312" s="63" t="str">
        <f>VLOOKUP(C1312, 'Class Def. - General Data'!$C$20:$C$1000,1,false)</f>
        <v>ZFG1_HAIRCARE</v>
      </c>
      <c r="H1312" s="63" t="str">
        <f>IFERROR(__xludf.DUMMYFUNCTION("VLOOKUP(F1312, IMPORTRANGE(""https://docs.google.com/spreadsheets/d/1Lhp9OU0JdFf_VYSMzH5lBcEaU4o8teT1piV-SNzShjg/edit?gid=554141278#gid=554141278"", ""'Char Def. - Attributes'!C20:C2242""), 1,false)"),"SALES_UNIT")</f>
        <v>SALES_UNIT</v>
      </c>
      <c r="I1312" s="136"/>
    </row>
    <row r="1313" ht="15.75" customHeight="1">
      <c r="A1313" s="59"/>
      <c r="B1313" s="63">
        <f t="shared" si="1"/>
        <v>13</v>
      </c>
      <c r="C1313" s="134" t="s">
        <v>117</v>
      </c>
      <c r="D1313" s="134" t="s">
        <v>74</v>
      </c>
      <c r="E1313" s="135">
        <f t="shared" si="27"/>
        <v>14</v>
      </c>
      <c r="F1313" s="134" t="s">
        <v>3601</v>
      </c>
      <c r="G1313" s="63" t="str">
        <f>VLOOKUP(C1313, 'Class Def. - General Data'!$C$20:$C$1000,1,false)</f>
        <v>ZFG1_HAIRCARE</v>
      </c>
      <c r="H1313" s="63" t="str">
        <f>IFERROR(__xludf.DUMMYFUNCTION("VLOOKUP(F1313, IMPORTRANGE(""https://docs.google.com/spreadsheets/d/1Lhp9OU0JdFf_VYSMzH5lBcEaU4o8teT1piV-SNzShjg/edit?gid=554141278#gid=554141278"", ""'Char Def. - Attributes'!C20:C2242""), 1,false)"),"GROSS_WEIGHT")</f>
        <v>GROSS_WEIGHT</v>
      </c>
      <c r="I1313" s="136"/>
    </row>
    <row r="1314" ht="15.75" customHeight="1">
      <c r="A1314" s="59"/>
      <c r="B1314" s="63">
        <f t="shared" si="1"/>
        <v>13</v>
      </c>
      <c r="C1314" s="134" t="s">
        <v>117</v>
      </c>
      <c r="D1314" s="134" t="s">
        <v>74</v>
      </c>
      <c r="E1314" s="135">
        <f t="shared" si="27"/>
        <v>15</v>
      </c>
      <c r="F1314" s="134" t="s">
        <v>3602</v>
      </c>
      <c r="G1314" s="63" t="str">
        <f>VLOOKUP(C1314, 'Class Def. - General Data'!$C$20:$C$1000,1,false)</f>
        <v>ZFG1_HAIRCARE</v>
      </c>
      <c r="H1314" s="63" t="str">
        <f>IFERROR(__xludf.DUMMYFUNCTION("VLOOKUP(F1314, IMPORTRANGE(""https://docs.google.com/spreadsheets/d/1Lhp9OU0JdFf_VYSMzH5lBcEaU4o8teT1piV-SNzShjg/edit?gid=554141278#gid=554141278"", ""'Char Def. - Attributes'!C20:C2242""), 1,false)"),"NET_WEIGHT")</f>
        <v>NET_WEIGHT</v>
      </c>
      <c r="I1314" s="136"/>
    </row>
    <row r="1315" ht="15.75" customHeight="1">
      <c r="A1315" s="59"/>
      <c r="B1315" s="63">
        <f t="shared" si="1"/>
        <v>13</v>
      </c>
      <c r="C1315" s="134" t="s">
        <v>117</v>
      </c>
      <c r="D1315" s="134" t="s">
        <v>74</v>
      </c>
      <c r="E1315" s="135">
        <f t="shared" si="27"/>
        <v>16</v>
      </c>
      <c r="F1315" s="134" t="s">
        <v>3584</v>
      </c>
      <c r="G1315" s="63" t="str">
        <f>VLOOKUP(C1315, 'Class Def. - General Data'!$C$20:$C$1000,1,false)</f>
        <v>ZFG1_HAIRCARE</v>
      </c>
      <c r="H1315" s="63" t="str">
        <f>IFERROR(__xludf.DUMMYFUNCTION("VLOOKUP(F1315, IMPORTRANGE(""https://docs.google.com/spreadsheets/d/1Lhp9OU0JdFf_VYSMzH5lBcEaU4o8teT1piV-SNzShjg/edit?gid=554141278#gid=554141278"", ""'Char Def. - Attributes'!C20:C2242""), 1,false)"),"UNIT_PER_BOX")</f>
        <v>UNIT_PER_BOX</v>
      </c>
      <c r="I1315" s="136"/>
    </row>
    <row r="1316" ht="15.75" customHeight="1">
      <c r="A1316" s="59"/>
      <c r="B1316" s="63">
        <f t="shared" si="1"/>
        <v>13</v>
      </c>
      <c r="C1316" s="134" t="s">
        <v>117</v>
      </c>
      <c r="D1316" s="134" t="s">
        <v>74</v>
      </c>
      <c r="E1316" s="135">
        <f t="shared" si="27"/>
        <v>17</v>
      </c>
      <c r="F1316" s="134" t="s">
        <v>3614</v>
      </c>
      <c r="G1316" s="63" t="str">
        <f>VLOOKUP(C1316, 'Class Def. - General Data'!$C$20:$C$1000,1,false)</f>
        <v>ZFG1_HAIRCARE</v>
      </c>
      <c r="H1316" s="63" t="str">
        <f>IFERROR(__xludf.DUMMYFUNCTION("VLOOKUP(F1316, IMPORTRANGE(""https://docs.google.com/spreadsheets/d/1Lhp9OU0JdFf_VYSMzH5lBcEaU4o8teT1piV-SNzShjg/edit?gid=554141278#gid=554141278"", ""'Char Def. - Attributes'!C20:C2242""), 1,false)"),"UNIT_PER_CTN")</f>
        <v>UNIT_PER_CTN</v>
      </c>
      <c r="I1316" s="136"/>
    </row>
    <row r="1317" ht="15.75" customHeight="1">
      <c r="A1317" s="59"/>
      <c r="B1317" s="63">
        <f t="shared" si="1"/>
        <v>13</v>
      </c>
      <c r="C1317" s="134" t="s">
        <v>117</v>
      </c>
      <c r="D1317" s="134" t="s">
        <v>74</v>
      </c>
      <c r="E1317" s="135">
        <f t="shared" si="27"/>
        <v>18</v>
      </c>
      <c r="F1317" s="134" t="s">
        <v>3615</v>
      </c>
      <c r="G1317" s="63" t="str">
        <f>VLOOKUP(C1317, 'Class Def. - General Data'!$C$20:$C$1000,1,false)</f>
        <v>ZFG1_HAIRCARE</v>
      </c>
      <c r="H1317" s="63" t="str">
        <f>IFERROR(__xludf.DUMMYFUNCTION("VLOOKUP(F1317, IMPORTRANGE(""https://docs.google.com/spreadsheets/d/1Lhp9OU0JdFf_VYSMzH5lBcEaU4o8teT1piV-SNzShjg/edit?gid=554141278#gid=554141278"", ""'Char Def. - Attributes'!C20:C2242""), 1,false)"),"UNIT_PER_BAG")</f>
        <v>UNIT_PER_BAG</v>
      </c>
      <c r="I1317" s="136"/>
    </row>
    <row r="1318" ht="15.75" customHeight="1">
      <c r="A1318" s="59"/>
      <c r="B1318" s="63">
        <f t="shared" si="1"/>
        <v>13</v>
      </c>
      <c r="C1318" s="134" t="s">
        <v>117</v>
      </c>
      <c r="D1318" s="134" t="s">
        <v>74</v>
      </c>
      <c r="E1318" s="135">
        <f t="shared" si="27"/>
        <v>19</v>
      </c>
      <c r="F1318" s="134" t="s">
        <v>3616</v>
      </c>
      <c r="G1318" s="63" t="str">
        <f>VLOOKUP(C1318, 'Class Def. - General Data'!$C$20:$C$1000,1,false)</f>
        <v>ZFG1_HAIRCARE</v>
      </c>
      <c r="H1318" s="63" t="str">
        <f>IFERROR(__xludf.DUMMYFUNCTION("VLOOKUP(F1318, IMPORTRANGE(""https://docs.google.com/spreadsheets/d/1Lhp9OU0JdFf_VYSMzH5lBcEaU4o8teT1piV-SNzShjg/edit?gid=554141278#gid=554141278"", ""'Char Def. - Attributes'!C20:C2242""), 1,false)"),"UNIT_PER_PAL")</f>
        <v>UNIT_PER_PAL</v>
      </c>
      <c r="I1318" s="136"/>
    </row>
    <row r="1319" ht="15.75" customHeight="1">
      <c r="A1319" s="59"/>
      <c r="B1319" s="63">
        <f t="shared" si="1"/>
        <v>13</v>
      </c>
      <c r="C1319" s="134" t="s">
        <v>117</v>
      </c>
      <c r="D1319" s="134" t="s">
        <v>74</v>
      </c>
      <c r="E1319" s="135">
        <f t="shared" si="27"/>
        <v>20</v>
      </c>
      <c r="F1319" s="134" t="s">
        <v>3617</v>
      </c>
      <c r="G1319" s="63" t="str">
        <f>VLOOKUP(C1319, 'Class Def. - General Data'!$C$20:$C$1000,1,false)</f>
        <v>ZFG1_HAIRCARE</v>
      </c>
      <c r="H1319" s="63" t="str">
        <f>IFERROR(__xludf.DUMMYFUNCTION("VLOOKUP(F1319, IMPORTRANGE(""https://docs.google.com/spreadsheets/d/1Lhp9OU0JdFf_VYSMzH5lBcEaU4o8teT1piV-SNzShjg/edit?gid=554141278#gid=554141278"", ""'Char Def. - Attributes'!C20:C2242""), 1,false)"),"UNIT_PER_TIER")</f>
        <v>UNIT_PER_TIER</v>
      </c>
      <c r="I1319" s="136"/>
    </row>
    <row r="1320" ht="15.75" customHeight="1">
      <c r="A1320" s="59"/>
      <c r="B1320" s="63">
        <f t="shared" si="1"/>
        <v>13</v>
      </c>
      <c r="C1320" s="134" t="s">
        <v>117</v>
      </c>
      <c r="D1320" s="134" t="s">
        <v>74</v>
      </c>
      <c r="E1320" s="135">
        <f t="shared" si="27"/>
        <v>21</v>
      </c>
      <c r="F1320" s="134" t="s">
        <v>3618</v>
      </c>
      <c r="G1320" s="63" t="str">
        <f>VLOOKUP(C1320, 'Class Def. - General Data'!$C$20:$C$1000,1,false)</f>
        <v>ZFG1_HAIRCARE</v>
      </c>
      <c r="H1320" s="63" t="str">
        <f>IFERROR(__xludf.DUMMYFUNCTION("VLOOKUP(F1320, IMPORTRANGE(""https://docs.google.com/spreadsheets/d/1Lhp9OU0JdFf_VYSMzH5lBcEaU4o8teT1piV-SNzShjg/edit?gid=554141278#gid=554141278"", ""'Char Def. - Attributes'!C20:C2242""), 1,false)"),"HEIGHT")</f>
        <v>HEIGHT</v>
      </c>
      <c r="I1320" s="136"/>
    </row>
    <row r="1321" ht="15.75" customHeight="1">
      <c r="A1321" s="59"/>
      <c r="B1321" s="63">
        <f t="shared" si="1"/>
        <v>13</v>
      </c>
      <c r="C1321" s="134" t="s">
        <v>117</v>
      </c>
      <c r="D1321" s="134" t="s">
        <v>74</v>
      </c>
      <c r="E1321" s="135">
        <f t="shared" si="27"/>
        <v>22</v>
      </c>
      <c r="F1321" s="134" t="s">
        <v>3587</v>
      </c>
      <c r="G1321" s="63" t="str">
        <f>VLOOKUP(C1321, 'Class Def. - General Data'!$C$20:$C$1000,1,false)</f>
        <v>ZFG1_HAIRCARE</v>
      </c>
      <c r="H1321" s="63" t="str">
        <f>IFERROR(__xludf.DUMMYFUNCTION("VLOOKUP(F1321, IMPORTRANGE(""https://docs.google.com/spreadsheets/d/1Lhp9OU0JdFf_VYSMzH5lBcEaU4o8teT1piV-SNzShjg/edit?gid=554141278#gid=554141278"", ""'Char Def. - Attributes'!C20:C2242""), 1,false)"),"PLANT_BUY")</f>
        <v>PLANT_BUY</v>
      </c>
      <c r="I1321" s="136"/>
    </row>
    <row r="1322" ht="15.75" customHeight="1">
      <c r="A1322" s="59"/>
      <c r="B1322" s="63">
        <f t="shared" si="1"/>
        <v>13</v>
      </c>
      <c r="C1322" s="134" t="s">
        <v>117</v>
      </c>
      <c r="D1322" s="134" t="s">
        <v>74</v>
      </c>
      <c r="E1322" s="135">
        <f t="shared" si="27"/>
        <v>23</v>
      </c>
      <c r="F1322" s="134" t="s">
        <v>3619</v>
      </c>
      <c r="G1322" s="63" t="str">
        <f>VLOOKUP(C1322, 'Class Def. - General Data'!$C$20:$C$1000,1,false)</f>
        <v>ZFG1_HAIRCARE</v>
      </c>
      <c r="H1322" s="63" t="str">
        <f>IFERROR(__xludf.DUMMYFUNCTION("VLOOKUP(F1322, IMPORTRANGE(""https://docs.google.com/spreadsheets/d/1Lhp9OU0JdFf_VYSMzH5lBcEaU4o8teT1piV-SNzShjg/edit?gid=554141278#gid=554141278"", ""'Char Def. - Attributes'!C20:C2242""), 1,false)"),"LENGTH")</f>
        <v>LENGTH</v>
      </c>
      <c r="I1322" s="136"/>
    </row>
    <row r="1323" ht="15.75" customHeight="1">
      <c r="A1323" s="59"/>
      <c r="B1323" s="63">
        <f t="shared" si="1"/>
        <v>13</v>
      </c>
      <c r="C1323" s="134" t="s">
        <v>117</v>
      </c>
      <c r="D1323" s="134" t="s">
        <v>74</v>
      </c>
      <c r="E1323" s="135">
        <f t="shared" si="27"/>
        <v>24</v>
      </c>
      <c r="F1323" s="134" t="s">
        <v>3586</v>
      </c>
      <c r="G1323" s="63" t="str">
        <f>VLOOKUP(C1323, 'Class Def. - General Data'!$C$20:$C$1000,1,false)</f>
        <v>ZFG1_HAIRCARE</v>
      </c>
      <c r="H1323" s="63" t="str">
        <f>IFERROR(__xludf.DUMMYFUNCTION("VLOOKUP(F1323, IMPORTRANGE(""https://docs.google.com/spreadsheets/d/1Lhp9OU0JdFf_VYSMzH5lBcEaU4o8teT1piV-SNzShjg/edit?gid=554141278#gid=554141278"", ""'Char Def. - Attributes'!C20:C2242""), 1,false)"),"PLANT_PROD")</f>
        <v>PLANT_PROD</v>
      </c>
      <c r="I1323" s="136"/>
    </row>
    <row r="1324" ht="15.75" customHeight="1">
      <c r="A1324" s="59"/>
      <c r="B1324" s="63">
        <f t="shared" si="1"/>
        <v>13</v>
      </c>
      <c r="C1324" s="134" t="s">
        <v>117</v>
      </c>
      <c r="D1324" s="134" t="s">
        <v>74</v>
      </c>
      <c r="E1324" s="135">
        <f t="shared" si="27"/>
        <v>25</v>
      </c>
      <c r="F1324" s="134" t="s">
        <v>3620</v>
      </c>
      <c r="G1324" s="63" t="str">
        <f>VLOOKUP(C1324, 'Class Def. - General Data'!$C$20:$C$1000,1,false)</f>
        <v>ZFG1_HAIRCARE</v>
      </c>
      <c r="H1324" s="63" t="str">
        <f>IFERROR(__xludf.DUMMYFUNCTION("VLOOKUP(F1324, IMPORTRANGE(""https://docs.google.com/spreadsheets/d/1Lhp9OU0JdFf_VYSMzH5lBcEaU4o8teT1piV-SNzShjg/edit?gid=554141278#gid=554141278"", ""'Char Def. - Attributes'!C20:C2242""), 1,false)"),"WIDTH")</f>
        <v>WIDTH</v>
      </c>
      <c r="I1324" s="136"/>
    </row>
    <row r="1325" ht="15.75" customHeight="1">
      <c r="A1325" s="59"/>
      <c r="B1325" s="63">
        <f t="shared" si="1"/>
        <v>13</v>
      </c>
      <c r="C1325" s="134" t="s">
        <v>117</v>
      </c>
      <c r="D1325" s="134" t="s">
        <v>74</v>
      </c>
      <c r="E1325" s="135">
        <f t="shared" si="27"/>
        <v>26</v>
      </c>
      <c r="F1325" s="134" t="s">
        <v>3585</v>
      </c>
      <c r="G1325" s="63" t="str">
        <f>VLOOKUP(C1325, 'Class Def. - General Data'!$C$20:$C$1000,1,false)</f>
        <v>ZFG1_HAIRCARE</v>
      </c>
      <c r="H1325" s="63" t="str">
        <f>IFERROR(__xludf.DUMMYFUNCTION("VLOOKUP(F1325, IMPORTRANGE(""https://docs.google.com/spreadsheets/d/1Lhp9OU0JdFf_VYSMzH5lBcEaU4o8teT1piV-SNzShjg/edit?gid=554141278#gid=554141278"", ""'Char Def. - Attributes'!C20:C2242""), 1,false)"),"HS_CODE")</f>
        <v>HS_CODE</v>
      </c>
      <c r="I1325" s="136"/>
    </row>
    <row r="1326" ht="15.75" customHeight="1">
      <c r="A1326" s="59"/>
      <c r="B1326" s="63">
        <f t="shared" si="1"/>
        <v>13</v>
      </c>
      <c r="C1326" s="134" t="s">
        <v>117</v>
      </c>
      <c r="D1326" s="134" t="s">
        <v>74</v>
      </c>
      <c r="E1326" s="135">
        <f t="shared" si="27"/>
        <v>27</v>
      </c>
      <c r="F1326" s="134" t="s">
        <v>3621</v>
      </c>
      <c r="G1326" s="63" t="str">
        <f>VLOOKUP(C1326, 'Class Def. - General Data'!$C$20:$C$1000,1,false)</f>
        <v>ZFG1_HAIRCARE</v>
      </c>
      <c r="H1326" s="63" t="str">
        <f>IFERROR(__xludf.DUMMYFUNCTION("VLOOKUP(F1326, IMPORTRANGE(""https://docs.google.com/spreadsheets/d/1Lhp9OU0JdFf_VYSMzH5lBcEaU4o8teT1piV-SNzShjg/edit?gid=554141278#gid=554141278"", ""'Char Def. - Attributes'!C20:C2242""), 1,false)"),"EAN_PCS")</f>
        <v>EAN_PCS</v>
      </c>
      <c r="I1326" s="136"/>
    </row>
    <row r="1327" ht="15.75" customHeight="1">
      <c r="A1327" s="59"/>
      <c r="B1327" s="63">
        <f t="shared" si="1"/>
        <v>13</v>
      </c>
      <c r="C1327" s="134" t="s">
        <v>117</v>
      </c>
      <c r="D1327" s="134" t="s">
        <v>74</v>
      </c>
      <c r="E1327" s="135">
        <f t="shared" si="27"/>
        <v>28</v>
      </c>
      <c r="F1327" s="134" t="s">
        <v>3622</v>
      </c>
      <c r="G1327" s="63" t="str">
        <f>VLOOKUP(C1327, 'Class Def. - General Data'!$C$20:$C$1000,1,false)</f>
        <v>ZFG1_HAIRCARE</v>
      </c>
      <c r="H1327" s="63" t="str">
        <f>IFERROR(__xludf.DUMMYFUNCTION("VLOOKUP(F1327, IMPORTRANGE(""https://docs.google.com/spreadsheets/d/1Lhp9OU0JdFf_VYSMzH5lBcEaU4o8teT1piV-SNzShjg/edit?gid=554141278#gid=554141278"", ""'Char Def. - Attributes'!C20:C2242""), 1,false)"),"SFG_BRAND")</f>
        <v>SFG_BRAND</v>
      </c>
      <c r="I1327" s="136"/>
    </row>
    <row r="1328" ht="15.75" customHeight="1">
      <c r="A1328" s="66"/>
      <c r="B1328" s="63">
        <f t="shared" si="1"/>
        <v>13</v>
      </c>
      <c r="C1328" s="134" t="s">
        <v>117</v>
      </c>
      <c r="D1328" s="134" t="s">
        <v>74</v>
      </c>
      <c r="E1328" s="135">
        <f t="shared" si="27"/>
        <v>29</v>
      </c>
      <c r="F1328" s="134" t="s">
        <v>3623</v>
      </c>
      <c r="G1328" s="63" t="str">
        <f>VLOOKUP(C1328, 'Class Def. - General Data'!$C$20:$C$1000,1,false)</f>
        <v>ZFG1_HAIRCARE</v>
      </c>
      <c r="H1328" s="63" t="str">
        <f>IFERROR(__xludf.DUMMYFUNCTION("VLOOKUP(F1328, IMPORTRANGE(""https://docs.google.com/spreadsheets/d/1Lhp9OU0JdFf_VYSMzH5lBcEaU4o8teT1piV-SNzShjg/edit?gid=554141278#gid=554141278"", ""'Char Def. - Attributes'!C20:C2242""), 1,false)"),"LANGUAGE")</f>
        <v>LANGUAGE</v>
      </c>
      <c r="I1328" s="136"/>
    </row>
    <row r="1329" ht="15.75" customHeight="1">
      <c r="A1329" s="66"/>
      <c r="B1329" s="63">
        <f t="shared" si="1"/>
        <v>13</v>
      </c>
      <c r="C1329" s="139" t="s">
        <v>117</v>
      </c>
      <c r="D1329" s="139" t="s">
        <v>74</v>
      </c>
      <c r="E1329" s="140">
        <f t="shared" si="27"/>
        <v>30</v>
      </c>
      <c r="F1329" s="134" t="s">
        <v>3624</v>
      </c>
      <c r="G1329" s="63" t="str">
        <f>VLOOKUP(C1329, 'Class Def. - General Data'!$C$20:$C$1000,1,false)</f>
        <v>ZFG1_HAIRCARE</v>
      </c>
      <c r="H1329" s="63" t="str">
        <f>IFERROR(__xludf.DUMMYFUNCTION("VLOOKUP(F1329, IMPORTRANGE(""https://docs.google.com/spreadsheets/d/1Lhp9OU0JdFf_VYSMzH5lBcEaU4o8teT1piV-SNzShjg/edit?gid=554141278#gid=554141278"", ""'Char Def. - Attributes'!C20:C2242""), 1,false)"),"#N/A")</f>
        <v>#N/A</v>
      </c>
      <c r="I1329" s="136"/>
    </row>
    <row r="1330" ht="15.75" customHeight="1">
      <c r="A1330" s="59"/>
      <c r="B1330" s="63">
        <f t="shared" si="1"/>
        <v>13</v>
      </c>
      <c r="C1330" s="134" t="s">
        <v>117</v>
      </c>
      <c r="D1330" s="134" t="s">
        <v>74</v>
      </c>
      <c r="E1330" s="135">
        <f t="shared" si="27"/>
        <v>31</v>
      </c>
      <c r="F1330" s="134" t="s">
        <v>3625</v>
      </c>
      <c r="G1330" s="63" t="str">
        <f>VLOOKUP(C1330, 'Class Def. - General Data'!$C$20:$C$1000,1,false)</f>
        <v>ZFG1_HAIRCARE</v>
      </c>
      <c r="H1330" s="63" t="str">
        <f>IFERROR(__xludf.DUMMYFUNCTION("VLOOKUP(F1330, IMPORTRANGE(""https://docs.google.com/spreadsheets/d/1Lhp9OU0JdFf_VYSMzH5lBcEaU4o8teT1piV-SNzShjg/edit?gid=554141278#gid=554141278"", ""'Char Def. - Attributes'!C20:C2242""), 1,false)"),"REGION_EKSPOR")</f>
        <v>REGION_EKSPOR</v>
      </c>
      <c r="I1330" s="136"/>
    </row>
    <row r="1331" ht="15.75" customHeight="1">
      <c r="A1331" s="59"/>
      <c r="B1331" s="63">
        <f t="shared" si="1"/>
        <v>13</v>
      </c>
      <c r="C1331" s="134" t="s">
        <v>117</v>
      </c>
      <c r="D1331" s="134" t="s">
        <v>74</v>
      </c>
      <c r="E1331" s="135">
        <f t="shared" si="27"/>
        <v>32</v>
      </c>
      <c r="F1331" s="134" t="s">
        <v>3626</v>
      </c>
      <c r="G1331" s="63" t="str">
        <f>VLOOKUP(C1331, 'Class Def. - General Data'!$C$20:$C$1000,1,false)</f>
        <v>ZFG1_HAIRCARE</v>
      </c>
      <c r="H1331" s="63" t="str">
        <f>IFERROR(__xludf.DUMMYFUNCTION("VLOOKUP(F1331, IMPORTRANGE(""https://docs.google.com/spreadsheets/d/1Lhp9OU0JdFf_VYSMzH5lBcEaU4o8teT1piV-SNzShjg/edit?gid=554141278#gid=554141278"", ""'Char Def. - Attributes'!C20:C2242""), 1,false)"),"STICKER_NOT")</f>
        <v>STICKER_NOT</v>
      </c>
      <c r="I1331" s="136"/>
    </row>
    <row r="1332" ht="15.75" customHeight="1">
      <c r="A1332" s="59"/>
      <c r="B1332" s="63">
        <f t="shared" si="1"/>
        <v>13</v>
      </c>
      <c r="C1332" s="134" t="s">
        <v>117</v>
      </c>
      <c r="D1332" s="134" t="s">
        <v>74</v>
      </c>
      <c r="E1332" s="135">
        <f t="shared" si="27"/>
        <v>33</v>
      </c>
      <c r="F1332" s="134" t="s">
        <v>3627</v>
      </c>
      <c r="G1332" s="63" t="str">
        <f>VLOOKUP(C1332, 'Class Def. - General Data'!$C$20:$C$1000,1,false)</f>
        <v>ZFG1_HAIRCARE</v>
      </c>
      <c r="H1332" s="63" t="str">
        <f>IFERROR(__xludf.DUMMYFUNCTION("VLOOKUP(F1332, IMPORTRANGE(""https://docs.google.com/spreadsheets/d/1Lhp9OU0JdFf_VYSMzH5lBcEaU4o8teT1piV-SNzShjg/edit?gid=554141278#gid=554141278"", ""'Char Def. - Attributes'!C20:C2242""), 1,false)"),"SHIP_MARK")</f>
        <v>SHIP_MARK</v>
      </c>
      <c r="I1332" s="136"/>
    </row>
    <row r="1333" ht="15.75" customHeight="1">
      <c r="A1333" s="59"/>
      <c r="B1333" s="63">
        <f t="shared" si="1"/>
        <v>13</v>
      </c>
      <c r="C1333" s="134" t="s">
        <v>117</v>
      </c>
      <c r="D1333" s="134" t="s">
        <v>74</v>
      </c>
      <c r="E1333" s="135">
        <f t="shared" si="27"/>
        <v>34</v>
      </c>
      <c r="F1333" s="134" t="s">
        <v>3628</v>
      </c>
      <c r="G1333" s="63" t="str">
        <f>VLOOKUP(C1333, 'Class Def. - General Data'!$C$20:$C$1000,1,false)</f>
        <v>ZFG1_HAIRCARE</v>
      </c>
      <c r="H1333" s="63" t="str">
        <f>IFERROR(__xludf.DUMMYFUNCTION("VLOOKUP(F1333, IMPORTRANGE(""https://docs.google.com/spreadsheets/d/1Lhp9OU0JdFf_VYSMzH5lBcEaU4o8teT1piV-SNzShjg/edit?gid=554141278#gid=554141278"", ""'Char Def. - Attributes'!C20:C2242""), 1,false)"),"MID_CORE")</f>
        <v>MID_CORE</v>
      </c>
      <c r="I1333" s="136"/>
    </row>
    <row r="1334" ht="15.75" customHeight="1">
      <c r="A1334" s="59"/>
      <c r="B1334" s="63">
        <f t="shared" si="1"/>
        <v>13</v>
      </c>
      <c r="C1334" s="134" t="s">
        <v>117</v>
      </c>
      <c r="D1334" s="134" t="s">
        <v>74</v>
      </c>
      <c r="E1334" s="135">
        <f t="shared" si="27"/>
        <v>35</v>
      </c>
      <c r="F1334" s="134" t="s">
        <v>3629</v>
      </c>
      <c r="G1334" s="63" t="str">
        <f>VLOOKUP(C1334, 'Class Def. - General Data'!$C$20:$C$1000,1,false)</f>
        <v>ZFG1_HAIRCARE</v>
      </c>
      <c r="H1334" s="63" t="str">
        <f>IFERROR(__xludf.DUMMYFUNCTION("VLOOKUP(F1334, IMPORTRANGE(""https://docs.google.com/spreadsheets/d/1Lhp9OU0JdFf_VYSMzH5lBcEaU4o8teT1piV-SNzShjg/edit?gid=554141278#gid=554141278"", ""'Char Def. - Attributes'!C20:C2242""), 1,false)"),"EAN_CTN")</f>
        <v>EAN_CTN</v>
      </c>
      <c r="I1334" s="136"/>
    </row>
    <row r="1335" ht="15.75" customHeight="1">
      <c r="A1335" s="59"/>
      <c r="B1335" s="63">
        <f t="shared" si="1"/>
        <v>13</v>
      </c>
      <c r="C1335" s="134" t="s">
        <v>117</v>
      </c>
      <c r="D1335" s="134" t="s">
        <v>74</v>
      </c>
      <c r="E1335" s="135">
        <f t="shared" si="27"/>
        <v>36</v>
      </c>
      <c r="F1335" s="134" t="s">
        <v>3630</v>
      </c>
      <c r="G1335" s="63" t="str">
        <f>VLOOKUP(C1335, 'Class Def. - General Data'!$C$20:$C$1000,1,false)</f>
        <v>ZFG1_HAIRCARE</v>
      </c>
      <c r="H1335" s="63" t="str">
        <f>IFERROR(__xludf.DUMMYFUNCTION("VLOOKUP(F1335, IMPORTRANGE(""https://docs.google.com/spreadsheets/d/1Lhp9OU0JdFf_VYSMzH5lBcEaU4o8teT1piV-SNzShjg/edit?gid=554141278#gid=554141278"", ""'Char Def. - Attributes'!C20:C2242""), 1,false)"),"EAN_BOX")</f>
        <v>EAN_BOX</v>
      </c>
      <c r="I1335" s="136"/>
    </row>
    <row r="1336" ht="15.75" customHeight="1">
      <c r="A1336" s="59"/>
      <c r="B1336" s="63">
        <f t="shared" si="1"/>
        <v>13</v>
      </c>
      <c r="C1336" s="134" t="s">
        <v>117</v>
      </c>
      <c r="D1336" s="141" t="s">
        <v>74</v>
      </c>
      <c r="E1336" s="135">
        <v>22.0</v>
      </c>
      <c r="F1336" s="135" t="s">
        <v>3603</v>
      </c>
      <c r="G1336" s="63" t="str">
        <f>VLOOKUP(C1336, 'Class Def. - General Data'!$C$20:$C$1000,1,false)</f>
        <v>ZFG1_HAIRCARE</v>
      </c>
      <c r="I1336" s="136"/>
    </row>
    <row r="1337" ht="15.75" customHeight="1">
      <c r="A1337" s="59"/>
      <c r="B1337" s="63">
        <f t="shared" si="1"/>
        <v>16</v>
      </c>
      <c r="C1337" s="134" t="s">
        <v>118</v>
      </c>
      <c r="D1337" s="134" t="s">
        <v>74</v>
      </c>
      <c r="E1337" s="135">
        <f t="shared" ref="E1337:E1372" si="28">COUNTIF($C$20:C1337,C1337)</f>
        <v>1</v>
      </c>
      <c r="F1337" s="134" t="s">
        <v>3695</v>
      </c>
      <c r="G1337" s="63" t="str">
        <f>VLOOKUP(C1337, 'Class Def. - General Data'!$C$20:$C$1000,1,false)</f>
        <v>ZFG1_HANDLIQSOAP</v>
      </c>
      <c r="H1337" s="63" t="str">
        <f>IFERROR(__xludf.DUMMYFUNCTION("VLOOKUP(F1337, IMPORTRANGE(""https://docs.google.com/spreadsheets/d/1Lhp9OU0JdFf_VYSMzH5lBcEaU4o8teT1piV-SNzShjg/edit?gid=554141278#gid=554141278"", ""'Char Def. - Attributes'!C20:C2242""), 1,false)"),"BRAND_HANDLIQSOAP")</f>
        <v>BRAND_HANDLIQSOAP</v>
      </c>
      <c r="I1337" s="136"/>
    </row>
    <row r="1338" ht="15.75" customHeight="1">
      <c r="A1338" s="59"/>
      <c r="B1338" s="63">
        <f t="shared" si="1"/>
        <v>16</v>
      </c>
      <c r="C1338" s="135" t="s">
        <v>118</v>
      </c>
      <c r="D1338" s="134" t="s">
        <v>74</v>
      </c>
      <c r="E1338" s="135">
        <f t="shared" si="28"/>
        <v>2</v>
      </c>
      <c r="F1338" s="134" t="s">
        <v>3696</v>
      </c>
      <c r="G1338" s="63" t="str">
        <f>VLOOKUP(C1338, 'Class Def. - General Data'!$C$20:$C$1000,1,false)</f>
        <v>ZFG1_HANDLIQSOAP</v>
      </c>
      <c r="H1338" s="63" t="str">
        <f>IFERROR(__xludf.DUMMYFUNCTION("VLOOKUP(F1338, IMPORTRANGE(""https://docs.google.com/spreadsheets/d/1Lhp9OU0JdFf_VYSMzH5lBcEaU4o8teT1piV-SNzShjg/edit?gid=554141278#gid=554141278"", ""'Char Def. - Attributes'!C20:C2242""), 1,false)"),"PSHAPE_HANDLIQSOAP")</f>
        <v>PSHAPE_HANDLIQSOAP</v>
      </c>
      <c r="I1338" s="136"/>
    </row>
    <row r="1339" ht="15.75" customHeight="1">
      <c r="A1339" s="59"/>
      <c r="B1339" s="63">
        <f t="shared" si="1"/>
        <v>16</v>
      </c>
      <c r="C1339" s="134" t="s">
        <v>118</v>
      </c>
      <c r="D1339" s="134" t="s">
        <v>74</v>
      </c>
      <c r="E1339" s="135">
        <f t="shared" si="28"/>
        <v>3</v>
      </c>
      <c r="F1339" s="134" t="s">
        <v>3605</v>
      </c>
      <c r="G1339" s="63" t="str">
        <f>VLOOKUP(C1339, 'Class Def. - General Data'!$C$20:$C$1000,1,false)</f>
        <v>ZFG1_HANDLIQSOAP</v>
      </c>
      <c r="H1339" s="63" t="str">
        <f>IFERROR(__xludf.DUMMYFUNCTION("VLOOKUP(F1339, IMPORTRANGE(""https://docs.google.com/spreadsheets/d/1Lhp9OU0JdFf_VYSMzH5lBcEaU4o8teT1piV-SNzShjg/edit?gid=554141278#gid=554141278"", ""'Char Def. - Attributes'!C20:C2242""), 1,false)"),"PACK_NETTO")</f>
        <v>PACK_NETTO</v>
      </c>
      <c r="I1339" s="136"/>
    </row>
    <row r="1340" ht="15.75" customHeight="1">
      <c r="A1340" s="59"/>
      <c r="B1340" s="63">
        <f t="shared" si="1"/>
        <v>16</v>
      </c>
      <c r="C1340" s="135" t="s">
        <v>118</v>
      </c>
      <c r="D1340" s="134" t="s">
        <v>74</v>
      </c>
      <c r="E1340" s="135">
        <f t="shared" si="28"/>
        <v>4</v>
      </c>
      <c r="F1340" s="134" t="s">
        <v>3697</v>
      </c>
      <c r="G1340" s="63" t="str">
        <f>VLOOKUP(C1340, 'Class Def. - General Data'!$C$20:$C$1000,1,false)</f>
        <v>ZFG1_HANDLIQSOAP</v>
      </c>
      <c r="H1340" s="63" t="str">
        <f>IFERROR(__xludf.DUMMYFUNCTION("VLOOKUP(F1340, IMPORTRANGE(""https://docs.google.com/spreadsheets/d/1Lhp9OU0JdFf_VYSMzH5lBcEaU4o8teT1piV-SNzShjg/edit?gid=554141278#gid=554141278"", ""'Char Def. - Attributes'!C20:C2242""), 1,false)"),"PUOM_HANDLIQSOAP")</f>
        <v>PUOM_HANDLIQSOAP</v>
      </c>
      <c r="I1340" s="136"/>
    </row>
    <row r="1341" ht="15.75" customHeight="1">
      <c r="A1341" s="59"/>
      <c r="B1341" s="63">
        <f t="shared" si="1"/>
        <v>16</v>
      </c>
      <c r="C1341" s="134" t="s">
        <v>118</v>
      </c>
      <c r="D1341" s="134" t="s">
        <v>74</v>
      </c>
      <c r="E1341" s="135">
        <f t="shared" si="28"/>
        <v>5</v>
      </c>
      <c r="F1341" s="134" t="s">
        <v>3607</v>
      </c>
      <c r="G1341" s="63" t="str">
        <f>VLOOKUP(C1341, 'Class Def. - General Data'!$C$20:$C$1000,1,false)</f>
        <v>ZFG1_HANDLIQSOAP</v>
      </c>
      <c r="H1341" s="63" t="str">
        <f>IFERROR(__xludf.DUMMYFUNCTION("VLOOKUP(F1341, IMPORTRANGE(""https://docs.google.com/spreadsheets/d/1Lhp9OU0JdFf_VYSMzH5lBcEaU4o8teT1piV-SNzShjg/edit?gid=554141278#gid=554141278"", ""'Char Def. - Attributes'!C20:C2242""), 1,false)"),"VARIAN")</f>
        <v>VARIAN</v>
      </c>
      <c r="I1341" s="136"/>
    </row>
    <row r="1342" ht="15.75" customHeight="1">
      <c r="A1342" s="59"/>
      <c r="B1342" s="63">
        <f t="shared" si="1"/>
        <v>16</v>
      </c>
      <c r="C1342" s="134" t="s">
        <v>118</v>
      </c>
      <c r="D1342" s="134" t="s">
        <v>74</v>
      </c>
      <c r="E1342" s="135">
        <f t="shared" si="28"/>
        <v>6</v>
      </c>
      <c r="F1342" s="134" t="s">
        <v>3608</v>
      </c>
      <c r="G1342" s="63" t="str">
        <f>VLOOKUP(C1342, 'Class Def. - General Data'!$C$20:$C$1000,1,false)</f>
        <v>ZFG1_HANDLIQSOAP</v>
      </c>
      <c r="H1342" s="63" t="str">
        <f>IFERROR(__xludf.DUMMYFUNCTION("VLOOKUP(F1342, IMPORTRANGE(""https://docs.google.com/spreadsheets/d/1Lhp9OU0JdFf_VYSMzH5lBcEaU4o8teT1piV-SNzShjg/edit?gid=554141278#gid=554141278"", ""'Char Def. - Attributes'!C20:C2242""), 1,false)"),"PROJECT_NAME")</f>
        <v>PROJECT_NAME</v>
      </c>
      <c r="I1342" s="136"/>
    </row>
    <row r="1343" ht="15.75" customHeight="1">
      <c r="A1343" s="59"/>
      <c r="B1343" s="63">
        <f t="shared" si="1"/>
        <v>16</v>
      </c>
      <c r="C1343" s="134" t="s">
        <v>118</v>
      </c>
      <c r="D1343" s="134" t="s">
        <v>74</v>
      </c>
      <c r="E1343" s="135">
        <f t="shared" si="28"/>
        <v>7</v>
      </c>
      <c r="F1343" s="134" t="s">
        <v>3609</v>
      </c>
      <c r="G1343" s="63" t="str">
        <f>VLOOKUP(C1343, 'Class Def. - General Data'!$C$20:$C$1000,1,false)</f>
        <v>ZFG1_HANDLIQSOAP</v>
      </c>
      <c r="H1343" s="63" t="str">
        <f>IFERROR(__xludf.DUMMYFUNCTION("VLOOKUP(F1343, IMPORTRANGE(""https://docs.google.com/spreadsheets/d/1Lhp9OU0JdFf_VYSMzH5lBcEaU4o8teT1piV-SNzShjg/edit?gid=554141278#gid=554141278"", ""'Char Def. - Attributes'!C20:C2242""), 1,false)"),"ADDITIONAL_PROMO")</f>
        <v>ADDITIONAL_PROMO</v>
      </c>
      <c r="I1343" s="136"/>
    </row>
    <row r="1344" ht="15.75" customHeight="1">
      <c r="A1344" s="59"/>
      <c r="B1344" s="63">
        <f t="shared" si="1"/>
        <v>16</v>
      </c>
      <c r="C1344" s="134" t="s">
        <v>118</v>
      </c>
      <c r="D1344" s="134" t="s">
        <v>74</v>
      </c>
      <c r="E1344" s="135">
        <f t="shared" si="28"/>
        <v>8</v>
      </c>
      <c r="F1344" s="134" t="s">
        <v>3610</v>
      </c>
      <c r="G1344" s="63" t="str">
        <f>VLOOKUP(C1344, 'Class Def. - General Data'!$C$20:$C$1000,1,false)</f>
        <v>ZFG1_HANDLIQSOAP</v>
      </c>
      <c r="H1344" s="63" t="str">
        <f>IFERROR(__xludf.DUMMYFUNCTION("VLOOKUP(F1344, IMPORTRANGE(""https://docs.google.com/spreadsheets/d/1Lhp9OU0JdFf_VYSMzH5lBcEaU4o8teT1piV-SNzShjg/edit?gid=554141278#gid=554141278"", ""'Char Def. - Attributes'!C20:C2242""), 1,false)"),"BANDED_PROMO")</f>
        <v>BANDED_PROMO</v>
      </c>
      <c r="I1344" s="136"/>
    </row>
    <row r="1345" ht="15.75" customHeight="1">
      <c r="A1345" s="59"/>
      <c r="B1345" s="63">
        <f t="shared" si="1"/>
        <v>16</v>
      </c>
      <c r="C1345" s="134" t="s">
        <v>118</v>
      </c>
      <c r="D1345" s="134" t="s">
        <v>74</v>
      </c>
      <c r="E1345" s="135">
        <f t="shared" si="28"/>
        <v>9</v>
      </c>
      <c r="F1345" s="134" t="s">
        <v>3611</v>
      </c>
      <c r="G1345" s="63" t="str">
        <f>VLOOKUP(C1345, 'Class Def. - General Data'!$C$20:$C$1000,1,false)</f>
        <v>ZFG1_HANDLIQSOAP</v>
      </c>
      <c r="H1345" s="63" t="str">
        <f>IFERROR(__xludf.DUMMYFUNCTION("VLOOKUP(F1345, IMPORTRANGE(""https://docs.google.com/spreadsheets/d/1Lhp9OU0JdFf_VYSMzH5lBcEaU4o8teT1piV-SNzShjg/edit?gid=554141278#gid=554141278"", ""'Char Def. - Attributes'!C20:C2242""), 1,false)"),"LOKAL_EKSPOR")</f>
        <v>LOKAL_EKSPOR</v>
      </c>
      <c r="I1345" s="136"/>
    </row>
    <row r="1346" ht="15.75" customHeight="1">
      <c r="A1346" s="59"/>
      <c r="B1346" s="63">
        <f t="shared" si="1"/>
        <v>16</v>
      </c>
      <c r="C1346" s="134" t="s">
        <v>118</v>
      </c>
      <c r="D1346" s="134" t="s">
        <v>74</v>
      </c>
      <c r="E1346" s="135">
        <f t="shared" si="28"/>
        <v>10</v>
      </c>
      <c r="F1346" s="134" t="s">
        <v>3612</v>
      </c>
      <c r="G1346" s="63" t="str">
        <f>VLOOKUP(C1346, 'Class Def. - General Data'!$C$20:$C$1000,1,false)</f>
        <v>ZFG1_HANDLIQSOAP</v>
      </c>
      <c r="H1346" s="63" t="str">
        <f>IFERROR(__xludf.DUMMYFUNCTION("VLOOKUP(F1346, IMPORTRANGE(""https://docs.google.com/spreadsheets/d/1Lhp9OU0JdFf_VYSMzH5lBcEaU4o8teT1piV-SNzShjg/edit?gid=554141278#gid=554141278"", ""'Char Def. - Attributes'!C20:C2242""), 1,false)"),"COUNTRY_EKSPOR")</f>
        <v>COUNTRY_EKSPOR</v>
      </c>
      <c r="I1346" s="136"/>
    </row>
    <row r="1347" ht="15.75" customHeight="1">
      <c r="A1347" s="59"/>
      <c r="B1347" s="63">
        <f t="shared" si="1"/>
        <v>16</v>
      </c>
      <c r="C1347" s="134" t="s">
        <v>118</v>
      </c>
      <c r="D1347" s="134" t="s">
        <v>74</v>
      </c>
      <c r="E1347" s="135">
        <f t="shared" si="28"/>
        <v>11</v>
      </c>
      <c r="F1347" s="134" t="s">
        <v>3613</v>
      </c>
      <c r="G1347" s="63" t="str">
        <f>VLOOKUP(C1347, 'Class Def. - General Data'!$C$20:$C$1000,1,false)</f>
        <v>ZFG1_HANDLIQSOAP</v>
      </c>
      <c r="H1347" s="63" t="str">
        <f>IFERROR(__xludf.DUMMYFUNCTION("VLOOKUP(F1347, IMPORTRANGE(""https://docs.google.com/spreadsheets/d/1Lhp9OU0JdFf_VYSMzH5lBcEaU4o8teT1piV-SNzShjg/edit?gid=554141278#gid=554141278"", ""'Char Def. - Attributes'!C20:C2242""), 1,false)"),"WARNA_SFG")</f>
        <v>WARNA_SFG</v>
      </c>
      <c r="I1347" s="136"/>
    </row>
    <row r="1348" ht="15.75" customHeight="1">
      <c r="A1348" s="59"/>
      <c r="B1348" s="63">
        <f t="shared" si="1"/>
        <v>16</v>
      </c>
      <c r="C1348" s="134" t="s">
        <v>118</v>
      </c>
      <c r="D1348" s="134" t="s">
        <v>74</v>
      </c>
      <c r="E1348" s="135">
        <f t="shared" si="28"/>
        <v>12</v>
      </c>
      <c r="F1348" s="134" t="s">
        <v>3582</v>
      </c>
      <c r="G1348" s="63" t="str">
        <f>VLOOKUP(C1348, 'Class Def. - General Data'!$C$20:$C$1000,1,false)</f>
        <v>ZFG1_HANDLIQSOAP</v>
      </c>
      <c r="H1348" s="63" t="str">
        <f>IFERROR(__xludf.DUMMYFUNCTION("VLOOKUP(F1348, IMPORTRANGE(""https://docs.google.com/spreadsheets/d/1Lhp9OU0JdFf_VYSMzH5lBcEaU4o8teT1piV-SNzShjg/edit?gid=554141278#gid=554141278"", ""'Char Def. - Attributes'!C20:C2242""), 1,false)"),"BASE_UNIT")</f>
        <v>BASE_UNIT</v>
      </c>
      <c r="I1348" s="136"/>
    </row>
    <row r="1349" ht="15.75" customHeight="1">
      <c r="A1349" s="59"/>
      <c r="B1349" s="63">
        <f t="shared" si="1"/>
        <v>16</v>
      </c>
      <c r="C1349" s="134" t="s">
        <v>118</v>
      </c>
      <c r="D1349" s="134" t="s">
        <v>74</v>
      </c>
      <c r="E1349" s="135">
        <f t="shared" si="28"/>
        <v>13</v>
      </c>
      <c r="F1349" s="134" t="s">
        <v>3583</v>
      </c>
      <c r="G1349" s="63" t="str">
        <f>VLOOKUP(C1349, 'Class Def. - General Data'!$C$20:$C$1000,1,false)</f>
        <v>ZFG1_HANDLIQSOAP</v>
      </c>
      <c r="H1349" s="63" t="str">
        <f>IFERROR(__xludf.DUMMYFUNCTION("VLOOKUP(F1349, IMPORTRANGE(""https://docs.google.com/spreadsheets/d/1Lhp9OU0JdFf_VYSMzH5lBcEaU4o8teT1piV-SNzShjg/edit?gid=554141278#gid=554141278"", ""'Char Def. - Attributes'!C20:C2242""), 1,false)"),"SALES_UNIT")</f>
        <v>SALES_UNIT</v>
      </c>
      <c r="I1349" s="136"/>
    </row>
    <row r="1350" ht="15.75" customHeight="1">
      <c r="A1350" s="59"/>
      <c r="B1350" s="63">
        <f t="shared" si="1"/>
        <v>16</v>
      </c>
      <c r="C1350" s="134" t="s">
        <v>118</v>
      </c>
      <c r="D1350" s="134" t="s">
        <v>74</v>
      </c>
      <c r="E1350" s="135">
        <f t="shared" si="28"/>
        <v>14</v>
      </c>
      <c r="F1350" s="134" t="s">
        <v>3601</v>
      </c>
      <c r="G1350" s="63" t="str">
        <f>VLOOKUP(C1350, 'Class Def. - General Data'!$C$20:$C$1000,1,false)</f>
        <v>ZFG1_HANDLIQSOAP</v>
      </c>
      <c r="H1350" s="63" t="str">
        <f>IFERROR(__xludf.DUMMYFUNCTION("VLOOKUP(F1350, IMPORTRANGE(""https://docs.google.com/spreadsheets/d/1Lhp9OU0JdFf_VYSMzH5lBcEaU4o8teT1piV-SNzShjg/edit?gid=554141278#gid=554141278"", ""'Char Def. - Attributes'!C20:C2242""), 1,false)"),"GROSS_WEIGHT")</f>
        <v>GROSS_WEIGHT</v>
      </c>
      <c r="I1350" s="136"/>
    </row>
    <row r="1351" ht="15.75" customHeight="1">
      <c r="A1351" s="59"/>
      <c r="B1351" s="63">
        <f t="shared" si="1"/>
        <v>16</v>
      </c>
      <c r="C1351" s="134" t="s">
        <v>118</v>
      </c>
      <c r="D1351" s="134" t="s">
        <v>74</v>
      </c>
      <c r="E1351" s="135">
        <f t="shared" si="28"/>
        <v>15</v>
      </c>
      <c r="F1351" s="134" t="s">
        <v>3602</v>
      </c>
      <c r="G1351" s="63" t="str">
        <f>VLOOKUP(C1351, 'Class Def. - General Data'!$C$20:$C$1000,1,false)</f>
        <v>ZFG1_HANDLIQSOAP</v>
      </c>
      <c r="H1351" s="63" t="str">
        <f>IFERROR(__xludf.DUMMYFUNCTION("VLOOKUP(F1351, IMPORTRANGE(""https://docs.google.com/spreadsheets/d/1Lhp9OU0JdFf_VYSMzH5lBcEaU4o8teT1piV-SNzShjg/edit?gid=554141278#gid=554141278"", ""'Char Def. - Attributes'!C20:C2242""), 1,false)"),"NET_WEIGHT")</f>
        <v>NET_WEIGHT</v>
      </c>
      <c r="I1351" s="136"/>
    </row>
    <row r="1352" ht="15.75" customHeight="1">
      <c r="A1352" s="59"/>
      <c r="B1352" s="63">
        <f t="shared" si="1"/>
        <v>16</v>
      </c>
      <c r="C1352" s="134" t="s">
        <v>118</v>
      </c>
      <c r="D1352" s="134" t="s">
        <v>74</v>
      </c>
      <c r="E1352" s="135">
        <f t="shared" si="28"/>
        <v>16</v>
      </c>
      <c r="F1352" s="134" t="s">
        <v>3584</v>
      </c>
      <c r="G1352" s="63" t="str">
        <f>VLOOKUP(C1352, 'Class Def. - General Data'!$C$20:$C$1000,1,false)</f>
        <v>ZFG1_HANDLIQSOAP</v>
      </c>
      <c r="H1352" s="63" t="str">
        <f>IFERROR(__xludf.DUMMYFUNCTION("VLOOKUP(F1352, IMPORTRANGE(""https://docs.google.com/spreadsheets/d/1Lhp9OU0JdFf_VYSMzH5lBcEaU4o8teT1piV-SNzShjg/edit?gid=554141278#gid=554141278"", ""'Char Def. - Attributes'!C20:C2242""), 1,false)"),"UNIT_PER_BOX")</f>
        <v>UNIT_PER_BOX</v>
      </c>
      <c r="I1352" s="136"/>
    </row>
    <row r="1353" ht="15.75" customHeight="1">
      <c r="A1353" s="59"/>
      <c r="B1353" s="63">
        <f t="shared" si="1"/>
        <v>16</v>
      </c>
      <c r="C1353" s="134" t="s">
        <v>118</v>
      </c>
      <c r="D1353" s="134" t="s">
        <v>74</v>
      </c>
      <c r="E1353" s="135">
        <f t="shared" si="28"/>
        <v>17</v>
      </c>
      <c r="F1353" s="134" t="s">
        <v>3614</v>
      </c>
      <c r="G1353" s="63" t="str">
        <f>VLOOKUP(C1353, 'Class Def. - General Data'!$C$20:$C$1000,1,false)</f>
        <v>ZFG1_HANDLIQSOAP</v>
      </c>
      <c r="H1353" s="63" t="str">
        <f>IFERROR(__xludf.DUMMYFUNCTION("VLOOKUP(F1353, IMPORTRANGE(""https://docs.google.com/spreadsheets/d/1Lhp9OU0JdFf_VYSMzH5lBcEaU4o8teT1piV-SNzShjg/edit?gid=554141278#gid=554141278"", ""'Char Def. - Attributes'!C20:C2242""), 1,false)"),"UNIT_PER_CTN")</f>
        <v>UNIT_PER_CTN</v>
      </c>
      <c r="I1353" s="136"/>
    </row>
    <row r="1354" ht="15.75" customHeight="1">
      <c r="A1354" s="59"/>
      <c r="B1354" s="63">
        <f t="shared" si="1"/>
        <v>16</v>
      </c>
      <c r="C1354" s="134" t="s">
        <v>118</v>
      </c>
      <c r="D1354" s="134" t="s">
        <v>74</v>
      </c>
      <c r="E1354" s="135">
        <f t="shared" si="28"/>
        <v>18</v>
      </c>
      <c r="F1354" s="134" t="s">
        <v>3615</v>
      </c>
      <c r="G1354" s="63" t="str">
        <f>VLOOKUP(C1354, 'Class Def. - General Data'!$C$20:$C$1000,1,false)</f>
        <v>ZFG1_HANDLIQSOAP</v>
      </c>
      <c r="H1354" s="63" t="str">
        <f>IFERROR(__xludf.DUMMYFUNCTION("VLOOKUP(F1354, IMPORTRANGE(""https://docs.google.com/spreadsheets/d/1Lhp9OU0JdFf_VYSMzH5lBcEaU4o8teT1piV-SNzShjg/edit?gid=554141278#gid=554141278"", ""'Char Def. - Attributes'!C20:C2242""), 1,false)"),"UNIT_PER_BAG")</f>
        <v>UNIT_PER_BAG</v>
      </c>
      <c r="I1354" s="136"/>
    </row>
    <row r="1355" ht="15.75" customHeight="1">
      <c r="A1355" s="59"/>
      <c r="B1355" s="63">
        <f t="shared" si="1"/>
        <v>16</v>
      </c>
      <c r="C1355" s="134" t="s">
        <v>118</v>
      </c>
      <c r="D1355" s="134" t="s">
        <v>74</v>
      </c>
      <c r="E1355" s="135">
        <f t="shared" si="28"/>
        <v>19</v>
      </c>
      <c r="F1355" s="134" t="s">
        <v>3616</v>
      </c>
      <c r="G1355" s="63" t="str">
        <f>VLOOKUP(C1355, 'Class Def. - General Data'!$C$20:$C$1000,1,false)</f>
        <v>ZFG1_HANDLIQSOAP</v>
      </c>
      <c r="H1355" s="63" t="str">
        <f>IFERROR(__xludf.DUMMYFUNCTION("VLOOKUP(F1355, IMPORTRANGE(""https://docs.google.com/spreadsheets/d/1Lhp9OU0JdFf_VYSMzH5lBcEaU4o8teT1piV-SNzShjg/edit?gid=554141278#gid=554141278"", ""'Char Def. - Attributes'!C20:C2242""), 1,false)"),"UNIT_PER_PAL")</f>
        <v>UNIT_PER_PAL</v>
      </c>
      <c r="I1355" s="136"/>
    </row>
    <row r="1356" ht="15.75" customHeight="1">
      <c r="A1356" s="59"/>
      <c r="B1356" s="63">
        <f t="shared" si="1"/>
        <v>16</v>
      </c>
      <c r="C1356" s="134" t="s">
        <v>118</v>
      </c>
      <c r="D1356" s="134" t="s">
        <v>74</v>
      </c>
      <c r="E1356" s="135">
        <f t="shared" si="28"/>
        <v>20</v>
      </c>
      <c r="F1356" s="134" t="s">
        <v>3617</v>
      </c>
      <c r="G1356" s="63" t="str">
        <f>VLOOKUP(C1356, 'Class Def. - General Data'!$C$20:$C$1000,1,false)</f>
        <v>ZFG1_HANDLIQSOAP</v>
      </c>
      <c r="H1356" s="63" t="str">
        <f>IFERROR(__xludf.DUMMYFUNCTION("VLOOKUP(F1356, IMPORTRANGE(""https://docs.google.com/spreadsheets/d/1Lhp9OU0JdFf_VYSMzH5lBcEaU4o8teT1piV-SNzShjg/edit?gid=554141278#gid=554141278"", ""'Char Def. - Attributes'!C20:C2242""), 1,false)"),"UNIT_PER_TIER")</f>
        <v>UNIT_PER_TIER</v>
      </c>
      <c r="I1356" s="136"/>
    </row>
    <row r="1357" ht="15.75" customHeight="1">
      <c r="A1357" s="59"/>
      <c r="B1357" s="63">
        <f t="shared" si="1"/>
        <v>16</v>
      </c>
      <c r="C1357" s="134" t="s">
        <v>118</v>
      </c>
      <c r="D1357" s="134" t="s">
        <v>74</v>
      </c>
      <c r="E1357" s="135">
        <f t="shared" si="28"/>
        <v>21</v>
      </c>
      <c r="F1357" s="134" t="s">
        <v>3618</v>
      </c>
      <c r="G1357" s="63" t="str">
        <f>VLOOKUP(C1357, 'Class Def. - General Data'!$C$20:$C$1000,1,false)</f>
        <v>ZFG1_HANDLIQSOAP</v>
      </c>
      <c r="H1357" s="63" t="str">
        <f>IFERROR(__xludf.DUMMYFUNCTION("VLOOKUP(F1357, IMPORTRANGE(""https://docs.google.com/spreadsheets/d/1Lhp9OU0JdFf_VYSMzH5lBcEaU4o8teT1piV-SNzShjg/edit?gid=554141278#gid=554141278"", ""'Char Def. - Attributes'!C20:C2242""), 1,false)"),"HEIGHT")</f>
        <v>HEIGHT</v>
      </c>
      <c r="I1357" s="136"/>
    </row>
    <row r="1358" ht="15.75" customHeight="1">
      <c r="A1358" s="59"/>
      <c r="B1358" s="63">
        <f t="shared" si="1"/>
        <v>16</v>
      </c>
      <c r="C1358" s="134" t="s">
        <v>118</v>
      </c>
      <c r="D1358" s="134" t="s">
        <v>74</v>
      </c>
      <c r="E1358" s="135">
        <f t="shared" si="28"/>
        <v>22</v>
      </c>
      <c r="F1358" s="134" t="s">
        <v>3587</v>
      </c>
      <c r="G1358" s="63" t="str">
        <f>VLOOKUP(C1358, 'Class Def. - General Data'!$C$20:$C$1000,1,false)</f>
        <v>ZFG1_HANDLIQSOAP</v>
      </c>
      <c r="H1358" s="63" t="str">
        <f>IFERROR(__xludf.DUMMYFUNCTION("VLOOKUP(F1358, IMPORTRANGE(""https://docs.google.com/spreadsheets/d/1Lhp9OU0JdFf_VYSMzH5lBcEaU4o8teT1piV-SNzShjg/edit?gid=554141278#gid=554141278"", ""'Char Def. - Attributes'!C20:C2242""), 1,false)"),"PLANT_BUY")</f>
        <v>PLANT_BUY</v>
      </c>
      <c r="I1358" s="136"/>
    </row>
    <row r="1359" ht="15.75" customHeight="1">
      <c r="A1359" s="59"/>
      <c r="B1359" s="63">
        <f t="shared" si="1"/>
        <v>16</v>
      </c>
      <c r="C1359" s="134" t="s">
        <v>118</v>
      </c>
      <c r="D1359" s="134" t="s">
        <v>74</v>
      </c>
      <c r="E1359" s="135">
        <f t="shared" si="28"/>
        <v>23</v>
      </c>
      <c r="F1359" s="134" t="s">
        <v>3619</v>
      </c>
      <c r="G1359" s="63" t="str">
        <f>VLOOKUP(C1359, 'Class Def. - General Data'!$C$20:$C$1000,1,false)</f>
        <v>ZFG1_HANDLIQSOAP</v>
      </c>
      <c r="H1359" s="63" t="str">
        <f>IFERROR(__xludf.DUMMYFUNCTION("VLOOKUP(F1359, IMPORTRANGE(""https://docs.google.com/spreadsheets/d/1Lhp9OU0JdFf_VYSMzH5lBcEaU4o8teT1piV-SNzShjg/edit?gid=554141278#gid=554141278"", ""'Char Def. - Attributes'!C20:C2242""), 1,false)"),"LENGTH")</f>
        <v>LENGTH</v>
      </c>
      <c r="I1359" s="136"/>
    </row>
    <row r="1360" ht="15.75" customHeight="1">
      <c r="A1360" s="59"/>
      <c r="B1360" s="63">
        <f t="shared" si="1"/>
        <v>16</v>
      </c>
      <c r="C1360" s="134" t="s">
        <v>118</v>
      </c>
      <c r="D1360" s="134" t="s">
        <v>74</v>
      </c>
      <c r="E1360" s="135">
        <f t="shared" si="28"/>
        <v>24</v>
      </c>
      <c r="F1360" s="134" t="s">
        <v>3586</v>
      </c>
      <c r="G1360" s="63" t="str">
        <f>VLOOKUP(C1360, 'Class Def. - General Data'!$C$20:$C$1000,1,false)</f>
        <v>ZFG1_HANDLIQSOAP</v>
      </c>
      <c r="H1360" s="63" t="str">
        <f>IFERROR(__xludf.DUMMYFUNCTION("VLOOKUP(F1360, IMPORTRANGE(""https://docs.google.com/spreadsheets/d/1Lhp9OU0JdFf_VYSMzH5lBcEaU4o8teT1piV-SNzShjg/edit?gid=554141278#gid=554141278"", ""'Char Def. - Attributes'!C20:C2242""), 1,false)"),"PLANT_PROD")</f>
        <v>PLANT_PROD</v>
      </c>
      <c r="I1360" s="136"/>
    </row>
    <row r="1361" ht="15.75" customHeight="1">
      <c r="A1361" s="59"/>
      <c r="B1361" s="63">
        <f t="shared" si="1"/>
        <v>16</v>
      </c>
      <c r="C1361" s="134" t="s">
        <v>118</v>
      </c>
      <c r="D1361" s="134" t="s">
        <v>74</v>
      </c>
      <c r="E1361" s="135">
        <f t="shared" si="28"/>
        <v>25</v>
      </c>
      <c r="F1361" s="134" t="s">
        <v>3620</v>
      </c>
      <c r="G1361" s="63" t="str">
        <f>VLOOKUP(C1361, 'Class Def. - General Data'!$C$20:$C$1000,1,false)</f>
        <v>ZFG1_HANDLIQSOAP</v>
      </c>
      <c r="H1361" s="63" t="str">
        <f>IFERROR(__xludf.DUMMYFUNCTION("VLOOKUP(F1361, IMPORTRANGE(""https://docs.google.com/spreadsheets/d/1Lhp9OU0JdFf_VYSMzH5lBcEaU4o8teT1piV-SNzShjg/edit?gid=554141278#gid=554141278"", ""'Char Def. - Attributes'!C20:C2242""), 1,false)"),"WIDTH")</f>
        <v>WIDTH</v>
      </c>
      <c r="I1361" s="136"/>
    </row>
    <row r="1362" ht="15.75" customHeight="1">
      <c r="A1362" s="59"/>
      <c r="B1362" s="63">
        <f t="shared" si="1"/>
        <v>16</v>
      </c>
      <c r="C1362" s="134" t="s">
        <v>118</v>
      </c>
      <c r="D1362" s="134" t="s">
        <v>74</v>
      </c>
      <c r="E1362" s="135">
        <f t="shared" si="28"/>
        <v>26</v>
      </c>
      <c r="F1362" s="134" t="s">
        <v>3585</v>
      </c>
      <c r="G1362" s="63" t="str">
        <f>VLOOKUP(C1362, 'Class Def. - General Data'!$C$20:$C$1000,1,false)</f>
        <v>ZFG1_HANDLIQSOAP</v>
      </c>
      <c r="H1362" s="63" t="str">
        <f>IFERROR(__xludf.DUMMYFUNCTION("VLOOKUP(F1362, IMPORTRANGE(""https://docs.google.com/spreadsheets/d/1Lhp9OU0JdFf_VYSMzH5lBcEaU4o8teT1piV-SNzShjg/edit?gid=554141278#gid=554141278"", ""'Char Def. - Attributes'!C20:C2242""), 1,false)"),"HS_CODE")</f>
        <v>HS_CODE</v>
      </c>
      <c r="I1362" s="136"/>
    </row>
    <row r="1363" ht="15.75" customHeight="1">
      <c r="A1363" s="59"/>
      <c r="B1363" s="63">
        <f t="shared" si="1"/>
        <v>16</v>
      </c>
      <c r="C1363" s="134" t="s">
        <v>118</v>
      </c>
      <c r="D1363" s="134" t="s">
        <v>74</v>
      </c>
      <c r="E1363" s="135">
        <f t="shared" si="28"/>
        <v>27</v>
      </c>
      <c r="F1363" s="134" t="s">
        <v>3621</v>
      </c>
      <c r="G1363" s="63" t="str">
        <f>VLOOKUP(C1363, 'Class Def. - General Data'!$C$20:$C$1000,1,false)</f>
        <v>ZFG1_HANDLIQSOAP</v>
      </c>
      <c r="H1363" s="63" t="str">
        <f>IFERROR(__xludf.DUMMYFUNCTION("VLOOKUP(F1363, IMPORTRANGE(""https://docs.google.com/spreadsheets/d/1Lhp9OU0JdFf_VYSMzH5lBcEaU4o8teT1piV-SNzShjg/edit?gid=554141278#gid=554141278"", ""'Char Def. - Attributes'!C20:C2242""), 1,false)"),"EAN_PCS")</f>
        <v>EAN_PCS</v>
      </c>
      <c r="I1363" s="136"/>
    </row>
    <row r="1364" ht="15.75" customHeight="1">
      <c r="A1364" s="59"/>
      <c r="B1364" s="63">
        <f t="shared" si="1"/>
        <v>16</v>
      </c>
      <c r="C1364" s="134" t="s">
        <v>118</v>
      </c>
      <c r="D1364" s="134" t="s">
        <v>74</v>
      </c>
      <c r="E1364" s="135">
        <f t="shared" si="28"/>
        <v>28</v>
      </c>
      <c r="F1364" s="134" t="s">
        <v>3622</v>
      </c>
      <c r="G1364" s="63" t="str">
        <f>VLOOKUP(C1364, 'Class Def. - General Data'!$C$20:$C$1000,1,false)</f>
        <v>ZFG1_HANDLIQSOAP</v>
      </c>
      <c r="H1364" s="63" t="str">
        <f>IFERROR(__xludf.DUMMYFUNCTION("VLOOKUP(F1364, IMPORTRANGE(""https://docs.google.com/spreadsheets/d/1Lhp9OU0JdFf_VYSMzH5lBcEaU4o8teT1piV-SNzShjg/edit?gid=554141278#gid=554141278"", ""'Char Def. - Attributes'!C20:C2242""), 1,false)"),"SFG_BRAND")</f>
        <v>SFG_BRAND</v>
      </c>
      <c r="I1364" s="136"/>
    </row>
    <row r="1365" ht="15.75" customHeight="1">
      <c r="A1365" s="59"/>
      <c r="B1365" s="63">
        <f t="shared" si="1"/>
        <v>16</v>
      </c>
      <c r="C1365" s="134" t="s">
        <v>118</v>
      </c>
      <c r="D1365" s="134" t="s">
        <v>74</v>
      </c>
      <c r="E1365" s="135">
        <f t="shared" si="28"/>
        <v>29</v>
      </c>
      <c r="F1365" s="134" t="s">
        <v>3623</v>
      </c>
      <c r="G1365" s="63" t="str">
        <f>VLOOKUP(C1365, 'Class Def. - General Data'!$C$20:$C$1000,1,false)</f>
        <v>ZFG1_HANDLIQSOAP</v>
      </c>
      <c r="H1365" s="63" t="str">
        <f>IFERROR(__xludf.DUMMYFUNCTION("VLOOKUP(F1365, IMPORTRANGE(""https://docs.google.com/spreadsheets/d/1Lhp9OU0JdFf_VYSMzH5lBcEaU4o8teT1piV-SNzShjg/edit?gid=554141278#gid=554141278"", ""'Char Def. - Attributes'!C20:C2242""), 1,false)"),"LANGUAGE")</f>
        <v>LANGUAGE</v>
      </c>
      <c r="I1365" s="136"/>
    </row>
    <row r="1366" ht="15.75" customHeight="1">
      <c r="A1366" s="59"/>
      <c r="B1366" s="63">
        <f t="shared" si="1"/>
        <v>16</v>
      </c>
      <c r="C1366" s="139" t="s">
        <v>118</v>
      </c>
      <c r="D1366" s="139" t="s">
        <v>74</v>
      </c>
      <c r="E1366" s="140">
        <f t="shared" si="28"/>
        <v>30</v>
      </c>
      <c r="F1366" s="134" t="s">
        <v>3624</v>
      </c>
      <c r="G1366" s="63" t="str">
        <f>VLOOKUP(C1366, 'Class Def. - General Data'!$C$20:$C$1000,1,false)</f>
        <v>ZFG1_HANDLIQSOAP</v>
      </c>
      <c r="H1366" s="63" t="str">
        <f>IFERROR(__xludf.DUMMYFUNCTION("VLOOKUP(F1366, IMPORTRANGE(""https://docs.google.com/spreadsheets/d/1Lhp9OU0JdFf_VYSMzH5lBcEaU4o8teT1piV-SNzShjg/edit?gid=554141278#gid=554141278"", ""'Char Def. - Attributes'!C20:C2242""), 1,false)"),"#N/A")</f>
        <v>#N/A</v>
      </c>
      <c r="I1366" s="136"/>
    </row>
    <row r="1367" ht="15.75" customHeight="1">
      <c r="A1367" s="59"/>
      <c r="B1367" s="63">
        <f t="shared" si="1"/>
        <v>16</v>
      </c>
      <c r="C1367" s="134" t="s">
        <v>118</v>
      </c>
      <c r="D1367" s="134" t="s">
        <v>74</v>
      </c>
      <c r="E1367" s="135">
        <f t="shared" si="28"/>
        <v>31</v>
      </c>
      <c r="F1367" s="134" t="s">
        <v>3625</v>
      </c>
      <c r="G1367" s="63" t="str">
        <f>VLOOKUP(C1367, 'Class Def. - General Data'!$C$20:$C$1000,1,false)</f>
        <v>ZFG1_HANDLIQSOAP</v>
      </c>
      <c r="H1367" s="63" t="str">
        <f>IFERROR(__xludf.DUMMYFUNCTION("VLOOKUP(F1367, IMPORTRANGE(""https://docs.google.com/spreadsheets/d/1Lhp9OU0JdFf_VYSMzH5lBcEaU4o8teT1piV-SNzShjg/edit?gid=554141278#gid=554141278"", ""'Char Def. - Attributes'!C20:C2242""), 1,false)"),"REGION_EKSPOR")</f>
        <v>REGION_EKSPOR</v>
      </c>
      <c r="I1367" s="136"/>
    </row>
    <row r="1368" ht="15.75" customHeight="1">
      <c r="A1368" s="59"/>
      <c r="B1368" s="63">
        <f t="shared" si="1"/>
        <v>16</v>
      </c>
      <c r="C1368" s="134" t="s">
        <v>118</v>
      </c>
      <c r="D1368" s="134" t="s">
        <v>74</v>
      </c>
      <c r="E1368" s="135">
        <f t="shared" si="28"/>
        <v>32</v>
      </c>
      <c r="F1368" s="134" t="s">
        <v>3626</v>
      </c>
      <c r="G1368" s="63" t="str">
        <f>VLOOKUP(C1368, 'Class Def. - General Data'!$C$20:$C$1000,1,false)</f>
        <v>ZFG1_HANDLIQSOAP</v>
      </c>
      <c r="H1368" s="63" t="str">
        <f>IFERROR(__xludf.DUMMYFUNCTION("VLOOKUP(F1368, IMPORTRANGE(""https://docs.google.com/spreadsheets/d/1Lhp9OU0JdFf_VYSMzH5lBcEaU4o8teT1piV-SNzShjg/edit?gid=554141278#gid=554141278"", ""'Char Def. - Attributes'!C20:C2242""), 1,false)"),"STICKER_NOT")</f>
        <v>STICKER_NOT</v>
      </c>
      <c r="I1368" s="136"/>
    </row>
    <row r="1369" ht="15.75" customHeight="1">
      <c r="A1369" s="59"/>
      <c r="B1369" s="63">
        <f t="shared" si="1"/>
        <v>16</v>
      </c>
      <c r="C1369" s="134" t="s">
        <v>118</v>
      </c>
      <c r="D1369" s="134" t="s">
        <v>74</v>
      </c>
      <c r="E1369" s="135">
        <f t="shared" si="28"/>
        <v>33</v>
      </c>
      <c r="F1369" s="134" t="s">
        <v>3627</v>
      </c>
      <c r="G1369" s="63" t="str">
        <f>VLOOKUP(C1369, 'Class Def. - General Data'!$C$20:$C$1000,1,false)</f>
        <v>ZFG1_HANDLIQSOAP</v>
      </c>
      <c r="H1369" s="63" t="str">
        <f>IFERROR(__xludf.DUMMYFUNCTION("VLOOKUP(F1369, IMPORTRANGE(""https://docs.google.com/spreadsheets/d/1Lhp9OU0JdFf_VYSMzH5lBcEaU4o8teT1piV-SNzShjg/edit?gid=554141278#gid=554141278"", ""'Char Def. - Attributes'!C20:C2242""), 1,false)"),"SHIP_MARK")</f>
        <v>SHIP_MARK</v>
      </c>
      <c r="I1369" s="136"/>
    </row>
    <row r="1370" ht="15.75" customHeight="1">
      <c r="A1370" s="59"/>
      <c r="B1370" s="63">
        <f t="shared" si="1"/>
        <v>16</v>
      </c>
      <c r="C1370" s="134" t="s">
        <v>118</v>
      </c>
      <c r="D1370" s="134" t="s">
        <v>74</v>
      </c>
      <c r="E1370" s="135">
        <f t="shared" si="28"/>
        <v>34</v>
      </c>
      <c r="F1370" s="134" t="s">
        <v>3628</v>
      </c>
      <c r="G1370" s="63" t="str">
        <f>VLOOKUP(C1370, 'Class Def. - General Data'!$C$20:$C$1000,1,false)</f>
        <v>ZFG1_HANDLIQSOAP</v>
      </c>
      <c r="H1370" s="63" t="str">
        <f>IFERROR(__xludf.DUMMYFUNCTION("VLOOKUP(F1370, IMPORTRANGE(""https://docs.google.com/spreadsheets/d/1Lhp9OU0JdFf_VYSMzH5lBcEaU4o8teT1piV-SNzShjg/edit?gid=554141278#gid=554141278"", ""'Char Def. - Attributes'!C20:C2242""), 1,false)"),"MID_CORE")</f>
        <v>MID_CORE</v>
      </c>
      <c r="I1370" s="136"/>
    </row>
    <row r="1371" ht="15.75" customHeight="1">
      <c r="A1371" s="59"/>
      <c r="B1371" s="63">
        <f t="shared" si="1"/>
        <v>16</v>
      </c>
      <c r="C1371" s="134" t="s">
        <v>118</v>
      </c>
      <c r="D1371" s="134" t="s">
        <v>74</v>
      </c>
      <c r="E1371" s="135">
        <f t="shared" si="28"/>
        <v>35</v>
      </c>
      <c r="F1371" s="134" t="s">
        <v>3629</v>
      </c>
      <c r="G1371" s="63" t="str">
        <f>VLOOKUP(C1371, 'Class Def. - General Data'!$C$20:$C$1000,1,false)</f>
        <v>ZFG1_HANDLIQSOAP</v>
      </c>
      <c r="H1371" s="63" t="str">
        <f>IFERROR(__xludf.DUMMYFUNCTION("VLOOKUP(F1371, IMPORTRANGE(""https://docs.google.com/spreadsheets/d/1Lhp9OU0JdFf_VYSMzH5lBcEaU4o8teT1piV-SNzShjg/edit?gid=554141278#gid=554141278"", ""'Char Def. - Attributes'!C20:C2242""), 1,false)"),"EAN_CTN")</f>
        <v>EAN_CTN</v>
      </c>
      <c r="I1371" s="136"/>
    </row>
    <row r="1372" ht="15.75" customHeight="1">
      <c r="A1372" s="59"/>
      <c r="B1372" s="63">
        <f t="shared" si="1"/>
        <v>16</v>
      </c>
      <c r="C1372" s="134" t="s">
        <v>118</v>
      </c>
      <c r="D1372" s="134" t="s">
        <v>74</v>
      </c>
      <c r="E1372" s="135">
        <f t="shared" si="28"/>
        <v>36</v>
      </c>
      <c r="F1372" s="134" t="s">
        <v>3630</v>
      </c>
      <c r="G1372" s="63" t="str">
        <f>VLOOKUP(C1372, 'Class Def. - General Data'!$C$20:$C$1000,1,false)</f>
        <v>ZFG1_HANDLIQSOAP</v>
      </c>
      <c r="H1372" s="63" t="str">
        <f>IFERROR(__xludf.DUMMYFUNCTION("VLOOKUP(F1372, IMPORTRANGE(""https://docs.google.com/spreadsheets/d/1Lhp9OU0JdFf_VYSMzH5lBcEaU4o8teT1piV-SNzShjg/edit?gid=554141278#gid=554141278"", ""'Char Def. - Attributes'!C20:C2242""), 1,false)"),"EAN_BOX")</f>
        <v>EAN_BOX</v>
      </c>
      <c r="I1372" s="136"/>
    </row>
    <row r="1373" ht="15.75" customHeight="1">
      <c r="A1373" s="66"/>
      <c r="B1373" s="63">
        <f t="shared" si="1"/>
        <v>16</v>
      </c>
      <c r="C1373" s="134" t="s">
        <v>118</v>
      </c>
      <c r="D1373" s="141" t="s">
        <v>74</v>
      </c>
      <c r="E1373" s="135">
        <v>22.0</v>
      </c>
      <c r="F1373" s="135" t="s">
        <v>3603</v>
      </c>
      <c r="G1373" s="63" t="str">
        <f>VLOOKUP(C1373, 'Class Def. - General Data'!$C$20:$C$1000,1,false)</f>
        <v>ZFG1_HANDLIQSOAP</v>
      </c>
      <c r="I1373" s="136"/>
    </row>
    <row r="1374" ht="15.75" customHeight="1">
      <c r="A1374" s="66"/>
      <c r="B1374" s="63">
        <f t="shared" si="1"/>
        <v>12</v>
      </c>
      <c r="C1374" s="134" t="s">
        <v>119</v>
      </c>
      <c r="D1374" s="134" t="s">
        <v>74</v>
      </c>
      <c r="E1374" s="135">
        <f t="shared" ref="E1374:E1409" si="29">COUNTIF($C$20:C1374,C1374)</f>
        <v>1</v>
      </c>
      <c r="F1374" s="134" t="s">
        <v>3698</v>
      </c>
      <c r="G1374" s="63" t="str">
        <f>VLOOKUP(C1374, 'Class Def. - General Data'!$C$20:$C$1000,1,false)</f>
        <v>ZFG1_HANDSAN</v>
      </c>
      <c r="H1374" s="63" t="str">
        <f>IFERROR(__xludf.DUMMYFUNCTION("VLOOKUP(F1374, IMPORTRANGE(""https://docs.google.com/spreadsheets/d/1Lhp9OU0JdFf_VYSMzH5lBcEaU4o8teT1piV-SNzShjg/edit?gid=554141278#gid=554141278"", ""'Char Def. - Attributes'!C20:C2242""), 1,false)"),"BRAND_HANDSAN")</f>
        <v>BRAND_HANDSAN</v>
      </c>
      <c r="I1374" s="136"/>
    </row>
    <row r="1375" ht="15.75" customHeight="1">
      <c r="A1375" s="59"/>
      <c r="B1375" s="63">
        <f t="shared" si="1"/>
        <v>12</v>
      </c>
      <c r="C1375" s="135" t="s">
        <v>119</v>
      </c>
      <c r="D1375" s="134" t="s">
        <v>74</v>
      </c>
      <c r="E1375" s="135">
        <f t="shared" si="29"/>
        <v>2</v>
      </c>
      <c r="F1375" s="134" t="s">
        <v>3699</v>
      </c>
      <c r="G1375" s="63" t="str">
        <f>VLOOKUP(C1375, 'Class Def. - General Data'!$C$20:$C$1000,1,false)</f>
        <v>ZFG1_HANDSAN</v>
      </c>
      <c r="H1375" s="63" t="str">
        <f>IFERROR(__xludf.DUMMYFUNCTION("VLOOKUP(F1375, IMPORTRANGE(""https://docs.google.com/spreadsheets/d/1Lhp9OU0JdFf_VYSMzH5lBcEaU4o8teT1piV-SNzShjg/edit?gid=554141278#gid=554141278"", ""'Char Def. - Attributes'!C20:C2242""), 1,false)"),"PSHAPE_HANDSAN")</f>
        <v>PSHAPE_HANDSAN</v>
      </c>
      <c r="I1375" s="136"/>
    </row>
    <row r="1376" ht="15.75" customHeight="1">
      <c r="A1376" s="59"/>
      <c r="B1376" s="63">
        <f t="shared" si="1"/>
        <v>12</v>
      </c>
      <c r="C1376" s="134" t="s">
        <v>119</v>
      </c>
      <c r="D1376" s="134" t="s">
        <v>74</v>
      </c>
      <c r="E1376" s="135">
        <f t="shared" si="29"/>
        <v>3</v>
      </c>
      <c r="F1376" s="134" t="s">
        <v>3605</v>
      </c>
      <c r="G1376" s="63" t="str">
        <f>VLOOKUP(C1376, 'Class Def. - General Data'!$C$20:$C$1000,1,false)</f>
        <v>ZFG1_HANDSAN</v>
      </c>
      <c r="H1376" s="63" t="str">
        <f>IFERROR(__xludf.DUMMYFUNCTION("VLOOKUP(F1376, IMPORTRANGE(""https://docs.google.com/spreadsheets/d/1Lhp9OU0JdFf_VYSMzH5lBcEaU4o8teT1piV-SNzShjg/edit?gid=554141278#gid=554141278"", ""'Char Def. - Attributes'!C20:C2242""), 1,false)"),"PACK_NETTO")</f>
        <v>PACK_NETTO</v>
      </c>
      <c r="I1376" s="136"/>
    </row>
    <row r="1377" ht="15.75" customHeight="1">
      <c r="A1377" s="59"/>
      <c r="B1377" s="63">
        <f t="shared" si="1"/>
        <v>12</v>
      </c>
      <c r="C1377" s="135" t="s">
        <v>119</v>
      </c>
      <c r="D1377" s="134" t="s">
        <v>74</v>
      </c>
      <c r="E1377" s="135">
        <f t="shared" si="29"/>
        <v>4</v>
      </c>
      <c r="F1377" s="134" t="s">
        <v>3700</v>
      </c>
      <c r="G1377" s="63" t="str">
        <f>VLOOKUP(C1377, 'Class Def. - General Data'!$C$20:$C$1000,1,false)</f>
        <v>ZFG1_HANDSAN</v>
      </c>
      <c r="H1377" s="63" t="str">
        <f>IFERROR(__xludf.DUMMYFUNCTION("VLOOKUP(F1377, IMPORTRANGE(""https://docs.google.com/spreadsheets/d/1Lhp9OU0JdFf_VYSMzH5lBcEaU4o8teT1piV-SNzShjg/edit?gid=554141278#gid=554141278"", ""'Char Def. - Attributes'!C20:C2242""), 1,false)"),"PUOM_HANDSAN")</f>
        <v>PUOM_HANDSAN</v>
      </c>
      <c r="I1377" s="136"/>
    </row>
    <row r="1378" ht="15.75" customHeight="1">
      <c r="A1378" s="59"/>
      <c r="B1378" s="63">
        <f t="shared" si="1"/>
        <v>12</v>
      </c>
      <c r="C1378" s="134" t="s">
        <v>119</v>
      </c>
      <c r="D1378" s="134" t="s">
        <v>74</v>
      </c>
      <c r="E1378" s="135">
        <f t="shared" si="29"/>
        <v>5</v>
      </c>
      <c r="F1378" s="134" t="s">
        <v>3607</v>
      </c>
      <c r="G1378" s="63" t="str">
        <f>VLOOKUP(C1378, 'Class Def. - General Data'!$C$20:$C$1000,1,false)</f>
        <v>ZFG1_HANDSAN</v>
      </c>
      <c r="H1378" s="63" t="str">
        <f>IFERROR(__xludf.DUMMYFUNCTION("VLOOKUP(F1378, IMPORTRANGE(""https://docs.google.com/spreadsheets/d/1Lhp9OU0JdFf_VYSMzH5lBcEaU4o8teT1piV-SNzShjg/edit?gid=554141278#gid=554141278"", ""'Char Def. - Attributes'!C20:C2242""), 1,false)"),"VARIAN")</f>
        <v>VARIAN</v>
      </c>
      <c r="I1378" s="136"/>
    </row>
    <row r="1379" ht="15.75" customHeight="1">
      <c r="A1379" s="59"/>
      <c r="B1379" s="63">
        <f t="shared" si="1"/>
        <v>12</v>
      </c>
      <c r="C1379" s="134" t="s">
        <v>119</v>
      </c>
      <c r="D1379" s="134" t="s">
        <v>74</v>
      </c>
      <c r="E1379" s="135">
        <f t="shared" si="29"/>
        <v>6</v>
      </c>
      <c r="F1379" s="134" t="s">
        <v>3608</v>
      </c>
      <c r="G1379" s="63" t="str">
        <f>VLOOKUP(C1379, 'Class Def. - General Data'!$C$20:$C$1000,1,false)</f>
        <v>ZFG1_HANDSAN</v>
      </c>
      <c r="H1379" s="63" t="str">
        <f>IFERROR(__xludf.DUMMYFUNCTION("VLOOKUP(F1379, IMPORTRANGE(""https://docs.google.com/spreadsheets/d/1Lhp9OU0JdFf_VYSMzH5lBcEaU4o8teT1piV-SNzShjg/edit?gid=554141278#gid=554141278"", ""'Char Def. - Attributes'!C20:C2242""), 1,false)"),"PROJECT_NAME")</f>
        <v>PROJECT_NAME</v>
      </c>
      <c r="I1379" s="136"/>
    </row>
    <row r="1380" ht="15.75" customHeight="1">
      <c r="A1380" s="59"/>
      <c r="B1380" s="63">
        <f t="shared" si="1"/>
        <v>12</v>
      </c>
      <c r="C1380" s="134" t="s">
        <v>119</v>
      </c>
      <c r="D1380" s="134" t="s">
        <v>74</v>
      </c>
      <c r="E1380" s="135">
        <f t="shared" si="29"/>
        <v>7</v>
      </c>
      <c r="F1380" s="134" t="s">
        <v>3609</v>
      </c>
      <c r="G1380" s="63" t="str">
        <f>VLOOKUP(C1380, 'Class Def. - General Data'!$C$20:$C$1000,1,false)</f>
        <v>ZFG1_HANDSAN</v>
      </c>
      <c r="H1380" s="63" t="str">
        <f>IFERROR(__xludf.DUMMYFUNCTION("VLOOKUP(F1380, IMPORTRANGE(""https://docs.google.com/spreadsheets/d/1Lhp9OU0JdFf_VYSMzH5lBcEaU4o8teT1piV-SNzShjg/edit?gid=554141278#gid=554141278"", ""'Char Def. - Attributes'!C20:C2242""), 1,false)"),"ADDITIONAL_PROMO")</f>
        <v>ADDITIONAL_PROMO</v>
      </c>
      <c r="I1380" s="136"/>
    </row>
    <row r="1381" ht="15.75" customHeight="1">
      <c r="A1381" s="59"/>
      <c r="B1381" s="63">
        <f t="shared" si="1"/>
        <v>12</v>
      </c>
      <c r="C1381" s="134" t="s">
        <v>119</v>
      </c>
      <c r="D1381" s="134" t="s">
        <v>74</v>
      </c>
      <c r="E1381" s="135">
        <f t="shared" si="29"/>
        <v>8</v>
      </c>
      <c r="F1381" s="134" t="s">
        <v>3610</v>
      </c>
      <c r="G1381" s="63" t="str">
        <f>VLOOKUP(C1381, 'Class Def. - General Data'!$C$20:$C$1000,1,false)</f>
        <v>ZFG1_HANDSAN</v>
      </c>
      <c r="H1381" s="63" t="str">
        <f>IFERROR(__xludf.DUMMYFUNCTION("VLOOKUP(F1381, IMPORTRANGE(""https://docs.google.com/spreadsheets/d/1Lhp9OU0JdFf_VYSMzH5lBcEaU4o8teT1piV-SNzShjg/edit?gid=554141278#gid=554141278"", ""'Char Def. - Attributes'!C20:C2242""), 1,false)"),"BANDED_PROMO")</f>
        <v>BANDED_PROMO</v>
      </c>
      <c r="I1381" s="136"/>
    </row>
    <row r="1382" ht="15.75" customHeight="1">
      <c r="A1382" s="59"/>
      <c r="B1382" s="63">
        <f t="shared" si="1"/>
        <v>12</v>
      </c>
      <c r="C1382" s="134" t="s">
        <v>119</v>
      </c>
      <c r="D1382" s="134" t="s">
        <v>74</v>
      </c>
      <c r="E1382" s="135">
        <f t="shared" si="29"/>
        <v>9</v>
      </c>
      <c r="F1382" s="134" t="s">
        <v>3611</v>
      </c>
      <c r="G1382" s="63" t="str">
        <f>VLOOKUP(C1382, 'Class Def. - General Data'!$C$20:$C$1000,1,false)</f>
        <v>ZFG1_HANDSAN</v>
      </c>
      <c r="H1382" s="63" t="str">
        <f>IFERROR(__xludf.DUMMYFUNCTION("VLOOKUP(F1382, IMPORTRANGE(""https://docs.google.com/spreadsheets/d/1Lhp9OU0JdFf_VYSMzH5lBcEaU4o8teT1piV-SNzShjg/edit?gid=554141278#gid=554141278"", ""'Char Def. - Attributes'!C20:C2242""), 1,false)"),"LOKAL_EKSPOR")</f>
        <v>LOKAL_EKSPOR</v>
      </c>
      <c r="I1382" s="136"/>
    </row>
    <row r="1383" ht="15.75" customHeight="1">
      <c r="A1383" s="59"/>
      <c r="B1383" s="63">
        <f t="shared" si="1"/>
        <v>12</v>
      </c>
      <c r="C1383" s="134" t="s">
        <v>119</v>
      </c>
      <c r="D1383" s="134" t="s">
        <v>74</v>
      </c>
      <c r="E1383" s="135">
        <f t="shared" si="29"/>
        <v>10</v>
      </c>
      <c r="F1383" s="134" t="s">
        <v>3612</v>
      </c>
      <c r="G1383" s="63" t="str">
        <f>VLOOKUP(C1383, 'Class Def. - General Data'!$C$20:$C$1000,1,false)</f>
        <v>ZFG1_HANDSAN</v>
      </c>
      <c r="H1383" s="63" t="str">
        <f>IFERROR(__xludf.DUMMYFUNCTION("VLOOKUP(F1383, IMPORTRANGE(""https://docs.google.com/spreadsheets/d/1Lhp9OU0JdFf_VYSMzH5lBcEaU4o8teT1piV-SNzShjg/edit?gid=554141278#gid=554141278"", ""'Char Def. - Attributes'!C20:C2242""), 1,false)"),"COUNTRY_EKSPOR")</f>
        <v>COUNTRY_EKSPOR</v>
      </c>
      <c r="I1383" s="136"/>
    </row>
    <row r="1384" ht="15.75" customHeight="1">
      <c r="A1384" s="59"/>
      <c r="B1384" s="63">
        <f t="shared" si="1"/>
        <v>12</v>
      </c>
      <c r="C1384" s="134" t="s">
        <v>119</v>
      </c>
      <c r="D1384" s="134" t="s">
        <v>74</v>
      </c>
      <c r="E1384" s="135">
        <f t="shared" si="29"/>
        <v>11</v>
      </c>
      <c r="F1384" s="134" t="s">
        <v>3613</v>
      </c>
      <c r="G1384" s="63" t="str">
        <f>VLOOKUP(C1384, 'Class Def. - General Data'!$C$20:$C$1000,1,false)</f>
        <v>ZFG1_HANDSAN</v>
      </c>
      <c r="H1384" s="63" t="str">
        <f>IFERROR(__xludf.DUMMYFUNCTION("VLOOKUP(F1384, IMPORTRANGE(""https://docs.google.com/spreadsheets/d/1Lhp9OU0JdFf_VYSMzH5lBcEaU4o8teT1piV-SNzShjg/edit?gid=554141278#gid=554141278"", ""'Char Def. - Attributes'!C20:C2242""), 1,false)"),"WARNA_SFG")</f>
        <v>WARNA_SFG</v>
      </c>
      <c r="I1384" s="136"/>
    </row>
    <row r="1385" ht="15.75" customHeight="1">
      <c r="A1385" s="59"/>
      <c r="B1385" s="63">
        <f t="shared" si="1"/>
        <v>12</v>
      </c>
      <c r="C1385" s="134" t="s">
        <v>119</v>
      </c>
      <c r="D1385" s="134" t="s">
        <v>74</v>
      </c>
      <c r="E1385" s="135">
        <f t="shared" si="29"/>
        <v>12</v>
      </c>
      <c r="F1385" s="134" t="s">
        <v>3582</v>
      </c>
      <c r="G1385" s="63" t="str">
        <f>VLOOKUP(C1385, 'Class Def. - General Data'!$C$20:$C$1000,1,false)</f>
        <v>ZFG1_HANDSAN</v>
      </c>
      <c r="H1385" s="63" t="str">
        <f>IFERROR(__xludf.DUMMYFUNCTION("VLOOKUP(F1385, IMPORTRANGE(""https://docs.google.com/spreadsheets/d/1Lhp9OU0JdFf_VYSMzH5lBcEaU4o8teT1piV-SNzShjg/edit?gid=554141278#gid=554141278"", ""'Char Def. - Attributes'!C20:C2242""), 1,false)"),"BASE_UNIT")</f>
        <v>BASE_UNIT</v>
      </c>
      <c r="I1385" s="136"/>
    </row>
    <row r="1386" ht="15.75" customHeight="1">
      <c r="A1386" s="59"/>
      <c r="B1386" s="63">
        <f t="shared" si="1"/>
        <v>12</v>
      </c>
      <c r="C1386" s="134" t="s">
        <v>119</v>
      </c>
      <c r="D1386" s="134" t="s">
        <v>74</v>
      </c>
      <c r="E1386" s="135">
        <f t="shared" si="29"/>
        <v>13</v>
      </c>
      <c r="F1386" s="134" t="s">
        <v>3583</v>
      </c>
      <c r="G1386" s="63" t="str">
        <f>VLOOKUP(C1386, 'Class Def. - General Data'!$C$20:$C$1000,1,false)</f>
        <v>ZFG1_HANDSAN</v>
      </c>
      <c r="H1386" s="63" t="str">
        <f>IFERROR(__xludf.DUMMYFUNCTION("VLOOKUP(F1386, IMPORTRANGE(""https://docs.google.com/spreadsheets/d/1Lhp9OU0JdFf_VYSMzH5lBcEaU4o8teT1piV-SNzShjg/edit?gid=554141278#gid=554141278"", ""'Char Def. - Attributes'!C20:C2242""), 1,false)"),"SALES_UNIT")</f>
        <v>SALES_UNIT</v>
      </c>
      <c r="I1386" s="136"/>
    </row>
    <row r="1387" ht="15.75" customHeight="1">
      <c r="A1387" s="59"/>
      <c r="B1387" s="63">
        <f t="shared" si="1"/>
        <v>12</v>
      </c>
      <c r="C1387" s="134" t="s">
        <v>119</v>
      </c>
      <c r="D1387" s="134" t="s">
        <v>74</v>
      </c>
      <c r="E1387" s="135">
        <f t="shared" si="29"/>
        <v>14</v>
      </c>
      <c r="F1387" s="134" t="s">
        <v>3601</v>
      </c>
      <c r="G1387" s="63" t="str">
        <f>VLOOKUP(C1387, 'Class Def. - General Data'!$C$20:$C$1000,1,false)</f>
        <v>ZFG1_HANDSAN</v>
      </c>
      <c r="H1387" s="63" t="str">
        <f>IFERROR(__xludf.DUMMYFUNCTION("VLOOKUP(F1387, IMPORTRANGE(""https://docs.google.com/spreadsheets/d/1Lhp9OU0JdFf_VYSMzH5lBcEaU4o8teT1piV-SNzShjg/edit?gid=554141278#gid=554141278"", ""'Char Def. - Attributes'!C20:C2242""), 1,false)"),"GROSS_WEIGHT")</f>
        <v>GROSS_WEIGHT</v>
      </c>
      <c r="I1387" s="136"/>
    </row>
    <row r="1388" ht="15.75" customHeight="1">
      <c r="A1388" s="59"/>
      <c r="B1388" s="63">
        <f t="shared" si="1"/>
        <v>12</v>
      </c>
      <c r="C1388" s="134" t="s">
        <v>119</v>
      </c>
      <c r="D1388" s="134" t="s">
        <v>74</v>
      </c>
      <c r="E1388" s="135">
        <f t="shared" si="29"/>
        <v>15</v>
      </c>
      <c r="F1388" s="134" t="s">
        <v>3602</v>
      </c>
      <c r="G1388" s="63" t="str">
        <f>VLOOKUP(C1388, 'Class Def. - General Data'!$C$20:$C$1000,1,false)</f>
        <v>ZFG1_HANDSAN</v>
      </c>
      <c r="H1388" s="63" t="str">
        <f>IFERROR(__xludf.DUMMYFUNCTION("VLOOKUP(F1388, IMPORTRANGE(""https://docs.google.com/spreadsheets/d/1Lhp9OU0JdFf_VYSMzH5lBcEaU4o8teT1piV-SNzShjg/edit?gid=554141278#gid=554141278"", ""'Char Def. - Attributes'!C20:C2242""), 1,false)"),"NET_WEIGHT")</f>
        <v>NET_WEIGHT</v>
      </c>
      <c r="I1388" s="136"/>
    </row>
    <row r="1389" ht="15.75" customHeight="1">
      <c r="A1389" s="59"/>
      <c r="B1389" s="63">
        <f t="shared" si="1"/>
        <v>12</v>
      </c>
      <c r="C1389" s="134" t="s">
        <v>119</v>
      </c>
      <c r="D1389" s="134" t="s">
        <v>74</v>
      </c>
      <c r="E1389" s="135">
        <f t="shared" si="29"/>
        <v>16</v>
      </c>
      <c r="F1389" s="134" t="s">
        <v>3584</v>
      </c>
      <c r="G1389" s="63" t="str">
        <f>VLOOKUP(C1389, 'Class Def. - General Data'!$C$20:$C$1000,1,false)</f>
        <v>ZFG1_HANDSAN</v>
      </c>
      <c r="H1389" s="63" t="str">
        <f>IFERROR(__xludf.DUMMYFUNCTION("VLOOKUP(F1389, IMPORTRANGE(""https://docs.google.com/spreadsheets/d/1Lhp9OU0JdFf_VYSMzH5lBcEaU4o8teT1piV-SNzShjg/edit?gid=554141278#gid=554141278"", ""'Char Def. - Attributes'!C20:C2242""), 1,false)"),"UNIT_PER_BOX")</f>
        <v>UNIT_PER_BOX</v>
      </c>
      <c r="I1389" s="136"/>
    </row>
    <row r="1390" ht="15.75" customHeight="1">
      <c r="A1390" s="59"/>
      <c r="B1390" s="63">
        <f t="shared" si="1"/>
        <v>12</v>
      </c>
      <c r="C1390" s="134" t="s">
        <v>119</v>
      </c>
      <c r="D1390" s="134" t="s">
        <v>74</v>
      </c>
      <c r="E1390" s="135">
        <f t="shared" si="29"/>
        <v>17</v>
      </c>
      <c r="F1390" s="134" t="s">
        <v>3614</v>
      </c>
      <c r="G1390" s="63" t="str">
        <f>VLOOKUP(C1390, 'Class Def. - General Data'!$C$20:$C$1000,1,false)</f>
        <v>ZFG1_HANDSAN</v>
      </c>
      <c r="H1390" s="63" t="str">
        <f>IFERROR(__xludf.DUMMYFUNCTION("VLOOKUP(F1390, IMPORTRANGE(""https://docs.google.com/spreadsheets/d/1Lhp9OU0JdFf_VYSMzH5lBcEaU4o8teT1piV-SNzShjg/edit?gid=554141278#gid=554141278"", ""'Char Def. - Attributes'!C20:C2242""), 1,false)"),"UNIT_PER_CTN")</f>
        <v>UNIT_PER_CTN</v>
      </c>
      <c r="I1390" s="136"/>
    </row>
    <row r="1391" ht="15.75" customHeight="1">
      <c r="A1391" s="59"/>
      <c r="B1391" s="63">
        <f t="shared" si="1"/>
        <v>12</v>
      </c>
      <c r="C1391" s="134" t="s">
        <v>119</v>
      </c>
      <c r="D1391" s="134" t="s">
        <v>74</v>
      </c>
      <c r="E1391" s="135">
        <f t="shared" si="29"/>
        <v>18</v>
      </c>
      <c r="F1391" s="134" t="s">
        <v>3615</v>
      </c>
      <c r="G1391" s="63" t="str">
        <f>VLOOKUP(C1391, 'Class Def. - General Data'!$C$20:$C$1000,1,false)</f>
        <v>ZFG1_HANDSAN</v>
      </c>
      <c r="H1391" s="63" t="str">
        <f>IFERROR(__xludf.DUMMYFUNCTION("VLOOKUP(F1391, IMPORTRANGE(""https://docs.google.com/spreadsheets/d/1Lhp9OU0JdFf_VYSMzH5lBcEaU4o8teT1piV-SNzShjg/edit?gid=554141278#gid=554141278"", ""'Char Def. - Attributes'!C20:C2242""), 1,false)"),"UNIT_PER_BAG")</f>
        <v>UNIT_PER_BAG</v>
      </c>
      <c r="I1391" s="136"/>
    </row>
    <row r="1392" ht="15.75" customHeight="1">
      <c r="A1392" s="59"/>
      <c r="B1392" s="63">
        <f t="shared" si="1"/>
        <v>12</v>
      </c>
      <c r="C1392" s="134" t="s">
        <v>119</v>
      </c>
      <c r="D1392" s="134" t="s">
        <v>74</v>
      </c>
      <c r="E1392" s="135">
        <f t="shared" si="29"/>
        <v>19</v>
      </c>
      <c r="F1392" s="134" t="s">
        <v>3616</v>
      </c>
      <c r="G1392" s="63" t="str">
        <f>VLOOKUP(C1392, 'Class Def. - General Data'!$C$20:$C$1000,1,false)</f>
        <v>ZFG1_HANDSAN</v>
      </c>
      <c r="H1392" s="63" t="str">
        <f>IFERROR(__xludf.DUMMYFUNCTION("VLOOKUP(F1392, IMPORTRANGE(""https://docs.google.com/spreadsheets/d/1Lhp9OU0JdFf_VYSMzH5lBcEaU4o8teT1piV-SNzShjg/edit?gid=554141278#gid=554141278"", ""'Char Def. - Attributes'!C20:C2242""), 1,false)"),"UNIT_PER_PAL")</f>
        <v>UNIT_PER_PAL</v>
      </c>
      <c r="I1392" s="136"/>
    </row>
    <row r="1393" ht="15.75" customHeight="1">
      <c r="A1393" s="59"/>
      <c r="B1393" s="63">
        <f t="shared" si="1"/>
        <v>12</v>
      </c>
      <c r="C1393" s="134" t="s">
        <v>119</v>
      </c>
      <c r="D1393" s="134" t="s">
        <v>74</v>
      </c>
      <c r="E1393" s="135">
        <f t="shared" si="29"/>
        <v>20</v>
      </c>
      <c r="F1393" s="134" t="s">
        <v>3617</v>
      </c>
      <c r="G1393" s="63" t="str">
        <f>VLOOKUP(C1393, 'Class Def. - General Data'!$C$20:$C$1000,1,false)</f>
        <v>ZFG1_HANDSAN</v>
      </c>
      <c r="H1393" s="63" t="str">
        <f>IFERROR(__xludf.DUMMYFUNCTION("VLOOKUP(F1393, IMPORTRANGE(""https://docs.google.com/spreadsheets/d/1Lhp9OU0JdFf_VYSMzH5lBcEaU4o8teT1piV-SNzShjg/edit?gid=554141278#gid=554141278"", ""'Char Def. - Attributes'!C20:C2242""), 1,false)"),"UNIT_PER_TIER")</f>
        <v>UNIT_PER_TIER</v>
      </c>
      <c r="I1393" s="136"/>
    </row>
    <row r="1394" ht="15.75" customHeight="1">
      <c r="A1394" s="59"/>
      <c r="B1394" s="63">
        <f t="shared" si="1"/>
        <v>12</v>
      </c>
      <c r="C1394" s="134" t="s">
        <v>119</v>
      </c>
      <c r="D1394" s="134" t="s">
        <v>74</v>
      </c>
      <c r="E1394" s="135">
        <f t="shared" si="29"/>
        <v>21</v>
      </c>
      <c r="F1394" s="134" t="s">
        <v>3618</v>
      </c>
      <c r="G1394" s="63" t="str">
        <f>VLOOKUP(C1394, 'Class Def. - General Data'!$C$20:$C$1000,1,false)</f>
        <v>ZFG1_HANDSAN</v>
      </c>
      <c r="H1394" s="63" t="str">
        <f>IFERROR(__xludf.DUMMYFUNCTION("VLOOKUP(F1394, IMPORTRANGE(""https://docs.google.com/spreadsheets/d/1Lhp9OU0JdFf_VYSMzH5lBcEaU4o8teT1piV-SNzShjg/edit?gid=554141278#gid=554141278"", ""'Char Def. - Attributes'!C20:C2242""), 1,false)"),"HEIGHT")</f>
        <v>HEIGHT</v>
      </c>
      <c r="I1394" s="136"/>
    </row>
    <row r="1395" ht="15.75" customHeight="1">
      <c r="A1395" s="59"/>
      <c r="B1395" s="63">
        <f t="shared" si="1"/>
        <v>12</v>
      </c>
      <c r="C1395" s="134" t="s">
        <v>119</v>
      </c>
      <c r="D1395" s="134" t="s">
        <v>74</v>
      </c>
      <c r="E1395" s="135">
        <f t="shared" si="29"/>
        <v>22</v>
      </c>
      <c r="F1395" s="134" t="s">
        <v>3587</v>
      </c>
      <c r="G1395" s="63" t="str">
        <f>VLOOKUP(C1395, 'Class Def. - General Data'!$C$20:$C$1000,1,false)</f>
        <v>ZFG1_HANDSAN</v>
      </c>
      <c r="H1395" s="63" t="str">
        <f>IFERROR(__xludf.DUMMYFUNCTION("VLOOKUP(F1395, IMPORTRANGE(""https://docs.google.com/spreadsheets/d/1Lhp9OU0JdFf_VYSMzH5lBcEaU4o8teT1piV-SNzShjg/edit?gid=554141278#gid=554141278"", ""'Char Def. - Attributes'!C20:C2242""), 1,false)"),"PLANT_BUY")</f>
        <v>PLANT_BUY</v>
      </c>
      <c r="I1395" s="136"/>
    </row>
    <row r="1396" ht="15.75" customHeight="1">
      <c r="A1396" s="59"/>
      <c r="B1396" s="63">
        <f t="shared" si="1"/>
        <v>12</v>
      </c>
      <c r="C1396" s="134" t="s">
        <v>119</v>
      </c>
      <c r="D1396" s="134" t="s">
        <v>74</v>
      </c>
      <c r="E1396" s="135">
        <f t="shared" si="29"/>
        <v>23</v>
      </c>
      <c r="F1396" s="134" t="s">
        <v>3619</v>
      </c>
      <c r="G1396" s="63" t="str">
        <f>VLOOKUP(C1396, 'Class Def. - General Data'!$C$20:$C$1000,1,false)</f>
        <v>ZFG1_HANDSAN</v>
      </c>
      <c r="H1396" s="63" t="str">
        <f>IFERROR(__xludf.DUMMYFUNCTION("VLOOKUP(F1396, IMPORTRANGE(""https://docs.google.com/spreadsheets/d/1Lhp9OU0JdFf_VYSMzH5lBcEaU4o8teT1piV-SNzShjg/edit?gid=554141278#gid=554141278"", ""'Char Def. - Attributes'!C20:C2242""), 1,false)"),"LENGTH")</f>
        <v>LENGTH</v>
      </c>
      <c r="I1396" s="136"/>
    </row>
    <row r="1397" ht="15.75" customHeight="1">
      <c r="A1397" s="59"/>
      <c r="B1397" s="63">
        <f t="shared" si="1"/>
        <v>12</v>
      </c>
      <c r="C1397" s="134" t="s">
        <v>119</v>
      </c>
      <c r="D1397" s="134" t="s">
        <v>74</v>
      </c>
      <c r="E1397" s="135">
        <f t="shared" si="29"/>
        <v>24</v>
      </c>
      <c r="F1397" s="134" t="s">
        <v>3586</v>
      </c>
      <c r="G1397" s="63" t="str">
        <f>VLOOKUP(C1397, 'Class Def. - General Data'!$C$20:$C$1000,1,false)</f>
        <v>ZFG1_HANDSAN</v>
      </c>
      <c r="H1397" s="63" t="str">
        <f>IFERROR(__xludf.DUMMYFUNCTION("VLOOKUP(F1397, IMPORTRANGE(""https://docs.google.com/spreadsheets/d/1Lhp9OU0JdFf_VYSMzH5lBcEaU4o8teT1piV-SNzShjg/edit?gid=554141278#gid=554141278"", ""'Char Def. - Attributes'!C20:C2242""), 1,false)"),"PLANT_PROD")</f>
        <v>PLANT_PROD</v>
      </c>
      <c r="I1397" s="136"/>
    </row>
    <row r="1398" ht="15.75" customHeight="1">
      <c r="A1398" s="59"/>
      <c r="B1398" s="63">
        <f t="shared" si="1"/>
        <v>12</v>
      </c>
      <c r="C1398" s="134" t="s">
        <v>119</v>
      </c>
      <c r="D1398" s="134" t="s">
        <v>74</v>
      </c>
      <c r="E1398" s="135">
        <f t="shared" si="29"/>
        <v>25</v>
      </c>
      <c r="F1398" s="134" t="s">
        <v>3620</v>
      </c>
      <c r="G1398" s="63" t="str">
        <f>VLOOKUP(C1398, 'Class Def. - General Data'!$C$20:$C$1000,1,false)</f>
        <v>ZFG1_HANDSAN</v>
      </c>
      <c r="H1398" s="63" t="str">
        <f>IFERROR(__xludf.DUMMYFUNCTION("VLOOKUP(F1398, IMPORTRANGE(""https://docs.google.com/spreadsheets/d/1Lhp9OU0JdFf_VYSMzH5lBcEaU4o8teT1piV-SNzShjg/edit?gid=554141278#gid=554141278"", ""'Char Def. - Attributes'!C20:C2242""), 1,false)"),"WIDTH")</f>
        <v>WIDTH</v>
      </c>
      <c r="I1398" s="136"/>
    </row>
    <row r="1399" ht="15.75" customHeight="1">
      <c r="A1399" s="59"/>
      <c r="B1399" s="63">
        <f t="shared" si="1"/>
        <v>12</v>
      </c>
      <c r="C1399" s="134" t="s">
        <v>119</v>
      </c>
      <c r="D1399" s="134" t="s">
        <v>74</v>
      </c>
      <c r="E1399" s="135">
        <f t="shared" si="29"/>
        <v>26</v>
      </c>
      <c r="F1399" s="134" t="s">
        <v>3585</v>
      </c>
      <c r="G1399" s="63" t="str">
        <f>VLOOKUP(C1399, 'Class Def. - General Data'!$C$20:$C$1000,1,false)</f>
        <v>ZFG1_HANDSAN</v>
      </c>
      <c r="H1399" s="63" t="str">
        <f>IFERROR(__xludf.DUMMYFUNCTION("VLOOKUP(F1399, IMPORTRANGE(""https://docs.google.com/spreadsheets/d/1Lhp9OU0JdFf_VYSMzH5lBcEaU4o8teT1piV-SNzShjg/edit?gid=554141278#gid=554141278"", ""'Char Def. - Attributes'!C20:C2242""), 1,false)"),"HS_CODE")</f>
        <v>HS_CODE</v>
      </c>
      <c r="I1399" s="136"/>
    </row>
    <row r="1400" ht="15.75" customHeight="1">
      <c r="A1400" s="59"/>
      <c r="B1400" s="63">
        <f t="shared" si="1"/>
        <v>12</v>
      </c>
      <c r="C1400" s="134" t="s">
        <v>119</v>
      </c>
      <c r="D1400" s="134" t="s">
        <v>74</v>
      </c>
      <c r="E1400" s="135">
        <f t="shared" si="29"/>
        <v>27</v>
      </c>
      <c r="F1400" s="134" t="s">
        <v>3621</v>
      </c>
      <c r="G1400" s="63" t="str">
        <f>VLOOKUP(C1400, 'Class Def. - General Data'!$C$20:$C$1000,1,false)</f>
        <v>ZFG1_HANDSAN</v>
      </c>
      <c r="H1400" s="63" t="str">
        <f>IFERROR(__xludf.DUMMYFUNCTION("VLOOKUP(F1400, IMPORTRANGE(""https://docs.google.com/spreadsheets/d/1Lhp9OU0JdFf_VYSMzH5lBcEaU4o8teT1piV-SNzShjg/edit?gid=554141278#gid=554141278"", ""'Char Def. - Attributes'!C20:C2242""), 1,false)"),"EAN_PCS")</f>
        <v>EAN_PCS</v>
      </c>
      <c r="I1400" s="136"/>
    </row>
    <row r="1401" ht="15.75" customHeight="1">
      <c r="A1401" s="59"/>
      <c r="B1401" s="63">
        <f t="shared" si="1"/>
        <v>12</v>
      </c>
      <c r="C1401" s="134" t="s">
        <v>119</v>
      </c>
      <c r="D1401" s="134" t="s">
        <v>74</v>
      </c>
      <c r="E1401" s="135">
        <f t="shared" si="29"/>
        <v>28</v>
      </c>
      <c r="F1401" s="134" t="s">
        <v>3622</v>
      </c>
      <c r="G1401" s="63" t="str">
        <f>VLOOKUP(C1401, 'Class Def. - General Data'!$C$20:$C$1000,1,false)</f>
        <v>ZFG1_HANDSAN</v>
      </c>
      <c r="H1401" s="63" t="str">
        <f>IFERROR(__xludf.DUMMYFUNCTION("VLOOKUP(F1401, IMPORTRANGE(""https://docs.google.com/spreadsheets/d/1Lhp9OU0JdFf_VYSMzH5lBcEaU4o8teT1piV-SNzShjg/edit?gid=554141278#gid=554141278"", ""'Char Def. - Attributes'!C20:C2242""), 1,false)"),"SFG_BRAND")</f>
        <v>SFG_BRAND</v>
      </c>
      <c r="I1401" s="136"/>
    </row>
    <row r="1402" ht="15.75" customHeight="1">
      <c r="A1402" s="59"/>
      <c r="B1402" s="63">
        <f t="shared" si="1"/>
        <v>12</v>
      </c>
      <c r="C1402" s="134" t="s">
        <v>119</v>
      </c>
      <c r="D1402" s="134" t="s">
        <v>74</v>
      </c>
      <c r="E1402" s="135">
        <f t="shared" si="29"/>
        <v>29</v>
      </c>
      <c r="F1402" s="134" t="s">
        <v>3623</v>
      </c>
      <c r="G1402" s="63" t="str">
        <f>VLOOKUP(C1402, 'Class Def. - General Data'!$C$20:$C$1000,1,false)</f>
        <v>ZFG1_HANDSAN</v>
      </c>
      <c r="H1402" s="63" t="str">
        <f>IFERROR(__xludf.DUMMYFUNCTION("VLOOKUP(F1402, IMPORTRANGE(""https://docs.google.com/spreadsheets/d/1Lhp9OU0JdFf_VYSMzH5lBcEaU4o8teT1piV-SNzShjg/edit?gid=554141278#gid=554141278"", ""'Char Def. - Attributes'!C20:C2242""), 1,false)"),"LANGUAGE")</f>
        <v>LANGUAGE</v>
      </c>
      <c r="I1402" s="136"/>
    </row>
    <row r="1403" ht="15.75" customHeight="1">
      <c r="A1403" s="59"/>
      <c r="B1403" s="63">
        <f t="shared" si="1"/>
        <v>12</v>
      </c>
      <c r="C1403" s="139" t="s">
        <v>119</v>
      </c>
      <c r="D1403" s="139" t="s">
        <v>74</v>
      </c>
      <c r="E1403" s="140">
        <f t="shared" si="29"/>
        <v>30</v>
      </c>
      <c r="F1403" s="134" t="s">
        <v>3624</v>
      </c>
      <c r="G1403" s="63" t="str">
        <f>VLOOKUP(C1403, 'Class Def. - General Data'!$C$20:$C$1000,1,false)</f>
        <v>ZFG1_HANDSAN</v>
      </c>
      <c r="H1403" s="63" t="str">
        <f>IFERROR(__xludf.DUMMYFUNCTION("VLOOKUP(F1403, IMPORTRANGE(""https://docs.google.com/spreadsheets/d/1Lhp9OU0JdFf_VYSMzH5lBcEaU4o8teT1piV-SNzShjg/edit?gid=554141278#gid=554141278"", ""'Char Def. - Attributes'!C20:C2242""), 1,false)"),"#N/A")</f>
        <v>#N/A</v>
      </c>
      <c r="I1403" s="136"/>
    </row>
    <row r="1404" ht="15.75" customHeight="1">
      <c r="A1404" s="59"/>
      <c r="B1404" s="63">
        <f t="shared" si="1"/>
        <v>12</v>
      </c>
      <c r="C1404" s="134" t="s">
        <v>119</v>
      </c>
      <c r="D1404" s="134" t="s">
        <v>74</v>
      </c>
      <c r="E1404" s="135">
        <f t="shared" si="29"/>
        <v>31</v>
      </c>
      <c r="F1404" s="134" t="s">
        <v>3625</v>
      </c>
      <c r="G1404" s="63" t="str">
        <f>VLOOKUP(C1404, 'Class Def. - General Data'!$C$20:$C$1000,1,false)</f>
        <v>ZFG1_HANDSAN</v>
      </c>
      <c r="H1404" s="63" t="str">
        <f>IFERROR(__xludf.DUMMYFUNCTION("VLOOKUP(F1404, IMPORTRANGE(""https://docs.google.com/spreadsheets/d/1Lhp9OU0JdFf_VYSMzH5lBcEaU4o8teT1piV-SNzShjg/edit?gid=554141278#gid=554141278"", ""'Char Def. - Attributes'!C20:C2242""), 1,false)"),"REGION_EKSPOR")</f>
        <v>REGION_EKSPOR</v>
      </c>
      <c r="I1404" s="136"/>
    </row>
    <row r="1405" ht="15.75" customHeight="1">
      <c r="A1405" s="59"/>
      <c r="B1405" s="63">
        <f t="shared" si="1"/>
        <v>12</v>
      </c>
      <c r="C1405" s="134" t="s">
        <v>119</v>
      </c>
      <c r="D1405" s="134" t="s">
        <v>74</v>
      </c>
      <c r="E1405" s="135">
        <f t="shared" si="29"/>
        <v>32</v>
      </c>
      <c r="F1405" s="134" t="s">
        <v>3626</v>
      </c>
      <c r="G1405" s="63" t="str">
        <f>VLOOKUP(C1405, 'Class Def. - General Data'!$C$20:$C$1000,1,false)</f>
        <v>ZFG1_HANDSAN</v>
      </c>
      <c r="H1405" s="63" t="str">
        <f>IFERROR(__xludf.DUMMYFUNCTION("VLOOKUP(F1405, IMPORTRANGE(""https://docs.google.com/spreadsheets/d/1Lhp9OU0JdFf_VYSMzH5lBcEaU4o8teT1piV-SNzShjg/edit?gid=554141278#gid=554141278"", ""'Char Def. - Attributes'!C20:C2242""), 1,false)"),"STICKER_NOT")</f>
        <v>STICKER_NOT</v>
      </c>
      <c r="I1405" s="136"/>
    </row>
    <row r="1406" ht="15.75" customHeight="1">
      <c r="A1406" s="59"/>
      <c r="B1406" s="63">
        <f t="shared" si="1"/>
        <v>12</v>
      </c>
      <c r="C1406" s="134" t="s">
        <v>119</v>
      </c>
      <c r="D1406" s="134" t="s">
        <v>74</v>
      </c>
      <c r="E1406" s="135">
        <f t="shared" si="29"/>
        <v>33</v>
      </c>
      <c r="F1406" s="134" t="s">
        <v>3627</v>
      </c>
      <c r="G1406" s="63" t="str">
        <f>VLOOKUP(C1406, 'Class Def. - General Data'!$C$20:$C$1000,1,false)</f>
        <v>ZFG1_HANDSAN</v>
      </c>
      <c r="H1406" s="63" t="str">
        <f>IFERROR(__xludf.DUMMYFUNCTION("VLOOKUP(F1406, IMPORTRANGE(""https://docs.google.com/spreadsheets/d/1Lhp9OU0JdFf_VYSMzH5lBcEaU4o8teT1piV-SNzShjg/edit?gid=554141278#gid=554141278"", ""'Char Def. - Attributes'!C20:C2242""), 1,false)"),"SHIP_MARK")</f>
        <v>SHIP_MARK</v>
      </c>
      <c r="I1406" s="136"/>
    </row>
    <row r="1407" ht="15.75" customHeight="1">
      <c r="A1407" s="66"/>
      <c r="B1407" s="63">
        <f t="shared" si="1"/>
        <v>12</v>
      </c>
      <c r="C1407" s="134" t="s">
        <v>119</v>
      </c>
      <c r="D1407" s="134" t="s">
        <v>74</v>
      </c>
      <c r="E1407" s="135">
        <f t="shared" si="29"/>
        <v>34</v>
      </c>
      <c r="F1407" s="134" t="s">
        <v>3628</v>
      </c>
      <c r="G1407" s="63" t="str">
        <f>VLOOKUP(C1407, 'Class Def. - General Data'!$C$20:$C$1000,1,false)</f>
        <v>ZFG1_HANDSAN</v>
      </c>
      <c r="H1407" s="63" t="str">
        <f>IFERROR(__xludf.DUMMYFUNCTION("VLOOKUP(F1407, IMPORTRANGE(""https://docs.google.com/spreadsheets/d/1Lhp9OU0JdFf_VYSMzH5lBcEaU4o8teT1piV-SNzShjg/edit?gid=554141278#gid=554141278"", ""'Char Def. - Attributes'!C20:C2242""), 1,false)"),"MID_CORE")</f>
        <v>MID_CORE</v>
      </c>
      <c r="I1407" s="136"/>
    </row>
    <row r="1408" ht="15.75" customHeight="1">
      <c r="A1408" s="59"/>
      <c r="B1408" s="63">
        <f t="shared" si="1"/>
        <v>12</v>
      </c>
      <c r="C1408" s="134" t="s">
        <v>119</v>
      </c>
      <c r="D1408" s="134" t="s">
        <v>74</v>
      </c>
      <c r="E1408" s="135">
        <f t="shared" si="29"/>
        <v>35</v>
      </c>
      <c r="F1408" s="134" t="s">
        <v>3629</v>
      </c>
      <c r="G1408" s="63" t="str">
        <f>VLOOKUP(C1408, 'Class Def. - General Data'!$C$20:$C$1000,1,false)</f>
        <v>ZFG1_HANDSAN</v>
      </c>
      <c r="H1408" s="63" t="str">
        <f>IFERROR(__xludf.DUMMYFUNCTION("VLOOKUP(F1408, IMPORTRANGE(""https://docs.google.com/spreadsheets/d/1Lhp9OU0JdFf_VYSMzH5lBcEaU4o8teT1piV-SNzShjg/edit?gid=554141278#gid=554141278"", ""'Char Def. - Attributes'!C20:C2242""), 1,false)"),"EAN_CTN")</f>
        <v>EAN_CTN</v>
      </c>
      <c r="I1408" s="136"/>
    </row>
    <row r="1409" ht="15.75" customHeight="1">
      <c r="A1409" s="59"/>
      <c r="B1409" s="63">
        <f t="shared" si="1"/>
        <v>12</v>
      </c>
      <c r="C1409" s="134" t="s">
        <v>119</v>
      </c>
      <c r="D1409" s="134" t="s">
        <v>74</v>
      </c>
      <c r="E1409" s="135">
        <f t="shared" si="29"/>
        <v>36</v>
      </c>
      <c r="F1409" s="134" t="s">
        <v>3630</v>
      </c>
      <c r="G1409" s="63" t="str">
        <f>VLOOKUP(C1409, 'Class Def. - General Data'!$C$20:$C$1000,1,false)</f>
        <v>ZFG1_HANDSAN</v>
      </c>
      <c r="H1409" s="63" t="str">
        <f>IFERROR(__xludf.DUMMYFUNCTION("VLOOKUP(F1409, IMPORTRANGE(""https://docs.google.com/spreadsheets/d/1Lhp9OU0JdFf_VYSMzH5lBcEaU4o8teT1piV-SNzShjg/edit?gid=554141278#gid=554141278"", ""'Char Def. - Attributes'!C20:C2242""), 1,false)"),"EAN_BOX")</f>
        <v>EAN_BOX</v>
      </c>
      <c r="I1409" s="136"/>
    </row>
    <row r="1410" ht="15.75" customHeight="1">
      <c r="A1410" s="59"/>
      <c r="B1410" s="63">
        <f t="shared" si="1"/>
        <v>12</v>
      </c>
      <c r="C1410" s="134" t="s">
        <v>119</v>
      </c>
      <c r="D1410" s="141" t="s">
        <v>74</v>
      </c>
      <c r="E1410" s="135">
        <v>22.0</v>
      </c>
      <c r="F1410" s="135" t="s">
        <v>3603</v>
      </c>
      <c r="G1410" s="63" t="str">
        <f>VLOOKUP(C1410, 'Class Def. - General Data'!$C$20:$C$1000,1,false)</f>
        <v>ZFG1_HANDSAN</v>
      </c>
      <c r="I1410" s="136"/>
    </row>
    <row r="1411" ht="15.75" customHeight="1">
      <c r="A1411" s="59"/>
      <c r="B1411" s="63">
        <f t="shared" si="1"/>
        <v>13</v>
      </c>
      <c r="C1411" s="134" t="s">
        <v>120</v>
      </c>
      <c r="D1411" s="134" t="s">
        <v>74</v>
      </c>
      <c r="E1411" s="135">
        <f t="shared" ref="E1411:E1446" si="30">COUNTIF($C$20:C1411,C1411)</f>
        <v>1</v>
      </c>
      <c r="F1411" s="134" t="s">
        <v>3701</v>
      </c>
      <c r="G1411" s="63" t="str">
        <f>VLOOKUP(C1411, 'Class Def. - General Data'!$C$20:$C$1000,1,false)</f>
        <v>ZFG1_ICECREAM</v>
      </c>
      <c r="H1411" s="63" t="str">
        <f>IFERROR(__xludf.DUMMYFUNCTION("VLOOKUP(F1411, IMPORTRANGE(""https://docs.google.com/spreadsheets/d/1Lhp9OU0JdFf_VYSMzH5lBcEaU4o8teT1piV-SNzShjg/edit?gid=554141278#gid=554141278"", ""'Char Def. - Attributes'!C20:C2242""), 1,false)"),"BRAND_ICECREAM")</f>
        <v>BRAND_ICECREAM</v>
      </c>
      <c r="I1411" s="136"/>
    </row>
    <row r="1412" ht="15.75" customHeight="1">
      <c r="A1412" s="59"/>
      <c r="B1412" s="63">
        <f t="shared" si="1"/>
        <v>13</v>
      </c>
      <c r="C1412" s="135" t="s">
        <v>120</v>
      </c>
      <c r="D1412" s="134" t="s">
        <v>74</v>
      </c>
      <c r="E1412" s="135">
        <f t="shared" si="30"/>
        <v>2</v>
      </c>
      <c r="F1412" s="134" t="s">
        <v>3702</v>
      </c>
      <c r="G1412" s="63" t="str">
        <f>VLOOKUP(C1412, 'Class Def. - General Data'!$C$20:$C$1000,1,false)</f>
        <v>ZFG1_ICECREAM</v>
      </c>
      <c r="H1412" s="63" t="str">
        <f>IFERROR(__xludf.DUMMYFUNCTION("VLOOKUP(F1412, IMPORTRANGE(""https://docs.google.com/spreadsheets/d/1Lhp9OU0JdFf_VYSMzH5lBcEaU4o8teT1piV-SNzShjg/edit?gid=554141278#gid=554141278"", ""'Char Def. - Attributes'!C20:C2242""), 1,false)"),"PSHAPE_ICECREAM")</f>
        <v>PSHAPE_ICECREAM</v>
      </c>
      <c r="I1412" s="136"/>
    </row>
    <row r="1413" ht="15.75" customHeight="1">
      <c r="A1413" s="59"/>
      <c r="B1413" s="63">
        <f t="shared" si="1"/>
        <v>13</v>
      </c>
      <c r="C1413" s="134" t="s">
        <v>120</v>
      </c>
      <c r="D1413" s="134" t="s">
        <v>74</v>
      </c>
      <c r="E1413" s="135">
        <f t="shared" si="30"/>
        <v>3</v>
      </c>
      <c r="F1413" s="134" t="s">
        <v>3605</v>
      </c>
      <c r="G1413" s="63" t="str">
        <f>VLOOKUP(C1413, 'Class Def. - General Data'!$C$20:$C$1000,1,false)</f>
        <v>ZFG1_ICECREAM</v>
      </c>
      <c r="H1413" s="63" t="str">
        <f>IFERROR(__xludf.DUMMYFUNCTION("VLOOKUP(F1413, IMPORTRANGE(""https://docs.google.com/spreadsheets/d/1Lhp9OU0JdFf_VYSMzH5lBcEaU4o8teT1piV-SNzShjg/edit?gid=554141278#gid=554141278"", ""'Char Def. - Attributes'!C20:C2242""), 1,false)"),"PACK_NETTO")</f>
        <v>PACK_NETTO</v>
      </c>
      <c r="I1413" s="136"/>
    </row>
    <row r="1414" ht="15.75" customHeight="1">
      <c r="A1414" s="59"/>
      <c r="B1414" s="63">
        <f t="shared" si="1"/>
        <v>13</v>
      </c>
      <c r="C1414" s="135" t="s">
        <v>120</v>
      </c>
      <c r="D1414" s="134" t="s">
        <v>74</v>
      </c>
      <c r="E1414" s="135">
        <f t="shared" si="30"/>
        <v>4</v>
      </c>
      <c r="F1414" s="134" t="s">
        <v>3703</v>
      </c>
      <c r="G1414" s="63" t="str">
        <f>VLOOKUP(C1414, 'Class Def. - General Data'!$C$20:$C$1000,1,false)</f>
        <v>ZFG1_ICECREAM</v>
      </c>
      <c r="H1414" s="63" t="str">
        <f>IFERROR(__xludf.DUMMYFUNCTION("VLOOKUP(F1414, IMPORTRANGE(""https://docs.google.com/spreadsheets/d/1Lhp9OU0JdFf_VYSMzH5lBcEaU4o8teT1piV-SNzShjg/edit?gid=554141278#gid=554141278"", ""'Char Def. - Attributes'!C20:C2242""), 1,false)"),"PUOM_ICECREAM")</f>
        <v>PUOM_ICECREAM</v>
      </c>
      <c r="I1414" s="136"/>
    </row>
    <row r="1415" ht="15.75" customHeight="1">
      <c r="A1415" s="59"/>
      <c r="B1415" s="63">
        <f t="shared" si="1"/>
        <v>13</v>
      </c>
      <c r="C1415" s="134" t="s">
        <v>120</v>
      </c>
      <c r="D1415" s="134" t="s">
        <v>74</v>
      </c>
      <c r="E1415" s="135">
        <f t="shared" si="30"/>
        <v>5</v>
      </c>
      <c r="F1415" s="134" t="s">
        <v>3607</v>
      </c>
      <c r="G1415" s="63" t="str">
        <f>VLOOKUP(C1415, 'Class Def. - General Data'!$C$20:$C$1000,1,false)</f>
        <v>ZFG1_ICECREAM</v>
      </c>
      <c r="H1415" s="63" t="str">
        <f>IFERROR(__xludf.DUMMYFUNCTION("VLOOKUP(F1415, IMPORTRANGE(""https://docs.google.com/spreadsheets/d/1Lhp9OU0JdFf_VYSMzH5lBcEaU4o8teT1piV-SNzShjg/edit?gid=554141278#gid=554141278"", ""'Char Def. - Attributes'!C20:C2242""), 1,false)"),"VARIAN")</f>
        <v>VARIAN</v>
      </c>
      <c r="I1415" s="136"/>
    </row>
    <row r="1416" ht="15.75" customHeight="1">
      <c r="A1416" s="59"/>
      <c r="B1416" s="63">
        <f t="shared" si="1"/>
        <v>13</v>
      </c>
      <c r="C1416" s="134" t="s">
        <v>120</v>
      </c>
      <c r="D1416" s="134" t="s">
        <v>74</v>
      </c>
      <c r="E1416" s="135">
        <f t="shared" si="30"/>
        <v>6</v>
      </c>
      <c r="F1416" s="134" t="s">
        <v>3608</v>
      </c>
      <c r="G1416" s="63" t="str">
        <f>VLOOKUP(C1416, 'Class Def. - General Data'!$C$20:$C$1000,1,false)</f>
        <v>ZFG1_ICECREAM</v>
      </c>
      <c r="H1416" s="63" t="str">
        <f>IFERROR(__xludf.DUMMYFUNCTION("VLOOKUP(F1416, IMPORTRANGE(""https://docs.google.com/spreadsheets/d/1Lhp9OU0JdFf_VYSMzH5lBcEaU4o8teT1piV-SNzShjg/edit?gid=554141278#gid=554141278"", ""'Char Def. - Attributes'!C20:C2242""), 1,false)"),"PROJECT_NAME")</f>
        <v>PROJECT_NAME</v>
      </c>
      <c r="I1416" s="136"/>
    </row>
    <row r="1417" ht="15.75" customHeight="1">
      <c r="A1417" s="66"/>
      <c r="B1417" s="63">
        <f t="shared" si="1"/>
        <v>13</v>
      </c>
      <c r="C1417" s="134" t="s">
        <v>120</v>
      </c>
      <c r="D1417" s="134" t="s">
        <v>74</v>
      </c>
      <c r="E1417" s="135">
        <f t="shared" si="30"/>
        <v>7</v>
      </c>
      <c r="F1417" s="134" t="s">
        <v>3609</v>
      </c>
      <c r="G1417" s="63" t="str">
        <f>VLOOKUP(C1417, 'Class Def. - General Data'!$C$20:$C$1000,1,false)</f>
        <v>ZFG1_ICECREAM</v>
      </c>
      <c r="H1417" s="63" t="str">
        <f>IFERROR(__xludf.DUMMYFUNCTION("VLOOKUP(F1417, IMPORTRANGE(""https://docs.google.com/spreadsheets/d/1Lhp9OU0JdFf_VYSMzH5lBcEaU4o8teT1piV-SNzShjg/edit?gid=554141278#gid=554141278"", ""'Char Def. - Attributes'!C20:C2242""), 1,false)"),"ADDITIONAL_PROMO")</f>
        <v>ADDITIONAL_PROMO</v>
      </c>
      <c r="I1417" s="136"/>
    </row>
    <row r="1418" ht="15.75" customHeight="1">
      <c r="A1418" s="66"/>
      <c r="B1418" s="63">
        <f t="shared" si="1"/>
        <v>13</v>
      </c>
      <c r="C1418" s="134" t="s">
        <v>120</v>
      </c>
      <c r="D1418" s="134" t="s">
        <v>74</v>
      </c>
      <c r="E1418" s="135">
        <f t="shared" si="30"/>
        <v>8</v>
      </c>
      <c r="F1418" s="134" t="s">
        <v>3610</v>
      </c>
      <c r="G1418" s="63" t="str">
        <f>VLOOKUP(C1418, 'Class Def. - General Data'!$C$20:$C$1000,1,false)</f>
        <v>ZFG1_ICECREAM</v>
      </c>
      <c r="H1418" s="63" t="str">
        <f>IFERROR(__xludf.DUMMYFUNCTION("VLOOKUP(F1418, IMPORTRANGE(""https://docs.google.com/spreadsheets/d/1Lhp9OU0JdFf_VYSMzH5lBcEaU4o8teT1piV-SNzShjg/edit?gid=554141278#gid=554141278"", ""'Char Def. - Attributes'!C20:C2242""), 1,false)"),"BANDED_PROMO")</f>
        <v>BANDED_PROMO</v>
      </c>
      <c r="I1418" s="136"/>
    </row>
    <row r="1419" ht="15.75" customHeight="1">
      <c r="A1419" s="59"/>
      <c r="B1419" s="63">
        <f t="shared" si="1"/>
        <v>13</v>
      </c>
      <c r="C1419" s="134" t="s">
        <v>120</v>
      </c>
      <c r="D1419" s="134" t="s">
        <v>74</v>
      </c>
      <c r="E1419" s="135">
        <f t="shared" si="30"/>
        <v>9</v>
      </c>
      <c r="F1419" s="134" t="s">
        <v>3611</v>
      </c>
      <c r="G1419" s="63" t="str">
        <f>VLOOKUP(C1419, 'Class Def. - General Data'!$C$20:$C$1000,1,false)</f>
        <v>ZFG1_ICECREAM</v>
      </c>
      <c r="H1419" s="63" t="str">
        <f>IFERROR(__xludf.DUMMYFUNCTION("VLOOKUP(F1419, IMPORTRANGE(""https://docs.google.com/spreadsheets/d/1Lhp9OU0JdFf_VYSMzH5lBcEaU4o8teT1piV-SNzShjg/edit?gid=554141278#gid=554141278"", ""'Char Def. - Attributes'!C20:C2242""), 1,false)"),"LOKAL_EKSPOR")</f>
        <v>LOKAL_EKSPOR</v>
      </c>
      <c r="I1419" s="136"/>
    </row>
    <row r="1420" ht="15.75" customHeight="1">
      <c r="A1420" s="59"/>
      <c r="B1420" s="63">
        <f t="shared" si="1"/>
        <v>13</v>
      </c>
      <c r="C1420" s="134" t="s">
        <v>120</v>
      </c>
      <c r="D1420" s="134" t="s">
        <v>74</v>
      </c>
      <c r="E1420" s="135">
        <f t="shared" si="30"/>
        <v>10</v>
      </c>
      <c r="F1420" s="134" t="s">
        <v>3612</v>
      </c>
      <c r="G1420" s="63" t="str">
        <f>VLOOKUP(C1420, 'Class Def. - General Data'!$C$20:$C$1000,1,false)</f>
        <v>ZFG1_ICECREAM</v>
      </c>
      <c r="H1420" s="63" t="str">
        <f>IFERROR(__xludf.DUMMYFUNCTION("VLOOKUP(F1420, IMPORTRANGE(""https://docs.google.com/spreadsheets/d/1Lhp9OU0JdFf_VYSMzH5lBcEaU4o8teT1piV-SNzShjg/edit?gid=554141278#gid=554141278"", ""'Char Def. - Attributes'!C20:C2242""), 1,false)"),"COUNTRY_EKSPOR")</f>
        <v>COUNTRY_EKSPOR</v>
      </c>
      <c r="I1420" s="136"/>
    </row>
    <row r="1421" ht="15.75" customHeight="1">
      <c r="A1421" s="59"/>
      <c r="B1421" s="63">
        <f t="shared" si="1"/>
        <v>13</v>
      </c>
      <c r="C1421" s="134" t="s">
        <v>120</v>
      </c>
      <c r="D1421" s="134" t="s">
        <v>74</v>
      </c>
      <c r="E1421" s="135">
        <f t="shared" si="30"/>
        <v>11</v>
      </c>
      <c r="F1421" s="134" t="s">
        <v>3613</v>
      </c>
      <c r="G1421" s="63" t="str">
        <f>VLOOKUP(C1421, 'Class Def. - General Data'!$C$20:$C$1000,1,false)</f>
        <v>ZFG1_ICECREAM</v>
      </c>
      <c r="H1421" s="63" t="str">
        <f>IFERROR(__xludf.DUMMYFUNCTION("VLOOKUP(F1421, IMPORTRANGE(""https://docs.google.com/spreadsheets/d/1Lhp9OU0JdFf_VYSMzH5lBcEaU4o8teT1piV-SNzShjg/edit?gid=554141278#gid=554141278"", ""'Char Def. - Attributes'!C20:C2242""), 1,false)"),"WARNA_SFG")</f>
        <v>WARNA_SFG</v>
      </c>
      <c r="I1421" s="136"/>
    </row>
    <row r="1422" ht="15.75" customHeight="1">
      <c r="A1422" s="59"/>
      <c r="B1422" s="63">
        <f t="shared" si="1"/>
        <v>13</v>
      </c>
      <c r="C1422" s="134" t="s">
        <v>120</v>
      </c>
      <c r="D1422" s="134" t="s">
        <v>74</v>
      </c>
      <c r="E1422" s="135">
        <f t="shared" si="30"/>
        <v>12</v>
      </c>
      <c r="F1422" s="134" t="s">
        <v>3582</v>
      </c>
      <c r="G1422" s="63" t="str">
        <f>VLOOKUP(C1422, 'Class Def. - General Data'!$C$20:$C$1000,1,false)</f>
        <v>ZFG1_ICECREAM</v>
      </c>
      <c r="H1422" s="63" t="str">
        <f>IFERROR(__xludf.DUMMYFUNCTION("VLOOKUP(F1422, IMPORTRANGE(""https://docs.google.com/spreadsheets/d/1Lhp9OU0JdFf_VYSMzH5lBcEaU4o8teT1piV-SNzShjg/edit?gid=554141278#gid=554141278"", ""'Char Def. - Attributes'!C20:C2242""), 1,false)"),"BASE_UNIT")</f>
        <v>BASE_UNIT</v>
      </c>
      <c r="I1422" s="136"/>
    </row>
    <row r="1423" ht="15.75" customHeight="1">
      <c r="A1423" s="59"/>
      <c r="B1423" s="63">
        <f t="shared" si="1"/>
        <v>13</v>
      </c>
      <c r="C1423" s="134" t="s">
        <v>120</v>
      </c>
      <c r="D1423" s="134" t="s">
        <v>74</v>
      </c>
      <c r="E1423" s="135">
        <f t="shared" si="30"/>
        <v>13</v>
      </c>
      <c r="F1423" s="134" t="s">
        <v>3583</v>
      </c>
      <c r="G1423" s="63" t="str">
        <f>VLOOKUP(C1423, 'Class Def. - General Data'!$C$20:$C$1000,1,false)</f>
        <v>ZFG1_ICECREAM</v>
      </c>
      <c r="H1423" s="63" t="str">
        <f>IFERROR(__xludf.DUMMYFUNCTION("VLOOKUP(F1423, IMPORTRANGE(""https://docs.google.com/spreadsheets/d/1Lhp9OU0JdFf_VYSMzH5lBcEaU4o8teT1piV-SNzShjg/edit?gid=554141278#gid=554141278"", ""'Char Def. - Attributes'!C20:C2242""), 1,false)"),"SALES_UNIT")</f>
        <v>SALES_UNIT</v>
      </c>
      <c r="I1423" s="136"/>
    </row>
    <row r="1424" ht="15.75" customHeight="1">
      <c r="A1424" s="59"/>
      <c r="B1424" s="63">
        <f t="shared" si="1"/>
        <v>13</v>
      </c>
      <c r="C1424" s="134" t="s">
        <v>120</v>
      </c>
      <c r="D1424" s="134" t="s">
        <v>74</v>
      </c>
      <c r="E1424" s="135">
        <f t="shared" si="30"/>
        <v>14</v>
      </c>
      <c r="F1424" s="134" t="s">
        <v>3601</v>
      </c>
      <c r="G1424" s="63" t="str">
        <f>VLOOKUP(C1424, 'Class Def. - General Data'!$C$20:$C$1000,1,false)</f>
        <v>ZFG1_ICECREAM</v>
      </c>
      <c r="H1424" s="63" t="str">
        <f>IFERROR(__xludf.DUMMYFUNCTION("VLOOKUP(F1424, IMPORTRANGE(""https://docs.google.com/spreadsheets/d/1Lhp9OU0JdFf_VYSMzH5lBcEaU4o8teT1piV-SNzShjg/edit?gid=554141278#gid=554141278"", ""'Char Def. - Attributes'!C20:C2242""), 1,false)"),"GROSS_WEIGHT")</f>
        <v>GROSS_WEIGHT</v>
      </c>
      <c r="I1424" s="136"/>
    </row>
    <row r="1425" ht="15.75" customHeight="1">
      <c r="A1425" s="59"/>
      <c r="B1425" s="63">
        <f t="shared" si="1"/>
        <v>13</v>
      </c>
      <c r="C1425" s="134" t="s">
        <v>120</v>
      </c>
      <c r="D1425" s="134" t="s">
        <v>74</v>
      </c>
      <c r="E1425" s="135">
        <f t="shared" si="30"/>
        <v>15</v>
      </c>
      <c r="F1425" s="134" t="s">
        <v>3602</v>
      </c>
      <c r="G1425" s="63" t="str">
        <f>VLOOKUP(C1425, 'Class Def. - General Data'!$C$20:$C$1000,1,false)</f>
        <v>ZFG1_ICECREAM</v>
      </c>
      <c r="H1425" s="63" t="str">
        <f>IFERROR(__xludf.DUMMYFUNCTION("VLOOKUP(F1425, IMPORTRANGE(""https://docs.google.com/spreadsheets/d/1Lhp9OU0JdFf_VYSMzH5lBcEaU4o8teT1piV-SNzShjg/edit?gid=554141278#gid=554141278"", ""'Char Def. - Attributes'!C20:C2242""), 1,false)"),"NET_WEIGHT")</f>
        <v>NET_WEIGHT</v>
      </c>
      <c r="I1425" s="136"/>
    </row>
    <row r="1426" ht="15.75" customHeight="1">
      <c r="A1426" s="59"/>
      <c r="B1426" s="63">
        <f t="shared" si="1"/>
        <v>13</v>
      </c>
      <c r="C1426" s="134" t="s">
        <v>120</v>
      </c>
      <c r="D1426" s="134" t="s">
        <v>74</v>
      </c>
      <c r="E1426" s="135">
        <f t="shared" si="30"/>
        <v>16</v>
      </c>
      <c r="F1426" s="134" t="s">
        <v>3584</v>
      </c>
      <c r="G1426" s="63" t="str">
        <f>VLOOKUP(C1426, 'Class Def. - General Data'!$C$20:$C$1000,1,false)</f>
        <v>ZFG1_ICECREAM</v>
      </c>
      <c r="H1426" s="63" t="str">
        <f>IFERROR(__xludf.DUMMYFUNCTION("VLOOKUP(F1426, IMPORTRANGE(""https://docs.google.com/spreadsheets/d/1Lhp9OU0JdFf_VYSMzH5lBcEaU4o8teT1piV-SNzShjg/edit?gid=554141278#gid=554141278"", ""'Char Def. - Attributes'!C20:C2242""), 1,false)"),"UNIT_PER_BOX")</f>
        <v>UNIT_PER_BOX</v>
      </c>
      <c r="I1426" s="136"/>
    </row>
    <row r="1427" ht="15.75" customHeight="1">
      <c r="A1427" s="59"/>
      <c r="B1427" s="63">
        <f t="shared" si="1"/>
        <v>13</v>
      </c>
      <c r="C1427" s="134" t="s">
        <v>120</v>
      </c>
      <c r="D1427" s="134" t="s">
        <v>74</v>
      </c>
      <c r="E1427" s="135">
        <f t="shared" si="30"/>
        <v>17</v>
      </c>
      <c r="F1427" s="134" t="s">
        <v>3614</v>
      </c>
      <c r="G1427" s="63" t="str">
        <f>VLOOKUP(C1427, 'Class Def. - General Data'!$C$20:$C$1000,1,false)</f>
        <v>ZFG1_ICECREAM</v>
      </c>
      <c r="H1427" s="63" t="str">
        <f>IFERROR(__xludf.DUMMYFUNCTION("VLOOKUP(F1427, IMPORTRANGE(""https://docs.google.com/spreadsheets/d/1Lhp9OU0JdFf_VYSMzH5lBcEaU4o8teT1piV-SNzShjg/edit?gid=554141278#gid=554141278"", ""'Char Def. - Attributes'!C20:C2242""), 1,false)"),"UNIT_PER_CTN")</f>
        <v>UNIT_PER_CTN</v>
      </c>
      <c r="I1427" s="136"/>
    </row>
    <row r="1428" ht="15.75" customHeight="1">
      <c r="A1428" s="59"/>
      <c r="B1428" s="63">
        <f t="shared" si="1"/>
        <v>13</v>
      </c>
      <c r="C1428" s="134" t="s">
        <v>120</v>
      </c>
      <c r="D1428" s="134" t="s">
        <v>74</v>
      </c>
      <c r="E1428" s="135">
        <f t="shared" si="30"/>
        <v>18</v>
      </c>
      <c r="F1428" s="134" t="s">
        <v>3615</v>
      </c>
      <c r="G1428" s="63" t="str">
        <f>VLOOKUP(C1428, 'Class Def. - General Data'!$C$20:$C$1000,1,false)</f>
        <v>ZFG1_ICECREAM</v>
      </c>
      <c r="H1428" s="63" t="str">
        <f>IFERROR(__xludf.DUMMYFUNCTION("VLOOKUP(F1428, IMPORTRANGE(""https://docs.google.com/spreadsheets/d/1Lhp9OU0JdFf_VYSMzH5lBcEaU4o8teT1piV-SNzShjg/edit?gid=554141278#gid=554141278"", ""'Char Def. - Attributes'!C20:C2242""), 1,false)"),"UNIT_PER_BAG")</f>
        <v>UNIT_PER_BAG</v>
      </c>
      <c r="I1428" s="136"/>
    </row>
    <row r="1429" ht="15.75" customHeight="1">
      <c r="A1429" s="59"/>
      <c r="B1429" s="63">
        <f t="shared" si="1"/>
        <v>13</v>
      </c>
      <c r="C1429" s="134" t="s">
        <v>120</v>
      </c>
      <c r="D1429" s="134" t="s">
        <v>74</v>
      </c>
      <c r="E1429" s="135">
        <f t="shared" si="30"/>
        <v>19</v>
      </c>
      <c r="F1429" s="134" t="s">
        <v>3616</v>
      </c>
      <c r="G1429" s="63" t="str">
        <f>VLOOKUP(C1429, 'Class Def. - General Data'!$C$20:$C$1000,1,false)</f>
        <v>ZFG1_ICECREAM</v>
      </c>
      <c r="H1429" s="63" t="str">
        <f>IFERROR(__xludf.DUMMYFUNCTION("VLOOKUP(F1429, IMPORTRANGE(""https://docs.google.com/spreadsheets/d/1Lhp9OU0JdFf_VYSMzH5lBcEaU4o8teT1piV-SNzShjg/edit?gid=554141278#gid=554141278"", ""'Char Def. - Attributes'!C20:C2242""), 1,false)"),"UNIT_PER_PAL")</f>
        <v>UNIT_PER_PAL</v>
      </c>
      <c r="I1429" s="136"/>
    </row>
    <row r="1430" ht="15.75" customHeight="1">
      <c r="A1430" s="59"/>
      <c r="B1430" s="63">
        <f t="shared" si="1"/>
        <v>13</v>
      </c>
      <c r="C1430" s="134" t="s">
        <v>120</v>
      </c>
      <c r="D1430" s="134" t="s">
        <v>74</v>
      </c>
      <c r="E1430" s="135">
        <f t="shared" si="30"/>
        <v>20</v>
      </c>
      <c r="F1430" s="134" t="s">
        <v>3617</v>
      </c>
      <c r="G1430" s="63" t="str">
        <f>VLOOKUP(C1430, 'Class Def. - General Data'!$C$20:$C$1000,1,false)</f>
        <v>ZFG1_ICECREAM</v>
      </c>
      <c r="H1430" s="63" t="str">
        <f>IFERROR(__xludf.DUMMYFUNCTION("VLOOKUP(F1430, IMPORTRANGE(""https://docs.google.com/spreadsheets/d/1Lhp9OU0JdFf_VYSMzH5lBcEaU4o8teT1piV-SNzShjg/edit?gid=554141278#gid=554141278"", ""'Char Def. - Attributes'!C20:C2242""), 1,false)"),"UNIT_PER_TIER")</f>
        <v>UNIT_PER_TIER</v>
      </c>
      <c r="I1430" s="136"/>
    </row>
    <row r="1431" ht="15.75" customHeight="1">
      <c r="A1431" s="59"/>
      <c r="B1431" s="63">
        <f t="shared" si="1"/>
        <v>13</v>
      </c>
      <c r="C1431" s="134" t="s">
        <v>120</v>
      </c>
      <c r="D1431" s="134" t="s">
        <v>74</v>
      </c>
      <c r="E1431" s="135">
        <f t="shared" si="30"/>
        <v>21</v>
      </c>
      <c r="F1431" s="134" t="s">
        <v>3618</v>
      </c>
      <c r="G1431" s="63" t="str">
        <f>VLOOKUP(C1431, 'Class Def. - General Data'!$C$20:$C$1000,1,false)</f>
        <v>ZFG1_ICECREAM</v>
      </c>
      <c r="H1431" s="63" t="str">
        <f>IFERROR(__xludf.DUMMYFUNCTION("VLOOKUP(F1431, IMPORTRANGE(""https://docs.google.com/spreadsheets/d/1Lhp9OU0JdFf_VYSMzH5lBcEaU4o8teT1piV-SNzShjg/edit?gid=554141278#gid=554141278"", ""'Char Def. - Attributes'!C20:C2242""), 1,false)"),"HEIGHT")</f>
        <v>HEIGHT</v>
      </c>
      <c r="I1431" s="136"/>
    </row>
    <row r="1432" ht="15.75" customHeight="1">
      <c r="A1432" s="59"/>
      <c r="B1432" s="63">
        <f t="shared" si="1"/>
        <v>13</v>
      </c>
      <c r="C1432" s="134" t="s">
        <v>120</v>
      </c>
      <c r="D1432" s="134" t="s">
        <v>74</v>
      </c>
      <c r="E1432" s="135">
        <f t="shared" si="30"/>
        <v>22</v>
      </c>
      <c r="F1432" s="134" t="s">
        <v>3587</v>
      </c>
      <c r="G1432" s="63" t="str">
        <f>VLOOKUP(C1432, 'Class Def. - General Data'!$C$20:$C$1000,1,false)</f>
        <v>ZFG1_ICECREAM</v>
      </c>
      <c r="H1432" s="63" t="str">
        <f>IFERROR(__xludf.DUMMYFUNCTION("VLOOKUP(F1432, IMPORTRANGE(""https://docs.google.com/spreadsheets/d/1Lhp9OU0JdFf_VYSMzH5lBcEaU4o8teT1piV-SNzShjg/edit?gid=554141278#gid=554141278"", ""'Char Def. - Attributes'!C20:C2242""), 1,false)"),"PLANT_BUY")</f>
        <v>PLANT_BUY</v>
      </c>
      <c r="I1432" s="136"/>
    </row>
    <row r="1433" ht="15.75" customHeight="1">
      <c r="A1433" s="59"/>
      <c r="B1433" s="63">
        <f t="shared" si="1"/>
        <v>13</v>
      </c>
      <c r="C1433" s="134" t="s">
        <v>120</v>
      </c>
      <c r="D1433" s="134" t="s">
        <v>74</v>
      </c>
      <c r="E1433" s="135">
        <f t="shared" si="30"/>
        <v>23</v>
      </c>
      <c r="F1433" s="134" t="s">
        <v>3619</v>
      </c>
      <c r="G1433" s="63" t="str">
        <f>VLOOKUP(C1433, 'Class Def. - General Data'!$C$20:$C$1000,1,false)</f>
        <v>ZFG1_ICECREAM</v>
      </c>
      <c r="H1433" s="63" t="str">
        <f>IFERROR(__xludf.DUMMYFUNCTION("VLOOKUP(F1433, IMPORTRANGE(""https://docs.google.com/spreadsheets/d/1Lhp9OU0JdFf_VYSMzH5lBcEaU4o8teT1piV-SNzShjg/edit?gid=554141278#gid=554141278"", ""'Char Def. - Attributes'!C20:C2242""), 1,false)"),"LENGTH")</f>
        <v>LENGTH</v>
      </c>
      <c r="I1433" s="136"/>
    </row>
    <row r="1434" ht="15.75" customHeight="1">
      <c r="A1434" s="59"/>
      <c r="B1434" s="63">
        <f t="shared" si="1"/>
        <v>13</v>
      </c>
      <c r="C1434" s="134" t="s">
        <v>120</v>
      </c>
      <c r="D1434" s="134" t="s">
        <v>74</v>
      </c>
      <c r="E1434" s="135">
        <f t="shared" si="30"/>
        <v>24</v>
      </c>
      <c r="F1434" s="134" t="s">
        <v>3586</v>
      </c>
      <c r="G1434" s="63" t="str">
        <f>VLOOKUP(C1434, 'Class Def. - General Data'!$C$20:$C$1000,1,false)</f>
        <v>ZFG1_ICECREAM</v>
      </c>
      <c r="H1434" s="63" t="str">
        <f>IFERROR(__xludf.DUMMYFUNCTION("VLOOKUP(F1434, IMPORTRANGE(""https://docs.google.com/spreadsheets/d/1Lhp9OU0JdFf_VYSMzH5lBcEaU4o8teT1piV-SNzShjg/edit?gid=554141278#gid=554141278"", ""'Char Def. - Attributes'!C20:C2242""), 1,false)"),"PLANT_PROD")</f>
        <v>PLANT_PROD</v>
      </c>
      <c r="I1434" s="136"/>
    </row>
    <row r="1435" ht="15.75" customHeight="1">
      <c r="A1435" s="59"/>
      <c r="B1435" s="63">
        <f t="shared" si="1"/>
        <v>13</v>
      </c>
      <c r="C1435" s="134" t="s">
        <v>120</v>
      </c>
      <c r="D1435" s="134" t="s">
        <v>74</v>
      </c>
      <c r="E1435" s="135">
        <f t="shared" si="30"/>
        <v>25</v>
      </c>
      <c r="F1435" s="134" t="s">
        <v>3620</v>
      </c>
      <c r="G1435" s="63" t="str">
        <f>VLOOKUP(C1435, 'Class Def. - General Data'!$C$20:$C$1000,1,false)</f>
        <v>ZFG1_ICECREAM</v>
      </c>
      <c r="H1435" s="63" t="str">
        <f>IFERROR(__xludf.DUMMYFUNCTION("VLOOKUP(F1435, IMPORTRANGE(""https://docs.google.com/spreadsheets/d/1Lhp9OU0JdFf_VYSMzH5lBcEaU4o8teT1piV-SNzShjg/edit?gid=554141278#gid=554141278"", ""'Char Def. - Attributes'!C20:C2242""), 1,false)"),"WIDTH")</f>
        <v>WIDTH</v>
      </c>
      <c r="I1435" s="136"/>
    </row>
    <row r="1436" ht="15.75" customHeight="1">
      <c r="A1436" s="59"/>
      <c r="B1436" s="63">
        <f t="shared" si="1"/>
        <v>13</v>
      </c>
      <c r="C1436" s="134" t="s">
        <v>120</v>
      </c>
      <c r="D1436" s="134" t="s">
        <v>74</v>
      </c>
      <c r="E1436" s="135">
        <f t="shared" si="30"/>
        <v>26</v>
      </c>
      <c r="F1436" s="134" t="s">
        <v>3585</v>
      </c>
      <c r="G1436" s="63" t="str">
        <f>VLOOKUP(C1436, 'Class Def. - General Data'!$C$20:$C$1000,1,false)</f>
        <v>ZFG1_ICECREAM</v>
      </c>
      <c r="H1436" s="63" t="str">
        <f>IFERROR(__xludf.DUMMYFUNCTION("VLOOKUP(F1436, IMPORTRANGE(""https://docs.google.com/spreadsheets/d/1Lhp9OU0JdFf_VYSMzH5lBcEaU4o8teT1piV-SNzShjg/edit?gid=554141278#gid=554141278"", ""'Char Def. - Attributes'!C20:C2242""), 1,false)"),"HS_CODE")</f>
        <v>HS_CODE</v>
      </c>
      <c r="I1436" s="136"/>
    </row>
    <row r="1437" ht="15.75" customHeight="1">
      <c r="A1437" s="59"/>
      <c r="B1437" s="63">
        <f t="shared" si="1"/>
        <v>13</v>
      </c>
      <c r="C1437" s="134" t="s">
        <v>120</v>
      </c>
      <c r="D1437" s="134" t="s">
        <v>74</v>
      </c>
      <c r="E1437" s="135">
        <f t="shared" si="30"/>
        <v>27</v>
      </c>
      <c r="F1437" s="134" t="s">
        <v>3621</v>
      </c>
      <c r="G1437" s="63" t="str">
        <f>VLOOKUP(C1437, 'Class Def. - General Data'!$C$20:$C$1000,1,false)</f>
        <v>ZFG1_ICECREAM</v>
      </c>
      <c r="H1437" s="63" t="str">
        <f>IFERROR(__xludf.DUMMYFUNCTION("VLOOKUP(F1437, IMPORTRANGE(""https://docs.google.com/spreadsheets/d/1Lhp9OU0JdFf_VYSMzH5lBcEaU4o8teT1piV-SNzShjg/edit?gid=554141278#gid=554141278"", ""'Char Def. - Attributes'!C20:C2242""), 1,false)"),"EAN_PCS")</f>
        <v>EAN_PCS</v>
      </c>
      <c r="I1437" s="136"/>
    </row>
    <row r="1438" ht="15.75" customHeight="1">
      <c r="A1438" s="59"/>
      <c r="B1438" s="63">
        <f t="shared" si="1"/>
        <v>13</v>
      </c>
      <c r="C1438" s="134" t="s">
        <v>120</v>
      </c>
      <c r="D1438" s="134" t="s">
        <v>74</v>
      </c>
      <c r="E1438" s="135">
        <f t="shared" si="30"/>
        <v>28</v>
      </c>
      <c r="F1438" s="134" t="s">
        <v>3622</v>
      </c>
      <c r="G1438" s="63" t="str">
        <f>VLOOKUP(C1438, 'Class Def. - General Data'!$C$20:$C$1000,1,false)</f>
        <v>ZFG1_ICECREAM</v>
      </c>
      <c r="H1438" s="63" t="str">
        <f>IFERROR(__xludf.DUMMYFUNCTION("VLOOKUP(F1438, IMPORTRANGE(""https://docs.google.com/spreadsheets/d/1Lhp9OU0JdFf_VYSMzH5lBcEaU4o8teT1piV-SNzShjg/edit?gid=554141278#gid=554141278"", ""'Char Def. - Attributes'!C20:C2242""), 1,false)"),"SFG_BRAND")</f>
        <v>SFG_BRAND</v>
      </c>
      <c r="I1438" s="136"/>
    </row>
    <row r="1439" ht="15.75" customHeight="1">
      <c r="A1439" s="59"/>
      <c r="B1439" s="63">
        <f t="shared" si="1"/>
        <v>13</v>
      </c>
      <c r="C1439" s="134" t="s">
        <v>120</v>
      </c>
      <c r="D1439" s="134" t="s">
        <v>74</v>
      </c>
      <c r="E1439" s="135">
        <f t="shared" si="30"/>
        <v>29</v>
      </c>
      <c r="F1439" s="134" t="s">
        <v>3623</v>
      </c>
      <c r="G1439" s="63" t="str">
        <f>VLOOKUP(C1439, 'Class Def. - General Data'!$C$20:$C$1000,1,false)</f>
        <v>ZFG1_ICECREAM</v>
      </c>
      <c r="H1439" s="63" t="str">
        <f>IFERROR(__xludf.DUMMYFUNCTION("VLOOKUP(F1439, IMPORTRANGE(""https://docs.google.com/spreadsheets/d/1Lhp9OU0JdFf_VYSMzH5lBcEaU4o8teT1piV-SNzShjg/edit?gid=554141278#gid=554141278"", ""'Char Def. - Attributes'!C20:C2242""), 1,false)"),"LANGUAGE")</f>
        <v>LANGUAGE</v>
      </c>
      <c r="I1439" s="136"/>
    </row>
    <row r="1440" ht="15.75" customHeight="1">
      <c r="A1440" s="59"/>
      <c r="B1440" s="63">
        <f t="shared" si="1"/>
        <v>13</v>
      </c>
      <c r="C1440" s="139" t="s">
        <v>120</v>
      </c>
      <c r="D1440" s="139" t="s">
        <v>74</v>
      </c>
      <c r="E1440" s="140">
        <f t="shared" si="30"/>
        <v>30</v>
      </c>
      <c r="F1440" s="134" t="s">
        <v>3624</v>
      </c>
      <c r="G1440" s="63" t="str">
        <f>VLOOKUP(C1440, 'Class Def. - General Data'!$C$20:$C$1000,1,false)</f>
        <v>ZFG1_ICECREAM</v>
      </c>
      <c r="H1440" s="63" t="str">
        <f>IFERROR(__xludf.DUMMYFUNCTION("VLOOKUP(F1440, IMPORTRANGE(""https://docs.google.com/spreadsheets/d/1Lhp9OU0JdFf_VYSMzH5lBcEaU4o8teT1piV-SNzShjg/edit?gid=554141278#gid=554141278"", ""'Char Def. - Attributes'!C20:C2242""), 1,false)"),"#N/A")</f>
        <v>#N/A</v>
      </c>
      <c r="I1440" s="136"/>
    </row>
    <row r="1441" ht="15.75" customHeight="1">
      <c r="A1441" s="59"/>
      <c r="B1441" s="63">
        <f t="shared" si="1"/>
        <v>13</v>
      </c>
      <c r="C1441" s="134" t="s">
        <v>120</v>
      </c>
      <c r="D1441" s="134" t="s">
        <v>74</v>
      </c>
      <c r="E1441" s="135">
        <f t="shared" si="30"/>
        <v>31</v>
      </c>
      <c r="F1441" s="134" t="s">
        <v>3625</v>
      </c>
      <c r="G1441" s="63" t="str">
        <f>VLOOKUP(C1441, 'Class Def. - General Data'!$C$20:$C$1000,1,false)</f>
        <v>ZFG1_ICECREAM</v>
      </c>
      <c r="H1441" s="63" t="str">
        <f>IFERROR(__xludf.DUMMYFUNCTION("VLOOKUP(F1441, IMPORTRANGE(""https://docs.google.com/spreadsheets/d/1Lhp9OU0JdFf_VYSMzH5lBcEaU4o8teT1piV-SNzShjg/edit?gid=554141278#gid=554141278"", ""'Char Def. - Attributes'!C20:C2242""), 1,false)"),"REGION_EKSPOR")</f>
        <v>REGION_EKSPOR</v>
      </c>
      <c r="I1441" s="136"/>
    </row>
    <row r="1442" ht="15.75" customHeight="1">
      <c r="A1442" s="59"/>
      <c r="B1442" s="63">
        <f t="shared" si="1"/>
        <v>13</v>
      </c>
      <c r="C1442" s="134" t="s">
        <v>120</v>
      </c>
      <c r="D1442" s="134" t="s">
        <v>74</v>
      </c>
      <c r="E1442" s="135">
        <f t="shared" si="30"/>
        <v>32</v>
      </c>
      <c r="F1442" s="134" t="s">
        <v>3626</v>
      </c>
      <c r="G1442" s="63" t="str">
        <f>VLOOKUP(C1442, 'Class Def. - General Data'!$C$20:$C$1000,1,false)</f>
        <v>ZFG1_ICECREAM</v>
      </c>
      <c r="H1442" s="63" t="str">
        <f>IFERROR(__xludf.DUMMYFUNCTION("VLOOKUP(F1442, IMPORTRANGE(""https://docs.google.com/spreadsheets/d/1Lhp9OU0JdFf_VYSMzH5lBcEaU4o8teT1piV-SNzShjg/edit?gid=554141278#gid=554141278"", ""'Char Def. - Attributes'!C20:C2242""), 1,false)"),"STICKER_NOT")</f>
        <v>STICKER_NOT</v>
      </c>
      <c r="I1442" s="136"/>
    </row>
    <row r="1443" ht="15.75" customHeight="1">
      <c r="A1443" s="59"/>
      <c r="B1443" s="63">
        <f t="shared" si="1"/>
        <v>13</v>
      </c>
      <c r="C1443" s="134" t="s">
        <v>120</v>
      </c>
      <c r="D1443" s="134" t="s">
        <v>74</v>
      </c>
      <c r="E1443" s="135">
        <f t="shared" si="30"/>
        <v>33</v>
      </c>
      <c r="F1443" s="134" t="s">
        <v>3627</v>
      </c>
      <c r="G1443" s="63" t="str">
        <f>VLOOKUP(C1443, 'Class Def. - General Data'!$C$20:$C$1000,1,false)</f>
        <v>ZFG1_ICECREAM</v>
      </c>
      <c r="H1443" s="63" t="str">
        <f>IFERROR(__xludf.DUMMYFUNCTION("VLOOKUP(F1443, IMPORTRANGE(""https://docs.google.com/spreadsheets/d/1Lhp9OU0JdFf_VYSMzH5lBcEaU4o8teT1piV-SNzShjg/edit?gid=554141278#gid=554141278"", ""'Char Def. - Attributes'!C20:C2242""), 1,false)"),"SHIP_MARK")</f>
        <v>SHIP_MARK</v>
      </c>
      <c r="I1443" s="136"/>
    </row>
    <row r="1444" ht="15.75" customHeight="1">
      <c r="A1444" s="59"/>
      <c r="B1444" s="63">
        <f t="shared" si="1"/>
        <v>13</v>
      </c>
      <c r="C1444" s="134" t="s">
        <v>120</v>
      </c>
      <c r="D1444" s="134" t="s">
        <v>74</v>
      </c>
      <c r="E1444" s="135">
        <f t="shared" si="30"/>
        <v>34</v>
      </c>
      <c r="F1444" s="134" t="s">
        <v>3628</v>
      </c>
      <c r="G1444" s="63" t="str">
        <f>VLOOKUP(C1444, 'Class Def. - General Data'!$C$20:$C$1000,1,false)</f>
        <v>ZFG1_ICECREAM</v>
      </c>
      <c r="H1444" s="63" t="str">
        <f>IFERROR(__xludf.DUMMYFUNCTION("VLOOKUP(F1444, IMPORTRANGE(""https://docs.google.com/spreadsheets/d/1Lhp9OU0JdFf_VYSMzH5lBcEaU4o8teT1piV-SNzShjg/edit?gid=554141278#gid=554141278"", ""'Char Def. - Attributes'!C20:C2242""), 1,false)"),"MID_CORE")</f>
        <v>MID_CORE</v>
      </c>
      <c r="I1444" s="136"/>
    </row>
    <row r="1445" ht="15.75" customHeight="1">
      <c r="A1445" s="59"/>
      <c r="B1445" s="63">
        <f t="shared" si="1"/>
        <v>13</v>
      </c>
      <c r="C1445" s="134" t="s">
        <v>120</v>
      </c>
      <c r="D1445" s="134" t="s">
        <v>74</v>
      </c>
      <c r="E1445" s="135">
        <f t="shared" si="30"/>
        <v>35</v>
      </c>
      <c r="F1445" s="134" t="s">
        <v>3629</v>
      </c>
      <c r="G1445" s="63" t="str">
        <f>VLOOKUP(C1445, 'Class Def. - General Data'!$C$20:$C$1000,1,false)</f>
        <v>ZFG1_ICECREAM</v>
      </c>
      <c r="H1445" s="63" t="str">
        <f>IFERROR(__xludf.DUMMYFUNCTION("VLOOKUP(F1445, IMPORTRANGE(""https://docs.google.com/spreadsheets/d/1Lhp9OU0JdFf_VYSMzH5lBcEaU4o8teT1piV-SNzShjg/edit?gid=554141278#gid=554141278"", ""'Char Def. - Attributes'!C20:C2242""), 1,false)"),"EAN_CTN")</f>
        <v>EAN_CTN</v>
      </c>
      <c r="I1445" s="136"/>
    </row>
    <row r="1446" ht="15.75" customHeight="1">
      <c r="A1446" s="59"/>
      <c r="B1446" s="63">
        <f t="shared" si="1"/>
        <v>13</v>
      </c>
      <c r="C1446" s="134" t="s">
        <v>120</v>
      </c>
      <c r="D1446" s="134" t="s">
        <v>74</v>
      </c>
      <c r="E1446" s="135">
        <f t="shared" si="30"/>
        <v>36</v>
      </c>
      <c r="F1446" s="134" t="s">
        <v>3630</v>
      </c>
      <c r="G1446" s="63" t="str">
        <f>VLOOKUP(C1446, 'Class Def. - General Data'!$C$20:$C$1000,1,false)</f>
        <v>ZFG1_ICECREAM</v>
      </c>
      <c r="H1446" s="63" t="str">
        <f>IFERROR(__xludf.DUMMYFUNCTION("VLOOKUP(F1446, IMPORTRANGE(""https://docs.google.com/spreadsheets/d/1Lhp9OU0JdFf_VYSMzH5lBcEaU4o8teT1piV-SNzShjg/edit?gid=554141278#gid=554141278"", ""'Char Def. - Attributes'!C20:C2242""), 1,false)"),"EAN_BOX")</f>
        <v>EAN_BOX</v>
      </c>
      <c r="I1446" s="136"/>
    </row>
    <row r="1447" ht="15.75" customHeight="1">
      <c r="A1447" s="59"/>
      <c r="B1447" s="63">
        <f t="shared" si="1"/>
        <v>13</v>
      </c>
      <c r="C1447" s="134" t="s">
        <v>120</v>
      </c>
      <c r="D1447" s="141" t="s">
        <v>74</v>
      </c>
      <c r="E1447" s="135">
        <v>22.0</v>
      </c>
      <c r="F1447" s="135" t="s">
        <v>3603</v>
      </c>
      <c r="G1447" s="63" t="str">
        <f>VLOOKUP(C1447, 'Class Def. - General Data'!$C$20:$C$1000,1,false)</f>
        <v>ZFG1_ICECREAM</v>
      </c>
      <c r="I1447" s="136"/>
    </row>
    <row r="1448" ht="15.75" customHeight="1">
      <c r="A1448" s="59"/>
      <c r="B1448" s="63">
        <f t="shared" si="1"/>
        <v>15</v>
      </c>
      <c r="C1448" s="134" t="s">
        <v>121</v>
      </c>
      <c r="D1448" s="134" t="s">
        <v>74</v>
      </c>
      <c r="E1448" s="135">
        <f t="shared" ref="E1448:E1483" si="31">COUNTIF($C$20:C1448,C1448)</f>
        <v>1</v>
      </c>
      <c r="F1448" s="134" t="s">
        <v>3704</v>
      </c>
      <c r="G1448" s="63" t="str">
        <f>VLOOKUP(C1448, 'Class Def. - General Data'!$C$20:$C$1000,1,false)</f>
        <v>ZFG1_IRONINGAID</v>
      </c>
      <c r="H1448" s="63" t="str">
        <f>IFERROR(__xludf.DUMMYFUNCTION("VLOOKUP(F1448, IMPORTRANGE(""https://docs.google.com/spreadsheets/d/1Lhp9OU0JdFf_VYSMzH5lBcEaU4o8teT1piV-SNzShjg/edit?gid=554141278#gid=554141278"", ""'Char Def. - Attributes'!C20:C2242""), 1,false)"),"BRAND_IRONINGAID")</f>
        <v>BRAND_IRONINGAID</v>
      </c>
      <c r="I1448" s="136"/>
    </row>
    <row r="1449" ht="15.75" customHeight="1">
      <c r="A1449" s="59"/>
      <c r="B1449" s="63">
        <f t="shared" si="1"/>
        <v>15</v>
      </c>
      <c r="C1449" s="135" t="s">
        <v>121</v>
      </c>
      <c r="D1449" s="134" t="s">
        <v>74</v>
      </c>
      <c r="E1449" s="135">
        <f t="shared" si="31"/>
        <v>2</v>
      </c>
      <c r="F1449" s="134" t="s">
        <v>3705</v>
      </c>
      <c r="G1449" s="63" t="str">
        <f>VLOOKUP(C1449, 'Class Def. - General Data'!$C$20:$C$1000,1,false)</f>
        <v>ZFG1_IRONINGAID</v>
      </c>
      <c r="H1449" s="63" t="str">
        <f>IFERROR(__xludf.DUMMYFUNCTION("VLOOKUP(F1449, IMPORTRANGE(""https://docs.google.com/spreadsheets/d/1Lhp9OU0JdFf_VYSMzH5lBcEaU4o8teT1piV-SNzShjg/edit?gid=554141278#gid=554141278"", ""'Char Def. - Attributes'!C20:C2242""), 1,false)"),"PSHAPE_IRONINGAID")</f>
        <v>PSHAPE_IRONINGAID</v>
      </c>
      <c r="I1449" s="136"/>
    </row>
    <row r="1450" ht="15.75" customHeight="1">
      <c r="A1450" s="59"/>
      <c r="B1450" s="63">
        <f t="shared" si="1"/>
        <v>15</v>
      </c>
      <c r="C1450" s="134" t="s">
        <v>121</v>
      </c>
      <c r="D1450" s="134" t="s">
        <v>74</v>
      </c>
      <c r="E1450" s="135">
        <f t="shared" si="31"/>
        <v>3</v>
      </c>
      <c r="F1450" s="134" t="s">
        <v>3605</v>
      </c>
      <c r="G1450" s="63" t="str">
        <f>VLOOKUP(C1450, 'Class Def. - General Data'!$C$20:$C$1000,1,false)</f>
        <v>ZFG1_IRONINGAID</v>
      </c>
      <c r="H1450" s="63" t="str">
        <f>IFERROR(__xludf.DUMMYFUNCTION("VLOOKUP(F1450, IMPORTRANGE(""https://docs.google.com/spreadsheets/d/1Lhp9OU0JdFf_VYSMzH5lBcEaU4o8teT1piV-SNzShjg/edit?gid=554141278#gid=554141278"", ""'Char Def. - Attributes'!C20:C2242""), 1,false)"),"PACK_NETTO")</f>
        <v>PACK_NETTO</v>
      </c>
      <c r="I1450" s="136"/>
    </row>
    <row r="1451" ht="15.75" customHeight="1">
      <c r="A1451" s="59"/>
      <c r="B1451" s="63">
        <f t="shared" si="1"/>
        <v>15</v>
      </c>
      <c r="C1451" s="135" t="s">
        <v>121</v>
      </c>
      <c r="D1451" s="134" t="s">
        <v>74</v>
      </c>
      <c r="E1451" s="135">
        <f t="shared" si="31"/>
        <v>4</v>
      </c>
      <c r="F1451" s="134" t="s">
        <v>3706</v>
      </c>
      <c r="G1451" s="63" t="str">
        <f>VLOOKUP(C1451, 'Class Def. - General Data'!$C$20:$C$1000,1,false)</f>
        <v>ZFG1_IRONINGAID</v>
      </c>
      <c r="H1451" s="63" t="str">
        <f>IFERROR(__xludf.DUMMYFUNCTION("VLOOKUP(F1451, IMPORTRANGE(""https://docs.google.com/spreadsheets/d/1Lhp9OU0JdFf_VYSMzH5lBcEaU4o8teT1piV-SNzShjg/edit?gid=554141278#gid=554141278"", ""'Char Def. - Attributes'!C20:C2242""), 1,false)"),"PUOM_IRONINGAID")</f>
        <v>PUOM_IRONINGAID</v>
      </c>
      <c r="I1451" s="136"/>
    </row>
    <row r="1452" ht="15.75" customHeight="1">
      <c r="A1452" s="59"/>
      <c r="B1452" s="63">
        <f t="shared" si="1"/>
        <v>15</v>
      </c>
      <c r="C1452" s="134" t="s">
        <v>121</v>
      </c>
      <c r="D1452" s="134" t="s">
        <v>74</v>
      </c>
      <c r="E1452" s="135">
        <f t="shared" si="31"/>
        <v>5</v>
      </c>
      <c r="F1452" s="134" t="s">
        <v>3607</v>
      </c>
      <c r="G1452" s="63" t="str">
        <f>VLOOKUP(C1452, 'Class Def. - General Data'!$C$20:$C$1000,1,false)</f>
        <v>ZFG1_IRONINGAID</v>
      </c>
      <c r="H1452" s="63" t="str">
        <f>IFERROR(__xludf.DUMMYFUNCTION("VLOOKUP(F1452, IMPORTRANGE(""https://docs.google.com/spreadsheets/d/1Lhp9OU0JdFf_VYSMzH5lBcEaU4o8teT1piV-SNzShjg/edit?gid=554141278#gid=554141278"", ""'Char Def. - Attributes'!C20:C2242""), 1,false)"),"VARIAN")</f>
        <v>VARIAN</v>
      </c>
      <c r="I1452" s="136"/>
    </row>
    <row r="1453" ht="15.75" customHeight="1">
      <c r="A1453" s="66"/>
      <c r="B1453" s="63">
        <f t="shared" si="1"/>
        <v>15</v>
      </c>
      <c r="C1453" s="134" t="s">
        <v>121</v>
      </c>
      <c r="D1453" s="134" t="s">
        <v>74</v>
      </c>
      <c r="E1453" s="135">
        <f t="shared" si="31"/>
        <v>6</v>
      </c>
      <c r="F1453" s="134" t="s">
        <v>3608</v>
      </c>
      <c r="G1453" s="63" t="str">
        <f>VLOOKUP(C1453, 'Class Def. - General Data'!$C$20:$C$1000,1,false)</f>
        <v>ZFG1_IRONINGAID</v>
      </c>
      <c r="H1453" s="63" t="str">
        <f>IFERROR(__xludf.DUMMYFUNCTION("VLOOKUP(F1453, IMPORTRANGE(""https://docs.google.com/spreadsheets/d/1Lhp9OU0JdFf_VYSMzH5lBcEaU4o8teT1piV-SNzShjg/edit?gid=554141278#gid=554141278"", ""'Char Def. - Attributes'!C20:C2242""), 1,false)"),"PROJECT_NAME")</f>
        <v>PROJECT_NAME</v>
      </c>
      <c r="I1453" s="136"/>
    </row>
    <row r="1454" ht="15.75" customHeight="1">
      <c r="A1454" s="66"/>
      <c r="B1454" s="63">
        <f t="shared" si="1"/>
        <v>15</v>
      </c>
      <c r="C1454" s="134" t="s">
        <v>121</v>
      </c>
      <c r="D1454" s="134" t="s">
        <v>74</v>
      </c>
      <c r="E1454" s="135">
        <f t="shared" si="31"/>
        <v>7</v>
      </c>
      <c r="F1454" s="134" t="s">
        <v>3609</v>
      </c>
      <c r="G1454" s="63" t="str">
        <f>VLOOKUP(C1454, 'Class Def. - General Data'!$C$20:$C$1000,1,false)</f>
        <v>ZFG1_IRONINGAID</v>
      </c>
      <c r="H1454" s="63" t="str">
        <f>IFERROR(__xludf.DUMMYFUNCTION("VLOOKUP(F1454, IMPORTRANGE(""https://docs.google.com/spreadsheets/d/1Lhp9OU0JdFf_VYSMzH5lBcEaU4o8teT1piV-SNzShjg/edit?gid=554141278#gid=554141278"", ""'Char Def. - Attributes'!C20:C2242""), 1,false)"),"ADDITIONAL_PROMO")</f>
        <v>ADDITIONAL_PROMO</v>
      </c>
      <c r="I1454" s="136"/>
    </row>
    <row r="1455" ht="15.75" customHeight="1">
      <c r="A1455" s="59"/>
      <c r="B1455" s="63">
        <f t="shared" si="1"/>
        <v>15</v>
      </c>
      <c r="C1455" s="134" t="s">
        <v>121</v>
      </c>
      <c r="D1455" s="134" t="s">
        <v>74</v>
      </c>
      <c r="E1455" s="135">
        <f t="shared" si="31"/>
        <v>8</v>
      </c>
      <c r="F1455" s="134" t="s">
        <v>3610</v>
      </c>
      <c r="G1455" s="63" t="str">
        <f>VLOOKUP(C1455, 'Class Def. - General Data'!$C$20:$C$1000,1,false)</f>
        <v>ZFG1_IRONINGAID</v>
      </c>
      <c r="H1455" s="63" t="str">
        <f>IFERROR(__xludf.DUMMYFUNCTION("VLOOKUP(F1455, IMPORTRANGE(""https://docs.google.com/spreadsheets/d/1Lhp9OU0JdFf_VYSMzH5lBcEaU4o8teT1piV-SNzShjg/edit?gid=554141278#gid=554141278"", ""'Char Def. - Attributes'!C20:C2242""), 1,false)"),"BANDED_PROMO")</f>
        <v>BANDED_PROMO</v>
      </c>
      <c r="I1455" s="136"/>
    </row>
    <row r="1456" ht="15.75" customHeight="1">
      <c r="A1456" s="59"/>
      <c r="B1456" s="63">
        <f t="shared" si="1"/>
        <v>15</v>
      </c>
      <c r="C1456" s="134" t="s">
        <v>121</v>
      </c>
      <c r="D1456" s="134" t="s">
        <v>74</v>
      </c>
      <c r="E1456" s="135">
        <f t="shared" si="31"/>
        <v>9</v>
      </c>
      <c r="F1456" s="134" t="s">
        <v>3611</v>
      </c>
      <c r="G1456" s="63" t="str">
        <f>VLOOKUP(C1456, 'Class Def. - General Data'!$C$20:$C$1000,1,false)</f>
        <v>ZFG1_IRONINGAID</v>
      </c>
      <c r="H1456" s="63" t="str">
        <f>IFERROR(__xludf.DUMMYFUNCTION("VLOOKUP(F1456, IMPORTRANGE(""https://docs.google.com/spreadsheets/d/1Lhp9OU0JdFf_VYSMzH5lBcEaU4o8teT1piV-SNzShjg/edit?gid=554141278#gid=554141278"", ""'Char Def. - Attributes'!C20:C2242""), 1,false)"),"LOKAL_EKSPOR")</f>
        <v>LOKAL_EKSPOR</v>
      </c>
      <c r="I1456" s="136"/>
    </row>
    <row r="1457" ht="15.75" customHeight="1">
      <c r="A1457" s="59"/>
      <c r="B1457" s="63">
        <f t="shared" si="1"/>
        <v>15</v>
      </c>
      <c r="C1457" s="134" t="s">
        <v>121</v>
      </c>
      <c r="D1457" s="134" t="s">
        <v>74</v>
      </c>
      <c r="E1457" s="135">
        <f t="shared" si="31"/>
        <v>10</v>
      </c>
      <c r="F1457" s="134" t="s">
        <v>3612</v>
      </c>
      <c r="G1457" s="63" t="str">
        <f>VLOOKUP(C1457, 'Class Def. - General Data'!$C$20:$C$1000,1,false)</f>
        <v>ZFG1_IRONINGAID</v>
      </c>
      <c r="H1457" s="63" t="str">
        <f>IFERROR(__xludf.DUMMYFUNCTION("VLOOKUP(F1457, IMPORTRANGE(""https://docs.google.com/spreadsheets/d/1Lhp9OU0JdFf_VYSMzH5lBcEaU4o8teT1piV-SNzShjg/edit?gid=554141278#gid=554141278"", ""'Char Def. - Attributes'!C20:C2242""), 1,false)"),"COUNTRY_EKSPOR")</f>
        <v>COUNTRY_EKSPOR</v>
      </c>
      <c r="I1457" s="136"/>
    </row>
    <row r="1458" ht="15.75" customHeight="1">
      <c r="A1458" s="59"/>
      <c r="B1458" s="63">
        <f t="shared" si="1"/>
        <v>15</v>
      </c>
      <c r="C1458" s="134" t="s">
        <v>121</v>
      </c>
      <c r="D1458" s="134" t="s">
        <v>74</v>
      </c>
      <c r="E1458" s="135">
        <f t="shared" si="31"/>
        <v>11</v>
      </c>
      <c r="F1458" s="134" t="s">
        <v>3613</v>
      </c>
      <c r="G1458" s="63" t="str">
        <f>VLOOKUP(C1458, 'Class Def. - General Data'!$C$20:$C$1000,1,false)</f>
        <v>ZFG1_IRONINGAID</v>
      </c>
      <c r="H1458" s="63" t="str">
        <f>IFERROR(__xludf.DUMMYFUNCTION("VLOOKUP(F1458, IMPORTRANGE(""https://docs.google.com/spreadsheets/d/1Lhp9OU0JdFf_VYSMzH5lBcEaU4o8teT1piV-SNzShjg/edit?gid=554141278#gid=554141278"", ""'Char Def. - Attributes'!C20:C2242""), 1,false)"),"WARNA_SFG")</f>
        <v>WARNA_SFG</v>
      </c>
      <c r="I1458" s="136"/>
    </row>
    <row r="1459" ht="15.75" customHeight="1">
      <c r="A1459" s="59"/>
      <c r="B1459" s="63">
        <f t="shared" si="1"/>
        <v>15</v>
      </c>
      <c r="C1459" s="134" t="s">
        <v>121</v>
      </c>
      <c r="D1459" s="134" t="s">
        <v>74</v>
      </c>
      <c r="E1459" s="135">
        <f t="shared" si="31"/>
        <v>12</v>
      </c>
      <c r="F1459" s="134" t="s">
        <v>3582</v>
      </c>
      <c r="G1459" s="63" t="str">
        <f>VLOOKUP(C1459, 'Class Def. - General Data'!$C$20:$C$1000,1,false)</f>
        <v>ZFG1_IRONINGAID</v>
      </c>
      <c r="H1459" s="63" t="str">
        <f>IFERROR(__xludf.DUMMYFUNCTION("VLOOKUP(F1459, IMPORTRANGE(""https://docs.google.com/spreadsheets/d/1Lhp9OU0JdFf_VYSMzH5lBcEaU4o8teT1piV-SNzShjg/edit?gid=554141278#gid=554141278"", ""'Char Def. - Attributes'!C20:C2242""), 1,false)"),"BASE_UNIT")</f>
        <v>BASE_UNIT</v>
      </c>
      <c r="I1459" s="136"/>
    </row>
    <row r="1460" ht="15.75" customHeight="1">
      <c r="A1460" s="59"/>
      <c r="B1460" s="63">
        <f t="shared" si="1"/>
        <v>15</v>
      </c>
      <c r="C1460" s="134" t="s">
        <v>121</v>
      </c>
      <c r="D1460" s="134" t="s">
        <v>74</v>
      </c>
      <c r="E1460" s="135">
        <f t="shared" si="31"/>
        <v>13</v>
      </c>
      <c r="F1460" s="134" t="s">
        <v>3583</v>
      </c>
      <c r="G1460" s="63" t="str">
        <f>VLOOKUP(C1460, 'Class Def. - General Data'!$C$20:$C$1000,1,false)</f>
        <v>ZFG1_IRONINGAID</v>
      </c>
      <c r="H1460" s="63" t="str">
        <f>IFERROR(__xludf.DUMMYFUNCTION("VLOOKUP(F1460, IMPORTRANGE(""https://docs.google.com/spreadsheets/d/1Lhp9OU0JdFf_VYSMzH5lBcEaU4o8teT1piV-SNzShjg/edit?gid=554141278#gid=554141278"", ""'Char Def. - Attributes'!C20:C2242""), 1,false)"),"SALES_UNIT")</f>
        <v>SALES_UNIT</v>
      </c>
      <c r="I1460" s="136"/>
    </row>
    <row r="1461" ht="15.75" customHeight="1">
      <c r="A1461" s="59"/>
      <c r="B1461" s="63">
        <f t="shared" si="1"/>
        <v>15</v>
      </c>
      <c r="C1461" s="134" t="s">
        <v>121</v>
      </c>
      <c r="D1461" s="134" t="s">
        <v>74</v>
      </c>
      <c r="E1461" s="135">
        <f t="shared" si="31"/>
        <v>14</v>
      </c>
      <c r="F1461" s="134" t="s">
        <v>3601</v>
      </c>
      <c r="G1461" s="63" t="str">
        <f>VLOOKUP(C1461, 'Class Def. - General Data'!$C$20:$C$1000,1,false)</f>
        <v>ZFG1_IRONINGAID</v>
      </c>
      <c r="H1461" s="63" t="str">
        <f>IFERROR(__xludf.DUMMYFUNCTION("VLOOKUP(F1461, IMPORTRANGE(""https://docs.google.com/spreadsheets/d/1Lhp9OU0JdFf_VYSMzH5lBcEaU4o8teT1piV-SNzShjg/edit?gid=554141278#gid=554141278"", ""'Char Def. - Attributes'!C20:C2242""), 1,false)"),"GROSS_WEIGHT")</f>
        <v>GROSS_WEIGHT</v>
      </c>
      <c r="I1461" s="136"/>
    </row>
    <row r="1462" ht="15.75" customHeight="1">
      <c r="A1462" s="59"/>
      <c r="B1462" s="63">
        <f t="shared" si="1"/>
        <v>15</v>
      </c>
      <c r="C1462" s="134" t="s">
        <v>121</v>
      </c>
      <c r="D1462" s="134" t="s">
        <v>74</v>
      </c>
      <c r="E1462" s="135">
        <f t="shared" si="31"/>
        <v>15</v>
      </c>
      <c r="F1462" s="134" t="s">
        <v>3602</v>
      </c>
      <c r="G1462" s="63" t="str">
        <f>VLOOKUP(C1462, 'Class Def. - General Data'!$C$20:$C$1000,1,false)</f>
        <v>ZFG1_IRONINGAID</v>
      </c>
      <c r="H1462" s="63" t="str">
        <f>IFERROR(__xludf.DUMMYFUNCTION("VLOOKUP(F1462, IMPORTRANGE(""https://docs.google.com/spreadsheets/d/1Lhp9OU0JdFf_VYSMzH5lBcEaU4o8teT1piV-SNzShjg/edit?gid=554141278#gid=554141278"", ""'Char Def. - Attributes'!C20:C2242""), 1,false)"),"NET_WEIGHT")</f>
        <v>NET_WEIGHT</v>
      </c>
      <c r="I1462" s="136"/>
    </row>
    <row r="1463" ht="15.75" customHeight="1">
      <c r="A1463" s="59"/>
      <c r="B1463" s="63">
        <f t="shared" si="1"/>
        <v>15</v>
      </c>
      <c r="C1463" s="134" t="s">
        <v>121</v>
      </c>
      <c r="D1463" s="134" t="s">
        <v>74</v>
      </c>
      <c r="E1463" s="135">
        <f t="shared" si="31"/>
        <v>16</v>
      </c>
      <c r="F1463" s="134" t="s">
        <v>3584</v>
      </c>
      <c r="G1463" s="63" t="str">
        <f>VLOOKUP(C1463, 'Class Def. - General Data'!$C$20:$C$1000,1,false)</f>
        <v>ZFG1_IRONINGAID</v>
      </c>
      <c r="H1463" s="63" t="str">
        <f>IFERROR(__xludf.DUMMYFUNCTION("VLOOKUP(F1463, IMPORTRANGE(""https://docs.google.com/spreadsheets/d/1Lhp9OU0JdFf_VYSMzH5lBcEaU4o8teT1piV-SNzShjg/edit?gid=554141278#gid=554141278"", ""'Char Def. - Attributes'!C20:C2242""), 1,false)"),"UNIT_PER_BOX")</f>
        <v>UNIT_PER_BOX</v>
      </c>
      <c r="I1463" s="136"/>
    </row>
    <row r="1464" ht="15.75" customHeight="1">
      <c r="A1464" s="59"/>
      <c r="B1464" s="63">
        <f t="shared" si="1"/>
        <v>15</v>
      </c>
      <c r="C1464" s="134" t="s">
        <v>121</v>
      </c>
      <c r="D1464" s="134" t="s">
        <v>74</v>
      </c>
      <c r="E1464" s="135">
        <f t="shared" si="31"/>
        <v>17</v>
      </c>
      <c r="F1464" s="134" t="s">
        <v>3614</v>
      </c>
      <c r="G1464" s="63" t="str">
        <f>VLOOKUP(C1464, 'Class Def. - General Data'!$C$20:$C$1000,1,false)</f>
        <v>ZFG1_IRONINGAID</v>
      </c>
      <c r="H1464" s="63" t="str">
        <f>IFERROR(__xludf.DUMMYFUNCTION("VLOOKUP(F1464, IMPORTRANGE(""https://docs.google.com/spreadsheets/d/1Lhp9OU0JdFf_VYSMzH5lBcEaU4o8teT1piV-SNzShjg/edit?gid=554141278#gid=554141278"", ""'Char Def. - Attributes'!C20:C2242""), 1,false)"),"UNIT_PER_CTN")</f>
        <v>UNIT_PER_CTN</v>
      </c>
      <c r="I1464" s="136"/>
    </row>
    <row r="1465" ht="15.75" customHeight="1">
      <c r="A1465" s="59"/>
      <c r="B1465" s="63">
        <f t="shared" si="1"/>
        <v>15</v>
      </c>
      <c r="C1465" s="134" t="s">
        <v>121</v>
      </c>
      <c r="D1465" s="134" t="s">
        <v>74</v>
      </c>
      <c r="E1465" s="135">
        <f t="shared" si="31"/>
        <v>18</v>
      </c>
      <c r="F1465" s="134" t="s">
        <v>3615</v>
      </c>
      <c r="G1465" s="63" t="str">
        <f>VLOOKUP(C1465, 'Class Def. - General Data'!$C$20:$C$1000,1,false)</f>
        <v>ZFG1_IRONINGAID</v>
      </c>
      <c r="H1465" s="63" t="str">
        <f>IFERROR(__xludf.DUMMYFUNCTION("VLOOKUP(F1465, IMPORTRANGE(""https://docs.google.com/spreadsheets/d/1Lhp9OU0JdFf_VYSMzH5lBcEaU4o8teT1piV-SNzShjg/edit?gid=554141278#gid=554141278"", ""'Char Def. - Attributes'!C20:C2242""), 1,false)"),"UNIT_PER_BAG")</f>
        <v>UNIT_PER_BAG</v>
      </c>
      <c r="I1465" s="136"/>
    </row>
    <row r="1466" ht="15.75" customHeight="1">
      <c r="A1466" s="59"/>
      <c r="B1466" s="63">
        <f t="shared" si="1"/>
        <v>15</v>
      </c>
      <c r="C1466" s="134" t="s">
        <v>121</v>
      </c>
      <c r="D1466" s="134" t="s">
        <v>74</v>
      </c>
      <c r="E1466" s="135">
        <f t="shared" si="31"/>
        <v>19</v>
      </c>
      <c r="F1466" s="134" t="s">
        <v>3616</v>
      </c>
      <c r="G1466" s="63" t="str">
        <f>VLOOKUP(C1466, 'Class Def. - General Data'!$C$20:$C$1000,1,false)</f>
        <v>ZFG1_IRONINGAID</v>
      </c>
      <c r="H1466" s="63" t="str">
        <f>IFERROR(__xludf.DUMMYFUNCTION("VLOOKUP(F1466, IMPORTRANGE(""https://docs.google.com/spreadsheets/d/1Lhp9OU0JdFf_VYSMzH5lBcEaU4o8teT1piV-SNzShjg/edit?gid=554141278#gid=554141278"", ""'Char Def. - Attributes'!C20:C2242""), 1,false)"),"UNIT_PER_PAL")</f>
        <v>UNIT_PER_PAL</v>
      </c>
      <c r="I1466" s="136"/>
    </row>
    <row r="1467" ht="15.75" customHeight="1">
      <c r="A1467" s="59"/>
      <c r="B1467" s="63">
        <f t="shared" si="1"/>
        <v>15</v>
      </c>
      <c r="C1467" s="134" t="s">
        <v>121</v>
      </c>
      <c r="D1467" s="134" t="s">
        <v>74</v>
      </c>
      <c r="E1467" s="135">
        <f t="shared" si="31"/>
        <v>20</v>
      </c>
      <c r="F1467" s="134" t="s">
        <v>3617</v>
      </c>
      <c r="G1467" s="63" t="str">
        <f>VLOOKUP(C1467, 'Class Def. - General Data'!$C$20:$C$1000,1,false)</f>
        <v>ZFG1_IRONINGAID</v>
      </c>
      <c r="H1467" s="63" t="str">
        <f>IFERROR(__xludf.DUMMYFUNCTION("VLOOKUP(F1467, IMPORTRANGE(""https://docs.google.com/spreadsheets/d/1Lhp9OU0JdFf_VYSMzH5lBcEaU4o8teT1piV-SNzShjg/edit?gid=554141278#gid=554141278"", ""'Char Def. - Attributes'!C20:C2242""), 1,false)"),"UNIT_PER_TIER")</f>
        <v>UNIT_PER_TIER</v>
      </c>
      <c r="I1467" s="136"/>
    </row>
    <row r="1468" ht="15.75" customHeight="1">
      <c r="A1468" s="59"/>
      <c r="B1468" s="63">
        <f t="shared" si="1"/>
        <v>15</v>
      </c>
      <c r="C1468" s="134" t="s">
        <v>121</v>
      </c>
      <c r="D1468" s="134" t="s">
        <v>74</v>
      </c>
      <c r="E1468" s="135">
        <f t="shared" si="31"/>
        <v>21</v>
      </c>
      <c r="F1468" s="134" t="s">
        <v>3618</v>
      </c>
      <c r="G1468" s="63" t="str">
        <f>VLOOKUP(C1468, 'Class Def. - General Data'!$C$20:$C$1000,1,false)</f>
        <v>ZFG1_IRONINGAID</v>
      </c>
      <c r="H1468" s="63" t="str">
        <f>IFERROR(__xludf.DUMMYFUNCTION("VLOOKUP(F1468, IMPORTRANGE(""https://docs.google.com/spreadsheets/d/1Lhp9OU0JdFf_VYSMzH5lBcEaU4o8teT1piV-SNzShjg/edit?gid=554141278#gid=554141278"", ""'Char Def. - Attributes'!C20:C2242""), 1,false)"),"HEIGHT")</f>
        <v>HEIGHT</v>
      </c>
      <c r="I1468" s="136"/>
    </row>
    <row r="1469" ht="15.75" customHeight="1">
      <c r="A1469" s="59"/>
      <c r="B1469" s="63">
        <f t="shared" si="1"/>
        <v>15</v>
      </c>
      <c r="C1469" s="134" t="s">
        <v>121</v>
      </c>
      <c r="D1469" s="134" t="s">
        <v>74</v>
      </c>
      <c r="E1469" s="135">
        <f t="shared" si="31"/>
        <v>22</v>
      </c>
      <c r="F1469" s="134" t="s">
        <v>3587</v>
      </c>
      <c r="G1469" s="63" t="str">
        <f>VLOOKUP(C1469, 'Class Def. - General Data'!$C$20:$C$1000,1,false)</f>
        <v>ZFG1_IRONINGAID</v>
      </c>
      <c r="H1469" s="63" t="str">
        <f>IFERROR(__xludf.DUMMYFUNCTION("VLOOKUP(F1469, IMPORTRANGE(""https://docs.google.com/spreadsheets/d/1Lhp9OU0JdFf_VYSMzH5lBcEaU4o8teT1piV-SNzShjg/edit?gid=554141278#gid=554141278"", ""'Char Def. - Attributes'!C20:C2242""), 1,false)"),"PLANT_BUY")</f>
        <v>PLANT_BUY</v>
      </c>
      <c r="I1469" s="136"/>
    </row>
    <row r="1470" ht="15.75" customHeight="1">
      <c r="A1470" s="59"/>
      <c r="B1470" s="63">
        <f t="shared" si="1"/>
        <v>15</v>
      </c>
      <c r="C1470" s="134" t="s">
        <v>121</v>
      </c>
      <c r="D1470" s="134" t="s">
        <v>74</v>
      </c>
      <c r="E1470" s="135">
        <f t="shared" si="31"/>
        <v>23</v>
      </c>
      <c r="F1470" s="134" t="s">
        <v>3619</v>
      </c>
      <c r="G1470" s="63" t="str">
        <f>VLOOKUP(C1470, 'Class Def. - General Data'!$C$20:$C$1000,1,false)</f>
        <v>ZFG1_IRONINGAID</v>
      </c>
      <c r="H1470" s="63" t="str">
        <f>IFERROR(__xludf.DUMMYFUNCTION("VLOOKUP(F1470, IMPORTRANGE(""https://docs.google.com/spreadsheets/d/1Lhp9OU0JdFf_VYSMzH5lBcEaU4o8teT1piV-SNzShjg/edit?gid=554141278#gid=554141278"", ""'Char Def. - Attributes'!C20:C2242""), 1,false)"),"LENGTH")</f>
        <v>LENGTH</v>
      </c>
      <c r="I1470" s="136"/>
    </row>
    <row r="1471" ht="15.75" customHeight="1">
      <c r="A1471" s="59"/>
      <c r="B1471" s="63">
        <f t="shared" si="1"/>
        <v>15</v>
      </c>
      <c r="C1471" s="134" t="s">
        <v>121</v>
      </c>
      <c r="D1471" s="134" t="s">
        <v>74</v>
      </c>
      <c r="E1471" s="135">
        <f t="shared" si="31"/>
        <v>24</v>
      </c>
      <c r="F1471" s="134" t="s">
        <v>3586</v>
      </c>
      <c r="G1471" s="63" t="str">
        <f>VLOOKUP(C1471, 'Class Def. - General Data'!$C$20:$C$1000,1,false)</f>
        <v>ZFG1_IRONINGAID</v>
      </c>
      <c r="H1471" s="63" t="str">
        <f>IFERROR(__xludf.DUMMYFUNCTION("VLOOKUP(F1471, IMPORTRANGE(""https://docs.google.com/spreadsheets/d/1Lhp9OU0JdFf_VYSMzH5lBcEaU4o8teT1piV-SNzShjg/edit?gid=554141278#gid=554141278"", ""'Char Def. - Attributes'!C20:C2242""), 1,false)"),"PLANT_PROD")</f>
        <v>PLANT_PROD</v>
      </c>
      <c r="I1471" s="136"/>
    </row>
    <row r="1472" ht="15.75" customHeight="1">
      <c r="A1472" s="59"/>
      <c r="B1472" s="63">
        <f t="shared" si="1"/>
        <v>15</v>
      </c>
      <c r="C1472" s="134" t="s">
        <v>121</v>
      </c>
      <c r="D1472" s="134" t="s">
        <v>74</v>
      </c>
      <c r="E1472" s="135">
        <f t="shared" si="31"/>
        <v>25</v>
      </c>
      <c r="F1472" s="134" t="s">
        <v>3620</v>
      </c>
      <c r="G1472" s="63" t="str">
        <f>VLOOKUP(C1472, 'Class Def. - General Data'!$C$20:$C$1000,1,false)</f>
        <v>ZFG1_IRONINGAID</v>
      </c>
      <c r="H1472" s="63" t="str">
        <f>IFERROR(__xludf.DUMMYFUNCTION("VLOOKUP(F1472, IMPORTRANGE(""https://docs.google.com/spreadsheets/d/1Lhp9OU0JdFf_VYSMzH5lBcEaU4o8teT1piV-SNzShjg/edit?gid=554141278#gid=554141278"", ""'Char Def. - Attributes'!C20:C2242""), 1,false)"),"WIDTH")</f>
        <v>WIDTH</v>
      </c>
      <c r="I1472" s="136"/>
    </row>
    <row r="1473" ht="15.75" customHeight="1">
      <c r="A1473" s="59"/>
      <c r="B1473" s="63">
        <f t="shared" si="1"/>
        <v>15</v>
      </c>
      <c r="C1473" s="134" t="s">
        <v>121</v>
      </c>
      <c r="D1473" s="134" t="s">
        <v>74</v>
      </c>
      <c r="E1473" s="135">
        <f t="shared" si="31"/>
        <v>26</v>
      </c>
      <c r="F1473" s="134" t="s">
        <v>3585</v>
      </c>
      <c r="G1473" s="63" t="str">
        <f>VLOOKUP(C1473, 'Class Def. - General Data'!$C$20:$C$1000,1,false)</f>
        <v>ZFG1_IRONINGAID</v>
      </c>
      <c r="H1473" s="63" t="str">
        <f>IFERROR(__xludf.DUMMYFUNCTION("VLOOKUP(F1473, IMPORTRANGE(""https://docs.google.com/spreadsheets/d/1Lhp9OU0JdFf_VYSMzH5lBcEaU4o8teT1piV-SNzShjg/edit?gid=554141278#gid=554141278"", ""'Char Def. - Attributes'!C20:C2242""), 1,false)"),"HS_CODE")</f>
        <v>HS_CODE</v>
      </c>
      <c r="I1473" s="136"/>
    </row>
    <row r="1474" ht="15.75" customHeight="1">
      <c r="A1474" s="59"/>
      <c r="B1474" s="63">
        <f t="shared" si="1"/>
        <v>15</v>
      </c>
      <c r="C1474" s="134" t="s">
        <v>121</v>
      </c>
      <c r="D1474" s="134" t="s">
        <v>74</v>
      </c>
      <c r="E1474" s="135">
        <f t="shared" si="31"/>
        <v>27</v>
      </c>
      <c r="F1474" s="134" t="s">
        <v>3621</v>
      </c>
      <c r="G1474" s="63" t="str">
        <f>VLOOKUP(C1474, 'Class Def. - General Data'!$C$20:$C$1000,1,false)</f>
        <v>ZFG1_IRONINGAID</v>
      </c>
      <c r="H1474" s="63" t="str">
        <f>IFERROR(__xludf.DUMMYFUNCTION("VLOOKUP(F1474, IMPORTRANGE(""https://docs.google.com/spreadsheets/d/1Lhp9OU0JdFf_VYSMzH5lBcEaU4o8teT1piV-SNzShjg/edit?gid=554141278#gid=554141278"", ""'Char Def. - Attributes'!C20:C2242""), 1,false)"),"EAN_PCS")</f>
        <v>EAN_PCS</v>
      </c>
      <c r="I1474" s="136"/>
    </row>
    <row r="1475" ht="15.75" customHeight="1">
      <c r="A1475" s="59"/>
      <c r="B1475" s="63">
        <f t="shared" si="1"/>
        <v>15</v>
      </c>
      <c r="C1475" s="134" t="s">
        <v>121</v>
      </c>
      <c r="D1475" s="134" t="s">
        <v>74</v>
      </c>
      <c r="E1475" s="135">
        <f t="shared" si="31"/>
        <v>28</v>
      </c>
      <c r="F1475" s="134" t="s">
        <v>3622</v>
      </c>
      <c r="G1475" s="63" t="str">
        <f>VLOOKUP(C1475, 'Class Def. - General Data'!$C$20:$C$1000,1,false)</f>
        <v>ZFG1_IRONINGAID</v>
      </c>
      <c r="H1475" s="63" t="str">
        <f>IFERROR(__xludf.DUMMYFUNCTION("VLOOKUP(F1475, IMPORTRANGE(""https://docs.google.com/spreadsheets/d/1Lhp9OU0JdFf_VYSMzH5lBcEaU4o8teT1piV-SNzShjg/edit?gid=554141278#gid=554141278"", ""'Char Def. - Attributes'!C20:C2242""), 1,false)"),"SFG_BRAND")</f>
        <v>SFG_BRAND</v>
      </c>
      <c r="I1475" s="136"/>
    </row>
    <row r="1476" ht="15.75" customHeight="1">
      <c r="A1476" s="59"/>
      <c r="B1476" s="63">
        <f t="shared" si="1"/>
        <v>15</v>
      </c>
      <c r="C1476" s="134" t="s">
        <v>121</v>
      </c>
      <c r="D1476" s="134" t="s">
        <v>74</v>
      </c>
      <c r="E1476" s="135">
        <f t="shared" si="31"/>
        <v>29</v>
      </c>
      <c r="F1476" s="134" t="s">
        <v>3623</v>
      </c>
      <c r="G1476" s="63" t="str">
        <f>VLOOKUP(C1476, 'Class Def. - General Data'!$C$20:$C$1000,1,false)</f>
        <v>ZFG1_IRONINGAID</v>
      </c>
      <c r="H1476" s="63" t="str">
        <f>IFERROR(__xludf.DUMMYFUNCTION("VLOOKUP(F1476, IMPORTRANGE(""https://docs.google.com/spreadsheets/d/1Lhp9OU0JdFf_VYSMzH5lBcEaU4o8teT1piV-SNzShjg/edit?gid=554141278#gid=554141278"", ""'Char Def. - Attributes'!C20:C2242""), 1,false)"),"LANGUAGE")</f>
        <v>LANGUAGE</v>
      </c>
      <c r="I1476" s="136"/>
    </row>
    <row r="1477" ht="15.75" customHeight="1">
      <c r="A1477" s="59"/>
      <c r="B1477" s="63">
        <f t="shared" si="1"/>
        <v>15</v>
      </c>
      <c r="C1477" s="139" t="s">
        <v>121</v>
      </c>
      <c r="D1477" s="139" t="s">
        <v>74</v>
      </c>
      <c r="E1477" s="140">
        <f t="shared" si="31"/>
        <v>30</v>
      </c>
      <c r="F1477" s="134" t="s">
        <v>3624</v>
      </c>
      <c r="G1477" s="63" t="str">
        <f>VLOOKUP(C1477, 'Class Def. - General Data'!$C$20:$C$1000,1,false)</f>
        <v>ZFG1_IRONINGAID</v>
      </c>
      <c r="H1477" s="63" t="str">
        <f>IFERROR(__xludf.DUMMYFUNCTION("VLOOKUP(F1477, IMPORTRANGE(""https://docs.google.com/spreadsheets/d/1Lhp9OU0JdFf_VYSMzH5lBcEaU4o8teT1piV-SNzShjg/edit?gid=554141278#gid=554141278"", ""'Char Def. - Attributes'!C20:C2242""), 1,false)"),"#N/A")</f>
        <v>#N/A</v>
      </c>
      <c r="I1477" s="136"/>
    </row>
    <row r="1478" ht="15.75" customHeight="1">
      <c r="A1478" s="59"/>
      <c r="B1478" s="63">
        <f t="shared" si="1"/>
        <v>15</v>
      </c>
      <c r="C1478" s="134" t="s">
        <v>121</v>
      </c>
      <c r="D1478" s="134" t="s">
        <v>74</v>
      </c>
      <c r="E1478" s="135">
        <f t="shared" si="31"/>
        <v>31</v>
      </c>
      <c r="F1478" s="134" t="s">
        <v>3625</v>
      </c>
      <c r="G1478" s="63" t="str">
        <f>VLOOKUP(C1478, 'Class Def. - General Data'!$C$20:$C$1000,1,false)</f>
        <v>ZFG1_IRONINGAID</v>
      </c>
      <c r="H1478" s="63" t="str">
        <f>IFERROR(__xludf.DUMMYFUNCTION("VLOOKUP(F1478, IMPORTRANGE(""https://docs.google.com/spreadsheets/d/1Lhp9OU0JdFf_VYSMzH5lBcEaU4o8teT1piV-SNzShjg/edit?gid=554141278#gid=554141278"", ""'Char Def. - Attributes'!C20:C2242""), 1,false)"),"REGION_EKSPOR")</f>
        <v>REGION_EKSPOR</v>
      </c>
      <c r="I1478" s="136"/>
    </row>
    <row r="1479" ht="15.75" customHeight="1">
      <c r="A1479" s="59"/>
      <c r="B1479" s="63">
        <f t="shared" si="1"/>
        <v>15</v>
      </c>
      <c r="C1479" s="134" t="s">
        <v>121</v>
      </c>
      <c r="D1479" s="134" t="s">
        <v>74</v>
      </c>
      <c r="E1479" s="135">
        <f t="shared" si="31"/>
        <v>32</v>
      </c>
      <c r="F1479" s="134" t="s">
        <v>3626</v>
      </c>
      <c r="G1479" s="63" t="str">
        <f>VLOOKUP(C1479, 'Class Def. - General Data'!$C$20:$C$1000,1,false)</f>
        <v>ZFG1_IRONINGAID</v>
      </c>
      <c r="H1479" s="63" t="str">
        <f>IFERROR(__xludf.DUMMYFUNCTION("VLOOKUP(F1479, IMPORTRANGE(""https://docs.google.com/spreadsheets/d/1Lhp9OU0JdFf_VYSMzH5lBcEaU4o8teT1piV-SNzShjg/edit?gid=554141278#gid=554141278"", ""'Char Def. - Attributes'!C20:C2242""), 1,false)"),"STICKER_NOT")</f>
        <v>STICKER_NOT</v>
      </c>
      <c r="I1479" s="136"/>
    </row>
    <row r="1480" ht="15.75" customHeight="1">
      <c r="A1480" s="59"/>
      <c r="B1480" s="63">
        <f t="shared" si="1"/>
        <v>15</v>
      </c>
      <c r="C1480" s="134" t="s">
        <v>121</v>
      </c>
      <c r="D1480" s="134" t="s">
        <v>74</v>
      </c>
      <c r="E1480" s="135">
        <f t="shared" si="31"/>
        <v>33</v>
      </c>
      <c r="F1480" s="134" t="s">
        <v>3627</v>
      </c>
      <c r="G1480" s="63" t="str">
        <f>VLOOKUP(C1480, 'Class Def. - General Data'!$C$20:$C$1000,1,false)</f>
        <v>ZFG1_IRONINGAID</v>
      </c>
      <c r="H1480" s="63" t="str">
        <f>IFERROR(__xludf.DUMMYFUNCTION("VLOOKUP(F1480, IMPORTRANGE(""https://docs.google.com/spreadsheets/d/1Lhp9OU0JdFf_VYSMzH5lBcEaU4o8teT1piV-SNzShjg/edit?gid=554141278#gid=554141278"", ""'Char Def. - Attributes'!C20:C2242""), 1,false)"),"SHIP_MARK")</f>
        <v>SHIP_MARK</v>
      </c>
      <c r="I1480" s="136"/>
    </row>
    <row r="1481" ht="15.75" customHeight="1">
      <c r="A1481" s="59"/>
      <c r="B1481" s="63">
        <f t="shared" si="1"/>
        <v>15</v>
      </c>
      <c r="C1481" s="134" t="s">
        <v>121</v>
      </c>
      <c r="D1481" s="134" t="s">
        <v>74</v>
      </c>
      <c r="E1481" s="135">
        <f t="shared" si="31"/>
        <v>34</v>
      </c>
      <c r="F1481" s="134" t="s">
        <v>3628</v>
      </c>
      <c r="G1481" s="63" t="str">
        <f>VLOOKUP(C1481, 'Class Def. - General Data'!$C$20:$C$1000,1,false)</f>
        <v>ZFG1_IRONINGAID</v>
      </c>
      <c r="H1481" s="63" t="str">
        <f>IFERROR(__xludf.DUMMYFUNCTION("VLOOKUP(F1481, IMPORTRANGE(""https://docs.google.com/spreadsheets/d/1Lhp9OU0JdFf_VYSMzH5lBcEaU4o8teT1piV-SNzShjg/edit?gid=554141278#gid=554141278"", ""'Char Def. - Attributes'!C20:C2242""), 1,false)"),"MID_CORE")</f>
        <v>MID_CORE</v>
      </c>
      <c r="I1481" s="136"/>
    </row>
    <row r="1482" ht="15.75" customHeight="1">
      <c r="A1482" s="59"/>
      <c r="B1482" s="63">
        <f t="shared" si="1"/>
        <v>15</v>
      </c>
      <c r="C1482" s="134" t="s">
        <v>121</v>
      </c>
      <c r="D1482" s="134" t="s">
        <v>74</v>
      </c>
      <c r="E1482" s="135">
        <f t="shared" si="31"/>
        <v>35</v>
      </c>
      <c r="F1482" s="134" t="s">
        <v>3629</v>
      </c>
      <c r="G1482" s="63" t="str">
        <f>VLOOKUP(C1482, 'Class Def. - General Data'!$C$20:$C$1000,1,false)</f>
        <v>ZFG1_IRONINGAID</v>
      </c>
      <c r="H1482" s="63" t="str">
        <f>IFERROR(__xludf.DUMMYFUNCTION("VLOOKUP(F1482, IMPORTRANGE(""https://docs.google.com/spreadsheets/d/1Lhp9OU0JdFf_VYSMzH5lBcEaU4o8teT1piV-SNzShjg/edit?gid=554141278#gid=554141278"", ""'Char Def. - Attributes'!C20:C2242""), 1,false)"),"EAN_CTN")</f>
        <v>EAN_CTN</v>
      </c>
      <c r="I1482" s="136"/>
    </row>
    <row r="1483" ht="15.75" customHeight="1">
      <c r="A1483" s="59"/>
      <c r="B1483" s="63">
        <f t="shared" si="1"/>
        <v>15</v>
      </c>
      <c r="C1483" s="134" t="s">
        <v>121</v>
      </c>
      <c r="D1483" s="134" t="s">
        <v>74</v>
      </c>
      <c r="E1483" s="135">
        <f t="shared" si="31"/>
        <v>36</v>
      </c>
      <c r="F1483" s="134" t="s">
        <v>3630</v>
      </c>
      <c r="G1483" s="63" t="str">
        <f>VLOOKUP(C1483, 'Class Def. - General Data'!$C$20:$C$1000,1,false)</f>
        <v>ZFG1_IRONINGAID</v>
      </c>
      <c r="H1483" s="63" t="str">
        <f>IFERROR(__xludf.DUMMYFUNCTION("VLOOKUP(F1483, IMPORTRANGE(""https://docs.google.com/spreadsheets/d/1Lhp9OU0JdFf_VYSMzH5lBcEaU4o8teT1piV-SNzShjg/edit?gid=554141278#gid=554141278"", ""'Char Def. - Attributes'!C20:C2242""), 1,false)"),"EAN_BOX")</f>
        <v>EAN_BOX</v>
      </c>
      <c r="I1483" s="136"/>
    </row>
    <row r="1484" ht="15.75" customHeight="1">
      <c r="A1484" s="59"/>
      <c r="B1484" s="63">
        <f t="shared" si="1"/>
        <v>15</v>
      </c>
      <c r="C1484" s="134" t="s">
        <v>121</v>
      </c>
      <c r="D1484" s="141" t="s">
        <v>74</v>
      </c>
      <c r="E1484" s="135">
        <v>22.0</v>
      </c>
      <c r="F1484" s="135" t="s">
        <v>3603</v>
      </c>
      <c r="G1484" s="63" t="str">
        <f>VLOOKUP(C1484, 'Class Def. - General Data'!$C$20:$C$1000,1,false)</f>
        <v>ZFG1_IRONINGAID</v>
      </c>
      <c r="I1484" s="136"/>
    </row>
    <row r="1485" ht="15.75" customHeight="1">
      <c r="A1485" s="59"/>
      <c r="B1485" s="63">
        <f t="shared" si="1"/>
        <v>10</v>
      </c>
      <c r="C1485" s="134" t="s">
        <v>122</v>
      </c>
      <c r="D1485" s="134" t="s">
        <v>74</v>
      </c>
      <c r="E1485" s="135">
        <f t="shared" ref="E1485:E1520" si="32">COUNTIF($C$20:C1485,C1485)</f>
        <v>1</v>
      </c>
      <c r="F1485" s="134" t="s">
        <v>3707</v>
      </c>
      <c r="G1485" s="63" t="str">
        <f>VLOOKUP(C1485, 'Class Def. - General Data'!$C$20:$C$1000,1,false)</f>
        <v>ZFG1_KECAP</v>
      </c>
      <c r="H1485" s="63" t="str">
        <f>IFERROR(__xludf.DUMMYFUNCTION("VLOOKUP(F1485, IMPORTRANGE(""https://docs.google.com/spreadsheets/d/1Lhp9OU0JdFf_VYSMzH5lBcEaU4o8teT1piV-SNzShjg/edit?gid=554141278#gid=554141278"", ""'Char Def. - Attributes'!C20:C2242""), 1,false)"),"BRAND_KECAP")</f>
        <v>BRAND_KECAP</v>
      </c>
      <c r="I1485" s="136"/>
    </row>
    <row r="1486" ht="15.75" customHeight="1">
      <c r="A1486" s="59"/>
      <c r="B1486" s="63">
        <f t="shared" si="1"/>
        <v>10</v>
      </c>
      <c r="C1486" s="135" t="s">
        <v>122</v>
      </c>
      <c r="D1486" s="134" t="s">
        <v>74</v>
      </c>
      <c r="E1486" s="135">
        <f t="shared" si="32"/>
        <v>2</v>
      </c>
      <c r="F1486" s="134" t="s">
        <v>3708</v>
      </c>
      <c r="G1486" s="63" t="str">
        <f>VLOOKUP(C1486, 'Class Def. - General Data'!$C$20:$C$1000,1,false)</f>
        <v>ZFG1_KECAP</v>
      </c>
      <c r="H1486" s="63" t="str">
        <f>IFERROR(__xludf.DUMMYFUNCTION("VLOOKUP(F1486, IMPORTRANGE(""https://docs.google.com/spreadsheets/d/1Lhp9OU0JdFf_VYSMzH5lBcEaU4o8teT1piV-SNzShjg/edit?gid=554141278#gid=554141278"", ""'Char Def. - Attributes'!C20:C2242""), 1,false)"),"PSHAPE_KECAP")</f>
        <v>PSHAPE_KECAP</v>
      </c>
      <c r="I1486" s="136"/>
    </row>
    <row r="1487" ht="15.75" customHeight="1">
      <c r="A1487" s="59"/>
      <c r="B1487" s="63">
        <f t="shared" si="1"/>
        <v>10</v>
      </c>
      <c r="C1487" s="134" t="s">
        <v>122</v>
      </c>
      <c r="D1487" s="134" t="s">
        <v>74</v>
      </c>
      <c r="E1487" s="135">
        <f t="shared" si="32"/>
        <v>3</v>
      </c>
      <c r="F1487" s="134" t="s">
        <v>3605</v>
      </c>
      <c r="G1487" s="63" t="str">
        <f>VLOOKUP(C1487, 'Class Def. - General Data'!$C$20:$C$1000,1,false)</f>
        <v>ZFG1_KECAP</v>
      </c>
      <c r="H1487" s="63" t="str">
        <f>IFERROR(__xludf.DUMMYFUNCTION("VLOOKUP(F1487, IMPORTRANGE(""https://docs.google.com/spreadsheets/d/1Lhp9OU0JdFf_VYSMzH5lBcEaU4o8teT1piV-SNzShjg/edit?gid=554141278#gid=554141278"", ""'Char Def. - Attributes'!C20:C2242""), 1,false)"),"PACK_NETTO")</f>
        <v>PACK_NETTO</v>
      </c>
      <c r="I1487" s="136"/>
    </row>
    <row r="1488" ht="15.75" customHeight="1">
      <c r="A1488" s="59"/>
      <c r="B1488" s="63">
        <f t="shared" si="1"/>
        <v>10</v>
      </c>
      <c r="C1488" s="135" t="s">
        <v>122</v>
      </c>
      <c r="D1488" s="134" t="s">
        <v>74</v>
      </c>
      <c r="E1488" s="135">
        <f t="shared" si="32"/>
        <v>4</v>
      </c>
      <c r="F1488" s="134" t="s">
        <v>3709</v>
      </c>
      <c r="G1488" s="63" t="str">
        <f>VLOOKUP(C1488, 'Class Def. - General Data'!$C$20:$C$1000,1,false)</f>
        <v>ZFG1_KECAP</v>
      </c>
      <c r="H1488" s="63" t="str">
        <f>IFERROR(__xludf.DUMMYFUNCTION("VLOOKUP(F1488, IMPORTRANGE(""https://docs.google.com/spreadsheets/d/1Lhp9OU0JdFf_VYSMzH5lBcEaU4o8teT1piV-SNzShjg/edit?gid=554141278#gid=554141278"", ""'Char Def. - Attributes'!C20:C2242""), 1,false)"),"PUOM_KECAP")</f>
        <v>PUOM_KECAP</v>
      </c>
      <c r="I1488" s="136"/>
    </row>
    <row r="1489" ht="15.75" customHeight="1">
      <c r="A1489" s="59"/>
      <c r="B1489" s="63">
        <f t="shared" si="1"/>
        <v>10</v>
      </c>
      <c r="C1489" s="134" t="s">
        <v>122</v>
      </c>
      <c r="D1489" s="134" t="s">
        <v>74</v>
      </c>
      <c r="E1489" s="135">
        <f t="shared" si="32"/>
        <v>5</v>
      </c>
      <c r="F1489" s="134" t="s">
        <v>3607</v>
      </c>
      <c r="G1489" s="63" t="str">
        <f>VLOOKUP(C1489, 'Class Def. - General Data'!$C$20:$C$1000,1,false)</f>
        <v>ZFG1_KECAP</v>
      </c>
      <c r="H1489" s="63" t="str">
        <f>IFERROR(__xludf.DUMMYFUNCTION("VLOOKUP(F1489, IMPORTRANGE(""https://docs.google.com/spreadsheets/d/1Lhp9OU0JdFf_VYSMzH5lBcEaU4o8teT1piV-SNzShjg/edit?gid=554141278#gid=554141278"", ""'Char Def. - Attributes'!C20:C2242""), 1,false)"),"VARIAN")</f>
        <v>VARIAN</v>
      </c>
      <c r="I1489" s="136"/>
    </row>
    <row r="1490" ht="15.75" customHeight="1">
      <c r="A1490" s="59"/>
      <c r="B1490" s="63">
        <f t="shared" si="1"/>
        <v>10</v>
      </c>
      <c r="C1490" s="134" t="s">
        <v>122</v>
      </c>
      <c r="D1490" s="134" t="s">
        <v>74</v>
      </c>
      <c r="E1490" s="135">
        <f t="shared" si="32"/>
        <v>6</v>
      </c>
      <c r="F1490" s="134" t="s">
        <v>3608</v>
      </c>
      <c r="G1490" s="63" t="str">
        <f>VLOOKUP(C1490, 'Class Def. - General Data'!$C$20:$C$1000,1,false)</f>
        <v>ZFG1_KECAP</v>
      </c>
      <c r="H1490" s="63" t="str">
        <f>IFERROR(__xludf.DUMMYFUNCTION("VLOOKUP(F1490, IMPORTRANGE(""https://docs.google.com/spreadsheets/d/1Lhp9OU0JdFf_VYSMzH5lBcEaU4o8teT1piV-SNzShjg/edit?gid=554141278#gid=554141278"", ""'Char Def. - Attributes'!C20:C2242""), 1,false)"),"PROJECT_NAME")</f>
        <v>PROJECT_NAME</v>
      </c>
      <c r="I1490" s="136"/>
    </row>
    <row r="1491" ht="15.75" customHeight="1">
      <c r="A1491" s="59"/>
      <c r="B1491" s="63">
        <f t="shared" si="1"/>
        <v>10</v>
      </c>
      <c r="C1491" s="134" t="s">
        <v>122</v>
      </c>
      <c r="D1491" s="134" t="s">
        <v>74</v>
      </c>
      <c r="E1491" s="135">
        <f t="shared" si="32"/>
        <v>7</v>
      </c>
      <c r="F1491" s="134" t="s">
        <v>3609</v>
      </c>
      <c r="G1491" s="63" t="str">
        <f>VLOOKUP(C1491, 'Class Def. - General Data'!$C$20:$C$1000,1,false)</f>
        <v>ZFG1_KECAP</v>
      </c>
      <c r="H1491" s="63" t="str">
        <f>IFERROR(__xludf.DUMMYFUNCTION("VLOOKUP(F1491, IMPORTRANGE(""https://docs.google.com/spreadsheets/d/1Lhp9OU0JdFf_VYSMzH5lBcEaU4o8teT1piV-SNzShjg/edit?gid=554141278#gid=554141278"", ""'Char Def. - Attributes'!C20:C2242""), 1,false)"),"ADDITIONAL_PROMO")</f>
        <v>ADDITIONAL_PROMO</v>
      </c>
      <c r="I1491" s="136"/>
    </row>
    <row r="1492" ht="15.75" customHeight="1">
      <c r="A1492" s="59"/>
      <c r="B1492" s="63">
        <f t="shared" si="1"/>
        <v>10</v>
      </c>
      <c r="C1492" s="134" t="s">
        <v>122</v>
      </c>
      <c r="D1492" s="134" t="s">
        <v>74</v>
      </c>
      <c r="E1492" s="135">
        <f t="shared" si="32"/>
        <v>8</v>
      </c>
      <c r="F1492" s="134" t="s">
        <v>3610</v>
      </c>
      <c r="G1492" s="63" t="str">
        <f>VLOOKUP(C1492, 'Class Def. - General Data'!$C$20:$C$1000,1,false)</f>
        <v>ZFG1_KECAP</v>
      </c>
      <c r="H1492" s="63" t="str">
        <f>IFERROR(__xludf.DUMMYFUNCTION("VLOOKUP(F1492, IMPORTRANGE(""https://docs.google.com/spreadsheets/d/1Lhp9OU0JdFf_VYSMzH5lBcEaU4o8teT1piV-SNzShjg/edit?gid=554141278#gid=554141278"", ""'Char Def. - Attributes'!C20:C2242""), 1,false)"),"BANDED_PROMO")</f>
        <v>BANDED_PROMO</v>
      </c>
      <c r="I1492" s="136"/>
    </row>
    <row r="1493" ht="15.75" customHeight="1">
      <c r="A1493" s="59"/>
      <c r="B1493" s="63">
        <f t="shared" si="1"/>
        <v>10</v>
      </c>
      <c r="C1493" s="134" t="s">
        <v>122</v>
      </c>
      <c r="D1493" s="134" t="s">
        <v>74</v>
      </c>
      <c r="E1493" s="135">
        <f t="shared" si="32"/>
        <v>9</v>
      </c>
      <c r="F1493" s="134" t="s">
        <v>3611</v>
      </c>
      <c r="G1493" s="63" t="str">
        <f>VLOOKUP(C1493, 'Class Def. - General Data'!$C$20:$C$1000,1,false)</f>
        <v>ZFG1_KECAP</v>
      </c>
      <c r="H1493" s="63" t="str">
        <f>IFERROR(__xludf.DUMMYFUNCTION("VLOOKUP(F1493, IMPORTRANGE(""https://docs.google.com/spreadsheets/d/1Lhp9OU0JdFf_VYSMzH5lBcEaU4o8teT1piV-SNzShjg/edit?gid=554141278#gid=554141278"", ""'Char Def. - Attributes'!C20:C2242""), 1,false)"),"LOKAL_EKSPOR")</f>
        <v>LOKAL_EKSPOR</v>
      </c>
      <c r="I1493" s="136"/>
    </row>
    <row r="1494" ht="15.75" customHeight="1">
      <c r="A1494" s="59"/>
      <c r="B1494" s="63">
        <f t="shared" si="1"/>
        <v>10</v>
      </c>
      <c r="C1494" s="134" t="s">
        <v>122</v>
      </c>
      <c r="D1494" s="134" t="s">
        <v>74</v>
      </c>
      <c r="E1494" s="135">
        <f t="shared" si="32"/>
        <v>10</v>
      </c>
      <c r="F1494" s="134" t="s">
        <v>3612</v>
      </c>
      <c r="G1494" s="63" t="str">
        <f>VLOOKUP(C1494, 'Class Def. - General Data'!$C$20:$C$1000,1,false)</f>
        <v>ZFG1_KECAP</v>
      </c>
      <c r="H1494" s="63" t="str">
        <f>IFERROR(__xludf.DUMMYFUNCTION("VLOOKUP(F1494, IMPORTRANGE(""https://docs.google.com/spreadsheets/d/1Lhp9OU0JdFf_VYSMzH5lBcEaU4o8teT1piV-SNzShjg/edit?gid=554141278#gid=554141278"", ""'Char Def. - Attributes'!C20:C2242""), 1,false)"),"COUNTRY_EKSPOR")</f>
        <v>COUNTRY_EKSPOR</v>
      </c>
      <c r="I1494" s="136"/>
    </row>
    <row r="1495" ht="15.75" customHeight="1">
      <c r="A1495" s="59"/>
      <c r="B1495" s="63">
        <f t="shared" si="1"/>
        <v>10</v>
      </c>
      <c r="C1495" s="134" t="s">
        <v>122</v>
      </c>
      <c r="D1495" s="134" t="s">
        <v>74</v>
      </c>
      <c r="E1495" s="135">
        <f t="shared" si="32"/>
        <v>11</v>
      </c>
      <c r="F1495" s="134" t="s">
        <v>3613</v>
      </c>
      <c r="G1495" s="63" t="str">
        <f>VLOOKUP(C1495, 'Class Def. - General Data'!$C$20:$C$1000,1,false)</f>
        <v>ZFG1_KECAP</v>
      </c>
      <c r="H1495" s="63" t="str">
        <f>IFERROR(__xludf.DUMMYFUNCTION("VLOOKUP(F1495, IMPORTRANGE(""https://docs.google.com/spreadsheets/d/1Lhp9OU0JdFf_VYSMzH5lBcEaU4o8teT1piV-SNzShjg/edit?gid=554141278#gid=554141278"", ""'Char Def. - Attributes'!C20:C2242""), 1,false)"),"WARNA_SFG")</f>
        <v>WARNA_SFG</v>
      </c>
      <c r="I1495" s="136"/>
    </row>
    <row r="1496" ht="15.75" customHeight="1">
      <c r="A1496" s="59"/>
      <c r="B1496" s="63">
        <f t="shared" si="1"/>
        <v>10</v>
      </c>
      <c r="C1496" s="134" t="s">
        <v>122</v>
      </c>
      <c r="D1496" s="134" t="s">
        <v>74</v>
      </c>
      <c r="E1496" s="135">
        <f t="shared" si="32"/>
        <v>12</v>
      </c>
      <c r="F1496" s="134" t="s">
        <v>3582</v>
      </c>
      <c r="G1496" s="63" t="str">
        <f>VLOOKUP(C1496, 'Class Def. - General Data'!$C$20:$C$1000,1,false)</f>
        <v>ZFG1_KECAP</v>
      </c>
      <c r="H1496" s="63" t="str">
        <f>IFERROR(__xludf.DUMMYFUNCTION("VLOOKUP(F1496, IMPORTRANGE(""https://docs.google.com/spreadsheets/d/1Lhp9OU0JdFf_VYSMzH5lBcEaU4o8teT1piV-SNzShjg/edit?gid=554141278#gid=554141278"", ""'Char Def. - Attributes'!C20:C2242""), 1,false)"),"BASE_UNIT")</f>
        <v>BASE_UNIT</v>
      </c>
      <c r="I1496" s="136"/>
    </row>
    <row r="1497" ht="15.75" customHeight="1">
      <c r="A1497" s="59"/>
      <c r="B1497" s="63">
        <f t="shared" si="1"/>
        <v>10</v>
      </c>
      <c r="C1497" s="134" t="s">
        <v>122</v>
      </c>
      <c r="D1497" s="134" t="s">
        <v>74</v>
      </c>
      <c r="E1497" s="135">
        <f t="shared" si="32"/>
        <v>13</v>
      </c>
      <c r="F1497" s="134" t="s">
        <v>3583</v>
      </c>
      <c r="G1497" s="63" t="str">
        <f>VLOOKUP(C1497, 'Class Def. - General Data'!$C$20:$C$1000,1,false)</f>
        <v>ZFG1_KECAP</v>
      </c>
      <c r="H1497" s="63" t="str">
        <f>IFERROR(__xludf.DUMMYFUNCTION("VLOOKUP(F1497, IMPORTRANGE(""https://docs.google.com/spreadsheets/d/1Lhp9OU0JdFf_VYSMzH5lBcEaU4o8teT1piV-SNzShjg/edit?gid=554141278#gid=554141278"", ""'Char Def. - Attributes'!C20:C2242""), 1,false)"),"SALES_UNIT")</f>
        <v>SALES_UNIT</v>
      </c>
      <c r="I1497" s="136"/>
    </row>
    <row r="1498" ht="15.75" customHeight="1">
      <c r="A1498" s="66"/>
      <c r="B1498" s="63">
        <f t="shared" si="1"/>
        <v>10</v>
      </c>
      <c r="C1498" s="134" t="s">
        <v>122</v>
      </c>
      <c r="D1498" s="134" t="s">
        <v>74</v>
      </c>
      <c r="E1498" s="135">
        <f t="shared" si="32"/>
        <v>14</v>
      </c>
      <c r="F1498" s="134" t="s">
        <v>3601</v>
      </c>
      <c r="G1498" s="63" t="str">
        <f>VLOOKUP(C1498, 'Class Def. - General Data'!$C$20:$C$1000,1,false)</f>
        <v>ZFG1_KECAP</v>
      </c>
      <c r="H1498" s="63" t="str">
        <f>IFERROR(__xludf.DUMMYFUNCTION("VLOOKUP(F1498, IMPORTRANGE(""https://docs.google.com/spreadsheets/d/1Lhp9OU0JdFf_VYSMzH5lBcEaU4o8teT1piV-SNzShjg/edit?gid=554141278#gid=554141278"", ""'Char Def. - Attributes'!C20:C2242""), 1,false)"),"GROSS_WEIGHT")</f>
        <v>GROSS_WEIGHT</v>
      </c>
      <c r="I1498" s="136"/>
    </row>
    <row r="1499" ht="15.75" customHeight="1">
      <c r="A1499" s="66"/>
      <c r="B1499" s="63">
        <f t="shared" si="1"/>
        <v>10</v>
      </c>
      <c r="C1499" s="134" t="s">
        <v>122</v>
      </c>
      <c r="D1499" s="134" t="s">
        <v>74</v>
      </c>
      <c r="E1499" s="135">
        <f t="shared" si="32"/>
        <v>15</v>
      </c>
      <c r="F1499" s="134" t="s">
        <v>3602</v>
      </c>
      <c r="G1499" s="63" t="str">
        <f>VLOOKUP(C1499, 'Class Def. - General Data'!$C$20:$C$1000,1,false)</f>
        <v>ZFG1_KECAP</v>
      </c>
      <c r="H1499" s="63" t="str">
        <f>IFERROR(__xludf.DUMMYFUNCTION("VLOOKUP(F1499, IMPORTRANGE(""https://docs.google.com/spreadsheets/d/1Lhp9OU0JdFf_VYSMzH5lBcEaU4o8teT1piV-SNzShjg/edit?gid=554141278#gid=554141278"", ""'Char Def. - Attributes'!C20:C2242""), 1,false)"),"NET_WEIGHT")</f>
        <v>NET_WEIGHT</v>
      </c>
      <c r="I1499" s="136"/>
    </row>
    <row r="1500" ht="15.75" customHeight="1">
      <c r="A1500" s="59"/>
      <c r="B1500" s="63">
        <f t="shared" si="1"/>
        <v>10</v>
      </c>
      <c r="C1500" s="134" t="s">
        <v>122</v>
      </c>
      <c r="D1500" s="134" t="s">
        <v>74</v>
      </c>
      <c r="E1500" s="135">
        <f t="shared" si="32"/>
        <v>16</v>
      </c>
      <c r="F1500" s="134" t="s">
        <v>3584</v>
      </c>
      <c r="G1500" s="63" t="str">
        <f>VLOOKUP(C1500, 'Class Def. - General Data'!$C$20:$C$1000,1,false)</f>
        <v>ZFG1_KECAP</v>
      </c>
      <c r="H1500" s="63" t="str">
        <f>IFERROR(__xludf.DUMMYFUNCTION("VLOOKUP(F1500, IMPORTRANGE(""https://docs.google.com/spreadsheets/d/1Lhp9OU0JdFf_VYSMzH5lBcEaU4o8teT1piV-SNzShjg/edit?gid=554141278#gid=554141278"", ""'Char Def. - Attributes'!C20:C2242""), 1,false)"),"UNIT_PER_BOX")</f>
        <v>UNIT_PER_BOX</v>
      </c>
      <c r="I1500" s="136"/>
    </row>
    <row r="1501" ht="15.75" customHeight="1">
      <c r="A1501" s="59"/>
      <c r="B1501" s="63">
        <f t="shared" si="1"/>
        <v>10</v>
      </c>
      <c r="C1501" s="134" t="s">
        <v>122</v>
      </c>
      <c r="D1501" s="134" t="s">
        <v>74</v>
      </c>
      <c r="E1501" s="135">
        <f t="shared" si="32"/>
        <v>17</v>
      </c>
      <c r="F1501" s="134" t="s">
        <v>3614</v>
      </c>
      <c r="G1501" s="63" t="str">
        <f>VLOOKUP(C1501, 'Class Def. - General Data'!$C$20:$C$1000,1,false)</f>
        <v>ZFG1_KECAP</v>
      </c>
      <c r="H1501" s="63" t="str">
        <f>IFERROR(__xludf.DUMMYFUNCTION("VLOOKUP(F1501, IMPORTRANGE(""https://docs.google.com/spreadsheets/d/1Lhp9OU0JdFf_VYSMzH5lBcEaU4o8teT1piV-SNzShjg/edit?gid=554141278#gid=554141278"", ""'Char Def. - Attributes'!C20:C2242""), 1,false)"),"UNIT_PER_CTN")</f>
        <v>UNIT_PER_CTN</v>
      </c>
      <c r="I1501" s="136"/>
    </row>
    <row r="1502" ht="15.75" customHeight="1">
      <c r="A1502" s="59"/>
      <c r="B1502" s="63">
        <f t="shared" si="1"/>
        <v>10</v>
      </c>
      <c r="C1502" s="134" t="s">
        <v>122</v>
      </c>
      <c r="D1502" s="134" t="s">
        <v>74</v>
      </c>
      <c r="E1502" s="135">
        <f t="shared" si="32"/>
        <v>18</v>
      </c>
      <c r="F1502" s="134" t="s">
        <v>3615</v>
      </c>
      <c r="G1502" s="63" t="str">
        <f>VLOOKUP(C1502, 'Class Def. - General Data'!$C$20:$C$1000,1,false)</f>
        <v>ZFG1_KECAP</v>
      </c>
      <c r="H1502" s="63" t="str">
        <f>IFERROR(__xludf.DUMMYFUNCTION("VLOOKUP(F1502, IMPORTRANGE(""https://docs.google.com/spreadsheets/d/1Lhp9OU0JdFf_VYSMzH5lBcEaU4o8teT1piV-SNzShjg/edit?gid=554141278#gid=554141278"", ""'Char Def. - Attributes'!C20:C2242""), 1,false)"),"UNIT_PER_BAG")</f>
        <v>UNIT_PER_BAG</v>
      </c>
      <c r="I1502" s="136"/>
    </row>
    <row r="1503" ht="15.75" customHeight="1">
      <c r="A1503" s="59"/>
      <c r="B1503" s="63">
        <f t="shared" si="1"/>
        <v>10</v>
      </c>
      <c r="C1503" s="134" t="s">
        <v>122</v>
      </c>
      <c r="D1503" s="134" t="s">
        <v>74</v>
      </c>
      <c r="E1503" s="135">
        <f t="shared" si="32"/>
        <v>19</v>
      </c>
      <c r="F1503" s="134" t="s">
        <v>3616</v>
      </c>
      <c r="G1503" s="63" t="str">
        <f>VLOOKUP(C1503, 'Class Def. - General Data'!$C$20:$C$1000,1,false)</f>
        <v>ZFG1_KECAP</v>
      </c>
      <c r="H1503" s="63" t="str">
        <f>IFERROR(__xludf.DUMMYFUNCTION("VLOOKUP(F1503, IMPORTRANGE(""https://docs.google.com/spreadsheets/d/1Lhp9OU0JdFf_VYSMzH5lBcEaU4o8teT1piV-SNzShjg/edit?gid=554141278#gid=554141278"", ""'Char Def. - Attributes'!C20:C2242""), 1,false)"),"UNIT_PER_PAL")</f>
        <v>UNIT_PER_PAL</v>
      </c>
      <c r="I1503" s="136"/>
    </row>
    <row r="1504" ht="15.75" customHeight="1">
      <c r="A1504" s="59"/>
      <c r="B1504" s="63">
        <f t="shared" si="1"/>
        <v>10</v>
      </c>
      <c r="C1504" s="134" t="s">
        <v>122</v>
      </c>
      <c r="D1504" s="134" t="s">
        <v>74</v>
      </c>
      <c r="E1504" s="135">
        <f t="shared" si="32"/>
        <v>20</v>
      </c>
      <c r="F1504" s="134" t="s">
        <v>3617</v>
      </c>
      <c r="G1504" s="63" t="str">
        <f>VLOOKUP(C1504, 'Class Def. - General Data'!$C$20:$C$1000,1,false)</f>
        <v>ZFG1_KECAP</v>
      </c>
      <c r="H1504" s="63" t="str">
        <f>IFERROR(__xludf.DUMMYFUNCTION("VLOOKUP(F1504, IMPORTRANGE(""https://docs.google.com/spreadsheets/d/1Lhp9OU0JdFf_VYSMzH5lBcEaU4o8teT1piV-SNzShjg/edit?gid=554141278#gid=554141278"", ""'Char Def. - Attributes'!C20:C2242""), 1,false)"),"UNIT_PER_TIER")</f>
        <v>UNIT_PER_TIER</v>
      </c>
      <c r="I1504" s="136"/>
    </row>
    <row r="1505" ht="15.75" customHeight="1">
      <c r="A1505" s="59"/>
      <c r="B1505" s="63">
        <f t="shared" si="1"/>
        <v>10</v>
      </c>
      <c r="C1505" s="134" t="s">
        <v>122</v>
      </c>
      <c r="D1505" s="134" t="s">
        <v>74</v>
      </c>
      <c r="E1505" s="135">
        <f t="shared" si="32"/>
        <v>21</v>
      </c>
      <c r="F1505" s="134" t="s">
        <v>3618</v>
      </c>
      <c r="G1505" s="63" t="str">
        <f>VLOOKUP(C1505, 'Class Def. - General Data'!$C$20:$C$1000,1,false)</f>
        <v>ZFG1_KECAP</v>
      </c>
      <c r="H1505" s="63" t="str">
        <f>IFERROR(__xludf.DUMMYFUNCTION("VLOOKUP(F1505, IMPORTRANGE(""https://docs.google.com/spreadsheets/d/1Lhp9OU0JdFf_VYSMzH5lBcEaU4o8teT1piV-SNzShjg/edit?gid=554141278#gid=554141278"", ""'Char Def. - Attributes'!C20:C2242""), 1,false)"),"HEIGHT")</f>
        <v>HEIGHT</v>
      </c>
      <c r="I1505" s="136"/>
    </row>
    <row r="1506" ht="15.75" customHeight="1">
      <c r="A1506" s="59"/>
      <c r="B1506" s="63">
        <f t="shared" si="1"/>
        <v>10</v>
      </c>
      <c r="C1506" s="134" t="s">
        <v>122</v>
      </c>
      <c r="D1506" s="134" t="s">
        <v>74</v>
      </c>
      <c r="E1506" s="135">
        <f t="shared" si="32"/>
        <v>22</v>
      </c>
      <c r="F1506" s="134" t="s">
        <v>3587</v>
      </c>
      <c r="G1506" s="63" t="str">
        <f>VLOOKUP(C1506, 'Class Def. - General Data'!$C$20:$C$1000,1,false)</f>
        <v>ZFG1_KECAP</v>
      </c>
      <c r="H1506" s="63" t="str">
        <f>IFERROR(__xludf.DUMMYFUNCTION("VLOOKUP(F1506, IMPORTRANGE(""https://docs.google.com/spreadsheets/d/1Lhp9OU0JdFf_VYSMzH5lBcEaU4o8teT1piV-SNzShjg/edit?gid=554141278#gid=554141278"", ""'Char Def. - Attributes'!C20:C2242""), 1,false)"),"PLANT_BUY")</f>
        <v>PLANT_BUY</v>
      </c>
      <c r="I1506" s="136"/>
    </row>
    <row r="1507" ht="15.75" customHeight="1">
      <c r="A1507" s="59"/>
      <c r="B1507" s="63">
        <f t="shared" si="1"/>
        <v>10</v>
      </c>
      <c r="C1507" s="134" t="s">
        <v>122</v>
      </c>
      <c r="D1507" s="134" t="s">
        <v>74</v>
      </c>
      <c r="E1507" s="135">
        <f t="shared" si="32"/>
        <v>23</v>
      </c>
      <c r="F1507" s="134" t="s">
        <v>3619</v>
      </c>
      <c r="G1507" s="63" t="str">
        <f>VLOOKUP(C1507, 'Class Def. - General Data'!$C$20:$C$1000,1,false)</f>
        <v>ZFG1_KECAP</v>
      </c>
      <c r="H1507" s="63" t="str">
        <f>IFERROR(__xludf.DUMMYFUNCTION("VLOOKUP(F1507, IMPORTRANGE(""https://docs.google.com/spreadsheets/d/1Lhp9OU0JdFf_VYSMzH5lBcEaU4o8teT1piV-SNzShjg/edit?gid=554141278#gid=554141278"", ""'Char Def. - Attributes'!C20:C2242""), 1,false)"),"LENGTH")</f>
        <v>LENGTH</v>
      </c>
      <c r="I1507" s="136"/>
    </row>
    <row r="1508" ht="15.75" customHeight="1">
      <c r="A1508" s="59"/>
      <c r="B1508" s="63">
        <f t="shared" si="1"/>
        <v>10</v>
      </c>
      <c r="C1508" s="134" t="s">
        <v>122</v>
      </c>
      <c r="D1508" s="134" t="s">
        <v>74</v>
      </c>
      <c r="E1508" s="135">
        <f t="shared" si="32"/>
        <v>24</v>
      </c>
      <c r="F1508" s="134" t="s">
        <v>3586</v>
      </c>
      <c r="G1508" s="63" t="str">
        <f>VLOOKUP(C1508, 'Class Def. - General Data'!$C$20:$C$1000,1,false)</f>
        <v>ZFG1_KECAP</v>
      </c>
      <c r="H1508" s="63" t="str">
        <f>IFERROR(__xludf.DUMMYFUNCTION("VLOOKUP(F1508, IMPORTRANGE(""https://docs.google.com/spreadsheets/d/1Lhp9OU0JdFf_VYSMzH5lBcEaU4o8teT1piV-SNzShjg/edit?gid=554141278#gid=554141278"", ""'Char Def. - Attributes'!C20:C2242""), 1,false)"),"PLANT_PROD")</f>
        <v>PLANT_PROD</v>
      </c>
      <c r="I1508" s="136"/>
    </row>
    <row r="1509" ht="15.75" customHeight="1">
      <c r="A1509" s="59"/>
      <c r="B1509" s="63">
        <f t="shared" si="1"/>
        <v>10</v>
      </c>
      <c r="C1509" s="134" t="s">
        <v>122</v>
      </c>
      <c r="D1509" s="134" t="s">
        <v>74</v>
      </c>
      <c r="E1509" s="135">
        <f t="shared" si="32"/>
        <v>25</v>
      </c>
      <c r="F1509" s="134" t="s">
        <v>3620</v>
      </c>
      <c r="G1509" s="63" t="str">
        <f>VLOOKUP(C1509, 'Class Def. - General Data'!$C$20:$C$1000,1,false)</f>
        <v>ZFG1_KECAP</v>
      </c>
      <c r="H1509" s="63" t="str">
        <f>IFERROR(__xludf.DUMMYFUNCTION("VLOOKUP(F1509, IMPORTRANGE(""https://docs.google.com/spreadsheets/d/1Lhp9OU0JdFf_VYSMzH5lBcEaU4o8teT1piV-SNzShjg/edit?gid=554141278#gid=554141278"", ""'Char Def. - Attributes'!C20:C2242""), 1,false)"),"WIDTH")</f>
        <v>WIDTH</v>
      </c>
      <c r="I1509" s="136"/>
    </row>
    <row r="1510" ht="15.75" customHeight="1">
      <c r="A1510" s="59"/>
      <c r="B1510" s="63">
        <f t="shared" si="1"/>
        <v>10</v>
      </c>
      <c r="C1510" s="134" t="s">
        <v>122</v>
      </c>
      <c r="D1510" s="134" t="s">
        <v>74</v>
      </c>
      <c r="E1510" s="135">
        <f t="shared" si="32"/>
        <v>26</v>
      </c>
      <c r="F1510" s="134" t="s">
        <v>3585</v>
      </c>
      <c r="G1510" s="63" t="str">
        <f>VLOOKUP(C1510, 'Class Def. - General Data'!$C$20:$C$1000,1,false)</f>
        <v>ZFG1_KECAP</v>
      </c>
      <c r="H1510" s="63" t="str">
        <f>IFERROR(__xludf.DUMMYFUNCTION("VLOOKUP(F1510, IMPORTRANGE(""https://docs.google.com/spreadsheets/d/1Lhp9OU0JdFf_VYSMzH5lBcEaU4o8teT1piV-SNzShjg/edit?gid=554141278#gid=554141278"", ""'Char Def. - Attributes'!C20:C2242""), 1,false)"),"HS_CODE")</f>
        <v>HS_CODE</v>
      </c>
      <c r="I1510" s="136"/>
    </row>
    <row r="1511" ht="15.75" customHeight="1">
      <c r="A1511" s="59"/>
      <c r="B1511" s="63">
        <f t="shared" si="1"/>
        <v>10</v>
      </c>
      <c r="C1511" s="134" t="s">
        <v>122</v>
      </c>
      <c r="D1511" s="134" t="s">
        <v>74</v>
      </c>
      <c r="E1511" s="135">
        <f t="shared" si="32"/>
        <v>27</v>
      </c>
      <c r="F1511" s="134" t="s">
        <v>3621</v>
      </c>
      <c r="G1511" s="63" t="str">
        <f>VLOOKUP(C1511, 'Class Def. - General Data'!$C$20:$C$1000,1,false)</f>
        <v>ZFG1_KECAP</v>
      </c>
      <c r="H1511" s="63" t="str">
        <f>IFERROR(__xludf.DUMMYFUNCTION("VLOOKUP(F1511, IMPORTRANGE(""https://docs.google.com/spreadsheets/d/1Lhp9OU0JdFf_VYSMzH5lBcEaU4o8teT1piV-SNzShjg/edit?gid=554141278#gid=554141278"", ""'Char Def. - Attributes'!C20:C2242""), 1,false)"),"EAN_PCS")</f>
        <v>EAN_PCS</v>
      </c>
      <c r="I1511" s="136"/>
    </row>
    <row r="1512" ht="15.75" customHeight="1">
      <c r="A1512" s="59"/>
      <c r="B1512" s="63">
        <f t="shared" si="1"/>
        <v>10</v>
      </c>
      <c r="C1512" s="134" t="s">
        <v>122</v>
      </c>
      <c r="D1512" s="134" t="s">
        <v>74</v>
      </c>
      <c r="E1512" s="135">
        <f t="shared" si="32"/>
        <v>28</v>
      </c>
      <c r="F1512" s="134" t="s">
        <v>3622</v>
      </c>
      <c r="G1512" s="63" t="str">
        <f>VLOOKUP(C1512, 'Class Def. - General Data'!$C$20:$C$1000,1,false)</f>
        <v>ZFG1_KECAP</v>
      </c>
      <c r="H1512" s="63" t="str">
        <f>IFERROR(__xludf.DUMMYFUNCTION("VLOOKUP(F1512, IMPORTRANGE(""https://docs.google.com/spreadsheets/d/1Lhp9OU0JdFf_VYSMzH5lBcEaU4o8teT1piV-SNzShjg/edit?gid=554141278#gid=554141278"", ""'Char Def. - Attributes'!C20:C2242""), 1,false)"),"SFG_BRAND")</f>
        <v>SFG_BRAND</v>
      </c>
      <c r="I1512" s="136"/>
    </row>
    <row r="1513" ht="15.75" customHeight="1">
      <c r="A1513" s="59"/>
      <c r="B1513" s="63">
        <f t="shared" si="1"/>
        <v>10</v>
      </c>
      <c r="C1513" s="134" t="s">
        <v>122</v>
      </c>
      <c r="D1513" s="134" t="s">
        <v>74</v>
      </c>
      <c r="E1513" s="135">
        <f t="shared" si="32"/>
        <v>29</v>
      </c>
      <c r="F1513" s="134" t="s">
        <v>3623</v>
      </c>
      <c r="G1513" s="63" t="str">
        <f>VLOOKUP(C1513, 'Class Def. - General Data'!$C$20:$C$1000,1,false)</f>
        <v>ZFG1_KECAP</v>
      </c>
      <c r="H1513" s="63" t="str">
        <f>IFERROR(__xludf.DUMMYFUNCTION("VLOOKUP(F1513, IMPORTRANGE(""https://docs.google.com/spreadsheets/d/1Lhp9OU0JdFf_VYSMzH5lBcEaU4o8teT1piV-SNzShjg/edit?gid=554141278#gid=554141278"", ""'Char Def. - Attributes'!C20:C2242""), 1,false)"),"LANGUAGE")</f>
        <v>LANGUAGE</v>
      </c>
      <c r="I1513" s="136"/>
    </row>
    <row r="1514" ht="15.75" customHeight="1">
      <c r="A1514" s="59"/>
      <c r="B1514" s="63">
        <f t="shared" si="1"/>
        <v>10</v>
      </c>
      <c r="C1514" s="139" t="s">
        <v>122</v>
      </c>
      <c r="D1514" s="139" t="s">
        <v>74</v>
      </c>
      <c r="E1514" s="140">
        <f t="shared" si="32"/>
        <v>30</v>
      </c>
      <c r="F1514" s="134" t="s">
        <v>3624</v>
      </c>
      <c r="G1514" s="63" t="str">
        <f>VLOOKUP(C1514, 'Class Def. - General Data'!$C$20:$C$1000,1,false)</f>
        <v>ZFG1_KECAP</v>
      </c>
      <c r="H1514" s="63" t="str">
        <f>IFERROR(__xludf.DUMMYFUNCTION("VLOOKUP(F1514, IMPORTRANGE(""https://docs.google.com/spreadsheets/d/1Lhp9OU0JdFf_VYSMzH5lBcEaU4o8teT1piV-SNzShjg/edit?gid=554141278#gid=554141278"", ""'Char Def. - Attributes'!C20:C2242""), 1,false)"),"#N/A")</f>
        <v>#N/A</v>
      </c>
      <c r="I1514" s="136"/>
    </row>
    <row r="1515" ht="15.75" customHeight="1">
      <c r="A1515" s="59"/>
      <c r="B1515" s="63">
        <f t="shared" si="1"/>
        <v>10</v>
      </c>
      <c r="C1515" s="134" t="s">
        <v>122</v>
      </c>
      <c r="D1515" s="134" t="s">
        <v>74</v>
      </c>
      <c r="E1515" s="135">
        <f t="shared" si="32"/>
        <v>31</v>
      </c>
      <c r="F1515" s="134" t="s">
        <v>3625</v>
      </c>
      <c r="G1515" s="63" t="str">
        <f>VLOOKUP(C1515, 'Class Def. - General Data'!$C$20:$C$1000,1,false)</f>
        <v>ZFG1_KECAP</v>
      </c>
      <c r="H1515" s="63" t="str">
        <f>IFERROR(__xludf.DUMMYFUNCTION("VLOOKUP(F1515, IMPORTRANGE(""https://docs.google.com/spreadsheets/d/1Lhp9OU0JdFf_VYSMzH5lBcEaU4o8teT1piV-SNzShjg/edit?gid=554141278#gid=554141278"", ""'Char Def. - Attributes'!C20:C2242""), 1,false)"),"REGION_EKSPOR")</f>
        <v>REGION_EKSPOR</v>
      </c>
      <c r="I1515" s="136"/>
    </row>
    <row r="1516" ht="15.75" customHeight="1">
      <c r="A1516" s="59"/>
      <c r="B1516" s="63">
        <f t="shared" si="1"/>
        <v>10</v>
      </c>
      <c r="C1516" s="134" t="s">
        <v>122</v>
      </c>
      <c r="D1516" s="134" t="s">
        <v>74</v>
      </c>
      <c r="E1516" s="135">
        <f t="shared" si="32"/>
        <v>32</v>
      </c>
      <c r="F1516" s="134" t="s">
        <v>3626</v>
      </c>
      <c r="G1516" s="63" t="str">
        <f>VLOOKUP(C1516, 'Class Def. - General Data'!$C$20:$C$1000,1,false)</f>
        <v>ZFG1_KECAP</v>
      </c>
      <c r="H1516" s="63" t="str">
        <f>IFERROR(__xludf.DUMMYFUNCTION("VLOOKUP(F1516, IMPORTRANGE(""https://docs.google.com/spreadsheets/d/1Lhp9OU0JdFf_VYSMzH5lBcEaU4o8teT1piV-SNzShjg/edit?gid=554141278#gid=554141278"", ""'Char Def. - Attributes'!C20:C2242""), 1,false)"),"STICKER_NOT")</f>
        <v>STICKER_NOT</v>
      </c>
      <c r="I1516" s="136"/>
    </row>
    <row r="1517" ht="15.75" customHeight="1">
      <c r="A1517" s="59"/>
      <c r="B1517" s="63">
        <f t="shared" si="1"/>
        <v>10</v>
      </c>
      <c r="C1517" s="134" t="s">
        <v>122</v>
      </c>
      <c r="D1517" s="134" t="s">
        <v>74</v>
      </c>
      <c r="E1517" s="135">
        <f t="shared" si="32"/>
        <v>33</v>
      </c>
      <c r="F1517" s="134" t="s">
        <v>3627</v>
      </c>
      <c r="G1517" s="63" t="str">
        <f>VLOOKUP(C1517, 'Class Def. - General Data'!$C$20:$C$1000,1,false)</f>
        <v>ZFG1_KECAP</v>
      </c>
      <c r="H1517" s="63" t="str">
        <f>IFERROR(__xludf.DUMMYFUNCTION("VLOOKUP(F1517, IMPORTRANGE(""https://docs.google.com/spreadsheets/d/1Lhp9OU0JdFf_VYSMzH5lBcEaU4o8teT1piV-SNzShjg/edit?gid=554141278#gid=554141278"", ""'Char Def. - Attributes'!C20:C2242""), 1,false)"),"SHIP_MARK")</f>
        <v>SHIP_MARK</v>
      </c>
      <c r="I1517" s="136"/>
    </row>
    <row r="1518" ht="15.75" customHeight="1">
      <c r="A1518" s="59"/>
      <c r="B1518" s="63">
        <f t="shared" si="1"/>
        <v>10</v>
      </c>
      <c r="C1518" s="134" t="s">
        <v>122</v>
      </c>
      <c r="D1518" s="134" t="s">
        <v>74</v>
      </c>
      <c r="E1518" s="135">
        <f t="shared" si="32"/>
        <v>34</v>
      </c>
      <c r="F1518" s="134" t="s">
        <v>3628</v>
      </c>
      <c r="G1518" s="63" t="str">
        <f>VLOOKUP(C1518, 'Class Def. - General Data'!$C$20:$C$1000,1,false)</f>
        <v>ZFG1_KECAP</v>
      </c>
      <c r="H1518" s="63" t="str">
        <f>IFERROR(__xludf.DUMMYFUNCTION("VLOOKUP(F1518, IMPORTRANGE(""https://docs.google.com/spreadsheets/d/1Lhp9OU0JdFf_VYSMzH5lBcEaU4o8teT1piV-SNzShjg/edit?gid=554141278#gid=554141278"", ""'Char Def. - Attributes'!C20:C2242""), 1,false)"),"MID_CORE")</f>
        <v>MID_CORE</v>
      </c>
      <c r="I1518" s="136"/>
    </row>
    <row r="1519" ht="15.75" customHeight="1">
      <c r="A1519" s="59"/>
      <c r="B1519" s="63">
        <f t="shared" si="1"/>
        <v>10</v>
      </c>
      <c r="C1519" s="134" t="s">
        <v>122</v>
      </c>
      <c r="D1519" s="134" t="s">
        <v>74</v>
      </c>
      <c r="E1519" s="135">
        <f t="shared" si="32"/>
        <v>35</v>
      </c>
      <c r="F1519" s="134" t="s">
        <v>3629</v>
      </c>
      <c r="G1519" s="63" t="str">
        <f>VLOOKUP(C1519, 'Class Def. - General Data'!$C$20:$C$1000,1,false)</f>
        <v>ZFG1_KECAP</v>
      </c>
      <c r="H1519" s="63" t="str">
        <f>IFERROR(__xludf.DUMMYFUNCTION("VLOOKUP(F1519, IMPORTRANGE(""https://docs.google.com/spreadsheets/d/1Lhp9OU0JdFf_VYSMzH5lBcEaU4o8teT1piV-SNzShjg/edit?gid=554141278#gid=554141278"", ""'Char Def. - Attributes'!C20:C2242""), 1,false)"),"EAN_CTN")</f>
        <v>EAN_CTN</v>
      </c>
      <c r="I1519" s="136"/>
    </row>
    <row r="1520" ht="15.75" customHeight="1">
      <c r="A1520" s="59"/>
      <c r="B1520" s="63">
        <f t="shared" si="1"/>
        <v>10</v>
      </c>
      <c r="C1520" s="134" t="s">
        <v>122</v>
      </c>
      <c r="D1520" s="134" t="s">
        <v>74</v>
      </c>
      <c r="E1520" s="135">
        <f t="shared" si="32"/>
        <v>36</v>
      </c>
      <c r="F1520" s="134" t="s">
        <v>3630</v>
      </c>
      <c r="G1520" s="63" t="str">
        <f>VLOOKUP(C1520, 'Class Def. - General Data'!$C$20:$C$1000,1,false)</f>
        <v>ZFG1_KECAP</v>
      </c>
      <c r="H1520" s="63" t="str">
        <f>IFERROR(__xludf.DUMMYFUNCTION("VLOOKUP(F1520, IMPORTRANGE(""https://docs.google.com/spreadsheets/d/1Lhp9OU0JdFf_VYSMzH5lBcEaU4o8teT1piV-SNzShjg/edit?gid=554141278#gid=554141278"", ""'Char Def. - Attributes'!C20:C2242""), 1,false)"),"EAN_BOX")</f>
        <v>EAN_BOX</v>
      </c>
      <c r="I1520" s="136"/>
    </row>
    <row r="1521" ht="15.75" customHeight="1">
      <c r="A1521" s="59"/>
      <c r="B1521" s="63">
        <f t="shared" si="1"/>
        <v>10</v>
      </c>
      <c r="C1521" s="134" t="s">
        <v>122</v>
      </c>
      <c r="D1521" s="141" t="s">
        <v>74</v>
      </c>
      <c r="E1521" s="135">
        <v>22.0</v>
      </c>
      <c r="F1521" s="135" t="s">
        <v>3603</v>
      </c>
      <c r="G1521" s="63" t="str">
        <f>VLOOKUP(C1521, 'Class Def. - General Data'!$C$20:$C$1000,1,false)</f>
        <v>ZFG1_KECAP</v>
      </c>
      <c r="I1521" s="136"/>
    </row>
    <row r="1522" ht="15.75" customHeight="1">
      <c r="A1522" s="59"/>
      <c r="B1522" s="63">
        <f t="shared" si="1"/>
        <v>16</v>
      </c>
      <c r="C1522" s="75" t="s">
        <v>555</v>
      </c>
      <c r="D1522" s="134" t="s">
        <v>74</v>
      </c>
      <c r="E1522" s="135">
        <f t="shared" ref="E1522:E1557" si="33">COUNTIF($C$20:C1522,C1522)</f>
        <v>1</v>
      </c>
      <c r="F1522" s="134" t="str">
        <f>"BRAND_"&amp;MID(C1522,6,20)</f>
        <v>BRAND_KITCHENCLNR</v>
      </c>
      <c r="G1522" s="63" t="str">
        <f>VLOOKUP(C1522, 'Class Def. - General Data'!$C$20:$C$1000,1,false)</f>
        <v>ZFG1_KITCHENCLNR</v>
      </c>
      <c r="H1522" s="63" t="str">
        <f>IFERROR(__xludf.DUMMYFUNCTION("VLOOKUP(F1522, IMPORTRANGE(""https://docs.google.com/spreadsheets/d/1Lhp9OU0JdFf_VYSMzH5lBcEaU4o8teT1piV-SNzShjg/edit?gid=554141278#gid=554141278"", ""'Char Def. - Attributes'!C20:C2242""), 1,false)"),"BRAND_KITCHENCLNR")</f>
        <v>BRAND_KITCHENCLNR</v>
      </c>
      <c r="I1522" s="136"/>
    </row>
    <row r="1523" ht="15.75" customHeight="1">
      <c r="A1523" s="59"/>
      <c r="B1523" s="63">
        <f t="shared" si="1"/>
        <v>16</v>
      </c>
      <c r="C1523" s="75" t="s">
        <v>555</v>
      </c>
      <c r="D1523" s="134" t="s">
        <v>74</v>
      </c>
      <c r="E1523" s="135">
        <f t="shared" si="33"/>
        <v>2</v>
      </c>
      <c r="F1523" s="134" t="s">
        <v>3710</v>
      </c>
      <c r="G1523" s="63" t="str">
        <f>VLOOKUP(C1523, 'Class Def. - General Data'!$C$20:$C$1000,1,false)</f>
        <v>ZFG1_KITCHENCLNR</v>
      </c>
      <c r="H1523" s="63" t="str">
        <f>IFERROR(__xludf.DUMMYFUNCTION("VLOOKUP(F1523, IMPORTRANGE(""https://docs.google.com/spreadsheets/d/1Lhp9OU0JdFf_VYSMzH5lBcEaU4o8teT1piV-SNzShjg/edit?gid=554141278#gid=554141278"", ""'Char Def. - Attributes'!C20:C2242""), 1,false)"),"#N/A")</f>
        <v>#N/A</v>
      </c>
      <c r="I1523" s="136"/>
    </row>
    <row r="1524" ht="15.75" customHeight="1">
      <c r="A1524" s="59"/>
      <c r="B1524" s="63">
        <f t="shared" si="1"/>
        <v>16</v>
      </c>
      <c r="C1524" s="75" t="s">
        <v>555</v>
      </c>
      <c r="D1524" s="134" t="s">
        <v>74</v>
      </c>
      <c r="E1524" s="135">
        <f t="shared" si="33"/>
        <v>3</v>
      </c>
      <c r="F1524" s="134" t="s">
        <v>3605</v>
      </c>
      <c r="G1524" s="63" t="str">
        <f>VLOOKUP(C1524, 'Class Def. - General Data'!$C$20:$C$1000,1,false)</f>
        <v>ZFG1_KITCHENCLNR</v>
      </c>
      <c r="H1524" s="63" t="str">
        <f>IFERROR(__xludf.DUMMYFUNCTION("VLOOKUP(F1524, IMPORTRANGE(""https://docs.google.com/spreadsheets/d/1Lhp9OU0JdFf_VYSMzH5lBcEaU4o8teT1piV-SNzShjg/edit?gid=554141278#gid=554141278"", ""'Char Def. - Attributes'!C20:C2242""), 1,false)"),"PACK_NETTO")</f>
        <v>PACK_NETTO</v>
      </c>
      <c r="I1524" s="136"/>
    </row>
    <row r="1525" ht="15.75" customHeight="1">
      <c r="A1525" s="59"/>
      <c r="B1525" s="63">
        <f t="shared" si="1"/>
        <v>16</v>
      </c>
      <c r="C1525" s="75" t="s">
        <v>555</v>
      </c>
      <c r="D1525" s="134" t="s">
        <v>74</v>
      </c>
      <c r="E1525" s="135">
        <f t="shared" si="33"/>
        <v>4</v>
      </c>
      <c r="F1525" s="134" t="s">
        <v>3711</v>
      </c>
      <c r="G1525" s="63" t="str">
        <f>VLOOKUP(C1525, 'Class Def. - General Data'!$C$20:$C$1000,1,false)</f>
        <v>ZFG1_KITCHENCLNR</v>
      </c>
      <c r="H1525" s="63" t="str">
        <f>IFERROR(__xludf.DUMMYFUNCTION("VLOOKUP(F1525, IMPORTRANGE(""https://docs.google.com/spreadsheets/d/1Lhp9OU0JdFf_VYSMzH5lBcEaU4o8teT1piV-SNzShjg/edit?gid=554141278#gid=554141278"", ""'Char Def. - Attributes'!C20:C2242""), 1,false)"),"#N/A")</f>
        <v>#N/A</v>
      </c>
      <c r="I1525" s="136"/>
    </row>
    <row r="1526" ht="15.75" customHeight="1">
      <c r="A1526" s="59"/>
      <c r="B1526" s="63">
        <f t="shared" si="1"/>
        <v>16</v>
      </c>
      <c r="C1526" s="75" t="s">
        <v>555</v>
      </c>
      <c r="D1526" s="134" t="s">
        <v>74</v>
      </c>
      <c r="E1526" s="135">
        <f t="shared" si="33"/>
        <v>5</v>
      </c>
      <c r="F1526" s="134" t="s">
        <v>3607</v>
      </c>
      <c r="G1526" s="63" t="str">
        <f>VLOOKUP(C1526, 'Class Def. - General Data'!$C$20:$C$1000,1,false)</f>
        <v>ZFG1_KITCHENCLNR</v>
      </c>
      <c r="H1526" s="63" t="str">
        <f>IFERROR(__xludf.DUMMYFUNCTION("VLOOKUP(F1526, IMPORTRANGE(""https://docs.google.com/spreadsheets/d/1Lhp9OU0JdFf_VYSMzH5lBcEaU4o8teT1piV-SNzShjg/edit?gid=554141278#gid=554141278"", ""'Char Def. - Attributes'!C20:C2242""), 1,false)"),"VARIAN")</f>
        <v>VARIAN</v>
      </c>
      <c r="I1526" s="136"/>
    </row>
    <row r="1527" ht="15.75" customHeight="1">
      <c r="A1527" s="59"/>
      <c r="B1527" s="63">
        <f t="shared" si="1"/>
        <v>16</v>
      </c>
      <c r="C1527" s="75" t="s">
        <v>555</v>
      </c>
      <c r="D1527" s="134" t="s">
        <v>74</v>
      </c>
      <c r="E1527" s="135">
        <f t="shared" si="33"/>
        <v>6</v>
      </c>
      <c r="F1527" s="134" t="s">
        <v>3608</v>
      </c>
      <c r="G1527" s="63" t="str">
        <f>VLOOKUP(C1527, 'Class Def. - General Data'!$C$20:$C$1000,1,false)</f>
        <v>ZFG1_KITCHENCLNR</v>
      </c>
      <c r="H1527" s="63" t="str">
        <f>IFERROR(__xludf.DUMMYFUNCTION("VLOOKUP(F1527, IMPORTRANGE(""https://docs.google.com/spreadsheets/d/1Lhp9OU0JdFf_VYSMzH5lBcEaU4o8teT1piV-SNzShjg/edit?gid=554141278#gid=554141278"", ""'Char Def. - Attributes'!C20:C2242""), 1,false)"),"PROJECT_NAME")</f>
        <v>PROJECT_NAME</v>
      </c>
      <c r="I1527" s="136"/>
    </row>
    <row r="1528" ht="15.75" customHeight="1">
      <c r="A1528" s="59"/>
      <c r="B1528" s="63">
        <f t="shared" si="1"/>
        <v>16</v>
      </c>
      <c r="C1528" s="75" t="s">
        <v>555</v>
      </c>
      <c r="D1528" s="134" t="s">
        <v>74</v>
      </c>
      <c r="E1528" s="135">
        <f t="shared" si="33"/>
        <v>7</v>
      </c>
      <c r="F1528" s="134" t="s">
        <v>3609</v>
      </c>
      <c r="G1528" s="63" t="str">
        <f>VLOOKUP(C1528, 'Class Def. - General Data'!$C$20:$C$1000,1,false)</f>
        <v>ZFG1_KITCHENCLNR</v>
      </c>
      <c r="H1528" s="63" t="str">
        <f>IFERROR(__xludf.DUMMYFUNCTION("VLOOKUP(F1528, IMPORTRANGE(""https://docs.google.com/spreadsheets/d/1Lhp9OU0JdFf_VYSMzH5lBcEaU4o8teT1piV-SNzShjg/edit?gid=554141278#gid=554141278"", ""'Char Def. - Attributes'!C20:C2242""), 1,false)"),"ADDITIONAL_PROMO")</f>
        <v>ADDITIONAL_PROMO</v>
      </c>
      <c r="I1528" s="136"/>
    </row>
    <row r="1529" ht="15.75" customHeight="1">
      <c r="A1529" s="59"/>
      <c r="B1529" s="63">
        <f t="shared" si="1"/>
        <v>16</v>
      </c>
      <c r="C1529" s="75" t="s">
        <v>555</v>
      </c>
      <c r="D1529" s="134" t="s">
        <v>74</v>
      </c>
      <c r="E1529" s="135">
        <f t="shared" si="33"/>
        <v>8</v>
      </c>
      <c r="F1529" s="134" t="s">
        <v>3610</v>
      </c>
      <c r="G1529" s="63" t="str">
        <f>VLOOKUP(C1529, 'Class Def. - General Data'!$C$20:$C$1000,1,false)</f>
        <v>ZFG1_KITCHENCLNR</v>
      </c>
      <c r="H1529" s="63" t="str">
        <f>IFERROR(__xludf.DUMMYFUNCTION("VLOOKUP(F1529, IMPORTRANGE(""https://docs.google.com/spreadsheets/d/1Lhp9OU0JdFf_VYSMzH5lBcEaU4o8teT1piV-SNzShjg/edit?gid=554141278#gid=554141278"", ""'Char Def. - Attributes'!C20:C2242""), 1,false)"),"BANDED_PROMO")</f>
        <v>BANDED_PROMO</v>
      </c>
      <c r="I1529" s="136"/>
    </row>
    <row r="1530" ht="15.75" customHeight="1">
      <c r="A1530" s="59"/>
      <c r="B1530" s="63">
        <f t="shared" si="1"/>
        <v>16</v>
      </c>
      <c r="C1530" s="75" t="s">
        <v>555</v>
      </c>
      <c r="D1530" s="134" t="s">
        <v>74</v>
      </c>
      <c r="E1530" s="135">
        <f t="shared" si="33"/>
        <v>9</v>
      </c>
      <c r="F1530" s="134" t="s">
        <v>3611</v>
      </c>
      <c r="G1530" s="63" t="str">
        <f>VLOOKUP(C1530, 'Class Def. - General Data'!$C$20:$C$1000,1,false)</f>
        <v>ZFG1_KITCHENCLNR</v>
      </c>
      <c r="H1530" s="63" t="str">
        <f>IFERROR(__xludf.DUMMYFUNCTION("VLOOKUP(F1530, IMPORTRANGE(""https://docs.google.com/spreadsheets/d/1Lhp9OU0JdFf_VYSMzH5lBcEaU4o8teT1piV-SNzShjg/edit?gid=554141278#gid=554141278"", ""'Char Def. - Attributes'!C20:C2242""), 1,false)"),"LOKAL_EKSPOR")</f>
        <v>LOKAL_EKSPOR</v>
      </c>
      <c r="I1530" s="136"/>
    </row>
    <row r="1531" ht="15.75" customHeight="1">
      <c r="A1531" s="59"/>
      <c r="B1531" s="63">
        <f t="shared" si="1"/>
        <v>16</v>
      </c>
      <c r="C1531" s="75" t="s">
        <v>555</v>
      </c>
      <c r="D1531" s="134" t="s">
        <v>74</v>
      </c>
      <c r="E1531" s="135">
        <f t="shared" si="33"/>
        <v>10</v>
      </c>
      <c r="F1531" s="134" t="s">
        <v>3612</v>
      </c>
      <c r="G1531" s="63" t="str">
        <f>VLOOKUP(C1531, 'Class Def. - General Data'!$C$20:$C$1000,1,false)</f>
        <v>ZFG1_KITCHENCLNR</v>
      </c>
      <c r="H1531" s="63" t="str">
        <f>IFERROR(__xludf.DUMMYFUNCTION("VLOOKUP(F1531, IMPORTRANGE(""https://docs.google.com/spreadsheets/d/1Lhp9OU0JdFf_VYSMzH5lBcEaU4o8teT1piV-SNzShjg/edit?gid=554141278#gid=554141278"", ""'Char Def. - Attributes'!C20:C2242""), 1,false)"),"COUNTRY_EKSPOR")</f>
        <v>COUNTRY_EKSPOR</v>
      </c>
      <c r="I1531" s="136"/>
    </row>
    <row r="1532" ht="15.75" customHeight="1">
      <c r="A1532" s="59"/>
      <c r="B1532" s="63">
        <f t="shared" si="1"/>
        <v>16</v>
      </c>
      <c r="C1532" s="75" t="s">
        <v>555</v>
      </c>
      <c r="D1532" s="134" t="s">
        <v>74</v>
      </c>
      <c r="E1532" s="135">
        <f t="shared" si="33"/>
        <v>11</v>
      </c>
      <c r="F1532" s="134" t="s">
        <v>3613</v>
      </c>
      <c r="G1532" s="63" t="str">
        <f>VLOOKUP(C1532, 'Class Def. - General Data'!$C$20:$C$1000,1,false)</f>
        <v>ZFG1_KITCHENCLNR</v>
      </c>
      <c r="H1532" s="63" t="str">
        <f>IFERROR(__xludf.DUMMYFUNCTION("VLOOKUP(F1532, IMPORTRANGE(""https://docs.google.com/spreadsheets/d/1Lhp9OU0JdFf_VYSMzH5lBcEaU4o8teT1piV-SNzShjg/edit?gid=554141278#gid=554141278"", ""'Char Def. - Attributes'!C20:C2242""), 1,false)"),"WARNA_SFG")</f>
        <v>WARNA_SFG</v>
      </c>
      <c r="I1532" s="136"/>
    </row>
    <row r="1533" ht="15.75" customHeight="1">
      <c r="A1533" s="59"/>
      <c r="B1533" s="63">
        <f t="shared" si="1"/>
        <v>16</v>
      </c>
      <c r="C1533" s="75" t="s">
        <v>555</v>
      </c>
      <c r="D1533" s="134" t="s">
        <v>74</v>
      </c>
      <c r="E1533" s="135">
        <f t="shared" si="33"/>
        <v>12</v>
      </c>
      <c r="F1533" s="134" t="s">
        <v>3582</v>
      </c>
      <c r="G1533" s="63" t="str">
        <f>VLOOKUP(C1533, 'Class Def. - General Data'!$C$20:$C$1000,1,false)</f>
        <v>ZFG1_KITCHENCLNR</v>
      </c>
      <c r="H1533" s="63" t="str">
        <f>IFERROR(__xludf.DUMMYFUNCTION("VLOOKUP(F1533, IMPORTRANGE(""https://docs.google.com/spreadsheets/d/1Lhp9OU0JdFf_VYSMzH5lBcEaU4o8teT1piV-SNzShjg/edit?gid=554141278#gid=554141278"", ""'Char Def. - Attributes'!C20:C2242""), 1,false)"),"BASE_UNIT")</f>
        <v>BASE_UNIT</v>
      </c>
      <c r="I1533" s="136"/>
    </row>
    <row r="1534" ht="15.75" customHeight="1">
      <c r="A1534" s="59"/>
      <c r="B1534" s="63">
        <f t="shared" si="1"/>
        <v>16</v>
      </c>
      <c r="C1534" s="75" t="s">
        <v>555</v>
      </c>
      <c r="D1534" s="134" t="s">
        <v>74</v>
      </c>
      <c r="E1534" s="135">
        <f t="shared" si="33"/>
        <v>13</v>
      </c>
      <c r="F1534" s="134" t="s">
        <v>3583</v>
      </c>
      <c r="G1534" s="63" t="str">
        <f>VLOOKUP(C1534, 'Class Def. - General Data'!$C$20:$C$1000,1,false)</f>
        <v>ZFG1_KITCHENCLNR</v>
      </c>
      <c r="H1534" s="63" t="str">
        <f>IFERROR(__xludf.DUMMYFUNCTION("VLOOKUP(F1534, IMPORTRANGE(""https://docs.google.com/spreadsheets/d/1Lhp9OU0JdFf_VYSMzH5lBcEaU4o8teT1piV-SNzShjg/edit?gid=554141278#gid=554141278"", ""'Char Def. - Attributes'!C20:C2242""), 1,false)"),"SALES_UNIT")</f>
        <v>SALES_UNIT</v>
      </c>
      <c r="I1534" s="136"/>
    </row>
    <row r="1535" ht="15.75" customHeight="1">
      <c r="A1535" s="59"/>
      <c r="B1535" s="63">
        <f t="shared" si="1"/>
        <v>16</v>
      </c>
      <c r="C1535" s="75" t="s">
        <v>555</v>
      </c>
      <c r="D1535" s="134" t="s">
        <v>74</v>
      </c>
      <c r="E1535" s="135">
        <f t="shared" si="33"/>
        <v>14</v>
      </c>
      <c r="F1535" s="134" t="s">
        <v>3601</v>
      </c>
      <c r="G1535" s="63" t="str">
        <f>VLOOKUP(C1535, 'Class Def. - General Data'!$C$20:$C$1000,1,false)</f>
        <v>ZFG1_KITCHENCLNR</v>
      </c>
      <c r="H1535" s="63" t="str">
        <f>IFERROR(__xludf.DUMMYFUNCTION("VLOOKUP(F1535, IMPORTRANGE(""https://docs.google.com/spreadsheets/d/1Lhp9OU0JdFf_VYSMzH5lBcEaU4o8teT1piV-SNzShjg/edit?gid=554141278#gid=554141278"", ""'Char Def. - Attributes'!C20:C2242""), 1,false)"),"GROSS_WEIGHT")</f>
        <v>GROSS_WEIGHT</v>
      </c>
      <c r="I1535" s="136"/>
    </row>
    <row r="1536" ht="15.75" customHeight="1">
      <c r="A1536" s="59"/>
      <c r="B1536" s="63">
        <f t="shared" si="1"/>
        <v>16</v>
      </c>
      <c r="C1536" s="75" t="s">
        <v>555</v>
      </c>
      <c r="D1536" s="134" t="s">
        <v>74</v>
      </c>
      <c r="E1536" s="135">
        <f t="shared" si="33"/>
        <v>15</v>
      </c>
      <c r="F1536" s="134" t="s">
        <v>3602</v>
      </c>
      <c r="G1536" s="63" t="str">
        <f>VLOOKUP(C1536, 'Class Def. - General Data'!$C$20:$C$1000,1,false)</f>
        <v>ZFG1_KITCHENCLNR</v>
      </c>
      <c r="H1536" s="63" t="str">
        <f>IFERROR(__xludf.DUMMYFUNCTION("VLOOKUP(F1536, IMPORTRANGE(""https://docs.google.com/spreadsheets/d/1Lhp9OU0JdFf_VYSMzH5lBcEaU4o8teT1piV-SNzShjg/edit?gid=554141278#gid=554141278"", ""'Char Def. - Attributes'!C20:C2242""), 1,false)"),"NET_WEIGHT")</f>
        <v>NET_WEIGHT</v>
      </c>
      <c r="I1536" s="136"/>
    </row>
    <row r="1537" ht="15.75" customHeight="1">
      <c r="A1537" s="59"/>
      <c r="B1537" s="63">
        <f t="shared" si="1"/>
        <v>16</v>
      </c>
      <c r="C1537" s="75" t="s">
        <v>555</v>
      </c>
      <c r="D1537" s="134" t="s">
        <v>74</v>
      </c>
      <c r="E1537" s="135">
        <f t="shared" si="33"/>
        <v>16</v>
      </c>
      <c r="F1537" s="134" t="s">
        <v>3584</v>
      </c>
      <c r="G1537" s="63" t="str">
        <f>VLOOKUP(C1537, 'Class Def. - General Data'!$C$20:$C$1000,1,false)</f>
        <v>ZFG1_KITCHENCLNR</v>
      </c>
      <c r="H1537" s="63" t="str">
        <f>IFERROR(__xludf.DUMMYFUNCTION("VLOOKUP(F1537, IMPORTRANGE(""https://docs.google.com/spreadsheets/d/1Lhp9OU0JdFf_VYSMzH5lBcEaU4o8teT1piV-SNzShjg/edit?gid=554141278#gid=554141278"", ""'Char Def. - Attributes'!C20:C2242""), 1,false)"),"UNIT_PER_BOX")</f>
        <v>UNIT_PER_BOX</v>
      </c>
      <c r="I1537" s="136"/>
    </row>
    <row r="1538" ht="15.75" customHeight="1">
      <c r="A1538" s="59"/>
      <c r="B1538" s="63">
        <f t="shared" si="1"/>
        <v>16</v>
      </c>
      <c r="C1538" s="75" t="s">
        <v>555</v>
      </c>
      <c r="D1538" s="134" t="s">
        <v>74</v>
      </c>
      <c r="E1538" s="135">
        <f t="shared" si="33"/>
        <v>17</v>
      </c>
      <c r="F1538" s="134" t="s">
        <v>3614</v>
      </c>
      <c r="G1538" s="63" t="str">
        <f>VLOOKUP(C1538, 'Class Def. - General Data'!$C$20:$C$1000,1,false)</f>
        <v>ZFG1_KITCHENCLNR</v>
      </c>
      <c r="H1538" s="63" t="str">
        <f>IFERROR(__xludf.DUMMYFUNCTION("VLOOKUP(F1538, IMPORTRANGE(""https://docs.google.com/spreadsheets/d/1Lhp9OU0JdFf_VYSMzH5lBcEaU4o8teT1piV-SNzShjg/edit?gid=554141278#gid=554141278"", ""'Char Def. - Attributes'!C20:C2242""), 1,false)"),"UNIT_PER_CTN")</f>
        <v>UNIT_PER_CTN</v>
      </c>
      <c r="I1538" s="136"/>
    </row>
    <row r="1539" ht="15.75" customHeight="1">
      <c r="A1539" s="66"/>
      <c r="B1539" s="63">
        <f t="shared" si="1"/>
        <v>16</v>
      </c>
      <c r="C1539" s="75" t="s">
        <v>555</v>
      </c>
      <c r="D1539" s="134" t="s">
        <v>74</v>
      </c>
      <c r="E1539" s="135">
        <f t="shared" si="33"/>
        <v>18</v>
      </c>
      <c r="F1539" s="134" t="s">
        <v>3615</v>
      </c>
      <c r="G1539" s="63" t="str">
        <f>VLOOKUP(C1539, 'Class Def. - General Data'!$C$20:$C$1000,1,false)</f>
        <v>ZFG1_KITCHENCLNR</v>
      </c>
      <c r="H1539" s="63" t="str">
        <f>IFERROR(__xludf.DUMMYFUNCTION("VLOOKUP(F1539, IMPORTRANGE(""https://docs.google.com/spreadsheets/d/1Lhp9OU0JdFf_VYSMzH5lBcEaU4o8teT1piV-SNzShjg/edit?gid=554141278#gid=554141278"", ""'Char Def. - Attributes'!C20:C2242""), 1,false)"),"UNIT_PER_BAG")</f>
        <v>UNIT_PER_BAG</v>
      </c>
      <c r="I1539" s="136"/>
    </row>
    <row r="1540" ht="15.75" customHeight="1">
      <c r="A1540" s="66"/>
      <c r="B1540" s="63">
        <f t="shared" si="1"/>
        <v>16</v>
      </c>
      <c r="C1540" s="75" t="s">
        <v>555</v>
      </c>
      <c r="D1540" s="134" t="s">
        <v>74</v>
      </c>
      <c r="E1540" s="135">
        <f t="shared" si="33"/>
        <v>19</v>
      </c>
      <c r="F1540" s="134" t="s">
        <v>3616</v>
      </c>
      <c r="G1540" s="63" t="str">
        <f>VLOOKUP(C1540, 'Class Def. - General Data'!$C$20:$C$1000,1,false)</f>
        <v>ZFG1_KITCHENCLNR</v>
      </c>
      <c r="H1540" s="63" t="str">
        <f>IFERROR(__xludf.DUMMYFUNCTION("VLOOKUP(F1540, IMPORTRANGE(""https://docs.google.com/spreadsheets/d/1Lhp9OU0JdFf_VYSMzH5lBcEaU4o8teT1piV-SNzShjg/edit?gid=554141278#gid=554141278"", ""'Char Def. - Attributes'!C20:C2242""), 1,false)"),"UNIT_PER_PAL")</f>
        <v>UNIT_PER_PAL</v>
      </c>
      <c r="I1540" s="136"/>
    </row>
    <row r="1541" ht="15.75" customHeight="1">
      <c r="A1541" s="59"/>
      <c r="B1541" s="63">
        <f t="shared" si="1"/>
        <v>16</v>
      </c>
      <c r="C1541" s="75" t="s">
        <v>555</v>
      </c>
      <c r="D1541" s="134" t="s">
        <v>74</v>
      </c>
      <c r="E1541" s="135">
        <f t="shared" si="33"/>
        <v>20</v>
      </c>
      <c r="F1541" s="134" t="s">
        <v>3617</v>
      </c>
      <c r="G1541" s="63" t="str">
        <f>VLOOKUP(C1541, 'Class Def. - General Data'!$C$20:$C$1000,1,false)</f>
        <v>ZFG1_KITCHENCLNR</v>
      </c>
      <c r="H1541" s="63" t="str">
        <f>IFERROR(__xludf.DUMMYFUNCTION("VLOOKUP(F1541, IMPORTRANGE(""https://docs.google.com/spreadsheets/d/1Lhp9OU0JdFf_VYSMzH5lBcEaU4o8teT1piV-SNzShjg/edit?gid=554141278#gid=554141278"", ""'Char Def. - Attributes'!C20:C2242""), 1,false)"),"UNIT_PER_TIER")</f>
        <v>UNIT_PER_TIER</v>
      </c>
      <c r="I1541" s="136"/>
    </row>
    <row r="1542" ht="15.75" customHeight="1">
      <c r="A1542" s="59"/>
      <c r="B1542" s="63">
        <f t="shared" si="1"/>
        <v>16</v>
      </c>
      <c r="C1542" s="75" t="s">
        <v>555</v>
      </c>
      <c r="D1542" s="134" t="s">
        <v>74</v>
      </c>
      <c r="E1542" s="135">
        <f t="shared" si="33"/>
        <v>21</v>
      </c>
      <c r="F1542" s="134" t="s">
        <v>3618</v>
      </c>
      <c r="G1542" s="63" t="str">
        <f>VLOOKUP(C1542, 'Class Def. - General Data'!$C$20:$C$1000,1,false)</f>
        <v>ZFG1_KITCHENCLNR</v>
      </c>
      <c r="H1542" s="63" t="str">
        <f>IFERROR(__xludf.DUMMYFUNCTION("VLOOKUP(F1542, IMPORTRANGE(""https://docs.google.com/spreadsheets/d/1Lhp9OU0JdFf_VYSMzH5lBcEaU4o8teT1piV-SNzShjg/edit?gid=554141278#gid=554141278"", ""'Char Def. - Attributes'!C20:C2242""), 1,false)"),"HEIGHT")</f>
        <v>HEIGHT</v>
      </c>
      <c r="I1542" s="136"/>
    </row>
    <row r="1543" ht="15.75" customHeight="1">
      <c r="A1543" s="59"/>
      <c r="B1543" s="63">
        <f t="shared" si="1"/>
        <v>16</v>
      </c>
      <c r="C1543" s="75" t="s">
        <v>555</v>
      </c>
      <c r="D1543" s="134" t="s">
        <v>74</v>
      </c>
      <c r="E1543" s="135">
        <f t="shared" si="33"/>
        <v>22</v>
      </c>
      <c r="F1543" s="134" t="s">
        <v>3587</v>
      </c>
      <c r="G1543" s="63" t="str">
        <f>VLOOKUP(C1543, 'Class Def. - General Data'!$C$20:$C$1000,1,false)</f>
        <v>ZFG1_KITCHENCLNR</v>
      </c>
      <c r="H1543" s="63" t="str">
        <f>IFERROR(__xludf.DUMMYFUNCTION("VLOOKUP(F1543, IMPORTRANGE(""https://docs.google.com/spreadsheets/d/1Lhp9OU0JdFf_VYSMzH5lBcEaU4o8teT1piV-SNzShjg/edit?gid=554141278#gid=554141278"", ""'Char Def. - Attributes'!C20:C2242""), 1,false)"),"PLANT_BUY")</f>
        <v>PLANT_BUY</v>
      </c>
      <c r="I1543" s="136"/>
    </row>
    <row r="1544" ht="15.75" customHeight="1">
      <c r="A1544" s="59"/>
      <c r="B1544" s="63">
        <f t="shared" si="1"/>
        <v>16</v>
      </c>
      <c r="C1544" s="75" t="s">
        <v>555</v>
      </c>
      <c r="D1544" s="134" t="s">
        <v>74</v>
      </c>
      <c r="E1544" s="135">
        <f t="shared" si="33"/>
        <v>23</v>
      </c>
      <c r="F1544" s="134" t="s">
        <v>3619</v>
      </c>
      <c r="G1544" s="63" t="str">
        <f>VLOOKUP(C1544, 'Class Def. - General Data'!$C$20:$C$1000,1,false)</f>
        <v>ZFG1_KITCHENCLNR</v>
      </c>
      <c r="H1544" s="63" t="str">
        <f>IFERROR(__xludf.DUMMYFUNCTION("VLOOKUP(F1544, IMPORTRANGE(""https://docs.google.com/spreadsheets/d/1Lhp9OU0JdFf_VYSMzH5lBcEaU4o8teT1piV-SNzShjg/edit?gid=554141278#gid=554141278"", ""'Char Def. - Attributes'!C20:C2242""), 1,false)"),"LENGTH")</f>
        <v>LENGTH</v>
      </c>
      <c r="I1544" s="136"/>
    </row>
    <row r="1545" ht="15.75" customHeight="1">
      <c r="A1545" s="59"/>
      <c r="B1545" s="63">
        <f t="shared" si="1"/>
        <v>16</v>
      </c>
      <c r="C1545" s="75" t="s">
        <v>555</v>
      </c>
      <c r="D1545" s="134" t="s">
        <v>74</v>
      </c>
      <c r="E1545" s="135">
        <f t="shared" si="33"/>
        <v>24</v>
      </c>
      <c r="F1545" s="134" t="s">
        <v>3586</v>
      </c>
      <c r="G1545" s="63" t="str">
        <f>VLOOKUP(C1545, 'Class Def. - General Data'!$C$20:$C$1000,1,false)</f>
        <v>ZFG1_KITCHENCLNR</v>
      </c>
      <c r="H1545" s="63" t="str">
        <f>IFERROR(__xludf.DUMMYFUNCTION("VLOOKUP(F1545, IMPORTRANGE(""https://docs.google.com/spreadsheets/d/1Lhp9OU0JdFf_VYSMzH5lBcEaU4o8teT1piV-SNzShjg/edit?gid=554141278#gid=554141278"", ""'Char Def. - Attributes'!C20:C2242""), 1,false)"),"PLANT_PROD")</f>
        <v>PLANT_PROD</v>
      </c>
      <c r="I1545" s="136"/>
    </row>
    <row r="1546" ht="15.75" customHeight="1">
      <c r="A1546" s="59"/>
      <c r="B1546" s="63">
        <f t="shared" si="1"/>
        <v>16</v>
      </c>
      <c r="C1546" s="75" t="s">
        <v>555</v>
      </c>
      <c r="D1546" s="134" t="s">
        <v>74</v>
      </c>
      <c r="E1546" s="135">
        <f t="shared" si="33"/>
        <v>25</v>
      </c>
      <c r="F1546" s="134" t="s">
        <v>3620</v>
      </c>
      <c r="G1546" s="63" t="str">
        <f>VLOOKUP(C1546, 'Class Def. - General Data'!$C$20:$C$1000,1,false)</f>
        <v>ZFG1_KITCHENCLNR</v>
      </c>
      <c r="H1546" s="63" t="str">
        <f>IFERROR(__xludf.DUMMYFUNCTION("VLOOKUP(F1546, IMPORTRANGE(""https://docs.google.com/spreadsheets/d/1Lhp9OU0JdFf_VYSMzH5lBcEaU4o8teT1piV-SNzShjg/edit?gid=554141278#gid=554141278"", ""'Char Def. - Attributes'!C20:C2242""), 1,false)"),"WIDTH")</f>
        <v>WIDTH</v>
      </c>
      <c r="I1546" s="136"/>
    </row>
    <row r="1547" ht="15.75" customHeight="1">
      <c r="A1547" s="59"/>
      <c r="B1547" s="63">
        <f t="shared" si="1"/>
        <v>16</v>
      </c>
      <c r="C1547" s="75" t="s">
        <v>555</v>
      </c>
      <c r="D1547" s="134" t="s">
        <v>74</v>
      </c>
      <c r="E1547" s="135">
        <f t="shared" si="33"/>
        <v>26</v>
      </c>
      <c r="F1547" s="134" t="s">
        <v>3585</v>
      </c>
      <c r="G1547" s="63" t="str">
        <f>VLOOKUP(C1547, 'Class Def. - General Data'!$C$20:$C$1000,1,false)</f>
        <v>ZFG1_KITCHENCLNR</v>
      </c>
      <c r="H1547" s="63" t="str">
        <f>IFERROR(__xludf.DUMMYFUNCTION("VLOOKUP(F1547, IMPORTRANGE(""https://docs.google.com/spreadsheets/d/1Lhp9OU0JdFf_VYSMzH5lBcEaU4o8teT1piV-SNzShjg/edit?gid=554141278#gid=554141278"", ""'Char Def. - Attributes'!C20:C2242""), 1,false)"),"HS_CODE")</f>
        <v>HS_CODE</v>
      </c>
      <c r="I1547" s="136"/>
    </row>
    <row r="1548" ht="15.75" customHeight="1">
      <c r="A1548" s="59"/>
      <c r="B1548" s="63">
        <f t="shared" si="1"/>
        <v>16</v>
      </c>
      <c r="C1548" s="75" t="s">
        <v>555</v>
      </c>
      <c r="D1548" s="134" t="s">
        <v>74</v>
      </c>
      <c r="E1548" s="135">
        <f t="shared" si="33"/>
        <v>27</v>
      </c>
      <c r="F1548" s="134" t="s">
        <v>3621</v>
      </c>
      <c r="G1548" s="63" t="str">
        <f>VLOOKUP(C1548, 'Class Def. - General Data'!$C$20:$C$1000,1,false)</f>
        <v>ZFG1_KITCHENCLNR</v>
      </c>
      <c r="H1548" s="63" t="str">
        <f>IFERROR(__xludf.DUMMYFUNCTION("VLOOKUP(F1548, IMPORTRANGE(""https://docs.google.com/spreadsheets/d/1Lhp9OU0JdFf_VYSMzH5lBcEaU4o8teT1piV-SNzShjg/edit?gid=554141278#gid=554141278"", ""'Char Def. - Attributes'!C20:C2242""), 1,false)"),"EAN_PCS")</f>
        <v>EAN_PCS</v>
      </c>
      <c r="I1548" s="136"/>
    </row>
    <row r="1549" ht="15.75" customHeight="1">
      <c r="A1549" s="59"/>
      <c r="B1549" s="63">
        <f t="shared" si="1"/>
        <v>16</v>
      </c>
      <c r="C1549" s="75" t="s">
        <v>555</v>
      </c>
      <c r="D1549" s="134" t="s">
        <v>74</v>
      </c>
      <c r="E1549" s="135">
        <f t="shared" si="33"/>
        <v>28</v>
      </c>
      <c r="F1549" s="134" t="s">
        <v>3622</v>
      </c>
      <c r="G1549" s="63" t="str">
        <f>VLOOKUP(C1549, 'Class Def. - General Data'!$C$20:$C$1000,1,false)</f>
        <v>ZFG1_KITCHENCLNR</v>
      </c>
      <c r="H1549" s="63" t="str">
        <f>IFERROR(__xludf.DUMMYFUNCTION("VLOOKUP(F1549, IMPORTRANGE(""https://docs.google.com/spreadsheets/d/1Lhp9OU0JdFf_VYSMzH5lBcEaU4o8teT1piV-SNzShjg/edit?gid=554141278#gid=554141278"", ""'Char Def. - Attributes'!C20:C2242""), 1,false)"),"SFG_BRAND")</f>
        <v>SFG_BRAND</v>
      </c>
      <c r="I1549" s="136"/>
    </row>
    <row r="1550" ht="15.75" customHeight="1">
      <c r="A1550" s="59"/>
      <c r="B1550" s="63">
        <f t="shared" si="1"/>
        <v>16</v>
      </c>
      <c r="C1550" s="75" t="s">
        <v>555</v>
      </c>
      <c r="D1550" s="134" t="s">
        <v>74</v>
      </c>
      <c r="E1550" s="135">
        <f t="shared" si="33"/>
        <v>29</v>
      </c>
      <c r="F1550" s="134" t="s">
        <v>3623</v>
      </c>
      <c r="G1550" s="63" t="str">
        <f>VLOOKUP(C1550, 'Class Def. - General Data'!$C$20:$C$1000,1,false)</f>
        <v>ZFG1_KITCHENCLNR</v>
      </c>
      <c r="H1550" s="63" t="str">
        <f>IFERROR(__xludf.DUMMYFUNCTION("VLOOKUP(F1550, IMPORTRANGE(""https://docs.google.com/spreadsheets/d/1Lhp9OU0JdFf_VYSMzH5lBcEaU4o8teT1piV-SNzShjg/edit?gid=554141278#gid=554141278"", ""'Char Def. - Attributes'!C20:C2242""), 1,false)"),"LANGUAGE")</f>
        <v>LANGUAGE</v>
      </c>
      <c r="I1550" s="136"/>
    </row>
    <row r="1551" ht="15.75" customHeight="1">
      <c r="A1551" s="59"/>
      <c r="B1551" s="63">
        <f t="shared" si="1"/>
        <v>16</v>
      </c>
      <c r="C1551" s="138" t="s">
        <v>555</v>
      </c>
      <c r="D1551" s="139" t="s">
        <v>74</v>
      </c>
      <c r="E1551" s="140">
        <f t="shared" si="33"/>
        <v>30</v>
      </c>
      <c r="F1551" s="134" t="s">
        <v>3624</v>
      </c>
      <c r="G1551" s="63" t="str">
        <f>VLOOKUP(C1551, 'Class Def. - General Data'!$C$20:$C$1000,1,false)</f>
        <v>ZFG1_KITCHENCLNR</v>
      </c>
      <c r="H1551" s="63" t="str">
        <f>IFERROR(__xludf.DUMMYFUNCTION("VLOOKUP(F1551, IMPORTRANGE(""https://docs.google.com/spreadsheets/d/1Lhp9OU0JdFf_VYSMzH5lBcEaU4o8teT1piV-SNzShjg/edit?gid=554141278#gid=554141278"", ""'Char Def. - Attributes'!C20:C2242""), 1,false)"),"#N/A")</f>
        <v>#N/A</v>
      </c>
      <c r="I1551" s="136"/>
    </row>
    <row r="1552" ht="15.75" customHeight="1">
      <c r="A1552" s="59"/>
      <c r="B1552" s="63">
        <f t="shared" si="1"/>
        <v>16</v>
      </c>
      <c r="C1552" s="75" t="s">
        <v>555</v>
      </c>
      <c r="D1552" s="134" t="s">
        <v>74</v>
      </c>
      <c r="E1552" s="135">
        <f t="shared" si="33"/>
        <v>31</v>
      </c>
      <c r="F1552" s="134" t="s">
        <v>3625</v>
      </c>
      <c r="G1552" s="63" t="str">
        <f>VLOOKUP(C1552, 'Class Def. - General Data'!$C$20:$C$1000,1,false)</f>
        <v>ZFG1_KITCHENCLNR</v>
      </c>
      <c r="H1552" s="63" t="str">
        <f>IFERROR(__xludf.DUMMYFUNCTION("VLOOKUP(F1552, IMPORTRANGE(""https://docs.google.com/spreadsheets/d/1Lhp9OU0JdFf_VYSMzH5lBcEaU4o8teT1piV-SNzShjg/edit?gid=554141278#gid=554141278"", ""'Char Def. - Attributes'!C20:C2242""), 1,false)"),"REGION_EKSPOR")</f>
        <v>REGION_EKSPOR</v>
      </c>
      <c r="I1552" s="136"/>
    </row>
    <row r="1553" ht="15.75" customHeight="1">
      <c r="A1553" s="59"/>
      <c r="B1553" s="63">
        <f t="shared" si="1"/>
        <v>16</v>
      </c>
      <c r="C1553" s="75" t="s">
        <v>555</v>
      </c>
      <c r="D1553" s="134" t="s">
        <v>74</v>
      </c>
      <c r="E1553" s="135">
        <f t="shared" si="33"/>
        <v>32</v>
      </c>
      <c r="F1553" s="134" t="s">
        <v>3626</v>
      </c>
      <c r="G1553" s="63" t="str">
        <f>VLOOKUP(C1553, 'Class Def. - General Data'!$C$20:$C$1000,1,false)</f>
        <v>ZFG1_KITCHENCLNR</v>
      </c>
      <c r="H1553" s="63" t="str">
        <f>IFERROR(__xludf.DUMMYFUNCTION("VLOOKUP(F1553, IMPORTRANGE(""https://docs.google.com/spreadsheets/d/1Lhp9OU0JdFf_VYSMzH5lBcEaU4o8teT1piV-SNzShjg/edit?gid=554141278#gid=554141278"", ""'Char Def. - Attributes'!C20:C2242""), 1,false)"),"STICKER_NOT")</f>
        <v>STICKER_NOT</v>
      </c>
      <c r="I1553" s="136"/>
    </row>
    <row r="1554" ht="15.75" customHeight="1">
      <c r="A1554" s="59"/>
      <c r="B1554" s="63">
        <f t="shared" si="1"/>
        <v>16</v>
      </c>
      <c r="C1554" s="75" t="s">
        <v>555</v>
      </c>
      <c r="D1554" s="134" t="s">
        <v>74</v>
      </c>
      <c r="E1554" s="135">
        <f t="shared" si="33"/>
        <v>33</v>
      </c>
      <c r="F1554" s="134" t="s">
        <v>3627</v>
      </c>
      <c r="G1554" s="63" t="str">
        <f>VLOOKUP(C1554, 'Class Def. - General Data'!$C$20:$C$1000,1,false)</f>
        <v>ZFG1_KITCHENCLNR</v>
      </c>
      <c r="H1554" s="63" t="str">
        <f>IFERROR(__xludf.DUMMYFUNCTION("VLOOKUP(F1554, IMPORTRANGE(""https://docs.google.com/spreadsheets/d/1Lhp9OU0JdFf_VYSMzH5lBcEaU4o8teT1piV-SNzShjg/edit?gid=554141278#gid=554141278"", ""'Char Def. - Attributes'!C20:C2242""), 1,false)"),"SHIP_MARK")</f>
        <v>SHIP_MARK</v>
      </c>
      <c r="I1554" s="136"/>
    </row>
    <row r="1555" ht="15.75" customHeight="1">
      <c r="A1555" s="59"/>
      <c r="B1555" s="63">
        <f t="shared" si="1"/>
        <v>16</v>
      </c>
      <c r="C1555" s="75" t="s">
        <v>555</v>
      </c>
      <c r="D1555" s="134" t="s">
        <v>74</v>
      </c>
      <c r="E1555" s="135">
        <f t="shared" si="33"/>
        <v>34</v>
      </c>
      <c r="F1555" s="134" t="s">
        <v>3628</v>
      </c>
      <c r="G1555" s="63" t="str">
        <f>VLOOKUP(C1555, 'Class Def. - General Data'!$C$20:$C$1000,1,false)</f>
        <v>ZFG1_KITCHENCLNR</v>
      </c>
      <c r="H1555" s="63" t="str">
        <f>IFERROR(__xludf.DUMMYFUNCTION("VLOOKUP(F1555, IMPORTRANGE(""https://docs.google.com/spreadsheets/d/1Lhp9OU0JdFf_VYSMzH5lBcEaU4o8teT1piV-SNzShjg/edit?gid=554141278#gid=554141278"", ""'Char Def. - Attributes'!C20:C2242""), 1,false)"),"MID_CORE")</f>
        <v>MID_CORE</v>
      </c>
      <c r="I1555" s="136"/>
    </row>
    <row r="1556" ht="15.75" customHeight="1">
      <c r="A1556" s="59"/>
      <c r="B1556" s="63">
        <f t="shared" si="1"/>
        <v>16</v>
      </c>
      <c r="C1556" s="75" t="s">
        <v>555</v>
      </c>
      <c r="D1556" s="134" t="s">
        <v>74</v>
      </c>
      <c r="E1556" s="135">
        <f t="shared" si="33"/>
        <v>35</v>
      </c>
      <c r="F1556" s="134" t="s">
        <v>3629</v>
      </c>
      <c r="G1556" s="63" t="str">
        <f>VLOOKUP(C1556, 'Class Def. - General Data'!$C$20:$C$1000,1,false)</f>
        <v>ZFG1_KITCHENCLNR</v>
      </c>
      <c r="H1556" s="63" t="str">
        <f>IFERROR(__xludf.DUMMYFUNCTION("VLOOKUP(F1556, IMPORTRANGE(""https://docs.google.com/spreadsheets/d/1Lhp9OU0JdFf_VYSMzH5lBcEaU4o8teT1piV-SNzShjg/edit?gid=554141278#gid=554141278"", ""'Char Def. - Attributes'!C20:C2242""), 1,false)"),"EAN_CTN")</f>
        <v>EAN_CTN</v>
      </c>
      <c r="I1556" s="136"/>
    </row>
    <row r="1557" ht="15.75" customHeight="1">
      <c r="A1557" s="59"/>
      <c r="B1557" s="63">
        <f t="shared" si="1"/>
        <v>16</v>
      </c>
      <c r="C1557" s="75" t="s">
        <v>555</v>
      </c>
      <c r="D1557" s="134" t="s">
        <v>74</v>
      </c>
      <c r="E1557" s="135">
        <f t="shared" si="33"/>
        <v>36</v>
      </c>
      <c r="F1557" s="134" t="s">
        <v>3630</v>
      </c>
      <c r="G1557" s="63" t="str">
        <f>VLOOKUP(C1557, 'Class Def. - General Data'!$C$20:$C$1000,1,false)</f>
        <v>ZFG1_KITCHENCLNR</v>
      </c>
      <c r="H1557" s="63" t="str">
        <f>IFERROR(__xludf.DUMMYFUNCTION("VLOOKUP(F1557, IMPORTRANGE(""https://docs.google.com/spreadsheets/d/1Lhp9OU0JdFf_VYSMzH5lBcEaU4o8teT1piV-SNzShjg/edit?gid=554141278#gid=554141278"", ""'Char Def. - Attributes'!C20:C2242""), 1,false)"),"EAN_BOX")</f>
        <v>EAN_BOX</v>
      </c>
      <c r="I1557" s="136"/>
    </row>
    <row r="1558" ht="15.75" customHeight="1">
      <c r="A1558" s="59"/>
      <c r="B1558" s="63">
        <f t="shared" si="1"/>
        <v>16</v>
      </c>
      <c r="C1558" s="75" t="s">
        <v>555</v>
      </c>
      <c r="D1558" s="141" t="s">
        <v>74</v>
      </c>
      <c r="E1558" s="135">
        <v>22.0</v>
      </c>
      <c r="F1558" s="135" t="s">
        <v>3603</v>
      </c>
      <c r="G1558" s="63" t="str">
        <f>VLOOKUP(C1558, 'Class Def. - General Data'!$C$20:$C$1000,1,false)</f>
        <v>ZFG1_KITCHENCLNR</v>
      </c>
      <c r="I1558" s="136"/>
    </row>
    <row r="1559" ht="15.75" customHeight="1">
      <c r="A1559" s="59"/>
      <c r="B1559" s="63">
        <f t="shared" si="1"/>
        <v>9</v>
      </c>
      <c r="C1559" s="134" t="s">
        <v>123</v>
      </c>
      <c r="D1559" s="134" t="s">
        <v>74</v>
      </c>
      <c r="E1559" s="135">
        <f t="shared" ref="E1559:E1594" si="34">COUNTIF($C$20:C1559,C1559)</f>
        <v>1</v>
      </c>
      <c r="F1559" s="134" t="str">
        <f>"BRAND_"&amp;MID(C1559,6,20)</f>
        <v>BRAND_KOPI</v>
      </c>
      <c r="G1559" s="63" t="str">
        <f>VLOOKUP(C1559, 'Class Def. - General Data'!$C$20:$C$1000,1,false)</f>
        <v>ZFG1_KOPI</v>
      </c>
      <c r="H1559" s="63" t="str">
        <f>IFERROR(__xludf.DUMMYFUNCTION("VLOOKUP(F1559, IMPORTRANGE(""https://docs.google.com/spreadsheets/d/1Lhp9OU0JdFf_VYSMzH5lBcEaU4o8teT1piV-SNzShjg/edit?gid=554141278#gid=554141278"", ""'Char Def. - Attributes'!C20:C2242""), 1,false)"),"BRAND_KOPI")</f>
        <v>BRAND_KOPI</v>
      </c>
      <c r="I1559" s="136"/>
    </row>
    <row r="1560" ht="15.75" customHeight="1">
      <c r="A1560" s="59"/>
      <c r="B1560" s="63">
        <f t="shared" si="1"/>
        <v>9</v>
      </c>
      <c r="C1560" s="134" t="s">
        <v>123</v>
      </c>
      <c r="D1560" s="134" t="s">
        <v>74</v>
      </c>
      <c r="E1560" s="135">
        <f t="shared" si="34"/>
        <v>2</v>
      </c>
      <c r="F1560" s="134" t="str">
        <f>"PSHAPE_"&amp;MID(C1560,6,20)</f>
        <v>PSHAPE_KOPI</v>
      </c>
      <c r="G1560" s="63" t="str">
        <f>VLOOKUP(C1560, 'Class Def. - General Data'!$C$20:$C$1000,1,false)</f>
        <v>ZFG1_KOPI</v>
      </c>
      <c r="H1560" s="63" t="str">
        <f>IFERROR(__xludf.DUMMYFUNCTION("VLOOKUP(F1560, IMPORTRANGE(""https://docs.google.com/spreadsheets/d/1Lhp9OU0JdFf_VYSMzH5lBcEaU4o8teT1piV-SNzShjg/edit?gid=554141278#gid=554141278"", ""'Char Def. - Attributes'!C20:C2242""), 1,false)"),"PSHAPE_KOPI")</f>
        <v>PSHAPE_KOPI</v>
      </c>
      <c r="I1560" s="136"/>
    </row>
    <row r="1561" ht="15.75" customHeight="1">
      <c r="A1561" s="59"/>
      <c r="B1561" s="63">
        <f t="shared" si="1"/>
        <v>9</v>
      </c>
      <c r="C1561" s="134" t="s">
        <v>123</v>
      </c>
      <c r="D1561" s="134" t="s">
        <v>74</v>
      </c>
      <c r="E1561" s="135">
        <f t="shared" si="34"/>
        <v>3</v>
      </c>
      <c r="F1561" s="134" t="s">
        <v>3605</v>
      </c>
      <c r="G1561" s="63" t="str">
        <f>VLOOKUP(C1561, 'Class Def. - General Data'!$C$20:$C$1000,1,false)</f>
        <v>ZFG1_KOPI</v>
      </c>
      <c r="H1561" s="63" t="str">
        <f>IFERROR(__xludf.DUMMYFUNCTION("VLOOKUP(F1561, IMPORTRANGE(""https://docs.google.com/spreadsheets/d/1Lhp9OU0JdFf_VYSMzH5lBcEaU4o8teT1piV-SNzShjg/edit?gid=554141278#gid=554141278"", ""'Char Def. - Attributes'!C20:C2242""), 1,false)"),"PACK_NETTO")</f>
        <v>PACK_NETTO</v>
      </c>
      <c r="I1561" s="136"/>
    </row>
    <row r="1562" ht="15.75" customHeight="1">
      <c r="A1562" s="59"/>
      <c r="B1562" s="63">
        <f t="shared" si="1"/>
        <v>9</v>
      </c>
      <c r="C1562" s="134" t="s">
        <v>123</v>
      </c>
      <c r="D1562" s="134" t="s">
        <v>74</v>
      </c>
      <c r="E1562" s="135">
        <f t="shared" si="34"/>
        <v>4</v>
      </c>
      <c r="F1562" s="134" t="str">
        <f>"PUOM_"&amp;MID(C1562,6,20)</f>
        <v>PUOM_KOPI</v>
      </c>
      <c r="G1562" s="63" t="str">
        <f>VLOOKUP(C1562, 'Class Def. - General Data'!$C$20:$C$1000,1,false)</f>
        <v>ZFG1_KOPI</v>
      </c>
      <c r="H1562" s="63" t="str">
        <f>IFERROR(__xludf.DUMMYFUNCTION("VLOOKUP(F1562, IMPORTRANGE(""https://docs.google.com/spreadsheets/d/1Lhp9OU0JdFf_VYSMzH5lBcEaU4o8teT1piV-SNzShjg/edit?gid=554141278#gid=554141278"", ""'Char Def. - Attributes'!C20:C2242""), 1,false)"),"PUOM_KOPI")</f>
        <v>PUOM_KOPI</v>
      </c>
      <c r="I1562" s="136"/>
    </row>
    <row r="1563" ht="15.75" customHeight="1">
      <c r="A1563" s="59"/>
      <c r="B1563" s="63">
        <f t="shared" si="1"/>
        <v>9</v>
      </c>
      <c r="C1563" s="134" t="s">
        <v>123</v>
      </c>
      <c r="D1563" s="134" t="s">
        <v>74</v>
      </c>
      <c r="E1563" s="135">
        <f t="shared" si="34"/>
        <v>5</v>
      </c>
      <c r="F1563" s="134" t="s">
        <v>3607</v>
      </c>
      <c r="G1563" s="63" t="str">
        <f>VLOOKUP(C1563, 'Class Def. - General Data'!$C$20:$C$1000,1,false)</f>
        <v>ZFG1_KOPI</v>
      </c>
      <c r="H1563" s="63" t="str">
        <f>IFERROR(__xludf.DUMMYFUNCTION("VLOOKUP(F1563, IMPORTRANGE(""https://docs.google.com/spreadsheets/d/1Lhp9OU0JdFf_VYSMzH5lBcEaU4o8teT1piV-SNzShjg/edit?gid=554141278#gid=554141278"", ""'Char Def. - Attributes'!C20:C2242""), 1,false)"),"VARIAN")</f>
        <v>VARIAN</v>
      </c>
      <c r="I1563" s="136"/>
    </row>
    <row r="1564" ht="15.75" customHeight="1">
      <c r="A1564" s="59"/>
      <c r="B1564" s="63">
        <f t="shared" si="1"/>
        <v>9</v>
      </c>
      <c r="C1564" s="134" t="s">
        <v>123</v>
      </c>
      <c r="D1564" s="134" t="s">
        <v>74</v>
      </c>
      <c r="E1564" s="135">
        <f t="shared" si="34"/>
        <v>6</v>
      </c>
      <c r="F1564" s="134" t="s">
        <v>3608</v>
      </c>
      <c r="G1564" s="63" t="str">
        <f>VLOOKUP(C1564, 'Class Def. - General Data'!$C$20:$C$1000,1,false)</f>
        <v>ZFG1_KOPI</v>
      </c>
      <c r="H1564" s="63" t="str">
        <f>IFERROR(__xludf.DUMMYFUNCTION("VLOOKUP(F1564, IMPORTRANGE(""https://docs.google.com/spreadsheets/d/1Lhp9OU0JdFf_VYSMzH5lBcEaU4o8teT1piV-SNzShjg/edit?gid=554141278#gid=554141278"", ""'Char Def. - Attributes'!C20:C2242""), 1,false)"),"PROJECT_NAME")</f>
        <v>PROJECT_NAME</v>
      </c>
      <c r="I1564" s="136"/>
    </row>
    <row r="1565" ht="15.75" customHeight="1">
      <c r="A1565" s="59"/>
      <c r="B1565" s="63">
        <f t="shared" si="1"/>
        <v>9</v>
      </c>
      <c r="C1565" s="134" t="s">
        <v>123</v>
      </c>
      <c r="D1565" s="134" t="s">
        <v>74</v>
      </c>
      <c r="E1565" s="135">
        <f t="shared" si="34"/>
        <v>7</v>
      </c>
      <c r="F1565" s="134" t="s">
        <v>3609</v>
      </c>
      <c r="G1565" s="63" t="str">
        <f>VLOOKUP(C1565, 'Class Def. - General Data'!$C$20:$C$1000,1,false)</f>
        <v>ZFG1_KOPI</v>
      </c>
      <c r="H1565" s="63" t="str">
        <f>IFERROR(__xludf.DUMMYFUNCTION("VLOOKUP(F1565, IMPORTRANGE(""https://docs.google.com/spreadsheets/d/1Lhp9OU0JdFf_VYSMzH5lBcEaU4o8teT1piV-SNzShjg/edit?gid=554141278#gid=554141278"", ""'Char Def. - Attributes'!C20:C2242""), 1,false)"),"ADDITIONAL_PROMO")</f>
        <v>ADDITIONAL_PROMO</v>
      </c>
      <c r="I1565" s="136"/>
    </row>
    <row r="1566" ht="15.75" customHeight="1">
      <c r="A1566" s="59"/>
      <c r="B1566" s="63">
        <f t="shared" si="1"/>
        <v>9</v>
      </c>
      <c r="C1566" s="134" t="s">
        <v>123</v>
      </c>
      <c r="D1566" s="134" t="s">
        <v>74</v>
      </c>
      <c r="E1566" s="135">
        <f t="shared" si="34"/>
        <v>8</v>
      </c>
      <c r="F1566" s="134" t="s">
        <v>3610</v>
      </c>
      <c r="G1566" s="63" t="str">
        <f>VLOOKUP(C1566, 'Class Def. - General Data'!$C$20:$C$1000,1,false)</f>
        <v>ZFG1_KOPI</v>
      </c>
      <c r="H1566" s="63" t="str">
        <f>IFERROR(__xludf.DUMMYFUNCTION("VLOOKUP(F1566, IMPORTRANGE(""https://docs.google.com/spreadsheets/d/1Lhp9OU0JdFf_VYSMzH5lBcEaU4o8teT1piV-SNzShjg/edit?gid=554141278#gid=554141278"", ""'Char Def. - Attributes'!C20:C2242""), 1,false)"),"BANDED_PROMO")</f>
        <v>BANDED_PROMO</v>
      </c>
      <c r="I1566" s="136"/>
    </row>
    <row r="1567" ht="15.75" customHeight="1">
      <c r="A1567" s="59"/>
      <c r="B1567" s="63">
        <f t="shared" si="1"/>
        <v>9</v>
      </c>
      <c r="C1567" s="134" t="s">
        <v>123</v>
      </c>
      <c r="D1567" s="134" t="s">
        <v>74</v>
      </c>
      <c r="E1567" s="135">
        <f t="shared" si="34"/>
        <v>9</v>
      </c>
      <c r="F1567" s="134" t="s">
        <v>3611</v>
      </c>
      <c r="G1567" s="63" t="str">
        <f>VLOOKUP(C1567, 'Class Def. - General Data'!$C$20:$C$1000,1,false)</f>
        <v>ZFG1_KOPI</v>
      </c>
      <c r="H1567" s="63" t="str">
        <f>IFERROR(__xludf.DUMMYFUNCTION("VLOOKUP(F1567, IMPORTRANGE(""https://docs.google.com/spreadsheets/d/1Lhp9OU0JdFf_VYSMzH5lBcEaU4o8teT1piV-SNzShjg/edit?gid=554141278#gid=554141278"", ""'Char Def. - Attributes'!C20:C2242""), 1,false)"),"LOKAL_EKSPOR")</f>
        <v>LOKAL_EKSPOR</v>
      </c>
      <c r="I1567" s="136"/>
    </row>
    <row r="1568" ht="15.75" customHeight="1">
      <c r="A1568" s="59"/>
      <c r="B1568" s="63">
        <f t="shared" si="1"/>
        <v>9</v>
      </c>
      <c r="C1568" s="134" t="s">
        <v>123</v>
      </c>
      <c r="D1568" s="134" t="s">
        <v>74</v>
      </c>
      <c r="E1568" s="135">
        <f t="shared" si="34"/>
        <v>10</v>
      </c>
      <c r="F1568" s="134" t="s">
        <v>3612</v>
      </c>
      <c r="G1568" s="63" t="str">
        <f>VLOOKUP(C1568, 'Class Def. - General Data'!$C$20:$C$1000,1,false)</f>
        <v>ZFG1_KOPI</v>
      </c>
      <c r="H1568" s="63" t="str">
        <f>IFERROR(__xludf.DUMMYFUNCTION("VLOOKUP(F1568, IMPORTRANGE(""https://docs.google.com/spreadsheets/d/1Lhp9OU0JdFf_VYSMzH5lBcEaU4o8teT1piV-SNzShjg/edit?gid=554141278#gid=554141278"", ""'Char Def. - Attributes'!C20:C2242""), 1,false)"),"COUNTRY_EKSPOR")</f>
        <v>COUNTRY_EKSPOR</v>
      </c>
      <c r="I1568" s="136"/>
    </row>
    <row r="1569" ht="15.75" customHeight="1">
      <c r="A1569" s="59"/>
      <c r="B1569" s="63">
        <f t="shared" si="1"/>
        <v>9</v>
      </c>
      <c r="C1569" s="134" t="s">
        <v>123</v>
      </c>
      <c r="D1569" s="134" t="s">
        <v>74</v>
      </c>
      <c r="E1569" s="135">
        <f t="shared" si="34"/>
        <v>11</v>
      </c>
      <c r="F1569" s="134" t="s">
        <v>3613</v>
      </c>
      <c r="G1569" s="63" t="str">
        <f>VLOOKUP(C1569, 'Class Def. - General Data'!$C$20:$C$1000,1,false)</f>
        <v>ZFG1_KOPI</v>
      </c>
      <c r="H1569" s="63" t="str">
        <f>IFERROR(__xludf.DUMMYFUNCTION("VLOOKUP(F1569, IMPORTRANGE(""https://docs.google.com/spreadsheets/d/1Lhp9OU0JdFf_VYSMzH5lBcEaU4o8teT1piV-SNzShjg/edit?gid=554141278#gid=554141278"", ""'Char Def. - Attributes'!C20:C2242""), 1,false)"),"WARNA_SFG")</f>
        <v>WARNA_SFG</v>
      </c>
      <c r="I1569" s="136"/>
    </row>
    <row r="1570" ht="15.75" customHeight="1">
      <c r="A1570" s="59"/>
      <c r="B1570" s="63">
        <f t="shared" si="1"/>
        <v>9</v>
      </c>
      <c r="C1570" s="134" t="s">
        <v>123</v>
      </c>
      <c r="D1570" s="134" t="s">
        <v>74</v>
      </c>
      <c r="E1570" s="135">
        <f t="shared" si="34"/>
        <v>12</v>
      </c>
      <c r="F1570" s="134" t="s">
        <v>3582</v>
      </c>
      <c r="G1570" s="63" t="str">
        <f>VLOOKUP(C1570, 'Class Def. - General Data'!$C$20:$C$1000,1,false)</f>
        <v>ZFG1_KOPI</v>
      </c>
      <c r="H1570" s="63" t="str">
        <f>IFERROR(__xludf.DUMMYFUNCTION("VLOOKUP(F1570, IMPORTRANGE(""https://docs.google.com/spreadsheets/d/1Lhp9OU0JdFf_VYSMzH5lBcEaU4o8teT1piV-SNzShjg/edit?gid=554141278#gid=554141278"", ""'Char Def. - Attributes'!C20:C2242""), 1,false)"),"BASE_UNIT")</f>
        <v>BASE_UNIT</v>
      </c>
      <c r="I1570" s="136"/>
    </row>
    <row r="1571" ht="15.75" customHeight="1">
      <c r="A1571" s="59"/>
      <c r="B1571" s="63">
        <f t="shared" si="1"/>
        <v>9</v>
      </c>
      <c r="C1571" s="134" t="s">
        <v>123</v>
      </c>
      <c r="D1571" s="134" t="s">
        <v>74</v>
      </c>
      <c r="E1571" s="135">
        <f t="shared" si="34"/>
        <v>13</v>
      </c>
      <c r="F1571" s="134" t="s">
        <v>3583</v>
      </c>
      <c r="G1571" s="63" t="str">
        <f>VLOOKUP(C1571, 'Class Def. - General Data'!$C$20:$C$1000,1,false)</f>
        <v>ZFG1_KOPI</v>
      </c>
      <c r="H1571" s="63" t="str">
        <f>IFERROR(__xludf.DUMMYFUNCTION("VLOOKUP(F1571, IMPORTRANGE(""https://docs.google.com/spreadsheets/d/1Lhp9OU0JdFf_VYSMzH5lBcEaU4o8teT1piV-SNzShjg/edit?gid=554141278#gid=554141278"", ""'Char Def. - Attributes'!C20:C2242""), 1,false)"),"SALES_UNIT")</f>
        <v>SALES_UNIT</v>
      </c>
      <c r="I1571" s="136"/>
    </row>
    <row r="1572" ht="15.75" customHeight="1">
      <c r="A1572" s="59"/>
      <c r="B1572" s="63">
        <f t="shared" si="1"/>
        <v>9</v>
      </c>
      <c r="C1572" s="134" t="s">
        <v>123</v>
      </c>
      <c r="D1572" s="134" t="s">
        <v>74</v>
      </c>
      <c r="E1572" s="135">
        <f t="shared" si="34"/>
        <v>14</v>
      </c>
      <c r="F1572" s="134" t="s">
        <v>3601</v>
      </c>
      <c r="G1572" s="63" t="str">
        <f>VLOOKUP(C1572, 'Class Def. - General Data'!$C$20:$C$1000,1,false)</f>
        <v>ZFG1_KOPI</v>
      </c>
      <c r="H1572" s="63" t="str">
        <f>IFERROR(__xludf.DUMMYFUNCTION("VLOOKUP(F1572, IMPORTRANGE(""https://docs.google.com/spreadsheets/d/1Lhp9OU0JdFf_VYSMzH5lBcEaU4o8teT1piV-SNzShjg/edit?gid=554141278#gid=554141278"", ""'Char Def. - Attributes'!C20:C2242""), 1,false)"),"GROSS_WEIGHT")</f>
        <v>GROSS_WEIGHT</v>
      </c>
      <c r="I1572" s="136"/>
    </row>
    <row r="1573" ht="15.75" customHeight="1">
      <c r="A1573" s="59"/>
      <c r="B1573" s="63">
        <f t="shared" si="1"/>
        <v>9</v>
      </c>
      <c r="C1573" s="134" t="s">
        <v>123</v>
      </c>
      <c r="D1573" s="134" t="s">
        <v>74</v>
      </c>
      <c r="E1573" s="135">
        <f t="shared" si="34"/>
        <v>15</v>
      </c>
      <c r="F1573" s="134" t="s">
        <v>3602</v>
      </c>
      <c r="G1573" s="63" t="str">
        <f>VLOOKUP(C1573, 'Class Def. - General Data'!$C$20:$C$1000,1,false)</f>
        <v>ZFG1_KOPI</v>
      </c>
      <c r="H1573" s="63" t="str">
        <f>IFERROR(__xludf.DUMMYFUNCTION("VLOOKUP(F1573, IMPORTRANGE(""https://docs.google.com/spreadsheets/d/1Lhp9OU0JdFf_VYSMzH5lBcEaU4o8teT1piV-SNzShjg/edit?gid=554141278#gid=554141278"", ""'Char Def. - Attributes'!C20:C2242""), 1,false)"),"NET_WEIGHT")</f>
        <v>NET_WEIGHT</v>
      </c>
      <c r="I1573" s="136"/>
    </row>
    <row r="1574" ht="15.75" customHeight="1">
      <c r="A1574" s="59"/>
      <c r="B1574" s="63">
        <f t="shared" si="1"/>
        <v>9</v>
      </c>
      <c r="C1574" s="134" t="s">
        <v>123</v>
      </c>
      <c r="D1574" s="134" t="s">
        <v>74</v>
      </c>
      <c r="E1574" s="135">
        <f t="shared" si="34"/>
        <v>16</v>
      </c>
      <c r="F1574" s="134" t="s">
        <v>3584</v>
      </c>
      <c r="G1574" s="63" t="str">
        <f>VLOOKUP(C1574, 'Class Def. - General Data'!$C$20:$C$1000,1,false)</f>
        <v>ZFG1_KOPI</v>
      </c>
      <c r="H1574" s="63" t="str">
        <f>IFERROR(__xludf.DUMMYFUNCTION("VLOOKUP(F1574, IMPORTRANGE(""https://docs.google.com/spreadsheets/d/1Lhp9OU0JdFf_VYSMzH5lBcEaU4o8teT1piV-SNzShjg/edit?gid=554141278#gid=554141278"", ""'Char Def. - Attributes'!C20:C2242""), 1,false)"),"UNIT_PER_BOX")</f>
        <v>UNIT_PER_BOX</v>
      </c>
      <c r="I1574" s="136"/>
    </row>
    <row r="1575" ht="15.75" customHeight="1">
      <c r="A1575" s="59"/>
      <c r="B1575" s="63">
        <f t="shared" si="1"/>
        <v>9</v>
      </c>
      <c r="C1575" s="134" t="s">
        <v>123</v>
      </c>
      <c r="D1575" s="134" t="s">
        <v>74</v>
      </c>
      <c r="E1575" s="135">
        <f t="shared" si="34"/>
        <v>17</v>
      </c>
      <c r="F1575" s="134" t="s">
        <v>3614</v>
      </c>
      <c r="G1575" s="63" t="str">
        <f>VLOOKUP(C1575, 'Class Def. - General Data'!$C$20:$C$1000,1,false)</f>
        <v>ZFG1_KOPI</v>
      </c>
      <c r="H1575" s="63" t="str">
        <f>IFERROR(__xludf.DUMMYFUNCTION("VLOOKUP(F1575, IMPORTRANGE(""https://docs.google.com/spreadsheets/d/1Lhp9OU0JdFf_VYSMzH5lBcEaU4o8teT1piV-SNzShjg/edit?gid=554141278#gid=554141278"", ""'Char Def. - Attributes'!C20:C2242""), 1,false)"),"UNIT_PER_CTN")</f>
        <v>UNIT_PER_CTN</v>
      </c>
      <c r="I1575" s="136"/>
    </row>
    <row r="1576" ht="15.75" customHeight="1">
      <c r="A1576" s="59"/>
      <c r="B1576" s="63">
        <f t="shared" si="1"/>
        <v>9</v>
      </c>
      <c r="C1576" s="134" t="s">
        <v>123</v>
      </c>
      <c r="D1576" s="134" t="s">
        <v>74</v>
      </c>
      <c r="E1576" s="135">
        <f t="shared" si="34"/>
        <v>18</v>
      </c>
      <c r="F1576" s="134" t="s">
        <v>3615</v>
      </c>
      <c r="G1576" s="63" t="str">
        <f>VLOOKUP(C1576, 'Class Def. - General Data'!$C$20:$C$1000,1,false)</f>
        <v>ZFG1_KOPI</v>
      </c>
      <c r="H1576" s="63" t="str">
        <f>IFERROR(__xludf.DUMMYFUNCTION("VLOOKUP(F1576, IMPORTRANGE(""https://docs.google.com/spreadsheets/d/1Lhp9OU0JdFf_VYSMzH5lBcEaU4o8teT1piV-SNzShjg/edit?gid=554141278#gid=554141278"", ""'Char Def. - Attributes'!C20:C2242""), 1,false)"),"UNIT_PER_BAG")</f>
        <v>UNIT_PER_BAG</v>
      </c>
      <c r="I1576" s="136"/>
    </row>
    <row r="1577" ht="15.75" customHeight="1">
      <c r="A1577" s="59"/>
      <c r="B1577" s="63">
        <f t="shared" si="1"/>
        <v>9</v>
      </c>
      <c r="C1577" s="134" t="s">
        <v>123</v>
      </c>
      <c r="D1577" s="134" t="s">
        <v>74</v>
      </c>
      <c r="E1577" s="135">
        <f t="shared" si="34"/>
        <v>19</v>
      </c>
      <c r="F1577" s="134" t="s">
        <v>3616</v>
      </c>
      <c r="G1577" s="63" t="str">
        <f>VLOOKUP(C1577, 'Class Def. - General Data'!$C$20:$C$1000,1,false)</f>
        <v>ZFG1_KOPI</v>
      </c>
      <c r="H1577" s="63" t="str">
        <f>IFERROR(__xludf.DUMMYFUNCTION("VLOOKUP(F1577, IMPORTRANGE(""https://docs.google.com/spreadsheets/d/1Lhp9OU0JdFf_VYSMzH5lBcEaU4o8teT1piV-SNzShjg/edit?gid=554141278#gid=554141278"", ""'Char Def. - Attributes'!C20:C2242""), 1,false)"),"UNIT_PER_PAL")</f>
        <v>UNIT_PER_PAL</v>
      </c>
      <c r="I1577" s="136"/>
    </row>
    <row r="1578" ht="15.75" customHeight="1">
      <c r="A1578" s="59"/>
      <c r="B1578" s="63">
        <f t="shared" si="1"/>
        <v>9</v>
      </c>
      <c r="C1578" s="134" t="s">
        <v>123</v>
      </c>
      <c r="D1578" s="134" t="s">
        <v>74</v>
      </c>
      <c r="E1578" s="135">
        <f t="shared" si="34"/>
        <v>20</v>
      </c>
      <c r="F1578" s="134" t="s">
        <v>3617</v>
      </c>
      <c r="G1578" s="63" t="str">
        <f>VLOOKUP(C1578, 'Class Def. - General Data'!$C$20:$C$1000,1,false)</f>
        <v>ZFG1_KOPI</v>
      </c>
      <c r="H1578" s="63" t="str">
        <f>IFERROR(__xludf.DUMMYFUNCTION("VLOOKUP(F1578, IMPORTRANGE(""https://docs.google.com/spreadsheets/d/1Lhp9OU0JdFf_VYSMzH5lBcEaU4o8teT1piV-SNzShjg/edit?gid=554141278#gid=554141278"", ""'Char Def. - Attributes'!C20:C2242""), 1,false)"),"UNIT_PER_TIER")</f>
        <v>UNIT_PER_TIER</v>
      </c>
      <c r="I1578" s="136"/>
    </row>
    <row r="1579" ht="15.75" customHeight="1">
      <c r="A1579" s="59"/>
      <c r="B1579" s="63">
        <f t="shared" si="1"/>
        <v>9</v>
      </c>
      <c r="C1579" s="134" t="s">
        <v>123</v>
      </c>
      <c r="D1579" s="134" t="s">
        <v>74</v>
      </c>
      <c r="E1579" s="135">
        <f t="shared" si="34"/>
        <v>21</v>
      </c>
      <c r="F1579" s="134" t="s">
        <v>3618</v>
      </c>
      <c r="G1579" s="63" t="str">
        <f>VLOOKUP(C1579, 'Class Def. - General Data'!$C$20:$C$1000,1,false)</f>
        <v>ZFG1_KOPI</v>
      </c>
      <c r="H1579" s="63" t="str">
        <f>IFERROR(__xludf.DUMMYFUNCTION("VLOOKUP(F1579, IMPORTRANGE(""https://docs.google.com/spreadsheets/d/1Lhp9OU0JdFf_VYSMzH5lBcEaU4o8teT1piV-SNzShjg/edit?gid=554141278#gid=554141278"", ""'Char Def. - Attributes'!C20:C2242""), 1,false)"),"HEIGHT")</f>
        <v>HEIGHT</v>
      </c>
      <c r="I1579" s="136"/>
    </row>
    <row r="1580" ht="15.75" customHeight="1">
      <c r="A1580" s="59"/>
      <c r="B1580" s="63">
        <f t="shared" si="1"/>
        <v>9</v>
      </c>
      <c r="C1580" s="134" t="s">
        <v>123</v>
      </c>
      <c r="D1580" s="134" t="s">
        <v>74</v>
      </c>
      <c r="E1580" s="135">
        <f t="shared" si="34"/>
        <v>22</v>
      </c>
      <c r="F1580" s="134" t="s">
        <v>3587</v>
      </c>
      <c r="G1580" s="63" t="str">
        <f>VLOOKUP(C1580, 'Class Def. - General Data'!$C$20:$C$1000,1,false)</f>
        <v>ZFG1_KOPI</v>
      </c>
      <c r="H1580" s="63" t="str">
        <f>IFERROR(__xludf.DUMMYFUNCTION("VLOOKUP(F1580, IMPORTRANGE(""https://docs.google.com/spreadsheets/d/1Lhp9OU0JdFf_VYSMzH5lBcEaU4o8teT1piV-SNzShjg/edit?gid=554141278#gid=554141278"", ""'Char Def. - Attributes'!C20:C2242""), 1,false)"),"PLANT_BUY")</f>
        <v>PLANT_BUY</v>
      </c>
      <c r="I1580" s="136"/>
    </row>
    <row r="1581" ht="15.75" customHeight="1">
      <c r="A1581" s="59"/>
      <c r="B1581" s="63">
        <f t="shared" si="1"/>
        <v>9</v>
      </c>
      <c r="C1581" s="134" t="s">
        <v>123</v>
      </c>
      <c r="D1581" s="134" t="s">
        <v>74</v>
      </c>
      <c r="E1581" s="135">
        <f t="shared" si="34"/>
        <v>23</v>
      </c>
      <c r="F1581" s="134" t="s">
        <v>3619</v>
      </c>
      <c r="G1581" s="63" t="str">
        <f>VLOOKUP(C1581, 'Class Def. - General Data'!$C$20:$C$1000,1,false)</f>
        <v>ZFG1_KOPI</v>
      </c>
      <c r="H1581" s="63" t="str">
        <f>IFERROR(__xludf.DUMMYFUNCTION("VLOOKUP(F1581, IMPORTRANGE(""https://docs.google.com/spreadsheets/d/1Lhp9OU0JdFf_VYSMzH5lBcEaU4o8teT1piV-SNzShjg/edit?gid=554141278#gid=554141278"", ""'Char Def. - Attributes'!C20:C2242""), 1,false)"),"LENGTH")</f>
        <v>LENGTH</v>
      </c>
      <c r="I1581" s="136"/>
    </row>
    <row r="1582" ht="15.75" customHeight="1">
      <c r="A1582" s="59"/>
      <c r="B1582" s="63">
        <f t="shared" si="1"/>
        <v>9</v>
      </c>
      <c r="C1582" s="134" t="s">
        <v>123</v>
      </c>
      <c r="D1582" s="134" t="s">
        <v>74</v>
      </c>
      <c r="E1582" s="135">
        <f t="shared" si="34"/>
        <v>24</v>
      </c>
      <c r="F1582" s="134" t="s">
        <v>3586</v>
      </c>
      <c r="G1582" s="63" t="str">
        <f>VLOOKUP(C1582, 'Class Def. - General Data'!$C$20:$C$1000,1,false)</f>
        <v>ZFG1_KOPI</v>
      </c>
      <c r="H1582" s="63" t="str">
        <f>IFERROR(__xludf.DUMMYFUNCTION("VLOOKUP(F1582, IMPORTRANGE(""https://docs.google.com/spreadsheets/d/1Lhp9OU0JdFf_VYSMzH5lBcEaU4o8teT1piV-SNzShjg/edit?gid=554141278#gid=554141278"", ""'Char Def. - Attributes'!C20:C2242""), 1,false)"),"PLANT_PROD")</f>
        <v>PLANT_PROD</v>
      </c>
      <c r="I1582" s="136"/>
    </row>
    <row r="1583" ht="15.75" customHeight="1">
      <c r="A1583" s="59"/>
      <c r="B1583" s="63">
        <f t="shared" si="1"/>
        <v>9</v>
      </c>
      <c r="C1583" s="134" t="s">
        <v>123</v>
      </c>
      <c r="D1583" s="134" t="s">
        <v>74</v>
      </c>
      <c r="E1583" s="135">
        <f t="shared" si="34"/>
        <v>25</v>
      </c>
      <c r="F1583" s="134" t="s">
        <v>3620</v>
      </c>
      <c r="G1583" s="63" t="str">
        <f>VLOOKUP(C1583, 'Class Def. - General Data'!$C$20:$C$1000,1,false)</f>
        <v>ZFG1_KOPI</v>
      </c>
      <c r="H1583" s="63" t="str">
        <f>IFERROR(__xludf.DUMMYFUNCTION("VLOOKUP(F1583, IMPORTRANGE(""https://docs.google.com/spreadsheets/d/1Lhp9OU0JdFf_VYSMzH5lBcEaU4o8teT1piV-SNzShjg/edit?gid=554141278#gid=554141278"", ""'Char Def. - Attributes'!C20:C2242""), 1,false)"),"WIDTH")</f>
        <v>WIDTH</v>
      </c>
      <c r="I1583" s="136"/>
    </row>
    <row r="1584" ht="15.75" customHeight="1">
      <c r="A1584" s="59"/>
      <c r="B1584" s="63">
        <f t="shared" si="1"/>
        <v>9</v>
      </c>
      <c r="C1584" s="134" t="s">
        <v>123</v>
      </c>
      <c r="D1584" s="134" t="s">
        <v>74</v>
      </c>
      <c r="E1584" s="135">
        <f t="shared" si="34"/>
        <v>26</v>
      </c>
      <c r="F1584" s="134" t="s">
        <v>3585</v>
      </c>
      <c r="G1584" s="63" t="str">
        <f>VLOOKUP(C1584, 'Class Def. - General Data'!$C$20:$C$1000,1,false)</f>
        <v>ZFG1_KOPI</v>
      </c>
      <c r="H1584" s="63" t="str">
        <f>IFERROR(__xludf.DUMMYFUNCTION("VLOOKUP(F1584, IMPORTRANGE(""https://docs.google.com/spreadsheets/d/1Lhp9OU0JdFf_VYSMzH5lBcEaU4o8teT1piV-SNzShjg/edit?gid=554141278#gid=554141278"", ""'Char Def. - Attributes'!C20:C2242""), 1,false)"),"HS_CODE")</f>
        <v>HS_CODE</v>
      </c>
      <c r="I1584" s="136"/>
    </row>
    <row r="1585" ht="15.75" customHeight="1">
      <c r="A1585" s="59"/>
      <c r="B1585" s="63">
        <f t="shared" si="1"/>
        <v>9</v>
      </c>
      <c r="C1585" s="134" t="s">
        <v>123</v>
      </c>
      <c r="D1585" s="134" t="s">
        <v>74</v>
      </c>
      <c r="E1585" s="135">
        <f t="shared" si="34"/>
        <v>27</v>
      </c>
      <c r="F1585" s="134" t="s">
        <v>3621</v>
      </c>
      <c r="G1585" s="63" t="str">
        <f>VLOOKUP(C1585, 'Class Def. - General Data'!$C$20:$C$1000,1,false)</f>
        <v>ZFG1_KOPI</v>
      </c>
      <c r="H1585" s="63" t="str">
        <f>IFERROR(__xludf.DUMMYFUNCTION("VLOOKUP(F1585, IMPORTRANGE(""https://docs.google.com/spreadsheets/d/1Lhp9OU0JdFf_VYSMzH5lBcEaU4o8teT1piV-SNzShjg/edit?gid=554141278#gid=554141278"", ""'Char Def. - Attributes'!C20:C2242""), 1,false)"),"EAN_PCS")</f>
        <v>EAN_PCS</v>
      </c>
      <c r="I1585" s="136"/>
    </row>
    <row r="1586" ht="15.75" customHeight="1">
      <c r="A1586" s="66"/>
      <c r="B1586" s="63">
        <f t="shared" si="1"/>
        <v>9</v>
      </c>
      <c r="C1586" s="134" t="s">
        <v>123</v>
      </c>
      <c r="D1586" s="134" t="s">
        <v>74</v>
      </c>
      <c r="E1586" s="135">
        <f t="shared" si="34"/>
        <v>28</v>
      </c>
      <c r="F1586" s="134" t="s">
        <v>3622</v>
      </c>
      <c r="G1586" s="63" t="str">
        <f>VLOOKUP(C1586, 'Class Def. - General Data'!$C$20:$C$1000,1,false)</f>
        <v>ZFG1_KOPI</v>
      </c>
      <c r="H1586" s="63" t="str">
        <f>IFERROR(__xludf.DUMMYFUNCTION("VLOOKUP(F1586, IMPORTRANGE(""https://docs.google.com/spreadsheets/d/1Lhp9OU0JdFf_VYSMzH5lBcEaU4o8teT1piV-SNzShjg/edit?gid=554141278#gid=554141278"", ""'Char Def. - Attributes'!C20:C2242""), 1,false)"),"SFG_BRAND")</f>
        <v>SFG_BRAND</v>
      </c>
      <c r="I1586" s="136"/>
    </row>
    <row r="1587" ht="15.75" customHeight="1">
      <c r="A1587" s="66"/>
      <c r="B1587" s="63">
        <f t="shared" si="1"/>
        <v>9</v>
      </c>
      <c r="C1587" s="134" t="s">
        <v>123</v>
      </c>
      <c r="D1587" s="134" t="s">
        <v>74</v>
      </c>
      <c r="E1587" s="135">
        <f t="shared" si="34"/>
        <v>29</v>
      </c>
      <c r="F1587" s="134" t="s">
        <v>3623</v>
      </c>
      <c r="G1587" s="63" t="str">
        <f>VLOOKUP(C1587, 'Class Def. - General Data'!$C$20:$C$1000,1,false)</f>
        <v>ZFG1_KOPI</v>
      </c>
      <c r="H1587" s="63" t="str">
        <f>IFERROR(__xludf.DUMMYFUNCTION("VLOOKUP(F1587, IMPORTRANGE(""https://docs.google.com/spreadsheets/d/1Lhp9OU0JdFf_VYSMzH5lBcEaU4o8teT1piV-SNzShjg/edit?gid=554141278#gid=554141278"", ""'Char Def. - Attributes'!C20:C2242""), 1,false)"),"LANGUAGE")</f>
        <v>LANGUAGE</v>
      </c>
      <c r="I1587" s="136"/>
    </row>
    <row r="1588" ht="15.75" customHeight="1">
      <c r="A1588" s="59"/>
      <c r="B1588" s="63">
        <f t="shared" si="1"/>
        <v>9</v>
      </c>
      <c r="C1588" s="139" t="s">
        <v>123</v>
      </c>
      <c r="D1588" s="139" t="s">
        <v>74</v>
      </c>
      <c r="E1588" s="140">
        <f t="shared" si="34"/>
        <v>30</v>
      </c>
      <c r="F1588" s="134" t="s">
        <v>3624</v>
      </c>
      <c r="G1588" s="63" t="str">
        <f>VLOOKUP(C1588, 'Class Def. - General Data'!$C$20:$C$1000,1,false)</f>
        <v>ZFG1_KOPI</v>
      </c>
      <c r="H1588" s="63" t="str">
        <f>IFERROR(__xludf.DUMMYFUNCTION("VLOOKUP(F1588, IMPORTRANGE(""https://docs.google.com/spreadsheets/d/1Lhp9OU0JdFf_VYSMzH5lBcEaU4o8teT1piV-SNzShjg/edit?gid=554141278#gid=554141278"", ""'Char Def. - Attributes'!C20:C2242""), 1,false)"),"#N/A")</f>
        <v>#N/A</v>
      </c>
      <c r="I1588" s="136"/>
    </row>
    <row r="1589" ht="15.75" customHeight="1">
      <c r="A1589" s="59"/>
      <c r="B1589" s="63">
        <f t="shared" si="1"/>
        <v>9</v>
      </c>
      <c r="C1589" s="134" t="s">
        <v>123</v>
      </c>
      <c r="D1589" s="134" t="s">
        <v>74</v>
      </c>
      <c r="E1589" s="135">
        <f t="shared" si="34"/>
        <v>31</v>
      </c>
      <c r="F1589" s="134" t="s">
        <v>3625</v>
      </c>
      <c r="G1589" s="63" t="str">
        <f>VLOOKUP(C1589, 'Class Def. - General Data'!$C$20:$C$1000,1,false)</f>
        <v>ZFG1_KOPI</v>
      </c>
      <c r="H1589" s="63" t="str">
        <f>IFERROR(__xludf.DUMMYFUNCTION("VLOOKUP(F1589, IMPORTRANGE(""https://docs.google.com/spreadsheets/d/1Lhp9OU0JdFf_VYSMzH5lBcEaU4o8teT1piV-SNzShjg/edit?gid=554141278#gid=554141278"", ""'Char Def. - Attributes'!C20:C2242""), 1,false)"),"REGION_EKSPOR")</f>
        <v>REGION_EKSPOR</v>
      </c>
      <c r="I1589" s="136"/>
    </row>
    <row r="1590" ht="15.75" customHeight="1">
      <c r="A1590" s="59"/>
      <c r="B1590" s="63">
        <f t="shared" si="1"/>
        <v>9</v>
      </c>
      <c r="C1590" s="134" t="s">
        <v>123</v>
      </c>
      <c r="D1590" s="134" t="s">
        <v>74</v>
      </c>
      <c r="E1590" s="135">
        <f t="shared" si="34"/>
        <v>32</v>
      </c>
      <c r="F1590" s="134" t="s">
        <v>3626</v>
      </c>
      <c r="G1590" s="63" t="str">
        <f>VLOOKUP(C1590, 'Class Def. - General Data'!$C$20:$C$1000,1,false)</f>
        <v>ZFG1_KOPI</v>
      </c>
      <c r="H1590" s="63" t="str">
        <f>IFERROR(__xludf.DUMMYFUNCTION("VLOOKUP(F1590, IMPORTRANGE(""https://docs.google.com/spreadsheets/d/1Lhp9OU0JdFf_VYSMzH5lBcEaU4o8teT1piV-SNzShjg/edit?gid=554141278#gid=554141278"", ""'Char Def. - Attributes'!C20:C2242""), 1,false)"),"STICKER_NOT")</f>
        <v>STICKER_NOT</v>
      </c>
      <c r="I1590" s="136"/>
    </row>
    <row r="1591" ht="15.75" customHeight="1">
      <c r="A1591" s="59"/>
      <c r="B1591" s="63">
        <f t="shared" si="1"/>
        <v>9</v>
      </c>
      <c r="C1591" s="134" t="s">
        <v>123</v>
      </c>
      <c r="D1591" s="134" t="s">
        <v>74</v>
      </c>
      <c r="E1591" s="135">
        <f t="shared" si="34"/>
        <v>33</v>
      </c>
      <c r="F1591" s="134" t="s">
        <v>3627</v>
      </c>
      <c r="G1591" s="63" t="str">
        <f>VLOOKUP(C1591, 'Class Def. - General Data'!$C$20:$C$1000,1,false)</f>
        <v>ZFG1_KOPI</v>
      </c>
      <c r="H1591" s="63" t="str">
        <f>IFERROR(__xludf.DUMMYFUNCTION("VLOOKUP(F1591, IMPORTRANGE(""https://docs.google.com/spreadsheets/d/1Lhp9OU0JdFf_VYSMzH5lBcEaU4o8teT1piV-SNzShjg/edit?gid=554141278#gid=554141278"", ""'Char Def. - Attributes'!C20:C2242""), 1,false)"),"SHIP_MARK")</f>
        <v>SHIP_MARK</v>
      </c>
      <c r="I1591" s="136"/>
    </row>
    <row r="1592" ht="15.75" customHeight="1">
      <c r="A1592" s="59"/>
      <c r="B1592" s="63">
        <f t="shared" si="1"/>
        <v>9</v>
      </c>
      <c r="C1592" s="134" t="s">
        <v>123</v>
      </c>
      <c r="D1592" s="134" t="s">
        <v>74</v>
      </c>
      <c r="E1592" s="135">
        <f t="shared" si="34"/>
        <v>34</v>
      </c>
      <c r="F1592" s="134" t="s">
        <v>3628</v>
      </c>
      <c r="G1592" s="63" t="str">
        <f>VLOOKUP(C1592, 'Class Def. - General Data'!$C$20:$C$1000,1,false)</f>
        <v>ZFG1_KOPI</v>
      </c>
      <c r="H1592" s="63" t="str">
        <f>IFERROR(__xludf.DUMMYFUNCTION("VLOOKUP(F1592, IMPORTRANGE(""https://docs.google.com/spreadsheets/d/1Lhp9OU0JdFf_VYSMzH5lBcEaU4o8teT1piV-SNzShjg/edit?gid=554141278#gid=554141278"", ""'Char Def. - Attributes'!C20:C2242""), 1,false)"),"MID_CORE")</f>
        <v>MID_CORE</v>
      </c>
      <c r="I1592" s="136"/>
    </row>
    <row r="1593" ht="15.75" customHeight="1">
      <c r="A1593" s="59"/>
      <c r="B1593" s="63">
        <f t="shared" si="1"/>
        <v>9</v>
      </c>
      <c r="C1593" s="134" t="s">
        <v>123</v>
      </c>
      <c r="D1593" s="134" t="s">
        <v>74</v>
      </c>
      <c r="E1593" s="135">
        <f t="shared" si="34"/>
        <v>35</v>
      </c>
      <c r="F1593" s="134" t="s">
        <v>3629</v>
      </c>
      <c r="G1593" s="63" t="str">
        <f>VLOOKUP(C1593, 'Class Def. - General Data'!$C$20:$C$1000,1,false)</f>
        <v>ZFG1_KOPI</v>
      </c>
      <c r="H1593" s="63" t="str">
        <f>IFERROR(__xludf.DUMMYFUNCTION("VLOOKUP(F1593, IMPORTRANGE(""https://docs.google.com/spreadsheets/d/1Lhp9OU0JdFf_VYSMzH5lBcEaU4o8teT1piV-SNzShjg/edit?gid=554141278#gid=554141278"", ""'Char Def. - Attributes'!C20:C2242""), 1,false)"),"EAN_CTN")</f>
        <v>EAN_CTN</v>
      </c>
      <c r="I1593" s="136"/>
    </row>
    <row r="1594" ht="15.75" customHeight="1">
      <c r="A1594" s="59"/>
      <c r="B1594" s="63">
        <f t="shared" si="1"/>
        <v>9</v>
      </c>
      <c r="C1594" s="134" t="s">
        <v>123</v>
      </c>
      <c r="D1594" s="134" t="s">
        <v>74</v>
      </c>
      <c r="E1594" s="135">
        <f t="shared" si="34"/>
        <v>36</v>
      </c>
      <c r="F1594" s="134" t="s">
        <v>3630</v>
      </c>
      <c r="G1594" s="63" t="str">
        <f>VLOOKUP(C1594, 'Class Def. - General Data'!$C$20:$C$1000,1,false)</f>
        <v>ZFG1_KOPI</v>
      </c>
      <c r="H1594" s="63" t="str">
        <f>IFERROR(__xludf.DUMMYFUNCTION("VLOOKUP(F1594, IMPORTRANGE(""https://docs.google.com/spreadsheets/d/1Lhp9OU0JdFf_VYSMzH5lBcEaU4o8teT1piV-SNzShjg/edit?gid=554141278#gid=554141278"", ""'Char Def. - Attributes'!C20:C2242""), 1,false)"),"EAN_BOX")</f>
        <v>EAN_BOX</v>
      </c>
      <c r="I1594" s="136"/>
    </row>
    <row r="1595" ht="15.75" customHeight="1">
      <c r="A1595" s="59"/>
      <c r="B1595" s="63">
        <f t="shared" si="1"/>
        <v>9</v>
      </c>
      <c r="C1595" s="134" t="s">
        <v>123</v>
      </c>
      <c r="D1595" s="141" t="s">
        <v>74</v>
      </c>
      <c r="E1595" s="135">
        <v>22.0</v>
      </c>
      <c r="F1595" s="135" t="s">
        <v>3603</v>
      </c>
      <c r="G1595" s="63" t="str">
        <f>VLOOKUP(C1595, 'Class Def. - General Data'!$C$20:$C$1000,1,false)</f>
        <v>ZFG1_KOPI</v>
      </c>
      <c r="I1595" s="136"/>
    </row>
    <row r="1596" ht="15.75" customHeight="1">
      <c r="A1596" s="59"/>
      <c r="B1596" s="63">
        <f t="shared" si="1"/>
        <v>15</v>
      </c>
      <c r="C1596" s="134" t="s">
        <v>124</v>
      </c>
      <c r="D1596" s="134" t="s">
        <v>74</v>
      </c>
      <c r="E1596" s="135">
        <f t="shared" ref="E1596:E1631" si="35">COUNTIF($C$20:C1596,C1596)</f>
        <v>1</v>
      </c>
      <c r="F1596" s="134" t="s">
        <v>3712</v>
      </c>
      <c r="G1596" s="63" t="str">
        <f>VLOOKUP(C1596, 'Class Def. - General Data'!$C$20:$C$1000,1,false)</f>
        <v>ZFG1_LIPSMAKEUP</v>
      </c>
      <c r="H1596" s="63" t="str">
        <f>IFERROR(__xludf.DUMMYFUNCTION("VLOOKUP(F1596, IMPORTRANGE(""https://docs.google.com/spreadsheets/d/1Lhp9OU0JdFf_VYSMzH5lBcEaU4o8teT1piV-SNzShjg/edit?gid=554141278#gid=554141278"", ""'Char Def. - Attributes'!C20:C2242""), 1,false)"),"BRAND_LIPSMAKEUP")</f>
        <v>BRAND_LIPSMAKEUP</v>
      </c>
      <c r="I1596" s="136"/>
    </row>
    <row r="1597" ht="15.75" customHeight="1">
      <c r="A1597" s="59"/>
      <c r="B1597" s="63">
        <f t="shared" si="1"/>
        <v>15</v>
      </c>
      <c r="C1597" s="135" t="s">
        <v>124</v>
      </c>
      <c r="D1597" s="134" t="s">
        <v>74</v>
      </c>
      <c r="E1597" s="135">
        <f t="shared" si="35"/>
        <v>2</v>
      </c>
      <c r="F1597" s="134" t="s">
        <v>3713</v>
      </c>
      <c r="G1597" s="63" t="str">
        <f>VLOOKUP(C1597, 'Class Def. - General Data'!$C$20:$C$1000,1,false)</f>
        <v>ZFG1_LIPSMAKEUP</v>
      </c>
      <c r="H1597" s="63" t="str">
        <f>IFERROR(__xludf.DUMMYFUNCTION("VLOOKUP(F1597, IMPORTRANGE(""https://docs.google.com/spreadsheets/d/1Lhp9OU0JdFf_VYSMzH5lBcEaU4o8teT1piV-SNzShjg/edit?gid=554141278#gid=554141278"", ""'Char Def. - Attributes'!C20:C2242""), 1,false)"),"PSHAPE_LIPSMAKEUP")</f>
        <v>PSHAPE_LIPSMAKEUP</v>
      </c>
      <c r="I1597" s="136"/>
    </row>
    <row r="1598" ht="15.75" customHeight="1">
      <c r="A1598" s="59"/>
      <c r="B1598" s="63">
        <f t="shared" si="1"/>
        <v>15</v>
      </c>
      <c r="C1598" s="134" t="s">
        <v>124</v>
      </c>
      <c r="D1598" s="134" t="s">
        <v>74</v>
      </c>
      <c r="E1598" s="135">
        <f t="shared" si="35"/>
        <v>3</v>
      </c>
      <c r="F1598" s="134" t="s">
        <v>3605</v>
      </c>
      <c r="G1598" s="63" t="str">
        <f>VLOOKUP(C1598, 'Class Def. - General Data'!$C$20:$C$1000,1,false)</f>
        <v>ZFG1_LIPSMAKEUP</v>
      </c>
      <c r="H1598" s="63" t="str">
        <f>IFERROR(__xludf.DUMMYFUNCTION("VLOOKUP(F1598, IMPORTRANGE(""https://docs.google.com/spreadsheets/d/1Lhp9OU0JdFf_VYSMzH5lBcEaU4o8teT1piV-SNzShjg/edit?gid=554141278#gid=554141278"", ""'Char Def. - Attributes'!C20:C2242""), 1,false)"),"PACK_NETTO")</f>
        <v>PACK_NETTO</v>
      </c>
      <c r="I1598" s="136"/>
    </row>
    <row r="1599" ht="15.75" customHeight="1">
      <c r="A1599" s="59"/>
      <c r="B1599" s="63">
        <f t="shared" si="1"/>
        <v>15</v>
      </c>
      <c r="C1599" s="135" t="s">
        <v>124</v>
      </c>
      <c r="D1599" s="134" t="s">
        <v>74</v>
      </c>
      <c r="E1599" s="135">
        <f t="shared" si="35"/>
        <v>4</v>
      </c>
      <c r="F1599" s="134" t="s">
        <v>3714</v>
      </c>
      <c r="G1599" s="63" t="str">
        <f>VLOOKUP(C1599, 'Class Def. - General Data'!$C$20:$C$1000,1,false)</f>
        <v>ZFG1_LIPSMAKEUP</v>
      </c>
      <c r="H1599" s="63" t="str">
        <f>IFERROR(__xludf.DUMMYFUNCTION("VLOOKUP(F1599, IMPORTRANGE(""https://docs.google.com/spreadsheets/d/1Lhp9OU0JdFf_VYSMzH5lBcEaU4o8teT1piV-SNzShjg/edit?gid=554141278#gid=554141278"", ""'Char Def. - Attributes'!C20:C2242""), 1,false)"),"PUOM_LIPSMAKEUP")</f>
        <v>PUOM_LIPSMAKEUP</v>
      </c>
      <c r="I1599" s="136"/>
    </row>
    <row r="1600" ht="15.75" customHeight="1">
      <c r="A1600" s="59"/>
      <c r="B1600" s="63">
        <f t="shared" si="1"/>
        <v>15</v>
      </c>
      <c r="C1600" s="134" t="s">
        <v>124</v>
      </c>
      <c r="D1600" s="134" t="s">
        <v>74</v>
      </c>
      <c r="E1600" s="135">
        <f t="shared" si="35"/>
        <v>5</v>
      </c>
      <c r="F1600" s="134" t="s">
        <v>3607</v>
      </c>
      <c r="G1600" s="63" t="str">
        <f>VLOOKUP(C1600, 'Class Def. - General Data'!$C$20:$C$1000,1,false)</f>
        <v>ZFG1_LIPSMAKEUP</v>
      </c>
      <c r="H1600" s="63" t="str">
        <f>IFERROR(__xludf.DUMMYFUNCTION("VLOOKUP(F1600, IMPORTRANGE(""https://docs.google.com/spreadsheets/d/1Lhp9OU0JdFf_VYSMzH5lBcEaU4o8teT1piV-SNzShjg/edit?gid=554141278#gid=554141278"", ""'Char Def. - Attributes'!C20:C2242""), 1,false)"),"VARIAN")</f>
        <v>VARIAN</v>
      </c>
      <c r="I1600" s="136"/>
    </row>
    <row r="1601" ht="15.75" customHeight="1">
      <c r="A1601" s="59"/>
      <c r="B1601" s="63">
        <f t="shared" si="1"/>
        <v>15</v>
      </c>
      <c r="C1601" s="134" t="s">
        <v>124</v>
      </c>
      <c r="D1601" s="134" t="s">
        <v>74</v>
      </c>
      <c r="E1601" s="135">
        <f t="shared" si="35"/>
        <v>6</v>
      </c>
      <c r="F1601" s="134" t="s">
        <v>3608</v>
      </c>
      <c r="G1601" s="63" t="str">
        <f>VLOOKUP(C1601, 'Class Def. - General Data'!$C$20:$C$1000,1,false)</f>
        <v>ZFG1_LIPSMAKEUP</v>
      </c>
      <c r="H1601" s="63" t="str">
        <f>IFERROR(__xludf.DUMMYFUNCTION("VLOOKUP(F1601, IMPORTRANGE(""https://docs.google.com/spreadsheets/d/1Lhp9OU0JdFf_VYSMzH5lBcEaU4o8teT1piV-SNzShjg/edit?gid=554141278#gid=554141278"", ""'Char Def. - Attributes'!C20:C2242""), 1,false)"),"PROJECT_NAME")</f>
        <v>PROJECT_NAME</v>
      </c>
      <c r="I1601" s="136"/>
    </row>
    <row r="1602" ht="15.75" customHeight="1">
      <c r="A1602" s="59"/>
      <c r="B1602" s="63">
        <f t="shared" si="1"/>
        <v>15</v>
      </c>
      <c r="C1602" s="134" t="s">
        <v>124</v>
      </c>
      <c r="D1602" s="134" t="s">
        <v>74</v>
      </c>
      <c r="E1602" s="135">
        <f t="shared" si="35"/>
        <v>7</v>
      </c>
      <c r="F1602" s="134" t="s">
        <v>3609</v>
      </c>
      <c r="G1602" s="63" t="str">
        <f>VLOOKUP(C1602, 'Class Def. - General Data'!$C$20:$C$1000,1,false)</f>
        <v>ZFG1_LIPSMAKEUP</v>
      </c>
      <c r="H1602" s="63" t="str">
        <f>IFERROR(__xludf.DUMMYFUNCTION("VLOOKUP(F1602, IMPORTRANGE(""https://docs.google.com/spreadsheets/d/1Lhp9OU0JdFf_VYSMzH5lBcEaU4o8teT1piV-SNzShjg/edit?gid=554141278#gid=554141278"", ""'Char Def. - Attributes'!C20:C2242""), 1,false)"),"ADDITIONAL_PROMO")</f>
        <v>ADDITIONAL_PROMO</v>
      </c>
      <c r="I1602" s="136"/>
    </row>
    <row r="1603" ht="15.75" customHeight="1">
      <c r="A1603" s="59"/>
      <c r="B1603" s="63">
        <f t="shared" si="1"/>
        <v>15</v>
      </c>
      <c r="C1603" s="134" t="s">
        <v>124</v>
      </c>
      <c r="D1603" s="134" t="s">
        <v>74</v>
      </c>
      <c r="E1603" s="135">
        <f t="shared" si="35"/>
        <v>8</v>
      </c>
      <c r="F1603" s="134" t="s">
        <v>3610</v>
      </c>
      <c r="G1603" s="63" t="str">
        <f>VLOOKUP(C1603, 'Class Def. - General Data'!$C$20:$C$1000,1,false)</f>
        <v>ZFG1_LIPSMAKEUP</v>
      </c>
      <c r="H1603" s="63" t="str">
        <f>IFERROR(__xludf.DUMMYFUNCTION("VLOOKUP(F1603, IMPORTRANGE(""https://docs.google.com/spreadsheets/d/1Lhp9OU0JdFf_VYSMzH5lBcEaU4o8teT1piV-SNzShjg/edit?gid=554141278#gid=554141278"", ""'Char Def. - Attributes'!C20:C2242""), 1,false)"),"BANDED_PROMO")</f>
        <v>BANDED_PROMO</v>
      </c>
      <c r="I1603" s="136"/>
    </row>
    <row r="1604" ht="15.75" customHeight="1">
      <c r="A1604" s="59"/>
      <c r="B1604" s="63">
        <f t="shared" si="1"/>
        <v>15</v>
      </c>
      <c r="C1604" s="134" t="s">
        <v>124</v>
      </c>
      <c r="D1604" s="134" t="s">
        <v>74</v>
      </c>
      <c r="E1604" s="135">
        <f t="shared" si="35"/>
        <v>9</v>
      </c>
      <c r="F1604" s="134" t="s">
        <v>3611</v>
      </c>
      <c r="G1604" s="63" t="str">
        <f>VLOOKUP(C1604, 'Class Def. - General Data'!$C$20:$C$1000,1,false)</f>
        <v>ZFG1_LIPSMAKEUP</v>
      </c>
      <c r="H1604" s="63" t="str">
        <f>IFERROR(__xludf.DUMMYFUNCTION("VLOOKUP(F1604, IMPORTRANGE(""https://docs.google.com/spreadsheets/d/1Lhp9OU0JdFf_VYSMzH5lBcEaU4o8teT1piV-SNzShjg/edit?gid=554141278#gid=554141278"", ""'Char Def. - Attributes'!C20:C2242""), 1,false)"),"LOKAL_EKSPOR")</f>
        <v>LOKAL_EKSPOR</v>
      </c>
      <c r="I1604" s="136"/>
    </row>
    <row r="1605" ht="15.75" customHeight="1">
      <c r="A1605" s="59"/>
      <c r="B1605" s="63">
        <f t="shared" si="1"/>
        <v>15</v>
      </c>
      <c r="C1605" s="134" t="s">
        <v>124</v>
      </c>
      <c r="D1605" s="134" t="s">
        <v>74</v>
      </c>
      <c r="E1605" s="135">
        <f t="shared" si="35"/>
        <v>10</v>
      </c>
      <c r="F1605" s="134" t="s">
        <v>3612</v>
      </c>
      <c r="G1605" s="63" t="str">
        <f>VLOOKUP(C1605, 'Class Def. - General Data'!$C$20:$C$1000,1,false)</f>
        <v>ZFG1_LIPSMAKEUP</v>
      </c>
      <c r="H1605" s="63" t="str">
        <f>IFERROR(__xludf.DUMMYFUNCTION("VLOOKUP(F1605, IMPORTRANGE(""https://docs.google.com/spreadsheets/d/1Lhp9OU0JdFf_VYSMzH5lBcEaU4o8teT1piV-SNzShjg/edit?gid=554141278#gid=554141278"", ""'Char Def. - Attributes'!C20:C2242""), 1,false)"),"COUNTRY_EKSPOR")</f>
        <v>COUNTRY_EKSPOR</v>
      </c>
      <c r="I1605" s="136"/>
    </row>
    <row r="1606" ht="15.75" customHeight="1">
      <c r="A1606" s="59"/>
      <c r="B1606" s="63">
        <f t="shared" si="1"/>
        <v>15</v>
      </c>
      <c r="C1606" s="134" t="s">
        <v>124</v>
      </c>
      <c r="D1606" s="134" t="s">
        <v>74</v>
      </c>
      <c r="E1606" s="135">
        <f t="shared" si="35"/>
        <v>11</v>
      </c>
      <c r="F1606" s="134" t="s">
        <v>3613</v>
      </c>
      <c r="G1606" s="63" t="str">
        <f>VLOOKUP(C1606, 'Class Def. - General Data'!$C$20:$C$1000,1,false)</f>
        <v>ZFG1_LIPSMAKEUP</v>
      </c>
      <c r="H1606" s="63" t="str">
        <f>IFERROR(__xludf.DUMMYFUNCTION("VLOOKUP(F1606, IMPORTRANGE(""https://docs.google.com/spreadsheets/d/1Lhp9OU0JdFf_VYSMzH5lBcEaU4o8teT1piV-SNzShjg/edit?gid=554141278#gid=554141278"", ""'Char Def. - Attributes'!C20:C2242""), 1,false)"),"WARNA_SFG")</f>
        <v>WARNA_SFG</v>
      </c>
      <c r="I1606" s="136"/>
    </row>
    <row r="1607" ht="15.75" customHeight="1">
      <c r="A1607" s="59"/>
      <c r="B1607" s="63">
        <f t="shared" si="1"/>
        <v>15</v>
      </c>
      <c r="C1607" s="134" t="s">
        <v>124</v>
      </c>
      <c r="D1607" s="134" t="s">
        <v>74</v>
      </c>
      <c r="E1607" s="135">
        <f t="shared" si="35"/>
        <v>12</v>
      </c>
      <c r="F1607" s="134" t="s">
        <v>3582</v>
      </c>
      <c r="G1607" s="63" t="str">
        <f>VLOOKUP(C1607, 'Class Def. - General Data'!$C$20:$C$1000,1,false)</f>
        <v>ZFG1_LIPSMAKEUP</v>
      </c>
      <c r="H1607" s="63" t="str">
        <f>IFERROR(__xludf.DUMMYFUNCTION("VLOOKUP(F1607, IMPORTRANGE(""https://docs.google.com/spreadsheets/d/1Lhp9OU0JdFf_VYSMzH5lBcEaU4o8teT1piV-SNzShjg/edit?gid=554141278#gid=554141278"", ""'Char Def. - Attributes'!C20:C2242""), 1,false)"),"BASE_UNIT")</f>
        <v>BASE_UNIT</v>
      </c>
      <c r="I1607" s="136"/>
    </row>
    <row r="1608" ht="15.75" customHeight="1">
      <c r="A1608" s="59"/>
      <c r="B1608" s="63">
        <f t="shared" si="1"/>
        <v>15</v>
      </c>
      <c r="C1608" s="134" t="s">
        <v>124</v>
      </c>
      <c r="D1608" s="134" t="s">
        <v>74</v>
      </c>
      <c r="E1608" s="135">
        <f t="shared" si="35"/>
        <v>13</v>
      </c>
      <c r="F1608" s="134" t="s">
        <v>3583</v>
      </c>
      <c r="G1608" s="63" t="str">
        <f>VLOOKUP(C1608, 'Class Def. - General Data'!$C$20:$C$1000,1,false)</f>
        <v>ZFG1_LIPSMAKEUP</v>
      </c>
      <c r="H1608" s="63" t="str">
        <f>IFERROR(__xludf.DUMMYFUNCTION("VLOOKUP(F1608, IMPORTRANGE(""https://docs.google.com/spreadsheets/d/1Lhp9OU0JdFf_VYSMzH5lBcEaU4o8teT1piV-SNzShjg/edit?gid=554141278#gid=554141278"", ""'Char Def. - Attributes'!C20:C2242""), 1,false)"),"SALES_UNIT")</f>
        <v>SALES_UNIT</v>
      </c>
      <c r="I1608" s="136"/>
    </row>
    <row r="1609" ht="15.75" customHeight="1">
      <c r="A1609" s="59"/>
      <c r="B1609" s="63">
        <f t="shared" si="1"/>
        <v>15</v>
      </c>
      <c r="C1609" s="134" t="s">
        <v>124</v>
      </c>
      <c r="D1609" s="134" t="s">
        <v>74</v>
      </c>
      <c r="E1609" s="135">
        <f t="shared" si="35"/>
        <v>14</v>
      </c>
      <c r="F1609" s="134" t="s">
        <v>3601</v>
      </c>
      <c r="G1609" s="63" t="str">
        <f>VLOOKUP(C1609, 'Class Def. - General Data'!$C$20:$C$1000,1,false)</f>
        <v>ZFG1_LIPSMAKEUP</v>
      </c>
      <c r="H1609" s="63" t="str">
        <f>IFERROR(__xludf.DUMMYFUNCTION("VLOOKUP(F1609, IMPORTRANGE(""https://docs.google.com/spreadsheets/d/1Lhp9OU0JdFf_VYSMzH5lBcEaU4o8teT1piV-SNzShjg/edit?gid=554141278#gid=554141278"", ""'Char Def. - Attributes'!C20:C2242""), 1,false)"),"GROSS_WEIGHT")</f>
        <v>GROSS_WEIGHT</v>
      </c>
      <c r="I1609" s="136"/>
    </row>
    <row r="1610" ht="15.75" customHeight="1">
      <c r="A1610" s="59"/>
      <c r="B1610" s="63">
        <f t="shared" si="1"/>
        <v>15</v>
      </c>
      <c r="C1610" s="134" t="s">
        <v>124</v>
      </c>
      <c r="D1610" s="134" t="s">
        <v>74</v>
      </c>
      <c r="E1610" s="135">
        <f t="shared" si="35"/>
        <v>15</v>
      </c>
      <c r="F1610" s="134" t="s">
        <v>3602</v>
      </c>
      <c r="G1610" s="63" t="str">
        <f>VLOOKUP(C1610, 'Class Def. - General Data'!$C$20:$C$1000,1,false)</f>
        <v>ZFG1_LIPSMAKEUP</v>
      </c>
      <c r="H1610" s="63" t="str">
        <f>IFERROR(__xludf.DUMMYFUNCTION("VLOOKUP(F1610, IMPORTRANGE(""https://docs.google.com/spreadsheets/d/1Lhp9OU0JdFf_VYSMzH5lBcEaU4o8teT1piV-SNzShjg/edit?gid=554141278#gid=554141278"", ""'Char Def. - Attributes'!C20:C2242""), 1,false)"),"NET_WEIGHT")</f>
        <v>NET_WEIGHT</v>
      </c>
      <c r="I1610" s="136"/>
    </row>
    <row r="1611" ht="15.75" customHeight="1">
      <c r="A1611" s="59"/>
      <c r="B1611" s="63">
        <f t="shared" si="1"/>
        <v>15</v>
      </c>
      <c r="C1611" s="134" t="s">
        <v>124</v>
      </c>
      <c r="D1611" s="134" t="s">
        <v>74</v>
      </c>
      <c r="E1611" s="135">
        <f t="shared" si="35"/>
        <v>16</v>
      </c>
      <c r="F1611" s="134" t="s">
        <v>3584</v>
      </c>
      <c r="G1611" s="63" t="str">
        <f>VLOOKUP(C1611, 'Class Def. - General Data'!$C$20:$C$1000,1,false)</f>
        <v>ZFG1_LIPSMAKEUP</v>
      </c>
      <c r="H1611" s="63" t="str">
        <f>IFERROR(__xludf.DUMMYFUNCTION("VLOOKUP(F1611, IMPORTRANGE(""https://docs.google.com/spreadsheets/d/1Lhp9OU0JdFf_VYSMzH5lBcEaU4o8teT1piV-SNzShjg/edit?gid=554141278#gid=554141278"", ""'Char Def. - Attributes'!C20:C2242""), 1,false)"),"UNIT_PER_BOX")</f>
        <v>UNIT_PER_BOX</v>
      </c>
      <c r="I1611" s="136"/>
    </row>
    <row r="1612" ht="15.75" customHeight="1">
      <c r="A1612" s="59"/>
      <c r="B1612" s="63">
        <f t="shared" si="1"/>
        <v>15</v>
      </c>
      <c r="C1612" s="134" t="s">
        <v>124</v>
      </c>
      <c r="D1612" s="134" t="s">
        <v>74</v>
      </c>
      <c r="E1612" s="135">
        <f t="shared" si="35"/>
        <v>17</v>
      </c>
      <c r="F1612" s="134" t="s">
        <v>3614</v>
      </c>
      <c r="G1612" s="63" t="str">
        <f>VLOOKUP(C1612, 'Class Def. - General Data'!$C$20:$C$1000,1,false)</f>
        <v>ZFG1_LIPSMAKEUP</v>
      </c>
      <c r="H1612" s="63" t="str">
        <f>IFERROR(__xludf.DUMMYFUNCTION("VLOOKUP(F1612, IMPORTRANGE(""https://docs.google.com/spreadsheets/d/1Lhp9OU0JdFf_VYSMzH5lBcEaU4o8teT1piV-SNzShjg/edit?gid=554141278#gid=554141278"", ""'Char Def. - Attributes'!C20:C2242""), 1,false)"),"UNIT_PER_CTN")</f>
        <v>UNIT_PER_CTN</v>
      </c>
      <c r="I1612" s="136"/>
    </row>
    <row r="1613" ht="15.75" customHeight="1">
      <c r="A1613" s="59"/>
      <c r="B1613" s="63">
        <f t="shared" si="1"/>
        <v>15</v>
      </c>
      <c r="C1613" s="134" t="s">
        <v>124</v>
      </c>
      <c r="D1613" s="134" t="s">
        <v>74</v>
      </c>
      <c r="E1613" s="135">
        <f t="shared" si="35"/>
        <v>18</v>
      </c>
      <c r="F1613" s="134" t="s">
        <v>3615</v>
      </c>
      <c r="G1613" s="63" t="str">
        <f>VLOOKUP(C1613, 'Class Def. - General Data'!$C$20:$C$1000,1,false)</f>
        <v>ZFG1_LIPSMAKEUP</v>
      </c>
      <c r="H1613" s="63" t="str">
        <f>IFERROR(__xludf.DUMMYFUNCTION("VLOOKUP(F1613, IMPORTRANGE(""https://docs.google.com/spreadsheets/d/1Lhp9OU0JdFf_VYSMzH5lBcEaU4o8teT1piV-SNzShjg/edit?gid=554141278#gid=554141278"", ""'Char Def. - Attributes'!C20:C2242""), 1,false)"),"UNIT_PER_BAG")</f>
        <v>UNIT_PER_BAG</v>
      </c>
      <c r="I1613" s="136"/>
    </row>
    <row r="1614" ht="15.75" customHeight="1">
      <c r="A1614" s="59"/>
      <c r="B1614" s="63">
        <f t="shared" si="1"/>
        <v>15</v>
      </c>
      <c r="C1614" s="134" t="s">
        <v>124</v>
      </c>
      <c r="D1614" s="134" t="s">
        <v>74</v>
      </c>
      <c r="E1614" s="135">
        <f t="shared" si="35"/>
        <v>19</v>
      </c>
      <c r="F1614" s="134" t="s">
        <v>3616</v>
      </c>
      <c r="G1614" s="63" t="str">
        <f>VLOOKUP(C1614, 'Class Def. - General Data'!$C$20:$C$1000,1,false)</f>
        <v>ZFG1_LIPSMAKEUP</v>
      </c>
      <c r="H1614" s="63" t="str">
        <f>IFERROR(__xludf.DUMMYFUNCTION("VLOOKUP(F1614, IMPORTRANGE(""https://docs.google.com/spreadsheets/d/1Lhp9OU0JdFf_VYSMzH5lBcEaU4o8teT1piV-SNzShjg/edit?gid=554141278#gid=554141278"", ""'Char Def. - Attributes'!C20:C2242""), 1,false)"),"UNIT_PER_PAL")</f>
        <v>UNIT_PER_PAL</v>
      </c>
      <c r="I1614" s="136"/>
    </row>
    <row r="1615" ht="15.75" customHeight="1">
      <c r="A1615" s="59"/>
      <c r="B1615" s="63">
        <f t="shared" si="1"/>
        <v>15</v>
      </c>
      <c r="C1615" s="134" t="s">
        <v>124</v>
      </c>
      <c r="D1615" s="134" t="s">
        <v>74</v>
      </c>
      <c r="E1615" s="135">
        <f t="shared" si="35"/>
        <v>20</v>
      </c>
      <c r="F1615" s="134" t="s">
        <v>3617</v>
      </c>
      <c r="G1615" s="63" t="str">
        <f>VLOOKUP(C1615, 'Class Def. - General Data'!$C$20:$C$1000,1,false)</f>
        <v>ZFG1_LIPSMAKEUP</v>
      </c>
      <c r="H1615" s="63" t="str">
        <f>IFERROR(__xludf.DUMMYFUNCTION("VLOOKUP(F1615, IMPORTRANGE(""https://docs.google.com/spreadsheets/d/1Lhp9OU0JdFf_VYSMzH5lBcEaU4o8teT1piV-SNzShjg/edit?gid=554141278#gid=554141278"", ""'Char Def. - Attributes'!C20:C2242""), 1,false)"),"UNIT_PER_TIER")</f>
        <v>UNIT_PER_TIER</v>
      </c>
      <c r="I1615" s="136"/>
    </row>
    <row r="1616" ht="15.75" customHeight="1">
      <c r="A1616" s="59"/>
      <c r="B1616" s="63">
        <f t="shared" si="1"/>
        <v>15</v>
      </c>
      <c r="C1616" s="134" t="s">
        <v>124</v>
      </c>
      <c r="D1616" s="134" t="s">
        <v>74</v>
      </c>
      <c r="E1616" s="135">
        <f t="shared" si="35"/>
        <v>21</v>
      </c>
      <c r="F1616" s="134" t="s">
        <v>3618</v>
      </c>
      <c r="G1616" s="63" t="str">
        <f>VLOOKUP(C1616, 'Class Def. - General Data'!$C$20:$C$1000,1,false)</f>
        <v>ZFG1_LIPSMAKEUP</v>
      </c>
      <c r="H1616" s="63" t="str">
        <f>IFERROR(__xludf.DUMMYFUNCTION("VLOOKUP(F1616, IMPORTRANGE(""https://docs.google.com/spreadsheets/d/1Lhp9OU0JdFf_VYSMzH5lBcEaU4o8teT1piV-SNzShjg/edit?gid=554141278#gid=554141278"", ""'Char Def. - Attributes'!C20:C2242""), 1,false)"),"HEIGHT")</f>
        <v>HEIGHT</v>
      </c>
      <c r="I1616" s="136"/>
    </row>
    <row r="1617" ht="15.75" customHeight="1">
      <c r="A1617" s="59"/>
      <c r="B1617" s="63">
        <f t="shared" si="1"/>
        <v>15</v>
      </c>
      <c r="C1617" s="134" t="s">
        <v>124</v>
      </c>
      <c r="D1617" s="134" t="s">
        <v>74</v>
      </c>
      <c r="E1617" s="135">
        <f t="shared" si="35"/>
        <v>22</v>
      </c>
      <c r="F1617" s="134" t="s">
        <v>3587</v>
      </c>
      <c r="G1617" s="63" t="str">
        <f>VLOOKUP(C1617, 'Class Def. - General Data'!$C$20:$C$1000,1,false)</f>
        <v>ZFG1_LIPSMAKEUP</v>
      </c>
      <c r="H1617" s="63" t="str">
        <f>IFERROR(__xludf.DUMMYFUNCTION("VLOOKUP(F1617, IMPORTRANGE(""https://docs.google.com/spreadsheets/d/1Lhp9OU0JdFf_VYSMzH5lBcEaU4o8teT1piV-SNzShjg/edit?gid=554141278#gid=554141278"", ""'Char Def. - Attributes'!C20:C2242""), 1,false)"),"PLANT_BUY")</f>
        <v>PLANT_BUY</v>
      </c>
      <c r="I1617" s="136"/>
    </row>
    <row r="1618" ht="15.75" customHeight="1">
      <c r="A1618" s="59"/>
      <c r="B1618" s="63">
        <f t="shared" si="1"/>
        <v>15</v>
      </c>
      <c r="C1618" s="134" t="s">
        <v>124</v>
      </c>
      <c r="D1618" s="134" t="s">
        <v>74</v>
      </c>
      <c r="E1618" s="135">
        <f t="shared" si="35"/>
        <v>23</v>
      </c>
      <c r="F1618" s="134" t="s">
        <v>3619</v>
      </c>
      <c r="G1618" s="63" t="str">
        <f>VLOOKUP(C1618, 'Class Def. - General Data'!$C$20:$C$1000,1,false)</f>
        <v>ZFG1_LIPSMAKEUP</v>
      </c>
      <c r="H1618" s="63" t="str">
        <f>IFERROR(__xludf.DUMMYFUNCTION("VLOOKUP(F1618, IMPORTRANGE(""https://docs.google.com/spreadsheets/d/1Lhp9OU0JdFf_VYSMzH5lBcEaU4o8teT1piV-SNzShjg/edit?gid=554141278#gid=554141278"", ""'Char Def. - Attributes'!C20:C2242""), 1,false)"),"LENGTH")</f>
        <v>LENGTH</v>
      </c>
      <c r="I1618" s="136"/>
    </row>
    <row r="1619" ht="15.75" customHeight="1">
      <c r="A1619" s="59"/>
      <c r="B1619" s="63">
        <f t="shared" si="1"/>
        <v>15</v>
      </c>
      <c r="C1619" s="134" t="s">
        <v>124</v>
      </c>
      <c r="D1619" s="134" t="s">
        <v>74</v>
      </c>
      <c r="E1619" s="135">
        <f t="shared" si="35"/>
        <v>24</v>
      </c>
      <c r="F1619" s="134" t="s">
        <v>3586</v>
      </c>
      <c r="G1619" s="63" t="str">
        <f>VLOOKUP(C1619, 'Class Def. - General Data'!$C$20:$C$1000,1,false)</f>
        <v>ZFG1_LIPSMAKEUP</v>
      </c>
      <c r="H1619" s="63" t="str">
        <f>IFERROR(__xludf.DUMMYFUNCTION("VLOOKUP(F1619, IMPORTRANGE(""https://docs.google.com/spreadsheets/d/1Lhp9OU0JdFf_VYSMzH5lBcEaU4o8teT1piV-SNzShjg/edit?gid=554141278#gid=554141278"", ""'Char Def. - Attributes'!C20:C2242""), 1,false)"),"PLANT_PROD")</f>
        <v>PLANT_PROD</v>
      </c>
      <c r="I1619" s="136"/>
    </row>
    <row r="1620" ht="15.75" customHeight="1">
      <c r="A1620" s="59"/>
      <c r="B1620" s="63">
        <f t="shared" si="1"/>
        <v>15</v>
      </c>
      <c r="C1620" s="134" t="s">
        <v>124</v>
      </c>
      <c r="D1620" s="134" t="s">
        <v>74</v>
      </c>
      <c r="E1620" s="135">
        <f t="shared" si="35"/>
        <v>25</v>
      </c>
      <c r="F1620" s="134" t="s">
        <v>3620</v>
      </c>
      <c r="G1620" s="63" t="str">
        <f>VLOOKUP(C1620, 'Class Def. - General Data'!$C$20:$C$1000,1,false)</f>
        <v>ZFG1_LIPSMAKEUP</v>
      </c>
      <c r="H1620" s="63" t="str">
        <f>IFERROR(__xludf.DUMMYFUNCTION("VLOOKUP(F1620, IMPORTRANGE(""https://docs.google.com/spreadsheets/d/1Lhp9OU0JdFf_VYSMzH5lBcEaU4o8teT1piV-SNzShjg/edit?gid=554141278#gid=554141278"", ""'Char Def. - Attributes'!C20:C2242""), 1,false)"),"WIDTH")</f>
        <v>WIDTH</v>
      </c>
      <c r="I1620" s="136"/>
    </row>
    <row r="1621" ht="15.75" customHeight="1">
      <c r="A1621" s="59"/>
      <c r="B1621" s="63">
        <f t="shared" si="1"/>
        <v>15</v>
      </c>
      <c r="C1621" s="134" t="s">
        <v>124</v>
      </c>
      <c r="D1621" s="134" t="s">
        <v>74</v>
      </c>
      <c r="E1621" s="135">
        <f t="shared" si="35"/>
        <v>26</v>
      </c>
      <c r="F1621" s="134" t="s">
        <v>3585</v>
      </c>
      <c r="G1621" s="63" t="str">
        <f>VLOOKUP(C1621, 'Class Def. - General Data'!$C$20:$C$1000,1,false)</f>
        <v>ZFG1_LIPSMAKEUP</v>
      </c>
      <c r="H1621" s="63" t="str">
        <f>IFERROR(__xludf.DUMMYFUNCTION("VLOOKUP(F1621, IMPORTRANGE(""https://docs.google.com/spreadsheets/d/1Lhp9OU0JdFf_VYSMzH5lBcEaU4o8teT1piV-SNzShjg/edit?gid=554141278#gid=554141278"", ""'Char Def. - Attributes'!C20:C2242""), 1,false)"),"HS_CODE")</f>
        <v>HS_CODE</v>
      </c>
      <c r="I1621" s="136"/>
    </row>
    <row r="1622" ht="15.75" customHeight="1">
      <c r="A1622" s="59"/>
      <c r="B1622" s="63">
        <f t="shared" si="1"/>
        <v>15</v>
      </c>
      <c r="C1622" s="134" t="s">
        <v>124</v>
      </c>
      <c r="D1622" s="134" t="s">
        <v>74</v>
      </c>
      <c r="E1622" s="135">
        <f t="shared" si="35"/>
        <v>27</v>
      </c>
      <c r="F1622" s="134" t="s">
        <v>3621</v>
      </c>
      <c r="G1622" s="63" t="str">
        <f>VLOOKUP(C1622, 'Class Def. - General Data'!$C$20:$C$1000,1,false)</f>
        <v>ZFG1_LIPSMAKEUP</v>
      </c>
      <c r="H1622" s="63" t="str">
        <f>IFERROR(__xludf.DUMMYFUNCTION("VLOOKUP(F1622, IMPORTRANGE(""https://docs.google.com/spreadsheets/d/1Lhp9OU0JdFf_VYSMzH5lBcEaU4o8teT1piV-SNzShjg/edit?gid=554141278#gid=554141278"", ""'Char Def. - Attributes'!C20:C2242""), 1,false)"),"EAN_PCS")</f>
        <v>EAN_PCS</v>
      </c>
      <c r="I1622" s="136"/>
    </row>
    <row r="1623" ht="15.75" customHeight="1">
      <c r="A1623" s="59"/>
      <c r="B1623" s="63">
        <f t="shared" si="1"/>
        <v>15</v>
      </c>
      <c r="C1623" s="134" t="s">
        <v>124</v>
      </c>
      <c r="D1623" s="134" t="s">
        <v>74</v>
      </c>
      <c r="E1623" s="135">
        <f t="shared" si="35"/>
        <v>28</v>
      </c>
      <c r="F1623" s="134" t="s">
        <v>3622</v>
      </c>
      <c r="G1623" s="63" t="str">
        <f>VLOOKUP(C1623, 'Class Def. - General Data'!$C$20:$C$1000,1,false)</f>
        <v>ZFG1_LIPSMAKEUP</v>
      </c>
      <c r="H1623" s="63" t="str">
        <f>IFERROR(__xludf.DUMMYFUNCTION("VLOOKUP(F1623, IMPORTRANGE(""https://docs.google.com/spreadsheets/d/1Lhp9OU0JdFf_VYSMzH5lBcEaU4o8teT1piV-SNzShjg/edit?gid=554141278#gid=554141278"", ""'Char Def. - Attributes'!C20:C2242""), 1,false)"),"SFG_BRAND")</f>
        <v>SFG_BRAND</v>
      </c>
      <c r="I1623" s="136"/>
    </row>
    <row r="1624" ht="15.75" customHeight="1">
      <c r="A1624" s="59"/>
      <c r="B1624" s="63">
        <f t="shared" si="1"/>
        <v>15</v>
      </c>
      <c r="C1624" s="134" t="s">
        <v>124</v>
      </c>
      <c r="D1624" s="134" t="s">
        <v>74</v>
      </c>
      <c r="E1624" s="135">
        <f t="shared" si="35"/>
        <v>29</v>
      </c>
      <c r="F1624" s="134" t="s">
        <v>3623</v>
      </c>
      <c r="G1624" s="63" t="str">
        <f>VLOOKUP(C1624, 'Class Def. - General Data'!$C$20:$C$1000,1,false)</f>
        <v>ZFG1_LIPSMAKEUP</v>
      </c>
      <c r="H1624" s="63" t="str">
        <f>IFERROR(__xludf.DUMMYFUNCTION("VLOOKUP(F1624, IMPORTRANGE(""https://docs.google.com/spreadsheets/d/1Lhp9OU0JdFf_VYSMzH5lBcEaU4o8teT1piV-SNzShjg/edit?gid=554141278#gid=554141278"", ""'Char Def. - Attributes'!C20:C2242""), 1,false)"),"LANGUAGE")</f>
        <v>LANGUAGE</v>
      </c>
      <c r="I1624" s="136"/>
    </row>
    <row r="1625" ht="15.75" customHeight="1">
      <c r="A1625" s="59"/>
      <c r="B1625" s="63">
        <f t="shared" si="1"/>
        <v>15</v>
      </c>
      <c r="C1625" s="139" t="s">
        <v>124</v>
      </c>
      <c r="D1625" s="139" t="s">
        <v>74</v>
      </c>
      <c r="E1625" s="140">
        <f t="shared" si="35"/>
        <v>30</v>
      </c>
      <c r="F1625" s="134" t="s">
        <v>3624</v>
      </c>
      <c r="G1625" s="63" t="str">
        <f>VLOOKUP(C1625, 'Class Def. - General Data'!$C$20:$C$1000,1,false)</f>
        <v>ZFG1_LIPSMAKEUP</v>
      </c>
      <c r="H1625" s="63" t="str">
        <f>IFERROR(__xludf.DUMMYFUNCTION("VLOOKUP(F1625, IMPORTRANGE(""https://docs.google.com/spreadsheets/d/1Lhp9OU0JdFf_VYSMzH5lBcEaU4o8teT1piV-SNzShjg/edit?gid=554141278#gid=554141278"", ""'Char Def. - Attributes'!C20:C2242""), 1,false)"),"#N/A")</f>
        <v>#N/A</v>
      </c>
      <c r="I1625" s="136"/>
    </row>
    <row r="1626" ht="15.75" customHeight="1">
      <c r="A1626" s="59"/>
      <c r="B1626" s="63">
        <f t="shared" si="1"/>
        <v>15</v>
      </c>
      <c r="C1626" s="134" t="s">
        <v>124</v>
      </c>
      <c r="D1626" s="134" t="s">
        <v>74</v>
      </c>
      <c r="E1626" s="135">
        <f t="shared" si="35"/>
        <v>31</v>
      </c>
      <c r="F1626" s="134" t="s">
        <v>3625</v>
      </c>
      <c r="G1626" s="63" t="str">
        <f>VLOOKUP(C1626, 'Class Def. - General Data'!$C$20:$C$1000,1,false)</f>
        <v>ZFG1_LIPSMAKEUP</v>
      </c>
      <c r="H1626" s="63" t="str">
        <f>IFERROR(__xludf.DUMMYFUNCTION("VLOOKUP(F1626, IMPORTRANGE(""https://docs.google.com/spreadsheets/d/1Lhp9OU0JdFf_VYSMzH5lBcEaU4o8teT1piV-SNzShjg/edit?gid=554141278#gid=554141278"", ""'Char Def. - Attributes'!C20:C2242""), 1,false)"),"REGION_EKSPOR")</f>
        <v>REGION_EKSPOR</v>
      </c>
      <c r="I1626" s="136"/>
    </row>
    <row r="1627" ht="15.75" customHeight="1">
      <c r="A1627" s="59"/>
      <c r="B1627" s="63">
        <f t="shared" si="1"/>
        <v>15</v>
      </c>
      <c r="C1627" s="134" t="s">
        <v>124</v>
      </c>
      <c r="D1627" s="134" t="s">
        <v>74</v>
      </c>
      <c r="E1627" s="135">
        <f t="shared" si="35"/>
        <v>32</v>
      </c>
      <c r="F1627" s="134" t="s">
        <v>3626</v>
      </c>
      <c r="G1627" s="63" t="str">
        <f>VLOOKUP(C1627, 'Class Def. - General Data'!$C$20:$C$1000,1,false)</f>
        <v>ZFG1_LIPSMAKEUP</v>
      </c>
      <c r="H1627" s="63" t="str">
        <f>IFERROR(__xludf.DUMMYFUNCTION("VLOOKUP(F1627, IMPORTRANGE(""https://docs.google.com/spreadsheets/d/1Lhp9OU0JdFf_VYSMzH5lBcEaU4o8teT1piV-SNzShjg/edit?gid=554141278#gid=554141278"", ""'Char Def. - Attributes'!C20:C2242""), 1,false)"),"STICKER_NOT")</f>
        <v>STICKER_NOT</v>
      </c>
      <c r="I1627" s="136"/>
    </row>
    <row r="1628" ht="15.75" customHeight="1">
      <c r="A1628" s="59"/>
      <c r="B1628" s="63">
        <f t="shared" si="1"/>
        <v>15</v>
      </c>
      <c r="C1628" s="134" t="s">
        <v>124</v>
      </c>
      <c r="D1628" s="134" t="s">
        <v>74</v>
      </c>
      <c r="E1628" s="135">
        <f t="shared" si="35"/>
        <v>33</v>
      </c>
      <c r="F1628" s="134" t="s">
        <v>3627</v>
      </c>
      <c r="G1628" s="63" t="str">
        <f>VLOOKUP(C1628, 'Class Def. - General Data'!$C$20:$C$1000,1,false)</f>
        <v>ZFG1_LIPSMAKEUP</v>
      </c>
      <c r="H1628" s="63" t="str">
        <f>IFERROR(__xludf.DUMMYFUNCTION("VLOOKUP(F1628, IMPORTRANGE(""https://docs.google.com/spreadsheets/d/1Lhp9OU0JdFf_VYSMzH5lBcEaU4o8teT1piV-SNzShjg/edit?gid=554141278#gid=554141278"", ""'Char Def. - Attributes'!C20:C2242""), 1,false)"),"SHIP_MARK")</f>
        <v>SHIP_MARK</v>
      </c>
      <c r="I1628" s="136"/>
    </row>
    <row r="1629" ht="15.75" customHeight="1">
      <c r="A1629" s="59"/>
      <c r="B1629" s="63">
        <f t="shared" si="1"/>
        <v>15</v>
      </c>
      <c r="C1629" s="134" t="s">
        <v>124</v>
      </c>
      <c r="D1629" s="134" t="s">
        <v>74</v>
      </c>
      <c r="E1629" s="135">
        <f t="shared" si="35"/>
        <v>34</v>
      </c>
      <c r="F1629" s="134" t="s">
        <v>3628</v>
      </c>
      <c r="G1629" s="63" t="str">
        <f>VLOOKUP(C1629, 'Class Def. - General Data'!$C$20:$C$1000,1,false)</f>
        <v>ZFG1_LIPSMAKEUP</v>
      </c>
      <c r="H1629" s="63" t="str">
        <f>IFERROR(__xludf.DUMMYFUNCTION("VLOOKUP(F1629, IMPORTRANGE(""https://docs.google.com/spreadsheets/d/1Lhp9OU0JdFf_VYSMzH5lBcEaU4o8teT1piV-SNzShjg/edit?gid=554141278#gid=554141278"", ""'Char Def. - Attributes'!C20:C2242""), 1,false)"),"MID_CORE")</f>
        <v>MID_CORE</v>
      </c>
      <c r="I1629" s="136"/>
    </row>
    <row r="1630" ht="15.75" customHeight="1">
      <c r="A1630" s="59"/>
      <c r="B1630" s="63">
        <f t="shared" si="1"/>
        <v>15</v>
      </c>
      <c r="C1630" s="134" t="s">
        <v>124</v>
      </c>
      <c r="D1630" s="134" t="s">
        <v>74</v>
      </c>
      <c r="E1630" s="135">
        <f t="shared" si="35"/>
        <v>35</v>
      </c>
      <c r="F1630" s="134" t="s">
        <v>3629</v>
      </c>
      <c r="G1630" s="63" t="str">
        <f>VLOOKUP(C1630, 'Class Def. - General Data'!$C$20:$C$1000,1,false)</f>
        <v>ZFG1_LIPSMAKEUP</v>
      </c>
      <c r="H1630" s="63" t="str">
        <f>IFERROR(__xludf.DUMMYFUNCTION("VLOOKUP(F1630, IMPORTRANGE(""https://docs.google.com/spreadsheets/d/1Lhp9OU0JdFf_VYSMzH5lBcEaU4o8teT1piV-SNzShjg/edit?gid=554141278#gid=554141278"", ""'Char Def. - Attributes'!C20:C2242""), 1,false)"),"EAN_CTN")</f>
        <v>EAN_CTN</v>
      </c>
      <c r="I1630" s="136"/>
    </row>
    <row r="1631" ht="15.75" customHeight="1">
      <c r="A1631" s="59"/>
      <c r="B1631" s="63">
        <f t="shared" si="1"/>
        <v>15</v>
      </c>
      <c r="C1631" s="134" t="s">
        <v>124</v>
      </c>
      <c r="D1631" s="134" t="s">
        <v>74</v>
      </c>
      <c r="E1631" s="135">
        <f t="shared" si="35"/>
        <v>36</v>
      </c>
      <c r="F1631" s="134" t="s">
        <v>3630</v>
      </c>
      <c r="G1631" s="63" t="str">
        <f>VLOOKUP(C1631, 'Class Def. - General Data'!$C$20:$C$1000,1,false)</f>
        <v>ZFG1_LIPSMAKEUP</v>
      </c>
      <c r="H1631" s="63" t="str">
        <f>IFERROR(__xludf.DUMMYFUNCTION("VLOOKUP(F1631, IMPORTRANGE(""https://docs.google.com/spreadsheets/d/1Lhp9OU0JdFf_VYSMzH5lBcEaU4o8teT1piV-SNzShjg/edit?gid=554141278#gid=554141278"", ""'Char Def. - Attributes'!C20:C2242""), 1,false)"),"EAN_BOX")</f>
        <v>EAN_BOX</v>
      </c>
      <c r="I1631" s="136"/>
    </row>
    <row r="1632" ht="15.75" customHeight="1">
      <c r="A1632" s="59"/>
      <c r="B1632" s="63">
        <f t="shared" si="1"/>
        <v>15</v>
      </c>
      <c r="C1632" s="134" t="s">
        <v>124</v>
      </c>
      <c r="D1632" s="141" t="s">
        <v>74</v>
      </c>
      <c r="E1632" s="135">
        <v>22.0</v>
      </c>
      <c r="F1632" s="135" t="s">
        <v>3603</v>
      </c>
      <c r="G1632" s="63" t="str">
        <f>VLOOKUP(C1632, 'Class Def. - General Data'!$C$20:$C$1000,1,false)</f>
        <v>ZFG1_LIPSMAKEUP</v>
      </c>
      <c r="I1632" s="136"/>
    </row>
    <row r="1633" ht="15.75" customHeight="1">
      <c r="A1633" s="66"/>
      <c r="B1633" s="63">
        <f t="shared" si="1"/>
        <v>11</v>
      </c>
      <c r="C1633" s="134" t="s">
        <v>125</v>
      </c>
      <c r="D1633" s="134" t="s">
        <v>74</v>
      </c>
      <c r="E1633" s="135">
        <f t="shared" ref="E1633:E1668" si="36">COUNTIF($C$20:C1633,C1633)</f>
        <v>1</v>
      </c>
      <c r="F1633" s="134" t="s">
        <v>3715</v>
      </c>
      <c r="G1633" s="63" t="str">
        <f>VLOOKUP(C1633, 'Class Def. - General Data'!$C$20:$C$1000,1,false)</f>
        <v>ZFG1_LIQDET</v>
      </c>
      <c r="H1633" s="63" t="str">
        <f>IFERROR(__xludf.DUMMYFUNCTION("VLOOKUP(F1633, IMPORTRANGE(""https://docs.google.com/spreadsheets/d/1Lhp9OU0JdFf_VYSMzH5lBcEaU4o8teT1piV-SNzShjg/edit?gid=554141278#gid=554141278"", ""'Char Def. - Attributes'!C20:C2242""), 1,false)"),"BRAND_LIQDET")</f>
        <v>BRAND_LIQDET</v>
      </c>
      <c r="I1633" s="136"/>
    </row>
    <row r="1634" ht="15.75" customHeight="1">
      <c r="A1634" s="66"/>
      <c r="B1634" s="63">
        <f t="shared" si="1"/>
        <v>11</v>
      </c>
      <c r="C1634" s="135" t="s">
        <v>125</v>
      </c>
      <c r="D1634" s="134" t="s">
        <v>74</v>
      </c>
      <c r="E1634" s="135">
        <f t="shared" si="36"/>
        <v>2</v>
      </c>
      <c r="F1634" s="134" t="s">
        <v>3716</v>
      </c>
      <c r="G1634" s="63" t="str">
        <f>VLOOKUP(C1634, 'Class Def. - General Data'!$C$20:$C$1000,1,false)</f>
        <v>ZFG1_LIQDET</v>
      </c>
      <c r="H1634" s="63" t="str">
        <f>IFERROR(__xludf.DUMMYFUNCTION("VLOOKUP(F1634, IMPORTRANGE(""https://docs.google.com/spreadsheets/d/1Lhp9OU0JdFf_VYSMzH5lBcEaU4o8teT1piV-SNzShjg/edit?gid=554141278#gid=554141278"", ""'Char Def. - Attributes'!C20:C2242""), 1,false)"),"PSHAPE_LIQDET")</f>
        <v>PSHAPE_LIQDET</v>
      </c>
      <c r="I1634" s="136"/>
    </row>
    <row r="1635" ht="15.75" customHeight="1">
      <c r="A1635" s="59"/>
      <c r="B1635" s="63">
        <f t="shared" si="1"/>
        <v>11</v>
      </c>
      <c r="C1635" s="134" t="s">
        <v>125</v>
      </c>
      <c r="D1635" s="134" t="s">
        <v>74</v>
      </c>
      <c r="E1635" s="135">
        <f t="shared" si="36"/>
        <v>3</v>
      </c>
      <c r="F1635" s="134" t="s">
        <v>3605</v>
      </c>
      <c r="G1635" s="63" t="str">
        <f>VLOOKUP(C1635, 'Class Def. - General Data'!$C$20:$C$1000,1,false)</f>
        <v>ZFG1_LIQDET</v>
      </c>
      <c r="H1635" s="63" t="str">
        <f>IFERROR(__xludf.DUMMYFUNCTION("VLOOKUP(F1635, IMPORTRANGE(""https://docs.google.com/spreadsheets/d/1Lhp9OU0JdFf_VYSMzH5lBcEaU4o8teT1piV-SNzShjg/edit?gid=554141278#gid=554141278"", ""'Char Def. - Attributes'!C20:C2242""), 1,false)"),"PACK_NETTO")</f>
        <v>PACK_NETTO</v>
      </c>
      <c r="I1635" s="136"/>
    </row>
    <row r="1636" ht="15.75" customHeight="1">
      <c r="A1636" s="59"/>
      <c r="B1636" s="63">
        <f t="shared" si="1"/>
        <v>11</v>
      </c>
      <c r="C1636" s="135" t="s">
        <v>125</v>
      </c>
      <c r="D1636" s="134" t="s">
        <v>74</v>
      </c>
      <c r="E1636" s="135">
        <f t="shared" si="36"/>
        <v>4</v>
      </c>
      <c r="F1636" s="134" t="s">
        <v>3717</v>
      </c>
      <c r="G1636" s="63" t="str">
        <f>VLOOKUP(C1636, 'Class Def. - General Data'!$C$20:$C$1000,1,false)</f>
        <v>ZFG1_LIQDET</v>
      </c>
      <c r="H1636" s="63" t="str">
        <f>IFERROR(__xludf.DUMMYFUNCTION("VLOOKUP(F1636, IMPORTRANGE(""https://docs.google.com/spreadsheets/d/1Lhp9OU0JdFf_VYSMzH5lBcEaU4o8teT1piV-SNzShjg/edit?gid=554141278#gid=554141278"", ""'Char Def. - Attributes'!C20:C2242""), 1,false)"),"PUOM_LIQDET")</f>
        <v>PUOM_LIQDET</v>
      </c>
      <c r="I1636" s="136"/>
    </row>
    <row r="1637" ht="15.75" customHeight="1">
      <c r="A1637" s="59"/>
      <c r="B1637" s="63">
        <f t="shared" si="1"/>
        <v>11</v>
      </c>
      <c r="C1637" s="134" t="s">
        <v>125</v>
      </c>
      <c r="D1637" s="134" t="s">
        <v>74</v>
      </c>
      <c r="E1637" s="135">
        <f t="shared" si="36"/>
        <v>5</v>
      </c>
      <c r="F1637" s="134" t="s">
        <v>3607</v>
      </c>
      <c r="G1637" s="63" t="str">
        <f>VLOOKUP(C1637, 'Class Def. - General Data'!$C$20:$C$1000,1,false)</f>
        <v>ZFG1_LIQDET</v>
      </c>
      <c r="H1637" s="63" t="str">
        <f>IFERROR(__xludf.DUMMYFUNCTION("VLOOKUP(F1637, IMPORTRANGE(""https://docs.google.com/spreadsheets/d/1Lhp9OU0JdFf_VYSMzH5lBcEaU4o8teT1piV-SNzShjg/edit?gid=554141278#gid=554141278"", ""'Char Def. - Attributes'!C20:C2242""), 1,false)"),"VARIAN")</f>
        <v>VARIAN</v>
      </c>
      <c r="I1637" s="136"/>
    </row>
    <row r="1638" ht="15.75" customHeight="1">
      <c r="A1638" s="59"/>
      <c r="B1638" s="63">
        <f t="shared" si="1"/>
        <v>11</v>
      </c>
      <c r="C1638" s="134" t="s">
        <v>125</v>
      </c>
      <c r="D1638" s="134" t="s">
        <v>74</v>
      </c>
      <c r="E1638" s="135">
        <f t="shared" si="36"/>
        <v>6</v>
      </c>
      <c r="F1638" s="134" t="s">
        <v>3608</v>
      </c>
      <c r="G1638" s="63" t="str">
        <f>VLOOKUP(C1638, 'Class Def. - General Data'!$C$20:$C$1000,1,false)</f>
        <v>ZFG1_LIQDET</v>
      </c>
      <c r="H1638" s="63" t="str">
        <f>IFERROR(__xludf.DUMMYFUNCTION("VLOOKUP(F1638, IMPORTRANGE(""https://docs.google.com/spreadsheets/d/1Lhp9OU0JdFf_VYSMzH5lBcEaU4o8teT1piV-SNzShjg/edit?gid=554141278#gid=554141278"", ""'Char Def. - Attributes'!C20:C2242""), 1,false)"),"PROJECT_NAME")</f>
        <v>PROJECT_NAME</v>
      </c>
      <c r="I1638" s="136"/>
    </row>
    <row r="1639" ht="15.75" customHeight="1">
      <c r="A1639" s="59"/>
      <c r="B1639" s="63">
        <f t="shared" si="1"/>
        <v>11</v>
      </c>
      <c r="C1639" s="134" t="s">
        <v>125</v>
      </c>
      <c r="D1639" s="134" t="s">
        <v>74</v>
      </c>
      <c r="E1639" s="135">
        <f t="shared" si="36"/>
        <v>7</v>
      </c>
      <c r="F1639" s="134" t="s">
        <v>3609</v>
      </c>
      <c r="G1639" s="63" t="str">
        <f>VLOOKUP(C1639, 'Class Def. - General Data'!$C$20:$C$1000,1,false)</f>
        <v>ZFG1_LIQDET</v>
      </c>
      <c r="H1639" s="63" t="str">
        <f>IFERROR(__xludf.DUMMYFUNCTION("VLOOKUP(F1639, IMPORTRANGE(""https://docs.google.com/spreadsheets/d/1Lhp9OU0JdFf_VYSMzH5lBcEaU4o8teT1piV-SNzShjg/edit?gid=554141278#gid=554141278"", ""'Char Def. - Attributes'!C20:C2242""), 1,false)"),"ADDITIONAL_PROMO")</f>
        <v>ADDITIONAL_PROMO</v>
      </c>
      <c r="I1639" s="136"/>
    </row>
    <row r="1640" ht="15.75" customHeight="1">
      <c r="A1640" s="59"/>
      <c r="B1640" s="63">
        <f t="shared" si="1"/>
        <v>11</v>
      </c>
      <c r="C1640" s="134" t="s">
        <v>125</v>
      </c>
      <c r="D1640" s="134" t="s">
        <v>74</v>
      </c>
      <c r="E1640" s="135">
        <f t="shared" si="36"/>
        <v>8</v>
      </c>
      <c r="F1640" s="134" t="s">
        <v>3610</v>
      </c>
      <c r="G1640" s="63" t="str">
        <f>VLOOKUP(C1640, 'Class Def. - General Data'!$C$20:$C$1000,1,false)</f>
        <v>ZFG1_LIQDET</v>
      </c>
      <c r="H1640" s="63" t="str">
        <f>IFERROR(__xludf.DUMMYFUNCTION("VLOOKUP(F1640, IMPORTRANGE(""https://docs.google.com/spreadsheets/d/1Lhp9OU0JdFf_VYSMzH5lBcEaU4o8teT1piV-SNzShjg/edit?gid=554141278#gid=554141278"", ""'Char Def. - Attributes'!C20:C2242""), 1,false)"),"BANDED_PROMO")</f>
        <v>BANDED_PROMO</v>
      </c>
      <c r="I1640" s="136"/>
    </row>
    <row r="1641" ht="15.75" customHeight="1">
      <c r="A1641" s="59"/>
      <c r="B1641" s="63">
        <f t="shared" si="1"/>
        <v>11</v>
      </c>
      <c r="C1641" s="134" t="s">
        <v>125</v>
      </c>
      <c r="D1641" s="134" t="s">
        <v>74</v>
      </c>
      <c r="E1641" s="135">
        <f t="shared" si="36"/>
        <v>9</v>
      </c>
      <c r="F1641" s="134" t="s">
        <v>3611</v>
      </c>
      <c r="G1641" s="63" t="str">
        <f>VLOOKUP(C1641, 'Class Def. - General Data'!$C$20:$C$1000,1,false)</f>
        <v>ZFG1_LIQDET</v>
      </c>
      <c r="H1641" s="63" t="str">
        <f>IFERROR(__xludf.DUMMYFUNCTION("VLOOKUP(F1641, IMPORTRANGE(""https://docs.google.com/spreadsheets/d/1Lhp9OU0JdFf_VYSMzH5lBcEaU4o8teT1piV-SNzShjg/edit?gid=554141278#gid=554141278"", ""'Char Def. - Attributes'!C20:C2242""), 1,false)"),"LOKAL_EKSPOR")</f>
        <v>LOKAL_EKSPOR</v>
      </c>
      <c r="I1641" s="136"/>
    </row>
    <row r="1642" ht="15.75" customHeight="1">
      <c r="A1642" s="59"/>
      <c r="B1642" s="63">
        <f t="shared" si="1"/>
        <v>11</v>
      </c>
      <c r="C1642" s="134" t="s">
        <v>125</v>
      </c>
      <c r="D1642" s="134" t="s">
        <v>74</v>
      </c>
      <c r="E1642" s="135">
        <f t="shared" si="36"/>
        <v>10</v>
      </c>
      <c r="F1642" s="134" t="s">
        <v>3612</v>
      </c>
      <c r="G1642" s="63" t="str">
        <f>VLOOKUP(C1642, 'Class Def. - General Data'!$C$20:$C$1000,1,false)</f>
        <v>ZFG1_LIQDET</v>
      </c>
      <c r="H1642" s="63" t="str">
        <f>IFERROR(__xludf.DUMMYFUNCTION("VLOOKUP(F1642, IMPORTRANGE(""https://docs.google.com/spreadsheets/d/1Lhp9OU0JdFf_VYSMzH5lBcEaU4o8teT1piV-SNzShjg/edit?gid=554141278#gid=554141278"", ""'Char Def. - Attributes'!C20:C2242""), 1,false)"),"COUNTRY_EKSPOR")</f>
        <v>COUNTRY_EKSPOR</v>
      </c>
      <c r="I1642" s="136"/>
    </row>
    <row r="1643" ht="15.75" customHeight="1">
      <c r="A1643" s="59"/>
      <c r="B1643" s="63">
        <f t="shared" si="1"/>
        <v>11</v>
      </c>
      <c r="C1643" s="134" t="s">
        <v>125</v>
      </c>
      <c r="D1643" s="134" t="s">
        <v>74</v>
      </c>
      <c r="E1643" s="135">
        <f t="shared" si="36"/>
        <v>11</v>
      </c>
      <c r="F1643" s="134" t="s">
        <v>3613</v>
      </c>
      <c r="G1643" s="63" t="str">
        <f>VLOOKUP(C1643, 'Class Def. - General Data'!$C$20:$C$1000,1,false)</f>
        <v>ZFG1_LIQDET</v>
      </c>
      <c r="H1643" s="63" t="str">
        <f>IFERROR(__xludf.DUMMYFUNCTION("VLOOKUP(F1643, IMPORTRANGE(""https://docs.google.com/spreadsheets/d/1Lhp9OU0JdFf_VYSMzH5lBcEaU4o8teT1piV-SNzShjg/edit?gid=554141278#gid=554141278"", ""'Char Def. - Attributes'!C20:C2242""), 1,false)"),"WARNA_SFG")</f>
        <v>WARNA_SFG</v>
      </c>
      <c r="I1643" s="136"/>
    </row>
    <row r="1644" ht="15.75" customHeight="1">
      <c r="A1644" s="59"/>
      <c r="B1644" s="63">
        <f t="shared" si="1"/>
        <v>11</v>
      </c>
      <c r="C1644" s="134" t="s">
        <v>125</v>
      </c>
      <c r="D1644" s="134" t="s">
        <v>74</v>
      </c>
      <c r="E1644" s="135">
        <f t="shared" si="36"/>
        <v>12</v>
      </c>
      <c r="F1644" s="134" t="s">
        <v>3582</v>
      </c>
      <c r="G1644" s="63" t="str">
        <f>VLOOKUP(C1644, 'Class Def. - General Data'!$C$20:$C$1000,1,false)</f>
        <v>ZFG1_LIQDET</v>
      </c>
      <c r="H1644" s="63" t="str">
        <f>IFERROR(__xludf.DUMMYFUNCTION("VLOOKUP(F1644, IMPORTRANGE(""https://docs.google.com/spreadsheets/d/1Lhp9OU0JdFf_VYSMzH5lBcEaU4o8teT1piV-SNzShjg/edit?gid=554141278#gid=554141278"", ""'Char Def. - Attributes'!C20:C2242""), 1,false)"),"BASE_UNIT")</f>
        <v>BASE_UNIT</v>
      </c>
      <c r="I1644" s="136"/>
    </row>
    <row r="1645" ht="15.75" customHeight="1">
      <c r="A1645" s="59"/>
      <c r="B1645" s="63">
        <f t="shared" si="1"/>
        <v>11</v>
      </c>
      <c r="C1645" s="134" t="s">
        <v>125</v>
      </c>
      <c r="D1645" s="134" t="s">
        <v>74</v>
      </c>
      <c r="E1645" s="135">
        <f t="shared" si="36"/>
        <v>13</v>
      </c>
      <c r="F1645" s="134" t="s">
        <v>3583</v>
      </c>
      <c r="G1645" s="63" t="str">
        <f>VLOOKUP(C1645, 'Class Def. - General Data'!$C$20:$C$1000,1,false)</f>
        <v>ZFG1_LIQDET</v>
      </c>
      <c r="H1645" s="63" t="str">
        <f>IFERROR(__xludf.DUMMYFUNCTION("VLOOKUP(F1645, IMPORTRANGE(""https://docs.google.com/spreadsheets/d/1Lhp9OU0JdFf_VYSMzH5lBcEaU4o8teT1piV-SNzShjg/edit?gid=554141278#gid=554141278"", ""'Char Def. - Attributes'!C20:C2242""), 1,false)"),"SALES_UNIT")</f>
        <v>SALES_UNIT</v>
      </c>
      <c r="I1645" s="136"/>
    </row>
    <row r="1646" ht="15.75" customHeight="1">
      <c r="A1646" s="59"/>
      <c r="B1646" s="63">
        <f t="shared" si="1"/>
        <v>11</v>
      </c>
      <c r="C1646" s="134" t="s">
        <v>125</v>
      </c>
      <c r="D1646" s="134" t="s">
        <v>74</v>
      </c>
      <c r="E1646" s="135">
        <f t="shared" si="36"/>
        <v>14</v>
      </c>
      <c r="F1646" s="134" t="s">
        <v>3601</v>
      </c>
      <c r="G1646" s="63" t="str">
        <f>VLOOKUP(C1646, 'Class Def. - General Data'!$C$20:$C$1000,1,false)</f>
        <v>ZFG1_LIQDET</v>
      </c>
      <c r="H1646" s="63" t="str">
        <f>IFERROR(__xludf.DUMMYFUNCTION("VLOOKUP(F1646, IMPORTRANGE(""https://docs.google.com/spreadsheets/d/1Lhp9OU0JdFf_VYSMzH5lBcEaU4o8teT1piV-SNzShjg/edit?gid=554141278#gid=554141278"", ""'Char Def. - Attributes'!C20:C2242""), 1,false)"),"GROSS_WEIGHT")</f>
        <v>GROSS_WEIGHT</v>
      </c>
      <c r="I1646" s="136"/>
    </row>
    <row r="1647" ht="15.75" customHeight="1">
      <c r="A1647" s="59"/>
      <c r="B1647" s="63">
        <f t="shared" si="1"/>
        <v>11</v>
      </c>
      <c r="C1647" s="134" t="s">
        <v>125</v>
      </c>
      <c r="D1647" s="134" t="s">
        <v>74</v>
      </c>
      <c r="E1647" s="135">
        <f t="shared" si="36"/>
        <v>15</v>
      </c>
      <c r="F1647" s="134" t="s">
        <v>3602</v>
      </c>
      <c r="G1647" s="63" t="str">
        <f>VLOOKUP(C1647, 'Class Def. - General Data'!$C$20:$C$1000,1,false)</f>
        <v>ZFG1_LIQDET</v>
      </c>
      <c r="H1647" s="63" t="str">
        <f>IFERROR(__xludf.DUMMYFUNCTION("VLOOKUP(F1647, IMPORTRANGE(""https://docs.google.com/spreadsheets/d/1Lhp9OU0JdFf_VYSMzH5lBcEaU4o8teT1piV-SNzShjg/edit?gid=554141278#gid=554141278"", ""'Char Def. - Attributes'!C20:C2242""), 1,false)"),"NET_WEIGHT")</f>
        <v>NET_WEIGHT</v>
      </c>
      <c r="I1647" s="136"/>
    </row>
    <row r="1648" ht="15.75" customHeight="1">
      <c r="A1648" s="59"/>
      <c r="B1648" s="63">
        <f t="shared" si="1"/>
        <v>11</v>
      </c>
      <c r="C1648" s="134" t="s">
        <v>125</v>
      </c>
      <c r="D1648" s="134" t="s">
        <v>74</v>
      </c>
      <c r="E1648" s="135">
        <f t="shared" si="36"/>
        <v>16</v>
      </c>
      <c r="F1648" s="134" t="s">
        <v>3584</v>
      </c>
      <c r="G1648" s="63" t="str">
        <f>VLOOKUP(C1648, 'Class Def. - General Data'!$C$20:$C$1000,1,false)</f>
        <v>ZFG1_LIQDET</v>
      </c>
      <c r="H1648" s="63" t="str">
        <f>IFERROR(__xludf.DUMMYFUNCTION("VLOOKUP(F1648, IMPORTRANGE(""https://docs.google.com/spreadsheets/d/1Lhp9OU0JdFf_VYSMzH5lBcEaU4o8teT1piV-SNzShjg/edit?gid=554141278#gid=554141278"", ""'Char Def. - Attributes'!C20:C2242""), 1,false)"),"UNIT_PER_BOX")</f>
        <v>UNIT_PER_BOX</v>
      </c>
      <c r="I1648" s="136"/>
    </row>
    <row r="1649" ht="15.75" customHeight="1">
      <c r="A1649" s="59"/>
      <c r="B1649" s="63">
        <f t="shared" si="1"/>
        <v>11</v>
      </c>
      <c r="C1649" s="134" t="s">
        <v>125</v>
      </c>
      <c r="D1649" s="134" t="s">
        <v>74</v>
      </c>
      <c r="E1649" s="135">
        <f t="shared" si="36"/>
        <v>17</v>
      </c>
      <c r="F1649" s="134" t="s">
        <v>3614</v>
      </c>
      <c r="G1649" s="63" t="str">
        <f>VLOOKUP(C1649, 'Class Def. - General Data'!$C$20:$C$1000,1,false)</f>
        <v>ZFG1_LIQDET</v>
      </c>
      <c r="H1649" s="63" t="str">
        <f>IFERROR(__xludf.DUMMYFUNCTION("VLOOKUP(F1649, IMPORTRANGE(""https://docs.google.com/spreadsheets/d/1Lhp9OU0JdFf_VYSMzH5lBcEaU4o8teT1piV-SNzShjg/edit?gid=554141278#gid=554141278"", ""'Char Def. - Attributes'!C20:C2242""), 1,false)"),"UNIT_PER_CTN")</f>
        <v>UNIT_PER_CTN</v>
      </c>
      <c r="I1649" s="136"/>
    </row>
    <row r="1650" ht="15.75" customHeight="1">
      <c r="A1650" s="59"/>
      <c r="B1650" s="63">
        <f t="shared" si="1"/>
        <v>11</v>
      </c>
      <c r="C1650" s="134" t="s">
        <v>125</v>
      </c>
      <c r="D1650" s="134" t="s">
        <v>74</v>
      </c>
      <c r="E1650" s="135">
        <f t="shared" si="36"/>
        <v>18</v>
      </c>
      <c r="F1650" s="134" t="s">
        <v>3615</v>
      </c>
      <c r="G1650" s="63" t="str">
        <f>VLOOKUP(C1650, 'Class Def. - General Data'!$C$20:$C$1000,1,false)</f>
        <v>ZFG1_LIQDET</v>
      </c>
      <c r="H1650" s="63" t="str">
        <f>IFERROR(__xludf.DUMMYFUNCTION("VLOOKUP(F1650, IMPORTRANGE(""https://docs.google.com/spreadsheets/d/1Lhp9OU0JdFf_VYSMzH5lBcEaU4o8teT1piV-SNzShjg/edit?gid=554141278#gid=554141278"", ""'Char Def. - Attributes'!C20:C2242""), 1,false)"),"UNIT_PER_BAG")</f>
        <v>UNIT_PER_BAG</v>
      </c>
      <c r="I1650" s="136"/>
    </row>
    <row r="1651" ht="15.75" customHeight="1">
      <c r="A1651" s="59"/>
      <c r="B1651" s="63">
        <f t="shared" si="1"/>
        <v>11</v>
      </c>
      <c r="C1651" s="134" t="s">
        <v>125</v>
      </c>
      <c r="D1651" s="134" t="s">
        <v>74</v>
      </c>
      <c r="E1651" s="135">
        <f t="shared" si="36"/>
        <v>19</v>
      </c>
      <c r="F1651" s="134" t="s">
        <v>3616</v>
      </c>
      <c r="G1651" s="63" t="str">
        <f>VLOOKUP(C1651, 'Class Def. - General Data'!$C$20:$C$1000,1,false)</f>
        <v>ZFG1_LIQDET</v>
      </c>
      <c r="H1651" s="63" t="str">
        <f>IFERROR(__xludf.DUMMYFUNCTION("VLOOKUP(F1651, IMPORTRANGE(""https://docs.google.com/spreadsheets/d/1Lhp9OU0JdFf_VYSMzH5lBcEaU4o8teT1piV-SNzShjg/edit?gid=554141278#gid=554141278"", ""'Char Def. - Attributes'!C20:C2242""), 1,false)"),"UNIT_PER_PAL")</f>
        <v>UNIT_PER_PAL</v>
      </c>
      <c r="I1651" s="136"/>
    </row>
    <row r="1652" ht="15.75" customHeight="1">
      <c r="A1652" s="59"/>
      <c r="B1652" s="63">
        <f t="shared" si="1"/>
        <v>11</v>
      </c>
      <c r="C1652" s="134" t="s">
        <v>125</v>
      </c>
      <c r="D1652" s="134" t="s">
        <v>74</v>
      </c>
      <c r="E1652" s="135">
        <f t="shared" si="36"/>
        <v>20</v>
      </c>
      <c r="F1652" s="134" t="s">
        <v>3617</v>
      </c>
      <c r="G1652" s="63" t="str">
        <f>VLOOKUP(C1652, 'Class Def. - General Data'!$C$20:$C$1000,1,false)</f>
        <v>ZFG1_LIQDET</v>
      </c>
      <c r="H1652" s="63" t="str">
        <f>IFERROR(__xludf.DUMMYFUNCTION("VLOOKUP(F1652, IMPORTRANGE(""https://docs.google.com/spreadsheets/d/1Lhp9OU0JdFf_VYSMzH5lBcEaU4o8teT1piV-SNzShjg/edit?gid=554141278#gid=554141278"", ""'Char Def. - Attributes'!C20:C2242""), 1,false)"),"UNIT_PER_TIER")</f>
        <v>UNIT_PER_TIER</v>
      </c>
      <c r="I1652" s="136"/>
    </row>
    <row r="1653" ht="15.75" customHeight="1">
      <c r="A1653" s="59"/>
      <c r="B1653" s="63">
        <f t="shared" si="1"/>
        <v>11</v>
      </c>
      <c r="C1653" s="134" t="s">
        <v>125</v>
      </c>
      <c r="D1653" s="134" t="s">
        <v>74</v>
      </c>
      <c r="E1653" s="135">
        <f t="shared" si="36"/>
        <v>21</v>
      </c>
      <c r="F1653" s="134" t="s">
        <v>3618</v>
      </c>
      <c r="G1653" s="63" t="str">
        <f>VLOOKUP(C1653, 'Class Def. - General Data'!$C$20:$C$1000,1,false)</f>
        <v>ZFG1_LIQDET</v>
      </c>
      <c r="H1653" s="63" t="str">
        <f>IFERROR(__xludf.DUMMYFUNCTION("VLOOKUP(F1653, IMPORTRANGE(""https://docs.google.com/spreadsheets/d/1Lhp9OU0JdFf_VYSMzH5lBcEaU4o8teT1piV-SNzShjg/edit?gid=554141278#gid=554141278"", ""'Char Def. - Attributes'!C20:C2242""), 1,false)"),"HEIGHT")</f>
        <v>HEIGHT</v>
      </c>
      <c r="I1653" s="136"/>
    </row>
    <row r="1654" ht="15.75" customHeight="1">
      <c r="A1654" s="59"/>
      <c r="B1654" s="63">
        <f t="shared" si="1"/>
        <v>11</v>
      </c>
      <c r="C1654" s="134" t="s">
        <v>125</v>
      </c>
      <c r="D1654" s="134" t="s">
        <v>74</v>
      </c>
      <c r="E1654" s="135">
        <f t="shared" si="36"/>
        <v>22</v>
      </c>
      <c r="F1654" s="134" t="s">
        <v>3587</v>
      </c>
      <c r="G1654" s="63" t="str">
        <f>VLOOKUP(C1654, 'Class Def. - General Data'!$C$20:$C$1000,1,false)</f>
        <v>ZFG1_LIQDET</v>
      </c>
      <c r="H1654" s="63" t="str">
        <f>IFERROR(__xludf.DUMMYFUNCTION("VLOOKUP(F1654, IMPORTRANGE(""https://docs.google.com/spreadsheets/d/1Lhp9OU0JdFf_VYSMzH5lBcEaU4o8teT1piV-SNzShjg/edit?gid=554141278#gid=554141278"", ""'Char Def. - Attributes'!C20:C2242""), 1,false)"),"PLANT_BUY")</f>
        <v>PLANT_BUY</v>
      </c>
      <c r="I1654" s="136"/>
    </row>
    <row r="1655" ht="15.75" customHeight="1">
      <c r="A1655" s="59"/>
      <c r="B1655" s="63">
        <f t="shared" si="1"/>
        <v>11</v>
      </c>
      <c r="C1655" s="134" t="s">
        <v>125</v>
      </c>
      <c r="D1655" s="134" t="s">
        <v>74</v>
      </c>
      <c r="E1655" s="135">
        <f t="shared" si="36"/>
        <v>23</v>
      </c>
      <c r="F1655" s="134" t="s">
        <v>3619</v>
      </c>
      <c r="G1655" s="63" t="str">
        <f>VLOOKUP(C1655, 'Class Def. - General Data'!$C$20:$C$1000,1,false)</f>
        <v>ZFG1_LIQDET</v>
      </c>
      <c r="H1655" s="63" t="str">
        <f>IFERROR(__xludf.DUMMYFUNCTION("VLOOKUP(F1655, IMPORTRANGE(""https://docs.google.com/spreadsheets/d/1Lhp9OU0JdFf_VYSMzH5lBcEaU4o8teT1piV-SNzShjg/edit?gid=554141278#gid=554141278"", ""'Char Def. - Attributes'!C20:C2242""), 1,false)"),"LENGTH")</f>
        <v>LENGTH</v>
      </c>
      <c r="I1655" s="136"/>
    </row>
    <row r="1656" ht="15.75" customHeight="1">
      <c r="A1656" s="59"/>
      <c r="B1656" s="63">
        <f t="shared" si="1"/>
        <v>11</v>
      </c>
      <c r="C1656" s="134" t="s">
        <v>125</v>
      </c>
      <c r="D1656" s="134" t="s">
        <v>74</v>
      </c>
      <c r="E1656" s="135">
        <f t="shared" si="36"/>
        <v>24</v>
      </c>
      <c r="F1656" s="134" t="s">
        <v>3586</v>
      </c>
      <c r="G1656" s="63" t="str">
        <f>VLOOKUP(C1656, 'Class Def. - General Data'!$C$20:$C$1000,1,false)</f>
        <v>ZFG1_LIQDET</v>
      </c>
      <c r="H1656" s="63" t="str">
        <f>IFERROR(__xludf.DUMMYFUNCTION("VLOOKUP(F1656, IMPORTRANGE(""https://docs.google.com/spreadsheets/d/1Lhp9OU0JdFf_VYSMzH5lBcEaU4o8teT1piV-SNzShjg/edit?gid=554141278#gid=554141278"", ""'Char Def. - Attributes'!C20:C2242""), 1,false)"),"PLANT_PROD")</f>
        <v>PLANT_PROD</v>
      </c>
      <c r="I1656" s="136"/>
    </row>
    <row r="1657" ht="15.75" customHeight="1">
      <c r="A1657" s="59"/>
      <c r="B1657" s="63">
        <f t="shared" si="1"/>
        <v>11</v>
      </c>
      <c r="C1657" s="134" t="s">
        <v>125</v>
      </c>
      <c r="D1657" s="134" t="s">
        <v>74</v>
      </c>
      <c r="E1657" s="135">
        <f t="shared" si="36"/>
        <v>25</v>
      </c>
      <c r="F1657" s="134" t="s">
        <v>3620</v>
      </c>
      <c r="G1657" s="63" t="str">
        <f>VLOOKUP(C1657, 'Class Def. - General Data'!$C$20:$C$1000,1,false)</f>
        <v>ZFG1_LIQDET</v>
      </c>
      <c r="H1657" s="63" t="str">
        <f>IFERROR(__xludf.DUMMYFUNCTION("VLOOKUP(F1657, IMPORTRANGE(""https://docs.google.com/spreadsheets/d/1Lhp9OU0JdFf_VYSMzH5lBcEaU4o8teT1piV-SNzShjg/edit?gid=554141278#gid=554141278"", ""'Char Def. - Attributes'!C20:C2242""), 1,false)"),"WIDTH")</f>
        <v>WIDTH</v>
      </c>
      <c r="I1657" s="136"/>
    </row>
    <row r="1658" ht="15.75" customHeight="1">
      <c r="A1658" s="59"/>
      <c r="B1658" s="63">
        <f t="shared" si="1"/>
        <v>11</v>
      </c>
      <c r="C1658" s="134" t="s">
        <v>125</v>
      </c>
      <c r="D1658" s="134" t="s">
        <v>74</v>
      </c>
      <c r="E1658" s="135">
        <f t="shared" si="36"/>
        <v>26</v>
      </c>
      <c r="F1658" s="134" t="s">
        <v>3585</v>
      </c>
      <c r="G1658" s="63" t="str">
        <f>VLOOKUP(C1658, 'Class Def. - General Data'!$C$20:$C$1000,1,false)</f>
        <v>ZFG1_LIQDET</v>
      </c>
      <c r="H1658" s="63" t="str">
        <f>IFERROR(__xludf.DUMMYFUNCTION("VLOOKUP(F1658, IMPORTRANGE(""https://docs.google.com/spreadsheets/d/1Lhp9OU0JdFf_VYSMzH5lBcEaU4o8teT1piV-SNzShjg/edit?gid=554141278#gid=554141278"", ""'Char Def. - Attributes'!C20:C2242""), 1,false)"),"HS_CODE")</f>
        <v>HS_CODE</v>
      </c>
      <c r="I1658" s="136"/>
    </row>
    <row r="1659" ht="15.75" customHeight="1">
      <c r="A1659" s="59"/>
      <c r="B1659" s="63">
        <f t="shared" si="1"/>
        <v>11</v>
      </c>
      <c r="C1659" s="134" t="s">
        <v>125</v>
      </c>
      <c r="D1659" s="134" t="s">
        <v>74</v>
      </c>
      <c r="E1659" s="135">
        <f t="shared" si="36"/>
        <v>27</v>
      </c>
      <c r="F1659" s="134" t="s">
        <v>3621</v>
      </c>
      <c r="G1659" s="63" t="str">
        <f>VLOOKUP(C1659, 'Class Def. - General Data'!$C$20:$C$1000,1,false)</f>
        <v>ZFG1_LIQDET</v>
      </c>
      <c r="H1659" s="63" t="str">
        <f>IFERROR(__xludf.DUMMYFUNCTION("VLOOKUP(F1659, IMPORTRANGE(""https://docs.google.com/spreadsheets/d/1Lhp9OU0JdFf_VYSMzH5lBcEaU4o8teT1piV-SNzShjg/edit?gid=554141278#gid=554141278"", ""'Char Def. - Attributes'!C20:C2242""), 1,false)"),"EAN_PCS")</f>
        <v>EAN_PCS</v>
      </c>
      <c r="I1659" s="136"/>
    </row>
    <row r="1660" ht="15.75" customHeight="1">
      <c r="A1660" s="59"/>
      <c r="B1660" s="63">
        <f t="shared" si="1"/>
        <v>11</v>
      </c>
      <c r="C1660" s="134" t="s">
        <v>125</v>
      </c>
      <c r="D1660" s="134" t="s">
        <v>74</v>
      </c>
      <c r="E1660" s="135">
        <f t="shared" si="36"/>
        <v>28</v>
      </c>
      <c r="F1660" s="134" t="s">
        <v>3622</v>
      </c>
      <c r="G1660" s="63" t="str">
        <f>VLOOKUP(C1660, 'Class Def. - General Data'!$C$20:$C$1000,1,false)</f>
        <v>ZFG1_LIQDET</v>
      </c>
      <c r="H1660" s="63" t="str">
        <f>IFERROR(__xludf.DUMMYFUNCTION("VLOOKUP(F1660, IMPORTRANGE(""https://docs.google.com/spreadsheets/d/1Lhp9OU0JdFf_VYSMzH5lBcEaU4o8teT1piV-SNzShjg/edit?gid=554141278#gid=554141278"", ""'Char Def. - Attributes'!C20:C2242""), 1,false)"),"SFG_BRAND")</f>
        <v>SFG_BRAND</v>
      </c>
      <c r="I1660" s="136"/>
    </row>
    <row r="1661" ht="15.75" customHeight="1">
      <c r="A1661" s="59"/>
      <c r="B1661" s="63">
        <f t="shared" si="1"/>
        <v>11</v>
      </c>
      <c r="C1661" s="134" t="s">
        <v>125</v>
      </c>
      <c r="D1661" s="134" t="s">
        <v>74</v>
      </c>
      <c r="E1661" s="135">
        <f t="shared" si="36"/>
        <v>29</v>
      </c>
      <c r="F1661" s="134" t="s">
        <v>3623</v>
      </c>
      <c r="G1661" s="63" t="str">
        <f>VLOOKUP(C1661, 'Class Def. - General Data'!$C$20:$C$1000,1,false)</f>
        <v>ZFG1_LIQDET</v>
      </c>
      <c r="H1661" s="63" t="str">
        <f>IFERROR(__xludf.DUMMYFUNCTION("VLOOKUP(F1661, IMPORTRANGE(""https://docs.google.com/spreadsheets/d/1Lhp9OU0JdFf_VYSMzH5lBcEaU4o8teT1piV-SNzShjg/edit?gid=554141278#gid=554141278"", ""'Char Def. - Attributes'!C20:C2242""), 1,false)"),"LANGUAGE")</f>
        <v>LANGUAGE</v>
      </c>
      <c r="I1661" s="136"/>
    </row>
    <row r="1662" ht="15.75" customHeight="1">
      <c r="A1662" s="59"/>
      <c r="B1662" s="63">
        <f t="shared" si="1"/>
        <v>11</v>
      </c>
      <c r="C1662" s="139" t="s">
        <v>125</v>
      </c>
      <c r="D1662" s="139" t="s">
        <v>74</v>
      </c>
      <c r="E1662" s="140">
        <f t="shared" si="36"/>
        <v>30</v>
      </c>
      <c r="F1662" s="134" t="s">
        <v>3624</v>
      </c>
      <c r="G1662" s="63" t="str">
        <f>VLOOKUP(C1662, 'Class Def. - General Data'!$C$20:$C$1000,1,false)</f>
        <v>ZFG1_LIQDET</v>
      </c>
      <c r="H1662" s="63" t="str">
        <f>IFERROR(__xludf.DUMMYFUNCTION("VLOOKUP(F1662, IMPORTRANGE(""https://docs.google.com/spreadsheets/d/1Lhp9OU0JdFf_VYSMzH5lBcEaU4o8teT1piV-SNzShjg/edit?gid=554141278#gid=554141278"", ""'Char Def. - Attributes'!C20:C2242""), 1,false)"),"#N/A")</f>
        <v>#N/A</v>
      </c>
      <c r="I1662" s="136"/>
    </row>
    <row r="1663" ht="15.75" customHeight="1">
      <c r="A1663" s="59"/>
      <c r="B1663" s="63">
        <f t="shared" si="1"/>
        <v>11</v>
      </c>
      <c r="C1663" s="134" t="s">
        <v>125</v>
      </c>
      <c r="D1663" s="134" t="s">
        <v>74</v>
      </c>
      <c r="E1663" s="135">
        <f t="shared" si="36"/>
        <v>31</v>
      </c>
      <c r="F1663" s="134" t="s">
        <v>3625</v>
      </c>
      <c r="G1663" s="63" t="str">
        <f>VLOOKUP(C1663, 'Class Def. - General Data'!$C$20:$C$1000,1,false)</f>
        <v>ZFG1_LIQDET</v>
      </c>
      <c r="H1663" s="63" t="str">
        <f>IFERROR(__xludf.DUMMYFUNCTION("VLOOKUP(F1663, IMPORTRANGE(""https://docs.google.com/spreadsheets/d/1Lhp9OU0JdFf_VYSMzH5lBcEaU4o8teT1piV-SNzShjg/edit?gid=554141278#gid=554141278"", ""'Char Def. - Attributes'!C20:C2242""), 1,false)"),"REGION_EKSPOR")</f>
        <v>REGION_EKSPOR</v>
      </c>
      <c r="I1663" s="136"/>
    </row>
    <row r="1664" ht="15.75" customHeight="1">
      <c r="A1664" s="59"/>
      <c r="B1664" s="63">
        <f t="shared" si="1"/>
        <v>11</v>
      </c>
      <c r="C1664" s="134" t="s">
        <v>125</v>
      </c>
      <c r="D1664" s="134" t="s">
        <v>74</v>
      </c>
      <c r="E1664" s="135">
        <f t="shared" si="36"/>
        <v>32</v>
      </c>
      <c r="F1664" s="134" t="s">
        <v>3626</v>
      </c>
      <c r="G1664" s="63" t="str">
        <f>VLOOKUP(C1664, 'Class Def. - General Data'!$C$20:$C$1000,1,false)</f>
        <v>ZFG1_LIQDET</v>
      </c>
      <c r="H1664" s="63" t="str">
        <f>IFERROR(__xludf.DUMMYFUNCTION("VLOOKUP(F1664, IMPORTRANGE(""https://docs.google.com/spreadsheets/d/1Lhp9OU0JdFf_VYSMzH5lBcEaU4o8teT1piV-SNzShjg/edit?gid=554141278#gid=554141278"", ""'Char Def. - Attributes'!C20:C2242""), 1,false)"),"STICKER_NOT")</f>
        <v>STICKER_NOT</v>
      </c>
      <c r="I1664" s="136"/>
    </row>
    <row r="1665" ht="15.75" customHeight="1">
      <c r="A1665" s="59"/>
      <c r="B1665" s="63">
        <f t="shared" si="1"/>
        <v>11</v>
      </c>
      <c r="C1665" s="134" t="s">
        <v>125</v>
      </c>
      <c r="D1665" s="134" t="s">
        <v>74</v>
      </c>
      <c r="E1665" s="135">
        <f t="shared" si="36"/>
        <v>33</v>
      </c>
      <c r="F1665" s="134" t="s">
        <v>3627</v>
      </c>
      <c r="G1665" s="63" t="str">
        <f>VLOOKUP(C1665, 'Class Def. - General Data'!$C$20:$C$1000,1,false)</f>
        <v>ZFG1_LIQDET</v>
      </c>
      <c r="H1665" s="63" t="str">
        <f>IFERROR(__xludf.DUMMYFUNCTION("VLOOKUP(F1665, IMPORTRANGE(""https://docs.google.com/spreadsheets/d/1Lhp9OU0JdFf_VYSMzH5lBcEaU4o8teT1piV-SNzShjg/edit?gid=554141278#gid=554141278"", ""'Char Def. - Attributes'!C20:C2242""), 1,false)"),"SHIP_MARK")</f>
        <v>SHIP_MARK</v>
      </c>
      <c r="I1665" s="136"/>
    </row>
    <row r="1666" ht="15.75" customHeight="1">
      <c r="A1666" s="59"/>
      <c r="B1666" s="63">
        <f t="shared" si="1"/>
        <v>11</v>
      </c>
      <c r="C1666" s="134" t="s">
        <v>125</v>
      </c>
      <c r="D1666" s="134" t="s">
        <v>74</v>
      </c>
      <c r="E1666" s="135">
        <f t="shared" si="36"/>
        <v>34</v>
      </c>
      <c r="F1666" s="134" t="s">
        <v>3628</v>
      </c>
      <c r="G1666" s="63" t="str">
        <f>VLOOKUP(C1666, 'Class Def. - General Data'!$C$20:$C$1000,1,false)</f>
        <v>ZFG1_LIQDET</v>
      </c>
      <c r="H1666" s="63" t="str">
        <f>IFERROR(__xludf.DUMMYFUNCTION("VLOOKUP(F1666, IMPORTRANGE(""https://docs.google.com/spreadsheets/d/1Lhp9OU0JdFf_VYSMzH5lBcEaU4o8teT1piV-SNzShjg/edit?gid=554141278#gid=554141278"", ""'Char Def. - Attributes'!C20:C2242""), 1,false)"),"MID_CORE")</f>
        <v>MID_CORE</v>
      </c>
      <c r="I1666" s="136"/>
    </row>
    <row r="1667" ht="15.75" customHeight="1">
      <c r="A1667" s="59"/>
      <c r="B1667" s="63">
        <f t="shared" si="1"/>
        <v>11</v>
      </c>
      <c r="C1667" s="134" t="s">
        <v>125</v>
      </c>
      <c r="D1667" s="134" t="s">
        <v>74</v>
      </c>
      <c r="E1667" s="135">
        <f t="shared" si="36"/>
        <v>35</v>
      </c>
      <c r="F1667" s="134" t="s">
        <v>3629</v>
      </c>
      <c r="G1667" s="63" t="str">
        <f>VLOOKUP(C1667, 'Class Def. - General Data'!$C$20:$C$1000,1,false)</f>
        <v>ZFG1_LIQDET</v>
      </c>
      <c r="H1667" s="63" t="str">
        <f>IFERROR(__xludf.DUMMYFUNCTION("VLOOKUP(F1667, IMPORTRANGE(""https://docs.google.com/spreadsheets/d/1Lhp9OU0JdFf_VYSMzH5lBcEaU4o8teT1piV-SNzShjg/edit?gid=554141278#gid=554141278"", ""'Char Def. - Attributes'!C20:C2242""), 1,false)"),"EAN_CTN")</f>
        <v>EAN_CTN</v>
      </c>
      <c r="I1667" s="136"/>
    </row>
    <row r="1668" ht="15.75" customHeight="1">
      <c r="A1668" s="59"/>
      <c r="B1668" s="63">
        <f t="shared" si="1"/>
        <v>11</v>
      </c>
      <c r="C1668" s="134" t="s">
        <v>125</v>
      </c>
      <c r="D1668" s="134" t="s">
        <v>74</v>
      </c>
      <c r="E1668" s="135">
        <f t="shared" si="36"/>
        <v>36</v>
      </c>
      <c r="F1668" s="134" t="s">
        <v>3630</v>
      </c>
      <c r="G1668" s="63" t="str">
        <f>VLOOKUP(C1668, 'Class Def. - General Data'!$C$20:$C$1000,1,false)</f>
        <v>ZFG1_LIQDET</v>
      </c>
      <c r="H1668" s="63" t="str">
        <f>IFERROR(__xludf.DUMMYFUNCTION("VLOOKUP(F1668, IMPORTRANGE(""https://docs.google.com/spreadsheets/d/1Lhp9OU0JdFf_VYSMzH5lBcEaU4o8teT1piV-SNzShjg/edit?gid=554141278#gid=554141278"", ""'Char Def. - Attributes'!C20:C2242""), 1,false)"),"EAN_BOX")</f>
        <v>EAN_BOX</v>
      </c>
      <c r="I1668" s="136"/>
    </row>
    <row r="1669" ht="15.75" customHeight="1">
      <c r="A1669" s="59"/>
      <c r="B1669" s="63">
        <f t="shared" si="1"/>
        <v>11</v>
      </c>
      <c r="C1669" s="134" t="s">
        <v>125</v>
      </c>
      <c r="D1669" s="141" t="s">
        <v>74</v>
      </c>
      <c r="E1669" s="135">
        <v>22.0</v>
      </c>
      <c r="F1669" s="135" t="s">
        <v>3603</v>
      </c>
      <c r="G1669" s="63" t="str">
        <f>VLOOKUP(C1669, 'Class Def. - General Data'!$C$20:$C$1000,1,false)</f>
        <v>ZFG1_LIQDET</v>
      </c>
      <c r="I1669" s="136"/>
    </row>
    <row r="1670" ht="15.75" customHeight="1">
      <c r="A1670" s="59"/>
      <c r="B1670" s="63">
        <f t="shared" si="1"/>
        <v>16</v>
      </c>
      <c r="C1670" s="75" t="s">
        <v>556</v>
      </c>
      <c r="D1670" s="134" t="s">
        <v>74</v>
      </c>
      <c r="E1670" s="135">
        <f t="shared" ref="E1670:E1705" si="37">COUNTIF($C$20:C1670,C1670)</f>
        <v>1</v>
      </c>
      <c r="F1670" s="134" t="str">
        <f>"BRAND_"&amp;MID(C1670,6,20)</f>
        <v>BRAND_LOOSEPOWDER</v>
      </c>
      <c r="G1670" s="63" t="str">
        <f>VLOOKUP(C1670, 'Class Def. - General Data'!$C$20:$C$1000,1,false)</f>
        <v>ZFG1_LOOSEPOWDER</v>
      </c>
      <c r="H1670" s="63" t="str">
        <f>IFERROR(__xludf.DUMMYFUNCTION("VLOOKUP(F1670, IMPORTRANGE(""https://docs.google.com/spreadsheets/d/1Lhp9OU0JdFf_VYSMzH5lBcEaU4o8teT1piV-SNzShjg/edit?gid=554141278#gid=554141278"", ""'Char Def. - Attributes'!C20:C2242""), 1,false)"),"BRAND_LOOSEPOWDER")</f>
        <v>BRAND_LOOSEPOWDER</v>
      </c>
      <c r="I1670" s="136"/>
    </row>
    <row r="1671" ht="15.75" customHeight="1">
      <c r="A1671" s="59"/>
      <c r="B1671" s="63">
        <f t="shared" si="1"/>
        <v>16</v>
      </c>
      <c r="C1671" s="75" t="s">
        <v>556</v>
      </c>
      <c r="D1671" s="134" t="s">
        <v>74</v>
      </c>
      <c r="E1671" s="135">
        <f t="shared" si="37"/>
        <v>2</v>
      </c>
      <c r="F1671" s="134" t="s">
        <v>3718</v>
      </c>
      <c r="G1671" s="63" t="str">
        <f>VLOOKUP(C1671, 'Class Def. - General Data'!$C$20:$C$1000,1,false)</f>
        <v>ZFG1_LOOSEPOWDER</v>
      </c>
      <c r="H1671" s="63" t="str">
        <f>IFERROR(__xludf.DUMMYFUNCTION("VLOOKUP(F1671, IMPORTRANGE(""https://docs.google.com/spreadsheets/d/1Lhp9OU0JdFf_VYSMzH5lBcEaU4o8teT1piV-SNzShjg/edit?gid=554141278#gid=554141278"", ""'Char Def. - Attributes'!C20:C2242""), 1,false)"),"#N/A")</f>
        <v>#N/A</v>
      </c>
      <c r="I1671" s="136"/>
    </row>
    <row r="1672" ht="15.75" customHeight="1">
      <c r="A1672" s="59"/>
      <c r="B1672" s="63">
        <f t="shared" si="1"/>
        <v>16</v>
      </c>
      <c r="C1672" s="75" t="s">
        <v>556</v>
      </c>
      <c r="D1672" s="134" t="s">
        <v>74</v>
      </c>
      <c r="E1672" s="135">
        <f t="shared" si="37"/>
        <v>3</v>
      </c>
      <c r="F1672" s="134" t="s">
        <v>3605</v>
      </c>
      <c r="G1672" s="63" t="str">
        <f>VLOOKUP(C1672, 'Class Def. - General Data'!$C$20:$C$1000,1,false)</f>
        <v>ZFG1_LOOSEPOWDER</v>
      </c>
      <c r="H1672" s="63" t="str">
        <f>IFERROR(__xludf.DUMMYFUNCTION("VLOOKUP(F1672, IMPORTRANGE(""https://docs.google.com/spreadsheets/d/1Lhp9OU0JdFf_VYSMzH5lBcEaU4o8teT1piV-SNzShjg/edit?gid=554141278#gid=554141278"", ""'Char Def. - Attributes'!C20:C2242""), 1,false)"),"PACK_NETTO")</f>
        <v>PACK_NETTO</v>
      </c>
      <c r="I1672" s="136"/>
    </row>
    <row r="1673" ht="15.75" customHeight="1">
      <c r="A1673" s="59"/>
      <c r="B1673" s="63">
        <f t="shared" si="1"/>
        <v>16</v>
      </c>
      <c r="C1673" s="75" t="s">
        <v>556</v>
      </c>
      <c r="D1673" s="134" t="s">
        <v>74</v>
      </c>
      <c r="E1673" s="135">
        <f t="shared" si="37"/>
        <v>4</v>
      </c>
      <c r="F1673" s="134" t="s">
        <v>3719</v>
      </c>
      <c r="G1673" s="63" t="str">
        <f>VLOOKUP(C1673, 'Class Def. - General Data'!$C$20:$C$1000,1,false)</f>
        <v>ZFG1_LOOSEPOWDER</v>
      </c>
      <c r="H1673" s="63" t="str">
        <f>IFERROR(__xludf.DUMMYFUNCTION("VLOOKUP(F1673, IMPORTRANGE(""https://docs.google.com/spreadsheets/d/1Lhp9OU0JdFf_VYSMzH5lBcEaU4o8teT1piV-SNzShjg/edit?gid=554141278#gid=554141278"", ""'Char Def. - Attributes'!C20:C2242""), 1,false)"),"#N/A")</f>
        <v>#N/A</v>
      </c>
      <c r="I1673" s="136"/>
    </row>
    <row r="1674" ht="15.75" customHeight="1">
      <c r="A1674" s="59"/>
      <c r="B1674" s="63">
        <f t="shared" si="1"/>
        <v>16</v>
      </c>
      <c r="C1674" s="75" t="s">
        <v>556</v>
      </c>
      <c r="D1674" s="134" t="s">
        <v>74</v>
      </c>
      <c r="E1674" s="135">
        <f t="shared" si="37"/>
        <v>5</v>
      </c>
      <c r="F1674" s="134" t="s">
        <v>3607</v>
      </c>
      <c r="G1674" s="63" t="str">
        <f>VLOOKUP(C1674, 'Class Def. - General Data'!$C$20:$C$1000,1,false)</f>
        <v>ZFG1_LOOSEPOWDER</v>
      </c>
      <c r="H1674" s="63" t="str">
        <f>IFERROR(__xludf.DUMMYFUNCTION("VLOOKUP(F1674, IMPORTRANGE(""https://docs.google.com/spreadsheets/d/1Lhp9OU0JdFf_VYSMzH5lBcEaU4o8teT1piV-SNzShjg/edit?gid=554141278#gid=554141278"", ""'Char Def. - Attributes'!C20:C2242""), 1,false)"),"VARIAN")</f>
        <v>VARIAN</v>
      </c>
      <c r="I1674" s="136"/>
    </row>
    <row r="1675" ht="15.75" customHeight="1">
      <c r="A1675" s="59"/>
      <c r="B1675" s="63">
        <f t="shared" si="1"/>
        <v>16</v>
      </c>
      <c r="C1675" s="75" t="s">
        <v>556</v>
      </c>
      <c r="D1675" s="134" t="s">
        <v>74</v>
      </c>
      <c r="E1675" s="135">
        <f t="shared" si="37"/>
        <v>6</v>
      </c>
      <c r="F1675" s="134" t="s">
        <v>3608</v>
      </c>
      <c r="G1675" s="63" t="str">
        <f>VLOOKUP(C1675, 'Class Def. - General Data'!$C$20:$C$1000,1,false)</f>
        <v>ZFG1_LOOSEPOWDER</v>
      </c>
      <c r="H1675" s="63" t="str">
        <f>IFERROR(__xludf.DUMMYFUNCTION("VLOOKUP(F1675, IMPORTRANGE(""https://docs.google.com/spreadsheets/d/1Lhp9OU0JdFf_VYSMzH5lBcEaU4o8teT1piV-SNzShjg/edit?gid=554141278#gid=554141278"", ""'Char Def. - Attributes'!C20:C2242""), 1,false)"),"PROJECT_NAME")</f>
        <v>PROJECT_NAME</v>
      </c>
      <c r="I1675" s="136"/>
    </row>
    <row r="1676" ht="15.75" customHeight="1">
      <c r="A1676" s="59"/>
      <c r="B1676" s="63">
        <f t="shared" si="1"/>
        <v>16</v>
      </c>
      <c r="C1676" s="75" t="s">
        <v>556</v>
      </c>
      <c r="D1676" s="134" t="s">
        <v>74</v>
      </c>
      <c r="E1676" s="135">
        <f t="shared" si="37"/>
        <v>7</v>
      </c>
      <c r="F1676" s="134" t="s">
        <v>3609</v>
      </c>
      <c r="G1676" s="63" t="str">
        <f>VLOOKUP(C1676, 'Class Def. - General Data'!$C$20:$C$1000,1,false)</f>
        <v>ZFG1_LOOSEPOWDER</v>
      </c>
      <c r="H1676" s="63" t="str">
        <f>IFERROR(__xludf.DUMMYFUNCTION("VLOOKUP(F1676, IMPORTRANGE(""https://docs.google.com/spreadsheets/d/1Lhp9OU0JdFf_VYSMzH5lBcEaU4o8teT1piV-SNzShjg/edit?gid=554141278#gid=554141278"", ""'Char Def. - Attributes'!C20:C2242""), 1,false)"),"ADDITIONAL_PROMO")</f>
        <v>ADDITIONAL_PROMO</v>
      </c>
      <c r="I1676" s="136"/>
    </row>
    <row r="1677" ht="15.75" customHeight="1">
      <c r="A1677" s="59"/>
      <c r="B1677" s="63">
        <f t="shared" si="1"/>
        <v>16</v>
      </c>
      <c r="C1677" s="75" t="s">
        <v>556</v>
      </c>
      <c r="D1677" s="134" t="s">
        <v>74</v>
      </c>
      <c r="E1677" s="135">
        <f t="shared" si="37"/>
        <v>8</v>
      </c>
      <c r="F1677" s="134" t="s">
        <v>3610</v>
      </c>
      <c r="G1677" s="63" t="str">
        <f>VLOOKUP(C1677, 'Class Def. - General Data'!$C$20:$C$1000,1,false)</f>
        <v>ZFG1_LOOSEPOWDER</v>
      </c>
      <c r="H1677" s="63" t="str">
        <f>IFERROR(__xludf.DUMMYFUNCTION("VLOOKUP(F1677, IMPORTRANGE(""https://docs.google.com/spreadsheets/d/1Lhp9OU0JdFf_VYSMzH5lBcEaU4o8teT1piV-SNzShjg/edit?gid=554141278#gid=554141278"", ""'Char Def. - Attributes'!C20:C2242""), 1,false)"),"BANDED_PROMO")</f>
        <v>BANDED_PROMO</v>
      </c>
      <c r="I1677" s="136"/>
    </row>
    <row r="1678" ht="15.75" customHeight="1">
      <c r="A1678" s="59"/>
      <c r="B1678" s="63">
        <f t="shared" si="1"/>
        <v>16</v>
      </c>
      <c r="C1678" s="75" t="s">
        <v>556</v>
      </c>
      <c r="D1678" s="134" t="s">
        <v>74</v>
      </c>
      <c r="E1678" s="135">
        <f t="shared" si="37"/>
        <v>9</v>
      </c>
      <c r="F1678" s="134" t="s">
        <v>3611</v>
      </c>
      <c r="G1678" s="63" t="str">
        <f>VLOOKUP(C1678, 'Class Def. - General Data'!$C$20:$C$1000,1,false)</f>
        <v>ZFG1_LOOSEPOWDER</v>
      </c>
      <c r="H1678" s="63" t="str">
        <f>IFERROR(__xludf.DUMMYFUNCTION("VLOOKUP(F1678, IMPORTRANGE(""https://docs.google.com/spreadsheets/d/1Lhp9OU0JdFf_VYSMzH5lBcEaU4o8teT1piV-SNzShjg/edit?gid=554141278#gid=554141278"", ""'Char Def. - Attributes'!C20:C2242""), 1,false)"),"LOKAL_EKSPOR")</f>
        <v>LOKAL_EKSPOR</v>
      </c>
      <c r="I1678" s="136"/>
    </row>
    <row r="1679" ht="15.75" customHeight="1">
      <c r="A1679" s="66"/>
      <c r="B1679" s="63">
        <f t="shared" si="1"/>
        <v>16</v>
      </c>
      <c r="C1679" s="75" t="s">
        <v>556</v>
      </c>
      <c r="D1679" s="134" t="s">
        <v>74</v>
      </c>
      <c r="E1679" s="135">
        <f t="shared" si="37"/>
        <v>10</v>
      </c>
      <c r="F1679" s="134" t="s">
        <v>3612</v>
      </c>
      <c r="G1679" s="63" t="str">
        <f>VLOOKUP(C1679, 'Class Def. - General Data'!$C$20:$C$1000,1,false)</f>
        <v>ZFG1_LOOSEPOWDER</v>
      </c>
      <c r="H1679" s="63" t="str">
        <f>IFERROR(__xludf.DUMMYFUNCTION("VLOOKUP(F1679, IMPORTRANGE(""https://docs.google.com/spreadsheets/d/1Lhp9OU0JdFf_VYSMzH5lBcEaU4o8teT1piV-SNzShjg/edit?gid=554141278#gid=554141278"", ""'Char Def. - Attributes'!C20:C2242""), 1,false)"),"COUNTRY_EKSPOR")</f>
        <v>COUNTRY_EKSPOR</v>
      </c>
      <c r="I1679" s="136"/>
    </row>
    <row r="1680" ht="15.75" customHeight="1">
      <c r="A1680" s="66"/>
      <c r="B1680" s="63">
        <f t="shared" si="1"/>
        <v>16</v>
      </c>
      <c r="C1680" s="75" t="s">
        <v>556</v>
      </c>
      <c r="D1680" s="134" t="s">
        <v>74</v>
      </c>
      <c r="E1680" s="135">
        <f t="shared" si="37"/>
        <v>11</v>
      </c>
      <c r="F1680" s="134" t="s">
        <v>3613</v>
      </c>
      <c r="G1680" s="63" t="str">
        <f>VLOOKUP(C1680, 'Class Def. - General Data'!$C$20:$C$1000,1,false)</f>
        <v>ZFG1_LOOSEPOWDER</v>
      </c>
      <c r="H1680" s="63" t="str">
        <f>IFERROR(__xludf.DUMMYFUNCTION("VLOOKUP(F1680, IMPORTRANGE(""https://docs.google.com/spreadsheets/d/1Lhp9OU0JdFf_VYSMzH5lBcEaU4o8teT1piV-SNzShjg/edit?gid=554141278#gid=554141278"", ""'Char Def. - Attributes'!C20:C2242""), 1,false)"),"WARNA_SFG")</f>
        <v>WARNA_SFG</v>
      </c>
      <c r="I1680" s="136"/>
    </row>
    <row r="1681" ht="15.75" customHeight="1">
      <c r="A1681" s="59"/>
      <c r="B1681" s="63">
        <f t="shared" si="1"/>
        <v>16</v>
      </c>
      <c r="C1681" s="75" t="s">
        <v>556</v>
      </c>
      <c r="D1681" s="134" t="s">
        <v>74</v>
      </c>
      <c r="E1681" s="135">
        <f t="shared" si="37"/>
        <v>12</v>
      </c>
      <c r="F1681" s="134" t="s">
        <v>3582</v>
      </c>
      <c r="G1681" s="63" t="str">
        <f>VLOOKUP(C1681, 'Class Def. - General Data'!$C$20:$C$1000,1,false)</f>
        <v>ZFG1_LOOSEPOWDER</v>
      </c>
      <c r="H1681" s="63" t="str">
        <f>IFERROR(__xludf.DUMMYFUNCTION("VLOOKUP(F1681, IMPORTRANGE(""https://docs.google.com/spreadsheets/d/1Lhp9OU0JdFf_VYSMzH5lBcEaU4o8teT1piV-SNzShjg/edit?gid=554141278#gid=554141278"", ""'Char Def. - Attributes'!C20:C2242""), 1,false)"),"BASE_UNIT")</f>
        <v>BASE_UNIT</v>
      </c>
      <c r="I1681" s="136"/>
    </row>
    <row r="1682" ht="15.75" customHeight="1">
      <c r="A1682" s="59"/>
      <c r="B1682" s="63">
        <f t="shared" si="1"/>
        <v>16</v>
      </c>
      <c r="C1682" s="75" t="s">
        <v>556</v>
      </c>
      <c r="D1682" s="134" t="s">
        <v>74</v>
      </c>
      <c r="E1682" s="135">
        <f t="shared" si="37"/>
        <v>13</v>
      </c>
      <c r="F1682" s="134" t="s">
        <v>3583</v>
      </c>
      <c r="G1682" s="63" t="str">
        <f>VLOOKUP(C1682, 'Class Def. - General Data'!$C$20:$C$1000,1,false)</f>
        <v>ZFG1_LOOSEPOWDER</v>
      </c>
      <c r="H1682" s="63" t="str">
        <f>IFERROR(__xludf.DUMMYFUNCTION("VLOOKUP(F1682, IMPORTRANGE(""https://docs.google.com/spreadsheets/d/1Lhp9OU0JdFf_VYSMzH5lBcEaU4o8teT1piV-SNzShjg/edit?gid=554141278#gid=554141278"", ""'Char Def. - Attributes'!C20:C2242""), 1,false)"),"SALES_UNIT")</f>
        <v>SALES_UNIT</v>
      </c>
      <c r="I1682" s="136"/>
    </row>
    <row r="1683" ht="15.75" customHeight="1">
      <c r="A1683" s="59"/>
      <c r="B1683" s="63">
        <f t="shared" si="1"/>
        <v>16</v>
      </c>
      <c r="C1683" s="75" t="s">
        <v>556</v>
      </c>
      <c r="D1683" s="134" t="s">
        <v>74</v>
      </c>
      <c r="E1683" s="135">
        <f t="shared" si="37"/>
        <v>14</v>
      </c>
      <c r="F1683" s="134" t="s">
        <v>3601</v>
      </c>
      <c r="G1683" s="63" t="str">
        <f>VLOOKUP(C1683, 'Class Def. - General Data'!$C$20:$C$1000,1,false)</f>
        <v>ZFG1_LOOSEPOWDER</v>
      </c>
      <c r="H1683" s="63" t="str">
        <f>IFERROR(__xludf.DUMMYFUNCTION("VLOOKUP(F1683, IMPORTRANGE(""https://docs.google.com/spreadsheets/d/1Lhp9OU0JdFf_VYSMzH5lBcEaU4o8teT1piV-SNzShjg/edit?gid=554141278#gid=554141278"", ""'Char Def. - Attributes'!C20:C2242""), 1,false)"),"GROSS_WEIGHT")</f>
        <v>GROSS_WEIGHT</v>
      </c>
      <c r="I1683" s="136"/>
    </row>
    <row r="1684" ht="15.75" customHeight="1">
      <c r="A1684" s="59"/>
      <c r="B1684" s="63">
        <f t="shared" si="1"/>
        <v>16</v>
      </c>
      <c r="C1684" s="75" t="s">
        <v>556</v>
      </c>
      <c r="D1684" s="134" t="s">
        <v>74</v>
      </c>
      <c r="E1684" s="135">
        <f t="shared" si="37"/>
        <v>15</v>
      </c>
      <c r="F1684" s="134" t="s">
        <v>3602</v>
      </c>
      <c r="G1684" s="63" t="str">
        <f>VLOOKUP(C1684, 'Class Def. - General Data'!$C$20:$C$1000,1,false)</f>
        <v>ZFG1_LOOSEPOWDER</v>
      </c>
      <c r="H1684" s="63" t="str">
        <f>IFERROR(__xludf.DUMMYFUNCTION("VLOOKUP(F1684, IMPORTRANGE(""https://docs.google.com/spreadsheets/d/1Lhp9OU0JdFf_VYSMzH5lBcEaU4o8teT1piV-SNzShjg/edit?gid=554141278#gid=554141278"", ""'Char Def. - Attributes'!C20:C2242""), 1,false)"),"NET_WEIGHT")</f>
        <v>NET_WEIGHT</v>
      </c>
      <c r="I1684" s="136"/>
    </row>
    <row r="1685" ht="15.75" customHeight="1">
      <c r="A1685" s="59"/>
      <c r="B1685" s="63">
        <f t="shared" si="1"/>
        <v>16</v>
      </c>
      <c r="C1685" s="75" t="s">
        <v>556</v>
      </c>
      <c r="D1685" s="134" t="s">
        <v>74</v>
      </c>
      <c r="E1685" s="135">
        <f t="shared" si="37"/>
        <v>16</v>
      </c>
      <c r="F1685" s="134" t="s">
        <v>3584</v>
      </c>
      <c r="G1685" s="63" t="str">
        <f>VLOOKUP(C1685, 'Class Def. - General Data'!$C$20:$C$1000,1,false)</f>
        <v>ZFG1_LOOSEPOWDER</v>
      </c>
      <c r="H1685" s="63" t="str">
        <f>IFERROR(__xludf.DUMMYFUNCTION("VLOOKUP(F1685, IMPORTRANGE(""https://docs.google.com/spreadsheets/d/1Lhp9OU0JdFf_VYSMzH5lBcEaU4o8teT1piV-SNzShjg/edit?gid=554141278#gid=554141278"", ""'Char Def. - Attributes'!C20:C2242""), 1,false)"),"UNIT_PER_BOX")</f>
        <v>UNIT_PER_BOX</v>
      </c>
      <c r="I1685" s="136"/>
    </row>
    <row r="1686" ht="15.75" customHeight="1">
      <c r="A1686" s="59"/>
      <c r="B1686" s="63">
        <f t="shared" si="1"/>
        <v>16</v>
      </c>
      <c r="C1686" s="75" t="s">
        <v>556</v>
      </c>
      <c r="D1686" s="134" t="s">
        <v>74</v>
      </c>
      <c r="E1686" s="135">
        <f t="shared" si="37"/>
        <v>17</v>
      </c>
      <c r="F1686" s="134" t="s">
        <v>3614</v>
      </c>
      <c r="G1686" s="63" t="str">
        <f>VLOOKUP(C1686, 'Class Def. - General Data'!$C$20:$C$1000,1,false)</f>
        <v>ZFG1_LOOSEPOWDER</v>
      </c>
      <c r="H1686" s="63" t="str">
        <f>IFERROR(__xludf.DUMMYFUNCTION("VLOOKUP(F1686, IMPORTRANGE(""https://docs.google.com/spreadsheets/d/1Lhp9OU0JdFf_VYSMzH5lBcEaU4o8teT1piV-SNzShjg/edit?gid=554141278#gid=554141278"", ""'Char Def. - Attributes'!C20:C2242""), 1,false)"),"UNIT_PER_CTN")</f>
        <v>UNIT_PER_CTN</v>
      </c>
      <c r="I1686" s="136"/>
    </row>
    <row r="1687" ht="15.75" customHeight="1">
      <c r="A1687" s="59"/>
      <c r="B1687" s="63">
        <f t="shared" si="1"/>
        <v>16</v>
      </c>
      <c r="C1687" s="75" t="s">
        <v>556</v>
      </c>
      <c r="D1687" s="134" t="s">
        <v>74</v>
      </c>
      <c r="E1687" s="135">
        <f t="shared" si="37"/>
        <v>18</v>
      </c>
      <c r="F1687" s="134" t="s">
        <v>3615</v>
      </c>
      <c r="G1687" s="63" t="str">
        <f>VLOOKUP(C1687, 'Class Def. - General Data'!$C$20:$C$1000,1,false)</f>
        <v>ZFG1_LOOSEPOWDER</v>
      </c>
      <c r="H1687" s="63" t="str">
        <f>IFERROR(__xludf.DUMMYFUNCTION("VLOOKUP(F1687, IMPORTRANGE(""https://docs.google.com/spreadsheets/d/1Lhp9OU0JdFf_VYSMzH5lBcEaU4o8teT1piV-SNzShjg/edit?gid=554141278#gid=554141278"", ""'Char Def. - Attributes'!C20:C2242""), 1,false)"),"UNIT_PER_BAG")</f>
        <v>UNIT_PER_BAG</v>
      </c>
      <c r="I1687" s="136"/>
    </row>
    <row r="1688" ht="15.75" customHeight="1">
      <c r="A1688" s="59"/>
      <c r="B1688" s="63">
        <f t="shared" si="1"/>
        <v>16</v>
      </c>
      <c r="C1688" s="75" t="s">
        <v>556</v>
      </c>
      <c r="D1688" s="134" t="s">
        <v>74</v>
      </c>
      <c r="E1688" s="135">
        <f t="shared" si="37"/>
        <v>19</v>
      </c>
      <c r="F1688" s="134" t="s">
        <v>3616</v>
      </c>
      <c r="G1688" s="63" t="str">
        <f>VLOOKUP(C1688, 'Class Def. - General Data'!$C$20:$C$1000,1,false)</f>
        <v>ZFG1_LOOSEPOWDER</v>
      </c>
      <c r="H1688" s="63" t="str">
        <f>IFERROR(__xludf.DUMMYFUNCTION("VLOOKUP(F1688, IMPORTRANGE(""https://docs.google.com/spreadsheets/d/1Lhp9OU0JdFf_VYSMzH5lBcEaU4o8teT1piV-SNzShjg/edit?gid=554141278#gid=554141278"", ""'Char Def. - Attributes'!C20:C2242""), 1,false)"),"UNIT_PER_PAL")</f>
        <v>UNIT_PER_PAL</v>
      </c>
      <c r="I1688" s="136"/>
    </row>
    <row r="1689" ht="15.75" customHeight="1">
      <c r="A1689" s="59"/>
      <c r="B1689" s="63">
        <f t="shared" si="1"/>
        <v>16</v>
      </c>
      <c r="C1689" s="75" t="s">
        <v>556</v>
      </c>
      <c r="D1689" s="134" t="s">
        <v>74</v>
      </c>
      <c r="E1689" s="135">
        <f t="shared" si="37"/>
        <v>20</v>
      </c>
      <c r="F1689" s="134" t="s">
        <v>3617</v>
      </c>
      <c r="G1689" s="63" t="str">
        <f>VLOOKUP(C1689, 'Class Def. - General Data'!$C$20:$C$1000,1,false)</f>
        <v>ZFG1_LOOSEPOWDER</v>
      </c>
      <c r="H1689" s="63" t="str">
        <f>IFERROR(__xludf.DUMMYFUNCTION("VLOOKUP(F1689, IMPORTRANGE(""https://docs.google.com/spreadsheets/d/1Lhp9OU0JdFf_VYSMzH5lBcEaU4o8teT1piV-SNzShjg/edit?gid=554141278#gid=554141278"", ""'Char Def. - Attributes'!C20:C2242""), 1,false)"),"UNIT_PER_TIER")</f>
        <v>UNIT_PER_TIER</v>
      </c>
      <c r="I1689" s="136"/>
    </row>
    <row r="1690" ht="15.75" customHeight="1">
      <c r="A1690" s="59"/>
      <c r="B1690" s="63">
        <f t="shared" si="1"/>
        <v>16</v>
      </c>
      <c r="C1690" s="75" t="s">
        <v>556</v>
      </c>
      <c r="D1690" s="134" t="s">
        <v>74</v>
      </c>
      <c r="E1690" s="135">
        <f t="shared" si="37"/>
        <v>21</v>
      </c>
      <c r="F1690" s="134" t="s">
        <v>3618</v>
      </c>
      <c r="G1690" s="63" t="str">
        <f>VLOOKUP(C1690, 'Class Def. - General Data'!$C$20:$C$1000,1,false)</f>
        <v>ZFG1_LOOSEPOWDER</v>
      </c>
      <c r="H1690" s="63" t="str">
        <f>IFERROR(__xludf.DUMMYFUNCTION("VLOOKUP(F1690, IMPORTRANGE(""https://docs.google.com/spreadsheets/d/1Lhp9OU0JdFf_VYSMzH5lBcEaU4o8teT1piV-SNzShjg/edit?gid=554141278#gid=554141278"", ""'Char Def. - Attributes'!C20:C2242""), 1,false)"),"HEIGHT")</f>
        <v>HEIGHT</v>
      </c>
      <c r="I1690" s="136"/>
    </row>
    <row r="1691" ht="15.75" customHeight="1">
      <c r="A1691" s="59"/>
      <c r="B1691" s="63">
        <f t="shared" si="1"/>
        <v>16</v>
      </c>
      <c r="C1691" s="75" t="s">
        <v>556</v>
      </c>
      <c r="D1691" s="134" t="s">
        <v>74</v>
      </c>
      <c r="E1691" s="135">
        <f t="shared" si="37"/>
        <v>22</v>
      </c>
      <c r="F1691" s="134" t="s">
        <v>3587</v>
      </c>
      <c r="G1691" s="63" t="str">
        <f>VLOOKUP(C1691, 'Class Def. - General Data'!$C$20:$C$1000,1,false)</f>
        <v>ZFG1_LOOSEPOWDER</v>
      </c>
      <c r="H1691" s="63" t="str">
        <f>IFERROR(__xludf.DUMMYFUNCTION("VLOOKUP(F1691, IMPORTRANGE(""https://docs.google.com/spreadsheets/d/1Lhp9OU0JdFf_VYSMzH5lBcEaU4o8teT1piV-SNzShjg/edit?gid=554141278#gid=554141278"", ""'Char Def. - Attributes'!C20:C2242""), 1,false)"),"PLANT_BUY")</f>
        <v>PLANT_BUY</v>
      </c>
      <c r="I1691" s="136"/>
    </row>
    <row r="1692" ht="15.75" customHeight="1">
      <c r="A1692" s="59"/>
      <c r="B1692" s="63">
        <f t="shared" si="1"/>
        <v>16</v>
      </c>
      <c r="C1692" s="75" t="s">
        <v>556</v>
      </c>
      <c r="D1692" s="134" t="s">
        <v>74</v>
      </c>
      <c r="E1692" s="135">
        <f t="shared" si="37"/>
        <v>23</v>
      </c>
      <c r="F1692" s="134" t="s">
        <v>3619</v>
      </c>
      <c r="G1692" s="63" t="str">
        <f>VLOOKUP(C1692, 'Class Def. - General Data'!$C$20:$C$1000,1,false)</f>
        <v>ZFG1_LOOSEPOWDER</v>
      </c>
      <c r="H1692" s="63" t="str">
        <f>IFERROR(__xludf.DUMMYFUNCTION("VLOOKUP(F1692, IMPORTRANGE(""https://docs.google.com/spreadsheets/d/1Lhp9OU0JdFf_VYSMzH5lBcEaU4o8teT1piV-SNzShjg/edit?gid=554141278#gid=554141278"", ""'Char Def. - Attributes'!C20:C2242""), 1,false)"),"LENGTH")</f>
        <v>LENGTH</v>
      </c>
      <c r="I1692" s="136"/>
    </row>
    <row r="1693" ht="15.75" customHeight="1">
      <c r="A1693" s="59"/>
      <c r="B1693" s="63">
        <f t="shared" si="1"/>
        <v>16</v>
      </c>
      <c r="C1693" s="75" t="s">
        <v>556</v>
      </c>
      <c r="D1693" s="134" t="s">
        <v>74</v>
      </c>
      <c r="E1693" s="135">
        <f t="shared" si="37"/>
        <v>24</v>
      </c>
      <c r="F1693" s="134" t="s">
        <v>3586</v>
      </c>
      <c r="G1693" s="63" t="str">
        <f>VLOOKUP(C1693, 'Class Def. - General Data'!$C$20:$C$1000,1,false)</f>
        <v>ZFG1_LOOSEPOWDER</v>
      </c>
      <c r="H1693" s="63" t="str">
        <f>IFERROR(__xludf.DUMMYFUNCTION("VLOOKUP(F1693, IMPORTRANGE(""https://docs.google.com/spreadsheets/d/1Lhp9OU0JdFf_VYSMzH5lBcEaU4o8teT1piV-SNzShjg/edit?gid=554141278#gid=554141278"", ""'Char Def. - Attributes'!C20:C2242""), 1,false)"),"PLANT_PROD")</f>
        <v>PLANT_PROD</v>
      </c>
      <c r="I1693" s="136"/>
    </row>
    <row r="1694" ht="15.75" customHeight="1">
      <c r="A1694" s="59"/>
      <c r="B1694" s="63">
        <f t="shared" si="1"/>
        <v>16</v>
      </c>
      <c r="C1694" s="75" t="s">
        <v>556</v>
      </c>
      <c r="D1694" s="134" t="s">
        <v>74</v>
      </c>
      <c r="E1694" s="135">
        <f t="shared" si="37"/>
        <v>25</v>
      </c>
      <c r="F1694" s="134" t="s">
        <v>3620</v>
      </c>
      <c r="G1694" s="63" t="str">
        <f>VLOOKUP(C1694, 'Class Def. - General Data'!$C$20:$C$1000,1,false)</f>
        <v>ZFG1_LOOSEPOWDER</v>
      </c>
      <c r="H1694" s="63" t="str">
        <f>IFERROR(__xludf.DUMMYFUNCTION("VLOOKUP(F1694, IMPORTRANGE(""https://docs.google.com/spreadsheets/d/1Lhp9OU0JdFf_VYSMzH5lBcEaU4o8teT1piV-SNzShjg/edit?gid=554141278#gid=554141278"", ""'Char Def. - Attributes'!C20:C2242""), 1,false)"),"WIDTH")</f>
        <v>WIDTH</v>
      </c>
      <c r="I1694" s="136"/>
    </row>
    <row r="1695" ht="15.75" customHeight="1">
      <c r="A1695" s="59"/>
      <c r="B1695" s="63">
        <f t="shared" si="1"/>
        <v>16</v>
      </c>
      <c r="C1695" s="75" t="s">
        <v>556</v>
      </c>
      <c r="D1695" s="134" t="s">
        <v>74</v>
      </c>
      <c r="E1695" s="135">
        <f t="shared" si="37"/>
        <v>26</v>
      </c>
      <c r="F1695" s="134" t="s">
        <v>3585</v>
      </c>
      <c r="G1695" s="63" t="str">
        <f>VLOOKUP(C1695, 'Class Def. - General Data'!$C$20:$C$1000,1,false)</f>
        <v>ZFG1_LOOSEPOWDER</v>
      </c>
      <c r="H1695" s="63" t="str">
        <f>IFERROR(__xludf.DUMMYFUNCTION("VLOOKUP(F1695, IMPORTRANGE(""https://docs.google.com/spreadsheets/d/1Lhp9OU0JdFf_VYSMzH5lBcEaU4o8teT1piV-SNzShjg/edit?gid=554141278#gid=554141278"", ""'Char Def. - Attributes'!C20:C2242""), 1,false)"),"HS_CODE")</f>
        <v>HS_CODE</v>
      </c>
      <c r="I1695" s="136"/>
    </row>
    <row r="1696" ht="15.75" customHeight="1">
      <c r="A1696" s="59"/>
      <c r="B1696" s="63">
        <f t="shared" si="1"/>
        <v>16</v>
      </c>
      <c r="C1696" s="75" t="s">
        <v>556</v>
      </c>
      <c r="D1696" s="134" t="s">
        <v>74</v>
      </c>
      <c r="E1696" s="135">
        <f t="shared" si="37"/>
        <v>27</v>
      </c>
      <c r="F1696" s="134" t="s">
        <v>3621</v>
      </c>
      <c r="G1696" s="63" t="str">
        <f>VLOOKUP(C1696, 'Class Def. - General Data'!$C$20:$C$1000,1,false)</f>
        <v>ZFG1_LOOSEPOWDER</v>
      </c>
      <c r="H1696" s="63" t="str">
        <f>IFERROR(__xludf.DUMMYFUNCTION("VLOOKUP(F1696, IMPORTRANGE(""https://docs.google.com/spreadsheets/d/1Lhp9OU0JdFf_VYSMzH5lBcEaU4o8teT1piV-SNzShjg/edit?gid=554141278#gid=554141278"", ""'Char Def. - Attributes'!C20:C2242""), 1,false)"),"EAN_PCS")</f>
        <v>EAN_PCS</v>
      </c>
      <c r="I1696" s="136"/>
    </row>
    <row r="1697" ht="15.75" customHeight="1">
      <c r="A1697" s="59"/>
      <c r="B1697" s="63">
        <f t="shared" si="1"/>
        <v>16</v>
      </c>
      <c r="C1697" s="75" t="s">
        <v>556</v>
      </c>
      <c r="D1697" s="134" t="s">
        <v>74</v>
      </c>
      <c r="E1697" s="135">
        <f t="shared" si="37"/>
        <v>28</v>
      </c>
      <c r="F1697" s="134" t="s">
        <v>3622</v>
      </c>
      <c r="G1697" s="63" t="str">
        <f>VLOOKUP(C1697, 'Class Def. - General Data'!$C$20:$C$1000,1,false)</f>
        <v>ZFG1_LOOSEPOWDER</v>
      </c>
      <c r="H1697" s="63" t="str">
        <f>IFERROR(__xludf.DUMMYFUNCTION("VLOOKUP(F1697, IMPORTRANGE(""https://docs.google.com/spreadsheets/d/1Lhp9OU0JdFf_VYSMzH5lBcEaU4o8teT1piV-SNzShjg/edit?gid=554141278#gid=554141278"", ""'Char Def. - Attributes'!C20:C2242""), 1,false)"),"SFG_BRAND")</f>
        <v>SFG_BRAND</v>
      </c>
      <c r="I1697" s="136"/>
    </row>
    <row r="1698" ht="15.75" customHeight="1">
      <c r="A1698" s="59"/>
      <c r="B1698" s="63">
        <f t="shared" si="1"/>
        <v>16</v>
      </c>
      <c r="C1698" s="75" t="s">
        <v>556</v>
      </c>
      <c r="D1698" s="134" t="s">
        <v>74</v>
      </c>
      <c r="E1698" s="135">
        <f t="shared" si="37"/>
        <v>29</v>
      </c>
      <c r="F1698" s="134" t="s">
        <v>3623</v>
      </c>
      <c r="G1698" s="63" t="str">
        <f>VLOOKUP(C1698, 'Class Def. - General Data'!$C$20:$C$1000,1,false)</f>
        <v>ZFG1_LOOSEPOWDER</v>
      </c>
      <c r="H1698" s="63" t="str">
        <f>IFERROR(__xludf.DUMMYFUNCTION("VLOOKUP(F1698, IMPORTRANGE(""https://docs.google.com/spreadsheets/d/1Lhp9OU0JdFf_VYSMzH5lBcEaU4o8teT1piV-SNzShjg/edit?gid=554141278#gid=554141278"", ""'Char Def. - Attributes'!C20:C2242""), 1,false)"),"LANGUAGE")</f>
        <v>LANGUAGE</v>
      </c>
      <c r="I1698" s="136"/>
    </row>
    <row r="1699" ht="15.75" customHeight="1">
      <c r="A1699" s="59"/>
      <c r="B1699" s="63">
        <f t="shared" si="1"/>
        <v>16</v>
      </c>
      <c r="C1699" s="138" t="s">
        <v>556</v>
      </c>
      <c r="D1699" s="139" t="s">
        <v>74</v>
      </c>
      <c r="E1699" s="140">
        <f t="shared" si="37"/>
        <v>30</v>
      </c>
      <c r="F1699" s="134" t="s">
        <v>3624</v>
      </c>
      <c r="G1699" s="63" t="str">
        <f>VLOOKUP(C1699, 'Class Def. - General Data'!$C$20:$C$1000,1,false)</f>
        <v>ZFG1_LOOSEPOWDER</v>
      </c>
      <c r="H1699" s="63" t="str">
        <f>IFERROR(__xludf.DUMMYFUNCTION("VLOOKUP(F1699, IMPORTRANGE(""https://docs.google.com/spreadsheets/d/1Lhp9OU0JdFf_VYSMzH5lBcEaU4o8teT1piV-SNzShjg/edit?gid=554141278#gid=554141278"", ""'Char Def. - Attributes'!C20:C2242""), 1,false)"),"#N/A")</f>
        <v>#N/A</v>
      </c>
      <c r="I1699" s="136"/>
    </row>
    <row r="1700" ht="15.75" customHeight="1">
      <c r="A1700" s="59"/>
      <c r="B1700" s="63">
        <f t="shared" si="1"/>
        <v>16</v>
      </c>
      <c r="C1700" s="75" t="s">
        <v>556</v>
      </c>
      <c r="D1700" s="134" t="s">
        <v>74</v>
      </c>
      <c r="E1700" s="135">
        <f t="shared" si="37"/>
        <v>31</v>
      </c>
      <c r="F1700" s="134" t="s">
        <v>3625</v>
      </c>
      <c r="G1700" s="63" t="str">
        <f>VLOOKUP(C1700, 'Class Def. - General Data'!$C$20:$C$1000,1,false)</f>
        <v>ZFG1_LOOSEPOWDER</v>
      </c>
      <c r="H1700" s="63" t="str">
        <f>IFERROR(__xludf.DUMMYFUNCTION("VLOOKUP(F1700, IMPORTRANGE(""https://docs.google.com/spreadsheets/d/1Lhp9OU0JdFf_VYSMzH5lBcEaU4o8teT1piV-SNzShjg/edit?gid=554141278#gid=554141278"", ""'Char Def. - Attributes'!C20:C2242""), 1,false)"),"REGION_EKSPOR")</f>
        <v>REGION_EKSPOR</v>
      </c>
      <c r="I1700" s="136"/>
    </row>
    <row r="1701" ht="15.75" customHeight="1">
      <c r="A1701" s="59"/>
      <c r="B1701" s="63">
        <f t="shared" si="1"/>
        <v>16</v>
      </c>
      <c r="C1701" s="75" t="s">
        <v>556</v>
      </c>
      <c r="D1701" s="134" t="s">
        <v>74</v>
      </c>
      <c r="E1701" s="135">
        <f t="shared" si="37"/>
        <v>32</v>
      </c>
      <c r="F1701" s="134" t="s">
        <v>3626</v>
      </c>
      <c r="G1701" s="63" t="str">
        <f>VLOOKUP(C1701, 'Class Def. - General Data'!$C$20:$C$1000,1,false)</f>
        <v>ZFG1_LOOSEPOWDER</v>
      </c>
      <c r="H1701" s="63" t="str">
        <f>IFERROR(__xludf.DUMMYFUNCTION("VLOOKUP(F1701, IMPORTRANGE(""https://docs.google.com/spreadsheets/d/1Lhp9OU0JdFf_VYSMzH5lBcEaU4o8teT1piV-SNzShjg/edit?gid=554141278#gid=554141278"", ""'Char Def. - Attributes'!C20:C2242""), 1,false)"),"STICKER_NOT")</f>
        <v>STICKER_NOT</v>
      </c>
      <c r="I1701" s="136"/>
    </row>
    <row r="1702" ht="15.75" customHeight="1">
      <c r="A1702" s="59"/>
      <c r="B1702" s="63">
        <f t="shared" si="1"/>
        <v>16</v>
      </c>
      <c r="C1702" s="75" t="s">
        <v>556</v>
      </c>
      <c r="D1702" s="134" t="s">
        <v>74</v>
      </c>
      <c r="E1702" s="135">
        <f t="shared" si="37"/>
        <v>33</v>
      </c>
      <c r="F1702" s="134" t="s">
        <v>3627</v>
      </c>
      <c r="G1702" s="63" t="str">
        <f>VLOOKUP(C1702, 'Class Def. - General Data'!$C$20:$C$1000,1,false)</f>
        <v>ZFG1_LOOSEPOWDER</v>
      </c>
      <c r="H1702" s="63" t="str">
        <f>IFERROR(__xludf.DUMMYFUNCTION("VLOOKUP(F1702, IMPORTRANGE(""https://docs.google.com/spreadsheets/d/1Lhp9OU0JdFf_VYSMzH5lBcEaU4o8teT1piV-SNzShjg/edit?gid=554141278#gid=554141278"", ""'Char Def. - Attributes'!C20:C2242""), 1,false)"),"SHIP_MARK")</f>
        <v>SHIP_MARK</v>
      </c>
      <c r="I1702" s="136"/>
    </row>
    <row r="1703" ht="15.75" customHeight="1">
      <c r="A1703" s="59"/>
      <c r="B1703" s="63">
        <f t="shared" si="1"/>
        <v>16</v>
      </c>
      <c r="C1703" s="75" t="s">
        <v>556</v>
      </c>
      <c r="D1703" s="134" t="s">
        <v>74</v>
      </c>
      <c r="E1703" s="135">
        <f t="shared" si="37"/>
        <v>34</v>
      </c>
      <c r="F1703" s="134" t="s">
        <v>3628</v>
      </c>
      <c r="G1703" s="63" t="str">
        <f>VLOOKUP(C1703, 'Class Def. - General Data'!$C$20:$C$1000,1,false)</f>
        <v>ZFG1_LOOSEPOWDER</v>
      </c>
      <c r="H1703" s="63" t="str">
        <f>IFERROR(__xludf.DUMMYFUNCTION("VLOOKUP(F1703, IMPORTRANGE(""https://docs.google.com/spreadsheets/d/1Lhp9OU0JdFf_VYSMzH5lBcEaU4o8teT1piV-SNzShjg/edit?gid=554141278#gid=554141278"", ""'Char Def. - Attributes'!C20:C2242""), 1,false)"),"MID_CORE")</f>
        <v>MID_CORE</v>
      </c>
      <c r="I1703" s="136"/>
    </row>
    <row r="1704" ht="15.75" customHeight="1">
      <c r="A1704" s="59"/>
      <c r="B1704" s="63">
        <f t="shared" si="1"/>
        <v>16</v>
      </c>
      <c r="C1704" s="75" t="s">
        <v>556</v>
      </c>
      <c r="D1704" s="134" t="s">
        <v>74</v>
      </c>
      <c r="E1704" s="135">
        <f t="shared" si="37"/>
        <v>35</v>
      </c>
      <c r="F1704" s="134" t="s">
        <v>3629</v>
      </c>
      <c r="G1704" s="63" t="str">
        <f>VLOOKUP(C1704, 'Class Def. - General Data'!$C$20:$C$1000,1,false)</f>
        <v>ZFG1_LOOSEPOWDER</v>
      </c>
      <c r="H1704" s="63" t="str">
        <f>IFERROR(__xludf.DUMMYFUNCTION("VLOOKUP(F1704, IMPORTRANGE(""https://docs.google.com/spreadsheets/d/1Lhp9OU0JdFf_VYSMzH5lBcEaU4o8teT1piV-SNzShjg/edit?gid=554141278#gid=554141278"", ""'Char Def. - Attributes'!C20:C2242""), 1,false)"),"EAN_CTN")</f>
        <v>EAN_CTN</v>
      </c>
      <c r="I1704" s="136"/>
    </row>
    <row r="1705" ht="15.75" customHeight="1">
      <c r="A1705" s="59"/>
      <c r="B1705" s="63">
        <f t="shared" si="1"/>
        <v>16</v>
      </c>
      <c r="C1705" s="75" t="s">
        <v>556</v>
      </c>
      <c r="D1705" s="134" t="s">
        <v>74</v>
      </c>
      <c r="E1705" s="135">
        <f t="shared" si="37"/>
        <v>36</v>
      </c>
      <c r="F1705" s="134" t="s">
        <v>3630</v>
      </c>
      <c r="G1705" s="63" t="str">
        <f>VLOOKUP(C1705, 'Class Def. - General Data'!$C$20:$C$1000,1,false)</f>
        <v>ZFG1_LOOSEPOWDER</v>
      </c>
      <c r="H1705" s="63" t="str">
        <f>IFERROR(__xludf.DUMMYFUNCTION("VLOOKUP(F1705, IMPORTRANGE(""https://docs.google.com/spreadsheets/d/1Lhp9OU0JdFf_VYSMzH5lBcEaU4o8teT1piV-SNzShjg/edit?gid=554141278#gid=554141278"", ""'Char Def. - Attributes'!C20:C2242""), 1,false)"),"EAN_BOX")</f>
        <v>EAN_BOX</v>
      </c>
      <c r="I1705" s="136"/>
    </row>
    <row r="1706" ht="15.75" customHeight="1">
      <c r="A1706" s="59"/>
      <c r="B1706" s="63">
        <f t="shared" si="1"/>
        <v>16</v>
      </c>
      <c r="C1706" s="75" t="s">
        <v>556</v>
      </c>
      <c r="D1706" s="141" t="s">
        <v>74</v>
      </c>
      <c r="E1706" s="135">
        <v>22.0</v>
      </c>
      <c r="F1706" s="135" t="s">
        <v>3603</v>
      </c>
      <c r="G1706" s="63" t="str">
        <f>VLOOKUP(C1706, 'Class Def. - General Data'!$C$20:$C$1000,1,false)</f>
        <v>ZFG1_LOOSEPOWDER</v>
      </c>
      <c r="I1706" s="136"/>
    </row>
    <row r="1707" ht="15.75" customHeight="1">
      <c r="A1707" s="59"/>
      <c r="B1707" s="63">
        <f t="shared" si="1"/>
        <v>18</v>
      </c>
      <c r="C1707" s="134" t="s">
        <v>126</v>
      </c>
      <c r="D1707" s="134" t="s">
        <v>74</v>
      </c>
      <c r="E1707" s="135">
        <f t="shared" ref="E1707:E1742" si="38">COUNTIF($C$20:C1707,C1707)</f>
        <v>1</v>
      </c>
      <c r="F1707" s="134" t="s">
        <v>3720</v>
      </c>
      <c r="G1707" s="63" t="str">
        <f>VLOOKUP(C1707, 'Class Def. - General Data'!$C$20:$C$1000,1,false)</f>
        <v>ZFG1_MOSQUITOREPEL</v>
      </c>
      <c r="H1707" s="63" t="str">
        <f>IFERROR(__xludf.DUMMYFUNCTION("VLOOKUP(F1707, IMPORTRANGE(""https://docs.google.com/spreadsheets/d/1Lhp9OU0JdFf_VYSMzH5lBcEaU4o8teT1piV-SNzShjg/edit?gid=554141278#gid=554141278"", ""'Char Def. - Attributes'!C20:C2242""), 1,false)"),"BRAND_MOSQUITOREPEL")</f>
        <v>BRAND_MOSQUITOREPEL</v>
      </c>
      <c r="I1707" s="136"/>
    </row>
    <row r="1708" ht="15.75" customHeight="1">
      <c r="A1708" s="59"/>
      <c r="B1708" s="63">
        <f t="shared" si="1"/>
        <v>18</v>
      </c>
      <c r="C1708" s="135" t="s">
        <v>126</v>
      </c>
      <c r="D1708" s="134" t="s">
        <v>74</v>
      </c>
      <c r="E1708" s="135">
        <f t="shared" si="38"/>
        <v>2</v>
      </c>
      <c r="F1708" s="134" t="s">
        <v>3721</v>
      </c>
      <c r="G1708" s="63" t="str">
        <f>VLOOKUP(C1708, 'Class Def. - General Data'!$C$20:$C$1000,1,false)</f>
        <v>ZFG1_MOSQUITOREPEL</v>
      </c>
      <c r="H1708" s="63" t="str">
        <f>IFERROR(__xludf.DUMMYFUNCTION("VLOOKUP(F1708, IMPORTRANGE(""https://docs.google.com/spreadsheets/d/1Lhp9OU0JdFf_VYSMzH5lBcEaU4o8teT1piV-SNzShjg/edit?gid=554141278#gid=554141278"", ""'Char Def. - Attributes'!C20:C2242""), 1,false)"),"PSHAPE_MOSQUITOREPEL")</f>
        <v>PSHAPE_MOSQUITOREPEL</v>
      </c>
      <c r="I1708" s="136"/>
    </row>
    <row r="1709" ht="15.75" customHeight="1">
      <c r="A1709" s="59"/>
      <c r="B1709" s="63">
        <f t="shared" si="1"/>
        <v>18</v>
      </c>
      <c r="C1709" s="134" t="s">
        <v>126</v>
      </c>
      <c r="D1709" s="134" t="s">
        <v>74</v>
      </c>
      <c r="E1709" s="135">
        <f t="shared" si="38"/>
        <v>3</v>
      </c>
      <c r="F1709" s="134" t="s">
        <v>3605</v>
      </c>
      <c r="G1709" s="63" t="str">
        <f>VLOOKUP(C1709, 'Class Def. - General Data'!$C$20:$C$1000,1,false)</f>
        <v>ZFG1_MOSQUITOREPEL</v>
      </c>
      <c r="H1709" s="63" t="str">
        <f>IFERROR(__xludf.DUMMYFUNCTION("VLOOKUP(F1709, IMPORTRANGE(""https://docs.google.com/spreadsheets/d/1Lhp9OU0JdFf_VYSMzH5lBcEaU4o8teT1piV-SNzShjg/edit?gid=554141278#gid=554141278"", ""'Char Def. - Attributes'!C20:C2242""), 1,false)"),"PACK_NETTO")</f>
        <v>PACK_NETTO</v>
      </c>
      <c r="I1709" s="136"/>
    </row>
    <row r="1710" ht="15.75" customHeight="1">
      <c r="A1710" s="59"/>
      <c r="B1710" s="63">
        <f t="shared" si="1"/>
        <v>18</v>
      </c>
      <c r="C1710" s="135" t="s">
        <v>126</v>
      </c>
      <c r="D1710" s="134" t="s">
        <v>74</v>
      </c>
      <c r="E1710" s="135">
        <f t="shared" si="38"/>
        <v>4</v>
      </c>
      <c r="F1710" s="134" t="s">
        <v>3722</v>
      </c>
      <c r="G1710" s="63" t="str">
        <f>VLOOKUP(C1710, 'Class Def. - General Data'!$C$20:$C$1000,1,false)</f>
        <v>ZFG1_MOSQUITOREPEL</v>
      </c>
      <c r="H1710" s="63" t="str">
        <f>IFERROR(__xludf.DUMMYFUNCTION("VLOOKUP(F1710, IMPORTRANGE(""https://docs.google.com/spreadsheets/d/1Lhp9OU0JdFf_VYSMzH5lBcEaU4o8teT1piV-SNzShjg/edit?gid=554141278#gid=554141278"", ""'Char Def. - Attributes'!C20:C2242""), 1,false)"),"PUOM_MOSQUITOREPEL")</f>
        <v>PUOM_MOSQUITOREPEL</v>
      </c>
      <c r="I1710" s="136"/>
    </row>
    <row r="1711" ht="15.75" customHeight="1">
      <c r="A1711" s="59"/>
      <c r="B1711" s="63">
        <f t="shared" si="1"/>
        <v>18</v>
      </c>
      <c r="C1711" s="134" t="s">
        <v>126</v>
      </c>
      <c r="D1711" s="134" t="s">
        <v>74</v>
      </c>
      <c r="E1711" s="135">
        <f t="shared" si="38"/>
        <v>5</v>
      </c>
      <c r="F1711" s="134" t="s">
        <v>3607</v>
      </c>
      <c r="G1711" s="63" t="str">
        <f>VLOOKUP(C1711, 'Class Def. - General Data'!$C$20:$C$1000,1,false)</f>
        <v>ZFG1_MOSQUITOREPEL</v>
      </c>
      <c r="H1711" s="63" t="str">
        <f>IFERROR(__xludf.DUMMYFUNCTION("VLOOKUP(F1711, IMPORTRANGE(""https://docs.google.com/spreadsheets/d/1Lhp9OU0JdFf_VYSMzH5lBcEaU4o8teT1piV-SNzShjg/edit?gid=554141278#gid=554141278"", ""'Char Def. - Attributes'!C20:C2242""), 1,false)"),"VARIAN")</f>
        <v>VARIAN</v>
      </c>
      <c r="I1711" s="136"/>
    </row>
    <row r="1712" ht="15.75" customHeight="1">
      <c r="A1712" s="59"/>
      <c r="B1712" s="63">
        <f t="shared" si="1"/>
        <v>18</v>
      </c>
      <c r="C1712" s="134" t="s">
        <v>126</v>
      </c>
      <c r="D1712" s="134" t="s">
        <v>74</v>
      </c>
      <c r="E1712" s="135">
        <f t="shared" si="38"/>
        <v>6</v>
      </c>
      <c r="F1712" s="134" t="s">
        <v>3608</v>
      </c>
      <c r="G1712" s="63" t="str">
        <f>VLOOKUP(C1712, 'Class Def. - General Data'!$C$20:$C$1000,1,false)</f>
        <v>ZFG1_MOSQUITOREPEL</v>
      </c>
      <c r="H1712" s="63" t="str">
        <f>IFERROR(__xludf.DUMMYFUNCTION("VLOOKUP(F1712, IMPORTRANGE(""https://docs.google.com/spreadsheets/d/1Lhp9OU0JdFf_VYSMzH5lBcEaU4o8teT1piV-SNzShjg/edit?gid=554141278#gid=554141278"", ""'Char Def. - Attributes'!C20:C2242""), 1,false)"),"PROJECT_NAME")</f>
        <v>PROJECT_NAME</v>
      </c>
      <c r="I1712" s="136"/>
    </row>
    <row r="1713" ht="15.75" customHeight="1">
      <c r="A1713" s="59"/>
      <c r="B1713" s="63">
        <f t="shared" si="1"/>
        <v>18</v>
      </c>
      <c r="C1713" s="134" t="s">
        <v>126</v>
      </c>
      <c r="D1713" s="134" t="s">
        <v>74</v>
      </c>
      <c r="E1713" s="135">
        <f t="shared" si="38"/>
        <v>7</v>
      </c>
      <c r="F1713" s="134" t="s">
        <v>3609</v>
      </c>
      <c r="G1713" s="63" t="str">
        <f>VLOOKUP(C1713, 'Class Def. - General Data'!$C$20:$C$1000,1,false)</f>
        <v>ZFG1_MOSQUITOREPEL</v>
      </c>
      <c r="H1713" s="63" t="str">
        <f>IFERROR(__xludf.DUMMYFUNCTION("VLOOKUP(F1713, IMPORTRANGE(""https://docs.google.com/spreadsheets/d/1Lhp9OU0JdFf_VYSMzH5lBcEaU4o8teT1piV-SNzShjg/edit?gid=554141278#gid=554141278"", ""'Char Def. - Attributes'!C20:C2242""), 1,false)"),"ADDITIONAL_PROMO")</f>
        <v>ADDITIONAL_PROMO</v>
      </c>
      <c r="I1713" s="136"/>
    </row>
    <row r="1714" ht="15.75" customHeight="1">
      <c r="A1714" s="59"/>
      <c r="B1714" s="63">
        <f t="shared" si="1"/>
        <v>18</v>
      </c>
      <c r="C1714" s="134" t="s">
        <v>126</v>
      </c>
      <c r="D1714" s="134" t="s">
        <v>74</v>
      </c>
      <c r="E1714" s="135">
        <f t="shared" si="38"/>
        <v>8</v>
      </c>
      <c r="F1714" s="134" t="s">
        <v>3610</v>
      </c>
      <c r="G1714" s="63" t="str">
        <f>VLOOKUP(C1714, 'Class Def. - General Data'!$C$20:$C$1000,1,false)</f>
        <v>ZFG1_MOSQUITOREPEL</v>
      </c>
      <c r="H1714" s="63" t="str">
        <f>IFERROR(__xludf.DUMMYFUNCTION("VLOOKUP(F1714, IMPORTRANGE(""https://docs.google.com/spreadsheets/d/1Lhp9OU0JdFf_VYSMzH5lBcEaU4o8teT1piV-SNzShjg/edit?gid=554141278#gid=554141278"", ""'Char Def. - Attributes'!C20:C2242""), 1,false)"),"BANDED_PROMO")</f>
        <v>BANDED_PROMO</v>
      </c>
      <c r="I1714" s="136"/>
    </row>
    <row r="1715" ht="15.75" customHeight="1">
      <c r="A1715" s="59"/>
      <c r="B1715" s="63">
        <f t="shared" si="1"/>
        <v>18</v>
      </c>
      <c r="C1715" s="134" t="s">
        <v>126</v>
      </c>
      <c r="D1715" s="134" t="s">
        <v>74</v>
      </c>
      <c r="E1715" s="135">
        <f t="shared" si="38"/>
        <v>9</v>
      </c>
      <c r="F1715" s="134" t="s">
        <v>3611</v>
      </c>
      <c r="G1715" s="63" t="str">
        <f>VLOOKUP(C1715, 'Class Def. - General Data'!$C$20:$C$1000,1,false)</f>
        <v>ZFG1_MOSQUITOREPEL</v>
      </c>
      <c r="H1715" s="63" t="str">
        <f>IFERROR(__xludf.DUMMYFUNCTION("VLOOKUP(F1715, IMPORTRANGE(""https://docs.google.com/spreadsheets/d/1Lhp9OU0JdFf_VYSMzH5lBcEaU4o8teT1piV-SNzShjg/edit?gid=554141278#gid=554141278"", ""'Char Def. - Attributes'!C20:C2242""), 1,false)"),"LOKAL_EKSPOR")</f>
        <v>LOKAL_EKSPOR</v>
      </c>
      <c r="I1715" s="136"/>
    </row>
    <row r="1716" ht="15.75" customHeight="1">
      <c r="A1716" s="59"/>
      <c r="B1716" s="63">
        <f t="shared" si="1"/>
        <v>18</v>
      </c>
      <c r="C1716" s="134" t="s">
        <v>126</v>
      </c>
      <c r="D1716" s="134" t="s">
        <v>74</v>
      </c>
      <c r="E1716" s="135">
        <f t="shared" si="38"/>
        <v>10</v>
      </c>
      <c r="F1716" s="134" t="s">
        <v>3612</v>
      </c>
      <c r="G1716" s="63" t="str">
        <f>VLOOKUP(C1716, 'Class Def. - General Data'!$C$20:$C$1000,1,false)</f>
        <v>ZFG1_MOSQUITOREPEL</v>
      </c>
      <c r="H1716" s="63" t="str">
        <f>IFERROR(__xludf.DUMMYFUNCTION("VLOOKUP(F1716, IMPORTRANGE(""https://docs.google.com/spreadsheets/d/1Lhp9OU0JdFf_VYSMzH5lBcEaU4o8teT1piV-SNzShjg/edit?gid=554141278#gid=554141278"", ""'Char Def. - Attributes'!C20:C2242""), 1,false)"),"COUNTRY_EKSPOR")</f>
        <v>COUNTRY_EKSPOR</v>
      </c>
      <c r="I1716" s="136"/>
    </row>
    <row r="1717" ht="15.75" customHeight="1">
      <c r="A1717" s="59"/>
      <c r="B1717" s="63">
        <f t="shared" si="1"/>
        <v>18</v>
      </c>
      <c r="C1717" s="134" t="s">
        <v>126</v>
      </c>
      <c r="D1717" s="134" t="s">
        <v>74</v>
      </c>
      <c r="E1717" s="135">
        <f t="shared" si="38"/>
        <v>11</v>
      </c>
      <c r="F1717" s="134" t="s">
        <v>3613</v>
      </c>
      <c r="G1717" s="63" t="str">
        <f>VLOOKUP(C1717, 'Class Def. - General Data'!$C$20:$C$1000,1,false)</f>
        <v>ZFG1_MOSQUITOREPEL</v>
      </c>
      <c r="H1717" s="63" t="str">
        <f>IFERROR(__xludf.DUMMYFUNCTION("VLOOKUP(F1717, IMPORTRANGE(""https://docs.google.com/spreadsheets/d/1Lhp9OU0JdFf_VYSMzH5lBcEaU4o8teT1piV-SNzShjg/edit?gid=554141278#gid=554141278"", ""'Char Def. - Attributes'!C20:C2242""), 1,false)"),"WARNA_SFG")</f>
        <v>WARNA_SFG</v>
      </c>
      <c r="I1717" s="136"/>
    </row>
    <row r="1718" ht="15.75" customHeight="1">
      <c r="A1718" s="59"/>
      <c r="B1718" s="63">
        <f t="shared" si="1"/>
        <v>18</v>
      </c>
      <c r="C1718" s="134" t="s">
        <v>126</v>
      </c>
      <c r="D1718" s="134" t="s">
        <v>74</v>
      </c>
      <c r="E1718" s="135">
        <f t="shared" si="38"/>
        <v>12</v>
      </c>
      <c r="F1718" s="134" t="s">
        <v>3582</v>
      </c>
      <c r="G1718" s="63" t="str">
        <f>VLOOKUP(C1718, 'Class Def. - General Data'!$C$20:$C$1000,1,false)</f>
        <v>ZFG1_MOSQUITOREPEL</v>
      </c>
      <c r="H1718" s="63" t="str">
        <f>IFERROR(__xludf.DUMMYFUNCTION("VLOOKUP(F1718, IMPORTRANGE(""https://docs.google.com/spreadsheets/d/1Lhp9OU0JdFf_VYSMzH5lBcEaU4o8teT1piV-SNzShjg/edit?gid=554141278#gid=554141278"", ""'Char Def. - Attributes'!C20:C2242""), 1,false)"),"BASE_UNIT")</f>
        <v>BASE_UNIT</v>
      </c>
      <c r="I1718" s="136"/>
    </row>
    <row r="1719" ht="15.75" customHeight="1">
      <c r="A1719" s="59"/>
      <c r="B1719" s="63">
        <f t="shared" si="1"/>
        <v>18</v>
      </c>
      <c r="C1719" s="134" t="s">
        <v>126</v>
      </c>
      <c r="D1719" s="134" t="s">
        <v>74</v>
      </c>
      <c r="E1719" s="135">
        <f t="shared" si="38"/>
        <v>13</v>
      </c>
      <c r="F1719" s="134" t="s">
        <v>3583</v>
      </c>
      <c r="G1719" s="63" t="str">
        <f>VLOOKUP(C1719, 'Class Def. - General Data'!$C$20:$C$1000,1,false)</f>
        <v>ZFG1_MOSQUITOREPEL</v>
      </c>
      <c r="H1719" s="63" t="str">
        <f>IFERROR(__xludf.DUMMYFUNCTION("VLOOKUP(F1719, IMPORTRANGE(""https://docs.google.com/spreadsheets/d/1Lhp9OU0JdFf_VYSMzH5lBcEaU4o8teT1piV-SNzShjg/edit?gid=554141278#gid=554141278"", ""'Char Def. - Attributes'!C20:C2242""), 1,false)"),"SALES_UNIT")</f>
        <v>SALES_UNIT</v>
      </c>
      <c r="I1719" s="136"/>
    </row>
    <row r="1720" ht="15.75" customHeight="1">
      <c r="A1720" s="59"/>
      <c r="B1720" s="63">
        <f t="shared" si="1"/>
        <v>18</v>
      </c>
      <c r="C1720" s="134" t="s">
        <v>126</v>
      </c>
      <c r="D1720" s="134" t="s">
        <v>74</v>
      </c>
      <c r="E1720" s="135">
        <f t="shared" si="38"/>
        <v>14</v>
      </c>
      <c r="F1720" s="134" t="s">
        <v>3601</v>
      </c>
      <c r="G1720" s="63" t="str">
        <f>VLOOKUP(C1720, 'Class Def. - General Data'!$C$20:$C$1000,1,false)</f>
        <v>ZFG1_MOSQUITOREPEL</v>
      </c>
      <c r="H1720" s="63" t="str">
        <f>IFERROR(__xludf.DUMMYFUNCTION("VLOOKUP(F1720, IMPORTRANGE(""https://docs.google.com/spreadsheets/d/1Lhp9OU0JdFf_VYSMzH5lBcEaU4o8teT1piV-SNzShjg/edit?gid=554141278#gid=554141278"", ""'Char Def. - Attributes'!C20:C2242""), 1,false)"),"GROSS_WEIGHT")</f>
        <v>GROSS_WEIGHT</v>
      </c>
      <c r="I1720" s="136"/>
    </row>
    <row r="1721" ht="15.75" customHeight="1">
      <c r="A1721" s="66"/>
      <c r="B1721" s="63">
        <f t="shared" si="1"/>
        <v>18</v>
      </c>
      <c r="C1721" s="134" t="s">
        <v>126</v>
      </c>
      <c r="D1721" s="134" t="s">
        <v>74</v>
      </c>
      <c r="E1721" s="135">
        <f t="shared" si="38"/>
        <v>15</v>
      </c>
      <c r="F1721" s="134" t="s">
        <v>3602</v>
      </c>
      <c r="G1721" s="63" t="str">
        <f>VLOOKUP(C1721, 'Class Def. - General Data'!$C$20:$C$1000,1,false)</f>
        <v>ZFG1_MOSQUITOREPEL</v>
      </c>
      <c r="H1721" s="63" t="str">
        <f>IFERROR(__xludf.DUMMYFUNCTION("VLOOKUP(F1721, IMPORTRANGE(""https://docs.google.com/spreadsheets/d/1Lhp9OU0JdFf_VYSMzH5lBcEaU4o8teT1piV-SNzShjg/edit?gid=554141278#gid=554141278"", ""'Char Def. - Attributes'!C20:C2242""), 1,false)"),"NET_WEIGHT")</f>
        <v>NET_WEIGHT</v>
      </c>
      <c r="I1721" s="136"/>
    </row>
    <row r="1722" ht="15.75" customHeight="1">
      <c r="A1722" s="66"/>
      <c r="B1722" s="63">
        <f t="shared" si="1"/>
        <v>18</v>
      </c>
      <c r="C1722" s="134" t="s">
        <v>126</v>
      </c>
      <c r="D1722" s="134" t="s">
        <v>74</v>
      </c>
      <c r="E1722" s="135">
        <f t="shared" si="38"/>
        <v>16</v>
      </c>
      <c r="F1722" s="134" t="s">
        <v>3584</v>
      </c>
      <c r="G1722" s="63" t="str">
        <f>VLOOKUP(C1722, 'Class Def. - General Data'!$C$20:$C$1000,1,false)</f>
        <v>ZFG1_MOSQUITOREPEL</v>
      </c>
      <c r="H1722" s="63" t="str">
        <f>IFERROR(__xludf.DUMMYFUNCTION("VLOOKUP(F1722, IMPORTRANGE(""https://docs.google.com/spreadsheets/d/1Lhp9OU0JdFf_VYSMzH5lBcEaU4o8teT1piV-SNzShjg/edit?gid=554141278#gid=554141278"", ""'Char Def. - Attributes'!C20:C2242""), 1,false)"),"UNIT_PER_BOX")</f>
        <v>UNIT_PER_BOX</v>
      </c>
      <c r="I1722" s="136"/>
    </row>
    <row r="1723" ht="15.75" customHeight="1">
      <c r="A1723" s="59"/>
      <c r="B1723" s="63">
        <f t="shared" si="1"/>
        <v>18</v>
      </c>
      <c r="C1723" s="134" t="s">
        <v>126</v>
      </c>
      <c r="D1723" s="134" t="s">
        <v>74</v>
      </c>
      <c r="E1723" s="135">
        <f t="shared" si="38"/>
        <v>17</v>
      </c>
      <c r="F1723" s="134" t="s">
        <v>3614</v>
      </c>
      <c r="G1723" s="63" t="str">
        <f>VLOOKUP(C1723, 'Class Def. - General Data'!$C$20:$C$1000,1,false)</f>
        <v>ZFG1_MOSQUITOREPEL</v>
      </c>
      <c r="H1723" s="63" t="str">
        <f>IFERROR(__xludf.DUMMYFUNCTION("VLOOKUP(F1723, IMPORTRANGE(""https://docs.google.com/spreadsheets/d/1Lhp9OU0JdFf_VYSMzH5lBcEaU4o8teT1piV-SNzShjg/edit?gid=554141278#gid=554141278"", ""'Char Def. - Attributes'!C20:C2242""), 1,false)"),"UNIT_PER_CTN")</f>
        <v>UNIT_PER_CTN</v>
      </c>
      <c r="I1723" s="136"/>
    </row>
    <row r="1724" ht="15.75" customHeight="1">
      <c r="A1724" s="59"/>
      <c r="B1724" s="63">
        <f t="shared" si="1"/>
        <v>18</v>
      </c>
      <c r="C1724" s="134" t="s">
        <v>126</v>
      </c>
      <c r="D1724" s="134" t="s">
        <v>74</v>
      </c>
      <c r="E1724" s="135">
        <f t="shared" si="38"/>
        <v>18</v>
      </c>
      <c r="F1724" s="134" t="s">
        <v>3615</v>
      </c>
      <c r="G1724" s="63" t="str">
        <f>VLOOKUP(C1724, 'Class Def. - General Data'!$C$20:$C$1000,1,false)</f>
        <v>ZFG1_MOSQUITOREPEL</v>
      </c>
      <c r="H1724" s="63" t="str">
        <f>IFERROR(__xludf.DUMMYFUNCTION("VLOOKUP(F1724, IMPORTRANGE(""https://docs.google.com/spreadsheets/d/1Lhp9OU0JdFf_VYSMzH5lBcEaU4o8teT1piV-SNzShjg/edit?gid=554141278#gid=554141278"", ""'Char Def. - Attributes'!C20:C2242""), 1,false)"),"UNIT_PER_BAG")</f>
        <v>UNIT_PER_BAG</v>
      </c>
      <c r="I1724" s="136"/>
    </row>
    <row r="1725" ht="15.75" customHeight="1">
      <c r="A1725" s="59"/>
      <c r="B1725" s="63">
        <f t="shared" si="1"/>
        <v>18</v>
      </c>
      <c r="C1725" s="134" t="s">
        <v>126</v>
      </c>
      <c r="D1725" s="134" t="s">
        <v>74</v>
      </c>
      <c r="E1725" s="135">
        <f t="shared" si="38"/>
        <v>19</v>
      </c>
      <c r="F1725" s="134" t="s">
        <v>3616</v>
      </c>
      <c r="G1725" s="63" t="str">
        <f>VLOOKUP(C1725, 'Class Def. - General Data'!$C$20:$C$1000,1,false)</f>
        <v>ZFG1_MOSQUITOREPEL</v>
      </c>
      <c r="H1725" s="63" t="str">
        <f>IFERROR(__xludf.DUMMYFUNCTION("VLOOKUP(F1725, IMPORTRANGE(""https://docs.google.com/spreadsheets/d/1Lhp9OU0JdFf_VYSMzH5lBcEaU4o8teT1piV-SNzShjg/edit?gid=554141278#gid=554141278"", ""'Char Def. - Attributes'!C20:C2242""), 1,false)"),"UNIT_PER_PAL")</f>
        <v>UNIT_PER_PAL</v>
      </c>
      <c r="I1725" s="136"/>
    </row>
    <row r="1726" ht="15.75" customHeight="1">
      <c r="A1726" s="59"/>
      <c r="B1726" s="63">
        <f t="shared" si="1"/>
        <v>18</v>
      </c>
      <c r="C1726" s="134" t="s">
        <v>126</v>
      </c>
      <c r="D1726" s="134" t="s">
        <v>74</v>
      </c>
      <c r="E1726" s="135">
        <f t="shared" si="38"/>
        <v>20</v>
      </c>
      <c r="F1726" s="134" t="s">
        <v>3617</v>
      </c>
      <c r="G1726" s="63" t="str">
        <f>VLOOKUP(C1726, 'Class Def. - General Data'!$C$20:$C$1000,1,false)</f>
        <v>ZFG1_MOSQUITOREPEL</v>
      </c>
      <c r="H1726" s="63" t="str">
        <f>IFERROR(__xludf.DUMMYFUNCTION("VLOOKUP(F1726, IMPORTRANGE(""https://docs.google.com/spreadsheets/d/1Lhp9OU0JdFf_VYSMzH5lBcEaU4o8teT1piV-SNzShjg/edit?gid=554141278#gid=554141278"", ""'Char Def. - Attributes'!C20:C2242""), 1,false)"),"UNIT_PER_TIER")</f>
        <v>UNIT_PER_TIER</v>
      </c>
      <c r="I1726" s="136"/>
    </row>
    <row r="1727" ht="15.75" customHeight="1">
      <c r="A1727" s="59"/>
      <c r="B1727" s="63">
        <f t="shared" si="1"/>
        <v>18</v>
      </c>
      <c r="C1727" s="134" t="s">
        <v>126</v>
      </c>
      <c r="D1727" s="134" t="s">
        <v>74</v>
      </c>
      <c r="E1727" s="135">
        <f t="shared" si="38"/>
        <v>21</v>
      </c>
      <c r="F1727" s="134" t="s">
        <v>3618</v>
      </c>
      <c r="G1727" s="63" t="str">
        <f>VLOOKUP(C1727, 'Class Def. - General Data'!$C$20:$C$1000,1,false)</f>
        <v>ZFG1_MOSQUITOREPEL</v>
      </c>
      <c r="H1727" s="63" t="str">
        <f>IFERROR(__xludf.DUMMYFUNCTION("VLOOKUP(F1727, IMPORTRANGE(""https://docs.google.com/spreadsheets/d/1Lhp9OU0JdFf_VYSMzH5lBcEaU4o8teT1piV-SNzShjg/edit?gid=554141278#gid=554141278"", ""'Char Def. - Attributes'!C20:C2242""), 1,false)"),"HEIGHT")</f>
        <v>HEIGHT</v>
      </c>
      <c r="I1727" s="136"/>
    </row>
    <row r="1728" ht="15.75" customHeight="1">
      <c r="A1728" s="59"/>
      <c r="B1728" s="63">
        <f t="shared" si="1"/>
        <v>18</v>
      </c>
      <c r="C1728" s="134" t="s">
        <v>126</v>
      </c>
      <c r="D1728" s="134" t="s">
        <v>74</v>
      </c>
      <c r="E1728" s="135">
        <f t="shared" si="38"/>
        <v>22</v>
      </c>
      <c r="F1728" s="134" t="s">
        <v>3587</v>
      </c>
      <c r="G1728" s="63" t="str">
        <f>VLOOKUP(C1728, 'Class Def. - General Data'!$C$20:$C$1000,1,false)</f>
        <v>ZFG1_MOSQUITOREPEL</v>
      </c>
      <c r="H1728" s="63" t="str">
        <f>IFERROR(__xludf.DUMMYFUNCTION("VLOOKUP(F1728, IMPORTRANGE(""https://docs.google.com/spreadsheets/d/1Lhp9OU0JdFf_VYSMzH5lBcEaU4o8teT1piV-SNzShjg/edit?gid=554141278#gid=554141278"", ""'Char Def. - Attributes'!C20:C2242""), 1,false)"),"PLANT_BUY")</f>
        <v>PLANT_BUY</v>
      </c>
      <c r="I1728" s="136"/>
    </row>
    <row r="1729" ht="15.75" customHeight="1">
      <c r="A1729" s="59"/>
      <c r="B1729" s="63">
        <f t="shared" si="1"/>
        <v>18</v>
      </c>
      <c r="C1729" s="134" t="s">
        <v>126</v>
      </c>
      <c r="D1729" s="134" t="s">
        <v>74</v>
      </c>
      <c r="E1729" s="135">
        <f t="shared" si="38"/>
        <v>23</v>
      </c>
      <c r="F1729" s="134" t="s">
        <v>3619</v>
      </c>
      <c r="G1729" s="63" t="str">
        <f>VLOOKUP(C1729, 'Class Def. - General Data'!$C$20:$C$1000,1,false)</f>
        <v>ZFG1_MOSQUITOREPEL</v>
      </c>
      <c r="H1729" s="63" t="str">
        <f>IFERROR(__xludf.DUMMYFUNCTION("VLOOKUP(F1729, IMPORTRANGE(""https://docs.google.com/spreadsheets/d/1Lhp9OU0JdFf_VYSMzH5lBcEaU4o8teT1piV-SNzShjg/edit?gid=554141278#gid=554141278"", ""'Char Def. - Attributes'!C20:C2242""), 1,false)"),"LENGTH")</f>
        <v>LENGTH</v>
      </c>
      <c r="I1729" s="136"/>
    </row>
    <row r="1730" ht="15.75" customHeight="1">
      <c r="A1730" s="59"/>
      <c r="B1730" s="63">
        <f t="shared" si="1"/>
        <v>18</v>
      </c>
      <c r="C1730" s="134" t="s">
        <v>126</v>
      </c>
      <c r="D1730" s="134" t="s">
        <v>74</v>
      </c>
      <c r="E1730" s="135">
        <f t="shared" si="38"/>
        <v>24</v>
      </c>
      <c r="F1730" s="134" t="s">
        <v>3586</v>
      </c>
      <c r="G1730" s="63" t="str">
        <f>VLOOKUP(C1730, 'Class Def. - General Data'!$C$20:$C$1000,1,false)</f>
        <v>ZFG1_MOSQUITOREPEL</v>
      </c>
      <c r="H1730" s="63" t="str">
        <f>IFERROR(__xludf.DUMMYFUNCTION("VLOOKUP(F1730, IMPORTRANGE(""https://docs.google.com/spreadsheets/d/1Lhp9OU0JdFf_VYSMzH5lBcEaU4o8teT1piV-SNzShjg/edit?gid=554141278#gid=554141278"", ""'Char Def. - Attributes'!C20:C2242""), 1,false)"),"PLANT_PROD")</f>
        <v>PLANT_PROD</v>
      </c>
      <c r="I1730" s="136"/>
    </row>
    <row r="1731" ht="15.75" customHeight="1">
      <c r="A1731" s="59"/>
      <c r="B1731" s="63">
        <f t="shared" si="1"/>
        <v>18</v>
      </c>
      <c r="C1731" s="134" t="s">
        <v>126</v>
      </c>
      <c r="D1731" s="134" t="s">
        <v>74</v>
      </c>
      <c r="E1731" s="135">
        <f t="shared" si="38"/>
        <v>25</v>
      </c>
      <c r="F1731" s="134" t="s">
        <v>3620</v>
      </c>
      <c r="G1731" s="63" t="str">
        <f>VLOOKUP(C1731, 'Class Def. - General Data'!$C$20:$C$1000,1,false)</f>
        <v>ZFG1_MOSQUITOREPEL</v>
      </c>
      <c r="H1731" s="63" t="str">
        <f>IFERROR(__xludf.DUMMYFUNCTION("VLOOKUP(F1731, IMPORTRANGE(""https://docs.google.com/spreadsheets/d/1Lhp9OU0JdFf_VYSMzH5lBcEaU4o8teT1piV-SNzShjg/edit?gid=554141278#gid=554141278"", ""'Char Def. - Attributes'!C20:C2242""), 1,false)"),"WIDTH")</f>
        <v>WIDTH</v>
      </c>
      <c r="I1731" s="136"/>
    </row>
    <row r="1732" ht="15.75" customHeight="1">
      <c r="A1732" s="59"/>
      <c r="B1732" s="63">
        <f t="shared" si="1"/>
        <v>18</v>
      </c>
      <c r="C1732" s="134" t="s">
        <v>126</v>
      </c>
      <c r="D1732" s="134" t="s">
        <v>74</v>
      </c>
      <c r="E1732" s="135">
        <f t="shared" si="38"/>
        <v>26</v>
      </c>
      <c r="F1732" s="134" t="s">
        <v>3585</v>
      </c>
      <c r="G1732" s="63" t="str">
        <f>VLOOKUP(C1732, 'Class Def. - General Data'!$C$20:$C$1000,1,false)</f>
        <v>ZFG1_MOSQUITOREPEL</v>
      </c>
      <c r="H1732" s="63" t="str">
        <f>IFERROR(__xludf.DUMMYFUNCTION("VLOOKUP(F1732, IMPORTRANGE(""https://docs.google.com/spreadsheets/d/1Lhp9OU0JdFf_VYSMzH5lBcEaU4o8teT1piV-SNzShjg/edit?gid=554141278#gid=554141278"", ""'Char Def. - Attributes'!C20:C2242""), 1,false)"),"HS_CODE")</f>
        <v>HS_CODE</v>
      </c>
      <c r="I1732" s="136"/>
    </row>
    <row r="1733" ht="15.75" customHeight="1">
      <c r="A1733" s="59"/>
      <c r="B1733" s="63">
        <f t="shared" si="1"/>
        <v>18</v>
      </c>
      <c r="C1733" s="134" t="s">
        <v>126</v>
      </c>
      <c r="D1733" s="134" t="s">
        <v>74</v>
      </c>
      <c r="E1733" s="135">
        <f t="shared" si="38"/>
        <v>27</v>
      </c>
      <c r="F1733" s="134" t="s">
        <v>3621</v>
      </c>
      <c r="G1733" s="63" t="str">
        <f>VLOOKUP(C1733, 'Class Def. - General Data'!$C$20:$C$1000,1,false)</f>
        <v>ZFG1_MOSQUITOREPEL</v>
      </c>
      <c r="H1733" s="63" t="str">
        <f>IFERROR(__xludf.DUMMYFUNCTION("VLOOKUP(F1733, IMPORTRANGE(""https://docs.google.com/spreadsheets/d/1Lhp9OU0JdFf_VYSMzH5lBcEaU4o8teT1piV-SNzShjg/edit?gid=554141278#gid=554141278"", ""'Char Def. - Attributes'!C20:C2242""), 1,false)"),"EAN_PCS")</f>
        <v>EAN_PCS</v>
      </c>
      <c r="I1733" s="136"/>
    </row>
    <row r="1734" ht="15.75" customHeight="1">
      <c r="A1734" s="59"/>
      <c r="B1734" s="63">
        <f t="shared" si="1"/>
        <v>18</v>
      </c>
      <c r="C1734" s="134" t="s">
        <v>126</v>
      </c>
      <c r="D1734" s="134" t="s">
        <v>74</v>
      </c>
      <c r="E1734" s="135">
        <f t="shared" si="38"/>
        <v>28</v>
      </c>
      <c r="F1734" s="134" t="s">
        <v>3622</v>
      </c>
      <c r="G1734" s="63" t="str">
        <f>VLOOKUP(C1734, 'Class Def. - General Data'!$C$20:$C$1000,1,false)</f>
        <v>ZFG1_MOSQUITOREPEL</v>
      </c>
      <c r="H1734" s="63" t="str">
        <f>IFERROR(__xludf.DUMMYFUNCTION("VLOOKUP(F1734, IMPORTRANGE(""https://docs.google.com/spreadsheets/d/1Lhp9OU0JdFf_VYSMzH5lBcEaU4o8teT1piV-SNzShjg/edit?gid=554141278#gid=554141278"", ""'Char Def. - Attributes'!C20:C2242""), 1,false)"),"SFG_BRAND")</f>
        <v>SFG_BRAND</v>
      </c>
      <c r="I1734" s="136"/>
    </row>
    <row r="1735" ht="15.75" customHeight="1">
      <c r="A1735" s="59"/>
      <c r="B1735" s="63">
        <f t="shared" si="1"/>
        <v>18</v>
      </c>
      <c r="C1735" s="134" t="s">
        <v>126</v>
      </c>
      <c r="D1735" s="134" t="s">
        <v>74</v>
      </c>
      <c r="E1735" s="135">
        <f t="shared" si="38"/>
        <v>29</v>
      </c>
      <c r="F1735" s="134" t="s">
        <v>3623</v>
      </c>
      <c r="G1735" s="63" t="str">
        <f>VLOOKUP(C1735, 'Class Def. - General Data'!$C$20:$C$1000,1,false)</f>
        <v>ZFG1_MOSQUITOREPEL</v>
      </c>
      <c r="H1735" s="63" t="str">
        <f>IFERROR(__xludf.DUMMYFUNCTION("VLOOKUP(F1735, IMPORTRANGE(""https://docs.google.com/spreadsheets/d/1Lhp9OU0JdFf_VYSMzH5lBcEaU4o8teT1piV-SNzShjg/edit?gid=554141278#gid=554141278"", ""'Char Def. - Attributes'!C20:C2242""), 1,false)"),"LANGUAGE")</f>
        <v>LANGUAGE</v>
      </c>
      <c r="I1735" s="136"/>
    </row>
    <row r="1736" ht="15.75" customHeight="1">
      <c r="A1736" s="59"/>
      <c r="B1736" s="63">
        <f t="shared" si="1"/>
        <v>18</v>
      </c>
      <c r="C1736" s="139" t="s">
        <v>126</v>
      </c>
      <c r="D1736" s="139" t="s">
        <v>74</v>
      </c>
      <c r="E1736" s="140">
        <f t="shared" si="38"/>
        <v>30</v>
      </c>
      <c r="F1736" s="134" t="s">
        <v>3624</v>
      </c>
      <c r="G1736" s="63" t="str">
        <f>VLOOKUP(C1736, 'Class Def. - General Data'!$C$20:$C$1000,1,false)</f>
        <v>ZFG1_MOSQUITOREPEL</v>
      </c>
      <c r="H1736" s="63" t="str">
        <f>IFERROR(__xludf.DUMMYFUNCTION("VLOOKUP(F1736, IMPORTRANGE(""https://docs.google.com/spreadsheets/d/1Lhp9OU0JdFf_VYSMzH5lBcEaU4o8teT1piV-SNzShjg/edit?gid=554141278#gid=554141278"", ""'Char Def. - Attributes'!C20:C2242""), 1,false)"),"#N/A")</f>
        <v>#N/A</v>
      </c>
      <c r="I1736" s="136"/>
    </row>
    <row r="1737" ht="15.75" customHeight="1">
      <c r="A1737" s="59"/>
      <c r="B1737" s="63">
        <f t="shared" si="1"/>
        <v>18</v>
      </c>
      <c r="C1737" s="134" t="s">
        <v>126</v>
      </c>
      <c r="D1737" s="134" t="s">
        <v>74</v>
      </c>
      <c r="E1737" s="135">
        <f t="shared" si="38"/>
        <v>31</v>
      </c>
      <c r="F1737" s="134" t="s">
        <v>3625</v>
      </c>
      <c r="G1737" s="63" t="str">
        <f>VLOOKUP(C1737, 'Class Def. - General Data'!$C$20:$C$1000,1,false)</f>
        <v>ZFG1_MOSQUITOREPEL</v>
      </c>
      <c r="H1737" s="63" t="str">
        <f>IFERROR(__xludf.DUMMYFUNCTION("VLOOKUP(F1737, IMPORTRANGE(""https://docs.google.com/spreadsheets/d/1Lhp9OU0JdFf_VYSMzH5lBcEaU4o8teT1piV-SNzShjg/edit?gid=554141278#gid=554141278"", ""'Char Def. - Attributes'!C20:C2242""), 1,false)"),"REGION_EKSPOR")</f>
        <v>REGION_EKSPOR</v>
      </c>
      <c r="I1737" s="136"/>
    </row>
    <row r="1738" ht="15.75" customHeight="1">
      <c r="A1738" s="59"/>
      <c r="B1738" s="63">
        <f t="shared" si="1"/>
        <v>18</v>
      </c>
      <c r="C1738" s="134" t="s">
        <v>126</v>
      </c>
      <c r="D1738" s="134" t="s">
        <v>74</v>
      </c>
      <c r="E1738" s="135">
        <f t="shared" si="38"/>
        <v>32</v>
      </c>
      <c r="F1738" s="134" t="s">
        <v>3626</v>
      </c>
      <c r="G1738" s="63" t="str">
        <f>VLOOKUP(C1738, 'Class Def. - General Data'!$C$20:$C$1000,1,false)</f>
        <v>ZFG1_MOSQUITOREPEL</v>
      </c>
      <c r="H1738" s="63" t="str">
        <f>IFERROR(__xludf.DUMMYFUNCTION("VLOOKUP(F1738, IMPORTRANGE(""https://docs.google.com/spreadsheets/d/1Lhp9OU0JdFf_VYSMzH5lBcEaU4o8teT1piV-SNzShjg/edit?gid=554141278#gid=554141278"", ""'Char Def. - Attributes'!C20:C2242""), 1,false)"),"STICKER_NOT")</f>
        <v>STICKER_NOT</v>
      </c>
      <c r="I1738" s="136"/>
    </row>
    <row r="1739" ht="15.75" customHeight="1">
      <c r="A1739" s="59"/>
      <c r="B1739" s="63">
        <f t="shared" si="1"/>
        <v>18</v>
      </c>
      <c r="C1739" s="134" t="s">
        <v>126</v>
      </c>
      <c r="D1739" s="134" t="s">
        <v>74</v>
      </c>
      <c r="E1739" s="135">
        <f t="shared" si="38"/>
        <v>33</v>
      </c>
      <c r="F1739" s="134" t="s">
        <v>3627</v>
      </c>
      <c r="G1739" s="63" t="str">
        <f>VLOOKUP(C1739, 'Class Def. - General Data'!$C$20:$C$1000,1,false)</f>
        <v>ZFG1_MOSQUITOREPEL</v>
      </c>
      <c r="H1739" s="63" t="str">
        <f>IFERROR(__xludf.DUMMYFUNCTION("VLOOKUP(F1739, IMPORTRANGE(""https://docs.google.com/spreadsheets/d/1Lhp9OU0JdFf_VYSMzH5lBcEaU4o8teT1piV-SNzShjg/edit?gid=554141278#gid=554141278"", ""'Char Def. - Attributes'!C20:C2242""), 1,false)"),"SHIP_MARK")</f>
        <v>SHIP_MARK</v>
      </c>
      <c r="I1739" s="136"/>
    </row>
    <row r="1740" ht="15.75" customHeight="1">
      <c r="A1740" s="59"/>
      <c r="B1740" s="63">
        <f t="shared" si="1"/>
        <v>18</v>
      </c>
      <c r="C1740" s="134" t="s">
        <v>126</v>
      </c>
      <c r="D1740" s="134" t="s">
        <v>74</v>
      </c>
      <c r="E1740" s="135">
        <f t="shared" si="38"/>
        <v>34</v>
      </c>
      <c r="F1740" s="134" t="s">
        <v>3628</v>
      </c>
      <c r="G1740" s="63" t="str">
        <f>VLOOKUP(C1740, 'Class Def. - General Data'!$C$20:$C$1000,1,false)</f>
        <v>ZFG1_MOSQUITOREPEL</v>
      </c>
      <c r="H1740" s="63" t="str">
        <f>IFERROR(__xludf.DUMMYFUNCTION("VLOOKUP(F1740, IMPORTRANGE(""https://docs.google.com/spreadsheets/d/1Lhp9OU0JdFf_VYSMzH5lBcEaU4o8teT1piV-SNzShjg/edit?gid=554141278#gid=554141278"", ""'Char Def. - Attributes'!C20:C2242""), 1,false)"),"MID_CORE")</f>
        <v>MID_CORE</v>
      </c>
      <c r="I1740" s="136"/>
    </row>
    <row r="1741" ht="15.75" customHeight="1">
      <c r="A1741" s="59"/>
      <c r="B1741" s="63">
        <f t="shared" si="1"/>
        <v>18</v>
      </c>
      <c r="C1741" s="134" t="s">
        <v>126</v>
      </c>
      <c r="D1741" s="134" t="s">
        <v>74</v>
      </c>
      <c r="E1741" s="135">
        <f t="shared" si="38"/>
        <v>35</v>
      </c>
      <c r="F1741" s="134" t="s">
        <v>3629</v>
      </c>
      <c r="G1741" s="63" t="str">
        <f>VLOOKUP(C1741, 'Class Def. - General Data'!$C$20:$C$1000,1,false)</f>
        <v>ZFG1_MOSQUITOREPEL</v>
      </c>
      <c r="H1741" s="63" t="str">
        <f>IFERROR(__xludf.DUMMYFUNCTION("VLOOKUP(F1741, IMPORTRANGE(""https://docs.google.com/spreadsheets/d/1Lhp9OU0JdFf_VYSMzH5lBcEaU4o8teT1piV-SNzShjg/edit?gid=554141278#gid=554141278"", ""'Char Def. - Attributes'!C20:C2242""), 1,false)"),"EAN_CTN")</f>
        <v>EAN_CTN</v>
      </c>
      <c r="I1741" s="136"/>
    </row>
    <row r="1742" ht="15.75" customHeight="1">
      <c r="A1742" s="59"/>
      <c r="B1742" s="63">
        <f t="shared" si="1"/>
        <v>18</v>
      </c>
      <c r="C1742" s="134" t="s">
        <v>126</v>
      </c>
      <c r="D1742" s="134" t="s">
        <v>74</v>
      </c>
      <c r="E1742" s="135">
        <f t="shared" si="38"/>
        <v>36</v>
      </c>
      <c r="F1742" s="134" t="s">
        <v>3630</v>
      </c>
      <c r="G1742" s="63" t="str">
        <f>VLOOKUP(C1742, 'Class Def. - General Data'!$C$20:$C$1000,1,false)</f>
        <v>ZFG1_MOSQUITOREPEL</v>
      </c>
      <c r="H1742" s="63" t="str">
        <f>IFERROR(__xludf.DUMMYFUNCTION("VLOOKUP(F1742, IMPORTRANGE(""https://docs.google.com/spreadsheets/d/1Lhp9OU0JdFf_VYSMzH5lBcEaU4o8teT1piV-SNzShjg/edit?gid=554141278#gid=554141278"", ""'Char Def. - Attributes'!C20:C2242""), 1,false)"),"EAN_BOX")</f>
        <v>EAN_BOX</v>
      </c>
      <c r="I1742" s="136"/>
    </row>
    <row r="1743" ht="15.75" customHeight="1">
      <c r="A1743" s="59"/>
      <c r="B1743" s="63">
        <f t="shared" si="1"/>
        <v>18</v>
      </c>
      <c r="C1743" s="134" t="s">
        <v>126</v>
      </c>
      <c r="D1743" s="141" t="s">
        <v>74</v>
      </c>
      <c r="E1743" s="135">
        <v>22.0</v>
      </c>
      <c r="F1743" s="135" t="s">
        <v>3603</v>
      </c>
      <c r="G1743" s="63" t="str">
        <f>VLOOKUP(C1743, 'Class Def. - General Data'!$C$20:$C$1000,1,false)</f>
        <v>ZFG1_MOSQUITOREPEL</v>
      </c>
      <c r="I1743" s="136"/>
    </row>
    <row r="1744" ht="15.75" customHeight="1">
      <c r="A1744" s="59"/>
      <c r="B1744" s="63">
        <f t="shared" si="1"/>
        <v>12</v>
      </c>
      <c r="C1744" s="134" t="s">
        <v>127</v>
      </c>
      <c r="D1744" s="134" t="s">
        <v>74</v>
      </c>
      <c r="E1744" s="135">
        <f t="shared" ref="E1744:E1779" si="39">COUNTIF($C$20:C1744,C1744)</f>
        <v>1</v>
      </c>
      <c r="F1744" s="134" t="s">
        <v>3723</v>
      </c>
      <c r="G1744" s="63" t="str">
        <f>VLOOKUP(C1744, 'Class Def. - General Data'!$C$20:$C$1000,1,false)</f>
        <v>ZFG1_NOODLES</v>
      </c>
      <c r="H1744" s="63" t="str">
        <f>IFERROR(__xludf.DUMMYFUNCTION("VLOOKUP(F1744, IMPORTRANGE(""https://docs.google.com/spreadsheets/d/1Lhp9OU0JdFf_VYSMzH5lBcEaU4o8teT1piV-SNzShjg/edit?gid=554141278#gid=554141278"", ""'Char Def. - Attributes'!C20:C2242""), 1,false)"),"BRAND_NOODLES")</f>
        <v>BRAND_NOODLES</v>
      </c>
      <c r="I1744" s="136"/>
    </row>
    <row r="1745" ht="15.75" customHeight="1">
      <c r="A1745" s="59"/>
      <c r="B1745" s="63">
        <f t="shared" si="1"/>
        <v>12</v>
      </c>
      <c r="C1745" s="135" t="s">
        <v>127</v>
      </c>
      <c r="D1745" s="134" t="s">
        <v>74</v>
      </c>
      <c r="E1745" s="135">
        <f t="shared" si="39"/>
        <v>2</v>
      </c>
      <c r="F1745" s="134" t="s">
        <v>3724</v>
      </c>
      <c r="G1745" s="63" t="str">
        <f>VLOOKUP(C1745, 'Class Def. - General Data'!$C$20:$C$1000,1,false)</f>
        <v>ZFG1_NOODLES</v>
      </c>
      <c r="H1745" s="63" t="str">
        <f>IFERROR(__xludf.DUMMYFUNCTION("VLOOKUP(F1745, IMPORTRANGE(""https://docs.google.com/spreadsheets/d/1Lhp9OU0JdFf_VYSMzH5lBcEaU4o8teT1piV-SNzShjg/edit?gid=554141278#gid=554141278"", ""'Char Def. - Attributes'!C20:C2242""), 1,false)"),"PSHAPE_NOODLES")</f>
        <v>PSHAPE_NOODLES</v>
      </c>
      <c r="I1745" s="136"/>
    </row>
    <row r="1746" ht="15.75" customHeight="1">
      <c r="A1746" s="59"/>
      <c r="B1746" s="63">
        <f t="shared" si="1"/>
        <v>12</v>
      </c>
      <c r="C1746" s="134" t="s">
        <v>127</v>
      </c>
      <c r="D1746" s="134" t="s">
        <v>74</v>
      </c>
      <c r="E1746" s="135">
        <f t="shared" si="39"/>
        <v>3</v>
      </c>
      <c r="F1746" s="134" t="s">
        <v>3605</v>
      </c>
      <c r="G1746" s="63" t="str">
        <f>VLOOKUP(C1746, 'Class Def. - General Data'!$C$20:$C$1000,1,false)</f>
        <v>ZFG1_NOODLES</v>
      </c>
      <c r="H1746" s="63" t="str">
        <f>IFERROR(__xludf.DUMMYFUNCTION("VLOOKUP(F1746, IMPORTRANGE(""https://docs.google.com/spreadsheets/d/1Lhp9OU0JdFf_VYSMzH5lBcEaU4o8teT1piV-SNzShjg/edit?gid=554141278#gid=554141278"", ""'Char Def. - Attributes'!C20:C2242""), 1,false)"),"PACK_NETTO")</f>
        <v>PACK_NETTO</v>
      </c>
      <c r="I1746" s="136"/>
    </row>
    <row r="1747" ht="15.75" customHeight="1">
      <c r="A1747" s="59"/>
      <c r="B1747" s="63">
        <f t="shared" si="1"/>
        <v>12</v>
      </c>
      <c r="C1747" s="135" t="s">
        <v>127</v>
      </c>
      <c r="D1747" s="134" t="s">
        <v>74</v>
      </c>
      <c r="E1747" s="135">
        <f t="shared" si="39"/>
        <v>4</v>
      </c>
      <c r="F1747" s="134" t="s">
        <v>3725</v>
      </c>
      <c r="G1747" s="63" t="str">
        <f>VLOOKUP(C1747, 'Class Def. - General Data'!$C$20:$C$1000,1,false)</f>
        <v>ZFG1_NOODLES</v>
      </c>
      <c r="H1747" s="63" t="str">
        <f>IFERROR(__xludf.DUMMYFUNCTION("VLOOKUP(F1747, IMPORTRANGE(""https://docs.google.com/spreadsheets/d/1Lhp9OU0JdFf_VYSMzH5lBcEaU4o8teT1piV-SNzShjg/edit?gid=554141278#gid=554141278"", ""'Char Def. - Attributes'!C20:C2242""), 1,false)"),"PUOM_NOODLES")</f>
        <v>PUOM_NOODLES</v>
      </c>
      <c r="I1747" s="136"/>
    </row>
    <row r="1748" ht="15.75" customHeight="1">
      <c r="A1748" s="59"/>
      <c r="B1748" s="63">
        <f t="shared" si="1"/>
        <v>12</v>
      </c>
      <c r="C1748" s="134" t="s">
        <v>127</v>
      </c>
      <c r="D1748" s="134" t="s">
        <v>74</v>
      </c>
      <c r="E1748" s="135">
        <f t="shared" si="39"/>
        <v>5</v>
      </c>
      <c r="F1748" s="134" t="s">
        <v>3607</v>
      </c>
      <c r="G1748" s="63" t="str">
        <f>VLOOKUP(C1748, 'Class Def. - General Data'!$C$20:$C$1000,1,false)</f>
        <v>ZFG1_NOODLES</v>
      </c>
      <c r="H1748" s="63" t="str">
        <f>IFERROR(__xludf.DUMMYFUNCTION("VLOOKUP(F1748, IMPORTRANGE(""https://docs.google.com/spreadsheets/d/1Lhp9OU0JdFf_VYSMzH5lBcEaU4o8teT1piV-SNzShjg/edit?gid=554141278#gid=554141278"", ""'Char Def. - Attributes'!C20:C2242""), 1,false)"),"VARIAN")</f>
        <v>VARIAN</v>
      </c>
      <c r="I1748" s="136"/>
    </row>
    <row r="1749" ht="15.75" customHeight="1">
      <c r="A1749" s="59"/>
      <c r="B1749" s="63">
        <f t="shared" si="1"/>
        <v>12</v>
      </c>
      <c r="C1749" s="134" t="s">
        <v>127</v>
      </c>
      <c r="D1749" s="134" t="s">
        <v>74</v>
      </c>
      <c r="E1749" s="135">
        <f t="shared" si="39"/>
        <v>6</v>
      </c>
      <c r="F1749" s="134" t="s">
        <v>3608</v>
      </c>
      <c r="G1749" s="63" t="str">
        <f>VLOOKUP(C1749, 'Class Def. - General Data'!$C$20:$C$1000,1,false)</f>
        <v>ZFG1_NOODLES</v>
      </c>
      <c r="H1749" s="63" t="str">
        <f>IFERROR(__xludf.DUMMYFUNCTION("VLOOKUP(F1749, IMPORTRANGE(""https://docs.google.com/spreadsheets/d/1Lhp9OU0JdFf_VYSMzH5lBcEaU4o8teT1piV-SNzShjg/edit?gid=554141278#gid=554141278"", ""'Char Def. - Attributes'!C20:C2242""), 1,false)"),"PROJECT_NAME")</f>
        <v>PROJECT_NAME</v>
      </c>
      <c r="I1749" s="136"/>
    </row>
    <row r="1750" ht="15.75" customHeight="1">
      <c r="A1750" s="59"/>
      <c r="B1750" s="63">
        <f t="shared" si="1"/>
        <v>12</v>
      </c>
      <c r="C1750" s="134" t="s">
        <v>127</v>
      </c>
      <c r="D1750" s="134" t="s">
        <v>74</v>
      </c>
      <c r="E1750" s="135">
        <f t="shared" si="39"/>
        <v>7</v>
      </c>
      <c r="F1750" s="134" t="s">
        <v>3609</v>
      </c>
      <c r="G1750" s="63" t="str">
        <f>VLOOKUP(C1750, 'Class Def. - General Data'!$C$20:$C$1000,1,false)</f>
        <v>ZFG1_NOODLES</v>
      </c>
      <c r="H1750" s="63" t="str">
        <f>IFERROR(__xludf.DUMMYFUNCTION("VLOOKUP(F1750, IMPORTRANGE(""https://docs.google.com/spreadsheets/d/1Lhp9OU0JdFf_VYSMzH5lBcEaU4o8teT1piV-SNzShjg/edit?gid=554141278#gid=554141278"", ""'Char Def. - Attributes'!C20:C2242""), 1,false)"),"ADDITIONAL_PROMO")</f>
        <v>ADDITIONAL_PROMO</v>
      </c>
      <c r="I1750" s="136"/>
    </row>
    <row r="1751" ht="15.75" customHeight="1">
      <c r="A1751" s="59"/>
      <c r="B1751" s="63">
        <f t="shared" si="1"/>
        <v>12</v>
      </c>
      <c r="C1751" s="134" t="s">
        <v>127</v>
      </c>
      <c r="D1751" s="134" t="s">
        <v>74</v>
      </c>
      <c r="E1751" s="135">
        <f t="shared" si="39"/>
        <v>8</v>
      </c>
      <c r="F1751" s="134" t="s">
        <v>3610</v>
      </c>
      <c r="G1751" s="63" t="str">
        <f>VLOOKUP(C1751, 'Class Def. - General Data'!$C$20:$C$1000,1,false)</f>
        <v>ZFG1_NOODLES</v>
      </c>
      <c r="H1751" s="63" t="str">
        <f>IFERROR(__xludf.DUMMYFUNCTION("VLOOKUP(F1751, IMPORTRANGE(""https://docs.google.com/spreadsheets/d/1Lhp9OU0JdFf_VYSMzH5lBcEaU4o8teT1piV-SNzShjg/edit?gid=554141278#gid=554141278"", ""'Char Def. - Attributes'!C20:C2242""), 1,false)"),"BANDED_PROMO")</f>
        <v>BANDED_PROMO</v>
      </c>
      <c r="I1751" s="136"/>
    </row>
    <row r="1752" ht="15.75" customHeight="1">
      <c r="A1752" s="59"/>
      <c r="B1752" s="63">
        <f t="shared" si="1"/>
        <v>12</v>
      </c>
      <c r="C1752" s="134" t="s">
        <v>127</v>
      </c>
      <c r="D1752" s="134" t="s">
        <v>74</v>
      </c>
      <c r="E1752" s="135">
        <f t="shared" si="39"/>
        <v>9</v>
      </c>
      <c r="F1752" s="134" t="s">
        <v>3611</v>
      </c>
      <c r="G1752" s="63" t="str">
        <f>VLOOKUP(C1752, 'Class Def. - General Data'!$C$20:$C$1000,1,false)</f>
        <v>ZFG1_NOODLES</v>
      </c>
      <c r="H1752" s="63" t="str">
        <f>IFERROR(__xludf.DUMMYFUNCTION("VLOOKUP(F1752, IMPORTRANGE(""https://docs.google.com/spreadsheets/d/1Lhp9OU0JdFf_VYSMzH5lBcEaU4o8teT1piV-SNzShjg/edit?gid=554141278#gid=554141278"", ""'Char Def. - Attributes'!C20:C2242""), 1,false)"),"LOKAL_EKSPOR")</f>
        <v>LOKAL_EKSPOR</v>
      </c>
      <c r="I1752" s="136"/>
    </row>
    <row r="1753" ht="15.75" customHeight="1">
      <c r="A1753" s="59"/>
      <c r="B1753" s="63">
        <f t="shared" si="1"/>
        <v>12</v>
      </c>
      <c r="C1753" s="134" t="s">
        <v>127</v>
      </c>
      <c r="D1753" s="134" t="s">
        <v>74</v>
      </c>
      <c r="E1753" s="135">
        <f t="shared" si="39"/>
        <v>10</v>
      </c>
      <c r="F1753" s="134" t="s">
        <v>3612</v>
      </c>
      <c r="G1753" s="63" t="str">
        <f>VLOOKUP(C1753, 'Class Def. - General Data'!$C$20:$C$1000,1,false)</f>
        <v>ZFG1_NOODLES</v>
      </c>
      <c r="H1753" s="63" t="str">
        <f>IFERROR(__xludf.DUMMYFUNCTION("VLOOKUP(F1753, IMPORTRANGE(""https://docs.google.com/spreadsheets/d/1Lhp9OU0JdFf_VYSMzH5lBcEaU4o8teT1piV-SNzShjg/edit?gid=554141278#gid=554141278"", ""'Char Def. - Attributes'!C20:C2242""), 1,false)"),"COUNTRY_EKSPOR")</f>
        <v>COUNTRY_EKSPOR</v>
      </c>
      <c r="I1753" s="136"/>
    </row>
    <row r="1754" ht="15.75" customHeight="1">
      <c r="A1754" s="59"/>
      <c r="B1754" s="63">
        <f t="shared" si="1"/>
        <v>12</v>
      </c>
      <c r="C1754" s="134" t="s">
        <v>127</v>
      </c>
      <c r="D1754" s="134" t="s">
        <v>74</v>
      </c>
      <c r="E1754" s="135">
        <f t="shared" si="39"/>
        <v>11</v>
      </c>
      <c r="F1754" s="134" t="s">
        <v>3613</v>
      </c>
      <c r="G1754" s="63" t="str">
        <f>VLOOKUP(C1754, 'Class Def. - General Data'!$C$20:$C$1000,1,false)</f>
        <v>ZFG1_NOODLES</v>
      </c>
      <c r="H1754" s="63" t="str">
        <f>IFERROR(__xludf.DUMMYFUNCTION("VLOOKUP(F1754, IMPORTRANGE(""https://docs.google.com/spreadsheets/d/1Lhp9OU0JdFf_VYSMzH5lBcEaU4o8teT1piV-SNzShjg/edit?gid=554141278#gid=554141278"", ""'Char Def. - Attributes'!C20:C2242""), 1,false)"),"WARNA_SFG")</f>
        <v>WARNA_SFG</v>
      </c>
      <c r="I1754" s="136"/>
    </row>
    <row r="1755" ht="15.75" customHeight="1">
      <c r="A1755" s="59"/>
      <c r="B1755" s="63">
        <f t="shared" si="1"/>
        <v>12</v>
      </c>
      <c r="C1755" s="134" t="s">
        <v>127</v>
      </c>
      <c r="D1755" s="134" t="s">
        <v>74</v>
      </c>
      <c r="E1755" s="135">
        <f t="shared" si="39"/>
        <v>12</v>
      </c>
      <c r="F1755" s="134" t="s">
        <v>3582</v>
      </c>
      <c r="G1755" s="63" t="str">
        <f>VLOOKUP(C1755, 'Class Def. - General Data'!$C$20:$C$1000,1,false)</f>
        <v>ZFG1_NOODLES</v>
      </c>
      <c r="H1755" s="63" t="str">
        <f>IFERROR(__xludf.DUMMYFUNCTION("VLOOKUP(F1755, IMPORTRANGE(""https://docs.google.com/spreadsheets/d/1Lhp9OU0JdFf_VYSMzH5lBcEaU4o8teT1piV-SNzShjg/edit?gid=554141278#gid=554141278"", ""'Char Def. - Attributes'!C20:C2242""), 1,false)"),"BASE_UNIT")</f>
        <v>BASE_UNIT</v>
      </c>
      <c r="I1755" s="136"/>
    </row>
    <row r="1756" ht="15.75" customHeight="1">
      <c r="A1756" s="59"/>
      <c r="B1756" s="63">
        <f t="shared" si="1"/>
        <v>12</v>
      </c>
      <c r="C1756" s="134" t="s">
        <v>127</v>
      </c>
      <c r="D1756" s="134" t="s">
        <v>74</v>
      </c>
      <c r="E1756" s="135">
        <f t="shared" si="39"/>
        <v>13</v>
      </c>
      <c r="F1756" s="134" t="s">
        <v>3583</v>
      </c>
      <c r="G1756" s="63" t="str">
        <f>VLOOKUP(C1756, 'Class Def. - General Data'!$C$20:$C$1000,1,false)</f>
        <v>ZFG1_NOODLES</v>
      </c>
      <c r="H1756" s="63" t="str">
        <f>IFERROR(__xludf.DUMMYFUNCTION("VLOOKUP(F1756, IMPORTRANGE(""https://docs.google.com/spreadsheets/d/1Lhp9OU0JdFf_VYSMzH5lBcEaU4o8teT1piV-SNzShjg/edit?gid=554141278#gid=554141278"", ""'Char Def. - Attributes'!C20:C2242""), 1,false)"),"SALES_UNIT")</f>
        <v>SALES_UNIT</v>
      </c>
      <c r="I1756" s="136"/>
    </row>
    <row r="1757" ht="15.75" customHeight="1">
      <c r="A1757" s="59"/>
      <c r="B1757" s="63">
        <f t="shared" si="1"/>
        <v>12</v>
      </c>
      <c r="C1757" s="134" t="s">
        <v>127</v>
      </c>
      <c r="D1757" s="134" t="s">
        <v>74</v>
      </c>
      <c r="E1757" s="135">
        <f t="shared" si="39"/>
        <v>14</v>
      </c>
      <c r="F1757" s="134" t="s">
        <v>3601</v>
      </c>
      <c r="G1757" s="63" t="str">
        <f>VLOOKUP(C1757, 'Class Def. - General Data'!$C$20:$C$1000,1,false)</f>
        <v>ZFG1_NOODLES</v>
      </c>
      <c r="H1757" s="63" t="str">
        <f>IFERROR(__xludf.DUMMYFUNCTION("VLOOKUP(F1757, IMPORTRANGE(""https://docs.google.com/spreadsheets/d/1Lhp9OU0JdFf_VYSMzH5lBcEaU4o8teT1piV-SNzShjg/edit?gid=554141278#gid=554141278"", ""'Char Def. - Attributes'!C20:C2242""), 1,false)"),"GROSS_WEIGHT")</f>
        <v>GROSS_WEIGHT</v>
      </c>
      <c r="I1757" s="136"/>
    </row>
    <row r="1758" ht="15.75" customHeight="1">
      <c r="A1758" s="59"/>
      <c r="B1758" s="63">
        <f t="shared" si="1"/>
        <v>12</v>
      </c>
      <c r="C1758" s="134" t="s">
        <v>127</v>
      </c>
      <c r="D1758" s="134" t="s">
        <v>74</v>
      </c>
      <c r="E1758" s="135">
        <f t="shared" si="39"/>
        <v>15</v>
      </c>
      <c r="F1758" s="134" t="s">
        <v>3602</v>
      </c>
      <c r="G1758" s="63" t="str">
        <f>VLOOKUP(C1758, 'Class Def. - General Data'!$C$20:$C$1000,1,false)</f>
        <v>ZFG1_NOODLES</v>
      </c>
      <c r="H1758" s="63" t="str">
        <f>IFERROR(__xludf.DUMMYFUNCTION("VLOOKUP(F1758, IMPORTRANGE(""https://docs.google.com/spreadsheets/d/1Lhp9OU0JdFf_VYSMzH5lBcEaU4o8teT1piV-SNzShjg/edit?gid=554141278#gid=554141278"", ""'Char Def. - Attributes'!C20:C2242""), 1,false)"),"NET_WEIGHT")</f>
        <v>NET_WEIGHT</v>
      </c>
      <c r="I1758" s="136"/>
    </row>
    <row r="1759" ht="15.75" customHeight="1">
      <c r="A1759" s="59"/>
      <c r="B1759" s="63">
        <f t="shared" si="1"/>
        <v>12</v>
      </c>
      <c r="C1759" s="134" t="s">
        <v>127</v>
      </c>
      <c r="D1759" s="134" t="s">
        <v>74</v>
      </c>
      <c r="E1759" s="135">
        <f t="shared" si="39"/>
        <v>16</v>
      </c>
      <c r="F1759" s="134" t="s">
        <v>3584</v>
      </c>
      <c r="G1759" s="63" t="str">
        <f>VLOOKUP(C1759, 'Class Def. - General Data'!$C$20:$C$1000,1,false)</f>
        <v>ZFG1_NOODLES</v>
      </c>
      <c r="H1759" s="63" t="str">
        <f>IFERROR(__xludf.DUMMYFUNCTION("VLOOKUP(F1759, IMPORTRANGE(""https://docs.google.com/spreadsheets/d/1Lhp9OU0JdFf_VYSMzH5lBcEaU4o8teT1piV-SNzShjg/edit?gid=554141278#gid=554141278"", ""'Char Def. - Attributes'!C20:C2242""), 1,false)"),"UNIT_PER_BOX")</f>
        <v>UNIT_PER_BOX</v>
      </c>
      <c r="I1759" s="136"/>
    </row>
    <row r="1760" ht="15.75" customHeight="1">
      <c r="A1760" s="59"/>
      <c r="B1760" s="63">
        <f t="shared" si="1"/>
        <v>12</v>
      </c>
      <c r="C1760" s="134" t="s">
        <v>127</v>
      </c>
      <c r="D1760" s="134" t="s">
        <v>74</v>
      </c>
      <c r="E1760" s="135">
        <f t="shared" si="39"/>
        <v>17</v>
      </c>
      <c r="F1760" s="134" t="s">
        <v>3614</v>
      </c>
      <c r="G1760" s="63" t="str">
        <f>VLOOKUP(C1760, 'Class Def. - General Data'!$C$20:$C$1000,1,false)</f>
        <v>ZFG1_NOODLES</v>
      </c>
      <c r="H1760" s="63" t="str">
        <f>IFERROR(__xludf.DUMMYFUNCTION("VLOOKUP(F1760, IMPORTRANGE(""https://docs.google.com/spreadsheets/d/1Lhp9OU0JdFf_VYSMzH5lBcEaU4o8teT1piV-SNzShjg/edit?gid=554141278#gid=554141278"", ""'Char Def. - Attributes'!C20:C2242""), 1,false)"),"UNIT_PER_CTN")</f>
        <v>UNIT_PER_CTN</v>
      </c>
      <c r="I1760" s="136"/>
    </row>
    <row r="1761" ht="15.75" customHeight="1">
      <c r="A1761" s="59"/>
      <c r="B1761" s="63">
        <f t="shared" si="1"/>
        <v>12</v>
      </c>
      <c r="C1761" s="134" t="s">
        <v>127</v>
      </c>
      <c r="D1761" s="134" t="s">
        <v>74</v>
      </c>
      <c r="E1761" s="135">
        <f t="shared" si="39"/>
        <v>18</v>
      </c>
      <c r="F1761" s="134" t="s">
        <v>3615</v>
      </c>
      <c r="G1761" s="63" t="str">
        <f>VLOOKUP(C1761, 'Class Def. - General Data'!$C$20:$C$1000,1,false)</f>
        <v>ZFG1_NOODLES</v>
      </c>
      <c r="H1761" s="63" t="str">
        <f>IFERROR(__xludf.DUMMYFUNCTION("VLOOKUP(F1761, IMPORTRANGE(""https://docs.google.com/spreadsheets/d/1Lhp9OU0JdFf_VYSMzH5lBcEaU4o8teT1piV-SNzShjg/edit?gid=554141278#gid=554141278"", ""'Char Def. - Attributes'!C20:C2242""), 1,false)"),"UNIT_PER_BAG")</f>
        <v>UNIT_PER_BAG</v>
      </c>
      <c r="I1761" s="136"/>
    </row>
    <row r="1762" ht="15.75" customHeight="1">
      <c r="A1762" s="59"/>
      <c r="B1762" s="63">
        <f t="shared" si="1"/>
        <v>12</v>
      </c>
      <c r="C1762" s="134" t="s">
        <v>127</v>
      </c>
      <c r="D1762" s="134" t="s">
        <v>74</v>
      </c>
      <c r="E1762" s="135">
        <f t="shared" si="39"/>
        <v>19</v>
      </c>
      <c r="F1762" s="134" t="s">
        <v>3616</v>
      </c>
      <c r="G1762" s="63" t="str">
        <f>VLOOKUP(C1762, 'Class Def. - General Data'!$C$20:$C$1000,1,false)</f>
        <v>ZFG1_NOODLES</v>
      </c>
      <c r="H1762" s="63" t="str">
        <f>IFERROR(__xludf.DUMMYFUNCTION("VLOOKUP(F1762, IMPORTRANGE(""https://docs.google.com/spreadsheets/d/1Lhp9OU0JdFf_VYSMzH5lBcEaU4o8teT1piV-SNzShjg/edit?gid=554141278#gid=554141278"", ""'Char Def. - Attributes'!C20:C2242""), 1,false)"),"UNIT_PER_PAL")</f>
        <v>UNIT_PER_PAL</v>
      </c>
      <c r="I1762" s="136"/>
    </row>
    <row r="1763" ht="15.75" customHeight="1">
      <c r="A1763" s="59"/>
      <c r="B1763" s="63">
        <f t="shared" si="1"/>
        <v>12</v>
      </c>
      <c r="C1763" s="134" t="s">
        <v>127</v>
      </c>
      <c r="D1763" s="134" t="s">
        <v>74</v>
      </c>
      <c r="E1763" s="135">
        <f t="shared" si="39"/>
        <v>20</v>
      </c>
      <c r="F1763" s="134" t="s">
        <v>3617</v>
      </c>
      <c r="G1763" s="63" t="str">
        <f>VLOOKUP(C1763, 'Class Def. - General Data'!$C$20:$C$1000,1,false)</f>
        <v>ZFG1_NOODLES</v>
      </c>
      <c r="H1763" s="63" t="str">
        <f>IFERROR(__xludf.DUMMYFUNCTION("VLOOKUP(F1763, IMPORTRANGE(""https://docs.google.com/spreadsheets/d/1Lhp9OU0JdFf_VYSMzH5lBcEaU4o8teT1piV-SNzShjg/edit?gid=554141278#gid=554141278"", ""'Char Def. - Attributes'!C20:C2242""), 1,false)"),"UNIT_PER_TIER")</f>
        <v>UNIT_PER_TIER</v>
      </c>
      <c r="I1763" s="136"/>
    </row>
    <row r="1764" ht="15.75" customHeight="1">
      <c r="A1764" s="66"/>
      <c r="B1764" s="63">
        <f t="shared" si="1"/>
        <v>12</v>
      </c>
      <c r="C1764" s="134" t="s">
        <v>127</v>
      </c>
      <c r="D1764" s="134" t="s">
        <v>74</v>
      </c>
      <c r="E1764" s="135">
        <f t="shared" si="39"/>
        <v>21</v>
      </c>
      <c r="F1764" s="134" t="s">
        <v>3618</v>
      </c>
      <c r="G1764" s="63" t="str">
        <f>VLOOKUP(C1764, 'Class Def. - General Data'!$C$20:$C$1000,1,false)</f>
        <v>ZFG1_NOODLES</v>
      </c>
      <c r="H1764" s="63" t="str">
        <f>IFERROR(__xludf.DUMMYFUNCTION("VLOOKUP(F1764, IMPORTRANGE(""https://docs.google.com/spreadsheets/d/1Lhp9OU0JdFf_VYSMzH5lBcEaU4o8teT1piV-SNzShjg/edit?gid=554141278#gid=554141278"", ""'Char Def. - Attributes'!C20:C2242""), 1,false)"),"HEIGHT")</f>
        <v>HEIGHT</v>
      </c>
      <c r="I1764" s="136"/>
    </row>
    <row r="1765" ht="15.75" customHeight="1">
      <c r="A1765" s="66"/>
      <c r="B1765" s="63">
        <f t="shared" si="1"/>
        <v>12</v>
      </c>
      <c r="C1765" s="134" t="s">
        <v>127</v>
      </c>
      <c r="D1765" s="134" t="s">
        <v>74</v>
      </c>
      <c r="E1765" s="135">
        <f t="shared" si="39"/>
        <v>22</v>
      </c>
      <c r="F1765" s="134" t="s">
        <v>3587</v>
      </c>
      <c r="G1765" s="63" t="str">
        <f>VLOOKUP(C1765, 'Class Def. - General Data'!$C$20:$C$1000,1,false)</f>
        <v>ZFG1_NOODLES</v>
      </c>
      <c r="H1765" s="63" t="str">
        <f>IFERROR(__xludf.DUMMYFUNCTION("VLOOKUP(F1765, IMPORTRANGE(""https://docs.google.com/spreadsheets/d/1Lhp9OU0JdFf_VYSMzH5lBcEaU4o8teT1piV-SNzShjg/edit?gid=554141278#gid=554141278"", ""'Char Def. - Attributes'!C20:C2242""), 1,false)"),"PLANT_BUY")</f>
        <v>PLANT_BUY</v>
      </c>
      <c r="I1765" s="136"/>
    </row>
    <row r="1766" ht="15.75" customHeight="1">
      <c r="A1766" s="59"/>
      <c r="B1766" s="63">
        <f t="shared" si="1"/>
        <v>12</v>
      </c>
      <c r="C1766" s="134" t="s">
        <v>127</v>
      </c>
      <c r="D1766" s="134" t="s">
        <v>74</v>
      </c>
      <c r="E1766" s="135">
        <f t="shared" si="39"/>
        <v>23</v>
      </c>
      <c r="F1766" s="134" t="s">
        <v>3619</v>
      </c>
      <c r="G1766" s="63" t="str">
        <f>VLOOKUP(C1766, 'Class Def. - General Data'!$C$20:$C$1000,1,false)</f>
        <v>ZFG1_NOODLES</v>
      </c>
      <c r="H1766" s="63" t="str">
        <f>IFERROR(__xludf.DUMMYFUNCTION("VLOOKUP(F1766, IMPORTRANGE(""https://docs.google.com/spreadsheets/d/1Lhp9OU0JdFf_VYSMzH5lBcEaU4o8teT1piV-SNzShjg/edit?gid=554141278#gid=554141278"", ""'Char Def. - Attributes'!C20:C2242""), 1,false)"),"LENGTH")</f>
        <v>LENGTH</v>
      </c>
      <c r="I1766" s="136"/>
    </row>
    <row r="1767" ht="15.75" customHeight="1">
      <c r="A1767" s="59"/>
      <c r="B1767" s="63">
        <f t="shared" si="1"/>
        <v>12</v>
      </c>
      <c r="C1767" s="134" t="s">
        <v>127</v>
      </c>
      <c r="D1767" s="134" t="s">
        <v>74</v>
      </c>
      <c r="E1767" s="135">
        <f t="shared" si="39"/>
        <v>24</v>
      </c>
      <c r="F1767" s="134" t="s">
        <v>3586</v>
      </c>
      <c r="G1767" s="63" t="str">
        <f>VLOOKUP(C1767, 'Class Def. - General Data'!$C$20:$C$1000,1,false)</f>
        <v>ZFG1_NOODLES</v>
      </c>
      <c r="H1767" s="63" t="str">
        <f>IFERROR(__xludf.DUMMYFUNCTION("VLOOKUP(F1767, IMPORTRANGE(""https://docs.google.com/spreadsheets/d/1Lhp9OU0JdFf_VYSMzH5lBcEaU4o8teT1piV-SNzShjg/edit?gid=554141278#gid=554141278"", ""'Char Def. - Attributes'!C20:C2242""), 1,false)"),"PLANT_PROD")</f>
        <v>PLANT_PROD</v>
      </c>
      <c r="I1767" s="136"/>
    </row>
    <row r="1768" ht="15.75" customHeight="1">
      <c r="A1768" s="59"/>
      <c r="B1768" s="63">
        <f t="shared" si="1"/>
        <v>12</v>
      </c>
      <c r="C1768" s="134" t="s">
        <v>127</v>
      </c>
      <c r="D1768" s="134" t="s">
        <v>74</v>
      </c>
      <c r="E1768" s="135">
        <f t="shared" si="39"/>
        <v>25</v>
      </c>
      <c r="F1768" s="134" t="s">
        <v>3620</v>
      </c>
      <c r="G1768" s="63" t="str">
        <f>VLOOKUP(C1768, 'Class Def. - General Data'!$C$20:$C$1000,1,false)</f>
        <v>ZFG1_NOODLES</v>
      </c>
      <c r="H1768" s="63" t="str">
        <f>IFERROR(__xludf.DUMMYFUNCTION("VLOOKUP(F1768, IMPORTRANGE(""https://docs.google.com/spreadsheets/d/1Lhp9OU0JdFf_VYSMzH5lBcEaU4o8teT1piV-SNzShjg/edit?gid=554141278#gid=554141278"", ""'Char Def. - Attributes'!C20:C2242""), 1,false)"),"WIDTH")</f>
        <v>WIDTH</v>
      </c>
      <c r="I1768" s="136"/>
    </row>
    <row r="1769" ht="15.75" customHeight="1">
      <c r="A1769" s="59"/>
      <c r="B1769" s="63">
        <f t="shared" si="1"/>
        <v>12</v>
      </c>
      <c r="C1769" s="134" t="s">
        <v>127</v>
      </c>
      <c r="D1769" s="134" t="s">
        <v>74</v>
      </c>
      <c r="E1769" s="135">
        <f t="shared" si="39"/>
        <v>26</v>
      </c>
      <c r="F1769" s="134" t="s">
        <v>3585</v>
      </c>
      <c r="G1769" s="63" t="str">
        <f>VLOOKUP(C1769, 'Class Def. - General Data'!$C$20:$C$1000,1,false)</f>
        <v>ZFG1_NOODLES</v>
      </c>
      <c r="H1769" s="63" t="str">
        <f>IFERROR(__xludf.DUMMYFUNCTION("VLOOKUP(F1769, IMPORTRANGE(""https://docs.google.com/spreadsheets/d/1Lhp9OU0JdFf_VYSMzH5lBcEaU4o8teT1piV-SNzShjg/edit?gid=554141278#gid=554141278"", ""'Char Def. - Attributes'!C20:C2242""), 1,false)"),"HS_CODE")</f>
        <v>HS_CODE</v>
      </c>
      <c r="I1769" s="136"/>
    </row>
    <row r="1770" ht="15.75" customHeight="1">
      <c r="A1770" s="59"/>
      <c r="B1770" s="63">
        <f t="shared" si="1"/>
        <v>12</v>
      </c>
      <c r="C1770" s="134" t="s">
        <v>127</v>
      </c>
      <c r="D1770" s="134" t="s">
        <v>74</v>
      </c>
      <c r="E1770" s="135">
        <f t="shared" si="39"/>
        <v>27</v>
      </c>
      <c r="F1770" s="134" t="s">
        <v>3621</v>
      </c>
      <c r="G1770" s="63" t="str">
        <f>VLOOKUP(C1770, 'Class Def. - General Data'!$C$20:$C$1000,1,false)</f>
        <v>ZFG1_NOODLES</v>
      </c>
      <c r="H1770" s="63" t="str">
        <f>IFERROR(__xludf.DUMMYFUNCTION("VLOOKUP(F1770, IMPORTRANGE(""https://docs.google.com/spreadsheets/d/1Lhp9OU0JdFf_VYSMzH5lBcEaU4o8teT1piV-SNzShjg/edit?gid=554141278#gid=554141278"", ""'Char Def. - Attributes'!C20:C2242""), 1,false)"),"EAN_PCS")</f>
        <v>EAN_PCS</v>
      </c>
      <c r="I1770" s="136"/>
    </row>
    <row r="1771" ht="15.75" customHeight="1">
      <c r="A1771" s="59"/>
      <c r="B1771" s="63">
        <f t="shared" si="1"/>
        <v>12</v>
      </c>
      <c r="C1771" s="134" t="s">
        <v>127</v>
      </c>
      <c r="D1771" s="134" t="s">
        <v>74</v>
      </c>
      <c r="E1771" s="135">
        <f t="shared" si="39"/>
        <v>28</v>
      </c>
      <c r="F1771" s="134" t="s">
        <v>3622</v>
      </c>
      <c r="G1771" s="63" t="str">
        <f>VLOOKUP(C1771, 'Class Def. - General Data'!$C$20:$C$1000,1,false)</f>
        <v>ZFG1_NOODLES</v>
      </c>
      <c r="H1771" s="63" t="str">
        <f>IFERROR(__xludf.DUMMYFUNCTION("VLOOKUP(F1771, IMPORTRANGE(""https://docs.google.com/spreadsheets/d/1Lhp9OU0JdFf_VYSMzH5lBcEaU4o8teT1piV-SNzShjg/edit?gid=554141278#gid=554141278"", ""'Char Def. - Attributes'!C20:C2242""), 1,false)"),"SFG_BRAND")</f>
        <v>SFG_BRAND</v>
      </c>
      <c r="I1771" s="136"/>
    </row>
    <row r="1772" ht="15.75" customHeight="1">
      <c r="A1772" s="59"/>
      <c r="B1772" s="63">
        <f t="shared" si="1"/>
        <v>12</v>
      </c>
      <c r="C1772" s="134" t="s">
        <v>127</v>
      </c>
      <c r="D1772" s="134" t="s">
        <v>74</v>
      </c>
      <c r="E1772" s="135">
        <f t="shared" si="39"/>
        <v>29</v>
      </c>
      <c r="F1772" s="134" t="s">
        <v>3623</v>
      </c>
      <c r="G1772" s="63" t="str">
        <f>VLOOKUP(C1772, 'Class Def. - General Data'!$C$20:$C$1000,1,false)</f>
        <v>ZFG1_NOODLES</v>
      </c>
      <c r="H1772" s="63" t="str">
        <f>IFERROR(__xludf.DUMMYFUNCTION("VLOOKUP(F1772, IMPORTRANGE(""https://docs.google.com/spreadsheets/d/1Lhp9OU0JdFf_VYSMzH5lBcEaU4o8teT1piV-SNzShjg/edit?gid=554141278#gid=554141278"", ""'Char Def. - Attributes'!C20:C2242""), 1,false)"),"LANGUAGE")</f>
        <v>LANGUAGE</v>
      </c>
      <c r="I1772" s="136"/>
    </row>
    <row r="1773" ht="15.75" customHeight="1">
      <c r="A1773" s="59"/>
      <c r="B1773" s="63">
        <f t="shared" si="1"/>
        <v>12</v>
      </c>
      <c r="C1773" s="139" t="s">
        <v>127</v>
      </c>
      <c r="D1773" s="139" t="s">
        <v>74</v>
      </c>
      <c r="E1773" s="140">
        <f t="shared" si="39"/>
        <v>30</v>
      </c>
      <c r="F1773" s="134" t="s">
        <v>3624</v>
      </c>
      <c r="G1773" s="63" t="str">
        <f>VLOOKUP(C1773, 'Class Def. - General Data'!$C$20:$C$1000,1,false)</f>
        <v>ZFG1_NOODLES</v>
      </c>
      <c r="H1773" s="63" t="str">
        <f>IFERROR(__xludf.DUMMYFUNCTION("VLOOKUP(F1773, IMPORTRANGE(""https://docs.google.com/spreadsheets/d/1Lhp9OU0JdFf_VYSMzH5lBcEaU4o8teT1piV-SNzShjg/edit?gid=554141278#gid=554141278"", ""'Char Def. - Attributes'!C20:C2242""), 1,false)"),"#N/A")</f>
        <v>#N/A</v>
      </c>
      <c r="I1773" s="136"/>
    </row>
    <row r="1774" ht="15.75" customHeight="1">
      <c r="A1774" s="59"/>
      <c r="B1774" s="63">
        <f t="shared" si="1"/>
        <v>12</v>
      </c>
      <c r="C1774" s="134" t="s">
        <v>127</v>
      </c>
      <c r="D1774" s="134" t="s">
        <v>74</v>
      </c>
      <c r="E1774" s="135">
        <f t="shared" si="39"/>
        <v>31</v>
      </c>
      <c r="F1774" s="134" t="s">
        <v>3625</v>
      </c>
      <c r="G1774" s="63" t="str">
        <f>VLOOKUP(C1774, 'Class Def. - General Data'!$C$20:$C$1000,1,false)</f>
        <v>ZFG1_NOODLES</v>
      </c>
      <c r="H1774" s="63" t="str">
        <f>IFERROR(__xludf.DUMMYFUNCTION("VLOOKUP(F1774, IMPORTRANGE(""https://docs.google.com/spreadsheets/d/1Lhp9OU0JdFf_VYSMzH5lBcEaU4o8teT1piV-SNzShjg/edit?gid=554141278#gid=554141278"", ""'Char Def. - Attributes'!C20:C2242""), 1,false)"),"REGION_EKSPOR")</f>
        <v>REGION_EKSPOR</v>
      </c>
      <c r="I1774" s="136"/>
    </row>
    <row r="1775" ht="15.75" customHeight="1">
      <c r="A1775" s="59"/>
      <c r="B1775" s="63">
        <f t="shared" si="1"/>
        <v>12</v>
      </c>
      <c r="C1775" s="134" t="s">
        <v>127</v>
      </c>
      <c r="D1775" s="134" t="s">
        <v>74</v>
      </c>
      <c r="E1775" s="135">
        <f t="shared" si="39"/>
        <v>32</v>
      </c>
      <c r="F1775" s="134" t="s">
        <v>3626</v>
      </c>
      <c r="G1775" s="63" t="str">
        <f>VLOOKUP(C1775, 'Class Def. - General Data'!$C$20:$C$1000,1,false)</f>
        <v>ZFG1_NOODLES</v>
      </c>
      <c r="H1775" s="63" t="str">
        <f>IFERROR(__xludf.DUMMYFUNCTION("VLOOKUP(F1775, IMPORTRANGE(""https://docs.google.com/spreadsheets/d/1Lhp9OU0JdFf_VYSMzH5lBcEaU4o8teT1piV-SNzShjg/edit?gid=554141278#gid=554141278"", ""'Char Def. - Attributes'!C20:C2242""), 1,false)"),"STICKER_NOT")</f>
        <v>STICKER_NOT</v>
      </c>
      <c r="I1775" s="136"/>
    </row>
    <row r="1776" ht="15.75" customHeight="1">
      <c r="A1776" s="59"/>
      <c r="B1776" s="63">
        <f t="shared" si="1"/>
        <v>12</v>
      </c>
      <c r="C1776" s="134" t="s">
        <v>127</v>
      </c>
      <c r="D1776" s="134" t="s">
        <v>74</v>
      </c>
      <c r="E1776" s="135">
        <f t="shared" si="39"/>
        <v>33</v>
      </c>
      <c r="F1776" s="134" t="s">
        <v>3627</v>
      </c>
      <c r="G1776" s="63" t="str">
        <f>VLOOKUP(C1776, 'Class Def. - General Data'!$C$20:$C$1000,1,false)</f>
        <v>ZFG1_NOODLES</v>
      </c>
      <c r="H1776" s="63" t="str">
        <f>IFERROR(__xludf.DUMMYFUNCTION("VLOOKUP(F1776, IMPORTRANGE(""https://docs.google.com/spreadsheets/d/1Lhp9OU0JdFf_VYSMzH5lBcEaU4o8teT1piV-SNzShjg/edit?gid=554141278#gid=554141278"", ""'Char Def. - Attributes'!C20:C2242""), 1,false)"),"SHIP_MARK")</f>
        <v>SHIP_MARK</v>
      </c>
      <c r="I1776" s="136"/>
    </row>
    <row r="1777" ht="15.75" customHeight="1">
      <c r="A1777" s="59"/>
      <c r="B1777" s="63">
        <f t="shared" si="1"/>
        <v>12</v>
      </c>
      <c r="C1777" s="134" t="s">
        <v>127</v>
      </c>
      <c r="D1777" s="134" t="s">
        <v>74</v>
      </c>
      <c r="E1777" s="135">
        <f t="shared" si="39"/>
        <v>34</v>
      </c>
      <c r="F1777" s="134" t="s">
        <v>3628</v>
      </c>
      <c r="G1777" s="63" t="str">
        <f>VLOOKUP(C1777, 'Class Def. - General Data'!$C$20:$C$1000,1,false)</f>
        <v>ZFG1_NOODLES</v>
      </c>
      <c r="H1777" s="63" t="str">
        <f>IFERROR(__xludf.DUMMYFUNCTION("VLOOKUP(F1777, IMPORTRANGE(""https://docs.google.com/spreadsheets/d/1Lhp9OU0JdFf_VYSMzH5lBcEaU4o8teT1piV-SNzShjg/edit?gid=554141278#gid=554141278"", ""'Char Def. - Attributes'!C20:C2242""), 1,false)"),"MID_CORE")</f>
        <v>MID_CORE</v>
      </c>
      <c r="I1777" s="136"/>
    </row>
    <row r="1778" ht="15.75" customHeight="1">
      <c r="A1778" s="59"/>
      <c r="B1778" s="63">
        <f t="shared" si="1"/>
        <v>12</v>
      </c>
      <c r="C1778" s="134" t="s">
        <v>127</v>
      </c>
      <c r="D1778" s="134" t="s">
        <v>74</v>
      </c>
      <c r="E1778" s="135">
        <f t="shared" si="39"/>
        <v>35</v>
      </c>
      <c r="F1778" s="134" t="s">
        <v>3629</v>
      </c>
      <c r="G1778" s="63" t="str">
        <f>VLOOKUP(C1778, 'Class Def. - General Data'!$C$20:$C$1000,1,false)</f>
        <v>ZFG1_NOODLES</v>
      </c>
      <c r="H1778" s="63" t="str">
        <f>IFERROR(__xludf.DUMMYFUNCTION("VLOOKUP(F1778, IMPORTRANGE(""https://docs.google.com/spreadsheets/d/1Lhp9OU0JdFf_VYSMzH5lBcEaU4o8teT1piV-SNzShjg/edit?gid=554141278#gid=554141278"", ""'Char Def. - Attributes'!C20:C2242""), 1,false)"),"EAN_CTN")</f>
        <v>EAN_CTN</v>
      </c>
      <c r="I1778" s="136"/>
    </row>
    <row r="1779" ht="15.75" customHeight="1">
      <c r="A1779" s="59"/>
      <c r="B1779" s="63">
        <f t="shared" si="1"/>
        <v>12</v>
      </c>
      <c r="C1779" s="134" t="s">
        <v>127</v>
      </c>
      <c r="D1779" s="134" t="s">
        <v>74</v>
      </c>
      <c r="E1779" s="135">
        <f t="shared" si="39"/>
        <v>36</v>
      </c>
      <c r="F1779" s="134" t="s">
        <v>3630</v>
      </c>
      <c r="G1779" s="63" t="str">
        <f>VLOOKUP(C1779, 'Class Def. - General Data'!$C$20:$C$1000,1,false)</f>
        <v>ZFG1_NOODLES</v>
      </c>
      <c r="H1779" s="63" t="str">
        <f>IFERROR(__xludf.DUMMYFUNCTION("VLOOKUP(F1779, IMPORTRANGE(""https://docs.google.com/spreadsheets/d/1Lhp9OU0JdFf_VYSMzH5lBcEaU4o8teT1piV-SNzShjg/edit?gid=554141278#gid=554141278"", ""'Char Def. - Attributes'!C20:C2242""), 1,false)"),"EAN_BOX")</f>
        <v>EAN_BOX</v>
      </c>
      <c r="I1779" s="136"/>
    </row>
    <row r="1780" ht="15.75" customHeight="1">
      <c r="A1780" s="59"/>
      <c r="B1780" s="63">
        <f t="shared" si="1"/>
        <v>12</v>
      </c>
      <c r="C1780" s="134" t="s">
        <v>127</v>
      </c>
      <c r="D1780" s="141" t="s">
        <v>74</v>
      </c>
      <c r="E1780" s="135">
        <v>22.0</v>
      </c>
      <c r="F1780" s="135" t="s">
        <v>3603</v>
      </c>
      <c r="G1780" s="63" t="str">
        <f>VLOOKUP(C1780, 'Class Def. - General Data'!$C$20:$C$1000,1,false)</f>
        <v>ZFG1_NOODLES</v>
      </c>
      <c r="I1780" s="136"/>
    </row>
    <row r="1781" ht="15.75" customHeight="1">
      <c r="A1781" s="59"/>
      <c r="B1781" s="63">
        <f t="shared" si="1"/>
        <v>17</v>
      </c>
      <c r="C1781" s="75" t="s">
        <v>557</v>
      </c>
      <c r="D1781" s="134" t="s">
        <v>74</v>
      </c>
      <c r="E1781" s="135">
        <f t="shared" ref="E1781:E1816" si="40">COUNTIF($C$20:C1781,C1781)</f>
        <v>1</v>
      </c>
      <c r="F1781" s="134" t="str">
        <f>"BRAND_"&amp;MID(C1781,6,20)</f>
        <v>BRAND_ODORABSORBER</v>
      </c>
      <c r="G1781" s="63" t="str">
        <f>VLOOKUP(C1781, 'Class Def. - General Data'!$C$20:$C$1000,1,false)</f>
        <v>ZFG1_ODORABSORBER</v>
      </c>
      <c r="H1781" s="63" t="str">
        <f>IFERROR(__xludf.DUMMYFUNCTION("VLOOKUP(F1781, IMPORTRANGE(""https://docs.google.com/spreadsheets/d/1Lhp9OU0JdFf_VYSMzH5lBcEaU4o8teT1piV-SNzShjg/edit?gid=554141278#gid=554141278"", ""'Char Def. - Attributes'!C20:C2242""), 1,false)"),"BRAND_ODORABSORBER")</f>
        <v>BRAND_ODORABSORBER</v>
      </c>
      <c r="I1781" s="136"/>
    </row>
    <row r="1782" ht="15.75" customHeight="1">
      <c r="A1782" s="59"/>
      <c r="B1782" s="63">
        <f t="shared" si="1"/>
        <v>17</v>
      </c>
      <c r="C1782" s="75" t="s">
        <v>557</v>
      </c>
      <c r="D1782" s="134" t="s">
        <v>74</v>
      </c>
      <c r="E1782" s="135">
        <f t="shared" si="40"/>
        <v>2</v>
      </c>
      <c r="F1782" s="134" t="s">
        <v>3726</v>
      </c>
      <c r="G1782" s="63" t="str">
        <f>VLOOKUP(C1782, 'Class Def. - General Data'!$C$20:$C$1000,1,false)</f>
        <v>ZFG1_ODORABSORBER</v>
      </c>
      <c r="H1782" s="63" t="str">
        <f>IFERROR(__xludf.DUMMYFUNCTION("VLOOKUP(F1782, IMPORTRANGE(""https://docs.google.com/spreadsheets/d/1Lhp9OU0JdFf_VYSMzH5lBcEaU4o8teT1piV-SNzShjg/edit?gid=554141278#gid=554141278"", ""'Char Def. - Attributes'!C20:C2242""), 1,false)"),"#N/A")</f>
        <v>#N/A</v>
      </c>
      <c r="I1782" s="136"/>
    </row>
    <row r="1783" ht="15.75" customHeight="1">
      <c r="A1783" s="59"/>
      <c r="B1783" s="63">
        <f t="shared" si="1"/>
        <v>17</v>
      </c>
      <c r="C1783" s="75" t="s">
        <v>557</v>
      </c>
      <c r="D1783" s="134" t="s">
        <v>74</v>
      </c>
      <c r="E1783" s="135">
        <f t="shared" si="40"/>
        <v>3</v>
      </c>
      <c r="F1783" s="134" t="s">
        <v>3605</v>
      </c>
      <c r="G1783" s="63" t="str">
        <f>VLOOKUP(C1783, 'Class Def. - General Data'!$C$20:$C$1000,1,false)</f>
        <v>ZFG1_ODORABSORBER</v>
      </c>
      <c r="H1783" s="63" t="str">
        <f>IFERROR(__xludf.DUMMYFUNCTION("VLOOKUP(F1783, IMPORTRANGE(""https://docs.google.com/spreadsheets/d/1Lhp9OU0JdFf_VYSMzH5lBcEaU4o8teT1piV-SNzShjg/edit?gid=554141278#gid=554141278"", ""'Char Def. - Attributes'!C20:C2242""), 1,false)"),"PACK_NETTO")</f>
        <v>PACK_NETTO</v>
      </c>
      <c r="I1783" s="136"/>
    </row>
    <row r="1784" ht="15.75" customHeight="1">
      <c r="A1784" s="59"/>
      <c r="B1784" s="63">
        <f t="shared" si="1"/>
        <v>17</v>
      </c>
      <c r="C1784" s="75" t="s">
        <v>557</v>
      </c>
      <c r="D1784" s="134" t="s">
        <v>74</v>
      </c>
      <c r="E1784" s="135">
        <f t="shared" si="40"/>
        <v>4</v>
      </c>
      <c r="F1784" s="134" t="s">
        <v>3727</v>
      </c>
      <c r="G1784" s="63" t="str">
        <f>VLOOKUP(C1784, 'Class Def. - General Data'!$C$20:$C$1000,1,false)</f>
        <v>ZFG1_ODORABSORBER</v>
      </c>
      <c r="H1784" s="63" t="str">
        <f>IFERROR(__xludf.DUMMYFUNCTION("VLOOKUP(F1784, IMPORTRANGE(""https://docs.google.com/spreadsheets/d/1Lhp9OU0JdFf_VYSMzH5lBcEaU4o8teT1piV-SNzShjg/edit?gid=554141278#gid=554141278"", ""'Char Def. - Attributes'!C20:C2242""), 1,false)"),"#N/A")</f>
        <v>#N/A</v>
      </c>
      <c r="I1784" s="136"/>
    </row>
    <row r="1785" ht="15.75" customHeight="1">
      <c r="A1785" s="59"/>
      <c r="B1785" s="63">
        <f t="shared" si="1"/>
        <v>17</v>
      </c>
      <c r="C1785" s="75" t="s">
        <v>557</v>
      </c>
      <c r="D1785" s="134" t="s">
        <v>74</v>
      </c>
      <c r="E1785" s="135">
        <f t="shared" si="40"/>
        <v>5</v>
      </c>
      <c r="F1785" s="134" t="s">
        <v>3607</v>
      </c>
      <c r="G1785" s="63" t="str">
        <f>VLOOKUP(C1785, 'Class Def. - General Data'!$C$20:$C$1000,1,false)</f>
        <v>ZFG1_ODORABSORBER</v>
      </c>
      <c r="H1785" s="63" t="str">
        <f>IFERROR(__xludf.DUMMYFUNCTION("VLOOKUP(F1785, IMPORTRANGE(""https://docs.google.com/spreadsheets/d/1Lhp9OU0JdFf_VYSMzH5lBcEaU4o8teT1piV-SNzShjg/edit?gid=554141278#gid=554141278"", ""'Char Def. - Attributes'!C20:C2242""), 1,false)"),"VARIAN")</f>
        <v>VARIAN</v>
      </c>
      <c r="I1785" s="136"/>
    </row>
    <row r="1786" ht="15.75" customHeight="1">
      <c r="A1786" s="59"/>
      <c r="B1786" s="63">
        <f t="shared" si="1"/>
        <v>17</v>
      </c>
      <c r="C1786" s="75" t="s">
        <v>557</v>
      </c>
      <c r="D1786" s="134" t="s">
        <v>74</v>
      </c>
      <c r="E1786" s="135">
        <f t="shared" si="40"/>
        <v>6</v>
      </c>
      <c r="F1786" s="134" t="s">
        <v>3608</v>
      </c>
      <c r="G1786" s="63" t="str">
        <f>VLOOKUP(C1786, 'Class Def. - General Data'!$C$20:$C$1000,1,false)</f>
        <v>ZFG1_ODORABSORBER</v>
      </c>
      <c r="H1786" s="63" t="str">
        <f>IFERROR(__xludf.DUMMYFUNCTION("VLOOKUP(F1786, IMPORTRANGE(""https://docs.google.com/spreadsheets/d/1Lhp9OU0JdFf_VYSMzH5lBcEaU4o8teT1piV-SNzShjg/edit?gid=554141278#gid=554141278"", ""'Char Def. - Attributes'!C20:C2242""), 1,false)"),"PROJECT_NAME")</f>
        <v>PROJECT_NAME</v>
      </c>
      <c r="I1786" s="136"/>
    </row>
    <row r="1787" ht="15.75" customHeight="1">
      <c r="A1787" s="59"/>
      <c r="B1787" s="63">
        <f t="shared" si="1"/>
        <v>17</v>
      </c>
      <c r="C1787" s="75" t="s">
        <v>557</v>
      </c>
      <c r="D1787" s="134" t="s">
        <v>74</v>
      </c>
      <c r="E1787" s="135">
        <f t="shared" si="40"/>
        <v>7</v>
      </c>
      <c r="F1787" s="134" t="s">
        <v>3609</v>
      </c>
      <c r="G1787" s="63" t="str">
        <f>VLOOKUP(C1787, 'Class Def. - General Data'!$C$20:$C$1000,1,false)</f>
        <v>ZFG1_ODORABSORBER</v>
      </c>
      <c r="H1787" s="63" t="str">
        <f>IFERROR(__xludf.DUMMYFUNCTION("VLOOKUP(F1787, IMPORTRANGE(""https://docs.google.com/spreadsheets/d/1Lhp9OU0JdFf_VYSMzH5lBcEaU4o8teT1piV-SNzShjg/edit?gid=554141278#gid=554141278"", ""'Char Def. - Attributes'!C20:C2242""), 1,false)"),"ADDITIONAL_PROMO")</f>
        <v>ADDITIONAL_PROMO</v>
      </c>
      <c r="I1787" s="136"/>
    </row>
    <row r="1788" ht="15.75" customHeight="1">
      <c r="A1788" s="59"/>
      <c r="B1788" s="63">
        <f t="shared" si="1"/>
        <v>17</v>
      </c>
      <c r="C1788" s="75" t="s">
        <v>557</v>
      </c>
      <c r="D1788" s="134" t="s">
        <v>74</v>
      </c>
      <c r="E1788" s="135">
        <f t="shared" si="40"/>
        <v>8</v>
      </c>
      <c r="F1788" s="134" t="s">
        <v>3610</v>
      </c>
      <c r="G1788" s="63" t="str">
        <f>VLOOKUP(C1788, 'Class Def. - General Data'!$C$20:$C$1000,1,false)</f>
        <v>ZFG1_ODORABSORBER</v>
      </c>
      <c r="H1788" s="63" t="str">
        <f>IFERROR(__xludf.DUMMYFUNCTION("VLOOKUP(F1788, IMPORTRANGE(""https://docs.google.com/spreadsheets/d/1Lhp9OU0JdFf_VYSMzH5lBcEaU4o8teT1piV-SNzShjg/edit?gid=554141278#gid=554141278"", ""'Char Def. - Attributes'!C20:C2242""), 1,false)"),"BANDED_PROMO")</f>
        <v>BANDED_PROMO</v>
      </c>
      <c r="I1788" s="136"/>
    </row>
    <row r="1789" ht="15.75" customHeight="1">
      <c r="A1789" s="59"/>
      <c r="B1789" s="63">
        <f t="shared" si="1"/>
        <v>17</v>
      </c>
      <c r="C1789" s="75" t="s">
        <v>557</v>
      </c>
      <c r="D1789" s="134" t="s">
        <v>74</v>
      </c>
      <c r="E1789" s="135">
        <f t="shared" si="40"/>
        <v>9</v>
      </c>
      <c r="F1789" s="134" t="s">
        <v>3611</v>
      </c>
      <c r="G1789" s="63" t="str">
        <f>VLOOKUP(C1789, 'Class Def. - General Data'!$C$20:$C$1000,1,false)</f>
        <v>ZFG1_ODORABSORBER</v>
      </c>
      <c r="H1789" s="63" t="str">
        <f>IFERROR(__xludf.DUMMYFUNCTION("VLOOKUP(F1789, IMPORTRANGE(""https://docs.google.com/spreadsheets/d/1Lhp9OU0JdFf_VYSMzH5lBcEaU4o8teT1piV-SNzShjg/edit?gid=554141278#gid=554141278"", ""'Char Def. - Attributes'!C20:C2242""), 1,false)"),"LOKAL_EKSPOR")</f>
        <v>LOKAL_EKSPOR</v>
      </c>
      <c r="I1789" s="136"/>
    </row>
    <row r="1790" ht="15.75" customHeight="1">
      <c r="A1790" s="59"/>
      <c r="B1790" s="63">
        <f t="shared" si="1"/>
        <v>17</v>
      </c>
      <c r="C1790" s="75" t="s">
        <v>557</v>
      </c>
      <c r="D1790" s="134" t="s">
        <v>74</v>
      </c>
      <c r="E1790" s="135">
        <f t="shared" si="40"/>
        <v>10</v>
      </c>
      <c r="F1790" s="134" t="s">
        <v>3612</v>
      </c>
      <c r="G1790" s="63" t="str">
        <f>VLOOKUP(C1790, 'Class Def. - General Data'!$C$20:$C$1000,1,false)</f>
        <v>ZFG1_ODORABSORBER</v>
      </c>
      <c r="H1790" s="63" t="str">
        <f>IFERROR(__xludf.DUMMYFUNCTION("VLOOKUP(F1790, IMPORTRANGE(""https://docs.google.com/spreadsheets/d/1Lhp9OU0JdFf_VYSMzH5lBcEaU4o8teT1piV-SNzShjg/edit?gid=554141278#gid=554141278"", ""'Char Def. - Attributes'!C20:C2242""), 1,false)"),"COUNTRY_EKSPOR")</f>
        <v>COUNTRY_EKSPOR</v>
      </c>
      <c r="I1790" s="136"/>
    </row>
    <row r="1791" ht="15.75" customHeight="1">
      <c r="A1791" s="59"/>
      <c r="B1791" s="63">
        <f t="shared" si="1"/>
        <v>17</v>
      </c>
      <c r="C1791" s="75" t="s">
        <v>557</v>
      </c>
      <c r="D1791" s="134" t="s">
        <v>74</v>
      </c>
      <c r="E1791" s="135">
        <f t="shared" si="40"/>
        <v>11</v>
      </c>
      <c r="F1791" s="134" t="s">
        <v>3613</v>
      </c>
      <c r="G1791" s="63" t="str">
        <f>VLOOKUP(C1791, 'Class Def. - General Data'!$C$20:$C$1000,1,false)</f>
        <v>ZFG1_ODORABSORBER</v>
      </c>
      <c r="H1791" s="63" t="str">
        <f>IFERROR(__xludf.DUMMYFUNCTION("VLOOKUP(F1791, IMPORTRANGE(""https://docs.google.com/spreadsheets/d/1Lhp9OU0JdFf_VYSMzH5lBcEaU4o8teT1piV-SNzShjg/edit?gid=554141278#gid=554141278"", ""'Char Def. - Attributes'!C20:C2242""), 1,false)"),"WARNA_SFG")</f>
        <v>WARNA_SFG</v>
      </c>
      <c r="I1791" s="136"/>
    </row>
    <row r="1792" ht="15.75" customHeight="1">
      <c r="A1792" s="59"/>
      <c r="B1792" s="63">
        <f t="shared" si="1"/>
        <v>17</v>
      </c>
      <c r="C1792" s="75" t="s">
        <v>557</v>
      </c>
      <c r="D1792" s="134" t="s">
        <v>74</v>
      </c>
      <c r="E1792" s="135">
        <f t="shared" si="40"/>
        <v>12</v>
      </c>
      <c r="F1792" s="134" t="s">
        <v>3582</v>
      </c>
      <c r="G1792" s="63" t="str">
        <f>VLOOKUP(C1792, 'Class Def. - General Data'!$C$20:$C$1000,1,false)</f>
        <v>ZFG1_ODORABSORBER</v>
      </c>
      <c r="H1792" s="63" t="str">
        <f>IFERROR(__xludf.DUMMYFUNCTION("VLOOKUP(F1792, IMPORTRANGE(""https://docs.google.com/spreadsheets/d/1Lhp9OU0JdFf_VYSMzH5lBcEaU4o8teT1piV-SNzShjg/edit?gid=554141278#gid=554141278"", ""'Char Def. - Attributes'!C20:C2242""), 1,false)"),"BASE_UNIT")</f>
        <v>BASE_UNIT</v>
      </c>
      <c r="I1792" s="136"/>
    </row>
    <row r="1793" ht="15.75" customHeight="1">
      <c r="A1793" s="59"/>
      <c r="B1793" s="63">
        <f t="shared" si="1"/>
        <v>17</v>
      </c>
      <c r="C1793" s="75" t="s">
        <v>557</v>
      </c>
      <c r="D1793" s="134" t="s">
        <v>74</v>
      </c>
      <c r="E1793" s="135">
        <f t="shared" si="40"/>
        <v>13</v>
      </c>
      <c r="F1793" s="134" t="s">
        <v>3583</v>
      </c>
      <c r="G1793" s="63" t="str">
        <f>VLOOKUP(C1793, 'Class Def. - General Data'!$C$20:$C$1000,1,false)</f>
        <v>ZFG1_ODORABSORBER</v>
      </c>
      <c r="H1793" s="63" t="str">
        <f>IFERROR(__xludf.DUMMYFUNCTION("VLOOKUP(F1793, IMPORTRANGE(""https://docs.google.com/spreadsheets/d/1Lhp9OU0JdFf_VYSMzH5lBcEaU4o8teT1piV-SNzShjg/edit?gid=554141278#gid=554141278"", ""'Char Def. - Attributes'!C20:C2242""), 1,false)"),"SALES_UNIT")</f>
        <v>SALES_UNIT</v>
      </c>
      <c r="I1793" s="136"/>
    </row>
    <row r="1794" ht="15.75" customHeight="1">
      <c r="A1794" s="59"/>
      <c r="B1794" s="63">
        <f t="shared" si="1"/>
        <v>17</v>
      </c>
      <c r="C1794" s="75" t="s">
        <v>557</v>
      </c>
      <c r="D1794" s="134" t="s">
        <v>74</v>
      </c>
      <c r="E1794" s="135">
        <f t="shared" si="40"/>
        <v>14</v>
      </c>
      <c r="F1794" s="134" t="s">
        <v>3601</v>
      </c>
      <c r="G1794" s="63" t="str">
        <f>VLOOKUP(C1794, 'Class Def. - General Data'!$C$20:$C$1000,1,false)</f>
        <v>ZFG1_ODORABSORBER</v>
      </c>
      <c r="H1794" s="63" t="str">
        <f>IFERROR(__xludf.DUMMYFUNCTION("VLOOKUP(F1794, IMPORTRANGE(""https://docs.google.com/spreadsheets/d/1Lhp9OU0JdFf_VYSMzH5lBcEaU4o8teT1piV-SNzShjg/edit?gid=554141278#gid=554141278"", ""'Char Def. - Attributes'!C20:C2242""), 1,false)"),"GROSS_WEIGHT")</f>
        <v>GROSS_WEIGHT</v>
      </c>
      <c r="I1794" s="136"/>
    </row>
    <row r="1795" ht="15.75" customHeight="1">
      <c r="A1795" s="59"/>
      <c r="B1795" s="63">
        <f t="shared" si="1"/>
        <v>17</v>
      </c>
      <c r="C1795" s="75" t="s">
        <v>557</v>
      </c>
      <c r="D1795" s="134" t="s">
        <v>74</v>
      </c>
      <c r="E1795" s="135">
        <f t="shared" si="40"/>
        <v>15</v>
      </c>
      <c r="F1795" s="134" t="s">
        <v>3602</v>
      </c>
      <c r="G1795" s="63" t="str">
        <f>VLOOKUP(C1795, 'Class Def. - General Data'!$C$20:$C$1000,1,false)</f>
        <v>ZFG1_ODORABSORBER</v>
      </c>
      <c r="H1795" s="63" t="str">
        <f>IFERROR(__xludf.DUMMYFUNCTION("VLOOKUP(F1795, IMPORTRANGE(""https://docs.google.com/spreadsheets/d/1Lhp9OU0JdFf_VYSMzH5lBcEaU4o8teT1piV-SNzShjg/edit?gid=554141278#gid=554141278"", ""'Char Def. - Attributes'!C20:C2242""), 1,false)"),"NET_WEIGHT")</f>
        <v>NET_WEIGHT</v>
      </c>
      <c r="I1795" s="136"/>
    </row>
    <row r="1796" ht="15.75" customHeight="1">
      <c r="A1796" s="59"/>
      <c r="B1796" s="63">
        <f t="shared" si="1"/>
        <v>17</v>
      </c>
      <c r="C1796" s="75" t="s">
        <v>557</v>
      </c>
      <c r="D1796" s="134" t="s">
        <v>74</v>
      </c>
      <c r="E1796" s="135">
        <f t="shared" si="40"/>
        <v>16</v>
      </c>
      <c r="F1796" s="134" t="s">
        <v>3584</v>
      </c>
      <c r="G1796" s="63" t="str">
        <f>VLOOKUP(C1796, 'Class Def. - General Data'!$C$20:$C$1000,1,false)</f>
        <v>ZFG1_ODORABSORBER</v>
      </c>
      <c r="H1796" s="63" t="str">
        <f>IFERROR(__xludf.DUMMYFUNCTION("VLOOKUP(F1796, IMPORTRANGE(""https://docs.google.com/spreadsheets/d/1Lhp9OU0JdFf_VYSMzH5lBcEaU4o8teT1piV-SNzShjg/edit?gid=554141278#gid=554141278"", ""'Char Def. - Attributes'!C20:C2242""), 1,false)"),"UNIT_PER_BOX")</f>
        <v>UNIT_PER_BOX</v>
      </c>
      <c r="I1796" s="136"/>
    </row>
    <row r="1797" ht="15.75" customHeight="1">
      <c r="A1797" s="59"/>
      <c r="B1797" s="63">
        <f t="shared" si="1"/>
        <v>17</v>
      </c>
      <c r="C1797" s="75" t="s">
        <v>557</v>
      </c>
      <c r="D1797" s="134" t="s">
        <v>74</v>
      </c>
      <c r="E1797" s="135">
        <f t="shared" si="40"/>
        <v>17</v>
      </c>
      <c r="F1797" s="134" t="s">
        <v>3614</v>
      </c>
      <c r="G1797" s="63" t="str">
        <f>VLOOKUP(C1797, 'Class Def. - General Data'!$C$20:$C$1000,1,false)</f>
        <v>ZFG1_ODORABSORBER</v>
      </c>
      <c r="H1797" s="63" t="str">
        <f>IFERROR(__xludf.DUMMYFUNCTION("VLOOKUP(F1797, IMPORTRANGE(""https://docs.google.com/spreadsheets/d/1Lhp9OU0JdFf_VYSMzH5lBcEaU4o8teT1piV-SNzShjg/edit?gid=554141278#gid=554141278"", ""'Char Def. - Attributes'!C20:C2242""), 1,false)"),"UNIT_PER_CTN")</f>
        <v>UNIT_PER_CTN</v>
      </c>
      <c r="I1797" s="136"/>
    </row>
    <row r="1798" ht="15.75" customHeight="1">
      <c r="A1798" s="59"/>
      <c r="B1798" s="63">
        <f t="shared" si="1"/>
        <v>17</v>
      </c>
      <c r="C1798" s="75" t="s">
        <v>557</v>
      </c>
      <c r="D1798" s="134" t="s">
        <v>74</v>
      </c>
      <c r="E1798" s="135">
        <f t="shared" si="40"/>
        <v>18</v>
      </c>
      <c r="F1798" s="134" t="s">
        <v>3615</v>
      </c>
      <c r="G1798" s="63" t="str">
        <f>VLOOKUP(C1798, 'Class Def. - General Data'!$C$20:$C$1000,1,false)</f>
        <v>ZFG1_ODORABSORBER</v>
      </c>
      <c r="H1798" s="63" t="str">
        <f>IFERROR(__xludf.DUMMYFUNCTION("VLOOKUP(F1798, IMPORTRANGE(""https://docs.google.com/spreadsheets/d/1Lhp9OU0JdFf_VYSMzH5lBcEaU4o8teT1piV-SNzShjg/edit?gid=554141278#gid=554141278"", ""'Char Def. - Attributes'!C20:C2242""), 1,false)"),"UNIT_PER_BAG")</f>
        <v>UNIT_PER_BAG</v>
      </c>
      <c r="I1798" s="136"/>
    </row>
    <row r="1799" ht="15.75" customHeight="1">
      <c r="A1799" s="59"/>
      <c r="B1799" s="63">
        <f t="shared" si="1"/>
        <v>17</v>
      </c>
      <c r="C1799" s="75" t="s">
        <v>557</v>
      </c>
      <c r="D1799" s="134" t="s">
        <v>74</v>
      </c>
      <c r="E1799" s="135">
        <f t="shared" si="40"/>
        <v>19</v>
      </c>
      <c r="F1799" s="134" t="s">
        <v>3616</v>
      </c>
      <c r="G1799" s="63" t="str">
        <f>VLOOKUP(C1799, 'Class Def. - General Data'!$C$20:$C$1000,1,false)</f>
        <v>ZFG1_ODORABSORBER</v>
      </c>
      <c r="H1799" s="63" t="str">
        <f>IFERROR(__xludf.DUMMYFUNCTION("VLOOKUP(F1799, IMPORTRANGE(""https://docs.google.com/spreadsheets/d/1Lhp9OU0JdFf_VYSMzH5lBcEaU4o8teT1piV-SNzShjg/edit?gid=554141278#gid=554141278"", ""'Char Def. - Attributes'!C20:C2242""), 1,false)"),"UNIT_PER_PAL")</f>
        <v>UNIT_PER_PAL</v>
      </c>
      <c r="I1799" s="136"/>
    </row>
    <row r="1800" ht="15.75" customHeight="1">
      <c r="A1800" s="59"/>
      <c r="B1800" s="63">
        <f t="shared" si="1"/>
        <v>17</v>
      </c>
      <c r="C1800" s="75" t="s">
        <v>557</v>
      </c>
      <c r="D1800" s="134" t="s">
        <v>74</v>
      </c>
      <c r="E1800" s="135">
        <f t="shared" si="40"/>
        <v>20</v>
      </c>
      <c r="F1800" s="134" t="s">
        <v>3617</v>
      </c>
      <c r="G1800" s="63" t="str">
        <f>VLOOKUP(C1800, 'Class Def. - General Data'!$C$20:$C$1000,1,false)</f>
        <v>ZFG1_ODORABSORBER</v>
      </c>
      <c r="H1800" s="63" t="str">
        <f>IFERROR(__xludf.DUMMYFUNCTION("VLOOKUP(F1800, IMPORTRANGE(""https://docs.google.com/spreadsheets/d/1Lhp9OU0JdFf_VYSMzH5lBcEaU4o8teT1piV-SNzShjg/edit?gid=554141278#gid=554141278"", ""'Char Def. - Attributes'!C20:C2242""), 1,false)"),"UNIT_PER_TIER")</f>
        <v>UNIT_PER_TIER</v>
      </c>
      <c r="I1800" s="136"/>
    </row>
    <row r="1801" ht="15.75" customHeight="1">
      <c r="A1801" s="59"/>
      <c r="B1801" s="63">
        <f t="shared" si="1"/>
        <v>17</v>
      </c>
      <c r="C1801" s="75" t="s">
        <v>557</v>
      </c>
      <c r="D1801" s="134" t="s">
        <v>74</v>
      </c>
      <c r="E1801" s="135">
        <f t="shared" si="40"/>
        <v>21</v>
      </c>
      <c r="F1801" s="134" t="s">
        <v>3618</v>
      </c>
      <c r="G1801" s="63" t="str">
        <f>VLOOKUP(C1801, 'Class Def. - General Data'!$C$20:$C$1000,1,false)</f>
        <v>ZFG1_ODORABSORBER</v>
      </c>
      <c r="H1801" s="63" t="str">
        <f>IFERROR(__xludf.DUMMYFUNCTION("VLOOKUP(F1801, IMPORTRANGE(""https://docs.google.com/spreadsheets/d/1Lhp9OU0JdFf_VYSMzH5lBcEaU4o8teT1piV-SNzShjg/edit?gid=554141278#gid=554141278"", ""'Char Def. - Attributes'!C20:C2242""), 1,false)"),"HEIGHT")</f>
        <v>HEIGHT</v>
      </c>
      <c r="I1801" s="136"/>
    </row>
    <row r="1802" ht="15.75" customHeight="1">
      <c r="A1802" s="59"/>
      <c r="B1802" s="63">
        <f t="shared" si="1"/>
        <v>17</v>
      </c>
      <c r="C1802" s="75" t="s">
        <v>557</v>
      </c>
      <c r="D1802" s="134" t="s">
        <v>74</v>
      </c>
      <c r="E1802" s="135">
        <f t="shared" si="40"/>
        <v>22</v>
      </c>
      <c r="F1802" s="134" t="s">
        <v>3587</v>
      </c>
      <c r="G1802" s="63" t="str">
        <f>VLOOKUP(C1802, 'Class Def. - General Data'!$C$20:$C$1000,1,false)</f>
        <v>ZFG1_ODORABSORBER</v>
      </c>
      <c r="H1802" s="63" t="str">
        <f>IFERROR(__xludf.DUMMYFUNCTION("VLOOKUP(F1802, IMPORTRANGE(""https://docs.google.com/spreadsheets/d/1Lhp9OU0JdFf_VYSMzH5lBcEaU4o8teT1piV-SNzShjg/edit?gid=554141278#gid=554141278"", ""'Char Def. - Attributes'!C20:C2242""), 1,false)"),"PLANT_BUY")</f>
        <v>PLANT_BUY</v>
      </c>
      <c r="I1802" s="136"/>
    </row>
    <row r="1803" ht="15.75" customHeight="1">
      <c r="A1803" s="59"/>
      <c r="B1803" s="63">
        <f t="shared" si="1"/>
        <v>17</v>
      </c>
      <c r="C1803" s="75" t="s">
        <v>557</v>
      </c>
      <c r="D1803" s="134" t="s">
        <v>74</v>
      </c>
      <c r="E1803" s="135">
        <f t="shared" si="40"/>
        <v>23</v>
      </c>
      <c r="F1803" s="134" t="s">
        <v>3619</v>
      </c>
      <c r="G1803" s="63" t="str">
        <f>VLOOKUP(C1803, 'Class Def. - General Data'!$C$20:$C$1000,1,false)</f>
        <v>ZFG1_ODORABSORBER</v>
      </c>
      <c r="H1803" s="63" t="str">
        <f>IFERROR(__xludf.DUMMYFUNCTION("VLOOKUP(F1803, IMPORTRANGE(""https://docs.google.com/spreadsheets/d/1Lhp9OU0JdFf_VYSMzH5lBcEaU4o8teT1piV-SNzShjg/edit?gid=554141278#gid=554141278"", ""'Char Def. - Attributes'!C20:C2242""), 1,false)"),"LENGTH")</f>
        <v>LENGTH</v>
      </c>
      <c r="I1803" s="136"/>
    </row>
    <row r="1804" ht="15.75" customHeight="1">
      <c r="A1804" s="59"/>
      <c r="B1804" s="63">
        <f t="shared" si="1"/>
        <v>17</v>
      </c>
      <c r="C1804" s="75" t="s">
        <v>557</v>
      </c>
      <c r="D1804" s="134" t="s">
        <v>74</v>
      </c>
      <c r="E1804" s="135">
        <f t="shared" si="40"/>
        <v>24</v>
      </c>
      <c r="F1804" s="134" t="s">
        <v>3586</v>
      </c>
      <c r="G1804" s="63" t="str">
        <f>VLOOKUP(C1804, 'Class Def. - General Data'!$C$20:$C$1000,1,false)</f>
        <v>ZFG1_ODORABSORBER</v>
      </c>
      <c r="H1804" s="63" t="str">
        <f>IFERROR(__xludf.DUMMYFUNCTION("VLOOKUP(F1804, IMPORTRANGE(""https://docs.google.com/spreadsheets/d/1Lhp9OU0JdFf_VYSMzH5lBcEaU4o8teT1piV-SNzShjg/edit?gid=554141278#gid=554141278"", ""'Char Def. - Attributes'!C20:C2242""), 1,false)"),"PLANT_PROD")</f>
        <v>PLANT_PROD</v>
      </c>
      <c r="I1804" s="136"/>
    </row>
    <row r="1805" ht="15.75" customHeight="1">
      <c r="A1805" s="59"/>
      <c r="B1805" s="63">
        <f t="shared" si="1"/>
        <v>17</v>
      </c>
      <c r="C1805" s="75" t="s">
        <v>557</v>
      </c>
      <c r="D1805" s="134" t="s">
        <v>74</v>
      </c>
      <c r="E1805" s="135">
        <f t="shared" si="40"/>
        <v>25</v>
      </c>
      <c r="F1805" s="134" t="s">
        <v>3620</v>
      </c>
      <c r="G1805" s="63" t="str">
        <f>VLOOKUP(C1805, 'Class Def. - General Data'!$C$20:$C$1000,1,false)</f>
        <v>ZFG1_ODORABSORBER</v>
      </c>
      <c r="H1805" s="63" t="str">
        <f>IFERROR(__xludf.DUMMYFUNCTION("VLOOKUP(F1805, IMPORTRANGE(""https://docs.google.com/spreadsheets/d/1Lhp9OU0JdFf_VYSMzH5lBcEaU4o8teT1piV-SNzShjg/edit?gid=554141278#gid=554141278"", ""'Char Def. - Attributes'!C20:C2242""), 1,false)"),"WIDTH")</f>
        <v>WIDTH</v>
      </c>
      <c r="I1805" s="136"/>
    </row>
    <row r="1806" ht="15.75" customHeight="1">
      <c r="A1806" s="59"/>
      <c r="B1806" s="63">
        <f t="shared" si="1"/>
        <v>17</v>
      </c>
      <c r="C1806" s="75" t="s">
        <v>557</v>
      </c>
      <c r="D1806" s="134" t="s">
        <v>74</v>
      </c>
      <c r="E1806" s="135">
        <f t="shared" si="40"/>
        <v>26</v>
      </c>
      <c r="F1806" s="134" t="s">
        <v>3585</v>
      </c>
      <c r="G1806" s="63" t="str">
        <f>VLOOKUP(C1806, 'Class Def. - General Data'!$C$20:$C$1000,1,false)</f>
        <v>ZFG1_ODORABSORBER</v>
      </c>
      <c r="H1806" s="63" t="str">
        <f>IFERROR(__xludf.DUMMYFUNCTION("VLOOKUP(F1806, IMPORTRANGE(""https://docs.google.com/spreadsheets/d/1Lhp9OU0JdFf_VYSMzH5lBcEaU4o8teT1piV-SNzShjg/edit?gid=554141278#gid=554141278"", ""'Char Def. - Attributes'!C20:C2242""), 1,false)"),"HS_CODE")</f>
        <v>HS_CODE</v>
      </c>
      <c r="I1806" s="136"/>
    </row>
    <row r="1807" ht="15.75" customHeight="1">
      <c r="A1807" s="59"/>
      <c r="B1807" s="63">
        <f t="shared" si="1"/>
        <v>17</v>
      </c>
      <c r="C1807" s="75" t="s">
        <v>557</v>
      </c>
      <c r="D1807" s="134" t="s">
        <v>74</v>
      </c>
      <c r="E1807" s="135">
        <f t="shared" si="40"/>
        <v>27</v>
      </c>
      <c r="F1807" s="134" t="s">
        <v>3621</v>
      </c>
      <c r="G1807" s="63" t="str">
        <f>VLOOKUP(C1807, 'Class Def. - General Data'!$C$20:$C$1000,1,false)</f>
        <v>ZFG1_ODORABSORBER</v>
      </c>
      <c r="H1807" s="63" t="str">
        <f>IFERROR(__xludf.DUMMYFUNCTION("VLOOKUP(F1807, IMPORTRANGE(""https://docs.google.com/spreadsheets/d/1Lhp9OU0JdFf_VYSMzH5lBcEaU4o8teT1piV-SNzShjg/edit?gid=554141278#gid=554141278"", ""'Char Def. - Attributes'!C20:C2242""), 1,false)"),"EAN_PCS")</f>
        <v>EAN_PCS</v>
      </c>
      <c r="I1807" s="136"/>
    </row>
    <row r="1808" ht="15.75" customHeight="1">
      <c r="A1808" s="59"/>
      <c r="B1808" s="63">
        <f t="shared" si="1"/>
        <v>17</v>
      </c>
      <c r="C1808" s="75" t="s">
        <v>557</v>
      </c>
      <c r="D1808" s="134" t="s">
        <v>74</v>
      </c>
      <c r="E1808" s="135">
        <f t="shared" si="40"/>
        <v>28</v>
      </c>
      <c r="F1808" s="134" t="s">
        <v>3622</v>
      </c>
      <c r="G1808" s="63" t="str">
        <f>VLOOKUP(C1808, 'Class Def. - General Data'!$C$20:$C$1000,1,false)</f>
        <v>ZFG1_ODORABSORBER</v>
      </c>
      <c r="H1808" s="63" t="str">
        <f>IFERROR(__xludf.DUMMYFUNCTION("VLOOKUP(F1808, IMPORTRANGE(""https://docs.google.com/spreadsheets/d/1Lhp9OU0JdFf_VYSMzH5lBcEaU4o8teT1piV-SNzShjg/edit?gid=554141278#gid=554141278"", ""'Char Def. - Attributes'!C20:C2242""), 1,false)"),"SFG_BRAND")</f>
        <v>SFG_BRAND</v>
      </c>
      <c r="I1808" s="136"/>
    </row>
    <row r="1809" ht="15.75" customHeight="1">
      <c r="A1809" s="59"/>
      <c r="B1809" s="63">
        <f t="shared" si="1"/>
        <v>17</v>
      </c>
      <c r="C1809" s="75" t="s">
        <v>557</v>
      </c>
      <c r="D1809" s="134" t="s">
        <v>74</v>
      </c>
      <c r="E1809" s="135">
        <f t="shared" si="40"/>
        <v>29</v>
      </c>
      <c r="F1809" s="134" t="s">
        <v>3623</v>
      </c>
      <c r="G1809" s="63" t="str">
        <f>VLOOKUP(C1809, 'Class Def. - General Data'!$C$20:$C$1000,1,false)</f>
        <v>ZFG1_ODORABSORBER</v>
      </c>
      <c r="H1809" s="63" t="str">
        <f>IFERROR(__xludf.DUMMYFUNCTION("VLOOKUP(F1809, IMPORTRANGE(""https://docs.google.com/spreadsheets/d/1Lhp9OU0JdFf_VYSMzH5lBcEaU4o8teT1piV-SNzShjg/edit?gid=554141278#gid=554141278"", ""'Char Def. - Attributes'!C20:C2242""), 1,false)"),"LANGUAGE")</f>
        <v>LANGUAGE</v>
      </c>
      <c r="I1809" s="136"/>
    </row>
    <row r="1810" ht="15.75" customHeight="1">
      <c r="A1810" s="59"/>
      <c r="B1810" s="63">
        <f t="shared" si="1"/>
        <v>17</v>
      </c>
      <c r="C1810" s="138" t="s">
        <v>557</v>
      </c>
      <c r="D1810" s="139" t="s">
        <v>74</v>
      </c>
      <c r="E1810" s="140">
        <f t="shared" si="40"/>
        <v>30</v>
      </c>
      <c r="F1810" s="134" t="s">
        <v>3624</v>
      </c>
      <c r="G1810" s="63" t="str">
        <f>VLOOKUP(C1810, 'Class Def. - General Data'!$C$20:$C$1000,1,false)</f>
        <v>ZFG1_ODORABSORBER</v>
      </c>
      <c r="H1810" s="63" t="str">
        <f>IFERROR(__xludf.DUMMYFUNCTION("VLOOKUP(F1810, IMPORTRANGE(""https://docs.google.com/spreadsheets/d/1Lhp9OU0JdFf_VYSMzH5lBcEaU4o8teT1piV-SNzShjg/edit?gid=554141278#gid=554141278"", ""'Char Def. - Attributes'!C20:C2242""), 1,false)"),"#N/A")</f>
        <v>#N/A</v>
      </c>
      <c r="I1810" s="136"/>
    </row>
    <row r="1811" ht="15.75" customHeight="1">
      <c r="A1811" s="66"/>
      <c r="B1811" s="63">
        <f t="shared" si="1"/>
        <v>17</v>
      </c>
      <c r="C1811" s="75" t="s">
        <v>557</v>
      </c>
      <c r="D1811" s="134" t="s">
        <v>74</v>
      </c>
      <c r="E1811" s="135">
        <f t="shared" si="40"/>
        <v>31</v>
      </c>
      <c r="F1811" s="134" t="s">
        <v>3625</v>
      </c>
      <c r="G1811" s="63" t="str">
        <f>VLOOKUP(C1811, 'Class Def. - General Data'!$C$20:$C$1000,1,false)</f>
        <v>ZFG1_ODORABSORBER</v>
      </c>
      <c r="H1811" s="63" t="str">
        <f>IFERROR(__xludf.DUMMYFUNCTION("VLOOKUP(F1811, IMPORTRANGE(""https://docs.google.com/spreadsheets/d/1Lhp9OU0JdFf_VYSMzH5lBcEaU4o8teT1piV-SNzShjg/edit?gid=554141278#gid=554141278"", ""'Char Def. - Attributes'!C20:C2242""), 1,false)"),"REGION_EKSPOR")</f>
        <v>REGION_EKSPOR</v>
      </c>
      <c r="I1811" s="136"/>
    </row>
    <row r="1812" ht="15.75" customHeight="1">
      <c r="A1812" s="66"/>
      <c r="B1812" s="63">
        <f t="shared" si="1"/>
        <v>17</v>
      </c>
      <c r="C1812" s="75" t="s">
        <v>557</v>
      </c>
      <c r="D1812" s="134" t="s">
        <v>74</v>
      </c>
      <c r="E1812" s="135">
        <f t="shared" si="40"/>
        <v>32</v>
      </c>
      <c r="F1812" s="134" t="s">
        <v>3626</v>
      </c>
      <c r="G1812" s="63" t="str">
        <f>VLOOKUP(C1812, 'Class Def. - General Data'!$C$20:$C$1000,1,false)</f>
        <v>ZFG1_ODORABSORBER</v>
      </c>
      <c r="H1812" s="63" t="str">
        <f>IFERROR(__xludf.DUMMYFUNCTION("VLOOKUP(F1812, IMPORTRANGE(""https://docs.google.com/spreadsheets/d/1Lhp9OU0JdFf_VYSMzH5lBcEaU4o8teT1piV-SNzShjg/edit?gid=554141278#gid=554141278"", ""'Char Def. - Attributes'!C20:C2242""), 1,false)"),"STICKER_NOT")</f>
        <v>STICKER_NOT</v>
      </c>
      <c r="I1812" s="136"/>
    </row>
    <row r="1813" ht="15.75" customHeight="1">
      <c r="A1813" s="59"/>
      <c r="B1813" s="63">
        <f t="shared" si="1"/>
        <v>17</v>
      </c>
      <c r="C1813" s="75" t="s">
        <v>557</v>
      </c>
      <c r="D1813" s="134" t="s">
        <v>74</v>
      </c>
      <c r="E1813" s="135">
        <f t="shared" si="40"/>
        <v>33</v>
      </c>
      <c r="F1813" s="134" t="s">
        <v>3627</v>
      </c>
      <c r="G1813" s="63" t="str">
        <f>VLOOKUP(C1813, 'Class Def. - General Data'!$C$20:$C$1000,1,false)</f>
        <v>ZFG1_ODORABSORBER</v>
      </c>
      <c r="H1813" s="63" t="str">
        <f>IFERROR(__xludf.DUMMYFUNCTION("VLOOKUP(F1813, IMPORTRANGE(""https://docs.google.com/spreadsheets/d/1Lhp9OU0JdFf_VYSMzH5lBcEaU4o8teT1piV-SNzShjg/edit?gid=554141278#gid=554141278"", ""'Char Def. - Attributes'!C20:C2242""), 1,false)"),"SHIP_MARK")</f>
        <v>SHIP_MARK</v>
      </c>
      <c r="I1813" s="136"/>
    </row>
    <row r="1814" ht="15.75" customHeight="1">
      <c r="A1814" s="59"/>
      <c r="B1814" s="63">
        <f t="shared" si="1"/>
        <v>17</v>
      </c>
      <c r="C1814" s="75" t="s">
        <v>557</v>
      </c>
      <c r="D1814" s="134" t="s">
        <v>74</v>
      </c>
      <c r="E1814" s="135">
        <f t="shared" si="40"/>
        <v>34</v>
      </c>
      <c r="F1814" s="134" t="s">
        <v>3628</v>
      </c>
      <c r="G1814" s="63" t="str">
        <f>VLOOKUP(C1814, 'Class Def. - General Data'!$C$20:$C$1000,1,false)</f>
        <v>ZFG1_ODORABSORBER</v>
      </c>
      <c r="H1814" s="63" t="str">
        <f>IFERROR(__xludf.DUMMYFUNCTION("VLOOKUP(F1814, IMPORTRANGE(""https://docs.google.com/spreadsheets/d/1Lhp9OU0JdFf_VYSMzH5lBcEaU4o8teT1piV-SNzShjg/edit?gid=554141278#gid=554141278"", ""'Char Def. - Attributes'!C20:C2242""), 1,false)"),"MID_CORE")</f>
        <v>MID_CORE</v>
      </c>
      <c r="I1814" s="136"/>
    </row>
    <row r="1815" ht="15.75" customHeight="1">
      <c r="A1815" s="59"/>
      <c r="B1815" s="63">
        <f t="shared" si="1"/>
        <v>17</v>
      </c>
      <c r="C1815" s="75" t="s">
        <v>557</v>
      </c>
      <c r="D1815" s="134" t="s">
        <v>74</v>
      </c>
      <c r="E1815" s="135">
        <f t="shared" si="40"/>
        <v>35</v>
      </c>
      <c r="F1815" s="134" t="s">
        <v>3629</v>
      </c>
      <c r="G1815" s="63" t="str">
        <f>VLOOKUP(C1815, 'Class Def. - General Data'!$C$20:$C$1000,1,false)</f>
        <v>ZFG1_ODORABSORBER</v>
      </c>
      <c r="H1815" s="63" t="str">
        <f>IFERROR(__xludf.DUMMYFUNCTION("VLOOKUP(F1815, IMPORTRANGE(""https://docs.google.com/spreadsheets/d/1Lhp9OU0JdFf_VYSMzH5lBcEaU4o8teT1piV-SNzShjg/edit?gid=554141278#gid=554141278"", ""'Char Def. - Attributes'!C20:C2242""), 1,false)"),"EAN_CTN")</f>
        <v>EAN_CTN</v>
      </c>
      <c r="I1815" s="136"/>
    </row>
    <row r="1816" ht="15.75" customHeight="1">
      <c r="A1816" s="59"/>
      <c r="B1816" s="63">
        <f t="shared" si="1"/>
        <v>17</v>
      </c>
      <c r="C1816" s="75" t="s">
        <v>557</v>
      </c>
      <c r="D1816" s="134" t="s">
        <v>74</v>
      </c>
      <c r="E1816" s="135">
        <f t="shared" si="40"/>
        <v>36</v>
      </c>
      <c r="F1816" s="134" t="s">
        <v>3630</v>
      </c>
      <c r="G1816" s="63" t="str">
        <f>VLOOKUP(C1816, 'Class Def. - General Data'!$C$20:$C$1000,1,false)</f>
        <v>ZFG1_ODORABSORBER</v>
      </c>
      <c r="H1816" s="63" t="str">
        <f>IFERROR(__xludf.DUMMYFUNCTION("VLOOKUP(F1816, IMPORTRANGE(""https://docs.google.com/spreadsheets/d/1Lhp9OU0JdFf_VYSMzH5lBcEaU4o8teT1piV-SNzShjg/edit?gid=554141278#gid=554141278"", ""'Char Def. - Attributes'!C20:C2242""), 1,false)"),"EAN_BOX")</f>
        <v>EAN_BOX</v>
      </c>
      <c r="I1816" s="136"/>
    </row>
    <row r="1817" ht="15.75" customHeight="1">
      <c r="A1817" s="59"/>
      <c r="B1817" s="63">
        <f t="shared" si="1"/>
        <v>17</v>
      </c>
      <c r="C1817" s="75" t="s">
        <v>557</v>
      </c>
      <c r="D1817" s="141" t="s">
        <v>74</v>
      </c>
      <c r="E1817" s="135">
        <v>22.0</v>
      </c>
      <c r="F1817" s="135" t="s">
        <v>3603</v>
      </c>
      <c r="G1817" s="63" t="str">
        <f>VLOOKUP(C1817, 'Class Def. - General Data'!$C$20:$C$1000,1,false)</f>
        <v>ZFG1_ODORABSORBER</v>
      </c>
      <c r="I1817" s="136"/>
    </row>
    <row r="1818" ht="15.75" customHeight="1">
      <c r="A1818" s="59"/>
      <c r="B1818" s="63">
        <f t="shared" si="1"/>
        <v>13</v>
      </c>
      <c r="C1818" s="134" t="s">
        <v>128</v>
      </c>
      <c r="D1818" s="134" t="s">
        <v>74</v>
      </c>
      <c r="E1818" s="135">
        <f t="shared" ref="E1818:E1853" si="41">COUNTIF($C$20:C1818,C1818)</f>
        <v>1</v>
      </c>
      <c r="F1818" s="134" t="s">
        <v>3728</v>
      </c>
      <c r="G1818" s="63" t="str">
        <f>VLOOKUP(C1818, 'Class Def. - General Data'!$C$20:$C$1000,1,false)</f>
        <v>ZFG1_ORALCARE</v>
      </c>
      <c r="H1818" s="63" t="str">
        <f>IFERROR(__xludf.DUMMYFUNCTION("VLOOKUP(F1818, IMPORTRANGE(""https://docs.google.com/spreadsheets/d/1Lhp9OU0JdFf_VYSMzH5lBcEaU4o8teT1piV-SNzShjg/edit?gid=554141278#gid=554141278"", ""'Char Def. - Attributes'!C20:C2242""), 1,false)"),"BRAND_ORALCARE")</f>
        <v>BRAND_ORALCARE</v>
      </c>
      <c r="I1818" s="136"/>
    </row>
    <row r="1819" ht="15.75" customHeight="1">
      <c r="A1819" s="59"/>
      <c r="B1819" s="63">
        <f t="shared" si="1"/>
        <v>13</v>
      </c>
      <c r="C1819" s="135" t="s">
        <v>128</v>
      </c>
      <c r="D1819" s="134" t="s">
        <v>74</v>
      </c>
      <c r="E1819" s="135">
        <f t="shared" si="41"/>
        <v>2</v>
      </c>
      <c r="F1819" s="134" t="s">
        <v>3729</v>
      </c>
      <c r="G1819" s="63" t="str">
        <f>VLOOKUP(C1819, 'Class Def. - General Data'!$C$20:$C$1000,1,false)</f>
        <v>ZFG1_ORALCARE</v>
      </c>
      <c r="H1819" s="63" t="str">
        <f>IFERROR(__xludf.DUMMYFUNCTION("VLOOKUP(F1819, IMPORTRANGE(""https://docs.google.com/spreadsheets/d/1Lhp9OU0JdFf_VYSMzH5lBcEaU4o8teT1piV-SNzShjg/edit?gid=554141278#gid=554141278"", ""'Char Def. - Attributes'!C20:C2242""), 1,false)"),"PSHAPE_ORALCARE")</f>
        <v>PSHAPE_ORALCARE</v>
      </c>
      <c r="I1819" s="136"/>
    </row>
    <row r="1820" ht="15.75" customHeight="1">
      <c r="A1820" s="59"/>
      <c r="B1820" s="63">
        <f t="shared" si="1"/>
        <v>13</v>
      </c>
      <c r="C1820" s="134" t="s">
        <v>128</v>
      </c>
      <c r="D1820" s="134" t="s">
        <v>74</v>
      </c>
      <c r="E1820" s="135">
        <f t="shared" si="41"/>
        <v>3</v>
      </c>
      <c r="F1820" s="134" t="s">
        <v>3605</v>
      </c>
      <c r="G1820" s="63" t="str">
        <f>VLOOKUP(C1820, 'Class Def. - General Data'!$C$20:$C$1000,1,false)</f>
        <v>ZFG1_ORALCARE</v>
      </c>
      <c r="H1820" s="63" t="str">
        <f>IFERROR(__xludf.DUMMYFUNCTION("VLOOKUP(F1820, IMPORTRANGE(""https://docs.google.com/spreadsheets/d/1Lhp9OU0JdFf_VYSMzH5lBcEaU4o8teT1piV-SNzShjg/edit?gid=554141278#gid=554141278"", ""'Char Def. - Attributes'!C20:C2242""), 1,false)"),"PACK_NETTO")</f>
        <v>PACK_NETTO</v>
      </c>
      <c r="I1820" s="136"/>
    </row>
    <row r="1821" ht="15.75" customHeight="1">
      <c r="A1821" s="59"/>
      <c r="B1821" s="63">
        <f t="shared" si="1"/>
        <v>13</v>
      </c>
      <c r="C1821" s="135" t="s">
        <v>128</v>
      </c>
      <c r="D1821" s="134" t="s">
        <v>74</v>
      </c>
      <c r="E1821" s="135">
        <f t="shared" si="41"/>
        <v>4</v>
      </c>
      <c r="F1821" s="134" t="s">
        <v>3730</v>
      </c>
      <c r="G1821" s="63" t="str">
        <f>VLOOKUP(C1821, 'Class Def. - General Data'!$C$20:$C$1000,1,false)</f>
        <v>ZFG1_ORALCARE</v>
      </c>
      <c r="H1821" s="63" t="str">
        <f>IFERROR(__xludf.DUMMYFUNCTION("VLOOKUP(F1821, IMPORTRANGE(""https://docs.google.com/spreadsheets/d/1Lhp9OU0JdFf_VYSMzH5lBcEaU4o8teT1piV-SNzShjg/edit?gid=554141278#gid=554141278"", ""'Char Def. - Attributes'!C20:C2242""), 1,false)"),"PUOM_ORALCARE")</f>
        <v>PUOM_ORALCARE</v>
      </c>
      <c r="I1821" s="136"/>
    </row>
    <row r="1822" ht="15.75" customHeight="1">
      <c r="A1822" s="59"/>
      <c r="B1822" s="63">
        <f t="shared" si="1"/>
        <v>13</v>
      </c>
      <c r="C1822" s="134" t="s">
        <v>128</v>
      </c>
      <c r="D1822" s="134" t="s">
        <v>74</v>
      </c>
      <c r="E1822" s="135">
        <f t="shared" si="41"/>
        <v>5</v>
      </c>
      <c r="F1822" s="134" t="s">
        <v>3607</v>
      </c>
      <c r="G1822" s="63" t="str">
        <f>VLOOKUP(C1822, 'Class Def. - General Data'!$C$20:$C$1000,1,false)</f>
        <v>ZFG1_ORALCARE</v>
      </c>
      <c r="H1822" s="63" t="str">
        <f>IFERROR(__xludf.DUMMYFUNCTION("VLOOKUP(F1822, IMPORTRANGE(""https://docs.google.com/spreadsheets/d/1Lhp9OU0JdFf_VYSMzH5lBcEaU4o8teT1piV-SNzShjg/edit?gid=554141278#gid=554141278"", ""'Char Def. - Attributes'!C20:C2242""), 1,false)"),"VARIAN")</f>
        <v>VARIAN</v>
      </c>
      <c r="I1822" s="136"/>
    </row>
    <row r="1823" ht="15.75" customHeight="1">
      <c r="A1823" s="59"/>
      <c r="B1823" s="63">
        <f t="shared" si="1"/>
        <v>13</v>
      </c>
      <c r="C1823" s="134" t="s">
        <v>128</v>
      </c>
      <c r="D1823" s="134" t="s">
        <v>74</v>
      </c>
      <c r="E1823" s="135">
        <f t="shared" si="41"/>
        <v>6</v>
      </c>
      <c r="F1823" s="134" t="s">
        <v>3608</v>
      </c>
      <c r="G1823" s="63" t="str">
        <f>VLOOKUP(C1823, 'Class Def. - General Data'!$C$20:$C$1000,1,false)</f>
        <v>ZFG1_ORALCARE</v>
      </c>
      <c r="H1823" s="63" t="str">
        <f>IFERROR(__xludf.DUMMYFUNCTION("VLOOKUP(F1823, IMPORTRANGE(""https://docs.google.com/spreadsheets/d/1Lhp9OU0JdFf_VYSMzH5lBcEaU4o8teT1piV-SNzShjg/edit?gid=554141278#gid=554141278"", ""'Char Def. - Attributes'!C20:C2242""), 1,false)"),"PROJECT_NAME")</f>
        <v>PROJECT_NAME</v>
      </c>
      <c r="I1823" s="136"/>
    </row>
    <row r="1824" ht="15.75" customHeight="1">
      <c r="A1824" s="59"/>
      <c r="B1824" s="63">
        <f t="shared" si="1"/>
        <v>13</v>
      </c>
      <c r="C1824" s="134" t="s">
        <v>128</v>
      </c>
      <c r="D1824" s="134" t="s">
        <v>74</v>
      </c>
      <c r="E1824" s="135">
        <f t="shared" si="41"/>
        <v>7</v>
      </c>
      <c r="F1824" s="134" t="s">
        <v>3609</v>
      </c>
      <c r="G1824" s="63" t="str">
        <f>VLOOKUP(C1824, 'Class Def. - General Data'!$C$20:$C$1000,1,false)</f>
        <v>ZFG1_ORALCARE</v>
      </c>
      <c r="H1824" s="63" t="str">
        <f>IFERROR(__xludf.DUMMYFUNCTION("VLOOKUP(F1824, IMPORTRANGE(""https://docs.google.com/spreadsheets/d/1Lhp9OU0JdFf_VYSMzH5lBcEaU4o8teT1piV-SNzShjg/edit?gid=554141278#gid=554141278"", ""'Char Def. - Attributes'!C20:C2242""), 1,false)"),"ADDITIONAL_PROMO")</f>
        <v>ADDITIONAL_PROMO</v>
      </c>
      <c r="I1824" s="136"/>
    </row>
    <row r="1825" ht="15.75" customHeight="1">
      <c r="A1825" s="59"/>
      <c r="B1825" s="63">
        <f t="shared" si="1"/>
        <v>13</v>
      </c>
      <c r="C1825" s="134" t="s">
        <v>128</v>
      </c>
      <c r="D1825" s="134" t="s">
        <v>74</v>
      </c>
      <c r="E1825" s="135">
        <f t="shared" si="41"/>
        <v>8</v>
      </c>
      <c r="F1825" s="134" t="s">
        <v>3610</v>
      </c>
      <c r="G1825" s="63" t="str">
        <f>VLOOKUP(C1825, 'Class Def. - General Data'!$C$20:$C$1000,1,false)</f>
        <v>ZFG1_ORALCARE</v>
      </c>
      <c r="H1825" s="63" t="str">
        <f>IFERROR(__xludf.DUMMYFUNCTION("VLOOKUP(F1825, IMPORTRANGE(""https://docs.google.com/spreadsheets/d/1Lhp9OU0JdFf_VYSMzH5lBcEaU4o8teT1piV-SNzShjg/edit?gid=554141278#gid=554141278"", ""'Char Def. - Attributes'!C20:C2242""), 1,false)"),"BANDED_PROMO")</f>
        <v>BANDED_PROMO</v>
      </c>
      <c r="I1825" s="136"/>
    </row>
    <row r="1826" ht="15.75" customHeight="1">
      <c r="A1826" s="59"/>
      <c r="B1826" s="63">
        <f t="shared" si="1"/>
        <v>13</v>
      </c>
      <c r="C1826" s="134" t="s">
        <v>128</v>
      </c>
      <c r="D1826" s="134" t="s">
        <v>74</v>
      </c>
      <c r="E1826" s="135">
        <f t="shared" si="41"/>
        <v>9</v>
      </c>
      <c r="F1826" s="134" t="s">
        <v>3611</v>
      </c>
      <c r="G1826" s="63" t="str">
        <f>VLOOKUP(C1826, 'Class Def. - General Data'!$C$20:$C$1000,1,false)</f>
        <v>ZFG1_ORALCARE</v>
      </c>
      <c r="H1826" s="63" t="str">
        <f>IFERROR(__xludf.DUMMYFUNCTION("VLOOKUP(F1826, IMPORTRANGE(""https://docs.google.com/spreadsheets/d/1Lhp9OU0JdFf_VYSMzH5lBcEaU4o8teT1piV-SNzShjg/edit?gid=554141278#gid=554141278"", ""'Char Def. - Attributes'!C20:C2242""), 1,false)"),"LOKAL_EKSPOR")</f>
        <v>LOKAL_EKSPOR</v>
      </c>
      <c r="I1826" s="136"/>
    </row>
    <row r="1827" ht="15.75" customHeight="1">
      <c r="A1827" s="59"/>
      <c r="B1827" s="63">
        <f t="shared" si="1"/>
        <v>13</v>
      </c>
      <c r="C1827" s="134" t="s">
        <v>128</v>
      </c>
      <c r="D1827" s="134" t="s">
        <v>74</v>
      </c>
      <c r="E1827" s="135">
        <f t="shared" si="41"/>
        <v>10</v>
      </c>
      <c r="F1827" s="134" t="s">
        <v>3612</v>
      </c>
      <c r="G1827" s="63" t="str">
        <f>VLOOKUP(C1827, 'Class Def. - General Data'!$C$20:$C$1000,1,false)</f>
        <v>ZFG1_ORALCARE</v>
      </c>
      <c r="H1827" s="63" t="str">
        <f>IFERROR(__xludf.DUMMYFUNCTION("VLOOKUP(F1827, IMPORTRANGE(""https://docs.google.com/spreadsheets/d/1Lhp9OU0JdFf_VYSMzH5lBcEaU4o8teT1piV-SNzShjg/edit?gid=554141278#gid=554141278"", ""'Char Def. - Attributes'!C20:C2242""), 1,false)"),"COUNTRY_EKSPOR")</f>
        <v>COUNTRY_EKSPOR</v>
      </c>
      <c r="I1827" s="136"/>
    </row>
    <row r="1828" ht="15.75" customHeight="1">
      <c r="A1828" s="59"/>
      <c r="B1828" s="63">
        <f t="shared" si="1"/>
        <v>13</v>
      </c>
      <c r="C1828" s="134" t="s">
        <v>128</v>
      </c>
      <c r="D1828" s="134" t="s">
        <v>74</v>
      </c>
      <c r="E1828" s="135">
        <f t="shared" si="41"/>
        <v>11</v>
      </c>
      <c r="F1828" s="134" t="s">
        <v>3613</v>
      </c>
      <c r="G1828" s="63" t="str">
        <f>VLOOKUP(C1828, 'Class Def. - General Data'!$C$20:$C$1000,1,false)</f>
        <v>ZFG1_ORALCARE</v>
      </c>
      <c r="H1828" s="63" t="str">
        <f>IFERROR(__xludf.DUMMYFUNCTION("VLOOKUP(F1828, IMPORTRANGE(""https://docs.google.com/spreadsheets/d/1Lhp9OU0JdFf_VYSMzH5lBcEaU4o8teT1piV-SNzShjg/edit?gid=554141278#gid=554141278"", ""'Char Def. - Attributes'!C20:C2242""), 1,false)"),"WARNA_SFG")</f>
        <v>WARNA_SFG</v>
      </c>
      <c r="I1828" s="136"/>
    </row>
    <row r="1829" ht="15.75" customHeight="1">
      <c r="A1829" s="59"/>
      <c r="B1829" s="63">
        <f t="shared" si="1"/>
        <v>13</v>
      </c>
      <c r="C1829" s="134" t="s">
        <v>128</v>
      </c>
      <c r="D1829" s="134" t="s">
        <v>74</v>
      </c>
      <c r="E1829" s="135">
        <f t="shared" si="41"/>
        <v>12</v>
      </c>
      <c r="F1829" s="134" t="s">
        <v>3582</v>
      </c>
      <c r="G1829" s="63" t="str">
        <f>VLOOKUP(C1829, 'Class Def. - General Data'!$C$20:$C$1000,1,false)</f>
        <v>ZFG1_ORALCARE</v>
      </c>
      <c r="H1829" s="63" t="str">
        <f>IFERROR(__xludf.DUMMYFUNCTION("VLOOKUP(F1829, IMPORTRANGE(""https://docs.google.com/spreadsheets/d/1Lhp9OU0JdFf_VYSMzH5lBcEaU4o8teT1piV-SNzShjg/edit?gid=554141278#gid=554141278"", ""'Char Def. - Attributes'!C20:C2242""), 1,false)"),"BASE_UNIT")</f>
        <v>BASE_UNIT</v>
      </c>
      <c r="I1829" s="136"/>
    </row>
    <row r="1830" ht="15.75" customHeight="1">
      <c r="A1830" s="59"/>
      <c r="B1830" s="63">
        <f t="shared" si="1"/>
        <v>13</v>
      </c>
      <c r="C1830" s="134" t="s">
        <v>128</v>
      </c>
      <c r="D1830" s="134" t="s">
        <v>74</v>
      </c>
      <c r="E1830" s="135">
        <f t="shared" si="41"/>
        <v>13</v>
      </c>
      <c r="F1830" s="134" t="s">
        <v>3583</v>
      </c>
      <c r="G1830" s="63" t="str">
        <f>VLOOKUP(C1830, 'Class Def. - General Data'!$C$20:$C$1000,1,false)</f>
        <v>ZFG1_ORALCARE</v>
      </c>
      <c r="H1830" s="63" t="str">
        <f>IFERROR(__xludf.DUMMYFUNCTION("VLOOKUP(F1830, IMPORTRANGE(""https://docs.google.com/spreadsheets/d/1Lhp9OU0JdFf_VYSMzH5lBcEaU4o8teT1piV-SNzShjg/edit?gid=554141278#gid=554141278"", ""'Char Def. - Attributes'!C20:C2242""), 1,false)"),"SALES_UNIT")</f>
        <v>SALES_UNIT</v>
      </c>
      <c r="I1830" s="136"/>
    </row>
    <row r="1831" ht="15.75" customHeight="1">
      <c r="A1831" s="59"/>
      <c r="B1831" s="63">
        <f t="shared" si="1"/>
        <v>13</v>
      </c>
      <c r="C1831" s="134" t="s">
        <v>128</v>
      </c>
      <c r="D1831" s="134" t="s">
        <v>74</v>
      </c>
      <c r="E1831" s="135">
        <f t="shared" si="41"/>
        <v>14</v>
      </c>
      <c r="F1831" s="134" t="s">
        <v>3601</v>
      </c>
      <c r="G1831" s="63" t="str">
        <f>VLOOKUP(C1831, 'Class Def. - General Data'!$C$20:$C$1000,1,false)</f>
        <v>ZFG1_ORALCARE</v>
      </c>
      <c r="H1831" s="63" t="str">
        <f>IFERROR(__xludf.DUMMYFUNCTION("VLOOKUP(F1831, IMPORTRANGE(""https://docs.google.com/spreadsheets/d/1Lhp9OU0JdFf_VYSMzH5lBcEaU4o8teT1piV-SNzShjg/edit?gid=554141278#gid=554141278"", ""'Char Def. - Attributes'!C20:C2242""), 1,false)"),"GROSS_WEIGHT")</f>
        <v>GROSS_WEIGHT</v>
      </c>
      <c r="I1831" s="136"/>
    </row>
    <row r="1832" ht="15.75" customHeight="1">
      <c r="A1832" s="59"/>
      <c r="B1832" s="63">
        <f t="shared" si="1"/>
        <v>13</v>
      </c>
      <c r="C1832" s="134" t="s">
        <v>128</v>
      </c>
      <c r="D1832" s="134" t="s">
        <v>74</v>
      </c>
      <c r="E1832" s="135">
        <f t="shared" si="41"/>
        <v>15</v>
      </c>
      <c r="F1832" s="134" t="s">
        <v>3602</v>
      </c>
      <c r="G1832" s="63" t="str">
        <f>VLOOKUP(C1832, 'Class Def. - General Data'!$C$20:$C$1000,1,false)</f>
        <v>ZFG1_ORALCARE</v>
      </c>
      <c r="H1832" s="63" t="str">
        <f>IFERROR(__xludf.DUMMYFUNCTION("VLOOKUP(F1832, IMPORTRANGE(""https://docs.google.com/spreadsheets/d/1Lhp9OU0JdFf_VYSMzH5lBcEaU4o8teT1piV-SNzShjg/edit?gid=554141278#gid=554141278"", ""'Char Def. - Attributes'!C20:C2242""), 1,false)"),"NET_WEIGHT")</f>
        <v>NET_WEIGHT</v>
      </c>
      <c r="I1832" s="136"/>
    </row>
    <row r="1833" ht="15.75" customHeight="1">
      <c r="A1833" s="59"/>
      <c r="B1833" s="63">
        <f t="shared" si="1"/>
        <v>13</v>
      </c>
      <c r="C1833" s="134" t="s">
        <v>128</v>
      </c>
      <c r="D1833" s="134" t="s">
        <v>74</v>
      </c>
      <c r="E1833" s="135">
        <f t="shared" si="41"/>
        <v>16</v>
      </c>
      <c r="F1833" s="134" t="s">
        <v>3584</v>
      </c>
      <c r="G1833" s="63" t="str">
        <f>VLOOKUP(C1833, 'Class Def. - General Data'!$C$20:$C$1000,1,false)</f>
        <v>ZFG1_ORALCARE</v>
      </c>
      <c r="H1833" s="63" t="str">
        <f>IFERROR(__xludf.DUMMYFUNCTION("VLOOKUP(F1833, IMPORTRANGE(""https://docs.google.com/spreadsheets/d/1Lhp9OU0JdFf_VYSMzH5lBcEaU4o8teT1piV-SNzShjg/edit?gid=554141278#gid=554141278"", ""'Char Def. - Attributes'!C20:C2242""), 1,false)"),"UNIT_PER_BOX")</f>
        <v>UNIT_PER_BOX</v>
      </c>
      <c r="I1833" s="136"/>
    </row>
    <row r="1834" ht="15.75" customHeight="1">
      <c r="A1834" s="59"/>
      <c r="B1834" s="63">
        <f t="shared" si="1"/>
        <v>13</v>
      </c>
      <c r="C1834" s="134" t="s">
        <v>128</v>
      </c>
      <c r="D1834" s="134" t="s">
        <v>74</v>
      </c>
      <c r="E1834" s="135">
        <f t="shared" si="41"/>
        <v>17</v>
      </c>
      <c r="F1834" s="134" t="s">
        <v>3614</v>
      </c>
      <c r="G1834" s="63" t="str">
        <f>VLOOKUP(C1834, 'Class Def. - General Data'!$C$20:$C$1000,1,false)</f>
        <v>ZFG1_ORALCARE</v>
      </c>
      <c r="H1834" s="63" t="str">
        <f>IFERROR(__xludf.DUMMYFUNCTION("VLOOKUP(F1834, IMPORTRANGE(""https://docs.google.com/spreadsheets/d/1Lhp9OU0JdFf_VYSMzH5lBcEaU4o8teT1piV-SNzShjg/edit?gid=554141278#gid=554141278"", ""'Char Def. - Attributes'!C20:C2242""), 1,false)"),"UNIT_PER_CTN")</f>
        <v>UNIT_PER_CTN</v>
      </c>
      <c r="I1834" s="136"/>
    </row>
    <row r="1835" ht="15.75" customHeight="1">
      <c r="A1835" s="59"/>
      <c r="B1835" s="63">
        <f t="shared" si="1"/>
        <v>13</v>
      </c>
      <c r="C1835" s="134" t="s">
        <v>128</v>
      </c>
      <c r="D1835" s="134" t="s">
        <v>74</v>
      </c>
      <c r="E1835" s="135">
        <f t="shared" si="41"/>
        <v>18</v>
      </c>
      <c r="F1835" s="134" t="s">
        <v>3615</v>
      </c>
      <c r="G1835" s="63" t="str">
        <f>VLOOKUP(C1835, 'Class Def. - General Data'!$C$20:$C$1000,1,false)</f>
        <v>ZFG1_ORALCARE</v>
      </c>
      <c r="H1835" s="63" t="str">
        <f>IFERROR(__xludf.DUMMYFUNCTION("VLOOKUP(F1835, IMPORTRANGE(""https://docs.google.com/spreadsheets/d/1Lhp9OU0JdFf_VYSMzH5lBcEaU4o8teT1piV-SNzShjg/edit?gid=554141278#gid=554141278"", ""'Char Def. - Attributes'!C20:C2242""), 1,false)"),"UNIT_PER_BAG")</f>
        <v>UNIT_PER_BAG</v>
      </c>
      <c r="I1835" s="136"/>
    </row>
    <row r="1836" ht="15.75" customHeight="1">
      <c r="A1836" s="59"/>
      <c r="B1836" s="63">
        <f t="shared" si="1"/>
        <v>13</v>
      </c>
      <c r="C1836" s="134" t="s">
        <v>128</v>
      </c>
      <c r="D1836" s="134" t="s">
        <v>74</v>
      </c>
      <c r="E1836" s="135">
        <f t="shared" si="41"/>
        <v>19</v>
      </c>
      <c r="F1836" s="134" t="s">
        <v>3616</v>
      </c>
      <c r="G1836" s="63" t="str">
        <f>VLOOKUP(C1836, 'Class Def. - General Data'!$C$20:$C$1000,1,false)</f>
        <v>ZFG1_ORALCARE</v>
      </c>
      <c r="H1836" s="63" t="str">
        <f>IFERROR(__xludf.DUMMYFUNCTION("VLOOKUP(F1836, IMPORTRANGE(""https://docs.google.com/spreadsheets/d/1Lhp9OU0JdFf_VYSMzH5lBcEaU4o8teT1piV-SNzShjg/edit?gid=554141278#gid=554141278"", ""'Char Def. - Attributes'!C20:C2242""), 1,false)"),"UNIT_PER_PAL")</f>
        <v>UNIT_PER_PAL</v>
      </c>
      <c r="I1836" s="136"/>
    </row>
    <row r="1837" ht="15.75" customHeight="1">
      <c r="A1837" s="66"/>
      <c r="B1837" s="63">
        <f t="shared" si="1"/>
        <v>13</v>
      </c>
      <c r="C1837" s="134" t="s">
        <v>128</v>
      </c>
      <c r="D1837" s="134" t="s">
        <v>74</v>
      </c>
      <c r="E1837" s="135">
        <f t="shared" si="41"/>
        <v>20</v>
      </c>
      <c r="F1837" s="134" t="s">
        <v>3617</v>
      </c>
      <c r="G1837" s="63" t="str">
        <f>VLOOKUP(C1837, 'Class Def. - General Data'!$C$20:$C$1000,1,false)</f>
        <v>ZFG1_ORALCARE</v>
      </c>
      <c r="H1837" s="63" t="str">
        <f>IFERROR(__xludf.DUMMYFUNCTION("VLOOKUP(F1837, IMPORTRANGE(""https://docs.google.com/spreadsheets/d/1Lhp9OU0JdFf_VYSMzH5lBcEaU4o8teT1piV-SNzShjg/edit?gid=554141278#gid=554141278"", ""'Char Def. - Attributes'!C20:C2242""), 1,false)"),"UNIT_PER_TIER")</f>
        <v>UNIT_PER_TIER</v>
      </c>
      <c r="I1837" s="136"/>
    </row>
    <row r="1838" ht="15.75" customHeight="1">
      <c r="A1838" s="59"/>
      <c r="B1838" s="63">
        <f t="shared" si="1"/>
        <v>13</v>
      </c>
      <c r="C1838" s="134" t="s">
        <v>128</v>
      </c>
      <c r="D1838" s="134" t="s">
        <v>74</v>
      </c>
      <c r="E1838" s="135">
        <f t="shared" si="41"/>
        <v>21</v>
      </c>
      <c r="F1838" s="134" t="s">
        <v>3618</v>
      </c>
      <c r="G1838" s="63" t="str">
        <f>VLOOKUP(C1838, 'Class Def. - General Data'!$C$20:$C$1000,1,false)</f>
        <v>ZFG1_ORALCARE</v>
      </c>
      <c r="H1838" s="63" t="str">
        <f>IFERROR(__xludf.DUMMYFUNCTION("VLOOKUP(F1838, IMPORTRANGE(""https://docs.google.com/spreadsheets/d/1Lhp9OU0JdFf_VYSMzH5lBcEaU4o8teT1piV-SNzShjg/edit?gid=554141278#gid=554141278"", ""'Char Def. - Attributes'!C20:C2242""), 1,false)"),"HEIGHT")</f>
        <v>HEIGHT</v>
      </c>
      <c r="I1838" s="136"/>
    </row>
    <row r="1839" ht="15.75" customHeight="1">
      <c r="A1839" s="59"/>
      <c r="B1839" s="63">
        <f t="shared" si="1"/>
        <v>13</v>
      </c>
      <c r="C1839" s="134" t="s">
        <v>128</v>
      </c>
      <c r="D1839" s="134" t="s">
        <v>74</v>
      </c>
      <c r="E1839" s="135">
        <f t="shared" si="41"/>
        <v>22</v>
      </c>
      <c r="F1839" s="134" t="s">
        <v>3587</v>
      </c>
      <c r="G1839" s="63" t="str">
        <f>VLOOKUP(C1839, 'Class Def. - General Data'!$C$20:$C$1000,1,false)</f>
        <v>ZFG1_ORALCARE</v>
      </c>
      <c r="H1839" s="63" t="str">
        <f>IFERROR(__xludf.DUMMYFUNCTION("VLOOKUP(F1839, IMPORTRANGE(""https://docs.google.com/spreadsheets/d/1Lhp9OU0JdFf_VYSMzH5lBcEaU4o8teT1piV-SNzShjg/edit?gid=554141278#gid=554141278"", ""'Char Def. - Attributes'!C20:C2242""), 1,false)"),"PLANT_BUY")</f>
        <v>PLANT_BUY</v>
      </c>
      <c r="I1839" s="136"/>
    </row>
    <row r="1840" ht="15.75" customHeight="1">
      <c r="A1840" s="59"/>
      <c r="B1840" s="63">
        <f t="shared" si="1"/>
        <v>13</v>
      </c>
      <c r="C1840" s="134" t="s">
        <v>128</v>
      </c>
      <c r="D1840" s="134" t="s">
        <v>74</v>
      </c>
      <c r="E1840" s="135">
        <f t="shared" si="41"/>
        <v>23</v>
      </c>
      <c r="F1840" s="134" t="s">
        <v>3619</v>
      </c>
      <c r="G1840" s="63" t="str">
        <f>VLOOKUP(C1840, 'Class Def. - General Data'!$C$20:$C$1000,1,false)</f>
        <v>ZFG1_ORALCARE</v>
      </c>
      <c r="H1840" s="63" t="str">
        <f>IFERROR(__xludf.DUMMYFUNCTION("VLOOKUP(F1840, IMPORTRANGE(""https://docs.google.com/spreadsheets/d/1Lhp9OU0JdFf_VYSMzH5lBcEaU4o8teT1piV-SNzShjg/edit?gid=554141278#gid=554141278"", ""'Char Def. - Attributes'!C20:C2242""), 1,false)"),"LENGTH")</f>
        <v>LENGTH</v>
      </c>
      <c r="I1840" s="136"/>
    </row>
    <row r="1841" ht="15.75" customHeight="1">
      <c r="A1841" s="59"/>
      <c r="B1841" s="63">
        <f t="shared" si="1"/>
        <v>13</v>
      </c>
      <c r="C1841" s="134" t="s">
        <v>128</v>
      </c>
      <c r="D1841" s="134" t="s">
        <v>74</v>
      </c>
      <c r="E1841" s="135">
        <f t="shared" si="41"/>
        <v>24</v>
      </c>
      <c r="F1841" s="134" t="s">
        <v>3586</v>
      </c>
      <c r="G1841" s="63" t="str">
        <f>VLOOKUP(C1841, 'Class Def. - General Data'!$C$20:$C$1000,1,false)</f>
        <v>ZFG1_ORALCARE</v>
      </c>
      <c r="H1841" s="63" t="str">
        <f>IFERROR(__xludf.DUMMYFUNCTION("VLOOKUP(F1841, IMPORTRANGE(""https://docs.google.com/spreadsheets/d/1Lhp9OU0JdFf_VYSMzH5lBcEaU4o8teT1piV-SNzShjg/edit?gid=554141278#gid=554141278"", ""'Char Def. - Attributes'!C20:C2242""), 1,false)"),"PLANT_PROD")</f>
        <v>PLANT_PROD</v>
      </c>
      <c r="I1841" s="136"/>
    </row>
    <row r="1842" ht="15.75" customHeight="1">
      <c r="A1842" s="59"/>
      <c r="B1842" s="63">
        <f t="shared" si="1"/>
        <v>13</v>
      </c>
      <c r="C1842" s="134" t="s">
        <v>128</v>
      </c>
      <c r="D1842" s="134" t="s">
        <v>74</v>
      </c>
      <c r="E1842" s="135">
        <f t="shared" si="41"/>
        <v>25</v>
      </c>
      <c r="F1842" s="134" t="s">
        <v>3620</v>
      </c>
      <c r="G1842" s="63" t="str">
        <f>VLOOKUP(C1842, 'Class Def. - General Data'!$C$20:$C$1000,1,false)</f>
        <v>ZFG1_ORALCARE</v>
      </c>
      <c r="H1842" s="63" t="str">
        <f>IFERROR(__xludf.DUMMYFUNCTION("VLOOKUP(F1842, IMPORTRANGE(""https://docs.google.com/spreadsheets/d/1Lhp9OU0JdFf_VYSMzH5lBcEaU4o8teT1piV-SNzShjg/edit?gid=554141278#gid=554141278"", ""'Char Def. - Attributes'!C20:C2242""), 1,false)"),"WIDTH")</f>
        <v>WIDTH</v>
      </c>
      <c r="I1842" s="136"/>
    </row>
    <row r="1843" ht="15.75" customHeight="1">
      <c r="A1843" s="59"/>
      <c r="B1843" s="63">
        <f t="shared" si="1"/>
        <v>13</v>
      </c>
      <c r="C1843" s="134" t="s">
        <v>128</v>
      </c>
      <c r="D1843" s="134" t="s">
        <v>74</v>
      </c>
      <c r="E1843" s="135">
        <f t="shared" si="41"/>
        <v>26</v>
      </c>
      <c r="F1843" s="134" t="s">
        <v>3585</v>
      </c>
      <c r="G1843" s="63" t="str">
        <f>VLOOKUP(C1843, 'Class Def. - General Data'!$C$20:$C$1000,1,false)</f>
        <v>ZFG1_ORALCARE</v>
      </c>
      <c r="H1843" s="63" t="str">
        <f>IFERROR(__xludf.DUMMYFUNCTION("VLOOKUP(F1843, IMPORTRANGE(""https://docs.google.com/spreadsheets/d/1Lhp9OU0JdFf_VYSMzH5lBcEaU4o8teT1piV-SNzShjg/edit?gid=554141278#gid=554141278"", ""'Char Def. - Attributes'!C20:C2242""), 1,false)"),"HS_CODE")</f>
        <v>HS_CODE</v>
      </c>
      <c r="I1843" s="136"/>
    </row>
    <row r="1844" ht="15.75" customHeight="1">
      <c r="A1844" s="59"/>
      <c r="B1844" s="63">
        <f t="shared" si="1"/>
        <v>13</v>
      </c>
      <c r="C1844" s="134" t="s">
        <v>128</v>
      </c>
      <c r="D1844" s="134" t="s">
        <v>74</v>
      </c>
      <c r="E1844" s="135">
        <f t="shared" si="41"/>
        <v>27</v>
      </c>
      <c r="F1844" s="134" t="s">
        <v>3621</v>
      </c>
      <c r="G1844" s="63" t="str">
        <f>VLOOKUP(C1844, 'Class Def. - General Data'!$C$20:$C$1000,1,false)</f>
        <v>ZFG1_ORALCARE</v>
      </c>
      <c r="H1844" s="63" t="str">
        <f>IFERROR(__xludf.DUMMYFUNCTION("VLOOKUP(F1844, IMPORTRANGE(""https://docs.google.com/spreadsheets/d/1Lhp9OU0JdFf_VYSMzH5lBcEaU4o8teT1piV-SNzShjg/edit?gid=554141278#gid=554141278"", ""'Char Def. - Attributes'!C20:C2242""), 1,false)"),"EAN_PCS")</f>
        <v>EAN_PCS</v>
      </c>
      <c r="I1844" s="136"/>
    </row>
    <row r="1845" ht="15.75" customHeight="1">
      <c r="A1845" s="59"/>
      <c r="B1845" s="63">
        <f t="shared" si="1"/>
        <v>13</v>
      </c>
      <c r="C1845" s="134" t="s">
        <v>128</v>
      </c>
      <c r="D1845" s="134" t="s">
        <v>74</v>
      </c>
      <c r="E1845" s="135">
        <f t="shared" si="41"/>
        <v>28</v>
      </c>
      <c r="F1845" s="134" t="s">
        <v>3622</v>
      </c>
      <c r="G1845" s="63" t="str">
        <f>VLOOKUP(C1845, 'Class Def. - General Data'!$C$20:$C$1000,1,false)</f>
        <v>ZFG1_ORALCARE</v>
      </c>
      <c r="H1845" s="63" t="str">
        <f>IFERROR(__xludf.DUMMYFUNCTION("VLOOKUP(F1845, IMPORTRANGE(""https://docs.google.com/spreadsheets/d/1Lhp9OU0JdFf_VYSMzH5lBcEaU4o8teT1piV-SNzShjg/edit?gid=554141278#gid=554141278"", ""'Char Def. - Attributes'!C20:C2242""), 1,false)"),"SFG_BRAND")</f>
        <v>SFG_BRAND</v>
      </c>
      <c r="I1845" s="136"/>
    </row>
    <row r="1846" ht="15.75" customHeight="1">
      <c r="A1846" s="59"/>
      <c r="B1846" s="63">
        <f t="shared" si="1"/>
        <v>13</v>
      </c>
      <c r="C1846" s="134" t="s">
        <v>128</v>
      </c>
      <c r="D1846" s="134" t="s">
        <v>74</v>
      </c>
      <c r="E1846" s="135">
        <f t="shared" si="41"/>
        <v>29</v>
      </c>
      <c r="F1846" s="134" t="s">
        <v>3623</v>
      </c>
      <c r="G1846" s="63" t="str">
        <f>VLOOKUP(C1846, 'Class Def. - General Data'!$C$20:$C$1000,1,false)</f>
        <v>ZFG1_ORALCARE</v>
      </c>
      <c r="H1846" s="63" t="str">
        <f>IFERROR(__xludf.DUMMYFUNCTION("VLOOKUP(F1846, IMPORTRANGE(""https://docs.google.com/spreadsheets/d/1Lhp9OU0JdFf_VYSMzH5lBcEaU4o8teT1piV-SNzShjg/edit?gid=554141278#gid=554141278"", ""'Char Def. - Attributes'!C20:C2242""), 1,false)"),"LANGUAGE")</f>
        <v>LANGUAGE</v>
      </c>
      <c r="I1846" s="136"/>
    </row>
    <row r="1847" ht="15.75" customHeight="1">
      <c r="A1847" s="59"/>
      <c r="B1847" s="63">
        <f t="shared" si="1"/>
        <v>13</v>
      </c>
      <c r="C1847" s="139" t="s">
        <v>128</v>
      </c>
      <c r="D1847" s="139" t="s">
        <v>74</v>
      </c>
      <c r="E1847" s="140">
        <f t="shared" si="41"/>
        <v>30</v>
      </c>
      <c r="F1847" s="134" t="s">
        <v>3624</v>
      </c>
      <c r="G1847" s="63" t="str">
        <f>VLOOKUP(C1847, 'Class Def. - General Data'!$C$20:$C$1000,1,false)</f>
        <v>ZFG1_ORALCARE</v>
      </c>
      <c r="H1847" s="63" t="str">
        <f>IFERROR(__xludf.DUMMYFUNCTION("VLOOKUP(F1847, IMPORTRANGE(""https://docs.google.com/spreadsheets/d/1Lhp9OU0JdFf_VYSMzH5lBcEaU4o8teT1piV-SNzShjg/edit?gid=554141278#gid=554141278"", ""'Char Def. - Attributes'!C20:C2242""), 1,false)"),"#N/A")</f>
        <v>#N/A</v>
      </c>
      <c r="I1847" s="136"/>
    </row>
    <row r="1848" ht="15.75" customHeight="1">
      <c r="A1848" s="59"/>
      <c r="B1848" s="63">
        <f t="shared" si="1"/>
        <v>13</v>
      </c>
      <c r="C1848" s="134" t="s">
        <v>128</v>
      </c>
      <c r="D1848" s="134" t="s">
        <v>74</v>
      </c>
      <c r="E1848" s="135">
        <f t="shared" si="41"/>
        <v>31</v>
      </c>
      <c r="F1848" s="134" t="s">
        <v>3625</v>
      </c>
      <c r="G1848" s="63" t="str">
        <f>VLOOKUP(C1848, 'Class Def. - General Data'!$C$20:$C$1000,1,false)</f>
        <v>ZFG1_ORALCARE</v>
      </c>
      <c r="H1848" s="63" t="str">
        <f>IFERROR(__xludf.DUMMYFUNCTION("VLOOKUP(F1848, IMPORTRANGE(""https://docs.google.com/spreadsheets/d/1Lhp9OU0JdFf_VYSMzH5lBcEaU4o8teT1piV-SNzShjg/edit?gid=554141278#gid=554141278"", ""'Char Def. - Attributes'!C20:C2242""), 1,false)"),"REGION_EKSPOR")</f>
        <v>REGION_EKSPOR</v>
      </c>
      <c r="I1848" s="136"/>
    </row>
    <row r="1849" ht="15.75" customHeight="1">
      <c r="A1849" s="59"/>
      <c r="B1849" s="63">
        <f t="shared" si="1"/>
        <v>13</v>
      </c>
      <c r="C1849" s="134" t="s">
        <v>128</v>
      </c>
      <c r="D1849" s="134" t="s">
        <v>74</v>
      </c>
      <c r="E1849" s="135">
        <f t="shared" si="41"/>
        <v>32</v>
      </c>
      <c r="F1849" s="134" t="s">
        <v>3626</v>
      </c>
      <c r="G1849" s="63" t="str">
        <f>VLOOKUP(C1849, 'Class Def. - General Data'!$C$20:$C$1000,1,false)</f>
        <v>ZFG1_ORALCARE</v>
      </c>
      <c r="H1849" s="63" t="str">
        <f>IFERROR(__xludf.DUMMYFUNCTION("VLOOKUP(F1849, IMPORTRANGE(""https://docs.google.com/spreadsheets/d/1Lhp9OU0JdFf_VYSMzH5lBcEaU4o8teT1piV-SNzShjg/edit?gid=554141278#gid=554141278"", ""'Char Def. - Attributes'!C20:C2242""), 1,false)"),"STICKER_NOT")</f>
        <v>STICKER_NOT</v>
      </c>
      <c r="I1849" s="136"/>
    </row>
    <row r="1850" ht="15.75" customHeight="1">
      <c r="A1850" s="59"/>
      <c r="B1850" s="63">
        <f t="shared" si="1"/>
        <v>13</v>
      </c>
      <c r="C1850" s="134" t="s">
        <v>128</v>
      </c>
      <c r="D1850" s="134" t="s">
        <v>74</v>
      </c>
      <c r="E1850" s="135">
        <f t="shared" si="41"/>
        <v>33</v>
      </c>
      <c r="F1850" s="134" t="s">
        <v>3627</v>
      </c>
      <c r="G1850" s="63" t="str">
        <f>VLOOKUP(C1850, 'Class Def. - General Data'!$C$20:$C$1000,1,false)</f>
        <v>ZFG1_ORALCARE</v>
      </c>
      <c r="H1850" s="63" t="str">
        <f>IFERROR(__xludf.DUMMYFUNCTION("VLOOKUP(F1850, IMPORTRANGE(""https://docs.google.com/spreadsheets/d/1Lhp9OU0JdFf_VYSMzH5lBcEaU4o8teT1piV-SNzShjg/edit?gid=554141278#gid=554141278"", ""'Char Def. - Attributes'!C20:C2242""), 1,false)"),"SHIP_MARK")</f>
        <v>SHIP_MARK</v>
      </c>
      <c r="I1850" s="136"/>
    </row>
    <row r="1851" ht="15.75" customHeight="1">
      <c r="A1851" s="59"/>
      <c r="B1851" s="63">
        <f t="shared" si="1"/>
        <v>13</v>
      </c>
      <c r="C1851" s="134" t="s">
        <v>128</v>
      </c>
      <c r="D1851" s="134" t="s">
        <v>74</v>
      </c>
      <c r="E1851" s="135">
        <f t="shared" si="41"/>
        <v>34</v>
      </c>
      <c r="F1851" s="134" t="s">
        <v>3628</v>
      </c>
      <c r="G1851" s="63" t="str">
        <f>VLOOKUP(C1851, 'Class Def. - General Data'!$C$20:$C$1000,1,false)</f>
        <v>ZFG1_ORALCARE</v>
      </c>
      <c r="H1851" s="63" t="str">
        <f>IFERROR(__xludf.DUMMYFUNCTION("VLOOKUP(F1851, IMPORTRANGE(""https://docs.google.com/spreadsheets/d/1Lhp9OU0JdFf_VYSMzH5lBcEaU4o8teT1piV-SNzShjg/edit?gid=554141278#gid=554141278"", ""'Char Def. - Attributes'!C20:C2242""), 1,false)"),"MID_CORE")</f>
        <v>MID_CORE</v>
      </c>
      <c r="I1851" s="136"/>
    </row>
    <row r="1852" ht="15.75" customHeight="1">
      <c r="A1852" s="59"/>
      <c r="B1852" s="63">
        <f t="shared" si="1"/>
        <v>13</v>
      </c>
      <c r="C1852" s="134" t="s">
        <v>128</v>
      </c>
      <c r="D1852" s="134" t="s">
        <v>74</v>
      </c>
      <c r="E1852" s="135">
        <f t="shared" si="41"/>
        <v>35</v>
      </c>
      <c r="F1852" s="134" t="s">
        <v>3629</v>
      </c>
      <c r="G1852" s="63" t="str">
        <f>VLOOKUP(C1852, 'Class Def. - General Data'!$C$20:$C$1000,1,false)</f>
        <v>ZFG1_ORALCARE</v>
      </c>
      <c r="H1852" s="63" t="str">
        <f>IFERROR(__xludf.DUMMYFUNCTION("VLOOKUP(F1852, IMPORTRANGE(""https://docs.google.com/spreadsheets/d/1Lhp9OU0JdFf_VYSMzH5lBcEaU4o8teT1piV-SNzShjg/edit?gid=554141278#gid=554141278"", ""'Char Def. - Attributes'!C20:C2242""), 1,false)"),"EAN_CTN")</f>
        <v>EAN_CTN</v>
      </c>
      <c r="I1852" s="136"/>
    </row>
    <row r="1853" ht="15.75" customHeight="1">
      <c r="A1853" s="59"/>
      <c r="B1853" s="63">
        <f t="shared" si="1"/>
        <v>13</v>
      </c>
      <c r="C1853" s="134" t="s">
        <v>128</v>
      </c>
      <c r="D1853" s="134" t="s">
        <v>74</v>
      </c>
      <c r="E1853" s="135">
        <f t="shared" si="41"/>
        <v>36</v>
      </c>
      <c r="F1853" s="134" t="s">
        <v>3630</v>
      </c>
      <c r="G1853" s="63" t="str">
        <f>VLOOKUP(C1853, 'Class Def. - General Data'!$C$20:$C$1000,1,false)</f>
        <v>ZFG1_ORALCARE</v>
      </c>
      <c r="H1853" s="63" t="str">
        <f>IFERROR(__xludf.DUMMYFUNCTION("VLOOKUP(F1853, IMPORTRANGE(""https://docs.google.com/spreadsheets/d/1Lhp9OU0JdFf_VYSMzH5lBcEaU4o8teT1piV-SNzShjg/edit?gid=554141278#gid=554141278"", ""'Char Def. - Attributes'!C20:C2242""), 1,false)"),"EAN_BOX")</f>
        <v>EAN_BOX</v>
      </c>
      <c r="I1853" s="136"/>
    </row>
    <row r="1854" ht="15.75" customHeight="1">
      <c r="A1854" s="59"/>
      <c r="B1854" s="63">
        <f t="shared" si="1"/>
        <v>13</v>
      </c>
      <c r="C1854" s="134" t="s">
        <v>128</v>
      </c>
      <c r="D1854" s="141" t="s">
        <v>74</v>
      </c>
      <c r="E1854" s="135">
        <v>22.0</v>
      </c>
      <c r="F1854" s="135" t="s">
        <v>3603</v>
      </c>
      <c r="G1854" s="63" t="str">
        <f>VLOOKUP(C1854, 'Class Def. - General Data'!$C$20:$C$1000,1,false)</f>
        <v>ZFG1_ORALCARE</v>
      </c>
      <c r="I1854" s="136"/>
    </row>
    <row r="1855" ht="15.75" customHeight="1">
      <c r="A1855" s="59"/>
      <c r="B1855" s="63">
        <f t="shared" si="1"/>
        <v>16</v>
      </c>
      <c r="C1855" s="75" t="s">
        <v>558</v>
      </c>
      <c r="D1855" s="134" t="s">
        <v>74</v>
      </c>
      <c r="E1855" s="135">
        <f t="shared" ref="E1855:E1890" si="42">COUNTIF($C$20:C1855,C1855)</f>
        <v>1</v>
      </c>
      <c r="F1855" s="134" t="str">
        <f>"BRAND_"&amp;MID(C1855,6,20)</f>
        <v>BRAND_ORALCARELIQ</v>
      </c>
      <c r="G1855" s="63" t="str">
        <f>VLOOKUP(C1855, 'Class Def. - General Data'!$C$20:$C$1000,1,false)</f>
        <v>ZFG1_ORALCARELIQ</v>
      </c>
      <c r="H1855" s="63" t="str">
        <f>IFERROR(__xludf.DUMMYFUNCTION("VLOOKUP(F1855, IMPORTRANGE(""https://docs.google.com/spreadsheets/d/1Lhp9OU0JdFf_VYSMzH5lBcEaU4o8teT1piV-SNzShjg/edit?gid=554141278#gid=554141278"", ""'Char Def. - Attributes'!C20:C2242""), 1,false)"),"#N/A")</f>
        <v>#N/A</v>
      </c>
      <c r="I1855" s="136"/>
    </row>
    <row r="1856" ht="15.75" customHeight="1">
      <c r="A1856" s="59"/>
      <c r="B1856" s="63">
        <f t="shared" si="1"/>
        <v>16</v>
      </c>
      <c r="C1856" s="75" t="s">
        <v>558</v>
      </c>
      <c r="D1856" s="134" t="s">
        <v>74</v>
      </c>
      <c r="E1856" s="135">
        <f t="shared" si="42"/>
        <v>2</v>
      </c>
      <c r="F1856" s="134" t="s">
        <v>3731</v>
      </c>
      <c r="G1856" s="63" t="str">
        <f>VLOOKUP(C1856, 'Class Def. - General Data'!$C$20:$C$1000,1,false)</f>
        <v>ZFG1_ORALCARELIQ</v>
      </c>
      <c r="H1856" s="63" t="str">
        <f>IFERROR(__xludf.DUMMYFUNCTION("VLOOKUP(F1856, IMPORTRANGE(""https://docs.google.com/spreadsheets/d/1Lhp9OU0JdFf_VYSMzH5lBcEaU4o8teT1piV-SNzShjg/edit?gid=554141278#gid=554141278"", ""'Char Def. - Attributes'!C20:C2242""), 1,false)"),"#N/A")</f>
        <v>#N/A</v>
      </c>
      <c r="I1856" s="136"/>
    </row>
    <row r="1857" ht="15.75" customHeight="1">
      <c r="A1857" s="59"/>
      <c r="B1857" s="63">
        <f t="shared" si="1"/>
        <v>16</v>
      </c>
      <c r="C1857" s="75" t="s">
        <v>558</v>
      </c>
      <c r="D1857" s="134" t="s">
        <v>74</v>
      </c>
      <c r="E1857" s="135">
        <f t="shared" si="42"/>
        <v>3</v>
      </c>
      <c r="F1857" s="134" t="s">
        <v>3605</v>
      </c>
      <c r="G1857" s="63" t="str">
        <f>VLOOKUP(C1857, 'Class Def. - General Data'!$C$20:$C$1000,1,false)</f>
        <v>ZFG1_ORALCARELIQ</v>
      </c>
      <c r="H1857" s="63" t="str">
        <f>IFERROR(__xludf.DUMMYFUNCTION("VLOOKUP(F1857, IMPORTRANGE(""https://docs.google.com/spreadsheets/d/1Lhp9OU0JdFf_VYSMzH5lBcEaU4o8teT1piV-SNzShjg/edit?gid=554141278#gid=554141278"", ""'Char Def. - Attributes'!C20:C2242""), 1,false)"),"PACK_NETTO")</f>
        <v>PACK_NETTO</v>
      </c>
      <c r="I1857" s="136"/>
    </row>
    <row r="1858" ht="15.75" customHeight="1">
      <c r="A1858" s="59"/>
      <c r="B1858" s="63">
        <f t="shared" si="1"/>
        <v>16</v>
      </c>
      <c r="C1858" s="75" t="s">
        <v>558</v>
      </c>
      <c r="D1858" s="134" t="s">
        <v>74</v>
      </c>
      <c r="E1858" s="135">
        <f t="shared" si="42"/>
        <v>4</v>
      </c>
      <c r="F1858" s="134" t="s">
        <v>3732</v>
      </c>
      <c r="G1858" s="63" t="str">
        <f>VLOOKUP(C1858, 'Class Def. - General Data'!$C$20:$C$1000,1,false)</f>
        <v>ZFG1_ORALCARELIQ</v>
      </c>
      <c r="H1858" s="63" t="str">
        <f>IFERROR(__xludf.DUMMYFUNCTION("VLOOKUP(F1858, IMPORTRANGE(""https://docs.google.com/spreadsheets/d/1Lhp9OU0JdFf_VYSMzH5lBcEaU4o8teT1piV-SNzShjg/edit?gid=554141278#gid=554141278"", ""'Char Def. - Attributes'!C20:C2242""), 1,false)"),"#N/A")</f>
        <v>#N/A</v>
      </c>
      <c r="I1858" s="136"/>
    </row>
    <row r="1859" ht="15.75" customHeight="1">
      <c r="A1859" s="59"/>
      <c r="B1859" s="63">
        <f t="shared" si="1"/>
        <v>16</v>
      </c>
      <c r="C1859" s="75" t="s">
        <v>558</v>
      </c>
      <c r="D1859" s="134" t="s">
        <v>74</v>
      </c>
      <c r="E1859" s="135">
        <f t="shared" si="42"/>
        <v>5</v>
      </c>
      <c r="F1859" s="134" t="s">
        <v>3607</v>
      </c>
      <c r="G1859" s="63" t="str">
        <f>VLOOKUP(C1859, 'Class Def. - General Data'!$C$20:$C$1000,1,false)</f>
        <v>ZFG1_ORALCARELIQ</v>
      </c>
      <c r="H1859" s="63" t="str">
        <f>IFERROR(__xludf.DUMMYFUNCTION("VLOOKUP(F1859, IMPORTRANGE(""https://docs.google.com/spreadsheets/d/1Lhp9OU0JdFf_VYSMzH5lBcEaU4o8teT1piV-SNzShjg/edit?gid=554141278#gid=554141278"", ""'Char Def. - Attributes'!C20:C2242""), 1,false)"),"VARIAN")</f>
        <v>VARIAN</v>
      </c>
      <c r="I1859" s="136"/>
    </row>
    <row r="1860" ht="15.75" customHeight="1">
      <c r="A1860" s="59"/>
      <c r="B1860" s="63">
        <f t="shared" si="1"/>
        <v>16</v>
      </c>
      <c r="C1860" s="75" t="s">
        <v>558</v>
      </c>
      <c r="D1860" s="134" t="s">
        <v>74</v>
      </c>
      <c r="E1860" s="135">
        <f t="shared" si="42"/>
        <v>6</v>
      </c>
      <c r="F1860" s="134" t="s">
        <v>3608</v>
      </c>
      <c r="G1860" s="63" t="str">
        <f>VLOOKUP(C1860, 'Class Def. - General Data'!$C$20:$C$1000,1,false)</f>
        <v>ZFG1_ORALCARELIQ</v>
      </c>
      <c r="H1860" s="63" t="str">
        <f>IFERROR(__xludf.DUMMYFUNCTION("VLOOKUP(F1860, IMPORTRANGE(""https://docs.google.com/spreadsheets/d/1Lhp9OU0JdFf_VYSMzH5lBcEaU4o8teT1piV-SNzShjg/edit?gid=554141278#gid=554141278"", ""'Char Def. - Attributes'!C20:C2242""), 1,false)"),"PROJECT_NAME")</f>
        <v>PROJECT_NAME</v>
      </c>
      <c r="I1860" s="136"/>
    </row>
    <row r="1861" ht="15.75" customHeight="1">
      <c r="A1861" s="59"/>
      <c r="B1861" s="63">
        <f t="shared" si="1"/>
        <v>16</v>
      </c>
      <c r="C1861" s="75" t="s">
        <v>558</v>
      </c>
      <c r="D1861" s="134" t="s">
        <v>74</v>
      </c>
      <c r="E1861" s="135">
        <f t="shared" si="42"/>
        <v>7</v>
      </c>
      <c r="F1861" s="134" t="s">
        <v>3609</v>
      </c>
      <c r="G1861" s="63" t="str">
        <f>VLOOKUP(C1861, 'Class Def. - General Data'!$C$20:$C$1000,1,false)</f>
        <v>ZFG1_ORALCARELIQ</v>
      </c>
      <c r="H1861" s="63" t="str">
        <f>IFERROR(__xludf.DUMMYFUNCTION("VLOOKUP(F1861, IMPORTRANGE(""https://docs.google.com/spreadsheets/d/1Lhp9OU0JdFf_VYSMzH5lBcEaU4o8teT1piV-SNzShjg/edit?gid=554141278#gid=554141278"", ""'Char Def. - Attributes'!C20:C2242""), 1,false)"),"ADDITIONAL_PROMO")</f>
        <v>ADDITIONAL_PROMO</v>
      </c>
      <c r="I1861" s="136"/>
    </row>
    <row r="1862" ht="15.75" customHeight="1">
      <c r="A1862" s="59"/>
      <c r="B1862" s="63">
        <f t="shared" si="1"/>
        <v>16</v>
      </c>
      <c r="C1862" s="75" t="s">
        <v>558</v>
      </c>
      <c r="D1862" s="134" t="s">
        <v>74</v>
      </c>
      <c r="E1862" s="135">
        <f t="shared" si="42"/>
        <v>8</v>
      </c>
      <c r="F1862" s="134" t="s">
        <v>3610</v>
      </c>
      <c r="G1862" s="63" t="str">
        <f>VLOOKUP(C1862, 'Class Def. - General Data'!$C$20:$C$1000,1,false)</f>
        <v>ZFG1_ORALCARELIQ</v>
      </c>
      <c r="H1862" s="63" t="str">
        <f>IFERROR(__xludf.DUMMYFUNCTION("VLOOKUP(F1862, IMPORTRANGE(""https://docs.google.com/spreadsheets/d/1Lhp9OU0JdFf_VYSMzH5lBcEaU4o8teT1piV-SNzShjg/edit?gid=554141278#gid=554141278"", ""'Char Def. - Attributes'!C20:C2242""), 1,false)"),"BANDED_PROMO")</f>
        <v>BANDED_PROMO</v>
      </c>
      <c r="I1862" s="136"/>
    </row>
    <row r="1863" ht="15.75" customHeight="1">
      <c r="A1863" s="59"/>
      <c r="B1863" s="63">
        <f t="shared" si="1"/>
        <v>16</v>
      </c>
      <c r="C1863" s="75" t="s">
        <v>558</v>
      </c>
      <c r="D1863" s="134" t="s">
        <v>74</v>
      </c>
      <c r="E1863" s="135">
        <f t="shared" si="42"/>
        <v>9</v>
      </c>
      <c r="F1863" s="134" t="s">
        <v>3611</v>
      </c>
      <c r="G1863" s="63" t="str">
        <f>VLOOKUP(C1863, 'Class Def. - General Data'!$C$20:$C$1000,1,false)</f>
        <v>ZFG1_ORALCARELIQ</v>
      </c>
      <c r="H1863" s="63" t="str">
        <f>IFERROR(__xludf.DUMMYFUNCTION("VLOOKUP(F1863, IMPORTRANGE(""https://docs.google.com/spreadsheets/d/1Lhp9OU0JdFf_VYSMzH5lBcEaU4o8teT1piV-SNzShjg/edit?gid=554141278#gid=554141278"", ""'Char Def. - Attributes'!C20:C2242""), 1,false)"),"LOKAL_EKSPOR")</f>
        <v>LOKAL_EKSPOR</v>
      </c>
      <c r="I1863" s="136"/>
    </row>
    <row r="1864" ht="15.75" customHeight="1">
      <c r="A1864" s="59"/>
      <c r="B1864" s="63">
        <f t="shared" si="1"/>
        <v>16</v>
      </c>
      <c r="C1864" s="75" t="s">
        <v>558</v>
      </c>
      <c r="D1864" s="134" t="s">
        <v>74</v>
      </c>
      <c r="E1864" s="135">
        <f t="shared" si="42"/>
        <v>10</v>
      </c>
      <c r="F1864" s="134" t="s">
        <v>3612</v>
      </c>
      <c r="G1864" s="63" t="str">
        <f>VLOOKUP(C1864, 'Class Def. - General Data'!$C$20:$C$1000,1,false)</f>
        <v>ZFG1_ORALCARELIQ</v>
      </c>
      <c r="H1864" s="63" t="str">
        <f>IFERROR(__xludf.DUMMYFUNCTION("VLOOKUP(F1864, IMPORTRANGE(""https://docs.google.com/spreadsheets/d/1Lhp9OU0JdFf_VYSMzH5lBcEaU4o8teT1piV-SNzShjg/edit?gid=554141278#gid=554141278"", ""'Char Def. - Attributes'!C20:C2242""), 1,false)"),"COUNTRY_EKSPOR")</f>
        <v>COUNTRY_EKSPOR</v>
      </c>
      <c r="I1864" s="136"/>
    </row>
    <row r="1865" ht="15.75" customHeight="1">
      <c r="A1865" s="59"/>
      <c r="B1865" s="63">
        <f t="shared" si="1"/>
        <v>16</v>
      </c>
      <c r="C1865" s="75" t="s">
        <v>558</v>
      </c>
      <c r="D1865" s="134" t="s">
        <v>74</v>
      </c>
      <c r="E1865" s="135">
        <f t="shared" si="42"/>
        <v>11</v>
      </c>
      <c r="F1865" s="134" t="s">
        <v>3613</v>
      </c>
      <c r="G1865" s="63" t="str">
        <f>VLOOKUP(C1865, 'Class Def. - General Data'!$C$20:$C$1000,1,false)</f>
        <v>ZFG1_ORALCARELIQ</v>
      </c>
      <c r="H1865" s="63" t="str">
        <f>IFERROR(__xludf.DUMMYFUNCTION("VLOOKUP(F1865, IMPORTRANGE(""https://docs.google.com/spreadsheets/d/1Lhp9OU0JdFf_VYSMzH5lBcEaU4o8teT1piV-SNzShjg/edit?gid=554141278#gid=554141278"", ""'Char Def. - Attributes'!C20:C2242""), 1,false)"),"WARNA_SFG")</f>
        <v>WARNA_SFG</v>
      </c>
      <c r="I1865" s="136"/>
    </row>
    <row r="1866" ht="15.75" customHeight="1">
      <c r="A1866" s="59"/>
      <c r="B1866" s="63">
        <f t="shared" si="1"/>
        <v>16</v>
      </c>
      <c r="C1866" s="75" t="s">
        <v>558</v>
      </c>
      <c r="D1866" s="134" t="s">
        <v>74</v>
      </c>
      <c r="E1866" s="135">
        <f t="shared" si="42"/>
        <v>12</v>
      </c>
      <c r="F1866" s="134" t="s">
        <v>3582</v>
      </c>
      <c r="G1866" s="63" t="str">
        <f>VLOOKUP(C1866, 'Class Def. - General Data'!$C$20:$C$1000,1,false)</f>
        <v>ZFG1_ORALCARELIQ</v>
      </c>
      <c r="H1866" s="63" t="str">
        <f>IFERROR(__xludf.DUMMYFUNCTION("VLOOKUP(F1866, IMPORTRANGE(""https://docs.google.com/spreadsheets/d/1Lhp9OU0JdFf_VYSMzH5lBcEaU4o8teT1piV-SNzShjg/edit?gid=554141278#gid=554141278"", ""'Char Def. - Attributes'!C20:C2242""), 1,false)"),"BASE_UNIT")</f>
        <v>BASE_UNIT</v>
      </c>
      <c r="I1866" s="136"/>
    </row>
    <row r="1867" ht="15.75" customHeight="1">
      <c r="A1867" s="59"/>
      <c r="B1867" s="63">
        <f t="shared" si="1"/>
        <v>16</v>
      </c>
      <c r="C1867" s="75" t="s">
        <v>558</v>
      </c>
      <c r="D1867" s="134" t="s">
        <v>74</v>
      </c>
      <c r="E1867" s="135">
        <f t="shared" si="42"/>
        <v>13</v>
      </c>
      <c r="F1867" s="134" t="s">
        <v>3583</v>
      </c>
      <c r="G1867" s="63" t="str">
        <f>VLOOKUP(C1867, 'Class Def. - General Data'!$C$20:$C$1000,1,false)</f>
        <v>ZFG1_ORALCARELIQ</v>
      </c>
      <c r="H1867" s="63" t="str">
        <f>IFERROR(__xludf.DUMMYFUNCTION("VLOOKUP(F1867, IMPORTRANGE(""https://docs.google.com/spreadsheets/d/1Lhp9OU0JdFf_VYSMzH5lBcEaU4o8teT1piV-SNzShjg/edit?gid=554141278#gid=554141278"", ""'Char Def. - Attributes'!C20:C2242""), 1,false)"),"SALES_UNIT")</f>
        <v>SALES_UNIT</v>
      </c>
      <c r="I1867" s="136"/>
    </row>
    <row r="1868" ht="15.75" customHeight="1">
      <c r="A1868" s="59"/>
      <c r="B1868" s="63">
        <f t="shared" si="1"/>
        <v>16</v>
      </c>
      <c r="C1868" s="75" t="s">
        <v>558</v>
      </c>
      <c r="D1868" s="134" t="s">
        <v>74</v>
      </c>
      <c r="E1868" s="135">
        <f t="shared" si="42"/>
        <v>14</v>
      </c>
      <c r="F1868" s="134" t="s">
        <v>3601</v>
      </c>
      <c r="G1868" s="63" t="str">
        <f>VLOOKUP(C1868, 'Class Def. - General Data'!$C$20:$C$1000,1,false)</f>
        <v>ZFG1_ORALCARELIQ</v>
      </c>
      <c r="H1868" s="63" t="str">
        <f>IFERROR(__xludf.DUMMYFUNCTION("VLOOKUP(F1868, IMPORTRANGE(""https://docs.google.com/spreadsheets/d/1Lhp9OU0JdFf_VYSMzH5lBcEaU4o8teT1piV-SNzShjg/edit?gid=554141278#gid=554141278"", ""'Char Def. - Attributes'!C20:C2242""), 1,false)"),"GROSS_WEIGHT")</f>
        <v>GROSS_WEIGHT</v>
      </c>
      <c r="I1868" s="136"/>
    </row>
    <row r="1869" ht="15.75" customHeight="1">
      <c r="A1869" s="59"/>
      <c r="B1869" s="63">
        <f t="shared" si="1"/>
        <v>16</v>
      </c>
      <c r="C1869" s="75" t="s">
        <v>558</v>
      </c>
      <c r="D1869" s="134" t="s">
        <v>74</v>
      </c>
      <c r="E1869" s="135">
        <f t="shared" si="42"/>
        <v>15</v>
      </c>
      <c r="F1869" s="134" t="s">
        <v>3602</v>
      </c>
      <c r="G1869" s="63" t="str">
        <f>VLOOKUP(C1869, 'Class Def. - General Data'!$C$20:$C$1000,1,false)</f>
        <v>ZFG1_ORALCARELIQ</v>
      </c>
      <c r="H1869" s="63" t="str">
        <f>IFERROR(__xludf.DUMMYFUNCTION("VLOOKUP(F1869, IMPORTRANGE(""https://docs.google.com/spreadsheets/d/1Lhp9OU0JdFf_VYSMzH5lBcEaU4o8teT1piV-SNzShjg/edit?gid=554141278#gid=554141278"", ""'Char Def. - Attributes'!C20:C2242""), 1,false)"),"NET_WEIGHT")</f>
        <v>NET_WEIGHT</v>
      </c>
      <c r="I1869" s="136"/>
    </row>
    <row r="1870" ht="15.75" customHeight="1">
      <c r="A1870" s="59"/>
      <c r="B1870" s="63">
        <f t="shared" si="1"/>
        <v>16</v>
      </c>
      <c r="C1870" s="75" t="s">
        <v>558</v>
      </c>
      <c r="D1870" s="134" t="s">
        <v>74</v>
      </c>
      <c r="E1870" s="135">
        <f t="shared" si="42"/>
        <v>16</v>
      </c>
      <c r="F1870" s="134" t="s">
        <v>3584</v>
      </c>
      <c r="G1870" s="63" t="str">
        <f>VLOOKUP(C1870, 'Class Def. - General Data'!$C$20:$C$1000,1,false)</f>
        <v>ZFG1_ORALCARELIQ</v>
      </c>
      <c r="H1870" s="63" t="str">
        <f>IFERROR(__xludf.DUMMYFUNCTION("VLOOKUP(F1870, IMPORTRANGE(""https://docs.google.com/spreadsheets/d/1Lhp9OU0JdFf_VYSMzH5lBcEaU4o8teT1piV-SNzShjg/edit?gid=554141278#gid=554141278"", ""'Char Def. - Attributes'!C20:C2242""), 1,false)"),"UNIT_PER_BOX")</f>
        <v>UNIT_PER_BOX</v>
      </c>
      <c r="I1870" s="136"/>
    </row>
    <row r="1871" ht="15.75" customHeight="1">
      <c r="A1871" s="59"/>
      <c r="B1871" s="63">
        <f t="shared" si="1"/>
        <v>16</v>
      </c>
      <c r="C1871" s="75" t="s">
        <v>558</v>
      </c>
      <c r="D1871" s="134" t="s">
        <v>74</v>
      </c>
      <c r="E1871" s="135">
        <f t="shared" si="42"/>
        <v>17</v>
      </c>
      <c r="F1871" s="134" t="s">
        <v>3614</v>
      </c>
      <c r="G1871" s="63" t="str">
        <f>VLOOKUP(C1871, 'Class Def. - General Data'!$C$20:$C$1000,1,false)</f>
        <v>ZFG1_ORALCARELIQ</v>
      </c>
      <c r="H1871" s="63" t="str">
        <f>IFERROR(__xludf.DUMMYFUNCTION("VLOOKUP(F1871, IMPORTRANGE(""https://docs.google.com/spreadsheets/d/1Lhp9OU0JdFf_VYSMzH5lBcEaU4o8teT1piV-SNzShjg/edit?gid=554141278#gid=554141278"", ""'Char Def. - Attributes'!C20:C2242""), 1,false)"),"UNIT_PER_CTN")</f>
        <v>UNIT_PER_CTN</v>
      </c>
      <c r="I1871" s="136"/>
    </row>
    <row r="1872" ht="15.75" customHeight="1">
      <c r="A1872" s="59"/>
      <c r="B1872" s="63">
        <f t="shared" si="1"/>
        <v>16</v>
      </c>
      <c r="C1872" s="75" t="s">
        <v>558</v>
      </c>
      <c r="D1872" s="134" t="s">
        <v>74</v>
      </c>
      <c r="E1872" s="135">
        <f t="shared" si="42"/>
        <v>18</v>
      </c>
      <c r="F1872" s="134" t="s">
        <v>3615</v>
      </c>
      <c r="G1872" s="63" t="str">
        <f>VLOOKUP(C1872, 'Class Def. - General Data'!$C$20:$C$1000,1,false)</f>
        <v>ZFG1_ORALCARELIQ</v>
      </c>
      <c r="H1872" s="63" t="str">
        <f>IFERROR(__xludf.DUMMYFUNCTION("VLOOKUP(F1872, IMPORTRANGE(""https://docs.google.com/spreadsheets/d/1Lhp9OU0JdFf_VYSMzH5lBcEaU4o8teT1piV-SNzShjg/edit?gid=554141278#gid=554141278"", ""'Char Def. - Attributes'!C20:C2242""), 1,false)"),"UNIT_PER_BAG")</f>
        <v>UNIT_PER_BAG</v>
      </c>
      <c r="I1872" s="136"/>
    </row>
    <row r="1873" ht="15.75" customHeight="1">
      <c r="A1873" s="59"/>
      <c r="B1873" s="63">
        <f t="shared" si="1"/>
        <v>16</v>
      </c>
      <c r="C1873" s="75" t="s">
        <v>558</v>
      </c>
      <c r="D1873" s="134" t="s">
        <v>74</v>
      </c>
      <c r="E1873" s="135">
        <f t="shared" si="42"/>
        <v>19</v>
      </c>
      <c r="F1873" s="134" t="s">
        <v>3616</v>
      </c>
      <c r="G1873" s="63" t="str">
        <f>VLOOKUP(C1873, 'Class Def. - General Data'!$C$20:$C$1000,1,false)</f>
        <v>ZFG1_ORALCARELIQ</v>
      </c>
      <c r="H1873" s="63" t="str">
        <f>IFERROR(__xludf.DUMMYFUNCTION("VLOOKUP(F1873, IMPORTRANGE(""https://docs.google.com/spreadsheets/d/1Lhp9OU0JdFf_VYSMzH5lBcEaU4o8teT1piV-SNzShjg/edit?gid=554141278#gid=554141278"", ""'Char Def. - Attributes'!C20:C2242""), 1,false)"),"UNIT_PER_PAL")</f>
        <v>UNIT_PER_PAL</v>
      </c>
      <c r="I1873" s="136"/>
    </row>
    <row r="1874" ht="15.75" customHeight="1">
      <c r="A1874" s="59"/>
      <c r="B1874" s="63">
        <f t="shared" si="1"/>
        <v>16</v>
      </c>
      <c r="C1874" s="75" t="s">
        <v>558</v>
      </c>
      <c r="D1874" s="134" t="s">
        <v>74</v>
      </c>
      <c r="E1874" s="135">
        <f t="shared" si="42"/>
        <v>20</v>
      </c>
      <c r="F1874" s="134" t="s">
        <v>3617</v>
      </c>
      <c r="G1874" s="63" t="str">
        <f>VLOOKUP(C1874, 'Class Def. - General Data'!$C$20:$C$1000,1,false)</f>
        <v>ZFG1_ORALCARELIQ</v>
      </c>
      <c r="H1874" s="63" t="str">
        <f>IFERROR(__xludf.DUMMYFUNCTION("VLOOKUP(F1874, IMPORTRANGE(""https://docs.google.com/spreadsheets/d/1Lhp9OU0JdFf_VYSMzH5lBcEaU4o8teT1piV-SNzShjg/edit?gid=554141278#gid=554141278"", ""'Char Def. - Attributes'!C20:C2242""), 1,false)"),"UNIT_PER_TIER")</f>
        <v>UNIT_PER_TIER</v>
      </c>
      <c r="I1874" s="136"/>
    </row>
    <row r="1875" ht="15.75" customHeight="1">
      <c r="A1875" s="59"/>
      <c r="B1875" s="63">
        <f t="shared" si="1"/>
        <v>16</v>
      </c>
      <c r="C1875" s="75" t="s">
        <v>558</v>
      </c>
      <c r="D1875" s="134" t="s">
        <v>74</v>
      </c>
      <c r="E1875" s="135">
        <f t="shared" si="42"/>
        <v>21</v>
      </c>
      <c r="F1875" s="134" t="s">
        <v>3618</v>
      </c>
      <c r="G1875" s="63" t="str">
        <f>VLOOKUP(C1875, 'Class Def. - General Data'!$C$20:$C$1000,1,false)</f>
        <v>ZFG1_ORALCARELIQ</v>
      </c>
      <c r="H1875" s="63" t="str">
        <f>IFERROR(__xludf.DUMMYFUNCTION("VLOOKUP(F1875, IMPORTRANGE(""https://docs.google.com/spreadsheets/d/1Lhp9OU0JdFf_VYSMzH5lBcEaU4o8teT1piV-SNzShjg/edit?gid=554141278#gid=554141278"", ""'Char Def. - Attributes'!C20:C2242""), 1,false)"),"HEIGHT")</f>
        <v>HEIGHT</v>
      </c>
      <c r="I1875" s="136"/>
    </row>
    <row r="1876" ht="15.75" customHeight="1">
      <c r="A1876" s="59"/>
      <c r="B1876" s="63">
        <f t="shared" si="1"/>
        <v>16</v>
      </c>
      <c r="C1876" s="75" t="s">
        <v>558</v>
      </c>
      <c r="D1876" s="134" t="s">
        <v>74</v>
      </c>
      <c r="E1876" s="135">
        <f t="shared" si="42"/>
        <v>22</v>
      </c>
      <c r="F1876" s="134" t="s">
        <v>3587</v>
      </c>
      <c r="G1876" s="63" t="str">
        <f>VLOOKUP(C1876, 'Class Def. - General Data'!$C$20:$C$1000,1,false)</f>
        <v>ZFG1_ORALCARELIQ</v>
      </c>
      <c r="H1876" s="63" t="str">
        <f>IFERROR(__xludf.DUMMYFUNCTION("VLOOKUP(F1876, IMPORTRANGE(""https://docs.google.com/spreadsheets/d/1Lhp9OU0JdFf_VYSMzH5lBcEaU4o8teT1piV-SNzShjg/edit?gid=554141278#gid=554141278"", ""'Char Def. - Attributes'!C20:C2242""), 1,false)"),"PLANT_BUY")</f>
        <v>PLANT_BUY</v>
      </c>
      <c r="I1876" s="136"/>
    </row>
    <row r="1877" ht="15.75" customHeight="1">
      <c r="A1877" s="59"/>
      <c r="B1877" s="63">
        <f t="shared" si="1"/>
        <v>16</v>
      </c>
      <c r="C1877" s="75" t="s">
        <v>558</v>
      </c>
      <c r="D1877" s="134" t="s">
        <v>74</v>
      </c>
      <c r="E1877" s="135">
        <f t="shared" si="42"/>
        <v>23</v>
      </c>
      <c r="F1877" s="134" t="s">
        <v>3619</v>
      </c>
      <c r="G1877" s="63" t="str">
        <f>VLOOKUP(C1877, 'Class Def. - General Data'!$C$20:$C$1000,1,false)</f>
        <v>ZFG1_ORALCARELIQ</v>
      </c>
      <c r="H1877" s="63" t="str">
        <f>IFERROR(__xludf.DUMMYFUNCTION("VLOOKUP(F1877, IMPORTRANGE(""https://docs.google.com/spreadsheets/d/1Lhp9OU0JdFf_VYSMzH5lBcEaU4o8teT1piV-SNzShjg/edit?gid=554141278#gid=554141278"", ""'Char Def. - Attributes'!C20:C2242""), 1,false)"),"LENGTH")</f>
        <v>LENGTH</v>
      </c>
      <c r="I1877" s="136"/>
    </row>
    <row r="1878" ht="15.75" customHeight="1">
      <c r="A1878" s="59"/>
      <c r="B1878" s="63">
        <f t="shared" si="1"/>
        <v>16</v>
      </c>
      <c r="C1878" s="75" t="s">
        <v>558</v>
      </c>
      <c r="D1878" s="134" t="s">
        <v>74</v>
      </c>
      <c r="E1878" s="135">
        <f t="shared" si="42"/>
        <v>24</v>
      </c>
      <c r="F1878" s="134" t="s">
        <v>3586</v>
      </c>
      <c r="G1878" s="63" t="str">
        <f>VLOOKUP(C1878, 'Class Def. - General Data'!$C$20:$C$1000,1,false)</f>
        <v>ZFG1_ORALCARELIQ</v>
      </c>
      <c r="H1878" s="63" t="str">
        <f>IFERROR(__xludf.DUMMYFUNCTION("VLOOKUP(F1878, IMPORTRANGE(""https://docs.google.com/spreadsheets/d/1Lhp9OU0JdFf_VYSMzH5lBcEaU4o8teT1piV-SNzShjg/edit?gid=554141278#gid=554141278"", ""'Char Def. - Attributes'!C20:C2242""), 1,false)"),"PLANT_PROD")</f>
        <v>PLANT_PROD</v>
      </c>
      <c r="I1878" s="136"/>
    </row>
    <row r="1879" ht="15.75" customHeight="1">
      <c r="A1879" s="59"/>
      <c r="B1879" s="63">
        <f t="shared" si="1"/>
        <v>16</v>
      </c>
      <c r="C1879" s="75" t="s">
        <v>558</v>
      </c>
      <c r="D1879" s="134" t="s">
        <v>74</v>
      </c>
      <c r="E1879" s="135">
        <f t="shared" si="42"/>
        <v>25</v>
      </c>
      <c r="F1879" s="134" t="s">
        <v>3620</v>
      </c>
      <c r="G1879" s="63" t="str">
        <f>VLOOKUP(C1879, 'Class Def. - General Data'!$C$20:$C$1000,1,false)</f>
        <v>ZFG1_ORALCARELIQ</v>
      </c>
      <c r="H1879" s="63" t="str">
        <f>IFERROR(__xludf.DUMMYFUNCTION("VLOOKUP(F1879, IMPORTRANGE(""https://docs.google.com/spreadsheets/d/1Lhp9OU0JdFf_VYSMzH5lBcEaU4o8teT1piV-SNzShjg/edit?gid=554141278#gid=554141278"", ""'Char Def. - Attributes'!C20:C2242""), 1,false)"),"WIDTH")</f>
        <v>WIDTH</v>
      </c>
      <c r="I1879" s="136"/>
    </row>
    <row r="1880" ht="15.75" customHeight="1">
      <c r="A1880" s="59"/>
      <c r="B1880" s="63">
        <f t="shared" si="1"/>
        <v>16</v>
      </c>
      <c r="C1880" s="75" t="s">
        <v>558</v>
      </c>
      <c r="D1880" s="134" t="s">
        <v>74</v>
      </c>
      <c r="E1880" s="135">
        <f t="shared" si="42"/>
        <v>26</v>
      </c>
      <c r="F1880" s="134" t="s">
        <v>3585</v>
      </c>
      <c r="G1880" s="63" t="str">
        <f>VLOOKUP(C1880, 'Class Def. - General Data'!$C$20:$C$1000,1,false)</f>
        <v>ZFG1_ORALCARELIQ</v>
      </c>
      <c r="H1880" s="63" t="str">
        <f>IFERROR(__xludf.DUMMYFUNCTION("VLOOKUP(F1880, IMPORTRANGE(""https://docs.google.com/spreadsheets/d/1Lhp9OU0JdFf_VYSMzH5lBcEaU4o8teT1piV-SNzShjg/edit?gid=554141278#gid=554141278"", ""'Char Def. - Attributes'!C20:C2242""), 1,false)"),"HS_CODE")</f>
        <v>HS_CODE</v>
      </c>
      <c r="I1880" s="136"/>
    </row>
    <row r="1881" ht="15.75" customHeight="1">
      <c r="A1881" s="59"/>
      <c r="B1881" s="63">
        <f t="shared" si="1"/>
        <v>16</v>
      </c>
      <c r="C1881" s="75" t="s">
        <v>558</v>
      </c>
      <c r="D1881" s="134" t="s">
        <v>74</v>
      </c>
      <c r="E1881" s="135">
        <f t="shared" si="42"/>
        <v>27</v>
      </c>
      <c r="F1881" s="134" t="s">
        <v>3621</v>
      </c>
      <c r="G1881" s="63" t="str">
        <f>VLOOKUP(C1881, 'Class Def. - General Data'!$C$20:$C$1000,1,false)</f>
        <v>ZFG1_ORALCARELIQ</v>
      </c>
      <c r="H1881" s="63" t="str">
        <f>IFERROR(__xludf.DUMMYFUNCTION("VLOOKUP(F1881, IMPORTRANGE(""https://docs.google.com/spreadsheets/d/1Lhp9OU0JdFf_VYSMzH5lBcEaU4o8teT1piV-SNzShjg/edit?gid=554141278#gid=554141278"", ""'Char Def. - Attributes'!C20:C2242""), 1,false)"),"EAN_PCS")</f>
        <v>EAN_PCS</v>
      </c>
      <c r="I1881" s="136"/>
    </row>
    <row r="1882" ht="15.75" customHeight="1">
      <c r="A1882" s="59"/>
      <c r="B1882" s="63">
        <f t="shared" si="1"/>
        <v>16</v>
      </c>
      <c r="C1882" s="75" t="s">
        <v>558</v>
      </c>
      <c r="D1882" s="134" t="s">
        <v>74</v>
      </c>
      <c r="E1882" s="135">
        <f t="shared" si="42"/>
        <v>28</v>
      </c>
      <c r="F1882" s="134" t="s">
        <v>3622</v>
      </c>
      <c r="G1882" s="63" t="str">
        <f>VLOOKUP(C1882, 'Class Def. - General Data'!$C$20:$C$1000,1,false)</f>
        <v>ZFG1_ORALCARELIQ</v>
      </c>
      <c r="H1882" s="63" t="str">
        <f>IFERROR(__xludf.DUMMYFUNCTION("VLOOKUP(F1882, IMPORTRANGE(""https://docs.google.com/spreadsheets/d/1Lhp9OU0JdFf_VYSMzH5lBcEaU4o8teT1piV-SNzShjg/edit?gid=554141278#gid=554141278"", ""'Char Def. - Attributes'!C20:C2242""), 1,false)"),"SFG_BRAND")</f>
        <v>SFG_BRAND</v>
      </c>
      <c r="I1882" s="136"/>
    </row>
    <row r="1883" ht="15.75" customHeight="1">
      <c r="A1883" s="59"/>
      <c r="B1883" s="63">
        <f t="shared" si="1"/>
        <v>16</v>
      </c>
      <c r="C1883" s="75" t="s">
        <v>558</v>
      </c>
      <c r="D1883" s="134" t="s">
        <v>74</v>
      </c>
      <c r="E1883" s="135">
        <f t="shared" si="42"/>
        <v>29</v>
      </c>
      <c r="F1883" s="134" t="s">
        <v>3623</v>
      </c>
      <c r="G1883" s="63" t="str">
        <f>VLOOKUP(C1883, 'Class Def. - General Data'!$C$20:$C$1000,1,false)</f>
        <v>ZFG1_ORALCARELIQ</v>
      </c>
      <c r="H1883" s="63" t="str">
        <f>IFERROR(__xludf.DUMMYFUNCTION("VLOOKUP(F1883, IMPORTRANGE(""https://docs.google.com/spreadsheets/d/1Lhp9OU0JdFf_VYSMzH5lBcEaU4o8teT1piV-SNzShjg/edit?gid=554141278#gid=554141278"", ""'Char Def. - Attributes'!C20:C2242""), 1,false)"),"LANGUAGE")</f>
        <v>LANGUAGE</v>
      </c>
      <c r="I1883" s="136"/>
    </row>
    <row r="1884" ht="15.75" customHeight="1">
      <c r="A1884" s="59"/>
      <c r="B1884" s="63">
        <f t="shared" si="1"/>
        <v>16</v>
      </c>
      <c r="C1884" s="138" t="s">
        <v>558</v>
      </c>
      <c r="D1884" s="139" t="s">
        <v>74</v>
      </c>
      <c r="E1884" s="140">
        <f t="shared" si="42"/>
        <v>30</v>
      </c>
      <c r="F1884" s="134" t="s">
        <v>3624</v>
      </c>
      <c r="G1884" s="63" t="str">
        <f>VLOOKUP(C1884, 'Class Def. - General Data'!$C$20:$C$1000,1,false)</f>
        <v>ZFG1_ORALCARELIQ</v>
      </c>
      <c r="H1884" s="63" t="str">
        <f>IFERROR(__xludf.DUMMYFUNCTION("VLOOKUP(F1884, IMPORTRANGE(""https://docs.google.com/spreadsheets/d/1Lhp9OU0JdFf_VYSMzH5lBcEaU4o8teT1piV-SNzShjg/edit?gid=554141278#gid=554141278"", ""'Char Def. - Attributes'!C20:C2242""), 1,false)"),"#N/A")</f>
        <v>#N/A</v>
      </c>
      <c r="I1884" s="136"/>
    </row>
    <row r="1885" ht="15.75" customHeight="1">
      <c r="A1885" s="59"/>
      <c r="B1885" s="63">
        <f t="shared" si="1"/>
        <v>16</v>
      </c>
      <c r="C1885" s="75" t="s">
        <v>558</v>
      </c>
      <c r="D1885" s="134" t="s">
        <v>74</v>
      </c>
      <c r="E1885" s="135">
        <f t="shared" si="42"/>
        <v>31</v>
      </c>
      <c r="F1885" s="134" t="s">
        <v>3625</v>
      </c>
      <c r="G1885" s="63" t="str">
        <f>VLOOKUP(C1885, 'Class Def. - General Data'!$C$20:$C$1000,1,false)</f>
        <v>ZFG1_ORALCARELIQ</v>
      </c>
      <c r="H1885" s="63" t="str">
        <f>IFERROR(__xludf.DUMMYFUNCTION("VLOOKUP(F1885, IMPORTRANGE(""https://docs.google.com/spreadsheets/d/1Lhp9OU0JdFf_VYSMzH5lBcEaU4o8teT1piV-SNzShjg/edit?gid=554141278#gid=554141278"", ""'Char Def. - Attributes'!C20:C2242""), 1,false)"),"REGION_EKSPOR")</f>
        <v>REGION_EKSPOR</v>
      </c>
      <c r="I1885" s="136"/>
    </row>
    <row r="1886" ht="15.75" customHeight="1">
      <c r="A1886" s="59"/>
      <c r="B1886" s="63">
        <f t="shared" si="1"/>
        <v>16</v>
      </c>
      <c r="C1886" s="75" t="s">
        <v>558</v>
      </c>
      <c r="D1886" s="134" t="s">
        <v>74</v>
      </c>
      <c r="E1886" s="135">
        <f t="shared" si="42"/>
        <v>32</v>
      </c>
      <c r="F1886" s="134" t="s">
        <v>3626</v>
      </c>
      <c r="G1886" s="63" t="str">
        <f>VLOOKUP(C1886, 'Class Def. - General Data'!$C$20:$C$1000,1,false)</f>
        <v>ZFG1_ORALCARELIQ</v>
      </c>
      <c r="H1886" s="63" t="str">
        <f>IFERROR(__xludf.DUMMYFUNCTION("VLOOKUP(F1886, IMPORTRANGE(""https://docs.google.com/spreadsheets/d/1Lhp9OU0JdFf_VYSMzH5lBcEaU4o8teT1piV-SNzShjg/edit?gid=554141278#gid=554141278"", ""'Char Def. - Attributes'!C20:C2242""), 1,false)"),"STICKER_NOT")</f>
        <v>STICKER_NOT</v>
      </c>
      <c r="I1886" s="136"/>
    </row>
    <row r="1887" ht="15.75" customHeight="1">
      <c r="A1887" s="59"/>
      <c r="B1887" s="63">
        <f t="shared" si="1"/>
        <v>16</v>
      </c>
      <c r="C1887" s="75" t="s">
        <v>558</v>
      </c>
      <c r="D1887" s="134" t="s">
        <v>74</v>
      </c>
      <c r="E1887" s="135">
        <f t="shared" si="42"/>
        <v>33</v>
      </c>
      <c r="F1887" s="134" t="s">
        <v>3627</v>
      </c>
      <c r="G1887" s="63" t="str">
        <f>VLOOKUP(C1887, 'Class Def. - General Data'!$C$20:$C$1000,1,false)</f>
        <v>ZFG1_ORALCARELIQ</v>
      </c>
      <c r="H1887" s="63" t="str">
        <f>IFERROR(__xludf.DUMMYFUNCTION("VLOOKUP(F1887, IMPORTRANGE(""https://docs.google.com/spreadsheets/d/1Lhp9OU0JdFf_VYSMzH5lBcEaU4o8teT1piV-SNzShjg/edit?gid=554141278#gid=554141278"", ""'Char Def. - Attributes'!C20:C2242""), 1,false)"),"SHIP_MARK")</f>
        <v>SHIP_MARK</v>
      </c>
      <c r="I1887" s="136"/>
    </row>
    <row r="1888" ht="15.75" customHeight="1">
      <c r="A1888" s="59"/>
      <c r="B1888" s="63">
        <f t="shared" si="1"/>
        <v>16</v>
      </c>
      <c r="C1888" s="75" t="s">
        <v>558</v>
      </c>
      <c r="D1888" s="134" t="s">
        <v>74</v>
      </c>
      <c r="E1888" s="135">
        <f t="shared" si="42"/>
        <v>34</v>
      </c>
      <c r="F1888" s="134" t="s">
        <v>3628</v>
      </c>
      <c r="G1888" s="63" t="str">
        <f>VLOOKUP(C1888, 'Class Def. - General Data'!$C$20:$C$1000,1,false)</f>
        <v>ZFG1_ORALCARELIQ</v>
      </c>
      <c r="H1888" s="63" t="str">
        <f>IFERROR(__xludf.DUMMYFUNCTION("VLOOKUP(F1888, IMPORTRANGE(""https://docs.google.com/spreadsheets/d/1Lhp9OU0JdFf_VYSMzH5lBcEaU4o8teT1piV-SNzShjg/edit?gid=554141278#gid=554141278"", ""'Char Def. - Attributes'!C20:C2242""), 1,false)"),"MID_CORE")</f>
        <v>MID_CORE</v>
      </c>
      <c r="I1888" s="136"/>
    </row>
    <row r="1889" ht="15.75" customHeight="1">
      <c r="A1889" s="59"/>
      <c r="B1889" s="63">
        <f t="shared" si="1"/>
        <v>16</v>
      </c>
      <c r="C1889" s="75" t="s">
        <v>558</v>
      </c>
      <c r="D1889" s="134" t="s">
        <v>74</v>
      </c>
      <c r="E1889" s="135">
        <f t="shared" si="42"/>
        <v>35</v>
      </c>
      <c r="F1889" s="134" t="s">
        <v>3629</v>
      </c>
      <c r="G1889" s="63" t="str">
        <f>VLOOKUP(C1889, 'Class Def. - General Data'!$C$20:$C$1000,1,false)</f>
        <v>ZFG1_ORALCARELIQ</v>
      </c>
      <c r="H1889" s="63" t="str">
        <f>IFERROR(__xludf.DUMMYFUNCTION("VLOOKUP(F1889, IMPORTRANGE(""https://docs.google.com/spreadsheets/d/1Lhp9OU0JdFf_VYSMzH5lBcEaU4o8teT1piV-SNzShjg/edit?gid=554141278#gid=554141278"", ""'Char Def. - Attributes'!C20:C2242""), 1,false)"),"EAN_CTN")</f>
        <v>EAN_CTN</v>
      </c>
      <c r="I1889" s="136"/>
    </row>
    <row r="1890" ht="15.75" customHeight="1">
      <c r="A1890" s="59"/>
      <c r="B1890" s="63">
        <f t="shared" si="1"/>
        <v>16</v>
      </c>
      <c r="C1890" s="75" t="s">
        <v>558</v>
      </c>
      <c r="D1890" s="134" t="s">
        <v>74</v>
      </c>
      <c r="E1890" s="135">
        <f t="shared" si="42"/>
        <v>36</v>
      </c>
      <c r="F1890" s="134" t="s">
        <v>3630</v>
      </c>
      <c r="G1890" s="63" t="str">
        <f>VLOOKUP(C1890, 'Class Def. - General Data'!$C$20:$C$1000,1,false)</f>
        <v>ZFG1_ORALCARELIQ</v>
      </c>
      <c r="H1890" s="63" t="str">
        <f>IFERROR(__xludf.DUMMYFUNCTION("VLOOKUP(F1890, IMPORTRANGE(""https://docs.google.com/spreadsheets/d/1Lhp9OU0JdFf_VYSMzH5lBcEaU4o8teT1piV-SNzShjg/edit?gid=554141278#gid=554141278"", ""'Char Def. - Attributes'!C20:C2242""), 1,false)"),"EAN_BOX")</f>
        <v>EAN_BOX</v>
      </c>
      <c r="I1890" s="136"/>
    </row>
    <row r="1891" ht="15.75" customHeight="1">
      <c r="A1891" s="59"/>
      <c r="B1891" s="63">
        <f t="shared" si="1"/>
        <v>16</v>
      </c>
      <c r="C1891" s="75" t="s">
        <v>558</v>
      </c>
      <c r="D1891" s="141" t="s">
        <v>74</v>
      </c>
      <c r="E1891" s="135">
        <v>22.0</v>
      </c>
      <c r="F1891" s="135" t="s">
        <v>3603</v>
      </c>
      <c r="G1891" s="63" t="str">
        <f>VLOOKUP(C1891, 'Class Def. - General Data'!$C$20:$C$1000,1,false)</f>
        <v>ZFG1_ORALCARELIQ</v>
      </c>
      <c r="I1891" s="136"/>
    </row>
    <row r="1892" ht="15.75" customHeight="1">
      <c r="A1892" s="59"/>
      <c r="B1892" s="63">
        <f t="shared" si="1"/>
        <v>11</v>
      </c>
      <c r="C1892" s="134" t="s">
        <v>129</v>
      </c>
      <c r="D1892" s="134" t="s">
        <v>74</v>
      </c>
      <c r="E1892" s="135">
        <f t="shared" ref="E1892:E1927" si="43">COUNTIF($C$20:C1892,C1892)</f>
        <v>1</v>
      </c>
      <c r="F1892" s="134" t="s">
        <v>3733</v>
      </c>
      <c r="G1892" s="63" t="str">
        <f>VLOOKUP(C1892, 'Class Def. - General Data'!$C$20:$C$1000,1,false)</f>
        <v>ZFG1_PETRTD</v>
      </c>
      <c r="H1892" s="63" t="str">
        <f>IFERROR(__xludf.DUMMYFUNCTION("VLOOKUP(F1892, IMPORTRANGE(""https://docs.google.com/spreadsheets/d/1Lhp9OU0JdFf_VYSMzH5lBcEaU4o8teT1piV-SNzShjg/edit?gid=554141278#gid=554141278"", ""'Char Def. - Attributes'!C20:C2242""), 1,false)"),"BRAND_PETRTD")</f>
        <v>BRAND_PETRTD</v>
      </c>
      <c r="I1892" s="136"/>
    </row>
    <row r="1893" ht="15.75" customHeight="1">
      <c r="A1893" s="59"/>
      <c r="B1893" s="63">
        <f t="shared" si="1"/>
        <v>11</v>
      </c>
      <c r="C1893" s="135" t="s">
        <v>129</v>
      </c>
      <c r="D1893" s="134" t="s">
        <v>74</v>
      </c>
      <c r="E1893" s="135">
        <f t="shared" si="43"/>
        <v>2</v>
      </c>
      <c r="F1893" s="134" t="s">
        <v>3734</v>
      </c>
      <c r="G1893" s="63" t="str">
        <f>VLOOKUP(C1893, 'Class Def. - General Data'!$C$20:$C$1000,1,false)</f>
        <v>ZFG1_PETRTD</v>
      </c>
      <c r="H1893" s="63" t="str">
        <f>IFERROR(__xludf.DUMMYFUNCTION("VLOOKUP(F1893, IMPORTRANGE(""https://docs.google.com/spreadsheets/d/1Lhp9OU0JdFf_VYSMzH5lBcEaU4o8teT1piV-SNzShjg/edit?gid=554141278#gid=554141278"", ""'Char Def. - Attributes'!C20:C2242""), 1,false)"),"PSHAPE_PETRTD")</f>
        <v>PSHAPE_PETRTD</v>
      </c>
      <c r="I1893" s="136"/>
    </row>
    <row r="1894" ht="15.75" customHeight="1">
      <c r="A1894" s="59"/>
      <c r="B1894" s="63">
        <f t="shared" si="1"/>
        <v>11</v>
      </c>
      <c r="C1894" s="134" t="s">
        <v>129</v>
      </c>
      <c r="D1894" s="134" t="s">
        <v>74</v>
      </c>
      <c r="E1894" s="135">
        <f t="shared" si="43"/>
        <v>3</v>
      </c>
      <c r="F1894" s="134" t="s">
        <v>3605</v>
      </c>
      <c r="G1894" s="63" t="str">
        <f>VLOOKUP(C1894, 'Class Def. - General Data'!$C$20:$C$1000,1,false)</f>
        <v>ZFG1_PETRTD</v>
      </c>
      <c r="H1894" s="63" t="str">
        <f>IFERROR(__xludf.DUMMYFUNCTION("VLOOKUP(F1894, IMPORTRANGE(""https://docs.google.com/spreadsheets/d/1Lhp9OU0JdFf_VYSMzH5lBcEaU4o8teT1piV-SNzShjg/edit?gid=554141278#gid=554141278"", ""'Char Def. - Attributes'!C20:C2242""), 1,false)"),"PACK_NETTO")</f>
        <v>PACK_NETTO</v>
      </c>
      <c r="I1894" s="136"/>
    </row>
    <row r="1895" ht="15.75" customHeight="1">
      <c r="A1895" s="59"/>
      <c r="B1895" s="63">
        <f t="shared" si="1"/>
        <v>11</v>
      </c>
      <c r="C1895" s="135" t="s">
        <v>129</v>
      </c>
      <c r="D1895" s="134" t="s">
        <v>74</v>
      </c>
      <c r="E1895" s="135">
        <f t="shared" si="43"/>
        <v>4</v>
      </c>
      <c r="F1895" s="134" t="s">
        <v>3735</v>
      </c>
      <c r="G1895" s="63" t="str">
        <f>VLOOKUP(C1895, 'Class Def. - General Data'!$C$20:$C$1000,1,false)</f>
        <v>ZFG1_PETRTD</v>
      </c>
      <c r="H1895" s="63" t="str">
        <f>IFERROR(__xludf.DUMMYFUNCTION("VLOOKUP(F1895, IMPORTRANGE(""https://docs.google.com/spreadsheets/d/1Lhp9OU0JdFf_VYSMzH5lBcEaU4o8teT1piV-SNzShjg/edit?gid=554141278#gid=554141278"", ""'Char Def. - Attributes'!C20:C2242""), 1,false)"),"PUOM_PETRTD")</f>
        <v>PUOM_PETRTD</v>
      </c>
      <c r="I1895" s="136"/>
    </row>
    <row r="1896" ht="15.75" customHeight="1">
      <c r="A1896" s="59"/>
      <c r="B1896" s="63">
        <f t="shared" si="1"/>
        <v>11</v>
      </c>
      <c r="C1896" s="134" t="s">
        <v>129</v>
      </c>
      <c r="D1896" s="134" t="s">
        <v>74</v>
      </c>
      <c r="E1896" s="135">
        <f t="shared" si="43"/>
        <v>5</v>
      </c>
      <c r="F1896" s="134" t="s">
        <v>3607</v>
      </c>
      <c r="G1896" s="63" t="str">
        <f>VLOOKUP(C1896, 'Class Def. - General Data'!$C$20:$C$1000,1,false)</f>
        <v>ZFG1_PETRTD</v>
      </c>
      <c r="H1896" s="63" t="str">
        <f>IFERROR(__xludf.DUMMYFUNCTION("VLOOKUP(F1896, IMPORTRANGE(""https://docs.google.com/spreadsheets/d/1Lhp9OU0JdFf_VYSMzH5lBcEaU4o8teT1piV-SNzShjg/edit?gid=554141278#gid=554141278"", ""'Char Def. - Attributes'!C20:C2242""), 1,false)"),"VARIAN")</f>
        <v>VARIAN</v>
      </c>
      <c r="I1896" s="136"/>
    </row>
    <row r="1897" ht="15.75" customHeight="1">
      <c r="A1897" s="59"/>
      <c r="B1897" s="63">
        <f t="shared" si="1"/>
        <v>11</v>
      </c>
      <c r="C1897" s="134" t="s">
        <v>129</v>
      </c>
      <c r="D1897" s="134" t="s">
        <v>74</v>
      </c>
      <c r="E1897" s="135">
        <f t="shared" si="43"/>
        <v>6</v>
      </c>
      <c r="F1897" s="134" t="s">
        <v>3608</v>
      </c>
      <c r="G1897" s="63" t="str">
        <f>VLOOKUP(C1897, 'Class Def. - General Data'!$C$20:$C$1000,1,false)</f>
        <v>ZFG1_PETRTD</v>
      </c>
      <c r="H1897" s="63" t="str">
        <f>IFERROR(__xludf.DUMMYFUNCTION("VLOOKUP(F1897, IMPORTRANGE(""https://docs.google.com/spreadsheets/d/1Lhp9OU0JdFf_VYSMzH5lBcEaU4o8teT1piV-SNzShjg/edit?gid=554141278#gid=554141278"", ""'Char Def. - Attributes'!C20:C2242""), 1,false)"),"PROJECT_NAME")</f>
        <v>PROJECT_NAME</v>
      </c>
      <c r="I1897" s="136"/>
    </row>
    <row r="1898" ht="15.75" customHeight="1">
      <c r="A1898" s="59"/>
      <c r="B1898" s="63">
        <f t="shared" si="1"/>
        <v>11</v>
      </c>
      <c r="C1898" s="134" t="s">
        <v>129</v>
      </c>
      <c r="D1898" s="134" t="s">
        <v>74</v>
      </c>
      <c r="E1898" s="135">
        <f t="shared" si="43"/>
        <v>7</v>
      </c>
      <c r="F1898" s="134" t="s">
        <v>3609</v>
      </c>
      <c r="G1898" s="63" t="str">
        <f>VLOOKUP(C1898, 'Class Def. - General Data'!$C$20:$C$1000,1,false)</f>
        <v>ZFG1_PETRTD</v>
      </c>
      <c r="H1898" s="63" t="str">
        <f>IFERROR(__xludf.DUMMYFUNCTION("VLOOKUP(F1898, IMPORTRANGE(""https://docs.google.com/spreadsheets/d/1Lhp9OU0JdFf_VYSMzH5lBcEaU4o8teT1piV-SNzShjg/edit?gid=554141278#gid=554141278"", ""'Char Def. - Attributes'!C20:C2242""), 1,false)"),"ADDITIONAL_PROMO")</f>
        <v>ADDITIONAL_PROMO</v>
      </c>
      <c r="I1898" s="136"/>
    </row>
    <row r="1899" ht="15.75" customHeight="1">
      <c r="A1899" s="59"/>
      <c r="B1899" s="63">
        <f t="shared" si="1"/>
        <v>11</v>
      </c>
      <c r="C1899" s="134" t="s">
        <v>129</v>
      </c>
      <c r="D1899" s="134" t="s">
        <v>74</v>
      </c>
      <c r="E1899" s="135">
        <f t="shared" si="43"/>
        <v>8</v>
      </c>
      <c r="F1899" s="134" t="s">
        <v>3610</v>
      </c>
      <c r="G1899" s="63" t="str">
        <f>VLOOKUP(C1899, 'Class Def. - General Data'!$C$20:$C$1000,1,false)</f>
        <v>ZFG1_PETRTD</v>
      </c>
      <c r="H1899" s="63" t="str">
        <f>IFERROR(__xludf.DUMMYFUNCTION("VLOOKUP(F1899, IMPORTRANGE(""https://docs.google.com/spreadsheets/d/1Lhp9OU0JdFf_VYSMzH5lBcEaU4o8teT1piV-SNzShjg/edit?gid=554141278#gid=554141278"", ""'Char Def. - Attributes'!C20:C2242""), 1,false)"),"BANDED_PROMO")</f>
        <v>BANDED_PROMO</v>
      </c>
      <c r="I1899" s="136"/>
    </row>
    <row r="1900" ht="15.75" customHeight="1">
      <c r="A1900" s="59"/>
      <c r="B1900" s="63">
        <f t="shared" si="1"/>
        <v>11</v>
      </c>
      <c r="C1900" s="134" t="s">
        <v>129</v>
      </c>
      <c r="D1900" s="134" t="s">
        <v>74</v>
      </c>
      <c r="E1900" s="135">
        <f t="shared" si="43"/>
        <v>9</v>
      </c>
      <c r="F1900" s="134" t="s">
        <v>3611</v>
      </c>
      <c r="G1900" s="63" t="str">
        <f>VLOOKUP(C1900, 'Class Def. - General Data'!$C$20:$C$1000,1,false)</f>
        <v>ZFG1_PETRTD</v>
      </c>
      <c r="H1900" s="63" t="str">
        <f>IFERROR(__xludf.DUMMYFUNCTION("VLOOKUP(F1900, IMPORTRANGE(""https://docs.google.com/spreadsheets/d/1Lhp9OU0JdFf_VYSMzH5lBcEaU4o8teT1piV-SNzShjg/edit?gid=554141278#gid=554141278"", ""'Char Def. - Attributes'!C20:C2242""), 1,false)"),"LOKAL_EKSPOR")</f>
        <v>LOKAL_EKSPOR</v>
      </c>
      <c r="I1900" s="136"/>
    </row>
    <row r="1901" ht="15.75" customHeight="1">
      <c r="A1901" s="59"/>
      <c r="B1901" s="63">
        <f t="shared" si="1"/>
        <v>11</v>
      </c>
      <c r="C1901" s="134" t="s">
        <v>129</v>
      </c>
      <c r="D1901" s="134" t="s">
        <v>74</v>
      </c>
      <c r="E1901" s="135">
        <f t="shared" si="43"/>
        <v>10</v>
      </c>
      <c r="F1901" s="134" t="s">
        <v>3612</v>
      </c>
      <c r="G1901" s="63" t="str">
        <f>VLOOKUP(C1901, 'Class Def. - General Data'!$C$20:$C$1000,1,false)</f>
        <v>ZFG1_PETRTD</v>
      </c>
      <c r="H1901" s="63" t="str">
        <f>IFERROR(__xludf.DUMMYFUNCTION("VLOOKUP(F1901, IMPORTRANGE(""https://docs.google.com/spreadsheets/d/1Lhp9OU0JdFf_VYSMzH5lBcEaU4o8teT1piV-SNzShjg/edit?gid=554141278#gid=554141278"", ""'Char Def. - Attributes'!C20:C2242""), 1,false)"),"COUNTRY_EKSPOR")</f>
        <v>COUNTRY_EKSPOR</v>
      </c>
      <c r="I1901" s="136"/>
    </row>
    <row r="1902" ht="15.75" customHeight="1">
      <c r="A1902" s="59"/>
      <c r="B1902" s="63">
        <f t="shared" si="1"/>
        <v>11</v>
      </c>
      <c r="C1902" s="134" t="s">
        <v>129</v>
      </c>
      <c r="D1902" s="134" t="s">
        <v>74</v>
      </c>
      <c r="E1902" s="135">
        <f t="shared" si="43"/>
        <v>11</v>
      </c>
      <c r="F1902" s="134" t="s">
        <v>3613</v>
      </c>
      <c r="G1902" s="63" t="str">
        <f>VLOOKUP(C1902, 'Class Def. - General Data'!$C$20:$C$1000,1,false)</f>
        <v>ZFG1_PETRTD</v>
      </c>
      <c r="H1902" s="63" t="str">
        <f>IFERROR(__xludf.DUMMYFUNCTION("VLOOKUP(F1902, IMPORTRANGE(""https://docs.google.com/spreadsheets/d/1Lhp9OU0JdFf_VYSMzH5lBcEaU4o8teT1piV-SNzShjg/edit?gid=554141278#gid=554141278"", ""'Char Def. - Attributes'!C20:C2242""), 1,false)"),"WARNA_SFG")</f>
        <v>WARNA_SFG</v>
      </c>
      <c r="I1902" s="136"/>
    </row>
    <row r="1903" ht="15.75" customHeight="1">
      <c r="A1903" s="59"/>
      <c r="B1903" s="63">
        <f t="shared" si="1"/>
        <v>11</v>
      </c>
      <c r="C1903" s="134" t="s">
        <v>129</v>
      </c>
      <c r="D1903" s="134" t="s">
        <v>74</v>
      </c>
      <c r="E1903" s="135">
        <f t="shared" si="43"/>
        <v>12</v>
      </c>
      <c r="F1903" s="134" t="s">
        <v>3582</v>
      </c>
      <c r="G1903" s="63" t="str">
        <f>VLOOKUP(C1903, 'Class Def. - General Data'!$C$20:$C$1000,1,false)</f>
        <v>ZFG1_PETRTD</v>
      </c>
      <c r="H1903" s="63" t="str">
        <f>IFERROR(__xludf.DUMMYFUNCTION("VLOOKUP(F1903, IMPORTRANGE(""https://docs.google.com/spreadsheets/d/1Lhp9OU0JdFf_VYSMzH5lBcEaU4o8teT1piV-SNzShjg/edit?gid=554141278#gid=554141278"", ""'Char Def. - Attributes'!C20:C2242""), 1,false)"),"BASE_UNIT")</f>
        <v>BASE_UNIT</v>
      </c>
      <c r="I1903" s="136"/>
    </row>
    <row r="1904" ht="15.75" customHeight="1">
      <c r="A1904" s="59"/>
      <c r="B1904" s="63">
        <f t="shared" si="1"/>
        <v>11</v>
      </c>
      <c r="C1904" s="134" t="s">
        <v>129</v>
      </c>
      <c r="D1904" s="134" t="s">
        <v>74</v>
      </c>
      <c r="E1904" s="135">
        <f t="shared" si="43"/>
        <v>13</v>
      </c>
      <c r="F1904" s="134" t="s">
        <v>3583</v>
      </c>
      <c r="G1904" s="63" t="str">
        <f>VLOOKUP(C1904, 'Class Def. - General Data'!$C$20:$C$1000,1,false)</f>
        <v>ZFG1_PETRTD</v>
      </c>
      <c r="H1904" s="63" t="str">
        <f>IFERROR(__xludf.DUMMYFUNCTION("VLOOKUP(F1904, IMPORTRANGE(""https://docs.google.com/spreadsheets/d/1Lhp9OU0JdFf_VYSMzH5lBcEaU4o8teT1piV-SNzShjg/edit?gid=554141278#gid=554141278"", ""'Char Def. - Attributes'!C20:C2242""), 1,false)"),"SALES_UNIT")</f>
        <v>SALES_UNIT</v>
      </c>
      <c r="I1904" s="136"/>
    </row>
    <row r="1905" ht="15.75" customHeight="1">
      <c r="A1905" s="59"/>
      <c r="B1905" s="63">
        <f t="shared" si="1"/>
        <v>11</v>
      </c>
      <c r="C1905" s="134" t="s">
        <v>129</v>
      </c>
      <c r="D1905" s="134" t="s">
        <v>74</v>
      </c>
      <c r="E1905" s="135">
        <f t="shared" si="43"/>
        <v>14</v>
      </c>
      <c r="F1905" s="134" t="s">
        <v>3601</v>
      </c>
      <c r="G1905" s="63" t="str">
        <f>VLOOKUP(C1905, 'Class Def. - General Data'!$C$20:$C$1000,1,false)</f>
        <v>ZFG1_PETRTD</v>
      </c>
      <c r="H1905" s="63" t="str">
        <f>IFERROR(__xludf.DUMMYFUNCTION("VLOOKUP(F1905, IMPORTRANGE(""https://docs.google.com/spreadsheets/d/1Lhp9OU0JdFf_VYSMzH5lBcEaU4o8teT1piV-SNzShjg/edit?gid=554141278#gid=554141278"", ""'Char Def. - Attributes'!C20:C2242""), 1,false)"),"GROSS_WEIGHT")</f>
        <v>GROSS_WEIGHT</v>
      </c>
      <c r="I1905" s="136"/>
    </row>
    <row r="1906" ht="15.75" customHeight="1">
      <c r="A1906" s="59"/>
      <c r="B1906" s="63">
        <f t="shared" si="1"/>
        <v>11</v>
      </c>
      <c r="C1906" s="134" t="s">
        <v>129</v>
      </c>
      <c r="D1906" s="134" t="s">
        <v>74</v>
      </c>
      <c r="E1906" s="135">
        <f t="shared" si="43"/>
        <v>15</v>
      </c>
      <c r="F1906" s="134" t="s">
        <v>3602</v>
      </c>
      <c r="G1906" s="63" t="str">
        <f>VLOOKUP(C1906, 'Class Def. - General Data'!$C$20:$C$1000,1,false)</f>
        <v>ZFG1_PETRTD</v>
      </c>
      <c r="H1906" s="63" t="str">
        <f>IFERROR(__xludf.DUMMYFUNCTION("VLOOKUP(F1906, IMPORTRANGE(""https://docs.google.com/spreadsheets/d/1Lhp9OU0JdFf_VYSMzH5lBcEaU4o8teT1piV-SNzShjg/edit?gid=554141278#gid=554141278"", ""'Char Def. - Attributes'!C20:C2242""), 1,false)"),"NET_WEIGHT")</f>
        <v>NET_WEIGHT</v>
      </c>
      <c r="I1906" s="136"/>
    </row>
    <row r="1907" ht="15.75" customHeight="1">
      <c r="A1907" s="59"/>
      <c r="B1907" s="63">
        <f t="shared" si="1"/>
        <v>11</v>
      </c>
      <c r="C1907" s="134" t="s">
        <v>129</v>
      </c>
      <c r="D1907" s="134" t="s">
        <v>74</v>
      </c>
      <c r="E1907" s="135">
        <f t="shared" si="43"/>
        <v>16</v>
      </c>
      <c r="F1907" s="134" t="s">
        <v>3584</v>
      </c>
      <c r="G1907" s="63" t="str">
        <f>VLOOKUP(C1907, 'Class Def. - General Data'!$C$20:$C$1000,1,false)</f>
        <v>ZFG1_PETRTD</v>
      </c>
      <c r="H1907" s="63" t="str">
        <f>IFERROR(__xludf.DUMMYFUNCTION("VLOOKUP(F1907, IMPORTRANGE(""https://docs.google.com/spreadsheets/d/1Lhp9OU0JdFf_VYSMzH5lBcEaU4o8teT1piV-SNzShjg/edit?gid=554141278#gid=554141278"", ""'Char Def. - Attributes'!C20:C2242""), 1,false)"),"UNIT_PER_BOX")</f>
        <v>UNIT_PER_BOX</v>
      </c>
      <c r="I1907" s="136"/>
    </row>
    <row r="1908" ht="15.75" customHeight="1">
      <c r="A1908" s="59"/>
      <c r="B1908" s="63">
        <f t="shared" si="1"/>
        <v>11</v>
      </c>
      <c r="C1908" s="134" t="s">
        <v>129</v>
      </c>
      <c r="D1908" s="134" t="s">
        <v>74</v>
      </c>
      <c r="E1908" s="135">
        <f t="shared" si="43"/>
        <v>17</v>
      </c>
      <c r="F1908" s="134" t="s">
        <v>3614</v>
      </c>
      <c r="G1908" s="63" t="str">
        <f>VLOOKUP(C1908, 'Class Def. - General Data'!$C$20:$C$1000,1,false)</f>
        <v>ZFG1_PETRTD</v>
      </c>
      <c r="H1908" s="63" t="str">
        <f>IFERROR(__xludf.DUMMYFUNCTION("VLOOKUP(F1908, IMPORTRANGE(""https://docs.google.com/spreadsheets/d/1Lhp9OU0JdFf_VYSMzH5lBcEaU4o8teT1piV-SNzShjg/edit?gid=554141278#gid=554141278"", ""'Char Def. - Attributes'!C20:C2242""), 1,false)"),"UNIT_PER_CTN")</f>
        <v>UNIT_PER_CTN</v>
      </c>
      <c r="I1908" s="136"/>
    </row>
    <row r="1909" ht="15.75" customHeight="1">
      <c r="A1909" s="59"/>
      <c r="B1909" s="63">
        <f t="shared" si="1"/>
        <v>11</v>
      </c>
      <c r="C1909" s="134" t="s">
        <v>129</v>
      </c>
      <c r="D1909" s="134" t="s">
        <v>74</v>
      </c>
      <c r="E1909" s="135">
        <f t="shared" si="43"/>
        <v>18</v>
      </c>
      <c r="F1909" s="134" t="s">
        <v>3615</v>
      </c>
      <c r="G1909" s="63" t="str">
        <f>VLOOKUP(C1909, 'Class Def. - General Data'!$C$20:$C$1000,1,false)</f>
        <v>ZFG1_PETRTD</v>
      </c>
      <c r="H1909" s="63" t="str">
        <f>IFERROR(__xludf.DUMMYFUNCTION("VLOOKUP(F1909, IMPORTRANGE(""https://docs.google.com/spreadsheets/d/1Lhp9OU0JdFf_VYSMzH5lBcEaU4o8teT1piV-SNzShjg/edit?gid=554141278#gid=554141278"", ""'Char Def. - Attributes'!C20:C2242""), 1,false)"),"UNIT_PER_BAG")</f>
        <v>UNIT_PER_BAG</v>
      </c>
      <c r="I1909" s="136"/>
    </row>
    <row r="1910" ht="15.75" customHeight="1">
      <c r="A1910" s="59"/>
      <c r="B1910" s="63">
        <f t="shared" si="1"/>
        <v>11</v>
      </c>
      <c r="C1910" s="134" t="s">
        <v>129</v>
      </c>
      <c r="D1910" s="134" t="s">
        <v>74</v>
      </c>
      <c r="E1910" s="135">
        <f t="shared" si="43"/>
        <v>19</v>
      </c>
      <c r="F1910" s="134" t="s">
        <v>3616</v>
      </c>
      <c r="G1910" s="63" t="str">
        <f>VLOOKUP(C1910, 'Class Def. - General Data'!$C$20:$C$1000,1,false)</f>
        <v>ZFG1_PETRTD</v>
      </c>
      <c r="H1910" s="63" t="str">
        <f>IFERROR(__xludf.DUMMYFUNCTION("VLOOKUP(F1910, IMPORTRANGE(""https://docs.google.com/spreadsheets/d/1Lhp9OU0JdFf_VYSMzH5lBcEaU4o8teT1piV-SNzShjg/edit?gid=554141278#gid=554141278"", ""'Char Def. - Attributes'!C20:C2242""), 1,false)"),"UNIT_PER_PAL")</f>
        <v>UNIT_PER_PAL</v>
      </c>
      <c r="I1910" s="136"/>
    </row>
    <row r="1911" ht="15.75" customHeight="1">
      <c r="A1911" s="59"/>
      <c r="B1911" s="63">
        <f t="shared" si="1"/>
        <v>11</v>
      </c>
      <c r="C1911" s="134" t="s">
        <v>129</v>
      </c>
      <c r="D1911" s="134" t="s">
        <v>74</v>
      </c>
      <c r="E1911" s="135">
        <f t="shared" si="43"/>
        <v>20</v>
      </c>
      <c r="F1911" s="134" t="s">
        <v>3617</v>
      </c>
      <c r="G1911" s="63" t="str">
        <f>VLOOKUP(C1911, 'Class Def. - General Data'!$C$20:$C$1000,1,false)</f>
        <v>ZFG1_PETRTD</v>
      </c>
      <c r="H1911" s="63" t="str">
        <f>IFERROR(__xludf.DUMMYFUNCTION("VLOOKUP(F1911, IMPORTRANGE(""https://docs.google.com/spreadsheets/d/1Lhp9OU0JdFf_VYSMzH5lBcEaU4o8teT1piV-SNzShjg/edit?gid=554141278#gid=554141278"", ""'Char Def. - Attributes'!C20:C2242""), 1,false)"),"UNIT_PER_TIER")</f>
        <v>UNIT_PER_TIER</v>
      </c>
      <c r="I1911" s="136"/>
    </row>
    <row r="1912" ht="15.75" customHeight="1">
      <c r="A1912" s="59"/>
      <c r="B1912" s="63">
        <f t="shared" si="1"/>
        <v>11</v>
      </c>
      <c r="C1912" s="134" t="s">
        <v>129</v>
      </c>
      <c r="D1912" s="134" t="s">
        <v>74</v>
      </c>
      <c r="E1912" s="135">
        <f t="shared" si="43"/>
        <v>21</v>
      </c>
      <c r="F1912" s="134" t="s">
        <v>3618</v>
      </c>
      <c r="G1912" s="63" t="str">
        <f>VLOOKUP(C1912, 'Class Def. - General Data'!$C$20:$C$1000,1,false)</f>
        <v>ZFG1_PETRTD</v>
      </c>
      <c r="H1912" s="63" t="str">
        <f>IFERROR(__xludf.DUMMYFUNCTION("VLOOKUP(F1912, IMPORTRANGE(""https://docs.google.com/spreadsheets/d/1Lhp9OU0JdFf_VYSMzH5lBcEaU4o8teT1piV-SNzShjg/edit?gid=554141278#gid=554141278"", ""'Char Def. - Attributes'!C20:C2242""), 1,false)"),"HEIGHT")</f>
        <v>HEIGHT</v>
      </c>
      <c r="I1912" s="136"/>
    </row>
    <row r="1913" ht="15.75" customHeight="1">
      <c r="A1913" s="59"/>
      <c r="B1913" s="63">
        <f t="shared" si="1"/>
        <v>11</v>
      </c>
      <c r="C1913" s="134" t="s">
        <v>129</v>
      </c>
      <c r="D1913" s="134" t="s">
        <v>74</v>
      </c>
      <c r="E1913" s="135">
        <f t="shared" si="43"/>
        <v>22</v>
      </c>
      <c r="F1913" s="134" t="s">
        <v>3587</v>
      </c>
      <c r="G1913" s="63" t="str">
        <f>VLOOKUP(C1913, 'Class Def. - General Data'!$C$20:$C$1000,1,false)</f>
        <v>ZFG1_PETRTD</v>
      </c>
      <c r="H1913" s="63" t="str">
        <f>IFERROR(__xludf.DUMMYFUNCTION("VLOOKUP(F1913, IMPORTRANGE(""https://docs.google.com/spreadsheets/d/1Lhp9OU0JdFf_VYSMzH5lBcEaU4o8teT1piV-SNzShjg/edit?gid=554141278#gid=554141278"", ""'Char Def. - Attributes'!C20:C2242""), 1,false)"),"PLANT_BUY")</f>
        <v>PLANT_BUY</v>
      </c>
      <c r="I1913" s="136"/>
    </row>
    <row r="1914" ht="15.75" customHeight="1">
      <c r="A1914" s="59"/>
      <c r="B1914" s="63">
        <f t="shared" si="1"/>
        <v>11</v>
      </c>
      <c r="C1914" s="134" t="s">
        <v>129</v>
      </c>
      <c r="D1914" s="134" t="s">
        <v>74</v>
      </c>
      <c r="E1914" s="135">
        <f t="shared" si="43"/>
        <v>23</v>
      </c>
      <c r="F1914" s="134" t="s">
        <v>3619</v>
      </c>
      <c r="G1914" s="63" t="str">
        <f>VLOOKUP(C1914, 'Class Def. - General Data'!$C$20:$C$1000,1,false)</f>
        <v>ZFG1_PETRTD</v>
      </c>
      <c r="H1914" s="63" t="str">
        <f>IFERROR(__xludf.DUMMYFUNCTION("VLOOKUP(F1914, IMPORTRANGE(""https://docs.google.com/spreadsheets/d/1Lhp9OU0JdFf_VYSMzH5lBcEaU4o8teT1piV-SNzShjg/edit?gid=554141278#gid=554141278"", ""'Char Def. - Attributes'!C20:C2242""), 1,false)"),"LENGTH")</f>
        <v>LENGTH</v>
      </c>
      <c r="I1914" s="136"/>
    </row>
    <row r="1915" ht="15.75" customHeight="1">
      <c r="A1915" s="59"/>
      <c r="B1915" s="63">
        <f t="shared" si="1"/>
        <v>11</v>
      </c>
      <c r="C1915" s="134" t="s">
        <v>129</v>
      </c>
      <c r="D1915" s="134" t="s">
        <v>74</v>
      </c>
      <c r="E1915" s="135">
        <f t="shared" si="43"/>
        <v>24</v>
      </c>
      <c r="F1915" s="134" t="s">
        <v>3586</v>
      </c>
      <c r="G1915" s="63" t="str">
        <f>VLOOKUP(C1915, 'Class Def. - General Data'!$C$20:$C$1000,1,false)</f>
        <v>ZFG1_PETRTD</v>
      </c>
      <c r="H1915" s="63" t="str">
        <f>IFERROR(__xludf.DUMMYFUNCTION("VLOOKUP(F1915, IMPORTRANGE(""https://docs.google.com/spreadsheets/d/1Lhp9OU0JdFf_VYSMzH5lBcEaU4o8teT1piV-SNzShjg/edit?gid=554141278#gid=554141278"", ""'Char Def. - Attributes'!C20:C2242""), 1,false)"),"PLANT_PROD")</f>
        <v>PLANT_PROD</v>
      </c>
      <c r="I1915" s="136"/>
    </row>
    <row r="1916" ht="15.75" customHeight="1">
      <c r="A1916" s="59"/>
      <c r="B1916" s="63">
        <f t="shared" si="1"/>
        <v>11</v>
      </c>
      <c r="C1916" s="134" t="s">
        <v>129</v>
      </c>
      <c r="D1916" s="134" t="s">
        <v>74</v>
      </c>
      <c r="E1916" s="135">
        <f t="shared" si="43"/>
        <v>25</v>
      </c>
      <c r="F1916" s="134" t="s">
        <v>3620</v>
      </c>
      <c r="G1916" s="63" t="str">
        <f>VLOOKUP(C1916, 'Class Def. - General Data'!$C$20:$C$1000,1,false)</f>
        <v>ZFG1_PETRTD</v>
      </c>
      <c r="H1916" s="63" t="str">
        <f>IFERROR(__xludf.DUMMYFUNCTION("VLOOKUP(F1916, IMPORTRANGE(""https://docs.google.com/spreadsheets/d/1Lhp9OU0JdFf_VYSMzH5lBcEaU4o8teT1piV-SNzShjg/edit?gid=554141278#gid=554141278"", ""'Char Def. - Attributes'!C20:C2242""), 1,false)"),"WIDTH")</f>
        <v>WIDTH</v>
      </c>
      <c r="I1916" s="136"/>
    </row>
    <row r="1917" ht="15.75" customHeight="1">
      <c r="A1917" s="59"/>
      <c r="B1917" s="63">
        <f t="shared" si="1"/>
        <v>11</v>
      </c>
      <c r="C1917" s="134" t="s">
        <v>129</v>
      </c>
      <c r="D1917" s="134" t="s">
        <v>74</v>
      </c>
      <c r="E1917" s="135">
        <f t="shared" si="43"/>
        <v>26</v>
      </c>
      <c r="F1917" s="134" t="s">
        <v>3585</v>
      </c>
      <c r="G1917" s="63" t="str">
        <f>VLOOKUP(C1917, 'Class Def. - General Data'!$C$20:$C$1000,1,false)</f>
        <v>ZFG1_PETRTD</v>
      </c>
      <c r="H1917" s="63" t="str">
        <f>IFERROR(__xludf.DUMMYFUNCTION("VLOOKUP(F1917, IMPORTRANGE(""https://docs.google.com/spreadsheets/d/1Lhp9OU0JdFf_VYSMzH5lBcEaU4o8teT1piV-SNzShjg/edit?gid=554141278#gid=554141278"", ""'Char Def. - Attributes'!C20:C2242""), 1,false)"),"HS_CODE")</f>
        <v>HS_CODE</v>
      </c>
      <c r="I1917" s="136"/>
    </row>
    <row r="1918" ht="15.75" customHeight="1">
      <c r="A1918" s="59"/>
      <c r="B1918" s="63">
        <f t="shared" si="1"/>
        <v>11</v>
      </c>
      <c r="C1918" s="134" t="s">
        <v>129</v>
      </c>
      <c r="D1918" s="134" t="s">
        <v>74</v>
      </c>
      <c r="E1918" s="135">
        <f t="shared" si="43"/>
        <v>27</v>
      </c>
      <c r="F1918" s="134" t="s">
        <v>3621</v>
      </c>
      <c r="G1918" s="63" t="str">
        <f>VLOOKUP(C1918, 'Class Def. - General Data'!$C$20:$C$1000,1,false)</f>
        <v>ZFG1_PETRTD</v>
      </c>
      <c r="H1918" s="63" t="str">
        <f>IFERROR(__xludf.DUMMYFUNCTION("VLOOKUP(F1918, IMPORTRANGE(""https://docs.google.com/spreadsheets/d/1Lhp9OU0JdFf_VYSMzH5lBcEaU4o8teT1piV-SNzShjg/edit?gid=554141278#gid=554141278"", ""'Char Def. - Attributes'!C20:C2242""), 1,false)"),"EAN_PCS")</f>
        <v>EAN_PCS</v>
      </c>
      <c r="I1918" s="136"/>
    </row>
    <row r="1919" ht="15.75" customHeight="1">
      <c r="A1919" s="59"/>
      <c r="B1919" s="63">
        <f t="shared" si="1"/>
        <v>11</v>
      </c>
      <c r="C1919" s="134" t="s">
        <v>129</v>
      </c>
      <c r="D1919" s="134" t="s">
        <v>74</v>
      </c>
      <c r="E1919" s="135">
        <f t="shared" si="43"/>
        <v>28</v>
      </c>
      <c r="F1919" s="134" t="s">
        <v>3622</v>
      </c>
      <c r="G1919" s="63" t="str">
        <f>VLOOKUP(C1919, 'Class Def. - General Data'!$C$20:$C$1000,1,false)</f>
        <v>ZFG1_PETRTD</v>
      </c>
      <c r="H1919" s="63" t="str">
        <f>IFERROR(__xludf.DUMMYFUNCTION("VLOOKUP(F1919, IMPORTRANGE(""https://docs.google.com/spreadsheets/d/1Lhp9OU0JdFf_VYSMzH5lBcEaU4o8teT1piV-SNzShjg/edit?gid=554141278#gid=554141278"", ""'Char Def. - Attributes'!C20:C2242""), 1,false)"),"SFG_BRAND")</f>
        <v>SFG_BRAND</v>
      </c>
      <c r="I1919" s="136"/>
    </row>
    <row r="1920" ht="15.75" customHeight="1">
      <c r="A1920" s="59"/>
      <c r="B1920" s="63">
        <f t="shared" si="1"/>
        <v>11</v>
      </c>
      <c r="C1920" s="134" t="s">
        <v>129</v>
      </c>
      <c r="D1920" s="134" t="s">
        <v>74</v>
      </c>
      <c r="E1920" s="135">
        <f t="shared" si="43"/>
        <v>29</v>
      </c>
      <c r="F1920" s="134" t="s">
        <v>3623</v>
      </c>
      <c r="G1920" s="63" t="str">
        <f>VLOOKUP(C1920, 'Class Def. - General Data'!$C$20:$C$1000,1,false)</f>
        <v>ZFG1_PETRTD</v>
      </c>
      <c r="H1920" s="63" t="str">
        <f>IFERROR(__xludf.DUMMYFUNCTION("VLOOKUP(F1920, IMPORTRANGE(""https://docs.google.com/spreadsheets/d/1Lhp9OU0JdFf_VYSMzH5lBcEaU4o8teT1piV-SNzShjg/edit?gid=554141278#gid=554141278"", ""'Char Def. - Attributes'!C20:C2242""), 1,false)"),"LANGUAGE")</f>
        <v>LANGUAGE</v>
      </c>
      <c r="I1920" s="136"/>
    </row>
    <row r="1921" ht="15.75" customHeight="1">
      <c r="A1921" s="59"/>
      <c r="B1921" s="63">
        <f t="shared" si="1"/>
        <v>11</v>
      </c>
      <c r="C1921" s="139" t="s">
        <v>129</v>
      </c>
      <c r="D1921" s="139" t="s">
        <v>74</v>
      </c>
      <c r="E1921" s="140">
        <f t="shared" si="43"/>
        <v>30</v>
      </c>
      <c r="F1921" s="134" t="s">
        <v>3624</v>
      </c>
      <c r="G1921" s="63" t="str">
        <f>VLOOKUP(C1921, 'Class Def. - General Data'!$C$20:$C$1000,1,false)</f>
        <v>ZFG1_PETRTD</v>
      </c>
      <c r="H1921" s="63" t="str">
        <f>IFERROR(__xludf.DUMMYFUNCTION("VLOOKUP(F1921, IMPORTRANGE(""https://docs.google.com/spreadsheets/d/1Lhp9OU0JdFf_VYSMzH5lBcEaU4o8teT1piV-SNzShjg/edit?gid=554141278#gid=554141278"", ""'Char Def. - Attributes'!C20:C2242""), 1,false)"),"#N/A")</f>
        <v>#N/A</v>
      </c>
      <c r="I1921" s="136"/>
    </row>
    <row r="1922" ht="15.75" customHeight="1">
      <c r="A1922" s="59"/>
      <c r="B1922" s="63">
        <f t="shared" si="1"/>
        <v>11</v>
      </c>
      <c r="C1922" s="134" t="s">
        <v>129</v>
      </c>
      <c r="D1922" s="134" t="s">
        <v>74</v>
      </c>
      <c r="E1922" s="135">
        <f t="shared" si="43"/>
        <v>31</v>
      </c>
      <c r="F1922" s="134" t="s">
        <v>3625</v>
      </c>
      <c r="G1922" s="63" t="str">
        <f>VLOOKUP(C1922, 'Class Def. - General Data'!$C$20:$C$1000,1,false)</f>
        <v>ZFG1_PETRTD</v>
      </c>
      <c r="H1922" s="63" t="str">
        <f>IFERROR(__xludf.DUMMYFUNCTION("VLOOKUP(F1922, IMPORTRANGE(""https://docs.google.com/spreadsheets/d/1Lhp9OU0JdFf_VYSMzH5lBcEaU4o8teT1piV-SNzShjg/edit?gid=554141278#gid=554141278"", ""'Char Def. - Attributes'!C20:C2242""), 1,false)"),"REGION_EKSPOR")</f>
        <v>REGION_EKSPOR</v>
      </c>
      <c r="I1922" s="136"/>
    </row>
    <row r="1923" ht="15.75" customHeight="1">
      <c r="A1923" s="59"/>
      <c r="B1923" s="63">
        <f t="shared" si="1"/>
        <v>11</v>
      </c>
      <c r="C1923" s="134" t="s">
        <v>129</v>
      </c>
      <c r="D1923" s="134" t="s">
        <v>74</v>
      </c>
      <c r="E1923" s="135">
        <f t="shared" si="43"/>
        <v>32</v>
      </c>
      <c r="F1923" s="134" t="s">
        <v>3626</v>
      </c>
      <c r="G1923" s="63" t="str">
        <f>VLOOKUP(C1923, 'Class Def. - General Data'!$C$20:$C$1000,1,false)</f>
        <v>ZFG1_PETRTD</v>
      </c>
      <c r="H1923" s="63" t="str">
        <f>IFERROR(__xludf.DUMMYFUNCTION("VLOOKUP(F1923, IMPORTRANGE(""https://docs.google.com/spreadsheets/d/1Lhp9OU0JdFf_VYSMzH5lBcEaU4o8teT1piV-SNzShjg/edit?gid=554141278#gid=554141278"", ""'Char Def. - Attributes'!C20:C2242""), 1,false)"),"STICKER_NOT")</f>
        <v>STICKER_NOT</v>
      </c>
      <c r="I1923" s="136"/>
    </row>
    <row r="1924" ht="15.75" customHeight="1">
      <c r="A1924" s="59"/>
      <c r="B1924" s="63">
        <f t="shared" si="1"/>
        <v>11</v>
      </c>
      <c r="C1924" s="134" t="s">
        <v>129</v>
      </c>
      <c r="D1924" s="134" t="s">
        <v>74</v>
      </c>
      <c r="E1924" s="135">
        <f t="shared" si="43"/>
        <v>33</v>
      </c>
      <c r="F1924" s="134" t="s">
        <v>3627</v>
      </c>
      <c r="G1924" s="63" t="str">
        <f>VLOOKUP(C1924, 'Class Def. - General Data'!$C$20:$C$1000,1,false)</f>
        <v>ZFG1_PETRTD</v>
      </c>
      <c r="H1924" s="63" t="str">
        <f>IFERROR(__xludf.DUMMYFUNCTION("VLOOKUP(F1924, IMPORTRANGE(""https://docs.google.com/spreadsheets/d/1Lhp9OU0JdFf_VYSMzH5lBcEaU4o8teT1piV-SNzShjg/edit?gid=554141278#gid=554141278"", ""'Char Def. - Attributes'!C20:C2242""), 1,false)"),"SHIP_MARK")</f>
        <v>SHIP_MARK</v>
      </c>
      <c r="I1924" s="136"/>
    </row>
    <row r="1925" ht="15.75" customHeight="1">
      <c r="A1925" s="59"/>
      <c r="B1925" s="63">
        <f t="shared" si="1"/>
        <v>11</v>
      </c>
      <c r="C1925" s="134" t="s">
        <v>129</v>
      </c>
      <c r="D1925" s="134" t="s">
        <v>74</v>
      </c>
      <c r="E1925" s="135">
        <f t="shared" si="43"/>
        <v>34</v>
      </c>
      <c r="F1925" s="134" t="s">
        <v>3628</v>
      </c>
      <c r="G1925" s="63" t="str">
        <f>VLOOKUP(C1925, 'Class Def. - General Data'!$C$20:$C$1000,1,false)</f>
        <v>ZFG1_PETRTD</v>
      </c>
      <c r="H1925" s="63" t="str">
        <f>IFERROR(__xludf.DUMMYFUNCTION("VLOOKUP(F1925, IMPORTRANGE(""https://docs.google.com/spreadsheets/d/1Lhp9OU0JdFf_VYSMzH5lBcEaU4o8teT1piV-SNzShjg/edit?gid=554141278#gid=554141278"", ""'Char Def. - Attributes'!C20:C2242""), 1,false)"),"MID_CORE")</f>
        <v>MID_CORE</v>
      </c>
      <c r="I1925" s="136"/>
    </row>
    <row r="1926" ht="15.75" customHeight="1">
      <c r="A1926" s="59"/>
      <c r="B1926" s="63">
        <f t="shared" si="1"/>
        <v>11</v>
      </c>
      <c r="C1926" s="134" t="s">
        <v>129</v>
      </c>
      <c r="D1926" s="134" t="s">
        <v>74</v>
      </c>
      <c r="E1926" s="135">
        <f t="shared" si="43"/>
        <v>35</v>
      </c>
      <c r="F1926" s="134" t="s">
        <v>3629</v>
      </c>
      <c r="G1926" s="63" t="str">
        <f>VLOOKUP(C1926, 'Class Def. - General Data'!$C$20:$C$1000,1,false)</f>
        <v>ZFG1_PETRTD</v>
      </c>
      <c r="H1926" s="63" t="str">
        <f>IFERROR(__xludf.DUMMYFUNCTION("VLOOKUP(F1926, IMPORTRANGE(""https://docs.google.com/spreadsheets/d/1Lhp9OU0JdFf_VYSMzH5lBcEaU4o8teT1piV-SNzShjg/edit?gid=554141278#gid=554141278"", ""'Char Def. - Attributes'!C20:C2242""), 1,false)"),"EAN_CTN")</f>
        <v>EAN_CTN</v>
      </c>
      <c r="I1926" s="136"/>
    </row>
    <row r="1927" ht="15.75" customHeight="1">
      <c r="A1927" s="59"/>
      <c r="B1927" s="63">
        <f t="shared" si="1"/>
        <v>11</v>
      </c>
      <c r="C1927" s="134" t="s">
        <v>129</v>
      </c>
      <c r="D1927" s="134" t="s">
        <v>74</v>
      </c>
      <c r="E1927" s="135">
        <f t="shared" si="43"/>
        <v>36</v>
      </c>
      <c r="F1927" s="134" t="s">
        <v>3630</v>
      </c>
      <c r="G1927" s="63" t="str">
        <f>VLOOKUP(C1927, 'Class Def. - General Data'!$C$20:$C$1000,1,false)</f>
        <v>ZFG1_PETRTD</v>
      </c>
      <c r="H1927" s="63" t="str">
        <f>IFERROR(__xludf.DUMMYFUNCTION("VLOOKUP(F1927, IMPORTRANGE(""https://docs.google.com/spreadsheets/d/1Lhp9OU0JdFf_VYSMzH5lBcEaU4o8teT1piV-SNzShjg/edit?gid=554141278#gid=554141278"", ""'Char Def. - Attributes'!C20:C2242""), 1,false)"),"EAN_BOX")</f>
        <v>EAN_BOX</v>
      </c>
      <c r="I1927" s="136"/>
    </row>
    <row r="1928" ht="15.75" customHeight="1">
      <c r="A1928" s="59"/>
      <c r="B1928" s="63">
        <f t="shared" si="1"/>
        <v>11</v>
      </c>
      <c r="C1928" s="134" t="s">
        <v>129</v>
      </c>
      <c r="D1928" s="141" t="s">
        <v>74</v>
      </c>
      <c r="E1928" s="135">
        <v>22.0</v>
      </c>
      <c r="F1928" s="135" t="s">
        <v>3603</v>
      </c>
      <c r="G1928" s="63" t="str">
        <f>VLOOKUP(C1928, 'Class Def. - General Data'!$C$20:$C$1000,1,false)</f>
        <v>ZFG1_PETRTD</v>
      </c>
      <c r="I1928" s="136"/>
    </row>
    <row r="1929" ht="15.75" customHeight="1">
      <c r="A1929" s="59"/>
      <c r="B1929" s="63">
        <f t="shared" si="1"/>
        <v>12</v>
      </c>
      <c r="C1929" s="134" t="s">
        <v>130</v>
      </c>
      <c r="D1929" s="134" t="s">
        <v>74</v>
      </c>
      <c r="E1929" s="135">
        <f t="shared" ref="E1929:E1964" si="44">COUNTIF($C$20:C1929,C1929)</f>
        <v>1</v>
      </c>
      <c r="F1929" s="134" t="s">
        <v>3736</v>
      </c>
      <c r="G1929" s="63" t="str">
        <f>VLOOKUP(C1929, 'Class Def. - General Data'!$C$20:$C$1000,1,false)</f>
        <v>ZFG1_PEWANGI</v>
      </c>
      <c r="H1929" s="63" t="str">
        <f>IFERROR(__xludf.DUMMYFUNCTION("VLOOKUP(F1929, IMPORTRANGE(""https://docs.google.com/spreadsheets/d/1Lhp9OU0JdFf_VYSMzH5lBcEaU4o8teT1piV-SNzShjg/edit?gid=554141278#gid=554141278"", ""'Char Def. - Attributes'!C20:C2242""), 1,false)"),"BRAND_PEWANGI")</f>
        <v>BRAND_PEWANGI</v>
      </c>
      <c r="I1929" s="136"/>
    </row>
    <row r="1930" ht="15.75" customHeight="1">
      <c r="A1930" s="59"/>
      <c r="B1930" s="63">
        <f t="shared" si="1"/>
        <v>12</v>
      </c>
      <c r="C1930" s="135" t="s">
        <v>130</v>
      </c>
      <c r="D1930" s="134" t="s">
        <v>74</v>
      </c>
      <c r="E1930" s="135">
        <f t="shared" si="44"/>
        <v>2</v>
      </c>
      <c r="F1930" s="134" t="s">
        <v>3737</v>
      </c>
      <c r="G1930" s="63" t="str">
        <f>VLOOKUP(C1930, 'Class Def. - General Data'!$C$20:$C$1000,1,false)</f>
        <v>ZFG1_PEWANGI</v>
      </c>
      <c r="H1930" s="63" t="str">
        <f>IFERROR(__xludf.DUMMYFUNCTION("VLOOKUP(F1930, IMPORTRANGE(""https://docs.google.com/spreadsheets/d/1Lhp9OU0JdFf_VYSMzH5lBcEaU4o8teT1piV-SNzShjg/edit?gid=554141278#gid=554141278"", ""'Char Def. - Attributes'!C20:C2242""), 1,false)"),"PSHAPE_PEWANGI")</f>
        <v>PSHAPE_PEWANGI</v>
      </c>
      <c r="I1930" s="136"/>
    </row>
    <row r="1931" ht="15.75" customHeight="1">
      <c r="A1931" s="59"/>
      <c r="B1931" s="63">
        <f t="shared" si="1"/>
        <v>12</v>
      </c>
      <c r="C1931" s="134" t="s">
        <v>130</v>
      </c>
      <c r="D1931" s="134" t="s">
        <v>74</v>
      </c>
      <c r="E1931" s="135">
        <f t="shared" si="44"/>
        <v>3</v>
      </c>
      <c r="F1931" s="134" t="s">
        <v>3605</v>
      </c>
      <c r="G1931" s="63" t="str">
        <f>VLOOKUP(C1931, 'Class Def. - General Data'!$C$20:$C$1000,1,false)</f>
        <v>ZFG1_PEWANGI</v>
      </c>
      <c r="H1931" s="63" t="str">
        <f>IFERROR(__xludf.DUMMYFUNCTION("VLOOKUP(F1931, IMPORTRANGE(""https://docs.google.com/spreadsheets/d/1Lhp9OU0JdFf_VYSMzH5lBcEaU4o8teT1piV-SNzShjg/edit?gid=554141278#gid=554141278"", ""'Char Def. - Attributes'!C20:C2242""), 1,false)"),"PACK_NETTO")</f>
        <v>PACK_NETTO</v>
      </c>
      <c r="I1931" s="136"/>
    </row>
    <row r="1932" ht="15.75" customHeight="1">
      <c r="A1932" s="59"/>
      <c r="B1932" s="63">
        <f t="shared" si="1"/>
        <v>12</v>
      </c>
      <c r="C1932" s="135" t="s">
        <v>130</v>
      </c>
      <c r="D1932" s="134" t="s">
        <v>74</v>
      </c>
      <c r="E1932" s="135">
        <f t="shared" si="44"/>
        <v>4</v>
      </c>
      <c r="F1932" s="134" t="s">
        <v>3738</v>
      </c>
      <c r="G1932" s="63" t="str">
        <f>VLOOKUP(C1932, 'Class Def. - General Data'!$C$20:$C$1000,1,false)</f>
        <v>ZFG1_PEWANGI</v>
      </c>
      <c r="H1932" s="63" t="str">
        <f>IFERROR(__xludf.DUMMYFUNCTION("VLOOKUP(F1932, IMPORTRANGE(""https://docs.google.com/spreadsheets/d/1Lhp9OU0JdFf_VYSMzH5lBcEaU4o8teT1piV-SNzShjg/edit?gid=554141278#gid=554141278"", ""'Char Def. - Attributes'!C20:C2242""), 1,false)"),"PUOM_PEWANGI")</f>
        <v>PUOM_PEWANGI</v>
      </c>
      <c r="I1932" s="136"/>
    </row>
    <row r="1933" ht="15.75" customHeight="1">
      <c r="A1933" s="59"/>
      <c r="B1933" s="63">
        <f t="shared" si="1"/>
        <v>12</v>
      </c>
      <c r="C1933" s="134" t="s">
        <v>130</v>
      </c>
      <c r="D1933" s="134" t="s">
        <v>74</v>
      </c>
      <c r="E1933" s="135">
        <f t="shared" si="44"/>
        <v>5</v>
      </c>
      <c r="F1933" s="134" t="s">
        <v>3607</v>
      </c>
      <c r="G1933" s="63" t="str">
        <f>VLOOKUP(C1933, 'Class Def. - General Data'!$C$20:$C$1000,1,false)</f>
        <v>ZFG1_PEWANGI</v>
      </c>
      <c r="H1933" s="63" t="str">
        <f>IFERROR(__xludf.DUMMYFUNCTION("VLOOKUP(F1933, IMPORTRANGE(""https://docs.google.com/spreadsheets/d/1Lhp9OU0JdFf_VYSMzH5lBcEaU4o8teT1piV-SNzShjg/edit?gid=554141278#gid=554141278"", ""'Char Def. - Attributes'!C20:C2242""), 1,false)"),"VARIAN")</f>
        <v>VARIAN</v>
      </c>
      <c r="I1933" s="136"/>
    </row>
    <row r="1934" ht="15.75" customHeight="1">
      <c r="A1934" s="59"/>
      <c r="B1934" s="63">
        <f t="shared" si="1"/>
        <v>12</v>
      </c>
      <c r="C1934" s="134" t="s">
        <v>130</v>
      </c>
      <c r="D1934" s="134" t="s">
        <v>74</v>
      </c>
      <c r="E1934" s="135">
        <f t="shared" si="44"/>
        <v>6</v>
      </c>
      <c r="F1934" s="134" t="s">
        <v>3608</v>
      </c>
      <c r="G1934" s="63" t="str">
        <f>VLOOKUP(C1934, 'Class Def. - General Data'!$C$20:$C$1000,1,false)</f>
        <v>ZFG1_PEWANGI</v>
      </c>
      <c r="H1934" s="63" t="str">
        <f>IFERROR(__xludf.DUMMYFUNCTION("VLOOKUP(F1934, IMPORTRANGE(""https://docs.google.com/spreadsheets/d/1Lhp9OU0JdFf_VYSMzH5lBcEaU4o8teT1piV-SNzShjg/edit?gid=554141278#gid=554141278"", ""'Char Def. - Attributes'!C20:C2242""), 1,false)"),"PROJECT_NAME")</f>
        <v>PROJECT_NAME</v>
      </c>
      <c r="I1934" s="136"/>
    </row>
    <row r="1935" ht="15.75" customHeight="1">
      <c r="A1935" s="59"/>
      <c r="B1935" s="63">
        <f t="shared" si="1"/>
        <v>12</v>
      </c>
      <c r="C1935" s="134" t="s">
        <v>130</v>
      </c>
      <c r="D1935" s="134" t="s">
        <v>74</v>
      </c>
      <c r="E1935" s="135">
        <f t="shared" si="44"/>
        <v>7</v>
      </c>
      <c r="F1935" s="134" t="s">
        <v>3609</v>
      </c>
      <c r="G1935" s="63" t="str">
        <f>VLOOKUP(C1935, 'Class Def. - General Data'!$C$20:$C$1000,1,false)</f>
        <v>ZFG1_PEWANGI</v>
      </c>
      <c r="H1935" s="63" t="str">
        <f>IFERROR(__xludf.DUMMYFUNCTION("VLOOKUP(F1935, IMPORTRANGE(""https://docs.google.com/spreadsheets/d/1Lhp9OU0JdFf_VYSMzH5lBcEaU4o8teT1piV-SNzShjg/edit?gid=554141278#gid=554141278"", ""'Char Def. - Attributes'!C20:C2242""), 1,false)"),"ADDITIONAL_PROMO")</f>
        <v>ADDITIONAL_PROMO</v>
      </c>
      <c r="I1935" s="136"/>
    </row>
    <row r="1936" ht="15.75" customHeight="1">
      <c r="A1936" s="59"/>
      <c r="B1936" s="63">
        <f t="shared" si="1"/>
        <v>12</v>
      </c>
      <c r="C1936" s="134" t="s">
        <v>130</v>
      </c>
      <c r="D1936" s="134" t="s">
        <v>74</v>
      </c>
      <c r="E1936" s="135">
        <f t="shared" si="44"/>
        <v>8</v>
      </c>
      <c r="F1936" s="134" t="s">
        <v>3610</v>
      </c>
      <c r="G1936" s="63" t="str">
        <f>VLOOKUP(C1936, 'Class Def. - General Data'!$C$20:$C$1000,1,false)</f>
        <v>ZFG1_PEWANGI</v>
      </c>
      <c r="H1936" s="63" t="str">
        <f>IFERROR(__xludf.DUMMYFUNCTION("VLOOKUP(F1936, IMPORTRANGE(""https://docs.google.com/spreadsheets/d/1Lhp9OU0JdFf_VYSMzH5lBcEaU4o8teT1piV-SNzShjg/edit?gid=554141278#gid=554141278"", ""'Char Def. - Attributes'!C20:C2242""), 1,false)"),"BANDED_PROMO")</f>
        <v>BANDED_PROMO</v>
      </c>
      <c r="I1936" s="136"/>
    </row>
    <row r="1937" ht="15.75" customHeight="1">
      <c r="A1937" s="59"/>
      <c r="B1937" s="63">
        <f t="shared" si="1"/>
        <v>12</v>
      </c>
      <c r="C1937" s="134" t="s">
        <v>130</v>
      </c>
      <c r="D1937" s="134" t="s">
        <v>74</v>
      </c>
      <c r="E1937" s="135">
        <f t="shared" si="44"/>
        <v>9</v>
      </c>
      <c r="F1937" s="134" t="s">
        <v>3611</v>
      </c>
      <c r="G1937" s="63" t="str">
        <f>VLOOKUP(C1937, 'Class Def. - General Data'!$C$20:$C$1000,1,false)</f>
        <v>ZFG1_PEWANGI</v>
      </c>
      <c r="H1937" s="63" t="str">
        <f>IFERROR(__xludf.DUMMYFUNCTION("VLOOKUP(F1937, IMPORTRANGE(""https://docs.google.com/spreadsheets/d/1Lhp9OU0JdFf_VYSMzH5lBcEaU4o8teT1piV-SNzShjg/edit?gid=554141278#gid=554141278"", ""'Char Def. - Attributes'!C20:C2242""), 1,false)"),"LOKAL_EKSPOR")</f>
        <v>LOKAL_EKSPOR</v>
      </c>
      <c r="I1937" s="136"/>
    </row>
    <row r="1938" ht="15.75" customHeight="1">
      <c r="A1938" s="59"/>
      <c r="B1938" s="63">
        <f t="shared" si="1"/>
        <v>12</v>
      </c>
      <c r="C1938" s="134" t="s">
        <v>130</v>
      </c>
      <c r="D1938" s="134" t="s">
        <v>74</v>
      </c>
      <c r="E1938" s="135">
        <f t="shared" si="44"/>
        <v>10</v>
      </c>
      <c r="F1938" s="134" t="s">
        <v>3612</v>
      </c>
      <c r="G1938" s="63" t="str">
        <f>VLOOKUP(C1938, 'Class Def. - General Data'!$C$20:$C$1000,1,false)</f>
        <v>ZFG1_PEWANGI</v>
      </c>
      <c r="H1938" s="63" t="str">
        <f>IFERROR(__xludf.DUMMYFUNCTION("VLOOKUP(F1938, IMPORTRANGE(""https://docs.google.com/spreadsheets/d/1Lhp9OU0JdFf_VYSMzH5lBcEaU4o8teT1piV-SNzShjg/edit?gid=554141278#gid=554141278"", ""'Char Def. - Attributes'!C20:C2242""), 1,false)"),"COUNTRY_EKSPOR")</f>
        <v>COUNTRY_EKSPOR</v>
      </c>
      <c r="I1938" s="136"/>
    </row>
    <row r="1939" ht="15.75" customHeight="1">
      <c r="A1939" s="59"/>
      <c r="B1939" s="63">
        <f t="shared" si="1"/>
        <v>12</v>
      </c>
      <c r="C1939" s="134" t="s">
        <v>130</v>
      </c>
      <c r="D1939" s="134" t="s">
        <v>74</v>
      </c>
      <c r="E1939" s="135">
        <f t="shared" si="44"/>
        <v>11</v>
      </c>
      <c r="F1939" s="134" t="s">
        <v>3613</v>
      </c>
      <c r="G1939" s="63" t="str">
        <f>VLOOKUP(C1939, 'Class Def. - General Data'!$C$20:$C$1000,1,false)</f>
        <v>ZFG1_PEWANGI</v>
      </c>
      <c r="H1939" s="63" t="str">
        <f>IFERROR(__xludf.DUMMYFUNCTION("VLOOKUP(F1939, IMPORTRANGE(""https://docs.google.com/spreadsheets/d/1Lhp9OU0JdFf_VYSMzH5lBcEaU4o8teT1piV-SNzShjg/edit?gid=554141278#gid=554141278"", ""'Char Def. - Attributes'!C20:C2242""), 1,false)"),"WARNA_SFG")</f>
        <v>WARNA_SFG</v>
      </c>
      <c r="I1939" s="136"/>
    </row>
    <row r="1940" ht="15.75" customHeight="1">
      <c r="A1940" s="59"/>
      <c r="B1940" s="63">
        <f t="shared" si="1"/>
        <v>12</v>
      </c>
      <c r="C1940" s="134" t="s">
        <v>130</v>
      </c>
      <c r="D1940" s="134" t="s">
        <v>74</v>
      </c>
      <c r="E1940" s="135">
        <f t="shared" si="44"/>
        <v>12</v>
      </c>
      <c r="F1940" s="134" t="s">
        <v>3582</v>
      </c>
      <c r="G1940" s="63" t="str">
        <f>VLOOKUP(C1940, 'Class Def. - General Data'!$C$20:$C$1000,1,false)</f>
        <v>ZFG1_PEWANGI</v>
      </c>
      <c r="H1940" s="63" t="str">
        <f>IFERROR(__xludf.DUMMYFUNCTION("VLOOKUP(F1940, IMPORTRANGE(""https://docs.google.com/spreadsheets/d/1Lhp9OU0JdFf_VYSMzH5lBcEaU4o8teT1piV-SNzShjg/edit?gid=554141278#gid=554141278"", ""'Char Def. - Attributes'!C20:C2242""), 1,false)"),"BASE_UNIT")</f>
        <v>BASE_UNIT</v>
      </c>
      <c r="I1940" s="136"/>
    </row>
    <row r="1941" ht="15.75" customHeight="1">
      <c r="A1941" s="59"/>
      <c r="B1941" s="63">
        <f t="shared" si="1"/>
        <v>12</v>
      </c>
      <c r="C1941" s="134" t="s">
        <v>130</v>
      </c>
      <c r="D1941" s="134" t="s">
        <v>74</v>
      </c>
      <c r="E1941" s="135">
        <f t="shared" si="44"/>
        <v>13</v>
      </c>
      <c r="F1941" s="134" t="s">
        <v>3583</v>
      </c>
      <c r="G1941" s="63" t="str">
        <f>VLOOKUP(C1941, 'Class Def. - General Data'!$C$20:$C$1000,1,false)</f>
        <v>ZFG1_PEWANGI</v>
      </c>
      <c r="H1941" s="63" t="str">
        <f>IFERROR(__xludf.DUMMYFUNCTION("VLOOKUP(F1941, IMPORTRANGE(""https://docs.google.com/spreadsheets/d/1Lhp9OU0JdFf_VYSMzH5lBcEaU4o8teT1piV-SNzShjg/edit?gid=554141278#gid=554141278"", ""'Char Def. - Attributes'!C20:C2242""), 1,false)"),"SALES_UNIT")</f>
        <v>SALES_UNIT</v>
      </c>
      <c r="I1941" s="136"/>
    </row>
    <row r="1942" ht="15.75" customHeight="1">
      <c r="A1942" s="59"/>
      <c r="B1942" s="63">
        <f t="shared" si="1"/>
        <v>12</v>
      </c>
      <c r="C1942" s="134" t="s">
        <v>130</v>
      </c>
      <c r="D1942" s="134" t="s">
        <v>74</v>
      </c>
      <c r="E1942" s="135">
        <f t="shared" si="44"/>
        <v>14</v>
      </c>
      <c r="F1942" s="134" t="s">
        <v>3601</v>
      </c>
      <c r="G1942" s="63" t="str">
        <f>VLOOKUP(C1942, 'Class Def. - General Data'!$C$20:$C$1000,1,false)</f>
        <v>ZFG1_PEWANGI</v>
      </c>
      <c r="H1942" s="63" t="str">
        <f>IFERROR(__xludf.DUMMYFUNCTION("VLOOKUP(F1942, IMPORTRANGE(""https://docs.google.com/spreadsheets/d/1Lhp9OU0JdFf_VYSMzH5lBcEaU4o8teT1piV-SNzShjg/edit?gid=554141278#gid=554141278"", ""'Char Def. - Attributes'!C20:C2242""), 1,false)"),"GROSS_WEIGHT")</f>
        <v>GROSS_WEIGHT</v>
      </c>
      <c r="I1942" s="136"/>
    </row>
    <row r="1943" ht="15.75" customHeight="1">
      <c r="A1943" s="59"/>
      <c r="B1943" s="63">
        <f t="shared" si="1"/>
        <v>12</v>
      </c>
      <c r="C1943" s="134" t="s">
        <v>130</v>
      </c>
      <c r="D1943" s="134" t="s">
        <v>74</v>
      </c>
      <c r="E1943" s="135">
        <f t="shared" si="44"/>
        <v>15</v>
      </c>
      <c r="F1943" s="134" t="s">
        <v>3602</v>
      </c>
      <c r="G1943" s="63" t="str">
        <f>VLOOKUP(C1943, 'Class Def. - General Data'!$C$20:$C$1000,1,false)</f>
        <v>ZFG1_PEWANGI</v>
      </c>
      <c r="H1943" s="63" t="str">
        <f>IFERROR(__xludf.DUMMYFUNCTION("VLOOKUP(F1943, IMPORTRANGE(""https://docs.google.com/spreadsheets/d/1Lhp9OU0JdFf_VYSMzH5lBcEaU4o8teT1piV-SNzShjg/edit?gid=554141278#gid=554141278"", ""'Char Def. - Attributes'!C20:C2242""), 1,false)"),"NET_WEIGHT")</f>
        <v>NET_WEIGHT</v>
      </c>
      <c r="I1943" s="136"/>
    </row>
    <row r="1944" ht="15.75" customHeight="1">
      <c r="A1944" s="59"/>
      <c r="B1944" s="63">
        <f t="shared" si="1"/>
        <v>12</v>
      </c>
      <c r="C1944" s="134" t="s">
        <v>130</v>
      </c>
      <c r="D1944" s="134" t="s">
        <v>74</v>
      </c>
      <c r="E1944" s="135">
        <f t="shared" si="44"/>
        <v>16</v>
      </c>
      <c r="F1944" s="134" t="s">
        <v>3584</v>
      </c>
      <c r="G1944" s="63" t="str">
        <f>VLOOKUP(C1944, 'Class Def. - General Data'!$C$20:$C$1000,1,false)</f>
        <v>ZFG1_PEWANGI</v>
      </c>
      <c r="H1944" s="63" t="str">
        <f>IFERROR(__xludf.DUMMYFUNCTION("VLOOKUP(F1944, IMPORTRANGE(""https://docs.google.com/spreadsheets/d/1Lhp9OU0JdFf_VYSMzH5lBcEaU4o8teT1piV-SNzShjg/edit?gid=554141278#gid=554141278"", ""'Char Def. - Attributes'!C20:C2242""), 1,false)"),"UNIT_PER_BOX")</f>
        <v>UNIT_PER_BOX</v>
      </c>
      <c r="I1944" s="136"/>
    </row>
    <row r="1945" ht="15.75" customHeight="1">
      <c r="A1945" s="59"/>
      <c r="B1945" s="63">
        <f t="shared" si="1"/>
        <v>12</v>
      </c>
      <c r="C1945" s="134" t="s">
        <v>130</v>
      </c>
      <c r="D1945" s="134" t="s">
        <v>74</v>
      </c>
      <c r="E1945" s="135">
        <f t="shared" si="44"/>
        <v>17</v>
      </c>
      <c r="F1945" s="134" t="s">
        <v>3614</v>
      </c>
      <c r="G1945" s="63" t="str">
        <f>VLOOKUP(C1945, 'Class Def. - General Data'!$C$20:$C$1000,1,false)</f>
        <v>ZFG1_PEWANGI</v>
      </c>
      <c r="H1945" s="63" t="str">
        <f>IFERROR(__xludf.DUMMYFUNCTION("VLOOKUP(F1945, IMPORTRANGE(""https://docs.google.com/spreadsheets/d/1Lhp9OU0JdFf_VYSMzH5lBcEaU4o8teT1piV-SNzShjg/edit?gid=554141278#gid=554141278"", ""'Char Def. - Attributes'!C20:C2242""), 1,false)"),"UNIT_PER_CTN")</f>
        <v>UNIT_PER_CTN</v>
      </c>
      <c r="I1945" s="136"/>
    </row>
    <row r="1946" ht="15.75" customHeight="1">
      <c r="A1946" s="59"/>
      <c r="B1946" s="63">
        <f t="shared" si="1"/>
        <v>12</v>
      </c>
      <c r="C1946" s="134" t="s">
        <v>130</v>
      </c>
      <c r="D1946" s="134" t="s">
        <v>74</v>
      </c>
      <c r="E1946" s="135">
        <f t="shared" si="44"/>
        <v>18</v>
      </c>
      <c r="F1946" s="134" t="s">
        <v>3615</v>
      </c>
      <c r="G1946" s="63" t="str">
        <f>VLOOKUP(C1946, 'Class Def. - General Data'!$C$20:$C$1000,1,false)</f>
        <v>ZFG1_PEWANGI</v>
      </c>
      <c r="H1946" s="63" t="str">
        <f>IFERROR(__xludf.DUMMYFUNCTION("VLOOKUP(F1946, IMPORTRANGE(""https://docs.google.com/spreadsheets/d/1Lhp9OU0JdFf_VYSMzH5lBcEaU4o8teT1piV-SNzShjg/edit?gid=554141278#gid=554141278"", ""'Char Def. - Attributes'!C20:C2242""), 1,false)"),"UNIT_PER_BAG")</f>
        <v>UNIT_PER_BAG</v>
      </c>
      <c r="I1946" s="136"/>
    </row>
    <row r="1947" ht="15.75" customHeight="1">
      <c r="A1947" s="59"/>
      <c r="B1947" s="63">
        <f t="shared" si="1"/>
        <v>12</v>
      </c>
      <c r="C1947" s="134" t="s">
        <v>130</v>
      </c>
      <c r="D1947" s="134" t="s">
        <v>74</v>
      </c>
      <c r="E1947" s="135">
        <f t="shared" si="44"/>
        <v>19</v>
      </c>
      <c r="F1947" s="134" t="s">
        <v>3616</v>
      </c>
      <c r="G1947" s="63" t="str">
        <f>VLOOKUP(C1947, 'Class Def. - General Data'!$C$20:$C$1000,1,false)</f>
        <v>ZFG1_PEWANGI</v>
      </c>
      <c r="H1947" s="63" t="str">
        <f>IFERROR(__xludf.DUMMYFUNCTION("VLOOKUP(F1947, IMPORTRANGE(""https://docs.google.com/spreadsheets/d/1Lhp9OU0JdFf_VYSMzH5lBcEaU4o8teT1piV-SNzShjg/edit?gid=554141278#gid=554141278"", ""'Char Def. - Attributes'!C20:C2242""), 1,false)"),"UNIT_PER_PAL")</f>
        <v>UNIT_PER_PAL</v>
      </c>
      <c r="I1947" s="136"/>
    </row>
    <row r="1948" ht="15.75" customHeight="1">
      <c r="A1948" s="59"/>
      <c r="B1948" s="63">
        <f t="shared" si="1"/>
        <v>12</v>
      </c>
      <c r="C1948" s="134" t="s">
        <v>130</v>
      </c>
      <c r="D1948" s="134" t="s">
        <v>74</v>
      </c>
      <c r="E1948" s="135">
        <f t="shared" si="44"/>
        <v>20</v>
      </c>
      <c r="F1948" s="134" t="s">
        <v>3617</v>
      </c>
      <c r="G1948" s="63" t="str">
        <f>VLOOKUP(C1948, 'Class Def. - General Data'!$C$20:$C$1000,1,false)</f>
        <v>ZFG1_PEWANGI</v>
      </c>
      <c r="H1948" s="63" t="str">
        <f>IFERROR(__xludf.DUMMYFUNCTION("VLOOKUP(F1948, IMPORTRANGE(""https://docs.google.com/spreadsheets/d/1Lhp9OU0JdFf_VYSMzH5lBcEaU4o8teT1piV-SNzShjg/edit?gid=554141278#gid=554141278"", ""'Char Def. - Attributes'!C20:C2242""), 1,false)"),"UNIT_PER_TIER")</f>
        <v>UNIT_PER_TIER</v>
      </c>
      <c r="I1948" s="136"/>
    </row>
    <row r="1949" ht="15.75" customHeight="1">
      <c r="A1949" s="59"/>
      <c r="B1949" s="63">
        <f t="shared" si="1"/>
        <v>12</v>
      </c>
      <c r="C1949" s="134" t="s">
        <v>130</v>
      </c>
      <c r="D1949" s="134" t="s">
        <v>74</v>
      </c>
      <c r="E1949" s="135">
        <f t="shared" si="44"/>
        <v>21</v>
      </c>
      <c r="F1949" s="134" t="s">
        <v>3618</v>
      </c>
      <c r="G1949" s="63" t="str">
        <f>VLOOKUP(C1949, 'Class Def. - General Data'!$C$20:$C$1000,1,false)</f>
        <v>ZFG1_PEWANGI</v>
      </c>
      <c r="H1949" s="63" t="str">
        <f>IFERROR(__xludf.DUMMYFUNCTION("VLOOKUP(F1949, IMPORTRANGE(""https://docs.google.com/spreadsheets/d/1Lhp9OU0JdFf_VYSMzH5lBcEaU4o8teT1piV-SNzShjg/edit?gid=554141278#gid=554141278"", ""'Char Def. - Attributes'!C20:C2242""), 1,false)"),"HEIGHT")</f>
        <v>HEIGHT</v>
      </c>
      <c r="I1949" s="136"/>
    </row>
    <row r="1950" ht="15.75" customHeight="1">
      <c r="A1950" s="59"/>
      <c r="B1950" s="63">
        <f t="shared" si="1"/>
        <v>12</v>
      </c>
      <c r="C1950" s="134" t="s">
        <v>130</v>
      </c>
      <c r="D1950" s="134" t="s">
        <v>74</v>
      </c>
      <c r="E1950" s="135">
        <f t="shared" si="44"/>
        <v>22</v>
      </c>
      <c r="F1950" s="134" t="s">
        <v>3587</v>
      </c>
      <c r="G1950" s="63" t="str">
        <f>VLOOKUP(C1950, 'Class Def. - General Data'!$C$20:$C$1000,1,false)</f>
        <v>ZFG1_PEWANGI</v>
      </c>
      <c r="H1950" s="63" t="str">
        <f>IFERROR(__xludf.DUMMYFUNCTION("VLOOKUP(F1950, IMPORTRANGE(""https://docs.google.com/spreadsheets/d/1Lhp9OU0JdFf_VYSMzH5lBcEaU4o8teT1piV-SNzShjg/edit?gid=554141278#gid=554141278"", ""'Char Def. - Attributes'!C20:C2242""), 1,false)"),"PLANT_BUY")</f>
        <v>PLANT_BUY</v>
      </c>
      <c r="I1950" s="136"/>
    </row>
    <row r="1951" ht="15.75" customHeight="1">
      <c r="A1951" s="59"/>
      <c r="B1951" s="63">
        <f t="shared" si="1"/>
        <v>12</v>
      </c>
      <c r="C1951" s="134" t="s">
        <v>130</v>
      </c>
      <c r="D1951" s="134" t="s">
        <v>74</v>
      </c>
      <c r="E1951" s="135">
        <f t="shared" si="44"/>
        <v>23</v>
      </c>
      <c r="F1951" s="134" t="s">
        <v>3619</v>
      </c>
      <c r="G1951" s="63" t="str">
        <f>VLOOKUP(C1951, 'Class Def. - General Data'!$C$20:$C$1000,1,false)</f>
        <v>ZFG1_PEWANGI</v>
      </c>
      <c r="H1951" s="63" t="str">
        <f>IFERROR(__xludf.DUMMYFUNCTION("VLOOKUP(F1951, IMPORTRANGE(""https://docs.google.com/spreadsheets/d/1Lhp9OU0JdFf_VYSMzH5lBcEaU4o8teT1piV-SNzShjg/edit?gid=554141278#gid=554141278"", ""'Char Def. - Attributes'!C20:C2242""), 1,false)"),"LENGTH")</f>
        <v>LENGTH</v>
      </c>
      <c r="I1951" s="136"/>
    </row>
    <row r="1952" ht="15.75" customHeight="1">
      <c r="A1952" s="59"/>
      <c r="B1952" s="63">
        <f t="shared" si="1"/>
        <v>12</v>
      </c>
      <c r="C1952" s="134" t="s">
        <v>130</v>
      </c>
      <c r="D1952" s="134" t="s">
        <v>74</v>
      </c>
      <c r="E1952" s="135">
        <f t="shared" si="44"/>
        <v>24</v>
      </c>
      <c r="F1952" s="134" t="s">
        <v>3586</v>
      </c>
      <c r="G1952" s="63" t="str">
        <f>VLOOKUP(C1952, 'Class Def. - General Data'!$C$20:$C$1000,1,false)</f>
        <v>ZFG1_PEWANGI</v>
      </c>
      <c r="H1952" s="63" t="str">
        <f>IFERROR(__xludf.DUMMYFUNCTION("VLOOKUP(F1952, IMPORTRANGE(""https://docs.google.com/spreadsheets/d/1Lhp9OU0JdFf_VYSMzH5lBcEaU4o8teT1piV-SNzShjg/edit?gid=554141278#gid=554141278"", ""'Char Def. - Attributes'!C20:C2242""), 1,false)"),"PLANT_PROD")</f>
        <v>PLANT_PROD</v>
      </c>
      <c r="I1952" s="136"/>
    </row>
    <row r="1953" ht="15.75" customHeight="1">
      <c r="A1953" s="59"/>
      <c r="B1953" s="63">
        <f t="shared" si="1"/>
        <v>12</v>
      </c>
      <c r="C1953" s="134" t="s">
        <v>130</v>
      </c>
      <c r="D1953" s="134" t="s">
        <v>74</v>
      </c>
      <c r="E1953" s="135">
        <f t="shared" si="44"/>
        <v>25</v>
      </c>
      <c r="F1953" s="134" t="s">
        <v>3620</v>
      </c>
      <c r="G1953" s="63" t="str">
        <f>VLOOKUP(C1953, 'Class Def. - General Data'!$C$20:$C$1000,1,false)</f>
        <v>ZFG1_PEWANGI</v>
      </c>
      <c r="H1953" s="63" t="str">
        <f>IFERROR(__xludf.DUMMYFUNCTION("VLOOKUP(F1953, IMPORTRANGE(""https://docs.google.com/spreadsheets/d/1Lhp9OU0JdFf_VYSMzH5lBcEaU4o8teT1piV-SNzShjg/edit?gid=554141278#gid=554141278"", ""'Char Def. - Attributes'!C20:C2242""), 1,false)"),"WIDTH")</f>
        <v>WIDTH</v>
      </c>
      <c r="I1953" s="136"/>
    </row>
    <row r="1954" ht="15.75" customHeight="1">
      <c r="A1954" s="59"/>
      <c r="B1954" s="63">
        <f t="shared" si="1"/>
        <v>12</v>
      </c>
      <c r="C1954" s="134" t="s">
        <v>130</v>
      </c>
      <c r="D1954" s="134" t="s">
        <v>74</v>
      </c>
      <c r="E1954" s="135">
        <f t="shared" si="44"/>
        <v>26</v>
      </c>
      <c r="F1954" s="134" t="s">
        <v>3585</v>
      </c>
      <c r="G1954" s="63" t="str">
        <f>VLOOKUP(C1954, 'Class Def. - General Data'!$C$20:$C$1000,1,false)</f>
        <v>ZFG1_PEWANGI</v>
      </c>
      <c r="H1954" s="63" t="str">
        <f>IFERROR(__xludf.DUMMYFUNCTION("VLOOKUP(F1954, IMPORTRANGE(""https://docs.google.com/spreadsheets/d/1Lhp9OU0JdFf_VYSMzH5lBcEaU4o8teT1piV-SNzShjg/edit?gid=554141278#gid=554141278"", ""'Char Def. - Attributes'!C20:C2242""), 1,false)"),"HS_CODE")</f>
        <v>HS_CODE</v>
      </c>
      <c r="I1954" s="136"/>
    </row>
    <row r="1955" ht="15.75" customHeight="1">
      <c r="A1955" s="59"/>
      <c r="B1955" s="63">
        <f t="shared" si="1"/>
        <v>12</v>
      </c>
      <c r="C1955" s="134" t="s">
        <v>130</v>
      </c>
      <c r="D1955" s="134" t="s">
        <v>74</v>
      </c>
      <c r="E1955" s="135">
        <f t="shared" si="44"/>
        <v>27</v>
      </c>
      <c r="F1955" s="134" t="s">
        <v>3621</v>
      </c>
      <c r="G1955" s="63" t="str">
        <f>VLOOKUP(C1955, 'Class Def. - General Data'!$C$20:$C$1000,1,false)</f>
        <v>ZFG1_PEWANGI</v>
      </c>
      <c r="H1955" s="63" t="str">
        <f>IFERROR(__xludf.DUMMYFUNCTION("VLOOKUP(F1955, IMPORTRANGE(""https://docs.google.com/spreadsheets/d/1Lhp9OU0JdFf_VYSMzH5lBcEaU4o8teT1piV-SNzShjg/edit?gid=554141278#gid=554141278"", ""'Char Def. - Attributes'!C20:C2242""), 1,false)"),"EAN_PCS")</f>
        <v>EAN_PCS</v>
      </c>
      <c r="I1955" s="136"/>
    </row>
    <row r="1956" ht="15.75" customHeight="1">
      <c r="A1956" s="59"/>
      <c r="B1956" s="63">
        <f t="shared" si="1"/>
        <v>12</v>
      </c>
      <c r="C1956" s="134" t="s">
        <v>130</v>
      </c>
      <c r="D1956" s="134" t="s">
        <v>74</v>
      </c>
      <c r="E1956" s="135">
        <f t="shared" si="44"/>
        <v>28</v>
      </c>
      <c r="F1956" s="134" t="s">
        <v>3622</v>
      </c>
      <c r="G1956" s="63" t="str">
        <f>VLOOKUP(C1956, 'Class Def. - General Data'!$C$20:$C$1000,1,false)</f>
        <v>ZFG1_PEWANGI</v>
      </c>
      <c r="H1956" s="63" t="str">
        <f>IFERROR(__xludf.DUMMYFUNCTION("VLOOKUP(F1956, IMPORTRANGE(""https://docs.google.com/spreadsheets/d/1Lhp9OU0JdFf_VYSMzH5lBcEaU4o8teT1piV-SNzShjg/edit?gid=554141278#gid=554141278"", ""'Char Def. - Attributes'!C20:C2242""), 1,false)"),"SFG_BRAND")</f>
        <v>SFG_BRAND</v>
      </c>
      <c r="I1956" s="136"/>
    </row>
    <row r="1957" ht="15.75" customHeight="1">
      <c r="A1957" s="59"/>
      <c r="B1957" s="63">
        <f t="shared" si="1"/>
        <v>12</v>
      </c>
      <c r="C1957" s="134" t="s">
        <v>130</v>
      </c>
      <c r="D1957" s="134" t="s">
        <v>74</v>
      </c>
      <c r="E1957" s="135">
        <f t="shared" si="44"/>
        <v>29</v>
      </c>
      <c r="F1957" s="134" t="s">
        <v>3623</v>
      </c>
      <c r="G1957" s="63" t="str">
        <f>VLOOKUP(C1957, 'Class Def. - General Data'!$C$20:$C$1000,1,false)</f>
        <v>ZFG1_PEWANGI</v>
      </c>
      <c r="H1957" s="63" t="str">
        <f>IFERROR(__xludf.DUMMYFUNCTION("VLOOKUP(F1957, IMPORTRANGE(""https://docs.google.com/spreadsheets/d/1Lhp9OU0JdFf_VYSMzH5lBcEaU4o8teT1piV-SNzShjg/edit?gid=554141278#gid=554141278"", ""'Char Def. - Attributes'!C20:C2242""), 1,false)"),"LANGUAGE")</f>
        <v>LANGUAGE</v>
      </c>
      <c r="I1957" s="136"/>
    </row>
    <row r="1958" ht="15.75" customHeight="1">
      <c r="A1958" s="59"/>
      <c r="B1958" s="63">
        <f t="shared" si="1"/>
        <v>12</v>
      </c>
      <c r="C1958" s="139" t="s">
        <v>130</v>
      </c>
      <c r="D1958" s="139" t="s">
        <v>74</v>
      </c>
      <c r="E1958" s="140">
        <f t="shared" si="44"/>
        <v>30</v>
      </c>
      <c r="F1958" s="134" t="s">
        <v>3624</v>
      </c>
      <c r="G1958" s="63" t="str">
        <f>VLOOKUP(C1958, 'Class Def. - General Data'!$C$20:$C$1000,1,false)</f>
        <v>ZFG1_PEWANGI</v>
      </c>
      <c r="H1958" s="63" t="str">
        <f>IFERROR(__xludf.DUMMYFUNCTION("VLOOKUP(F1958, IMPORTRANGE(""https://docs.google.com/spreadsheets/d/1Lhp9OU0JdFf_VYSMzH5lBcEaU4o8teT1piV-SNzShjg/edit?gid=554141278#gid=554141278"", ""'Char Def. - Attributes'!C20:C2242""), 1,false)"),"#N/A")</f>
        <v>#N/A</v>
      </c>
      <c r="I1958" s="136"/>
    </row>
    <row r="1959" ht="15.75" customHeight="1">
      <c r="A1959" s="59"/>
      <c r="B1959" s="63">
        <f t="shared" si="1"/>
        <v>12</v>
      </c>
      <c r="C1959" s="134" t="s">
        <v>130</v>
      </c>
      <c r="D1959" s="134" t="s">
        <v>74</v>
      </c>
      <c r="E1959" s="135">
        <f t="shared" si="44"/>
        <v>31</v>
      </c>
      <c r="F1959" s="134" t="s">
        <v>3625</v>
      </c>
      <c r="G1959" s="63" t="str">
        <f>VLOOKUP(C1959, 'Class Def. - General Data'!$C$20:$C$1000,1,false)</f>
        <v>ZFG1_PEWANGI</v>
      </c>
      <c r="H1959" s="63" t="str">
        <f>IFERROR(__xludf.DUMMYFUNCTION("VLOOKUP(F1959, IMPORTRANGE(""https://docs.google.com/spreadsheets/d/1Lhp9OU0JdFf_VYSMzH5lBcEaU4o8teT1piV-SNzShjg/edit?gid=554141278#gid=554141278"", ""'Char Def. - Attributes'!C20:C2242""), 1,false)"),"REGION_EKSPOR")</f>
        <v>REGION_EKSPOR</v>
      </c>
      <c r="I1959" s="136"/>
    </row>
    <row r="1960" ht="15.75" customHeight="1">
      <c r="A1960" s="59"/>
      <c r="B1960" s="63">
        <f t="shared" si="1"/>
        <v>12</v>
      </c>
      <c r="C1960" s="134" t="s">
        <v>130</v>
      </c>
      <c r="D1960" s="134" t="s">
        <v>74</v>
      </c>
      <c r="E1960" s="135">
        <f t="shared" si="44"/>
        <v>32</v>
      </c>
      <c r="F1960" s="134" t="s">
        <v>3626</v>
      </c>
      <c r="G1960" s="63" t="str">
        <f>VLOOKUP(C1960, 'Class Def. - General Data'!$C$20:$C$1000,1,false)</f>
        <v>ZFG1_PEWANGI</v>
      </c>
      <c r="H1960" s="63" t="str">
        <f>IFERROR(__xludf.DUMMYFUNCTION("VLOOKUP(F1960, IMPORTRANGE(""https://docs.google.com/spreadsheets/d/1Lhp9OU0JdFf_VYSMzH5lBcEaU4o8teT1piV-SNzShjg/edit?gid=554141278#gid=554141278"", ""'Char Def. - Attributes'!C20:C2242""), 1,false)"),"STICKER_NOT")</f>
        <v>STICKER_NOT</v>
      </c>
      <c r="I1960" s="136"/>
    </row>
    <row r="1961" ht="15.75" customHeight="1">
      <c r="A1961" s="59"/>
      <c r="B1961" s="63">
        <f t="shared" si="1"/>
        <v>12</v>
      </c>
      <c r="C1961" s="134" t="s">
        <v>130</v>
      </c>
      <c r="D1961" s="134" t="s">
        <v>74</v>
      </c>
      <c r="E1961" s="135">
        <f t="shared" si="44"/>
        <v>33</v>
      </c>
      <c r="F1961" s="134" t="s">
        <v>3627</v>
      </c>
      <c r="G1961" s="63" t="str">
        <f>VLOOKUP(C1961, 'Class Def. - General Data'!$C$20:$C$1000,1,false)</f>
        <v>ZFG1_PEWANGI</v>
      </c>
      <c r="H1961" s="63" t="str">
        <f>IFERROR(__xludf.DUMMYFUNCTION("VLOOKUP(F1961, IMPORTRANGE(""https://docs.google.com/spreadsheets/d/1Lhp9OU0JdFf_VYSMzH5lBcEaU4o8teT1piV-SNzShjg/edit?gid=554141278#gid=554141278"", ""'Char Def. - Attributes'!C20:C2242""), 1,false)"),"SHIP_MARK")</f>
        <v>SHIP_MARK</v>
      </c>
      <c r="I1961" s="136"/>
    </row>
    <row r="1962" ht="15.75" customHeight="1">
      <c r="A1962" s="59"/>
      <c r="B1962" s="63">
        <f t="shared" si="1"/>
        <v>12</v>
      </c>
      <c r="C1962" s="134" t="s">
        <v>130</v>
      </c>
      <c r="D1962" s="134" t="s">
        <v>74</v>
      </c>
      <c r="E1962" s="135">
        <f t="shared" si="44"/>
        <v>34</v>
      </c>
      <c r="F1962" s="134" t="s">
        <v>3628</v>
      </c>
      <c r="G1962" s="63" t="str">
        <f>VLOOKUP(C1962, 'Class Def. - General Data'!$C$20:$C$1000,1,false)</f>
        <v>ZFG1_PEWANGI</v>
      </c>
      <c r="H1962" s="63" t="str">
        <f>IFERROR(__xludf.DUMMYFUNCTION("VLOOKUP(F1962, IMPORTRANGE(""https://docs.google.com/spreadsheets/d/1Lhp9OU0JdFf_VYSMzH5lBcEaU4o8teT1piV-SNzShjg/edit?gid=554141278#gid=554141278"", ""'Char Def. - Attributes'!C20:C2242""), 1,false)"),"MID_CORE")</f>
        <v>MID_CORE</v>
      </c>
      <c r="I1962" s="136"/>
    </row>
    <row r="1963" ht="15.75" customHeight="1">
      <c r="A1963" s="59"/>
      <c r="B1963" s="63">
        <f t="shared" si="1"/>
        <v>12</v>
      </c>
      <c r="C1963" s="134" t="s">
        <v>130</v>
      </c>
      <c r="D1963" s="134" t="s">
        <v>74</v>
      </c>
      <c r="E1963" s="135">
        <f t="shared" si="44"/>
        <v>35</v>
      </c>
      <c r="F1963" s="134" t="s">
        <v>3629</v>
      </c>
      <c r="G1963" s="63" t="str">
        <f>VLOOKUP(C1963, 'Class Def. - General Data'!$C$20:$C$1000,1,false)</f>
        <v>ZFG1_PEWANGI</v>
      </c>
      <c r="H1963" s="63" t="str">
        <f>IFERROR(__xludf.DUMMYFUNCTION("VLOOKUP(F1963, IMPORTRANGE(""https://docs.google.com/spreadsheets/d/1Lhp9OU0JdFf_VYSMzH5lBcEaU4o8teT1piV-SNzShjg/edit?gid=554141278#gid=554141278"", ""'Char Def. - Attributes'!C20:C2242""), 1,false)"),"EAN_CTN")</f>
        <v>EAN_CTN</v>
      </c>
      <c r="I1963" s="136"/>
    </row>
    <row r="1964" ht="15.75" customHeight="1">
      <c r="A1964" s="59"/>
      <c r="B1964" s="63">
        <f t="shared" si="1"/>
        <v>12</v>
      </c>
      <c r="C1964" s="134" t="s">
        <v>130</v>
      </c>
      <c r="D1964" s="134" t="s">
        <v>74</v>
      </c>
      <c r="E1964" s="135">
        <f t="shared" si="44"/>
        <v>36</v>
      </c>
      <c r="F1964" s="134" t="s">
        <v>3630</v>
      </c>
      <c r="G1964" s="63" t="str">
        <f>VLOOKUP(C1964, 'Class Def. - General Data'!$C$20:$C$1000,1,false)</f>
        <v>ZFG1_PEWANGI</v>
      </c>
      <c r="H1964" s="63" t="str">
        <f>IFERROR(__xludf.DUMMYFUNCTION("VLOOKUP(F1964, IMPORTRANGE(""https://docs.google.com/spreadsheets/d/1Lhp9OU0JdFf_VYSMzH5lBcEaU4o8teT1piV-SNzShjg/edit?gid=554141278#gid=554141278"", ""'Char Def. - Attributes'!C20:C2242""), 1,false)"),"EAN_BOX")</f>
        <v>EAN_BOX</v>
      </c>
      <c r="I1964" s="136"/>
    </row>
    <row r="1965" ht="15.75" customHeight="1">
      <c r="A1965" s="59"/>
      <c r="B1965" s="63">
        <f t="shared" si="1"/>
        <v>12</v>
      </c>
      <c r="C1965" s="134" t="s">
        <v>130</v>
      </c>
      <c r="D1965" s="141" t="s">
        <v>74</v>
      </c>
      <c r="E1965" s="135">
        <v>22.0</v>
      </c>
      <c r="F1965" s="135" t="s">
        <v>3603</v>
      </c>
      <c r="G1965" s="63" t="str">
        <f>VLOOKUP(C1965, 'Class Def. - General Data'!$C$20:$C$1000,1,false)</f>
        <v>ZFG1_PEWANGI</v>
      </c>
      <c r="I1965" s="136"/>
    </row>
    <row r="1966" ht="15.75" customHeight="1">
      <c r="A1966" s="59"/>
      <c r="B1966" s="63">
        <f t="shared" si="1"/>
        <v>16</v>
      </c>
      <c r="C1966" s="134" t="s">
        <v>131</v>
      </c>
      <c r="D1966" s="134" t="s">
        <v>74</v>
      </c>
      <c r="E1966" s="135">
        <f t="shared" ref="E1966:E2001" si="45">COUNTIF($C$20:C1966,C1966)</f>
        <v>1</v>
      </c>
      <c r="F1966" s="134" t="s">
        <v>3739</v>
      </c>
      <c r="G1966" s="63" t="str">
        <f>VLOOKUP(C1966, 'Class Def. - General Data'!$C$20:$C$1000,1,false)</f>
        <v>ZFG1_PORCCLEANER</v>
      </c>
      <c r="H1966" s="63" t="str">
        <f>IFERROR(__xludf.DUMMYFUNCTION("VLOOKUP(F1966, IMPORTRANGE(""https://docs.google.com/spreadsheets/d/1Lhp9OU0JdFf_VYSMzH5lBcEaU4o8teT1piV-SNzShjg/edit?gid=554141278#gid=554141278"", ""'Char Def. - Attributes'!C20:C2242""), 1,false)"),"BRAND_PORCCLEANER")</f>
        <v>BRAND_PORCCLEANER</v>
      </c>
      <c r="I1966" s="136"/>
    </row>
    <row r="1967" ht="15.75" customHeight="1">
      <c r="A1967" s="59"/>
      <c r="B1967" s="63">
        <f t="shared" si="1"/>
        <v>16</v>
      </c>
      <c r="C1967" s="135" t="s">
        <v>131</v>
      </c>
      <c r="D1967" s="134" t="s">
        <v>74</v>
      </c>
      <c r="E1967" s="135">
        <f t="shared" si="45"/>
        <v>2</v>
      </c>
      <c r="F1967" s="134" t="s">
        <v>3740</v>
      </c>
      <c r="G1967" s="63" t="str">
        <f>VLOOKUP(C1967, 'Class Def. - General Data'!$C$20:$C$1000,1,false)</f>
        <v>ZFG1_PORCCLEANER</v>
      </c>
      <c r="H1967" s="63" t="str">
        <f>IFERROR(__xludf.DUMMYFUNCTION("VLOOKUP(F1967, IMPORTRANGE(""https://docs.google.com/spreadsheets/d/1Lhp9OU0JdFf_VYSMzH5lBcEaU4o8teT1piV-SNzShjg/edit?gid=554141278#gid=554141278"", ""'Char Def. - Attributes'!C20:C2242""), 1,false)"),"PSHAPE_PORCCLEANER")</f>
        <v>PSHAPE_PORCCLEANER</v>
      </c>
      <c r="I1967" s="136"/>
    </row>
    <row r="1968" ht="15.75" customHeight="1">
      <c r="A1968" s="59"/>
      <c r="B1968" s="63">
        <f t="shared" si="1"/>
        <v>16</v>
      </c>
      <c r="C1968" s="134" t="s">
        <v>131</v>
      </c>
      <c r="D1968" s="134" t="s">
        <v>74</v>
      </c>
      <c r="E1968" s="135">
        <f t="shared" si="45"/>
        <v>3</v>
      </c>
      <c r="F1968" s="134" t="s">
        <v>3605</v>
      </c>
      <c r="G1968" s="63" t="str">
        <f>VLOOKUP(C1968, 'Class Def. - General Data'!$C$20:$C$1000,1,false)</f>
        <v>ZFG1_PORCCLEANER</v>
      </c>
      <c r="H1968" s="63" t="str">
        <f>IFERROR(__xludf.DUMMYFUNCTION("VLOOKUP(F1968, IMPORTRANGE(""https://docs.google.com/spreadsheets/d/1Lhp9OU0JdFf_VYSMzH5lBcEaU4o8teT1piV-SNzShjg/edit?gid=554141278#gid=554141278"", ""'Char Def. - Attributes'!C20:C2242""), 1,false)"),"PACK_NETTO")</f>
        <v>PACK_NETTO</v>
      </c>
      <c r="I1968" s="136"/>
    </row>
    <row r="1969" ht="15.75" customHeight="1">
      <c r="A1969" s="59"/>
      <c r="B1969" s="63">
        <f t="shared" si="1"/>
        <v>16</v>
      </c>
      <c r="C1969" s="135" t="s">
        <v>131</v>
      </c>
      <c r="D1969" s="134" t="s">
        <v>74</v>
      </c>
      <c r="E1969" s="135">
        <f t="shared" si="45"/>
        <v>4</v>
      </c>
      <c r="F1969" s="134" t="s">
        <v>3741</v>
      </c>
      <c r="G1969" s="63" t="str">
        <f>VLOOKUP(C1969, 'Class Def. - General Data'!$C$20:$C$1000,1,false)</f>
        <v>ZFG1_PORCCLEANER</v>
      </c>
      <c r="H1969" s="63" t="str">
        <f>IFERROR(__xludf.DUMMYFUNCTION("VLOOKUP(F1969, IMPORTRANGE(""https://docs.google.com/spreadsheets/d/1Lhp9OU0JdFf_VYSMzH5lBcEaU4o8teT1piV-SNzShjg/edit?gid=554141278#gid=554141278"", ""'Char Def. - Attributes'!C20:C2242""), 1,false)"),"PUOM_PORCCLEANER")</f>
        <v>PUOM_PORCCLEANER</v>
      </c>
      <c r="I1969" s="136"/>
    </row>
    <row r="1970" ht="15.75" customHeight="1">
      <c r="A1970" s="59"/>
      <c r="B1970" s="63">
        <f t="shared" si="1"/>
        <v>16</v>
      </c>
      <c r="C1970" s="134" t="s">
        <v>131</v>
      </c>
      <c r="D1970" s="134" t="s">
        <v>74</v>
      </c>
      <c r="E1970" s="135">
        <f t="shared" si="45"/>
        <v>5</v>
      </c>
      <c r="F1970" s="134" t="s">
        <v>3607</v>
      </c>
      <c r="G1970" s="63" t="str">
        <f>VLOOKUP(C1970, 'Class Def. - General Data'!$C$20:$C$1000,1,false)</f>
        <v>ZFG1_PORCCLEANER</v>
      </c>
      <c r="H1970" s="63" t="str">
        <f>IFERROR(__xludf.DUMMYFUNCTION("VLOOKUP(F1970, IMPORTRANGE(""https://docs.google.com/spreadsheets/d/1Lhp9OU0JdFf_VYSMzH5lBcEaU4o8teT1piV-SNzShjg/edit?gid=554141278#gid=554141278"", ""'Char Def. - Attributes'!C20:C2242""), 1,false)"),"VARIAN")</f>
        <v>VARIAN</v>
      </c>
      <c r="I1970" s="136"/>
    </row>
    <row r="1971" ht="15.75" customHeight="1">
      <c r="A1971" s="59"/>
      <c r="B1971" s="63">
        <f t="shared" si="1"/>
        <v>16</v>
      </c>
      <c r="C1971" s="134" t="s">
        <v>131</v>
      </c>
      <c r="D1971" s="134" t="s">
        <v>74</v>
      </c>
      <c r="E1971" s="135">
        <f t="shared" si="45"/>
        <v>6</v>
      </c>
      <c r="F1971" s="134" t="s">
        <v>3608</v>
      </c>
      <c r="G1971" s="63" t="str">
        <f>VLOOKUP(C1971, 'Class Def. - General Data'!$C$20:$C$1000,1,false)</f>
        <v>ZFG1_PORCCLEANER</v>
      </c>
      <c r="H1971" s="63" t="str">
        <f>IFERROR(__xludf.DUMMYFUNCTION("VLOOKUP(F1971, IMPORTRANGE(""https://docs.google.com/spreadsheets/d/1Lhp9OU0JdFf_VYSMzH5lBcEaU4o8teT1piV-SNzShjg/edit?gid=554141278#gid=554141278"", ""'Char Def. - Attributes'!C20:C2242""), 1,false)"),"PROJECT_NAME")</f>
        <v>PROJECT_NAME</v>
      </c>
      <c r="I1971" s="136"/>
    </row>
    <row r="1972" ht="15.75" customHeight="1">
      <c r="A1972" s="59"/>
      <c r="B1972" s="63">
        <f t="shared" si="1"/>
        <v>16</v>
      </c>
      <c r="C1972" s="134" t="s">
        <v>131</v>
      </c>
      <c r="D1972" s="134" t="s">
        <v>74</v>
      </c>
      <c r="E1972" s="135">
        <f t="shared" si="45"/>
        <v>7</v>
      </c>
      <c r="F1972" s="134" t="s">
        <v>3609</v>
      </c>
      <c r="G1972" s="63" t="str">
        <f>VLOOKUP(C1972, 'Class Def. - General Data'!$C$20:$C$1000,1,false)</f>
        <v>ZFG1_PORCCLEANER</v>
      </c>
      <c r="H1972" s="63" t="str">
        <f>IFERROR(__xludf.DUMMYFUNCTION("VLOOKUP(F1972, IMPORTRANGE(""https://docs.google.com/spreadsheets/d/1Lhp9OU0JdFf_VYSMzH5lBcEaU4o8teT1piV-SNzShjg/edit?gid=554141278#gid=554141278"", ""'Char Def. - Attributes'!C20:C2242""), 1,false)"),"ADDITIONAL_PROMO")</f>
        <v>ADDITIONAL_PROMO</v>
      </c>
      <c r="I1972" s="136"/>
    </row>
    <row r="1973" ht="15.75" customHeight="1">
      <c r="A1973" s="59"/>
      <c r="B1973" s="63">
        <f t="shared" si="1"/>
        <v>16</v>
      </c>
      <c r="C1973" s="134" t="s">
        <v>131</v>
      </c>
      <c r="D1973" s="134" t="s">
        <v>74</v>
      </c>
      <c r="E1973" s="135">
        <f t="shared" si="45"/>
        <v>8</v>
      </c>
      <c r="F1973" s="134" t="s">
        <v>3610</v>
      </c>
      <c r="G1973" s="63" t="str">
        <f>VLOOKUP(C1973, 'Class Def. - General Data'!$C$20:$C$1000,1,false)</f>
        <v>ZFG1_PORCCLEANER</v>
      </c>
      <c r="H1973" s="63" t="str">
        <f>IFERROR(__xludf.DUMMYFUNCTION("VLOOKUP(F1973, IMPORTRANGE(""https://docs.google.com/spreadsheets/d/1Lhp9OU0JdFf_VYSMzH5lBcEaU4o8teT1piV-SNzShjg/edit?gid=554141278#gid=554141278"", ""'Char Def. - Attributes'!C20:C2242""), 1,false)"),"BANDED_PROMO")</f>
        <v>BANDED_PROMO</v>
      </c>
      <c r="I1973" s="136"/>
    </row>
    <row r="1974" ht="15.75" customHeight="1">
      <c r="A1974" s="59"/>
      <c r="B1974" s="63">
        <f t="shared" si="1"/>
        <v>16</v>
      </c>
      <c r="C1974" s="134" t="s">
        <v>131</v>
      </c>
      <c r="D1974" s="134" t="s">
        <v>74</v>
      </c>
      <c r="E1974" s="135">
        <f t="shared" si="45"/>
        <v>9</v>
      </c>
      <c r="F1974" s="134" t="s">
        <v>3611</v>
      </c>
      <c r="G1974" s="63" t="str">
        <f>VLOOKUP(C1974, 'Class Def. - General Data'!$C$20:$C$1000,1,false)</f>
        <v>ZFG1_PORCCLEANER</v>
      </c>
      <c r="H1974" s="63" t="str">
        <f>IFERROR(__xludf.DUMMYFUNCTION("VLOOKUP(F1974, IMPORTRANGE(""https://docs.google.com/spreadsheets/d/1Lhp9OU0JdFf_VYSMzH5lBcEaU4o8teT1piV-SNzShjg/edit?gid=554141278#gid=554141278"", ""'Char Def. - Attributes'!C20:C2242""), 1,false)"),"LOKAL_EKSPOR")</f>
        <v>LOKAL_EKSPOR</v>
      </c>
      <c r="I1974" s="136"/>
    </row>
    <row r="1975" ht="15.75" customHeight="1">
      <c r="A1975" s="59"/>
      <c r="B1975" s="63">
        <f t="shared" si="1"/>
        <v>16</v>
      </c>
      <c r="C1975" s="134" t="s">
        <v>131</v>
      </c>
      <c r="D1975" s="134" t="s">
        <v>74</v>
      </c>
      <c r="E1975" s="135">
        <f t="shared" si="45"/>
        <v>10</v>
      </c>
      <c r="F1975" s="134" t="s">
        <v>3612</v>
      </c>
      <c r="G1975" s="63" t="str">
        <f>VLOOKUP(C1975, 'Class Def. - General Data'!$C$20:$C$1000,1,false)</f>
        <v>ZFG1_PORCCLEANER</v>
      </c>
      <c r="H1975" s="63" t="str">
        <f>IFERROR(__xludf.DUMMYFUNCTION("VLOOKUP(F1975, IMPORTRANGE(""https://docs.google.com/spreadsheets/d/1Lhp9OU0JdFf_VYSMzH5lBcEaU4o8teT1piV-SNzShjg/edit?gid=554141278#gid=554141278"", ""'Char Def. - Attributes'!C20:C2242""), 1,false)"),"COUNTRY_EKSPOR")</f>
        <v>COUNTRY_EKSPOR</v>
      </c>
      <c r="I1975" s="136"/>
    </row>
    <row r="1976" ht="15.75" customHeight="1">
      <c r="A1976" s="59"/>
      <c r="B1976" s="63">
        <f t="shared" si="1"/>
        <v>16</v>
      </c>
      <c r="C1976" s="134" t="s">
        <v>131</v>
      </c>
      <c r="D1976" s="134" t="s">
        <v>74</v>
      </c>
      <c r="E1976" s="135">
        <f t="shared" si="45"/>
        <v>11</v>
      </c>
      <c r="F1976" s="134" t="s">
        <v>3613</v>
      </c>
      <c r="G1976" s="63" t="str">
        <f>VLOOKUP(C1976, 'Class Def. - General Data'!$C$20:$C$1000,1,false)</f>
        <v>ZFG1_PORCCLEANER</v>
      </c>
      <c r="H1976" s="63" t="str">
        <f>IFERROR(__xludf.DUMMYFUNCTION("VLOOKUP(F1976, IMPORTRANGE(""https://docs.google.com/spreadsheets/d/1Lhp9OU0JdFf_VYSMzH5lBcEaU4o8teT1piV-SNzShjg/edit?gid=554141278#gid=554141278"", ""'Char Def. - Attributes'!C20:C2242""), 1,false)"),"WARNA_SFG")</f>
        <v>WARNA_SFG</v>
      </c>
      <c r="I1976" s="136"/>
    </row>
    <row r="1977" ht="15.75" customHeight="1">
      <c r="A1977" s="59"/>
      <c r="B1977" s="63">
        <f t="shared" si="1"/>
        <v>16</v>
      </c>
      <c r="C1977" s="134" t="s">
        <v>131</v>
      </c>
      <c r="D1977" s="134" t="s">
        <v>74</v>
      </c>
      <c r="E1977" s="135">
        <f t="shared" si="45"/>
        <v>12</v>
      </c>
      <c r="F1977" s="134" t="s">
        <v>3582</v>
      </c>
      <c r="G1977" s="63" t="str">
        <f>VLOOKUP(C1977, 'Class Def. - General Data'!$C$20:$C$1000,1,false)</f>
        <v>ZFG1_PORCCLEANER</v>
      </c>
      <c r="H1977" s="63" t="str">
        <f>IFERROR(__xludf.DUMMYFUNCTION("VLOOKUP(F1977, IMPORTRANGE(""https://docs.google.com/spreadsheets/d/1Lhp9OU0JdFf_VYSMzH5lBcEaU4o8teT1piV-SNzShjg/edit?gid=554141278#gid=554141278"", ""'Char Def. - Attributes'!C20:C2242""), 1,false)"),"BASE_UNIT")</f>
        <v>BASE_UNIT</v>
      </c>
      <c r="I1977" s="136"/>
    </row>
    <row r="1978" ht="15.75" customHeight="1">
      <c r="A1978" s="59"/>
      <c r="B1978" s="63">
        <f t="shared" si="1"/>
        <v>16</v>
      </c>
      <c r="C1978" s="134" t="s">
        <v>131</v>
      </c>
      <c r="D1978" s="134" t="s">
        <v>74</v>
      </c>
      <c r="E1978" s="135">
        <f t="shared" si="45"/>
        <v>13</v>
      </c>
      <c r="F1978" s="134" t="s">
        <v>3583</v>
      </c>
      <c r="G1978" s="63" t="str">
        <f>VLOOKUP(C1978, 'Class Def. - General Data'!$C$20:$C$1000,1,false)</f>
        <v>ZFG1_PORCCLEANER</v>
      </c>
      <c r="H1978" s="63" t="str">
        <f>IFERROR(__xludf.DUMMYFUNCTION("VLOOKUP(F1978, IMPORTRANGE(""https://docs.google.com/spreadsheets/d/1Lhp9OU0JdFf_VYSMzH5lBcEaU4o8teT1piV-SNzShjg/edit?gid=554141278#gid=554141278"", ""'Char Def. - Attributes'!C20:C2242""), 1,false)"),"SALES_UNIT")</f>
        <v>SALES_UNIT</v>
      </c>
      <c r="I1978" s="136"/>
    </row>
    <row r="1979" ht="15.75" customHeight="1">
      <c r="A1979" s="59"/>
      <c r="B1979" s="63">
        <f t="shared" si="1"/>
        <v>16</v>
      </c>
      <c r="C1979" s="134" t="s">
        <v>131</v>
      </c>
      <c r="D1979" s="134" t="s">
        <v>74</v>
      </c>
      <c r="E1979" s="135">
        <f t="shared" si="45"/>
        <v>14</v>
      </c>
      <c r="F1979" s="134" t="s">
        <v>3601</v>
      </c>
      <c r="G1979" s="63" t="str">
        <f>VLOOKUP(C1979, 'Class Def. - General Data'!$C$20:$C$1000,1,false)</f>
        <v>ZFG1_PORCCLEANER</v>
      </c>
      <c r="H1979" s="63" t="str">
        <f>IFERROR(__xludf.DUMMYFUNCTION("VLOOKUP(F1979, IMPORTRANGE(""https://docs.google.com/spreadsheets/d/1Lhp9OU0JdFf_VYSMzH5lBcEaU4o8teT1piV-SNzShjg/edit?gid=554141278#gid=554141278"", ""'Char Def. - Attributes'!C20:C2242""), 1,false)"),"GROSS_WEIGHT")</f>
        <v>GROSS_WEIGHT</v>
      </c>
      <c r="I1979" s="136"/>
    </row>
    <row r="1980" ht="15.75" customHeight="1">
      <c r="A1980" s="59"/>
      <c r="B1980" s="63">
        <f t="shared" si="1"/>
        <v>16</v>
      </c>
      <c r="C1980" s="134" t="s">
        <v>131</v>
      </c>
      <c r="D1980" s="134" t="s">
        <v>74</v>
      </c>
      <c r="E1980" s="135">
        <f t="shared" si="45"/>
        <v>15</v>
      </c>
      <c r="F1980" s="134" t="s">
        <v>3602</v>
      </c>
      <c r="G1980" s="63" t="str">
        <f>VLOOKUP(C1980, 'Class Def. - General Data'!$C$20:$C$1000,1,false)</f>
        <v>ZFG1_PORCCLEANER</v>
      </c>
      <c r="H1980" s="63" t="str">
        <f>IFERROR(__xludf.DUMMYFUNCTION("VLOOKUP(F1980, IMPORTRANGE(""https://docs.google.com/spreadsheets/d/1Lhp9OU0JdFf_VYSMzH5lBcEaU4o8teT1piV-SNzShjg/edit?gid=554141278#gid=554141278"", ""'Char Def. - Attributes'!C20:C2242""), 1,false)"),"NET_WEIGHT")</f>
        <v>NET_WEIGHT</v>
      </c>
      <c r="I1980" s="136"/>
    </row>
    <row r="1981" ht="15.75" customHeight="1">
      <c r="A1981" s="59"/>
      <c r="B1981" s="63">
        <f t="shared" si="1"/>
        <v>16</v>
      </c>
      <c r="C1981" s="134" t="s">
        <v>131</v>
      </c>
      <c r="D1981" s="134" t="s">
        <v>74</v>
      </c>
      <c r="E1981" s="135">
        <f t="shared" si="45"/>
        <v>16</v>
      </c>
      <c r="F1981" s="134" t="s">
        <v>3584</v>
      </c>
      <c r="G1981" s="63" t="str">
        <f>VLOOKUP(C1981, 'Class Def. - General Data'!$C$20:$C$1000,1,false)</f>
        <v>ZFG1_PORCCLEANER</v>
      </c>
      <c r="H1981" s="63" t="str">
        <f>IFERROR(__xludf.DUMMYFUNCTION("VLOOKUP(F1981, IMPORTRANGE(""https://docs.google.com/spreadsheets/d/1Lhp9OU0JdFf_VYSMzH5lBcEaU4o8teT1piV-SNzShjg/edit?gid=554141278#gid=554141278"", ""'Char Def. - Attributes'!C20:C2242""), 1,false)"),"UNIT_PER_BOX")</f>
        <v>UNIT_PER_BOX</v>
      </c>
      <c r="I1981" s="136"/>
    </row>
    <row r="1982" ht="15.75" customHeight="1">
      <c r="A1982" s="59"/>
      <c r="B1982" s="63">
        <f t="shared" si="1"/>
        <v>16</v>
      </c>
      <c r="C1982" s="134" t="s">
        <v>131</v>
      </c>
      <c r="D1982" s="134" t="s">
        <v>74</v>
      </c>
      <c r="E1982" s="135">
        <f t="shared" si="45"/>
        <v>17</v>
      </c>
      <c r="F1982" s="134" t="s">
        <v>3614</v>
      </c>
      <c r="G1982" s="63" t="str">
        <f>VLOOKUP(C1982, 'Class Def. - General Data'!$C$20:$C$1000,1,false)</f>
        <v>ZFG1_PORCCLEANER</v>
      </c>
      <c r="H1982" s="63" t="str">
        <f>IFERROR(__xludf.DUMMYFUNCTION("VLOOKUP(F1982, IMPORTRANGE(""https://docs.google.com/spreadsheets/d/1Lhp9OU0JdFf_VYSMzH5lBcEaU4o8teT1piV-SNzShjg/edit?gid=554141278#gid=554141278"", ""'Char Def. - Attributes'!C20:C2242""), 1,false)"),"UNIT_PER_CTN")</f>
        <v>UNIT_PER_CTN</v>
      </c>
      <c r="I1982" s="136"/>
    </row>
    <row r="1983" ht="15.75" customHeight="1">
      <c r="A1983" s="59"/>
      <c r="B1983" s="63">
        <f t="shared" si="1"/>
        <v>16</v>
      </c>
      <c r="C1983" s="134" t="s">
        <v>131</v>
      </c>
      <c r="D1983" s="134" t="s">
        <v>74</v>
      </c>
      <c r="E1983" s="135">
        <f t="shared" si="45"/>
        <v>18</v>
      </c>
      <c r="F1983" s="134" t="s">
        <v>3615</v>
      </c>
      <c r="G1983" s="63" t="str">
        <f>VLOOKUP(C1983, 'Class Def. - General Data'!$C$20:$C$1000,1,false)</f>
        <v>ZFG1_PORCCLEANER</v>
      </c>
      <c r="H1983" s="63" t="str">
        <f>IFERROR(__xludf.DUMMYFUNCTION("VLOOKUP(F1983, IMPORTRANGE(""https://docs.google.com/spreadsheets/d/1Lhp9OU0JdFf_VYSMzH5lBcEaU4o8teT1piV-SNzShjg/edit?gid=554141278#gid=554141278"", ""'Char Def. - Attributes'!C20:C2242""), 1,false)"),"UNIT_PER_BAG")</f>
        <v>UNIT_PER_BAG</v>
      </c>
      <c r="I1983" s="136"/>
    </row>
    <row r="1984" ht="15.75" customHeight="1">
      <c r="A1984" s="59"/>
      <c r="B1984" s="63">
        <f t="shared" si="1"/>
        <v>16</v>
      </c>
      <c r="C1984" s="134" t="s">
        <v>131</v>
      </c>
      <c r="D1984" s="134" t="s">
        <v>74</v>
      </c>
      <c r="E1984" s="135">
        <f t="shared" si="45"/>
        <v>19</v>
      </c>
      <c r="F1984" s="134" t="s">
        <v>3616</v>
      </c>
      <c r="G1984" s="63" t="str">
        <f>VLOOKUP(C1984, 'Class Def. - General Data'!$C$20:$C$1000,1,false)</f>
        <v>ZFG1_PORCCLEANER</v>
      </c>
      <c r="H1984" s="63" t="str">
        <f>IFERROR(__xludf.DUMMYFUNCTION("VLOOKUP(F1984, IMPORTRANGE(""https://docs.google.com/spreadsheets/d/1Lhp9OU0JdFf_VYSMzH5lBcEaU4o8teT1piV-SNzShjg/edit?gid=554141278#gid=554141278"", ""'Char Def. - Attributes'!C20:C2242""), 1,false)"),"UNIT_PER_PAL")</f>
        <v>UNIT_PER_PAL</v>
      </c>
      <c r="I1984" s="136"/>
    </row>
    <row r="1985" ht="15.75" customHeight="1">
      <c r="A1985" s="59"/>
      <c r="B1985" s="63">
        <f t="shared" si="1"/>
        <v>16</v>
      </c>
      <c r="C1985" s="134" t="s">
        <v>131</v>
      </c>
      <c r="D1985" s="134" t="s">
        <v>74</v>
      </c>
      <c r="E1985" s="135">
        <f t="shared" si="45"/>
        <v>20</v>
      </c>
      <c r="F1985" s="134" t="s">
        <v>3617</v>
      </c>
      <c r="G1985" s="63" t="str">
        <f>VLOOKUP(C1985, 'Class Def. - General Data'!$C$20:$C$1000,1,false)</f>
        <v>ZFG1_PORCCLEANER</v>
      </c>
      <c r="H1985" s="63" t="str">
        <f>IFERROR(__xludf.DUMMYFUNCTION("VLOOKUP(F1985, IMPORTRANGE(""https://docs.google.com/spreadsheets/d/1Lhp9OU0JdFf_VYSMzH5lBcEaU4o8teT1piV-SNzShjg/edit?gid=554141278#gid=554141278"", ""'Char Def. - Attributes'!C20:C2242""), 1,false)"),"UNIT_PER_TIER")</f>
        <v>UNIT_PER_TIER</v>
      </c>
      <c r="I1985" s="136"/>
    </row>
    <row r="1986" ht="15.75" customHeight="1">
      <c r="A1986" s="59"/>
      <c r="B1986" s="63">
        <f t="shared" si="1"/>
        <v>16</v>
      </c>
      <c r="C1986" s="134" t="s">
        <v>131</v>
      </c>
      <c r="D1986" s="134" t="s">
        <v>74</v>
      </c>
      <c r="E1986" s="135">
        <f t="shared" si="45"/>
        <v>21</v>
      </c>
      <c r="F1986" s="134" t="s">
        <v>3618</v>
      </c>
      <c r="G1986" s="63" t="str">
        <f>VLOOKUP(C1986, 'Class Def. - General Data'!$C$20:$C$1000,1,false)</f>
        <v>ZFG1_PORCCLEANER</v>
      </c>
      <c r="H1986" s="63" t="str">
        <f>IFERROR(__xludf.DUMMYFUNCTION("VLOOKUP(F1986, IMPORTRANGE(""https://docs.google.com/spreadsheets/d/1Lhp9OU0JdFf_VYSMzH5lBcEaU4o8teT1piV-SNzShjg/edit?gid=554141278#gid=554141278"", ""'Char Def. - Attributes'!C20:C2242""), 1,false)"),"HEIGHT")</f>
        <v>HEIGHT</v>
      </c>
      <c r="I1986" s="136"/>
    </row>
    <row r="1987" ht="15.75" customHeight="1">
      <c r="A1987" s="59"/>
      <c r="B1987" s="63">
        <f t="shared" si="1"/>
        <v>16</v>
      </c>
      <c r="C1987" s="134" t="s">
        <v>131</v>
      </c>
      <c r="D1987" s="134" t="s">
        <v>74</v>
      </c>
      <c r="E1987" s="135">
        <f t="shared" si="45"/>
        <v>22</v>
      </c>
      <c r="F1987" s="134" t="s">
        <v>3587</v>
      </c>
      <c r="G1987" s="63" t="str">
        <f>VLOOKUP(C1987, 'Class Def. - General Data'!$C$20:$C$1000,1,false)</f>
        <v>ZFG1_PORCCLEANER</v>
      </c>
      <c r="H1987" s="63" t="str">
        <f>IFERROR(__xludf.DUMMYFUNCTION("VLOOKUP(F1987, IMPORTRANGE(""https://docs.google.com/spreadsheets/d/1Lhp9OU0JdFf_VYSMzH5lBcEaU4o8teT1piV-SNzShjg/edit?gid=554141278#gid=554141278"", ""'Char Def. - Attributes'!C20:C2242""), 1,false)"),"PLANT_BUY")</f>
        <v>PLANT_BUY</v>
      </c>
      <c r="I1987" s="136"/>
    </row>
    <row r="1988" ht="15.75" customHeight="1">
      <c r="A1988" s="59"/>
      <c r="B1988" s="63">
        <f t="shared" si="1"/>
        <v>16</v>
      </c>
      <c r="C1988" s="134" t="s">
        <v>131</v>
      </c>
      <c r="D1988" s="134" t="s">
        <v>74</v>
      </c>
      <c r="E1988" s="135">
        <f t="shared" si="45"/>
        <v>23</v>
      </c>
      <c r="F1988" s="134" t="s">
        <v>3619</v>
      </c>
      <c r="G1988" s="63" t="str">
        <f>VLOOKUP(C1988, 'Class Def. - General Data'!$C$20:$C$1000,1,false)</f>
        <v>ZFG1_PORCCLEANER</v>
      </c>
      <c r="H1988" s="63" t="str">
        <f>IFERROR(__xludf.DUMMYFUNCTION("VLOOKUP(F1988, IMPORTRANGE(""https://docs.google.com/spreadsheets/d/1Lhp9OU0JdFf_VYSMzH5lBcEaU4o8teT1piV-SNzShjg/edit?gid=554141278#gid=554141278"", ""'Char Def. - Attributes'!C20:C2242""), 1,false)"),"LENGTH")</f>
        <v>LENGTH</v>
      </c>
      <c r="I1988" s="136"/>
    </row>
    <row r="1989" ht="15.75" customHeight="1">
      <c r="A1989" s="59"/>
      <c r="B1989" s="63">
        <f t="shared" si="1"/>
        <v>16</v>
      </c>
      <c r="C1989" s="134" t="s">
        <v>131</v>
      </c>
      <c r="D1989" s="134" t="s">
        <v>74</v>
      </c>
      <c r="E1989" s="135">
        <f t="shared" si="45"/>
        <v>24</v>
      </c>
      <c r="F1989" s="134" t="s">
        <v>3586</v>
      </c>
      <c r="G1989" s="63" t="str">
        <f>VLOOKUP(C1989, 'Class Def. - General Data'!$C$20:$C$1000,1,false)</f>
        <v>ZFG1_PORCCLEANER</v>
      </c>
      <c r="H1989" s="63" t="str">
        <f>IFERROR(__xludf.DUMMYFUNCTION("VLOOKUP(F1989, IMPORTRANGE(""https://docs.google.com/spreadsheets/d/1Lhp9OU0JdFf_VYSMzH5lBcEaU4o8teT1piV-SNzShjg/edit?gid=554141278#gid=554141278"", ""'Char Def. - Attributes'!C20:C2242""), 1,false)"),"PLANT_PROD")</f>
        <v>PLANT_PROD</v>
      </c>
      <c r="I1989" s="136"/>
    </row>
    <row r="1990" ht="15.75" customHeight="1">
      <c r="A1990" s="59"/>
      <c r="B1990" s="63">
        <f t="shared" si="1"/>
        <v>16</v>
      </c>
      <c r="C1990" s="134" t="s">
        <v>131</v>
      </c>
      <c r="D1990" s="134" t="s">
        <v>74</v>
      </c>
      <c r="E1990" s="135">
        <f t="shared" si="45"/>
        <v>25</v>
      </c>
      <c r="F1990" s="134" t="s">
        <v>3620</v>
      </c>
      <c r="G1990" s="63" t="str">
        <f>VLOOKUP(C1990, 'Class Def. - General Data'!$C$20:$C$1000,1,false)</f>
        <v>ZFG1_PORCCLEANER</v>
      </c>
      <c r="H1990" s="63" t="str">
        <f>IFERROR(__xludf.DUMMYFUNCTION("VLOOKUP(F1990, IMPORTRANGE(""https://docs.google.com/spreadsheets/d/1Lhp9OU0JdFf_VYSMzH5lBcEaU4o8teT1piV-SNzShjg/edit?gid=554141278#gid=554141278"", ""'Char Def. - Attributes'!C20:C2242""), 1,false)"),"WIDTH")</f>
        <v>WIDTH</v>
      </c>
      <c r="I1990" s="136"/>
    </row>
    <row r="1991" ht="15.75" customHeight="1">
      <c r="A1991" s="59"/>
      <c r="B1991" s="63">
        <f t="shared" si="1"/>
        <v>16</v>
      </c>
      <c r="C1991" s="134" t="s">
        <v>131</v>
      </c>
      <c r="D1991" s="134" t="s">
        <v>74</v>
      </c>
      <c r="E1991" s="135">
        <f t="shared" si="45"/>
        <v>26</v>
      </c>
      <c r="F1991" s="134" t="s">
        <v>3585</v>
      </c>
      <c r="G1991" s="63" t="str">
        <f>VLOOKUP(C1991, 'Class Def. - General Data'!$C$20:$C$1000,1,false)</f>
        <v>ZFG1_PORCCLEANER</v>
      </c>
      <c r="H1991" s="63" t="str">
        <f>IFERROR(__xludf.DUMMYFUNCTION("VLOOKUP(F1991, IMPORTRANGE(""https://docs.google.com/spreadsheets/d/1Lhp9OU0JdFf_VYSMzH5lBcEaU4o8teT1piV-SNzShjg/edit?gid=554141278#gid=554141278"", ""'Char Def. - Attributes'!C20:C2242""), 1,false)"),"HS_CODE")</f>
        <v>HS_CODE</v>
      </c>
      <c r="I1991" s="136"/>
    </row>
    <row r="1992" ht="15.75" customHeight="1">
      <c r="A1992" s="59"/>
      <c r="B1992" s="63">
        <f t="shared" si="1"/>
        <v>16</v>
      </c>
      <c r="C1992" s="134" t="s">
        <v>131</v>
      </c>
      <c r="D1992" s="134" t="s">
        <v>74</v>
      </c>
      <c r="E1992" s="135">
        <f t="shared" si="45"/>
        <v>27</v>
      </c>
      <c r="F1992" s="134" t="s">
        <v>3621</v>
      </c>
      <c r="G1992" s="63" t="str">
        <f>VLOOKUP(C1992, 'Class Def. - General Data'!$C$20:$C$1000,1,false)</f>
        <v>ZFG1_PORCCLEANER</v>
      </c>
      <c r="H1992" s="63" t="str">
        <f>IFERROR(__xludf.DUMMYFUNCTION("VLOOKUP(F1992, IMPORTRANGE(""https://docs.google.com/spreadsheets/d/1Lhp9OU0JdFf_VYSMzH5lBcEaU4o8teT1piV-SNzShjg/edit?gid=554141278#gid=554141278"", ""'Char Def. - Attributes'!C20:C2242""), 1,false)"),"EAN_PCS")</f>
        <v>EAN_PCS</v>
      </c>
      <c r="I1992" s="136"/>
    </row>
    <row r="1993" ht="15.75" customHeight="1">
      <c r="A1993" s="59"/>
      <c r="B1993" s="63">
        <f t="shared" si="1"/>
        <v>16</v>
      </c>
      <c r="C1993" s="134" t="s">
        <v>131</v>
      </c>
      <c r="D1993" s="134" t="s">
        <v>74</v>
      </c>
      <c r="E1993" s="135">
        <f t="shared" si="45"/>
        <v>28</v>
      </c>
      <c r="F1993" s="134" t="s">
        <v>3622</v>
      </c>
      <c r="G1993" s="63" t="str">
        <f>VLOOKUP(C1993, 'Class Def. - General Data'!$C$20:$C$1000,1,false)</f>
        <v>ZFG1_PORCCLEANER</v>
      </c>
      <c r="H1993" s="63" t="str">
        <f>IFERROR(__xludf.DUMMYFUNCTION("VLOOKUP(F1993, IMPORTRANGE(""https://docs.google.com/spreadsheets/d/1Lhp9OU0JdFf_VYSMzH5lBcEaU4o8teT1piV-SNzShjg/edit?gid=554141278#gid=554141278"", ""'Char Def. - Attributes'!C20:C2242""), 1,false)"),"SFG_BRAND")</f>
        <v>SFG_BRAND</v>
      </c>
      <c r="I1993" s="136"/>
    </row>
    <row r="1994" ht="15.75" customHeight="1">
      <c r="A1994" s="59"/>
      <c r="B1994" s="63">
        <f t="shared" si="1"/>
        <v>16</v>
      </c>
      <c r="C1994" s="134" t="s">
        <v>131</v>
      </c>
      <c r="D1994" s="134" t="s">
        <v>74</v>
      </c>
      <c r="E1994" s="135">
        <f t="shared" si="45"/>
        <v>29</v>
      </c>
      <c r="F1994" s="134" t="s">
        <v>3623</v>
      </c>
      <c r="G1994" s="63" t="str">
        <f>VLOOKUP(C1994, 'Class Def. - General Data'!$C$20:$C$1000,1,false)</f>
        <v>ZFG1_PORCCLEANER</v>
      </c>
      <c r="H1994" s="63" t="str">
        <f>IFERROR(__xludf.DUMMYFUNCTION("VLOOKUP(F1994, IMPORTRANGE(""https://docs.google.com/spreadsheets/d/1Lhp9OU0JdFf_VYSMzH5lBcEaU4o8teT1piV-SNzShjg/edit?gid=554141278#gid=554141278"", ""'Char Def. - Attributes'!C20:C2242""), 1,false)"),"LANGUAGE")</f>
        <v>LANGUAGE</v>
      </c>
      <c r="I1994" s="136"/>
    </row>
    <row r="1995" ht="15.75" customHeight="1">
      <c r="A1995" s="59"/>
      <c r="B1995" s="63">
        <f t="shared" si="1"/>
        <v>16</v>
      </c>
      <c r="C1995" s="139" t="s">
        <v>131</v>
      </c>
      <c r="D1995" s="139" t="s">
        <v>74</v>
      </c>
      <c r="E1995" s="140">
        <f t="shared" si="45"/>
        <v>30</v>
      </c>
      <c r="F1995" s="134" t="s">
        <v>3624</v>
      </c>
      <c r="G1995" s="63" t="str">
        <f>VLOOKUP(C1995, 'Class Def. - General Data'!$C$20:$C$1000,1,false)</f>
        <v>ZFG1_PORCCLEANER</v>
      </c>
      <c r="H1995" s="63" t="str">
        <f>IFERROR(__xludf.DUMMYFUNCTION("VLOOKUP(F1995, IMPORTRANGE(""https://docs.google.com/spreadsheets/d/1Lhp9OU0JdFf_VYSMzH5lBcEaU4o8teT1piV-SNzShjg/edit?gid=554141278#gid=554141278"", ""'Char Def. - Attributes'!C20:C2242""), 1,false)"),"#N/A")</f>
        <v>#N/A</v>
      </c>
      <c r="I1995" s="136"/>
    </row>
    <row r="1996" ht="15.75" customHeight="1">
      <c r="A1996" s="59"/>
      <c r="B1996" s="63">
        <f t="shared" si="1"/>
        <v>16</v>
      </c>
      <c r="C1996" s="134" t="s">
        <v>131</v>
      </c>
      <c r="D1996" s="134" t="s">
        <v>74</v>
      </c>
      <c r="E1996" s="135">
        <f t="shared" si="45"/>
        <v>31</v>
      </c>
      <c r="F1996" s="134" t="s">
        <v>3625</v>
      </c>
      <c r="G1996" s="63" t="str">
        <f>VLOOKUP(C1996, 'Class Def. - General Data'!$C$20:$C$1000,1,false)</f>
        <v>ZFG1_PORCCLEANER</v>
      </c>
      <c r="H1996" s="63" t="str">
        <f>IFERROR(__xludf.DUMMYFUNCTION("VLOOKUP(F1996, IMPORTRANGE(""https://docs.google.com/spreadsheets/d/1Lhp9OU0JdFf_VYSMzH5lBcEaU4o8teT1piV-SNzShjg/edit?gid=554141278#gid=554141278"", ""'Char Def. - Attributes'!C20:C2242""), 1,false)"),"REGION_EKSPOR")</f>
        <v>REGION_EKSPOR</v>
      </c>
      <c r="I1996" s="136"/>
    </row>
    <row r="1997" ht="15.75" customHeight="1">
      <c r="A1997" s="59"/>
      <c r="B1997" s="63">
        <f t="shared" si="1"/>
        <v>16</v>
      </c>
      <c r="C1997" s="134" t="s">
        <v>131</v>
      </c>
      <c r="D1997" s="134" t="s">
        <v>74</v>
      </c>
      <c r="E1997" s="135">
        <f t="shared" si="45"/>
        <v>32</v>
      </c>
      <c r="F1997" s="134" t="s">
        <v>3626</v>
      </c>
      <c r="G1997" s="63" t="str">
        <f>VLOOKUP(C1997, 'Class Def. - General Data'!$C$20:$C$1000,1,false)</f>
        <v>ZFG1_PORCCLEANER</v>
      </c>
      <c r="H1997" s="63" t="str">
        <f>IFERROR(__xludf.DUMMYFUNCTION("VLOOKUP(F1997, IMPORTRANGE(""https://docs.google.com/spreadsheets/d/1Lhp9OU0JdFf_VYSMzH5lBcEaU4o8teT1piV-SNzShjg/edit?gid=554141278#gid=554141278"", ""'Char Def. - Attributes'!C20:C2242""), 1,false)"),"STICKER_NOT")</f>
        <v>STICKER_NOT</v>
      </c>
      <c r="I1997" s="136"/>
    </row>
    <row r="1998" ht="15.75" customHeight="1">
      <c r="A1998" s="59"/>
      <c r="B1998" s="63">
        <f t="shared" si="1"/>
        <v>16</v>
      </c>
      <c r="C1998" s="134" t="s">
        <v>131</v>
      </c>
      <c r="D1998" s="134" t="s">
        <v>74</v>
      </c>
      <c r="E1998" s="135">
        <f t="shared" si="45"/>
        <v>33</v>
      </c>
      <c r="F1998" s="134" t="s">
        <v>3627</v>
      </c>
      <c r="G1998" s="63" t="str">
        <f>VLOOKUP(C1998, 'Class Def. - General Data'!$C$20:$C$1000,1,false)</f>
        <v>ZFG1_PORCCLEANER</v>
      </c>
      <c r="H1998" s="63" t="str">
        <f>IFERROR(__xludf.DUMMYFUNCTION("VLOOKUP(F1998, IMPORTRANGE(""https://docs.google.com/spreadsheets/d/1Lhp9OU0JdFf_VYSMzH5lBcEaU4o8teT1piV-SNzShjg/edit?gid=554141278#gid=554141278"", ""'Char Def. - Attributes'!C20:C2242""), 1,false)"),"SHIP_MARK")</f>
        <v>SHIP_MARK</v>
      </c>
      <c r="I1998" s="136"/>
    </row>
    <row r="1999" ht="15.75" customHeight="1">
      <c r="A1999" s="59"/>
      <c r="B1999" s="63">
        <f t="shared" si="1"/>
        <v>16</v>
      </c>
      <c r="C1999" s="134" t="s">
        <v>131</v>
      </c>
      <c r="D1999" s="134" t="s">
        <v>74</v>
      </c>
      <c r="E1999" s="135">
        <f t="shared" si="45"/>
        <v>34</v>
      </c>
      <c r="F1999" s="134" t="s">
        <v>3628</v>
      </c>
      <c r="G1999" s="63" t="str">
        <f>VLOOKUP(C1999, 'Class Def. - General Data'!$C$20:$C$1000,1,false)</f>
        <v>ZFG1_PORCCLEANER</v>
      </c>
      <c r="H1999" s="63" t="str">
        <f>IFERROR(__xludf.DUMMYFUNCTION("VLOOKUP(F1999, IMPORTRANGE(""https://docs.google.com/spreadsheets/d/1Lhp9OU0JdFf_VYSMzH5lBcEaU4o8teT1piV-SNzShjg/edit?gid=554141278#gid=554141278"", ""'Char Def. - Attributes'!C20:C2242""), 1,false)"),"MID_CORE")</f>
        <v>MID_CORE</v>
      </c>
      <c r="I1999" s="136"/>
    </row>
    <row r="2000" ht="15.75" customHeight="1">
      <c r="A2000" s="59"/>
      <c r="B2000" s="63">
        <f t="shared" si="1"/>
        <v>16</v>
      </c>
      <c r="C2000" s="134" t="s">
        <v>131</v>
      </c>
      <c r="D2000" s="134" t="s">
        <v>74</v>
      </c>
      <c r="E2000" s="135">
        <f t="shared" si="45"/>
        <v>35</v>
      </c>
      <c r="F2000" s="134" t="s">
        <v>3629</v>
      </c>
      <c r="G2000" s="63" t="str">
        <f>VLOOKUP(C2000, 'Class Def. - General Data'!$C$20:$C$1000,1,false)</f>
        <v>ZFG1_PORCCLEANER</v>
      </c>
      <c r="H2000" s="63" t="str">
        <f>IFERROR(__xludf.DUMMYFUNCTION("VLOOKUP(F2000, IMPORTRANGE(""https://docs.google.com/spreadsheets/d/1Lhp9OU0JdFf_VYSMzH5lBcEaU4o8teT1piV-SNzShjg/edit?gid=554141278#gid=554141278"", ""'Char Def. - Attributes'!C20:C2242""), 1,false)"),"EAN_CTN")</f>
        <v>EAN_CTN</v>
      </c>
      <c r="I2000" s="136"/>
    </row>
    <row r="2001" ht="15.75" customHeight="1">
      <c r="A2001" s="59"/>
      <c r="B2001" s="63">
        <f t="shared" si="1"/>
        <v>16</v>
      </c>
      <c r="C2001" s="134" t="s">
        <v>131</v>
      </c>
      <c r="D2001" s="134" t="s">
        <v>74</v>
      </c>
      <c r="E2001" s="135">
        <f t="shared" si="45"/>
        <v>36</v>
      </c>
      <c r="F2001" s="134" t="s">
        <v>3630</v>
      </c>
      <c r="G2001" s="63" t="str">
        <f>VLOOKUP(C2001, 'Class Def. - General Data'!$C$20:$C$1000,1,false)</f>
        <v>ZFG1_PORCCLEANER</v>
      </c>
      <c r="H2001" s="63" t="str">
        <f>IFERROR(__xludf.DUMMYFUNCTION("VLOOKUP(F2001, IMPORTRANGE(""https://docs.google.com/spreadsheets/d/1Lhp9OU0JdFf_VYSMzH5lBcEaU4o8teT1piV-SNzShjg/edit?gid=554141278#gid=554141278"", ""'Char Def. - Attributes'!C20:C2242""), 1,false)"),"EAN_BOX")</f>
        <v>EAN_BOX</v>
      </c>
      <c r="I2001" s="136"/>
    </row>
    <row r="2002" ht="15.75" customHeight="1">
      <c r="A2002" s="59"/>
      <c r="B2002" s="63">
        <f t="shared" si="1"/>
        <v>16</v>
      </c>
      <c r="C2002" s="134" t="s">
        <v>131</v>
      </c>
      <c r="D2002" s="141" t="s">
        <v>74</v>
      </c>
      <c r="E2002" s="135">
        <v>22.0</v>
      </c>
      <c r="F2002" s="135" t="s">
        <v>3603</v>
      </c>
      <c r="G2002" s="63" t="str">
        <f>VLOOKUP(C2002, 'Class Def. - General Data'!$C$20:$C$1000,1,false)</f>
        <v>ZFG1_PORCCLEANER</v>
      </c>
      <c r="I2002" s="136"/>
    </row>
    <row r="2003" ht="15.75" customHeight="1">
      <c r="A2003" s="59"/>
      <c r="B2003" s="63">
        <f t="shared" si="1"/>
        <v>11</v>
      </c>
      <c r="C2003" s="134" t="s">
        <v>132</v>
      </c>
      <c r="D2003" s="134" t="s">
        <v>74</v>
      </c>
      <c r="E2003" s="135">
        <f t="shared" ref="E2003:E2038" si="46">COUNTIF($C$20:C2003,C2003)</f>
        <v>1</v>
      </c>
      <c r="F2003" s="134" t="s">
        <v>3742</v>
      </c>
      <c r="G2003" s="63" t="str">
        <f>VLOOKUP(C2003, 'Class Def. - General Data'!$C$20:$C$1000,1,false)</f>
        <v>ZFG1_POWDET</v>
      </c>
      <c r="H2003" s="63" t="str">
        <f>IFERROR(__xludf.DUMMYFUNCTION("VLOOKUP(F2003, IMPORTRANGE(""https://docs.google.com/spreadsheets/d/1Lhp9OU0JdFf_VYSMzH5lBcEaU4o8teT1piV-SNzShjg/edit?gid=554141278#gid=554141278"", ""'Char Def. - Attributes'!C20:C2242""), 1,false)"),"BRAND_POWDET")</f>
        <v>BRAND_POWDET</v>
      </c>
      <c r="I2003" s="136"/>
    </row>
    <row r="2004" ht="15.75" customHeight="1">
      <c r="A2004" s="59"/>
      <c r="B2004" s="63">
        <f t="shared" si="1"/>
        <v>11</v>
      </c>
      <c r="C2004" s="135" t="s">
        <v>132</v>
      </c>
      <c r="D2004" s="134" t="s">
        <v>74</v>
      </c>
      <c r="E2004" s="135">
        <f t="shared" si="46"/>
        <v>2</v>
      </c>
      <c r="F2004" s="134" t="s">
        <v>3743</v>
      </c>
      <c r="G2004" s="63" t="str">
        <f>VLOOKUP(C2004, 'Class Def. - General Data'!$C$20:$C$1000,1,false)</f>
        <v>ZFG1_POWDET</v>
      </c>
      <c r="H2004" s="63" t="str">
        <f>IFERROR(__xludf.DUMMYFUNCTION("VLOOKUP(F2004, IMPORTRANGE(""https://docs.google.com/spreadsheets/d/1Lhp9OU0JdFf_VYSMzH5lBcEaU4o8teT1piV-SNzShjg/edit?gid=554141278#gid=554141278"", ""'Char Def. - Attributes'!C20:C2242""), 1,false)"),"PSHAPE_POWDET")</f>
        <v>PSHAPE_POWDET</v>
      </c>
      <c r="I2004" s="136"/>
    </row>
    <row r="2005" ht="15.75" customHeight="1">
      <c r="A2005" s="59"/>
      <c r="B2005" s="63">
        <f t="shared" si="1"/>
        <v>11</v>
      </c>
      <c r="C2005" s="134" t="s">
        <v>132</v>
      </c>
      <c r="D2005" s="134" t="s">
        <v>74</v>
      </c>
      <c r="E2005" s="135">
        <f t="shared" si="46"/>
        <v>3</v>
      </c>
      <c r="F2005" s="134" t="s">
        <v>3605</v>
      </c>
      <c r="G2005" s="63" t="str">
        <f>VLOOKUP(C2005, 'Class Def. - General Data'!$C$20:$C$1000,1,false)</f>
        <v>ZFG1_POWDET</v>
      </c>
      <c r="H2005" s="63" t="str">
        <f>IFERROR(__xludf.DUMMYFUNCTION("VLOOKUP(F2005, IMPORTRANGE(""https://docs.google.com/spreadsheets/d/1Lhp9OU0JdFf_VYSMzH5lBcEaU4o8teT1piV-SNzShjg/edit?gid=554141278#gid=554141278"", ""'Char Def. - Attributes'!C20:C2242""), 1,false)"),"PACK_NETTO")</f>
        <v>PACK_NETTO</v>
      </c>
      <c r="I2005" s="136"/>
    </row>
    <row r="2006" ht="15.75" customHeight="1">
      <c r="A2006" s="59"/>
      <c r="B2006" s="63">
        <f t="shared" si="1"/>
        <v>11</v>
      </c>
      <c r="C2006" s="135" t="s">
        <v>132</v>
      </c>
      <c r="D2006" s="134" t="s">
        <v>74</v>
      </c>
      <c r="E2006" s="135">
        <f t="shared" si="46"/>
        <v>4</v>
      </c>
      <c r="F2006" s="134" t="s">
        <v>3744</v>
      </c>
      <c r="G2006" s="63" t="str">
        <f>VLOOKUP(C2006, 'Class Def. - General Data'!$C$20:$C$1000,1,false)</f>
        <v>ZFG1_POWDET</v>
      </c>
      <c r="H2006" s="63" t="str">
        <f>IFERROR(__xludf.DUMMYFUNCTION("VLOOKUP(F2006, IMPORTRANGE(""https://docs.google.com/spreadsheets/d/1Lhp9OU0JdFf_VYSMzH5lBcEaU4o8teT1piV-SNzShjg/edit?gid=554141278#gid=554141278"", ""'Char Def. - Attributes'!C20:C2242""), 1,false)"),"PUOM_POWDET")</f>
        <v>PUOM_POWDET</v>
      </c>
      <c r="I2006" s="136"/>
    </row>
    <row r="2007" ht="15.75" customHeight="1">
      <c r="A2007" s="59"/>
      <c r="B2007" s="63">
        <f t="shared" si="1"/>
        <v>11</v>
      </c>
      <c r="C2007" s="134" t="s">
        <v>132</v>
      </c>
      <c r="D2007" s="134" t="s">
        <v>74</v>
      </c>
      <c r="E2007" s="135">
        <f t="shared" si="46"/>
        <v>5</v>
      </c>
      <c r="F2007" s="134" t="s">
        <v>3607</v>
      </c>
      <c r="G2007" s="63" t="str">
        <f>VLOOKUP(C2007, 'Class Def. - General Data'!$C$20:$C$1000,1,false)</f>
        <v>ZFG1_POWDET</v>
      </c>
      <c r="H2007" s="63" t="str">
        <f>IFERROR(__xludf.DUMMYFUNCTION("VLOOKUP(F2007, IMPORTRANGE(""https://docs.google.com/spreadsheets/d/1Lhp9OU0JdFf_VYSMzH5lBcEaU4o8teT1piV-SNzShjg/edit?gid=554141278#gid=554141278"", ""'Char Def. - Attributes'!C20:C2242""), 1,false)"),"VARIAN")</f>
        <v>VARIAN</v>
      </c>
      <c r="I2007" s="136"/>
    </row>
    <row r="2008" ht="15.75" customHeight="1">
      <c r="A2008" s="59"/>
      <c r="B2008" s="63">
        <f t="shared" si="1"/>
        <v>11</v>
      </c>
      <c r="C2008" s="134" t="s">
        <v>132</v>
      </c>
      <c r="D2008" s="134" t="s">
        <v>74</v>
      </c>
      <c r="E2008" s="135">
        <f t="shared" si="46"/>
        <v>6</v>
      </c>
      <c r="F2008" s="134" t="s">
        <v>3608</v>
      </c>
      <c r="G2008" s="63" t="str">
        <f>VLOOKUP(C2008, 'Class Def. - General Data'!$C$20:$C$1000,1,false)</f>
        <v>ZFG1_POWDET</v>
      </c>
      <c r="H2008" s="63" t="str">
        <f>IFERROR(__xludf.DUMMYFUNCTION("VLOOKUP(F2008, IMPORTRANGE(""https://docs.google.com/spreadsheets/d/1Lhp9OU0JdFf_VYSMzH5lBcEaU4o8teT1piV-SNzShjg/edit?gid=554141278#gid=554141278"", ""'Char Def. - Attributes'!C20:C2242""), 1,false)"),"PROJECT_NAME")</f>
        <v>PROJECT_NAME</v>
      </c>
      <c r="I2008" s="136"/>
    </row>
    <row r="2009" ht="15.75" customHeight="1">
      <c r="A2009" s="59"/>
      <c r="B2009" s="63">
        <f t="shared" si="1"/>
        <v>11</v>
      </c>
      <c r="C2009" s="134" t="s">
        <v>132</v>
      </c>
      <c r="D2009" s="134" t="s">
        <v>74</v>
      </c>
      <c r="E2009" s="135">
        <f t="shared" si="46"/>
        <v>7</v>
      </c>
      <c r="F2009" s="134" t="s">
        <v>3609</v>
      </c>
      <c r="G2009" s="63" t="str">
        <f>VLOOKUP(C2009, 'Class Def. - General Data'!$C$20:$C$1000,1,false)</f>
        <v>ZFG1_POWDET</v>
      </c>
      <c r="H2009" s="63" t="str">
        <f>IFERROR(__xludf.DUMMYFUNCTION("VLOOKUP(F2009, IMPORTRANGE(""https://docs.google.com/spreadsheets/d/1Lhp9OU0JdFf_VYSMzH5lBcEaU4o8teT1piV-SNzShjg/edit?gid=554141278#gid=554141278"", ""'Char Def. - Attributes'!C20:C2242""), 1,false)"),"ADDITIONAL_PROMO")</f>
        <v>ADDITIONAL_PROMO</v>
      </c>
      <c r="I2009" s="136"/>
    </row>
    <row r="2010" ht="15.75" customHeight="1">
      <c r="A2010" s="59"/>
      <c r="B2010" s="63">
        <f t="shared" si="1"/>
        <v>11</v>
      </c>
      <c r="C2010" s="134" t="s">
        <v>132</v>
      </c>
      <c r="D2010" s="134" t="s">
        <v>74</v>
      </c>
      <c r="E2010" s="135">
        <f t="shared" si="46"/>
        <v>8</v>
      </c>
      <c r="F2010" s="134" t="s">
        <v>3610</v>
      </c>
      <c r="G2010" s="63" t="str">
        <f>VLOOKUP(C2010, 'Class Def. - General Data'!$C$20:$C$1000,1,false)</f>
        <v>ZFG1_POWDET</v>
      </c>
      <c r="H2010" s="63" t="str">
        <f>IFERROR(__xludf.DUMMYFUNCTION("VLOOKUP(F2010, IMPORTRANGE(""https://docs.google.com/spreadsheets/d/1Lhp9OU0JdFf_VYSMzH5lBcEaU4o8teT1piV-SNzShjg/edit?gid=554141278#gid=554141278"", ""'Char Def. - Attributes'!C20:C2242""), 1,false)"),"BANDED_PROMO")</f>
        <v>BANDED_PROMO</v>
      </c>
      <c r="I2010" s="136"/>
    </row>
    <row r="2011" ht="15.75" customHeight="1">
      <c r="A2011" s="59"/>
      <c r="B2011" s="63">
        <f t="shared" si="1"/>
        <v>11</v>
      </c>
      <c r="C2011" s="134" t="s">
        <v>132</v>
      </c>
      <c r="D2011" s="134" t="s">
        <v>74</v>
      </c>
      <c r="E2011" s="135">
        <f t="shared" si="46"/>
        <v>9</v>
      </c>
      <c r="F2011" s="134" t="s">
        <v>3611</v>
      </c>
      <c r="G2011" s="63" t="str">
        <f>VLOOKUP(C2011, 'Class Def. - General Data'!$C$20:$C$1000,1,false)</f>
        <v>ZFG1_POWDET</v>
      </c>
      <c r="H2011" s="63" t="str">
        <f>IFERROR(__xludf.DUMMYFUNCTION("VLOOKUP(F2011, IMPORTRANGE(""https://docs.google.com/spreadsheets/d/1Lhp9OU0JdFf_VYSMzH5lBcEaU4o8teT1piV-SNzShjg/edit?gid=554141278#gid=554141278"", ""'Char Def. - Attributes'!C20:C2242""), 1,false)"),"LOKAL_EKSPOR")</f>
        <v>LOKAL_EKSPOR</v>
      </c>
      <c r="I2011" s="136"/>
    </row>
    <row r="2012" ht="15.75" customHeight="1">
      <c r="A2012" s="59"/>
      <c r="B2012" s="63">
        <f t="shared" si="1"/>
        <v>11</v>
      </c>
      <c r="C2012" s="134" t="s">
        <v>132</v>
      </c>
      <c r="D2012" s="134" t="s">
        <v>74</v>
      </c>
      <c r="E2012" s="135">
        <f t="shared" si="46"/>
        <v>10</v>
      </c>
      <c r="F2012" s="134" t="s">
        <v>3612</v>
      </c>
      <c r="G2012" s="63" t="str">
        <f>VLOOKUP(C2012, 'Class Def. - General Data'!$C$20:$C$1000,1,false)</f>
        <v>ZFG1_POWDET</v>
      </c>
      <c r="H2012" s="63" t="str">
        <f>IFERROR(__xludf.DUMMYFUNCTION("VLOOKUP(F2012, IMPORTRANGE(""https://docs.google.com/spreadsheets/d/1Lhp9OU0JdFf_VYSMzH5lBcEaU4o8teT1piV-SNzShjg/edit?gid=554141278#gid=554141278"", ""'Char Def. - Attributes'!C20:C2242""), 1,false)"),"COUNTRY_EKSPOR")</f>
        <v>COUNTRY_EKSPOR</v>
      </c>
      <c r="I2012" s="136"/>
    </row>
    <row r="2013" ht="15.75" customHeight="1">
      <c r="A2013" s="59"/>
      <c r="B2013" s="63">
        <f t="shared" si="1"/>
        <v>11</v>
      </c>
      <c r="C2013" s="134" t="s">
        <v>132</v>
      </c>
      <c r="D2013" s="134" t="s">
        <v>74</v>
      </c>
      <c r="E2013" s="135">
        <f t="shared" si="46"/>
        <v>11</v>
      </c>
      <c r="F2013" s="134" t="s">
        <v>3613</v>
      </c>
      <c r="G2013" s="63" t="str">
        <f>VLOOKUP(C2013, 'Class Def. - General Data'!$C$20:$C$1000,1,false)</f>
        <v>ZFG1_POWDET</v>
      </c>
      <c r="H2013" s="63" t="str">
        <f>IFERROR(__xludf.DUMMYFUNCTION("VLOOKUP(F2013, IMPORTRANGE(""https://docs.google.com/spreadsheets/d/1Lhp9OU0JdFf_VYSMzH5lBcEaU4o8teT1piV-SNzShjg/edit?gid=554141278#gid=554141278"", ""'Char Def. - Attributes'!C20:C2242""), 1,false)"),"WARNA_SFG")</f>
        <v>WARNA_SFG</v>
      </c>
      <c r="I2013" s="136"/>
    </row>
    <row r="2014" ht="15.75" customHeight="1">
      <c r="A2014" s="59"/>
      <c r="B2014" s="63">
        <f t="shared" si="1"/>
        <v>11</v>
      </c>
      <c r="C2014" s="134" t="s">
        <v>132</v>
      </c>
      <c r="D2014" s="134" t="s">
        <v>74</v>
      </c>
      <c r="E2014" s="135">
        <f t="shared" si="46"/>
        <v>12</v>
      </c>
      <c r="F2014" s="134" t="s">
        <v>3582</v>
      </c>
      <c r="G2014" s="63" t="str">
        <f>VLOOKUP(C2014, 'Class Def. - General Data'!$C$20:$C$1000,1,false)</f>
        <v>ZFG1_POWDET</v>
      </c>
      <c r="H2014" s="63" t="str">
        <f>IFERROR(__xludf.DUMMYFUNCTION("VLOOKUP(F2014, IMPORTRANGE(""https://docs.google.com/spreadsheets/d/1Lhp9OU0JdFf_VYSMzH5lBcEaU4o8teT1piV-SNzShjg/edit?gid=554141278#gid=554141278"", ""'Char Def. - Attributes'!C20:C2242""), 1,false)"),"BASE_UNIT")</f>
        <v>BASE_UNIT</v>
      </c>
      <c r="I2014" s="136"/>
    </row>
    <row r="2015" ht="15.75" customHeight="1">
      <c r="A2015" s="59"/>
      <c r="B2015" s="63">
        <f t="shared" si="1"/>
        <v>11</v>
      </c>
      <c r="C2015" s="134" t="s">
        <v>132</v>
      </c>
      <c r="D2015" s="134" t="s">
        <v>74</v>
      </c>
      <c r="E2015" s="135">
        <f t="shared" si="46"/>
        <v>13</v>
      </c>
      <c r="F2015" s="134" t="s">
        <v>3583</v>
      </c>
      <c r="G2015" s="63" t="str">
        <f>VLOOKUP(C2015, 'Class Def. - General Data'!$C$20:$C$1000,1,false)</f>
        <v>ZFG1_POWDET</v>
      </c>
      <c r="H2015" s="63" t="str">
        <f>IFERROR(__xludf.DUMMYFUNCTION("VLOOKUP(F2015, IMPORTRANGE(""https://docs.google.com/spreadsheets/d/1Lhp9OU0JdFf_VYSMzH5lBcEaU4o8teT1piV-SNzShjg/edit?gid=554141278#gid=554141278"", ""'Char Def. - Attributes'!C20:C2242""), 1,false)"),"SALES_UNIT")</f>
        <v>SALES_UNIT</v>
      </c>
      <c r="I2015" s="136"/>
    </row>
    <row r="2016" ht="15.75" customHeight="1">
      <c r="A2016" s="59"/>
      <c r="B2016" s="63">
        <f t="shared" si="1"/>
        <v>11</v>
      </c>
      <c r="C2016" s="134" t="s">
        <v>132</v>
      </c>
      <c r="D2016" s="134" t="s">
        <v>74</v>
      </c>
      <c r="E2016" s="135">
        <f t="shared" si="46"/>
        <v>14</v>
      </c>
      <c r="F2016" s="134" t="s">
        <v>3601</v>
      </c>
      <c r="G2016" s="63" t="str">
        <f>VLOOKUP(C2016, 'Class Def. - General Data'!$C$20:$C$1000,1,false)</f>
        <v>ZFG1_POWDET</v>
      </c>
      <c r="H2016" s="63" t="str">
        <f>IFERROR(__xludf.DUMMYFUNCTION("VLOOKUP(F2016, IMPORTRANGE(""https://docs.google.com/spreadsheets/d/1Lhp9OU0JdFf_VYSMzH5lBcEaU4o8teT1piV-SNzShjg/edit?gid=554141278#gid=554141278"", ""'Char Def. - Attributes'!C20:C2242""), 1,false)"),"GROSS_WEIGHT")</f>
        <v>GROSS_WEIGHT</v>
      </c>
      <c r="I2016" s="136"/>
    </row>
    <row r="2017" ht="15.75" customHeight="1">
      <c r="A2017" s="59"/>
      <c r="B2017" s="63">
        <f t="shared" si="1"/>
        <v>11</v>
      </c>
      <c r="C2017" s="134" t="s">
        <v>132</v>
      </c>
      <c r="D2017" s="134" t="s">
        <v>74</v>
      </c>
      <c r="E2017" s="135">
        <f t="shared" si="46"/>
        <v>15</v>
      </c>
      <c r="F2017" s="134" t="s">
        <v>3602</v>
      </c>
      <c r="G2017" s="63" t="str">
        <f>VLOOKUP(C2017, 'Class Def. - General Data'!$C$20:$C$1000,1,false)</f>
        <v>ZFG1_POWDET</v>
      </c>
      <c r="H2017" s="63" t="str">
        <f>IFERROR(__xludf.DUMMYFUNCTION("VLOOKUP(F2017, IMPORTRANGE(""https://docs.google.com/spreadsheets/d/1Lhp9OU0JdFf_VYSMzH5lBcEaU4o8teT1piV-SNzShjg/edit?gid=554141278#gid=554141278"", ""'Char Def. - Attributes'!C20:C2242""), 1,false)"),"NET_WEIGHT")</f>
        <v>NET_WEIGHT</v>
      </c>
      <c r="I2017" s="136"/>
    </row>
    <row r="2018" ht="15.75" customHeight="1">
      <c r="A2018" s="59"/>
      <c r="B2018" s="63">
        <f t="shared" si="1"/>
        <v>11</v>
      </c>
      <c r="C2018" s="134" t="s">
        <v>132</v>
      </c>
      <c r="D2018" s="134" t="s">
        <v>74</v>
      </c>
      <c r="E2018" s="135">
        <f t="shared" si="46"/>
        <v>16</v>
      </c>
      <c r="F2018" s="134" t="s">
        <v>3584</v>
      </c>
      <c r="G2018" s="63" t="str">
        <f>VLOOKUP(C2018, 'Class Def. - General Data'!$C$20:$C$1000,1,false)</f>
        <v>ZFG1_POWDET</v>
      </c>
      <c r="H2018" s="63" t="str">
        <f>IFERROR(__xludf.DUMMYFUNCTION("VLOOKUP(F2018, IMPORTRANGE(""https://docs.google.com/spreadsheets/d/1Lhp9OU0JdFf_VYSMzH5lBcEaU4o8teT1piV-SNzShjg/edit?gid=554141278#gid=554141278"", ""'Char Def. - Attributes'!C20:C2242""), 1,false)"),"UNIT_PER_BOX")</f>
        <v>UNIT_PER_BOX</v>
      </c>
      <c r="I2018" s="136"/>
    </row>
    <row r="2019" ht="15.75" customHeight="1">
      <c r="A2019" s="59"/>
      <c r="B2019" s="63">
        <f t="shared" si="1"/>
        <v>11</v>
      </c>
      <c r="C2019" s="134" t="s">
        <v>132</v>
      </c>
      <c r="D2019" s="134" t="s">
        <v>74</v>
      </c>
      <c r="E2019" s="135">
        <f t="shared" si="46"/>
        <v>17</v>
      </c>
      <c r="F2019" s="134" t="s">
        <v>3614</v>
      </c>
      <c r="G2019" s="63" t="str">
        <f>VLOOKUP(C2019, 'Class Def. - General Data'!$C$20:$C$1000,1,false)</f>
        <v>ZFG1_POWDET</v>
      </c>
      <c r="H2019" s="63" t="str">
        <f>IFERROR(__xludf.DUMMYFUNCTION("VLOOKUP(F2019, IMPORTRANGE(""https://docs.google.com/spreadsheets/d/1Lhp9OU0JdFf_VYSMzH5lBcEaU4o8teT1piV-SNzShjg/edit?gid=554141278#gid=554141278"", ""'Char Def. - Attributes'!C20:C2242""), 1,false)"),"UNIT_PER_CTN")</f>
        <v>UNIT_PER_CTN</v>
      </c>
      <c r="I2019" s="136"/>
    </row>
    <row r="2020" ht="15.75" customHeight="1">
      <c r="A2020" s="59"/>
      <c r="B2020" s="63">
        <f t="shared" si="1"/>
        <v>11</v>
      </c>
      <c r="C2020" s="134" t="s">
        <v>132</v>
      </c>
      <c r="D2020" s="134" t="s">
        <v>74</v>
      </c>
      <c r="E2020" s="135">
        <f t="shared" si="46"/>
        <v>18</v>
      </c>
      <c r="F2020" s="134" t="s">
        <v>3615</v>
      </c>
      <c r="G2020" s="63" t="str">
        <f>VLOOKUP(C2020, 'Class Def. - General Data'!$C$20:$C$1000,1,false)</f>
        <v>ZFG1_POWDET</v>
      </c>
      <c r="H2020" s="63" t="str">
        <f>IFERROR(__xludf.DUMMYFUNCTION("VLOOKUP(F2020, IMPORTRANGE(""https://docs.google.com/spreadsheets/d/1Lhp9OU0JdFf_VYSMzH5lBcEaU4o8teT1piV-SNzShjg/edit?gid=554141278#gid=554141278"", ""'Char Def. - Attributes'!C20:C2242""), 1,false)"),"UNIT_PER_BAG")</f>
        <v>UNIT_PER_BAG</v>
      </c>
      <c r="I2020" s="136"/>
    </row>
    <row r="2021" ht="15.75" customHeight="1">
      <c r="A2021" s="59"/>
      <c r="B2021" s="63">
        <f t="shared" si="1"/>
        <v>11</v>
      </c>
      <c r="C2021" s="134" t="s">
        <v>132</v>
      </c>
      <c r="D2021" s="134" t="s">
        <v>74</v>
      </c>
      <c r="E2021" s="135">
        <f t="shared" si="46"/>
        <v>19</v>
      </c>
      <c r="F2021" s="134" t="s">
        <v>3616</v>
      </c>
      <c r="G2021" s="63" t="str">
        <f>VLOOKUP(C2021, 'Class Def. - General Data'!$C$20:$C$1000,1,false)</f>
        <v>ZFG1_POWDET</v>
      </c>
      <c r="H2021" s="63" t="str">
        <f>IFERROR(__xludf.DUMMYFUNCTION("VLOOKUP(F2021, IMPORTRANGE(""https://docs.google.com/spreadsheets/d/1Lhp9OU0JdFf_VYSMzH5lBcEaU4o8teT1piV-SNzShjg/edit?gid=554141278#gid=554141278"", ""'Char Def. - Attributes'!C20:C2242""), 1,false)"),"UNIT_PER_PAL")</f>
        <v>UNIT_PER_PAL</v>
      </c>
      <c r="I2021" s="136"/>
    </row>
    <row r="2022" ht="15.75" customHeight="1">
      <c r="A2022" s="59"/>
      <c r="B2022" s="63">
        <f t="shared" si="1"/>
        <v>11</v>
      </c>
      <c r="C2022" s="134" t="s">
        <v>132</v>
      </c>
      <c r="D2022" s="134" t="s">
        <v>74</v>
      </c>
      <c r="E2022" s="135">
        <f t="shared" si="46"/>
        <v>20</v>
      </c>
      <c r="F2022" s="134" t="s">
        <v>3617</v>
      </c>
      <c r="G2022" s="63" t="str">
        <f>VLOOKUP(C2022, 'Class Def. - General Data'!$C$20:$C$1000,1,false)</f>
        <v>ZFG1_POWDET</v>
      </c>
      <c r="H2022" s="63" t="str">
        <f>IFERROR(__xludf.DUMMYFUNCTION("VLOOKUP(F2022, IMPORTRANGE(""https://docs.google.com/spreadsheets/d/1Lhp9OU0JdFf_VYSMzH5lBcEaU4o8teT1piV-SNzShjg/edit?gid=554141278#gid=554141278"", ""'Char Def. - Attributes'!C20:C2242""), 1,false)"),"UNIT_PER_TIER")</f>
        <v>UNIT_PER_TIER</v>
      </c>
      <c r="I2022" s="136"/>
    </row>
    <row r="2023" ht="15.75" customHeight="1">
      <c r="A2023" s="59"/>
      <c r="B2023" s="63">
        <f t="shared" si="1"/>
        <v>11</v>
      </c>
      <c r="C2023" s="134" t="s">
        <v>132</v>
      </c>
      <c r="D2023" s="134" t="s">
        <v>74</v>
      </c>
      <c r="E2023" s="135">
        <f t="shared" si="46"/>
        <v>21</v>
      </c>
      <c r="F2023" s="134" t="s">
        <v>3618</v>
      </c>
      <c r="G2023" s="63" t="str">
        <f>VLOOKUP(C2023, 'Class Def. - General Data'!$C$20:$C$1000,1,false)</f>
        <v>ZFG1_POWDET</v>
      </c>
      <c r="H2023" s="63" t="str">
        <f>IFERROR(__xludf.DUMMYFUNCTION("VLOOKUP(F2023, IMPORTRANGE(""https://docs.google.com/spreadsheets/d/1Lhp9OU0JdFf_VYSMzH5lBcEaU4o8teT1piV-SNzShjg/edit?gid=554141278#gid=554141278"", ""'Char Def. - Attributes'!C20:C2242""), 1,false)"),"HEIGHT")</f>
        <v>HEIGHT</v>
      </c>
      <c r="I2023" s="136"/>
    </row>
    <row r="2024" ht="15.75" customHeight="1">
      <c r="A2024" s="59"/>
      <c r="B2024" s="63">
        <f t="shared" si="1"/>
        <v>11</v>
      </c>
      <c r="C2024" s="134" t="s">
        <v>132</v>
      </c>
      <c r="D2024" s="134" t="s">
        <v>74</v>
      </c>
      <c r="E2024" s="135">
        <f t="shared" si="46"/>
        <v>22</v>
      </c>
      <c r="F2024" s="134" t="s">
        <v>3587</v>
      </c>
      <c r="G2024" s="63" t="str">
        <f>VLOOKUP(C2024, 'Class Def. - General Data'!$C$20:$C$1000,1,false)</f>
        <v>ZFG1_POWDET</v>
      </c>
      <c r="H2024" s="63" t="str">
        <f>IFERROR(__xludf.DUMMYFUNCTION("VLOOKUP(F2024, IMPORTRANGE(""https://docs.google.com/spreadsheets/d/1Lhp9OU0JdFf_VYSMzH5lBcEaU4o8teT1piV-SNzShjg/edit?gid=554141278#gid=554141278"", ""'Char Def. - Attributes'!C20:C2242""), 1,false)"),"PLANT_BUY")</f>
        <v>PLANT_BUY</v>
      </c>
      <c r="I2024" s="136"/>
    </row>
    <row r="2025" ht="15.75" customHeight="1">
      <c r="A2025" s="59"/>
      <c r="B2025" s="63">
        <f t="shared" si="1"/>
        <v>11</v>
      </c>
      <c r="C2025" s="134" t="s">
        <v>132</v>
      </c>
      <c r="D2025" s="134" t="s">
        <v>74</v>
      </c>
      <c r="E2025" s="135">
        <f t="shared" si="46"/>
        <v>23</v>
      </c>
      <c r="F2025" s="134" t="s">
        <v>3619</v>
      </c>
      <c r="G2025" s="63" t="str">
        <f>VLOOKUP(C2025, 'Class Def. - General Data'!$C$20:$C$1000,1,false)</f>
        <v>ZFG1_POWDET</v>
      </c>
      <c r="H2025" s="63" t="str">
        <f>IFERROR(__xludf.DUMMYFUNCTION("VLOOKUP(F2025, IMPORTRANGE(""https://docs.google.com/spreadsheets/d/1Lhp9OU0JdFf_VYSMzH5lBcEaU4o8teT1piV-SNzShjg/edit?gid=554141278#gid=554141278"", ""'Char Def. - Attributes'!C20:C2242""), 1,false)"),"LENGTH")</f>
        <v>LENGTH</v>
      </c>
      <c r="I2025" s="136"/>
    </row>
    <row r="2026" ht="15.75" customHeight="1">
      <c r="A2026" s="59"/>
      <c r="B2026" s="63">
        <f t="shared" si="1"/>
        <v>11</v>
      </c>
      <c r="C2026" s="134" t="s">
        <v>132</v>
      </c>
      <c r="D2026" s="134" t="s">
        <v>74</v>
      </c>
      <c r="E2026" s="135">
        <f t="shared" si="46"/>
        <v>24</v>
      </c>
      <c r="F2026" s="134" t="s">
        <v>3586</v>
      </c>
      <c r="G2026" s="63" t="str">
        <f>VLOOKUP(C2026, 'Class Def. - General Data'!$C$20:$C$1000,1,false)</f>
        <v>ZFG1_POWDET</v>
      </c>
      <c r="H2026" s="63" t="str">
        <f>IFERROR(__xludf.DUMMYFUNCTION("VLOOKUP(F2026, IMPORTRANGE(""https://docs.google.com/spreadsheets/d/1Lhp9OU0JdFf_VYSMzH5lBcEaU4o8teT1piV-SNzShjg/edit?gid=554141278#gid=554141278"", ""'Char Def. - Attributes'!C20:C2242""), 1,false)"),"PLANT_PROD")</f>
        <v>PLANT_PROD</v>
      </c>
      <c r="I2026" s="136"/>
    </row>
    <row r="2027" ht="15.75" customHeight="1">
      <c r="A2027" s="59"/>
      <c r="B2027" s="63">
        <f t="shared" si="1"/>
        <v>11</v>
      </c>
      <c r="C2027" s="134" t="s">
        <v>132</v>
      </c>
      <c r="D2027" s="134" t="s">
        <v>74</v>
      </c>
      <c r="E2027" s="135">
        <f t="shared" si="46"/>
        <v>25</v>
      </c>
      <c r="F2027" s="134" t="s">
        <v>3620</v>
      </c>
      <c r="G2027" s="63" t="str">
        <f>VLOOKUP(C2027, 'Class Def. - General Data'!$C$20:$C$1000,1,false)</f>
        <v>ZFG1_POWDET</v>
      </c>
      <c r="H2027" s="63" t="str">
        <f>IFERROR(__xludf.DUMMYFUNCTION("VLOOKUP(F2027, IMPORTRANGE(""https://docs.google.com/spreadsheets/d/1Lhp9OU0JdFf_VYSMzH5lBcEaU4o8teT1piV-SNzShjg/edit?gid=554141278#gid=554141278"", ""'Char Def. - Attributes'!C20:C2242""), 1,false)"),"WIDTH")</f>
        <v>WIDTH</v>
      </c>
      <c r="I2027" s="136"/>
    </row>
    <row r="2028" ht="15.75" customHeight="1">
      <c r="A2028" s="59"/>
      <c r="B2028" s="63">
        <f t="shared" si="1"/>
        <v>11</v>
      </c>
      <c r="C2028" s="134" t="s">
        <v>132</v>
      </c>
      <c r="D2028" s="134" t="s">
        <v>74</v>
      </c>
      <c r="E2028" s="135">
        <f t="shared" si="46"/>
        <v>26</v>
      </c>
      <c r="F2028" s="134" t="s">
        <v>3585</v>
      </c>
      <c r="G2028" s="63" t="str">
        <f>VLOOKUP(C2028, 'Class Def. - General Data'!$C$20:$C$1000,1,false)</f>
        <v>ZFG1_POWDET</v>
      </c>
      <c r="H2028" s="63" t="str">
        <f>IFERROR(__xludf.DUMMYFUNCTION("VLOOKUP(F2028, IMPORTRANGE(""https://docs.google.com/spreadsheets/d/1Lhp9OU0JdFf_VYSMzH5lBcEaU4o8teT1piV-SNzShjg/edit?gid=554141278#gid=554141278"", ""'Char Def. - Attributes'!C20:C2242""), 1,false)"),"HS_CODE")</f>
        <v>HS_CODE</v>
      </c>
      <c r="I2028" s="136"/>
    </row>
    <row r="2029" ht="15.75" customHeight="1">
      <c r="A2029" s="59"/>
      <c r="B2029" s="63">
        <f t="shared" si="1"/>
        <v>11</v>
      </c>
      <c r="C2029" s="134" t="s">
        <v>132</v>
      </c>
      <c r="D2029" s="134" t="s">
        <v>74</v>
      </c>
      <c r="E2029" s="135">
        <f t="shared" si="46"/>
        <v>27</v>
      </c>
      <c r="F2029" s="134" t="s">
        <v>3621</v>
      </c>
      <c r="G2029" s="63" t="str">
        <f>VLOOKUP(C2029, 'Class Def. - General Data'!$C$20:$C$1000,1,false)</f>
        <v>ZFG1_POWDET</v>
      </c>
      <c r="H2029" s="63" t="str">
        <f>IFERROR(__xludf.DUMMYFUNCTION("VLOOKUP(F2029, IMPORTRANGE(""https://docs.google.com/spreadsheets/d/1Lhp9OU0JdFf_VYSMzH5lBcEaU4o8teT1piV-SNzShjg/edit?gid=554141278#gid=554141278"", ""'Char Def. - Attributes'!C20:C2242""), 1,false)"),"EAN_PCS")</f>
        <v>EAN_PCS</v>
      </c>
      <c r="I2029" s="136"/>
    </row>
    <row r="2030" ht="15.75" customHeight="1">
      <c r="A2030" s="59"/>
      <c r="B2030" s="63">
        <f t="shared" si="1"/>
        <v>11</v>
      </c>
      <c r="C2030" s="134" t="s">
        <v>132</v>
      </c>
      <c r="D2030" s="134" t="s">
        <v>74</v>
      </c>
      <c r="E2030" s="135">
        <f t="shared" si="46"/>
        <v>28</v>
      </c>
      <c r="F2030" s="134" t="s">
        <v>3622</v>
      </c>
      <c r="G2030" s="63" t="str">
        <f>VLOOKUP(C2030, 'Class Def. - General Data'!$C$20:$C$1000,1,false)</f>
        <v>ZFG1_POWDET</v>
      </c>
      <c r="H2030" s="63" t="str">
        <f>IFERROR(__xludf.DUMMYFUNCTION("VLOOKUP(F2030, IMPORTRANGE(""https://docs.google.com/spreadsheets/d/1Lhp9OU0JdFf_VYSMzH5lBcEaU4o8teT1piV-SNzShjg/edit?gid=554141278#gid=554141278"", ""'Char Def. - Attributes'!C20:C2242""), 1,false)"),"SFG_BRAND")</f>
        <v>SFG_BRAND</v>
      </c>
      <c r="I2030" s="136"/>
    </row>
    <row r="2031" ht="15.75" customHeight="1">
      <c r="A2031" s="59"/>
      <c r="B2031" s="63">
        <f t="shared" si="1"/>
        <v>11</v>
      </c>
      <c r="C2031" s="134" t="s">
        <v>132</v>
      </c>
      <c r="D2031" s="134" t="s">
        <v>74</v>
      </c>
      <c r="E2031" s="135">
        <f t="shared" si="46"/>
        <v>29</v>
      </c>
      <c r="F2031" s="134" t="s">
        <v>3623</v>
      </c>
      <c r="G2031" s="63" t="str">
        <f>VLOOKUP(C2031, 'Class Def. - General Data'!$C$20:$C$1000,1,false)</f>
        <v>ZFG1_POWDET</v>
      </c>
      <c r="H2031" s="63" t="str">
        <f>IFERROR(__xludf.DUMMYFUNCTION("VLOOKUP(F2031, IMPORTRANGE(""https://docs.google.com/spreadsheets/d/1Lhp9OU0JdFf_VYSMzH5lBcEaU4o8teT1piV-SNzShjg/edit?gid=554141278#gid=554141278"", ""'Char Def. - Attributes'!C20:C2242""), 1,false)"),"LANGUAGE")</f>
        <v>LANGUAGE</v>
      </c>
      <c r="I2031" s="136"/>
    </row>
    <row r="2032" ht="15.75" customHeight="1">
      <c r="A2032" s="59"/>
      <c r="B2032" s="63">
        <f t="shared" si="1"/>
        <v>11</v>
      </c>
      <c r="C2032" s="139" t="s">
        <v>132</v>
      </c>
      <c r="D2032" s="139" t="s">
        <v>74</v>
      </c>
      <c r="E2032" s="140">
        <f t="shared" si="46"/>
        <v>30</v>
      </c>
      <c r="F2032" s="134" t="s">
        <v>3624</v>
      </c>
      <c r="G2032" s="63" t="str">
        <f>VLOOKUP(C2032, 'Class Def. - General Data'!$C$20:$C$1000,1,false)</f>
        <v>ZFG1_POWDET</v>
      </c>
      <c r="H2032" s="63" t="str">
        <f>IFERROR(__xludf.DUMMYFUNCTION("VLOOKUP(F2032, IMPORTRANGE(""https://docs.google.com/spreadsheets/d/1Lhp9OU0JdFf_VYSMzH5lBcEaU4o8teT1piV-SNzShjg/edit?gid=554141278#gid=554141278"", ""'Char Def. - Attributes'!C20:C2242""), 1,false)"),"#N/A")</f>
        <v>#N/A</v>
      </c>
      <c r="I2032" s="136"/>
    </row>
    <row r="2033" ht="15.75" customHeight="1">
      <c r="A2033" s="59"/>
      <c r="B2033" s="63">
        <f t="shared" si="1"/>
        <v>11</v>
      </c>
      <c r="C2033" s="134" t="s">
        <v>132</v>
      </c>
      <c r="D2033" s="134" t="s">
        <v>74</v>
      </c>
      <c r="E2033" s="135">
        <f t="shared" si="46"/>
        <v>31</v>
      </c>
      <c r="F2033" s="134" t="s">
        <v>3625</v>
      </c>
      <c r="G2033" s="63" t="str">
        <f>VLOOKUP(C2033, 'Class Def. - General Data'!$C$20:$C$1000,1,false)</f>
        <v>ZFG1_POWDET</v>
      </c>
      <c r="H2033" s="63" t="str">
        <f>IFERROR(__xludf.DUMMYFUNCTION("VLOOKUP(F2033, IMPORTRANGE(""https://docs.google.com/spreadsheets/d/1Lhp9OU0JdFf_VYSMzH5lBcEaU4o8teT1piV-SNzShjg/edit?gid=554141278#gid=554141278"", ""'Char Def. - Attributes'!C20:C2242""), 1,false)"),"REGION_EKSPOR")</f>
        <v>REGION_EKSPOR</v>
      </c>
      <c r="I2033" s="136"/>
    </row>
    <row r="2034" ht="15.75" customHeight="1">
      <c r="A2034" s="59"/>
      <c r="B2034" s="63">
        <f t="shared" si="1"/>
        <v>11</v>
      </c>
      <c r="C2034" s="134" t="s">
        <v>132</v>
      </c>
      <c r="D2034" s="134" t="s">
        <v>74</v>
      </c>
      <c r="E2034" s="135">
        <f t="shared" si="46"/>
        <v>32</v>
      </c>
      <c r="F2034" s="134" t="s">
        <v>3626</v>
      </c>
      <c r="G2034" s="63" t="str">
        <f>VLOOKUP(C2034, 'Class Def. - General Data'!$C$20:$C$1000,1,false)</f>
        <v>ZFG1_POWDET</v>
      </c>
      <c r="H2034" s="63" t="str">
        <f>IFERROR(__xludf.DUMMYFUNCTION("VLOOKUP(F2034, IMPORTRANGE(""https://docs.google.com/spreadsheets/d/1Lhp9OU0JdFf_VYSMzH5lBcEaU4o8teT1piV-SNzShjg/edit?gid=554141278#gid=554141278"", ""'Char Def. - Attributes'!C20:C2242""), 1,false)"),"STICKER_NOT")</f>
        <v>STICKER_NOT</v>
      </c>
      <c r="I2034" s="136"/>
    </row>
    <row r="2035" ht="15.75" customHeight="1">
      <c r="A2035" s="59"/>
      <c r="B2035" s="63">
        <f t="shared" si="1"/>
        <v>11</v>
      </c>
      <c r="C2035" s="134" t="s">
        <v>132</v>
      </c>
      <c r="D2035" s="134" t="s">
        <v>74</v>
      </c>
      <c r="E2035" s="135">
        <f t="shared" si="46"/>
        <v>33</v>
      </c>
      <c r="F2035" s="134" t="s">
        <v>3627</v>
      </c>
      <c r="G2035" s="63" t="str">
        <f>VLOOKUP(C2035, 'Class Def. - General Data'!$C$20:$C$1000,1,false)</f>
        <v>ZFG1_POWDET</v>
      </c>
      <c r="H2035" s="63" t="str">
        <f>IFERROR(__xludf.DUMMYFUNCTION("VLOOKUP(F2035, IMPORTRANGE(""https://docs.google.com/spreadsheets/d/1Lhp9OU0JdFf_VYSMzH5lBcEaU4o8teT1piV-SNzShjg/edit?gid=554141278#gid=554141278"", ""'Char Def. - Attributes'!C20:C2242""), 1,false)"),"SHIP_MARK")</f>
        <v>SHIP_MARK</v>
      </c>
      <c r="I2035" s="136"/>
    </row>
    <row r="2036" ht="15.75" customHeight="1">
      <c r="A2036" s="59"/>
      <c r="B2036" s="63">
        <f t="shared" si="1"/>
        <v>11</v>
      </c>
      <c r="C2036" s="134" t="s">
        <v>132</v>
      </c>
      <c r="D2036" s="134" t="s">
        <v>74</v>
      </c>
      <c r="E2036" s="135">
        <f t="shared" si="46"/>
        <v>34</v>
      </c>
      <c r="F2036" s="134" t="s">
        <v>3628</v>
      </c>
      <c r="G2036" s="63" t="str">
        <f>VLOOKUP(C2036, 'Class Def. - General Data'!$C$20:$C$1000,1,false)</f>
        <v>ZFG1_POWDET</v>
      </c>
      <c r="H2036" s="63" t="str">
        <f>IFERROR(__xludf.DUMMYFUNCTION("VLOOKUP(F2036, IMPORTRANGE(""https://docs.google.com/spreadsheets/d/1Lhp9OU0JdFf_VYSMzH5lBcEaU4o8teT1piV-SNzShjg/edit?gid=554141278#gid=554141278"", ""'Char Def. - Attributes'!C20:C2242""), 1,false)"),"MID_CORE")</f>
        <v>MID_CORE</v>
      </c>
      <c r="I2036" s="136"/>
    </row>
    <row r="2037" ht="15.75" customHeight="1">
      <c r="A2037" s="59"/>
      <c r="B2037" s="63">
        <f t="shared" si="1"/>
        <v>11</v>
      </c>
      <c r="C2037" s="134" t="s">
        <v>132</v>
      </c>
      <c r="D2037" s="134" t="s">
        <v>74</v>
      </c>
      <c r="E2037" s="135">
        <f t="shared" si="46"/>
        <v>35</v>
      </c>
      <c r="F2037" s="134" t="s">
        <v>3629</v>
      </c>
      <c r="G2037" s="63" t="str">
        <f>VLOOKUP(C2037, 'Class Def. - General Data'!$C$20:$C$1000,1,false)</f>
        <v>ZFG1_POWDET</v>
      </c>
      <c r="H2037" s="63" t="str">
        <f>IFERROR(__xludf.DUMMYFUNCTION("VLOOKUP(F2037, IMPORTRANGE(""https://docs.google.com/spreadsheets/d/1Lhp9OU0JdFf_VYSMzH5lBcEaU4o8teT1piV-SNzShjg/edit?gid=554141278#gid=554141278"", ""'Char Def. - Attributes'!C20:C2242""), 1,false)"),"EAN_CTN")</f>
        <v>EAN_CTN</v>
      </c>
      <c r="I2037" s="136"/>
    </row>
    <row r="2038" ht="15.75" customHeight="1">
      <c r="A2038" s="59"/>
      <c r="B2038" s="63">
        <f t="shared" si="1"/>
        <v>11</v>
      </c>
      <c r="C2038" s="134" t="s">
        <v>132</v>
      </c>
      <c r="D2038" s="134" t="s">
        <v>74</v>
      </c>
      <c r="E2038" s="135">
        <f t="shared" si="46"/>
        <v>36</v>
      </c>
      <c r="F2038" s="134" t="s">
        <v>3630</v>
      </c>
      <c r="G2038" s="63" t="str">
        <f>VLOOKUP(C2038, 'Class Def. - General Data'!$C$20:$C$1000,1,false)</f>
        <v>ZFG1_POWDET</v>
      </c>
      <c r="H2038" s="63" t="str">
        <f>IFERROR(__xludf.DUMMYFUNCTION("VLOOKUP(F2038, IMPORTRANGE(""https://docs.google.com/spreadsheets/d/1Lhp9OU0JdFf_VYSMzH5lBcEaU4o8teT1piV-SNzShjg/edit?gid=554141278#gid=554141278"", ""'Char Def. - Attributes'!C20:C2242""), 1,false)"),"EAN_BOX")</f>
        <v>EAN_BOX</v>
      </c>
      <c r="I2038" s="136"/>
    </row>
    <row r="2039" ht="15.75" customHeight="1">
      <c r="A2039" s="59"/>
      <c r="B2039" s="63">
        <f t="shared" si="1"/>
        <v>11</v>
      </c>
      <c r="C2039" s="134" t="s">
        <v>132</v>
      </c>
      <c r="D2039" s="141" t="s">
        <v>74</v>
      </c>
      <c r="E2039" s="135">
        <v>22.0</v>
      </c>
      <c r="F2039" s="135" t="s">
        <v>3603</v>
      </c>
      <c r="G2039" s="63" t="str">
        <f>VLOOKUP(C2039, 'Class Def. - General Data'!$C$20:$C$1000,1,false)</f>
        <v>ZFG1_POWDET</v>
      </c>
      <c r="I2039" s="136"/>
    </row>
    <row r="2040" ht="15.75" customHeight="1">
      <c r="A2040" s="59"/>
      <c r="B2040" s="63">
        <f t="shared" si="1"/>
        <v>13</v>
      </c>
      <c r="C2040" s="134" t="s">
        <v>133</v>
      </c>
      <c r="D2040" s="134" t="s">
        <v>74</v>
      </c>
      <c r="E2040" s="135">
        <f t="shared" ref="E2040:E2075" si="47">COUNTIF($C$20:C2040,C2040)</f>
        <v>1</v>
      </c>
      <c r="F2040" s="134" t="str">
        <f>"BRAND_"&amp;MID(C2040,6,20)</f>
        <v>BRAND_POWDRINK</v>
      </c>
      <c r="G2040" s="63" t="str">
        <f>VLOOKUP(C2040, 'Class Def. - General Data'!$C$20:$C$1000,1,false)</f>
        <v>ZFG1_POWDRINK</v>
      </c>
      <c r="H2040" s="63" t="str">
        <f>IFERROR(__xludf.DUMMYFUNCTION("VLOOKUP(F2040, IMPORTRANGE(""https://docs.google.com/spreadsheets/d/1Lhp9OU0JdFf_VYSMzH5lBcEaU4o8teT1piV-SNzShjg/edit?gid=554141278#gid=554141278"", ""'Char Def. - Attributes'!C20:C2242""), 1,false)"),"BRAND_POWDRINK")</f>
        <v>BRAND_POWDRINK</v>
      </c>
      <c r="I2040" s="136"/>
    </row>
    <row r="2041" ht="15.75" customHeight="1">
      <c r="A2041" s="59"/>
      <c r="B2041" s="63">
        <f t="shared" si="1"/>
        <v>13</v>
      </c>
      <c r="C2041" s="134" t="s">
        <v>133</v>
      </c>
      <c r="D2041" s="134" t="s">
        <v>74</v>
      </c>
      <c r="E2041" s="135">
        <f t="shared" si="47"/>
        <v>2</v>
      </c>
      <c r="F2041" s="134" t="str">
        <f>"PSHAPE_"&amp;MID(C2041,6,20)</f>
        <v>PSHAPE_POWDRINK</v>
      </c>
      <c r="G2041" s="63" t="str">
        <f>VLOOKUP(C2041, 'Class Def. - General Data'!$C$20:$C$1000,1,false)</f>
        <v>ZFG1_POWDRINK</v>
      </c>
      <c r="H2041" s="63" t="str">
        <f>IFERROR(__xludf.DUMMYFUNCTION("VLOOKUP(F2041, IMPORTRANGE(""https://docs.google.com/spreadsheets/d/1Lhp9OU0JdFf_VYSMzH5lBcEaU4o8teT1piV-SNzShjg/edit?gid=554141278#gid=554141278"", ""'Char Def. - Attributes'!C20:C2242""), 1,false)"),"PSHAPE_POWDRINK")</f>
        <v>PSHAPE_POWDRINK</v>
      </c>
      <c r="I2041" s="136"/>
    </row>
    <row r="2042" ht="15.75" customHeight="1">
      <c r="A2042" s="59"/>
      <c r="B2042" s="63">
        <f t="shared" si="1"/>
        <v>13</v>
      </c>
      <c r="C2042" s="134" t="s">
        <v>133</v>
      </c>
      <c r="D2042" s="134" t="s">
        <v>74</v>
      </c>
      <c r="E2042" s="135">
        <f t="shared" si="47"/>
        <v>3</v>
      </c>
      <c r="F2042" s="134" t="s">
        <v>3605</v>
      </c>
      <c r="G2042" s="63" t="str">
        <f>VLOOKUP(C2042, 'Class Def. - General Data'!$C$20:$C$1000,1,false)</f>
        <v>ZFG1_POWDRINK</v>
      </c>
      <c r="H2042" s="63" t="str">
        <f>IFERROR(__xludf.DUMMYFUNCTION("VLOOKUP(F2042, IMPORTRANGE(""https://docs.google.com/spreadsheets/d/1Lhp9OU0JdFf_VYSMzH5lBcEaU4o8teT1piV-SNzShjg/edit?gid=554141278#gid=554141278"", ""'Char Def. - Attributes'!C20:C2242""), 1,false)"),"PACK_NETTO")</f>
        <v>PACK_NETTO</v>
      </c>
      <c r="I2042" s="136"/>
    </row>
    <row r="2043" ht="15.75" customHeight="1">
      <c r="A2043" s="59"/>
      <c r="B2043" s="63">
        <f t="shared" si="1"/>
        <v>13</v>
      </c>
      <c r="C2043" s="134" t="s">
        <v>133</v>
      </c>
      <c r="D2043" s="134" t="s">
        <v>74</v>
      </c>
      <c r="E2043" s="135">
        <f t="shared" si="47"/>
        <v>4</v>
      </c>
      <c r="F2043" s="134" t="str">
        <f>"PUOM_"&amp;MID(C2043,6,20)</f>
        <v>PUOM_POWDRINK</v>
      </c>
      <c r="G2043" s="63" t="str">
        <f>VLOOKUP(C2043, 'Class Def. - General Data'!$C$20:$C$1000,1,false)</f>
        <v>ZFG1_POWDRINK</v>
      </c>
      <c r="H2043" s="63" t="str">
        <f>IFERROR(__xludf.DUMMYFUNCTION("VLOOKUP(F2043, IMPORTRANGE(""https://docs.google.com/spreadsheets/d/1Lhp9OU0JdFf_VYSMzH5lBcEaU4o8teT1piV-SNzShjg/edit?gid=554141278#gid=554141278"", ""'Char Def. - Attributes'!C20:C2242""), 1,false)"),"PUOM_POWDRINK")</f>
        <v>PUOM_POWDRINK</v>
      </c>
      <c r="I2043" s="136"/>
    </row>
    <row r="2044" ht="15.75" customHeight="1">
      <c r="A2044" s="59"/>
      <c r="B2044" s="63">
        <f t="shared" si="1"/>
        <v>13</v>
      </c>
      <c r="C2044" s="134" t="s">
        <v>133</v>
      </c>
      <c r="D2044" s="134" t="s">
        <v>74</v>
      </c>
      <c r="E2044" s="135">
        <f t="shared" si="47"/>
        <v>5</v>
      </c>
      <c r="F2044" s="134" t="s">
        <v>3607</v>
      </c>
      <c r="G2044" s="63" t="str">
        <f>VLOOKUP(C2044, 'Class Def. - General Data'!$C$20:$C$1000,1,false)</f>
        <v>ZFG1_POWDRINK</v>
      </c>
      <c r="H2044" s="63" t="str">
        <f>IFERROR(__xludf.DUMMYFUNCTION("VLOOKUP(F2044, IMPORTRANGE(""https://docs.google.com/spreadsheets/d/1Lhp9OU0JdFf_VYSMzH5lBcEaU4o8teT1piV-SNzShjg/edit?gid=554141278#gid=554141278"", ""'Char Def. - Attributes'!C20:C2242""), 1,false)"),"VARIAN")</f>
        <v>VARIAN</v>
      </c>
      <c r="I2044" s="136"/>
    </row>
    <row r="2045" ht="15.75" customHeight="1">
      <c r="A2045" s="59"/>
      <c r="B2045" s="63">
        <f t="shared" si="1"/>
        <v>13</v>
      </c>
      <c r="C2045" s="134" t="s">
        <v>133</v>
      </c>
      <c r="D2045" s="134" t="s">
        <v>74</v>
      </c>
      <c r="E2045" s="135">
        <f t="shared" si="47"/>
        <v>6</v>
      </c>
      <c r="F2045" s="134" t="s">
        <v>3608</v>
      </c>
      <c r="G2045" s="63" t="str">
        <f>VLOOKUP(C2045, 'Class Def. - General Data'!$C$20:$C$1000,1,false)</f>
        <v>ZFG1_POWDRINK</v>
      </c>
      <c r="H2045" s="63" t="str">
        <f>IFERROR(__xludf.DUMMYFUNCTION("VLOOKUP(F2045, IMPORTRANGE(""https://docs.google.com/spreadsheets/d/1Lhp9OU0JdFf_VYSMzH5lBcEaU4o8teT1piV-SNzShjg/edit?gid=554141278#gid=554141278"", ""'Char Def. - Attributes'!C20:C2242""), 1,false)"),"PROJECT_NAME")</f>
        <v>PROJECT_NAME</v>
      </c>
      <c r="I2045" s="136"/>
    </row>
    <row r="2046" ht="15.75" customHeight="1">
      <c r="A2046" s="59"/>
      <c r="B2046" s="63">
        <f t="shared" si="1"/>
        <v>13</v>
      </c>
      <c r="C2046" s="134" t="s">
        <v>133</v>
      </c>
      <c r="D2046" s="134" t="s">
        <v>74</v>
      </c>
      <c r="E2046" s="135">
        <f t="shared" si="47"/>
        <v>7</v>
      </c>
      <c r="F2046" s="134" t="s">
        <v>3609</v>
      </c>
      <c r="G2046" s="63" t="str">
        <f>VLOOKUP(C2046, 'Class Def. - General Data'!$C$20:$C$1000,1,false)</f>
        <v>ZFG1_POWDRINK</v>
      </c>
      <c r="H2046" s="63" t="str">
        <f>IFERROR(__xludf.DUMMYFUNCTION("VLOOKUP(F2046, IMPORTRANGE(""https://docs.google.com/spreadsheets/d/1Lhp9OU0JdFf_VYSMzH5lBcEaU4o8teT1piV-SNzShjg/edit?gid=554141278#gid=554141278"", ""'Char Def. - Attributes'!C20:C2242""), 1,false)"),"ADDITIONAL_PROMO")</f>
        <v>ADDITIONAL_PROMO</v>
      </c>
      <c r="I2046" s="136"/>
    </row>
    <row r="2047" ht="15.75" customHeight="1">
      <c r="A2047" s="59"/>
      <c r="B2047" s="63">
        <f t="shared" si="1"/>
        <v>13</v>
      </c>
      <c r="C2047" s="134" t="s">
        <v>133</v>
      </c>
      <c r="D2047" s="134" t="s">
        <v>74</v>
      </c>
      <c r="E2047" s="135">
        <f t="shared" si="47"/>
        <v>8</v>
      </c>
      <c r="F2047" s="134" t="s">
        <v>3610</v>
      </c>
      <c r="G2047" s="63" t="str">
        <f>VLOOKUP(C2047, 'Class Def. - General Data'!$C$20:$C$1000,1,false)</f>
        <v>ZFG1_POWDRINK</v>
      </c>
      <c r="H2047" s="63" t="str">
        <f>IFERROR(__xludf.DUMMYFUNCTION("VLOOKUP(F2047, IMPORTRANGE(""https://docs.google.com/spreadsheets/d/1Lhp9OU0JdFf_VYSMzH5lBcEaU4o8teT1piV-SNzShjg/edit?gid=554141278#gid=554141278"", ""'Char Def. - Attributes'!C20:C2242""), 1,false)"),"BANDED_PROMO")</f>
        <v>BANDED_PROMO</v>
      </c>
      <c r="I2047" s="136"/>
    </row>
    <row r="2048" ht="15.75" customHeight="1">
      <c r="A2048" s="59"/>
      <c r="B2048" s="63">
        <f t="shared" si="1"/>
        <v>13</v>
      </c>
      <c r="C2048" s="134" t="s">
        <v>133</v>
      </c>
      <c r="D2048" s="134" t="s">
        <v>74</v>
      </c>
      <c r="E2048" s="135">
        <f t="shared" si="47"/>
        <v>9</v>
      </c>
      <c r="F2048" s="134" t="s">
        <v>3611</v>
      </c>
      <c r="G2048" s="63" t="str">
        <f>VLOOKUP(C2048, 'Class Def. - General Data'!$C$20:$C$1000,1,false)</f>
        <v>ZFG1_POWDRINK</v>
      </c>
      <c r="H2048" s="63" t="str">
        <f>IFERROR(__xludf.DUMMYFUNCTION("VLOOKUP(F2048, IMPORTRANGE(""https://docs.google.com/spreadsheets/d/1Lhp9OU0JdFf_VYSMzH5lBcEaU4o8teT1piV-SNzShjg/edit?gid=554141278#gid=554141278"", ""'Char Def. - Attributes'!C20:C2242""), 1,false)"),"LOKAL_EKSPOR")</f>
        <v>LOKAL_EKSPOR</v>
      </c>
      <c r="I2048" s="136"/>
    </row>
    <row r="2049" ht="15.75" customHeight="1">
      <c r="A2049" s="59"/>
      <c r="B2049" s="63">
        <f t="shared" si="1"/>
        <v>13</v>
      </c>
      <c r="C2049" s="134" t="s">
        <v>133</v>
      </c>
      <c r="D2049" s="134" t="s">
        <v>74</v>
      </c>
      <c r="E2049" s="135">
        <f t="shared" si="47"/>
        <v>10</v>
      </c>
      <c r="F2049" s="134" t="s">
        <v>3612</v>
      </c>
      <c r="G2049" s="63" t="str">
        <f>VLOOKUP(C2049, 'Class Def. - General Data'!$C$20:$C$1000,1,false)</f>
        <v>ZFG1_POWDRINK</v>
      </c>
      <c r="H2049" s="63" t="str">
        <f>IFERROR(__xludf.DUMMYFUNCTION("VLOOKUP(F2049, IMPORTRANGE(""https://docs.google.com/spreadsheets/d/1Lhp9OU0JdFf_VYSMzH5lBcEaU4o8teT1piV-SNzShjg/edit?gid=554141278#gid=554141278"", ""'Char Def. - Attributes'!C20:C2242""), 1,false)"),"COUNTRY_EKSPOR")</f>
        <v>COUNTRY_EKSPOR</v>
      </c>
      <c r="I2049" s="136"/>
    </row>
    <row r="2050" ht="15.75" customHeight="1">
      <c r="A2050" s="59"/>
      <c r="B2050" s="63">
        <f t="shared" si="1"/>
        <v>13</v>
      </c>
      <c r="C2050" s="134" t="s">
        <v>133</v>
      </c>
      <c r="D2050" s="134" t="s">
        <v>74</v>
      </c>
      <c r="E2050" s="135">
        <f t="shared" si="47"/>
        <v>11</v>
      </c>
      <c r="F2050" s="134" t="s">
        <v>3613</v>
      </c>
      <c r="G2050" s="63" t="str">
        <f>VLOOKUP(C2050, 'Class Def. - General Data'!$C$20:$C$1000,1,false)</f>
        <v>ZFG1_POWDRINK</v>
      </c>
      <c r="H2050" s="63" t="str">
        <f>IFERROR(__xludf.DUMMYFUNCTION("VLOOKUP(F2050, IMPORTRANGE(""https://docs.google.com/spreadsheets/d/1Lhp9OU0JdFf_VYSMzH5lBcEaU4o8teT1piV-SNzShjg/edit?gid=554141278#gid=554141278"", ""'Char Def. - Attributes'!C20:C2242""), 1,false)"),"WARNA_SFG")</f>
        <v>WARNA_SFG</v>
      </c>
      <c r="I2050" s="136"/>
    </row>
    <row r="2051" ht="15.75" customHeight="1">
      <c r="A2051" s="59"/>
      <c r="B2051" s="63">
        <f t="shared" si="1"/>
        <v>13</v>
      </c>
      <c r="C2051" s="134" t="s">
        <v>133</v>
      </c>
      <c r="D2051" s="134" t="s">
        <v>74</v>
      </c>
      <c r="E2051" s="135">
        <f t="shared" si="47"/>
        <v>12</v>
      </c>
      <c r="F2051" s="134" t="s">
        <v>3582</v>
      </c>
      <c r="G2051" s="63" t="str">
        <f>VLOOKUP(C2051, 'Class Def. - General Data'!$C$20:$C$1000,1,false)</f>
        <v>ZFG1_POWDRINK</v>
      </c>
      <c r="H2051" s="63" t="str">
        <f>IFERROR(__xludf.DUMMYFUNCTION("VLOOKUP(F2051, IMPORTRANGE(""https://docs.google.com/spreadsheets/d/1Lhp9OU0JdFf_VYSMzH5lBcEaU4o8teT1piV-SNzShjg/edit?gid=554141278#gid=554141278"", ""'Char Def. - Attributes'!C20:C2242""), 1,false)"),"BASE_UNIT")</f>
        <v>BASE_UNIT</v>
      </c>
      <c r="I2051" s="136"/>
    </row>
    <row r="2052" ht="15.75" customHeight="1">
      <c r="A2052" s="59"/>
      <c r="B2052" s="63">
        <f t="shared" si="1"/>
        <v>13</v>
      </c>
      <c r="C2052" s="134" t="s">
        <v>133</v>
      </c>
      <c r="D2052" s="134" t="s">
        <v>74</v>
      </c>
      <c r="E2052" s="135">
        <f t="shared" si="47"/>
        <v>13</v>
      </c>
      <c r="F2052" s="134" t="s">
        <v>3583</v>
      </c>
      <c r="G2052" s="63" t="str">
        <f>VLOOKUP(C2052, 'Class Def. - General Data'!$C$20:$C$1000,1,false)</f>
        <v>ZFG1_POWDRINK</v>
      </c>
      <c r="H2052" s="63" t="str">
        <f>IFERROR(__xludf.DUMMYFUNCTION("VLOOKUP(F2052, IMPORTRANGE(""https://docs.google.com/spreadsheets/d/1Lhp9OU0JdFf_VYSMzH5lBcEaU4o8teT1piV-SNzShjg/edit?gid=554141278#gid=554141278"", ""'Char Def. - Attributes'!C20:C2242""), 1,false)"),"SALES_UNIT")</f>
        <v>SALES_UNIT</v>
      </c>
      <c r="I2052" s="136"/>
    </row>
    <row r="2053" ht="15.75" customHeight="1">
      <c r="A2053" s="59"/>
      <c r="B2053" s="63">
        <f t="shared" si="1"/>
        <v>13</v>
      </c>
      <c r="C2053" s="134" t="s">
        <v>133</v>
      </c>
      <c r="D2053" s="134" t="s">
        <v>74</v>
      </c>
      <c r="E2053" s="135">
        <f t="shared" si="47"/>
        <v>14</v>
      </c>
      <c r="F2053" s="134" t="s">
        <v>3601</v>
      </c>
      <c r="G2053" s="63" t="str">
        <f>VLOOKUP(C2053, 'Class Def. - General Data'!$C$20:$C$1000,1,false)</f>
        <v>ZFG1_POWDRINK</v>
      </c>
      <c r="H2053" s="63" t="str">
        <f>IFERROR(__xludf.DUMMYFUNCTION("VLOOKUP(F2053, IMPORTRANGE(""https://docs.google.com/spreadsheets/d/1Lhp9OU0JdFf_VYSMzH5lBcEaU4o8teT1piV-SNzShjg/edit?gid=554141278#gid=554141278"", ""'Char Def. - Attributes'!C20:C2242""), 1,false)"),"GROSS_WEIGHT")</f>
        <v>GROSS_WEIGHT</v>
      </c>
      <c r="I2053" s="136"/>
    </row>
    <row r="2054" ht="15.75" customHeight="1">
      <c r="A2054" s="59"/>
      <c r="B2054" s="63">
        <f t="shared" si="1"/>
        <v>13</v>
      </c>
      <c r="C2054" s="134" t="s">
        <v>133</v>
      </c>
      <c r="D2054" s="134" t="s">
        <v>74</v>
      </c>
      <c r="E2054" s="135">
        <f t="shared" si="47"/>
        <v>15</v>
      </c>
      <c r="F2054" s="134" t="s">
        <v>3602</v>
      </c>
      <c r="G2054" s="63" t="str">
        <f>VLOOKUP(C2054, 'Class Def. - General Data'!$C$20:$C$1000,1,false)</f>
        <v>ZFG1_POWDRINK</v>
      </c>
      <c r="H2054" s="63" t="str">
        <f>IFERROR(__xludf.DUMMYFUNCTION("VLOOKUP(F2054, IMPORTRANGE(""https://docs.google.com/spreadsheets/d/1Lhp9OU0JdFf_VYSMzH5lBcEaU4o8teT1piV-SNzShjg/edit?gid=554141278#gid=554141278"", ""'Char Def. - Attributes'!C20:C2242""), 1,false)"),"NET_WEIGHT")</f>
        <v>NET_WEIGHT</v>
      </c>
      <c r="I2054" s="136"/>
    </row>
    <row r="2055" ht="15.75" customHeight="1">
      <c r="A2055" s="59"/>
      <c r="B2055" s="63">
        <f t="shared" si="1"/>
        <v>13</v>
      </c>
      <c r="C2055" s="134" t="s">
        <v>133</v>
      </c>
      <c r="D2055" s="134" t="s">
        <v>74</v>
      </c>
      <c r="E2055" s="135">
        <f t="shared" si="47"/>
        <v>16</v>
      </c>
      <c r="F2055" s="134" t="s">
        <v>3584</v>
      </c>
      <c r="G2055" s="63" t="str">
        <f>VLOOKUP(C2055, 'Class Def. - General Data'!$C$20:$C$1000,1,false)</f>
        <v>ZFG1_POWDRINK</v>
      </c>
      <c r="H2055" s="63" t="str">
        <f>IFERROR(__xludf.DUMMYFUNCTION("VLOOKUP(F2055, IMPORTRANGE(""https://docs.google.com/spreadsheets/d/1Lhp9OU0JdFf_VYSMzH5lBcEaU4o8teT1piV-SNzShjg/edit?gid=554141278#gid=554141278"", ""'Char Def. - Attributes'!C20:C2242""), 1,false)"),"UNIT_PER_BOX")</f>
        <v>UNIT_PER_BOX</v>
      </c>
      <c r="I2055" s="136"/>
    </row>
    <row r="2056" ht="15.75" customHeight="1">
      <c r="A2056" s="59"/>
      <c r="B2056" s="63">
        <f t="shared" si="1"/>
        <v>13</v>
      </c>
      <c r="C2056" s="134" t="s">
        <v>133</v>
      </c>
      <c r="D2056" s="134" t="s">
        <v>74</v>
      </c>
      <c r="E2056" s="135">
        <f t="shared" si="47"/>
        <v>17</v>
      </c>
      <c r="F2056" s="134" t="s">
        <v>3614</v>
      </c>
      <c r="G2056" s="63" t="str">
        <f>VLOOKUP(C2056, 'Class Def. - General Data'!$C$20:$C$1000,1,false)</f>
        <v>ZFG1_POWDRINK</v>
      </c>
      <c r="H2056" s="63" t="str">
        <f>IFERROR(__xludf.DUMMYFUNCTION("VLOOKUP(F2056, IMPORTRANGE(""https://docs.google.com/spreadsheets/d/1Lhp9OU0JdFf_VYSMzH5lBcEaU4o8teT1piV-SNzShjg/edit?gid=554141278#gid=554141278"", ""'Char Def. - Attributes'!C20:C2242""), 1,false)"),"UNIT_PER_CTN")</f>
        <v>UNIT_PER_CTN</v>
      </c>
      <c r="I2056" s="136"/>
    </row>
    <row r="2057" ht="15.75" customHeight="1">
      <c r="A2057" s="59"/>
      <c r="B2057" s="63">
        <f t="shared" si="1"/>
        <v>13</v>
      </c>
      <c r="C2057" s="134" t="s">
        <v>133</v>
      </c>
      <c r="D2057" s="134" t="s">
        <v>74</v>
      </c>
      <c r="E2057" s="135">
        <f t="shared" si="47"/>
        <v>18</v>
      </c>
      <c r="F2057" s="134" t="s">
        <v>3615</v>
      </c>
      <c r="G2057" s="63" t="str">
        <f>VLOOKUP(C2057, 'Class Def. - General Data'!$C$20:$C$1000,1,false)</f>
        <v>ZFG1_POWDRINK</v>
      </c>
      <c r="H2057" s="63" t="str">
        <f>IFERROR(__xludf.DUMMYFUNCTION("VLOOKUP(F2057, IMPORTRANGE(""https://docs.google.com/spreadsheets/d/1Lhp9OU0JdFf_VYSMzH5lBcEaU4o8teT1piV-SNzShjg/edit?gid=554141278#gid=554141278"", ""'Char Def. - Attributes'!C20:C2242""), 1,false)"),"UNIT_PER_BAG")</f>
        <v>UNIT_PER_BAG</v>
      </c>
      <c r="I2057" s="136"/>
    </row>
    <row r="2058" ht="15.75" customHeight="1">
      <c r="A2058" s="59"/>
      <c r="B2058" s="63">
        <f t="shared" si="1"/>
        <v>13</v>
      </c>
      <c r="C2058" s="134" t="s">
        <v>133</v>
      </c>
      <c r="D2058" s="134" t="s">
        <v>74</v>
      </c>
      <c r="E2058" s="135">
        <f t="shared" si="47"/>
        <v>19</v>
      </c>
      <c r="F2058" s="134" t="s">
        <v>3616</v>
      </c>
      <c r="G2058" s="63" t="str">
        <f>VLOOKUP(C2058, 'Class Def. - General Data'!$C$20:$C$1000,1,false)</f>
        <v>ZFG1_POWDRINK</v>
      </c>
      <c r="H2058" s="63" t="str">
        <f>IFERROR(__xludf.DUMMYFUNCTION("VLOOKUP(F2058, IMPORTRANGE(""https://docs.google.com/spreadsheets/d/1Lhp9OU0JdFf_VYSMzH5lBcEaU4o8teT1piV-SNzShjg/edit?gid=554141278#gid=554141278"", ""'Char Def. - Attributes'!C20:C2242""), 1,false)"),"UNIT_PER_PAL")</f>
        <v>UNIT_PER_PAL</v>
      </c>
      <c r="I2058" s="136"/>
    </row>
    <row r="2059" ht="15.75" customHeight="1">
      <c r="A2059" s="59"/>
      <c r="B2059" s="63">
        <f t="shared" si="1"/>
        <v>13</v>
      </c>
      <c r="C2059" s="134" t="s">
        <v>133</v>
      </c>
      <c r="D2059" s="134" t="s">
        <v>74</v>
      </c>
      <c r="E2059" s="135">
        <f t="shared" si="47"/>
        <v>20</v>
      </c>
      <c r="F2059" s="134" t="s">
        <v>3617</v>
      </c>
      <c r="G2059" s="63" t="str">
        <f>VLOOKUP(C2059, 'Class Def. - General Data'!$C$20:$C$1000,1,false)</f>
        <v>ZFG1_POWDRINK</v>
      </c>
      <c r="H2059" s="63" t="str">
        <f>IFERROR(__xludf.DUMMYFUNCTION("VLOOKUP(F2059, IMPORTRANGE(""https://docs.google.com/spreadsheets/d/1Lhp9OU0JdFf_VYSMzH5lBcEaU4o8teT1piV-SNzShjg/edit?gid=554141278#gid=554141278"", ""'Char Def. - Attributes'!C20:C2242""), 1,false)"),"UNIT_PER_TIER")</f>
        <v>UNIT_PER_TIER</v>
      </c>
      <c r="I2059" s="136"/>
    </row>
    <row r="2060" ht="15.75" customHeight="1">
      <c r="A2060" s="59"/>
      <c r="B2060" s="63">
        <f t="shared" si="1"/>
        <v>13</v>
      </c>
      <c r="C2060" s="134" t="s">
        <v>133</v>
      </c>
      <c r="D2060" s="134" t="s">
        <v>74</v>
      </c>
      <c r="E2060" s="135">
        <f t="shared" si="47"/>
        <v>21</v>
      </c>
      <c r="F2060" s="134" t="s">
        <v>3618</v>
      </c>
      <c r="G2060" s="63" t="str">
        <f>VLOOKUP(C2060, 'Class Def. - General Data'!$C$20:$C$1000,1,false)</f>
        <v>ZFG1_POWDRINK</v>
      </c>
      <c r="H2060" s="63" t="str">
        <f>IFERROR(__xludf.DUMMYFUNCTION("VLOOKUP(F2060, IMPORTRANGE(""https://docs.google.com/spreadsheets/d/1Lhp9OU0JdFf_VYSMzH5lBcEaU4o8teT1piV-SNzShjg/edit?gid=554141278#gid=554141278"", ""'Char Def. - Attributes'!C20:C2242""), 1,false)"),"HEIGHT")</f>
        <v>HEIGHT</v>
      </c>
      <c r="I2060" s="136"/>
    </row>
    <row r="2061" ht="15.75" customHeight="1">
      <c r="A2061" s="59"/>
      <c r="B2061" s="63">
        <f t="shared" si="1"/>
        <v>13</v>
      </c>
      <c r="C2061" s="134" t="s">
        <v>133</v>
      </c>
      <c r="D2061" s="134" t="s">
        <v>74</v>
      </c>
      <c r="E2061" s="135">
        <f t="shared" si="47"/>
        <v>22</v>
      </c>
      <c r="F2061" s="134" t="s">
        <v>3587</v>
      </c>
      <c r="G2061" s="63" t="str">
        <f>VLOOKUP(C2061, 'Class Def. - General Data'!$C$20:$C$1000,1,false)</f>
        <v>ZFG1_POWDRINK</v>
      </c>
      <c r="H2061" s="63" t="str">
        <f>IFERROR(__xludf.DUMMYFUNCTION("VLOOKUP(F2061, IMPORTRANGE(""https://docs.google.com/spreadsheets/d/1Lhp9OU0JdFf_VYSMzH5lBcEaU4o8teT1piV-SNzShjg/edit?gid=554141278#gid=554141278"", ""'Char Def. - Attributes'!C20:C2242""), 1,false)"),"PLANT_BUY")</f>
        <v>PLANT_BUY</v>
      </c>
      <c r="I2061" s="136"/>
    </row>
    <row r="2062" ht="15.75" customHeight="1">
      <c r="A2062" s="59"/>
      <c r="B2062" s="63">
        <f t="shared" si="1"/>
        <v>13</v>
      </c>
      <c r="C2062" s="134" t="s">
        <v>133</v>
      </c>
      <c r="D2062" s="134" t="s">
        <v>74</v>
      </c>
      <c r="E2062" s="135">
        <f t="shared" si="47"/>
        <v>23</v>
      </c>
      <c r="F2062" s="134" t="s">
        <v>3619</v>
      </c>
      <c r="G2062" s="63" t="str">
        <f>VLOOKUP(C2062, 'Class Def. - General Data'!$C$20:$C$1000,1,false)</f>
        <v>ZFG1_POWDRINK</v>
      </c>
      <c r="H2062" s="63" t="str">
        <f>IFERROR(__xludf.DUMMYFUNCTION("VLOOKUP(F2062, IMPORTRANGE(""https://docs.google.com/spreadsheets/d/1Lhp9OU0JdFf_VYSMzH5lBcEaU4o8teT1piV-SNzShjg/edit?gid=554141278#gid=554141278"", ""'Char Def. - Attributes'!C20:C2242""), 1,false)"),"LENGTH")</f>
        <v>LENGTH</v>
      </c>
      <c r="I2062" s="136"/>
    </row>
    <row r="2063" ht="15.75" customHeight="1">
      <c r="A2063" s="59"/>
      <c r="B2063" s="63">
        <f t="shared" si="1"/>
        <v>13</v>
      </c>
      <c r="C2063" s="134" t="s">
        <v>133</v>
      </c>
      <c r="D2063" s="134" t="s">
        <v>74</v>
      </c>
      <c r="E2063" s="135">
        <f t="shared" si="47"/>
        <v>24</v>
      </c>
      <c r="F2063" s="134" t="s">
        <v>3586</v>
      </c>
      <c r="G2063" s="63" t="str">
        <f>VLOOKUP(C2063, 'Class Def. - General Data'!$C$20:$C$1000,1,false)</f>
        <v>ZFG1_POWDRINK</v>
      </c>
      <c r="H2063" s="63" t="str">
        <f>IFERROR(__xludf.DUMMYFUNCTION("VLOOKUP(F2063, IMPORTRANGE(""https://docs.google.com/spreadsheets/d/1Lhp9OU0JdFf_VYSMzH5lBcEaU4o8teT1piV-SNzShjg/edit?gid=554141278#gid=554141278"", ""'Char Def. - Attributes'!C20:C2242""), 1,false)"),"PLANT_PROD")</f>
        <v>PLANT_PROD</v>
      </c>
      <c r="I2063" s="136"/>
    </row>
    <row r="2064" ht="15.75" customHeight="1">
      <c r="A2064" s="59"/>
      <c r="B2064" s="63">
        <f t="shared" si="1"/>
        <v>13</v>
      </c>
      <c r="C2064" s="134" t="s">
        <v>133</v>
      </c>
      <c r="D2064" s="134" t="s">
        <v>74</v>
      </c>
      <c r="E2064" s="135">
        <f t="shared" si="47"/>
        <v>25</v>
      </c>
      <c r="F2064" s="134" t="s">
        <v>3620</v>
      </c>
      <c r="G2064" s="63" t="str">
        <f>VLOOKUP(C2064, 'Class Def. - General Data'!$C$20:$C$1000,1,false)</f>
        <v>ZFG1_POWDRINK</v>
      </c>
      <c r="H2064" s="63" t="str">
        <f>IFERROR(__xludf.DUMMYFUNCTION("VLOOKUP(F2064, IMPORTRANGE(""https://docs.google.com/spreadsheets/d/1Lhp9OU0JdFf_VYSMzH5lBcEaU4o8teT1piV-SNzShjg/edit?gid=554141278#gid=554141278"", ""'Char Def. - Attributes'!C20:C2242""), 1,false)"),"WIDTH")</f>
        <v>WIDTH</v>
      </c>
      <c r="I2064" s="136"/>
    </row>
    <row r="2065" ht="15.75" customHeight="1">
      <c r="A2065" s="59"/>
      <c r="B2065" s="63">
        <f t="shared" si="1"/>
        <v>13</v>
      </c>
      <c r="C2065" s="134" t="s">
        <v>133</v>
      </c>
      <c r="D2065" s="134" t="s">
        <v>74</v>
      </c>
      <c r="E2065" s="135">
        <f t="shared" si="47"/>
        <v>26</v>
      </c>
      <c r="F2065" s="134" t="s">
        <v>3585</v>
      </c>
      <c r="G2065" s="63" t="str">
        <f>VLOOKUP(C2065, 'Class Def. - General Data'!$C$20:$C$1000,1,false)</f>
        <v>ZFG1_POWDRINK</v>
      </c>
      <c r="H2065" s="63" t="str">
        <f>IFERROR(__xludf.DUMMYFUNCTION("VLOOKUP(F2065, IMPORTRANGE(""https://docs.google.com/spreadsheets/d/1Lhp9OU0JdFf_VYSMzH5lBcEaU4o8teT1piV-SNzShjg/edit?gid=554141278#gid=554141278"", ""'Char Def. - Attributes'!C20:C2242""), 1,false)"),"HS_CODE")</f>
        <v>HS_CODE</v>
      </c>
      <c r="I2065" s="136"/>
    </row>
    <row r="2066" ht="15.75" customHeight="1">
      <c r="A2066" s="59"/>
      <c r="B2066" s="63">
        <f t="shared" si="1"/>
        <v>13</v>
      </c>
      <c r="C2066" s="134" t="s">
        <v>133</v>
      </c>
      <c r="D2066" s="134" t="s">
        <v>74</v>
      </c>
      <c r="E2066" s="135">
        <f t="shared" si="47"/>
        <v>27</v>
      </c>
      <c r="F2066" s="134" t="s">
        <v>3621</v>
      </c>
      <c r="G2066" s="63" t="str">
        <f>VLOOKUP(C2066, 'Class Def. - General Data'!$C$20:$C$1000,1,false)</f>
        <v>ZFG1_POWDRINK</v>
      </c>
      <c r="H2066" s="63" t="str">
        <f>IFERROR(__xludf.DUMMYFUNCTION("VLOOKUP(F2066, IMPORTRANGE(""https://docs.google.com/spreadsheets/d/1Lhp9OU0JdFf_VYSMzH5lBcEaU4o8teT1piV-SNzShjg/edit?gid=554141278#gid=554141278"", ""'Char Def. - Attributes'!C20:C2242""), 1,false)"),"EAN_PCS")</f>
        <v>EAN_PCS</v>
      </c>
      <c r="I2066" s="136"/>
    </row>
    <row r="2067" ht="15.75" customHeight="1">
      <c r="A2067" s="59"/>
      <c r="B2067" s="63">
        <f t="shared" si="1"/>
        <v>13</v>
      </c>
      <c r="C2067" s="134" t="s">
        <v>133</v>
      </c>
      <c r="D2067" s="134" t="s">
        <v>74</v>
      </c>
      <c r="E2067" s="135">
        <f t="shared" si="47"/>
        <v>28</v>
      </c>
      <c r="F2067" s="134" t="s">
        <v>3622</v>
      </c>
      <c r="G2067" s="63" t="str">
        <f>VLOOKUP(C2067, 'Class Def. - General Data'!$C$20:$C$1000,1,false)</f>
        <v>ZFG1_POWDRINK</v>
      </c>
      <c r="H2067" s="63" t="str">
        <f>IFERROR(__xludf.DUMMYFUNCTION("VLOOKUP(F2067, IMPORTRANGE(""https://docs.google.com/spreadsheets/d/1Lhp9OU0JdFf_VYSMzH5lBcEaU4o8teT1piV-SNzShjg/edit?gid=554141278#gid=554141278"", ""'Char Def. - Attributes'!C20:C2242""), 1,false)"),"SFG_BRAND")</f>
        <v>SFG_BRAND</v>
      </c>
      <c r="I2067" s="136"/>
    </row>
    <row r="2068" ht="15.75" customHeight="1">
      <c r="A2068" s="59"/>
      <c r="B2068" s="63">
        <f t="shared" si="1"/>
        <v>13</v>
      </c>
      <c r="C2068" s="134" t="s">
        <v>133</v>
      </c>
      <c r="D2068" s="134" t="s">
        <v>74</v>
      </c>
      <c r="E2068" s="135">
        <f t="shared" si="47"/>
        <v>29</v>
      </c>
      <c r="F2068" s="134" t="s">
        <v>3623</v>
      </c>
      <c r="G2068" s="63" t="str">
        <f>VLOOKUP(C2068, 'Class Def. - General Data'!$C$20:$C$1000,1,false)</f>
        <v>ZFG1_POWDRINK</v>
      </c>
      <c r="H2068" s="63" t="str">
        <f>IFERROR(__xludf.DUMMYFUNCTION("VLOOKUP(F2068, IMPORTRANGE(""https://docs.google.com/spreadsheets/d/1Lhp9OU0JdFf_VYSMzH5lBcEaU4o8teT1piV-SNzShjg/edit?gid=554141278#gid=554141278"", ""'Char Def. - Attributes'!C20:C2242""), 1,false)"),"LANGUAGE")</f>
        <v>LANGUAGE</v>
      </c>
      <c r="I2068" s="136"/>
    </row>
    <row r="2069" ht="15.75" customHeight="1">
      <c r="A2069" s="59"/>
      <c r="B2069" s="63">
        <f t="shared" si="1"/>
        <v>13</v>
      </c>
      <c r="C2069" s="139" t="s">
        <v>133</v>
      </c>
      <c r="D2069" s="139" t="s">
        <v>74</v>
      </c>
      <c r="E2069" s="140">
        <f t="shared" si="47"/>
        <v>30</v>
      </c>
      <c r="F2069" s="134" t="s">
        <v>3624</v>
      </c>
      <c r="G2069" s="63" t="str">
        <f>VLOOKUP(C2069, 'Class Def. - General Data'!$C$20:$C$1000,1,false)</f>
        <v>ZFG1_POWDRINK</v>
      </c>
      <c r="H2069" s="63" t="str">
        <f>IFERROR(__xludf.DUMMYFUNCTION("VLOOKUP(F2069, IMPORTRANGE(""https://docs.google.com/spreadsheets/d/1Lhp9OU0JdFf_VYSMzH5lBcEaU4o8teT1piV-SNzShjg/edit?gid=554141278#gid=554141278"", ""'Char Def. - Attributes'!C20:C2242""), 1,false)"),"#N/A")</f>
        <v>#N/A</v>
      </c>
      <c r="I2069" s="136"/>
    </row>
    <row r="2070" ht="15.75" customHeight="1">
      <c r="A2070" s="59"/>
      <c r="B2070" s="63">
        <f t="shared" si="1"/>
        <v>13</v>
      </c>
      <c r="C2070" s="134" t="s">
        <v>133</v>
      </c>
      <c r="D2070" s="134" t="s">
        <v>74</v>
      </c>
      <c r="E2070" s="135">
        <f t="shared" si="47"/>
        <v>31</v>
      </c>
      <c r="F2070" s="134" t="s">
        <v>3625</v>
      </c>
      <c r="G2070" s="63" t="str">
        <f>VLOOKUP(C2070, 'Class Def. - General Data'!$C$20:$C$1000,1,false)</f>
        <v>ZFG1_POWDRINK</v>
      </c>
      <c r="H2070" s="63" t="str">
        <f>IFERROR(__xludf.DUMMYFUNCTION("VLOOKUP(F2070, IMPORTRANGE(""https://docs.google.com/spreadsheets/d/1Lhp9OU0JdFf_VYSMzH5lBcEaU4o8teT1piV-SNzShjg/edit?gid=554141278#gid=554141278"", ""'Char Def. - Attributes'!C20:C2242""), 1,false)"),"REGION_EKSPOR")</f>
        <v>REGION_EKSPOR</v>
      </c>
      <c r="I2070" s="136"/>
    </row>
    <row r="2071" ht="15.75" customHeight="1">
      <c r="A2071" s="59"/>
      <c r="B2071" s="63">
        <f t="shared" si="1"/>
        <v>13</v>
      </c>
      <c r="C2071" s="134" t="s">
        <v>133</v>
      </c>
      <c r="D2071" s="134" t="s">
        <v>74</v>
      </c>
      <c r="E2071" s="135">
        <f t="shared" si="47"/>
        <v>32</v>
      </c>
      <c r="F2071" s="134" t="s">
        <v>3626</v>
      </c>
      <c r="G2071" s="63" t="str">
        <f>VLOOKUP(C2071, 'Class Def. - General Data'!$C$20:$C$1000,1,false)</f>
        <v>ZFG1_POWDRINK</v>
      </c>
      <c r="H2071" s="63" t="str">
        <f>IFERROR(__xludf.DUMMYFUNCTION("VLOOKUP(F2071, IMPORTRANGE(""https://docs.google.com/spreadsheets/d/1Lhp9OU0JdFf_VYSMzH5lBcEaU4o8teT1piV-SNzShjg/edit?gid=554141278#gid=554141278"", ""'Char Def. - Attributes'!C20:C2242""), 1,false)"),"STICKER_NOT")</f>
        <v>STICKER_NOT</v>
      </c>
      <c r="I2071" s="136"/>
    </row>
    <row r="2072" ht="15.75" customHeight="1">
      <c r="A2072" s="59"/>
      <c r="B2072" s="63">
        <f t="shared" si="1"/>
        <v>13</v>
      </c>
      <c r="C2072" s="134" t="s">
        <v>133</v>
      </c>
      <c r="D2072" s="134" t="s">
        <v>74</v>
      </c>
      <c r="E2072" s="135">
        <f t="shared" si="47"/>
        <v>33</v>
      </c>
      <c r="F2072" s="134" t="s">
        <v>3627</v>
      </c>
      <c r="G2072" s="63" t="str">
        <f>VLOOKUP(C2072, 'Class Def. - General Data'!$C$20:$C$1000,1,false)</f>
        <v>ZFG1_POWDRINK</v>
      </c>
      <c r="H2072" s="63" t="str">
        <f>IFERROR(__xludf.DUMMYFUNCTION("VLOOKUP(F2072, IMPORTRANGE(""https://docs.google.com/spreadsheets/d/1Lhp9OU0JdFf_VYSMzH5lBcEaU4o8teT1piV-SNzShjg/edit?gid=554141278#gid=554141278"", ""'Char Def. - Attributes'!C20:C2242""), 1,false)"),"SHIP_MARK")</f>
        <v>SHIP_MARK</v>
      </c>
      <c r="I2072" s="136"/>
    </row>
    <row r="2073" ht="15.75" customHeight="1">
      <c r="A2073" s="59"/>
      <c r="B2073" s="63">
        <f t="shared" si="1"/>
        <v>13</v>
      </c>
      <c r="C2073" s="134" t="s">
        <v>133</v>
      </c>
      <c r="D2073" s="134" t="s">
        <v>74</v>
      </c>
      <c r="E2073" s="135">
        <f t="shared" si="47"/>
        <v>34</v>
      </c>
      <c r="F2073" s="134" t="s">
        <v>3628</v>
      </c>
      <c r="G2073" s="63" t="str">
        <f>VLOOKUP(C2073, 'Class Def. - General Data'!$C$20:$C$1000,1,false)</f>
        <v>ZFG1_POWDRINK</v>
      </c>
      <c r="H2073" s="63" t="str">
        <f>IFERROR(__xludf.DUMMYFUNCTION("VLOOKUP(F2073, IMPORTRANGE(""https://docs.google.com/spreadsheets/d/1Lhp9OU0JdFf_VYSMzH5lBcEaU4o8teT1piV-SNzShjg/edit?gid=554141278#gid=554141278"", ""'Char Def. - Attributes'!C20:C2242""), 1,false)"),"MID_CORE")</f>
        <v>MID_CORE</v>
      </c>
      <c r="I2073" s="136"/>
    </row>
    <row r="2074" ht="15.75" customHeight="1">
      <c r="A2074" s="59"/>
      <c r="B2074" s="63">
        <f t="shared" si="1"/>
        <v>13</v>
      </c>
      <c r="C2074" s="134" t="s">
        <v>133</v>
      </c>
      <c r="D2074" s="134" t="s">
        <v>74</v>
      </c>
      <c r="E2074" s="135">
        <f t="shared" si="47"/>
        <v>35</v>
      </c>
      <c r="F2074" s="134" t="s">
        <v>3629</v>
      </c>
      <c r="G2074" s="63" t="str">
        <f>VLOOKUP(C2074, 'Class Def. - General Data'!$C$20:$C$1000,1,false)</f>
        <v>ZFG1_POWDRINK</v>
      </c>
      <c r="H2074" s="63" t="str">
        <f>IFERROR(__xludf.DUMMYFUNCTION("VLOOKUP(F2074, IMPORTRANGE(""https://docs.google.com/spreadsheets/d/1Lhp9OU0JdFf_VYSMzH5lBcEaU4o8teT1piV-SNzShjg/edit?gid=554141278#gid=554141278"", ""'Char Def. - Attributes'!C20:C2242""), 1,false)"),"EAN_CTN")</f>
        <v>EAN_CTN</v>
      </c>
      <c r="I2074" s="136"/>
    </row>
    <row r="2075" ht="15.75" customHeight="1">
      <c r="A2075" s="59"/>
      <c r="B2075" s="63">
        <f t="shared" si="1"/>
        <v>13</v>
      </c>
      <c r="C2075" s="134" t="s">
        <v>133</v>
      </c>
      <c r="D2075" s="134" t="s">
        <v>74</v>
      </c>
      <c r="E2075" s="135">
        <f t="shared" si="47"/>
        <v>36</v>
      </c>
      <c r="F2075" s="134" t="s">
        <v>3630</v>
      </c>
      <c r="G2075" s="63" t="str">
        <f>VLOOKUP(C2075, 'Class Def. - General Data'!$C$20:$C$1000,1,false)</f>
        <v>ZFG1_POWDRINK</v>
      </c>
      <c r="H2075" s="63" t="str">
        <f>IFERROR(__xludf.DUMMYFUNCTION("VLOOKUP(F2075, IMPORTRANGE(""https://docs.google.com/spreadsheets/d/1Lhp9OU0JdFf_VYSMzH5lBcEaU4o8teT1piV-SNzShjg/edit?gid=554141278#gid=554141278"", ""'Char Def. - Attributes'!C20:C2242""), 1,false)"),"EAN_BOX")</f>
        <v>EAN_BOX</v>
      </c>
      <c r="I2075" s="136"/>
    </row>
    <row r="2076" ht="15.75" customHeight="1">
      <c r="A2076" s="59"/>
      <c r="B2076" s="63">
        <f t="shared" si="1"/>
        <v>13</v>
      </c>
      <c r="C2076" s="134" t="s">
        <v>133</v>
      </c>
      <c r="D2076" s="141" t="s">
        <v>74</v>
      </c>
      <c r="E2076" s="135">
        <v>22.0</v>
      </c>
      <c r="F2076" s="135" t="s">
        <v>3603</v>
      </c>
      <c r="G2076" s="63" t="str">
        <f>VLOOKUP(C2076, 'Class Def. - General Data'!$C$20:$C$1000,1,false)</f>
        <v>ZFG1_POWDRINK</v>
      </c>
      <c r="I2076" s="136"/>
    </row>
    <row r="2077" ht="15.75" customHeight="1">
      <c r="A2077" s="59"/>
      <c r="B2077" s="63">
        <f t="shared" si="1"/>
        <v>17</v>
      </c>
      <c r="C2077" s="134" t="s">
        <v>134</v>
      </c>
      <c r="D2077" s="134" t="s">
        <v>74</v>
      </c>
      <c r="E2077" s="135">
        <f t="shared" ref="E2077:E2112" si="48">COUNTIF($C$20:C2077,C2077)</f>
        <v>1</v>
      </c>
      <c r="F2077" s="134" t="s">
        <v>3745</v>
      </c>
      <c r="G2077" s="63" t="str">
        <f>VLOOKUP(C2077, 'Class Def. - General Data'!$C$20:$C$1000,1,false)</f>
        <v>ZFG1_REEDDIFFUSER</v>
      </c>
      <c r="H2077" s="63" t="str">
        <f>IFERROR(__xludf.DUMMYFUNCTION("VLOOKUP(F2077, IMPORTRANGE(""https://docs.google.com/spreadsheets/d/1Lhp9OU0JdFf_VYSMzH5lBcEaU4o8teT1piV-SNzShjg/edit?gid=554141278#gid=554141278"", ""'Char Def. - Attributes'!C20:C2242""), 1,false)"),"BRAND_REEDDIFFUSER")</f>
        <v>BRAND_REEDDIFFUSER</v>
      </c>
      <c r="I2077" s="136"/>
    </row>
    <row r="2078" ht="15.75" customHeight="1">
      <c r="A2078" s="59"/>
      <c r="B2078" s="63">
        <f t="shared" si="1"/>
        <v>17</v>
      </c>
      <c r="C2078" s="135" t="s">
        <v>134</v>
      </c>
      <c r="D2078" s="134" t="s">
        <v>74</v>
      </c>
      <c r="E2078" s="135">
        <f t="shared" si="48"/>
        <v>2</v>
      </c>
      <c r="F2078" s="134" t="s">
        <v>3746</v>
      </c>
      <c r="G2078" s="63" t="str">
        <f>VLOOKUP(C2078, 'Class Def. - General Data'!$C$20:$C$1000,1,false)</f>
        <v>ZFG1_REEDDIFFUSER</v>
      </c>
      <c r="H2078" s="63" t="str">
        <f>IFERROR(__xludf.DUMMYFUNCTION("VLOOKUP(F2078, IMPORTRANGE(""https://docs.google.com/spreadsheets/d/1Lhp9OU0JdFf_VYSMzH5lBcEaU4o8teT1piV-SNzShjg/edit?gid=554141278#gid=554141278"", ""'Char Def. - Attributes'!C20:C2242""), 1,false)"),"PSHAPE_REEDDIFFUSER")</f>
        <v>PSHAPE_REEDDIFFUSER</v>
      </c>
      <c r="I2078" s="136"/>
    </row>
    <row r="2079" ht="15.75" customHeight="1">
      <c r="A2079" s="59"/>
      <c r="B2079" s="63">
        <f t="shared" si="1"/>
        <v>17</v>
      </c>
      <c r="C2079" s="134" t="s">
        <v>134</v>
      </c>
      <c r="D2079" s="134" t="s">
        <v>74</v>
      </c>
      <c r="E2079" s="135">
        <f t="shared" si="48"/>
        <v>3</v>
      </c>
      <c r="F2079" s="134" t="s">
        <v>3605</v>
      </c>
      <c r="G2079" s="63" t="str">
        <f>VLOOKUP(C2079, 'Class Def. - General Data'!$C$20:$C$1000,1,false)</f>
        <v>ZFG1_REEDDIFFUSER</v>
      </c>
      <c r="H2079" s="63" t="str">
        <f>IFERROR(__xludf.DUMMYFUNCTION("VLOOKUP(F2079, IMPORTRANGE(""https://docs.google.com/spreadsheets/d/1Lhp9OU0JdFf_VYSMzH5lBcEaU4o8teT1piV-SNzShjg/edit?gid=554141278#gid=554141278"", ""'Char Def. - Attributes'!C20:C2242""), 1,false)"),"PACK_NETTO")</f>
        <v>PACK_NETTO</v>
      </c>
      <c r="I2079" s="136"/>
    </row>
    <row r="2080" ht="15.75" customHeight="1">
      <c r="A2080" s="59"/>
      <c r="B2080" s="63">
        <f t="shared" si="1"/>
        <v>17</v>
      </c>
      <c r="C2080" s="135" t="s">
        <v>134</v>
      </c>
      <c r="D2080" s="134" t="s">
        <v>74</v>
      </c>
      <c r="E2080" s="135">
        <f t="shared" si="48"/>
        <v>4</v>
      </c>
      <c r="F2080" s="134" t="s">
        <v>3747</v>
      </c>
      <c r="G2080" s="63" t="str">
        <f>VLOOKUP(C2080, 'Class Def. - General Data'!$C$20:$C$1000,1,false)</f>
        <v>ZFG1_REEDDIFFUSER</v>
      </c>
      <c r="H2080" s="63" t="str">
        <f>IFERROR(__xludf.DUMMYFUNCTION("VLOOKUP(F2080, IMPORTRANGE(""https://docs.google.com/spreadsheets/d/1Lhp9OU0JdFf_VYSMzH5lBcEaU4o8teT1piV-SNzShjg/edit?gid=554141278#gid=554141278"", ""'Char Def. - Attributes'!C20:C2242""), 1,false)"),"PUOM_REEDDIFFUSER")</f>
        <v>PUOM_REEDDIFFUSER</v>
      </c>
      <c r="I2080" s="136"/>
    </row>
    <row r="2081" ht="15.75" customHeight="1">
      <c r="A2081" s="59"/>
      <c r="B2081" s="63">
        <f t="shared" si="1"/>
        <v>17</v>
      </c>
      <c r="C2081" s="134" t="s">
        <v>134</v>
      </c>
      <c r="D2081" s="134" t="s">
        <v>74</v>
      </c>
      <c r="E2081" s="135">
        <f t="shared" si="48"/>
        <v>5</v>
      </c>
      <c r="F2081" s="134" t="s">
        <v>3607</v>
      </c>
      <c r="G2081" s="63" t="str">
        <f>VLOOKUP(C2081, 'Class Def. - General Data'!$C$20:$C$1000,1,false)</f>
        <v>ZFG1_REEDDIFFUSER</v>
      </c>
      <c r="H2081" s="63" t="str">
        <f>IFERROR(__xludf.DUMMYFUNCTION("VLOOKUP(F2081, IMPORTRANGE(""https://docs.google.com/spreadsheets/d/1Lhp9OU0JdFf_VYSMzH5lBcEaU4o8teT1piV-SNzShjg/edit?gid=554141278#gid=554141278"", ""'Char Def. - Attributes'!C20:C2242""), 1,false)"),"VARIAN")</f>
        <v>VARIAN</v>
      </c>
      <c r="I2081" s="136"/>
    </row>
    <row r="2082" ht="15.75" customHeight="1">
      <c r="A2082" s="59"/>
      <c r="B2082" s="63">
        <f t="shared" si="1"/>
        <v>17</v>
      </c>
      <c r="C2082" s="134" t="s">
        <v>134</v>
      </c>
      <c r="D2082" s="134" t="s">
        <v>74</v>
      </c>
      <c r="E2082" s="135">
        <f t="shared" si="48"/>
        <v>6</v>
      </c>
      <c r="F2082" s="134" t="s">
        <v>3608</v>
      </c>
      <c r="G2082" s="63" t="str">
        <f>VLOOKUP(C2082, 'Class Def. - General Data'!$C$20:$C$1000,1,false)</f>
        <v>ZFG1_REEDDIFFUSER</v>
      </c>
      <c r="H2082" s="63" t="str">
        <f>IFERROR(__xludf.DUMMYFUNCTION("VLOOKUP(F2082, IMPORTRANGE(""https://docs.google.com/spreadsheets/d/1Lhp9OU0JdFf_VYSMzH5lBcEaU4o8teT1piV-SNzShjg/edit?gid=554141278#gid=554141278"", ""'Char Def. - Attributes'!C20:C2242""), 1,false)"),"PROJECT_NAME")</f>
        <v>PROJECT_NAME</v>
      </c>
      <c r="I2082" s="136"/>
    </row>
    <row r="2083" ht="15.75" customHeight="1">
      <c r="A2083" s="59"/>
      <c r="B2083" s="63">
        <f t="shared" si="1"/>
        <v>17</v>
      </c>
      <c r="C2083" s="134" t="s">
        <v>134</v>
      </c>
      <c r="D2083" s="134" t="s">
        <v>74</v>
      </c>
      <c r="E2083" s="135">
        <f t="shared" si="48"/>
        <v>7</v>
      </c>
      <c r="F2083" s="134" t="s">
        <v>3609</v>
      </c>
      <c r="G2083" s="63" t="str">
        <f>VLOOKUP(C2083, 'Class Def. - General Data'!$C$20:$C$1000,1,false)</f>
        <v>ZFG1_REEDDIFFUSER</v>
      </c>
      <c r="H2083" s="63" t="str">
        <f>IFERROR(__xludf.DUMMYFUNCTION("VLOOKUP(F2083, IMPORTRANGE(""https://docs.google.com/spreadsheets/d/1Lhp9OU0JdFf_VYSMzH5lBcEaU4o8teT1piV-SNzShjg/edit?gid=554141278#gid=554141278"", ""'Char Def. - Attributes'!C20:C2242""), 1,false)"),"ADDITIONAL_PROMO")</f>
        <v>ADDITIONAL_PROMO</v>
      </c>
      <c r="I2083" s="136"/>
    </row>
    <row r="2084" ht="15.75" customHeight="1">
      <c r="A2084" s="59"/>
      <c r="B2084" s="63">
        <f t="shared" si="1"/>
        <v>17</v>
      </c>
      <c r="C2084" s="134" t="s">
        <v>134</v>
      </c>
      <c r="D2084" s="134" t="s">
        <v>74</v>
      </c>
      <c r="E2084" s="135">
        <f t="shared" si="48"/>
        <v>8</v>
      </c>
      <c r="F2084" s="134" t="s">
        <v>3610</v>
      </c>
      <c r="G2084" s="63" t="str">
        <f>VLOOKUP(C2084, 'Class Def. - General Data'!$C$20:$C$1000,1,false)</f>
        <v>ZFG1_REEDDIFFUSER</v>
      </c>
      <c r="H2084" s="63" t="str">
        <f>IFERROR(__xludf.DUMMYFUNCTION("VLOOKUP(F2084, IMPORTRANGE(""https://docs.google.com/spreadsheets/d/1Lhp9OU0JdFf_VYSMzH5lBcEaU4o8teT1piV-SNzShjg/edit?gid=554141278#gid=554141278"", ""'Char Def. - Attributes'!C20:C2242""), 1,false)"),"BANDED_PROMO")</f>
        <v>BANDED_PROMO</v>
      </c>
      <c r="I2084" s="136"/>
    </row>
    <row r="2085" ht="15.75" customHeight="1">
      <c r="A2085" s="59"/>
      <c r="B2085" s="63">
        <f t="shared" si="1"/>
        <v>17</v>
      </c>
      <c r="C2085" s="134" t="s">
        <v>134</v>
      </c>
      <c r="D2085" s="134" t="s">
        <v>74</v>
      </c>
      <c r="E2085" s="135">
        <f t="shared" si="48"/>
        <v>9</v>
      </c>
      <c r="F2085" s="134" t="s">
        <v>3611</v>
      </c>
      <c r="G2085" s="63" t="str">
        <f>VLOOKUP(C2085, 'Class Def. - General Data'!$C$20:$C$1000,1,false)</f>
        <v>ZFG1_REEDDIFFUSER</v>
      </c>
      <c r="H2085" s="63" t="str">
        <f>IFERROR(__xludf.DUMMYFUNCTION("VLOOKUP(F2085, IMPORTRANGE(""https://docs.google.com/spreadsheets/d/1Lhp9OU0JdFf_VYSMzH5lBcEaU4o8teT1piV-SNzShjg/edit?gid=554141278#gid=554141278"", ""'Char Def. - Attributes'!C20:C2242""), 1,false)"),"LOKAL_EKSPOR")</f>
        <v>LOKAL_EKSPOR</v>
      </c>
      <c r="I2085" s="136"/>
    </row>
    <row r="2086" ht="15.75" customHeight="1">
      <c r="A2086" s="59"/>
      <c r="B2086" s="63">
        <f t="shared" si="1"/>
        <v>17</v>
      </c>
      <c r="C2086" s="134" t="s">
        <v>134</v>
      </c>
      <c r="D2086" s="134" t="s">
        <v>74</v>
      </c>
      <c r="E2086" s="135">
        <f t="shared" si="48"/>
        <v>10</v>
      </c>
      <c r="F2086" s="134" t="s">
        <v>3612</v>
      </c>
      <c r="G2086" s="63" t="str">
        <f>VLOOKUP(C2086, 'Class Def. - General Data'!$C$20:$C$1000,1,false)</f>
        <v>ZFG1_REEDDIFFUSER</v>
      </c>
      <c r="H2086" s="63" t="str">
        <f>IFERROR(__xludf.DUMMYFUNCTION("VLOOKUP(F2086, IMPORTRANGE(""https://docs.google.com/spreadsheets/d/1Lhp9OU0JdFf_VYSMzH5lBcEaU4o8teT1piV-SNzShjg/edit?gid=554141278#gid=554141278"", ""'Char Def. - Attributes'!C20:C2242""), 1,false)"),"COUNTRY_EKSPOR")</f>
        <v>COUNTRY_EKSPOR</v>
      </c>
      <c r="I2086" s="136"/>
    </row>
    <row r="2087" ht="15.75" customHeight="1">
      <c r="A2087" s="59"/>
      <c r="B2087" s="63">
        <f t="shared" si="1"/>
        <v>17</v>
      </c>
      <c r="C2087" s="134" t="s">
        <v>134</v>
      </c>
      <c r="D2087" s="134" t="s">
        <v>74</v>
      </c>
      <c r="E2087" s="135">
        <f t="shared" si="48"/>
        <v>11</v>
      </c>
      <c r="F2087" s="134" t="s">
        <v>3613</v>
      </c>
      <c r="G2087" s="63" t="str">
        <f>VLOOKUP(C2087, 'Class Def. - General Data'!$C$20:$C$1000,1,false)</f>
        <v>ZFG1_REEDDIFFUSER</v>
      </c>
      <c r="H2087" s="63" t="str">
        <f>IFERROR(__xludf.DUMMYFUNCTION("VLOOKUP(F2087, IMPORTRANGE(""https://docs.google.com/spreadsheets/d/1Lhp9OU0JdFf_VYSMzH5lBcEaU4o8teT1piV-SNzShjg/edit?gid=554141278#gid=554141278"", ""'Char Def. - Attributes'!C20:C2242""), 1,false)"),"WARNA_SFG")</f>
        <v>WARNA_SFG</v>
      </c>
      <c r="I2087" s="136"/>
    </row>
    <row r="2088" ht="15.75" customHeight="1">
      <c r="A2088" s="59"/>
      <c r="B2088" s="63">
        <f t="shared" si="1"/>
        <v>17</v>
      </c>
      <c r="C2088" s="134" t="s">
        <v>134</v>
      </c>
      <c r="D2088" s="134" t="s">
        <v>74</v>
      </c>
      <c r="E2088" s="135">
        <f t="shared" si="48"/>
        <v>12</v>
      </c>
      <c r="F2088" s="134" t="s">
        <v>3582</v>
      </c>
      <c r="G2088" s="63" t="str">
        <f>VLOOKUP(C2088, 'Class Def. - General Data'!$C$20:$C$1000,1,false)</f>
        <v>ZFG1_REEDDIFFUSER</v>
      </c>
      <c r="H2088" s="63" t="str">
        <f>IFERROR(__xludf.DUMMYFUNCTION("VLOOKUP(F2088, IMPORTRANGE(""https://docs.google.com/spreadsheets/d/1Lhp9OU0JdFf_VYSMzH5lBcEaU4o8teT1piV-SNzShjg/edit?gid=554141278#gid=554141278"", ""'Char Def. - Attributes'!C20:C2242""), 1,false)"),"BASE_UNIT")</f>
        <v>BASE_UNIT</v>
      </c>
      <c r="I2088" s="136"/>
    </row>
    <row r="2089" ht="15.75" customHeight="1">
      <c r="A2089" s="59"/>
      <c r="B2089" s="63">
        <f t="shared" si="1"/>
        <v>17</v>
      </c>
      <c r="C2089" s="134" t="s">
        <v>134</v>
      </c>
      <c r="D2089" s="134" t="s">
        <v>74</v>
      </c>
      <c r="E2089" s="135">
        <f t="shared" si="48"/>
        <v>13</v>
      </c>
      <c r="F2089" s="134" t="s">
        <v>3583</v>
      </c>
      <c r="G2089" s="63" t="str">
        <f>VLOOKUP(C2089, 'Class Def. - General Data'!$C$20:$C$1000,1,false)</f>
        <v>ZFG1_REEDDIFFUSER</v>
      </c>
      <c r="H2089" s="63" t="str">
        <f>IFERROR(__xludf.DUMMYFUNCTION("VLOOKUP(F2089, IMPORTRANGE(""https://docs.google.com/spreadsheets/d/1Lhp9OU0JdFf_VYSMzH5lBcEaU4o8teT1piV-SNzShjg/edit?gid=554141278#gid=554141278"", ""'Char Def. - Attributes'!C20:C2242""), 1,false)"),"SALES_UNIT")</f>
        <v>SALES_UNIT</v>
      </c>
      <c r="I2089" s="136"/>
    </row>
    <row r="2090" ht="15.75" customHeight="1">
      <c r="A2090" s="59"/>
      <c r="B2090" s="63">
        <f t="shared" si="1"/>
        <v>17</v>
      </c>
      <c r="C2090" s="134" t="s">
        <v>134</v>
      </c>
      <c r="D2090" s="134" t="s">
        <v>74</v>
      </c>
      <c r="E2090" s="135">
        <f t="shared" si="48"/>
        <v>14</v>
      </c>
      <c r="F2090" s="134" t="s">
        <v>3601</v>
      </c>
      <c r="G2090" s="63" t="str">
        <f>VLOOKUP(C2090, 'Class Def. - General Data'!$C$20:$C$1000,1,false)</f>
        <v>ZFG1_REEDDIFFUSER</v>
      </c>
      <c r="H2090" s="63" t="str">
        <f>IFERROR(__xludf.DUMMYFUNCTION("VLOOKUP(F2090, IMPORTRANGE(""https://docs.google.com/spreadsheets/d/1Lhp9OU0JdFf_VYSMzH5lBcEaU4o8teT1piV-SNzShjg/edit?gid=554141278#gid=554141278"", ""'Char Def. - Attributes'!C20:C2242""), 1,false)"),"GROSS_WEIGHT")</f>
        <v>GROSS_WEIGHT</v>
      </c>
      <c r="I2090" s="136"/>
    </row>
    <row r="2091" ht="15.75" customHeight="1">
      <c r="A2091" s="59"/>
      <c r="B2091" s="63">
        <f t="shared" si="1"/>
        <v>17</v>
      </c>
      <c r="C2091" s="134" t="s">
        <v>134</v>
      </c>
      <c r="D2091" s="134" t="s">
        <v>74</v>
      </c>
      <c r="E2091" s="135">
        <f t="shared" si="48"/>
        <v>15</v>
      </c>
      <c r="F2091" s="134" t="s">
        <v>3602</v>
      </c>
      <c r="G2091" s="63" t="str">
        <f>VLOOKUP(C2091, 'Class Def. - General Data'!$C$20:$C$1000,1,false)</f>
        <v>ZFG1_REEDDIFFUSER</v>
      </c>
      <c r="H2091" s="63" t="str">
        <f>IFERROR(__xludf.DUMMYFUNCTION("VLOOKUP(F2091, IMPORTRANGE(""https://docs.google.com/spreadsheets/d/1Lhp9OU0JdFf_VYSMzH5lBcEaU4o8teT1piV-SNzShjg/edit?gid=554141278#gid=554141278"", ""'Char Def. - Attributes'!C20:C2242""), 1,false)"),"NET_WEIGHT")</f>
        <v>NET_WEIGHT</v>
      </c>
      <c r="I2091" s="136"/>
    </row>
    <row r="2092" ht="15.75" customHeight="1">
      <c r="A2092" s="59"/>
      <c r="B2092" s="63">
        <f t="shared" si="1"/>
        <v>17</v>
      </c>
      <c r="C2092" s="134" t="s">
        <v>134</v>
      </c>
      <c r="D2092" s="134" t="s">
        <v>74</v>
      </c>
      <c r="E2092" s="135">
        <f t="shared" si="48"/>
        <v>16</v>
      </c>
      <c r="F2092" s="134" t="s">
        <v>3584</v>
      </c>
      <c r="G2092" s="63" t="str">
        <f>VLOOKUP(C2092, 'Class Def. - General Data'!$C$20:$C$1000,1,false)</f>
        <v>ZFG1_REEDDIFFUSER</v>
      </c>
      <c r="H2092" s="63" t="str">
        <f>IFERROR(__xludf.DUMMYFUNCTION("VLOOKUP(F2092, IMPORTRANGE(""https://docs.google.com/spreadsheets/d/1Lhp9OU0JdFf_VYSMzH5lBcEaU4o8teT1piV-SNzShjg/edit?gid=554141278#gid=554141278"", ""'Char Def. - Attributes'!C20:C2242""), 1,false)"),"UNIT_PER_BOX")</f>
        <v>UNIT_PER_BOX</v>
      </c>
      <c r="I2092" s="136"/>
    </row>
    <row r="2093" ht="15.75" customHeight="1">
      <c r="A2093" s="59"/>
      <c r="B2093" s="63">
        <f t="shared" si="1"/>
        <v>17</v>
      </c>
      <c r="C2093" s="134" t="s">
        <v>134</v>
      </c>
      <c r="D2093" s="134" t="s">
        <v>74</v>
      </c>
      <c r="E2093" s="135">
        <f t="shared" si="48"/>
        <v>17</v>
      </c>
      <c r="F2093" s="134" t="s">
        <v>3614</v>
      </c>
      <c r="G2093" s="63" t="str">
        <f>VLOOKUP(C2093, 'Class Def. - General Data'!$C$20:$C$1000,1,false)</f>
        <v>ZFG1_REEDDIFFUSER</v>
      </c>
      <c r="H2093" s="63" t="str">
        <f>IFERROR(__xludf.DUMMYFUNCTION("VLOOKUP(F2093, IMPORTRANGE(""https://docs.google.com/spreadsheets/d/1Lhp9OU0JdFf_VYSMzH5lBcEaU4o8teT1piV-SNzShjg/edit?gid=554141278#gid=554141278"", ""'Char Def. - Attributes'!C20:C2242""), 1,false)"),"UNIT_PER_CTN")</f>
        <v>UNIT_PER_CTN</v>
      </c>
      <c r="I2093" s="136"/>
    </row>
    <row r="2094" ht="15.75" customHeight="1">
      <c r="A2094" s="59"/>
      <c r="B2094" s="63">
        <f t="shared" si="1"/>
        <v>17</v>
      </c>
      <c r="C2094" s="134" t="s">
        <v>134</v>
      </c>
      <c r="D2094" s="134" t="s">
        <v>74</v>
      </c>
      <c r="E2094" s="135">
        <f t="shared" si="48"/>
        <v>18</v>
      </c>
      <c r="F2094" s="134" t="s">
        <v>3615</v>
      </c>
      <c r="G2094" s="63" t="str">
        <f>VLOOKUP(C2094, 'Class Def. - General Data'!$C$20:$C$1000,1,false)</f>
        <v>ZFG1_REEDDIFFUSER</v>
      </c>
      <c r="H2094" s="63" t="str">
        <f>IFERROR(__xludf.DUMMYFUNCTION("VLOOKUP(F2094, IMPORTRANGE(""https://docs.google.com/spreadsheets/d/1Lhp9OU0JdFf_VYSMzH5lBcEaU4o8teT1piV-SNzShjg/edit?gid=554141278#gid=554141278"", ""'Char Def. - Attributes'!C20:C2242""), 1,false)"),"UNIT_PER_BAG")</f>
        <v>UNIT_PER_BAG</v>
      </c>
      <c r="I2094" s="136"/>
    </row>
    <row r="2095" ht="15.75" customHeight="1">
      <c r="A2095" s="59"/>
      <c r="B2095" s="63">
        <f t="shared" si="1"/>
        <v>17</v>
      </c>
      <c r="C2095" s="134" t="s">
        <v>134</v>
      </c>
      <c r="D2095" s="134" t="s">
        <v>74</v>
      </c>
      <c r="E2095" s="135">
        <f t="shared" si="48"/>
        <v>19</v>
      </c>
      <c r="F2095" s="134" t="s">
        <v>3616</v>
      </c>
      <c r="G2095" s="63" t="str">
        <f>VLOOKUP(C2095, 'Class Def. - General Data'!$C$20:$C$1000,1,false)</f>
        <v>ZFG1_REEDDIFFUSER</v>
      </c>
      <c r="H2095" s="63" t="str">
        <f>IFERROR(__xludf.DUMMYFUNCTION("VLOOKUP(F2095, IMPORTRANGE(""https://docs.google.com/spreadsheets/d/1Lhp9OU0JdFf_VYSMzH5lBcEaU4o8teT1piV-SNzShjg/edit?gid=554141278#gid=554141278"", ""'Char Def. - Attributes'!C20:C2242""), 1,false)"),"UNIT_PER_PAL")</f>
        <v>UNIT_PER_PAL</v>
      </c>
      <c r="I2095" s="136"/>
    </row>
    <row r="2096" ht="15.75" customHeight="1">
      <c r="A2096" s="59"/>
      <c r="B2096" s="63">
        <f t="shared" si="1"/>
        <v>17</v>
      </c>
      <c r="C2096" s="134" t="s">
        <v>134</v>
      </c>
      <c r="D2096" s="134" t="s">
        <v>74</v>
      </c>
      <c r="E2096" s="135">
        <f t="shared" si="48"/>
        <v>20</v>
      </c>
      <c r="F2096" s="134" t="s">
        <v>3617</v>
      </c>
      <c r="G2096" s="63" t="str">
        <f>VLOOKUP(C2096, 'Class Def. - General Data'!$C$20:$C$1000,1,false)</f>
        <v>ZFG1_REEDDIFFUSER</v>
      </c>
      <c r="H2096" s="63" t="str">
        <f>IFERROR(__xludf.DUMMYFUNCTION("VLOOKUP(F2096, IMPORTRANGE(""https://docs.google.com/spreadsheets/d/1Lhp9OU0JdFf_VYSMzH5lBcEaU4o8teT1piV-SNzShjg/edit?gid=554141278#gid=554141278"", ""'Char Def. - Attributes'!C20:C2242""), 1,false)"),"UNIT_PER_TIER")</f>
        <v>UNIT_PER_TIER</v>
      </c>
      <c r="I2096" s="136"/>
    </row>
    <row r="2097" ht="15.75" customHeight="1">
      <c r="A2097" s="59"/>
      <c r="B2097" s="63">
        <f t="shared" si="1"/>
        <v>17</v>
      </c>
      <c r="C2097" s="134" t="s">
        <v>134</v>
      </c>
      <c r="D2097" s="134" t="s">
        <v>74</v>
      </c>
      <c r="E2097" s="135">
        <f t="shared" si="48"/>
        <v>21</v>
      </c>
      <c r="F2097" s="134" t="s">
        <v>3618</v>
      </c>
      <c r="G2097" s="63" t="str">
        <f>VLOOKUP(C2097, 'Class Def. - General Data'!$C$20:$C$1000,1,false)</f>
        <v>ZFG1_REEDDIFFUSER</v>
      </c>
      <c r="H2097" s="63" t="str">
        <f>IFERROR(__xludf.DUMMYFUNCTION("VLOOKUP(F2097, IMPORTRANGE(""https://docs.google.com/spreadsheets/d/1Lhp9OU0JdFf_VYSMzH5lBcEaU4o8teT1piV-SNzShjg/edit?gid=554141278#gid=554141278"", ""'Char Def. - Attributes'!C20:C2242""), 1,false)"),"HEIGHT")</f>
        <v>HEIGHT</v>
      </c>
      <c r="I2097" s="136"/>
    </row>
    <row r="2098" ht="15.75" customHeight="1">
      <c r="A2098" s="59"/>
      <c r="B2098" s="63">
        <f t="shared" si="1"/>
        <v>17</v>
      </c>
      <c r="C2098" s="134" t="s">
        <v>134</v>
      </c>
      <c r="D2098" s="134" t="s">
        <v>74</v>
      </c>
      <c r="E2098" s="135">
        <f t="shared" si="48"/>
        <v>22</v>
      </c>
      <c r="F2098" s="134" t="s">
        <v>3587</v>
      </c>
      <c r="G2098" s="63" t="str">
        <f>VLOOKUP(C2098, 'Class Def. - General Data'!$C$20:$C$1000,1,false)</f>
        <v>ZFG1_REEDDIFFUSER</v>
      </c>
      <c r="H2098" s="63" t="str">
        <f>IFERROR(__xludf.DUMMYFUNCTION("VLOOKUP(F2098, IMPORTRANGE(""https://docs.google.com/spreadsheets/d/1Lhp9OU0JdFf_VYSMzH5lBcEaU4o8teT1piV-SNzShjg/edit?gid=554141278#gid=554141278"", ""'Char Def. - Attributes'!C20:C2242""), 1,false)"),"PLANT_BUY")</f>
        <v>PLANT_BUY</v>
      </c>
      <c r="I2098" s="136"/>
    </row>
    <row r="2099" ht="15.75" customHeight="1">
      <c r="A2099" s="59"/>
      <c r="B2099" s="63">
        <f t="shared" si="1"/>
        <v>17</v>
      </c>
      <c r="C2099" s="134" t="s">
        <v>134</v>
      </c>
      <c r="D2099" s="134" t="s">
        <v>74</v>
      </c>
      <c r="E2099" s="135">
        <f t="shared" si="48"/>
        <v>23</v>
      </c>
      <c r="F2099" s="134" t="s">
        <v>3619</v>
      </c>
      <c r="G2099" s="63" t="str">
        <f>VLOOKUP(C2099, 'Class Def. - General Data'!$C$20:$C$1000,1,false)</f>
        <v>ZFG1_REEDDIFFUSER</v>
      </c>
      <c r="H2099" s="63" t="str">
        <f>IFERROR(__xludf.DUMMYFUNCTION("VLOOKUP(F2099, IMPORTRANGE(""https://docs.google.com/spreadsheets/d/1Lhp9OU0JdFf_VYSMzH5lBcEaU4o8teT1piV-SNzShjg/edit?gid=554141278#gid=554141278"", ""'Char Def. - Attributes'!C20:C2242""), 1,false)"),"LENGTH")</f>
        <v>LENGTH</v>
      </c>
      <c r="I2099" s="136"/>
    </row>
    <row r="2100" ht="15.75" customHeight="1">
      <c r="A2100" s="59"/>
      <c r="B2100" s="63">
        <f t="shared" si="1"/>
        <v>17</v>
      </c>
      <c r="C2100" s="134" t="s">
        <v>134</v>
      </c>
      <c r="D2100" s="134" t="s">
        <v>74</v>
      </c>
      <c r="E2100" s="135">
        <f t="shared" si="48"/>
        <v>24</v>
      </c>
      <c r="F2100" s="134" t="s">
        <v>3586</v>
      </c>
      <c r="G2100" s="63" t="str">
        <f>VLOOKUP(C2100, 'Class Def. - General Data'!$C$20:$C$1000,1,false)</f>
        <v>ZFG1_REEDDIFFUSER</v>
      </c>
      <c r="H2100" s="63" t="str">
        <f>IFERROR(__xludf.DUMMYFUNCTION("VLOOKUP(F2100, IMPORTRANGE(""https://docs.google.com/spreadsheets/d/1Lhp9OU0JdFf_VYSMzH5lBcEaU4o8teT1piV-SNzShjg/edit?gid=554141278#gid=554141278"", ""'Char Def. - Attributes'!C20:C2242""), 1,false)"),"PLANT_PROD")</f>
        <v>PLANT_PROD</v>
      </c>
      <c r="I2100" s="136"/>
    </row>
    <row r="2101" ht="15.75" customHeight="1">
      <c r="A2101" s="59"/>
      <c r="B2101" s="63">
        <f t="shared" si="1"/>
        <v>17</v>
      </c>
      <c r="C2101" s="134" t="s">
        <v>134</v>
      </c>
      <c r="D2101" s="134" t="s">
        <v>74</v>
      </c>
      <c r="E2101" s="135">
        <f t="shared" si="48"/>
        <v>25</v>
      </c>
      <c r="F2101" s="134" t="s">
        <v>3620</v>
      </c>
      <c r="G2101" s="63" t="str">
        <f>VLOOKUP(C2101, 'Class Def. - General Data'!$C$20:$C$1000,1,false)</f>
        <v>ZFG1_REEDDIFFUSER</v>
      </c>
      <c r="H2101" s="63" t="str">
        <f>IFERROR(__xludf.DUMMYFUNCTION("VLOOKUP(F2101, IMPORTRANGE(""https://docs.google.com/spreadsheets/d/1Lhp9OU0JdFf_VYSMzH5lBcEaU4o8teT1piV-SNzShjg/edit?gid=554141278#gid=554141278"", ""'Char Def. - Attributes'!C20:C2242""), 1,false)"),"WIDTH")</f>
        <v>WIDTH</v>
      </c>
      <c r="I2101" s="136"/>
    </row>
    <row r="2102" ht="15.75" customHeight="1">
      <c r="A2102" s="59"/>
      <c r="B2102" s="63">
        <f t="shared" si="1"/>
        <v>17</v>
      </c>
      <c r="C2102" s="134" t="s">
        <v>134</v>
      </c>
      <c r="D2102" s="134" t="s">
        <v>74</v>
      </c>
      <c r="E2102" s="135">
        <f t="shared" si="48"/>
        <v>26</v>
      </c>
      <c r="F2102" s="134" t="s">
        <v>3585</v>
      </c>
      <c r="G2102" s="63" t="str">
        <f>VLOOKUP(C2102, 'Class Def. - General Data'!$C$20:$C$1000,1,false)</f>
        <v>ZFG1_REEDDIFFUSER</v>
      </c>
      <c r="H2102" s="63" t="str">
        <f>IFERROR(__xludf.DUMMYFUNCTION("VLOOKUP(F2102, IMPORTRANGE(""https://docs.google.com/spreadsheets/d/1Lhp9OU0JdFf_VYSMzH5lBcEaU4o8teT1piV-SNzShjg/edit?gid=554141278#gid=554141278"", ""'Char Def. - Attributes'!C20:C2242""), 1,false)"),"HS_CODE")</f>
        <v>HS_CODE</v>
      </c>
      <c r="I2102" s="136"/>
    </row>
    <row r="2103" ht="15.75" customHeight="1">
      <c r="A2103" s="59"/>
      <c r="B2103" s="63">
        <f t="shared" si="1"/>
        <v>17</v>
      </c>
      <c r="C2103" s="134" t="s">
        <v>134</v>
      </c>
      <c r="D2103" s="134" t="s">
        <v>74</v>
      </c>
      <c r="E2103" s="135">
        <f t="shared" si="48"/>
        <v>27</v>
      </c>
      <c r="F2103" s="134" t="s">
        <v>3621</v>
      </c>
      <c r="G2103" s="63" t="str">
        <f>VLOOKUP(C2103, 'Class Def. - General Data'!$C$20:$C$1000,1,false)</f>
        <v>ZFG1_REEDDIFFUSER</v>
      </c>
      <c r="H2103" s="63" t="str">
        <f>IFERROR(__xludf.DUMMYFUNCTION("VLOOKUP(F2103, IMPORTRANGE(""https://docs.google.com/spreadsheets/d/1Lhp9OU0JdFf_VYSMzH5lBcEaU4o8teT1piV-SNzShjg/edit?gid=554141278#gid=554141278"", ""'Char Def. - Attributes'!C20:C2242""), 1,false)"),"EAN_PCS")</f>
        <v>EAN_PCS</v>
      </c>
      <c r="I2103" s="136"/>
    </row>
    <row r="2104" ht="15.75" customHeight="1">
      <c r="A2104" s="59"/>
      <c r="B2104" s="63">
        <f t="shared" si="1"/>
        <v>17</v>
      </c>
      <c r="C2104" s="134" t="s">
        <v>134</v>
      </c>
      <c r="D2104" s="134" t="s">
        <v>74</v>
      </c>
      <c r="E2104" s="135">
        <f t="shared" si="48"/>
        <v>28</v>
      </c>
      <c r="F2104" s="134" t="s">
        <v>3622</v>
      </c>
      <c r="G2104" s="63" t="str">
        <f>VLOOKUP(C2104, 'Class Def. - General Data'!$C$20:$C$1000,1,false)</f>
        <v>ZFG1_REEDDIFFUSER</v>
      </c>
      <c r="H2104" s="63" t="str">
        <f>IFERROR(__xludf.DUMMYFUNCTION("VLOOKUP(F2104, IMPORTRANGE(""https://docs.google.com/spreadsheets/d/1Lhp9OU0JdFf_VYSMzH5lBcEaU4o8teT1piV-SNzShjg/edit?gid=554141278#gid=554141278"", ""'Char Def. - Attributes'!C20:C2242""), 1,false)"),"SFG_BRAND")</f>
        <v>SFG_BRAND</v>
      </c>
      <c r="I2104" s="136"/>
    </row>
    <row r="2105" ht="15.75" customHeight="1">
      <c r="A2105" s="59"/>
      <c r="B2105" s="63">
        <f t="shared" si="1"/>
        <v>17</v>
      </c>
      <c r="C2105" s="134" t="s">
        <v>134</v>
      </c>
      <c r="D2105" s="134" t="s">
        <v>74</v>
      </c>
      <c r="E2105" s="135">
        <f t="shared" si="48"/>
        <v>29</v>
      </c>
      <c r="F2105" s="134" t="s">
        <v>3623</v>
      </c>
      <c r="G2105" s="63" t="str">
        <f>VLOOKUP(C2105, 'Class Def. - General Data'!$C$20:$C$1000,1,false)</f>
        <v>ZFG1_REEDDIFFUSER</v>
      </c>
      <c r="H2105" s="63" t="str">
        <f>IFERROR(__xludf.DUMMYFUNCTION("VLOOKUP(F2105, IMPORTRANGE(""https://docs.google.com/spreadsheets/d/1Lhp9OU0JdFf_VYSMzH5lBcEaU4o8teT1piV-SNzShjg/edit?gid=554141278#gid=554141278"", ""'Char Def. - Attributes'!C20:C2242""), 1,false)"),"LANGUAGE")</f>
        <v>LANGUAGE</v>
      </c>
      <c r="I2105" s="136"/>
    </row>
    <row r="2106" ht="15.75" customHeight="1">
      <c r="A2106" s="59"/>
      <c r="B2106" s="63">
        <f t="shared" si="1"/>
        <v>17</v>
      </c>
      <c r="C2106" s="139" t="s">
        <v>134</v>
      </c>
      <c r="D2106" s="139" t="s">
        <v>74</v>
      </c>
      <c r="E2106" s="140">
        <f t="shared" si="48"/>
        <v>30</v>
      </c>
      <c r="F2106" s="134" t="s">
        <v>3624</v>
      </c>
      <c r="G2106" s="63" t="str">
        <f>VLOOKUP(C2106, 'Class Def. - General Data'!$C$20:$C$1000,1,false)</f>
        <v>ZFG1_REEDDIFFUSER</v>
      </c>
      <c r="H2106" s="63" t="str">
        <f>IFERROR(__xludf.DUMMYFUNCTION("VLOOKUP(F2106, IMPORTRANGE(""https://docs.google.com/spreadsheets/d/1Lhp9OU0JdFf_VYSMzH5lBcEaU4o8teT1piV-SNzShjg/edit?gid=554141278#gid=554141278"", ""'Char Def. - Attributes'!C20:C2242""), 1,false)"),"#N/A")</f>
        <v>#N/A</v>
      </c>
      <c r="I2106" s="136"/>
    </row>
    <row r="2107" ht="15.75" customHeight="1">
      <c r="A2107" s="59"/>
      <c r="B2107" s="63">
        <f t="shared" si="1"/>
        <v>17</v>
      </c>
      <c r="C2107" s="134" t="s">
        <v>134</v>
      </c>
      <c r="D2107" s="134" t="s">
        <v>74</v>
      </c>
      <c r="E2107" s="135">
        <f t="shared" si="48"/>
        <v>31</v>
      </c>
      <c r="F2107" s="134" t="s">
        <v>3625</v>
      </c>
      <c r="G2107" s="63" t="str">
        <f>VLOOKUP(C2107, 'Class Def. - General Data'!$C$20:$C$1000,1,false)</f>
        <v>ZFG1_REEDDIFFUSER</v>
      </c>
      <c r="H2107" s="63" t="str">
        <f>IFERROR(__xludf.DUMMYFUNCTION("VLOOKUP(F2107, IMPORTRANGE(""https://docs.google.com/spreadsheets/d/1Lhp9OU0JdFf_VYSMzH5lBcEaU4o8teT1piV-SNzShjg/edit?gid=554141278#gid=554141278"", ""'Char Def. - Attributes'!C20:C2242""), 1,false)"),"REGION_EKSPOR")</f>
        <v>REGION_EKSPOR</v>
      </c>
      <c r="I2107" s="136"/>
    </row>
    <row r="2108" ht="15.75" customHeight="1">
      <c r="A2108" s="59"/>
      <c r="B2108" s="63">
        <f t="shared" si="1"/>
        <v>17</v>
      </c>
      <c r="C2108" s="134" t="s">
        <v>134</v>
      </c>
      <c r="D2108" s="134" t="s">
        <v>74</v>
      </c>
      <c r="E2108" s="135">
        <f t="shared" si="48"/>
        <v>32</v>
      </c>
      <c r="F2108" s="134" t="s">
        <v>3626</v>
      </c>
      <c r="G2108" s="63" t="str">
        <f>VLOOKUP(C2108, 'Class Def. - General Data'!$C$20:$C$1000,1,false)</f>
        <v>ZFG1_REEDDIFFUSER</v>
      </c>
      <c r="H2108" s="63" t="str">
        <f>IFERROR(__xludf.DUMMYFUNCTION("VLOOKUP(F2108, IMPORTRANGE(""https://docs.google.com/spreadsheets/d/1Lhp9OU0JdFf_VYSMzH5lBcEaU4o8teT1piV-SNzShjg/edit?gid=554141278#gid=554141278"", ""'Char Def. - Attributes'!C20:C2242""), 1,false)"),"STICKER_NOT")</f>
        <v>STICKER_NOT</v>
      </c>
      <c r="I2108" s="136"/>
    </row>
    <row r="2109" ht="15.75" customHeight="1">
      <c r="A2109" s="59"/>
      <c r="B2109" s="63">
        <f t="shared" si="1"/>
        <v>17</v>
      </c>
      <c r="C2109" s="134" t="s">
        <v>134</v>
      </c>
      <c r="D2109" s="134" t="s">
        <v>74</v>
      </c>
      <c r="E2109" s="135">
        <f t="shared" si="48"/>
        <v>33</v>
      </c>
      <c r="F2109" s="134" t="s">
        <v>3627</v>
      </c>
      <c r="G2109" s="63" t="str">
        <f>VLOOKUP(C2109, 'Class Def. - General Data'!$C$20:$C$1000,1,false)</f>
        <v>ZFG1_REEDDIFFUSER</v>
      </c>
      <c r="H2109" s="63" t="str">
        <f>IFERROR(__xludf.DUMMYFUNCTION("VLOOKUP(F2109, IMPORTRANGE(""https://docs.google.com/spreadsheets/d/1Lhp9OU0JdFf_VYSMzH5lBcEaU4o8teT1piV-SNzShjg/edit?gid=554141278#gid=554141278"", ""'Char Def. - Attributes'!C20:C2242""), 1,false)"),"SHIP_MARK")</f>
        <v>SHIP_MARK</v>
      </c>
      <c r="I2109" s="136"/>
    </row>
    <row r="2110" ht="15.75" customHeight="1">
      <c r="A2110" s="59"/>
      <c r="B2110" s="63">
        <f t="shared" si="1"/>
        <v>17</v>
      </c>
      <c r="C2110" s="134" t="s">
        <v>134</v>
      </c>
      <c r="D2110" s="134" t="s">
        <v>74</v>
      </c>
      <c r="E2110" s="135">
        <f t="shared" si="48"/>
        <v>34</v>
      </c>
      <c r="F2110" s="134" t="s">
        <v>3628</v>
      </c>
      <c r="G2110" s="63" t="str">
        <f>VLOOKUP(C2110, 'Class Def. - General Data'!$C$20:$C$1000,1,false)</f>
        <v>ZFG1_REEDDIFFUSER</v>
      </c>
      <c r="H2110" s="63" t="str">
        <f>IFERROR(__xludf.DUMMYFUNCTION("VLOOKUP(F2110, IMPORTRANGE(""https://docs.google.com/spreadsheets/d/1Lhp9OU0JdFf_VYSMzH5lBcEaU4o8teT1piV-SNzShjg/edit?gid=554141278#gid=554141278"", ""'Char Def. - Attributes'!C20:C2242""), 1,false)"),"MID_CORE")</f>
        <v>MID_CORE</v>
      </c>
      <c r="I2110" s="136"/>
    </row>
    <row r="2111" ht="15.75" customHeight="1">
      <c r="A2111" s="59"/>
      <c r="B2111" s="63">
        <f t="shared" si="1"/>
        <v>17</v>
      </c>
      <c r="C2111" s="134" t="s">
        <v>134</v>
      </c>
      <c r="D2111" s="134" t="s">
        <v>74</v>
      </c>
      <c r="E2111" s="135">
        <f t="shared" si="48"/>
        <v>35</v>
      </c>
      <c r="F2111" s="134" t="s">
        <v>3629</v>
      </c>
      <c r="G2111" s="63" t="str">
        <f>VLOOKUP(C2111, 'Class Def. - General Data'!$C$20:$C$1000,1,false)</f>
        <v>ZFG1_REEDDIFFUSER</v>
      </c>
      <c r="H2111" s="63" t="str">
        <f>IFERROR(__xludf.DUMMYFUNCTION("VLOOKUP(F2111, IMPORTRANGE(""https://docs.google.com/spreadsheets/d/1Lhp9OU0JdFf_VYSMzH5lBcEaU4o8teT1piV-SNzShjg/edit?gid=554141278#gid=554141278"", ""'Char Def. - Attributes'!C20:C2242""), 1,false)"),"EAN_CTN")</f>
        <v>EAN_CTN</v>
      </c>
      <c r="I2111" s="136"/>
    </row>
    <row r="2112" ht="15.75" customHeight="1">
      <c r="A2112" s="59"/>
      <c r="B2112" s="63">
        <f t="shared" si="1"/>
        <v>17</v>
      </c>
      <c r="C2112" s="134" t="s">
        <v>134</v>
      </c>
      <c r="D2112" s="134" t="s">
        <v>74</v>
      </c>
      <c r="E2112" s="135">
        <f t="shared" si="48"/>
        <v>36</v>
      </c>
      <c r="F2112" s="134" t="s">
        <v>3630</v>
      </c>
      <c r="G2112" s="63" t="str">
        <f>VLOOKUP(C2112, 'Class Def. - General Data'!$C$20:$C$1000,1,false)</f>
        <v>ZFG1_REEDDIFFUSER</v>
      </c>
      <c r="H2112" s="63" t="str">
        <f>IFERROR(__xludf.DUMMYFUNCTION("VLOOKUP(F2112, IMPORTRANGE(""https://docs.google.com/spreadsheets/d/1Lhp9OU0JdFf_VYSMzH5lBcEaU4o8teT1piV-SNzShjg/edit?gid=554141278#gid=554141278"", ""'Char Def. - Attributes'!C20:C2242""), 1,false)"),"EAN_BOX")</f>
        <v>EAN_BOX</v>
      </c>
      <c r="I2112" s="136"/>
    </row>
    <row r="2113" ht="15.75" customHeight="1">
      <c r="A2113" s="59"/>
      <c r="B2113" s="63">
        <f t="shared" si="1"/>
        <v>17</v>
      </c>
      <c r="C2113" s="134" t="s">
        <v>134</v>
      </c>
      <c r="D2113" s="141" t="s">
        <v>74</v>
      </c>
      <c r="E2113" s="135">
        <v>22.0</v>
      </c>
      <c r="F2113" s="135" t="s">
        <v>3603</v>
      </c>
      <c r="G2113" s="63" t="str">
        <f>VLOOKUP(C2113, 'Class Def. - General Data'!$C$20:$C$1000,1,false)</f>
        <v>ZFG1_REEDDIFFUSER</v>
      </c>
      <c r="I2113" s="136"/>
    </row>
    <row r="2114" ht="15.75" customHeight="1">
      <c r="A2114" s="59"/>
      <c r="B2114" s="63">
        <f t="shared" si="1"/>
        <v>16</v>
      </c>
      <c r="C2114" s="134" t="s">
        <v>135</v>
      </c>
      <c r="D2114" s="134" t="s">
        <v>74</v>
      </c>
      <c r="E2114" s="135">
        <f t="shared" ref="E2114:E2149" si="49">COUNTIF($C$20:C2114,C2114)</f>
        <v>1</v>
      </c>
      <c r="F2114" s="134" t="s">
        <v>3748</v>
      </c>
      <c r="G2114" s="63" t="str">
        <f>VLOOKUP(C2114, 'Class Def. - General Data'!$C$20:$C$1000,1,false)</f>
        <v>ZFG1_SANITARYGEL</v>
      </c>
      <c r="H2114" s="63" t="str">
        <f>IFERROR(__xludf.DUMMYFUNCTION("VLOOKUP(F2114, IMPORTRANGE(""https://docs.google.com/spreadsheets/d/1Lhp9OU0JdFf_VYSMzH5lBcEaU4o8teT1piV-SNzShjg/edit?gid=554141278#gid=554141278"", ""'Char Def. - Attributes'!C20:C2242""), 1,false)"),"BRAND_SANITARYGEL")</f>
        <v>BRAND_SANITARYGEL</v>
      </c>
      <c r="I2114" s="136"/>
    </row>
    <row r="2115" ht="15.75" customHeight="1">
      <c r="A2115" s="59"/>
      <c r="B2115" s="63">
        <f t="shared" si="1"/>
        <v>16</v>
      </c>
      <c r="C2115" s="135" t="s">
        <v>135</v>
      </c>
      <c r="D2115" s="134" t="s">
        <v>74</v>
      </c>
      <c r="E2115" s="135">
        <f t="shared" si="49"/>
        <v>2</v>
      </c>
      <c r="F2115" s="134" t="s">
        <v>3749</v>
      </c>
      <c r="G2115" s="63" t="str">
        <f>VLOOKUP(C2115, 'Class Def. - General Data'!$C$20:$C$1000,1,false)</f>
        <v>ZFG1_SANITARYGEL</v>
      </c>
      <c r="H2115" s="63" t="str">
        <f>IFERROR(__xludf.DUMMYFUNCTION("VLOOKUP(F2115, IMPORTRANGE(""https://docs.google.com/spreadsheets/d/1Lhp9OU0JdFf_VYSMzH5lBcEaU4o8teT1piV-SNzShjg/edit?gid=554141278#gid=554141278"", ""'Char Def. - Attributes'!C20:C2242""), 1,false)"),"PSHAPE_SANITARYGEL")</f>
        <v>PSHAPE_SANITARYGEL</v>
      </c>
      <c r="I2115" s="136"/>
    </row>
    <row r="2116" ht="15.75" customHeight="1">
      <c r="A2116" s="59"/>
      <c r="B2116" s="63">
        <f t="shared" si="1"/>
        <v>16</v>
      </c>
      <c r="C2116" s="134" t="s">
        <v>135</v>
      </c>
      <c r="D2116" s="134" t="s">
        <v>74</v>
      </c>
      <c r="E2116" s="135">
        <f t="shared" si="49"/>
        <v>3</v>
      </c>
      <c r="F2116" s="134" t="s">
        <v>3605</v>
      </c>
      <c r="G2116" s="63" t="str">
        <f>VLOOKUP(C2116, 'Class Def. - General Data'!$C$20:$C$1000,1,false)</f>
        <v>ZFG1_SANITARYGEL</v>
      </c>
      <c r="H2116" s="63" t="str">
        <f>IFERROR(__xludf.DUMMYFUNCTION("VLOOKUP(F2116, IMPORTRANGE(""https://docs.google.com/spreadsheets/d/1Lhp9OU0JdFf_VYSMzH5lBcEaU4o8teT1piV-SNzShjg/edit?gid=554141278#gid=554141278"", ""'Char Def. - Attributes'!C20:C2242""), 1,false)"),"PACK_NETTO")</f>
        <v>PACK_NETTO</v>
      </c>
      <c r="I2116" s="136"/>
    </row>
    <row r="2117" ht="15.75" customHeight="1">
      <c r="A2117" s="59"/>
      <c r="B2117" s="63">
        <f t="shared" si="1"/>
        <v>16</v>
      </c>
      <c r="C2117" s="135" t="s">
        <v>135</v>
      </c>
      <c r="D2117" s="134" t="s">
        <v>74</v>
      </c>
      <c r="E2117" s="135">
        <f t="shared" si="49"/>
        <v>4</v>
      </c>
      <c r="F2117" s="134" t="s">
        <v>3750</v>
      </c>
      <c r="G2117" s="63" t="str">
        <f>VLOOKUP(C2117, 'Class Def. - General Data'!$C$20:$C$1000,1,false)</f>
        <v>ZFG1_SANITARYGEL</v>
      </c>
      <c r="H2117" s="63" t="str">
        <f>IFERROR(__xludf.DUMMYFUNCTION("VLOOKUP(F2117, IMPORTRANGE(""https://docs.google.com/spreadsheets/d/1Lhp9OU0JdFf_VYSMzH5lBcEaU4o8teT1piV-SNzShjg/edit?gid=554141278#gid=554141278"", ""'Char Def. - Attributes'!C20:C2242""), 1,false)"),"PUOM_SANITARYGEL")</f>
        <v>PUOM_SANITARYGEL</v>
      </c>
      <c r="I2117" s="136"/>
    </row>
    <row r="2118" ht="15.75" customHeight="1">
      <c r="A2118" s="59"/>
      <c r="B2118" s="63">
        <f t="shared" si="1"/>
        <v>16</v>
      </c>
      <c r="C2118" s="134" t="s">
        <v>135</v>
      </c>
      <c r="D2118" s="134" t="s">
        <v>74</v>
      </c>
      <c r="E2118" s="135">
        <f t="shared" si="49"/>
        <v>5</v>
      </c>
      <c r="F2118" s="134" t="s">
        <v>3607</v>
      </c>
      <c r="G2118" s="63" t="str">
        <f>VLOOKUP(C2118, 'Class Def. - General Data'!$C$20:$C$1000,1,false)</f>
        <v>ZFG1_SANITARYGEL</v>
      </c>
      <c r="H2118" s="63" t="str">
        <f>IFERROR(__xludf.DUMMYFUNCTION("VLOOKUP(F2118, IMPORTRANGE(""https://docs.google.com/spreadsheets/d/1Lhp9OU0JdFf_VYSMzH5lBcEaU4o8teT1piV-SNzShjg/edit?gid=554141278#gid=554141278"", ""'Char Def. - Attributes'!C20:C2242""), 1,false)"),"VARIAN")</f>
        <v>VARIAN</v>
      </c>
      <c r="I2118" s="136"/>
    </row>
    <row r="2119" ht="15.75" customHeight="1">
      <c r="A2119" s="59"/>
      <c r="B2119" s="63">
        <f t="shared" si="1"/>
        <v>16</v>
      </c>
      <c r="C2119" s="134" t="s">
        <v>135</v>
      </c>
      <c r="D2119" s="134" t="s">
        <v>74</v>
      </c>
      <c r="E2119" s="135">
        <f t="shared" si="49"/>
        <v>6</v>
      </c>
      <c r="F2119" s="134" t="s">
        <v>3608</v>
      </c>
      <c r="G2119" s="63" t="str">
        <f>VLOOKUP(C2119, 'Class Def. - General Data'!$C$20:$C$1000,1,false)</f>
        <v>ZFG1_SANITARYGEL</v>
      </c>
      <c r="H2119" s="63" t="str">
        <f>IFERROR(__xludf.DUMMYFUNCTION("VLOOKUP(F2119, IMPORTRANGE(""https://docs.google.com/spreadsheets/d/1Lhp9OU0JdFf_VYSMzH5lBcEaU4o8teT1piV-SNzShjg/edit?gid=554141278#gid=554141278"", ""'Char Def. - Attributes'!C20:C2242""), 1,false)"),"PROJECT_NAME")</f>
        <v>PROJECT_NAME</v>
      </c>
      <c r="I2119" s="136"/>
    </row>
    <row r="2120" ht="15.75" customHeight="1">
      <c r="A2120" s="59"/>
      <c r="B2120" s="63">
        <f t="shared" si="1"/>
        <v>16</v>
      </c>
      <c r="C2120" s="134" t="s">
        <v>135</v>
      </c>
      <c r="D2120" s="134" t="s">
        <v>74</v>
      </c>
      <c r="E2120" s="135">
        <f t="shared" si="49"/>
        <v>7</v>
      </c>
      <c r="F2120" s="134" t="s">
        <v>3609</v>
      </c>
      <c r="G2120" s="63" t="str">
        <f>VLOOKUP(C2120, 'Class Def. - General Data'!$C$20:$C$1000,1,false)</f>
        <v>ZFG1_SANITARYGEL</v>
      </c>
      <c r="H2120" s="63" t="str">
        <f>IFERROR(__xludf.DUMMYFUNCTION("VLOOKUP(F2120, IMPORTRANGE(""https://docs.google.com/spreadsheets/d/1Lhp9OU0JdFf_VYSMzH5lBcEaU4o8teT1piV-SNzShjg/edit?gid=554141278#gid=554141278"", ""'Char Def. - Attributes'!C20:C2242""), 1,false)"),"ADDITIONAL_PROMO")</f>
        <v>ADDITIONAL_PROMO</v>
      </c>
      <c r="I2120" s="136"/>
    </row>
    <row r="2121" ht="15.75" customHeight="1">
      <c r="A2121" s="59"/>
      <c r="B2121" s="63">
        <f t="shared" si="1"/>
        <v>16</v>
      </c>
      <c r="C2121" s="134" t="s">
        <v>135</v>
      </c>
      <c r="D2121" s="134" t="s">
        <v>74</v>
      </c>
      <c r="E2121" s="135">
        <f t="shared" si="49"/>
        <v>8</v>
      </c>
      <c r="F2121" s="134" t="s">
        <v>3610</v>
      </c>
      <c r="G2121" s="63" t="str">
        <f>VLOOKUP(C2121, 'Class Def. - General Data'!$C$20:$C$1000,1,false)</f>
        <v>ZFG1_SANITARYGEL</v>
      </c>
      <c r="H2121" s="63" t="str">
        <f>IFERROR(__xludf.DUMMYFUNCTION("VLOOKUP(F2121, IMPORTRANGE(""https://docs.google.com/spreadsheets/d/1Lhp9OU0JdFf_VYSMzH5lBcEaU4o8teT1piV-SNzShjg/edit?gid=554141278#gid=554141278"", ""'Char Def. - Attributes'!C20:C2242""), 1,false)"),"BANDED_PROMO")</f>
        <v>BANDED_PROMO</v>
      </c>
      <c r="I2121" s="136"/>
    </row>
    <row r="2122" ht="15.75" customHeight="1">
      <c r="A2122" s="59"/>
      <c r="B2122" s="63">
        <f t="shared" si="1"/>
        <v>16</v>
      </c>
      <c r="C2122" s="134" t="s">
        <v>135</v>
      </c>
      <c r="D2122" s="134" t="s">
        <v>74</v>
      </c>
      <c r="E2122" s="135">
        <f t="shared" si="49"/>
        <v>9</v>
      </c>
      <c r="F2122" s="134" t="s">
        <v>3611</v>
      </c>
      <c r="G2122" s="63" t="str">
        <f>VLOOKUP(C2122, 'Class Def. - General Data'!$C$20:$C$1000,1,false)</f>
        <v>ZFG1_SANITARYGEL</v>
      </c>
      <c r="H2122" s="63" t="str">
        <f>IFERROR(__xludf.DUMMYFUNCTION("VLOOKUP(F2122, IMPORTRANGE(""https://docs.google.com/spreadsheets/d/1Lhp9OU0JdFf_VYSMzH5lBcEaU4o8teT1piV-SNzShjg/edit?gid=554141278#gid=554141278"", ""'Char Def. - Attributes'!C20:C2242""), 1,false)"),"LOKAL_EKSPOR")</f>
        <v>LOKAL_EKSPOR</v>
      </c>
      <c r="I2122" s="136"/>
    </row>
    <row r="2123" ht="15.75" customHeight="1">
      <c r="A2123" s="59"/>
      <c r="B2123" s="63">
        <f t="shared" si="1"/>
        <v>16</v>
      </c>
      <c r="C2123" s="134" t="s">
        <v>135</v>
      </c>
      <c r="D2123" s="134" t="s">
        <v>74</v>
      </c>
      <c r="E2123" s="135">
        <f t="shared" si="49"/>
        <v>10</v>
      </c>
      <c r="F2123" s="134" t="s">
        <v>3612</v>
      </c>
      <c r="G2123" s="63" t="str">
        <f>VLOOKUP(C2123, 'Class Def. - General Data'!$C$20:$C$1000,1,false)</f>
        <v>ZFG1_SANITARYGEL</v>
      </c>
      <c r="H2123" s="63" t="str">
        <f>IFERROR(__xludf.DUMMYFUNCTION("VLOOKUP(F2123, IMPORTRANGE(""https://docs.google.com/spreadsheets/d/1Lhp9OU0JdFf_VYSMzH5lBcEaU4o8teT1piV-SNzShjg/edit?gid=554141278#gid=554141278"", ""'Char Def. - Attributes'!C20:C2242""), 1,false)"),"COUNTRY_EKSPOR")</f>
        <v>COUNTRY_EKSPOR</v>
      </c>
      <c r="I2123" s="136"/>
    </row>
    <row r="2124" ht="15.75" customHeight="1">
      <c r="A2124" s="59"/>
      <c r="B2124" s="63">
        <f t="shared" si="1"/>
        <v>16</v>
      </c>
      <c r="C2124" s="134" t="s">
        <v>135</v>
      </c>
      <c r="D2124" s="134" t="s">
        <v>74</v>
      </c>
      <c r="E2124" s="135">
        <f t="shared" si="49"/>
        <v>11</v>
      </c>
      <c r="F2124" s="134" t="s">
        <v>3613</v>
      </c>
      <c r="G2124" s="63" t="str">
        <f>VLOOKUP(C2124, 'Class Def. - General Data'!$C$20:$C$1000,1,false)</f>
        <v>ZFG1_SANITARYGEL</v>
      </c>
      <c r="H2124" s="63" t="str">
        <f>IFERROR(__xludf.DUMMYFUNCTION("VLOOKUP(F2124, IMPORTRANGE(""https://docs.google.com/spreadsheets/d/1Lhp9OU0JdFf_VYSMzH5lBcEaU4o8teT1piV-SNzShjg/edit?gid=554141278#gid=554141278"", ""'Char Def. - Attributes'!C20:C2242""), 1,false)"),"WARNA_SFG")</f>
        <v>WARNA_SFG</v>
      </c>
      <c r="I2124" s="136"/>
    </row>
    <row r="2125" ht="15.75" customHeight="1">
      <c r="A2125" s="59"/>
      <c r="B2125" s="63">
        <f t="shared" si="1"/>
        <v>16</v>
      </c>
      <c r="C2125" s="134" t="s">
        <v>135</v>
      </c>
      <c r="D2125" s="134" t="s">
        <v>74</v>
      </c>
      <c r="E2125" s="135">
        <f t="shared" si="49"/>
        <v>12</v>
      </c>
      <c r="F2125" s="134" t="s">
        <v>3582</v>
      </c>
      <c r="G2125" s="63" t="str">
        <f>VLOOKUP(C2125, 'Class Def. - General Data'!$C$20:$C$1000,1,false)</f>
        <v>ZFG1_SANITARYGEL</v>
      </c>
      <c r="H2125" s="63" t="str">
        <f>IFERROR(__xludf.DUMMYFUNCTION("VLOOKUP(F2125, IMPORTRANGE(""https://docs.google.com/spreadsheets/d/1Lhp9OU0JdFf_VYSMzH5lBcEaU4o8teT1piV-SNzShjg/edit?gid=554141278#gid=554141278"", ""'Char Def. - Attributes'!C20:C2242""), 1,false)"),"BASE_UNIT")</f>
        <v>BASE_UNIT</v>
      </c>
      <c r="I2125" s="136"/>
    </row>
    <row r="2126" ht="15.75" customHeight="1">
      <c r="A2126" s="59"/>
      <c r="B2126" s="63">
        <f t="shared" si="1"/>
        <v>16</v>
      </c>
      <c r="C2126" s="134" t="s">
        <v>135</v>
      </c>
      <c r="D2126" s="134" t="s">
        <v>74</v>
      </c>
      <c r="E2126" s="135">
        <f t="shared" si="49"/>
        <v>13</v>
      </c>
      <c r="F2126" s="134" t="s">
        <v>3583</v>
      </c>
      <c r="G2126" s="63" t="str">
        <f>VLOOKUP(C2126, 'Class Def. - General Data'!$C$20:$C$1000,1,false)</f>
        <v>ZFG1_SANITARYGEL</v>
      </c>
      <c r="H2126" s="63" t="str">
        <f>IFERROR(__xludf.DUMMYFUNCTION("VLOOKUP(F2126, IMPORTRANGE(""https://docs.google.com/spreadsheets/d/1Lhp9OU0JdFf_VYSMzH5lBcEaU4o8teT1piV-SNzShjg/edit?gid=554141278#gid=554141278"", ""'Char Def. - Attributes'!C20:C2242""), 1,false)"),"SALES_UNIT")</f>
        <v>SALES_UNIT</v>
      </c>
      <c r="I2126" s="136"/>
    </row>
    <row r="2127" ht="15.75" customHeight="1">
      <c r="A2127" s="59"/>
      <c r="B2127" s="63">
        <f t="shared" si="1"/>
        <v>16</v>
      </c>
      <c r="C2127" s="134" t="s">
        <v>135</v>
      </c>
      <c r="D2127" s="134" t="s">
        <v>74</v>
      </c>
      <c r="E2127" s="135">
        <f t="shared" si="49"/>
        <v>14</v>
      </c>
      <c r="F2127" s="134" t="s">
        <v>3601</v>
      </c>
      <c r="G2127" s="63" t="str">
        <f>VLOOKUP(C2127, 'Class Def. - General Data'!$C$20:$C$1000,1,false)</f>
        <v>ZFG1_SANITARYGEL</v>
      </c>
      <c r="H2127" s="63" t="str">
        <f>IFERROR(__xludf.DUMMYFUNCTION("VLOOKUP(F2127, IMPORTRANGE(""https://docs.google.com/spreadsheets/d/1Lhp9OU0JdFf_VYSMzH5lBcEaU4o8teT1piV-SNzShjg/edit?gid=554141278#gid=554141278"", ""'Char Def. - Attributes'!C20:C2242""), 1,false)"),"GROSS_WEIGHT")</f>
        <v>GROSS_WEIGHT</v>
      </c>
      <c r="I2127" s="136"/>
    </row>
    <row r="2128" ht="15.75" customHeight="1">
      <c r="A2128" s="59"/>
      <c r="B2128" s="63">
        <f t="shared" si="1"/>
        <v>16</v>
      </c>
      <c r="C2128" s="134" t="s">
        <v>135</v>
      </c>
      <c r="D2128" s="134" t="s">
        <v>74</v>
      </c>
      <c r="E2128" s="135">
        <f t="shared" si="49"/>
        <v>15</v>
      </c>
      <c r="F2128" s="134" t="s">
        <v>3602</v>
      </c>
      <c r="G2128" s="63" t="str">
        <f>VLOOKUP(C2128, 'Class Def. - General Data'!$C$20:$C$1000,1,false)</f>
        <v>ZFG1_SANITARYGEL</v>
      </c>
      <c r="H2128" s="63" t="str">
        <f>IFERROR(__xludf.DUMMYFUNCTION("VLOOKUP(F2128, IMPORTRANGE(""https://docs.google.com/spreadsheets/d/1Lhp9OU0JdFf_VYSMzH5lBcEaU4o8teT1piV-SNzShjg/edit?gid=554141278#gid=554141278"", ""'Char Def. - Attributes'!C20:C2242""), 1,false)"),"NET_WEIGHT")</f>
        <v>NET_WEIGHT</v>
      </c>
      <c r="I2128" s="136"/>
    </row>
    <row r="2129" ht="15.75" customHeight="1">
      <c r="A2129" s="59"/>
      <c r="B2129" s="63">
        <f t="shared" si="1"/>
        <v>16</v>
      </c>
      <c r="C2129" s="134" t="s">
        <v>135</v>
      </c>
      <c r="D2129" s="134" t="s">
        <v>74</v>
      </c>
      <c r="E2129" s="135">
        <f t="shared" si="49"/>
        <v>16</v>
      </c>
      <c r="F2129" s="134" t="s">
        <v>3584</v>
      </c>
      <c r="G2129" s="63" t="str">
        <f>VLOOKUP(C2129, 'Class Def. - General Data'!$C$20:$C$1000,1,false)</f>
        <v>ZFG1_SANITARYGEL</v>
      </c>
      <c r="H2129" s="63" t="str">
        <f>IFERROR(__xludf.DUMMYFUNCTION("VLOOKUP(F2129, IMPORTRANGE(""https://docs.google.com/spreadsheets/d/1Lhp9OU0JdFf_VYSMzH5lBcEaU4o8teT1piV-SNzShjg/edit?gid=554141278#gid=554141278"", ""'Char Def. - Attributes'!C20:C2242""), 1,false)"),"UNIT_PER_BOX")</f>
        <v>UNIT_PER_BOX</v>
      </c>
      <c r="I2129" s="136"/>
    </row>
    <row r="2130" ht="15.75" customHeight="1">
      <c r="A2130" s="59"/>
      <c r="B2130" s="63">
        <f t="shared" si="1"/>
        <v>16</v>
      </c>
      <c r="C2130" s="134" t="s">
        <v>135</v>
      </c>
      <c r="D2130" s="134" t="s">
        <v>74</v>
      </c>
      <c r="E2130" s="135">
        <f t="shared" si="49"/>
        <v>17</v>
      </c>
      <c r="F2130" s="134" t="s">
        <v>3614</v>
      </c>
      <c r="G2130" s="63" t="str">
        <f>VLOOKUP(C2130, 'Class Def. - General Data'!$C$20:$C$1000,1,false)</f>
        <v>ZFG1_SANITARYGEL</v>
      </c>
      <c r="H2130" s="63" t="str">
        <f>IFERROR(__xludf.DUMMYFUNCTION("VLOOKUP(F2130, IMPORTRANGE(""https://docs.google.com/spreadsheets/d/1Lhp9OU0JdFf_VYSMzH5lBcEaU4o8teT1piV-SNzShjg/edit?gid=554141278#gid=554141278"", ""'Char Def. - Attributes'!C20:C2242""), 1,false)"),"UNIT_PER_CTN")</f>
        <v>UNIT_PER_CTN</v>
      </c>
      <c r="I2130" s="136"/>
    </row>
    <row r="2131" ht="15.75" customHeight="1">
      <c r="A2131" s="59"/>
      <c r="B2131" s="63">
        <f t="shared" si="1"/>
        <v>16</v>
      </c>
      <c r="C2131" s="134" t="s">
        <v>135</v>
      </c>
      <c r="D2131" s="134" t="s">
        <v>74</v>
      </c>
      <c r="E2131" s="135">
        <f t="shared" si="49"/>
        <v>18</v>
      </c>
      <c r="F2131" s="134" t="s">
        <v>3615</v>
      </c>
      <c r="G2131" s="63" t="str">
        <f>VLOOKUP(C2131, 'Class Def. - General Data'!$C$20:$C$1000,1,false)</f>
        <v>ZFG1_SANITARYGEL</v>
      </c>
      <c r="H2131" s="63" t="str">
        <f>IFERROR(__xludf.DUMMYFUNCTION("VLOOKUP(F2131, IMPORTRANGE(""https://docs.google.com/spreadsheets/d/1Lhp9OU0JdFf_VYSMzH5lBcEaU4o8teT1piV-SNzShjg/edit?gid=554141278#gid=554141278"", ""'Char Def. - Attributes'!C20:C2242""), 1,false)"),"UNIT_PER_BAG")</f>
        <v>UNIT_PER_BAG</v>
      </c>
      <c r="I2131" s="136"/>
    </row>
    <row r="2132" ht="15.75" customHeight="1">
      <c r="A2132" s="59"/>
      <c r="B2132" s="63">
        <f t="shared" si="1"/>
        <v>16</v>
      </c>
      <c r="C2132" s="134" t="s">
        <v>135</v>
      </c>
      <c r="D2132" s="134" t="s">
        <v>74</v>
      </c>
      <c r="E2132" s="135">
        <f t="shared" si="49"/>
        <v>19</v>
      </c>
      <c r="F2132" s="134" t="s">
        <v>3616</v>
      </c>
      <c r="G2132" s="63" t="str">
        <f>VLOOKUP(C2132, 'Class Def. - General Data'!$C$20:$C$1000,1,false)</f>
        <v>ZFG1_SANITARYGEL</v>
      </c>
      <c r="H2132" s="63" t="str">
        <f>IFERROR(__xludf.DUMMYFUNCTION("VLOOKUP(F2132, IMPORTRANGE(""https://docs.google.com/spreadsheets/d/1Lhp9OU0JdFf_VYSMzH5lBcEaU4o8teT1piV-SNzShjg/edit?gid=554141278#gid=554141278"", ""'Char Def. - Attributes'!C20:C2242""), 1,false)"),"UNIT_PER_PAL")</f>
        <v>UNIT_PER_PAL</v>
      </c>
      <c r="I2132" s="136"/>
    </row>
    <row r="2133" ht="15.75" customHeight="1">
      <c r="A2133" s="59"/>
      <c r="B2133" s="63">
        <f t="shared" si="1"/>
        <v>16</v>
      </c>
      <c r="C2133" s="134" t="s">
        <v>135</v>
      </c>
      <c r="D2133" s="134" t="s">
        <v>74</v>
      </c>
      <c r="E2133" s="135">
        <f t="shared" si="49"/>
        <v>20</v>
      </c>
      <c r="F2133" s="134" t="s">
        <v>3617</v>
      </c>
      <c r="G2133" s="63" t="str">
        <f>VLOOKUP(C2133, 'Class Def. - General Data'!$C$20:$C$1000,1,false)</f>
        <v>ZFG1_SANITARYGEL</v>
      </c>
      <c r="H2133" s="63" t="str">
        <f>IFERROR(__xludf.DUMMYFUNCTION("VLOOKUP(F2133, IMPORTRANGE(""https://docs.google.com/spreadsheets/d/1Lhp9OU0JdFf_VYSMzH5lBcEaU4o8teT1piV-SNzShjg/edit?gid=554141278#gid=554141278"", ""'Char Def. - Attributes'!C20:C2242""), 1,false)"),"UNIT_PER_TIER")</f>
        <v>UNIT_PER_TIER</v>
      </c>
      <c r="I2133" s="136"/>
    </row>
    <row r="2134" ht="15.75" customHeight="1">
      <c r="A2134" s="59"/>
      <c r="B2134" s="63">
        <f t="shared" si="1"/>
        <v>16</v>
      </c>
      <c r="C2134" s="134" t="s">
        <v>135</v>
      </c>
      <c r="D2134" s="134" t="s">
        <v>74</v>
      </c>
      <c r="E2134" s="135">
        <f t="shared" si="49"/>
        <v>21</v>
      </c>
      <c r="F2134" s="134" t="s">
        <v>3618</v>
      </c>
      <c r="G2134" s="63" t="str">
        <f>VLOOKUP(C2134, 'Class Def. - General Data'!$C$20:$C$1000,1,false)</f>
        <v>ZFG1_SANITARYGEL</v>
      </c>
      <c r="H2134" s="63" t="str">
        <f>IFERROR(__xludf.DUMMYFUNCTION("VLOOKUP(F2134, IMPORTRANGE(""https://docs.google.com/spreadsheets/d/1Lhp9OU0JdFf_VYSMzH5lBcEaU4o8teT1piV-SNzShjg/edit?gid=554141278#gid=554141278"", ""'Char Def. - Attributes'!C20:C2242""), 1,false)"),"HEIGHT")</f>
        <v>HEIGHT</v>
      </c>
      <c r="I2134" s="136"/>
    </row>
    <row r="2135" ht="15.75" customHeight="1">
      <c r="A2135" s="59"/>
      <c r="B2135" s="63">
        <f t="shared" si="1"/>
        <v>16</v>
      </c>
      <c r="C2135" s="134" t="s">
        <v>135</v>
      </c>
      <c r="D2135" s="134" t="s">
        <v>74</v>
      </c>
      <c r="E2135" s="135">
        <f t="shared" si="49"/>
        <v>22</v>
      </c>
      <c r="F2135" s="134" t="s">
        <v>3587</v>
      </c>
      <c r="G2135" s="63" t="str">
        <f>VLOOKUP(C2135, 'Class Def. - General Data'!$C$20:$C$1000,1,false)</f>
        <v>ZFG1_SANITARYGEL</v>
      </c>
      <c r="H2135" s="63" t="str">
        <f>IFERROR(__xludf.DUMMYFUNCTION("VLOOKUP(F2135, IMPORTRANGE(""https://docs.google.com/spreadsheets/d/1Lhp9OU0JdFf_VYSMzH5lBcEaU4o8teT1piV-SNzShjg/edit?gid=554141278#gid=554141278"", ""'Char Def. - Attributes'!C20:C2242""), 1,false)"),"PLANT_BUY")</f>
        <v>PLANT_BUY</v>
      </c>
      <c r="I2135" s="136"/>
    </row>
    <row r="2136" ht="15.75" customHeight="1">
      <c r="A2136" s="59"/>
      <c r="B2136" s="63">
        <f t="shared" si="1"/>
        <v>16</v>
      </c>
      <c r="C2136" s="134" t="s">
        <v>135</v>
      </c>
      <c r="D2136" s="134" t="s">
        <v>74</v>
      </c>
      <c r="E2136" s="135">
        <f t="shared" si="49"/>
        <v>23</v>
      </c>
      <c r="F2136" s="134" t="s">
        <v>3619</v>
      </c>
      <c r="G2136" s="63" t="str">
        <f>VLOOKUP(C2136, 'Class Def. - General Data'!$C$20:$C$1000,1,false)</f>
        <v>ZFG1_SANITARYGEL</v>
      </c>
      <c r="H2136" s="63" t="str">
        <f>IFERROR(__xludf.DUMMYFUNCTION("VLOOKUP(F2136, IMPORTRANGE(""https://docs.google.com/spreadsheets/d/1Lhp9OU0JdFf_VYSMzH5lBcEaU4o8teT1piV-SNzShjg/edit?gid=554141278#gid=554141278"", ""'Char Def. - Attributes'!C20:C2242""), 1,false)"),"LENGTH")</f>
        <v>LENGTH</v>
      </c>
      <c r="I2136" s="136"/>
    </row>
    <row r="2137" ht="15.75" customHeight="1">
      <c r="A2137" s="59"/>
      <c r="B2137" s="63">
        <f t="shared" si="1"/>
        <v>16</v>
      </c>
      <c r="C2137" s="134" t="s">
        <v>135</v>
      </c>
      <c r="D2137" s="134" t="s">
        <v>74</v>
      </c>
      <c r="E2137" s="135">
        <f t="shared" si="49"/>
        <v>24</v>
      </c>
      <c r="F2137" s="134" t="s">
        <v>3586</v>
      </c>
      <c r="G2137" s="63" t="str">
        <f>VLOOKUP(C2137, 'Class Def. - General Data'!$C$20:$C$1000,1,false)</f>
        <v>ZFG1_SANITARYGEL</v>
      </c>
      <c r="H2137" s="63" t="str">
        <f>IFERROR(__xludf.DUMMYFUNCTION("VLOOKUP(F2137, IMPORTRANGE(""https://docs.google.com/spreadsheets/d/1Lhp9OU0JdFf_VYSMzH5lBcEaU4o8teT1piV-SNzShjg/edit?gid=554141278#gid=554141278"", ""'Char Def. - Attributes'!C20:C2242""), 1,false)"),"PLANT_PROD")</f>
        <v>PLANT_PROD</v>
      </c>
      <c r="I2137" s="136"/>
    </row>
    <row r="2138" ht="15.75" customHeight="1">
      <c r="A2138" s="59"/>
      <c r="B2138" s="63">
        <f t="shared" si="1"/>
        <v>16</v>
      </c>
      <c r="C2138" s="134" t="s">
        <v>135</v>
      </c>
      <c r="D2138" s="134" t="s">
        <v>74</v>
      </c>
      <c r="E2138" s="135">
        <f t="shared" si="49"/>
        <v>25</v>
      </c>
      <c r="F2138" s="134" t="s">
        <v>3620</v>
      </c>
      <c r="G2138" s="63" t="str">
        <f>VLOOKUP(C2138, 'Class Def. - General Data'!$C$20:$C$1000,1,false)</f>
        <v>ZFG1_SANITARYGEL</v>
      </c>
      <c r="H2138" s="63" t="str">
        <f>IFERROR(__xludf.DUMMYFUNCTION("VLOOKUP(F2138, IMPORTRANGE(""https://docs.google.com/spreadsheets/d/1Lhp9OU0JdFf_VYSMzH5lBcEaU4o8teT1piV-SNzShjg/edit?gid=554141278#gid=554141278"", ""'Char Def. - Attributes'!C20:C2242""), 1,false)"),"WIDTH")</f>
        <v>WIDTH</v>
      </c>
      <c r="I2138" s="136"/>
    </row>
    <row r="2139" ht="15.75" customHeight="1">
      <c r="A2139" s="59"/>
      <c r="B2139" s="63">
        <f t="shared" si="1"/>
        <v>16</v>
      </c>
      <c r="C2139" s="134" t="s">
        <v>135</v>
      </c>
      <c r="D2139" s="134" t="s">
        <v>74</v>
      </c>
      <c r="E2139" s="135">
        <f t="shared" si="49"/>
        <v>26</v>
      </c>
      <c r="F2139" s="134" t="s">
        <v>3585</v>
      </c>
      <c r="G2139" s="63" t="str">
        <f>VLOOKUP(C2139, 'Class Def. - General Data'!$C$20:$C$1000,1,false)</f>
        <v>ZFG1_SANITARYGEL</v>
      </c>
      <c r="H2139" s="63" t="str">
        <f>IFERROR(__xludf.DUMMYFUNCTION("VLOOKUP(F2139, IMPORTRANGE(""https://docs.google.com/spreadsheets/d/1Lhp9OU0JdFf_VYSMzH5lBcEaU4o8teT1piV-SNzShjg/edit?gid=554141278#gid=554141278"", ""'Char Def. - Attributes'!C20:C2242""), 1,false)"),"HS_CODE")</f>
        <v>HS_CODE</v>
      </c>
      <c r="I2139" s="136"/>
    </row>
    <row r="2140" ht="15.75" customHeight="1">
      <c r="A2140" s="59"/>
      <c r="B2140" s="63">
        <f t="shared" si="1"/>
        <v>16</v>
      </c>
      <c r="C2140" s="134" t="s">
        <v>135</v>
      </c>
      <c r="D2140" s="134" t="s">
        <v>74</v>
      </c>
      <c r="E2140" s="135">
        <f t="shared" si="49"/>
        <v>27</v>
      </c>
      <c r="F2140" s="134" t="s">
        <v>3621</v>
      </c>
      <c r="G2140" s="63" t="str">
        <f>VLOOKUP(C2140, 'Class Def. - General Data'!$C$20:$C$1000,1,false)</f>
        <v>ZFG1_SANITARYGEL</v>
      </c>
      <c r="H2140" s="63" t="str">
        <f>IFERROR(__xludf.DUMMYFUNCTION("VLOOKUP(F2140, IMPORTRANGE(""https://docs.google.com/spreadsheets/d/1Lhp9OU0JdFf_VYSMzH5lBcEaU4o8teT1piV-SNzShjg/edit?gid=554141278#gid=554141278"", ""'Char Def. - Attributes'!C20:C2242""), 1,false)"),"EAN_PCS")</f>
        <v>EAN_PCS</v>
      </c>
      <c r="I2140" s="136"/>
    </row>
    <row r="2141" ht="15.75" customHeight="1">
      <c r="A2141" s="59"/>
      <c r="B2141" s="63">
        <f t="shared" si="1"/>
        <v>16</v>
      </c>
      <c r="C2141" s="134" t="s">
        <v>135</v>
      </c>
      <c r="D2141" s="134" t="s">
        <v>74</v>
      </c>
      <c r="E2141" s="135">
        <f t="shared" si="49"/>
        <v>28</v>
      </c>
      <c r="F2141" s="134" t="s">
        <v>3622</v>
      </c>
      <c r="G2141" s="63" t="str">
        <f>VLOOKUP(C2141, 'Class Def. - General Data'!$C$20:$C$1000,1,false)</f>
        <v>ZFG1_SANITARYGEL</v>
      </c>
      <c r="H2141" s="63" t="str">
        <f>IFERROR(__xludf.DUMMYFUNCTION("VLOOKUP(F2141, IMPORTRANGE(""https://docs.google.com/spreadsheets/d/1Lhp9OU0JdFf_VYSMzH5lBcEaU4o8teT1piV-SNzShjg/edit?gid=554141278#gid=554141278"", ""'Char Def. - Attributes'!C20:C2242""), 1,false)"),"SFG_BRAND")</f>
        <v>SFG_BRAND</v>
      </c>
      <c r="I2141" s="136"/>
    </row>
    <row r="2142" ht="15.75" customHeight="1">
      <c r="A2142" s="59"/>
      <c r="B2142" s="63">
        <f t="shared" si="1"/>
        <v>16</v>
      </c>
      <c r="C2142" s="134" t="s">
        <v>135</v>
      </c>
      <c r="D2142" s="134" t="s">
        <v>74</v>
      </c>
      <c r="E2142" s="135">
        <f t="shared" si="49"/>
        <v>29</v>
      </c>
      <c r="F2142" s="134" t="s">
        <v>3623</v>
      </c>
      <c r="G2142" s="63" t="str">
        <f>VLOOKUP(C2142, 'Class Def. - General Data'!$C$20:$C$1000,1,false)</f>
        <v>ZFG1_SANITARYGEL</v>
      </c>
      <c r="H2142" s="63" t="str">
        <f>IFERROR(__xludf.DUMMYFUNCTION("VLOOKUP(F2142, IMPORTRANGE(""https://docs.google.com/spreadsheets/d/1Lhp9OU0JdFf_VYSMzH5lBcEaU4o8teT1piV-SNzShjg/edit?gid=554141278#gid=554141278"", ""'Char Def. - Attributes'!C20:C2242""), 1,false)"),"LANGUAGE")</f>
        <v>LANGUAGE</v>
      </c>
      <c r="I2142" s="136"/>
    </row>
    <row r="2143" ht="15.75" customHeight="1">
      <c r="A2143" s="59"/>
      <c r="B2143" s="63">
        <f t="shared" si="1"/>
        <v>16</v>
      </c>
      <c r="C2143" s="139" t="s">
        <v>135</v>
      </c>
      <c r="D2143" s="139" t="s">
        <v>74</v>
      </c>
      <c r="E2143" s="140">
        <f t="shared" si="49"/>
        <v>30</v>
      </c>
      <c r="F2143" s="134" t="s">
        <v>3624</v>
      </c>
      <c r="G2143" s="63" t="str">
        <f>VLOOKUP(C2143, 'Class Def. - General Data'!$C$20:$C$1000,1,false)</f>
        <v>ZFG1_SANITARYGEL</v>
      </c>
      <c r="H2143" s="63" t="str">
        <f>IFERROR(__xludf.DUMMYFUNCTION("VLOOKUP(F2143, IMPORTRANGE(""https://docs.google.com/spreadsheets/d/1Lhp9OU0JdFf_VYSMzH5lBcEaU4o8teT1piV-SNzShjg/edit?gid=554141278#gid=554141278"", ""'Char Def. - Attributes'!C20:C2242""), 1,false)"),"#N/A")</f>
        <v>#N/A</v>
      </c>
      <c r="I2143" s="136"/>
    </row>
    <row r="2144" ht="15.75" customHeight="1">
      <c r="A2144" s="59"/>
      <c r="B2144" s="63">
        <f t="shared" si="1"/>
        <v>16</v>
      </c>
      <c r="C2144" s="134" t="s">
        <v>135</v>
      </c>
      <c r="D2144" s="134" t="s">
        <v>74</v>
      </c>
      <c r="E2144" s="135">
        <f t="shared" si="49"/>
        <v>31</v>
      </c>
      <c r="F2144" s="134" t="s">
        <v>3625</v>
      </c>
      <c r="G2144" s="63" t="str">
        <f>VLOOKUP(C2144, 'Class Def. - General Data'!$C$20:$C$1000,1,false)</f>
        <v>ZFG1_SANITARYGEL</v>
      </c>
      <c r="H2144" s="63" t="str">
        <f>IFERROR(__xludf.DUMMYFUNCTION("VLOOKUP(F2144, IMPORTRANGE(""https://docs.google.com/spreadsheets/d/1Lhp9OU0JdFf_VYSMzH5lBcEaU4o8teT1piV-SNzShjg/edit?gid=554141278#gid=554141278"", ""'Char Def. - Attributes'!C20:C2242""), 1,false)"),"REGION_EKSPOR")</f>
        <v>REGION_EKSPOR</v>
      </c>
      <c r="I2144" s="136"/>
    </row>
    <row r="2145" ht="15.75" customHeight="1">
      <c r="A2145" s="59"/>
      <c r="B2145" s="63">
        <f t="shared" si="1"/>
        <v>16</v>
      </c>
      <c r="C2145" s="134" t="s">
        <v>135</v>
      </c>
      <c r="D2145" s="134" t="s">
        <v>74</v>
      </c>
      <c r="E2145" s="135">
        <f t="shared" si="49"/>
        <v>32</v>
      </c>
      <c r="F2145" s="134" t="s">
        <v>3626</v>
      </c>
      <c r="G2145" s="63" t="str">
        <f>VLOOKUP(C2145, 'Class Def. - General Data'!$C$20:$C$1000,1,false)</f>
        <v>ZFG1_SANITARYGEL</v>
      </c>
      <c r="H2145" s="63" t="str">
        <f>IFERROR(__xludf.DUMMYFUNCTION("VLOOKUP(F2145, IMPORTRANGE(""https://docs.google.com/spreadsheets/d/1Lhp9OU0JdFf_VYSMzH5lBcEaU4o8teT1piV-SNzShjg/edit?gid=554141278#gid=554141278"", ""'Char Def. - Attributes'!C20:C2242""), 1,false)"),"STICKER_NOT")</f>
        <v>STICKER_NOT</v>
      </c>
      <c r="I2145" s="136"/>
    </row>
    <row r="2146" ht="15.75" customHeight="1">
      <c r="A2146" s="59"/>
      <c r="B2146" s="63">
        <f t="shared" si="1"/>
        <v>16</v>
      </c>
      <c r="C2146" s="134" t="s">
        <v>135</v>
      </c>
      <c r="D2146" s="134" t="s">
        <v>74</v>
      </c>
      <c r="E2146" s="135">
        <f t="shared" si="49"/>
        <v>33</v>
      </c>
      <c r="F2146" s="134" t="s">
        <v>3627</v>
      </c>
      <c r="G2146" s="63" t="str">
        <f>VLOOKUP(C2146, 'Class Def. - General Data'!$C$20:$C$1000,1,false)</f>
        <v>ZFG1_SANITARYGEL</v>
      </c>
      <c r="H2146" s="63" t="str">
        <f>IFERROR(__xludf.DUMMYFUNCTION("VLOOKUP(F2146, IMPORTRANGE(""https://docs.google.com/spreadsheets/d/1Lhp9OU0JdFf_VYSMzH5lBcEaU4o8teT1piV-SNzShjg/edit?gid=554141278#gid=554141278"", ""'Char Def. - Attributes'!C20:C2242""), 1,false)"),"SHIP_MARK")</f>
        <v>SHIP_MARK</v>
      </c>
      <c r="I2146" s="136"/>
    </row>
    <row r="2147" ht="15.75" customHeight="1">
      <c r="A2147" s="59"/>
      <c r="B2147" s="63">
        <f t="shared" si="1"/>
        <v>16</v>
      </c>
      <c r="C2147" s="134" t="s">
        <v>135</v>
      </c>
      <c r="D2147" s="134" t="s">
        <v>74</v>
      </c>
      <c r="E2147" s="135">
        <f t="shared" si="49"/>
        <v>34</v>
      </c>
      <c r="F2147" s="134" t="s">
        <v>3628</v>
      </c>
      <c r="G2147" s="63" t="str">
        <f>VLOOKUP(C2147, 'Class Def. - General Data'!$C$20:$C$1000,1,false)</f>
        <v>ZFG1_SANITARYGEL</v>
      </c>
      <c r="H2147" s="63" t="str">
        <f>IFERROR(__xludf.DUMMYFUNCTION("VLOOKUP(F2147, IMPORTRANGE(""https://docs.google.com/spreadsheets/d/1Lhp9OU0JdFf_VYSMzH5lBcEaU4o8teT1piV-SNzShjg/edit?gid=554141278#gid=554141278"", ""'Char Def. - Attributes'!C20:C2242""), 1,false)"),"MID_CORE")</f>
        <v>MID_CORE</v>
      </c>
      <c r="I2147" s="136"/>
    </row>
    <row r="2148" ht="15.75" customHeight="1">
      <c r="A2148" s="59"/>
      <c r="B2148" s="63">
        <f t="shared" si="1"/>
        <v>16</v>
      </c>
      <c r="C2148" s="134" t="s">
        <v>135</v>
      </c>
      <c r="D2148" s="134" t="s">
        <v>74</v>
      </c>
      <c r="E2148" s="135">
        <f t="shared" si="49"/>
        <v>35</v>
      </c>
      <c r="F2148" s="134" t="s">
        <v>3629</v>
      </c>
      <c r="G2148" s="63" t="str">
        <f>VLOOKUP(C2148, 'Class Def. - General Data'!$C$20:$C$1000,1,false)</f>
        <v>ZFG1_SANITARYGEL</v>
      </c>
      <c r="H2148" s="63" t="str">
        <f>IFERROR(__xludf.DUMMYFUNCTION("VLOOKUP(F2148, IMPORTRANGE(""https://docs.google.com/spreadsheets/d/1Lhp9OU0JdFf_VYSMzH5lBcEaU4o8teT1piV-SNzShjg/edit?gid=554141278#gid=554141278"", ""'Char Def. - Attributes'!C20:C2242""), 1,false)"),"EAN_CTN")</f>
        <v>EAN_CTN</v>
      </c>
      <c r="I2148" s="136"/>
    </row>
    <row r="2149" ht="15.75" customHeight="1">
      <c r="A2149" s="59"/>
      <c r="B2149" s="63">
        <f t="shared" si="1"/>
        <v>16</v>
      </c>
      <c r="C2149" s="134" t="s">
        <v>135</v>
      </c>
      <c r="D2149" s="134" t="s">
        <v>74</v>
      </c>
      <c r="E2149" s="135">
        <f t="shared" si="49"/>
        <v>36</v>
      </c>
      <c r="F2149" s="134" t="s">
        <v>3630</v>
      </c>
      <c r="G2149" s="63" t="str">
        <f>VLOOKUP(C2149, 'Class Def. - General Data'!$C$20:$C$1000,1,false)</f>
        <v>ZFG1_SANITARYGEL</v>
      </c>
      <c r="H2149" s="63" t="str">
        <f>IFERROR(__xludf.DUMMYFUNCTION("VLOOKUP(F2149, IMPORTRANGE(""https://docs.google.com/spreadsheets/d/1Lhp9OU0JdFf_VYSMzH5lBcEaU4o8teT1piV-SNzShjg/edit?gid=554141278#gid=554141278"", ""'Char Def. - Attributes'!C20:C2242""), 1,false)"),"EAN_BOX")</f>
        <v>EAN_BOX</v>
      </c>
      <c r="I2149" s="136"/>
    </row>
    <row r="2150" ht="15.75" customHeight="1">
      <c r="A2150" s="59"/>
      <c r="B2150" s="63">
        <f t="shared" si="1"/>
        <v>16</v>
      </c>
      <c r="C2150" s="134" t="s">
        <v>135</v>
      </c>
      <c r="D2150" s="141" t="s">
        <v>74</v>
      </c>
      <c r="E2150" s="135">
        <v>22.0</v>
      </c>
      <c r="F2150" s="135" t="s">
        <v>3603</v>
      </c>
      <c r="G2150" s="63" t="str">
        <f>VLOOKUP(C2150, 'Class Def. - General Data'!$C$20:$C$1000,1,false)</f>
        <v>ZFG1_SANITARYGEL</v>
      </c>
      <c r="I2150" s="136"/>
    </row>
    <row r="2151" ht="15.75" customHeight="1">
      <c r="A2151" s="59"/>
      <c r="B2151" s="63">
        <f t="shared" si="1"/>
        <v>16</v>
      </c>
      <c r="C2151" s="134" t="s">
        <v>136</v>
      </c>
      <c r="D2151" s="134" t="s">
        <v>74</v>
      </c>
      <c r="E2151" s="135">
        <f t="shared" ref="E2151:E2186" si="50">COUNTIF($C$20:C2151,C2151)</f>
        <v>1</v>
      </c>
      <c r="F2151" s="134" t="s">
        <v>3751</v>
      </c>
      <c r="G2151" s="63" t="str">
        <f>VLOOKUP(C2151, 'Class Def. - General Data'!$C$20:$C$1000,1,false)</f>
        <v>ZFG1_SAVORYSNACK</v>
      </c>
      <c r="H2151" s="63" t="str">
        <f>IFERROR(__xludf.DUMMYFUNCTION("VLOOKUP(F2151, IMPORTRANGE(""https://docs.google.com/spreadsheets/d/1Lhp9OU0JdFf_VYSMzH5lBcEaU4o8teT1piV-SNzShjg/edit?gid=554141278#gid=554141278"", ""'Char Def. - Attributes'!C20:C2242""), 1,false)"),"BRAND_SAVORYSNACK")</f>
        <v>BRAND_SAVORYSNACK</v>
      </c>
      <c r="I2151" s="136"/>
    </row>
    <row r="2152" ht="15.75" customHeight="1">
      <c r="A2152" s="59"/>
      <c r="B2152" s="63">
        <f t="shared" si="1"/>
        <v>16</v>
      </c>
      <c r="C2152" s="135" t="s">
        <v>136</v>
      </c>
      <c r="D2152" s="134" t="s">
        <v>74</v>
      </c>
      <c r="E2152" s="135">
        <f t="shared" si="50"/>
        <v>2</v>
      </c>
      <c r="F2152" s="134" t="s">
        <v>3752</v>
      </c>
      <c r="G2152" s="63" t="str">
        <f>VLOOKUP(C2152, 'Class Def. - General Data'!$C$20:$C$1000,1,false)</f>
        <v>ZFG1_SAVORYSNACK</v>
      </c>
      <c r="H2152" s="63" t="str">
        <f>IFERROR(__xludf.DUMMYFUNCTION("VLOOKUP(F2152, IMPORTRANGE(""https://docs.google.com/spreadsheets/d/1Lhp9OU0JdFf_VYSMzH5lBcEaU4o8teT1piV-SNzShjg/edit?gid=554141278#gid=554141278"", ""'Char Def. - Attributes'!C20:C2242""), 1,false)"),"PSHAPE_SAVORYSNACK")</f>
        <v>PSHAPE_SAVORYSNACK</v>
      </c>
      <c r="I2152" s="136"/>
    </row>
    <row r="2153" ht="15.75" customHeight="1">
      <c r="A2153" s="59"/>
      <c r="B2153" s="63">
        <f t="shared" si="1"/>
        <v>16</v>
      </c>
      <c r="C2153" s="134" t="s">
        <v>136</v>
      </c>
      <c r="D2153" s="134" t="s">
        <v>74</v>
      </c>
      <c r="E2153" s="135">
        <f t="shared" si="50"/>
        <v>3</v>
      </c>
      <c r="F2153" s="134" t="s">
        <v>3605</v>
      </c>
      <c r="G2153" s="63" t="str">
        <f>VLOOKUP(C2153, 'Class Def. - General Data'!$C$20:$C$1000,1,false)</f>
        <v>ZFG1_SAVORYSNACK</v>
      </c>
      <c r="H2153" s="63" t="str">
        <f>IFERROR(__xludf.DUMMYFUNCTION("VLOOKUP(F2153, IMPORTRANGE(""https://docs.google.com/spreadsheets/d/1Lhp9OU0JdFf_VYSMzH5lBcEaU4o8teT1piV-SNzShjg/edit?gid=554141278#gid=554141278"", ""'Char Def. - Attributes'!C20:C2242""), 1,false)"),"PACK_NETTO")</f>
        <v>PACK_NETTO</v>
      </c>
      <c r="I2153" s="136"/>
    </row>
    <row r="2154" ht="15.75" customHeight="1">
      <c r="A2154" s="59"/>
      <c r="B2154" s="63">
        <f t="shared" si="1"/>
        <v>16</v>
      </c>
      <c r="C2154" s="135" t="s">
        <v>136</v>
      </c>
      <c r="D2154" s="134" t="s">
        <v>74</v>
      </c>
      <c r="E2154" s="135">
        <f t="shared" si="50"/>
        <v>4</v>
      </c>
      <c r="F2154" s="134" t="s">
        <v>3753</v>
      </c>
      <c r="G2154" s="63" t="str">
        <f>VLOOKUP(C2154, 'Class Def. - General Data'!$C$20:$C$1000,1,false)</f>
        <v>ZFG1_SAVORYSNACK</v>
      </c>
      <c r="H2154" s="63" t="str">
        <f>IFERROR(__xludf.DUMMYFUNCTION("VLOOKUP(F2154, IMPORTRANGE(""https://docs.google.com/spreadsheets/d/1Lhp9OU0JdFf_VYSMzH5lBcEaU4o8teT1piV-SNzShjg/edit?gid=554141278#gid=554141278"", ""'Char Def. - Attributes'!C20:C2242""), 1,false)"),"PUOM_SAVORYSNACK")</f>
        <v>PUOM_SAVORYSNACK</v>
      </c>
      <c r="I2154" s="136"/>
    </row>
    <row r="2155" ht="15.75" customHeight="1">
      <c r="A2155" s="59"/>
      <c r="B2155" s="63">
        <f t="shared" si="1"/>
        <v>16</v>
      </c>
      <c r="C2155" s="134" t="s">
        <v>136</v>
      </c>
      <c r="D2155" s="134" t="s">
        <v>74</v>
      </c>
      <c r="E2155" s="135">
        <f t="shared" si="50"/>
        <v>5</v>
      </c>
      <c r="F2155" s="134" t="s">
        <v>3607</v>
      </c>
      <c r="G2155" s="63" t="str">
        <f>VLOOKUP(C2155, 'Class Def. - General Data'!$C$20:$C$1000,1,false)</f>
        <v>ZFG1_SAVORYSNACK</v>
      </c>
      <c r="H2155" s="63" t="str">
        <f>IFERROR(__xludf.DUMMYFUNCTION("VLOOKUP(F2155, IMPORTRANGE(""https://docs.google.com/spreadsheets/d/1Lhp9OU0JdFf_VYSMzH5lBcEaU4o8teT1piV-SNzShjg/edit?gid=554141278#gid=554141278"", ""'Char Def. - Attributes'!C20:C2242""), 1,false)"),"VARIAN")</f>
        <v>VARIAN</v>
      </c>
      <c r="I2155" s="136"/>
    </row>
    <row r="2156" ht="15.75" customHeight="1">
      <c r="A2156" s="59"/>
      <c r="B2156" s="63">
        <f t="shared" si="1"/>
        <v>16</v>
      </c>
      <c r="C2156" s="134" t="s">
        <v>136</v>
      </c>
      <c r="D2156" s="134" t="s">
        <v>74</v>
      </c>
      <c r="E2156" s="135">
        <f t="shared" si="50"/>
        <v>6</v>
      </c>
      <c r="F2156" s="134" t="s">
        <v>3608</v>
      </c>
      <c r="G2156" s="63" t="str">
        <f>VLOOKUP(C2156, 'Class Def. - General Data'!$C$20:$C$1000,1,false)</f>
        <v>ZFG1_SAVORYSNACK</v>
      </c>
      <c r="H2156" s="63" t="str">
        <f>IFERROR(__xludf.DUMMYFUNCTION("VLOOKUP(F2156, IMPORTRANGE(""https://docs.google.com/spreadsheets/d/1Lhp9OU0JdFf_VYSMzH5lBcEaU4o8teT1piV-SNzShjg/edit?gid=554141278#gid=554141278"", ""'Char Def. - Attributes'!C20:C2242""), 1,false)"),"PROJECT_NAME")</f>
        <v>PROJECT_NAME</v>
      </c>
      <c r="I2156" s="136"/>
    </row>
    <row r="2157" ht="15.75" customHeight="1">
      <c r="A2157" s="59"/>
      <c r="B2157" s="63">
        <f t="shared" si="1"/>
        <v>16</v>
      </c>
      <c r="C2157" s="134" t="s">
        <v>136</v>
      </c>
      <c r="D2157" s="134" t="s">
        <v>74</v>
      </c>
      <c r="E2157" s="135">
        <f t="shared" si="50"/>
        <v>7</v>
      </c>
      <c r="F2157" s="134" t="s">
        <v>3609</v>
      </c>
      <c r="G2157" s="63" t="str">
        <f>VLOOKUP(C2157, 'Class Def. - General Data'!$C$20:$C$1000,1,false)</f>
        <v>ZFG1_SAVORYSNACK</v>
      </c>
      <c r="H2157" s="63" t="str">
        <f>IFERROR(__xludf.DUMMYFUNCTION("VLOOKUP(F2157, IMPORTRANGE(""https://docs.google.com/spreadsheets/d/1Lhp9OU0JdFf_VYSMzH5lBcEaU4o8teT1piV-SNzShjg/edit?gid=554141278#gid=554141278"", ""'Char Def. - Attributes'!C20:C2242""), 1,false)"),"ADDITIONAL_PROMO")</f>
        <v>ADDITIONAL_PROMO</v>
      </c>
      <c r="I2157" s="136"/>
    </row>
    <row r="2158" ht="15.75" customHeight="1">
      <c r="A2158" s="59"/>
      <c r="B2158" s="63">
        <f t="shared" si="1"/>
        <v>16</v>
      </c>
      <c r="C2158" s="134" t="s">
        <v>136</v>
      </c>
      <c r="D2158" s="134" t="s">
        <v>74</v>
      </c>
      <c r="E2158" s="135">
        <f t="shared" si="50"/>
        <v>8</v>
      </c>
      <c r="F2158" s="134" t="s">
        <v>3610</v>
      </c>
      <c r="G2158" s="63" t="str">
        <f>VLOOKUP(C2158, 'Class Def. - General Data'!$C$20:$C$1000,1,false)</f>
        <v>ZFG1_SAVORYSNACK</v>
      </c>
      <c r="H2158" s="63" t="str">
        <f>IFERROR(__xludf.DUMMYFUNCTION("VLOOKUP(F2158, IMPORTRANGE(""https://docs.google.com/spreadsheets/d/1Lhp9OU0JdFf_VYSMzH5lBcEaU4o8teT1piV-SNzShjg/edit?gid=554141278#gid=554141278"", ""'Char Def. - Attributes'!C20:C2242""), 1,false)"),"BANDED_PROMO")</f>
        <v>BANDED_PROMO</v>
      </c>
      <c r="I2158" s="136"/>
    </row>
    <row r="2159" ht="15.75" customHeight="1">
      <c r="A2159" s="59"/>
      <c r="B2159" s="63">
        <f t="shared" si="1"/>
        <v>16</v>
      </c>
      <c r="C2159" s="134" t="s">
        <v>136</v>
      </c>
      <c r="D2159" s="134" t="s">
        <v>74</v>
      </c>
      <c r="E2159" s="135">
        <f t="shared" si="50"/>
        <v>9</v>
      </c>
      <c r="F2159" s="134" t="s">
        <v>3611</v>
      </c>
      <c r="G2159" s="63" t="str">
        <f>VLOOKUP(C2159, 'Class Def. - General Data'!$C$20:$C$1000,1,false)</f>
        <v>ZFG1_SAVORYSNACK</v>
      </c>
      <c r="H2159" s="63" t="str">
        <f>IFERROR(__xludf.DUMMYFUNCTION("VLOOKUP(F2159, IMPORTRANGE(""https://docs.google.com/spreadsheets/d/1Lhp9OU0JdFf_VYSMzH5lBcEaU4o8teT1piV-SNzShjg/edit?gid=554141278#gid=554141278"", ""'Char Def. - Attributes'!C20:C2242""), 1,false)"),"LOKAL_EKSPOR")</f>
        <v>LOKAL_EKSPOR</v>
      </c>
      <c r="I2159" s="136"/>
    </row>
    <row r="2160" ht="15.75" customHeight="1">
      <c r="A2160" s="59"/>
      <c r="B2160" s="63">
        <f t="shared" si="1"/>
        <v>16</v>
      </c>
      <c r="C2160" s="134" t="s">
        <v>136</v>
      </c>
      <c r="D2160" s="134" t="s">
        <v>74</v>
      </c>
      <c r="E2160" s="135">
        <f t="shared" si="50"/>
        <v>10</v>
      </c>
      <c r="F2160" s="134" t="s">
        <v>3612</v>
      </c>
      <c r="G2160" s="63" t="str">
        <f>VLOOKUP(C2160, 'Class Def. - General Data'!$C$20:$C$1000,1,false)</f>
        <v>ZFG1_SAVORYSNACK</v>
      </c>
      <c r="H2160" s="63" t="str">
        <f>IFERROR(__xludf.DUMMYFUNCTION("VLOOKUP(F2160, IMPORTRANGE(""https://docs.google.com/spreadsheets/d/1Lhp9OU0JdFf_VYSMzH5lBcEaU4o8teT1piV-SNzShjg/edit?gid=554141278#gid=554141278"", ""'Char Def. - Attributes'!C20:C2242""), 1,false)"),"COUNTRY_EKSPOR")</f>
        <v>COUNTRY_EKSPOR</v>
      </c>
      <c r="I2160" s="136"/>
    </row>
    <row r="2161" ht="15.75" customHeight="1">
      <c r="A2161" s="59"/>
      <c r="B2161" s="63">
        <f t="shared" si="1"/>
        <v>16</v>
      </c>
      <c r="C2161" s="134" t="s">
        <v>136</v>
      </c>
      <c r="D2161" s="134" t="s">
        <v>74</v>
      </c>
      <c r="E2161" s="135">
        <f t="shared" si="50"/>
        <v>11</v>
      </c>
      <c r="F2161" s="134" t="s">
        <v>3613</v>
      </c>
      <c r="G2161" s="63" t="str">
        <f>VLOOKUP(C2161, 'Class Def. - General Data'!$C$20:$C$1000,1,false)</f>
        <v>ZFG1_SAVORYSNACK</v>
      </c>
      <c r="H2161" s="63" t="str">
        <f>IFERROR(__xludf.DUMMYFUNCTION("VLOOKUP(F2161, IMPORTRANGE(""https://docs.google.com/spreadsheets/d/1Lhp9OU0JdFf_VYSMzH5lBcEaU4o8teT1piV-SNzShjg/edit?gid=554141278#gid=554141278"", ""'Char Def. - Attributes'!C20:C2242""), 1,false)"),"WARNA_SFG")</f>
        <v>WARNA_SFG</v>
      </c>
      <c r="I2161" s="136"/>
    </row>
    <row r="2162" ht="15.75" customHeight="1">
      <c r="A2162" s="59"/>
      <c r="B2162" s="63">
        <f t="shared" si="1"/>
        <v>16</v>
      </c>
      <c r="C2162" s="134" t="s">
        <v>136</v>
      </c>
      <c r="D2162" s="134" t="s">
        <v>74</v>
      </c>
      <c r="E2162" s="135">
        <f t="shared" si="50"/>
        <v>12</v>
      </c>
      <c r="F2162" s="134" t="s">
        <v>3582</v>
      </c>
      <c r="G2162" s="63" t="str">
        <f>VLOOKUP(C2162, 'Class Def. - General Data'!$C$20:$C$1000,1,false)</f>
        <v>ZFG1_SAVORYSNACK</v>
      </c>
      <c r="H2162" s="63" t="str">
        <f>IFERROR(__xludf.DUMMYFUNCTION("VLOOKUP(F2162, IMPORTRANGE(""https://docs.google.com/spreadsheets/d/1Lhp9OU0JdFf_VYSMzH5lBcEaU4o8teT1piV-SNzShjg/edit?gid=554141278#gid=554141278"", ""'Char Def. - Attributes'!C20:C2242""), 1,false)"),"BASE_UNIT")</f>
        <v>BASE_UNIT</v>
      </c>
      <c r="I2162" s="136"/>
    </row>
    <row r="2163" ht="15.75" customHeight="1">
      <c r="A2163" s="59"/>
      <c r="B2163" s="63">
        <f t="shared" si="1"/>
        <v>16</v>
      </c>
      <c r="C2163" s="134" t="s">
        <v>136</v>
      </c>
      <c r="D2163" s="134" t="s">
        <v>74</v>
      </c>
      <c r="E2163" s="135">
        <f t="shared" si="50"/>
        <v>13</v>
      </c>
      <c r="F2163" s="134" t="s">
        <v>3583</v>
      </c>
      <c r="G2163" s="63" t="str">
        <f>VLOOKUP(C2163, 'Class Def. - General Data'!$C$20:$C$1000,1,false)</f>
        <v>ZFG1_SAVORYSNACK</v>
      </c>
      <c r="H2163" s="63" t="str">
        <f>IFERROR(__xludf.DUMMYFUNCTION("VLOOKUP(F2163, IMPORTRANGE(""https://docs.google.com/spreadsheets/d/1Lhp9OU0JdFf_VYSMzH5lBcEaU4o8teT1piV-SNzShjg/edit?gid=554141278#gid=554141278"", ""'Char Def. - Attributes'!C20:C2242""), 1,false)"),"SALES_UNIT")</f>
        <v>SALES_UNIT</v>
      </c>
      <c r="I2163" s="136"/>
    </row>
    <row r="2164" ht="15.75" customHeight="1">
      <c r="A2164" s="59"/>
      <c r="B2164" s="63">
        <f t="shared" si="1"/>
        <v>16</v>
      </c>
      <c r="C2164" s="134" t="s">
        <v>136</v>
      </c>
      <c r="D2164" s="134" t="s">
        <v>74</v>
      </c>
      <c r="E2164" s="135">
        <f t="shared" si="50"/>
        <v>14</v>
      </c>
      <c r="F2164" s="134" t="s">
        <v>3601</v>
      </c>
      <c r="G2164" s="63" t="str">
        <f>VLOOKUP(C2164, 'Class Def. - General Data'!$C$20:$C$1000,1,false)</f>
        <v>ZFG1_SAVORYSNACK</v>
      </c>
      <c r="H2164" s="63" t="str">
        <f>IFERROR(__xludf.DUMMYFUNCTION("VLOOKUP(F2164, IMPORTRANGE(""https://docs.google.com/spreadsheets/d/1Lhp9OU0JdFf_VYSMzH5lBcEaU4o8teT1piV-SNzShjg/edit?gid=554141278#gid=554141278"", ""'Char Def. - Attributes'!C20:C2242""), 1,false)"),"GROSS_WEIGHT")</f>
        <v>GROSS_WEIGHT</v>
      </c>
      <c r="I2164" s="136"/>
    </row>
    <row r="2165" ht="15.75" customHeight="1">
      <c r="A2165" s="59"/>
      <c r="B2165" s="63">
        <f t="shared" si="1"/>
        <v>16</v>
      </c>
      <c r="C2165" s="134" t="s">
        <v>136</v>
      </c>
      <c r="D2165" s="134" t="s">
        <v>74</v>
      </c>
      <c r="E2165" s="135">
        <f t="shared" si="50"/>
        <v>15</v>
      </c>
      <c r="F2165" s="134" t="s">
        <v>3602</v>
      </c>
      <c r="G2165" s="63" t="str">
        <f>VLOOKUP(C2165, 'Class Def. - General Data'!$C$20:$C$1000,1,false)</f>
        <v>ZFG1_SAVORYSNACK</v>
      </c>
      <c r="H2165" s="63" t="str">
        <f>IFERROR(__xludf.DUMMYFUNCTION("VLOOKUP(F2165, IMPORTRANGE(""https://docs.google.com/spreadsheets/d/1Lhp9OU0JdFf_VYSMzH5lBcEaU4o8teT1piV-SNzShjg/edit?gid=554141278#gid=554141278"", ""'Char Def. - Attributes'!C20:C2242""), 1,false)"),"NET_WEIGHT")</f>
        <v>NET_WEIGHT</v>
      </c>
      <c r="I2165" s="136"/>
    </row>
    <row r="2166" ht="15.75" customHeight="1">
      <c r="A2166" s="59"/>
      <c r="B2166" s="63">
        <f t="shared" si="1"/>
        <v>16</v>
      </c>
      <c r="C2166" s="134" t="s">
        <v>136</v>
      </c>
      <c r="D2166" s="134" t="s">
        <v>74</v>
      </c>
      <c r="E2166" s="135">
        <f t="shared" si="50"/>
        <v>16</v>
      </c>
      <c r="F2166" s="134" t="s">
        <v>3584</v>
      </c>
      <c r="G2166" s="63" t="str">
        <f>VLOOKUP(C2166, 'Class Def. - General Data'!$C$20:$C$1000,1,false)</f>
        <v>ZFG1_SAVORYSNACK</v>
      </c>
      <c r="H2166" s="63" t="str">
        <f>IFERROR(__xludf.DUMMYFUNCTION("VLOOKUP(F2166, IMPORTRANGE(""https://docs.google.com/spreadsheets/d/1Lhp9OU0JdFf_VYSMzH5lBcEaU4o8teT1piV-SNzShjg/edit?gid=554141278#gid=554141278"", ""'Char Def. - Attributes'!C20:C2242""), 1,false)"),"UNIT_PER_BOX")</f>
        <v>UNIT_PER_BOX</v>
      </c>
      <c r="I2166" s="136"/>
    </row>
    <row r="2167" ht="15.75" customHeight="1">
      <c r="A2167" s="59"/>
      <c r="B2167" s="63">
        <f t="shared" si="1"/>
        <v>16</v>
      </c>
      <c r="C2167" s="134" t="s">
        <v>136</v>
      </c>
      <c r="D2167" s="134" t="s">
        <v>74</v>
      </c>
      <c r="E2167" s="135">
        <f t="shared" si="50"/>
        <v>17</v>
      </c>
      <c r="F2167" s="134" t="s">
        <v>3614</v>
      </c>
      <c r="G2167" s="63" t="str">
        <f>VLOOKUP(C2167, 'Class Def. - General Data'!$C$20:$C$1000,1,false)</f>
        <v>ZFG1_SAVORYSNACK</v>
      </c>
      <c r="H2167" s="63" t="str">
        <f>IFERROR(__xludf.DUMMYFUNCTION("VLOOKUP(F2167, IMPORTRANGE(""https://docs.google.com/spreadsheets/d/1Lhp9OU0JdFf_VYSMzH5lBcEaU4o8teT1piV-SNzShjg/edit?gid=554141278#gid=554141278"", ""'Char Def. - Attributes'!C20:C2242""), 1,false)"),"UNIT_PER_CTN")</f>
        <v>UNIT_PER_CTN</v>
      </c>
      <c r="I2167" s="136"/>
    </row>
    <row r="2168" ht="15.75" customHeight="1">
      <c r="A2168" s="59"/>
      <c r="B2168" s="63">
        <f t="shared" si="1"/>
        <v>16</v>
      </c>
      <c r="C2168" s="134" t="s">
        <v>136</v>
      </c>
      <c r="D2168" s="134" t="s">
        <v>74</v>
      </c>
      <c r="E2168" s="135">
        <f t="shared" si="50"/>
        <v>18</v>
      </c>
      <c r="F2168" s="134" t="s">
        <v>3615</v>
      </c>
      <c r="G2168" s="63" t="str">
        <f>VLOOKUP(C2168, 'Class Def. - General Data'!$C$20:$C$1000,1,false)</f>
        <v>ZFG1_SAVORYSNACK</v>
      </c>
      <c r="H2168" s="63" t="str">
        <f>IFERROR(__xludf.DUMMYFUNCTION("VLOOKUP(F2168, IMPORTRANGE(""https://docs.google.com/spreadsheets/d/1Lhp9OU0JdFf_VYSMzH5lBcEaU4o8teT1piV-SNzShjg/edit?gid=554141278#gid=554141278"", ""'Char Def. - Attributes'!C20:C2242""), 1,false)"),"UNIT_PER_BAG")</f>
        <v>UNIT_PER_BAG</v>
      </c>
      <c r="I2168" s="136"/>
    </row>
    <row r="2169" ht="15.75" customHeight="1">
      <c r="A2169" s="59"/>
      <c r="B2169" s="63">
        <f t="shared" si="1"/>
        <v>16</v>
      </c>
      <c r="C2169" s="134" t="s">
        <v>136</v>
      </c>
      <c r="D2169" s="134" t="s">
        <v>74</v>
      </c>
      <c r="E2169" s="135">
        <f t="shared" si="50"/>
        <v>19</v>
      </c>
      <c r="F2169" s="134" t="s">
        <v>3616</v>
      </c>
      <c r="G2169" s="63" t="str">
        <f>VLOOKUP(C2169, 'Class Def. - General Data'!$C$20:$C$1000,1,false)</f>
        <v>ZFG1_SAVORYSNACK</v>
      </c>
      <c r="H2169" s="63" t="str">
        <f>IFERROR(__xludf.DUMMYFUNCTION("VLOOKUP(F2169, IMPORTRANGE(""https://docs.google.com/spreadsheets/d/1Lhp9OU0JdFf_VYSMzH5lBcEaU4o8teT1piV-SNzShjg/edit?gid=554141278#gid=554141278"", ""'Char Def. - Attributes'!C20:C2242""), 1,false)"),"UNIT_PER_PAL")</f>
        <v>UNIT_PER_PAL</v>
      </c>
      <c r="I2169" s="136"/>
    </row>
    <row r="2170" ht="15.75" customHeight="1">
      <c r="A2170" s="59"/>
      <c r="B2170" s="63">
        <f t="shared" si="1"/>
        <v>16</v>
      </c>
      <c r="C2170" s="134" t="s">
        <v>136</v>
      </c>
      <c r="D2170" s="134" t="s">
        <v>74</v>
      </c>
      <c r="E2170" s="135">
        <f t="shared" si="50"/>
        <v>20</v>
      </c>
      <c r="F2170" s="134" t="s">
        <v>3617</v>
      </c>
      <c r="G2170" s="63" t="str">
        <f>VLOOKUP(C2170, 'Class Def. - General Data'!$C$20:$C$1000,1,false)</f>
        <v>ZFG1_SAVORYSNACK</v>
      </c>
      <c r="H2170" s="63" t="str">
        <f>IFERROR(__xludf.DUMMYFUNCTION("VLOOKUP(F2170, IMPORTRANGE(""https://docs.google.com/spreadsheets/d/1Lhp9OU0JdFf_VYSMzH5lBcEaU4o8teT1piV-SNzShjg/edit?gid=554141278#gid=554141278"", ""'Char Def. - Attributes'!C20:C2242""), 1,false)"),"UNIT_PER_TIER")</f>
        <v>UNIT_PER_TIER</v>
      </c>
      <c r="I2170" s="136"/>
    </row>
    <row r="2171" ht="15.75" customHeight="1">
      <c r="A2171" s="59"/>
      <c r="B2171" s="63">
        <f t="shared" si="1"/>
        <v>16</v>
      </c>
      <c r="C2171" s="134" t="s">
        <v>136</v>
      </c>
      <c r="D2171" s="134" t="s">
        <v>74</v>
      </c>
      <c r="E2171" s="135">
        <f t="shared" si="50"/>
        <v>21</v>
      </c>
      <c r="F2171" s="134" t="s">
        <v>3618</v>
      </c>
      <c r="G2171" s="63" t="str">
        <f>VLOOKUP(C2171, 'Class Def. - General Data'!$C$20:$C$1000,1,false)</f>
        <v>ZFG1_SAVORYSNACK</v>
      </c>
      <c r="H2171" s="63" t="str">
        <f>IFERROR(__xludf.DUMMYFUNCTION("VLOOKUP(F2171, IMPORTRANGE(""https://docs.google.com/spreadsheets/d/1Lhp9OU0JdFf_VYSMzH5lBcEaU4o8teT1piV-SNzShjg/edit?gid=554141278#gid=554141278"", ""'Char Def. - Attributes'!C20:C2242""), 1,false)"),"HEIGHT")</f>
        <v>HEIGHT</v>
      </c>
      <c r="I2171" s="136"/>
    </row>
    <row r="2172" ht="15.75" customHeight="1">
      <c r="A2172" s="59"/>
      <c r="B2172" s="63">
        <f t="shared" si="1"/>
        <v>16</v>
      </c>
      <c r="C2172" s="134" t="s">
        <v>136</v>
      </c>
      <c r="D2172" s="134" t="s">
        <v>74</v>
      </c>
      <c r="E2172" s="135">
        <f t="shared" si="50"/>
        <v>22</v>
      </c>
      <c r="F2172" s="134" t="s">
        <v>3587</v>
      </c>
      <c r="G2172" s="63" t="str">
        <f>VLOOKUP(C2172, 'Class Def. - General Data'!$C$20:$C$1000,1,false)</f>
        <v>ZFG1_SAVORYSNACK</v>
      </c>
      <c r="H2172" s="63" t="str">
        <f>IFERROR(__xludf.DUMMYFUNCTION("VLOOKUP(F2172, IMPORTRANGE(""https://docs.google.com/spreadsheets/d/1Lhp9OU0JdFf_VYSMzH5lBcEaU4o8teT1piV-SNzShjg/edit?gid=554141278#gid=554141278"", ""'Char Def. - Attributes'!C20:C2242""), 1,false)"),"PLANT_BUY")</f>
        <v>PLANT_BUY</v>
      </c>
      <c r="I2172" s="136"/>
    </row>
    <row r="2173" ht="15.75" customHeight="1">
      <c r="A2173" s="59"/>
      <c r="B2173" s="63">
        <f t="shared" si="1"/>
        <v>16</v>
      </c>
      <c r="C2173" s="134" t="s">
        <v>136</v>
      </c>
      <c r="D2173" s="134" t="s">
        <v>74</v>
      </c>
      <c r="E2173" s="135">
        <f t="shared" si="50"/>
        <v>23</v>
      </c>
      <c r="F2173" s="134" t="s">
        <v>3619</v>
      </c>
      <c r="G2173" s="63" t="str">
        <f>VLOOKUP(C2173, 'Class Def. - General Data'!$C$20:$C$1000,1,false)</f>
        <v>ZFG1_SAVORYSNACK</v>
      </c>
      <c r="H2173" s="63" t="str">
        <f>IFERROR(__xludf.DUMMYFUNCTION("VLOOKUP(F2173, IMPORTRANGE(""https://docs.google.com/spreadsheets/d/1Lhp9OU0JdFf_VYSMzH5lBcEaU4o8teT1piV-SNzShjg/edit?gid=554141278#gid=554141278"", ""'Char Def. - Attributes'!C20:C2242""), 1,false)"),"LENGTH")</f>
        <v>LENGTH</v>
      </c>
      <c r="I2173" s="136"/>
    </row>
    <row r="2174" ht="15.75" customHeight="1">
      <c r="A2174" s="59"/>
      <c r="B2174" s="63">
        <f t="shared" si="1"/>
        <v>16</v>
      </c>
      <c r="C2174" s="134" t="s">
        <v>136</v>
      </c>
      <c r="D2174" s="134" t="s">
        <v>74</v>
      </c>
      <c r="E2174" s="135">
        <f t="shared" si="50"/>
        <v>24</v>
      </c>
      <c r="F2174" s="134" t="s">
        <v>3586</v>
      </c>
      <c r="G2174" s="63" t="str">
        <f>VLOOKUP(C2174, 'Class Def. - General Data'!$C$20:$C$1000,1,false)</f>
        <v>ZFG1_SAVORYSNACK</v>
      </c>
      <c r="H2174" s="63" t="str">
        <f>IFERROR(__xludf.DUMMYFUNCTION("VLOOKUP(F2174, IMPORTRANGE(""https://docs.google.com/spreadsheets/d/1Lhp9OU0JdFf_VYSMzH5lBcEaU4o8teT1piV-SNzShjg/edit?gid=554141278#gid=554141278"", ""'Char Def. - Attributes'!C20:C2242""), 1,false)"),"PLANT_PROD")</f>
        <v>PLANT_PROD</v>
      </c>
      <c r="I2174" s="136"/>
    </row>
    <row r="2175" ht="15.75" customHeight="1">
      <c r="A2175" s="59"/>
      <c r="B2175" s="63">
        <f t="shared" si="1"/>
        <v>16</v>
      </c>
      <c r="C2175" s="134" t="s">
        <v>136</v>
      </c>
      <c r="D2175" s="134" t="s">
        <v>74</v>
      </c>
      <c r="E2175" s="135">
        <f t="shared" si="50"/>
        <v>25</v>
      </c>
      <c r="F2175" s="134" t="s">
        <v>3620</v>
      </c>
      <c r="G2175" s="63" t="str">
        <f>VLOOKUP(C2175, 'Class Def. - General Data'!$C$20:$C$1000,1,false)</f>
        <v>ZFG1_SAVORYSNACK</v>
      </c>
      <c r="H2175" s="63" t="str">
        <f>IFERROR(__xludf.DUMMYFUNCTION("VLOOKUP(F2175, IMPORTRANGE(""https://docs.google.com/spreadsheets/d/1Lhp9OU0JdFf_VYSMzH5lBcEaU4o8teT1piV-SNzShjg/edit?gid=554141278#gid=554141278"", ""'Char Def. - Attributes'!C20:C2242""), 1,false)"),"WIDTH")</f>
        <v>WIDTH</v>
      </c>
      <c r="I2175" s="136"/>
    </row>
    <row r="2176" ht="15.75" customHeight="1">
      <c r="A2176" s="59"/>
      <c r="B2176" s="63">
        <f t="shared" si="1"/>
        <v>16</v>
      </c>
      <c r="C2176" s="134" t="s">
        <v>136</v>
      </c>
      <c r="D2176" s="134" t="s">
        <v>74</v>
      </c>
      <c r="E2176" s="135">
        <f t="shared" si="50"/>
        <v>26</v>
      </c>
      <c r="F2176" s="134" t="s">
        <v>3585</v>
      </c>
      <c r="G2176" s="63" t="str">
        <f>VLOOKUP(C2176, 'Class Def. - General Data'!$C$20:$C$1000,1,false)</f>
        <v>ZFG1_SAVORYSNACK</v>
      </c>
      <c r="H2176" s="63" t="str">
        <f>IFERROR(__xludf.DUMMYFUNCTION("VLOOKUP(F2176, IMPORTRANGE(""https://docs.google.com/spreadsheets/d/1Lhp9OU0JdFf_VYSMzH5lBcEaU4o8teT1piV-SNzShjg/edit?gid=554141278#gid=554141278"", ""'Char Def. - Attributes'!C20:C2242""), 1,false)"),"HS_CODE")</f>
        <v>HS_CODE</v>
      </c>
      <c r="I2176" s="136"/>
    </row>
    <row r="2177" ht="15.75" customHeight="1">
      <c r="A2177" s="59"/>
      <c r="B2177" s="63">
        <f t="shared" si="1"/>
        <v>16</v>
      </c>
      <c r="C2177" s="134" t="s">
        <v>136</v>
      </c>
      <c r="D2177" s="134" t="s">
        <v>74</v>
      </c>
      <c r="E2177" s="135">
        <f t="shared" si="50"/>
        <v>27</v>
      </c>
      <c r="F2177" s="134" t="s">
        <v>3621</v>
      </c>
      <c r="G2177" s="63" t="str">
        <f>VLOOKUP(C2177, 'Class Def. - General Data'!$C$20:$C$1000,1,false)</f>
        <v>ZFG1_SAVORYSNACK</v>
      </c>
      <c r="H2177" s="63" t="str">
        <f>IFERROR(__xludf.DUMMYFUNCTION("VLOOKUP(F2177, IMPORTRANGE(""https://docs.google.com/spreadsheets/d/1Lhp9OU0JdFf_VYSMzH5lBcEaU4o8teT1piV-SNzShjg/edit?gid=554141278#gid=554141278"", ""'Char Def. - Attributes'!C20:C2242""), 1,false)"),"EAN_PCS")</f>
        <v>EAN_PCS</v>
      </c>
      <c r="I2177" s="136"/>
    </row>
    <row r="2178" ht="15.75" customHeight="1">
      <c r="A2178" s="59"/>
      <c r="B2178" s="63">
        <f t="shared" si="1"/>
        <v>16</v>
      </c>
      <c r="C2178" s="134" t="s">
        <v>136</v>
      </c>
      <c r="D2178" s="134" t="s">
        <v>74</v>
      </c>
      <c r="E2178" s="135">
        <f t="shared" si="50"/>
        <v>28</v>
      </c>
      <c r="F2178" s="134" t="s">
        <v>3622</v>
      </c>
      <c r="G2178" s="63" t="str">
        <f>VLOOKUP(C2178, 'Class Def. - General Data'!$C$20:$C$1000,1,false)</f>
        <v>ZFG1_SAVORYSNACK</v>
      </c>
      <c r="H2178" s="63" t="str">
        <f>IFERROR(__xludf.DUMMYFUNCTION("VLOOKUP(F2178, IMPORTRANGE(""https://docs.google.com/spreadsheets/d/1Lhp9OU0JdFf_VYSMzH5lBcEaU4o8teT1piV-SNzShjg/edit?gid=554141278#gid=554141278"", ""'Char Def. - Attributes'!C20:C2242""), 1,false)"),"SFG_BRAND")</f>
        <v>SFG_BRAND</v>
      </c>
      <c r="I2178" s="136"/>
    </row>
    <row r="2179" ht="15.75" customHeight="1">
      <c r="A2179" s="59"/>
      <c r="B2179" s="63">
        <f t="shared" si="1"/>
        <v>16</v>
      </c>
      <c r="C2179" s="134" t="s">
        <v>136</v>
      </c>
      <c r="D2179" s="134" t="s">
        <v>74</v>
      </c>
      <c r="E2179" s="135">
        <f t="shared" si="50"/>
        <v>29</v>
      </c>
      <c r="F2179" s="134" t="s">
        <v>3623</v>
      </c>
      <c r="G2179" s="63" t="str">
        <f>VLOOKUP(C2179, 'Class Def. - General Data'!$C$20:$C$1000,1,false)</f>
        <v>ZFG1_SAVORYSNACK</v>
      </c>
      <c r="H2179" s="63" t="str">
        <f>IFERROR(__xludf.DUMMYFUNCTION("VLOOKUP(F2179, IMPORTRANGE(""https://docs.google.com/spreadsheets/d/1Lhp9OU0JdFf_VYSMzH5lBcEaU4o8teT1piV-SNzShjg/edit?gid=554141278#gid=554141278"", ""'Char Def. - Attributes'!C20:C2242""), 1,false)"),"LANGUAGE")</f>
        <v>LANGUAGE</v>
      </c>
      <c r="I2179" s="136"/>
    </row>
    <row r="2180" ht="15.75" customHeight="1">
      <c r="A2180" s="59"/>
      <c r="B2180" s="63">
        <f t="shared" si="1"/>
        <v>16</v>
      </c>
      <c r="C2180" s="139" t="s">
        <v>136</v>
      </c>
      <c r="D2180" s="139" t="s">
        <v>74</v>
      </c>
      <c r="E2180" s="140">
        <f t="shared" si="50"/>
        <v>30</v>
      </c>
      <c r="F2180" s="134" t="s">
        <v>3624</v>
      </c>
      <c r="G2180" s="63" t="str">
        <f>VLOOKUP(C2180, 'Class Def. - General Data'!$C$20:$C$1000,1,false)</f>
        <v>ZFG1_SAVORYSNACK</v>
      </c>
      <c r="H2180" s="63" t="str">
        <f>IFERROR(__xludf.DUMMYFUNCTION("VLOOKUP(F2180, IMPORTRANGE(""https://docs.google.com/spreadsheets/d/1Lhp9OU0JdFf_VYSMzH5lBcEaU4o8teT1piV-SNzShjg/edit?gid=554141278#gid=554141278"", ""'Char Def. - Attributes'!C20:C2242""), 1,false)"),"#N/A")</f>
        <v>#N/A</v>
      </c>
      <c r="I2180" s="136"/>
    </row>
    <row r="2181" ht="15.75" customHeight="1">
      <c r="A2181" s="59"/>
      <c r="B2181" s="63">
        <f t="shared" si="1"/>
        <v>16</v>
      </c>
      <c r="C2181" s="134" t="s">
        <v>136</v>
      </c>
      <c r="D2181" s="134" t="s">
        <v>74</v>
      </c>
      <c r="E2181" s="135">
        <f t="shared" si="50"/>
        <v>31</v>
      </c>
      <c r="F2181" s="134" t="s">
        <v>3625</v>
      </c>
      <c r="G2181" s="63" t="str">
        <f>VLOOKUP(C2181, 'Class Def. - General Data'!$C$20:$C$1000,1,false)</f>
        <v>ZFG1_SAVORYSNACK</v>
      </c>
      <c r="H2181" s="63" t="str">
        <f>IFERROR(__xludf.DUMMYFUNCTION("VLOOKUP(F2181, IMPORTRANGE(""https://docs.google.com/spreadsheets/d/1Lhp9OU0JdFf_VYSMzH5lBcEaU4o8teT1piV-SNzShjg/edit?gid=554141278#gid=554141278"", ""'Char Def. - Attributes'!C20:C2242""), 1,false)"),"REGION_EKSPOR")</f>
        <v>REGION_EKSPOR</v>
      </c>
      <c r="I2181" s="136"/>
    </row>
    <row r="2182" ht="15.75" customHeight="1">
      <c r="A2182" s="59"/>
      <c r="B2182" s="63">
        <f t="shared" si="1"/>
        <v>16</v>
      </c>
      <c r="C2182" s="134" t="s">
        <v>136</v>
      </c>
      <c r="D2182" s="134" t="s">
        <v>74</v>
      </c>
      <c r="E2182" s="135">
        <f t="shared" si="50"/>
        <v>32</v>
      </c>
      <c r="F2182" s="134" t="s">
        <v>3626</v>
      </c>
      <c r="G2182" s="63" t="str">
        <f>VLOOKUP(C2182, 'Class Def. - General Data'!$C$20:$C$1000,1,false)</f>
        <v>ZFG1_SAVORYSNACK</v>
      </c>
      <c r="H2182" s="63" t="str">
        <f>IFERROR(__xludf.DUMMYFUNCTION("VLOOKUP(F2182, IMPORTRANGE(""https://docs.google.com/spreadsheets/d/1Lhp9OU0JdFf_VYSMzH5lBcEaU4o8teT1piV-SNzShjg/edit?gid=554141278#gid=554141278"", ""'Char Def. - Attributes'!C20:C2242""), 1,false)"),"STICKER_NOT")</f>
        <v>STICKER_NOT</v>
      </c>
      <c r="I2182" s="136"/>
    </row>
    <row r="2183" ht="15.75" customHeight="1">
      <c r="A2183" s="59"/>
      <c r="B2183" s="63">
        <f t="shared" si="1"/>
        <v>16</v>
      </c>
      <c r="C2183" s="134" t="s">
        <v>136</v>
      </c>
      <c r="D2183" s="134" t="s">
        <v>74</v>
      </c>
      <c r="E2183" s="135">
        <f t="shared" si="50"/>
        <v>33</v>
      </c>
      <c r="F2183" s="134" t="s">
        <v>3627</v>
      </c>
      <c r="G2183" s="63" t="str">
        <f>VLOOKUP(C2183, 'Class Def. - General Data'!$C$20:$C$1000,1,false)</f>
        <v>ZFG1_SAVORYSNACK</v>
      </c>
      <c r="H2183" s="63" t="str">
        <f>IFERROR(__xludf.DUMMYFUNCTION("VLOOKUP(F2183, IMPORTRANGE(""https://docs.google.com/spreadsheets/d/1Lhp9OU0JdFf_VYSMzH5lBcEaU4o8teT1piV-SNzShjg/edit?gid=554141278#gid=554141278"", ""'Char Def. - Attributes'!C20:C2242""), 1,false)"),"SHIP_MARK")</f>
        <v>SHIP_MARK</v>
      </c>
      <c r="I2183" s="136"/>
    </row>
    <row r="2184" ht="15.75" customHeight="1">
      <c r="A2184" s="59"/>
      <c r="B2184" s="63">
        <f t="shared" si="1"/>
        <v>16</v>
      </c>
      <c r="C2184" s="134" t="s">
        <v>136</v>
      </c>
      <c r="D2184" s="134" t="s">
        <v>74</v>
      </c>
      <c r="E2184" s="135">
        <f t="shared" si="50"/>
        <v>34</v>
      </c>
      <c r="F2184" s="134" t="s">
        <v>3628</v>
      </c>
      <c r="G2184" s="63" t="str">
        <f>VLOOKUP(C2184, 'Class Def. - General Data'!$C$20:$C$1000,1,false)</f>
        <v>ZFG1_SAVORYSNACK</v>
      </c>
      <c r="H2184" s="63" t="str">
        <f>IFERROR(__xludf.DUMMYFUNCTION("VLOOKUP(F2184, IMPORTRANGE(""https://docs.google.com/spreadsheets/d/1Lhp9OU0JdFf_VYSMzH5lBcEaU4o8teT1piV-SNzShjg/edit?gid=554141278#gid=554141278"", ""'Char Def. - Attributes'!C20:C2242""), 1,false)"),"MID_CORE")</f>
        <v>MID_CORE</v>
      </c>
      <c r="I2184" s="136"/>
    </row>
    <row r="2185" ht="15.75" customHeight="1">
      <c r="A2185" s="59"/>
      <c r="B2185" s="63">
        <f t="shared" si="1"/>
        <v>16</v>
      </c>
      <c r="C2185" s="134" t="s">
        <v>136</v>
      </c>
      <c r="D2185" s="134" t="s">
        <v>74</v>
      </c>
      <c r="E2185" s="135">
        <f t="shared" si="50"/>
        <v>35</v>
      </c>
      <c r="F2185" s="134" t="s">
        <v>3629</v>
      </c>
      <c r="G2185" s="63" t="str">
        <f>VLOOKUP(C2185, 'Class Def. - General Data'!$C$20:$C$1000,1,false)</f>
        <v>ZFG1_SAVORYSNACK</v>
      </c>
      <c r="H2185" s="63" t="str">
        <f>IFERROR(__xludf.DUMMYFUNCTION("VLOOKUP(F2185, IMPORTRANGE(""https://docs.google.com/spreadsheets/d/1Lhp9OU0JdFf_VYSMzH5lBcEaU4o8teT1piV-SNzShjg/edit?gid=554141278#gid=554141278"", ""'Char Def. - Attributes'!C20:C2242""), 1,false)"),"EAN_CTN")</f>
        <v>EAN_CTN</v>
      </c>
      <c r="I2185" s="136"/>
    </row>
    <row r="2186" ht="15.75" customHeight="1">
      <c r="A2186" s="59"/>
      <c r="B2186" s="63">
        <f t="shared" si="1"/>
        <v>16</v>
      </c>
      <c r="C2186" s="134" t="s">
        <v>136</v>
      </c>
      <c r="D2186" s="134" t="s">
        <v>74</v>
      </c>
      <c r="E2186" s="135">
        <f t="shared" si="50"/>
        <v>36</v>
      </c>
      <c r="F2186" s="134" t="s">
        <v>3630</v>
      </c>
      <c r="G2186" s="63" t="str">
        <f>VLOOKUP(C2186, 'Class Def. - General Data'!$C$20:$C$1000,1,false)</f>
        <v>ZFG1_SAVORYSNACK</v>
      </c>
      <c r="H2186" s="63" t="str">
        <f>IFERROR(__xludf.DUMMYFUNCTION("VLOOKUP(F2186, IMPORTRANGE(""https://docs.google.com/spreadsheets/d/1Lhp9OU0JdFf_VYSMzH5lBcEaU4o8teT1piV-SNzShjg/edit?gid=554141278#gid=554141278"", ""'Char Def. - Attributes'!C20:C2242""), 1,false)"),"EAN_BOX")</f>
        <v>EAN_BOX</v>
      </c>
      <c r="I2186" s="136"/>
    </row>
    <row r="2187" ht="15.75" customHeight="1">
      <c r="A2187" s="59"/>
      <c r="B2187" s="63">
        <f t="shared" si="1"/>
        <v>16</v>
      </c>
      <c r="C2187" s="134" t="s">
        <v>136</v>
      </c>
      <c r="D2187" s="141" t="s">
        <v>74</v>
      </c>
      <c r="E2187" s="135">
        <v>22.0</v>
      </c>
      <c r="F2187" s="135" t="s">
        <v>3603</v>
      </c>
      <c r="G2187" s="63" t="str">
        <f>VLOOKUP(C2187, 'Class Def. - General Data'!$C$20:$C$1000,1,false)</f>
        <v>ZFG1_SAVORYSNACK</v>
      </c>
      <c r="I2187" s="136"/>
    </row>
    <row r="2188" ht="15.75" customHeight="1">
      <c r="A2188" s="59"/>
      <c r="B2188" s="63">
        <f t="shared" si="1"/>
        <v>14</v>
      </c>
      <c r="C2188" s="134" t="s">
        <v>137</v>
      </c>
      <c r="D2188" s="134" t="s">
        <v>74</v>
      </c>
      <c r="E2188" s="135">
        <f t="shared" ref="E2188:E2223" si="51">COUNTIF($C$20:C2188,C2188)</f>
        <v>1</v>
      </c>
      <c r="F2188" s="134" t="s">
        <v>3754</v>
      </c>
      <c r="G2188" s="63" t="str">
        <f>VLOOKUP(C2188, 'Class Def. - General Data'!$C$20:$C$1000,1,false)</f>
        <v>ZFG1_SEASONING</v>
      </c>
      <c r="H2188" s="63" t="str">
        <f>IFERROR(__xludf.DUMMYFUNCTION("VLOOKUP(F2188, IMPORTRANGE(""https://docs.google.com/spreadsheets/d/1Lhp9OU0JdFf_VYSMzH5lBcEaU4o8teT1piV-SNzShjg/edit?gid=554141278#gid=554141278"", ""'Char Def. - Attributes'!C20:C2242""), 1,false)"),"BRAND_SEASONING")</f>
        <v>BRAND_SEASONING</v>
      </c>
      <c r="I2188" s="136"/>
    </row>
    <row r="2189" ht="15.75" customHeight="1">
      <c r="A2189" s="59"/>
      <c r="B2189" s="63">
        <f t="shared" si="1"/>
        <v>14</v>
      </c>
      <c r="C2189" s="135" t="s">
        <v>137</v>
      </c>
      <c r="D2189" s="134" t="s">
        <v>74</v>
      </c>
      <c r="E2189" s="135">
        <f t="shared" si="51"/>
        <v>2</v>
      </c>
      <c r="F2189" s="134" t="s">
        <v>3755</v>
      </c>
      <c r="G2189" s="63" t="str">
        <f>VLOOKUP(C2189, 'Class Def. - General Data'!$C$20:$C$1000,1,false)</f>
        <v>ZFG1_SEASONING</v>
      </c>
      <c r="H2189" s="63" t="str">
        <f>IFERROR(__xludf.DUMMYFUNCTION("VLOOKUP(F2189, IMPORTRANGE(""https://docs.google.com/spreadsheets/d/1Lhp9OU0JdFf_VYSMzH5lBcEaU4o8teT1piV-SNzShjg/edit?gid=554141278#gid=554141278"", ""'Char Def. - Attributes'!C20:C2242""), 1,false)"),"PSHAPE_SEASONING")</f>
        <v>PSHAPE_SEASONING</v>
      </c>
      <c r="I2189" s="136"/>
    </row>
    <row r="2190" ht="15.75" customHeight="1">
      <c r="A2190" s="59"/>
      <c r="B2190" s="63">
        <f t="shared" si="1"/>
        <v>14</v>
      </c>
      <c r="C2190" s="134" t="s">
        <v>137</v>
      </c>
      <c r="D2190" s="134" t="s">
        <v>74</v>
      </c>
      <c r="E2190" s="135">
        <f t="shared" si="51"/>
        <v>3</v>
      </c>
      <c r="F2190" s="134" t="s">
        <v>3605</v>
      </c>
      <c r="G2190" s="63" t="str">
        <f>VLOOKUP(C2190, 'Class Def. - General Data'!$C$20:$C$1000,1,false)</f>
        <v>ZFG1_SEASONING</v>
      </c>
      <c r="H2190" s="63" t="str">
        <f>IFERROR(__xludf.DUMMYFUNCTION("VLOOKUP(F2190, IMPORTRANGE(""https://docs.google.com/spreadsheets/d/1Lhp9OU0JdFf_VYSMzH5lBcEaU4o8teT1piV-SNzShjg/edit?gid=554141278#gid=554141278"", ""'Char Def. - Attributes'!C20:C2242""), 1,false)"),"PACK_NETTO")</f>
        <v>PACK_NETTO</v>
      </c>
      <c r="I2190" s="136"/>
    </row>
    <row r="2191" ht="15.75" customHeight="1">
      <c r="A2191" s="59"/>
      <c r="B2191" s="63">
        <f t="shared" si="1"/>
        <v>14</v>
      </c>
      <c r="C2191" s="135" t="s">
        <v>137</v>
      </c>
      <c r="D2191" s="134" t="s">
        <v>74</v>
      </c>
      <c r="E2191" s="135">
        <f t="shared" si="51"/>
        <v>4</v>
      </c>
      <c r="F2191" s="134" t="s">
        <v>3756</v>
      </c>
      <c r="G2191" s="63" t="str">
        <f>VLOOKUP(C2191, 'Class Def. - General Data'!$C$20:$C$1000,1,false)</f>
        <v>ZFG1_SEASONING</v>
      </c>
      <c r="H2191" s="63" t="str">
        <f>IFERROR(__xludf.DUMMYFUNCTION("VLOOKUP(F2191, IMPORTRANGE(""https://docs.google.com/spreadsheets/d/1Lhp9OU0JdFf_VYSMzH5lBcEaU4o8teT1piV-SNzShjg/edit?gid=554141278#gid=554141278"", ""'Char Def. - Attributes'!C20:C2242""), 1,false)"),"PUOM_SEASONING")</f>
        <v>PUOM_SEASONING</v>
      </c>
      <c r="I2191" s="136"/>
    </row>
    <row r="2192" ht="15.75" customHeight="1">
      <c r="A2192" s="59"/>
      <c r="B2192" s="63">
        <f t="shared" si="1"/>
        <v>14</v>
      </c>
      <c r="C2192" s="134" t="s">
        <v>137</v>
      </c>
      <c r="D2192" s="134" t="s">
        <v>74</v>
      </c>
      <c r="E2192" s="135">
        <f t="shared" si="51"/>
        <v>5</v>
      </c>
      <c r="F2192" s="134" t="s">
        <v>3607</v>
      </c>
      <c r="G2192" s="63" t="str">
        <f>VLOOKUP(C2192, 'Class Def. - General Data'!$C$20:$C$1000,1,false)</f>
        <v>ZFG1_SEASONING</v>
      </c>
      <c r="H2192" s="63" t="str">
        <f>IFERROR(__xludf.DUMMYFUNCTION("VLOOKUP(F2192, IMPORTRANGE(""https://docs.google.com/spreadsheets/d/1Lhp9OU0JdFf_VYSMzH5lBcEaU4o8teT1piV-SNzShjg/edit?gid=554141278#gid=554141278"", ""'Char Def. - Attributes'!C20:C2242""), 1,false)"),"VARIAN")</f>
        <v>VARIAN</v>
      </c>
      <c r="I2192" s="136"/>
    </row>
    <row r="2193" ht="15.75" customHeight="1">
      <c r="A2193" s="59"/>
      <c r="B2193" s="63">
        <f t="shared" si="1"/>
        <v>14</v>
      </c>
      <c r="C2193" s="134" t="s">
        <v>137</v>
      </c>
      <c r="D2193" s="134" t="s">
        <v>74</v>
      </c>
      <c r="E2193" s="135">
        <f t="shared" si="51"/>
        <v>6</v>
      </c>
      <c r="F2193" s="134" t="s">
        <v>3608</v>
      </c>
      <c r="G2193" s="63" t="str">
        <f>VLOOKUP(C2193, 'Class Def. - General Data'!$C$20:$C$1000,1,false)</f>
        <v>ZFG1_SEASONING</v>
      </c>
      <c r="H2193" s="63" t="str">
        <f>IFERROR(__xludf.DUMMYFUNCTION("VLOOKUP(F2193, IMPORTRANGE(""https://docs.google.com/spreadsheets/d/1Lhp9OU0JdFf_VYSMzH5lBcEaU4o8teT1piV-SNzShjg/edit?gid=554141278#gid=554141278"", ""'Char Def. - Attributes'!C20:C2242""), 1,false)"),"PROJECT_NAME")</f>
        <v>PROJECT_NAME</v>
      </c>
      <c r="I2193" s="136"/>
    </row>
    <row r="2194" ht="15.75" customHeight="1">
      <c r="A2194" s="59"/>
      <c r="B2194" s="63">
        <f t="shared" si="1"/>
        <v>14</v>
      </c>
      <c r="C2194" s="134" t="s">
        <v>137</v>
      </c>
      <c r="D2194" s="134" t="s">
        <v>74</v>
      </c>
      <c r="E2194" s="135">
        <f t="shared" si="51"/>
        <v>7</v>
      </c>
      <c r="F2194" s="134" t="s">
        <v>3609</v>
      </c>
      <c r="G2194" s="63" t="str">
        <f>VLOOKUP(C2194, 'Class Def. - General Data'!$C$20:$C$1000,1,false)</f>
        <v>ZFG1_SEASONING</v>
      </c>
      <c r="H2194" s="63" t="str">
        <f>IFERROR(__xludf.DUMMYFUNCTION("VLOOKUP(F2194, IMPORTRANGE(""https://docs.google.com/spreadsheets/d/1Lhp9OU0JdFf_VYSMzH5lBcEaU4o8teT1piV-SNzShjg/edit?gid=554141278#gid=554141278"", ""'Char Def. - Attributes'!C20:C2242""), 1,false)"),"ADDITIONAL_PROMO")</f>
        <v>ADDITIONAL_PROMO</v>
      </c>
      <c r="I2194" s="136"/>
    </row>
    <row r="2195" ht="15.75" customHeight="1">
      <c r="A2195" s="59"/>
      <c r="B2195" s="63">
        <f t="shared" si="1"/>
        <v>14</v>
      </c>
      <c r="C2195" s="134" t="s">
        <v>137</v>
      </c>
      <c r="D2195" s="134" t="s">
        <v>74</v>
      </c>
      <c r="E2195" s="135">
        <f t="shared" si="51"/>
        <v>8</v>
      </c>
      <c r="F2195" s="134" t="s">
        <v>3610</v>
      </c>
      <c r="G2195" s="63" t="str">
        <f>VLOOKUP(C2195, 'Class Def. - General Data'!$C$20:$C$1000,1,false)</f>
        <v>ZFG1_SEASONING</v>
      </c>
      <c r="H2195" s="63" t="str">
        <f>IFERROR(__xludf.DUMMYFUNCTION("VLOOKUP(F2195, IMPORTRANGE(""https://docs.google.com/spreadsheets/d/1Lhp9OU0JdFf_VYSMzH5lBcEaU4o8teT1piV-SNzShjg/edit?gid=554141278#gid=554141278"", ""'Char Def. - Attributes'!C20:C2242""), 1,false)"),"BANDED_PROMO")</f>
        <v>BANDED_PROMO</v>
      </c>
      <c r="I2195" s="136"/>
    </row>
    <row r="2196" ht="15.75" customHeight="1">
      <c r="A2196" s="59"/>
      <c r="B2196" s="63">
        <f t="shared" si="1"/>
        <v>14</v>
      </c>
      <c r="C2196" s="134" t="s">
        <v>137</v>
      </c>
      <c r="D2196" s="134" t="s">
        <v>74</v>
      </c>
      <c r="E2196" s="135">
        <f t="shared" si="51"/>
        <v>9</v>
      </c>
      <c r="F2196" s="134" t="s">
        <v>3611</v>
      </c>
      <c r="G2196" s="63" t="str">
        <f>VLOOKUP(C2196, 'Class Def. - General Data'!$C$20:$C$1000,1,false)</f>
        <v>ZFG1_SEASONING</v>
      </c>
      <c r="H2196" s="63" t="str">
        <f>IFERROR(__xludf.DUMMYFUNCTION("VLOOKUP(F2196, IMPORTRANGE(""https://docs.google.com/spreadsheets/d/1Lhp9OU0JdFf_VYSMzH5lBcEaU4o8teT1piV-SNzShjg/edit?gid=554141278#gid=554141278"", ""'Char Def. - Attributes'!C20:C2242""), 1,false)"),"LOKAL_EKSPOR")</f>
        <v>LOKAL_EKSPOR</v>
      </c>
      <c r="I2196" s="136"/>
    </row>
    <row r="2197" ht="15.75" customHeight="1">
      <c r="A2197" s="59"/>
      <c r="B2197" s="63">
        <f t="shared" si="1"/>
        <v>14</v>
      </c>
      <c r="C2197" s="134" t="s">
        <v>137</v>
      </c>
      <c r="D2197" s="134" t="s">
        <v>74</v>
      </c>
      <c r="E2197" s="135">
        <f t="shared" si="51"/>
        <v>10</v>
      </c>
      <c r="F2197" s="134" t="s">
        <v>3612</v>
      </c>
      <c r="G2197" s="63" t="str">
        <f>VLOOKUP(C2197, 'Class Def. - General Data'!$C$20:$C$1000,1,false)</f>
        <v>ZFG1_SEASONING</v>
      </c>
      <c r="H2197" s="63" t="str">
        <f>IFERROR(__xludf.DUMMYFUNCTION("VLOOKUP(F2197, IMPORTRANGE(""https://docs.google.com/spreadsheets/d/1Lhp9OU0JdFf_VYSMzH5lBcEaU4o8teT1piV-SNzShjg/edit?gid=554141278#gid=554141278"", ""'Char Def. - Attributes'!C20:C2242""), 1,false)"),"COUNTRY_EKSPOR")</f>
        <v>COUNTRY_EKSPOR</v>
      </c>
      <c r="I2197" s="136"/>
    </row>
    <row r="2198" ht="15.75" customHeight="1">
      <c r="A2198" s="59"/>
      <c r="B2198" s="63">
        <f t="shared" si="1"/>
        <v>14</v>
      </c>
      <c r="C2198" s="134" t="s">
        <v>137</v>
      </c>
      <c r="D2198" s="134" t="s">
        <v>74</v>
      </c>
      <c r="E2198" s="135">
        <f t="shared" si="51"/>
        <v>11</v>
      </c>
      <c r="F2198" s="134" t="s">
        <v>3613</v>
      </c>
      <c r="G2198" s="63" t="str">
        <f>VLOOKUP(C2198, 'Class Def. - General Data'!$C$20:$C$1000,1,false)</f>
        <v>ZFG1_SEASONING</v>
      </c>
      <c r="H2198" s="63" t="str">
        <f>IFERROR(__xludf.DUMMYFUNCTION("VLOOKUP(F2198, IMPORTRANGE(""https://docs.google.com/spreadsheets/d/1Lhp9OU0JdFf_VYSMzH5lBcEaU4o8teT1piV-SNzShjg/edit?gid=554141278#gid=554141278"", ""'Char Def. - Attributes'!C20:C2242""), 1,false)"),"WARNA_SFG")</f>
        <v>WARNA_SFG</v>
      </c>
      <c r="I2198" s="136"/>
    </row>
    <row r="2199" ht="15.75" customHeight="1">
      <c r="A2199" s="59"/>
      <c r="B2199" s="63">
        <f t="shared" si="1"/>
        <v>14</v>
      </c>
      <c r="C2199" s="134" t="s">
        <v>137</v>
      </c>
      <c r="D2199" s="134" t="s">
        <v>74</v>
      </c>
      <c r="E2199" s="135">
        <f t="shared" si="51"/>
        <v>12</v>
      </c>
      <c r="F2199" s="134" t="s">
        <v>3582</v>
      </c>
      <c r="G2199" s="63" t="str">
        <f>VLOOKUP(C2199, 'Class Def. - General Data'!$C$20:$C$1000,1,false)</f>
        <v>ZFG1_SEASONING</v>
      </c>
      <c r="H2199" s="63" t="str">
        <f>IFERROR(__xludf.DUMMYFUNCTION("VLOOKUP(F2199, IMPORTRANGE(""https://docs.google.com/spreadsheets/d/1Lhp9OU0JdFf_VYSMzH5lBcEaU4o8teT1piV-SNzShjg/edit?gid=554141278#gid=554141278"", ""'Char Def. - Attributes'!C20:C2242""), 1,false)"),"BASE_UNIT")</f>
        <v>BASE_UNIT</v>
      </c>
      <c r="I2199" s="136"/>
    </row>
    <row r="2200" ht="15.75" customHeight="1">
      <c r="A2200" s="59"/>
      <c r="B2200" s="63">
        <f t="shared" si="1"/>
        <v>14</v>
      </c>
      <c r="C2200" s="134" t="s">
        <v>137</v>
      </c>
      <c r="D2200" s="134" t="s">
        <v>74</v>
      </c>
      <c r="E2200" s="135">
        <f t="shared" si="51"/>
        <v>13</v>
      </c>
      <c r="F2200" s="134" t="s">
        <v>3583</v>
      </c>
      <c r="G2200" s="63" t="str">
        <f>VLOOKUP(C2200, 'Class Def. - General Data'!$C$20:$C$1000,1,false)</f>
        <v>ZFG1_SEASONING</v>
      </c>
      <c r="H2200" s="63" t="str">
        <f>IFERROR(__xludf.DUMMYFUNCTION("VLOOKUP(F2200, IMPORTRANGE(""https://docs.google.com/spreadsheets/d/1Lhp9OU0JdFf_VYSMzH5lBcEaU4o8teT1piV-SNzShjg/edit?gid=554141278#gid=554141278"", ""'Char Def. - Attributes'!C20:C2242""), 1,false)"),"SALES_UNIT")</f>
        <v>SALES_UNIT</v>
      </c>
      <c r="I2200" s="136"/>
    </row>
    <row r="2201" ht="15.75" customHeight="1">
      <c r="A2201" s="59"/>
      <c r="B2201" s="63">
        <f t="shared" si="1"/>
        <v>14</v>
      </c>
      <c r="C2201" s="134" t="s">
        <v>137</v>
      </c>
      <c r="D2201" s="134" t="s">
        <v>74</v>
      </c>
      <c r="E2201" s="135">
        <f t="shared" si="51"/>
        <v>14</v>
      </c>
      <c r="F2201" s="134" t="s">
        <v>3601</v>
      </c>
      <c r="G2201" s="63" t="str">
        <f>VLOOKUP(C2201, 'Class Def. - General Data'!$C$20:$C$1000,1,false)</f>
        <v>ZFG1_SEASONING</v>
      </c>
      <c r="H2201" s="63" t="str">
        <f>IFERROR(__xludf.DUMMYFUNCTION("VLOOKUP(F2201, IMPORTRANGE(""https://docs.google.com/spreadsheets/d/1Lhp9OU0JdFf_VYSMzH5lBcEaU4o8teT1piV-SNzShjg/edit?gid=554141278#gid=554141278"", ""'Char Def. - Attributes'!C20:C2242""), 1,false)"),"GROSS_WEIGHT")</f>
        <v>GROSS_WEIGHT</v>
      </c>
      <c r="I2201" s="136"/>
    </row>
    <row r="2202" ht="15.75" customHeight="1">
      <c r="A2202" s="59"/>
      <c r="B2202" s="63">
        <f t="shared" si="1"/>
        <v>14</v>
      </c>
      <c r="C2202" s="134" t="s">
        <v>137</v>
      </c>
      <c r="D2202" s="134" t="s">
        <v>74</v>
      </c>
      <c r="E2202" s="135">
        <f t="shared" si="51"/>
        <v>15</v>
      </c>
      <c r="F2202" s="134" t="s">
        <v>3602</v>
      </c>
      <c r="G2202" s="63" t="str">
        <f>VLOOKUP(C2202, 'Class Def. - General Data'!$C$20:$C$1000,1,false)</f>
        <v>ZFG1_SEASONING</v>
      </c>
      <c r="H2202" s="63" t="str">
        <f>IFERROR(__xludf.DUMMYFUNCTION("VLOOKUP(F2202, IMPORTRANGE(""https://docs.google.com/spreadsheets/d/1Lhp9OU0JdFf_VYSMzH5lBcEaU4o8teT1piV-SNzShjg/edit?gid=554141278#gid=554141278"", ""'Char Def. - Attributes'!C20:C2242""), 1,false)"),"NET_WEIGHT")</f>
        <v>NET_WEIGHT</v>
      </c>
      <c r="I2202" s="136"/>
    </row>
    <row r="2203" ht="15.75" customHeight="1">
      <c r="A2203" s="59"/>
      <c r="B2203" s="63">
        <f t="shared" si="1"/>
        <v>14</v>
      </c>
      <c r="C2203" s="134" t="s">
        <v>137</v>
      </c>
      <c r="D2203" s="134" t="s">
        <v>74</v>
      </c>
      <c r="E2203" s="135">
        <f t="shared" si="51"/>
        <v>16</v>
      </c>
      <c r="F2203" s="134" t="s">
        <v>3584</v>
      </c>
      <c r="G2203" s="63" t="str">
        <f>VLOOKUP(C2203, 'Class Def. - General Data'!$C$20:$C$1000,1,false)</f>
        <v>ZFG1_SEASONING</v>
      </c>
      <c r="H2203" s="63" t="str">
        <f>IFERROR(__xludf.DUMMYFUNCTION("VLOOKUP(F2203, IMPORTRANGE(""https://docs.google.com/spreadsheets/d/1Lhp9OU0JdFf_VYSMzH5lBcEaU4o8teT1piV-SNzShjg/edit?gid=554141278#gid=554141278"", ""'Char Def. - Attributes'!C20:C2242""), 1,false)"),"UNIT_PER_BOX")</f>
        <v>UNIT_PER_BOX</v>
      </c>
      <c r="I2203" s="136"/>
    </row>
    <row r="2204" ht="15.75" customHeight="1">
      <c r="A2204" s="59"/>
      <c r="B2204" s="63">
        <f t="shared" si="1"/>
        <v>14</v>
      </c>
      <c r="C2204" s="134" t="s">
        <v>137</v>
      </c>
      <c r="D2204" s="134" t="s">
        <v>74</v>
      </c>
      <c r="E2204" s="135">
        <f t="shared" si="51"/>
        <v>17</v>
      </c>
      <c r="F2204" s="134" t="s">
        <v>3614</v>
      </c>
      <c r="G2204" s="63" t="str">
        <f>VLOOKUP(C2204, 'Class Def. - General Data'!$C$20:$C$1000,1,false)</f>
        <v>ZFG1_SEASONING</v>
      </c>
      <c r="H2204" s="63" t="str">
        <f>IFERROR(__xludf.DUMMYFUNCTION("VLOOKUP(F2204, IMPORTRANGE(""https://docs.google.com/spreadsheets/d/1Lhp9OU0JdFf_VYSMzH5lBcEaU4o8teT1piV-SNzShjg/edit?gid=554141278#gid=554141278"", ""'Char Def. - Attributes'!C20:C2242""), 1,false)"),"UNIT_PER_CTN")</f>
        <v>UNIT_PER_CTN</v>
      </c>
      <c r="I2204" s="136"/>
    </row>
    <row r="2205" ht="15.75" customHeight="1">
      <c r="A2205" s="59"/>
      <c r="B2205" s="63">
        <f t="shared" si="1"/>
        <v>14</v>
      </c>
      <c r="C2205" s="134" t="s">
        <v>137</v>
      </c>
      <c r="D2205" s="134" t="s">
        <v>74</v>
      </c>
      <c r="E2205" s="135">
        <f t="shared" si="51"/>
        <v>18</v>
      </c>
      <c r="F2205" s="134" t="s">
        <v>3615</v>
      </c>
      <c r="G2205" s="63" t="str">
        <f>VLOOKUP(C2205, 'Class Def. - General Data'!$C$20:$C$1000,1,false)</f>
        <v>ZFG1_SEASONING</v>
      </c>
      <c r="H2205" s="63" t="str">
        <f>IFERROR(__xludf.DUMMYFUNCTION("VLOOKUP(F2205, IMPORTRANGE(""https://docs.google.com/spreadsheets/d/1Lhp9OU0JdFf_VYSMzH5lBcEaU4o8teT1piV-SNzShjg/edit?gid=554141278#gid=554141278"", ""'Char Def. - Attributes'!C20:C2242""), 1,false)"),"UNIT_PER_BAG")</f>
        <v>UNIT_PER_BAG</v>
      </c>
      <c r="I2205" s="136"/>
    </row>
    <row r="2206" ht="15.75" customHeight="1">
      <c r="A2206" s="59"/>
      <c r="B2206" s="63">
        <f t="shared" si="1"/>
        <v>14</v>
      </c>
      <c r="C2206" s="134" t="s">
        <v>137</v>
      </c>
      <c r="D2206" s="134" t="s">
        <v>74</v>
      </c>
      <c r="E2206" s="135">
        <f t="shared" si="51"/>
        <v>19</v>
      </c>
      <c r="F2206" s="134" t="s">
        <v>3616</v>
      </c>
      <c r="G2206" s="63" t="str">
        <f>VLOOKUP(C2206, 'Class Def. - General Data'!$C$20:$C$1000,1,false)</f>
        <v>ZFG1_SEASONING</v>
      </c>
      <c r="H2206" s="63" t="str">
        <f>IFERROR(__xludf.DUMMYFUNCTION("VLOOKUP(F2206, IMPORTRANGE(""https://docs.google.com/spreadsheets/d/1Lhp9OU0JdFf_VYSMzH5lBcEaU4o8teT1piV-SNzShjg/edit?gid=554141278#gid=554141278"", ""'Char Def. - Attributes'!C20:C2242""), 1,false)"),"UNIT_PER_PAL")</f>
        <v>UNIT_PER_PAL</v>
      </c>
      <c r="I2206" s="136"/>
    </row>
    <row r="2207" ht="15.75" customHeight="1">
      <c r="A2207" s="59"/>
      <c r="B2207" s="63">
        <f t="shared" si="1"/>
        <v>14</v>
      </c>
      <c r="C2207" s="134" t="s">
        <v>137</v>
      </c>
      <c r="D2207" s="134" t="s">
        <v>74</v>
      </c>
      <c r="E2207" s="135">
        <f t="shared" si="51"/>
        <v>20</v>
      </c>
      <c r="F2207" s="134" t="s">
        <v>3617</v>
      </c>
      <c r="G2207" s="63" t="str">
        <f>VLOOKUP(C2207, 'Class Def. - General Data'!$C$20:$C$1000,1,false)</f>
        <v>ZFG1_SEASONING</v>
      </c>
      <c r="H2207" s="63" t="str">
        <f>IFERROR(__xludf.DUMMYFUNCTION("VLOOKUP(F2207, IMPORTRANGE(""https://docs.google.com/spreadsheets/d/1Lhp9OU0JdFf_VYSMzH5lBcEaU4o8teT1piV-SNzShjg/edit?gid=554141278#gid=554141278"", ""'Char Def. - Attributes'!C20:C2242""), 1,false)"),"UNIT_PER_TIER")</f>
        <v>UNIT_PER_TIER</v>
      </c>
      <c r="I2207" s="136"/>
    </row>
    <row r="2208" ht="15.75" customHeight="1">
      <c r="A2208" s="59"/>
      <c r="B2208" s="63">
        <f t="shared" si="1"/>
        <v>14</v>
      </c>
      <c r="C2208" s="134" t="s">
        <v>137</v>
      </c>
      <c r="D2208" s="134" t="s">
        <v>74</v>
      </c>
      <c r="E2208" s="135">
        <f t="shared" si="51"/>
        <v>21</v>
      </c>
      <c r="F2208" s="134" t="s">
        <v>3618</v>
      </c>
      <c r="G2208" s="63" t="str">
        <f>VLOOKUP(C2208, 'Class Def. - General Data'!$C$20:$C$1000,1,false)</f>
        <v>ZFG1_SEASONING</v>
      </c>
      <c r="H2208" s="63" t="str">
        <f>IFERROR(__xludf.DUMMYFUNCTION("VLOOKUP(F2208, IMPORTRANGE(""https://docs.google.com/spreadsheets/d/1Lhp9OU0JdFf_VYSMzH5lBcEaU4o8teT1piV-SNzShjg/edit?gid=554141278#gid=554141278"", ""'Char Def. - Attributes'!C20:C2242""), 1,false)"),"HEIGHT")</f>
        <v>HEIGHT</v>
      </c>
      <c r="I2208" s="136"/>
    </row>
    <row r="2209" ht="15.75" customHeight="1">
      <c r="A2209" s="59"/>
      <c r="B2209" s="63">
        <f t="shared" si="1"/>
        <v>14</v>
      </c>
      <c r="C2209" s="134" t="s">
        <v>137</v>
      </c>
      <c r="D2209" s="134" t="s">
        <v>74</v>
      </c>
      <c r="E2209" s="135">
        <f t="shared" si="51"/>
        <v>22</v>
      </c>
      <c r="F2209" s="134" t="s">
        <v>3587</v>
      </c>
      <c r="G2209" s="63" t="str">
        <f>VLOOKUP(C2209, 'Class Def. - General Data'!$C$20:$C$1000,1,false)</f>
        <v>ZFG1_SEASONING</v>
      </c>
      <c r="H2209" s="63" t="str">
        <f>IFERROR(__xludf.DUMMYFUNCTION("VLOOKUP(F2209, IMPORTRANGE(""https://docs.google.com/spreadsheets/d/1Lhp9OU0JdFf_VYSMzH5lBcEaU4o8teT1piV-SNzShjg/edit?gid=554141278#gid=554141278"", ""'Char Def. - Attributes'!C20:C2242""), 1,false)"),"PLANT_BUY")</f>
        <v>PLANT_BUY</v>
      </c>
      <c r="I2209" s="136"/>
    </row>
    <row r="2210" ht="15.75" customHeight="1">
      <c r="A2210" s="59"/>
      <c r="B2210" s="63">
        <f t="shared" si="1"/>
        <v>14</v>
      </c>
      <c r="C2210" s="134" t="s">
        <v>137</v>
      </c>
      <c r="D2210" s="134" t="s">
        <v>74</v>
      </c>
      <c r="E2210" s="135">
        <f t="shared" si="51"/>
        <v>23</v>
      </c>
      <c r="F2210" s="134" t="s">
        <v>3619</v>
      </c>
      <c r="G2210" s="63" t="str">
        <f>VLOOKUP(C2210, 'Class Def. - General Data'!$C$20:$C$1000,1,false)</f>
        <v>ZFG1_SEASONING</v>
      </c>
      <c r="H2210" s="63" t="str">
        <f>IFERROR(__xludf.DUMMYFUNCTION("VLOOKUP(F2210, IMPORTRANGE(""https://docs.google.com/spreadsheets/d/1Lhp9OU0JdFf_VYSMzH5lBcEaU4o8teT1piV-SNzShjg/edit?gid=554141278#gid=554141278"", ""'Char Def. - Attributes'!C20:C2242""), 1,false)"),"LENGTH")</f>
        <v>LENGTH</v>
      </c>
      <c r="I2210" s="136"/>
    </row>
    <row r="2211" ht="15.75" customHeight="1">
      <c r="A2211" s="59"/>
      <c r="B2211" s="63">
        <f t="shared" si="1"/>
        <v>14</v>
      </c>
      <c r="C2211" s="134" t="s">
        <v>137</v>
      </c>
      <c r="D2211" s="134" t="s">
        <v>74</v>
      </c>
      <c r="E2211" s="135">
        <f t="shared" si="51"/>
        <v>24</v>
      </c>
      <c r="F2211" s="134" t="s">
        <v>3586</v>
      </c>
      <c r="G2211" s="63" t="str">
        <f>VLOOKUP(C2211, 'Class Def. - General Data'!$C$20:$C$1000,1,false)</f>
        <v>ZFG1_SEASONING</v>
      </c>
      <c r="H2211" s="63" t="str">
        <f>IFERROR(__xludf.DUMMYFUNCTION("VLOOKUP(F2211, IMPORTRANGE(""https://docs.google.com/spreadsheets/d/1Lhp9OU0JdFf_VYSMzH5lBcEaU4o8teT1piV-SNzShjg/edit?gid=554141278#gid=554141278"", ""'Char Def. - Attributes'!C20:C2242""), 1,false)"),"PLANT_PROD")</f>
        <v>PLANT_PROD</v>
      </c>
      <c r="I2211" s="136"/>
    </row>
    <row r="2212" ht="15.75" customHeight="1">
      <c r="A2212" s="59"/>
      <c r="B2212" s="63">
        <f t="shared" si="1"/>
        <v>14</v>
      </c>
      <c r="C2212" s="134" t="s">
        <v>137</v>
      </c>
      <c r="D2212" s="134" t="s">
        <v>74</v>
      </c>
      <c r="E2212" s="135">
        <f t="shared" si="51"/>
        <v>25</v>
      </c>
      <c r="F2212" s="134" t="s">
        <v>3620</v>
      </c>
      <c r="G2212" s="63" t="str">
        <f>VLOOKUP(C2212, 'Class Def. - General Data'!$C$20:$C$1000,1,false)</f>
        <v>ZFG1_SEASONING</v>
      </c>
      <c r="H2212" s="63" t="str">
        <f>IFERROR(__xludf.DUMMYFUNCTION("VLOOKUP(F2212, IMPORTRANGE(""https://docs.google.com/spreadsheets/d/1Lhp9OU0JdFf_VYSMzH5lBcEaU4o8teT1piV-SNzShjg/edit?gid=554141278#gid=554141278"", ""'Char Def. - Attributes'!C20:C2242""), 1,false)"),"WIDTH")</f>
        <v>WIDTH</v>
      </c>
      <c r="I2212" s="136"/>
    </row>
    <row r="2213" ht="15.75" customHeight="1">
      <c r="A2213" s="59"/>
      <c r="B2213" s="63">
        <f t="shared" si="1"/>
        <v>14</v>
      </c>
      <c r="C2213" s="134" t="s">
        <v>137</v>
      </c>
      <c r="D2213" s="134" t="s">
        <v>74</v>
      </c>
      <c r="E2213" s="135">
        <f t="shared" si="51"/>
        <v>26</v>
      </c>
      <c r="F2213" s="134" t="s">
        <v>3585</v>
      </c>
      <c r="G2213" s="63" t="str">
        <f>VLOOKUP(C2213, 'Class Def. - General Data'!$C$20:$C$1000,1,false)</f>
        <v>ZFG1_SEASONING</v>
      </c>
      <c r="H2213" s="63" t="str">
        <f>IFERROR(__xludf.DUMMYFUNCTION("VLOOKUP(F2213, IMPORTRANGE(""https://docs.google.com/spreadsheets/d/1Lhp9OU0JdFf_VYSMzH5lBcEaU4o8teT1piV-SNzShjg/edit?gid=554141278#gid=554141278"", ""'Char Def. - Attributes'!C20:C2242""), 1,false)"),"HS_CODE")</f>
        <v>HS_CODE</v>
      </c>
      <c r="I2213" s="136"/>
    </row>
    <row r="2214" ht="15.75" customHeight="1">
      <c r="A2214" s="59"/>
      <c r="B2214" s="63">
        <f t="shared" si="1"/>
        <v>14</v>
      </c>
      <c r="C2214" s="134" t="s">
        <v>137</v>
      </c>
      <c r="D2214" s="134" t="s">
        <v>74</v>
      </c>
      <c r="E2214" s="135">
        <f t="shared" si="51"/>
        <v>27</v>
      </c>
      <c r="F2214" s="134" t="s">
        <v>3621</v>
      </c>
      <c r="G2214" s="63" t="str">
        <f>VLOOKUP(C2214, 'Class Def. - General Data'!$C$20:$C$1000,1,false)</f>
        <v>ZFG1_SEASONING</v>
      </c>
      <c r="H2214" s="63" t="str">
        <f>IFERROR(__xludf.DUMMYFUNCTION("VLOOKUP(F2214, IMPORTRANGE(""https://docs.google.com/spreadsheets/d/1Lhp9OU0JdFf_VYSMzH5lBcEaU4o8teT1piV-SNzShjg/edit?gid=554141278#gid=554141278"", ""'Char Def. - Attributes'!C20:C2242""), 1,false)"),"EAN_PCS")</f>
        <v>EAN_PCS</v>
      </c>
      <c r="I2214" s="136"/>
    </row>
    <row r="2215" ht="15.75" customHeight="1">
      <c r="A2215" s="59"/>
      <c r="B2215" s="63">
        <f t="shared" si="1"/>
        <v>14</v>
      </c>
      <c r="C2215" s="134" t="s">
        <v>137</v>
      </c>
      <c r="D2215" s="134" t="s">
        <v>74</v>
      </c>
      <c r="E2215" s="135">
        <f t="shared" si="51"/>
        <v>28</v>
      </c>
      <c r="F2215" s="134" t="s">
        <v>3622</v>
      </c>
      <c r="G2215" s="63" t="str">
        <f>VLOOKUP(C2215, 'Class Def. - General Data'!$C$20:$C$1000,1,false)</f>
        <v>ZFG1_SEASONING</v>
      </c>
      <c r="H2215" s="63" t="str">
        <f>IFERROR(__xludf.DUMMYFUNCTION("VLOOKUP(F2215, IMPORTRANGE(""https://docs.google.com/spreadsheets/d/1Lhp9OU0JdFf_VYSMzH5lBcEaU4o8teT1piV-SNzShjg/edit?gid=554141278#gid=554141278"", ""'Char Def. - Attributes'!C20:C2242""), 1,false)"),"SFG_BRAND")</f>
        <v>SFG_BRAND</v>
      </c>
      <c r="I2215" s="136"/>
    </row>
    <row r="2216" ht="15.75" customHeight="1">
      <c r="A2216" s="59"/>
      <c r="B2216" s="63">
        <f t="shared" si="1"/>
        <v>14</v>
      </c>
      <c r="C2216" s="134" t="s">
        <v>137</v>
      </c>
      <c r="D2216" s="134" t="s">
        <v>74</v>
      </c>
      <c r="E2216" s="135">
        <f t="shared" si="51"/>
        <v>29</v>
      </c>
      <c r="F2216" s="134" t="s">
        <v>3623</v>
      </c>
      <c r="G2216" s="63" t="str">
        <f>VLOOKUP(C2216, 'Class Def. - General Data'!$C$20:$C$1000,1,false)</f>
        <v>ZFG1_SEASONING</v>
      </c>
      <c r="H2216" s="63" t="str">
        <f>IFERROR(__xludf.DUMMYFUNCTION("VLOOKUP(F2216, IMPORTRANGE(""https://docs.google.com/spreadsheets/d/1Lhp9OU0JdFf_VYSMzH5lBcEaU4o8teT1piV-SNzShjg/edit?gid=554141278#gid=554141278"", ""'Char Def. - Attributes'!C20:C2242""), 1,false)"),"LANGUAGE")</f>
        <v>LANGUAGE</v>
      </c>
      <c r="I2216" s="136"/>
    </row>
    <row r="2217" ht="15.75" customHeight="1">
      <c r="A2217" s="59"/>
      <c r="B2217" s="63">
        <f t="shared" si="1"/>
        <v>14</v>
      </c>
      <c r="C2217" s="139" t="s">
        <v>137</v>
      </c>
      <c r="D2217" s="139" t="s">
        <v>74</v>
      </c>
      <c r="E2217" s="140">
        <f t="shared" si="51"/>
        <v>30</v>
      </c>
      <c r="F2217" s="134" t="s">
        <v>3624</v>
      </c>
      <c r="G2217" s="63" t="str">
        <f>VLOOKUP(C2217, 'Class Def. - General Data'!$C$20:$C$1000,1,false)</f>
        <v>ZFG1_SEASONING</v>
      </c>
      <c r="H2217" s="63" t="str">
        <f>IFERROR(__xludf.DUMMYFUNCTION("VLOOKUP(F2217, IMPORTRANGE(""https://docs.google.com/spreadsheets/d/1Lhp9OU0JdFf_VYSMzH5lBcEaU4o8teT1piV-SNzShjg/edit?gid=554141278#gid=554141278"", ""'Char Def. - Attributes'!C20:C2242""), 1,false)"),"#N/A")</f>
        <v>#N/A</v>
      </c>
      <c r="I2217" s="136"/>
    </row>
    <row r="2218" ht="15.75" customHeight="1">
      <c r="A2218" s="59"/>
      <c r="B2218" s="63">
        <f t="shared" si="1"/>
        <v>14</v>
      </c>
      <c r="C2218" s="134" t="s">
        <v>137</v>
      </c>
      <c r="D2218" s="134" t="s">
        <v>74</v>
      </c>
      <c r="E2218" s="135">
        <f t="shared" si="51"/>
        <v>31</v>
      </c>
      <c r="F2218" s="134" t="s">
        <v>3625</v>
      </c>
      <c r="G2218" s="63" t="str">
        <f>VLOOKUP(C2218, 'Class Def. - General Data'!$C$20:$C$1000,1,false)</f>
        <v>ZFG1_SEASONING</v>
      </c>
      <c r="H2218" s="63" t="str">
        <f>IFERROR(__xludf.DUMMYFUNCTION("VLOOKUP(F2218, IMPORTRANGE(""https://docs.google.com/spreadsheets/d/1Lhp9OU0JdFf_VYSMzH5lBcEaU4o8teT1piV-SNzShjg/edit?gid=554141278#gid=554141278"", ""'Char Def. - Attributes'!C20:C2242""), 1,false)"),"REGION_EKSPOR")</f>
        <v>REGION_EKSPOR</v>
      </c>
      <c r="I2218" s="136"/>
    </row>
    <row r="2219" ht="15.75" customHeight="1">
      <c r="A2219" s="59"/>
      <c r="B2219" s="63">
        <f t="shared" si="1"/>
        <v>14</v>
      </c>
      <c r="C2219" s="134" t="s">
        <v>137</v>
      </c>
      <c r="D2219" s="134" t="s">
        <v>74</v>
      </c>
      <c r="E2219" s="135">
        <f t="shared" si="51"/>
        <v>32</v>
      </c>
      <c r="F2219" s="134" t="s">
        <v>3626</v>
      </c>
      <c r="G2219" s="63" t="str">
        <f>VLOOKUP(C2219, 'Class Def. - General Data'!$C$20:$C$1000,1,false)</f>
        <v>ZFG1_SEASONING</v>
      </c>
      <c r="H2219" s="63" t="str">
        <f>IFERROR(__xludf.DUMMYFUNCTION("VLOOKUP(F2219, IMPORTRANGE(""https://docs.google.com/spreadsheets/d/1Lhp9OU0JdFf_VYSMzH5lBcEaU4o8teT1piV-SNzShjg/edit?gid=554141278#gid=554141278"", ""'Char Def. - Attributes'!C20:C2242""), 1,false)"),"STICKER_NOT")</f>
        <v>STICKER_NOT</v>
      </c>
      <c r="I2219" s="136"/>
    </row>
    <row r="2220" ht="15.75" customHeight="1">
      <c r="A2220" s="59"/>
      <c r="B2220" s="63">
        <f t="shared" si="1"/>
        <v>14</v>
      </c>
      <c r="C2220" s="134" t="s">
        <v>137</v>
      </c>
      <c r="D2220" s="134" t="s">
        <v>74</v>
      </c>
      <c r="E2220" s="135">
        <f t="shared" si="51"/>
        <v>33</v>
      </c>
      <c r="F2220" s="134" t="s">
        <v>3627</v>
      </c>
      <c r="G2220" s="63" t="str">
        <f>VLOOKUP(C2220, 'Class Def. - General Data'!$C$20:$C$1000,1,false)</f>
        <v>ZFG1_SEASONING</v>
      </c>
      <c r="H2220" s="63" t="str">
        <f>IFERROR(__xludf.DUMMYFUNCTION("VLOOKUP(F2220, IMPORTRANGE(""https://docs.google.com/spreadsheets/d/1Lhp9OU0JdFf_VYSMzH5lBcEaU4o8teT1piV-SNzShjg/edit?gid=554141278#gid=554141278"", ""'Char Def. - Attributes'!C20:C2242""), 1,false)"),"SHIP_MARK")</f>
        <v>SHIP_MARK</v>
      </c>
      <c r="I2220" s="136"/>
    </row>
    <row r="2221" ht="15.75" customHeight="1">
      <c r="A2221" s="59"/>
      <c r="B2221" s="63">
        <f t="shared" si="1"/>
        <v>14</v>
      </c>
      <c r="C2221" s="134" t="s">
        <v>137</v>
      </c>
      <c r="D2221" s="134" t="s">
        <v>74</v>
      </c>
      <c r="E2221" s="135">
        <f t="shared" si="51"/>
        <v>34</v>
      </c>
      <c r="F2221" s="134" t="s">
        <v>3628</v>
      </c>
      <c r="G2221" s="63" t="str">
        <f>VLOOKUP(C2221, 'Class Def. - General Data'!$C$20:$C$1000,1,false)</f>
        <v>ZFG1_SEASONING</v>
      </c>
      <c r="H2221" s="63" t="str">
        <f>IFERROR(__xludf.DUMMYFUNCTION("VLOOKUP(F2221, IMPORTRANGE(""https://docs.google.com/spreadsheets/d/1Lhp9OU0JdFf_VYSMzH5lBcEaU4o8teT1piV-SNzShjg/edit?gid=554141278#gid=554141278"", ""'Char Def. - Attributes'!C20:C2242""), 1,false)"),"MID_CORE")</f>
        <v>MID_CORE</v>
      </c>
      <c r="I2221" s="136"/>
    </row>
    <row r="2222" ht="15.75" customHeight="1">
      <c r="A2222" s="59"/>
      <c r="B2222" s="63">
        <f t="shared" si="1"/>
        <v>14</v>
      </c>
      <c r="C2222" s="134" t="s">
        <v>137</v>
      </c>
      <c r="D2222" s="134" t="s">
        <v>74</v>
      </c>
      <c r="E2222" s="135">
        <f t="shared" si="51"/>
        <v>35</v>
      </c>
      <c r="F2222" s="134" t="s">
        <v>3629</v>
      </c>
      <c r="G2222" s="63" t="str">
        <f>VLOOKUP(C2222, 'Class Def. - General Data'!$C$20:$C$1000,1,false)</f>
        <v>ZFG1_SEASONING</v>
      </c>
      <c r="H2222" s="63" t="str">
        <f>IFERROR(__xludf.DUMMYFUNCTION("VLOOKUP(F2222, IMPORTRANGE(""https://docs.google.com/spreadsheets/d/1Lhp9OU0JdFf_VYSMzH5lBcEaU4o8teT1piV-SNzShjg/edit?gid=554141278#gid=554141278"", ""'Char Def. - Attributes'!C20:C2242""), 1,false)"),"EAN_CTN")</f>
        <v>EAN_CTN</v>
      </c>
      <c r="I2222" s="136"/>
    </row>
    <row r="2223" ht="15.75" customHeight="1">
      <c r="A2223" s="59"/>
      <c r="B2223" s="63">
        <f t="shared" si="1"/>
        <v>14</v>
      </c>
      <c r="C2223" s="134" t="s">
        <v>137</v>
      </c>
      <c r="D2223" s="134" t="s">
        <v>74</v>
      </c>
      <c r="E2223" s="135">
        <f t="shared" si="51"/>
        <v>36</v>
      </c>
      <c r="F2223" s="134" t="s">
        <v>3630</v>
      </c>
      <c r="G2223" s="63" t="str">
        <f>VLOOKUP(C2223, 'Class Def. - General Data'!$C$20:$C$1000,1,false)</f>
        <v>ZFG1_SEASONING</v>
      </c>
      <c r="H2223" s="63" t="str">
        <f>IFERROR(__xludf.DUMMYFUNCTION("VLOOKUP(F2223, IMPORTRANGE(""https://docs.google.com/spreadsheets/d/1Lhp9OU0JdFf_VYSMzH5lBcEaU4o8teT1piV-SNzShjg/edit?gid=554141278#gid=554141278"", ""'Char Def. - Attributes'!C20:C2242""), 1,false)"),"EAN_BOX")</f>
        <v>EAN_BOX</v>
      </c>
      <c r="I2223" s="136"/>
    </row>
    <row r="2224" ht="15.75" customHeight="1">
      <c r="A2224" s="59"/>
      <c r="B2224" s="63">
        <f t="shared" si="1"/>
        <v>14</v>
      </c>
      <c r="C2224" s="134" t="s">
        <v>137</v>
      </c>
      <c r="D2224" s="141" t="s">
        <v>74</v>
      </c>
      <c r="E2224" s="135">
        <v>22.0</v>
      </c>
      <c r="F2224" s="135" t="s">
        <v>3603</v>
      </c>
      <c r="G2224" s="63" t="str">
        <f>VLOOKUP(C2224, 'Class Def. - General Data'!$C$20:$C$1000,1,false)</f>
        <v>ZFG1_SEASONING</v>
      </c>
      <c r="I2224" s="136"/>
    </row>
    <row r="2225" ht="15.75" customHeight="1">
      <c r="A2225" s="59"/>
      <c r="B2225" s="63">
        <f t="shared" si="1"/>
        <v>13</v>
      </c>
      <c r="C2225" s="134" t="s">
        <v>138</v>
      </c>
      <c r="D2225" s="134" t="s">
        <v>74</v>
      </c>
      <c r="E2225" s="135">
        <f t="shared" ref="E2225:E2260" si="52">COUNTIF($C$20:C2225,C2225)</f>
        <v>1</v>
      </c>
      <c r="F2225" s="134" t="s">
        <v>3757</v>
      </c>
      <c r="G2225" s="63" t="str">
        <f>VLOOKUP(C2225, 'Class Def. - General Data'!$C$20:$C$1000,1,false)</f>
        <v>ZFG1_SKINCARE</v>
      </c>
      <c r="H2225" s="63" t="str">
        <f>IFERROR(__xludf.DUMMYFUNCTION("VLOOKUP(F2225, IMPORTRANGE(""https://docs.google.com/spreadsheets/d/1Lhp9OU0JdFf_VYSMzH5lBcEaU4o8teT1piV-SNzShjg/edit?gid=554141278#gid=554141278"", ""'Char Def. - Attributes'!C20:C2242""), 1,false)"),"BRAND_SKINCARE")</f>
        <v>BRAND_SKINCARE</v>
      </c>
      <c r="I2225" s="136"/>
    </row>
    <row r="2226" ht="15.75" customHeight="1">
      <c r="A2226" s="59"/>
      <c r="B2226" s="63">
        <f t="shared" si="1"/>
        <v>13</v>
      </c>
      <c r="C2226" s="135" t="s">
        <v>138</v>
      </c>
      <c r="D2226" s="134" t="s">
        <v>74</v>
      </c>
      <c r="E2226" s="135">
        <f t="shared" si="52"/>
        <v>2</v>
      </c>
      <c r="F2226" s="134" t="s">
        <v>3758</v>
      </c>
      <c r="G2226" s="63" t="str">
        <f>VLOOKUP(C2226, 'Class Def. - General Data'!$C$20:$C$1000,1,false)</f>
        <v>ZFG1_SKINCARE</v>
      </c>
      <c r="H2226" s="63" t="str">
        <f>IFERROR(__xludf.DUMMYFUNCTION("VLOOKUP(F2226, IMPORTRANGE(""https://docs.google.com/spreadsheets/d/1Lhp9OU0JdFf_VYSMzH5lBcEaU4o8teT1piV-SNzShjg/edit?gid=554141278#gid=554141278"", ""'Char Def. - Attributes'!C20:C2242""), 1,false)"),"PSHAPE_SKINCARE")</f>
        <v>PSHAPE_SKINCARE</v>
      </c>
      <c r="I2226" s="136"/>
    </row>
    <row r="2227" ht="15.75" customHeight="1">
      <c r="A2227" s="59"/>
      <c r="B2227" s="63">
        <f t="shared" si="1"/>
        <v>13</v>
      </c>
      <c r="C2227" s="134" t="s">
        <v>138</v>
      </c>
      <c r="D2227" s="134" t="s">
        <v>74</v>
      </c>
      <c r="E2227" s="135">
        <f t="shared" si="52"/>
        <v>3</v>
      </c>
      <c r="F2227" s="134" t="s">
        <v>3605</v>
      </c>
      <c r="G2227" s="63" t="str">
        <f>VLOOKUP(C2227, 'Class Def. - General Data'!$C$20:$C$1000,1,false)</f>
        <v>ZFG1_SKINCARE</v>
      </c>
      <c r="H2227" s="63" t="str">
        <f>IFERROR(__xludf.DUMMYFUNCTION("VLOOKUP(F2227, IMPORTRANGE(""https://docs.google.com/spreadsheets/d/1Lhp9OU0JdFf_VYSMzH5lBcEaU4o8teT1piV-SNzShjg/edit?gid=554141278#gid=554141278"", ""'Char Def. - Attributes'!C20:C2242""), 1,false)"),"PACK_NETTO")</f>
        <v>PACK_NETTO</v>
      </c>
      <c r="I2227" s="136"/>
    </row>
    <row r="2228" ht="15.75" customHeight="1">
      <c r="A2228" s="59"/>
      <c r="B2228" s="63">
        <f t="shared" si="1"/>
        <v>13</v>
      </c>
      <c r="C2228" s="135" t="s">
        <v>138</v>
      </c>
      <c r="D2228" s="134" t="s">
        <v>74</v>
      </c>
      <c r="E2228" s="135">
        <f t="shared" si="52"/>
        <v>4</v>
      </c>
      <c r="F2228" s="134" t="s">
        <v>3759</v>
      </c>
      <c r="G2228" s="63" t="str">
        <f>VLOOKUP(C2228, 'Class Def. - General Data'!$C$20:$C$1000,1,false)</f>
        <v>ZFG1_SKINCARE</v>
      </c>
      <c r="H2228" s="63" t="str">
        <f>IFERROR(__xludf.DUMMYFUNCTION("VLOOKUP(F2228, IMPORTRANGE(""https://docs.google.com/spreadsheets/d/1Lhp9OU0JdFf_VYSMzH5lBcEaU4o8teT1piV-SNzShjg/edit?gid=554141278#gid=554141278"", ""'Char Def. - Attributes'!C20:C2242""), 1,false)"),"PUOM_SKINCARE")</f>
        <v>PUOM_SKINCARE</v>
      </c>
      <c r="I2228" s="136"/>
    </row>
    <row r="2229" ht="15.75" customHeight="1">
      <c r="A2229" s="59"/>
      <c r="B2229" s="63">
        <f t="shared" si="1"/>
        <v>13</v>
      </c>
      <c r="C2229" s="134" t="s">
        <v>138</v>
      </c>
      <c r="D2229" s="134" t="s">
        <v>74</v>
      </c>
      <c r="E2229" s="135">
        <f t="shared" si="52"/>
        <v>5</v>
      </c>
      <c r="F2229" s="134" t="s">
        <v>3607</v>
      </c>
      <c r="G2229" s="63" t="str">
        <f>VLOOKUP(C2229, 'Class Def. - General Data'!$C$20:$C$1000,1,false)</f>
        <v>ZFG1_SKINCARE</v>
      </c>
      <c r="H2229" s="63" t="str">
        <f>IFERROR(__xludf.DUMMYFUNCTION("VLOOKUP(F2229, IMPORTRANGE(""https://docs.google.com/spreadsheets/d/1Lhp9OU0JdFf_VYSMzH5lBcEaU4o8teT1piV-SNzShjg/edit?gid=554141278#gid=554141278"", ""'Char Def. - Attributes'!C20:C2242""), 1,false)"),"VARIAN")</f>
        <v>VARIAN</v>
      </c>
      <c r="I2229" s="136"/>
    </row>
    <row r="2230" ht="15.75" customHeight="1">
      <c r="A2230" s="59"/>
      <c r="B2230" s="63">
        <f t="shared" si="1"/>
        <v>13</v>
      </c>
      <c r="C2230" s="134" t="s">
        <v>138</v>
      </c>
      <c r="D2230" s="134" t="s">
        <v>74</v>
      </c>
      <c r="E2230" s="135">
        <f t="shared" si="52"/>
        <v>6</v>
      </c>
      <c r="F2230" s="134" t="s">
        <v>3608</v>
      </c>
      <c r="G2230" s="63" t="str">
        <f>VLOOKUP(C2230, 'Class Def. - General Data'!$C$20:$C$1000,1,false)</f>
        <v>ZFG1_SKINCARE</v>
      </c>
      <c r="H2230" s="63" t="str">
        <f>IFERROR(__xludf.DUMMYFUNCTION("VLOOKUP(F2230, IMPORTRANGE(""https://docs.google.com/spreadsheets/d/1Lhp9OU0JdFf_VYSMzH5lBcEaU4o8teT1piV-SNzShjg/edit?gid=554141278#gid=554141278"", ""'Char Def. - Attributes'!C20:C2242""), 1,false)"),"PROJECT_NAME")</f>
        <v>PROJECT_NAME</v>
      </c>
      <c r="I2230" s="136"/>
    </row>
    <row r="2231" ht="15.75" customHeight="1">
      <c r="A2231" s="59"/>
      <c r="B2231" s="63">
        <f t="shared" si="1"/>
        <v>13</v>
      </c>
      <c r="C2231" s="134" t="s">
        <v>138</v>
      </c>
      <c r="D2231" s="134" t="s">
        <v>74</v>
      </c>
      <c r="E2231" s="135">
        <f t="shared" si="52"/>
        <v>7</v>
      </c>
      <c r="F2231" s="134" t="s">
        <v>3609</v>
      </c>
      <c r="G2231" s="63" t="str">
        <f>VLOOKUP(C2231, 'Class Def. - General Data'!$C$20:$C$1000,1,false)</f>
        <v>ZFG1_SKINCARE</v>
      </c>
      <c r="H2231" s="63" t="str">
        <f>IFERROR(__xludf.DUMMYFUNCTION("VLOOKUP(F2231, IMPORTRANGE(""https://docs.google.com/spreadsheets/d/1Lhp9OU0JdFf_VYSMzH5lBcEaU4o8teT1piV-SNzShjg/edit?gid=554141278#gid=554141278"", ""'Char Def. - Attributes'!C20:C2242""), 1,false)"),"ADDITIONAL_PROMO")</f>
        <v>ADDITIONAL_PROMO</v>
      </c>
      <c r="I2231" s="136"/>
    </row>
    <row r="2232" ht="15.75" customHeight="1">
      <c r="A2232" s="59"/>
      <c r="B2232" s="63">
        <f t="shared" si="1"/>
        <v>13</v>
      </c>
      <c r="C2232" s="134" t="s">
        <v>138</v>
      </c>
      <c r="D2232" s="134" t="s">
        <v>74</v>
      </c>
      <c r="E2232" s="135">
        <f t="shared" si="52"/>
        <v>8</v>
      </c>
      <c r="F2232" s="134" t="s">
        <v>3610</v>
      </c>
      <c r="G2232" s="63" t="str">
        <f>VLOOKUP(C2232, 'Class Def. - General Data'!$C$20:$C$1000,1,false)</f>
        <v>ZFG1_SKINCARE</v>
      </c>
      <c r="H2232" s="63" t="str">
        <f>IFERROR(__xludf.DUMMYFUNCTION("VLOOKUP(F2232, IMPORTRANGE(""https://docs.google.com/spreadsheets/d/1Lhp9OU0JdFf_VYSMzH5lBcEaU4o8teT1piV-SNzShjg/edit?gid=554141278#gid=554141278"", ""'Char Def. - Attributes'!C20:C2242""), 1,false)"),"BANDED_PROMO")</f>
        <v>BANDED_PROMO</v>
      </c>
      <c r="I2232" s="136"/>
    </row>
    <row r="2233" ht="15.75" customHeight="1">
      <c r="A2233" s="59"/>
      <c r="B2233" s="63">
        <f t="shared" si="1"/>
        <v>13</v>
      </c>
      <c r="C2233" s="134" t="s">
        <v>138</v>
      </c>
      <c r="D2233" s="134" t="s">
        <v>74</v>
      </c>
      <c r="E2233" s="135">
        <f t="shared" si="52"/>
        <v>9</v>
      </c>
      <c r="F2233" s="134" t="s">
        <v>3611</v>
      </c>
      <c r="G2233" s="63" t="str">
        <f>VLOOKUP(C2233, 'Class Def. - General Data'!$C$20:$C$1000,1,false)</f>
        <v>ZFG1_SKINCARE</v>
      </c>
      <c r="H2233" s="63" t="str">
        <f>IFERROR(__xludf.DUMMYFUNCTION("VLOOKUP(F2233, IMPORTRANGE(""https://docs.google.com/spreadsheets/d/1Lhp9OU0JdFf_VYSMzH5lBcEaU4o8teT1piV-SNzShjg/edit?gid=554141278#gid=554141278"", ""'Char Def. - Attributes'!C20:C2242""), 1,false)"),"LOKAL_EKSPOR")</f>
        <v>LOKAL_EKSPOR</v>
      </c>
      <c r="I2233" s="136"/>
    </row>
    <row r="2234" ht="15.75" customHeight="1">
      <c r="A2234" s="59"/>
      <c r="B2234" s="63">
        <f t="shared" si="1"/>
        <v>13</v>
      </c>
      <c r="C2234" s="134" t="s">
        <v>138</v>
      </c>
      <c r="D2234" s="134" t="s">
        <v>74</v>
      </c>
      <c r="E2234" s="135">
        <f t="shared" si="52"/>
        <v>10</v>
      </c>
      <c r="F2234" s="134" t="s">
        <v>3612</v>
      </c>
      <c r="G2234" s="63" t="str">
        <f>VLOOKUP(C2234, 'Class Def. - General Data'!$C$20:$C$1000,1,false)</f>
        <v>ZFG1_SKINCARE</v>
      </c>
      <c r="H2234" s="63" t="str">
        <f>IFERROR(__xludf.DUMMYFUNCTION("VLOOKUP(F2234, IMPORTRANGE(""https://docs.google.com/spreadsheets/d/1Lhp9OU0JdFf_VYSMzH5lBcEaU4o8teT1piV-SNzShjg/edit?gid=554141278#gid=554141278"", ""'Char Def. - Attributes'!C20:C2242""), 1,false)"),"COUNTRY_EKSPOR")</f>
        <v>COUNTRY_EKSPOR</v>
      </c>
      <c r="I2234" s="136"/>
    </row>
    <row r="2235" ht="15.75" customHeight="1">
      <c r="A2235" s="59"/>
      <c r="B2235" s="63">
        <f t="shared" si="1"/>
        <v>13</v>
      </c>
      <c r="C2235" s="134" t="s">
        <v>138</v>
      </c>
      <c r="D2235" s="134" t="s">
        <v>74</v>
      </c>
      <c r="E2235" s="135">
        <f t="shared" si="52"/>
        <v>11</v>
      </c>
      <c r="F2235" s="134" t="s">
        <v>3613</v>
      </c>
      <c r="G2235" s="63" t="str">
        <f>VLOOKUP(C2235, 'Class Def. - General Data'!$C$20:$C$1000,1,false)</f>
        <v>ZFG1_SKINCARE</v>
      </c>
      <c r="H2235" s="63" t="str">
        <f>IFERROR(__xludf.DUMMYFUNCTION("VLOOKUP(F2235, IMPORTRANGE(""https://docs.google.com/spreadsheets/d/1Lhp9OU0JdFf_VYSMzH5lBcEaU4o8teT1piV-SNzShjg/edit?gid=554141278#gid=554141278"", ""'Char Def. - Attributes'!C20:C2242""), 1,false)"),"WARNA_SFG")</f>
        <v>WARNA_SFG</v>
      </c>
      <c r="I2235" s="136"/>
    </row>
    <row r="2236" ht="15.75" customHeight="1">
      <c r="A2236" s="59"/>
      <c r="B2236" s="63">
        <f t="shared" si="1"/>
        <v>13</v>
      </c>
      <c r="C2236" s="134" t="s">
        <v>138</v>
      </c>
      <c r="D2236" s="134" t="s">
        <v>74</v>
      </c>
      <c r="E2236" s="135">
        <f t="shared" si="52"/>
        <v>12</v>
      </c>
      <c r="F2236" s="134" t="s">
        <v>3582</v>
      </c>
      <c r="G2236" s="63" t="str">
        <f>VLOOKUP(C2236, 'Class Def. - General Data'!$C$20:$C$1000,1,false)</f>
        <v>ZFG1_SKINCARE</v>
      </c>
      <c r="H2236" s="63" t="str">
        <f>IFERROR(__xludf.DUMMYFUNCTION("VLOOKUP(F2236, IMPORTRANGE(""https://docs.google.com/spreadsheets/d/1Lhp9OU0JdFf_VYSMzH5lBcEaU4o8teT1piV-SNzShjg/edit?gid=554141278#gid=554141278"", ""'Char Def. - Attributes'!C20:C2242""), 1,false)"),"BASE_UNIT")</f>
        <v>BASE_UNIT</v>
      </c>
      <c r="I2236" s="136"/>
    </row>
    <row r="2237" ht="15.75" customHeight="1">
      <c r="A2237" s="59"/>
      <c r="B2237" s="63">
        <f t="shared" si="1"/>
        <v>13</v>
      </c>
      <c r="C2237" s="134" t="s">
        <v>138</v>
      </c>
      <c r="D2237" s="134" t="s">
        <v>74</v>
      </c>
      <c r="E2237" s="135">
        <f t="shared" si="52"/>
        <v>13</v>
      </c>
      <c r="F2237" s="134" t="s">
        <v>3583</v>
      </c>
      <c r="G2237" s="63" t="str">
        <f>VLOOKUP(C2237, 'Class Def. - General Data'!$C$20:$C$1000,1,false)</f>
        <v>ZFG1_SKINCARE</v>
      </c>
      <c r="H2237" s="63" t="str">
        <f>IFERROR(__xludf.DUMMYFUNCTION("VLOOKUP(F2237, IMPORTRANGE(""https://docs.google.com/spreadsheets/d/1Lhp9OU0JdFf_VYSMzH5lBcEaU4o8teT1piV-SNzShjg/edit?gid=554141278#gid=554141278"", ""'Char Def. - Attributes'!C20:C2242""), 1,false)"),"SALES_UNIT")</f>
        <v>SALES_UNIT</v>
      </c>
      <c r="I2237" s="136"/>
    </row>
    <row r="2238" ht="15.75" customHeight="1">
      <c r="A2238" s="59"/>
      <c r="B2238" s="63">
        <f t="shared" si="1"/>
        <v>13</v>
      </c>
      <c r="C2238" s="134" t="s">
        <v>138</v>
      </c>
      <c r="D2238" s="134" t="s">
        <v>74</v>
      </c>
      <c r="E2238" s="135">
        <f t="shared" si="52"/>
        <v>14</v>
      </c>
      <c r="F2238" s="134" t="s">
        <v>3601</v>
      </c>
      <c r="G2238" s="63" t="str">
        <f>VLOOKUP(C2238, 'Class Def. - General Data'!$C$20:$C$1000,1,false)</f>
        <v>ZFG1_SKINCARE</v>
      </c>
      <c r="H2238" s="63" t="str">
        <f>IFERROR(__xludf.DUMMYFUNCTION("VLOOKUP(F2238, IMPORTRANGE(""https://docs.google.com/spreadsheets/d/1Lhp9OU0JdFf_VYSMzH5lBcEaU4o8teT1piV-SNzShjg/edit?gid=554141278#gid=554141278"", ""'Char Def. - Attributes'!C20:C2242""), 1,false)"),"GROSS_WEIGHT")</f>
        <v>GROSS_WEIGHT</v>
      </c>
      <c r="I2238" s="136"/>
    </row>
    <row r="2239" ht="15.75" customHeight="1">
      <c r="A2239" s="59"/>
      <c r="B2239" s="63">
        <f t="shared" si="1"/>
        <v>13</v>
      </c>
      <c r="C2239" s="134" t="s">
        <v>138</v>
      </c>
      <c r="D2239" s="134" t="s">
        <v>74</v>
      </c>
      <c r="E2239" s="135">
        <f t="shared" si="52"/>
        <v>15</v>
      </c>
      <c r="F2239" s="134" t="s">
        <v>3602</v>
      </c>
      <c r="G2239" s="63" t="str">
        <f>VLOOKUP(C2239, 'Class Def. - General Data'!$C$20:$C$1000,1,false)</f>
        <v>ZFG1_SKINCARE</v>
      </c>
      <c r="H2239" s="63" t="str">
        <f>IFERROR(__xludf.DUMMYFUNCTION("VLOOKUP(F2239, IMPORTRANGE(""https://docs.google.com/spreadsheets/d/1Lhp9OU0JdFf_VYSMzH5lBcEaU4o8teT1piV-SNzShjg/edit?gid=554141278#gid=554141278"", ""'Char Def. - Attributes'!C20:C2242""), 1,false)"),"NET_WEIGHT")</f>
        <v>NET_WEIGHT</v>
      </c>
      <c r="I2239" s="136"/>
    </row>
    <row r="2240" ht="15.75" customHeight="1">
      <c r="A2240" s="59"/>
      <c r="B2240" s="63">
        <f t="shared" si="1"/>
        <v>13</v>
      </c>
      <c r="C2240" s="134" t="s">
        <v>138</v>
      </c>
      <c r="D2240" s="134" t="s">
        <v>74</v>
      </c>
      <c r="E2240" s="135">
        <f t="shared" si="52"/>
        <v>16</v>
      </c>
      <c r="F2240" s="134" t="s">
        <v>3584</v>
      </c>
      <c r="G2240" s="63" t="str">
        <f>VLOOKUP(C2240, 'Class Def. - General Data'!$C$20:$C$1000,1,false)</f>
        <v>ZFG1_SKINCARE</v>
      </c>
      <c r="H2240" s="63" t="str">
        <f>IFERROR(__xludf.DUMMYFUNCTION("VLOOKUP(F2240, IMPORTRANGE(""https://docs.google.com/spreadsheets/d/1Lhp9OU0JdFf_VYSMzH5lBcEaU4o8teT1piV-SNzShjg/edit?gid=554141278#gid=554141278"", ""'Char Def. - Attributes'!C20:C2242""), 1,false)"),"UNIT_PER_BOX")</f>
        <v>UNIT_PER_BOX</v>
      </c>
      <c r="I2240" s="136"/>
    </row>
    <row r="2241" ht="15.75" customHeight="1">
      <c r="A2241" s="59"/>
      <c r="B2241" s="63">
        <f t="shared" si="1"/>
        <v>13</v>
      </c>
      <c r="C2241" s="134" t="s">
        <v>138</v>
      </c>
      <c r="D2241" s="134" t="s">
        <v>74</v>
      </c>
      <c r="E2241" s="135">
        <f t="shared" si="52"/>
        <v>17</v>
      </c>
      <c r="F2241" s="134" t="s">
        <v>3614</v>
      </c>
      <c r="G2241" s="63" t="str">
        <f>VLOOKUP(C2241, 'Class Def. - General Data'!$C$20:$C$1000,1,false)</f>
        <v>ZFG1_SKINCARE</v>
      </c>
      <c r="H2241" s="63" t="str">
        <f>IFERROR(__xludf.DUMMYFUNCTION("VLOOKUP(F2241, IMPORTRANGE(""https://docs.google.com/spreadsheets/d/1Lhp9OU0JdFf_VYSMzH5lBcEaU4o8teT1piV-SNzShjg/edit?gid=554141278#gid=554141278"", ""'Char Def. - Attributes'!C20:C2242""), 1,false)"),"UNIT_PER_CTN")</f>
        <v>UNIT_PER_CTN</v>
      </c>
      <c r="I2241" s="136"/>
    </row>
    <row r="2242" ht="15.75" customHeight="1">
      <c r="A2242" s="59"/>
      <c r="B2242" s="63">
        <f t="shared" si="1"/>
        <v>13</v>
      </c>
      <c r="C2242" s="134" t="s">
        <v>138</v>
      </c>
      <c r="D2242" s="134" t="s">
        <v>74</v>
      </c>
      <c r="E2242" s="135">
        <f t="shared" si="52"/>
        <v>18</v>
      </c>
      <c r="F2242" s="134" t="s">
        <v>3615</v>
      </c>
      <c r="G2242" s="63" t="str">
        <f>VLOOKUP(C2242, 'Class Def. - General Data'!$C$20:$C$1000,1,false)</f>
        <v>ZFG1_SKINCARE</v>
      </c>
      <c r="H2242" s="63" t="str">
        <f>IFERROR(__xludf.DUMMYFUNCTION("VLOOKUP(F2242, IMPORTRANGE(""https://docs.google.com/spreadsheets/d/1Lhp9OU0JdFf_VYSMzH5lBcEaU4o8teT1piV-SNzShjg/edit?gid=554141278#gid=554141278"", ""'Char Def. - Attributes'!C20:C2242""), 1,false)"),"UNIT_PER_BAG")</f>
        <v>UNIT_PER_BAG</v>
      </c>
      <c r="I2242" s="136"/>
    </row>
    <row r="2243" ht="15.75" customHeight="1">
      <c r="A2243" s="59"/>
      <c r="B2243" s="63">
        <f t="shared" si="1"/>
        <v>13</v>
      </c>
      <c r="C2243" s="134" t="s">
        <v>138</v>
      </c>
      <c r="D2243" s="134" t="s">
        <v>74</v>
      </c>
      <c r="E2243" s="135">
        <f t="shared" si="52"/>
        <v>19</v>
      </c>
      <c r="F2243" s="134" t="s">
        <v>3616</v>
      </c>
      <c r="G2243" s="63" t="str">
        <f>VLOOKUP(C2243, 'Class Def. - General Data'!$C$20:$C$1000,1,false)</f>
        <v>ZFG1_SKINCARE</v>
      </c>
      <c r="H2243" s="63" t="str">
        <f>IFERROR(__xludf.DUMMYFUNCTION("VLOOKUP(F2243, IMPORTRANGE(""https://docs.google.com/spreadsheets/d/1Lhp9OU0JdFf_VYSMzH5lBcEaU4o8teT1piV-SNzShjg/edit?gid=554141278#gid=554141278"", ""'Char Def. - Attributes'!C20:C2242""), 1,false)"),"UNIT_PER_PAL")</f>
        <v>UNIT_PER_PAL</v>
      </c>
      <c r="I2243" s="136"/>
    </row>
    <row r="2244" ht="15.75" customHeight="1">
      <c r="A2244" s="59"/>
      <c r="B2244" s="63">
        <f t="shared" si="1"/>
        <v>13</v>
      </c>
      <c r="C2244" s="134" t="s">
        <v>138</v>
      </c>
      <c r="D2244" s="134" t="s">
        <v>74</v>
      </c>
      <c r="E2244" s="135">
        <f t="shared" si="52"/>
        <v>20</v>
      </c>
      <c r="F2244" s="134" t="s">
        <v>3617</v>
      </c>
      <c r="G2244" s="63" t="str">
        <f>VLOOKUP(C2244, 'Class Def. - General Data'!$C$20:$C$1000,1,false)</f>
        <v>ZFG1_SKINCARE</v>
      </c>
      <c r="H2244" s="63" t="str">
        <f>IFERROR(__xludf.DUMMYFUNCTION("VLOOKUP(F2244, IMPORTRANGE(""https://docs.google.com/spreadsheets/d/1Lhp9OU0JdFf_VYSMzH5lBcEaU4o8teT1piV-SNzShjg/edit?gid=554141278#gid=554141278"", ""'Char Def. - Attributes'!C20:C2242""), 1,false)"),"UNIT_PER_TIER")</f>
        <v>UNIT_PER_TIER</v>
      </c>
      <c r="I2244" s="136"/>
    </row>
    <row r="2245" ht="15.75" customHeight="1">
      <c r="A2245" s="59"/>
      <c r="B2245" s="63">
        <f t="shared" si="1"/>
        <v>13</v>
      </c>
      <c r="C2245" s="134" t="s">
        <v>138</v>
      </c>
      <c r="D2245" s="134" t="s">
        <v>74</v>
      </c>
      <c r="E2245" s="135">
        <f t="shared" si="52"/>
        <v>21</v>
      </c>
      <c r="F2245" s="134" t="s">
        <v>3618</v>
      </c>
      <c r="G2245" s="63" t="str">
        <f>VLOOKUP(C2245, 'Class Def. - General Data'!$C$20:$C$1000,1,false)</f>
        <v>ZFG1_SKINCARE</v>
      </c>
      <c r="H2245" s="63" t="str">
        <f>IFERROR(__xludf.DUMMYFUNCTION("VLOOKUP(F2245, IMPORTRANGE(""https://docs.google.com/spreadsheets/d/1Lhp9OU0JdFf_VYSMzH5lBcEaU4o8teT1piV-SNzShjg/edit?gid=554141278#gid=554141278"", ""'Char Def. - Attributes'!C20:C2242""), 1,false)"),"HEIGHT")</f>
        <v>HEIGHT</v>
      </c>
      <c r="I2245" s="136"/>
    </row>
    <row r="2246" ht="15.75" customHeight="1">
      <c r="A2246" s="59"/>
      <c r="B2246" s="63">
        <f t="shared" si="1"/>
        <v>13</v>
      </c>
      <c r="C2246" s="134" t="s">
        <v>138</v>
      </c>
      <c r="D2246" s="134" t="s">
        <v>74</v>
      </c>
      <c r="E2246" s="135">
        <f t="shared" si="52"/>
        <v>22</v>
      </c>
      <c r="F2246" s="134" t="s">
        <v>3587</v>
      </c>
      <c r="G2246" s="63" t="str">
        <f>VLOOKUP(C2246, 'Class Def. - General Data'!$C$20:$C$1000,1,false)</f>
        <v>ZFG1_SKINCARE</v>
      </c>
      <c r="H2246" s="63" t="str">
        <f>IFERROR(__xludf.DUMMYFUNCTION("VLOOKUP(F2246, IMPORTRANGE(""https://docs.google.com/spreadsheets/d/1Lhp9OU0JdFf_VYSMzH5lBcEaU4o8teT1piV-SNzShjg/edit?gid=554141278#gid=554141278"", ""'Char Def. - Attributes'!C20:C2242""), 1,false)"),"PLANT_BUY")</f>
        <v>PLANT_BUY</v>
      </c>
      <c r="I2246" s="136"/>
    </row>
    <row r="2247" ht="15.75" customHeight="1">
      <c r="A2247" s="59"/>
      <c r="B2247" s="63">
        <f t="shared" si="1"/>
        <v>13</v>
      </c>
      <c r="C2247" s="134" t="s">
        <v>138</v>
      </c>
      <c r="D2247" s="134" t="s">
        <v>74</v>
      </c>
      <c r="E2247" s="135">
        <f t="shared" si="52"/>
        <v>23</v>
      </c>
      <c r="F2247" s="134" t="s">
        <v>3619</v>
      </c>
      <c r="G2247" s="63" t="str">
        <f>VLOOKUP(C2247, 'Class Def. - General Data'!$C$20:$C$1000,1,false)</f>
        <v>ZFG1_SKINCARE</v>
      </c>
      <c r="H2247" s="63" t="str">
        <f>IFERROR(__xludf.DUMMYFUNCTION("VLOOKUP(F2247, IMPORTRANGE(""https://docs.google.com/spreadsheets/d/1Lhp9OU0JdFf_VYSMzH5lBcEaU4o8teT1piV-SNzShjg/edit?gid=554141278#gid=554141278"", ""'Char Def. - Attributes'!C20:C2242""), 1,false)"),"LENGTH")</f>
        <v>LENGTH</v>
      </c>
      <c r="I2247" s="136"/>
    </row>
    <row r="2248" ht="15.75" customHeight="1">
      <c r="A2248" s="59"/>
      <c r="B2248" s="63">
        <f t="shared" si="1"/>
        <v>13</v>
      </c>
      <c r="C2248" s="134" t="s">
        <v>138</v>
      </c>
      <c r="D2248" s="134" t="s">
        <v>74</v>
      </c>
      <c r="E2248" s="135">
        <f t="shared" si="52"/>
        <v>24</v>
      </c>
      <c r="F2248" s="134" t="s">
        <v>3586</v>
      </c>
      <c r="G2248" s="63" t="str">
        <f>VLOOKUP(C2248, 'Class Def. - General Data'!$C$20:$C$1000,1,false)</f>
        <v>ZFG1_SKINCARE</v>
      </c>
      <c r="H2248" s="63" t="str">
        <f>IFERROR(__xludf.DUMMYFUNCTION("VLOOKUP(F2248, IMPORTRANGE(""https://docs.google.com/spreadsheets/d/1Lhp9OU0JdFf_VYSMzH5lBcEaU4o8teT1piV-SNzShjg/edit?gid=554141278#gid=554141278"", ""'Char Def. - Attributes'!C20:C2242""), 1,false)"),"PLANT_PROD")</f>
        <v>PLANT_PROD</v>
      </c>
      <c r="I2248" s="136"/>
    </row>
    <row r="2249" ht="15.75" customHeight="1">
      <c r="A2249" s="59"/>
      <c r="B2249" s="63">
        <f t="shared" si="1"/>
        <v>13</v>
      </c>
      <c r="C2249" s="134" t="s">
        <v>138</v>
      </c>
      <c r="D2249" s="134" t="s">
        <v>74</v>
      </c>
      <c r="E2249" s="135">
        <f t="shared" si="52"/>
        <v>25</v>
      </c>
      <c r="F2249" s="134" t="s">
        <v>3620</v>
      </c>
      <c r="G2249" s="63" t="str">
        <f>VLOOKUP(C2249, 'Class Def. - General Data'!$C$20:$C$1000,1,false)</f>
        <v>ZFG1_SKINCARE</v>
      </c>
      <c r="H2249" s="63" t="str">
        <f>IFERROR(__xludf.DUMMYFUNCTION("VLOOKUP(F2249, IMPORTRANGE(""https://docs.google.com/spreadsheets/d/1Lhp9OU0JdFf_VYSMzH5lBcEaU4o8teT1piV-SNzShjg/edit?gid=554141278#gid=554141278"", ""'Char Def. - Attributes'!C20:C2242""), 1,false)"),"WIDTH")</f>
        <v>WIDTH</v>
      </c>
      <c r="I2249" s="136"/>
    </row>
    <row r="2250" ht="15.75" customHeight="1">
      <c r="A2250" s="59"/>
      <c r="B2250" s="63">
        <f t="shared" si="1"/>
        <v>13</v>
      </c>
      <c r="C2250" s="134" t="s">
        <v>138</v>
      </c>
      <c r="D2250" s="134" t="s">
        <v>74</v>
      </c>
      <c r="E2250" s="135">
        <f t="shared" si="52"/>
        <v>26</v>
      </c>
      <c r="F2250" s="134" t="s">
        <v>3585</v>
      </c>
      <c r="G2250" s="63" t="str">
        <f>VLOOKUP(C2250, 'Class Def. - General Data'!$C$20:$C$1000,1,false)</f>
        <v>ZFG1_SKINCARE</v>
      </c>
      <c r="H2250" s="63" t="str">
        <f>IFERROR(__xludf.DUMMYFUNCTION("VLOOKUP(F2250, IMPORTRANGE(""https://docs.google.com/spreadsheets/d/1Lhp9OU0JdFf_VYSMzH5lBcEaU4o8teT1piV-SNzShjg/edit?gid=554141278#gid=554141278"", ""'Char Def. - Attributes'!C20:C2242""), 1,false)"),"HS_CODE")</f>
        <v>HS_CODE</v>
      </c>
      <c r="I2250" s="136"/>
    </row>
    <row r="2251" ht="15.75" customHeight="1">
      <c r="A2251" s="59"/>
      <c r="B2251" s="63">
        <f t="shared" si="1"/>
        <v>13</v>
      </c>
      <c r="C2251" s="134" t="s">
        <v>138</v>
      </c>
      <c r="D2251" s="134" t="s">
        <v>74</v>
      </c>
      <c r="E2251" s="135">
        <f t="shared" si="52"/>
        <v>27</v>
      </c>
      <c r="F2251" s="134" t="s">
        <v>3621</v>
      </c>
      <c r="G2251" s="63" t="str">
        <f>VLOOKUP(C2251, 'Class Def. - General Data'!$C$20:$C$1000,1,false)</f>
        <v>ZFG1_SKINCARE</v>
      </c>
      <c r="H2251" s="63" t="str">
        <f>IFERROR(__xludf.DUMMYFUNCTION("VLOOKUP(F2251, IMPORTRANGE(""https://docs.google.com/spreadsheets/d/1Lhp9OU0JdFf_VYSMzH5lBcEaU4o8teT1piV-SNzShjg/edit?gid=554141278#gid=554141278"", ""'Char Def. - Attributes'!C20:C2242""), 1,false)"),"EAN_PCS")</f>
        <v>EAN_PCS</v>
      </c>
      <c r="I2251" s="136"/>
    </row>
    <row r="2252" ht="15.75" customHeight="1">
      <c r="A2252" s="59"/>
      <c r="B2252" s="63">
        <f t="shared" si="1"/>
        <v>13</v>
      </c>
      <c r="C2252" s="134" t="s">
        <v>138</v>
      </c>
      <c r="D2252" s="134" t="s">
        <v>74</v>
      </c>
      <c r="E2252" s="135">
        <f t="shared" si="52"/>
        <v>28</v>
      </c>
      <c r="F2252" s="134" t="s">
        <v>3622</v>
      </c>
      <c r="G2252" s="63" t="str">
        <f>VLOOKUP(C2252, 'Class Def. - General Data'!$C$20:$C$1000,1,false)</f>
        <v>ZFG1_SKINCARE</v>
      </c>
      <c r="H2252" s="63" t="str">
        <f>IFERROR(__xludf.DUMMYFUNCTION("VLOOKUP(F2252, IMPORTRANGE(""https://docs.google.com/spreadsheets/d/1Lhp9OU0JdFf_VYSMzH5lBcEaU4o8teT1piV-SNzShjg/edit?gid=554141278#gid=554141278"", ""'Char Def. - Attributes'!C20:C2242""), 1,false)"),"SFG_BRAND")</f>
        <v>SFG_BRAND</v>
      </c>
      <c r="I2252" s="136"/>
    </row>
    <row r="2253" ht="15.75" customHeight="1">
      <c r="A2253" s="59"/>
      <c r="B2253" s="63">
        <f t="shared" si="1"/>
        <v>13</v>
      </c>
      <c r="C2253" s="134" t="s">
        <v>138</v>
      </c>
      <c r="D2253" s="134" t="s">
        <v>74</v>
      </c>
      <c r="E2253" s="135">
        <f t="shared" si="52"/>
        <v>29</v>
      </c>
      <c r="F2253" s="134" t="s">
        <v>3623</v>
      </c>
      <c r="G2253" s="63" t="str">
        <f>VLOOKUP(C2253, 'Class Def. - General Data'!$C$20:$C$1000,1,false)</f>
        <v>ZFG1_SKINCARE</v>
      </c>
      <c r="H2253" s="63" t="str">
        <f>IFERROR(__xludf.DUMMYFUNCTION("VLOOKUP(F2253, IMPORTRANGE(""https://docs.google.com/spreadsheets/d/1Lhp9OU0JdFf_VYSMzH5lBcEaU4o8teT1piV-SNzShjg/edit?gid=554141278#gid=554141278"", ""'Char Def. - Attributes'!C20:C2242""), 1,false)"),"LANGUAGE")</f>
        <v>LANGUAGE</v>
      </c>
      <c r="I2253" s="136"/>
    </row>
    <row r="2254" ht="15.75" customHeight="1">
      <c r="A2254" s="59"/>
      <c r="B2254" s="63">
        <f t="shared" si="1"/>
        <v>13</v>
      </c>
      <c r="C2254" s="139" t="s">
        <v>138</v>
      </c>
      <c r="D2254" s="139" t="s">
        <v>74</v>
      </c>
      <c r="E2254" s="140">
        <f t="shared" si="52"/>
        <v>30</v>
      </c>
      <c r="F2254" s="134" t="s">
        <v>3624</v>
      </c>
      <c r="G2254" s="63" t="str">
        <f>VLOOKUP(C2254, 'Class Def. - General Data'!$C$20:$C$1000,1,false)</f>
        <v>ZFG1_SKINCARE</v>
      </c>
      <c r="H2254" s="63" t="str">
        <f>IFERROR(__xludf.DUMMYFUNCTION("VLOOKUP(F2254, IMPORTRANGE(""https://docs.google.com/spreadsheets/d/1Lhp9OU0JdFf_VYSMzH5lBcEaU4o8teT1piV-SNzShjg/edit?gid=554141278#gid=554141278"", ""'Char Def. - Attributes'!C20:C2242""), 1,false)"),"#N/A")</f>
        <v>#N/A</v>
      </c>
      <c r="I2254" s="136"/>
    </row>
    <row r="2255" ht="15.75" customHeight="1">
      <c r="A2255" s="59"/>
      <c r="B2255" s="63">
        <f t="shared" si="1"/>
        <v>13</v>
      </c>
      <c r="C2255" s="134" t="s">
        <v>138</v>
      </c>
      <c r="D2255" s="134" t="s">
        <v>74</v>
      </c>
      <c r="E2255" s="135">
        <f t="shared" si="52"/>
        <v>31</v>
      </c>
      <c r="F2255" s="134" t="s">
        <v>3625</v>
      </c>
      <c r="G2255" s="63" t="str">
        <f>VLOOKUP(C2255, 'Class Def. - General Data'!$C$20:$C$1000,1,false)</f>
        <v>ZFG1_SKINCARE</v>
      </c>
      <c r="H2255" s="63" t="str">
        <f>IFERROR(__xludf.DUMMYFUNCTION("VLOOKUP(F2255, IMPORTRANGE(""https://docs.google.com/spreadsheets/d/1Lhp9OU0JdFf_VYSMzH5lBcEaU4o8teT1piV-SNzShjg/edit?gid=554141278#gid=554141278"", ""'Char Def. - Attributes'!C20:C2242""), 1,false)"),"REGION_EKSPOR")</f>
        <v>REGION_EKSPOR</v>
      </c>
      <c r="I2255" s="136"/>
    </row>
    <row r="2256" ht="15.75" customHeight="1">
      <c r="A2256" s="59"/>
      <c r="B2256" s="63">
        <f t="shared" si="1"/>
        <v>13</v>
      </c>
      <c r="C2256" s="134" t="s">
        <v>138</v>
      </c>
      <c r="D2256" s="134" t="s">
        <v>74</v>
      </c>
      <c r="E2256" s="135">
        <f t="shared" si="52"/>
        <v>32</v>
      </c>
      <c r="F2256" s="134" t="s">
        <v>3626</v>
      </c>
      <c r="G2256" s="63" t="str">
        <f>VLOOKUP(C2256, 'Class Def. - General Data'!$C$20:$C$1000,1,false)</f>
        <v>ZFG1_SKINCARE</v>
      </c>
      <c r="H2256" s="63" t="str">
        <f>IFERROR(__xludf.DUMMYFUNCTION("VLOOKUP(F2256, IMPORTRANGE(""https://docs.google.com/spreadsheets/d/1Lhp9OU0JdFf_VYSMzH5lBcEaU4o8teT1piV-SNzShjg/edit?gid=554141278#gid=554141278"", ""'Char Def. - Attributes'!C20:C2242""), 1,false)"),"STICKER_NOT")</f>
        <v>STICKER_NOT</v>
      </c>
      <c r="I2256" s="136"/>
    </row>
    <row r="2257" ht="15.75" customHeight="1">
      <c r="A2257" s="59"/>
      <c r="B2257" s="63">
        <f t="shared" si="1"/>
        <v>13</v>
      </c>
      <c r="C2257" s="134" t="s">
        <v>138</v>
      </c>
      <c r="D2257" s="134" t="s">
        <v>74</v>
      </c>
      <c r="E2257" s="135">
        <f t="shared" si="52"/>
        <v>33</v>
      </c>
      <c r="F2257" s="134" t="s">
        <v>3627</v>
      </c>
      <c r="G2257" s="63" t="str">
        <f>VLOOKUP(C2257, 'Class Def. - General Data'!$C$20:$C$1000,1,false)</f>
        <v>ZFG1_SKINCARE</v>
      </c>
      <c r="H2257" s="63" t="str">
        <f>IFERROR(__xludf.DUMMYFUNCTION("VLOOKUP(F2257, IMPORTRANGE(""https://docs.google.com/spreadsheets/d/1Lhp9OU0JdFf_VYSMzH5lBcEaU4o8teT1piV-SNzShjg/edit?gid=554141278#gid=554141278"", ""'Char Def. - Attributes'!C20:C2242""), 1,false)"),"SHIP_MARK")</f>
        <v>SHIP_MARK</v>
      </c>
      <c r="I2257" s="136"/>
    </row>
    <row r="2258" ht="15.75" customHeight="1">
      <c r="A2258" s="59"/>
      <c r="B2258" s="63">
        <f t="shared" si="1"/>
        <v>13</v>
      </c>
      <c r="C2258" s="134" t="s">
        <v>138</v>
      </c>
      <c r="D2258" s="134" t="s">
        <v>74</v>
      </c>
      <c r="E2258" s="135">
        <f t="shared" si="52"/>
        <v>34</v>
      </c>
      <c r="F2258" s="134" t="s">
        <v>3628</v>
      </c>
      <c r="G2258" s="63" t="str">
        <f>VLOOKUP(C2258, 'Class Def. - General Data'!$C$20:$C$1000,1,false)</f>
        <v>ZFG1_SKINCARE</v>
      </c>
      <c r="H2258" s="63" t="str">
        <f>IFERROR(__xludf.DUMMYFUNCTION("VLOOKUP(F2258, IMPORTRANGE(""https://docs.google.com/spreadsheets/d/1Lhp9OU0JdFf_VYSMzH5lBcEaU4o8teT1piV-SNzShjg/edit?gid=554141278#gid=554141278"", ""'Char Def. - Attributes'!C20:C2242""), 1,false)"),"MID_CORE")</f>
        <v>MID_CORE</v>
      </c>
      <c r="I2258" s="136"/>
    </row>
    <row r="2259" ht="15.75" customHeight="1">
      <c r="A2259" s="59"/>
      <c r="B2259" s="63">
        <f t="shared" si="1"/>
        <v>13</v>
      </c>
      <c r="C2259" s="134" t="s">
        <v>138</v>
      </c>
      <c r="D2259" s="134" t="s">
        <v>74</v>
      </c>
      <c r="E2259" s="135">
        <f t="shared" si="52"/>
        <v>35</v>
      </c>
      <c r="F2259" s="134" t="s">
        <v>3629</v>
      </c>
      <c r="G2259" s="63" t="str">
        <f>VLOOKUP(C2259, 'Class Def. - General Data'!$C$20:$C$1000,1,false)</f>
        <v>ZFG1_SKINCARE</v>
      </c>
      <c r="H2259" s="63" t="str">
        <f>IFERROR(__xludf.DUMMYFUNCTION("VLOOKUP(F2259, IMPORTRANGE(""https://docs.google.com/spreadsheets/d/1Lhp9OU0JdFf_VYSMzH5lBcEaU4o8teT1piV-SNzShjg/edit?gid=554141278#gid=554141278"", ""'Char Def. - Attributes'!C20:C2242""), 1,false)"),"EAN_CTN")</f>
        <v>EAN_CTN</v>
      </c>
      <c r="I2259" s="136"/>
    </row>
    <row r="2260" ht="15.75" customHeight="1">
      <c r="A2260" s="59"/>
      <c r="B2260" s="63">
        <f t="shared" si="1"/>
        <v>13</v>
      </c>
      <c r="C2260" s="134" t="s">
        <v>138</v>
      </c>
      <c r="D2260" s="134" t="s">
        <v>74</v>
      </c>
      <c r="E2260" s="135">
        <f t="shared" si="52"/>
        <v>36</v>
      </c>
      <c r="F2260" s="134" t="s">
        <v>3630</v>
      </c>
      <c r="G2260" s="63" t="str">
        <f>VLOOKUP(C2260, 'Class Def. - General Data'!$C$20:$C$1000,1,false)</f>
        <v>ZFG1_SKINCARE</v>
      </c>
      <c r="H2260" s="63" t="str">
        <f>IFERROR(__xludf.DUMMYFUNCTION("VLOOKUP(F2260, IMPORTRANGE(""https://docs.google.com/spreadsheets/d/1Lhp9OU0JdFf_VYSMzH5lBcEaU4o8teT1piV-SNzShjg/edit?gid=554141278#gid=554141278"", ""'Char Def. - Attributes'!C20:C2242""), 1,false)"),"EAN_BOX")</f>
        <v>EAN_BOX</v>
      </c>
      <c r="I2260" s="136"/>
    </row>
    <row r="2261" ht="15.75" customHeight="1">
      <c r="A2261" s="59"/>
      <c r="B2261" s="63">
        <f t="shared" si="1"/>
        <v>13</v>
      </c>
      <c r="C2261" s="134" t="s">
        <v>138</v>
      </c>
      <c r="D2261" s="141" t="s">
        <v>74</v>
      </c>
      <c r="E2261" s="135">
        <v>22.0</v>
      </c>
      <c r="F2261" s="135" t="s">
        <v>3603</v>
      </c>
      <c r="G2261" s="63" t="str">
        <f>VLOOKUP(C2261, 'Class Def. - General Data'!$C$20:$C$1000,1,false)</f>
        <v>ZFG1_SKINCARE</v>
      </c>
      <c r="I2261" s="136"/>
    </row>
    <row r="2262" ht="15.75" customHeight="1">
      <c r="A2262" s="59"/>
      <c r="B2262" s="63">
        <f t="shared" si="1"/>
        <v>13</v>
      </c>
      <c r="C2262" s="134" t="s">
        <v>139</v>
      </c>
      <c r="D2262" s="134" t="s">
        <v>74</v>
      </c>
      <c r="E2262" s="135">
        <f t="shared" ref="E2262:E2297" si="53">COUNTIF($C$20:C2262,C2262)</f>
        <v>1</v>
      </c>
      <c r="F2262" s="134" t="s">
        <v>3760</v>
      </c>
      <c r="G2262" s="63" t="str">
        <f>VLOOKUP(C2262, 'Class Def. - General Data'!$C$20:$C$1000,1,false)</f>
        <v>ZFG1_SOFTENER</v>
      </c>
      <c r="H2262" s="63" t="str">
        <f>IFERROR(__xludf.DUMMYFUNCTION("VLOOKUP(F2262, IMPORTRANGE(""https://docs.google.com/spreadsheets/d/1Lhp9OU0JdFf_VYSMzH5lBcEaU4o8teT1piV-SNzShjg/edit?gid=554141278#gid=554141278"", ""'Char Def. - Attributes'!C20:C2242""), 1,false)"),"BRAND_SOFTENER")</f>
        <v>BRAND_SOFTENER</v>
      </c>
      <c r="I2262" s="136"/>
    </row>
    <row r="2263" ht="15.75" customHeight="1">
      <c r="A2263" s="59"/>
      <c r="B2263" s="63">
        <f t="shared" si="1"/>
        <v>13</v>
      </c>
      <c r="C2263" s="135" t="s">
        <v>139</v>
      </c>
      <c r="D2263" s="134" t="s">
        <v>74</v>
      </c>
      <c r="E2263" s="135">
        <f t="shared" si="53"/>
        <v>2</v>
      </c>
      <c r="F2263" s="134" t="s">
        <v>3761</v>
      </c>
      <c r="G2263" s="63" t="str">
        <f>VLOOKUP(C2263, 'Class Def. - General Data'!$C$20:$C$1000,1,false)</f>
        <v>ZFG1_SOFTENER</v>
      </c>
      <c r="H2263" s="63" t="str">
        <f>IFERROR(__xludf.DUMMYFUNCTION("VLOOKUP(F2263, IMPORTRANGE(""https://docs.google.com/spreadsheets/d/1Lhp9OU0JdFf_VYSMzH5lBcEaU4o8teT1piV-SNzShjg/edit?gid=554141278#gid=554141278"", ""'Char Def. - Attributes'!C20:C2242""), 1,false)"),"PSHAPE_SOFTENER")</f>
        <v>PSHAPE_SOFTENER</v>
      </c>
      <c r="I2263" s="136"/>
    </row>
    <row r="2264" ht="15.75" customHeight="1">
      <c r="A2264" s="59"/>
      <c r="B2264" s="63">
        <f t="shared" si="1"/>
        <v>13</v>
      </c>
      <c r="C2264" s="134" t="s">
        <v>139</v>
      </c>
      <c r="D2264" s="134" t="s">
        <v>74</v>
      </c>
      <c r="E2264" s="135">
        <f t="shared" si="53"/>
        <v>3</v>
      </c>
      <c r="F2264" s="134" t="s">
        <v>3605</v>
      </c>
      <c r="G2264" s="63" t="str">
        <f>VLOOKUP(C2264, 'Class Def. - General Data'!$C$20:$C$1000,1,false)</f>
        <v>ZFG1_SOFTENER</v>
      </c>
      <c r="H2264" s="63" t="str">
        <f>IFERROR(__xludf.DUMMYFUNCTION("VLOOKUP(F2264, IMPORTRANGE(""https://docs.google.com/spreadsheets/d/1Lhp9OU0JdFf_VYSMzH5lBcEaU4o8teT1piV-SNzShjg/edit?gid=554141278#gid=554141278"", ""'Char Def. - Attributes'!C20:C2242""), 1,false)"),"PACK_NETTO")</f>
        <v>PACK_NETTO</v>
      </c>
      <c r="I2264" s="136"/>
    </row>
    <row r="2265" ht="15.75" customHeight="1">
      <c r="A2265" s="59"/>
      <c r="B2265" s="63">
        <f t="shared" si="1"/>
        <v>13</v>
      </c>
      <c r="C2265" s="135" t="s">
        <v>139</v>
      </c>
      <c r="D2265" s="134" t="s">
        <v>74</v>
      </c>
      <c r="E2265" s="135">
        <f t="shared" si="53"/>
        <v>4</v>
      </c>
      <c r="F2265" s="134" t="s">
        <v>3762</v>
      </c>
      <c r="G2265" s="63" t="str">
        <f>VLOOKUP(C2265, 'Class Def. - General Data'!$C$20:$C$1000,1,false)</f>
        <v>ZFG1_SOFTENER</v>
      </c>
      <c r="H2265" s="63" t="str">
        <f>IFERROR(__xludf.DUMMYFUNCTION("VLOOKUP(F2265, IMPORTRANGE(""https://docs.google.com/spreadsheets/d/1Lhp9OU0JdFf_VYSMzH5lBcEaU4o8teT1piV-SNzShjg/edit?gid=554141278#gid=554141278"", ""'Char Def. - Attributes'!C20:C2242""), 1,false)"),"PUOM_SOFTENER")</f>
        <v>PUOM_SOFTENER</v>
      </c>
      <c r="I2265" s="136"/>
    </row>
    <row r="2266" ht="15.75" customHeight="1">
      <c r="A2266" s="59"/>
      <c r="B2266" s="63">
        <f t="shared" si="1"/>
        <v>13</v>
      </c>
      <c r="C2266" s="134" t="s">
        <v>139</v>
      </c>
      <c r="D2266" s="134" t="s">
        <v>74</v>
      </c>
      <c r="E2266" s="135">
        <f t="shared" si="53"/>
        <v>5</v>
      </c>
      <c r="F2266" s="134" t="s">
        <v>3607</v>
      </c>
      <c r="G2266" s="63" t="str">
        <f>VLOOKUP(C2266, 'Class Def. - General Data'!$C$20:$C$1000,1,false)</f>
        <v>ZFG1_SOFTENER</v>
      </c>
      <c r="H2266" s="63" t="str">
        <f>IFERROR(__xludf.DUMMYFUNCTION("VLOOKUP(F2266, IMPORTRANGE(""https://docs.google.com/spreadsheets/d/1Lhp9OU0JdFf_VYSMzH5lBcEaU4o8teT1piV-SNzShjg/edit?gid=554141278#gid=554141278"", ""'Char Def. - Attributes'!C20:C2242""), 1,false)"),"VARIAN")</f>
        <v>VARIAN</v>
      </c>
      <c r="I2266" s="136"/>
    </row>
    <row r="2267" ht="15.75" customHeight="1">
      <c r="A2267" s="59"/>
      <c r="B2267" s="63">
        <f t="shared" si="1"/>
        <v>13</v>
      </c>
      <c r="C2267" s="134" t="s">
        <v>139</v>
      </c>
      <c r="D2267" s="134" t="s">
        <v>74</v>
      </c>
      <c r="E2267" s="135">
        <f t="shared" si="53"/>
        <v>6</v>
      </c>
      <c r="F2267" s="134" t="s">
        <v>3608</v>
      </c>
      <c r="G2267" s="63" t="str">
        <f>VLOOKUP(C2267, 'Class Def. - General Data'!$C$20:$C$1000,1,false)</f>
        <v>ZFG1_SOFTENER</v>
      </c>
      <c r="H2267" s="63" t="str">
        <f>IFERROR(__xludf.DUMMYFUNCTION("VLOOKUP(F2267, IMPORTRANGE(""https://docs.google.com/spreadsheets/d/1Lhp9OU0JdFf_VYSMzH5lBcEaU4o8teT1piV-SNzShjg/edit?gid=554141278#gid=554141278"", ""'Char Def. - Attributes'!C20:C2242""), 1,false)"),"PROJECT_NAME")</f>
        <v>PROJECT_NAME</v>
      </c>
      <c r="I2267" s="136"/>
    </row>
    <row r="2268" ht="15.75" customHeight="1">
      <c r="A2268" s="59"/>
      <c r="B2268" s="63">
        <f t="shared" si="1"/>
        <v>13</v>
      </c>
      <c r="C2268" s="134" t="s">
        <v>139</v>
      </c>
      <c r="D2268" s="134" t="s">
        <v>74</v>
      </c>
      <c r="E2268" s="135">
        <f t="shared" si="53"/>
        <v>7</v>
      </c>
      <c r="F2268" s="134" t="s">
        <v>3609</v>
      </c>
      <c r="G2268" s="63" t="str">
        <f>VLOOKUP(C2268, 'Class Def. - General Data'!$C$20:$C$1000,1,false)</f>
        <v>ZFG1_SOFTENER</v>
      </c>
      <c r="H2268" s="63" t="str">
        <f>IFERROR(__xludf.DUMMYFUNCTION("VLOOKUP(F2268, IMPORTRANGE(""https://docs.google.com/spreadsheets/d/1Lhp9OU0JdFf_VYSMzH5lBcEaU4o8teT1piV-SNzShjg/edit?gid=554141278#gid=554141278"", ""'Char Def. - Attributes'!C20:C2242""), 1,false)"),"ADDITIONAL_PROMO")</f>
        <v>ADDITIONAL_PROMO</v>
      </c>
      <c r="I2268" s="136"/>
    </row>
    <row r="2269" ht="15.75" customHeight="1">
      <c r="A2269" s="59"/>
      <c r="B2269" s="63">
        <f t="shared" si="1"/>
        <v>13</v>
      </c>
      <c r="C2269" s="134" t="s">
        <v>139</v>
      </c>
      <c r="D2269" s="134" t="s">
        <v>74</v>
      </c>
      <c r="E2269" s="135">
        <f t="shared" si="53"/>
        <v>8</v>
      </c>
      <c r="F2269" s="134" t="s">
        <v>3610</v>
      </c>
      <c r="G2269" s="63" t="str">
        <f>VLOOKUP(C2269, 'Class Def. - General Data'!$C$20:$C$1000,1,false)</f>
        <v>ZFG1_SOFTENER</v>
      </c>
      <c r="H2269" s="63" t="str">
        <f>IFERROR(__xludf.DUMMYFUNCTION("VLOOKUP(F2269, IMPORTRANGE(""https://docs.google.com/spreadsheets/d/1Lhp9OU0JdFf_VYSMzH5lBcEaU4o8teT1piV-SNzShjg/edit?gid=554141278#gid=554141278"", ""'Char Def. - Attributes'!C20:C2242""), 1,false)"),"BANDED_PROMO")</f>
        <v>BANDED_PROMO</v>
      </c>
      <c r="I2269" s="136"/>
    </row>
    <row r="2270" ht="15.75" customHeight="1">
      <c r="A2270" s="59"/>
      <c r="B2270" s="63">
        <f t="shared" si="1"/>
        <v>13</v>
      </c>
      <c r="C2270" s="134" t="s">
        <v>139</v>
      </c>
      <c r="D2270" s="134" t="s">
        <v>74</v>
      </c>
      <c r="E2270" s="135">
        <f t="shared" si="53"/>
        <v>9</v>
      </c>
      <c r="F2270" s="134" t="s">
        <v>3611</v>
      </c>
      <c r="G2270" s="63" t="str">
        <f>VLOOKUP(C2270, 'Class Def. - General Data'!$C$20:$C$1000,1,false)</f>
        <v>ZFG1_SOFTENER</v>
      </c>
      <c r="H2270" s="63" t="str">
        <f>IFERROR(__xludf.DUMMYFUNCTION("VLOOKUP(F2270, IMPORTRANGE(""https://docs.google.com/spreadsheets/d/1Lhp9OU0JdFf_VYSMzH5lBcEaU4o8teT1piV-SNzShjg/edit?gid=554141278#gid=554141278"", ""'Char Def. - Attributes'!C20:C2242""), 1,false)"),"LOKAL_EKSPOR")</f>
        <v>LOKAL_EKSPOR</v>
      </c>
      <c r="I2270" s="136"/>
    </row>
    <row r="2271" ht="15.75" customHeight="1">
      <c r="A2271" s="59"/>
      <c r="B2271" s="63">
        <f t="shared" si="1"/>
        <v>13</v>
      </c>
      <c r="C2271" s="134" t="s">
        <v>139</v>
      </c>
      <c r="D2271" s="134" t="s">
        <v>74</v>
      </c>
      <c r="E2271" s="135">
        <f t="shared" si="53"/>
        <v>10</v>
      </c>
      <c r="F2271" s="134" t="s">
        <v>3612</v>
      </c>
      <c r="G2271" s="63" t="str">
        <f>VLOOKUP(C2271, 'Class Def. - General Data'!$C$20:$C$1000,1,false)</f>
        <v>ZFG1_SOFTENER</v>
      </c>
      <c r="H2271" s="63" t="str">
        <f>IFERROR(__xludf.DUMMYFUNCTION("VLOOKUP(F2271, IMPORTRANGE(""https://docs.google.com/spreadsheets/d/1Lhp9OU0JdFf_VYSMzH5lBcEaU4o8teT1piV-SNzShjg/edit?gid=554141278#gid=554141278"", ""'Char Def. - Attributes'!C20:C2242""), 1,false)"),"COUNTRY_EKSPOR")</f>
        <v>COUNTRY_EKSPOR</v>
      </c>
      <c r="I2271" s="136"/>
    </row>
    <row r="2272" ht="15.75" customHeight="1">
      <c r="A2272" s="59"/>
      <c r="B2272" s="63">
        <f t="shared" si="1"/>
        <v>13</v>
      </c>
      <c r="C2272" s="134" t="s">
        <v>139</v>
      </c>
      <c r="D2272" s="134" t="s">
        <v>74</v>
      </c>
      <c r="E2272" s="135">
        <f t="shared" si="53"/>
        <v>11</v>
      </c>
      <c r="F2272" s="134" t="s">
        <v>3613</v>
      </c>
      <c r="G2272" s="63" t="str">
        <f>VLOOKUP(C2272, 'Class Def. - General Data'!$C$20:$C$1000,1,false)</f>
        <v>ZFG1_SOFTENER</v>
      </c>
      <c r="H2272" s="63" t="str">
        <f>IFERROR(__xludf.DUMMYFUNCTION("VLOOKUP(F2272, IMPORTRANGE(""https://docs.google.com/spreadsheets/d/1Lhp9OU0JdFf_VYSMzH5lBcEaU4o8teT1piV-SNzShjg/edit?gid=554141278#gid=554141278"", ""'Char Def. - Attributes'!C20:C2242""), 1,false)"),"WARNA_SFG")</f>
        <v>WARNA_SFG</v>
      </c>
      <c r="I2272" s="136"/>
    </row>
    <row r="2273" ht="15.75" customHeight="1">
      <c r="A2273" s="59"/>
      <c r="B2273" s="63">
        <f t="shared" si="1"/>
        <v>13</v>
      </c>
      <c r="C2273" s="134" t="s">
        <v>139</v>
      </c>
      <c r="D2273" s="134" t="s">
        <v>74</v>
      </c>
      <c r="E2273" s="135">
        <f t="shared" si="53"/>
        <v>12</v>
      </c>
      <c r="F2273" s="134" t="s">
        <v>3582</v>
      </c>
      <c r="G2273" s="63" t="str">
        <f>VLOOKUP(C2273, 'Class Def. - General Data'!$C$20:$C$1000,1,false)</f>
        <v>ZFG1_SOFTENER</v>
      </c>
      <c r="H2273" s="63" t="str">
        <f>IFERROR(__xludf.DUMMYFUNCTION("VLOOKUP(F2273, IMPORTRANGE(""https://docs.google.com/spreadsheets/d/1Lhp9OU0JdFf_VYSMzH5lBcEaU4o8teT1piV-SNzShjg/edit?gid=554141278#gid=554141278"", ""'Char Def. - Attributes'!C20:C2242""), 1,false)"),"BASE_UNIT")</f>
        <v>BASE_UNIT</v>
      </c>
      <c r="I2273" s="136"/>
    </row>
    <row r="2274" ht="15.75" customHeight="1">
      <c r="A2274" s="59"/>
      <c r="B2274" s="63">
        <f t="shared" si="1"/>
        <v>13</v>
      </c>
      <c r="C2274" s="134" t="s">
        <v>139</v>
      </c>
      <c r="D2274" s="134" t="s">
        <v>74</v>
      </c>
      <c r="E2274" s="135">
        <f t="shared" si="53"/>
        <v>13</v>
      </c>
      <c r="F2274" s="134" t="s">
        <v>3583</v>
      </c>
      <c r="G2274" s="63" t="str">
        <f>VLOOKUP(C2274, 'Class Def. - General Data'!$C$20:$C$1000,1,false)</f>
        <v>ZFG1_SOFTENER</v>
      </c>
      <c r="H2274" s="63" t="str">
        <f>IFERROR(__xludf.DUMMYFUNCTION("VLOOKUP(F2274, IMPORTRANGE(""https://docs.google.com/spreadsheets/d/1Lhp9OU0JdFf_VYSMzH5lBcEaU4o8teT1piV-SNzShjg/edit?gid=554141278#gid=554141278"", ""'Char Def. - Attributes'!C20:C2242""), 1,false)"),"SALES_UNIT")</f>
        <v>SALES_UNIT</v>
      </c>
      <c r="I2274" s="136"/>
    </row>
    <row r="2275" ht="15.75" customHeight="1">
      <c r="A2275" s="59"/>
      <c r="B2275" s="63">
        <f t="shared" si="1"/>
        <v>13</v>
      </c>
      <c r="C2275" s="134" t="s">
        <v>139</v>
      </c>
      <c r="D2275" s="134" t="s">
        <v>74</v>
      </c>
      <c r="E2275" s="135">
        <f t="shared" si="53"/>
        <v>14</v>
      </c>
      <c r="F2275" s="134" t="s">
        <v>3601</v>
      </c>
      <c r="G2275" s="63" t="str">
        <f>VLOOKUP(C2275, 'Class Def. - General Data'!$C$20:$C$1000,1,false)</f>
        <v>ZFG1_SOFTENER</v>
      </c>
      <c r="H2275" s="63" t="str">
        <f>IFERROR(__xludf.DUMMYFUNCTION("VLOOKUP(F2275, IMPORTRANGE(""https://docs.google.com/spreadsheets/d/1Lhp9OU0JdFf_VYSMzH5lBcEaU4o8teT1piV-SNzShjg/edit?gid=554141278#gid=554141278"", ""'Char Def. - Attributes'!C20:C2242""), 1,false)"),"GROSS_WEIGHT")</f>
        <v>GROSS_WEIGHT</v>
      </c>
      <c r="I2275" s="136"/>
    </row>
    <row r="2276" ht="15.75" customHeight="1">
      <c r="A2276" s="59"/>
      <c r="B2276" s="63">
        <f t="shared" si="1"/>
        <v>13</v>
      </c>
      <c r="C2276" s="134" t="s">
        <v>139</v>
      </c>
      <c r="D2276" s="134" t="s">
        <v>74</v>
      </c>
      <c r="E2276" s="135">
        <f t="shared" si="53"/>
        <v>15</v>
      </c>
      <c r="F2276" s="134" t="s">
        <v>3602</v>
      </c>
      <c r="G2276" s="63" t="str">
        <f>VLOOKUP(C2276, 'Class Def. - General Data'!$C$20:$C$1000,1,false)</f>
        <v>ZFG1_SOFTENER</v>
      </c>
      <c r="H2276" s="63" t="str">
        <f>IFERROR(__xludf.DUMMYFUNCTION("VLOOKUP(F2276, IMPORTRANGE(""https://docs.google.com/spreadsheets/d/1Lhp9OU0JdFf_VYSMzH5lBcEaU4o8teT1piV-SNzShjg/edit?gid=554141278#gid=554141278"", ""'Char Def. - Attributes'!C20:C2242""), 1,false)"),"NET_WEIGHT")</f>
        <v>NET_WEIGHT</v>
      </c>
      <c r="I2276" s="136"/>
    </row>
    <row r="2277" ht="15.75" customHeight="1">
      <c r="A2277" s="59"/>
      <c r="B2277" s="63">
        <f t="shared" si="1"/>
        <v>13</v>
      </c>
      <c r="C2277" s="134" t="s">
        <v>139</v>
      </c>
      <c r="D2277" s="134" t="s">
        <v>74</v>
      </c>
      <c r="E2277" s="135">
        <f t="shared" si="53"/>
        <v>16</v>
      </c>
      <c r="F2277" s="134" t="s">
        <v>3584</v>
      </c>
      <c r="G2277" s="63" t="str">
        <f>VLOOKUP(C2277, 'Class Def. - General Data'!$C$20:$C$1000,1,false)</f>
        <v>ZFG1_SOFTENER</v>
      </c>
      <c r="H2277" s="63" t="str">
        <f>IFERROR(__xludf.DUMMYFUNCTION("VLOOKUP(F2277, IMPORTRANGE(""https://docs.google.com/spreadsheets/d/1Lhp9OU0JdFf_VYSMzH5lBcEaU4o8teT1piV-SNzShjg/edit?gid=554141278#gid=554141278"", ""'Char Def. - Attributes'!C20:C2242""), 1,false)"),"UNIT_PER_BOX")</f>
        <v>UNIT_PER_BOX</v>
      </c>
      <c r="I2277" s="136"/>
    </row>
    <row r="2278" ht="15.75" customHeight="1">
      <c r="A2278" s="59"/>
      <c r="B2278" s="63">
        <f t="shared" si="1"/>
        <v>13</v>
      </c>
      <c r="C2278" s="134" t="s">
        <v>139</v>
      </c>
      <c r="D2278" s="134" t="s">
        <v>74</v>
      </c>
      <c r="E2278" s="135">
        <f t="shared" si="53"/>
        <v>17</v>
      </c>
      <c r="F2278" s="134" t="s">
        <v>3614</v>
      </c>
      <c r="G2278" s="63" t="str">
        <f>VLOOKUP(C2278, 'Class Def. - General Data'!$C$20:$C$1000,1,false)</f>
        <v>ZFG1_SOFTENER</v>
      </c>
      <c r="H2278" s="63" t="str">
        <f>IFERROR(__xludf.DUMMYFUNCTION("VLOOKUP(F2278, IMPORTRANGE(""https://docs.google.com/spreadsheets/d/1Lhp9OU0JdFf_VYSMzH5lBcEaU4o8teT1piV-SNzShjg/edit?gid=554141278#gid=554141278"", ""'Char Def. - Attributes'!C20:C2242""), 1,false)"),"UNIT_PER_CTN")</f>
        <v>UNIT_PER_CTN</v>
      </c>
      <c r="I2278" s="136"/>
    </row>
    <row r="2279" ht="15.75" customHeight="1">
      <c r="A2279" s="59"/>
      <c r="B2279" s="63">
        <f t="shared" si="1"/>
        <v>13</v>
      </c>
      <c r="C2279" s="134" t="s">
        <v>139</v>
      </c>
      <c r="D2279" s="134" t="s">
        <v>74</v>
      </c>
      <c r="E2279" s="135">
        <f t="shared" si="53"/>
        <v>18</v>
      </c>
      <c r="F2279" s="134" t="s">
        <v>3615</v>
      </c>
      <c r="G2279" s="63" t="str">
        <f>VLOOKUP(C2279, 'Class Def. - General Data'!$C$20:$C$1000,1,false)</f>
        <v>ZFG1_SOFTENER</v>
      </c>
      <c r="H2279" s="63" t="str">
        <f>IFERROR(__xludf.DUMMYFUNCTION("VLOOKUP(F2279, IMPORTRANGE(""https://docs.google.com/spreadsheets/d/1Lhp9OU0JdFf_VYSMzH5lBcEaU4o8teT1piV-SNzShjg/edit?gid=554141278#gid=554141278"", ""'Char Def. - Attributes'!C20:C2242""), 1,false)"),"UNIT_PER_BAG")</f>
        <v>UNIT_PER_BAG</v>
      </c>
      <c r="I2279" s="136"/>
    </row>
    <row r="2280" ht="15.75" customHeight="1">
      <c r="A2280" s="59"/>
      <c r="B2280" s="63">
        <f t="shared" si="1"/>
        <v>13</v>
      </c>
      <c r="C2280" s="134" t="s">
        <v>139</v>
      </c>
      <c r="D2280" s="134" t="s">
        <v>74</v>
      </c>
      <c r="E2280" s="135">
        <f t="shared" si="53"/>
        <v>19</v>
      </c>
      <c r="F2280" s="134" t="s">
        <v>3616</v>
      </c>
      <c r="G2280" s="63" t="str">
        <f>VLOOKUP(C2280, 'Class Def. - General Data'!$C$20:$C$1000,1,false)</f>
        <v>ZFG1_SOFTENER</v>
      </c>
      <c r="H2280" s="63" t="str">
        <f>IFERROR(__xludf.DUMMYFUNCTION("VLOOKUP(F2280, IMPORTRANGE(""https://docs.google.com/spreadsheets/d/1Lhp9OU0JdFf_VYSMzH5lBcEaU4o8teT1piV-SNzShjg/edit?gid=554141278#gid=554141278"", ""'Char Def. - Attributes'!C20:C2242""), 1,false)"),"UNIT_PER_PAL")</f>
        <v>UNIT_PER_PAL</v>
      </c>
      <c r="I2280" s="136"/>
    </row>
    <row r="2281" ht="15.75" customHeight="1">
      <c r="A2281" s="59"/>
      <c r="B2281" s="63">
        <f t="shared" si="1"/>
        <v>13</v>
      </c>
      <c r="C2281" s="134" t="s">
        <v>139</v>
      </c>
      <c r="D2281" s="134" t="s">
        <v>74</v>
      </c>
      <c r="E2281" s="135">
        <f t="shared" si="53"/>
        <v>20</v>
      </c>
      <c r="F2281" s="134" t="s">
        <v>3617</v>
      </c>
      <c r="G2281" s="63" t="str">
        <f>VLOOKUP(C2281, 'Class Def. - General Data'!$C$20:$C$1000,1,false)</f>
        <v>ZFG1_SOFTENER</v>
      </c>
      <c r="H2281" s="63" t="str">
        <f>IFERROR(__xludf.DUMMYFUNCTION("VLOOKUP(F2281, IMPORTRANGE(""https://docs.google.com/spreadsheets/d/1Lhp9OU0JdFf_VYSMzH5lBcEaU4o8teT1piV-SNzShjg/edit?gid=554141278#gid=554141278"", ""'Char Def. - Attributes'!C20:C2242""), 1,false)"),"UNIT_PER_TIER")</f>
        <v>UNIT_PER_TIER</v>
      </c>
      <c r="I2281" s="136"/>
    </row>
    <row r="2282" ht="15.75" customHeight="1">
      <c r="A2282" s="59"/>
      <c r="B2282" s="63">
        <f t="shared" si="1"/>
        <v>13</v>
      </c>
      <c r="C2282" s="134" t="s">
        <v>139</v>
      </c>
      <c r="D2282" s="134" t="s">
        <v>74</v>
      </c>
      <c r="E2282" s="135">
        <f t="shared" si="53"/>
        <v>21</v>
      </c>
      <c r="F2282" s="134" t="s">
        <v>3618</v>
      </c>
      <c r="G2282" s="63" t="str">
        <f>VLOOKUP(C2282, 'Class Def. - General Data'!$C$20:$C$1000,1,false)</f>
        <v>ZFG1_SOFTENER</v>
      </c>
      <c r="H2282" s="63" t="str">
        <f>IFERROR(__xludf.DUMMYFUNCTION("VLOOKUP(F2282, IMPORTRANGE(""https://docs.google.com/spreadsheets/d/1Lhp9OU0JdFf_VYSMzH5lBcEaU4o8teT1piV-SNzShjg/edit?gid=554141278#gid=554141278"", ""'Char Def. - Attributes'!C20:C2242""), 1,false)"),"HEIGHT")</f>
        <v>HEIGHT</v>
      </c>
      <c r="I2282" s="136"/>
    </row>
    <row r="2283" ht="15.75" customHeight="1">
      <c r="A2283" s="59"/>
      <c r="B2283" s="63">
        <f t="shared" si="1"/>
        <v>13</v>
      </c>
      <c r="C2283" s="134" t="s">
        <v>139</v>
      </c>
      <c r="D2283" s="134" t="s">
        <v>74</v>
      </c>
      <c r="E2283" s="135">
        <f t="shared" si="53"/>
        <v>22</v>
      </c>
      <c r="F2283" s="134" t="s">
        <v>3587</v>
      </c>
      <c r="G2283" s="63" t="str">
        <f>VLOOKUP(C2283, 'Class Def. - General Data'!$C$20:$C$1000,1,false)</f>
        <v>ZFG1_SOFTENER</v>
      </c>
      <c r="H2283" s="63" t="str">
        <f>IFERROR(__xludf.DUMMYFUNCTION("VLOOKUP(F2283, IMPORTRANGE(""https://docs.google.com/spreadsheets/d/1Lhp9OU0JdFf_VYSMzH5lBcEaU4o8teT1piV-SNzShjg/edit?gid=554141278#gid=554141278"", ""'Char Def. - Attributes'!C20:C2242""), 1,false)"),"PLANT_BUY")</f>
        <v>PLANT_BUY</v>
      </c>
      <c r="I2283" s="136"/>
    </row>
    <row r="2284" ht="15.75" customHeight="1">
      <c r="A2284" s="59"/>
      <c r="B2284" s="63">
        <f t="shared" si="1"/>
        <v>13</v>
      </c>
      <c r="C2284" s="134" t="s">
        <v>139</v>
      </c>
      <c r="D2284" s="134" t="s">
        <v>74</v>
      </c>
      <c r="E2284" s="135">
        <f t="shared" si="53"/>
        <v>23</v>
      </c>
      <c r="F2284" s="134" t="s">
        <v>3619</v>
      </c>
      <c r="G2284" s="63" t="str">
        <f>VLOOKUP(C2284, 'Class Def. - General Data'!$C$20:$C$1000,1,false)</f>
        <v>ZFG1_SOFTENER</v>
      </c>
      <c r="H2284" s="63" t="str">
        <f>IFERROR(__xludf.DUMMYFUNCTION("VLOOKUP(F2284, IMPORTRANGE(""https://docs.google.com/spreadsheets/d/1Lhp9OU0JdFf_VYSMzH5lBcEaU4o8teT1piV-SNzShjg/edit?gid=554141278#gid=554141278"", ""'Char Def. - Attributes'!C20:C2242""), 1,false)"),"LENGTH")</f>
        <v>LENGTH</v>
      </c>
      <c r="I2284" s="136"/>
    </row>
    <row r="2285" ht="15.75" customHeight="1">
      <c r="A2285" s="59"/>
      <c r="B2285" s="63">
        <f t="shared" si="1"/>
        <v>13</v>
      </c>
      <c r="C2285" s="134" t="s">
        <v>139</v>
      </c>
      <c r="D2285" s="134" t="s">
        <v>74</v>
      </c>
      <c r="E2285" s="135">
        <f t="shared" si="53"/>
        <v>24</v>
      </c>
      <c r="F2285" s="134" t="s">
        <v>3586</v>
      </c>
      <c r="G2285" s="63" t="str">
        <f>VLOOKUP(C2285, 'Class Def. - General Data'!$C$20:$C$1000,1,false)</f>
        <v>ZFG1_SOFTENER</v>
      </c>
      <c r="H2285" s="63" t="str">
        <f>IFERROR(__xludf.DUMMYFUNCTION("VLOOKUP(F2285, IMPORTRANGE(""https://docs.google.com/spreadsheets/d/1Lhp9OU0JdFf_VYSMzH5lBcEaU4o8teT1piV-SNzShjg/edit?gid=554141278#gid=554141278"", ""'Char Def. - Attributes'!C20:C2242""), 1,false)"),"PLANT_PROD")</f>
        <v>PLANT_PROD</v>
      </c>
      <c r="I2285" s="136"/>
    </row>
    <row r="2286" ht="15.75" customHeight="1">
      <c r="A2286" s="59"/>
      <c r="B2286" s="63">
        <f t="shared" si="1"/>
        <v>13</v>
      </c>
      <c r="C2286" s="134" t="s">
        <v>139</v>
      </c>
      <c r="D2286" s="134" t="s">
        <v>74</v>
      </c>
      <c r="E2286" s="135">
        <f t="shared" si="53"/>
        <v>25</v>
      </c>
      <c r="F2286" s="134" t="s">
        <v>3620</v>
      </c>
      <c r="G2286" s="63" t="str">
        <f>VLOOKUP(C2286, 'Class Def. - General Data'!$C$20:$C$1000,1,false)</f>
        <v>ZFG1_SOFTENER</v>
      </c>
      <c r="H2286" s="63" t="str">
        <f>IFERROR(__xludf.DUMMYFUNCTION("VLOOKUP(F2286, IMPORTRANGE(""https://docs.google.com/spreadsheets/d/1Lhp9OU0JdFf_VYSMzH5lBcEaU4o8teT1piV-SNzShjg/edit?gid=554141278#gid=554141278"", ""'Char Def. - Attributes'!C20:C2242""), 1,false)"),"WIDTH")</f>
        <v>WIDTH</v>
      </c>
      <c r="I2286" s="136"/>
    </row>
    <row r="2287" ht="15.75" customHeight="1">
      <c r="A2287" s="59"/>
      <c r="B2287" s="63">
        <f t="shared" si="1"/>
        <v>13</v>
      </c>
      <c r="C2287" s="134" t="s">
        <v>139</v>
      </c>
      <c r="D2287" s="134" t="s">
        <v>74</v>
      </c>
      <c r="E2287" s="135">
        <f t="shared" si="53"/>
        <v>26</v>
      </c>
      <c r="F2287" s="134" t="s">
        <v>3585</v>
      </c>
      <c r="G2287" s="63" t="str">
        <f>VLOOKUP(C2287, 'Class Def. - General Data'!$C$20:$C$1000,1,false)</f>
        <v>ZFG1_SOFTENER</v>
      </c>
      <c r="H2287" s="63" t="str">
        <f>IFERROR(__xludf.DUMMYFUNCTION("VLOOKUP(F2287, IMPORTRANGE(""https://docs.google.com/spreadsheets/d/1Lhp9OU0JdFf_VYSMzH5lBcEaU4o8teT1piV-SNzShjg/edit?gid=554141278#gid=554141278"", ""'Char Def. - Attributes'!C20:C2242""), 1,false)"),"HS_CODE")</f>
        <v>HS_CODE</v>
      </c>
      <c r="I2287" s="136"/>
    </row>
    <row r="2288" ht="15.75" customHeight="1">
      <c r="A2288" s="59"/>
      <c r="B2288" s="63">
        <f t="shared" si="1"/>
        <v>13</v>
      </c>
      <c r="C2288" s="134" t="s">
        <v>139</v>
      </c>
      <c r="D2288" s="134" t="s">
        <v>74</v>
      </c>
      <c r="E2288" s="135">
        <f t="shared" si="53"/>
        <v>27</v>
      </c>
      <c r="F2288" s="134" t="s">
        <v>3621</v>
      </c>
      <c r="G2288" s="63" t="str">
        <f>VLOOKUP(C2288, 'Class Def. - General Data'!$C$20:$C$1000,1,false)</f>
        <v>ZFG1_SOFTENER</v>
      </c>
      <c r="H2288" s="63" t="str">
        <f>IFERROR(__xludf.DUMMYFUNCTION("VLOOKUP(F2288, IMPORTRANGE(""https://docs.google.com/spreadsheets/d/1Lhp9OU0JdFf_VYSMzH5lBcEaU4o8teT1piV-SNzShjg/edit?gid=554141278#gid=554141278"", ""'Char Def. - Attributes'!C20:C2242""), 1,false)"),"EAN_PCS")</f>
        <v>EAN_PCS</v>
      </c>
      <c r="I2288" s="136"/>
    </row>
    <row r="2289" ht="15.75" customHeight="1">
      <c r="A2289" s="59"/>
      <c r="B2289" s="63">
        <f t="shared" si="1"/>
        <v>13</v>
      </c>
      <c r="C2289" s="134" t="s">
        <v>139</v>
      </c>
      <c r="D2289" s="134" t="s">
        <v>74</v>
      </c>
      <c r="E2289" s="135">
        <f t="shared" si="53"/>
        <v>28</v>
      </c>
      <c r="F2289" s="134" t="s">
        <v>3622</v>
      </c>
      <c r="G2289" s="63" t="str">
        <f>VLOOKUP(C2289, 'Class Def. - General Data'!$C$20:$C$1000,1,false)</f>
        <v>ZFG1_SOFTENER</v>
      </c>
      <c r="H2289" s="63" t="str">
        <f>IFERROR(__xludf.DUMMYFUNCTION("VLOOKUP(F2289, IMPORTRANGE(""https://docs.google.com/spreadsheets/d/1Lhp9OU0JdFf_VYSMzH5lBcEaU4o8teT1piV-SNzShjg/edit?gid=554141278#gid=554141278"", ""'Char Def. - Attributes'!C20:C2242""), 1,false)"),"SFG_BRAND")</f>
        <v>SFG_BRAND</v>
      </c>
      <c r="I2289" s="136"/>
    </row>
    <row r="2290" ht="15.75" customHeight="1">
      <c r="A2290" s="59"/>
      <c r="B2290" s="63">
        <f t="shared" si="1"/>
        <v>13</v>
      </c>
      <c r="C2290" s="134" t="s">
        <v>139</v>
      </c>
      <c r="D2290" s="134" t="s">
        <v>74</v>
      </c>
      <c r="E2290" s="135">
        <f t="shared" si="53"/>
        <v>29</v>
      </c>
      <c r="F2290" s="134" t="s">
        <v>3623</v>
      </c>
      <c r="G2290" s="63" t="str">
        <f>VLOOKUP(C2290, 'Class Def. - General Data'!$C$20:$C$1000,1,false)</f>
        <v>ZFG1_SOFTENER</v>
      </c>
      <c r="H2290" s="63" t="str">
        <f>IFERROR(__xludf.DUMMYFUNCTION("VLOOKUP(F2290, IMPORTRANGE(""https://docs.google.com/spreadsheets/d/1Lhp9OU0JdFf_VYSMzH5lBcEaU4o8teT1piV-SNzShjg/edit?gid=554141278#gid=554141278"", ""'Char Def. - Attributes'!C20:C2242""), 1,false)"),"LANGUAGE")</f>
        <v>LANGUAGE</v>
      </c>
      <c r="I2290" s="136"/>
    </row>
    <row r="2291" ht="15.75" customHeight="1">
      <c r="A2291" s="59"/>
      <c r="B2291" s="63">
        <f t="shared" si="1"/>
        <v>13</v>
      </c>
      <c r="C2291" s="139" t="s">
        <v>139</v>
      </c>
      <c r="D2291" s="139" t="s">
        <v>74</v>
      </c>
      <c r="E2291" s="140">
        <f t="shared" si="53"/>
        <v>30</v>
      </c>
      <c r="F2291" s="134" t="s">
        <v>3624</v>
      </c>
      <c r="G2291" s="63" t="str">
        <f>VLOOKUP(C2291, 'Class Def. - General Data'!$C$20:$C$1000,1,false)</f>
        <v>ZFG1_SOFTENER</v>
      </c>
      <c r="H2291" s="63" t="str">
        <f>IFERROR(__xludf.DUMMYFUNCTION("VLOOKUP(F2291, IMPORTRANGE(""https://docs.google.com/spreadsheets/d/1Lhp9OU0JdFf_VYSMzH5lBcEaU4o8teT1piV-SNzShjg/edit?gid=554141278#gid=554141278"", ""'Char Def. - Attributes'!C20:C2242""), 1,false)"),"#N/A")</f>
        <v>#N/A</v>
      </c>
      <c r="I2291" s="136"/>
    </row>
    <row r="2292" ht="15.75" customHeight="1">
      <c r="A2292" s="59"/>
      <c r="B2292" s="63">
        <f t="shared" si="1"/>
        <v>13</v>
      </c>
      <c r="C2292" s="134" t="s">
        <v>139</v>
      </c>
      <c r="D2292" s="134" t="s">
        <v>74</v>
      </c>
      <c r="E2292" s="135">
        <f t="shared" si="53"/>
        <v>31</v>
      </c>
      <c r="F2292" s="134" t="s">
        <v>3625</v>
      </c>
      <c r="G2292" s="63" t="str">
        <f>VLOOKUP(C2292, 'Class Def. - General Data'!$C$20:$C$1000,1,false)</f>
        <v>ZFG1_SOFTENER</v>
      </c>
      <c r="H2292" s="63" t="str">
        <f>IFERROR(__xludf.DUMMYFUNCTION("VLOOKUP(F2292, IMPORTRANGE(""https://docs.google.com/spreadsheets/d/1Lhp9OU0JdFf_VYSMzH5lBcEaU4o8teT1piV-SNzShjg/edit?gid=554141278#gid=554141278"", ""'Char Def. - Attributes'!C20:C2242""), 1,false)"),"REGION_EKSPOR")</f>
        <v>REGION_EKSPOR</v>
      </c>
      <c r="I2292" s="136"/>
    </row>
    <row r="2293" ht="15.75" customHeight="1">
      <c r="A2293" s="59"/>
      <c r="B2293" s="63">
        <f t="shared" si="1"/>
        <v>13</v>
      </c>
      <c r="C2293" s="134" t="s">
        <v>139</v>
      </c>
      <c r="D2293" s="134" t="s">
        <v>74</v>
      </c>
      <c r="E2293" s="135">
        <f t="shared" si="53"/>
        <v>32</v>
      </c>
      <c r="F2293" s="134" t="s">
        <v>3626</v>
      </c>
      <c r="G2293" s="63" t="str">
        <f>VLOOKUP(C2293, 'Class Def. - General Data'!$C$20:$C$1000,1,false)</f>
        <v>ZFG1_SOFTENER</v>
      </c>
      <c r="H2293" s="63" t="str">
        <f>IFERROR(__xludf.DUMMYFUNCTION("VLOOKUP(F2293, IMPORTRANGE(""https://docs.google.com/spreadsheets/d/1Lhp9OU0JdFf_VYSMzH5lBcEaU4o8teT1piV-SNzShjg/edit?gid=554141278#gid=554141278"", ""'Char Def. - Attributes'!C20:C2242""), 1,false)"),"STICKER_NOT")</f>
        <v>STICKER_NOT</v>
      </c>
      <c r="I2293" s="136"/>
    </row>
    <row r="2294" ht="15.75" customHeight="1">
      <c r="A2294" s="59"/>
      <c r="B2294" s="63">
        <f t="shared" si="1"/>
        <v>13</v>
      </c>
      <c r="C2294" s="134" t="s">
        <v>139</v>
      </c>
      <c r="D2294" s="134" t="s">
        <v>74</v>
      </c>
      <c r="E2294" s="135">
        <f t="shared" si="53"/>
        <v>33</v>
      </c>
      <c r="F2294" s="134" t="s">
        <v>3627</v>
      </c>
      <c r="G2294" s="63" t="str">
        <f>VLOOKUP(C2294, 'Class Def. - General Data'!$C$20:$C$1000,1,false)</f>
        <v>ZFG1_SOFTENER</v>
      </c>
      <c r="H2294" s="63" t="str">
        <f>IFERROR(__xludf.DUMMYFUNCTION("VLOOKUP(F2294, IMPORTRANGE(""https://docs.google.com/spreadsheets/d/1Lhp9OU0JdFf_VYSMzH5lBcEaU4o8teT1piV-SNzShjg/edit?gid=554141278#gid=554141278"", ""'Char Def. - Attributes'!C20:C2242""), 1,false)"),"SHIP_MARK")</f>
        <v>SHIP_MARK</v>
      </c>
      <c r="I2294" s="136"/>
    </row>
    <row r="2295" ht="15.75" customHeight="1">
      <c r="A2295" s="59"/>
      <c r="B2295" s="63">
        <f t="shared" si="1"/>
        <v>13</v>
      </c>
      <c r="C2295" s="134" t="s">
        <v>139</v>
      </c>
      <c r="D2295" s="134" t="s">
        <v>74</v>
      </c>
      <c r="E2295" s="135">
        <f t="shared" si="53"/>
        <v>34</v>
      </c>
      <c r="F2295" s="134" t="s">
        <v>3628</v>
      </c>
      <c r="G2295" s="63" t="str">
        <f>VLOOKUP(C2295, 'Class Def. - General Data'!$C$20:$C$1000,1,false)</f>
        <v>ZFG1_SOFTENER</v>
      </c>
      <c r="H2295" s="63" t="str">
        <f>IFERROR(__xludf.DUMMYFUNCTION("VLOOKUP(F2295, IMPORTRANGE(""https://docs.google.com/spreadsheets/d/1Lhp9OU0JdFf_VYSMzH5lBcEaU4o8teT1piV-SNzShjg/edit?gid=554141278#gid=554141278"", ""'Char Def. - Attributes'!C20:C2242""), 1,false)"),"MID_CORE")</f>
        <v>MID_CORE</v>
      </c>
      <c r="I2295" s="136"/>
    </row>
    <row r="2296" ht="15.75" customHeight="1">
      <c r="A2296" s="59"/>
      <c r="B2296" s="63">
        <f t="shared" si="1"/>
        <v>13</v>
      </c>
      <c r="C2296" s="134" t="s">
        <v>139</v>
      </c>
      <c r="D2296" s="134" t="s">
        <v>74</v>
      </c>
      <c r="E2296" s="135">
        <f t="shared" si="53"/>
        <v>35</v>
      </c>
      <c r="F2296" s="134" t="s">
        <v>3629</v>
      </c>
      <c r="G2296" s="63" t="str">
        <f>VLOOKUP(C2296, 'Class Def. - General Data'!$C$20:$C$1000,1,false)</f>
        <v>ZFG1_SOFTENER</v>
      </c>
      <c r="H2296" s="63" t="str">
        <f>IFERROR(__xludf.DUMMYFUNCTION("VLOOKUP(F2296, IMPORTRANGE(""https://docs.google.com/spreadsheets/d/1Lhp9OU0JdFf_VYSMzH5lBcEaU4o8teT1piV-SNzShjg/edit?gid=554141278#gid=554141278"", ""'Char Def. - Attributes'!C20:C2242""), 1,false)"),"EAN_CTN")</f>
        <v>EAN_CTN</v>
      </c>
      <c r="I2296" s="136"/>
    </row>
    <row r="2297" ht="15.75" customHeight="1">
      <c r="A2297" s="59"/>
      <c r="B2297" s="63">
        <f t="shared" si="1"/>
        <v>13</v>
      </c>
      <c r="C2297" s="134" t="s">
        <v>139</v>
      </c>
      <c r="D2297" s="134" t="s">
        <v>74</v>
      </c>
      <c r="E2297" s="135">
        <f t="shared" si="53"/>
        <v>36</v>
      </c>
      <c r="F2297" s="134" t="s">
        <v>3630</v>
      </c>
      <c r="G2297" s="63" t="str">
        <f>VLOOKUP(C2297, 'Class Def. - General Data'!$C$20:$C$1000,1,false)</f>
        <v>ZFG1_SOFTENER</v>
      </c>
      <c r="H2297" s="63" t="str">
        <f>IFERROR(__xludf.DUMMYFUNCTION("VLOOKUP(F2297, IMPORTRANGE(""https://docs.google.com/spreadsheets/d/1Lhp9OU0JdFf_VYSMzH5lBcEaU4o8teT1piV-SNzShjg/edit?gid=554141278#gid=554141278"", ""'Char Def. - Attributes'!C20:C2242""), 1,false)"),"EAN_BOX")</f>
        <v>EAN_BOX</v>
      </c>
      <c r="I2297" s="136"/>
    </row>
    <row r="2298" ht="15.75" customHeight="1">
      <c r="A2298" s="59"/>
      <c r="B2298" s="63">
        <f t="shared" si="1"/>
        <v>13</v>
      </c>
      <c r="C2298" s="134" t="s">
        <v>139</v>
      </c>
      <c r="D2298" s="141" t="s">
        <v>74</v>
      </c>
      <c r="E2298" s="135">
        <v>22.0</v>
      </c>
      <c r="F2298" s="135" t="s">
        <v>3603</v>
      </c>
      <c r="G2298" s="63" t="str">
        <f>VLOOKUP(C2298, 'Class Def. - General Data'!$C$20:$C$1000,1,false)</f>
        <v>ZFG1_SOFTENER</v>
      </c>
      <c r="I2298" s="136"/>
    </row>
    <row r="2299" ht="15.75" customHeight="1">
      <c r="A2299" s="59"/>
      <c r="B2299" s="63">
        <f t="shared" si="1"/>
        <v>17</v>
      </c>
      <c r="C2299" s="134" t="s">
        <v>140</v>
      </c>
      <c r="D2299" s="134" t="s">
        <v>74</v>
      </c>
      <c r="E2299" s="135">
        <f t="shared" ref="E2299:E2334" si="54">COUNTIF($C$20:C2299,C2299)</f>
        <v>1</v>
      </c>
      <c r="F2299" s="134" t="s">
        <v>3763</v>
      </c>
      <c r="G2299" s="63" t="str">
        <f>VLOOKUP(C2299, 'Class Def. - General Data'!$C$20:$C$1000,1,false)</f>
        <v>ZFG1_STAINREMOVER</v>
      </c>
      <c r="H2299" s="63" t="str">
        <f>IFERROR(__xludf.DUMMYFUNCTION("VLOOKUP(F2299, IMPORTRANGE(""https://docs.google.com/spreadsheets/d/1Lhp9OU0JdFf_VYSMzH5lBcEaU4o8teT1piV-SNzShjg/edit?gid=554141278#gid=554141278"", ""'Char Def. - Attributes'!C20:C2242""), 1,false)"),"BRAND_STAINREMOVER")</f>
        <v>BRAND_STAINREMOVER</v>
      </c>
      <c r="I2299" s="136"/>
    </row>
    <row r="2300" ht="15.75" customHeight="1">
      <c r="A2300" s="59"/>
      <c r="B2300" s="63">
        <f t="shared" si="1"/>
        <v>17</v>
      </c>
      <c r="C2300" s="135" t="s">
        <v>140</v>
      </c>
      <c r="D2300" s="134" t="s">
        <v>74</v>
      </c>
      <c r="E2300" s="135">
        <f t="shared" si="54"/>
        <v>2</v>
      </c>
      <c r="F2300" s="134" t="s">
        <v>3764</v>
      </c>
      <c r="G2300" s="63" t="str">
        <f>VLOOKUP(C2300, 'Class Def. - General Data'!$C$20:$C$1000,1,false)</f>
        <v>ZFG1_STAINREMOVER</v>
      </c>
      <c r="H2300" s="63" t="str">
        <f>IFERROR(__xludf.DUMMYFUNCTION("VLOOKUP(F2300, IMPORTRANGE(""https://docs.google.com/spreadsheets/d/1Lhp9OU0JdFf_VYSMzH5lBcEaU4o8teT1piV-SNzShjg/edit?gid=554141278#gid=554141278"", ""'Char Def. - Attributes'!C20:C2242""), 1,false)"),"PSHAPE_STAINREMOVER")</f>
        <v>PSHAPE_STAINREMOVER</v>
      </c>
      <c r="I2300" s="136"/>
    </row>
    <row r="2301" ht="15.75" customHeight="1">
      <c r="A2301" s="59"/>
      <c r="B2301" s="63">
        <f t="shared" si="1"/>
        <v>17</v>
      </c>
      <c r="C2301" s="134" t="s">
        <v>140</v>
      </c>
      <c r="D2301" s="134" t="s">
        <v>74</v>
      </c>
      <c r="E2301" s="135">
        <f t="shared" si="54"/>
        <v>3</v>
      </c>
      <c r="F2301" s="134" t="s">
        <v>3605</v>
      </c>
      <c r="G2301" s="63" t="str">
        <f>VLOOKUP(C2301, 'Class Def. - General Data'!$C$20:$C$1000,1,false)</f>
        <v>ZFG1_STAINREMOVER</v>
      </c>
      <c r="H2301" s="63" t="str">
        <f>IFERROR(__xludf.DUMMYFUNCTION("VLOOKUP(F2301, IMPORTRANGE(""https://docs.google.com/spreadsheets/d/1Lhp9OU0JdFf_VYSMzH5lBcEaU4o8teT1piV-SNzShjg/edit?gid=554141278#gid=554141278"", ""'Char Def. - Attributes'!C20:C2242""), 1,false)"),"PACK_NETTO")</f>
        <v>PACK_NETTO</v>
      </c>
      <c r="I2301" s="136"/>
    </row>
    <row r="2302" ht="15.75" customHeight="1">
      <c r="A2302" s="59"/>
      <c r="B2302" s="63">
        <f t="shared" si="1"/>
        <v>17</v>
      </c>
      <c r="C2302" s="135" t="s">
        <v>140</v>
      </c>
      <c r="D2302" s="134" t="s">
        <v>74</v>
      </c>
      <c r="E2302" s="135">
        <f t="shared" si="54"/>
        <v>4</v>
      </c>
      <c r="F2302" s="134" t="s">
        <v>3765</v>
      </c>
      <c r="G2302" s="63" t="str">
        <f>VLOOKUP(C2302, 'Class Def. - General Data'!$C$20:$C$1000,1,false)</f>
        <v>ZFG1_STAINREMOVER</v>
      </c>
      <c r="H2302" s="63" t="str">
        <f>IFERROR(__xludf.DUMMYFUNCTION("VLOOKUP(F2302, IMPORTRANGE(""https://docs.google.com/spreadsheets/d/1Lhp9OU0JdFf_VYSMzH5lBcEaU4o8teT1piV-SNzShjg/edit?gid=554141278#gid=554141278"", ""'Char Def. - Attributes'!C20:C2242""), 1,false)"),"PUOM_STAINREMOVER")</f>
        <v>PUOM_STAINREMOVER</v>
      </c>
      <c r="I2302" s="136"/>
    </row>
    <row r="2303" ht="15.75" customHeight="1">
      <c r="A2303" s="59"/>
      <c r="B2303" s="63">
        <f t="shared" si="1"/>
        <v>17</v>
      </c>
      <c r="C2303" s="134" t="s">
        <v>140</v>
      </c>
      <c r="D2303" s="134" t="s">
        <v>74</v>
      </c>
      <c r="E2303" s="135">
        <f t="shared" si="54"/>
        <v>5</v>
      </c>
      <c r="F2303" s="134" t="s">
        <v>3607</v>
      </c>
      <c r="G2303" s="63" t="str">
        <f>VLOOKUP(C2303, 'Class Def. - General Data'!$C$20:$C$1000,1,false)</f>
        <v>ZFG1_STAINREMOVER</v>
      </c>
      <c r="H2303" s="63" t="str">
        <f>IFERROR(__xludf.DUMMYFUNCTION("VLOOKUP(F2303, IMPORTRANGE(""https://docs.google.com/spreadsheets/d/1Lhp9OU0JdFf_VYSMzH5lBcEaU4o8teT1piV-SNzShjg/edit?gid=554141278#gid=554141278"", ""'Char Def. - Attributes'!C20:C2242""), 1,false)"),"VARIAN")</f>
        <v>VARIAN</v>
      </c>
      <c r="I2303" s="136"/>
    </row>
    <row r="2304" ht="15.75" customHeight="1">
      <c r="A2304" s="59"/>
      <c r="B2304" s="63">
        <f t="shared" si="1"/>
        <v>17</v>
      </c>
      <c r="C2304" s="134" t="s">
        <v>140</v>
      </c>
      <c r="D2304" s="134" t="s">
        <v>74</v>
      </c>
      <c r="E2304" s="135">
        <f t="shared" si="54"/>
        <v>6</v>
      </c>
      <c r="F2304" s="134" t="s">
        <v>3608</v>
      </c>
      <c r="G2304" s="63" t="str">
        <f>VLOOKUP(C2304, 'Class Def. - General Data'!$C$20:$C$1000,1,false)</f>
        <v>ZFG1_STAINREMOVER</v>
      </c>
      <c r="H2304" s="63" t="str">
        <f>IFERROR(__xludf.DUMMYFUNCTION("VLOOKUP(F2304, IMPORTRANGE(""https://docs.google.com/spreadsheets/d/1Lhp9OU0JdFf_VYSMzH5lBcEaU4o8teT1piV-SNzShjg/edit?gid=554141278#gid=554141278"", ""'Char Def. - Attributes'!C20:C2242""), 1,false)"),"PROJECT_NAME")</f>
        <v>PROJECT_NAME</v>
      </c>
      <c r="I2304" s="136"/>
    </row>
    <row r="2305" ht="15.75" customHeight="1">
      <c r="A2305" s="59"/>
      <c r="B2305" s="63">
        <f t="shared" si="1"/>
        <v>17</v>
      </c>
      <c r="C2305" s="134" t="s">
        <v>140</v>
      </c>
      <c r="D2305" s="134" t="s">
        <v>74</v>
      </c>
      <c r="E2305" s="135">
        <f t="shared" si="54"/>
        <v>7</v>
      </c>
      <c r="F2305" s="134" t="s">
        <v>3609</v>
      </c>
      <c r="G2305" s="63" t="str">
        <f>VLOOKUP(C2305, 'Class Def. - General Data'!$C$20:$C$1000,1,false)</f>
        <v>ZFG1_STAINREMOVER</v>
      </c>
      <c r="H2305" s="63" t="str">
        <f>IFERROR(__xludf.DUMMYFUNCTION("VLOOKUP(F2305, IMPORTRANGE(""https://docs.google.com/spreadsheets/d/1Lhp9OU0JdFf_VYSMzH5lBcEaU4o8teT1piV-SNzShjg/edit?gid=554141278#gid=554141278"", ""'Char Def. - Attributes'!C20:C2242""), 1,false)"),"ADDITIONAL_PROMO")</f>
        <v>ADDITIONAL_PROMO</v>
      </c>
      <c r="I2305" s="136"/>
    </row>
    <row r="2306" ht="15.75" customHeight="1">
      <c r="A2306" s="59"/>
      <c r="B2306" s="63">
        <f t="shared" si="1"/>
        <v>17</v>
      </c>
      <c r="C2306" s="134" t="s">
        <v>140</v>
      </c>
      <c r="D2306" s="134" t="s">
        <v>74</v>
      </c>
      <c r="E2306" s="135">
        <f t="shared" si="54"/>
        <v>8</v>
      </c>
      <c r="F2306" s="134" t="s">
        <v>3610</v>
      </c>
      <c r="G2306" s="63" t="str">
        <f>VLOOKUP(C2306, 'Class Def. - General Data'!$C$20:$C$1000,1,false)</f>
        <v>ZFG1_STAINREMOVER</v>
      </c>
      <c r="H2306" s="63" t="str">
        <f>IFERROR(__xludf.DUMMYFUNCTION("VLOOKUP(F2306, IMPORTRANGE(""https://docs.google.com/spreadsheets/d/1Lhp9OU0JdFf_VYSMzH5lBcEaU4o8teT1piV-SNzShjg/edit?gid=554141278#gid=554141278"", ""'Char Def. - Attributes'!C20:C2242""), 1,false)"),"BANDED_PROMO")</f>
        <v>BANDED_PROMO</v>
      </c>
      <c r="I2306" s="136"/>
    </row>
    <row r="2307" ht="15.75" customHeight="1">
      <c r="A2307" s="59"/>
      <c r="B2307" s="63">
        <f t="shared" si="1"/>
        <v>17</v>
      </c>
      <c r="C2307" s="134" t="s">
        <v>140</v>
      </c>
      <c r="D2307" s="134" t="s">
        <v>74</v>
      </c>
      <c r="E2307" s="135">
        <f t="shared" si="54"/>
        <v>9</v>
      </c>
      <c r="F2307" s="134" t="s">
        <v>3611</v>
      </c>
      <c r="G2307" s="63" t="str">
        <f>VLOOKUP(C2307, 'Class Def. - General Data'!$C$20:$C$1000,1,false)</f>
        <v>ZFG1_STAINREMOVER</v>
      </c>
      <c r="H2307" s="63" t="str">
        <f>IFERROR(__xludf.DUMMYFUNCTION("VLOOKUP(F2307, IMPORTRANGE(""https://docs.google.com/spreadsheets/d/1Lhp9OU0JdFf_VYSMzH5lBcEaU4o8teT1piV-SNzShjg/edit?gid=554141278#gid=554141278"", ""'Char Def. - Attributes'!C20:C2242""), 1,false)"),"LOKAL_EKSPOR")</f>
        <v>LOKAL_EKSPOR</v>
      </c>
      <c r="I2307" s="136"/>
    </row>
    <row r="2308" ht="15.75" customHeight="1">
      <c r="A2308" s="59"/>
      <c r="B2308" s="63">
        <f t="shared" si="1"/>
        <v>17</v>
      </c>
      <c r="C2308" s="134" t="s">
        <v>140</v>
      </c>
      <c r="D2308" s="134" t="s">
        <v>74</v>
      </c>
      <c r="E2308" s="135">
        <f t="shared" si="54"/>
        <v>10</v>
      </c>
      <c r="F2308" s="134" t="s">
        <v>3612</v>
      </c>
      <c r="G2308" s="63" t="str">
        <f>VLOOKUP(C2308, 'Class Def. - General Data'!$C$20:$C$1000,1,false)</f>
        <v>ZFG1_STAINREMOVER</v>
      </c>
      <c r="H2308" s="63" t="str">
        <f>IFERROR(__xludf.DUMMYFUNCTION("VLOOKUP(F2308, IMPORTRANGE(""https://docs.google.com/spreadsheets/d/1Lhp9OU0JdFf_VYSMzH5lBcEaU4o8teT1piV-SNzShjg/edit?gid=554141278#gid=554141278"", ""'Char Def. - Attributes'!C20:C2242""), 1,false)"),"COUNTRY_EKSPOR")</f>
        <v>COUNTRY_EKSPOR</v>
      </c>
      <c r="I2308" s="136"/>
    </row>
    <row r="2309" ht="15.75" customHeight="1">
      <c r="A2309" s="59"/>
      <c r="B2309" s="63">
        <f t="shared" si="1"/>
        <v>17</v>
      </c>
      <c r="C2309" s="134" t="s">
        <v>140</v>
      </c>
      <c r="D2309" s="134" t="s">
        <v>74</v>
      </c>
      <c r="E2309" s="135">
        <f t="shared" si="54"/>
        <v>11</v>
      </c>
      <c r="F2309" s="134" t="s">
        <v>3613</v>
      </c>
      <c r="G2309" s="63" t="str">
        <f>VLOOKUP(C2309, 'Class Def. - General Data'!$C$20:$C$1000,1,false)</f>
        <v>ZFG1_STAINREMOVER</v>
      </c>
      <c r="H2309" s="63" t="str">
        <f>IFERROR(__xludf.DUMMYFUNCTION("VLOOKUP(F2309, IMPORTRANGE(""https://docs.google.com/spreadsheets/d/1Lhp9OU0JdFf_VYSMzH5lBcEaU4o8teT1piV-SNzShjg/edit?gid=554141278#gid=554141278"", ""'Char Def. - Attributes'!C20:C2242""), 1,false)"),"WARNA_SFG")</f>
        <v>WARNA_SFG</v>
      </c>
      <c r="I2309" s="136"/>
    </row>
    <row r="2310" ht="15.75" customHeight="1">
      <c r="A2310" s="59"/>
      <c r="B2310" s="63">
        <f t="shared" si="1"/>
        <v>17</v>
      </c>
      <c r="C2310" s="134" t="s">
        <v>140</v>
      </c>
      <c r="D2310" s="134" t="s">
        <v>74</v>
      </c>
      <c r="E2310" s="135">
        <f t="shared" si="54"/>
        <v>12</v>
      </c>
      <c r="F2310" s="134" t="s">
        <v>3582</v>
      </c>
      <c r="G2310" s="63" t="str">
        <f>VLOOKUP(C2310, 'Class Def. - General Data'!$C$20:$C$1000,1,false)</f>
        <v>ZFG1_STAINREMOVER</v>
      </c>
      <c r="H2310" s="63" t="str">
        <f>IFERROR(__xludf.DUMMYFUNCTION("VLOOKUP(F2310, IMPORTRANGE(""https://docs.google.com/spreadsheets/d/1Lhp9OU0JdFf_VYSMzH5lBcEaU4o8teT1piV-SNzShjg/edit?gid=554141278#gid=554141278"", ""'Char Def. - Attributes'!C20:C2242""), 1,false)"),"BASE_UNIT")</f>
        <v>BASE_UNIT</v>
      </c>
      <c r="I2310" s="136"/>
    </row>
    <row r="2311" ht="15.75" customHeight="1">
      <c r="A2311" s="59"/>
      <c r="B2311" s="63">
        <f t="shared" si="1"/>
        <v>17</v>
      </c>
      <c r="C2311" s="134" t="s">
        <v>140</v>
      </c>
      <c r="D2311" s="134" t="s">
        <v>74</v>
      </c>
      <c r="E2311" s="135">
        <f t="shared" si="54"/>
        <v>13</v>
      </c>
      <c r="F2311" s="134" t="s">
        <v>3583</v>
      </c>
      <c r="G2311" s="63" t="str">
        <f>VLOOKUP(C2311, 'Class Def. - General Data'!$C$20:$C$1000,1,false)</f>
        <v>ZFG1_STAINREMOVER</v>
      </c>
      <c r="H2311" s="63" t="str">
        <f>IFERROR(__xludf.DUMMYFUNCTION("VLOOKUP(F2311, IMPORTRANGE(""https://docs.google.com/spreadsheets/d/1Lhp9OU0JdFf_VYSMzH5lBcEaU4o8teT1piV-SNzShjg/edit?gid=554141278#gid=554141278"", ""'Char Def. - Attributes'!C20:C2242""), 1,false)"),"SALES_UNIT")</f>
        <v>SALES_UNIT</v>
      </c>
      <c r="I2311" s="136"/>
    </row>
    <row r="2312" ht="15.75" customHeight="1">
      <c r="A2312" s="59"/>
      <c r="B2312" s="63">
        <f t="shared" si="1"/>
        <v>17</v>
      </c>
      <c r="C2312" s="134" t="s">
        <v>140</v>
      </c>
      <c r="D2312" s="134" t="s">
        <v>74</v>
      </c>
      <c r="E2312" s="135">
        <f t="shared" si="54"/>
        <v>14</v>
      </c>
      <c r="F2312" s="134" t="s">
        <v>3601</v>
      </c>
      <c r="G2312" s="63" t="str">
        <f>VLOOKUP(C2312, 'Class Def. - General Data'!$C$20:$C$1000,1,false)</f>
        <v>ZFG1_STAINREMOVER</v>
      </c>
      <c r="H2312" s="63" t="str">
        <f>IFERROR(__xludf.DUMMYFUNCTION("VLOOKUP(F2312, IMPORTRANGE(""https://docs.google.com/spreadsheets/d/1Lhp9OU0JdFf_VYSMzH5lBcEaU4o8teT1piV-SNzShjg/edit?gid=554141278#gid=554141278"", ""'Char Def. - Attributes'!C20:C2242""), 1,false)"),"GROSS_WEIGHT")</f>
        <v>GROSS_WEIGHT</v>
      </c>
      <c r="I2312" s="136"/>
    </row>
    <row r="2313" ht="15.75" customHeight="1">
      <c r="A2313" s="59"/>
      <c r="B2313" s="63">
        <f t="shared" si="1"/>
        <v>17</v>
      </c>
      <c r="C2313" s="134" t="s">
        <v>140</v>
      </c>
      <c r="D2313" s="134" t="s">
        <v>74</v>
      </c>
      <c r="E2313" s="135">
        <f t="shared" si="54"/>
        <v>15</v>
      </c>
      <c r="F2313" s="134" t="s">
        <v>3602</v>
      </c>
      <c r="G2313" s="63" t="str">
        <f>VLOOKUP(C2313, 'Class Def. - General Data'!$C$20:$C$1000,1,false)</f>
        <v>ZFG1_STAINREMOVER</v>
      </c>
      <c r="H2313" s="63" t="str">
        <f>IFERROR(__xludf.DUMMYFUNCTION("VLOOKUP(F2313, IMPORTRANGE(""https://docs.google.com/spreadsheets/d/1Lhp9OU0JdFf_VYSMzH5lBcEaU4o8teT1piV-SNzShjg/edit?gid=554141278#gid=554141278"", ""'Char Def. - Attributes'!C20:C2242""), 1,false)"),"NET_WEIGHT")</f>
        <v>NET_WEIGHT</v>
      </c>
      <c r="I2313" s="136"/>
    </row>
    <row r="2314" ht="15.75" customHeight="1">
      <c r="A2314" s="59"/>
      <c r="B2314" s="63">
        <f t="shared" si="1"/>
        <v>17</v>
      </c>
      <c r="C2314" s="134" t="s">
        <v>140</v>
      </c>
      <c r="D2314" s="134" t="s">
        <v>74</v>
      </c>
      <c r="E2314" s="135">
        <f t="shared" si="54"/>
        <v>16</v>
      </c>
      <c r="F2314" s="134" t="s">
        <v>3584</v>
      </c>
      <c r="G2314" s="63" t="str">
        <f>VLOOKUP(C2314, 'Class Def. - General Data'!$C$20:$C$1000,1,false)</f>
        <v>ZFG1_STAINREMOVER</v>
      </c>
      <c r="H2314" s="63" t="str">
        <f>IFERROR(__xludf.DUMMYFUNCTION("VLOOKUP(F2314, IMPORTRANGE(""https://docs.google.com/spreadsheets/d/1Lhp9OU0JdFf_VYSMzH5lBcEaU4o8teT1piV-SNzShjg/edit?gid=554141278#gid=554141278"", ""'Char Def. - Attributes'!C20:C2242""), 1,false)"),"UNIT_PER_BOX")</f>
        <v>UNIT_PER_BOX</v>
      </c>
      <c r="I2314" s="136"/>
    </row>
    <row r="2315" ht="15.75" customHeight="1">
      <c r="A2315" s="59"/>
      <c r="B2315" s="63">
        <f t="shared" si="1"/>
        <v>17</v>
      </c>
      <c r="C2315" s="134" t="s">
        <v>140</v>
      </c>
      <c r="D2315" s="134" t="s">
        <v>74</v>
      </c>
      <c r="E2315" s="135">
        <f t="shared" si="54"/>
        <v>17</v>
      </c>
      <c r="F2315" s="134" t="s">
        <v>3614</v>
      </c>
      <c r="G2315" s="63" t="str">
        <f>VLOOKUP(C2315, 'Class Def. - General Data'!$C$20:$C$1000,1,false)</f>
        <v>ZFG1_STAINREMOVER</v>
      </c>
      <c r="H2315" s="63" t="str">
        <f>IFERROR(__xludf.DUMMYFUNCTION("VLOOKUP(F2315, IMPORTRANGE(""https://docs.google.com/spreadsheets/d/1Lhp9OU0JdFf_VYSMzH5lBcEaU4o8teT1piV-SNzShjg/edit?gid=554141278#gid=554141278"", ""'Char Def. - Attributes'!C20:C2242""), 1,false)"),"UNIT_PER_CTN")</f>
        <v>UNIT_PER_CTN</v>
      </c>
      <c r="I2315" s="136"/>
    </row>
    <row r="2316" ht="15.75" customHeight="1">
      <c r="A2316" s="59"/>
      <c r="B2316" s="63">
        <f t="shared" si="1"/>
        <v>17</v>
      </c>
      <c r="C2316" s="134" t="s">
        <v>140</v>
      </c>
      <c r="D2316" s="134" t="s">
        <v>74</v>
      </c>
      <c r="E2316" s="135">
        <f t="shared" si="54"/>
        <v>18</v>
      </c>
      <c r="F2316" s="134" t="s">
        <v>3615</v>
      </c>
      <c r="G2316" s="63" t="str">
        <f>VLOOKUP(C2316, 'Class Def. - General Data'!$C$20:$C$1000,1,false)</f>
        <v>ZFG1_STAINREMOVER</v>
      </c>
      <c r="H2316" s="63" t="str">
        <f>IFERROR(__xludf.DUMMYFUNCTION("VLOOKUP(F2316, IMPORTRANGE(""https://docs.google.com/spreadsheets/d/1Lhp9OU0JdFf_VYSMzH5lBcEaU4o8teT1piV-SNzShjg/edit?gid=554141278#gid=554141278"", ""'Char Def. - Attributes'!C20:C2242""), 1,false)"),"UNIT_PER_BAG")</f>
        <v>UNIT_PER_BAG</v>
      </c>
      <c r="I2316" s="136"/>
    </row>
    <row r="2317" ht="15.75" customHeight="1">
      <c r="A2317" s="59"/>
      <c r="B2317" s="63">
        <f t="shared" si="1"/>
        <v>17</v>
      </c>
      <c r="C2317" s="134" t="s">
        <v>140</v>
      </c>
      <c r="D2317" s="134" t="s">
        <v>74</v>
      </c>
      <c r="E2317" s="135">
        <f t="shared" si="54"/>
        <v>19</v>
      </c>
      <c r="F2317" s="134" t="s">
        <v>3616</v>
      </c>
      <c r="G2317" s="63" t="str">
        <f>VLOOKUP(C2317, 'Class Def. - General Data'!$C$20:$C$1000,1,false)</f>
        <v>ZFG1_STAINREMOVER</v>
      </c>
      <c r="H2317" s="63" t="str">
        <f>IFERROR(__xludf.DUMMYFUNCTION("VLOOKUP(F2317, IMPORTRANGE(""https://docs.google.com/spreadsheets/d/1Lhp9OU0JdFf_VYSMzH5lBcEaU4o8teT1piV-SNzShjg/edit?gid=554141278#gid=554141278"", ""'Char Def. - Attributes'!C20:C2242""), 1,false)"),"UNIT_PER_PAL")</f>
        <v>UNIT_PER_PAL</v>
      </c>
      <c r="I2317" s="136"/>
    </row>
    <row r="2318" ht="15.75" customHeight="1">
      <c r="A2318" s="59"/>
      <c r="B2318" s="63">
        <f t="shared" si="1"/>
        <v>17</v>
      </c>
      <c r="C2318" s="134" t="s">
        <v>140</v>
      </c>
      <c r="D2318" s="134" t="s">
        <v>74</v>
      </c>
      <c r="E2318" s="135">
        <f t="shared" si="54"/>
        <v>20</v>
      </c>
      <c r="F2318" s="134" t="s">
        <v>3617</v>
      </c>
      <c r="G2318" s="63" t="str">
        <f>VLOOKUP(C2318, 'Class Def. - General Data'!$C$20:$C$1000,1,false)</f>
        <v>ZFG1_STAINREMOVER</v>
      </c>
      <c r="H2318" s="63" t="str">
        <f>IFERROR(__xludf.DUMMYFUNCTION("VLOOKUP(F2318, IMPORTRANGE(""https://docs.google.com/spreadsheets/d/1Lhp9OU0JdFf_VYSMzH5lBcEaU4o8teT1piV-SNzShjg/edit?gid=554141278#gid=554141278"", ""'Char Def. - Attributes'!C20:C2242""), 1,false)"),"UNIT_PER_TIER")</f>
        <v>UNIT_PER_TIER</v>
      </c>
      <c r="I2318" s="136"/>
    </row>
    <row r="2319" ht="15.75" customHeight="1">
      <c r="A2319" s="59"/>
      <c r="B2319" s="63">
        <f t="shared" si="1"/>
        <v>17</v>
      </c>
      <c r="C2319" s="134" t="s">
        <v>140</v>
      </c>
      <c r="D2319" s="134" t="s">
        <v>74</v>
      </c>
      <c r="E2319" s="135">
        <f t="shared" si="54"/>
        <v>21</v>
      </c>
      <c r="F2319" s="134" t="s">
        <v>3618</v>
      </c>
      <c r="G2319" s="63" t="str">
        <f>VLOOKUP(C2319, 'Class Def. - General Data'!$C$20:$C$1000,1,false)</f>
        <v>ZFG1_STAINREMOVER</v>
      </c>
      <c r="H2319" s="63" t="str">
        <f>IFERROR(__xludf.DUMMYFUNCTION("VLOOKUP(F2319, IMPORTRANGE(""https://docs.google.com/spreadsheets/d/1Lhp9OU0JdFf_VYSMzH5lBcEaU4o8teT1piV-SNzShjg/edit?gid=554141278#gid=554141278"", ""'Char Def. - Attributes'!C20:C2242""), 1,false)"),"HEIGHT")</f>
        <v>HEIGHT</v>
      </c>
      <c r="I2319" s="136"/>
    </row>
    <row r="2320" ht="15.75" customHeight="1">
      <c r="A2320" s="59"/>
      <c r="B2320" s="63">
        <f t="shared" si="1"/>
        <v>17</v>
      </c>
      <c r="C2320" s="134" t="s">
        <v>140</v>
      </c>
      <c r="D2320" s="134" t="s">
        <v>74</v>
      </c>
      <c r="E2320" s="135">
        <f t="shared" si="54"/>
        <v>22</v>
      </c>
      <c r="F2320" s="134" t="s">
        <v>3587</v>
      </c>
      <c r="G2320" s="63" t="str">
        <f>VLOOKUP(C2320, 'Class Def. - General Data'!$C$20:$C$1000,1,false)</f>
        <v>ZFG1_STAINREMOVER</v>
      </c>
      <c r="H2320" s="63" t="str">
        <f>IFERROR(__xludf.DUMMYFUNCTION("VLOOKUP(F2320, IMPORTRANGE(""https://docs.google.com/spreadsheets/d/1Lhp9OU0JdFf_VYSMzH5lBcEaU4o8teT1piV-SNzShjg/edit?gid=554141278#gid=554141278"", ""'Char Def. - Attributes'!C20:C2242""), 1,false)"),"PLANT_BUY")</f>
        <v>PLANT_BUY</v>
      </c>
      <c r="I2320" s="136"/>
    </row>
    <row r="2321" ht="15.75" customHeight="1">
      <c r="A2321" s="59"/>
      <c r="B2321" s="63">
        <f t="shared" si="1"/>
        <v>17</v>
      </c>
      <c r="C2321" s="134" t="s">
        <v>140</v>
      </c>
      <c r="D2321" s="134" t="s">
        <v>74</v>
      </c>
      <c r="E2321" s="135">
        <f t="shared" si="54"/>
        <v>23</v>
      </c>
      <c r="F2321" s="134" t="s">
        <v>3619</v>
      </c>
      <c r="G2321" s="63" t="str">
        <f>VLOOKUP(C2321, 'Class Def. - General Data'!$C$20:$C$1000,1,false)</f>
        <v>ZFG1_STAINREMOVER</v>
      </c>
      <c r="H2321" s="63" t="str">
        <f>IFERROR(__xludf.DUMMYFUNCTION("VLOOKUP(F2321, IMPORTRANGE(""https://docs.google.com/spreadsheets/d/1Lhp9OU0JdFf_VYSMzH5lBcEaU4o8teT1piV-SNzShjg/edit?gid=554141278#gid=554141278"", ""'Char Def. - Attributes'!C20:C2242""), 1,false)"),"LENGTH")</f>
        <v>LENGTH</v>
      </c>
      <c r="I2321" s="136"/>
    </row>
    <row r="2322" ht="15.75" customHeight="1">
      <c r="A2322" s="59"/>
      <c r="B2322" s="63">
        <f t="shared" si="1"/>
        <v>17</v>
      </c>
      <c r="C2322" s="134" t="s">
        <v>140</v>
      </c>
      <c r="D2322" s="134" t="s">
        <v>74</v>
      </c>
      <c r="E2322" s="135">
        <f t="shared" si="54"/>
        <v>24</v>
      </c>
      <c r="F2322" s="134" t="s">
        <v>3586</v>
      </c>
      <c r="G2322" s="63" t="str">
        <f>VLOOKUP(C2322, 'Class Def. - General Data'!$C$20:$C$1000,1,false)</f>
        <v>ZFG1_STAINREMOVER</v>
      </c>
      <c r="H2322" s="63" t="str">
        <f>IFERROR(__xludf.DUMMYFUNCTION("VLOOKUP(F2322, IMPORTRANGE(""https://docs.google.com/spreadsheets/d/1Lhp9OU0JdFf_VYSMzH5lBcEaU4o8teT1piV-SNzShjg/edit?gid=554141278#gid=554141278"", ""'Char Def. - Attributes'!C20:C2242""), 1,false)"),"PLANT_PROD")</f>
        <v>PLANT_PROD</v>
      </c>
      <c r="I2322" s="136"/>
    </row>
    <row r="2323" ht="15.75" customHeight="1">
      <c r="A2323" s="59"/>
      <c r="B2323" s="63">
        <f t="shared" si="1"/>
        <v>17</v>
      </c>
      <c r="C2323" s="134" t="s">
        <v>140</v>
      </c>
      <c r="D2323" s="134" t="s">
        <v>74</v>
      </c>
      <c r="E2323" s="135">
        <f t="shared" si="54"/>
        <v>25</v>
      </c>
      <c r="F2323" s="134" t="s">
        <v>3620</v>
      </c>
      <c r="G2323" s="63" t="str">
        <f>VLOOKUP(C2323, 'Class Def. - General Data'!$C$20:$C$1000,1,false)</f>
        <v>ZFG1_STAINREMOVER</v>
      </c>
      <c r="H2323" s="63" t="str">
        <f>IFERROR(__xludf.DUMMYFUNCTION("VLOOKUP(F2323, IMPORTRANGE(""https://docs.google.com/spreadsheets/d/1Lhp9OU0JdFf_VYSMzH5lBcEaU4o8teT1piV-SNzShjg/edit?gid=554141278#gid=554141278"", ""'Char Def. - Attributes'!C20:C2242""), 1,false)"),"WIDTH")</f>
        <v>WIDTH</v>
      </c>
      <c r="I2323" s="136"/>
    </row>
    <row r="2324" ht="15.75" customHeight="1">
      <c r="A2324" s="59"/>
      <c r="B2324" s="63">
        <f t="shared" si="1"/>
        <v>17</v>
      </c>
      <c r="C2324" s="134" t="s">
        <v>140</v>
      </c>
      <c r="D2324" s="134" t="s">
        <v>74</v>
      </c>
      <c r="E2324" s="135">
        <f t="shared" si="54"/>
        <v>26</v>
      </c>
      <c r="F2324" s="134" t="s">
        <v>3585</v>
      </c>
      <c r="G2324" s="63" t="str">
        <f>VLOOKUP(C2324, 'Class Def. - General Data'!$C$20:$C$1000,1,false)</f>
        <v>ZFG1_STAINREMOVER</v>
      </c>
      <c r="H2324" s="63" t="str">
        <f>IFERROR(__xludf.DUMMYFUNCTION("VLOOKUP(F2324, IMPORTRANGE(""https://docs.google.com/spreadsheets/d/1Lhp9OU0JdFf_VYSMzH5lBcEaU4o8teT1piV-SNzShjg/edit?gid=554141278#gid=554141278"", ""'Char Def. - Attributes'!C20:C2242""), 1,false)"),"HS_CODE")</f>
        <v>HS_CODE</v>
      </c>
      <c r="I2324" s="136"/>
    </row>
    <row r="2325" ht="15.75" customHeight="1">
      <c r="A2325" s="59"/>
      <c r="B2325" s="63">
        <f t="shared" si="1"/>
        <v>17</v>
      </c>
      <c r="C2325" s="134" t="s">
        <v>140</v>
      </c>
      <c r="D2325" s="134" t="s">
        <v>74</v>
      </c>
      <c r="E2325" s="135">
        <f t="shared" si="54"/>
        <v>27</v>
      </c>
      <c r="F2325" s="134" t="s">
        <v>3621</v>
      </c>
      <c r="G2325" s="63" t="str">
        <f>VLOOKUP(C2325, 'Class Def. - General Data'!$C$20:$C$1000,1,false)</f>
        <v>ZFG1_STAINREMOVER</v>
      </c>
      <c r="H2325" s="63" t="str">
        <f>IFERROR(__xludf.DUMMYFUNCTION("VLOOKUP(F2325, IMPORTRANGE(""https://docs.google.com/spreadsheets/d/1Lhp9OU0JdFf_VYSMzH5lBcEaU4o8teT1piV-SNzShjg/edit?gid=554141278#gid=554141278"", ""'Char Def. - Attributes'!C20:C2242""), 1,false)"),"EAN_PCS")</f>
        <v>EAN_PCS</v>
      </c>
      <c r="I2325" s="136"/>
    </row>
    <row r="2326" ht="15.75" customHeight="1">
      <c r="A2326" s="59"/>
      <c r="B2326" s="63">
        <f t="shared" si="1"/>
        <v>17</v>
      </c>
      <c r="C2326" s="134" t="s">
        <v>140</v>
      </c>
      <c r="D2326" s="134" t="s">
        <v>74</v>
      </c>
      <c r="E2326" s="135">
        <f t="shared" si="54"/>
        <v>28</v>
      </c>
      <c r="F2326" s="134" t="s">
        <v>3622</v>
      </c>
      <c r="G2326" s="63" t="str">
        <f>VLOOKUP(C2326, 'Class Def. - General Data'!$C$20:$C$1000,1,false)</f>
        <v>ZFG1_STAINREMOVER</v>
      </c>
      <c r="H2326" s="63" t="str">
        <f>IFERROR(__xludf.DUMMYFUNCTION("VLOOKUP(F2326, IMPORTRANGE(""https://docs.google.com/spreadsheets/d/1Lhp9OU0JdFf_VYSMzH5lBcEaU4o8teT1piV-SNzShjg/edit?gid=554141278#gid=554141278"", ""'Char Def. - Attributes'!C20:C2242""), 1,false)"),"SFG_BRAND")</f>
        <v>SFG_BRAND</v>
      </c>
      <c r="I2326" s="136"/>
    </row>
    <row r="2327" ht="15.75" customHeight="1">
      <c r="A2327" s="59"/>
      <c r="B2327" s="63">
        <f t="shared" si="1"/>
        <v>17</v>
      </c>
      <c r="C2327" s="134" t="s">
        <v>140</v>
      </c>
      <c r="D2327" s="134" t="s">
        <v>74</v>
      </c>
      <c r="E2327" s="135">
        <f t="shared" si="54"/>
        <v>29</v>
      </c>
      <c r="F2327" s="134" t="s">
        <v>3623</v>
      </c>
      <c r="G2327" s="63" t="str">
        <f>VLOOKUP(C2327, 'Class Def. - General Data'!$C$20:$C$1000,1,false)</f>
        <v>ZFG1_STAINREMOVER</v>
      </c>
      <c r="H2327" s="63" t="str">
        <f>IFERROR(__xludf.DUMMYFUNCTION("VLOOKUP(F2327, IMPORTRANGE(""https://docs.google.com/spreadsheets/d/1Lhp9OU0JdFf_VYSMzH5lBcEaU4o8teT1piV-SNzShjg/edit?gid=554141278#gid=554141278"", ""'Char Def. - Attributes'!C20:C2242""), 1,false)"),"LANGUAGE")</f>
        <v>LANGUAGE</v>
      </c>
      <c r="I2327" s="136"/>
    </row>
    <row r="2328" ht="15.75" customHeight="1">
      <c r="A2328" s="59"/>
      <c r="B2328" s="63">
        <f t="shared" si="1"/>
        <v>17</v>
      </c>
      <c r="C2328" s="139" t="s">
        <v>140</v>
      </c>
      <c r="D2328" s="139" t="s">
        <v>74</v>
      </c>
      <c r="E2328" s="140">
        <f t="shared" si="54"/>
        <v>30</v>
      </c>
      <c r="F2328" s="134" t="s">
        <v>3624</v>
      </c>
      <c r="G2328" s="63" t="str">
        <f>VLOOKUP(C2328, 'Class Def. - General Data'!$C$20:$C$1000,1,false)</f>
        <v>ZFG1_STAINREMOVER</v>
      </c>
      <c r="H2328" s="63" t="str">
        <f>IFERROR(__xludf.DUMMYFUNCTION("VLOOKUP(F2328, IMPORTRANGE(""https://docs.google.com/spreadsheets/d/1Lhp9OU0JdFf_VYSMzH5lBcEaU4o8teT1piV-SNzShjg/edit?gid=554141278#gid=554141278"", ""'Char Def. - Attributes'!C20:C2242""), 1,false)"),"#N/A")</f>
        <v>#N/A</v>
      </c>
      <c r="I2328" s="136"/>
    </row>
    <row r="2329" ht="15.75" customHeight="1">
      <c r="A2329" s="59"/>
      <c r="B2329" s="63">
        <f t="shared" si="1"/>
        <v>17</v>
      </c>
      <c r="C2329" s="134" t="s">
        <v>140</v>
      </c>
      <c r="D2329" s="134" t="s">
        <v>74</v>
      </c>
      <c r="E2329" s="135">
        <f t="shared" si="54"/>
        <v>31</v>
      </c>
      <c r="F2329" s="134" t="s">
        <v>3625</v>
      </c>
      <c r="G2329" s="63" t="str">
        <f>VLOOKUP(C2329, 'Class Def. - General Data'!$C$20:$C$1000,1,false)</f>
        <v>ZFG1_STAINREMOVER</v>
      </c>
      <c r="H2329" s="63" t="str">
        <f>IFERROR(__xludf.DUMMYFUNCTION("VLOOKUP(F2329, IMPORTRANGE(""https://docs.google.com/spreadsheets/d/1Lhp9OU0JdFf_VYSMzH5lBcEaU4o8teT1piV-SNzShjg/edit?gid=554141278#gid=554141278"", ""'Char Def. - Attributes'!C20:C2242""), 1,false)"),"REGION_EKSPOR")</f>
        <v>REGION_EKSPOR</v>
      </c>
      <c r="I2329" s="136"/>
    </row>
    <row r="2330" ht="15.75" customHeight="1">
      <c r="A2330" s="59"/>
      <c r="B2330" s="63">
        <f t="shared" si="1"/>
        <v>17</v>
      </c>
      <c r="C2330" s="134" t="s">
        <v>140</v>
      </c>
      <c r="D2330" s="134" t="s">
        <v>74</v>
      </c>
      <c r="E2330" s="135">
        <f t="shared" si="54"/>
        <v>32</v>
      </c>
      <c r="F2330" s="134" t="s">
        <v>3626</v>
      </c>
      <c r="G2330" s="63" t="str">
        <f>VLOOKUP(C2330, 'Class Def. - General Data'!$C$20:$C$1000,1,false)</f>
        <v>ZFG1_STAINREMOVER</v>
      </c>
      <c r="H2330" s="63" t="str">
        <f>IFERROR(__xludf.DUMMYFUNCTION("VLOOKUP(F2330, IMPORTRANGE(""https://docs.google.com/spreadsheets/d/1Lhp9OU0JdFf_VYSMzH5lBcEaU4o8teT1piV-SNzShjg/edit?gid=554141278#gid=554141278"", ""'Char Def. - Attributes'!C20:C2242""), 1,false)"),"STICKER_NOT")</f>
        <v>STICKER_NOT</v>
      </c>
      <c r="I2330" s="136"/>
    </row>
    <row r="2331" ht="15.75" customHeight="1">
      <c r="A2331" s="59"/>
      <c r="B2331" s="63">
        <f t="shared" si="1"/>
        <v>17</v>
      </c>
      <c r="C2331" s="134" t="s">
        <v>140</v>
      </c>
      <c r="D2331" s="134" t="s">
        <v>74</v>
      </c>
      <c r="E2331" s="135">
        <f t="shared" si="54"/>
        <v>33</v>
      </c>
      <c r="F2331" s="134" t="s">
        <v>3627</v>
      </c>
      <c r="G2331" s="63" t="str">
        <f>VLOOKUP(C2331, 'Class Def. - General Data'!$C$20:$C$1000,1,false)</f>
        <v>ZFG1_STAINREMOVER</v>
      </c>
      <c r="H2331" s="63" t="str">
        <f>IFERROR(__xludf.DUMMYFUNCTION("VLOOKUP(F2331, IMPORTRANGE(""https://docs.google.com/spreadsheets/d/1Lhp9OU0JdFf_VYSMzH5lBcEaU4o8teT1piV-SNzShjg/edit?gid=554141278#gid=554141278"", ""'Char Def. - Attributes'!C20:C2242""), 1,false)"),"SHIP_MARK")</f>
        <v>SHIP_MARK</v>
      </c>
      <c r="I2331" s="136"/>
    </row>
    <row r="2332" ht="15.75" customHeight="1">
      <c r="A2332" s="59"/>
      <c r="B2332" s="63">
        <f t="shared" si="1"/>
        <v>17</v>
      </c>
      <c r="C2332" s="134" t="s">
        <v>140</v>
      </c>
      <c r="D2332" s="134" t="s">
        <v>74</v>
      </c>
      <c r="E2332" s="135">
        <f t="shared" si="54"/>
        <v>34</v>
      </c>
      <c r="F2332" s="134" t="s">
        <v>3628</v>
      </c>
      <c r="G2332" s="63" t="str">
        <f>VLOOKUP(C2332, 'Class Def. - General Data'!$C$20:$C$1000,1,false)</f>
        <v>ZFG1_STAINREMOVER</v>
      </c>
      <c r="H2332" s="63" t="str">
        <f>IFERROR(__xludf.DUMMYFUNCTION("VLOOKUP(F2332, IMPORTRANGE(""https://docs.google.com/spreadsheets/d/1Lhp9OU0JdFf_VYSMzH5lBcEaU4o8teT1piV-SNzShjg/edit?gid=554141278#gid=554141278"", ""'Char Def. - Attributes'!C20:C2242""), 1,false)"),"MID_CORE")</f>
        <v>MID_CORE</v>
      </c>
      <c r="I2332" s="136"/>
    </row>
    <row r="2333" ht="15.75" customHeight="1">
      <c r="A2333" s="59"/>
      <c r="B2333" s="63">
        <f t="shared" si="1"/>
        <v>17</v>
      </c>
      <c r="C2333" s="134" t="s">
        <v>140</v>
      </c>
      <c r="D2333" s="134" t="s">
        <v>74</v>
      </c>
      <c r="E2333" s="135">
        <f t="shared" si="54"/>
        <v>35</v>
      </c>
      <c r="F2333" s="134" t="s">
        <v>3629</v>
      </c>
      <c r="G2333" s="63" t="str">
        <f>VLOOKUP(C2333, 'Class Def. - General Data'!$C$20:$C$1000,1,false)</f>
        <v>ZFG1_STAINREMOVER</v>
      </c>
      <c r="H2333" s="63" t="str">
        <f>IFERROR(__xludf.DUMMYFUNCTION("VLOOKUP(F2333, IMPORTRANGE(""https://docs.google.com/spreadsheets/d/1Lhp9OU0JdFf_VYSMzH5lBcEaU4o8teT1piV-SNzShjg/edit?gid=554141278#gid=554141278"", ""'Char Def. - Attributes'!C20:C2242""), 1,false)"),"EAN_CTN")</f>
        <v>EAN_CTN</v>
      </c>
      <c r="I2333" s="136"/>
    </row>
    <row r="2334" ht="15.75" customHeight="1">
      <c r="A2334" s="59"/>
      <c r="B2334" s="63">
        <f t="shared" si="1"/>
        <v>17</v>
      </c>
      <c r="C2334" s="134" t="s">
        <v>140</v>
      </c>
      <c r="D2334" s="134" t="s">
        <v>74</v>
      </c>
      <c r="E2334" s="135">
        <f t="shared" si="54"/>
        <v>36</v>
      </c>
      <c r="F2334" s="134" t="s">
        <v>3630</v>
      </c>
      <c r="G2334" s="63" t="str">
        <f>VLOOKUP(C2334, 'Class Def. - General Data'!$C$20:$C$1000,1,false)</f>
        <v>ZFG1_STAINREMOVER</v>
      </c>
      <c r="H2334" s="63" t="str">
        <f>IFERROR(__xludf.DUMMYFUNCTION("VLOOKUP(F2334, IMPORTRANGE(""https://docs.google.com/spreadsheets/d/1Lhp9OU0JdFf_VYSMzH5lBcEaU4o8teT1piV-SNzShjg/edit?gid=554141278#gid=554141278"", ""'Char Def. - Attributes'!C20:C2242""), 1,false)"),"EAN_BOX")</f>
        <v>EAN_BOX</v>
      </c>
      <c r="I2334" s="136"/>
    </row>
    <row r="2335" ht="15.75" customHeight="1">
      <c r="A2335" s="59"/>
      <c r="B2335" s="63">
        <f t="shared" si="1"/>
        <v>17</v>
      </c>
      <c r="C2335" s="134" t="s">
        <v>140</v>
      </c>
      <c r="D2335" s="141" t="s">
        <v>74</v>
      </c>
      <c r="E2335" s="135">
        <v>22.0</v>
      </c>
      <c r="F2335" s="135" t="s">
        <v>3603</v>
      </c>
      <c r="G2335" s="63" t="str">
        <f>VLOOKUP(C2335, 'Class Def. - General Data'!$C$20:$C$1000,1,false)</f>
        <v>ZFG1_STAINREMOVER</v>
      </c>
      <c r="I2335" s="136"/>
    </row>
    <row r="2336" ht="15.75" customHeight="1">
      <c r="A2336" s="59"/>
      <c r="B2336" s="63">
        <f t="shared" si="1"/>
        <v>15</v>
      </c>
      <c r="C2336" s="135" t="s">
        <v>141</v>
      </c>
      <c r="D2336" s="134" t="s">
        <v>74</v>
      </c>
      <c r="E2336" s="135">
        <f t="shared" ref="E2336:E2371" si="55">COUNTIF($C$20:C2336,C2336)</f>
        <v>1</v>
      </c>
      <c r="F2336" s="134" t="str">
        <f>"BRAND_"&amp;MID(C2336,6,20)</f>
        <v>BRAND_TOILETCLNR</v>
      </c>
      <c r="G2336" s="63" t="str">
        <f>VLOOKUP(C2336, 'Class Def. - General Data'!$C$20:$C$1000,1,false)</f>
        <v>ZFG1_TOILETCLNR</v>
      </c>
      <c r="H2336" s="63" t="str">
        <f>IFERROR(__xludf.DUMMYFUNCTION("VLOOKUP(F2336, IMPORTRANGE(""https://docs.google.com/spreadsheets/d/1Lhp9OU0JdFf_VYSMzH5lBcEaU4o8teT1piV-SNzShjg/edit?gid=554141278#gid=554141278"", ""'Char Def. - Attributes'!C20:C2242""), 1,false)"),"BRAND_TOILETCLNR")</f>
        <v>BRAND_TOILETCLNR</v>
      </c>
      <c r="I2336" s="136"/>
    </row>
    <row r="2337" ht="15.75" customHeight="1">
      <c r="A2337" s="59"/>
      <c r="B2337" s="63">
        <f t="shared" si="1"/>
        <v>15</v>
      </c>
      <c r="C2337" s="135" t="s">
        <v>141</v>
      </c>
      <c r="D2337" s="134" t="s">
        <v>74</v>
      </c>
      <c r="E2337" s="135">
        <f t="shared" si="55"/>
        <v>2</v>
      </c>
      <c r="F2337" s="134" t="str">
        <f>"PSHAPE_"&amp;MID(C2337,6,20)</f>
        <v>PSHAPE_TOILETCLNR</v>
      </c>
      <c r="G2337" s="63" t="str">
        <f>VLOOKUP(C2337, 'Class Def. - General Data'!$C$20:$C$1000,1,false)</f>
        <v>ZFG1_TOILETCLNR</v>
      </c>
      <c r="H2337" s="63" t="str">
        <f>IFERROR(__xludf.DUMMYFUNCTION("VLOOKUP(F2337, IMPORTRANGE(""https://docs.google.com/spreadsheets/d/1Lhp9OU0JdFf_VYSMzH5lBcEaU4o8teT1piV-SNzShjg/edit?gid=554141278#gid=554141278"", ""'Char Def. - Attributes'!C20:C2242""), 1,false)"),"PSHAPE_TOILETCLNR")</f>
        <v>PSHAPE_TOILETCLNR</v>
      </c>
      <c r="I2337" s="136"/>
    </row>
    <row r="2338" ht="15.75" customHeight="1">
      <c r="A2338" s="59"/>
      <c r="B2338" s="63">
        <f t="shared" si="1"/>
        <v>15</v>
      </c>
      <c r="C2338" s="135" t="s">
        <v>141</v>
      </c>
      <c r="D2338" s="134" t="s">
        <v>74</v>
      </c>
      <c r="E2338" s="135">
        <f t="shared" si="55"/>
        <v>3</v>
      </c>
      <c r="F2338" s="134" t="s">
        <v>3605</v>
      </c>
      <c r="G2338" s="63" t="str">
        <f>VLOOKUP(C2338, 'Class Def. - General Data'!$C$20:$C$1000,1,false)</f>
        <v>ZFG1_TOILETCLNR</v>
      </c>
      <c r="H2338" s="63" t="str">
        <f>IFERROR(__xludf.DUMMYFUNCTION("VLOOKUP(F2338, IMPORTRANGE(""https://docs.google.com/spreadsheets/d/1Lhp9OU0JdFf_VYSMzH5lBcEaU4o8teT1piV-SNzShjg/edit?gid=554141278#gid=554141278"", ""'Char Def. - Attributes'!C20:C2242""), 1,false)"),"PACK_NETTO")</f>
        <v>PACK_NETTO</v>
      </c>
      <c r="I2338" s="136"/>
    </row>
    <row r="2339" ht="15.75" customHeight="1">
      <c r="A2339" s="59"/>
      <c r="B2339" s="63">
        <f t="shared" si="1"/>
        <v>15</v>
      </c>
      <c r="C2339" s="135" t="s">
        <v>141</v>
      </c>
      <c r="D2339" s="134" t="s">
        <v>74</v>
      </c>
      <c r="E2339" s="135">
        <f t="shared" si="55"/>
        <v>4</v>
      </c>
      <c r="F2339" s="134" t="str">
        <f>"PUOM_"&amp;MID(C2339,6,20)</f>
        <v>PUOM_TOILETCLNR</v>
      </c>
      <c r="G2339" s="63" t="str">
        <f>VLOOKUP(C2339, 'Class Def. - General Data'!$C$20:$C$1000,1,false)</f>
        <v>ZFG1_TOILETCLNR</v>
      </c>
      <c r="H2339" s="63" t="str">
        <f>IFERROR(__xludf.DUMMYFUNCTION("VLOOKUP(F2339, IMPORTRANGE(""https://docs.google.com/spreadsheets/d/1Lhp9OU0JdFf_VYSMzH5lBcEaU4o8teT1piV-SNzShjg/edit?gid=554141278#gid=554141278"", ""'Char Def. - Attributes'!C20:C2242""), 1,false)"),"PUOM_TOILETCLNR")</f>
        <v>PUOM_TOILETCLNR</v>
      </c>
      <c r="I2339" s="136"/>
    </row>
    <row r="2340" ht="15.75" customHeight="1">
      <c r="A2340" s="59"/>
      <c r="B2340" s="63">
        <f t="shared" si="1"/>
        <v>15</v>
      </c>
      <c r="C2340" s="135" t="s">
        <v>141</v>
      </c>
      <c r="D2340" s="134" t="s">
        <v>74</v>
      </c>
      <c r="E2340" s="135">
        <f t="shared" si="55"/>
        <v>5</v>
      </c>
      <c r="F2340" s="134" t="s">
        <v>3607</v>
      </c>
      <c r="G2340" s="63" t="str">
        <f>VLOOKUP(C2340, 'Class Def. - General Data'!$C$20:$C$1000,1,false)</f>
        <v>ZFG1_TOILETCLNR</v>
      </c>
      <c r="H2340" s="63" t="str">
        <f>IFERROR(__xludf.DUMMYFUNCTION("VLOOKUP(F2340, IMPORTRANGE(""https://docs.google.com/spreadsheets/d/1Lhp9OU0JdFf_VYSMzH5lBcEaU4o8teT1piV-SNzShjg/edit?gid=554141278#gid=554141278"", ""'Char Def. - Attributes'!C20:C2242""), 1,false)"),"VARIAN")</f>
        <v>VARIAN</v>
      </c>
      <c r="I2340" s="136"/>
    </row>
    <row r="2341" ht="15.75" customHeight="1">
      <c r="A2341" s="59"/>
      <c r="B2341" s="63">
        <f t="shared" si="1"/>
        <v>15</v>
      </c>
      <c r="C2341" s="135" t="s">
        <v>141</v>
      </c>
      <c r="D2341" s="134" t="s">
        <v>74</v>
      </c>
      <c r="E2341" s="135">
        <f t="shared" si="55"/>
        <v>6</v>
      </c>
      <c r="F2341" s="134" t="s">
        <v>3608</v>
      </c>
      <c r="G2341" s="63" t="str">
        <f>VLOOKUP(C2341, 'Class Def. - General Data'!$C$20:$C$1000,1,false)</f>
        <v>ZFG1_TOILETCLNR</v>
      </c>
      <c r="H2341" s="63" t="str">
        <f>IFERROR(__xludf.DUMMYFUNCTION("VLOOKUP(F2341, IMPORTRANGE(""https://docs.google.com/spreadsheets/d/1Lhp9OU0JdFf_VYSMzH5lBcEaU4o8teT1piV-SNzShjg/edit?gid=554141278#gid=554141278"", ""'Char Def. - Attributes'!C20:C2242""), 1,false)"),"PROJECT_NAME")</f>
        <v>PROJECT_NAME</v>
      </c>
      <c r="I2341" s="136"/>
    </row>
    <row r="2342" ht="15.75" customHeight="1">
      <c r="A2342" s="59"/>
      <c r="B2342" s="63">
        <f t="shared" si="1"/>
        <v>15</v>
      </c>
      <c r="C2342" s="135" t="s">
        <v>141</v>
      </c>
      <c r="D2342" s="134" t="s">
        <v>74</v>
      </c>
      <c r="E2342" s="135">
        <f t="shared" si="55"/>
        <v>7</v>
      </c>
      <c r="F2342" s="134" t="s">
        <v>3609</v>
      </c>
      <c r="G2342" s="63" t="str">
        <f>VLOOKUP(C2342, 'Class Def. - General Data'!$C$20:$C$1000,1,false)</f>
        <v>ZFG1_TOILETCLNR</v>
      </c>
      <c r="H2342" s="63" t="str">
        <f>IFERROR(__xludf.DUMMYFUNCTION("VLOOKUP(F2342, IMPORTRANGE(""https://docs.google.com/spreadsheets/d/1Lhp9OU0JdFf_VYSMzH5lBcEaU4o8teT1piV-SNzShjg/edit?gid=554141278#gid=554141278"", ""'Char Def. - Attributes'!C20:C2242""), 1,false)"),"ADDITIONAL_PROMO")</f>
        <v>ADDITIONAL_PROMO</v>
      </c>
      <c r="I2342" s="136"/>
    </row>
    <row r="2343" ht="15.75" customHeight="1">
      <c r="A2343" s="59"/>
      <c r="B2343" s="63">
        <f t="shared" si="1"/>
        <v>15</v>
      </c>
      <c r="C2343" s="135" t="s">
        <v>141</v>
      </c>
      <c r="D2343" s="134" t="s">
        <v>74</v>
      </c>
      <c r="E2343" s="135">
        <f t="shared" si="55"/>
        <v>8</v>
      </c>
      <c r="F2343" s="134" t="s">
        <v>3610</v>
      </c>
      <c r="G2343" s="63" t="str">
        <f>VLOOKUP(C2343, 'Class Def. - General Data'!$C$20:$C$1000,1,false)</f>
        <v>ZFG1_TOILETCLNR</v>
      </c>
      <c r="H2343" s="63" t="str">
        <f>IFERROR(__xludf.DUMMYFUNCTION("VLOOKUP(F2343, IMPORTRANGE(""https://docs.google.com/spreadsheets/d/1Lhp9OU0JdFf_VYSMzH5lBcEaU4o8teT1piV-SNzShjg/edit?gid=554141278#gid=554141278"", ""'Char Def. - Attributes'!C20:C2242""), 1,false)"),"BANDED_PROMO")</f>
        <v>BANDED_PROMO</v>
      </c>
      <c r="I2343" s="136"/>
    </row>
    <row r="2344" ht="15.75" customHeight="1">
      <c r="A2344" s="59"/>
      <c r="B2344" s="63">
        <f t="shared" si="1"/>
        <v>15</v>
      </c>
      <c r="C2344" s="135" t="s">
        <v>141</v>
      </c>
      <c r="D2344" s="134" t="s">
        <v>74</v>
      </c>
      <c r="E2344" s="135">
        <f t="shared" si="55"/>
        <v>9</v>
      </c>
      <c r="F2344" s="134" t="s">
        <v>3611</v>
      </c>
      <c r="G2344" s="63" t="str">
        <f>VLOOKUP(C2344, 'Class Def. - General Data'!$C$20:$C$1000,1,false)</f>
        <v>ZFG1_TOILETCLNR</v>
      </c>
      <c r="H2344" s="63" t="str">
        <f>IFERROR(__xludf.DUMMYFUNCTION("VLOOKUP(F2344, IMPORTRANGE(""https://docs.google.com/spreadsheets/d/1Lhp9OU0JdFf_VYSMzH5lBcEaU4o8teT1piV-SNzShjg/edit?gid=554141278#gid=554141278"", ""'Char Def. - Attributes'!C20:C2242""), 1,false)"),"LOKAL_EKSPOR")</f>
        <v>LOKAL_EKSPOR</v>
      </c>
      <c r="I2344" s="136"/>
    </row>
    <row r="2345" ht="15.75" customHeight="1">
      <c r="A2345" s="59"/>
      <c r="B2345" s="63">
        <f t="shared" si="1"/>
        <v>15</v>
      </c>
      <c r="C2345" s="135" t="s">
        <v>141</v>
      </c>
      <c r="D2345" s="134" t="s">
        <v>74</v>
      </c>
      <c r="E2345" s="135">
        <f t="shared" si="55"/>
        <v>10</v>
      </c>
      <c r="F2345" s="134" t="s">
        <v>3612</v>
      </c>
      <c r="G2345" s="63" t="str">
        <f>VLOOKUP(C2345, 'Class Def. - General Data'!$C$20:$C$1000,1,false)</f>
        <v>ZFG1_TOILETCLNR</v>
      </c>
      <c r="H2345" s="63" t="str">
        <f>IFERROR(__xludf.DUMMYFUNCTION("VLOOKUP(F2345, IMPORTRANGE(""https://docs.google.com/spreadsheets/d/1Lhp9OU0JdFf_VYSMzH5lBcEaU4o8teT1piV-SNzShjg/edit?gid=554141278#gid=554141278"", ""'Char Def. - Attributes'!C20:C2242""), 1,false)"),"COUNTRY_EKSPOR")</f>
        <v>COUNTRY_EKSPOR</v>
      </c>
      <c r="I2345" s="136"/>
    </row>
    <row r="2346" ht="15.75" customHeight="1">
      <c r="A2346" s="59"/>
      <c r="B2346" s="63">
        <f t="shared" si="1"/>
        <v>15</v>
      </c>
      <c r="C2346" s="135" t="s">
        <v>141</v>
      </c>
      <c r="D2346" s="134" t="s">
        <v>74</v>
      </c>
      <c r="E2346" s="135">
        <f t="shared" si="55"/>
        <v>11</v>
      </c>
      <c r="F2346" s="134" t="s">
        <v>3613</v>
      </c>
      <c r="G2346" s="63" t="str">
        <f>VLOOKUP(C2346, 'Class Def. - General Data'!$C$20:$C$1000,1,false)</f>
        <v>ZFG1_TOILETCLNR</v>
      </c>
      <c r="H2346" s="63" t="str">
        <f>IFERROR(__xludf.DUMMYFUNCTION("VLOOKUP(F2346, IMPORTRANGE(""https://docs.google.com/spreadsheets/d/1Lhp9OU0JdFf_VYSMzH5lBcEaU4o8teT1piV-SNzShjg/edit?gid=554141278#gid=554141278"", ""'Char Def. - Attributes'!C20:C2242""), 1,false)"),"WARNA_SFG")</f>
        <v>WARNA_SFG</v>
      </c>
      <c r="I2346" s="136"/>
    </row>
    <row r="2347" ht="15.75" customHeight="1">
      <c r="A2347" s="59"/>
      <c r="B2347" s="63">
        <f t="shared" si="1"/>
        <v>15</v>
      </c>
      <c r="C2347" s="135" t="s">
        <v>141</v>
      </c>
      <c r="D2347" s="134" t="s">
        <v>74</v>
      </c>
      <c r="E2347" s="135">
        <f t="shared" si="55"/>
        <v>12</v>
      </c>
      <c r="F2347" s="134" t="s">
        <v>3582</v>
      </c>
      <c r="G2347" s="63" t="str">
        <f>VLOOKUP(C2347, 'Class Def. - General Data'!$C$20:$C$1000,1,false)</f>
        <v>ZFG1_TOILETCLNR</v>
      </c>
      <c r="H2347" s="63" t="str">
        <f>IFERROR(__xludf.DUMMYFUNCTION("VLOOKUP(F2347, IMPORTRANGE(""https://docs.google.com/spreadsheets/d/1Lhp9OU0JdFf_VYSMzH5lBcEaU4o8teT1piV-SNzShjg/edit?gid=554141278#gid=554141278"", ""'Char Def. - Attributes'!C20:C2242""), 1,false)"),"BASE_UNIT")</f>
        <v>BASE_UNIT</v>
      </c>
      <c r="I2347" s="136"/>
    </row>
    <row r="2348" ht="15.75" customHeight="1">
      <c r="A2348" s="59"/>
      <c r="B2348" s="63">
        <f t="shared" si="1"/>
        <v>15</v>
      </c>
      <c r="C2348" s="135" t="s">
        <v>141</v>
      </c>
      <c r="D2348" s="134" t="s">
        <v>74</v>
      </c>
      <c r="E2348" s="135">
        <f t="shared" si="55"/>
        <v>13</v>
      </c>
      <c r="F2348" s="134" t="s">
        <v>3583</v>
      </c>
      <c r="G2348" s="63" t="str">
        <f>VLOOKUP(C2348, 'Class Def. - General Data'!$C$20:$C$1000,1,false)</f>
        <v>ZFG1_TOILETCLNR</v>
      </c>
      <c r="H2348" s="63" t="str">
        <f>IFERROR(__xludf.DUMMYFUNCTION("VLOOKUP(F2348, IMPORTRANGE(""https://docs.google.com/spreadsheets/d/1Lhp9OU0JdFf_VYSMzH5lBcEaU4o8teT1piV-SNzShjg/edit?gid=554141278#gid=554141278"", ""'Char Def. - Attributes'!C20:C2242""), 1,false)"),"SALES_UNIT")</f>
        <v>SALES_UNIT</v>
      </c>
      <c r="I2348" s="136"/>
    </row>
    <row r="2349" ht="15.75" customHeight="1">
      <c r="A2349" s="59"/>
      <c r="B2349" s="63">
        <f t="shared" si="1"/>
        <v>15</v>
      </c>
      <c r="C2349" s="135" t="s">
        <v>141</v>
      </c>
      <c r="D2349" s="134" t="s">
        <v>74</v>
      </c>
      <c r="E2349" s="135">
        <f t="shared" si="55"/>
        <v>14</v>
      </c>
      <c r="F2349" s="134" t="s">
        <v>3601</v>
      </c>
      <c r="G2349" s="63" t="str">
        <f>VLOOKUP(C2349, 'Class Def. - General Data'!$C$20:$C$1000,1,false)</f>
        <v>ZFG1_TOILETCLNR</v>
      </c>
      <c r="H2349" s="63" t="str">
        <f>IFERROR(__xludf.DUMMYFUNCTION("VLOOKUP(F2349, IMPORTRANGE(""https://docs.google.com/spreadsheets/d/1Lhp9OU0JdFf_VYSMzH5lBcEaU4o8teT1piV-SNzShjg/edit?gid=554141278#gid=554141278"", ""'Char Def. - Attributes'!C20:C2242""), 1,false)"),"GROSS_WEIGHT")</f>
        <v>GROSS_WEIGHT</v>
      </c>
      <c r="I2349" s="136"/>
    </row>
    <row r="2350" ht="15.75" customHeight="1">
      <c r="A2350" s="59"/>
      <c r="B2350" s="63">
        <f t="shared" si="1"/>
        <v>15</v>
      </c>
      <c r="C2350" s="135" t="s">
        <v>141</v>
      </c>
      <c r="D2350" s="134" t="s">
        <v>74</v>
      </c>
      <c r="E2350" s="135">
        <f t="shared" si="55"/>
        <v>15</v>
      </c>
      <c r="F2350" s="134" t="s">
        <v>3602</v>
      </c>
      <c r="G2350" s="63" t="str">
        <f>VLOOKUP(C2350, 'Class Def. - General Data'!$C$20:$C$1000,1,false)</f>
        <v>ZFG1_TOILETCLNR</v>
      </c>
      <c r="H2350" s="63" t="str">
        <f>IFERROR(__xludf.DUMMYFUNCTION("VLOOKUP(F2350, IMPORTRANGE(""https://docs.google.com/spreadsheets/d/1Lhp9OU0JdFf_VYSMzH5lBcEaU4o8teT1piV-SNzShjg/edit?gid=554141278#gid=554141278"", ""'Char Def. - Attributes'!C20:C2242""), 1,false)"),"NET_WEIGHT")</f>
        <v>NET_WEIGHT</v>
      </c>
      <c r="I2350" s="136"/>
    </row>
    <row r="2351" ht="15.75" customHeight="1">
      <c r="A2351" s="59"/>
      <c r="B2351" s="63">
        <f t="shared" si="1"/>
        <v>15</v>
      </c>
      <c r="C2351" s="135" t="s">
        <v>141</v>
      </c>
      <c r="D2351" s="134" t="s">
        <v>74</v>
      </c>
      <c r="E2351" s="135">
        <f t="shared" si="55"/>
        <v>16</v>
      </c>
      <c r="F2351" s="134" t="s">
        <v>3584</v>
      </c>
      <c r="G2351" s="63" t="str">
        <f>VLOOKUP(C2351, 'Class Def. - General Data'!$C$20:$C$1000,1,false)</f>
        <v>ZFG1_TOILETCLNR</v>
      </c>
      <c r="H2351" s="63" t="str">
        <f>IFERROR(__xludf.DUMMYFUNCTION("VLOOKUP(F2351, IMPORTRANGE(""https://docs.google.com/spreadsheets/d/1Lhp9OU0JdFf_VYSMzH5lBcEaU4o8teT1piV-SNzShjg/edit?gid=554141278#gid=554141278"", ""'Char Def. - Attributes'!C20:C2242""), 1,false)"),"UNIT_PER_BOX")</f>
        <v>UNIT_PER_BOX</v>
      </c>
      <c r="I2351" s="136"/>
    </row>
    <row r="2352" ht="15.75" customHeight="1">
      <c r="A2352" s="59"/>
      <c r="B2352" s="63">
        <f t="shared" si="1"/>
        <v>15</v>
      </c>
      <c r="C2352" s="135" t="s">
        <v>141</v>
      </c>
      <c r="D2352" s="134" t="s">
        <v>74</v>
      </c>
      <c r="E2352" s="135">
        <f t="shared" si="55"/>
        <v>17</v>
      </c>
      <c r="F2352" s="134" t="s">
        <v>3614</v>
      </c>
      <c r="G2352" s="63" t="str">
        <f>VLOOKUP(C2352, 'Class Def. - General Data'!$C$20:$C$1000,1,false)</f>
        <v>ZFG1_TOILETCLNR</v>
      </c>
      <c r="H2352" s="63" t="str">
        <f>IFERROR(__xludf.DUMMYFUNCTION("VLOOKUP(F2352, IMPORTRANGE(""https://docs.google.com/spreadsheets/d/1Lhp9OU0JdFf_VYSMzH5lBcEaU4o8teT1piV-SNzShjg/edit?gid=554141278#gid=554141278"", ""'Char Def. - Attributes'!C20:C2242""), 1,false)"),"UNIT_PER_CTN")</f>
        <v>UNIT_PER_CTN</v>
      </c>
      <c r="I2352" s="136"/>
    </row>
    <row r="2353" ht="15.75" customHeight="1">
      <c r="A2353" s="59"/>
      <c r="B2353" s="63">
        <f t="shared" si="1"/>
        <v>15</v>
      </c>
      <c r="C2353" s="135" t="s">
        <v>141</v>
      </c>
      <c r="D2353" s="134" t="s">
        <v>74</v>
      </c>
      <c r="E2353" s="135">
        <f t="shared" si="55"/>
        <v>18</v>
      </c>
      <c r="F2353" s="134" t="s">
        <v>3615</v>
      </c>
      <c r="G2353" s="63" t="str">
        <f>VLOOKUP(C2353, 'Class Def. - General Data'!$C$20:$C$1000,1,false)</f>
        <v>ZFG1_TOILETCLNR</v>
      </c>
      <c r="H2353" s="63" t="str">
        <f>IFERROR(__xludf.DUMMYFUNCTION("VLOOKUP(F2353, IMPORTRANGE(""https://docs.google.com/spreadsheets/d/1Lhp9OU0JdFf_VYSMzH5lBcEaU4o8teT1piV-SNzShjg/edit?gid=554141278#gid=554141278"", ""'Char Def. - Attributes'!C20:C2242""), 1,false)"),"UNIT_PER_BAG")</f>
        <v>UNIT_PER_BAG</v>
      </c>
      <c r="I2353" s="136"/>
    </row>
    <row r="2354" ht="15.75" customHeight="1">
      <c r="A2354" s="59"/>
      <c r="B2354" s="63">
        <f t="shared" si="1"/>
        <v>15</v>
      </c>
      <c r="C2354" s="135" t="s">
        <v>141</v>
      </c>
      <c r="D2354" s="134" t="s">
        <v>74</v>
      </c>
      <c r="E2354" s="135">
        <f t="shared" si="55"/>
        <v>19</v>
      </c>
      <c r="F2354" s="134" t="s">
        <v>3616</v>
      </c>
      <c r="G2354" s="63" t="str">
        <f>VLOOKUP(C2354, 'Class Def. - General Data'!$C$20:$C$1000,1,false)</f>
        <v>ZFG1_TOILETCLNR</v>
      </c>
      <c r="H2354" s="63" t="str">
        <f>IFERROR(__xludf.DUMMYFUNCTION("VLOOKUP(F2354, IMPORTRANGE(""https://docs.google.com/spreadsheets/d/1Lhp9OU0JdFf_VYSMzH5lBcEaU4o8teT1piV-SNzShjg/edit?gid=554141278#gid=554141278"", ""'Char Def. - Attributes'!C20:C2242""), 1,false)"),"UNIT_PER_PAL")</f>
        <v>UNIT_PER_PAL</v>
      </c>
      <c r="I2354" s="136"/>
    </row>
    <row r="2355" ht="15.75" customHeight="1">
      <c r="A2355" s="59"/>
      <c r="B2355" s="63">
        <f t="shared" si="1"/>
        <v>15</v>
      </c>
      <c r="C2355" s="135" t="s">
        <v>141</v>
      </c>
      <c r="D2355" s="134" t="s">
        <v>74</v>
      </c>
      <c r="E2355" s="135">
        <f t="shared" si="55"/>
        <v>20</v>
      </c>
      <c r="F2355" s="134" t="s">
        <v>3617</v>
      </c>
      <c r="G2355" s="63" t="str">
        <f>VLOOKUP(C2355, 'Class Def. - General Data'!$C$20:$C$1000,1,false)</f>
        <v>ZFG1_TOILETCLNR</v>
      </c>
      <c r="H2355" s="63" t="str">
        <f>IFERROR(__xludf.DUMMYFUNCTION("VLOOKUP(F2355, IMPORTRANGE(""https://docs.google.com/spreadsheets/d/1Lhp9OU0JdFf_VYSMzH5lBcEaU4o8teT1piV-SNzShjg/edit?gid=554141278#gid=554141278"", ""'Char Def. - Attributes'!C20:C2242""), 1,false)"),"UNIT_PER_TIER")</f>
        <v>UNIT_PER_TIER</v>
      </c>
      <c r="I2355" s="136"/>
    </row>
    <row r="2356" ht="15.75" customHeight="1">
      <c r="A2356" s="59"/>
      <c r="B2356" s="63">
        <f t="shared" si="1"/>
        <v>15</v>
      </c>
      <c r="C2356" s="135" t="s">
        <v>141</v>
      </c>
      <c r="D2356" s="134" t="s">
        <v>74</v>
      </c>
      <c r="E2356" s="135">
        <f t="shared" si="55"/>
        <v>21</v>
      </c>
      <c r="F2356" s="134" t="s">
        <v>3618</v>
      </c>
      <c r="G2356" s="63" t="str">
        <f>VLOOKUP(C2356, 'Class Def. - General Data'!$C$20:$C$1000,1,false)</f>
        <v>ZFG1_TOILETCLNR</v>
      </c>
      <c r="H2356" s="63" t="str">
        <f>IFERROR(__xludf.DUMMYFUNCTION("VLOOKUP(F2356, IMPORTRANGE(""https://docs.google.com/spreadsheets/d/1Lhp9OU0JdFf_VYSMzH5lBcEaU4o8teT1piV-SNzShjg/edit?gid=554141278#gid=554141278"", ""'Char Def. - Attributes'!C20:C2242""), 1,false)"),"HEIGHT")</f>
        <v>HEIGHT</v>
      </c>
      <c r="I2356" s="136"/>
    </row>
    <row r="2357" ht="15.75" customHeight="1">
      <c r="A2357" s="59"/>
      <c r="B2357" s="63">
        <f t="shared" si="1"/>
        <v>15</v>
      </c>
      <c r="C2357" s="135" t="s">
        <v>141</v>
      </c>
      <c r="D2357" s="134" t="s">
        <v>74</v>
      </c>
      <c r="E2357" s="135">
        <f t="shared" si="55"/>
        <v>22</v>
      </c>
      <c r="F2357" s="134" t="s">
        <v>3587</v>
      </c>
      <c r="G2357" s="63" t="str">
        <f>VLOOKUP(C2357, 'Class Def. - General Data'!$C$20:$C$1000,1,false)</f>
        <v>ZFG1_TOILETCLNR</v>
      </c>
      <c r="H2357" s="63" t="str">
        <f>IFERROR(__xludf.DUMMYFUNCTION("VLOOKUP(F2357, IMPORTRANGE(""https://docs.google.com/spreadsheets/d/1Lhp9OU0JdFf_VYSMzH5lBcEaU4o8teT1piV-SNzShjg/edit?gid=554141278#gid=554141278"", ""'Char Def. - Attributes'!C20:C2242""), 1,false)"),"PLANT_BUY")</f>
        <v>PLANT_BUY</v>
      </c>
      <c r="I2357" s="136"/>
    </row>
    <row r="2358" ht="15.75" customHeight="1">
      <c r="A2358" s="59"/>
      <c r="B2358" s="63">
        <f t="shared" si="1"/>
        <v>15</v>
      </c>
      <c r="C2358" s="135" t="s">
        <v>141</v>
      </c>
      <c r="D2358" s="134" t="s">
        <v>74</v>
      </c>
      <c r="E2358" s="135">
        <f t="shared" si="55"/>
        <v>23</v>
      </c>
      <c r="F2358" s="134" t="s">
        <v>3619</v>
      </c>
      <c r="G2358" s="63" t="str">
        <f>VLOOKUP(C2358, 'Class Def. - General Data'!$C$20:$C$1000,1,false)</f>
        <v>ZFG1_TOILETCLNR</v>
      </c>
      <c r="H2358" s="63" t="str">
        <f>IFERROR(__xludf.DUMMYFUNCTION("VLOOKUP(F2358, IMPORTRANGE(""https://docs.google.com/spreadsheets/d/1Lhp9OU0JdFf_VYSMzH5lBcEaU4o8teT1piV-SNzShjg/edit?gid=554141278#gid=554141278"", ""'Char Def. - Attributes'!C20:C2242""), 1,false)"),"LENGTH")</f>
        <v>LENGTH</v>
      </c>
      <c r="I2358" s="136"/>
    </row>
    <row r="2359" ht="15.75" customHeight="1">
      <c r="A2359" s="59"/>
      <c r="B2359" s="63">
        <f t="shared" si="1"/>
        <v>15</v>
      </c>
      <c r="C2359" s="135" t="s">
        <v>141</v>
      </c>
      <c r="D2359" s="134" t="s">
        <v>74</v>
      </c>
      <c r="E2359" s="135">
        <f t="shared" si="55"/>
        <v>24</v>
      </c>
      <c r="F2359" s="134" t="s">
        <v>3586</v>
      </c>
      <c r="G2359" s="63" t="str">
        <f>VLOOKUP(C2359, 'Class Def. - General Data'!$C$20:$C$1000,1,false)</f>
        <v>ZFG1_TOILETCLNR</v>
      </c>
      <c r="H2359" s="63" t="str">
        <f>IFERROR(__xludf.DUMMYFUNCTION("VLOOKUP(F2359, IMPORTRANGE(""https://docs.google.com/spreadsheets/d/1Lhp9OU0JdFf_VYSMzH5lBcEaU4o8teT1piV-SNzShjg/edit?gid=554141278#gid=554141278"", ""'Char Def. - Attributes'!C20:C2242""), 1,false)"),"PLANT_PROD")</f>
        <v>PLANT_PROD</v>
      </c>
      <c r="I2359" s="136"/>
    </row>
    <row r="2360" ht="15.75" customHeight="1">
      <c r="A2360" s="59"/>
      <c r="B2360" s="63">
        <f t="shared" si="1"/>
        <v>15</v>
      </c>
      <c r="C2360" s="135" t="s">
        <v>141</v>
      </c>
      <c r="D2360" s="134" t="s">
        <v>74</v>
      </c>
      <c r="E2360" s="135">
        <f t="shared" si="55"/>
        <v>25</v>
      </c>
      <c r="F2360" s="134" t="s">
        <v>3620</v>
      </c>
      <c r="G2360" s="63" t="str">
        <f>VLOOKUP(C2360, 'Class Def. - General Data'!$C$20:$C$1000,1,false)</f>
        <v>ZFG1_TOILETCLNR</v>
      </c>
      <c r="H2360" s="63" t="str">
        <f>IFERROR(__xludf.DUMMYFUNCTION("VLOOKUP(F2360, IMPORTRANGE(""https://docs.google.com/spreadsheets/d/1Lhp9OU0JdFf_VYSMzH5lBcEaU4o8teT1piV-SNzShjg/edit?gid=554141278#gid=554141278"", ""'Char Def. - Attributes'!C20:C2242""), 1,false)"),"WIDTH")</f>
        <v>WIDTH</v>
      </c>
      <c r="I2360" s="136"/>
    </row>
    <row r="2361" ht="15.75" customHeight="1">
      <c r="A2361" s="59"/>
      <c r="B2361" s="63">
        <f t="shared" si="1"/>
        <v>15</v>
      </c>
      <c r="C2361" s="135" t="s">
        <v>141</v>
      </c>
      <c r="D2361" s="134" t="s">
        <v>74</v>
      </c>
      <c r="E2361" s="135">
        <f t="shared" si="55"/>
        <v>26</v>
      </c>
      <c r="F2361" s="134" t="s">
        <v>3585</v>
      </c>
      <c r="G2361" s="63" t="str">
        <f>VLOOKUP(C2361, 'Class Def. - General Data'!$C$20:$C$1000,1,false)</f>
        <v>ZFG1_TOILETCLNR</v>
      </c>
      <c r="H2361" s="63" t="str">
        <f>IFERROR(__xludf.DUMMYFUNCTION("VLOOKUP(F2361, IMPORTRANGE(""https://docs.google.com/spreadsheets/d/1Lhp9OU0JdFf_VYSMzH5lBcEaU4o8teT1piV-SNzShjg/edit?gid=554141278#gid=554141278"", ""'Char Def. - Attributes'!C20:C2242""), 1,false)"),"HS_CODE")</f>
        <v>HS_CODE</v>
      </c>
      <c r="I2361" s="136"/>
    </row>
    <row r="2362" ht="15.75" customHeight="1">
      <c r="A2362" s="59"/>
      <c r="B2362" s="63">
        <f t="shared" si="1"/>
        <v>15</v>
      </c>
      <c r="C2362" s="135" t="s">
        <v>141</v>
      </c>
      <c r="D2362" s="134" t="s">
        <v>74</v>
      </c>
      <c r="E2362" s="135">
        <f t="shared" si="55"/>
        <v>27</v>
      </c>
      <c r="F2362" s="134" t="s">
        <v>3621</v>
      </c>
      <c r="G2362" s="63" t="str">
        <f>VLOOKUP(C2362, 'Class Def. - General Data'!$C$20:$C$1000,1,false)</f>
        <v>ZFG1_TOILETCLNR</v>
      </c>
      <c r="H2362" s="63" t="str">
        <f>IFERROR(__xludf.DUMMYFUNCTION("VLOOKUP(F2362, IMPORTRANGE(""https://docs.google.com/spreadsheets/d/1Lhp9OU0JdFf_VYSMzH5lBcEaU4o8teT1piV-SNzShjg/edit?gid=554141278#gid=554141278"", ""'Char Def. - Attributes'!C20:C2242""), 1,false)"),"EAN_PCS")</f>
        <v>EAN_PCS</v>
      </c>
      <c r="I2362" s="136"/>
    </row>
    <row r="2363" ht="15.75" customHeight="1">
      <c r="A2363" s="59"/>
      <c r="B2363" s="63">
        <f t="shared" si="1"/>
        <v>15</v>
      </c>
      <c r="C2363" s="135" t="s">
        <v>141</v>
      </c>
      <c r="D2363" s="134" t="s">
        <v>74</v>
      </c>
      <c r="E2363" s="135">
        <f t="shared" si="55"/>
        <v>28</v>
      </c>
      <c r="F2363" s="134" t="s">
        <v>3622</v>
      </c>
      <c r="G2363" s="63" t="str">
        <f>VLOOKUP(C2363, 'Class Def. - General Data'!$C$20:$C$1000,1,false)</f>
        <v>ZFG1_TOILETCLNR</v>
      </c>
      <c r="H2363" s="63" t="str">
        <f>IFERROR(__xludf.DUMMYFUNCTION("VLOOKUP(F2363, IMPORTRANGE(""https://docs.google.com/spreadsheets/d/1Lhp9OU0JdFf_VYSMzH5lBcEaU4o8teT1piV-SNzShjg/edit?gid=554141278#gid=554141278"", ""'Char Def. - Attributes'!C20:C2242""), 1,false)"),"SFG_BRAND")</f>
        <v>SFG_BRAND</v>
      </c>
      <c r="I2363" s="136"/>
    </row>
    <row r="2364" ht="15.75" customHeight="1">
      <c r="A2364" s="59"/>
      <c r="B2364" s="63">
        <f t="shared" si="1"/>
        <v>15</v>
      </c>
      <c r="C2364" s="135" t="s">
        <v>141</v>
      </c>
      <c r="D2364" s="134" t="s">
        <v>74</v>
      </c>
      <c r="E2364" s="135">
        <f t="shared" si="55"/>
        <v>29</v>
      </c>
      <c r="F2364" s="134" t="s">
        <v>3623</v>
      </c>
      <c r="G2364" s="63" t="str">
        <f>VLOOKUP(C2364, 'Class Def. - General Data'!$C$20:$C$1000,1,false)</f>
        <v>ZFG1_TOILETCLNR</v>
      </c>
      <c r="H2364" s="63" t="str">
        <f>IFERROR(__xludf.DUMMYFUNCTION("VLOOKUP(F2364, IMPORTRANGE(""https://docs.google.com/spreadsheets/d/1Lhp9OU0JdFf_VYSMzH5lBcEaU4o8teT1piV-SNzShjg/edit?gid=554141278#gid=554141278"", ""'Char Def. - Attributes'!C20:C2242""), 1,false)"),"LANGUAGE")</f>
        <v>LANGUAGE</v>
      </c>
      <c r="I2364" s="136"/>
    </row>
    <row r="2365" ht="15.75" customHeight="1">
      <c r="A2365" s="59"/>
      <c r="B2365" s="63">
        <f t="shared" si="1"/>
        <v>15</v>
      </c>
      <c r="C2365" s="139" t="s">
        <v>141</v>
      </c>
      <c r="D2365" s="139" t="s">
        <v>74</v>
      </c>
      <c r="E2365" s="140">
        <f t="shared" si="55"/>
        <v>30</v>
      </c>
      <c r="F2365" s="134" t="s">
        <v>3624</v>
      </c>
      <c r="G2365" s="63" t="str">
        <f>VLOOKUP(C2365, 'Class Def. - General Data'!$C$20:$C$1000,1,false)</f>
        <v>ZFG1_TOILETCLNR</v>
      </c>
      <c r="H2365" s="63" t="str">
        <f>IFERROR(__xludf.DUMMYFUNCTION("VLOOKUP(F2365, IMPORTRANGE(""https://docs.google.com/spreadsheets/d/1Lhp9OU0JdFf_VYSMzH5lBcEaU4o8teT1piV-SNzShjg/edit?gid=554141278#gid=554141278"", ""'Char Def. - Attributes'!C20:C2242""), 1,false)"),"#N/A")</f>
        <v>#N/A</v>
      </c>
      <c r="I2365" s="136"/>
    </row>
    <row r="2366" ht="15.75" customHeight="1">
      <c r="A2366" s="59"/>
      <c r="B2366" s="63">
        <f t="shared" si="1"/>
        <v>15</v>
      </c>
      <c r="C2366" s="135" t="s">
        <v>141</v>
      </c>
      <c r="D2366" s="134" t="s">
        <v>74</v>
      </c>
      <c r="E2366" s="135">
        <f t="shared" si="55"/>
        <v>31</v>
      </c>
      <c r="F2366" s="134" t="s">
        <v>3625</v>
      </c>
      <c r="G2366" s="63" t="str">
        <f>VLOOKUP(C2366, 'Class Def. - General Data'!$C$20:$C$1000,1,false)</f>
        <v>ZFG1_TOILETCLNR</v>
      </c>
      <c r="H2366" s="63" t="str">
        <f>IFERROR(__xludf.DUMMYFUNCTION("VLOOKUP(F2366, IMPORTRANGE(""https://docs.google.com/spreadsheets/d/1Lhp9OU0JdFf_VYSMzH5lBcEaU4o8teT1piV-SNzShjg/edit?gid=554141278#gid=554141278"", ""'Char Def. - Attributes'!C20:C2242""), 1,false)"),"REGION_EKSPOR")</f>
        <v>REGION_EKSPOR</v>
      </c>
      <c r="I2366" s="136"/>
    </row>
    <row r="2367" ht="15.75" customHeight="1">
      <c r="A2367" s="59"/>
      <c r="B2367" s="63">
        <f t="shared" si="1"/>
        <v>15</v>
      </c>
      <c r="C2367" s="135" t="s">
        <v>141</v>
      </c>
      <c r="D2367" s="134" t="s">
        <v>74</v>
      </c>
      <c r="E2367" s="135">
        <f t="shared" si="55"/>
        <v>32</v>
      </c>
      <c r="F2367" s="134" t="s">
        <v>3626</v>
      </c>
      <c r="G2367" s="63" t="str">
        <f>VLOOKUP(C2367, 'Class Def. - General Data'!$C$20:$C$1000,1,false)</f>
        <v>ZFG1_TOILETCLNR</v>
      </c>
      <c r="H2367" s="63" t="str">
        <f>IFERROR(__xludf.DUMMYFUNCTION("VLOOKUP(F2367, IMPORTRANGE(""https://docs.google.com/spreadsheets/d/1Lhp9OU0JdFf_VYSMzH5lBcEaU4o8teT1piV-SNzShjg/edit?gid=554141278#gid=554141278"", ""'Char Def. - Attributes'!C20:C2242""), 1,false)"),"STICKER_NOT")</f>
        <v>STICKER_NOT</v>
      </c>
      <c r="I2367" s="136"/>
    </row>
    <row r="2368" ht="15.75" customHeight="1">
      <c r="A2368" s="59"/>
      <c r="B2368" s="63">
        <f t="shared" si="1"/>
        <v>15</v>
      </c>
      <c r="C2368" s="135" t="s">
        <v>141</v>
      </c>
      <c r="D2368" s="134" t="s">
        <v>74</v>
      </c>
      <c r="E2368" s="135">
        <f t="shared" si="55"/>
        <v>33</v>
      </c>
      <c r="F2368" s="134" t="s">
        <v>3627</v>
      </c>
      <c r="G2368" s="63" t="str">
        <f>VLOOKUP(C2368, 'Class Def. - General Data'!$C$20:$C$1000,1,false)</f>
        <v>ZFG1_TOILETCLNR</v>
      </c>
      <c r="H2368" s="63" t="str">
        <f>IFERROR(__xludf.DUMMYFUNCTION("VLOOKUP(F2368, IMPORTRANGE(""https://docs.google.com/spreadsheets/d/1Lhp9OU0JdFf_VYSMzH5lBcEaU4o8teT1piV-SNzShjg/edit?gid=554141278#gid=554141278"", ""'Char Def. - Attributes'!C20:C2242""), 1,false)"),"SHIP_MARK")</f>
        <v>SHIP_MARK</v>
      </c>
      <c r="I2368" s="136"/>
    </row>
    <row r="2369" ht="15.75" customHeight="1">
      <c r="A2369" s="59"/>
      <c r="B2369" s="63">
        <f t="shared" si="1"/>
        <v>15</v>
      </c>
      <c r="C2369" s="135" t="s">
        <v>141</v>
      </c>
      <c r="D2369" s="134" t="s">
        <v>74</v>
      </c>
      <c r="E2369" s="135">
        <f t="shared" si="55"/>
        <v>34</v>
      </c>
      <c r="F2369" s="134" t="s">
        <v>3628</v>
      </c>
      <c r="G2369" s="63" t="str">
        <f>VLOOKUP(C2369, 'Class Def. - General Data'!$C$20:$C$1000,1,false)</f>
        <v>ZFG1_TOILETCLNR</v>
      </c>
      <c r="H2369" s="63" t="str">
        <f>IFERROR(__xludf.DUMMYFUNCTION("VLOOKUP(F2369, IMPORTRANGE(""https://docs.google.com/spreadsheets/d/1Lhp9OU0JdFf_VYSMzH5lBcEaU4o8teT1piV-SNzShjg/edit?gid=554141278#gid=554141278"", ""'Char Def. - Attributes'!C20:C2242""), 1,false)"),"MID_CORE")</f>
        <v>MID_CORE</v>
      </c>
      <c r="I2369" s="136"/>
    </row>
    <row r="2370" ht="15.75" customHeight="1">
      <c r="A2370" s="59"/>
      <c r="B2370" s="63">
        <f t="shared" si="1"/>
        <v>15</v>
      </c>
      <c r="C2370" s="135" t="s">
        <v>141</v>
      </c>
      <c r="D2370" s="134" t="s">
        <v>74</v>
      </c>
      <c r="E2370" s="135">
        <f t="shared" si="55"/>
        <v>35</v>
      </c>
      <c r="F2370" s="134" t="s">
        <v>3629</v>
      </c>
      <c r="G2370" s="63" t="str">
        <f>VLOOKUP(C2370, 'Class Def. - General Data'!$C$20:$C$1000,1,false)</f>
        <v>ZFG1_TOILETCLNR</v>
      </c>
      <c r="H2370" s="63" t="str">
        <f>IFERROR(__xludf.DUMMYFUNCTION("VLOOKUP(F2370, IMPORTRANGE(""https://docs.google.com/spreadsheets/d/1Lhp9OU0JdFf_VYSMzH5lBcEaU4o8teT1piV-SNzShjg/edit?gid=554141278#gid=554141278"", ""'Char Def. - Attributes'!C20:C2242""), 1,false)"),"EAN_CTN")</f>
        <v>EAN_CTN</v>
      </c>
      <c r="I2370" s="136"/>
    </row>
    <row r="2371" ht="15.75" customHeight="1">
      <c r="A2371" s="59"/>
      <c r="B2371" s="63">
        <f t="shared" si="1"/>
        <v>15</v>
      </c>
      <c r="C2371" s="135" t="s">
        <v>141</v>
      </c>
      <c r="D2371" s="134" t="s">
        <v>74</v>
      </c>
      <c r="E2371" s="135">
        <f t="shared" si="55"/>
        <v>36</v>
      </c>
      <c r="F2371" s="134" t="s">
        <v>3630</v>
      </c>
      <c r="G2371" s="63" t="str">
        <f>VLOOKUP(C2371, 'Class Def. - General Data'!$C$20:$C$1000,1,false)</f>
        <v>ZFG1_TOILETCLNR</v>
      </c>
      <c r="H2371" s="63" t="str">
        <f>IFERROR(__xludf.DUMMYFUNCTION("VLOOKUP(F2371, IMPORTRANGE(""https://docs.google.com/spreadsheets/d/1Lhp9OU0JdFf_VYSMzH5lBcEaU4o8teT1piV-SNzShjg/edit?gid=554141278#gid=554141278"", ""'Char Def. - Attributes'!C20:C2242""), 1,false)"),"EAN_BOX")</f>
        <v>EAN_BOX</v>
      </c>
      <c r="I2371" s="136"/>
    </row>
    <row r="2372" ht="15.75" customHeight="1">
      <c r="A2372" s="59"/>
      <c r="B2372" s="63">
        <f t="shared" si="1"/>
        <v>15</v>
      </c>
      <c r="C2372" s="135" t="s">
        <v>141</v>
      </c>
      <c r="D2372" s="141" t="s">
        <v>74</v>
      </c>
      <c r="E2372" s="135">
        <v>22.0</v>
      </c>
      <c r="F2372" s="135" t="s">
        <v>3603</v>
      </c>
      <c r="G2372" s="63" t="str">
        <f>VLOOKUP(C2372, 'Class Def. - General Data'!$C$20:$C$1000,1,false)</f>
        <v>ZFG1_TOILETCLNR</v>
      </c>
      <c r="I2372" s="136"/>
    </row>
    <row r="2373" ht="15.75" customHeight="1">
      <c r="A2373" s="59"/>
      <c r="B2373" s="63">
        <f t="shared" si="1"/>
        <v>15</v>
      </c>
      <c r="C2373" s="134" t="s">
        <v>142</v>
      </c>
      <c r="D2373" s="134" t="s">
        <v>74</v>
      </c>
      <c r="E2373" s="135">
        <f t="shared" ref="E2373:E2408" si="56">COUNTIF($C$20:C2373,C2373)</f>
        <v>1</v>
      </c>
      <c r="F2373" s="134" t="s">
        <v>3766</v>
      </c>
      <c r="G2373" s="63" t="str">
        <f>VLOOKUP(C2373, 'Class Def. - General Data'!$C$20:$C$1000,1,false)</f>
        <v>ZFG1_TOOTHBRUSH</v>
      </c>
      <c r="H2373" s="63" t="str">
        <f>IFERROR(__xludf.DUMMYFUNCTION("VLOOKUP(F2373, IMPORTRANGE(""https://docs.google.com/spreadsheets/d/1Lhp9OU0JdFf_VYSMzH5lBcEaU4o8teT1piV-SNzShjg/edit?gid=554141278#gid=554141278"", ""'Char Def. - Attributes'!C20:C2242""), 1,false)"),"BRAND_TOOTHBRUSH")</f>
        <v>BRAND_TOOTHBRUSH</v>
      </c>
      <c r="I2373" s="136"/>
    </row>
    <row r="2374" ht="15.75" customHeight="1">
      <c r="A2374" s="59"/>
      <c r="B2374" s="63">
        <f t="shared" si="1"/>
        <v>15</v>
      </c>
      <c r="C2374" s="135" t="s">
        <v>142</v>
      </c>
      <c r="D2374" s="134" t="s">
        <v>74</v>
      </c>
      <c r="E2374" s="135">
        <f t="shared" si="56"/>
        <v>2</v>
      </c>
      <c r="F2374" s="134" t="s">
        <v>3767</v>
      </c>
      <c r="G2374" s="63" t="str">
        <f>VLOOKUP(C2374, 'Class Def. - General Data'!$C$20:$C$1000,1,false)</f>
        <v>ZFG1_TOOTHBRUSH</v>
      </c>
      <c r="H2374" s="63" t="str">
        <f>IFERROR(__xludf.DUMMYFUNCTION("VLOOKUP(F2374, IMPORTRANGE(""https://docs.google.com/spreadsheets/d/1Lhp9OU0JdFf_VYSMzH5lBcEaU4o8teT1piV-SNzShjg/edit?gid=554141278#gid=554141278"", ""'Char Def. - Attributes'!C20:C2242""), 1,false)"),"PSHAPE_TOOTHBRUSH")</f>
        <v>PSHAPE_TOOTHBRUSH</v>
      </c>
      <c r="I2374" s="136"/>
    </row>
    <row r="2375" ht="15.75" customHeight="1">
      <c r="A2375" s="59"/>
      <c r="B2375" s="63">
        <f t="shared" si="1"/>
        <v>15</v>
      </c>
      <c r="C2375" s="134" t="s">
        <v>142</v>
      </c>
      <c r="D2375" s="134" t="s">
        <v>74</v>
      </c>
      <c r="E2375" s="135">
        <f t="shared" si="56"/>
        <v>3</v>
      </c>
      <c r="F2375" s="134" t="s">
        <v>3605</v>
      </c>
      <c r="G2375" s="63" t="str">
        <f>VLOOKUP(C2375, 'Class Def. - General Data'!$C$20:$C$1000,1,false)</f>
        <v>ZFG1_TOOTHBRUSH</v>
      </c>
      <c r="H2375" s="63" t="str">
        <f>IFERROR(__xludf.DUMMYFUNCTION("VLOOKUP(F2375, IMPORTRANGE(""https://docs.google.com/spreadsheets/d/1Lhp9OU0JdFf_VYSMzH5lBcEaU4o8teT1piV-SNzShjg/edit?gid=554141278#gid=554141278"", ""'Char Def. - Attributes'!C20:C2242""), 1,false)"),"PACK_NETTO")</f>
        <v>PACK_NETTO</v>
      </c>
      <c r="I2375" s="136"/>
    </row>
    <row r="2376" ht="15.75" customHeight="1">
      <c r="A2376" s="59"/>
      <c r="B2376" s="63">
        <f t="shared" si="1"/>
        <v>15</v>
      </c>
      <c r="C2376" s="135" t="s">
        <v>142</v>
      </c>
      <c r="D2376" s="134" t="s">
        <v>74</v>
      </c>
      <c r="E2376" s="135">
        <f t="shared" si="56"/>
        <v>4</v>
      </c>
      <c r="F2376" s="134" t="s">
        <v>3768</v>
      </c>
      <c r="G2376" s="63" t="str">
        <f>VLOOKUP(C2376, 'Class Def. - General Data'!$C$20:$C$1000,1,false)</f>
        <v>ZFG1_TOOTHBRUSH</v>
      </c>
      <c r="H2376" s="63" t="str">
        <f>IFERROR(__xludf.DUMMYFUNCTION("VLOOKUP(F2376, IMPORTRANGE(""https://docs.google.com/spreadsheets/d/1Lhp9OU0JdFf_VYSMzH5lBcEaU4o8teT1piV-SNzShjg/edit?gid=554141278#gid=554141278"", ""'Char Def. - Attributes'!C20:C2242""), 1,false)"),"PUOM_TOOTHBRUSH")</f>
        <v>PUOM_TOOTHBRUSH</v>
      </c>
      <c r="I2376" s="136"/>
    </row>
    <row r="2377" ht="15.75" customHeight="1">
      <c r="A2377" s="59"/>
      <c r="B2377" s="63">
        <f t="shared" si="1"/>
        <v>15</v>
      </c>
      <c r="C2377" s="134" t="s">
        <v>142</v>
      </c>
      <c r="D2377" s="134" t="s">
        <v>74</v>
      </c>
      <c r="E2377" s="135">
        <f t="shared" si="56"/>
        <v>5</v>
      </c>
      <c r="F2377" s="134" t="s">
        <v>3607</v>
      </c>
      <c r="G2377" s="63" t="str">
        <f>VLOOKUP(C2377, 'Class Def. - General Data'!$C$20:$C$1000,1,false)</f>
        <v>ZFG1_TOOTHBRUSH</v>
      </c>
      <c r="H2377" s="63" t="str">
        <f>IFERROR(__xludf.DUMMYFUNCTION("VLOOKUP(F2377, IMPORTRANGE(""https://docs.google.com/spreadsheets/d/1Lhp9OU0JdFf_VYSMzH5lBcEaU4o8teT1piV-SNzShjg/edit?gid=554141278#gid=554141278"", ""'Char Def. - Attributes'!C20:C2242""), 1,false)"),"VARIAN")</f>
        <v>VARIAN</v>
      </c>
      <c r="I2377" s="136"/>
    </row>
    <row r="2378" ht="15.75" customHeight="1">
      <c r="A2378" s="59"/>
      <c r="B2378" s="63">
        <f t="shared" si="1"/>
        <v>15</v>
      </c>
      <c r="C2378" s="134" t="s">
        <v>142</v>
      </c>
      <c r="D2378" s="134" t="s">
        <v>74</v>
      </c>
      <c r="E2378" s="135">
        <f t="shared" si="56"/>
        <v>6</v>
      </c>
      <c r="F2378" s="134" t="s">
        <v>3608</v>
      </c>
      <c r="G2378" s="63" t="str">
        <f>VLOOKUP(C2378, 'Class Def. - General Data'!$C$20:$C$1000,1,false)</f>
        <v>ZFG1_TOOTHBRUSH</v>
      </c>
      <c r="H2378" s="63" t="str">
        <f>IFERROR(__xludf.DUMMYFUNCTION("VLOOKUP(F2378, IMPORTRANGE(""https://docs.google.com/spreadsheets/d/1Lhp9OU0JdFf_VYSMzH5lBcEaU4o8teT1piV-SNzShjg/edit?gid=554141278#gid=554141278"", ""'Char Def. - Attributes'!C20:C2242""), 1,false)"),"PROJECT_NAME")</f>
        <v>PROJECT_NAME</v>
      </c>
      <c r="I2378" s="136"/>
    </row>
    <row r="2379" ht="15.75" customHeight="1">
      <c r="A2379" s="59"/>
      <c r="B2379" s="63">
        <f t="shared" si="1"/>
        <v>15</v>
      </c>
      <c r="C2379" s="134" t="s">
        <v>142</v>
      </c>
      <c r="D2379" s="134" t="s">
        <v>74</v>
      </c>
      <c r="E2379" s="135">
        <f t="shared" si="56"/>
        <v>7</v>
      </c>
      <c r="F2379" s="134" t="s">
        <v>3609</v>
      </c>
      <c r="G2379" s="63" t="str">
        <f>VLOOKUP(C2379, 'Class Def. - General Data'!$C$20:$C$1000,1,false)</f>
        <v>ZFG1_TOOTHBRUSH</v>
      </c>
      <c r="H2379" s="63" t="str">
        <f>IFERROR(__xludf.DUMMYFUNCTION("VLOOKUP(F2379, IMPORTRANGE(""https://docs.google.com/spreadsheets/d/1Lhp9OU0JdFf_VYSMzH5lBcEaU4o8teT1piV-SNzShjg/edit?gid=554141278#gid=554141278"", ""'Char Def. - Attributes'!C20:C2242""), 1,false)"),"ADDITIONAL_PROMO")</f>
        <v>ADDITIONAL_PROMO</v>
      </c>
      <c r="I2379" s="136"/>
    </row>
    <row r="2380" ht="15.75" customHeight="1">
      <c r="A2380" s="59"/>
      <c r="B2380" s="63">
        <f t="shared" si="1"/>
        <v>15</v>
      </c>
      <c r="C2380" s="134" t="s">
        <v>142</v>
      </c>
      <c r="D2380" s="134" t="s">
        <v>74</v>
      </c>
      <c r="E2380" s="135">
        <f t="shared" si="56"/>
        <v>8</v>
      </c>
      <c r="F2380" s="134" t="s">
        <v>3610</v>
      </c>
      <c r="G2380" s="63" t="str">
        <f>VLOOKUP(C2380, 'Class Def. - General Data'!$C$20:$C$1000,1,false)</f>
        <v>ZFG1_TOOTHBRUSH</v>
      </c>
      <c r="H2380" s="63" t="str">
        <f>IFERROR(__xludf.DUMMYFUNCTION("VLOOKUP(F2380, IMPORTRANGE(""https://docs.google.com/spreadsheets/d/1Lhp9OU0JdFf_VYSMzH5lBcEaU4o8teT1piV-SNzShjg/edit?gid=554141278#gid=554141278"", ""'Char Def. - Attributes'!C20:C2242""), 1,false)"),"BANDED_PROMO")</f>
        <v>BANDED_PROMO</v>
      </c>
      <c r="I2380" s="136"/>
    </row>
    <row r="2381" ht="15.75" customHeight="1">
      <c r="A2381" s="59"/>
      <c r="B2381" s="63">
        <f t="shared" si="1"/>
        <v>15</v>
      </c>
      <c r="C2381" s="134" t="s">
        <v>142</v>
      </c>
      <c r="D2381" s="134" t="s">
        <v>74</v>
      </c>
      <c r="E2381" s="135">
        <f t="shared" si="56"/>
        <v>9</v>
      </c>
      <c r="F2381" s="134" t="s">
        <v>3611</v>
      </c>
      <c r="G2381" s="63" t="str">
        <f>VLOOKUP(C2381, 'Class Def. - General Data'!$C$20:$C$1000,1,false)</f>
        <v>ZFG1_TOOTHBRUSH</v>
      </c>
      <c r="H2381" s="63" t="str">
        <f>IFERROR(__xludf.DUMMYFUNCTION("VLOOKUP(F2381, IMPORTRANGE(""https://docs.google.com/spreadsheets/d/1Lhp9OU0JdFf_VYSMzH5lBcEaU4o8teT1piV-SNzShjg/edit?gid=554141278#gid=554141278"", ""'Char Def. - Attributes'!C20:C2242""), 1,false)"),"LOKAL_EKSPOR")</f>
        <v>LOKAL_EKSPOR</v>
      </c>
      <c r="I2381" s="136"/>
    </row>
    <row r="2382" ht="15.75" customHeight="1">
      <c r="A2382" s="59"/>
      <c r="B2382" s="63">
        <f t="shared" si="1"/>
        <v>15</v>
      </c>
      <c r="C2382" s="134" t="s">
        <v>142</v>
      </c>
      <c r="D2382" s="134" t="s">
        <v>74</v>
      </c>
      <c r="E2382" s="135">
        <f t="shared" si="56"/>
        <v>10</v>
      </c>
      <c r="F2382" s="134" t="s">
        <v>3612</v>
      </c>
      <c r="G2382" s="63" t="str">
        <f>VLOOKUP(C2382, 'Class Def. - General Data'!$C$20:$C$1000,1,false)</f>
        <v>ZFG1_TOOTHBRUSH</v>
      </c>
      <c r="H2382" s="63" t="str">
        <f>IFERROR(__xludf.DUMMYFUNCTION("VLOOKUP(F2382, IMPORTRANGE(""https://docs.google.com/spreadsheets/d/1Lhp9OU0JdFf_VYSMzH5lBcEaU4o8teT1piV-SNzShjg/edit?gid=554141278#gid=554141278"", ""'Char Def. - Attributes'!C20:C2242""), 1,false)"),"COUNTRY_EKSPOR")</f>
        <v>COUNTRY_EKSPOR</v>
      </c>
      <c r="I2382" s="136"/>
    </row>
    <row r="2383" ht="15.75" customHeight="1">
      <c r="A2383" s="59"/>
      <c r="B2383" s="63">
        <f t="shared" si="1"/>
        <v>15</v>
      </c>
      <c r="C2383" s="134" t="s">
        <v>142</v>
      </c>
      <c r="D2383" s="134" t="s">
        <v>74</v>
      </c>
      <c r="E2383" s="135">
        <f t="shared" si="56"/>
        <v>11</v>
      </c>
      <c r="F2383" s="134" t="s">
        <v>3613</v>
      </c>
      <c r="G2383" s="63" t="str">
        <f>VLOOKUP(C2383, 'Class Def. - General Data'!$C$20:$C$1000,1,false)</f>
        <v>ZFG1_TOOTHBRUSH</v>
      </c>
      <c r="H2383" s="63" t="str">
        <f>IFERROR(__xludf.DUMMYFUNCTION("VLOOKUP(F2383, IMPORTRANGE(""https://docs.google.com/spreadsheets/d/1Lhp9OU0JdFf_VYSMzH5lBcEaU4o8teT1piV-SNzShjg/edit?gid=554141278#gid=554141278"", ""'Char Def. - Attributes'!C20:C2242""), 1,false)"),"WARNA_SFG")</f>
        <v>WARNA_SFG</v>
      </c>
      <c r="I2383" s="136"/>
    </row>
    <row r="2384" ht="15.75" customHeight="1">
      <c r="A2384" s="59"/>
      <c r="B2384" s="63">
        <f t="shared" si="1"/>
        <v>15</v>
      </c>
      <c r="C2384" s="134" t="s">
        <v>142</v>
      </c>
      <c r="D2384" s="134" t="s">
        <v>74</v>
      </c>
      <c r="E2384" s="135">
        <f t="shared" si="56"/>
        <v>12</v>
      </c>
      <c r="F2384" s="134" t="s">
        <v>3582</v>
      </c>
      <c r="G2384" s="63" t="str">
        <f>VLOOKUP(C2384, 'Class Def. - General Data'!$C$20:$C$1000,1,false)</f>
        <v>ZFG1_TOOTHBRUSH</v>
      </c>
      <c r="H2384" s="63" t="str">
        <f>IFERROR(__xludf.DUMMYFUNCTION("VLOOKUP(F2384, IMPORTRANGE(""https://docs.google.com/spreadsheets/d/1Lhp9OU0JdFf_VYSMzH5lBcEaU4o8teT1piV-SNzShjg/edit?gid=554141278#gid=554141278"", ""'Char Def. - Attributes'!C20:C2242""), 1,false)"),"BASE_UNIT")</f>
        <v>BASE_UNIT</v>
      </c>
      <c r="I2384" s="136"/>
    </row>
    <row r="2385" ht="15.75" customHeight="1">
      <c r="A2385" s="59"/>
      <c r="B2385" s="63">
        <f t="shared" si="1"/>
        <v>15</v>
      </c>
      <c r="C2385" s="134" t="s">
        <v>142</v>
      </c>
      <c r="D2385" s="134" t="s">
        <v>74</v>
      </c>
      <c r="E2385" s="135">
        <f t="shared" si="56"/>
        <v>13</v>
      </c>
      <c r="F2385" s="134" t="s">
        <v>3583</v>
      </c>
      <c r="G2385" s="63" t="str">
        <f>VLOOKUP(C2385, 'Class Def. - General Data'!$C$20:$C$1000,1,false)</f>
        <v>ZFG1_TOOTHBRUSH</v>
      </c>
      <c r="H2385" s="63" t="str">
        <f>IFERROR(__xludf.DUMMYFUNCTION("VLOOKUP(F2385, IMPORTRANGE(""https://docs.google.com/spreadsheets/d/1Lhp9OU0JdFf_VYSMzH5lBcEaU4o8teT1piV-SNzShjg/edit?gid=554141278#gid=554141278"", ""'Char Def. - Attributes'!C20:C2242""), 1,false)"),"SALES_UNIT")</f>
        <v>SALES_UNIT</v>
      </c>
      <c r="I2385" s="136"/>
    </row>
    <row r="2386" ht="15.75" customHeight="1">
      <c r="A2386" s="59"/>
      <c r="B2386" s="63">
        <f t="shared" si="1"/>
        <v>15</v>
      </c>
      <c r="C2386" s="134" t="s">
        <v>142</v>
      </c>
      <c r="D2386" s="134" t="s">
        <v>74</v>
      </c>
      <c r="E2386" s="135">
        <f t="shared" si="56"/>
        <v>14</v>
      </c>
      <c r="F2386" s="134" t="s">
        <v>3601</v>
      </c>
      <c r="G2386" s="63" t="str">
        <f>VLOOKUP(C2386, 'Class Def. - General Data'!$C$20:$C$1000,1,false)</f>
        <v>ZFG1_TOOTHBRUSH</v>
      </c>
      <c r="H2386" s="63" t="str">
        <f>IFERROR(__xludf.DUMMYFUNCTION("VLOOKUP(F2386, IMPORTRANGE(""https://docs.google.com/spreadsheets/d/1Lhp9OU0JdFf_VYSMzH5lBcEaU4o8teT1piV-SNzShjg/edit?gid=554141278#gid=554141278"", ""'Char Def. - Attributes'!C20:C2242""), 1,false)"),"GROSS_WEIGHT")</f>
        <v>GROSS_WEIGHT</v>
      </c>
      <c r="I2386" s="136"/>
    </row>
    <row r="2387" ht="15.75" customHeight="1">
      <c r="A2387" s="59"/>
      <c r="B2387" s="63">
        <f t="shared" si="1"/>
        <v>15</v>
      </c>
      <c r="C2387" s="134" t="s">
        <v>142</v>
      </c>
      <c r="D2387" s="134" t="s">
        <v>74</v>
      </c>
      <c r="E2387" s="135">
        <f t="shared" si="56"/>
        <v>15</v>
      </c>
      <c r="F2387" s="134" t="s">
        <v>3602</v>
      </c>
      <c r="G2387" s="63" t="str">
        <f>VLOOKUP(C2387, 'Class Def. - General Data'!$C$20:$C$1000,1,false)</f>
        <v>ZFG1_TOOTHBRUSH</v>
      </c>
      <c r="H2387" s="63" t="str">
        <f>IFERROR(__xludf.DUMMYFUNCTION("VLOOKUP(F2387, IMPORTRANGE(""https://docs.google.com/spreadsheets/d/1Lhp9OU0JdFf_VYSMzH5lBcEaU4o8teT1piV-SNzShjg/edit?gid=554141278#gid=554141278"", ""'Char Def. - Attributes'!C20:C2242""), 1,false)"),"NET_WEIGHT")</f>
        <v>NET_WEIGHT</v>
      </c>
      <c r="I2387" s="136"/>
    </row>
    <row r="2388" ht="15.75" customHeight="1">
      <c r="A2388" s="59"/>
      <c r="B2388" s="63">
        <f t="shared" si="1"/>
        <v>15</v>
      </c>
      <c r="C2388" s="134" t="s">
        <v>142</v>
      </c>
      <c r="D2388" s="134" t="s">
        <v>74</v>
      </c>
      <c r="E2388" s="135">
        <f t="shared" si="56"/>
        <v>16</v>
      </c>
      <c r="F2388" s="134" t="s">
        <v>3584</v>
      </c>
      <c r="G2388" s="63" t="str">
        <f>VLOOKUP(C2388, 'Class Def. - General Data'!$C$20:$C$1000,1,false)</f>
        <v>ZFG1_TOOTHBRUSH</v>
      </c>
      <c r="H2388" s="63" t="str">
        <f>IFERROR(__xludf.DUMMYFUNCTION("VLOOKUP(F2388, IMPORTRANGE(""https://docs.google.com/spreadsheets/d/1Lhp9OU0JdFf_VYSMzH5lBcEaU4o8teT1piV-SNzShjg/edit?gid=554141278#gid=554141278"", ""'Char Def. - Attributes'!C20:C2242""), 1,false)"),"UNIT_PER_BOX")</f>
        <v>UNIT_PER_BOX</v>
      </c>
      <c r="I2388" s="136"/>
    </row>
    <row r="2389" ht="15.75" customHeight="1">
      <c r="A2389" s="59"/>
      <c r="B2389" s="63">
        <f t="shared" si="1"/>
        <v>15</v>
      </c>
      <c r="C2389" s="134" t="s">
        <v>142</v>
      </c>
      <c r="D2389" s="134" t="s">
        <v>74</v>
      </c>
      <c r="E2389" s="135">
        <f t="shared" si="56"/>
        <v>17</v>
      </c>
      <c r="F2389" s="134" t="s">
        <v>3614</v>
      </c>
      <c r="G2389" s="63" t="str">
        <f>VLOOKUP(C2389, 'Class Def. - General Data'!$C$20:$C$1000,1,false)</f>
        <v>ZFG1_TOOTHBRUSH</v>
      </c>
      <c r="H2389" s="63" t="str">
        <f>IFERROR(__xludf.DUMMYFUNCTION("VLOOKUP(F2389, IMPORTRANGE(""https://docs.google.com/spreadsheets/d/1Lhp9OU0JdFf_VYSMzH5lBcEaU4o8teT1piV-SNzShjg/edit?gid=554141278#gid=554141278"", ""'Char Def. - Attributes'!C20:C2242""), 1,false)"),"UNIT_PER_CTN")</f>
        <v>UNIT_PER_CTN</v>
      </c>
      <c r="I2389" s="136"/>
    </row>
    <row r="2390" ht="15.75" customHeight="1">
      <c r="A2390" s="59"/>
      <c r="B2390" s="63">
        <f t="shared" si="1"/>
        <v>15</v>
      </c>
      <c r="C2390" s="134" t="s">
        <v>142</v>
      </c>
      <c r="D2390" s="134" t="s">
        <v>74</v>
      </c>
      <c r="E2390" s="135">
        <f t="shared" si="56"/>
        <v>18</v>
      </c>
      <c r="F2390" s="134" t="s">
        <v>3615</v>
      </c>
      <c r="G2390" s="63" t="str">
        <f>VLOOKUP(C2390, 'Class Def. - General Data'!$C$20:$C$1000,1,false)</f>
        <v>ZFG1_TOOTHBRUSH</v>
      </c>
      <c r="H2390" s="63" t="str">
        <f>IFERROR(__xludf.DUMMYFUNCTION("VLOOKUP(F2390, IMPORTRANGE(""https://docs.google.com/spreadsheets/d/1Lhp9OU0JdFf_VYSMzH5lBcEaU4o8teT1piV-SNzShjg/edit?gid=554141278#gid=554141278"", ""'Char Def. - Attributes'!C20:C2242""), 1,false)"),"UNIT_PER_BAG")</f>
        <v>UNIT_PER_BAG</v>
      </c>
      <c r="I2390" s="136"/>
    </row>
    <row r="2391" ht="15.75" customHeight="1">
      <c r="A2391" s="59"/>
      <c r="B2391" s="63">
        <f t="shared" si="1"/>
        <v>15</v>
      </c>
      <c r="C2391" s="134" t="s">
        <v>142</v>
      </c>
      <c r="D2391" s="134" t="s">
        <v>74</v>
      </c>
      <c r="E2391" s="135">
        <f t="shared" si="56"/>
        <v>19</v>
      </c>
      <c r="F2391" s="134" t="s">
        <v>3616</v>
      </c>
      <c r="G2391" s="63" t="str">
        <f>VLOOKUP(C2391, 'Class Def. - General Data'!$C$20:$C$1000,1,false)</f>
        <v>ZFG1_TOOTHBRUSH</v>
      </c>
      <c r="H2391" s="63" t="str">
        <f>IFERROR(__xludf.DUMMYFUNCTION("VLOOKUP(F2391, IMPORTRANGE(""https://docs.google.com/spreadsheets/d/1Lhp9OU0JdFf_VYSMzH5lBcEaU4o8teT1piV-SNzShjg/edit?gid=554141278#gid=554141278"", ""'Char Def. - Attributes'!C20:C2242""), 1,false)"),"UNIT_PER_PAL")</f>
        <v>UNIT_PER_PAL</v>
      </c>
      <c r="I2391" s="136"/>
    </row>
    <row r="2392" ht="15.75" customHeight="1">
      <c r="A2392" s="59"/>
      <c r="B2392" s="63">
        <f t="shared" si="1"/>
        <v>15</v>
      </c>
      <c r="C2392" s="134" t="s">
        <v>142</v>
      </c>
      <c r="D2392" s="134" t="s">
        <v>74</v>
      </c>
      <c r="E2392" s="135">
        <f t="shared" si="56"/>
        <v>20</v>
      </c>
      <c r="F2392" s="134" t="s">
        <v>3617</v>
      </c>
      <c r="G2392" s="63" t="str">
        <f>VLOOKUP(C2392, 'Class Def. - General Data'!$C$20:$C$1000,1,false)</f>
        <v>ZFG1_TOOTHBRUSH</v>
      </c>
      <c r="H2392" s="63" t="str">
        <f>IFERROR(__xludf.DUMMYFUNCTION("VLOOKUP(F2392, IMPORTRANGE(""https://docs.google.com/spreadsheets/d/1Lhp9OU0JdFf_VYSMzH5lBcEaU4o8teT1piV-SNzShjg/edit?gid=554141278#gid=554141278"", ""'Char Def. - Attributes'!C20:C2242""), 1,false)"),"UNIT_PER_TIER")</f>
        <v>UNIT_PER_TIER</v>
      </c>
      <c r="I2392" s="136"/>
    </row>
    <row r="2393" ht="15.75" customHeight="1">
      <c r="A2393" s="59"/>
      <c r="B2393" s="63">
        <f t="shared" si="1"/>
        <v>15</v>
      </c>
      <c r="C2393" s="134" t="s">
        <v>142</v>
      </c>
      <c r="D2393" s="134" t="s">
        <v>74</v>
      </c>
      <c r="E2393" s="135">
        <f t="shared" si="56"/>
        <v>21</v>
      </c>
      <c r="F2393" s="134" t="s">
        <v>3618</v>
      </c>
      <c r="G2393" s="63" t="str">
        <f>VLOOKUP(C2393, 'Class Def. - General Data'!$C$20:$C$1000,1,false)</f>
        <v>ZFG1_TOOTHBRUSH</v>
      </c>
      <c r="H2393" s="63" t="str">
        <f>IFERROR(__xludf.DUMMYFUNCTION("VLOOKUP(F2393, IMPORTRANGE(""https://docs.google.com/spreadsheets/d/1Lhp9OU0JdFf_VYSMzH5lBcEaU4o8teT1piV-SNzShjg/edit?gid=554141278#gid=554141278"", ""'Char Def. - Attributes'!C20:C2242""), 1,false)"),"HEIGHT")</f>
        <v>HEIGHT</v>
      </c>
      <c r="I2393" s="136"/>
    </row>
    <row r="2394" ht="15.75" customHeight="1">
      <c r="A2394" s="59"/>
      <c r="B2394" s="63">
        <f t="shared" si="1"/>
        <v>15</v>
      </c>
      <c r="C2394" s="134" t="s">
        <v>142</v>
      </c>
      <c r="D2394" s="134" t="s">
        <v>74</v>
      </c>
      <c r="E2394" s="135">
        <f t="shared" si="56"/>
        <v>22</v>
      </c>
      <c r="F2394" s="134" t="s">
        <v>3587</v>
      </c>
      <c r="G2394" s="63" t="str">
        <f>VLOOKUP(C2394, 'Class Def. - General Data'!$C$20:$C$1000,1,false)</f>
        <v>ZFG1_TOOTHBRUSH</v>
      </c>
      <c r="H2394" s="63" t="str">
        <f>IFERROR(__xludf.DUMMYFUNCTION("VLOOKUP(F2394, IMPORTRANGE(""https://docs.google.com/spreadsheets/d/1Lhp9OU0JdFf_VYSMzH5lBcEaU4o8teT1piV-SNzShjg/edit?gid=554141278#gid=554141278"", ""'Char Def. - Attributes'!C20:C2242""), 1,false)"),"PLANT_BUY")</f>
        <v>PLANT_BUY</v>
      </c>
      <c r="I2394" s="136"/>
    </row>
    <row r="2395" ht="15.75" customHeight="1">
      <c r="A2395" s="59"/>
      <c r="B2395" s="63">
        <f t="shared" si="1"/>
        <v>15</v>
      </c>
      <c r="C2395" s="134" t="s">
        <v>142</v>
      </c>
      <c r="D2395" s="134" t="s">
        <v>74</v>
      </c>
      <c r="E2395" s="135">
        <f t="shared" si="56"/>
        <v>23</v>
      </c>
      <c r="F2395" s="134" t="s">
        <v>3619</v>
      </c>
      <c r="G2395" s="63" t="str">
        <f>VLOOKUP(C2395, 'Class Def. - General Data'!$C$20:$C$1000,1,false)</f>
        <v>ZFG1_TOOTHBRUSH</v>
      </c>
      <c r="H2395" s="63" t="str">
        <f>IFERROR(__xludf.DUMMYFUNCTION("VLOOKUP(F2395, IMPORTRANGE(""https://docs.google.com/spreadsheets/d/1Lhp9OU0JdFf_VYSMzH5lBcEaU4o8teT1piV-SNzShjg/edit?gid=554141278#gid=554141278"", ""'Char Def. - Attributes'!C20:C2242""), 1,false)"),"LENGTH")</f>
        <v>LENGTH</v>
      </c>
      <c r="I2395" s="136"/>
      <c r="J2395" s="75" t="s">
        <v>3769</v>
      </c>
    </row>
    <row r="2396" ht="15.75" customHeight="1">
      <c r="A2396" s="59"/>
      <c r="B2396" s="63">
        <f t="shared" si="1"/>
        <v>15</v>
      </c>
      <c r="C2396" s="134" t="s">
        <v>142</v>
      </c>
      <c r="D2396" s="134" t="s">
        <v>74</v>
      </c>
      <c r="E2396" s="135">
        <f t="shared" si="56"/>
        <v>24</v>
      </c>
      <c r="F2396" s="134" t="s">
        <v>3586</v>
      </c>
      <c r="G2396" s="63" t="str">
        <f>VLOOKUP(C2396, 'Class Def. - General Data'!$C$20:$C$1000,1,false)</f>
        <v>ZFG1_TOOTHBRUSH</v>
      </c>
      <c r="H2396" s="63" t="str">
        <f>IFERROR(__xludf.DUMMYFUNCTION("VLOOKUP(F2396, IMPORTRANGE(""https://docs.google.com/spreadsheets/d/1Lhp9OU0JdFf_VYSMzH5lBcEaU4o8teT1piV-SNzShjg/edit?gid=554141278#gid=554141278"", ""'Char Def. - Attributes'!C20:C2242""), 1,false)"),"PLANT_PROD")</f>
        <v>PLANT_PROD</v>
      </c>
      <c r="I2396" s="136"/>
      <c r="J2396" s="75" t="s">
        <v>3769</v>
      </c>
    </row>
    <row r="2397" ht="15.75" customHeight="1">
      <c r="A2397" s="59"/>
      <c r="B2397" s="63">
        <f t="shared" si="1"/>
        <v>15</v>
      </c>
      <c r="C2397" s="134" t="s">
        <v>142</v>
      </c>
      <c r="D2397" s="134" t="s">
        <v>74</v>
      </c>
      <c r="E2397" s="135">
        <f t="shared" si="56"/>
        <v>25</v>
      </c>
      <c r="F2397" s="134" t="s">
        <v>3620</v>
      </c>
      <c r="G2397" s="63" t="str">
        <f>VLOOKUP(C2397, 'Class Def. - General Data'!$C$20:$C$1000,1,false)</f>
        <v>ZFG1_TOOTHBRUSH</v>
      </c>
      <c r="H2397" s="63" t="str">
        <f>IFERROR(__xludf.DUMMYFUNCTION("VLOOKUP(F2397, IMPORTRANGE(""https://docs.google.com/spreadsheets/d/1Lhp9OU0JdFf_VYSMzH5lBcEaU4o8teT1piV-SNzShjg/edit?gid=554141278#gid=554141278"", ""'Char Def. - Attributes'!C20:C2242""), 1,false)"),"WIDTH")</f>
        <v>WIDTH</v>
      </c>
      <c r="I2397" s="136"/>
      <c r="J2397" s="75" t="s">
        <v>3769</v>
      </c>
    </row>
    <row r="2398" ht="15.75" customHeight="1">
      <c r="A2398" s="59"/>
      <c r="B2398" s="63">
        <f t="shared" si="1"/>
        <v>15</v>
      </c>
      <c r="C2398" s="134" t="s">
        <v>142</v>
      </c>
      <c r="D2398" s="134" t="s">
        <v>74</v>
      </c>
      <c r="E2398" s="135">
        <f t="shared" si="56"/>
        <v>26</v>
      </c>
      <c r="F2398" s="134" t="s">
        <v>3585</v>
      </c>
      <c r="G2398" s="63" t="str">
        <f>VLOOKUP(C2398, 'Class Def. - General Data'!$C$20:$C$1000,1,false)</f>
        <v>ZFG1_TOOTHBRUSH</v>
      </c>
      <c r="H2398" s="63" t="str">
        <f>IFERROR(__xludf.DUMMYFUNCTION("VLOOKUP(F2398, IMPORTRANGE(""https://docs.google.com/spreadsheets/d/1Lhp9OU0JdFf_VYSMzH5lBcEaU4o8teT1piV-SNzShjg/edit?gid=554141278#gid=554141278"", ""'Char Def. - Attributes'!C20:C2242""), 1,false)"),"HS_CODE")</f>
        <v>HS_CODE</v>
      </c>
      <c r="I2398" s="136"/>
      <c r="J2398" s="75" t="s">
        <v>3770</v>
      </c>
    </row>
    <row r="2399" ht="15.75" customHeight="1">
      <c r="A2399" s="59"/>
      <c r="B2399" s="63">
        <f t="shared" si="1"/>
        <v>15</v>
      </c>
      <c r="C2399" s="134" t="s">
        <v>142</v>
      </c>
      <c r="D2399" s="134" t="s">
        <v>74</v>
      </c>
      <c r="E2399" s="135">
        <f t="shared" si="56"/>
        <v>27</v>
      </c>
      <c r="F2399" s="134" t="s">
        <v>3621</v>
      </c>
      <c r="G2399" s="63" t="str">
        <f>VLOOKUP(C2399, 'Class Def. - General Data'!$C$20:$C$1000,1,false)</f>
        <v>ZFG1_TOOTHBRUSH</v>
      </c>
      <c r="H2399" s="63" t="str">
        <f>IFERROR(__xludf.DUMMYFUNCTION("VLOOKUP(F2399, IMPORTRANGE(""https://docs.google.com/spreadsheets/d/1Lhp9OU0JdFf_VYSMzH5lBcEaU4o8teT1piV-SNzShjg/edit?gid=554141278#gid=554141278"", ""'Char Def. - Attributes'!C20:C2242""), 1,false)"),"EAN_PCS")</f>
        <v>EAN_PCS</v>
      </c>
      <c r="I2399" s="136"/>
      <c r="J2399" s="75" t="s">
        <v>3769</v>
      </c>
    </row>
    <row r="2400" ht="15.75" customHeight="1">
      <c r="A2400" s="59"/>
      <c r="B2400" s="63">
        <f t="shared" si="1"/>
        <v>15</v>
      </c>
      <c r="C2400" s="134" t="s">
        <v>142</v>
      </c>
      <c r="D2400" s="134" t="s">
        <v>74</v>
      </c>
      <c r="E2400" s="135">
        <f t="shared" si="56"/>
        <v>28</v>
      </c>
      <c r="F2400" s="134" t="s">
        <v>3622</v>
      </c>
      <c r="G2400" s="63" t="str">
        <f>VLOOKUP(C2400, 'Class Def. - General Data'!$C$20:$C$1000,1,false)</f>
        <v>ZFG1_TOOTHBRUSH</v>
      </c>
      <c r="H2400" s="63" t="str">
        <f>IFERROR(__xludf.DUMMYFUNCTION("VLOOKUP(F2400, IMPORTRANGE(""https://docs.google.com/spreadsheets/d/1Lhp9OU0JdFf_VYSMzH5lBcEaU4o8teT1piV-SNzShjg/edit?gid=554141278#gid=554141278"", ""'Char Def. - Attributes'!C20:C2242""), 1,false)"),"SFG_BRAND")</f>
        <v>SFG_BRAND</v>
      </c>
      <c r="I2400" s="136"/>
      <c r="J2400" s="75" t="s">
        <v>3770</v>
      </c>
    </row>
    <row r="2401" ht="15.75" customHeight="1">
      <c r="A2401" s="59"/>
      <c r="B2401" s="63">
        <f t="shared" si="1"/>
        <v>15</v>
      </c>
      <c r="C2401" s="134" t="s">
        <v>142</v>
      </c>
      <c r="D2401" s="134" t="s">
        <v>74</v>
      </c>
      <c r="E2401" s="135">
        <f t="shared" si="56"/>
        <v>29</v>
      </c>
      <c r="F2401" s="134" t="s">
        <v>3623</v>
      </c>
      <c r="G2401" s="63" t="str">
        <f>VLOOKUP(C2401, 'Class Def. - General Data'!$C$20:$C$1000,1,false)</f>
        <v>ZFG1_TOOTHBRUSH</v>
      </c>
      <c r="H2401" s="63" t="str">
        <f>IFERROR(__xludf.DUMMYFUNCTION("VLOOKUP(F2401, IMPORTRANGE(""https://docs.google.com/spreadsheets/d/1Lhp9OU0JdFf_VYSMzH5lBcEaU4o8teT1piV-SNzShjg/edit?gid=554141278#gid=554141278"", ""'Char Def. - Attributes'!C20:C2242""), 1,false)"),"LANGUAGE")</f>
        <v>LANGUAGE</v>
      </c>
      <c r="I2401" s="136"/>
      <c r="J2401" s="75" t="s">
        <v>3770</v>
      </c>
    </row>
    <row r="2402" ht="15.75" customHeight="1">
      <c r="A2402" s="59"/>
      <c r="B2402" s="63">
        <f t="shared" si="1"/>
        <v>15</v>
      </c>
      <c r="C2402" s="139" t="s">
        <v>142</v>
      </c>
      <c r="D2402" s="139" t="s">
        <v>74</v>
      </c>
      <c r="E2402" s="140">
        <f t="shared" si="56"/>
        <v>30</v>
      </c>
      <c r="F2402" s="134" t="s">
        <v>3624</v>
      </c>
      <c r="G2402" s="63" t="str">
        <f>VLOOKUP(C2402, 'Class Def. - General Data'!$C$20:$C$1000,1,false)</f>
        <v>ZFG1_TOOTHBRUSH</v>
      </c>
      <c r="H2402" s="63" t="str">
        <f>IFERROR(__xludf.DUMMYFUNCTION("VLOOKUP(F2402, IMPORTRANGE(""https://docs.google.com/spreadsheets/d/1Lhp9OU0JdFf_VYSMzH5lBcEaU4o8teT1piV-SNzShjg/edit?gid=554141278#gid=554141278"", ""'Char Def. - Attributes'!C20:C2242""), 1,false)"),"#N/A")</f>
        <v>#N/A</v>
      </c>
      <c r="I2402" s="136"/>
      <c r="J2402" s="75" t="s">
        <v>3769</v>
      </c>
    </row>
    <row r="2403" ht="15.75" customHeight="1">
      <c r="A2403" s="59"/>
      <c r="B2403" s="63">
        <f t="shared" si="1"/>
        <v>15</v>
      </c>
      <c r="C2403" s="134" t="s">
        <v>142</v>
      </c>
      <c r="D2403" s="134" t="s">
        <v>74</v>
      </c>
      <c r="E2403" s="135">
        <f t="shared" si="56"/>
        <v>31</v>
      </c>
      <c r="F2403" s="134" t="s">
        <v>3625</v>
      </c>
      <c r="G2403" s="63" t="str">
        <f>VLOOKUP(C2403, 'Class Def. - General Data'!$C$20:$C$1000,1,false)</f>
        <v>ZFG1_TOOTHBRUSH</v>
      </c>
      <c r="H2403" s="63" t="str">
        <f>IFERROR(__xludf.DUMMYFUNCTION("VLOOKUP(F2403, IMPORTRANGE(""https://docs.google.com/spreadsheets/d/1Lhp9OU0JdFf_VYSMzH5lBcEaU4o8teT1piV-SNzShjg/edit?gid=554141278#gid=554141278"", ""'Char Def. - Attributes'!C20:C2242""), 1,false)"),"REGION_EKSPOR")</f>
        <v>REGION_EKSPOR</v>
      </c>
      <c r="I2403" s="136"/>
      <c r="J2403" s="75" t="s">
        <v>3769</v>
      </c>
    </row>
    <row r="2404" ht="15.75" customHeight="1">
      <c r="A2404" s="59"/>
      <c r="B2404" s="63">
        <f t="shared" si="1"/>
        <v>15</v>
      </c>
      <c r="C2404" s="134" t="s">
        <v>142</v>
      </c>
      <c r="D2404" s="134" t="s">
        <v>74</v>
      </c>
      <c r="E2404" s="135">
        <f t="shared" si="56"/>
        <v>32</v>
      </c>
      <c r="F2404" s="134" t="s">
        <v>3626</v>
      </c>
      <c r="G2404" s="63" t="str">
        <f>VLOOKUP(C2404, 'Class Def. - General Data'!$C$20:$C$1000,1,false)</f>
        <v>ZFG1_TOOTHBRUSH</v>
      </c>
      <c r="H2404" s="63" t="str">
        <f>IFERROR(__xludf.DUMMYFUNCTION("VLOOKUP(F2404, IMPORTRANGE(""https://docs.google.com/spreadsheets/d/1Lhp9OU0JdFf_VYSMzH5lBcEaU4o8teT1piV-SNzShjg/edit?gid=554141278#gid=554141278"", ""'Char Def. - Attributes'!C20:C2242""), 1,false)"),"STICKER_NOT")</f>
        <v>STICKER_NOT</v>
      </c>
      <c r="I2404" s="136"/>
      <c r="J2404" s="75" t="s">
        <v>3769</v>
      </c>
    </row>
    <row r="2405" ht="15.75" customHeight="1">
      <c r="A2405" s="59"/>
      <c r="B2405" s="63">
        <f t="shared" si="1"/>
        <v>15</v>
      </c>
      <c r="C2405" s="134" t="s">
        <v>142</v>
      </c>
      <c r="D2405" s="134" t="s">
        <v>74</v>
      </c>
      <c r="E2405" s="135">
        <f t="shared" si="56"/>
        <v>33</v>
      </c>
      <c r="F2405" s="134" t="s">
        <v>3627</v>
      </c>
      <c r="G2405" s="63" t="str">
        <f>VLOOKUP(C2405, 'Class Def. - General Data'!$C$20:$C$1000,1,false)</f>
        <v>ZFG1_TOOTHBRUSH</v>
      </c>
      <c r="H2405" s="63" t="str">
        <f>IFERROR(__xludf.DUMMYFUNCTION("VLOOKUP(F2405, IMPORTRANGE(""https://docs.google.com/spreadsheets/d/1Lhp9OU0JdFf_VYSMzH5lBcEaU4o8teT1piV-SNzShjg/edit?gid=554141278#gid=554141278"", ""'Char Def. - Attributes'!C20:C2242""), 1,false)"),"SHIP_MARK")</f>
        <v>SHIP_MARK</v>
      </c>
      <c r="I2405" s="136"/>
      <c r="J2405" s="75" t="s">
        <v>3770</v>
      </c>
    </row>
    <row r="2406" ht="15.75" customHeight="1">
      <c r="A2406" s="59"/>
      <c r="B2406" s="63">
        <f t="shared" si="1"/>
        <v>15</v>
      </c>
      <c r="C2406" s="134" t="s">
        <v>142</v>
      </c>
      <c r="D2406" s="134" t="s">
        <v>74</v>
      </c>
      <c r="E2406" s="135">
        <f t="shared" si="56"/>
        <v>34</v>
      </c>
      <c r="F2406" s="134" t="s">
        <v>3628</v>
      </c>
      <c r="G2406" s="63" t="str">
        <f>VLOOKUP(C2406, 'Class Def. - General Data'!$C$20:$C$1000,1,false)</f>
        <v>ZFG1_TOOTHBRUSH</v>
      </c>
      <c r="H2406" s="63" t="str">
        <f>IFERROR(__xludf.DUMMYFUNCTION("VLOOKUP(F2406, IMPORTRANGE(""https://docs.google.com/spreadsheets/d/1Lhp9OU0JdFf_VYSMzH5lBcEaU4o8teT1piV-SNzShjg/edit?gid=554141278#gid=554141278"", ""'Char Def. - Attributes'!C20:C2242""), 1,false)"),"MID_CORE")</f>
        <v>MID_CORE</v>
      </c>
      <c r="I2406" s="136"/>
      <c r="J2406" s="75" t="s">
        <v>3770</v>
      </c>
    </row>
    <row r="2407" ht="15.75" customHeight="1">
      <c r="A2407" s="59"/>
      <c r="B2407" s="63">
        <f t="shared" si="1"/>
        <v>15</v>
      </c>
      <c r="C2407" s="134" t="s">
        <v>142</v>
      </c>
      <c r="D2407" s="134" t="s">
        <v>74</v>
      </c>
      <c r="E2407" s="135">
        <f t="shared" si="56"/>
        <v>35</v>
      </c>
      <c r="F2407" s="134" t="s">
        <v>3629</v>
      </c>
      <c r="G2407" s="63" t="str">
        <f>VLOOKUP(C2407, 'Class Def. - General Data'!$C$20:$C$1000,1,false)</f>
        <v>ZFG1_TOOTHBRUSH</v>
      </c>
      <c r="H2407" s="63" t="str">
        <f>IFERROR(__xludf.DUMMYFUNCTION("VLOOKUP(F2407, IMPORTRANGE(""https://docs.google.com/spreadsheets/d/1Lhp9OU0JdFf_VYSMzH5lBcEaU4o8teT1piV-SNzShjg/edit?gid=554141278#gid=554141278"", ""'Char Def. - Attributes'!C20:C2242""), 1,false)"),"EAN_CTN")</f>
        <v>EAN_CTN</v>
      </c>
      <c r="I2407" s="136"/>
      <c r="J2407" s="75" t="s">
        <v>3770</v>
      </c>
    </row>
    <row r="2408" ht="15.75" customHeight="1">
      <c r="A2408" s="59"/>
      <c r="B2408" s="63">
        <f t="shared" si="1"/>
        <v>15</v>
      </c>
      <c r="C2408" s="134" t="s">
        <v>142</v>
      </c>
      <c r="D2408" s="134" t="s">
        <v>74</v>
      </c>
      <c r="E2408" s="135">
        <f t="shared" si="56"/>
        <v>36</v>
      </c>
      <c r="F2408" s="134" t="s">
        <v>3630</v>
      </c>
      <c r="G2408" s="63" t="str">
        <f>VLOOKUP(C2408, 'Class Def. - General Data'!$C$20:$C$1000,1,false)</f>
        <v>ZFG1_TOOTHBRUSH</v>
      </c>
      <c r="H2408" s="63" t="str">
        <f>IFERROR(__xludf.DUMMYFUNCTION("VLOOKUP(F2408, IMPORTRANGE(""https://docs.google.com/spreadsheets/d/1Lhp9OU0JdFf_VYSMzH5lBcEaU4o8teT1piV-SNzShjg/edit?gid=554141278#gid=554141278"", ""'Char Def. - Attributes'!C20:C2242""), 1,false)"),"EAN_BOX")</f>
        <v>EAN_BOX</v>
      </c>
      <c r="I2408" s="136"/>
      <c r="J2408" s="75" t="s">
        <v>3770</v>
      </c>
    </row>
    <row r="2409" ht="15.75" customHeight="1">
      <c r="A2409" s="59"/>
      <c r="B2409" s="63">
        <f t="shared" si="1"/>
        <v>15</v>
      </c>
      <c r="C2409" s="134" t="s">
        <v>142</v>
      </c>
      <c r="D2409" s="141" t="s">
        <v>74</v>
      </c>
      <c r="E2409" s="135">
        <v>22.0</v>
      </c>
      <c r="F2409" s="135" t="s">
        <v>3603</v>
      </c>
      <c r="G2409" s="63" t="str">
        <f>VLOOKUP(C2409, 'Class Def. - General Data'!$C$20:$C$1000,1,false)</f>
        <v>ZFG1_TOOTHBRUSH</v>
      </c>
      <c r="I2409" s="136"/>
      <c r="J2409" s="75" t="s">
        <v>3769</v>
      </c>
    </row>
    <row r="2410" ht="15.75" customHeight="1">
      <c r="A2410" s="59"/>
      <c r="B2410" s="63">
        <f t="shared" si="1"/>
        <v>13</v>
      </c>
      <c r="C2410" s="134" t="s">
        <v>143</v>
      </c>
      <c r="D2410" s="134" t="s">
        <v>74</v>
      </c>
      <c r="E2410" s="135">
        <f t="shared" ref="E2410:E2445" si="57">COUNTIF($C$20:C2410,C2410)</f>
        <v>1</v>
      </c>
      <c r="F2410" s="134" t="s">
        <v>3771</v>
      </c>
      <c r="G2410" s="63" t="str">
        <f>VLOOKUP(C2410, 'Class Def. - General Data'!$C$20:$C$1000,1,false)</f>
        <v>ZFG1_TOPTOTOE</v>
      </c>
      <c r="H2410" s="63" t="str">
        <f>IFERROR(__xludf.DUMMYFUNCTION("VLOOKUP(F2410, IMPORTRANGE(""https://docs.google.com/spreadsheets/d/1Lhp9OU0JdFf_VYSMzH5lBcEaU4o8teT1piV-SNzShjg/edit?gid=554141278#gid=554141278"", ""'Char Def. - Attributes'!C20:C2242""), 1,false)"),"BRAND_TOPTOTOE")</f>
        <v>BRAND_TOPTOTOE</v>
      </c>
      <c r="I2410" s="136"/>
      <c r="J2410" s="75" t="s">
        <v>3770</v>
      </c>
    </row>
    <row r="2411" ht="15.75" customHeight="1">
      <c r="A2411" s="59"/>
      <c r="B2411" s="63">
        <f t="shared" si="1"/>
        <v>13</v>
      </c>
      <c r="C2411" s="135" t="s">
        <v>143</v>
      </c>
      <c r="D2411" s="134" t="s">
        <v>74</v>
      </c>
      <c r="E2411" s="135">
        <f t="shared" si="57"/>
        <v>2</v>
      </c>
      <c r="F2411" s="134" t="s">
        <v>3772</v>
      </c>
      <c r="G2411" s="63" t="str">
        <f>VLOOKUP(C2411, 'Class Def. - General Data'!$C$20:$C$1000,1,false)</f>
        <v>ZFG1_TOPTOTOE</v>
      </c>
      <c r="H2411" s="63" t="str">
        <f>IFERROR(__xludf.DUMMYFUNCTION("VLOOKUP(F2411, IMPORTRANGE(""https://docs.google.com/spreadsheets/d/1Lhp9OU0JdFf_VYSMzH5lBcEaU4o8teT1piV-SNzShjg/edit?gid=554141278#gid=554141278"", ""'Char Def. - Attributes'!C20:C2242""), 1,false)"),"PSHAPE_TOPTOTOE")</f>
        <v>PSHAPE_TOPTOTOE</v>
      </c>
      <c r="I2411" s="136"/>
      <c r="J2411" s="75" t="s">
        <v>3769</v>
      </c>
    </row>
    <row r="2412" ht="15.75" customHeight="1">
      <c r="A2412" s="59"/>
      <c r="B2412" s="63">
        <f t="shared" si="1"/>
        <v>13</v>
      </c>
      <c r="C2412" s="134" t="s">
        <v>143</v>
      </c>
      <c r="D2412" s="134" t="s">
        <v>74</v>
      </c>
      <c r="E2412" s="135">
        <f t="shared" si="57"/>
        <v>3</v>
      </c>
      <c r="F2412" s="134" t="s">
        <v>3605</v>
      </c>
      <c r="G2412" s="63" t="str">
        <f>VLOOKUP(C2412, 'Class Def. - General Data'!$C$20:$C$1000,1,false)</f>
        <v>ZFG1_TOPTOTOE</v>
      </c>
      <c r="H2412" s="63" t="str">
        <f>IFERROR(__xludf.DUMMYFUNCTION("VLOOKUP(F2412, IMPORTRANGE(""https://docs.google.com/spreadsheets/d/1Lhp9OU0JdFf_VYSMzH5lBcEaU4o8teT1piV-SNzShjg/edit?gid=554141278#gid=554141278"", ""'Char Def. - Attributes'!C20:C2242""), 1,false)"),"PACK_NETTO")</f>
        <v>PACK_NETTO</v>
      </c>
      <c r="I2412" s="136"/>
      <c r="J2412" s="75" t="s">
        <v>3770</v>
      </c>
    </row>
    <row r="2413" ht="15.75" customHeight="1">
      <c r="A2413" s="59"/>
      <c r="B2413" s="63">
        <f t="shared" si="1"/>
        <v>13</v>
      </c>
      <c r="C2413" s="135" t="s">
        <v>143</v>
      </c>
      <c r="D2413" s="134" t="s">
        <v>74</v>
      </c>
      <c r="E2413" s="135">
        <f t="shared" si="57"/>
        <v>4</v>
      </c>
      <c r="F2413" s="134" t="s">
        <v>3773</v>
      </c>
      <c r="G2413" s="63" t="str">
        <f>VLOOKUP(C2413, 'Class Def. - General Data'!$C$20:$C$1000,1,false)</f>
        <v>ZFG1_TOPTOTOE</v>
      </c>
      <c r="H2413" s="63" t="str">
        <f>IFERROR(__xludf.DUMMYFUNCTION("VLOOKUP(F2413, IMPORTRANGE(""https://docs.google.com/spreadsheets/d/1Lhp9OU0JdFf_VYSMzH5lBcEaU4o8teT1piV-SNzShjg/edit?gid=554141278#gid=554141278"", ""'Char Def. - Attributes'!C20:C2242""), 1,false)"),"PUOM_TOPTOTOE")</f>
        <v>PUOM_TOPTOTOE</v>
      </c>
      <c r="I2413" s="136"/>
      <c r="J2413" s="75" t="s">
        <v>3770</v>
      </c>
    </row>
    <row r="2414" ht="15.75" customHeight="1">
      <c r="A2414" s="59"/>
      <c r="B2414" s="63">
        <f t="shared" si="1"/>
        <v>13</v>
      </c>
      <c r="C2414" s="134" t="s">
        <v>143</v>
      </c>
      <c r="D2414" s="134" t="s">
        <v>74</v>
      </c>
      <c r="E2414" s="135">
        <f t="shared" si="57"/>
        <v>5</v>
      </c>
      <c r="F2414" s="134" t="s">
        <v>3607</v>
      </c>
      <c r="G2414" s="63" t="str">
        <f>VLOOKUP(C2414, 'Class Def. - General Data'!$C$20:$C$1000,1,false)</f>
        <v>ZFG1_TOPTOTOE</v>
      </c>
      <c r="H2414" s="63" t="str">
        <f>IFERROR(__xludf.DUMMYFUNCTION("VLOOKUP(F2414, IMPORTRANGE(""https://docs.google.com/spreadsheets/d/1Lhp9OU0JdFf_VYSMzH5lBcEaU4o8teT1piV-SNzShjg/edit?gid=554141278#gid=554141278"", ""'Char Def. - Attributes'!C20:C2242""), 1,false)"),"VARIAN")</f>
        <v>VARIAN</v>
      </c>
      <c r="I2414" s="136"/>
      <c r="J2414" s="75" t="s">
        <v>3770</v>
      </c>
    </row>
    <row r="2415" ht="15.75" customHeight="1">
      <c r="A2415" s="59"/>
      <c r="B2415" s="63">
        <f t="shared" si="1"/>
        <v>13</v>
      </c>
      <c r="C2415" s="134" t="s">
        <v>143</v>
      </c>
      <c r="D2415" s="134" t="s">
        <v>74</v>
      </c>
      <c r="E2415" s="135">
        <f t="shared" si="57"/>
        <v>6</v>
      </c>
      <c r="F2415" s="134" t="s">
        <v>3608</v>
      </c>
      <c r="G2415" s="63" t="str">
        <f>VLOOKUP(C2415, 'Class Def. - General Data'!$C$20:$C$1000,1,false)</f>
        <v>ZFG1_TOPTOTOE</v>
      </c>
      <c r="H2415" s="63" t="str">
        <f>IFERROR(__xludf.DUMMYFUNCTION("VLOOKUP(F2415, IMPORTRANGE(""https://docs.google.com/spreadsheets/d/1Lhp9OU0JdFf_VYSMzH5lBcEaU4o8teT1piV-SNzShjg/edit?gid=554141278#gid=554141278"", ""'Char Def. - Attributes'!C20:C2242""), 1,false)"),"PROJECT_NAME")</f>
        <v>PROJECT_NAME</v>
      </c>
      <c r="I2415" s="136"/>
      <c r="J2415" s="75" t="s">
        <v>3769</v>
      </c>
    </row>
    <row r="2416" ht="15.75" customHeight="1">
      <c r="A2416" s="59"/>
      <c r="B2416" s="63">
        <f t="shared" si="1"/>
        <v>13</v>
      </c>
      <c r="C2416" s="134" t="s">
        <v>143</v>
      </c>
      <c r="D2416" s="134" t="s">
        <v>74</v>
      </c>
      <c r="E2416" s="135">
        <f t="shared" si="57"/>
        <v>7</v>
      </c>
      <c r="F2416" s="134" t="s">
        <v>3609</v>
      </c>
      <c r="G2416" s="63" t="str">
        <f>VLOOKUP(C2416, 'Class Def. - General Data'!$C$20:$C$1000,1,false)</f>
        <v>ZFG1_TOPTOTOE</v>
      </c>
      <c r="H2416" s="63" t="str">
        <f>IFERROR(__xludf.DUMMYFUNCTION("VLOOKUP(F2416, IMPORTRANGE(""https://docs.google.com/spreadsheets/d/1Lhp9OU0JdFf_VYSMzH5lBcEaU4o8teT1piV-SNzShjg/edit?gid=554141278#gid=554141278"", ""'Char Def. - Attributes'!C20:C2242""), 1,false)"),"ADDITIONAL_PROMO")</f>
        <v>ADDITIONAL_PROMO</v>
      </c>
      <c r="I2416" s="136"/>
      <c r="J2416" s="75" t="s">
        <v>3770</v>
      </c>
    </row>
    <row r="2417" ht="15.75" customHeight="1">
      <c r="A2417" s="59"/>
      <c r="B2417" s="63">
        <f t="shared" si="1"/>
        <v>13</v>
      </c>
      <c r="C2417" s="134" t="s">
        <v>143</v>
      </c>
      <c r="D2417" s="134" t="s">
        <v>74</v>
      </c>
      <c r="E2417" s="135">
        <f t="shared" si="57"/>
        <v>8</v>
      </c>
      <c r="F2417" s="134" t="s">
        <v>3610</v>
      </c>
      <c r="G2417" s="63" t="str">
        <f>VLOOKUP(C2417, 'Class Def. - General Data'!$C$20:$C$1000,1,false)</f>
        <v>ZFG1_TOPTOTOE</v>
      </c>
      <c r="H2417" s="63" t="str">
        <f>IFERROR(__xludf.DUMMYFUNCTION("VLOOKUP(F2417, IMPORTRANGE(""https://docs.google.com/spreadsheets/d/1Lhp9OU0JdFf_VYSMzH5lBcEaU4o8teT1piV-SNzShjg/edit?gid=554141278#gid=554141278"", ""'Char Def. - Attributes'!C20:C2242""), 1,false)"),"BANDED_PROMO")</f>
        <v>BANDED_PROMO</v>
      </c>
      <c r="I2417" s="136"/>
    </row>
    <row r="2418" ht="15.75" customHeight="1">
      <c r="A2418" s="59"/>
      <c r="B2418" s="63">
        <f t="shared" si="1"/>
        <v>13</v>
      </c>
      <c r="C2418" s="134" t="s">
        <v>143</v>
      </c>
      <c r="D2418" s="134" t="s">
        <v>74</v>
      </c>
      <c r="E2418" s="135">
        <f t="shared" si="57"/>
        <v>9</v>
      </c>
      <c r="F2418" s="134" t="s">
        <v>3611</v>
      </c>
      <c r="G2418" s="63" t="str">
        <f>VLOOKUP(C2418, 'Class Def. - General Data'!$C$20:$C$1000,1,false)</f>
        <v>ZFG1_TOPTOTOE</v>
      </c>
      <c r="H2418" s="63" t="str">
        <f>IFERROR(__xludf.DUMMYFUNCTION("VLOOKUP(F2418, IMPORTRANGE(""https://docs.google.com/spreadsheets/d/1Lhp9OU0JdFf_VYSMzH5lBcEaU4o8teT1piV-SNzShjg/edit?gid=554141278#gid=554141278"", ""'Char Def. - Attributes'!C20:C2242""), 1,false)"),"LOKAL_EKSPOR")</f>
        <v>LOKAL_EKSPOR</v>
      </c>
      <c r="I2418" s="136"/>
      <c r="J2418" s="75" t="s">
        <v>3769</v>
      </c>
    </row>
    <row r="2419" ht="15.75" customHeight="1">
      <c r="A2419" s="59"/>
      <c r="B2419" s="63">
        <f t="shared" si="1"/>
        <v>13</v>
      </c>
      <c r="C2419" s="134" t="s">
        <v>143</v>
      </c>
      <c r="D2419" s="134" t="s">
        <v>74</v>
      </c>
      <c r="E2419" s="135">
        <f t="shared" si="57"/>
        <v>10</v>
      </c>
      <c r="F2419" s="134" t="s">
        <v>3612</v>
      </c>
      <c r="G2419" s="63" t="str">
        <f>VLOOKUP(C2419, 'Class Def. - General Data'!$C$20:$C$1000,1,false)</f>
        <v>ZFG1_TOPTOTOE</v>
      </c>
      <c r="H2419" s="63" t="str">
        <f>IFERROR(__xludf.DUMMYFUNCTION("VLOOKUP(F2419, IMPORTRANGE(""https://docs.google.com/spreadsheets/d/1Lhp9OU0JdFf_VYSMzH5lBcEaU4o8teT1piV-SNzShjg/edit?gid=554141278#gid=554141278"", ""'Char Def. - Attributes'!C20:C2242""), 1,false)"),"COUNTRY_EKSPOR")</f>
        <v>COUNTRY_EKSPOR</v>
      </c>
      <c r="I2419" s="136"/>
    </row>
    <row r="2420" ht="15.75" customHeight="1">
      <c r="A2420" s="59"/>
      <c r="B2420" s="63">
        <f t="shared" si="1"/>
        <v>13</v>
      </c>
      <c r="C2420" s="134" t="s">
        <v>143</v>
      </c>
      <c r="D2420" s="134" t="s">
        <v>74</v>
      </c>
      <c r="E2420" s="135">
        <f t="shared" si="57"/>
        <v>11</v>
      </c>
      <c r="F2420" s="134" t="s">
        <v>3613</v>
      </c>
      <c r="G2420" s="63" t="str">
        <f>VLOOKUP(C2420, 'Class Def. - General Data'!$C$20:$C$1000,1,false)</f>
        <v>ZFG1_TOPTOTOE</v>
      </c>
      <c r="H2420" s="63" t="str">
        <f>IFERROR(__xludf.DUMMYFUNCTION("VLOOKUP(F2420, IMPORTRANGE(""https://docs.google.com/spreadsheets/d/1Lhp9OU0JdFf_VYSMzH5lBcEaU4o8teT1piV-SNzShjg/edit?gid=554141278#gid=554141278"", ""'Char Def. - Attributes'!C20:C2242""), 1,false)"),"WARNA_SFG")</f>
        <v>WARNA_SFG</v>
      </c>
      <c r="I2420" s="136"/>
    </row>
    <row r="2421" ht="15.75" customHeight="1">
      <c r="A2421" s="59"/>
      <c r="B2421" s="63">
        <f t="shared" si="1"/>
        <v>13</v>
      </c>
      <c r="C2421" s="134" t="s">
        <v>143</v>
      </c>
      <c r="D2421" s="134" t="s">
        <v>74</v>
      </c>
      <c r="E2421" s="135">
        <f t="shared" si="57"/>
        <v>12</v>
      </c>
      <c r="F2421" s="134" t="s">
        <v>3582</v>
      </c>
      <c r="G2421" s="63" t="str">
        <f>VLOOKUP(C2421, 'Class Def. - General Data'!$C$20:$C$1000,1,false)</f>
        <v>ZFG1_TOPTOTOE</v>
      </c>
      <c r="H2421" s="63" t="str">
        <f>IFERROR(__xludf.DUMMYFUNCTION("VLOOKUP(F2421, IMPORTRANGE(""https://docs.google.com/spreadsheets/d/1Lhp9OU0JdFf_VYSMzH5lBcEaU4o8teT1piV-SNzShjg/edit?gid=554141278#gid=554141278"", ""'Char Def. - Attributes'!C20:C2242""), 1,false)"),"BASE_UNIT")</f>
        <v>BASE_UNIT</v>
      </c>
      <c r="I2421" s="136"/>
    </row>
    <row r="2422" ht="15.75" customHeight="1">
      <c r="A2422" s="59"/>
      <c r="B2422" s="63">
        <f t="shared" si="1"/>
        <v>13</v>
      </c>
      <c r="C2422" s="134" t="s">
        <v>143</v>
      </c>
      <c r="D2422" s="134" t="s">
        <v>74</v>
      </c>
      <c r="E2422" s="135">
        <f t="shared" si="57"/>
        <v>13</v>
      </c>
      <c r="F2422" s="134" t="s">
        <v>3583</v>
      </c>
      <c r="G2422" s="63" t="str">
        <f>VLOOKUP(C2422, 'Class Def. - General Data'!$C$20:$C$1000,1,false)</f>
        <v>ZFG1_TOPTOTOE</v>
      </c>
      <c r="H2422" s="63" t="str">
        <f>IFERROR(__xludf.DUMMYFUNCTION("VLOOKUP(F2422, IMPORTRANGE(""https://docs.google.com/spreadsheets/d/1Lhp9OU0JdFf_VYSMzH5lBcEaU4o8teT1piV-SNzShjg/edit?gid=554141278#gid=554141278"", ""'Char Def. - Attributes'!C20:C2242""), 1,false)"),"SALES_UNIT")</f>
        <v>SALES_UNIT</v>
      </c>
      <c r="I2422" s="136"/>
    </row>
    <row r="2423" ht="15.75" customHeight="1">
      <c r="A2423" s="59"/>
      <c r="B2423" s="63">
        <f t="shared" si="1"/>
        <v>13</v>
      </c>
      <c r="C2423" s="134" t="s">
        <v>143</v>
      </c>
      <c r="D2423" s="134" t="s">
        <v>74</v>
      </c>
      <c r="E2423" s="135">
        <f t="shared" si="57"/>
        <v>14</v>
      </c>
      <c r="F2423" s="134" t="s">
        <v>3601</v>
      </c>
      <c r="G2423" s="63" t="str">
        <f>VLOOKUP(C2423, 'Class Def. - General Data'!$C$20:$C$1000,1,false)</f>
        <v>ZFG1_TOPTOTOE</v>
      </c>
      <c r="H2423" s="63" t="str">
        <f>IFERROR(__xludf.DUMMYFUNCTION("VLOOKUP(F2423, IMPORTRANGE(""https://docs.google.com/spreadsheets/d/1Lhp9OU0JdFf_VYSMzH5lBcEaU4o8teT1piV-SNzShjg/edit?gid=554141278#gid=554141278"", ""'Char Def. - Attributes'!C20:C2242""), 1,false)"),"GROSS_WEIGHT")</f>
        <v>GROSS_WEIGHT</v>
      </c>
      <c r="I2423" s="136"/>
    </row>
    <row r="2424" ht="15.75" customHeight="1">
      <c r="A2424" s="59"/>
      <c r="B2424" s="63">
        <f t="shared" si="1"/>
        <v>13</v>
      </c>
      <c r="C2424" s="134" t="s">
        <v>143</v>
      </c>
      <c r="D2424" s="134" t="s">
        <v>74</v>
      </c>
      <c r="E2424" s="135">
        <f t="shared" si="57"/>
        <v>15</v>
      </c>
      <c r="F2424" s="134" t="s">
        <v>3602</v>
      </c>
      <c r="G2424" s="63" t="str">
        <f>VLOOKUP(C2424, 'Class Def. - General Data'!$C$20:$C$1000,1,false)</f>
        <v>ZFG1_TOPTOTOE</v>
      </c>
      <c r="H2424" s="63" t="str">
        <f>IFERROR(__xludf.DUMMYFUNCTION("VLOOKUP(F2424, IMPORTRANGE(""https://docs.google.com/spreadsheets/d/1Lhp9OU0JdFf_VYSMzH5lBcEaU4o8teT1piV-SNzShjg/edit?gid=554141278#gid=554141278"", ""'Char Def. - Attributes'!C20:C2242""), 1,false)"),"NET_WEIGHT")</f>
        <v>NET_WEIGHT</v>
      </c>
      <c r="I2424" s="136"/>
    </row>
    <row r="2425" ht="15.75" customHeight="1">
      <c r="A2425" s="59"/>
      <c r="B2425" s="63">
        <f t="shared" si="1"/>
        <v>13</v>
      </c>
      <c r="C2425" s="134" t="s">
        <v>143</v>
      </c>
      <c r="D2425" s="134" t="s">
        <v>74</v>
      </c>
      <c r="E2425" s="135">
        <f t="shared" si="57"/>
        <v>16</v>
      </c>
      <c r="F2425" s="134" t="s">
        <v>3584</v>
      </c>
      <c r="G2425" s="63" t="str">
        <f>VLOOKUP(C2425, 'Class Def. - General Data'!$C$20:$C$1000,1,false)</f>
        <v>ZFG1_TOPTOTOE</v>
      </c>
      <c r="H2425" s="63" t="str">
        <f>IFERROR(__xludf.DUMMYFUNCTION("VLOOKUP(F2425, IMPORTRANGE(""https://docs.google.com/spreadsheets/d/1Lhp9OU0JdFf_VYSMzH5lBcEaU4o8teT1piV-SNzShjg/edit?gid=554141278#gid=554141278"", ""'Char Def. - Attributes'!C20:C2242""), 1,false)"),"UNIT_PER_BOX")</f>
        <v>UNIT_PER_BOX</v>
      </c>
      <c r="I2425" s="136"/>
    </row>
    <row r="2426" ht="15.75" customHeight="1">
      <c r="A2426" s="59"/>
      <c r="B2426" s="63">
        <f t="shared" si="1"/>
        <v>13</v>
      </c>
      <c r="C2426" s="134" t="s">
        <v>143</v>
      </c>
      <c r="D2426" s="134" t="s">
        <v>74</v>
      </c>
      <c r="E2426" s="135">
        <f t="shared" si="57"/>
        <v>17</v>
      </c>
      <c r="F2426" s="134" t="s">
        <v>3614</v>
      </c>
      <c r="G2426" s="63" t="str">
        <f>VLOOKUP(C2426, 'Class Def. - General Data'!$C$20:$C$1000,1,false)</f>
        <v>ZFG1_TOPTOTOE</v>
      </c>
      <c r="H2426" s="63" t="str">
        <f>IFERROR(__xludf.DUMMYFUNCTION("VLOOKUP(F2426, IMPORTRANGE(""https://docs.google.com/spreadsheets/d/1Lhp9OU0JdFf_VYSMzH5lBcEaU4o8teT1piV-SNzShjg/edit?gid=554141278#gid=554141278"", ""'Char Def. - Attributes'!C20:C2242""), 1,false)"),"UNIT_PER_CTN")</f>
        <v>UNIT_PER_CTN</v>
      </c>
      <c r="I2426" s="136"/>
    </row>
    <row r="2427" ht="15.75" customHeight="1">
      <c r="A2427" s="59"/>
      <c r="B2427" s="63">
        <f t="shared" si="1"/>
        <v>13</v>
      </c>
      <c r="C2427" s="134" t="s">
        <v>143</v>
      </c>
      <c r="D2427" s="134" t="s">
        <v>74</v>
      </c>
      <c r="E2427" s="135">
        <f t="shared" si="57"/>
        <v>18</v>
      </c>
      <c r="F2427" s="134" t="s">
        <v>3615</v>
      </c>
      <c r="G2427" s="63" t="str">
        <f>VLOOKUP(C2427, 'Class Def. - General Data'!$C$20:$C$1000,1,false)</f>
        <v>ZFG1_TOPTOTOE</v>
      </c>
      <c r="H2427" s="63" t="str">
        <f>IFERROR(__xludf.DUMMYFUNCTION("VLOOKUP(F2427, IMPORTRANGE(""https://docs.google.com/spreadsheets/d/1Lhp9OU0JdFf_VYSMzH5lBcEaU4o8teT1piV-SNzShjg/edit?gid=554141278#gid=554141278"", ""'Char Def. - Attributes'!C20:C2242""), 1,false)"),"UNIT_PER_BAG")</f>
        <v>UNIT_PER_BAG</v>
      </c>
      <c r="I2427" s="136"/>
    </row>
    <row r="2428" ht="15.75" customHeight="1">
      <c r="A2428" s="59"/>
      <c r="B2428" s="63">
        <f t="shared" si="1"/>
        <v>13</v>
      </c>
      <c r="C2428" s="134" t="s">
        <v>143</v>
      </c>
      <c r="D2428" s="134" t="s">
        <v>74</v>
      </c>
      <c r="E2428" s="135">
        <f t="shared" si="57"/>
        <v>19</v>
      </c>
      <c r="F2428" s="134" t="s">
        <v>3616</v>
      </c>
      <c r="G2428" s="63" t="str">
        <f>VLOOKUP(C2428, 'Class Def. - General Data'!$C$20:$C$1000,1,false)</f>
        <v>ZFG1_TOPTOTOE</v>
      </c>
      <c r="H2428" s="63" t="str">
        <f>IFERROR(__xludf.DUMMYFUNCTION("VLOOKUP(F2428, IMPORTRANGE(""https://docs.google.com/spreadsheets/d/1Lhp9OU0JdFf_VYSMzH5lBcEaU4o8teT1piV-SNzShjg/edit?gid=554141278#gid=554141278"", ""'Char Def. - Attributes'!C20:C2242""), 1,false)"),"UNIT_PER_PAL")</f>
        <v>UNIT_PER_PAL</v>
      </c>
      <c r="I2428" s="136"/>
    </row>
    <row r="2429" ht="15.75" customHeight="1">
      <c r="A2429" s="59"/>
      <c r="B2429" s="63">
        <f t="shared" si="1"/>
        <v>13</v>
      </c>
      <c r="C2429" s="134" t="s">
        <v>143</v>
      </c>
      <c r="D2429" s="134" t="s">
        <v>74</v>
      </c>
      <c r="E2429" s="135">
        <f t="shared" si="57"/>
        <v>20</v>
      </c>
      <c r="F2429" s="134" t="s">
        <v>3617</v>
      </c>
      <c r="G2429" s="63" t="str">
        <f>VLOOKUP(C2429, 'Class Def. - General Data'!$C$20:$C$1000,1,false)</f>
        <v>ZFG1_TOPTOTOE</v>
      </c>
      <c r="H2429" s="63" t="str">
        <f>IFERROR(__xludf.DUMMYFUNCTION("VLOOKUP(F2429, IMPORTRANGE(""https://docs.google.com/spreadsheets/d/1Lhp9OU0JdFf_VYSMzH5lBcEaU4o8teT1piV-SNzShjg/edit?gid=554141278#gid=554141278"", ""'Char Def. - Attributes'!C20:C2242""), 1,false)"),"UNIT_PER_TIER")</f>
        <v>UNIT_PER_TIER</v>
      </c>
      <c r="I2429" s="136"/>
    </row>
    <row r="2430" ht="15.75" customHeight="1">
      <c r="A2430" s="59"/>
      <c r="B2430" s="63">
        <f t="shared" si="1"/>
        <v>13</v>
      </c>
      <c r="C2430" s="134" t="s">
        <v>143</v>
      </c>
      <c r="D2430" s="134" t="s">
        <v>74</v>
      </c>
      <c r="E2430" s="135">
        <f t="shared" si="57"/>
        <v>21</v>
      </c>
      <c r="F2430" s="134" t="s">
        <v>3618</v>
      </c>
      <c r="G2430" s="63" t="str">
        <f>VLOOKUP(C2430, 'Class Def. - General Data'!$C$20:$C$1000,1,false)</f>
        <v>ZFG1_TOPTOTOE</v>
      </c>
      <c r="H2430" s="63" t="str">
        <f>IFERROR(__xludf.DUMMYFUNCTION("VLOOKUP(F2430, IMPORTRANGE(""https://docs.google.com/spreadsheets/d/1Lhp9OU0JdFf_VYSMzH5lBcEaU4o8teT1piV-SNzShjg/edit?gid=554141278#gid=554141278"", ""'Char Def. - Attributes'!C20:C2242""), 1,false)"),"HEIGHT")</f>
        <v>HEIGHT</v>
      </c>
      <c r="I2430" s="136"/>
    </row>
    <row r="2431" ht="15.75" customHeight="1">
      <c r="A2431" s="59"/>
      <c r="B2431" s="63">
        <f t="shared" si="1"/>
        <v>13</v>
      </c>
      <c r="C2431" s="134" t="s">
        <v>143</v>
      </c>
      <c r="D2431" s="134" t="s">
        <v>74</v>
      </c>
      <c r="E2431" s="135">
        <f t="shared" si="57"/>
        <v>22</v>
      </c>
      <c r="F2431" s="134" t="s">
        <v>3587</v>
      </c>
      <c r="G2431" s="63" t="str">
        <f>VLOOKUP(C2431, 'Class Def. - General Data'!$C$20:$C$1000,1,false)</f>
        <v>ZFG1_TOPTOTOE</v>
      </c>
      <c r="H2431" s="63" t="str">
        <f>IFERROR(__xludf.DUMMYFUNCTION("VLOOKUP(F2431, IMPORTRANGE(""https://docs.google.com/spreadsheets/d/1Lhp9OU0JdFf_VYSMzH5lBcEaU4o8teT1piV-SNzShjg/edit?gid=554141278#gid=554141278"", ""'Char Def. - Attributes'!C20:C2242""), 1,false)"),"PLANT_BUY")</f>
        <v>PLANT_BUY</v>
      </c>
      <c r="I2431" s="136"/>
    </row>
    <row r="2432" ht="15.75" customHeight="1">
      <c r="A2432" s="59"/>
      <c r="B2432" s="63">
        <f t="shared" si="1"/>
        <v>13</v>
      </c>
      <c r="C2432" s="134" t="s">
        <v>143</v>
      </c>
      <c r="D2432" s="134" t="s">
        <v>74</v>
      </c>
      <c r="E2432" s="135">
        <f t="shared" si="57"/>
        <v>23</v>
      </c>
      <c r="F2432" s="134" t="s">
        <v>3619</v>
      </c>
      <c r="G2432" s="63" t="str">
        <f>VLOOKUP(C2432, 'Class Def. - General Data'!$C$20:$C$1000,1,false)</f>
        <v>ZFG1_TOPTOTOE</v>
      </c>
      <c r="H2432" s="63" t="str">
        <f>IFERROR(__xludf.DUMMYFUNCTION("VLOOKUP(F2432, IMPORTRANGE(""https://docs.google.com/spreadsheets/d/1Lhp9OU0JdFf_VYSMzH5lBcEaU4o8teT1piV-SNzShjg/edit?gid=554141278#gid=554141278"", ""'Char Def. - Attributes'!C20:C2242""), 1,false)"),"LENGTH")</f>
        <v>LENGTH</v>
      </c>
      <c r="I2432" s="136"/>
    </row>
    <row r="2433" ht="15.75" customHeight="1">
      <c r="A2433" s="59"/>
      <c r="B2433" s="63">
        <f t="shared" si="1"/>
        <v>13</v>
      </c>
      <c r="C2433" s="134" t="s">
        <v>143</v>
      </c>
      <c r="D2433" s="134" t="s">
        <v>74</v>
      </c>
      <c r="E2433" s="135">
        <f t="shared" si="57"/>
        <v>24</v>
      </c>
      <c r="F2433" s="134" t="s">
        <v>3586</v>
      </c>
      <c r="G2433" s="63" t="str">
        <f>VLOOKUP(C2433, 'Class Def. - General Data'!$C$20:$C$1000,1,false)</f>
        <v>ZFG1_TOPTOTOE</v>
      </c>
      <c r="H2433" s="63" t="str">
        <f>IFERROR(__xludf.DUMMYFUNCTION("VLOOKUP(F2433, IMPORTRANGE(""https://docs.google.com/spreadsheets/d/1Lhp9OU0JdFf_VYSMzH5lBcEaU4o8teT1piV-SNzShjg/edit?gid=554141278#gid=554141278"", ""'Char Def. - Attributes'!C20:C2242""), 1,false)"),"PLANT_PROD")</f>
        <v>PLANT_PROD</v>
      </c>
      <c r="I2433" s="136"/>
    </row>
    <row r="2434" ht="15.75" customHeight="1">
      <c r="A2434" s="59"/>
      <c r="B2434" s="63">
        <f t="shared" si="1"/>
        <v>13</v>
      </c>
      <c r="C2434" s="134" t="s">
        <v>143</v>
      </c>
      <c r="D2434" s="134" t="s">
        <v>74</v>
      </c>
      <c r="E2434" s="135">
        <f t="shared" si="57"/>
        <v>25</v>
      </c>
      <c r="F2434" s="134" t="s">
        <v>3620</v>
      </c>
      <c r="G2434" s="63" t="str">
        <f>VLOOKUP(C2434, 'Class Def. - General Data'!$C$20:$C$1000,1,false)</f>
        <v>ZFG1_TOPTOTOE</v>
      </c>
      <c r="H2434" s="63" t="str">
        <f>IFERROR(__xludf.DUMMYFUNCTION("VLOOKUP(F2434, IMPORTRANGE(""https://docs.google.com/spreadsheets/d/1Lhp9OU0JdFf_VYSMzH5lBcEaU4o8teT1piV-SNzShjg/edit?gid=554141278#gid=554141278"", ""'Char Def. - Attributes'!C20:C2242""), 1,false)"),"WIDTH")</f>
        <v>WIDTH</v>
      </c>
      <c r="I2434" s="136"/>
    </row>
    <row r="2435" ht="15.75" customHeight="1">
      <c r="A2435" s="59"/>
      <c r="B2435" s="63">
        <f t="shared" si="1"/>
        <v>13</v>
      </c>
      <c r="C2435" s="134" t="s">
        <v>143</v>
      </c>
      <c r="D2435" s="134" t="s">
        <v>74</v>
      </c>
      <c r="E2435" s="135">
        <f t="shared" si="57"/>
        <v>26</v>
      </c>
      <c r="F2435" s="134" t="s">
        <v>3585</v>
      </c>
      <c r="G2435" s="63" t="str">
        <f>VLOOKUP(C2435, 'Class Def. - General Data'!$C$20:$C$1000,1,false)</f>
        <v>ZFG1_TOPTOTOE</v>
      </c>
      <c r="H2435" s="63" t="str">
        <f>IFERROR(__xludf.DUMMYFUNCTION("VLOOKUP(F2435, IMPORTRANGE(""https://docs.google.com/spreadsheets/d/1Lhp9OU0JdFf_VYSMzH5lBcEaU4o8teT1piV-SNzShjg/edit?gid=554141278#gid=554141278"", ""'Char Def. - Attributes'!C20:C2242""), 1,false)"),"HS_CODE")</f>
        <v>HS_CODE</v>
      </c>
      <c r="I2435" s="136"/>
    </row>
    <row r="2436" ht="15.75" customHeight="1">
      <c r="A2436" s="66"/>
      <c r="B2436" s="63">
        <f t="shared" si="1"/>
        <v>13</v>
      </c>
      <c r="C2436" s="134" t="s">
        <v>143</v>
      </c>
      <c r="D2436" s="134" t="s">
        <v>74</v>
      </c>
      <c r="E2436" s="135">
        <f t="shared" si="57"/>
        <v>27</v>
      </c>
      <c r="F2436" s="134" t="s">
        <v>3621</v>
      </c>
      <c r="G2436" s="63" t="str">
        <f>VLOOKUP(C2436, 'Class Def. - General Data'!$C$20:$C$1000,1,false)</f>
        <v>ZFG1_TOPTOTOE</v>
      </c>
      <c r="H2436" s="63" t="str">
        <f>IFERROR(__xludf.DUMMYFUNCTION("VLOOKUP(F2436, IMPORTRANGE(""https://docs.google.com/spreadsheets/d/1Lhp9OU0JdFf_VYSMzH5lBcEaU4o8teT1piV-SNzShjg/edit?gid=554141278#gid=554141278"", ""'Char Def. - Attributes'!C20:C2242""), 1,false)"),"EAN_PCS")</f>
        <v>EAN_PCS</v>
      </c>
      <c r="I2436" s="136"/>
    </row>
    <row r="2437" ht="15.75" customHeight="1">
      <c r="A2437" s="66"/>
      <c r="B2437" s="63">
        <f t="shared" si="1"/>
        <v>13</v>
      </c>
      <c r="C2437" s="134" t="s">
        <v>143</v>
      </c>
      <c r="D2437" s="134" t="s">
        <v>74</v>
      </c>
      <c r="E2437" s="135">
        <f t="shared" si="57"/>
        <v>28</v>
      </c>
      <c r="F2437" s="134" t="s">
        <v>3622</v>
      </c>
      <c r="G2437" s="63" t="str">
        <f>VLOOKUP(C2437, 'Class Def. - General Data'!$C$20:$C$1000,1,false)</f>
        <v>ZFG1_TOPTOTOE</v>
      </c>
      <c r="H2437" s="63" t="str">
        <f>IFERROR(__xludf.DUMMYFUNCTION("VLOOKUP(F2437, IMPORTRANGE(""https://docs.google.com/spreadsheets/d/1Lhp9OU0JdFf_VYSMzH5lBcEaU4o8teT1piV-SNzShjg/edit?gid=554141278#gid=554141278"", ""'Char Def. - Attributes'!C20:C2242""), 1,false)"),"SFG_BRAND")</f>
        <v>SFG_BRAND</v>
      </c>
      <c r="I2437" s="136"/>
    </row>
    <row r="2438" ht="15.75" customHeight="1">
      <c r="A2438" s="66"/>
      <c r="B2438" s="63">
        <f t="shared" si="1"/>
        <v>13</v>
      </c>
      <c r="C2438" s="134" t="s">
        <v>143</v>
      </c>
      <c r="D2438" s="134" t="s">
        <v>74</v>
      </c>
      <c r="E2438" s="135">
        <f t="shared" si="57"/>
        <v>29</v>
      </c>
      <c r="F2438" s="134" t="s">
        <v>3623</v>
      </c>
      <c r="G2438" s="63" t="str">
        <f>VLOOKUP(C2438, 'Class Def. - General Data'!$C$20:$C$1000,1,false)</f>
        <v>ZFG1_TOPTOTOE</v>
      </c>
      <c r="H2438" s="63" t="str">
        <f>IFERROR(__xludf.DUMMYFUNCTION("VLOOKUP(F2438, IMPORTRANGE(""https://docs.google.com/spreadsheets/d/1Lhp9OU0JdFf_VYSMzH5lBcEaU4o8teT1piV-SNzShjg/edit?gid=554141278#gid=554141278"", ""'Char Def. - Attributes'!C20:C2242""), 1,false)"),"LANGUAGE")</f>
        <v>LANGUAGE</v>
      </c>
      <c r="I2438" s="136"/>
    </row>
    <row r="2439" ht="15.75" customHeight="1">
      <c r="A2439" s="66"/>
      <c r="B2439" s="63">
        <f t="shared" si="1"/>
        <v>13</v>
      </c>
      <c r="C2439" s="139" t="s">
        <v>143</v>
      </c>
      <c r="D2439" s="139" t="s">
        <v>74</v>
      </c>
      <c r="E2439" s="140">
        <f t="shared" si="57"/>
        <v>30</v>
      </c>
      <c r="F2439" s="134" t="s">
        <v>3624</v>
      </c>
      <c r="G2439" s="63" t="str">
        <f>VLOOKUP(C2439, 'Class Def. - General Data'!$C$20:$C$1000,1,false)</f>
        <v>ZFG1_TOPTOTOE</v>
      </c>
      <c r="H2439" s="63" t="str">
        <f>IFERROR(__xludf.DUMMYFUNCTION("VLOOKUP(F2439, IMPORTRANGE(""https://docs.google.com/spreadsheets/d/1Lhp9OU0JdFf_VYSMzH5lBcEaU4o8teT1piV-SNzShjg/edit?gid=554141278#gid=554141278"", ""'Char Def. - Attributes'!C20:C2242""), 1,false)"),"#N/A")</f>
        <v>#N/A</v>
      </c>
      <c r="I2439" s="136"/>
    </row>
    <row r="2440" ht="15.75" customHeight="1">
      <c r="A2440" s="66"/>
      <c r="B2440" s="63">
        <f t="shared" si="1"/>
        <v>13</v>
      </c>
      <c r="C2440" s="134" t="s">
        <v>143</v>
      </c>
      <c r="D2440" s="134" t="s">
        <v>74</v>
      </c>
      <c r="E2440" s="135">
        <f t="shared" si="57"/>
        <v>31</v>
      </c>
      <c r="F2440" s="134" t="s">
        <v>3625</v>
      </c>
      <c r="G2440" s="63" t="str">
        <f>VLOOKUP(C2440, 'Class Def. - General Data'!$C$20:$C$1000,1,false)</f>
        <v>ZFG1_TOPTOTOE</v>
      </c>
      <c r="H2440" s="63" t="str">
        <f>IFERROR(__xludf.DUMMYFUNCTION("VLOOKUP(F2440, IMPORTRANGE(""https://docs.google.com/spreadsheets/d/1Lhp9OU0JdFf_VYSMzH5lBcEaU4o8teT1piV-SNzShjg/edit?gid=554141278#gid=554141278"", ""'Char Def. - Attributes'!C20:C2242""), 1,false)"),"REGION_EKSPOR")</f>
        <v>REGION_EKSPOR</v>
      </c>
      <c r="I2440" s="136"/>
    </row>
    <row r="2441" ht="15.75" customHeight="1">
      <c r="A2441" s="66"/>
      <c r="B2441" s="63">
        <f t="shared" si="1"/>
        <v>13</v>
      </c>
      <c r="C2441" s="134" t="s">
        <v>143</v>
      </c>
      <c r="D2441" s="134" t="s">
        <v>74</v>
      </c>
      <c r="E2441" s="135">
        <f t="shared" si="57"/>
        <v>32</v>
      </c>
      <c r="F2441" s="134" t="s">
        <v>3626</v>
      </c>
      <c r="G2441" s="63" t="str">
        <f>VLOOKUP(C2441, 'Class Def. - General Data'!$C$20:$C$1000,1,false)</f>
        <v>ZFG1_TOPTOTOE</v>
      </c>
      <c r="H2441" s="63" t="str">
        <f>IFERROR(__xludf.DUMMYFUNCTION("VLOOKUP(F2441, IMPORTRANGE(""https://docs.google.com/spreadsheets/d/1Lhp9OU0JdFf_VYSMzH5lBcEaU4o8teT1piV-SNzShjg/edit?gid=554141278#gid=554141278"", ""'Char Def. - Attributes'!C20:C2242""), 1,false)"),"STICKER_NOT")</f>
        <v>STICKER_NOT</v>
      </c>
      <c r="I2441" s="136"/>
    </row>
    <row r="2442" ht="15.75" customHeight="1">
      <c r="A2442" s="59"/>
      <c r="B2442" s="63">
        <f t="shared" si="1"/>
        <v>13</v>
      </c>
      <c r="C2442" s="134" t="s">
        <v>143</v>
      </c>
      <c r="D2442" s="134" t="s">
        <v>74</v>
      </c>
      <c r="E2442" s="135">
        <f t="shared" si="57"/>
        <v>33</v>
      </c>
      <c r="F2442" s="134" t="s">
        <v>3627</v>
      </c>
      <c r="G2442" s="63" t="str">
        <f>VLOOKUP(C2442, 'Class Def. - General Data'!$C$20:$C$1000,1,false)</f>
        <v>ZFG1_TOPTOTOE</v>
      </c>
      <c r="H2442" s="63" t="str">
        <f>IFERROR(__xludf.DUMMYFUNCTION("VLOOKUP(F2442, IMPORTRANGE(""https://docs.google.com/spreadsheets/d/1Lhp9OU0JdFf_VYSMzH5lBcEaU4o8teT1piV-SNzShjg/edit?gid=554141278#gid=554141278"", ""'Char Def. - Attributes'!C20:C2242""), 1,false)"),"SHIP_MARK")</f>
        <v>SHIP_MARK</v>
      </c>
      <c r="I2442" s="136"/>
    </row>
    <row r="2443" ht="15.75" customHeight="1">
      <c r="A2443" s="59"/>
      <c r="B2443" s="63">
        <f t="shared" si="1"/>
        <v>13</v>
      </c>
      <c r="C2443" s="134" t="s">
        <v>143</v>
      </c>
      <c r="D2443" s="134" t="s">
        <v>74</v>
      </c>
      <c r="E2443" s="135">
        <f t="shared" si="57"/>
        <v>34</v>
      </c>
      <c r="F2443" s="134" t="s">
        <v>3628</v>
      </c>
      <c r="G2443" s="63" t="str">
        <f>VLOOKUP(C2443, 'Class Def. - General Data'!$C$20:$C$1000,1,false)</f>
        <v>ZFG1_TOPTOTOE</v>
      </c>
      <c r="H2443" s="63" t="str">
        <f>IFERROR(__xludf.DUMMYFUNCTION("VLOOKUP(F2443, IMPORTRANGE(""https://docs.google.com/spreadsheets/d/1Lhp9OU0JdFf_VYSMzH5lBcEaU4o8teT1piV-SNzShjg/edit?gid=554141278#gid=554141278"", ""'Char Def. - Attributes'!C20:C2242""), 1,false)"),"MID_CORE")</f>
        <v>MID_CORE</v>
      </c>
      <c r="I2443" s="136"/>
    </row>
    <row r="2444" ht="15.75" customHeight="1">
      <c r="A2444" s="59"/>
      <c r="B2444" s="63">
        <f t="shared" si="1"/>
        <v>13</v>
      </c>
      <c r="C2444" s="134" t="s">
        <v>143</v>
      </c>
      <c r="D2444" s="134" t="s">
        <v>74</v>
      </c>
      <c r="E2444" s="135">
        <f t="shared" si="57"/>
        <v>35</v>
      </c>
      <c r="F2444" s="134" t="s">
        <v>3629</v>
      </c>
      <c r="G2444" s="63" t="str">
        <f>VLOOKUP(C2444, 'Class Def. - General Data'!$C$20:$C$1000,1,false)</f>
        <v>ZFG1_TOPTOTOE</v>
      </c>
      <c r="H2444" s="63" t="str">
        <f>IFERROR(__xludf.DUMMYFUNCTION("VLOOKUP(F2444, IMPORTRANGE(""https://docs.google.com/spreadsheets/d/1Lhp9OU0JdFf_VYSMzH5lBcEaU4o8teT1piV-SNzShjg/edit?gid=554141278#gid=554141278"", ""'Char Def. - Attributes'!C20:C2242""), 1,false)"),"EAN_CTN")</f>
        <v>EAN_CTN</v>
      </c>
      <c r="I2444" s="136"/>
    </row>
    <row r="2445" ht="15.75" customHeight="1">
      <c r="A2445" s="59"/>
      <c r="B2445" s="63">
        <f t="shared" si="1"/>
        <v>13</v>
      </c>
      <c r="C2445" s="134" t="s">
        <v>143</v>
      </c>
      <c r="D2445" s="134" t="s">
        <v>74</v>
      </c>
      <c r="E2445" s="135">
        <f t="shared" si="57"/>
        <v>36</v>
      </c>
      <c r="F2445" s="134" t="s">
        <v>3630</v>
      </c>
      <c r="G2445" s="63" t="str">
        <f>VLOOKUP(C2445, 'Class Def. - General Data'!$C$20:$C$1000,1,false)</f>
        <v>ZFG1_TOPTOTOE</v>
      </c>
      <c r="H2445" s="63" t="str">
        <f>IFERROR(__xludf.DUMMYFUNCTION("VLOOKUP(F2445, IMPORTRANGE(""https://docs.google.com/spreadsheets/d/1Lhp9OU0JdFf_VYSMzH5lBcEaU4o8teT1piV-SNzShjg/edit?gid=554141278#gid=554141278"", ""'Char Def. - Attributes'!C20:C2242""), 1,false)"),"EAN_BOX")</f>
        <v>EAN_BOX</v>
      </c>
      <c r="I2445" s="136"/>
    </row>
    <row r="2446" ht="15.75" customHeight="1">
      <c r="A2446" s="59"/>
      <c r="B2446" s="63">
        <f t="shared" si="1"/>
        <v>13</v>
      </c>
      <c r="C2446" s="134" t="s">
        <v>143</v>
      </c>
      <c r="D2446" s="141" t="s">
        <v>74</v>
      </c>
      <c r="E2446" s="135">
        <v>22.0</v>
      </c>
      <c r="F2446" s="135" t="s">
        <v>3603</v>
      </c>
      <c r="G2446" s="63" t="str">
        <f>VLOOKUP(C2446, 'Class Def. - General Data'!$C$20:$C$1000,1,false)</f>
        <v>ZFG1_TOPTOTOE</v>
      </c>
      <c r="I2446" s="136"/>
    </row>
    <row r="2447" ht="15.75" customHeight="1">
      <c r="A2447" s="59"/>
      <c r="B2447" s="63">
        <f t="shared" si="1"/>
        <v>13</v>
      </c>
      <c r="C2447" s="134" t="s">
        <v>144</v>
      </c>
      <c r="D2447" s="134" t="s">
        <v>74</v>
      </c>
      <c r="E2447" s="135">
        <f t="shared" ref="E2447:E2482" si="58">COUNTIF($C$20:C2447,C2447)</f>
        <v>1</v>
      </c>
      <c r="F2447" s="134" t="s">
        <v>3774</v>
      </c>
      <c r="G2447" s="63" t="str">
        <f>VLOOKUP(C2447, 'Class Def. - General Data'!$C$20:$C$1000,1,false)</f>
        <v>ZFG1_WETWIPES</v>
      </c>
      <c r="H2447" s="63" t="str">
        <f>IFERROR(__xludf.DUMMYFUNCTION("VLOOKUP(F2447, IMPORTRANGE(""https://docs.google.com/spreadsheets/d/1Lhp9OU0JdFf_VYSMzH5lBcEaU4o8teT1piV-SNzShjg/edit?gid=554141278#gid=554141278"", ""'Char Def. - Attributes'!C20:C2242""), 1,false)"),"BRAND_WETWIPES")</f>
        <v>BRAND_WETWIPES</v>
      </c>
      <c r="I2447" s="136"/>
    </row>
    <row r="2448" ht="15.75" customHeight="1">
      <c r="A2448" s="59"/>
      <c r="B2448" s="63">
        <f t="shared" si="1"/>
        <v>13</v>
      </c>
      <c r="C2448" s="135" t="s">
        <v>144</v>
      </c>
      <c r="D2448" s="134" t="s">
        <v>74</v>
      </c>
      <c r="E2448" s="135">
        <f t="shared" si="58"/>
        <v>2</v>
      </c>
      <c r="F2448" s="134" t="s">
        <v>3775</v>
      </c>
      <c r="G2448" s="63" t="str">
        <f>VLOOKUP(C2448, 'Class Def. - General Data'!$C$20:$C$1000,1,false)</f>
        <v>ZFG1_WETWIPES</v>
      </c>
      <c r="H2448" s="63" t="str">
        <f>IFERROR(__xludf.DUMMYFUNCTION("VLOOKUP(F2448, IMPORTRANGE(""https://docs.google.com/spreadsheets/d/1Lhp9OU0JdFf_VYSMzH5lBcEaU4o8teT1piV-SNzShjg/edit?gid=554141278#gid=554141278"", ""'Char Def. - Attributes'!C20:C2242""), 1,false)"),"PSHAPE_WETWIPES")</f>
        <v>PSHAPE_WETWIPES</v>
      </c>
      <c r="I2448" s="136"/>
    </row>
    <row r="2449" ht="15.75" customHeight="1">
      <c r="A2449" s="59"/>
      <c r="B2449" s="63">
        <f t="shared" si="1"/>
        <v>13</v>
      </c>
      <c r="C2449" s="134" t="s">
        <v>144</v>
      </c>
      <c r="D2449" s="134" t="s">
        <v>74</v>
      </c>
      <c r="E2449" s="135">
        <f t="shared" si="58"/>
        <v>3</v>
      </c>
      <c r="F2449" s="134" t="s">
        <v>3605</v>
      </c>
      <c r="G2449" s="63" t="str">
        <f>VLOOKUP(C2449, 'Class Def. - General Data'!$C$20:$C$1000,1,false)</f>
        <v>ZFG1_WETWIPES</v>
      </c>
      <c r="H2449" s="63" t="str">
        <f>IFERROR(__xludf.DUMMYFUNCTION("VLOOKUP(F2449, IMPORTRANGE(""https://docs.google.com/spreadsheets/d/1Lhp9OU0JdFf_VYSMzH5lBcEaU4o8teT1piV-SNzShjg/edit?gid=554141278#gid=554141278"", ""'Char Def. - Attributes'!C20:C2242""), 1,false)"),"PACK_NETTO")</f>
        <v>PACK_NETTO</v>
      </c>
      <c r="I2449" s="136"/>
    </row>
    <row r="2450" ht="15.75" customHeight="1">
      <c r="A2450" s="59"/>
      <c r="B2450" s="63">
        <f t="shared" si="1"/>
        <v>13</v>
      </c>
      <c r="C2450" s="135" t="s">
        <v>144</v>
      </c>
      <c r="D2450" s="134" t="s">
        <v>74</v>
      </c>
      <c r="E2450" s="135">
        <f t="shared" si="58"/>
        <v>4</v>
      </c>
      <c r="F2450" s="134" t="s">
        <v>3776</v>
      </c>
      <c r="G2450" s="63" t="str">
        <f>VLOOKUP(C2450, 'Class Def. - General Data'!$C$20:$C$1000,1,false)</f>
        <v>ZFG1_WETWIPES</v>
      </c>
      <c r="H2450" s="63" t="str">
        <f>IFERROR(__xludf.DUMMYFUNCTION("VLOOKUP(F2450, IMPORTRANGE(""https://docs.google.com/spreadsheets/d/1Lhp9OU0JdFf_VYSMzH5lBcEaU4o8teT1piV-SNzShjg/edit?gid=554141278#gid=554141278"", ""'Char Def. - Attributes'!C20:C2242""), 1,false)"),"PUOM_WETWIPES")</f>
        <v>PUOM_WETWIPES</v>
      </c>
      <c r="I2450" s="136"/>
    </row>
    <row r="2451" ht="15.75" customHeight="1">
      <c r="A2451" s="59"/>
      <c r="B2451" s="63">
        <f t="shared" si="1"/>
        <v>13</v>
      </c>
      <c r="C2451" s="134" t="s">
        <v>144</v>
      </c>
      <c r="D2451" s="134" t="s">
        <v>74</v>
      </c>
      <c r="E2451" s="135">
        <f t="shared" si="58"/>
        <v>5</v>
      </c>
      <c r="F2451" s="134" t="s">
        <v>3607</v>
      </c>
      <c r="G2451" s="63" t="str">
        <f>VLOOKUP(C2451, 'Class Def. - General Data'!$C$20:$C$1000,1,false)</f>
        <v>ZFG1_WETWIPES</v>
      </c>
      <c r="H2451" s="63" t="str">
        <f>IFERROR(__xludf.DUMMYFUNCTION("VLOOKUP(F2451, IMPORTRANGE(""https://docs.google.com/spreadsheets/d/1Lhp9OU0JdFf_VYSMzH5lBcEaU4o8teT1piV-SNzShjg/edit?gid=554141278#gid=554141278"", ""'Char Def. - Attributes'!C20:C2242""), 1,false)"),"VARIAN")</f>
        <v>VARIAN</v>
      </c>
      <c r="I2451" s="136"/>
    </row>
    <row r="2452" ht="15.75" customHeight="1">
      <c r="A2452" s="59"/>
      <c r="B2452" s="63">
        <f t="shared" si="1"/>
        <v>13</v>
      </c>
      <c r="C2452" s="134" t="s">
        <v>144</v>
      </c>
      <c r="D2452" s="134" t="s">
        <v>74</v>
      </c>
      <c r="E2452" s="135">
        <f t="shared" si="58"/>
        <v>6</v>
      </c>
      <c r="F2452" s="134" t="s">
        <v>3608</v>
      </c>
      <c r="G2452" s="63" t="str">
        <f>VLOOKUP(C2452, 'Class Def. - General Data'!$C$20:$C$1000,1,false)</f>
        <v>ZFG1_WETWIPES</v>
      </c>
      <c r="H2452" s="63" t="str">
        <f>IFERROR(__xludf.DUMMYFUNCTION("VLOOKUP(F2452, IMPORTRANGE(""https://docs.google.com/spreadsheets/d/1Lhp9OU0JdFf_VYSMzH5lBcEaU4o8teT1piV-SNzShjg/edit?gid=554141278#gid=554141278"", ""'Char Def. - Attributes'!C20:C2242""), 1,false)"),"PROJECT_NAME")</f>
        <v>PROJECT_NAME</v>
      </c>
      <c r="I2452" s="136"/>
    </row>
    <row r="2453" ht="15.75" customHeight="1">
      <c r="A2453" s="59"/>
      <c r="B2453" s="63">
        <f t="shared" si="1"/>
        <v>13</v>
      </c>
      <c r="C2453" s="134" t="s">
        <v>144</v>
      </c>
      <c r="D2453" s="134" t="s">
        <v>74</v>
      </c>
      <c r="E2453" s="135">
        <f t="shared" si="58"/>
        <v>7</v>
      </c>
      <c r="F2453" s="134" t="s">
        <v>3609</v>
      </c>
      <c r="G2453" s="63" t="str">
        <f>VLOOKUP(C2453, 'Class Def. - General Data'!$C$20:$C$1000,1,false)</f>
        <v>ZFG1_WETWIPES</v>
      </c>
      <c r="H2453" s="63" t="str">
        <f>IFERROR(__xludf.DUMMYFUNCTION("VLOOKUP(F2453, IMPORTRANGE(""https://docs.google.com/spreadsheets/d/1Lhp9OU0JdFf_VYSMzH5lBcEaU4o8teT1piV-SNzShjg/edit?gid=554141278#gid=554141278"", ""'Char Def. - Attributes'!C20:C2242""), 1,false)"),"ADDITIONAL_PROMO")</f>
        <v>ADDITIONAL_PROMO</v>
      </c>
      <c r="I2453" s="136"/>
    </row>
    <row r="2454" ht="15.75" customHeight="1">
      <c r="A2454" s="59"/>
      <c r="B2454" s="63">
        <f t="shared" si="1"/>
        <v>13</v>
      </c>
      <c r="C2454" s="134" t="s">
        <v>144</v>
      </c>
      <c r="D2454" s="134" t="s">
        <v>74</v>
      </c>
      <c r="E2454" s="135">
        <f t="shared" si="58"/>
        <v>8</v>
      </c>
      <c r="F2454" s="134" t="s">
        <v>3610</v>
      </c>
      <c r="G2454" s="63" t="str">
        <f>VLOOKUP(C2454, 'Class Def. - General Data'!$C$20:$C$1000,1,false)</f>
        <v>ZFG1_WETWIPES</v>
      </c>
      <c r="H2454" s="63" t="str">
        <f>IFERROR(__xludf.DUMMYFUNCTION("VLOOKUP(F2454, IMPORTRANGE(""https://docs.google.com/spreadsheets/d/1Lhp9OU0JdFf_VYSMzH5lBcEaU4o8teT1piV-SNzShjg/edit?gid=554141278#gid=554141278"", ""'Char Def. - Attributes'!C20:C2242""), 1,false)"),"BANDED_PROMO")</f>
        <v>BANDED_PROMO</v>
      </c>
      <c r="I2454" s="136"/>
    </row>
    <row r="2455" ht="15.75" customHeight="1">
      <c r="A2455" s="59"/>
      <c r="B2455" s="63">
        <f t="shared" si="1"/>
        <v>13</v>
      </c>
      <c r="C2455" s="134" t="s">
        <v>144</v>
      </c>
      <c r="D2455" s="134" t="s">
        <v>74</v>
      </c>
      <c r="E2455" s="135">
        <f t="shared" si="58"/>
        <v>9</v>
      </c>
      <c r="F2455" s="134" t="s">
        <v>3611</v>
      </c>
      <c r="G2455" s="63" t="str">
        <f>VLOOKUP(C2455, 'Class Def. - General Data'!$C$20:$C$1000,1,false)</f>
        <v>ZFG1_WETWIPES</v>
      </c>
      <c r="H2455" s="63" t="str">
        <f>IFERROR(__xludf.DUMMYFUNCTION("VLOOKUP(F2455, IMPORTRANGE(""https://docs.google.com/spreadsheets/d/1Lhp9OU0JdFf_VYSMzH5lBcEaU4o8teT1piV-SNzShjg/edit?gid=554141278#gid=554141278"", ""'Char Def. - Attributes'!C20:C2242""), 1,false)"),"LOKAL_EKSPOR")</f>
        <v>LOKAL_EKSPOR</v>
      </c>
      <c r="I2455" s="136"/>
    </row>
    <row r="2456" ht="15.75" customHeight="1">
      <c r="A2456" s="59"/>
      <c r="B2456" s="63">
        <f t="shared" si="1"/>
        <v>13</v>
      </c>
      <c r="C2456" s="134" t="s">
        <v>144</v>
      </c>
      <c r="D2456" s="134" t="s">
        <v>74</v>
      </c>
      <c r="E2456" s="135">
        <f t="shared" si="58"/>
        <v>10</v>
      </c>
      <c r="F2456" s="134" t="s">
        <v>3612</v>
      </c>
      <c r="G2456" s="63" t="str">
        <f>VLOOKUP(C2456, 'Class Def. - General Data'!$C$20:$C$1000,1,false)</f>
        <v>ZFG1_WETWIPES</v>
      </c>
      <c r="H2456" s="63" t="str">
        <f>IFERROR(__xludf.DUMMYFUNCTION("VLOOKUP(F2456, IMPORTRANGE(""https://docs.google.com/spreadsheets/d/1Lhp9OU0JdFf_VYSMzH5lBcEaU4o8teT1piV-SNzShjg/edit?gid=554141278#gid=554141278"", ""'Char Def. - Attributes'!C20:C2242""), 1,false)"),"COUNTRY_EKSPOR")</f>
        <v>COUNTRY_EKSPOR</v>
      </c>
      <c r="I2456" s="136"/>
    </row>
    <row r="2457" ht="15.75" customHeight="1">
      <c r="A2457" s="59"/>
      <c r="B2457" s="63">
        <f t="shared" si="1"/>
        <v>13</v>
      </c>
      <c r="C2457" s="134" t="s">
        <v>144</v>
      </c>
      <c r="D2457" s="134" t="s">
        <v>74</v>
      </c>
      <c r="E2457" s="135">
        <f t="shared" si="58"/>
        <v>11</v>
      </c>
      <c r="F2457" s="134" t="s">
        <v>3613</v>
      </c>
      <c r="G2457" s="63" t="str">
        <f>VLOOKUP(C2457, 'Class Def. - General Data'!$C$20:$C$1000,1,false)</f>
        <v>ZFG1_WETWIPES</v>
      </c>
      <c r="H2457" s="63" t="str">
        <f>IFERROR(__xludf.DUMMYFUNCTION("VLOOKUP(F2457, IMPORTRANGE(""https://docs.google.com/spreadsheets/d/1Lhp9OU0JdFf_VYSMzH5lBcEaU4o8teT1piV-SNzShjg/edit?gid=554141278#gid=554141278"", ""'Char Def. - Attributes'!C20:C2242""), 1,false)"),"WARNA_SFG")</f>
        <v>WARNA_SFG</v>
      </c>
      <c r="I2457" s="136"/>
    </row>
    <row r="2458" ht="15.75" customHeight="1">
      <c r="A2458" s="59"/>
      <c r="B2458" s="63">
        <f t="shared" si="1"/>
        <v>13</v>
      </c>
      <c r="C2458" s="134" t="s">
        <v>144</v>
      </c>
      <c r="D2458" s="134" t="s">
        <v>74</v>
      </c>
      <c r="E2458" s="135">
        <f t="shared" si="58"/>
        <v>12</v>
      </c>
      <c r="F2458" s="134" t="s">
        <v>3582</v>
      </c>
      <c r="G2458" s="63" t="str">
        <f>VLOOKUP(C2458, 'Class Def. - General Data'!$C$20:$C$1000,1,false)</f>
        <v>ZFG1_WETWIPES</v>
      </c>
      <c r="H2458" s="63" t="str">
        <f>IFERROR(__xludf.DUMMYFUNCTION("VLOOKUP(F2458, IMPORTRANGE(""https://docs.google.com/spreadsheets/d/1Lhp9OU0JdFf_VYSMzH5lBcEaU4o8teT1piV-SNzShjg/edit?gid=554141278#gid=554141278"", ""'Char Def. - Attributes'!C20:C2242""), 1,false)"),"BASE_UNIT")</f>
        <v>BASE_UNIT</v>
      </c>
      <c r="I2458" s="136"/>
    </row>
    <row r="2459" ht="15.75" customHeight="1">
      <c r="A2459" s="59"/>
      <c r="B2459" s="63">
        <f t="shared" si="1"/>
        <v>13</v>
      </c>
      <c r="C2459" s="134" t="s">
        <v>144</v>
      </c>
      <c r="D2459" s="134" t="s">
        <v>74</v>
      </c>
      <c r="E2459" s="135">
        <f t="shared" si="58"/>
        <v>13</v>
      </c>
      <c r="F2459" s="134" t="s">
        <v>3583</v>
      </c>
      <c r="G2459" s="63" t="str">
        <f>VLOOKUP(C2459, 'Class Def. - General Data'!$C$20:$C$1000,1,false)</f>
        <v>ZFG1_WETWIPES</v>
      </c>
      <c r="H2459" s="63" t="str">
        <f>IFERROR(__xludf.DUMMYFUNCTION("VLOOKUP(F2459, IMPORTRANGE(""https://docs.google.com/spreadsheets/d/1Lhp9OU0JdFf_VYSMzH5lBcEaU4o8teT1piV-SNzShjg/edit?gid=554141278#gid=554141278"", ""'Char Def. - Attributes'!C20:C2242""), 1,false)"),"SALES_UNIT")</f>
        <v>SALES_UNIT</v>
      </c>
      <c r="I2459" s="136"/>
    </row>
    <row r="2460" ht="15.75" customHeight="1">
      <c r="A2460" s="59"/>
      <c r="B2460" s="63">
        <f t="shared" si="1"/>
        <v>13</v>
      </c>
      <c r="C2460" s="134" t="s">
        <v>144</v>
      </c>
      <c r="D2460" s="134" t="s">
        <v>74</v>
      </c>
      <c r="E2460" s="135">
        <f t="shared" si="58"/>
        <v>14</v>
      </c>
      <c r="F2460" s="134" t="s">
        <v>3601</v>
      </c>
      <c r="G2460" s="63" t="str">
        <f>VLOOKUP(C2460, 'Class Def. - General Data'!$C$20:$C$1000,1,false)</f>
        <v>ZFG1_WETWIPES</v>
      </c>
      <c r="H2460" s="63" t="str">
        <f>IFERROR(__xludf.DUMMYFUNCTION("VLOOKUP(F2460, IMPORTRANGE(""https://docs.google.com/spreadsheets/d/1Lhp9OU0JdFf_VYSMzH5lBcEaU4o8teT1piV-SNzShjg/edit?gid=554141278#gid=554141278"", ""'Char Def. - Attributes'!C20:C2242""), 1,false)"),"GROSS_WEIGHT")</f>
        <v>GROSS_WEIGHT</v>
      </c>
      <c r="I2460" s="136"/>
    </row>
    <row r="2461" ht="15.75" customHeight="1">
      <c r="A2461" s="59"/>
      <c r="B2461" s="63">
        <f t="shared" si="1"/>
        <v>13</v>
      </c>
      <c r="C2461" s="134" t="s">
        <v>144</v>
      </c>
      <c r="D2461" s="134" t="s">
        <v>74</v>
      </c>
      <c r="E2461" s="135">
        <f t="shared" si="58"/>
        <v>15</v>
      </c>
      <c r="F2461" s="134" t="s">
        <v>3602</v>
      </c>
      <c r="G2461" s="63" t="str">
        <f>VLOOKUP(C2461, 'Class Def. - General Data'!$C$20:$C$1000,1,false)</f>
        <v>ZFG1_WETWIPES</v>
      </c>
      <c r="H2461" s="63" t="str">
        <f>IFERROR(__xludf.DUMMYFUNCTION("VLOOKUP(F2461, IMPORTRANGE(""https://docs.google.com/spreadsheets/d/1Lhp9OU0JdFf_VYSMzH5lBcEaU4o8teT1piV-SNzShjg/edit?gid=554141278#gid=554141278"", ""'Char Def. - Attributes'!C20:C2242""), 1,false)"),"NET_WEIGHT")</f>
        <v>NET_WEIGHT</v>
      </c>
      <c r="I2461" s="136"/>
    </row>
    <row r="2462" ht="15.75" customHeight="1">
      <c r="A2462" s="59"/>
      <c r="B2462" s="63">
        <f t="shared" si="1"/>
        <v>13</v>
      </c>
      <c r="C2462" s="134" t="s">
        <v>144</v>
      </c>
      <c r="D2462" s="134" t="s">
        <v>74</v>
      </c>
      <c r="E2462" s="135">
        <f t="shared" si="58"/>
        <v>16</v>
      </c>
      <c r="F2462" s="134" t="s">
        <v>3584</v>
      </c>
      <c r="G2462" s="63" t="str">
        <f>VLOOKUP(C2462, 'Class Def. - General Data'!$C$20:$C$1000,1,false)</f>
        <v>ZFG1_WETWIPES</v>
      </c>
      <c r="H2462" s="63" t="str">
        <f>IFERROR(__xludf.DUMMYFUNCTION("VLOOKUP(F2462, IMPORTRANGE(""https://docs.google.com/spreadsheets/d/1Lhp9OU0JdFf_VYSMzH5lBcEaU4o8teT1piV-SNzShjg/edit?gid=554141278#gid=554141278"", ""'Char Def. - Attributes'!C20:C2242""), 1,false)"),"UNIT_PER_BOX")</f>
        <v>UNIT_PER_BOX</v>
      </c>
      <c r="I2462" s="136"/>
    </row>
    <row r="2463" ht="15.75" customHeight="1">
      <c r="A2463" s="59"/>
      <c r="B2463" s="63">
        <f t="shared" si="1"/>
        <v>13</v>
      </c>
      <c r="C2463" s="134" t="s">
        <v>144</v>
      </c>
      <c r="D2463" s="134" t="s">
        <v>74</v>
      </c>
      <c r="E2463" s="135">
        <f t="shared" si="58"/>
        <v>17</v>
      </c>
      <c r="F2463" s="134" t="s">
        <v>3614</v>
      </c>
      <c r="G2463" s="63" t="str">
        <f>VLOOKUP(C2463, 'Class Def. - General Data'!$C$20:$C$1000,1,false)</f>
        <v>ZFG1_WETWIPES</v>
      </c>
      <c r="H2463" s="63" t="str">
        <f>IFERROR(__xludf.DUMMYFUNCTION("VLOOKUP(F2463, IMPORTRANGE(""https://docs.google.com/spreadsheets/d/1Lhp9OU0JdFf_VYSMzH5lBcEaU4o8teT1piV-SNzShjg/edit?gid=554141278#gid=554141278"", ""'Char Def. - Attributes'!C20:C2242""), 1,false)"),"UNIT_PER_CTN")</f>
        <v>UNIT_PER_CTN</v>
      </c>
      <c r="I2463" s="136"/>
    </row>
    <row r="2464" ht="15.75" customHeight="1">
      <c r="A2464" s="59"/>
      <c r="B2464" s="63">
        <f t="shared" si="1"/>
        <v>13</v>
      </c>
      <c r="C2464" s="134" t="s">
        <v>144</v>
      </c>
      <c r="D2464" s="134" t="s">
        <v>74</v>
      </c>
      <c r="E2464" s="135">
        <f t="shared" si="58"/>
        <v>18</v>
      </c>
      <c r="F2464" s="134" t="s">
        <v>3615</v>
      </c>
      <c r="G2464" s="63" t="str">
        <f>VLOOKUP(C2464, 'Class Def. - General Data'!$C$20:$C$1000,1,false)</f>
        <v>ZFG1_WETWIPES</v>
      </c>
      <c r="H2464" s="63" t="str">
        <f>IFERROR(__xludf.DUMMYFUNCTION("VLOOKUP(F2464, IMPORTRANGE(""https://docs.google.com/spreadsheets/d/1Lhp9OU0JdFf_VYSMzH5lBcEaU4o8teT1piV-SNzShjg/edit?gid=554141278#gid=554141278"", ""'Char Def. - Attributes'!C20:C2242""), 1,false)"),"UNIT_PER_BAG")</f>
        <v>UNIT_PER_BAG</v>
      </c>
      <c r="I2464" s="136"/>
    </row>
    <row r="2465" ht="15.75" customHeight="1">
      <c r="A2465" s="59"/>
      <c r="B2465" s="63">
        <f t="shared" si="1"/>
        <v>13</v>
      </c>
      <c r="C2465" s="134" t="s">
        <v>144</v>
      </c>
      <c r="D2465" s="134" t="s">
        <v>74</v>
      </c>
      <c r="E2465" s="135">
        <f t="shared" si="58"/>
        <v>19</v>
      </c>
      <c r="F2465" s="134" t="s">
        <v>3616</v>
      </c>
      <c r="G2465" s="63" t="str">
        <f>VLOOKUP(C2465, 'Class Def. - General Data'!$C$20:$C$1000,1,false)</f>
        <v>ZFG1_WETWIPES</v>
      </c>
      <c r="H2465" s="63" t="str">
        <f>IFERROR(__xludf.DUMMYFUNCTION("VLOOKUP(F2465, IMPORTRANGE(""https://docs.google.com/spreadsheets/d/1Lhp9OU0JdFf_VYSMzH5lBcEaU4o8teT1piV-SNzShjg/edit?gid=554141278#gid=554141278"", ""'Char Def. - Attributes'!C20:C2242""), 1,false)"),"UNIT_PER_PAL")</f>
        <v>UNIT_PER_PAL</v>
      </c>
      <c r="I2465" s="136"/>
    </row>
    <row r="2466" ht="15.75" customHeight="1">
      <c r="A2466" s="59"/>
      <c r="B2466" s="63">
        <f t="shared" si="1"/>
        <v>13</v>
      </c>
      <c r="C2466" s="134" t="s">
        <v>144</v>
      </c>
      <c r="D2466" s="134" t="s">
        <v>74</v>
      </c>
      <c r="E2466" s="135">
        <f t="shared" si="58"/>
        <v>20</v>
      </c>
      <c r="F2466" s="134" t="s">
        <v>3617</v>
      </c>
      <c r="G2466" s="63" t="str">
        <f>VLOOKUP(C2466, 'Class Def. - General Data'!$C$20:$C$1000,1,false)</f>
        <v>ZFG1_WETWIPES</v>
      </c>
      <c r="H2466" s="63" t="str">
        <f>IFERROR(__xludf.DUMMYFUNCTION("VLOOKUP(F2466, IMPORTRANGE(""https://docs.google.com/spreadsheets/d/1Lhp9OU0JdFf_VYSMzH5lBcEaU4o8teT1piV-SNzShjg/edit?gid=554141278#gid=554141278"", ""'Char Def. - Attributes'!C20:C2242""), 1,false)"),"UNIT_PER_TIER")</f>
        <v>UNIT_PER_TIER</v>
      </c>
      <c r="I2466" s="136"/>
    </row>
    <row r="2467" ht="15.75" customHeight="1">
      <c r="A2467" s="59"/>
      <c r="B2467" s="63">
        <f t="shared" si="1"/>
        <v>13</v>
      </c>
      <c r="C2467" s="134" t="s">
        <v>144</v>
      </c>
      <c r="D2467" s="134" t="s">
        <v>74</v>
      </c>
      <c r="E2467" s="135">
        <f t="shared" si="58"/>
        <v>21</v>
      </c>
      <c r="F2467" s="134" t="s">
        <v>3618</v>
      </c>
      <c r="G2467" s="63" t="str">
        <f>VLOOKUP(C2467, 'Class Def. - General Data'!$C$20:$C$1000,1,false)</f>
        <v>ZFG1_WETWIPES</v>
      </c>
      <c r="H2467" s="63" t="str">
        <f>IFERROR(__xludf.DUMMYFUNCTION("VLOOKUP(F2467, IMPORTRANGE(""https://docs.google.com/spreadsheets/d/1Lhp9OU0JdFf_VYSMzH5lBcEaU4o8teT1piV-SNzShjg/edit?gid=554141278#gid=554141278"", ""'Char Def. - Attributes'!C20:C2242""), 1,false)"),"HEIGHT")</f>
        <v>HEIGHT</v>
      </c>
      <c r="I2467" s="136"/>
    </row>
    <row r="2468" ht="15.75" customHeight="1">
      <c r="A2468" s="59"/>
      <c r="B2468" s="63">
        <f t="shared" si="1"/>
        <v>13</v>
      </c>
      <c r="C2468" s="134" t="s">
        <v>144</v>
      </c>
      <c r="D2468" s="134" t="s">
        <v>74</v>
      </c>
      <c r="E2468" s="135">
        <f t="shared" si="58"/>
        <v>22</v>
      </c>
      <c r="F2468" s="134" t="s">
        <v>3587</v>
      </c>
      <c r="G2468" s="63" t="str">
        <f>VLOOKUP(C2468, 'Class Def. - General Data'!$C$20:$C$1000,1,false)</f>
        <v>ZFG1_WETWIPES</v>
      </c>
      <c r="H2468" s="63" t="str">
        <f>IFERROR(__xludf.DUMMYFUNCTION("VLOOKUP(F2468, IMPORTRANGE(""https://docs.google.com/spreadsheets/d/1Lhp9OU0JdFf_VYSMzH5lBcEaU4o8teT1piV-SNzShjg/edit?gid=554141278#gid=554141278"", ""'Char Def. - Attributes'!C20:C2242""), 1,false)"),"PLANT_BUY")</f>
        <v>PLANT_BUY</v>
      </c>
      <c r="I2468" s="136"/>
    </row>
    <row r="2469" ht="15.75" customHeight="1">
      <c r="A2469" s="59"/>
      <c r="B2469" s="63">
        <f t="shared" si="1"/>
        <v>13</v>
      </c>
      <c r="C2469" s="134" t="s">
        <v>144</v>
      </c>
      <c r="D2469" s="134" t="s">
        <v>74</v>
      </c>
      <c r="E2469" s="135">
        <f t="shared" si="58"/>
        <v>23</v>
      </c>
      <c r="F2469" s="134" t="s">
        <v>3619</v>
      </c>
      <c r="G2469" s="63" t="str">
        <f>VLOOKUP(C2469, 'Class Def. - General Data'!$C$20:$C$1000,1,false)</f>
        <v>ZFG1_WETWIPES</v>
      </c>
      <c r="H2469" s="63" t="str">
        <f>IFERROR(__xludf.DUMMYFUNCTION("VLOOKUP(F2469, IMPORTRANGE(""https://docs.google.com/spreadsheets/d/1Lhp9OU0JdFf_VYSMzH5lBcEaU4o8teT1piV-SNzShjg/edit?gid=554141278#gid=554141278"", ""'Char Def. - Attributes'!C20:C2242""), 1,false)"),"LENGTH")</f>
        <v>LENGTH</v>
      </c>
      <c r="I2469" s="136"/>
    </row>
    <row r="2470" ht="15.75" customHeight="1">
      <c r="A2470" s="59"/>
      <c r="B2470" s="63">
        <f t="shared" si="1"/>
        <v>13</v>
      </c>
      <c r="C2470" s="134" t="s">
        <v>144</v>
      </c>
      <c r="D2470" s="134" t="s">
        <v>74</v>
      </c>
      <c r="E2470" s="135">
        <f t="shared" si="58"/>
        <v>24</v>
      </c>
      <c r="F2470" s="134" t="s">
        <v>3586</v>
      </c>
      <c r="G2470" s="63" t="str">
        <f>VLOOKUP(C2470, 'Class Def. - General Data'!$C$20:$C$1000,1,false)</f>
        <v>ZFG1_WETWIPES</v>
      </c>
      <c r="H2470" s="63" t="str">
        <f>IFERROR(__xludf.DUMMYFUNCTION("VLOOKUP(F2470, IMPORTRANGE(""https://docs.google.com/spreadsheets/d/1Lhp9OU0JdFf_VYSMzH5lBcEaU4o8teT1piV-SNzShjg/edit?gid=554141278#gid=554141278"", ""'Char Def. - Attributes'!C20:C2242""), 1,false)"),"PLANT_PROD")</f>
        <v>PLANT_PROD</v>
      </c>
      <c r="I2470" s="136"/>
    </row>
    <row r="2471" ht="15.75" customHeight="1">
      <c r="A2471" s="59"/>
      <c r="B2471" s="63">
        <f t="shared" si="1"/>
        <v>13</v>
      </c>
      <c r="C2471" s="134" t="s">
        <v>144</v>
      </c>
      <c r="D2471" s="134" t="s">
        <v>74</v>
      </c>
      <c r="E2471" s="135">
        <f t="shared" si="58"/>
        <v>25</v>
      </c>
      <c r="F2471" s="134" t="s">
        <v>3620</v>
      </c>
      <c r="G2471" s="63" t="str">
        <f>VLOOKUP(C2471, 'Class Def. - General Data'!$C$20:$C$1000,1,false)</f>
        <v>ZFG1_WETWIPES</v>
      </c>
      <c r="H2471" s="63" t="str">
        <f>IFERROR(__xludf.DUMMYFUNCTION("VLOOKUP(F2471, IMPORTRANGE(""https://docs.google.com/spreadsheets/d/1Lhp9OU0JdFf_VYSMzH5lBcEaU4o8teT1piV-SNzShjg/edit?gid=554141278#gid=554141278"", ""'Char Def. - Attributes'!C20:C2242""), 1,false)"),"WIDTH")</f>
        <v>WIDTH</v>
      </c>
      <c r="I2471" s="136"/>
    </row>
    <row r="2472" ht="15.75" customHeight="1">
      <c r="A2472" s="59"/>
      <c r="B2472" s="63">
        <f t="shared" si="1"/>
        <v>13</v>
      </c>
      <c r="C2472" s="134" t="s">
        <v>144</v>
      </c>
      <c r="D2472" s="134" t="s">
        <v>74</v>
      </c>
      <c r="E2472" s="135">
        <f t="shared" si="58"/>
        <v>26</v>
      </c>
      <c r="F2472" s="134" t="s">
        <v>3585</v>
      </c>
      <c r="G2472" s="63" t="str">
        <f>VLOOKUP(C2472, 'Class Def. - General Data'!$C$20:$C$1000,1,false)</f>
        <v>ZFG1_WETWIPES</v>
      </c>
      <c r="H2472" s="63" t="str">
        <f>IFERROR(__xludf.DUMMYFUNCTION("VLOOKUP(F2472, IMPORTRANGE(""https://docs.google.com/spreadsheets/d/1Lhp9OU0JdFf_VYSMzH5lBcEaU4o8teT1piV-SNzShjg/edit?gid=554141278#gid=554141278"", ""'Char Def. - Attributes'!C20:C2242""), 1,false)"),"HS_CODE")</f>
        <v>HS_CODE</v>
      </c>
      <c r="I2472" s="136"/>
    </row>
    <row r="2473" ht="15.75" customHeight="1">
      <c r="A2473" s="59"/>
      <c r="B2473" s="63">
        <f t="shared" si="1"/>
        <v>13</v>
      </c>
      <c r="C2473" s="134" t="s">
        <v>144</v>
      </c>
      <c r="D2473" s="134" t="s">
        <v>74</v>
      </c>
      <c r="E2473" s="135">
        <f t="shared" si="58"/>
        <v>27</v>
      </c>
      <c r="F2473" s="134" t="s">
        <v>3621</v>
      </c>
      <c r="G2473" s="63" t="str">
        <f>VLOOKUP(C2473, 'Class Def. - General Data'!$C$20:$C$1000,1,false)</f>
        <v>ZFG1_WETWIPES</v>
      </c>
      <c r="H2473" s="63" t="str">
        <f>IFERROR(__xludf.DUMMYFUNCTION("VLOOKUP(F2473, IMPORTRANGE(""https://docs.google.com/spreadsheets/d/1Lhp9OU0JdFf_VYSMzH5lBcEaU4o8teT1piV-SNzShjg/edit?gid=554141278#gid=554141278"", ""'Char Def. - Attributes'!C20:C2242""), 1,false)"),"EAN_PCS")</f>
        <v>EAN_PCS</v>
      </c>
      <c r="I2473" s="136"/>
    </row>
    <row r="2474" ht="15.75" customHeight="1">
      <c r="A2474" s="59"/>
      <c r="B2474" s="63">
        <f t="shared" si="1"/>
        <v>13</v>
      </c>
      <c r="C2474" s="134" t="s">
        <v>144</v>
      </c>
      <c r="D2474" s="134" t="s">
        <v>74</v>
      </c>
      <c r="E2474" s="135">
        <f t="shared" si="58"/>
        <v>28</v>
      </c>
      <c r="F2474" s="134" t="s">
        <v>3622</v>
      </c>
      <c r="G2474" s="63" t="str">
        <f>VLOOKUP(C2474, 'Class Def. - General Data'!$C$20:$C$1000,1,false)</f>
        <v>ZFG1_WETWIPES</v>
      </c>
      <c r="H2474" s="63" t="str">
        <f>IFERROR(__xludf.DUMMYFUNCTION("VLOOKUP(F2474, IMPORTRANGE(""https://docs.google.com/spreadsheets/d/1Lhp9OU0JdFf_VYSMzH5lBcEaU4o8teT1piV-SNzShjg/edit?gid=554141278#gid=554141278"", ""'Char Def. - Attributes'!C20:C2242""), 1,false)"),"SFG_BRAND")</f>
        <v>SFG_BRAND</v>
      </c>
      <c r="I2474" s="136"/>
    </row>
    <row r="2475" ht="15.75" customHeight="1">
      <c r="A2475" s="59"/>
      <c r="B2475" s="63">
        <f t="shared" si="1"/>
        <v>13</v>
      </c>
      <c r="C2475" s="134" t="s">
        <v>144</v>
      </c>
      <c r="D2475" s="134" t="s">
        <v>74</v>
      </c>
      <c r="E2475" s="135">
        <f t="shared" si="58"/>
        <v>29</v>
      </c>
      <c r="F2475" s="134" t="s">
        <v>3623</v>
      </c>
      <c r="G2475" s="63" t="str">
        <f>VLOOKUP(C2475, 'Class Def. - General Data'!$C$20:$C$1000,1,false)</f>
        <v>ZFG1_WETWIPES</v>
      </c>
      <c r="H2475" s="63" t="str">
        <f>IFERROR(__xludf.DUMMYFUNCTION("VLOOKUP(F2475, IMPORTRANGE(""https://docs.google.com/spreadsheets/d/1Lhp9OU0JdFf_VYSMzH5lBcEaU4o8teT1piV-SNzShjg/edit?gid=554141278#gid=554141278"", ""'Char Def. - Attributes'!C20:C2242""), 1,false)"),"LANGUAGE")</f>
        <v>LANGUAGE</v>
      </c>
      <c r="I2475" s="136"/>
    </row>
    <row r="2476" ht="15.75" customHeight="1">
      <c r="A2476" s="59"/>
      <c r="B2476" s="63">
        <f t="shared" si="1"/>
        <v>13</v>
      </c>
      <c r="C2476" s="139" t="s">
        <v>144</v>
      </c>
      <c r="D2476" s="139" t="s">
        <v>74</v>
      </c>
      <c r="E2476" s="140">
        <f t="shared" si="58"/>
        <v>30</v>
      </c>
      <c r="F2476" s="134" t="s">
        <v>3624</v>
      </c>
      <c r="G2476" s="63" t="str">
        <f>VLOOKUP(C2476, 'Class Def. - General Data'!$C$20:$C$1000,1,false)</f>
        <v>ZFG1_WETWIPES</v>
      </c>
      <c r="H2476" s="63" t="str">
        <f>IFERROR(__xludf.DUMMYFUNCTION("VLOOKUP(F2476, IMPORTRANGE(""https://docs.google.com/spreadsheets/d/1Lhp9OU0JdFf_VYSMzH5lBcEaU4o8teT1piV-SNzShjg/edit?gid=554141278#gid=554141278"", ""'Char Def. - Attributes'!C20:C2242""), 1,false)"),"#N/A")</f>
        <v>#N/A</v>
      </c>
      <c r="I2476" s="136"/>
    </row>
    <row r="2477" ht="15.75" customHeight="1">
      <c r="A2477" s="59"/>
      <c r="B2477" s="63">
        <f t="shared" si="1"/>
        <v>13</v>
      </c>
      <c r="C2477" s="134" t="s">
        <v>144</v>
      </c>
      <c r="D2477" s="134" t="s">
        <v>74</v>
      </c>
      <c r="E2477" s="135">
        <f t="shared" si="58"/>
        <v>31</v>
      </c>
      <c r="F2477" s="134" t="s">
        <v>3625</v>
      </c>
      <c r="G2477" s="63" t="str">
        <f>VLOOKUP(C2477, 'Class Def. - General Data'!$C$20:$C$1000,1,false)</f>
        <v>ZFG1_WETWIPES</v>
      </c>
      <c r="H2477" s="63" t="str">
        <f>IFERROR(__xludf.DUMMYFUNCTION("VLOOKUP(F2477, IMPORTRANGE(""https://docs.google.com/spreadsheets/d/1Lhp9OU0JdFf_VYSMzH5lBcEaU4o8teT1piV-SNzShjg/edit?gid=554141278#gid=554141278"", ""'Char Def. - Attributes'!C20:C2242""), 1,false)"),"REGION_EKSPOR")</f>
        <v>REGION_EKSPOR</v>
      </c>
      <c r="I2477" s="136"/>
    </row>
    <row r="2478" ht="15.75" customHeight="1">
      <c r="A2478" s="59"/>
      <c r="B2478" s="63">
        <f t="shared" si="1"/>
        <v>13</v>
      </c>
      <c r="C2478" s="134" t="s">
        <v>144</v>
      </c>
      <c r="D2478" s="134" t="s">
        <v>74</v>
      </c>
      <c r="E2478" s="135">
        <f t="shared" si="58"/>
        <v>32</v>
      </c>
      <c r="F2478" s="134" t="s">
        <v>3626</v>
      </c>
      <c r="G2478" s="63" t="str">
        <f>VLOOKUP(C2478, 'Class Def. - General Data'!$C$20:$C$1000,1,false)</f>
        <v>ZFG1_WETWIPES</v>
      </c>
      <c r="H2478" s="63" t="str">
        <f>IFERROR(__xludf.DUMMYFUNCTION("VLOOKUP(F2478, IMPORTRANGE(""https://docs.google.com/spreadsheets/d/1Lhp9OU0JdFf_VYSMzH5lBcEaU4o8teT1piV-SNzShjg/edit?gid=554141278#gid=554141278"", ""'Char Def. - Attributes'!C20:C2242""), 1,false)"),"STICKER_NOT")</f>
        <v>STICKER_NOT</v>
      </c>
      <c r="I2478" s="136"/>
    </row>
    <row r="2479" ht="15.75" customHeight="1">
      <c r="A2479" s="59"/>
      <c r="B2479" s="63">
        <f t="shared" si="1"/>
        <v>13</v>
      </c>
      <c r="C2479" s="134" t="s">
        <v>144</v>
      </c>
      <c r="D2479" s="134" t="s">
        <v>74</v>
      </c>
      <c r="E2479" s="135">
        <f t="shared" si="58"/>
        <v>33</v>
      </c>
      <c r="F2479" s="134" t="s">
        <v>3627</v>
      </c>
      <c r="G2479" s="63" t="str">
        <f>VLOOKUP(C2479, 'Class Def. - General Data'!$C$20:$C$1000,1,false)</f>
        <v>ZFG1_WETWIPES</v>
      </c>
      <c r="H2479" s="63" t="str">
        <f>IFERROR(__xludf.DUMMYFUNCTION("VLOOKUP(F2479, IMPORTRANGE(""https://docs.google.com/spreadsheets/d/1Lhp9OU0JdFf_VYSMzH5lBcEaU4o8teT1piV-SNzShjg/edit?gid=554141278#gid=554141278"", ""'Char Def. - Attributes'!C20:C2242""), 1,false)"),"SHIP_MARK")</f>
        <v>SHIP_MARK</v>
      </c>
      <c r="I2479" s="136"/>
    </row>
    <row r="2480" ht="15.75" customHeight="1">
      <c r="A2480" s="59"/>
      <c r="B2480" s="63">
        <f t="shared" si="1"/>
        <v>13</v>
      </c>
      <c r="C2480" s="134" t="s">
        <v>144</v>
      </c>
      <c r="D2480" s="134" t="s">
        <v>74</v>
      </c>
      <c r="E2480" s="135">
        <f t="shared" si="58"/>
        <v>34</v>
      </c>
      <c r="F2480" s="134" t="s">
        <v>3628</v>
      </c>
      <c r="G2480" s="63" t="str">
        <f>VLOOKUP(C2480, 'Class Def. - General Data'!$C$20:$C$1000,1,false)</f>
        <v>ZFG1_WETWIPES</v>
      </c>
      <c r="H2480" s="63" t="str">
        <f>IFERROR(__xludf.DUMMYFUNCTION("VLOOKUP(F2480, IMPORTRANGE(""https://docs.google.com/spreadsheets/d/1Lhp9OU0JdFf_VYSMzH5lBcEaU4o8teT1piV-SNzShjg/edit?gid=554141278#gid=554141278"", ""'Char Def. - Attributes'!C20:C2242""), 1,false)"),"MID_CORE")</f>
        <v>MID_CORE</v>
      </c>
      <c r="I2480" s="136"/>
    </row>
    <row r="2481" ht="15.75" customHeight="1">
      <c r="A2481" s="59"/>
      <c r="B2481" s="63">
        <f t="shared" si="1"/>
        <v>13</v>
      </c>
      <c r="C2481" s="134" t="s">
        <v>144</v>
      </c>
      <c r="D2481" s="134" t="s">
        <v>74</v>
      </c>
      <c r="E2481" s="135">
        <f t="shared" si="58"/>
        <v>35</v>
      </c>
      <c r="F2481" s="134" t="s">
        <v>3629</v>
      </c>
      <c r="G2481" s="63" t="str">
        <f>VLOOKUP(C2481, 'Class Def. - General Data'!$C$20:$C$1000,1,false)</f>
        <v>ZFG1_WETWIPES</v>
      </c>
      <c r="H2481" s="63" t="str">
        <f>IFERROR(__xludf.DUMMYFUNCTION("VLOOKUP(F2481, IMPORTRANGE(""https://docs.google.com/spreadsheets/d/1Lhp9OU0JdFf_VYSMzH5lBcEaU4o8teT1piV-SNzShjg/edit?gid=554141278#gid=554141278"", ""'Char Def. - Attributes'!C20:C2242""), 1,false)"),"EAN_CTN")</f>
        <v>EAN_CTN</v>
      </c>
      <c r="I2481" s="136"/>
    </row>
    <row r="2482" ht="15.75" customHeight="1">
      <c r="A2482" s="59"/>
      <c r="B2482" s="63">
        <f t="shared" si="1"/>
        <v>13</v>
      </c>
      <c r="C2482" s="134" t="s">
        <v>144</v>
      </c>
      <c r="D2482" s="134" t="s">
        <v>74</v>
      </c>
      <c r="E2482" s="135">
        <f t="shared" si="58"/>
        <v>36</v>
      </c>
      <c r="F2482" s="134" t="s">
        <v>3630</v>
      </c>
      <c r="G2482" s="63" t="str">
        <f>VLOOKUP(C2482, 'Class Def. - General Data'!$C$20:$C$1000,1,false)</f>
        <v>ZFG1_WETWIPES</v>
      </c>
      <c r="H2482" s="63" t="str">
        <f>IFERROR(__xludf.DUMMYFUNCTION("VLOOKUP(F2482, IMPORTRANGE(""https://docs.google.com/spreadsheets/d/1Lhp9OU0JdFf_VYSMzH5lBcEaU4o8teT1piV-SNzShjg/edit?gid=554141278#gid=554141278"", ""'Char Def. - Attributes'!C20:C2242""), 1,false)"),"EAN_BOX")</f>
        <v>EAN_BOX</v>
      </c>
      <c r="I2482" s="136"/>
    </row>
    <row r="2483" ht="15.75" customHeight="1">
      <c r="A2483" s="66"/>
      <c r="B2483" s="63">
        <f t="shared" si="1"/>
        <v>13</v>
      </c>
      <c r="C2483" s="134" t="s">
        <v>144</v>
      </c>
      <c r="D2483" s="141" t="s">
        <v>74</v>
      </c>
      <c r="E2483" s="135">
        <v>22.0</v>
      </c>
      <c r="F2483" s="135" t="s">
        <v>3603</v>
      </c>
      <c r="G2483" s="63" t="str">
        <f>VLOOKUP(C2483, 'Class Def. - General Data'!$C$20:$C$1000,1,false)</f>
        <v>ZFG1_WETWIPES</v>
      </c>
      <c r="I2483" s="136"/>
    </row>
    <row r="2484" ht="15.75" customHeight="1">
      <c r="A2484" s="66"/>
      <c r="B2484" s="63">
        <f t="shared" si="1"/>
        <v>16</v>
      </c>
      <c r="C2484" s="134" t="s">
        <v>147</v>
      </c>
      <c r="D2484" s="134" t="s">
        <v>74</v>
      </c>
      <c r="E2484" s="135">
        <f t="shared" ref="E2484:E7025" si="59">COUNTIF($C$20:C2484,C2484)</f>
        <v>1</v>
      </c>
      <c r="F2484" s="134" t="s">
        <v>3777</v>
      </c>
      <c r="G2484" s="63" t="str">
        <f>VLOOKUP(C2484, 'Class Def. - General Data'!$C$20:$C$1000,1,false)</f>
        <v>ZPI1_ACC_PAKAIAN</v>
      </c>
      <c r="H2484" s="63" t="str">
        <f>IFERROR(__xludf.DUMMYFUNCTION("VLOOKUP(F2484, IMPORTRANGE(""https://docs.google.com/spreadsheets/d/1Lhp9OU0JdFf_VYSMzH5lBcEaU4o8teT1piV-SNzShjg/edit?gid=554141278#gid=554141278"", ""'Char Def. - Attributes'!C20:C2242""), 1,false)"),"ITEM_NAME_ACC_PAKAIAN")</f>
        <v>ITEM_NAME_ACC_PAKAIAN</v>
      </c>
      <c r="I2484" s="136"/>
    </row>
    <row r="2485" ht="15.75" customHeight="1">
      <c r="A2485" s="66"/>
      <c r="B2485" s="63">
        <f t="shared" si="1"/>
        <v>16</v>
      </c>
      <c r="C2485" s="134" t="s">
        <v>147</v>
      </c>
      <c r="D2485" s="134" t="s">
        <v>74</v>
      </c>
      <c r="E2485" s="135">
        <f t="shared" si="59"/>
        <v>2</v>
      </c>
      <c r="F2485" s="134" t="s">
        <v>3778</v>
      </c>
      <c r="G2485" s="63" t="str">
        <f>VLOOKUP(C2485, 'Class Def. - General Data'!$C$20:$C$1000,1,false)</f>
        <v>ZPI1_ACC_PAKAIAN</v>
      </c>
      <c r="H2485" s="63" t="str">
        <f>IFERROR(__xludf.DUMMYFUNCTION("VLOOKUP(F2485, IMPORTRANGE(""https://docs.google.com/spreadsheets/d/1Lhp9OU0JdFf_VYSMzH5lBcEaU4o8teT1piV-SNzShjg/edit?gid=554141278#gid=554141278"", ""'Char Def. - Attributes'!C20:C2242""), 1,false)"),"SPECIAL_ACTIVITY")</f>
        <v>SPECIAL_ACTIVITY</v>
      </c>
      <c r="I2485" s="136"/>
    </row>
    <row r="2486" ht="15.75" customHeight="1">
      <c r="A2486" s="66"/>
      <c r="B2486" s="63">
        <f t="shared" si="1"/>
        <v>16</v>
      </c>
      <c r="C2486" s="134" t="s">
        <v>147</v>
      </c>
      <c r="D2486" s="134" t="s">
        <v>74</v>
      </c>
      <c r="E2486" s="135">
        <f t="shared" si="59"/>
        <v>3</v>
      </c>
      <c r="F2486" s="135" t="s">
        <v>3779</v>
      </c>
      <c r="G2486" s="63" t="str">
        <f>VLOOKUP(C2486, 'Class Def. - General Data'!$C$20:$C$1000,1,false)</f>
        <v>ZPI1_ACC_PAKAIAN</v>
      </c>
      <c r="H2486" s="63" t="str">
        <f>IFERROR(__xludf.DUMMYFUNCTION("VLOOKUP(F2486, IMPORTRANGE(""https://docs.google.com/spreadsheets/d/1Lhp9OU0JdFf_VYSMzH5lBcEaU4o8teT1piV-SNzShjg/edit?gid=554141278#gid=554141278"", ""'Char Def. - Attributes'!C20:C2242""), 1,false)"),"EMBOSSED_BRAND_WINGS")</f>
        <v>EMBOSSED_BRAND_WINGS</v>
      </c>
      <c r="I2486" s="136"/>
    </row>
    <row r="2487" ht="15.75" customHeight="1">
      <c r="A2487" s="66"/>
      <c r="B2487" s="63">
        <f t="shared" si="1"/>
        <v>16</v>
      </c>
      <c r="C2487" s="134" t="s">
        <v>147</v>
      </c>
      <c r="D2487" s="134" t="s">
        <v>74</v>
      </c>
      <c r="E2487" s="135">
        <f t="shared" si="59"/>
        <v>4</v>
      </c>
      <c r="F2487" s="135" t="s">
        <v>3780</v>
      </c>
      <c r="G2487" s="63" t="str">
        <f>VLOOKUP(C2487, 'Class Def. - General Data'!$C$20:$C$1000,1,false)</f>
        <v>ZPI1_ACC_PAKAIAN</v>
      </c>
      <c r="H2487" s="63" t="str">
        <f>IFERROR(__xludf.DUMMYFUNCTION("VLOOKUP(F2487, IMPORTRANGE(""https://docs.google.com/spreadsheets/d/1Lhp9OU0JdFf_VYSMzH5lBcEaU4o8teT1piV-SNzShjg/edit?gid=554141278#gid=554141278"", ""'Char Def. - Attributes'!C20:C2242""), 1,false)"),"BRAND_WINGS_SIPI")</f>
        <v>BRAND_WINGS_SIPI</v>
      </c>
      <c r="I2487" s="136"/>
    </row>
    <row r="2488" ht="15.75" customHeight="1">
      <c r="A2488" s="66"/>
      <c r="B2488" s="63">
        <f t="shared" si="1"/>
        <v>16</v>
      </c>
      <c r="C2488" s="134" t="s">
        <v>147</v>
      </c>
      <c r="D2488" s="134" t="s">
        <v>74</v>
      </c>
      <c r="E2488" s="135">
        <f t="shared" si="59"/>
        <v>5</v>
      </c>
      <c r="F2488" s="134" t="s">
        <v>3781</v>
      </c>
      <c r="G2488" s="63" t="str">
        <f>VLOOKUP(C2488, 'Class Def. - General Data'!$C$20:$C$1000,1,false)</f>
        <v>ZPI1_ACC_PAKAIAN</v>
      </c>
      <c r="H2488" s="63" t="str">
        <f>IFERROR(__xludf.DUMMYFUNCTION("VLOOKUP(F2488, IMPORTRANGE(""https://docs.google.com/spreadsheets/d/1Lhp9OU0JdFf_VYSMzH5lBcEaU4o8teT1piV-SNzShjg/edit?gid=554141278#gid=554141278"", ""'Char Def. - Attributes'!C20:C2242""), 1,false)"),"EXTERNAL_BRAND")</f>
        <v>EXTERNAL_BRAND</v>
      </c>
      <c r="I2488" s="136"/>
    </row>
    <row r="2489" ht="15.75" customHeight="1">
      <c r="B2489" s="63">
        <f t="shared" si="1"/>
        <v>16</v>
      </c>
      <c r="C2489" s="134" t="s">
        <v>147</v>
      </c>
      <c r="D2489" s="134" t="s">
        <v>74</v>
      </c>
      <c r="E2489" s="135">
        <f t="shared" si="59"/>
        <v>6</v>
      </c>
      <c r="F2489" s="134" t="s">
        <v>3782</v>
      </c>
      <c r="G2489" s="63" t="str">
        <f>VLOOKUP(C2489, 'Class Def. - General Data'!$C$20:$C$1000,1,false)</f>
        <v>ZPI1_ACC_PAKAIAN</v>
      </c>
      <c r="H2489" s="63" t="str">
        <f>IFERROR(__xludf.DUMMYFUNCTION("VLOOKUP(F2489, IMPORTRANGE(""https://docs.google.com/spreadsheets/d/1Lhp9OU0JdFf_VYSMzH5lBcEaU4o8teT1piV-SNzShjg/edit?gid=554141278#gid=554141278"", ""'Char Def. - Attributes'!C20:C2242""), 1,false)"),"BRAND_EXTERNAL")</f>
        <v>BRAND_EXTERNAL</v>
      </c>
      <c r="I2489" s="136"/>
    </row>
    <row r="2490" ht="15.75" customHeight="1">
      <c r="B2490" s="63">
        <f t="shared" si="1"/>
        <v>16</v>
      </c>
      <c r="C2490" s="134" t="s">
        <v>147</v>
      </c>
      <c r="D2490" s="134" t="s">
        <v>74</v>
      </c>
      <c r="E2490" s="135">
        <f t="shared" si="59"/>
        <v>7</v>
      </c>
      <c r="F2490" s="134" t="s">
        <v>3783</v>
      </c>
      <c r="G2490" s="63" t="str">
        <f>VLOOKUP(C2490, 'Class Def. - General Data'!$C$20:$C$1000,1,false)</f>
        <v>ZPI1_ACC_PAKAIAN</v>
      </c>
      <c r="H2490" s="63" t="str">
        <f>IFERROR(__xludf.DUMMYFUNCTION("VLOOKUP(F2490, IMPORTRANGE(""https://docs.google.com/spreadsheets/d/1Lhp9OU0JdFf_VYSMzH5lBcEaU4o8teT1piV-SNzShjg/edit?gid=554141278#gid=554141278"", ""'Char Def. - Attributes'!C20:C2242""), 1,false)"),"NO_SERI_BRAND_EXTERNAL")</f>
        <v>NO_SERI_BRAND_EXTERNAL</v>
      </c>
      <c r="I2490" s="136"/>
    </row>
    <row r="2491" ht="15.75" customHeight="1">
      <c r="B2491" s="63">
        <f t="shared" si="1"/>
        <v>16</v>
      </c>
      <c r="C2491" s="134" t="s">
        <v>147</v>
      </c>
      <c r="D2491" s="134" t="s">
        <v>74</v>
      </c>
      <c r="E2491" s="135">
        <f t="shared" si="59"/>
        <v>8</v>
      </c>
      <c r="F2491" s="134" t="s">
        <v>3784</v>
      </c>
      <c r="G2491" s="63" t="str">
        <f>VLOOKUP(C2491, 'Class Def. - General Data'!$C$20:$C$1000,1,false)</f>
        <v>ZPI1_ACC_PAKAIAN</v>
      </c>
      <c r="H2491" s="63" t="str">
        <f>IFERROR(__xludf.DUMMYFUNCTION("VLOOKUP(F2491, IMPORTRANGE(""https://docs.google.com/spreadsheets/d/1Lhp9OU0JdFf_VYSMzH5lBcEaU4o8teT1piV-SNzShjg/edit?gid=554141278#gid=554141278"", ""'Char Def. - Attributes'!C20:C2242""), 1,false)"),"MATERIAL_ACC_PAKAIAN")</f>
        <v>MATERIAL_ACC_PAKAIAN</v>
      </c>
      <c r="I2491" s="136"/>
    </row>
    <row r="2492" ht="15.75" customHeight="1">
      <c r="B2492" s="63">
        <f t="shared" si="1"/>
        <v>16</v>
      </c>
      <c r="C2492" s="134" t="s">
        <v>147</v>
      </c>
      <c r="D2492" s="134" t="s">
        <v>74</v>
      </c>
      <c r="E2492" s="135">
        <f t="shared" si="59"/>
        <v>9</v>
      </c>
      <c r="F2492" s="134" t="s">
        <v>3785</v>
      </c>
      <c r="G2492" s="63" t="str">
        <f>VLOOKUP(C2492, 'Class Def. - General Data'!$C$20:$C$1000,1,false)</f>
        <v>ZPI1_ACC_PAKAIAN</v>
      </c>
      <c r="H2492" s="63" t="str">
        <f>IFERROR(__xludf.DUMMYFUNCTION("VLOOKUP(F2492, IMPORTRANGE(""https://docs.google.com/spreadsheets/d/1Lhp9OU0JdFf_VYSMzH5lBcEaU4o8teT1piV-SNzShjg/edit?gid=554141278#gid=554141278"", ""'Char Def. - Attributes'!C20:C2242""), 1,false)"),"ITEM_SHAPE")</f>
        <v>ITEM_SHAPE</v>
      </c>
      <c r="I2492" s="136"/>
    </row>
    <row r="2493" ht="15.75" customHeight="1">
      <c r="B2493" s="63">
        <f t="shared" si="1"/>
        <v>16</v>
      </c>
      <c r="C2493" s="134" t="s">
        <v>147</v>
      </c>
      <c r="D2493" s="134" t="s">
        <v>74</v>
      </c>
      <c r="E2493" s="135">
        <f t="shared" si="59"/>
        <v>10</v>
      </c>
      <c r="F2493" s="134" t="s">
        <v>3786</v>
      </c>
      <c r="G2493" s="63" t="str">
        <f>VLOOKUP(C2493, 'Class Def. - General Data'!$C$20:$C$1000,1,false)</f>
        <v>ZPI1_ACC_PAKAIAN</v>
      </c>
      <c r="H2493" s="63" t="str">
        <f>IFERROR(__xludf.DUMMYFUNCTION("VLOOKUP(F2493, IMPORTRANGE(""https://docs.google.com/spreadsheets/d/1Lhp9OU0JdFf_VYSMzH5lBcEaU4o8teT1piV-SNzShjg/edit?gid=554141278#gid=554141278"", ""'Char Def. - Attributes'!C20:C2242""), 1,false)"),"SIZE_UNIT_DIMENSI")</f>
        <v>SIZE_UNIT_DIMENSI</v>
      </c>
      <c r="I2493" s="136"/>
    </row>
    <row r="2494" ht="15.75" customHeight="1">
      <c r="B2494" s="63">
        <f t="shared" si="1"/>
        <v>16</v>
      </c>
      <c r="C2494" s="134" t="s">
        <v>147</v>
      </c>
      <c r="D2494" s="134" t="s">
        <v>74</v>
      </c>
      <c r="E2494" s="135">
        <f t="shared" si="59"/>
        <v>11</v>
      </c>
      <c r="F2494" s="135" t="s">
        <v>3787</v>
      </c>
      <c r="G2494" s="63" t="str">
        <f>VLOOKUP(C2494, 'Class Def. - General Data'!$C$20:$C$1000,1,false)</f>
        <v>ZPI1_ACC_PAKAIAN</v>
      </c>
      <c r="H2494" s="63" t="str">
        <f>IFERROR(__xludf.DUMMYFUNCTION("VLOOKUP(F2494, IMPORTRANGE(""https://docs.google.com/spreadsheets/d/1Lhp9OU0JdFf_VYSMzH5lBcEaU4o8teT1piV-SNzShjg/edit?gid=554141278#gid=554141278"", ""'Char Def. - Attributes'!C20:C2242""), 1,false)"),"DIAMETER_PCS")</f>
        <v>DIAMETER_PCS</v>
      </c>
      <c r="I2494" s="136"/>
    </row>
    <row r="2495" ht="15.75" customHeight="1">
      <c r="B2495" s="63">
        <f t="shared" si="1"/>
        <v>16</v>
      </c>
      <c r="C2495" s="134" t="s">
        <v>147</v>
      </c>
      <c r="D2495" s="134" t="s">
        <v>74</v>
      </c>
      <c r="E2495" s="135">
        <f t="shared" si="59"/>
        <v>12</v>
      </c>
      <c r="F2495" s="134" t="s">
        <v>3788</v>
      </c>
      <c r="G2495" s="63" t="str">
        <f>VLOOKUP(C2495, 'Class Def. - General Data'!$C$20:$C$1000,1,false)</f>
        <v>ZPI1_ACC_PAKAIAN</v>
      </c>
      <c r="H2495" s="63" t="str">
        <f>IFERROR(__xludf.DUMMYFUNCTION("VLOOKUP(F2495, IMPORTRANGE(""https://docs.google.com/spreadsheets/d/1Lhp9OU0JdFf_VYSMzH5lBcEaU4o8teT1piV-SNzShjg/edit?gid=554141278#gid=554141278"", ""'Char Def. - Attributes'!C20:C2242""), 1,false)"),"LENGTH_PCS")</f>
        <v>LENGTH_PCS</v>
      </c>
      <c r="I2495" s="136"/>
    </row>
    <row r="2496" ht="15.75" customHeight="1">
      <c r="B2496" s="63">
        <f t="shared" si="1"/>
        <v>16</v>
      </c>
      <c r="C2496" s="134" t="s">
        <v>147</v>
      </c>
      <c r="D2496" s="134" t="s">
        <v>74</v>
      </c>
      <c r="E2496" s="135">
        <f t="shared" si="59"/>
        <v>13</v>
      </c>
      <c r="F2496" s="134" t="s">
        <v>3789</v>
      </c>
      <c r="G2496" s="63" t="str">
        <f>VLOOKUP(C2496, 'Class Def. - General Data'!$C$20:$C$1000,1,false)</f>
        <v>ZPI1_ACC_PAKAIAN</v>
      </c>
      <c r="H2496" s="63" t="str">
        <f>IFERROR(__xludf.DUMMYFUNCTION("VLOOKUP(F2496, IMPORTRANGE(""https://docs.google.com/spreadsheets/d/1Lhp9OU0JdFf_VYSMzH5lBcEaU4o8teT1piV-SNzShjg/edit?gid=554141278#gid=554141278"", ""'Char Def. - Attributes'!C20:C2242""), 1,false)"),"WIDTH_PCS")</f>
        <v>WIDTH_PCS</v>
      </c>
      <c r="I2496" s="136"/>
    </row>
    <row r="2497" ht="15.75" customHeight="1">
      <c r="B2497" s="63">
        <f t="shared" si="1"/>
        <v>16</v>
      </c>
      <c r="C2497" s="134" t="s">
        <v>147</v>
      </c>
      <c r="D2497" s="134" t="s">
        <v>74</v>
      </c>
      <c r="E2497" s="135">
        <f t="shared" si="59"/>
        <v>14</v>
      </c>
      <c r="F2497" s="134" t="s">
        <v>3790</v>
      </c>
      <c r="G2497" s="63" t="str">
        <f>VLOOKUP(C2497, 'Class Def. - General Data'!$C$20:$C$1000,1,false)</f>
        <v>ZPI1_ACC_PAKAIAN</v>
      </c>
      <c r="H2497" s="63" t="str">
        <f>IFERROR(__xludf.DUMMYFUNCTION("VLOOKUP(F2497, IMPORTRANGE(""https://docs.google.com/spreadsheets/d/1Lhp9OU0JdFf_VYSMzH5lBcEaU4o8teT1piV-SNzShjg/edit?gid=554141278#gid=554141278"", ""'Char Def. - Attributes'!C20:C2242""), 1,false)"),"HEIGHT_PCS")</f>
        <v>HEIGHT_PCS</v>
      </c>
      <c r="I2497" s="136"/>
    </row>
    <row r="2498" ht="15.75" customHeight="1">
      <c r="B2498" s="63">
        <f t="shared" si="1"/>
        <v>16</v>
      </c>
      <c r="C2498" s="134" t="s">
        <v>147</v>
      </c>
      <c r="D2498" s="134" t="s">
        <v>74</v>
      </c>
      <c r="E2498" s="135">
        <f t="shared" si="59"/>
        <v>15</v>
      </c>
      <c r="F2498" s="134" t="s">
        <v>3791</v>
      </c>
      <c r="G2498" s="63" t="str">
        <f>VLOOKUP(C2498, 'Class Def. - General Data'!$C$20:$C$1000,1,false)</f>
        <v>ZPI1_ACC_PAKAIAN</v>
      </c>
      <c r="H2498" s="63" t="str">
        <f>IFERROR(__xludf.DUMMYFUNCTION("VLOOKUP(F2498, IMPORTRANGE(""https://docs.google.com/spreadsheets/d/1Lhp9OU0JdFf_VYSMzH5lBcEaU4o8teT1piV-SNzShjg/edit?gid=554141278#gid=554141278"", ""'Char Def. - Attributes'!C20:C2242""), 1,false)"),"HAS_SPESIFIC_COLOUR")</f>
        <v>HAS_SPESIFIC_COLOUR</v>
      </c>
      <c r="I2498" s="136"/>
    </row>
    <row r="2499" ht="15.75" customHeight="1">
      <c r="B2499" s="63">
        <f t="shared" si="1"/>
        <v>16</v>
      </c>
      <c r="C2499" s="134" t="s">
        <v>147</v>
      </c>
      <c r="D2499" s="134" t="s">
        <v>74</v>
      </c>
      <c r="E2499" s="135">
        <f t="shared" si="59"/>
        <v>16</v>
      </c>
      <c r="F2499" s="134" t="s">
        <v>3792</v>
      </c>
      <c r="G2499" s="63" t="str">
        <f>VLOOKUP(C2499, 'Class Def. - General Data'!$C$20:$C$1000,1,false)</f>
        <v>ZPI1_ACC_PAKAIAN</v>
      </c>
      <c r="H2499" s="63" t="str">
        <f>IFERROR(__xludf.DUMMYFUNCTION("VLOOKUP(F2499, IMPORTRANGE(""https://docs.google.com/spreadsheets/d/1Lhp9OU0JdFf_VYSMzH5lBcEaU4o8teT1piV-SNzShjg/edit?gid=554141278#gid=554141278"", ""'Char Def. - Attributes'!C20:C2242""), 1,false)"),"COLOUR")</f>
        <v>COLOUR</v>
      </c>
      <c r="I2499" s="136"/>
    </row>
    <row r="2500" ht="15.75" customHeight="1">
      <c r="B2500" s="63">
        <f t="shared" si="1"/>
        <v>16</v>
      </c>
      <c r="C2500" s="134" t="s">
        <v>147</v>
      </c>
      <c r="D2500" s="134" t="s">
        <v>74</v>
      </c>
      <c r="E2500" s="135">
        <f t="shared" si="59"/>
        <v>17</v>
      </c>
      <c r="F2500" s="134" t="s">
        <v>3793</v>
      </c>
      <c r="G2500" s="63" t="str">
        <f>VLOOKUP(C2500, 'Class Def. - General Data'!$C$20:$C$1000,1,false)</f>
        <v>ZPI1_ACC_PAKAIAN</v>
      </c>
      <c r="H2500" s="63" t="str">
        <f>IFERROR(__xludf.DUMMYFUNCTION("VLOOKUP(F2500, IMPORTRANGE(""https://docs.google.com/spreadsheets/d/1Lhp9OU0JdFf_VYSMzH5lBcEaU4o8teT1piV-SNzShjg/edit?gid=554141278#gid=554141278"", ""'Char Def. - Attributes'!C20:C2242""), 1,false)"),"EMBOSSED_SPESIFIC_DESAIN")</f>
        <v>EMBOSSED_SPESIFIC_DESAIN</v>
      </c>
      <c r="I2500" s="136"/>
    </row>
    <row r="2501" ht="15.75" customHeight="1">
      <c r="B2501" s="63">
        <f t="shared" si="1"/>
        <v>16</v>
      </c>
      <c r="C2501" s="134" t="s">
        <v>147</v>
      </c>
      <c r="D2501" s="134" t="s">
        <v>74</v>
      </c>
      <c r="E2501" s="135">
        <f t="shared" si="59"/>
        <v>18</v>
      </c>
      <c r="F2501" s="134" t="s">
        <v>3794</v>
      </c>
      <c r="G2501" s="63" t="str">
        <f>VLOOKUP(C2501, 'Class Def. - General Data'!$C$20:$C$1000,1,false)</f>
        <v>ZPI1_ACC_PAKAIAN</v>
      </c>
      <c r="H2501" s="63" t="str">
        <f>IFERROR(__xludf.DUMMYFUNCTION("VLOOKUP(F2501, IMPORTRANGE(""https://docs.google.com/spreadsheets/d/1Lhp9OU0JdFf_VYSMzH5lBcEaU4o8teT1piV-SNzShjg/edit?gid=554141278#gid=554141278"", ""'Char Def. - Attributes'!C20:C2242""), 1,false)"),"DESAIN_NAME")</f>
        <v>DESAIN_NAME</v>
      </c>
      <c r="I2501" s="136"/>
    </row>
    <row r="2502" ht="15.75" customHeight="1">
      <c r="B2502" s="63">
        <f t="shared" si="1"/>
        <v>16</v>
      </c>
      <c r="C2502" s="134" t="s">
        <v>147</v>
      </c>
      <c r="D2502" s="134" t="s">
        <v>74</v>
      </c>
      <c r="E2502" s="135">
        <f t="shared" si="59"/>
        <v>19</v>
      </c>
      <c r="F2502" s="134" t="s">
        <v>3795</v>
      </c>
      <c r="G2502" s="63" t="str">
        <f>VLOOKUP(C2502, 'Class Def. - General Data'!$C$20:$C$1000,1,false)</f>
        <v>ZPI1_ACC_PAKAIAN</v>
      </c>
      <c r="H2502" s="63" t="str">
        <f>IFERROR(__xludf.DUMMYFUNCTION("VLOOKUP(F2502, IMPORTRANGE(""https://docs.google.com/spreadsheets/d/1Lhp9OU0JdFf_VYSMzH5lBcEaU4o8teT1piV-SNzShjg/edit?gid=554141278#gid=554141278"", ""'Char Def. - Attributes'!C20:C2242""), 1,false)"),"DESAIN_MONTH")</f>
        <v>DESAIN_MONTH</v>
      </c>
      <c r="I2502" s="136"/>
    </row>
    <row r="2503" ht="15.75" customHeight="1">
      <c r="B2503" s="63">
        <f t="shared" si="1"/>
        <v>16</v>
      </c>
      <c r="C2503" s="134" t="s">
        <v>147</v>
      </c>
      <c r="D2503" s="134" t="s">
        <v>74</v>
      </c>
      <c r="E2503" s="135">
        <f t="shared" si="59"/>
        <v>20</v>
      </c>
      <c r="F2503" s="134" t="s">
        <v>3796</v>
      </c>
      <c r="G2503" s="63" t="str">
        <f>VLOOKUP(C2503, 'Class Def. - General Data'!$C$20:$C$1000,1,false)</f>
        <v>ZPI1_ACC_PAKAIAN</v>
      </c>
      <c r="H2503" s="63" t="str">
        <f>IFERROR(__xludf.DUMMYFUNCTION("VLOOKUP(F2503, IMPORTRANGE(""https://docs.google.com/spreadsheets/d/1Lhp9OU0JdFf_VYSMzH5lBcEaU4o8teT1piV-SNzShjg/edit?gid=554141278#gid=554141278"", ""'Char Def. - Attributes'!C20:C2242""), 1,false)"),"DESAIN_YEAR")</f>
        <v>DESAIN_YEAR</v>
      </c>
      <c r="I2503" s="136"/>
    </row>
    <row r="2504" ht="15.75" customHeight="1">
      <c r="B2504" s="63">
        <f t="shared" si="1"/>
        <v>16</v>
      </c>
      <c r="C2504" s="134" t="s">
        <v>147</v>
      </c>
      <c r="D2504" s="134" t="s">
        <v>74</v>
      </c>
      <c r="E2504" s="135">
        <f t="shared" si="59"/>
        <v>21</v>
      </c>
      <c r="F2504" s="134" t="s">
        <v>3797</v>
      </c>
      <c r="G2504" s="63" t="str">
        <f>VLOOKUP(C2504, 'Class Def. - General Data'!$C$20:$C$1000,1,false)</f>
        <v>ZPI1_ACC_PAKAIAN</v>
      </c>
      <c r="H2504" s="63" t="str">
        <f>IFERROR(__xludf.DUMMYFUNCTION("VLOOKUP(F2504, IMPORTRANGE(""https://docs.google.com/spreadsheets/d/1Lhp9OU0JdFf_VYSMzH5lBcEaU4o8teT1piV-SNzShjg/edit?gid=554141278#gid=554141278"", ""'Char Def. - Attributes'!C20:C2242""), 1,false)"),"SPEC_QTY_IN_ONE_BUNDLE")</f>
        <v>SPEC_QTY_IN_ONE_BUNDLE</v>
      </c>
      <c r="I2504" s="136"/>
    </row>
    <row r="2505" ht="15.75" customHeight="1">
      <c r="B2505" s="63">
        <f t="shared" si="1"/>
        <v>16</v>
      </c>
      <c r="C2505" s="134" t="s">
        <v>147</v>
      </c>
      <c r="D2505" s="134" t="s">
        <v>74</v>
      </c>
      <c r="E2505" s="135">
        <f t="shared" si="59"/>
        <v>22</v>
      </c>
      <c r="F2505" s="134" t="s">
        <v>3798</v>
      </c>
      <c r="G2505" s="63" t="str">
        <f>VLOOKUP(C2505, 'Class Def. - General Data'!$C$20:$C$1000,1,false)</f>
        <v>ZPI1_ACC_PAKAIAN</v>
      </c>
      <c r="H2505" s="63" t="str">
        <f>IFERROR(__xludf.DUMMYFUNCTION("VLOOKUP(F2505, IMPORTRANGE(""https://docs.google.com/spreadsheets/d/1Lhp9OU0JdFf_VYSMzH5lBcEaU4o8teT1piV-SNzShjg/edit?gid=554141278#gid=554141278"", ""'Char Def. - Attributes'!C20:C2242""), 1,false)"),"QTY_IN_ONE_BUNDLE")</f>
        <v>QTY_IN_ONE_BUNDLE</v>
      </c>
      <c r="I2505" s="136"/>
    </row>
    <row r="2506" ht="15.75" customHeight="1">
      <c r="B2506" s="63">
        <f t="shared" si="1"/>
        <v>16</v>
      </c>
      <c r="C2506" s="134" t="s">
        <v>147</v>
      </c>
      <c r="D2506" s="134" t="s">
        <v>74</v>
      </c>
      <c r="E2506" s="135">
        <f t="shared" si="59"/>
        <v>23</v>
      </c>
      <c r="F2506" s="134" t="s">
        <v>3585</v>
      </c>
      <c r="G2506" s="63" t="str">
        <f>VLOOKUP(C2506, 'Class Def. - General Data'!$C$20:$C$1000,1,false)</f>
        <v>ZPI1_ACC_PAKAIAN</v>
      </c>
      <c r="H2506" s="63" t="str">
        <f>IFERROR(__xludf.DUMMYFUNCTION("VLOOKUP(F2506, IMPORTRANGE(""https://docs.google.com/spreadsheets/d/1Lhp9OU0JdFf_VYSMzH5lBcEaU4o8teT1piV-SNzShjg/edit?gid=554141278#gid=554141278"", ""'Char Def. - Attributes'!C20:C2242""), 1,false)"),"HS_CODE")</f>
        <v>HS_CODE</v>
      </c>
      <c r="I2506" s="136"/>
    </row>
    <row r="2507" ht="15.75" customHeight="1">
      <c r="B2507" s="63">
        <f t="shared" si="1"/>
        <v>16</v>
      </c>
      <c r="C2507" s="134" t="s">
        <v>147</v>
      </c>
      <c r="D2507" s="134" t="s">
        <v>74</v>
      </c>
      <c r="E2507" s="135">
        <f t="shared" si="59"/>
        <v>24</v>
      </c>
      <c r="F2507" s="134" t="s">
        <v>3799</v>
      </c>
      <c r="G2507" s="63" t="str">
        <f>VLOOKUP(C2507, 'Class Def. - General Data'!$C$20:$C$1000,1,false)</f>
        <v>ZPI1_ACC_PAKAIAN</v>
      </c>
      <c r="H2507" s="63" t="str">
        <f>IFERROR(__xludf.DUMMYFUNCTION("VLOOKUP(F2507, IMPORTRANGE(""https://docs.google.com/spreadsheets/d/1Lhp9OU0JdFf_VYSMzH5lBcEaU4o8teT1piV-SNzShjg/edit?gid=554141278#gid=554141278"", ""'Char Def. - Attributes'!C20:C2242""), 1,false)"),"BASE_UNIT_ZPI1")</f>
        <v>BASE_UNIT_ZPI1</v>
      </c>
      <c r="I2507" s="136"/>
    </row>
    <row r="2508" ht="15.75" customHeight="1">
      <c r="B2508" s="63">
        <f t="shared" si="1"/>
        <v>16</v>
      </c>
      <c r="C2508" s="134" t="s">
        <v>147</v>
      </c>
      <c r="D2508" s="134" t="s">
        <v>74</v>
      </c>
      <c r="E2508" s="135">
        <f t="shared" si="59"/>
        <v>25</v>
      </c>
      <c r="F2508" s="135" t="s">
        <v>3800</v>
      </c>
      <c r="G2508" s="63" t="str">
        <f>VLOOKUP(C2508, 'Class Def. - General Data'!$C$20:$C$1000,1,false)</f>
        <v>ZPI1_ACC_PAKAIAN</v>
      </c>
      <c r="H2508" s="63" t="str">
        <f>IFERROR(__xludf.DUMMYFUNCTION("VLOOKUP(F2508, IMPORTRANGE(""https://docs.google.com/spreadsheets/d/1Lhp9OU0JdFf_VYSMzH5lBcEaU4o8teT1piV-SNzShjg/edit?gid=554141278#gid=554141278"", ""'Char Def. - Attributes'!C20:C2242""), 1,false)"),"ORDER_UNIT_DIFF_FROM_BASIC_UOM")</f>
        <v>ORDER_UNIT_DIFF_FROM_BASIC_UOM</v>
      </c>
      <c r="I2508" s="136"/>
    </row>
    <row r="2509" ht="15.75" customHeight="1">
      <c r="B2509" s="63">
        <f t="shared" si="1"/>
        <v>16</v>
      </c>
      <c r="C2509" s="134" t="s">
        <v>147</v>
      </c>
      <c r="D2509" s="134" t="s">
        <v>74</v>
      </c>
      <c r="E2509" s="135">
        <f t="shared" si="59"/>
        <v>26</v>
      </c>
      <c r="F2509" s="135" t="s">
        <v>3801</v>
      </c>
      <c r="G2509" s="63" t="str">
        <f>VLOOKUP(C2509, 'Class Def. - General Data'!$C$20:$C$1000,1,false)</f>
        <v>ZPI1_ACC_PAKAIAN</v>
      </c>
      <c r="H2509" s="63" t="str">
        <f>IFERROR(__xludf.DUMMYFUNCTION("VLOOKUP(F2509, IMPORTRANGE(""https://docs.google.com/spreadsheets/d/1Lhp9OU0JdFf_VYSMzH5lBcEaU4o8teT1piV-SNzShjg/edit?gid=554141278#gid=554141278"", ""'Char Def. - Attributes'!C20:C2242""), 1,false)"),"ORDER_UNIT_ZPI1")</f>
        <v>ORDER_UNIT_ZPI1</v>
      </c>
      <c r="I2509" s="136"/>
    </row>
    <row r="2510" ht="15.75" customHeight="1">
      <c r="B2510" s="63">
        <f t="shared" si="1"/>
        <v>16</v>
      </c>
      <c r="C2510" s="134" t="s">
        <v>147</v>
      </c>
      <c r="D2510" s="134" t="s">
        <v>74</v>
      </c>
      <c r="E2510" s="135">
        <f t="shared" si="59"/>
        <v>27</v>
      </c>
      <c r="F2510" s="134" t="s">
        <v>3802</v>
      </c>
      <c r="G2510" s="63" t="str">
        <f>VLOOKUP(C2510, 'Class Def. - General Data'!$C$20:$C$1000,1,false)</f>
        <v>ZPI1_ACC_PAKAIAN</v>
      </c>
      <c r="H2510" s="63" t="str">
        <f>IFERROR(__xludf.DUMMYFUNCTION("VLOOKUP(F2510, IMPORTRANGE(""https://docs.google.com/spreadsheets/d/1Lhp9OU0JdFf_VYSMzH5lBcEaU4o8teT1piV-SNzShjg/edit?gid=554141278#gid=554141278"", ""'Char Def. - Attributes'!C20:C2242""), 1,false)"),"WEIGHT_UNIT_PI")</f>
        <v>WEIGHT_UNIT_PI</v>
      </c>
      <c r="I2510" s="136"/>
    </row>
    <row r="2511" ht="15.75" customHeight="1">
      <c r="B2511" s="63">
        <f t="shared" si="1"/>
        <v>16</v>
      </c>
      <c r="C2511" s="134" t="s">
        <v>147</v>
      </c>
      <c r="D2511" s="134" t="s">
        <v>74</v>
      </c>
      <c r="E2511" s="135">
        <f t="shared" si="59"/>
        <v>28</v>
      </c>
      <c r="F2511" s="134" t="s">
        <v>3602</v>
      </c>
      <c r="G2511" s="63" t="str">
        <f>VLOOKUP(C2511, 'Class Def. - General Data'!$C$20:$C$1000,1,false)</f>
        <v>ZPI1_ACC_PAKAIAN</v>
      </c>
      <c r="H2511" s="63" t="str">
        <f>IFERROR(__xludf.DUMMYFUNCTION("VLOOKUP(F2511, IMPORTRANGE(""https://docs.google.com/spreadsheets/d/1Lhp9OU0JdFf_VYSMzH5lBcEaU4o8teT1piV-SNzShjg/edit?gid=554141278#gid=554141278"", ""'Char Def. - Attributes'!C20:C2242""), 1,false)"),"NET_WEIGHT")</f>
        <v>NET_WEIGHT</v>
      </c>
      <c r="I2511" s="136"/>
    </row>
    <row r="2512" ht="15.75" customHeight="1">
      <c r="B2512" s="63">
        <f t="shared" si="1"/>
        <v>16</v>
      </c>
      <c r="C2512" s="134" t="s">
        <v>147</v>
      </c>
      <c r="D2512" s="134" t="s">
        <v>74</v>
      </c>
      <c r="E2512" s="135">
        <f t="shared" si="59"/>
        <v>29</v>
      </c>
      <c r="F2512" s="134" t="s">
        <v>3601</v>
      </c>
      <c r="G2512" s="63" t="str">
        <f>VLOOKUP(C2512, 'Class Def. - General Data'!$C$20:$C$1000,1,false)</f>
        <v>ZPI1_ACC_PAKAIAN</v>
      </c>
      <c r="H2512" s="63" t="str">
        <f>IFERROR(__xludf.DUMMYFUNCTION("VLOOKUP(F2512, IMPORTRANGE(""https://docs.google.com/spreadsheets/d/1Lhp9OU0JdFf_VYSMzH5lBcEaU4o8teT1piV-SNzShjg/edit?gid=554141278#gid=554141278"", ""'Char Def. - Attributes'!C20:C2242""), 1,false)"),"GROSS_WEIGHT")</f>
        <v>GROSS_WEIGHT</v>
      </c>
      <c r="I2512" s="136"/>
    </row>
    <row r="2513" ht="15.75" customHeight="1">
      <c r="B2513" s="63">
        <f t="shared" si="1"/>
        <v>16</v>
      </c>
      <c r="C2513" s="134" t="s">
        <v>147</v>
      </c>
      <c r="D2513" s="134" t="s">
        <v>74</v>
      </c>
      <c r="E2513" s="135">
        <f t="shared" si="59"/>
        <v>30</v>
      </c>
      <c r="F2513" s="134" t="s">
        <v>3803</v>
      </c>
      <c r="G2513" s="63" t="str">
        <f>VLOOKUP(C2513, 'Class Def. - General Data'!$C$20:$C$1000,1,false)</f>
        <v>ZPI1_ACC_PAKAIAN</v>
      </c>
      <c r="H2513" s="63" t="str">
        <f>IFERROR(__xludf.DUMMYFUNCTION("VLOOKUP(F2513, IMPORTRANGE(""https://docs.google.com/spreadsheets/d/1Lhp9OU0JdFf_VYSMzH5lBcEaU4o8teT1piV-SNzShjg/edit?gid=554141278#gid=554141278"", ""'Char Def. - Attributes'!C20:C2242""), 1,false)"),"VOLUME_UNIT_PI")</f>
        <v>VOLUME_UNIT_PI</v>
      </c>
      <c r="I2513" s="136"/>
    </row>
    <row r="2514" ht="15.75" customHeight="1">
      <c r="B2514" s="63">
        <f t="shared" si="1"/>
        <v>16</v>
      </c>
      <c r="C2514" s="134" t="s">
        <v>147</v>
      </c>
      <c r="D2514" s="134" t="s">
        <v>74</v>
      </c>
      <c r="E2514" s="135">
        <f t="shared" si="59"/>
        <v>31</v>
      </c>
      <c r="F2514" s="134" t="s">
        <v>3603</v>
      </c>
      <c r="G2514" s="63" t="str">
        <f>VLOOKUP(C2514, 'Class Def. - General Data'!$C$20:$C$1000,1,false)</f>
        <v>ZPI1_ACC_PAKAIAN</v>
      </c>
      <c r="H2514" s="63" t="str">
        <f>IFERROR(__xludf.DUMMYFUNCTION("VLOOKUP(F2514, IMPORTRANGE(""https://docs.google.com/spreadsheets/d/1Lhp9OU0JdFf_VYSMzH5lBcEaU4o8teT1piV-SNzShjg/edit?gid=554141278#gid=554141278"", ""'Char Def. - Attributes'!C20:C2242""), 1,false)"),"VOLUME")</f>
        <v>VOLUME</v>
      </c>
      <c r="I2514" s="136"/>
    </row>
    <row r="2515" ht="15.75" customHeight="1">
      <c r="B2515" s="63">
        <f t="shared" si="1"/>
        <v>16</v>
      </c>
      <c r="C2515" s="134" t="s">
        <v>147</v>
      </c>
      <c r="D2515" s="134" t="s">
        <v>74</v>
      </c>
      <c r="E2515" s="135">
        <f t="shared" si="59"/>
        <v>32</v>
      </c>
      <c r="F2515" s="134" t="s">
        <v>3587</v>
      </c>
      <c r="G2515" s="63" t="str">
        <f>VLOOKUP(C2515, 'Class Def. - General Data'!$C$20:$C$1000,1,false)</f>
        <v>ZPI1_ACC_PAKAIAN</v>
      </c>
      <c r="H2515" s="63" t="str">
        <f>IFERROR(__xludf.DUMMYFUNCTION("VLOOKUP(F2515, IMPORTRANGE(""https://docs.google.com/spreadsheets/d/1Lhp9OU0JdFf_VYSMzH5lBcEaU4o8teT1piV-SNzShjg/edit?gid=554141278#gid=554141278"", ""'Char Def. - Attributes'!C20:C2242""), 1,false)"),"PLANT_BUY")</f>
        <v>PLANT_BUY</v>
      </c>
      <c r="I2515" s="136"/>
    </row>
    <row r="2516" ht="15.75" customHeight="1">
      <c r="B2516" s="63">
        <f t="shared" si="1"/>
        <v>16</v>
      </c>
      <c r="C2516" s="134" t="s">
        <v>147</v>
      </c>
      <c r="D2516" s="134" t="s">
        <v>74</v>
      </c>
      <c r="E2516" s="135">
        <f t="shared" si="59"/>
        <v>33</v>
      </c>
      <c r="F2516" s="134" t="s">
        <v>3804</v>
      </c>
      <c r="G2516" s="63" t="str">
        <f>VLOOKUP(C2516, 'Class Def. - General Data'!$C$20:$C$1000,1,false)</f>
        <v>ZPI1_ACC_PAKAIAN</v>
      </c>
      <c r="H2516" s="63" t="str">
        <f>IFERROR(__xludf.DUMMYFUNCTION("VLOOKUP(F2516, IMPORTRANGE(""https://docs.google.com/spreadsheets/d/1Lhp9OU0JdFf_VYSMzH5lBcEaU4o8teT1piV-SNzShjg/edit?gid=554141278#gid=554141278"", ""'Char Def. - Attributes'!C20:C2242""), 1,false)"),"ALT_UOM1_SIPI")</f>
        <v>ALT_UOM1_SIPI</v>
      </c>
      <c r="I2516" s="136"/>
    </row>
    <row r="2517" ht="15.75" customHeight="1">
      <c r="B2517" s="63">
        <f t="shared" si="1"/>
        <v>16</v>
      </c>
      <c r="C2517" s="134" t="s">
        <v>147</v>
      </c>
      <c r="D2517" s="134" t="s">
        <v>74</v>
      </c>
      <c r="E2517" s="135">
        <f t="shared" si="59"/>
        <v>34</v>
      </c>
      <c r="F2517" s="134" t="s">
        <v>3805</v>
      </c>
      <c r="G2517" s="63" t="str">
        <f>VLOOKUP(C2517, 'Class Def. - General Data'!$C$20:$C$1000,1,false)</f>
        <v>ZPI1_ACC_PAKAIAN</v>
      </c>
      <c r="H2517" s="63" t="str">
        <f>IFERROR(__xludf.DUMMYFUNCTION("VLOOKUP(F2517, IMPORTRANGE(""https://docs.google.com/spreadsheets/d/1Lhp9OU0JdFf_VYSMzH5lBcEaU4o8teT1piV-SNzShjg/edit?gid=554141278#gid=554141278"", ""'Char Def. - Attributes'!C20:C2242""), 1,false)"),"ALT_DENUM_UOM1")</f>
        <v>ALT_DENUM_UOM1</v>
      </c>
      <c r="I2517" s="136"/>
    </row>
    <row r="2518" ht="15.75" customHeight="1">
      <c r="B2518" s="63">
        <f t="shared" si="1"/>
        <v>16</v>
      </c>
      <c r="C2518" s="134" t="s">
        <v>147</v>
      </c>
      <c r="D2518" s="134" t="s">
        <v>74</v>
      </c>
      <c r="E2518" s="135">
        <f t="shared" si="59"/>
        <v>35</v>
      </c>
      <c r="F2518" s="134" t="s">
        <v>3806</v>
      </c>
      <c r="G2518" s="63" t="str">
        <f>VLOOKUP(C2518, 'Class Def. - General Data'!$C$20:$C$1000,1,false)</f>
        <v>ZPI1_ACC_PAKAIAN</v>
      </c>
      <c r="H2518" s="63" t="str">
        <f>IFERROR(__xludf.DUMMYFUNCTION("VLOOKUP(F2518, IMPORTRANGE(""https://docs.google.com/spreadsheets/d/1Lhp9OU0JdFf_VYSMzH5lBcEaU4o8teT1piV-SNzShjg/edit?gid=554141278#gid=554141278"", ""'Char Def. - Attributes'!C20:C2242""), 1,false)"),"ALT_NUM_UOM1")</f>
        <v>ALT_NUM_UOM1</v>
      </c>
      <c r="I2518" s="136"/>
    </row>
    <row r="2519" ht="15.75" customHeight="1">
      <c r="B2519" s="63">
        <f t="shared" si="1"/>
        <v>16</v>
      </c>
      <c r="C2519" s="134" t="s">
        <v>147</v>
      </c>
      <c r="D2519" s="134" t="s">
        <v>74</v>
      </c>
      <c r="E2519" s="135">
        <f t="shared" si="59"/>
        <v>36</v>
      </c>
      <c r="F2519" s="134" t="s">
        <v>3807</v>
      </c>
      <c r="G2519" s="63" t="str">
        <f>VLOOKUP(C2519, 'Class Def. - General Data'!$C$20:$C$1000,1,false)</f>
        <v>ZPI1_ACC_PAKAIAN</v>
      </c>
      <c r="H2519" s="63" t="str">
        <f>IFERROR(__xludf.DUMMYFUNCTION("VLOOKUP(F2519, IMPORTRANGE(""https://docs.google.com/spreadsheets/d/1Lhp9OU0JdFf_VYSMzH5lBcEaU4o8teT1piV-SNzShjg/edit?gid=554141278#gid=554141278"", ""'Char Def. - Attributes'!C20:C2242""), 1,false)"),"ALT_UOM2_SIPI")</f>
        <v>ALT_UOM2_SIPI</v>
      </c>
      <c r="I2519" s="136"/>
    </row>
    <row r="2520" ht="15.75" customHeight="1">
      <c r="B2520" s="63">
        <f t="shared" si="1"/>
        <v>16</v>
      </c>
      <c r="C2520" s="134" t="s">
        <v>147</v>
      </c>
      <c r="D2520" s="134" t="s">
        <v>74</v>
      </c>
      <c r="E2520" s="135">
        <f t="shared" si="59"/>
        <v>37</v>
      </c>
      <c r="F2520" s="134" t="s">
        <v>3808</v>
      </c>
      <c r="G2520" s="63" t="str">
        <f>VLOOKUP(C2520, 'Class Def. - General Data'!$C$20:$C$1000,1,false)</f>
        <v>ZPI1_ACC_PAKAIAN</v>
      </c>
      <c r="H2520" s="63" t="str">
        <f>IFERROR(__xludf.DUMMYFUNCTION("VLOOKUP(F2520, IMPORTRANGE(""https://docs.google.com/spreadsheets/d/1Lhp9OU0JdFf_VYSMzH5lBcEaU4o8teT1piV-SNzShjg/edit?gid=554141278#gid=554141278"", ""'Char Def. - Attributes'!C20:C2242""), 1,false)"),"ALT_DENUM_UOM2")</f>
        <v>ALT_DENUM_UOM2</v>
      </c>
      <c r="I2520" s="136"/>
    </row>
    <row r="2521" ht="15.75" customHeight="1">
      <c r="B2521" s="63">
        <f t="shared" si="1"/>
        <v>16</v>
      </c>
      <c r="C2521" s="134" t="s">
        <v>147</v>
      </c>
      <c r="D2521" s="134" t="s">
        <v>74</v>
      </c>
      <c r="E2521" s="135">
        <f t="shared" si="59"/>
        <v>38</v>
      </c>
      <c r="F2521" s="134" t="s">
        <v>3809</v>
      </c>
      <c r="G2521" s="63" t="str">
        <f>VLOOKUP(C2521, 'Class Def. - General Data'!$C$20:$C$1000,1,false)</f>
        <v>ZPI1_ACC_PAKAIAN</v>
      </c>
      <c r="H2521" s="63" t="str">
        <f>IFERROR(__xludf.DUMMYFUNCTION("VLOOKUP(F2521, IMPORTRANGE(""https://docs.google.com/spreadsheets/d/1Lhp9OU0JdFf_VYSMzH5lBcEaU4o8teT1piV-SNzShjg/edit?gid=554141278#gid=554141278"", ""'Char Def. - Attributes'!C20:C2242""), 1,false)"),"ALT_NUM_UOM2")</f>
        <v>ALT_NUM_UOM2</v>
      </c>
      <c r="I2521" s="136"/>
    </row>
    <row r="2522" ht="15.75" customHeight="1">
      <c r="B2522" s="63">
        <f t="shared" si="1"/>
        <v>16</v>
      </c>
      <c r="C2522" s="134" t="s">
        <v>147</v>
      </c>
      <c r="D2522" s="134" t="s">
        <v>74</v>
      </c>
      <c r="E2522" s="135">
        <f t="shared" si="59"/>
        <v>39</v>
      </c>
      <c r="F2522" s="134" t="s">
        <v>3810</v>
      </c>
      <c r="G2522" s="63" t="str">
        <f>VLOOKUP(C2522, 'Class Def. - General Data'!$C$20:$C$1000,1,false)</f>
        <v>ZPI1_ACC_PAKAIAN</v>
      </c>
      <c r="H2522" s="63" t="str">
        <f>IFERROR(__xludf.DUMMYFUNCTION("VLOOKUP(F2522, IMPORTRANGE(""https://docs.google.com/spreadsheets/d/1Lhp9OU0JdFf_VYSMzH5lBcEaU4o8teT1piV-SNzShjg/edit?gid=554141278#gid=554141278"", ""'Char Def. - Attributes'!C20:C2242""), 1,false)"),"ALT_UOM3_SIPI")</f>
        <v>ALT_UOM3_SIPI</v>
      </c>
      <c r="I2522" s="136"/>
    </row>
    <row r="2523" ht="15.75" customHeight="1">
      <c r="B2523" s="63">
        <f t="shared" si="1"/>
        <v>16</v>
      </c>
      <c r="C2523" s="134" t="s">
        <v>147</v>
      </c>
      <c r="D2523" s="134" t="s">
        <v>74</v>
      </c>
      <c r="E2523" s="135">
        <f t="shared" si="59"/>
        <v>40</v>
      </c>
      <c r="F2523" s="134" t="s">
        <v>3811</v>
      </c>
      <c r="G2523" s="63" t="str">
        <f>VLOOKUP(C2523, 'Class Def. - General Data'!$C$20:$C$1000,1,false)</f>
        <v>ZPI1_ACC_PAKAIAN</v>
      </c>
      <c r="H2523" s="63" t="str">
        <f>IFERROR(__xludf.DUMMYFUNCTION("VLOOKUP(F2523, IMPORTRANGE(""https://docs.google.com/spreadsheets/d/1Lhp9OU0JdFf_VYSMzH5lBcEaU4o8teT1piV-SNzShjg/edit?gid=554141278#gid=554141278"", ""'Char Def. - Attributes'!C20:C2242""), 1,false)"),"ALT_DENUM_UOM3")</f>
        <v>ALT_DENUM_UOM3</v>
      </c>
      <c r="I2523" s="136"/>
    </row>
    <row r="2524" ht="15.75" customHeight="1">
      <c r="B2524" s="63">
        <f t="shared" si="1"/>
        <v>16</v>
      </c>
      <c r="C2524" s="134" t="s">
        <v>147</v>
      </c>
      <c r="D2524" s="134" t="s">
        <v>74</v>
      </c>
      <c r="E2524" s="135">
        <f t="shared" si="59"/>
        <v>41</v>
      </c>
      <c r="F2524" s="134" t="s">
        <v>3812</v>
      </c>
      <c r="G2524" s="63" t="str">
        <f>VLOOKUP(C2524, 'Class Def. - General Data'!$C$20:$C$1000,1,false)</f>
        <v>ZPI1_ACC_PAKAIAN</v>
      </c>
      <c r="H2524" s="63" t="str">
        <f>IFERROR(__xludf.DUMMYFUNCTION("VLOOKUP(F2524, IMPORTRANGE(""https://docs.google.com/spreadsheets/d/1Lhp9OU0JdFf_VYSMzH5lBcEaU4o8teT1piV-SNzShjg/edit?gid=554141278#gid=554141278"", ""'Char Def. - Attributes'!C20:C2242""), 1,false)"),"ALT_NUM_UOM3")</f>
        <v>ALT_NUM_UOM3</v>
      </c>
      <c r="I2524" s="136"/>
    </row>
    <row r="2525" ht="15.75" customHeight="1">
      <c r="B2525" s="63">
        <f t="shared" si="1"/>
        <v>16</v>
      </c>
      <c r="C2525" s="134" t="s">
        <v>147</v>
      </c>
      <c r="D2525" s="134" t="s">
        <v>74</v>
      </c>
      <c r="E2525" s="135">
        <f t="shared" si="59"/>
        <v>42</v>
      </c>
      <c r="F2525" s="134" t="s">
        <v>3813</v>
      </c>
      <c r="G2525" s="63" t="str">
        <f>VLOOKUP(C2525, 'Class Def. - General Data'!$C$20:$C$1000,1,false)</f>
        <v>ZPI1_ACC_PAKAIAN</v>
      </c>
      <c r="H2525" s="63" t="str">
        <f>IFERROR(__xludf.DUMMYFUNCTION("VLOOKUP(F2525, IMPORTRANGE(""https://docs.google.com/spreadsheets/d/1Lhp9OU0JdFf_VYSMzH5lBcEaU4o8teT1piV-SNzShjg/edit?gid=554141278#gid=554141278"", ""'Char Def. - Attributes'!C20:C2242""), 1,false)"),"ALT_UOM4_SIPI")</f>
        <v>ALT_UOM4_SIPI</v>
      </c>
      <c r="I2525" s="136"/>
    </row>
    <row r="2526" ht="15.75" customHeight="1">
      <c r="B2526" s="63">
        <f t="shared" si="1"/>
        <v>16</v>
      </c>
      <c r="C2526" s="134" t="s">
        <v>147</v>
      </c>
      <c r="D2526" s="134" t="s">
        <v>74</v>
      </c>
      <c r="E2526" s="135">
        <f t="shared" si="59"/>
        <v>43</v>
      </c>
      <c r="F2526" s="134" t="s">
        <v>3814</v>
      </c>
      <c r="G2526" s="63" t="str">
        <f>VLOOKUP(C2526, 'Class Def. - General Data'!$C$20:$C$1000,1,false)</f>
        <v>ZPI1_ACC_PAKAIAN</v>
      </c>
      <c r="H2526" s="63" t="str">
        <f>IFERROR(__xludf.DUMMYFUNCTION("VLOOKUP(F2526, IMPORTRANGE(""https://docs.google.com/spreadsheets/d/1Lhp9OU0JdFf_VYSMzH5lBcEaU4o8teT1piV-SNzShjg/edit?gid=554141278#gid=554141278"", ""'Char Def. - Attributes'!C20:C2242""), 1,false)"),"ALT_DENUM_UOM4")</f>
        <v>ALT_DENUM_UOM4</v>
      </c>
      <c r="I2526" s="136"/>
    </row>
    <row r="2527" ht="15.75" customHeight="1">
      <c r="B2527" s="63">
        <f t="shared" si="1"/>
        <v>16</v>
      </c>
      <c r="C2527" s="134" t="s">
        <v>147</v>
      </c>
      <c r="D2527" s="134" t="s">
        <v>74</v>
      </c>
      <c r="E2527" s="135">
        <f t="shared" si="59"/>
        <v>44</v>
      </c>
      <c r="F2527" s="134" t="s">
        <v>3815</v>
      </c>
      <c r="G2527" s="63" t="str">
        <f>VLOOKUP(C2527, 'Class Def. - General Data'!$C$20:$C$1000,1,false)</f>
        <v>ZPI1_ACC_PAKAIAN</v>
      </c>
      <c r="H2527" s="63" t="str">
        <f>IFERROR(__xludf.DUMMYFUNCTION("VLOOKUP(F2527, IMPORTRANGE(""https://docs.google.com/spreadsheets/d/1Lhp9OU0JdFf_VYSMzH5lBcEaU4o8teT1piV-SNzShjg/edit?gid=554141278#gid=554141278"", ""'Char Def. - Attributes'!C20:C2242""), 1,false)"),"ALT_NUM_UOM4")</f>
        <v>ALT_NUM_UOM4</v>
      </c>
      <c r="I2527" s="136"/>
    </row>
    <row r="2528" ht="15.75" customHeight="1">
      <c r="B2528" s="63">
        <f t="shared" si="1"/>
        <v>16</v>
      </c>
      <c r="C2528" s="134" t="s">
        <v>147</v>
      </c>
      <c r="D2528" s="134" t="s">
        <v>74</v>
      </c>
      <c r="E2528" s="135">
        <f t="shared" si="59"/>
        <v>45</v>
      </c>
      <c r="F2528" s="134" t="s">
        <v>3816</v>
      </c>
      <c r="G2528" s="63" t="str">
        <f>VLOOKUP(C2528, 'Class Def. - General Data'!$C$20:$C$1000,1,false)</f>
        <v>ZPI1_ACC_PAKAIAN</v>
      </c>
      <c r="H2528" s="63" t="str">
        <f>IFERROR(__xludf.DUMMYFUNCTION("VLOOKUP(F2528, IMPORTRANGE(""https://docs.google.com/spreadsheets/d/1Lhp9OU0JdFf_VYSMzH5lBcEaU4o8teT1piV-SNzShjg/edit?gid=554141278#gid=554141278"", ""'Char Def. - Attributes'!C20:C2242""), 1,false)"),"ALT_UOM5_SIPI")</f>
        <v>ALT_UOM5_SIPI</v>
      </c>
      <c r="I2528" s="136"/>
    </row>
    <row r="2529" ht="15.75" customHeight="1">
      <c r="B2529" s="63">
        <f t="shared" si="1"/>
        <v>16</v>
      </c>
      <c r="C2529" s="134" t="s">
        <v>147</v>
      </c>
      <c r="D2529" s="134" t="s">
        <v>74</v>
      </c>
      <c r="E2529" s="135">
        <f t="shared" si="59"/>
        <v>46</v>
      </c>
      <c r="F2529" s="134" t="s">
        <v>3817</v>
      </c>
      <c r="G2529" s="63" t="str">
        <f>VLOOKUP(C2529, 'Class Def. - General Data'!$C$20:$C$1000,1,false)</f>
        <v>ZPI1_ACC_PAKAIAN</v>
      </c>
      <c r="H2529" s="63" t="str">
        <f>IFERROR(__xludf.DUMMYFUNCTION("VLOOKUP(F2529, IMPORTRANGE(""https://docs.google.com/spreadsheets/d/1Lhp9OU0JdFf_VYSMzH5lBcEaU4o8teT1piV-SNzShjg/edit?gid=554141278#gid=554141278"", ""'Char Def. - Attributes'!C20:C2242""), 1,false)"),"ALT_DENUM_UOM5")</f>
        <v>ALT_DENUM_UOM5</v>
      </c>
      <c r="I2529" s="136"/>
    </row>
    <row r="2530" ht="15.75" customHeight="1">
      <c r="B2530" s="63">
        <f t="shared" si="1"/>
        <v>16</v>
      </c>
      <c r="C2530" s="134" t="s">
        <v>147</v>
      </c>
      <c r="D2530" s="134" t="s">
        <v>74</v>
      </c>
      <c r="E2530" s="135">
        <f t="shared" si="59"/>
        <v>47</v>
      </c>
      <c r="F2530" s="134" t="s">
        <v>3818</v>
      </c>
      <c r="G2530" s="63" t="str">
        <f>VLOOKUP(C2530, 'Class Def. - General Data'!$C$20:$C$1000,1,false)</f>
        <v>ZPI1_ACC_PAKAIAN</v>
      </c>
      <c r="H2530" s="63" t="str">
        <f>IFERROR(__xludf.DUMMYFUNCTION("VLOOKUP(F2530, IMPORTRANGE(""https://docs.google.com/spreadsheets/d/1Lhp9OU0JdFf_VYSMzH5lBcEaU4o8teT1piV-SNzShjg/edit?gid=554141278#gid=554141278"", ""'Char Def. - Attributes'!C20:C2242""), 1,false)"),"ALT_NUM_UOM5")</f>
        <v>ALT_NUM_UOM5</v>
      </c>
      <c r="I2530" s="136"/>
    </row>
    <row r="2531" ht="15.75" customHeight="1">
      <c r="B2531" s="63">
        <f t="shared" si="1"/>
        <v>18</v>
      </c>
      <c r="C2531" s="134" t="s">
        <v>157</v>
      </c>
      <c r="D2531" s="134" t="s">
        <v>74</v>
      </c>
      <c r="E2531" s="135">
        <f t="shared" si="59"/>
        <v>1</v>
      </c>
      <c r="F2531" s="134" t="s">
        <v>3819</v>
      </c>
      <c r="G2531" s="63" t="str">
        <f>VLOOKUP(C2531, 'Class Def. - General Data'!$C$20:$C$1000,1,false)</f>
        <v>ZPI1_ALAT_KEBRSIHN</v>
      </c>
      <c r="H2531" s="63" t="str">
        <f>IFERROR(__xludf.DUMMYFUNCTION("VLOOKUP(F2531, IMPORTRANGE(""https://docs.google.com/spreadsheets/d/1Lhp9OU0JdFf_VYSMzH5lBcEaU4o8teT1piV-SNzShjg/edit?gid=554141278#gid=554141278"", ""'Char Def. - Attributes'!C20:C2242""), 1,false)"),"ITEM_NAME_ALAT_KEBERSIHN")</f>
        <v>ITEM_NAME_ALAT_KEBERSIHN</v>
      </c>
      <c r="I2531" s="136"/>
    </row>
    <row r="2532" ht="15.75" customHeight="1">
      <c r="B2532" s="63">
        <f t="shared" si="1"/>
        <v>18</v>
      </c>
      <c r="C2532" s="134" t="s">
        <v>157</v>
      </c>
      <c r="D2532" s="134" t="s">
        <v>74</v>
      </c>
      <c r="E2532" s="135">
        <f t="shared" si="59"/>
        <v>2</v>
      </c>
      <c r="F2532" s="134" t="s">
        <v>3778</v>
      </c>
      <c r="G2532" s="63" t="str">
        <f>VLOOKUP(C2532, 'Class Def. - General Data'!$C$20:$C$1000,1,false)</f>
        <v>ZPI1_ALAT_KEBRSIHN</v>
      </c>
      <c r="H2532" s="63" t="str">
        <f>IFERROR(__xludf.DUMMYFUNCTION("VLOOKUP(F2532, IMPORTRANGE(""https://docs.google.com/spreadsheets/d/1Lhp9OU0JdFf_VYSMzH5lBcEaU4o8teT1piV-SNzShjg/edit?gid=554141278#gid=554141278"", ""'Char Def. - Attributes'!C20:C2242""), 1,false)"),"SPECIAL_ACTIVITY")</f>
        <v>SPECIAL_ACTIVITY</v>
      </c>
      <c r="I2532" s="136"/>
    </row>
    <row r="2533" ht="15.75" customHeight="1">
      <c r="B2533" s="63">
        <f t="shared" si="1"/>
        <v>18</v>
      </c>
      <c r="C2533" s="134" t="s">
        <v>157</v>
      </c>
      <c r="D2533" s="134" t="s">
        <v>74</v>
      </c>
      <c r="E2533" s="135">
        <f t="shared" si="59"/>
        <v>3</v>
      </c>
      <c r="F2533" s="135" t="s">
        <v>3779</v>
      </c>
      <c r="G2533" s="63" t="str">
        <f>VLOOKUP(C2533, 'Class Def. - General Data'!$C$20:$C$1000,1,false)</f>
        <v>ZPI1_ALAT_KEBRSIHN</v>
      </c>
      <c r="H2533" s="63" t="str">
        <f>IFERROR(__xludf.DUMMYFUNCTION("VLOOKUP(F2533, IMPORTRANGE(""https://docs.google.com/spreadsheets/d/1Lhp9OU0JdFf_VYSMzH5lBcEaU4o8teT1piV-SNzShjg/edit?gid=554141278#gid=554141278"", ""'Char Def. - Attributes'!C20:C2242""), 1,false)"),"EMBOSSED_BRAND_WINGS")</f>
        <v>EMBOSSED_BRAND_WINGS</v>
      </c>
      <c r="I2533" s="136"/>
    </row>
    <row r="2534" ht="15.75" customHeight="1">
      <c r="B2534" s="63">
        <f t="shared" si="1"/>
        <v>18</v>
      </c>
      <c r="C2534" s="134" t="s">
        <v>157</v>
      </c>
      <c r="D2534" s="134" t="s">
        <v>74</v>
      </c>
      <c r="E2534" s="135">
        <f t="shared" si="59"/>
        <v>4</v>
      </c>
      <c r="F2534" s="135" t="s">
        <v>3780</v>
      </c>
      <c r="G2534" s="63" t="str">
        <f>VLOOKUP(C2534, 'Class Def. - General Data'!$C$20:$C$1000,1,false)</f>
        <v>ZPI1_ALAT_KEBRSIHN</v>
      </c>
      <c r="H2534" s="63" t="str">
        <f>IFERROR(__xludf.DUMMYFUNCTION("VLOOKUP(F2534, IMPORTRANGE(""https://docs.google.com/spreadsheets/d/1Lhp9OU0JdFf_VYSMzH5lBcEaU4o8teT1piV-SNzShjg/edit?gid=554141278#gid=554141278"", ""'Char Def. - Attributes'!C20:C2242""), 1,false)"),"BRAND_WINGS_SIPI")</f>
        <v>BRAND_WINGS_SIPI</v>
      </c>
      <c r="I2534" s="136"/>
    </row>
    <row r="2535" ht="15.75" customHeight="1">
      <c r="B2535" s="63">
        <f t="shared" si="1"/>
        <v>18</v>
      </c>
      <c r="C2535" s="134" t="s">
        <v>157</v>
      </c>
      <c r="D2535" s="134" t="s">
        <v>74</v>
      </c>
      <c r="E2535" s="135">
        <f t="shared" si="59"/>
        <v>5</v>
      </c>
      <c r="F2535" s="134" t="s">
        <v>3781</v>
      </c>
      <c r="G2535" s="63" t="str">
        <f>VLOOKUP(C2535, 'Class Def. - General Data'!$C$20:$C$1000,1,false)</f>
        <v>ZPI1_ALAT_KEBRSIHN</v>
      </c>
      <c r="H2535" s="63" t="str">
        <f>IFERROR(__xludf.DUMMYFUNCTION("VLOOKUP(F2535, IMPORTRANGE(""https://docs.google.com/spreadsheets/d/1Lhp9OU0JdFf_VYSMzH5lBcEaU4o8teT1piV-SNzShjg/edit?gid=554141278#gid=554141278"", ""'Char Def. - Attributes'!C20:C2242""), 1,false)"),"EXTERNAL_BRAND")</f>
        <v>EXTERNAL_BRAND</v>
      </c>
      <c r="I2535" s="136"/>
    </row>
    <row r="2536" ht="15.75" customHeight="1">
      <c r="B2536" s="63">
        <f t="shared" si="1"/>
        <v>18</v>
      </c>
      <c r="C2536" s="134" t="s">
        <v>157</v>
      </c>
      <c r="D2536" s="134" t="s">
        <v>74</v>
      </c>
      <c r="E2536" s="135">
        <f t="shared" si="59"/>
        <v>6</v>
      </c>
      <c r="F2536" s="134" t="s">
        <v>3782</v>
      </c>
      <c r="G2536" s="63" t="str">
        <f>VLOOKUP(C2536, 'Class Def. - General Data'!$C$20:$C$1000,1,false)</f>
        <v>ZPI1_ALAT_KEBRSIHN</v>
      </c>
      <c r="H2536" s="63" t="str">
        <f>IFERROR(__xludf.DUMMYFUNCTION("VLOOKUP(F2536, IMPORTRANGE(""https://docs.google.com/spreadsheets/d/1Lhp9OU0JdFf_VYSMzH5lBcEaU4o8teT1piV-SNzShjg/edit?gid=554141278#gid=554141278"", ""'Char Def. - Attributes'!C20:C2242""), 1,false)"),"BRAND_EXTERNAL")</f>
        <v>BRAND_EXTERNAL</v>
      </c>
      <c r="I2536" s="136"/>
    </row>
    <row r="2537" ht="15.75" customHeight="1">
      <c r="B2537" s="63">
        <f t="shared" si="1"/>
        <v>18</v>
      </c>
      <c r="C2537" s="134" t="s">
        <v>157</v>
      </c>
      <c r="D2537" s="134" t="s">
        <v>74</v>
      </c>
      <c r="E2537" s="135">
        <f t="shared" si="59"/>
        <v>7</v>
      </c>
      <c r="F2537" s="134" t="s">
        <v>3783</v>
      </c>
      <c r="G2537" s="63" t="str">
        <f>VLOOKUP(C2537, 'Class Def. - General Data'!$C$20:$C$1000,1,false)</f>
        <v>ZPI1_ALAT_KEBRSIHN</v>
      </c>
      <c r="H2537" s="63" t="str">
        <f>IFERROR(__xludf.DUMMYFUNCTION("VLOOKUP(F2537, IMPORTRANGE(""https://docs.google.com/spreadsheets/d/1Lhp9OU0JdFf_VYSMzH5lBcEaU4o8teT1piV-SNzShjg/edit?gid=554141278#gid=554141278"", ""'Char Def. - Attributes'!C20:C2242""), 1,false)"),"NO_SERI_BRAND_EXTERNAL")</f>
        <v>NO_SERI_BRAND_EXTERNAL</v>
      </c>
      <c r="I2537" s="136"/>
    </row>
    <row r="2538" ht="15.75" customHeight="1">
      <c r="B2538" s="63">
        <f t="shared" si="1"/>
        <v>18</v>
      </c>
      <c r="C2538" s="134" t="s">
        <v>157</v>
      </c>
      <c r="D2538" s="134" t="s">
        <v>74</v>
      </c>
      <c r="E2538" s="135">
        <f t="shared" si="59"/>
        <v>8</v>
      </c>
      <c r="F2538" s="134" t="s">
        <v>3820</v>
      </c>
      <c r="G2538" s="63" t="str">
        <f>VLOOKUP(C2538, 'Class Def. - General Data'!$C$20:$C$1000,1,false)</f>
        <v>ZPI1_ALAT_KEBRSIHN</v>
      </c>
      <c r="H2538" s="63" t="str">
        <f>IFERROR(__xludf.DUMMYFUNCTION("VLOOKUP(F2538, IMPORTRANGE(""https://docs.google.com/spreadsheets/d/1Lhp9OU0JdFf_VYSMzH5lBcEaU4o8teT1piV-SNzShjg/edit?gid=554141278#gid=554141278"", ""'Char Def. - Attributes'!C20:C2242""), 1,false)"),"MATERIAL_ALAT_KEBERSIHN")</f>
        <v>MATERIAL_ALAT_KEBERSIHN</v>
      </c>
      <c r="I2538" s="136"/>
    </row>
    <row r="2539" ht="15.75" customHeight="1">
      <c r="B2539" s="63">
        <f t="shared" si="1"/>
        <v>18</v>
      </c>
      <c r="C2539" s="134" t="s">
        <v>157</v>
      </c>
      <c r="D2539" s="134" t="s">
        <v>74</v>
      </c>
      <c r="E2539" s="135">
        <f t="shared" si="59"/>
        <v>9</v>
      </c>
      <c r="F2539" s="134" t="s">
        <v>3786</v>
      </c>
      <c r="G2539" s="63" t="str">
        <f>VLOOKUP(C2539, 'Class Def. - General Data'!$C$20:$C$1000,1,false)</f>
        <v>ZPI1_ALAT_KEBRSIHN</v>
      </c>
      <c r="H2539" s="63" t="str">
        <f>IFERROR(__xludf.DUMMYFUNCTION("VLOOKUP(F2539, IMPORTRANGE(""https://docs.google.com/spreadsheets/d/1Lhp9OU0JdFf_VYSMzH5lBcEaU4o8teT1piV-SNzShjg/edit?gid=554141278#gid=554141278"", ""'Char Def. - Attributes'!C20:C2242""), 1,false)"),"SIZE_UNIT_DIMENSI")</f>
        <v>SIZE_UNIT_DIMENSI</v>
      </c>
      <c r="I2539" s="136"/>
    </row>
    <row r="2540" ht="15.75" customHeight="1">
      <c r="B2540" s="63">
        <f t="shared" si="1"/>
        <v>18</v>
      </c>
      <c r="C2540" s="134" t="s">
        <v>157</v>
      </c>
      <c r="D2540" s="134" t="s">
        <v>74</v>
      </c>
      <c r="E2540" s="135">
        <f t="shared" si="59"/>
        <v>10</v>
      </c>
      <c r="F2540" s="134" t="s">
        <v>3785</v>
      </c>
      <c r="G2540" s="63" t="str">
        <f>VLOOKUP(C2540, 'Class Def. - General Data'!$C$20:$C$1000,1,false)</f>
        <v>ZPI1_ALAT_KEBRSIHN</v>
      </c>
      <c r="H2540" s="63" t="str">
        <f>IFERROR(__xludf.DUMMYFUNCTION("VLOOKUP(F2540, IMPORTRANGE(""https://docs.google.com/spreadsheets/d/1Lhp9OU0JdFf_VYSMzH5lBcEaU4o8teT1piV-SNzShjg/edit?gid=554141278#gid=554141278"", ""'Char Def. - Attributes'!C20:C2242""), 1,false)"),"ITEM_SHAPE")</f>
        <v>ITEM_SHAPE</v>
      </c>
      <c r="I2540" s="136"/>
    </row>
    <row r="2541" ht="15.75" customHeight="1">
      <c r="B2541" s="63">
        <f t="shared" si="1"/>
        <v>18</v>
      </c>
      <c r="C2541" s="134" t="s">
        <v>157</v>
      </c>
      <c r="D2541" s="134" t="s">
        <v>74</v>
      </c>
      <c r="E2541" s="135">
        <f t="shared" si="59"/>
        <v>11</v>
      </c>
      <c r="F2541" s="135" t="s">
        <v>3787</v>
      </c>
      <c r="G2541" s="63" t="str">
        <f>VLOOKUP(C2541, 'Class Def. - General Data'!$C$20:$C$1000,1,false)</f>
        <v>ZPI1_ALAT_KEBRSIHN</v>
      </c>
      <c r="H2541" s="63" t="str">
        <f>IFERROR(__xludf.DUMMYFUNCTION("VLOOKUP(F2541, IMPORTRANGE(""https://docs.google.com/spreadsheets/d/1Lhp9OU0JdFf_VYSMzH5lBcEaU4o8teT1piV-SNzShjg/edit?gid=554141278#gid=554141278"", ""'Char Def. - Attributes'!C20:C2242""), 1,false)"),"DIAMETER_PCS")</f>
        <v>DIAMETER_PCS</v>
      </c>
      <c r="I2541" s="136"/>
    </row>
    <row r="2542" ht="15.75" customHeight="1">
      <c r="B2542" s="63">
        <f t="shared" si="1"/>
        <v>18</v>
      </c>
      <c r="C2542" s="134" t="s">
        <v>157</v>
      </c>
      <c r="D2542" s="134" t="s">
        <v>74</v>
      </c>
      <c r="E2542" s="135">
        <f t="shared" si="59"/>
        <v>12</v>
      </c>
      <c r="F2542" s="134" t="s">
        <v>3788</v>
      </c>
      <c r="G2542" s="63" t="str">
        <f>VLOOKUP(C2542, 'Class Def. - General Data'!$C$20:$C$1000,1,false)</f>
        <v>ZPI1_ALAT_KEBRSIHN</v>
      </c>
      <c r="H2542" s="63" t="str">
        <f>IFERROR(__xludf.DUMMYFUNCTION("VLOOKUP(F2542, IMPORTRANGE(""https://docs.google.com/spreadsheets/d/1Lhp9OU0JdFf_VYSMzH5lBcEaU4o8teT1piV-SNzShjg/edit?gid=554141278#gid=554141278"", ""'Char Def. - Attributes'!C20:C2242""), 1,false)"),"LENGTH_PCS")</f>
        <v>LENGTH_PCS</v>
      </c>
      <c r="I2542" s="136"/>
    </row>
    <row r="2543" ht="15.75" customHeight="1">
      <c r="B2543" s="63">
        <f t="shared" si="1"/>
        <v>18</v>
      </c>
      <c r="C2543" s="134" t="s">
        <v>157</v>
      </c>
      <c r="D2543" s="134" t="s">
        <v>74</v>
      </c>
      <c r="E2543" s="135">
        <f t="shared" si="59"/>
        <v>13</v>
      </c>
      <c r="F2543" s="134" t="s">
        <v>3789</v>
      </c>
      <c r="G2543" s="63" t="str">
        <f>VLOOKUP(C2543, 'Class Def. - General Data'!$C$20:$C$1000,1,false)</f>
        <v>ZPI1_ALAT_KEBRSIHN</v>
      </c>
      <c r="H2543" s="63" t="str">
        <f>IFERROR(__xludf.DUMMYFUNCTION("VLOOKUP(F2543, IMPORTRANGE(""https://docs.google.com/spreadsheets/d/1Lhp9OU0JdFf_VYSMzH5lBcEaU4o8teT1piV-SNzShjg/edit?gid=554141278#gid=554141278"", ""'Char Def. - Attributes'!C20:C2242""), 1,false)"),"WIDTH_PCS")</f>
        <v>WIDTH_PCS</v>
      </c>
      <c r="I2543" s="136"/>
    </row>
    <row r="2544" ht="15.75" customHeight="1">
      <c r="B2544" s="63">
        <f t="shared" si="1"/>
        <v>18</v>
      </c>
      <c r="C2544" s="134" t="s">
        <v>157</v>
      </c>
      <c r="D2544" s="134" t="s">
        <v>74</v>
      </c>
      <c r="E2544" s="135">
        <f t="shared" si="59"/>
        <v>14</v>
      </c>
      <c r="F2544" s="134" t="s">
        <v>3790</v>
      </c>
      <c r="G2544" s="63" t="str">
        <f>VLOOKUP(C2544, 'Class Def. - General Data'!$C$20:$C$1000,1,false)</f>
        <v>ZPI1_ALAT_KEBRSIHN</v>
      </c>
      <c r="H2544" s="63" t="str">
        <f>IFERROR(__xludf.DUMMYFUNCTION("VLOOKUP(F2544, IMPORTRANGE(""https://docs.google.com/spreadsheets/d/1Lhp9OU0JdFf_VYSMzH5lBcEaU4o8teT1piV-SNzShjg/edit?gid=554141278#gid=554141278"", ""'Char Def. - Attributes'!C20:C2242""), 1,false)"),"HEIGHT_PCS")</f>
        <v>HEIGHT_PCS</v>
      </c>
      <c r="I2544" s="136"/>
    </row>
    <row r="2545" ht="15.75" customHeight="1">
      <c r="B2545" s="63">
        <f t="shared" si="1"/>
        <v>18</v>
      </c>
      <c r="C2545" s="134" t="s">
        <v>157</v>
      </c>
      <c r="D2545" s="134" t="s">
        <v>74</v>
      </c>
      <c r="E2545" s="135">
        <f t="shared" si="59"/>
        <v>15</v>
      </c>
      <c r="F2545" s="134" t="s">
        <v>3791</v>
      </c>
      <c r="G2545" s="63" t="str">
        <f>VLOOKUP(C2545, 'Class Def. - General Data'!$C$20:$C$1000,1,false)</f>
        <v>ZPI1_ALAT_KEBRSIHN</v>
      </c>
      <c r="H2545" s="63" t="str">
        <f>IFERROR(__xludf.DUMMYFUNCTION("VLOOKUP(F2545, IMPORTRANGE(""https://docs.google.com/spreadsheets/d/1Lhp9OU0JdFf_VYSMzH5lBcEaU4o8teT1piV-SNzShjg/edit?gid=554141278#gid=554141278"", ""'Char Def. - Attributes'!C20:C2242""), 1,false)"),"HAS_SPESIFIC_COLOUR")</f>
        <v>HAS_SPESIFIC_COLOUR</v>
      </c>
      <c r="I2545" s="136"/>
    </row>
    <row r="2546" ht="15.75" customHeight="1">
      <c r="B2546" s="63">
        <f t="shared" si="1"/>
        <v>18</v>
      </c>
      <c r="C2546" s="134" t="s">
        <v>157</v>
      </c>
      <c r="D2546" s="134" t="s">
        <v>74</v>
      </c>
      <c r="E2546" s="135">
        <f t="shared" si="59"/>
        <v>16</v>
      </c>
      <c r="F2546" s="134" t="s">
        <v>3792</v>
      </c>
      <c r="G2546" s="63" t="str">
        <f>VLOOKUP(C2546, 'Class Def. - General Data'!$C$20:$C$1000,1,false)</f>
        <v>ZPI1_ALAT_KEBRSIHN</v>
      </c>
      <c r="H2546" s="63" t="str">
        <f>IFERROR(__xludf.DUMMYFUNCTION("VLOOKUP(F2546, IMPORTRANGE(""https://docs.google.com/spreadsheets/d/1Lhp9OU0JdFf_VYSMzH5lBcEaU4o8teT1piV-SNzShjg/edit?gid=554141278#gid=554141278"", ""'Char Def. - Attributes'!C20:C2242""), 1,false)"),"COLOUR")</f>
        <v>COLOUR</v>
      </c>
      <c r="I2546" s="136"/>
    </row>
    <row r="2547" ht="15.75" customHeight="1">
      <c r="B2547" s="63">
        <f t="shared" si="1"/>
        <v>18</v>
      </c>
      <c r="C2547" s="134" t="s">
        <v>157</v>
      </c>
      <c r="D2547" s="134" t="s">
        <v>74</v>
      </c>
      <c r="E2547" s="135">
        <f t="shared" si="59"/>
        <v>17</v>
      </c>
      <c r="F2547" s="134" t="s">
        <v>3793</v>
      </c>
      <c r="G2547" s="63" t="str">
        <f>VLOOKUP(C2547, 'Class Def. - General Data'!$C$20:$C$1000,1,false)</f>
        <v>ZPI1_ALAT_KEBRSIHN</v>
      </c>
      <c r="H2547" s="63" t="str">
        <f>IFERROR(__xludf.DUMMYFUNCTION("VLOOKUP(F2547, IMPORTRANGE(""https://docs.google.com/spreadsheets/d/1Lhp9OU0JdFf_VYSMzH5lBcEaU4o8teT1piV-SNzShjg/edit?gid=554141278#gid=554141278"", ""'Char Def. - Attributes'!C20:C2242""), 1,false)"),"EMBOSSED_SPESIFIC_DESAIN")</f>
        <v>EMBOSSED_SPESIFIC_DESAIN</v>
      </c>
      <c r="I2547" s="136"/>
    </row>
    <row r="2548" ht="15.75" customHeight="1">
      <c r="B2548" s="63">
        <f t="shared" si="1"/>
        <v>18</v>
      </c>
      <c r="C2548" s="134" t="s">
        <v>157</v>
      </c>
      <c r="D2548" s="134" t="s">
        <v>74</v>
      </c>
      <c r="E2548" s="135">
        <f t="shared" si="59"/>
        <v>18</v>
      </c>
      <c r="F2548" s="134" t="s">
        <v>3794</v>
      </c>
      <c r="G2548" s="63" t="str">
        <f>VLOOKUP(C2548, 'Class Def. - General Data'!$C$20:$C$1000,1,false)</f>
        <v>ZPI1_ALAT_KEBRSIHN</v>
      </c>
      <c r="H2548" s="63" t="str">
        <f>IFERROR(__xludf.DUMMYFUNCTION("VLOOKUP(F2548, IMPORTRANGE(""https://docs.google.com/spreadsheets/d/1Lhp9OU0JdFf_VYSMzH5lBcEaU4o8teT1piV-SNzShjg/edit?gid=554141278#gid=554141278"", ""'Char Def. - Attributes'!C20:C2242""), 1,false)"),"DESAIN_NAME")</f>
        <v>DESAIN_NAME</v>
      </c>
      <c r="I2548" s="136"/>
    </row>
    <row r="2549" ht="15.75" customHeight="1">
      <c r="B2549" s="63">
        <f t="shared" si="1"/>
        <v>18</v>
      </c>
      <c r="C2549" s="134" t="s">
        <v>157</v>
      </c>
      <c r="D2549" s="134" t="s">
        <v>74</v>
      </c>
      <c r="E2549" s="135">
        <f t="shared" si="59"/>
        <v>19</v>
      </c>
      <c r="F2549" s="134" t="s">
        <v>3795</v>
      </c>
      <c r="G2549" s="63" t="str">
        <f>VLOOKUP(C2549, 'Class Def. - General Data'!$C$20:$C$1000,1,false)</f>
        <v>ZPI1_ALAT_KEBRSIHN</v>
      </c>
      <c r="H2549" s="63" t="str">
        <f>IFERROR(__xludf.DUMMYFUNCTION("VLOOKUP(F2549, IMPORTRANGE(""https://docs.google.com/spreadsheets/d/1Lhp9OU0JdFf_VYSMzH5lBcEaU4o8teT1piV-SNzShjg/edit?gid=554141278#gid=554141278"", ""'Char Def. - Attributes'!C20:C2242""), 1,false)"),"DESAIN_MONTH")</f>
        <v>DESAIN_MONTH</v>
      </c>
      <c r="I2549" s="136"/>
    </row>
    <row r="2550" ht="15.75" customHeight="1">
      <c r="B2550" s="63">
        <f t="shared" si="1"/>
        <v>18</v>
      </c>
      <c r="C2550" s="134" t="s">
        <v>157</v>
      </c>
      <c r="D2550" s="134" t="s">
        <v>74</v>
      </c>
      <c r="E2550" s="135">
        <f t="shared" si="59"/>
        <v>20</v>
      </c>
      <c r="F2550" s="134" t="s">
        <v>3796</v>
      </c>
      <c r="G2550" s="63" t="str">
        <f>VLOOKUP(C2550, 'Class Def. - General Data'!$C$20:$C$1000,1,false)</f>
        <v>ZPI1_ALAT_KEBRSIHN</v>
      </c>
      <c r="H2550" s="63" t="str">
        <f>IFERROR(__xludf.DUMMYFUNCTION("VLOOKUP(F2550, IMPORTRANGE(""https://docs.google.com/spreadsheets/d/1Lhp9OU0JdFf_VYSMzH5lBcEaU4o8teT1piV-SNzShjg/edit?gid=554141278#gid=554141278"", ""'Char Def. - Attributes'!C20:C2242""), 1,false)"),"DESAIN_YEAR")</f>
        <v>DESAIN_YEAR</v>
      </c>
      <c r="I2550" s="136"/>
    </row>
    <row r="2551" ht="15.75" customHeight="1">
      <c r="B2551" s="63">
        <f t="shared" si="1"/>
        <v>18</v>
      </c>
      <c r="C2551" s="134" t="s">
        <v>157</v>
      </c>
      <c r="D2551" s="134" t="s">
        <v>74</v>
      </c>
      <c r="E2551" s="135">
        <f t="shared" si="59"/>
        <v>21</v>
      </c>
      <c r="F2551" s="134" t="s">
        <v>3797</v>
      </c>
      <c r="G2551" s="63" t="str">
        <f>VLOOKUP(C2551, 'Class Def. - General Data'!$C$20:$C$1000,1,false)</f>
        <v>ZPI1_ALAT_KEBRSIHN</v>
      </c>
      <c r="H2551" s="63" t="str">
        <f>IFERROR(__xludf.DUMMYFUNCTION("VLOOKUP(F2551, IMPORTRANGE(""https://docs.google.com/spreadsheets/d/1Lhp9OU0JdFf_VYSMzH5lBcEaU4o8teT1piV-SNzShjg/edit?gid=554141278#gid=554141278"", ""'Char Def. - Attributes'!C20:C2242""), 1,false)"),"SPEC_QTY_IN_ONE_BUNDLE")</f>
        <v>SPEC_QTY_IN_ONE_BUNDLE</v>
      </c>
      <c r="I2551" s="136"/>
    </row>
    <row r="2552" ht="15.75" customHeight="1">
      <c r="B2552" s="63">
        <f t="shared" si="1"/>
        <v>18</v>
      </c>
      <c r="C2552" s="134" t="s">
        <v>157</v>
      </c>
      <c r="D2552" s="134" t="s">
        <v>74</v>
      </c>
      <c r="E2552" s="135">
        <f t="shared" si="59"/>
        <v>22</v>
      </c>
      <c r="F2552" s="134" t="s">
        <v>3798</v>
      </c>
      <c r="G2552" s="63" t="str">
        <f>VLOOKUP(C2552, 'Class Def. - General Data'!$C$20:$C$1000,1,false)</f>
        <v>ZPI1_ALAT_KEBRSIHN</v>
      </c>
      <c r="H2552" s="63" t="str">
        <f>IFERROR(__xludf.DUMMYFUNCTION("VLOOKUP(F2552, IMPORTRANGE(""https://docs.google.com/spreadsheets/d/1Lhp9OU0JdFf_VYSMzH5lBcEaU4o8teT1piV-SNzShjg/edit?gid=554141278#gid=554141278"", ""'Char Def. - Attributes'!C20:C2242""), 1,false)"),"QTY_IN_ONE_BUNDLE")</f>
        <v>QTY_IN_ONE_BUNDLE</v>
      </c>
      <c r="I2552" s="136"/>
    </row>
    <row r="2553" ht="15.75" customHeight="1">
      <c r="B2553" s="63">
        <f t="shared" si="1"/>
        <v>18</v>
      </c>
      <c r="C2553" s="134" t="s">
        <v>157</v>
      </c>
      <c r="D2553" s="134" t="s">
        <v>74</v>
      </c>
      <c r="E2553" s="135">
        <f t="shared" si="59"/>
        <v>23</v>
      </c>
      <c r="F2553" s="134" t="s">
        <v>3585</v>
      </c>
      <c r="G2553" s="63" t="str">
        <f>VLOOKUP(C2553, 'Class Def. - General Data'!$C$20:$C$1000,1,false)</f>
        <v>ZPI1_ALAT_KEBRSIHN</v>
      </c>
      <c r="H2553" s="63" t="str">
        <f>IFERROR(__xludf.DUMMYFUNCTION("VLOOKUP(F2553, IMPORTRANGE(""https://docs.google.com/spreadsheets/d/1Lhp9OU0JdFf_VYSMzH5lBcEaU4o8teT1piV-SNzShjg/edit?gid=554141278#gid=554141278"", ""'Char Def. - Attributes'!C20:C2242""), 1,false)"),"HS_CODE")</f>
        <v>HS_CODE</v>
      </c>
      <c r="I2553" s="136"/>
    </row>
    <row r="2554" ht="15.75" customHeight="1">
      <c r="B2554" s="63">
        <f t="shared" si="1"/>
        <v>18</v>
      </c>
      <c r="C2554" s="134" t="s">
        <v>157</v>
      </c>
      <c r="D2554" s="134" t="s">
        <v>74</v>
      </c>
      <c r="E2554" s="135">
        <f t="shared" si="59"/>
        <v>24</v>
      </c>
      <c r="F2554" s="134" t="s">
        <v>3799</v>
      </c>
      <c r="G2554" s="63" t="str">
        <f>VLOOKUP(C2554, 'Class Def. - General Data'!$C$20:$C$1000,1,false)</f>
        <v>ZPI1_ALAT_KEBRSIHN</v>
      </c>
      <c r="H2554" s="63" t="str">
        <f>IFERROR(__xludf.DUMMYFUNCTION("VLOOKUP(F2554, IMPORTRANGE(""https://docs.google.com/spreadsheets/d/1Lhp9OU0JdFf_VYSMzH5lBcEaU4o8teT1piV-SNzShjg/edit?gid=554141278#gid=554141278"", ""'Char Def. - Attributes'!C20:C2242""), 1,false)"),"BASE_UNIT_ZPI1")</f>
        <v>BASE_UNIT_ZPI1</v>
      </c>
      <c r="I2554" s="136"/>
    </row>
    <row r="2555" ht="15.75" customHeight="1">
      <c r="B2555" s="63">
        <f t="shared" si="1"/>
        <v>18</v>
      </c>
      <c r="C2555" s="134" t="s">
        <v>157</v>
      </c>
      <c r="D2555" s="134" t="s">
        <v>74</v>
      </c>
      <c r="E2555" s="135">
        <f t="shared" si="59"/>
        <v>25</v>
      </c>
      <c r="F2555" s="135" t="s">
        <v>3800</v>
      </c>
      <c r="G2555" s="63" t="str">
        <f>VLOOKUP(C2555, 'Class Def. - General Data'!$C$20:$C$1000,1,false)</f>
        <v>ZPI1_ALAT_KEBRSIHN</v>
      </c>
      <c r="H2555" s="63" t="str">
        <f>IFERROR(__xludf.DUMMYFUNCTION("VLOOKUP(F2555, IMPORTRANGE(""https://docs.google.com/spreadsheets/d/1Lhp9OU0JdFf_VYSMzH5lBcEaU4o8teT1piV-SNzShjg/edit?gid=554141278#gid=554141278"", ""'Char Def. - Attributes'!C20:C2242""), 1,false)"),"ORDER_UNIT_DIFF_FROM_BASIC_UOM")</f>
        <v>ORDER_UNIT_DIFF_FROM_BASIC_UOM</v>
      </c>
      <c r="I2555" s="136"/>
    </row>
    <row r="2556" ht="15.75" customHeight="1">
      <c r="B2556" s="63">
        <f t="shared" si="1"/>
        <v>18</v>
      </c>
      <c r="C2556" s="134" t="s">
        <v>157</v>
      </c>
      <c r="D2556" s="134" t="s">
        <v>74</v>
      </c>
      <c r="E2556" s="135">
        <f t="shared" si="59"/>
        <v>26</v>
      </c>
      <c r="F2556" s="135" t="s">
        <v>3801</v>
      </c>
      <c r="G2556" s="63" t="str">
        <f>VLOOKUP(C2556, 'Class Def. - General Data'!$C$20:$C$1000,1,false)</f>
        <v>ZPI1_ALAT_KEBRSIHN</v>
      </c>
      <c r="H2556" s="63" t="str">
        <f>IFERROR(__xludf.DUMMYFUNCTION("VLOOKUP(F2556, IMPORTRANGE(""https://docs.google.com/spreadsheets/d/1Lhp9OU0JdFf_VYSMzH5lBcEaU4o8teT1piV-SNzShjg/edit?gid=554141278#gid=554141278"", ""'Char Def. - Attributes'!C20:C2242""), 1,false)"),"ORDER_UNIT_ZPI1")</f>
        <v>ORDER_UNIT_ZPI1</v>
      </c>
      <c r="I2556" s="136"/>
    </row>
    <row r="2557" ht="15.75" customHeight="1">
      <c r="B2557" s="63">
        <f t="shared" si="1"/>
        <v>18</v>
      </c>
      <c r="C2557" s="134" t="s">
        <v>157</v>
      </c>
      <c r="D2557" s="134" t="s">
        <v>74</v>
      </c>
      <c r="E2557" s="135">
        <f t="shared" si="59"/>
        <v>27</v>
      </c>
      <c r="F2557" s="134" t="s">
        <v>3802</v>
      </c>
      <c r="G2557" s="63" t="str">
        <f>VLOOKUP(C2557, 'Class Def. - General Data'!$C$20:$C$1000,1,false)</f>
        <v>ZPI1_ALAT_KEBRSIHN</v>
      </c>
      <c r="H2557" s="63" t="str">
        <f>IFERROR(__xludf.DUMMYFUNCTION("VLOOKUP(F2557, IMPORTRANGE(""https://docs.google.com/spreadsheets/d/1Lhp9OU0JdFf_VYSMzH5lBcEaU4o8teT1piV-SNzShjg/edit?gid=554141278#gid=554141278"", ""'Char Def. - Attributes'!C20:C2242""), 1,false)"),"WEIGHT_UNIT_PI")</f>
        <v>WEIGHT_UNIT_PI</v>
      </c>
      <c r="I2557" s="136"/>
    </row>
    <row r="2558" ht="15.75" customHeight="1">
      <c r="B2558" s="63">
        <f t="shared" si="1"/>
        <v>18</v>
      </c>
      <c r="C2558" s="134" t="s">
        <v>157</v>
      </c>
      <c r="D2558" s="134" t="s">
        <v>74</v>
      </c>
      <c r="E2558" s="135">
        <f t="shared" si="59"/>
        <v>28</v>
      </c>
      <c r="F2558" s="134" t="s">
        <v>3602</v>
      </c>
      <c r="G2558" s="63" t="str">
        <f>VLOOKUP(C2558, 'Class Def. - General Data'!$C$20:$C$1000,1,false)</f>
        <v>ZPI1_ALAT_KEBRSIHN</v>
      </c>
      <c r="H2558" s="63" t="str">
        <f>IFERROR(__xludf.DUMMYFUNCTION("VLOOKUP(F2558, IMPORTRANGE(""https://docs.google.com/spreadsheets/d/1Lhp9OU0JdFf_VYSMzH5lBcEaU4o8teT1piV-SNzShjg/edit?gid=554141278#gid=554141278"", ""'Char Def. - Attributes'!C20:C2242""), 1,false)"),"NET_WEIGHT")</f>
        <v>NET_WEIGHT</v>
      </c>
      <c r="I2558" s="136"/>
    </row>
    <row r="2559" ht="15.75" customHeight="1">
      <c r="B2559" s="63">
        <f t="shared" si="1"/>
        <v>18</v>
      </c>
      <c r="C2559" s="134" t="s">
        <v>157</v>
      </c>
      <c r="D2559" s="134" t="s">
        <v>74</v>
      </c>
      <c r="E2559" s="135">
        <f t="shared" si="59"/>
        <v>29</v>
      </c>
      <c r="F2559" s="134" t="s">
        <v>3601</v>
      </c>
      <c r="G2559" s="63" t="str">
        <f>VLOOKUP(C2559, 'Class Def. - General Data'!$C$20:$C$1000,1,false)</f>
        <v>ZPI1_ALAT_KEBRSIHN</v>
      </c>
      <c r="H2559" s="63" t="str">
        <f>IFERROR(__xludf.DUMMYFUNCTION("VLOOKUP(F2559, IMPORTRANGE(""https://docs.google.com/spreadsheets/d/1Lhp9OU0JdFf_VYSMzH5lBcEaU4o8teT1piV-SNzShjg/edit?gid=554141278#gid=554141278"", ""'Char Def. - Attributes'!C20:C2242""), 1,false)"),"GROSS_WEIGHT")</f>
        <v>GROSS_WEIGHT</v>
      </c>
      <c r="I2559" s="136"/>
    </row>
    <row r="2560" ht="15.75" customHeight="1">
      <c r="B2560" s="63">
        <f t="shared" si="1"/>
        <v>18</v>
      </c>
      <c r="C2560" s="134" t="s">
        <v>157</v>
      </c>
      <c r="D2560" s="134" t="s">
        <v>74</v>
      </c>
      <c r="E2560" s="135">
        <f t="shared" si="59"/>
        <v>30</v>
      </c>
      <c r="F2560" s="134" t="s">
        <v>3803</v>
      </c>
      <c r="G2560" s="63" t="str">
        <f>VLOOKUP(C2560, 'Class Def. - General Data'!$C$20:$C$1000,1,false)</f>
        <v>ZPI1_ALAT_KEBRSIHN</v>
      </c>
      <c r="H2560" s="63" t="str">
        <f>IFERROR(__xludf.DUMMYFUNCTION("VLOOKUP(F2560, IMPORTRANGE(""https://docs.google.com/spreadsheets/d/1Lhp9OU0JdFf_VYSMzH5lBcEaU4o8teT1piV-SNzShjg/edit?gid=554141278#gid=554141278"", ""'Char Def. - Attributes'!C20:C2242""), 1,false)"),"VOLUME_UNIT_PI")</f>
        <v>VOLUME_UNIT_PI</v>
      </c>
      <c r="I2560" s="136"/>
    </row>
    <row r="2561" ht="15.75" customHeight="1">
      <c r="B2561" s="63">
        <f t="shared" si="1"/>
        <v>18</v>
      </c>
      <c r="C2561" s="134" t="s">
        <v>157</v>
      </c>
      <c r="D2561" s="134" t="s">
        <v>74</v>
      </c>
      <c r="E2561" s="135">
        <f t="shared" si="59"/>
        <v>31</v>
      </c>
      <c r="F2561" s="134" t="s">
        <v>3603</v>
      </c>
      <c r="G2561" s="63" t="str">
        <f>VLOOKUP(C2561, 'Class Def. - General Data'!$C$20:$C$1000,1,false)</f>
        <v>ZPI1_ALAT_KEBRSIHN</v>
      </c>
      <c r="H2561" s="63" t="str">
        <f>IFERROR(__xludf.DUMMYFUNCTION("VLOOKUP(F2561, IMPORTRANGE(""https://docs.google.com/spreadsheets/d/1Lhp9OU0JdFf_VYSMzH5lBcEaU4o8teT1piV-SNzShjg/edit?gid=554141278#gid=554141278"", ""'Char Def. - Attributes'!C20:C2242""), 1,false)"),"VOLUME")</f>
        <v>VOLUME</v>
      </c>
      <c r="I2561" s="136"/>
    </row>
    <row r="2562" ht="15.75" customHeight="1">
      <c r="B2562" s="63">
        <f t="shared" si="1"/>
        <v>18</v>
      </c>
      <c r="C2562" s="134" t="s">
        <v>157</v>
      </c>
      <c r="D2562" s="134" t="s">
        <v>74</v>
      </c>
      <c r="E2562" s="135">
        <f t="shared" si="59"/>
        <v>32</v>
      </c>
      <c r="F2562" s="134" t="s">
        <v>3587</v>
      </c>
      <c r="G2562" s="63" t="str">
        <f>VLOOKUP(C2562, 'Class Def. - General Data'!$C$20:$C$1000,1,false)</f>
        <v>ZPI1_ALAT_KEBRSIHN</v>
      </c>
      <c r="H2562" s="63" t="str">
        <f>IFERROR(__xludf.DUMMYFUNCTION("VLOOKUP(F2562, IMPORTRANGE(""https://docs.google.com/spreadsheets/d/1Lhp9OU0JdFf_VYSMzH5lBcEaU4o8teT1piV-SNzShjg/edit?gid=554141278#gid=554141278"", ""'Char Def. - Attributes'!C20:C2242""), 1,false)"),"PLANT_BUY")</f>
        <v>PLANT_BUY</v>
      </c>
      <c r="I2562" s="136"/>
    </row>
    <row r="2563" ht="15.75" customHeight="1">
      <c r="B2563" s="63">
        <f t="shared" si="1"/>
        <v>18</v>
      </c>
      <c r="C2563" s="134" t="s">
        <v>157</v>
      </c>
      <c r="D2563" s="134" t="s">
        <v>74</v>
      </c>
      <c r="E2563" s="135">
        <f t="shared" si="59"/>
        <v>33</v>
      </c>
      <c r="F2563" s="134" t="s">
        <v>3804</v>
      </c>
      <c r="G2563" s="63" t="str">
        <f>VLOOKUP(C2563, 'Class Def. - General Data'!$C$20:$C$1000,1,false)</f>
        <v>ZPI1_ALAT_KEBRSIHN</v>
      </c>
      <c r="H2563" s="63" t="str">
        <f>IFERROR(__xludf.DUMMYFUNCTION("VLOOKUP(F2563, IMPORTRANGE(""https://docs.google.com/spreadsheets/d/1Lhp9OU0JdFf_VYSMzH5lBcEaU4o8teT1piV-SNzShjg/edit?gid=554141278#gid=554141278"", ""'Char Def. - Attributes'!C20:C2242""), 1,false)"),"ALT_UOM1_SIPI")</f>
        <v>ALT_UOM1_SIPI</v>
      </c>
      <c r="I2563" s="136"/>
    </row>
    <row r="2564" ht="15.75" customHeight="1">
      <c r="B2564" s="63">
        <f t="shared" si="1"/>
        <v>18</v>
      </c>
      <c r="C2564" s="134" t="s">
        <v>157</v>
      </c>
      <c r="D2564" s="134" t="s">
        <v>74</v>
      </c>
      <c r="E2564" s="135">
        <f t="shared" si="59"/>
        <v>34</v>
      </c>
      <c r="F2564" s="134" t="s">
        <v>3805</v>
      </c>
      <c r="G2564" s="63" t="str">
        <f>VLOOKUP(C2564, 'Class Def. - General Data'!$C$20:$C$1000,1,false)</f>
        <v>ZPI1_ALAT_KEBRSIHN</v>
      </c>
      <c r="H2564" s="63" t="str">
        <f>IFERROR(__xludf.DUMMYFUNCTION("VLOOKUP(F2564, IMPORTRANGE(""https://docs.google.com/spreadsheets/d/1Lhp9OU0JdFf_VYSMzH5lBcEaU4o8teT1piV-SNzShjg/edit?gid=554141278#gid=554141278"", ""'Char Def. - Attributes'!C20:C2242""), 1,false)"),"ALT_DENUM_UOM1")</f>
        <v>ALT_DENUM_UOM1</v>
      </c>
      <c r="I2564" s="136"/>
    </row>
    <row r="2565" ht="15.75" customHeight="1">
      <c r="B2565" s="63">
        <f t="shared" si="1"/>
        <v>18</v>
      </c>
      <c r="C2565" s="134" t="s">
        <v>157</v>
      </c>
      <c r="D2565" s="134" t="s">
        <v>74</v>
      </c>
      <c r="E2565" s="135">
        <f t="shared" si="59"/>
        <v>35</v>
      </c>
      <c r="F2565" s="134" t="s">
        <v>3806</v>
      </c>
      <c r="G2565" s="63" t="str">
        <f>VLOOKUP(C2565, 'Class Def. - General Data'!$C$20:$C$1000,1,false)</f>
        <v>ZPI1_ALAT_KEBRSIHN</v>
      </c>
      <c r="H2565" s="63" t="str">
        <f>IFERROR(__xludf.DUMMYFUNCTION("VLOOKUP(F2565, IMPORTRANGE(""https://docs.google.com/spreadsheets/d/1Lhp9OU0JdFf_VYSMzH5lBcEaU4o8teT1piV-SNzShjg/edit?gid=554141278#gid=554141278"", ""'Char Def. - Attributes'!C20:C2242""), 1,false)"),"ALT_NUM_UOM1")</f>
        <v>ALT_NUM_UOM1</v>
      </c>
      <c r="I2565" s="136"/>
    </row>
    <row r="2566" ht="15.75" customHeight="1">
      <c r="B2566" s="63">
        <f t="shared" si="1"/>
        <v>18</v>
      </c>
      <c r="C2566" s="134" t="s">
        <v>157</v>
      </c>
      <c r="D2566" s="134" t="s">
        <v>74</v>
      </c>
      <c r="E2566" s="135">
        <f t="shared" si="59"/>
        <v>36</v>
      </c>
      <c r="F2566" s="134" t="s">
        <v>3807</v>
      </c>
      <c r="G2566" s="63" t="str">
        <f>VLOOKUP(C2566, 'Class Def. - General Data'!$C$20:$C$1000,1,false)</f>
        <v>ZPI1_ALAT_KEBRSIHN</v>
      </c>
      <c r="H2566" s="63" t="str">
        <f>IFERROR(__xludf.DUMMYFUNCTION("VLOOKUP(F2566, IMPORTRANGE(""https://docs.google.com/spreadsheets/d/1Lhp9OU0JdFf_VYSMzH5lBcEaU4o8teT1piV-SNzShjg/edit?gid=554141278#gid=554141278"", ""'Char Def. - Attributes'!C20:C2242""), 1,false)"),"ALT_UOM2_SIPI")</f>
        <v>ALT_UOM2_SIPI</v>
      </c>
      <c r="I2566" s="136"/>
    </row>
    <row r="2567" ht="15.75" customHeight="1">
      <c r="B2567" s="63">
        <f t="shared" si="1"/>
        <v>18</v>
      </c>
      <c r="C2567" s="134" t="s">
        <v>157</v>
      </c>
      <c r="D2567" s="134" t="s">
        <v>74</v>
      </c>
      <c r="E2567" s="135">
        <f t="shared" si="59"/>
        <v>37</v>
      </c>
      <c r="F2567" s="134" t="s">
        <v>3808</v>
      </c>
      <c r="G2567" s="63" t="str">
        <f>VLOOKUP(C2567, 'Class Def. - General Data'!$C$20:$C$1000,1,false)</f>
        <v>ZPI1_ALAT_KEBRSIHN</v>
      </c>
      <c r="H2567" s="63" t="str">
        <f>IFERROR(__xludf.DUMMYFUNCTION("VLOOKUP(F2567, IMPORTRANGE(""https://docs.google.com/spreadsheets/d/1Lhp9OU0JdFf_VYSMzH5lBcEaU4o8teT1piV-SNzShjg/edit?gid=554141278#gid=554141278"", ""'Char Def. - Attributes'!C20:C2242""), 1,false)"),"ALT_DENUM_UOM2")</f>
        <v>ALT_DENUM_UOM2</v>
      </c>
      <c r="I2567" s="136"/>
    </row>
    <row r="2568" ht="15.75" customHeight="1">
      <c r="B2568" s="63">
        <f t="shared" si="1"/>
        <v>18</v>
      </c>
      <c r="C2568" s="134" t="s">
        <v>157</v>
      </c>
      <c r="D2568" s="134" t="s">
        <v>74</v>
      </c>
      <c r="E2568" s="135">
        <f t="shared" si="59"/>
        <v>38</v>
      </c>
      <c r="F2568" s="134" t="s">
        <v>3809</v>
      </c>
      <c r="G2568" s="63" t="str">
        <f>VLOOKUP(C2568, 'Class Def. - General Data'!$C$20:$C$1000,1,false)</f>
        <v>ZPI1_ALAT_KEBRSIHN</v>
      </c>
      <c r="H2568" s="63" t="str">
        <f>IFERROR(__xludf.DUMMYFUNCTION("VLOOKUP(F2568, IMPORTRANGE(""https://docs.google.com/spreadsheets/d/1Lhp9OU0JdFf_VYSMzH5lBcEaU4o8teT1piV-SNzShjg/edit?gid=554141278#gid=554141278"", ""'Char Def. - Attributes'!C20:C2242""), 1,false)"),"ALT_NUM_UOM2")</f>
        <v>ALT_NUM_UOM2</v>
      </c>
      <c r="I2568" s="136"/>
    </row>
    <row r="2569" ht="15.75" customHeight="1">
      <c r="B2569" s="63">
        <f t="shared" si="1"/>
        <v>18</v>
      </c>
      <c r="C2569" s="134" t="s">
        <v>157</v>
      </c>
      <c r="D2569" s="134" t="s">
        <v>74</v>
      </c>
      <c r="E2569" s="135">
        <f t="shared" si="59"/>
        <v>39</v>
      </c>
      <c r="F2569" s="134" t="s">
        <v>3810</v>
      </c>
      <c r="G2569" s="63" t="str">
        <f>VLOOKUP(C2569, 'Class Def. - General Data'!$C$20:$C$1000,1,false)</f>
        <v>ZPI1_ALAT_KEBRSIHN</v>
      </c>
      <c r="H2569" s="63" t="str">
        <f>IFERROR(__xludf.DUMMYFUNCTION("VLOOKUP(F2569, IMPORTRANGE(""https://docs.google.com/spreadsheets/d/1Lhp9OU0JdFf_VYSMzH5lBcEaU4o8teT1piV-SNzShjg/edit?gid=554141278#gid=554141278"", ""'Char Def. - Attributes'!C20:C2242""), 1,false)"),"ALT_UOM3_SIPI")</f>
        <v>ALT_UOM3_SIPI</v>
      </c>
      <c r="I2569" s="136"/>
    </row>
    <row r="2570" ht="15.75" customHeight="1">
      <c r="B2570" s="63">
        <f t="shared" si="1"/>
        <v>18</v>
      </c>
      <c r="C2570" s="134" t="s">
        <v>157</v>
      </c>
      <c r="D2570" s="134" t="s">
        <v>74</v>
      </c>
      <c r="E2570" s="135">
        <f t="shared" si="59"/>
        <v>40</v>
      </c>
      <c r="F2570" s="134" t="s">
        <v>3811</v>
      </c>
      <c r="G2570" s="63" t="str">
        <f>VLOOKUP(C2570, 'Class Def. - General Data'!$C$20:$C$1000,1,false)</f>
        <v>ZPI1_ALAT_KEBRSIHN</v>
      </c>
      <c r="H2570" s="63" t="str">
        <f>IFERROR(__xludf.DUMMYFUNCTION("VLOOKUP(F2570, IMPORTRANGE(""https://docs.google.com/spreadsheets/d/1Lhp9OU0JdFf_VYSMzH5lBcEaU4o8teT1piV-SNzShjg/edit?gid=554141278#gid=554141278"", ""'Char Def. - Attributes'!C20:C2242""), 1,false)"),"ALT_DENUM_UOM3")</f>
        <v>ALT_DENUM_UOM3</v>
      </c>
      <c r="I2570" s="136"/>
    </row>
    <row r="2571" ht="15.75" customHeight="1">
      <c r="B2571" s="63">
        <f t="shared" si="1"/>
        <v>18</v>
      </c>
      <c r="C2571" s="134" t="s">
        <v>157</v>
      </c>
      <c r="D2571" s="134" t="s">
        <v>74</v>
      </c>
      <c r="E2571" s="135">
        <f t="shared" si="59"/>
        <v>41</v>
      </c>
      <c r="F2571" s="134" t="s">
        <v>3812</v>
      </c>
      <c r="G2571" s="63" t="str">
        <f>VLOOKUP(C2571, 'Class Def. - General Data'!$C$20:$C$1000,1,false)</f>
        <v>ZPI1_ALAT_KEBRSIHN</v>
      </c>
      <c r="H2571" s="63" t="str">
        <f>IFERROR(__xludf.DUMMYFUNCTION("VLOOKUP(F2571, IMPORTRANGE(""https://docs.google.com/spreadsheets/d/1Lhp9OU0JdFf_VYSMzH5lBcEaU4o8teT1piV-SNzShjg/edit?gid=554141278#gid=554141278"", ""'Char Def. - Attributes'!C20:C2242""), 1,false)"),"ALT_NUM_UOM3")</f>
        <v>ALT_NUM_UOM3</v>
      </c>
      <c r="I2571" s="136"/>
    </row>
    <row r="2572" ht="15.75" customHeight="1">
      <c r="B2572" s="63">
        <f t="shared" si="1"/>
        <v>18</v>
      </c>
      <c r="C2572" s="134" t="s">
        <v>157</v>
      </c>
      <c r="D2572" s="134" t="s">
        <v>74</v>
      </c>
      <c r="E2572" s="135">
        <f t="shared" si="59"/>
        <v>42</v>
      </c>
      <c r="F2572" s="134" t="s">
        <v>3813</v>
      </c>
      <c r="G2572" s="63" t="str">
        <f>VLOOKUP(C2572, 'Class Def. - General Data'!$C$20:$C$1000,1,false)</f>
        <v>ZPI1_ALAT_KEBRSIHN</v>
      </c>
      <c r="H2572" s="63" t="str">
        <f>IFERROR(__xludf.DUMMYFUNCTION("VLOOKUP(F2572, IMPORTRANGE(""https://docs.google.com/spreadsheets/d/1Lhp9OU0JdFf_VYSMzH5lBcEaU4o8teT1piV-SNzShjg/edit?gid=554141278#gid=554141278"", ""'Char Def. - Attributes'!C20:C2242""), 1,false)"),"ALT_UOM4_SIPI")</f>
        <v>ALT_UOM4_SIPI</v>
      </c>
      <c r="I2572" s="136"/>
    </row>
    <row r="2573" ht="15.75" customHeight="1">
      <c r="B2573" s="63">
        <f t="shared" si="1"/>
        <v>18</v>
      </c>
      <c r="C2573" s="134" t="s">
        <v>157</v>
      </c>
      <c r="D2573" s="134" t="s">
        <v>74</v>
      </c>
      <c r="E2573" s="135">
        <f t="shared" si="59"/>
        <v>43</v>
      </c>
      <c r="F2573" s="134" t="s">
        <v>3814</v>
      </c>
      <c r="G2573" s="63" t="str">
        <f>VLOOKUP(C2573, 'Class Def. - General Data'!$C$20:$C$1000,1,false)</f>
        <v>ZPI1_ALAT_KEBRSIHN</v>
      </c>
      <c r="H2573" s="63" t="str">
        <f>IFERROR(__xludf.DUMMYFUNCTION("VLOOKUP(F2573, IMPORTRANGE(""https://docs.google.com/spreadsheets/d/1Lhp9OU0JdFf_VYSMzH5lBcEaU4o8teT1piV-SNzShjg/edit?gid=554141278#gid=554141278"", ""'Char Def. - Attributes'!C20:C2242""), 1,false)"),"ALT_DENUM_UOM4")</f>
        <v>ALT_DENUM_UOM4</v>
      </c>
      <c r="I2573" s="136"/>
    </row>
    <row r="2574" ht="15.75" customHeight="1">
      <c r="B2574" s="63">
        <f t="shared" si="1"/>
        <v>18</v>
      </c>
      <c r="C2574" s="134" t="s">
        <v>157</v>
      </c>
      <c r="D2574" s="134" t="s">
        <v>74</v>
      </c>
      <c r="E2574" s="135">
        <f t="shared" si="59"/>
        <v>44</v>
      </c>
      <c r="F2574" s="134" t="s">
        <v>3815</v>
      </c>
      <c r="G2574" s="63" t="str">
        <f>VLOOKUP(C2574, 'Class Def. - General Data'!$C$20:$C$1000,1,false)</f>
        <v>ZPI1_ALAT_KEBRSIHN</v>
      </c>
      <c r="H2574" s="63" t="str">
        <f>IFERROR(__xludf.DUMMYFUNCTION("VLOOKUP(F2574, IMPORTRANGE(""https://docs.google.com/spreadsheets/d/1Lhp9OU0JdFf_VYSMzH5lBcEaU4o8teT1piV-SNzShjg/edit?gid=554141278#gid=554141278"", ""'Char Def. - Attributes'!C20:C2242""), 1,false)"),"ALT_NUM_UOM4")</f>
        <v>ALT_NUM_UOM4</v>
      </c>
      <c r="I2574" s="136"/>
    </row>
    <row r="2575" ht="15.75" customHeight="1">
      <c r="B2575" s="63">
        <f t="shared" si="1"/>
        <v>18</v>
      </c>
      <c r="C2575" s="134" t="s">
        <v>157</v>
      </c>
      <c r="D2575" s="134" t="s">
        <v>74</v>
      </c>
      <c r="E2575" s="135">
        <f t="shared" si="59"/>
        <v>45</v>
      </c>
      <c r="F2575" s="134" t="s">
        <v>3816</v>
      </c>
      <c r="G2575" s="63" t="str">
        <f>VLOOKUP(C2575, 'Class Def. - General Data'!$C$20:$C$1000,1,false)</f>
        <v>ZPI1_ALAT_KEBRSIHN</v>
      </c>
      <c r="H2575" s="63" t="str">
        <f>IFERROR(__xludf.DUMMYFUNCTION("VLOOKUP(F2575, IMPORTRANGE(""https://docs.google.com/spreadsheets/d/1Lhp9OU0JdFf_VYSMzH5lBcEaU4o8teT1piV-SNzShjg/edit?gid=554141278#gid=554141278"", ""'Char Def. - Attributes'!C20:C2242""), 1,false)"),"ALT_UOM5_SIPI")</f>
        <v>ALT_UOM5_SIPI</v>
      </c>
      <c r="I2575" s="136"/>
    </row>
    <row r="2576" ht="15.75" customHeight="1">
      <c r="B2576" s="63">
        <f t="shared" si="1"/>
        <v>18</v>
      </c>
      <c r="C2576" s="134" t="s">
        <v>157</v>
      </c>
      <c r="D2576" s="134" t="s">
        <v>74</v>
      </c>
      <c r="E2576" s="135">
        <f t="shared" si="59"/>
        <v>46</v>
      </c>
      <c r="F2576" s="134" t="s">
        <v>3817</v>
      </c>
      <c r="G2576" s="63" t="str">
        <f>VLOOKUP(C2576, 'Class Def. - General Data'!$C$20:$C$1000,1,false)</f>
        <v>ZPI1_ALAT_KEBRSIHN</v>
      </c>
      <c r="H2576" s="63" t="str">
        <f>IFERROR(__xludf.DUMMYFUNCTION("VLOOKUP(F2576, IMPORTRANGE(""https://docs.google.com/spreadsheets/d/1Lhp9OU0JdFf_VYSMzH5lBcEaU4o8teT1piV-SNzShjg/edit?gid=554141278#gid=554141278"", ""'Char Def. - Attributes'!C20:C2242""), 1,false)"),"ALT_DENUM_UOM5")</f>
        <v>ALT_DENUM_UOM5</v>
      </c>
      <c r="I2576" s="136"/>
    </row>
    <row r="2577" ht="15.75" customHeight="1">
      <c r="B2577" s="63">
        <f t="shared" si="1"/>
        <v>18</v>
      </c>
      <c r="C2577" s="134" t="s">
        <v>157</v>
      </c>
      <c r="D2577" s="134" t="s">
        <v>74</v>
      </c>
      <c r="E2577" s="135">
        <f t="shared" si="59"/>
        <v>47</v>
      </c>
      <c r="F2577" s="134" t="s">
        <v>3818</v>
      </c>
      <c r="G2577" s="63" t="str">
        <f>VLOOKUP(C2577, 'Class Def. - General Data'!$C$20:$C$1000,1,false)</f>
        <v>ZPI1_ALAT_KEBRSIHN</v>
      </c>
      <c r="H2577" s="63" t="str">
        <f>IFERROR(__xludf.DUMMYFUNCTION("VLOOKUP(F2577, IMPORTRANGE(""https://docs.google.com/spreadsheets/d/1Lhp9OU0JdFf_VYSMzH5lBcEaU4o8teT1piV-SNzShjg/edit?gid=554141278#gid=554141278"", ""'Char Def. - Attributes'!C20:C2242""), 1,false)"),"ALT_NUM_UOM5")</f>
        <v>ALT_NUM_UOM5</v>
      </c>
      <c r="I2577" s="136"/>
    </row>
    <row r="2578" ht="15.75" customHeight="1">
      <c r="B2578" s="63">
        <f t="shared" si="1"/>
        <v>18</v>
      </c>
      <c r="C2578" s="134" t="s">
        <v>150</v>
      </c>
      <c r="D2578" s="134" t="s">
        <v>74</v>
      </c>
      <c r="E2578" s="135">
        <f t="shared" si="59"/>
        <v>1</v>
      </c>
      <c r="F2578" s="134" t="s">
        <v>3821</v>
      </c>
      <c r="G2578" s="63" t="str">
        <f>VLOOKUP(C2578, 'Class Def. - General Data'!$C$20:$C$1000,1,false)</f>
        <v>ZPI1_BANTL_SELIMUT</v>
      </c>
      <c r="H2578" s="63" t="str">
        <f>IFERROR(__xludf.DUMMYFUNCTION("VLOOKUP(F2578, IMPORTRANGE(""https://docs.google.com/spreadsheets/d/1Lhp9OU0JdFf_VYSMzH5lBcEaU4o8teT1piV-SNzShjg/edit?gid=554141278#gid=554141278"", ""'Char Def. - Attributes'!C20:C2242""), 1,false)"),"ITEM_NAME_BANTAL_SELIMUT")</f>
        <v>ITEM_NAME_BANTAL_SELIMUT</v>
      </c>
      <c r="I2578" s="136"/>
    </row>
    <row r="2579" ht="15.75" customHeight="1">
      <c r="B2579" s="63">
        <f t="shared" si="1"/>
        <v>18</v>
      </c>
      <c r="C2579" s="134" t="s">
        <v>150</v>
      </c>
      <c r="D2579" s="134" t="s">
        <v>74</v>
      </c>
      <c r="E2579" s="135">
        <f t="shared" si="59"/>
        <v>2</v>
      </c>
      <c r="F2579" s="134" t="s">
        <v>3778</v>
      </c>
      <c r="G2579" s="63" t="str">
        <f>VLOOKUP(C2579, 'Class Def. - General Data'!$C$20:$C$1000,1,false)</f>
        <v>ZPI1_BANTL_SELIMUT</v>
      </c>
      <c r="H2579" s="63" t="str">
        <f>IFERROR(__xludf.DUMMYFUNCTION("VLOOKUP(F2579, IMPORTRANGE(""https://docs.google.com/spreadsheets/d/1Lhp9OU0JdFf_VYSMzH5lBcEaU4o8teT1piV-SNzShjg/edit?gid=554141278#gid=554141278"", ""'Char Def. - Attributes'!C20:C2242""), 1,false)"),"SPECIAL_ACTIVITY")</f>
        <v>SPECIAL_ACTIVITY</v>
      </c>
      <c r="I2579" s="136"/>
    </row>
    <row r="2580" ht="15.75" customHeight="1">
      <c r="B2580" s="63">
        <f t="shared" si="1"/>
        <v>18</v>
      </c>
      <c r="C2580" s="134" t="s">
        <v>150</v>
      </c>
      <c r="D2580" s="134" t="s">
        <v>74</v>
      </c>
      <c r="E2580" s="135">
        <f t="shared" si="59"/>
        <v>3</v>
      </c>
      <c r="F2580" s="135" t="s">
        <v>3779</v>
      </c>
      <c r="G2580" s="63" t="str">
        <f>VLOOKUP(C2580, 'Class Def. - General Data'!$C$20:$C$1000,1,false)</f>
        <v>ZPI1_BANTL_SELIMUT</v>
      </c>
      <c r="H2580" s="63" t="str">
        <f>IFERROR(__xludf.DUMMYFUNCTION("VLOOKUP(F2580, IMPORTRANGE(""https://docs.google.com/spreadsheets/d/1Lhp9OU0JdFf_VYSMzH5lBcEaU4o8teT1piV-SNzShjg/edit?gid=554141278#gid=554141278"", ""'Char Def. - Attributes'!C20:C2242""), 1,false)"),"EMBOSSED_BRAND_WINGS")</f>
        <v>EMBOSSED_BRAND_WINGS</v>
      </c>
      <c r="I2580" s="136"/>
    </row>
    <row r="2581" ht="15.75" customHeight="1">
      <c r="B2581" s="63">
        <f t="shared" si="1"/>
        <v>18</v>
      </c>
      <c r="C2581" s="134" t="s">
        <v>150</v>
      </c>
      <c r="D2581" s="134" t="s">
        <v>74</v>
      </c>
      <c r="E2581" s="135">
        <f t="shared" si="59"/>
        <v>4</v>
      </c>
      <c r="F2581" s="135" t="s">
        <v>3780</v>
      </c>
      <c r="G2581" s="63" t="str">
        <f>VLOOKUP(C2581, 'Class Def. - General Data'!$C$20:$C$1000,1,false)</f>
        <v>ZPI1_BANTL_SELIMUT</v>
      </c>
      <c r="H2581" s="63" t="str">
        <f>IFERROR(__xludf.DUMMYFUNCTION("VLOOKUP(F2581, IMPORTRANGE(""https://docs.google.com/spreadsheets/d/1Lhp9OU0JdFf_VYSMzH5lBcEaU4o8teT1piV-SNzShjg/edit?gid=554141278#gid=554141278"", ""'Char Def. - Attributes'!C20:C2242""), 1,false)"),"BRAND_WINGS_SIPI")</f>
        <v>BRAND_WINGS_SIPI</v>
      </c>
      <c r="I2581" s="136"/>
    </row>
    <row r="2582" ht="15.75" customHeight="1">
      <c r="B2582" s="63">
        <f t="shared" si="1"/>
        <v>18</v>
      </c>
      <c r="C2582" s="134" t="s">
        <v>150</v>
      </c>
      <c r="D2582" s="134" t="s">
        <v>74</v>
      </c>
      <c r="E2582" s="135">
        <f t="shared" si="59"/>
        <v>5</v>
      </c>
      <c r="F2582" s="134" t="s">
        <v>3781</v>
      </c>
      <c r="G2582" s="63" t="str">
        <f>VLOOKUP(C2582, 'Class Def. - General Data'!$C$20:$C$1000,1,false)</f>
        <v>ZPI1_BANTL_SELIMUT</v>
      </c>
      <c r="H2582" s="63" t="str">
        <f>IFERROR(__xludf.DUMMYFUNCTION("VLOOKUP(F2582, IMPORTRANGE(""https://docs.google.com/spreadsheets/d/1Lhp9OU0JdFf_VYSMzH5lBcEaU4o8teT1piV-SNzShjg/edit?gid=554141278#gid=554141278"", ""'Char Def. - Attributes'!C20:C2242""), 1,false)"),"EXTERNAL_BRAND")</f>
        <v>EXTERNAL_BRAND</v>
      </c>
      <c r="I2582" s="136"/>
    </row>
    <row r="2583" ht="15.75" customHeight="1">
      <c r="B2583" s="63">
        <f t="shared" si="1"/>
        <v>18</v>
      </c>
      <c r="C2583" s="134" t="s">
        <v>150</v>
      </c>
      <c r="D2583" s="134" t="s">
        <v>74</v>
      </c>
      <c r="E2583" s="135">
        <f t="shared" si="59"/>
        <v>6</v>
      </c>
      <c r="F2583" s="134" t="s">
        <v>3782</v>
      </c>
      <c r="G2583" s="63" t="str">
        <f>VLOOKUP(C2583, 'Class Def. - General Data'!$C$20:$C$1000,1,false)</f>
        <v>ZPI1_BANTL_SELIMUT</v>
      </c>
      <c r="H2583" s="63" t="str">
        <f>IFERROR(__xludf.DUMMYFUNCTION("VLOOKUP(F2583, IMPORTRANGE(""https://docs.google.com/spreadsheets/d/1Lhp9OU0JdFf_VYSMzH5lBcEaU4o8teT1piV-SNzShjg/edit?gid=554141278#gid=554141278"", ""'Char Def. - Attributes'!C20:C2242""), 1,false)"),"BRAND_EXTERNAL")</f>
        <v>BRAND_EXTERNAL</v>
      </c>
      <c r="I2583" s="136"/>
    </row>
    <row r="2584" ht="15.75" customHeight="1">
      <c r="B2584" s="63">
        <f t="shared" si="1"/>
        <v>18</v>
      </c>
      <c r="C2584" s="134" t="s">
        <v>150</v>
      </c>
      <c r="D2584" s="134" t="s">
        <v>74</v>
      </c>
      <c r="E2584" s="135">
        <f t="shared" si="59"/>
        <v>7</v>
      </c>
      <c r="F2584" s="134" t="s">
        <v>3783</v>
      </c>
      <c r="G2584" s="63" t="str">
        <f>VLOOKUP(C2584, 'Class Def. - General Data'!$C$20:$C$1000,1,false)</f>
        <v>ZPI1_BANTL_SELIMUT</v>
      </c>
      <c r="H2584" s="63" t="str">
        <f>IFERROR(__xludf.DUMMYFUNCTION("VLOOKUP(F2584, IMPORTRANGE(""https://docs.google.com/spreadsheets/d/1Lhp9OU0JdFf_VYSMzH5lBcEaU4o8teT1piV-SNzShjg/edit?gid=554141278#gid=554141278"", ""'Char Def. - Attributes'!C20:C2242""), 1,false)"),"NO_SERI_BRAND_EXTERNAL")</f>
        <v>NO_SERI_BRAND_EXTERNAL</v>
      </c>
      <c r="I2584" s="136"/>
    </row>
    <row r="2585" ht="15.75" customHeight="1">
      <c r="B2585" s="63">
        <f t="shared" si="1"/>
        <v>18</v>
      </c>
      <c r="C2585" s="134" t="s">
        <v>150</v>
      </c>
      <c r="D2585" s="134" t="s">
        <v>74</v>
      </c>
      <c r="E2585" s="135">
        <f t="shared" si="59"/>
        <v>8</v>
      </c>
      <c r="F2585" s="134" t="s">
        <v>3822</v>
      </c>
      <c r="G2585" s="63" t="str">
        <f>VLOOKUP(C2585, 'Class Def. - General Data'!$C$20:$C$1000,1,false)</f>
        <v>ZPI1_BANTL_SELIMUT</v>
      </c>
      <c r="H2585" s="63" t="str">
        <f>IFERROR(__xludf.DUMMYFUNCTION("VLOOKUP(F2585, IMPORTRANGE(""https://docs.google.com/spreadsheets/d/1Lhp9OU0JdFf_VYSMzH5lBcEaU4o8teT1piV-SNzShjg/edit?gid=554141278#gid=554141278"", ""'Char Def. - Attributes'!C20:C2242""), 1,false)"),"MATERIAL_BANTAL_SELIMUT")</f>
        <v>MATERIAL_BANTAL_SELIMUT</v>
      </c>
      <c r="I2585" s="136"/>
    </row>
    <row r="2586" ht="15.75" customHeight="1">
      <c r="B2586" s="63">
        <f t="shared" si="1"/>
        <v>18</v>
      </c>
      <c r="C2586" s="134" t="s">
        <v>150</v>
      </c>
      <c r="D2586" s="134" t="s">
        <v>74</v>
      </c>
      <c r="E2586" s="135">
        <f t="shared" si="59"/>
        <v>9</v>
      </c>
      <c r="F2586" s="134" t="s">
        <v>3791</v>
      </c>
      <c r="G2586" s="63" t="str">
        <f>VLOOKUP(C2586, 'Class Def. - General Data'!$C$20:$C$1000,1,false)</f>
        <v>ZPI1_BANTL_SELIMUT</v>
      </c>
      <c r="H2586" s="63" t="str">
        <f>IFERROR(__xludf.DUMMYFUNCTION("VLOOKUP(F2586, IMPORTRANGE(""https://docs.google.com/spreadsheets/d/1Lhp9OU0JdFf_VYSMzH5lBcEaU4o8teT1piV-SNzShjg/edit?gid=554141278#gid=554141278"", ""'Char Def. - Attributes'!C20:C2242""), 1,false)"),"HAS_SPESIFIC_COLOUR")</f>
        <v>HAS_SPESIFIC_COLOUR</v>
      </c>
      <c r="I2586" s="136"/>
    </row>
    <row r="2587" ht="15.75" customHeight="1">
      <c r="B2587" s="63">
        <f t="shared" si="1"/>
        <v>18</v>
      </c>
      <c r="C2587" s="134" t="s">
        <v>150</v>
      </c>
      <c r="D2587" s="134" t="s">
        <v>74</v>
      </c>
      <c r="E2587" s="135">
        <f t="shared" si="59"/>
        <v>10</v>
      </c>
      <c r="F2587" s="134" t="s">
        <v>3792</v>
      </c>
      <c r="G2587" s="63" t="str">
        <f>VLOOKUP(C2587, 'Class Def. - General Data'!$C$20:$C$1000,1,false)</f>
        <v>ZPI1_BANTL_SELIMUT</v>
      </c>
      <c r="H2587" s="63" t="str">
        <f>IFERROR(__xludf.DUMMYFUNCTION("VLOOKUP(F2587, IMPORTRANGE(""https://docs.google.com/spreadsheets/d/1Lhp9OU0JdFf_VYSMzH5lBcEaU4o8teT1piV-SNzShjg/edit?gid=554141278#gid=554141278"", ""'Char Def. - Attributes'!C20:C2242""), 1,false)"),"COLOUR")</f>
        <v>COLOUR</v>
      </c>
      <c r="I2587" s="136"/>
    </row>
    <row r="2588" ht="15.75" customHeight="1">
      <c r="B2588" s="63">
        <f t="shared" si="1"/>
        <v>18</v>
      </c>
      <c r="C2588" s="134" t="s">
        <v>150</v>
      </c>
      <c r="D2588" s="134" t="s">
        <v>74</v>
      </c>
      <c r="E2588" s="135">
        <f t="shared" si="59"/>
        <v>11</v>
      </c>
      <c r="F2588" s="134" t="s">
        <v>3785</v>
      </c>
      <c r="G2588" s="63" t="str">
        <f>VLOOKUP(C2588, 'Class Def. - General Data'!$C$20:$C$1000,1,false)</f>
        <v>ZPI1_BANTL_SELIMUT</v>
      </c>
      <c r="H2588" s="63" t="str">
        <f>IFERROR(__xludf.DUMMYFUNCTION("VLOOKUP(F2588, IMPORTRANGE(""https://docs.google.com/spreadsheets/d/1Lhp9OU0JdFf_VYSMzH5lBcEaU4o8teT1piV-SNzShjg/edit?gid=554141278#gid=554141278"", ""'Char Def. - Attributes'!C20:C2242""), 1,false)"),"ITEM_SHAPE")</f>
        <v>ITEM_SHAPE</v>
      </c>
      <c r="I2588" s="136"/>
    </row>
    <row r="2589" ht="15.75" customHeight="1">
      <c r="B2589" s="63">
        <f t="shared" si="1"/>
        <v>18</v>
      </c>
      <c r="C2589" s="134" t="s">
        <v>150</v>
      </c>
      <c r="D2589" s="134" t="s">
        <v>74</v>
      </c>
      <c r="E2589" s="135">
        <f t="shared" si="59"/>
        <v>12</v>
      </c>
      <c r="F2589" s="134" t="s">
        <v>3786</v>
      </c>
      <c r="G2589" s="63" t="str">
        <f>VLOOKUP(C2589, 'Class Def. - General Data'!$C$20:$C$1000,1,false)</f>
        <v>ZPI1_BANTL_SELIMUT</v>
      </c>
      <c r="H2589" s="63" t="str">
        <f>IFERROR(__xludf.DUMMYFUNCTION("VLOOKUP(F2589, IMPORTRANGE(""https://docs.google.com/spreadsheets/d/1Lhp9OU0JdFf_VYSMzH5lBcEaU4o8teT1piV-SNzShjg/edit?gid=554141278#gid=554141278"", ""'Char Def. - Attributes'!C20:C2242""), 1,false)"),"SIZE_UNIT_DIMENSI")</f>
        <v>SIZE_UNIT_DIMENSI</v>
      </c>
      <c r="I2589" s="136"/>
    </row>
    <row r="2590" ht="15.75" customHeight="1">
      <c r="B2590" s="63">
        <f t="shared" si="1"/>
        <v>18</v>
      </c>
      <c r="C2590" s="134" t="s">
        <v>150</v>
      </c>
      <c r="D2590" s="134" t="s">
        <v>74</v>
      </c>
      <c r="E2590" s="135">
        <f t="shared" si="59"/>
        <v>13</v>
      </c>
      <c r="F2590" s="135" t="s">
        <v>3787</v>
      </c>
      <c r="G2590" s="63" t="str">
        <f>VLOOKUP(C2590, 'Class Def. - General Data'!$C$20:$C$1000,1,false)</f>
        <v>ZPI1_BANTL_SELIMUT</v>
      </c>
      <c r="H2590" s="63" t="str">
        <f>IFERROR(__xludf.DUMMYFUNCTION("VLOOKUP(F2590, IMPORTRANGE(""https://docs.google.com/spreadsheets/d/1Lhp9OU0JdFf_VYSMzH5lBcEaU4o8teT1piV-SNzShjg/edit?gid=554141278#gid=554141278"", ""'Char Def. - Attributes'!C20:C2242""), 1,false)"),"DIAMETER_PCS")</f>
        <v>DIAMETER_PCS</v>
      </c>
      <c r="I2590" s="136"/>
    </row>
    <row r="2591" ht="15.75" customHeight="1">
      <c r="B2591" s="63">
        <f t="shared" si="1"/>
        <v>18</v>
      </c>
      <c r="C2591" s="134" t="s">
        <v>150</v>
      </c>
      <c r="D2591" s="134" t="s">
        <v>74</v>
      </c>
      <c r="E2591" s="135">
        <f t="shared" si="59"/>
        <v>14</v>
      </c>
      <c r="F2591" s="134" t="s">
        <v>3788</v>
      </c>
      <c r="G2591" s="63" t="str">
        <f>VLOOKUP(C2591, 'Class Def. - General Data'!$C$20:$C$1000,1,false)</f>
        <v>ZPI1_BANTL_SELIMUT</v>
      </c>
      <c r="H2591" s="63" t="str">
        <f>IFERROR(__xludf.DUMMYFUNCTION("VLOOKUP(F2591, IMPORTRANGE(""https://docs.google.com/spreadsheets/d/1Lhp9OU0JdFf_VYSMzH5lBcEaU4o8teT1piV-SNzShjg/edit?gid=554141278#gid=554141278"", ""'Char Def. - Attributes'!C20:C2242""), 1,false)"),"LENGTH_PCS")</f>
        <v>LENGTH_PCS</v>
      </c>
      <c r="I2591" s="136"/>
    </row>
    <row r="2592" ht="15.75" customHeight="1">
      <c r="B2592" s="63">
        <f t="shared" si="1"/>
        <v>18</v>
      </c>
      <c r="C2592" s="134" t="s">
        <v>150</v>
      </c>
      <c r="D2592" s="134" t="s">
        <v>74</v>
      </c>
      <c r="E2592" s="135">
        <f t="shared" si="59"/>
        <v>15</v>
      </c>
      <c r="F2592" s="134" t="s">
        <v>3789</v>
      </c>
      <c r="G2592" s="63" t="str">
        <f>VLOOKUP(C2592, 'Class Def. - General Data'!$C$20:$C$1000,1,false)</f>
        <v>ZPI1_BANTL_SELIMUT</v>
      </c>
      <c r="H2592" s="63" t="str">
        <f>IFERROR(__xludf.DUMMYFUNCTION("VLOOKUP(F2592, IMPORTRANGE(""https://docs.google.com/spreadsheets/d/1Lhp9OU0JdFf_VYSMzH5lBcEaU4o8teT1piV-SNzShjg/edit?gid=554141278#gid=554141278"", ""'Char Def. - Attributes'!C20:C2242""), 1,false)"),"WIDTH_PCS")</f>
        <v>WIDTH_PCS</v>
      </c>
      <c r="I2592" s="136"/>
    </row>
    <row r="2593" ht="15.75" customHeight="1">
      <c r="B2593" s="63">
        <f t="shared" si="1"/>
        <v>18</v>
      </c>
      <c r="C2593" s="134" t="s">
        <v>150</v>
      </c>
      <c r="D2593" s="134" t="s">
        <v>74</v>
      </c>
      <c r="E2593" s="135">
        <f t="shared" si="59"/>
        <v>16</v>
      </c>
      <c r="F2593" s="135" t="s">
        <v>3790</v>
      </c>
      <c r="G2593" s="63" t="str">
        <f>VLOOKUP(C2593, 'Class Def. - General Data'!$C$20:$C$1000,1,false)</f>
        <v>ZPI1_BANTL_SELIMUT</v>
      </c>
      <c r="H2593" s="63" t="str">
        <f>IFERROR(__xludf.DUMMYFUNCTION("VLOOKUP(F2593, IMPORTRANGE(""https://docs.google.com/spreadsheets/d/1Lhp9OU0JdFf_VYSMzH5lBcEaU4o8teT1piV-SNzShjg/edit?gid=554141278#gid=554141278"", ""'Char Def. - Attributes'!C20:C2242""), 1,false)"),"HEIGHT_PCS")</f>
        <v>HEIGHT_PCS</v>
      </c>
      <c r="I2593" s="136"/>
    </row>
    <row r="2594" ht="15.75" customHeight="1">
      <c r="B2594" s="63">
        <f t="shared" si="1"/>
        <v>18</v>
      </c>
      <c r="C2594" s="134" t="s">
        <v>150</v>
      </c>
      <c r="D2594" s="134" t="s">
        <v>74</v>
      </c>
      <c r="E2594" s="135">
        <f t="shared" si="59"/>
        <v>17</v>
      </c>
      <c r="F2594" s="134" t="s">
        <v>3793</v>
      </c>
      <c r="G2594" s="63" t="str">
        <f>VLOOKUP(C2594, 'Class Def. - General Data'!$C$20:$C$1000,1,false)</f>
        <v>ZPI1_BANTL_SELIMUT</v>
      </c>
      <c r="H2594" s="63" t="str">
        <f>IFERROR(__xludf.DUMMYFUNCTION("VLOOKUP(F2594, IMPORTRANGE(""https://docs.google.com/spreadsheets/d/1Lhp9OU0JdFf_VYSMzH5lBcEaU4o8teT1piV-SNzShjg/edit?gid=554141278#gid=554141278"", ""'Char Def. - Attributes'!C20:C2242""), 1,false)"),"EMBOSSED_SPESIFIC_DESAIN")</f>
        <v>EMBOSSED_SPESIFIC_DESAIN</v>
      </c>
      <c r="I2594" s="136"/>
    </row>
    <row r="2595" ht="15.75" customHeight="1">
      <c r="B2595" s="63">
        <f t="shared" si="1"/>
        <v>18</v>
      </c>
      <c r="C2595" s="134" t="s">
        <v>150</v>
      </c>
      <c r="D2595" s="134" t="s">
        <v>74</v>
      </c>
      <c r="E2595" s="135">
        <f t="shared" si="59"/>
        <v>18</v>
      </c>
      <c r="F2595" s="134" t="s">
        <v>3794</v>
      </c>
      <c r="G2595" s="63" t="str">
        <f>VLOOKUP(C2595, 'Class Def. - General Data'!$C$20:$C$1000,1,false)</f>
        <v>ZPI1_BANTL_SELIMUT</v>
      </c>
      <c r="H2595" s="63" t="str">
        <f>IFERROR(__xludf.DUMMYFUNCTION("VLOOKUP(F2595, IMPORTRANGE(""https://docs.google.com/spreadsheets/d/1Lhp9OU0JdFf_VYSMzH5lBcEaU4o8teT1piV-SNzShjg/edit?gid=554141278#gid=554141278"", ""'Char Def. - Attributes'!C20:C2242""), 1,false)"),"DESAIN_NAME")</f>
        <v>DESAIN_NAME</v>
      </c>
      <c r="I2595" s="136"/>
    </row>
    <row r="2596" ht="15.75" customHeight="1">
      <c r="B2596" s="63">
        <f t="shared" si="1"/>
        <v>18</v>
      </c>
      <c r="C2596" s="134" t="s">
        <v>150</v>
      </c>
      <c r="D2596" s="134" t="s">
        <v>74</v>
      </c>
      <c r="E2596" s="135">
        <f t="shared" si="59"/>
        <v>19</v>
      </c>
      <c r="F2596" s="134" t="s">
        <v>3795</v>
      </c>
      <c r="G2596" s="63" t="str">
        <f>VLOOKUP(C2596, 'Class Def. - General Data'!$C$20:$C$1000,1,false)</f>
        <v>ZPI1_BANTL_SELIMUT</v>
      </c>
      <c r="H2596" s="63" t="str">
        <f>IFERROR(__xludf.DUMMYFUNCTION("VLOOKUP(F2596, IMPORTRANGE(""https://docs.google.com/spreadsheets/d/1Lhp9OU0JdFf_VYSMzH5lBcEaU4o8teT1piV-SNzShjg/edit?gid=554141278#gid=554141278"", ""'Char Def. - Attributes'!C20:C2242""), 1,false)"),"DESAIN_MONTH")</f>
        <v>DESAIN_MONTH</v>
      </c>
      <c r="I2596" s="136"/>
    </row>
    <row r="2597" ht="15.75" customHeight="1">
      <c r="B2597" s="63">
        <f t="shared" si="1"/>
        <v>18</v>
      </c>
      <c r="C2597" s="134" t="s">
        <v>150</v>
      </c>
      <c r="D2597" s="134" t="s">
        <v>74</v>
      </c>
      <c r="E2597" s="135">
        <f t="shared" si="59"/>
        <v>20</v>
      </c>
      <c r="F2597" s="134" t="s">
        <v>3796</v>
      </c>
      <c r="G2597" s="63" t="str">
        <f>VLOOKUP(C2597, 'Class Def. - General Data'!$C$20:$C$1000,1,false)</f>
        <v>ZPI1_BANTL_SELIMUT</v>
      </c>
      <c r="H2597" s="63" t="str">
        <f>IFERROR(__xludf.DUMMYFUNCTION("VLOOKUP(F2597, IMPORTRANGE(""https://docs.google.com/spreadsheets/d/1Lhp9OU0JdFf_VYSMzH5lBcEaU4o8teT1piV-SNzShjg/edit?gid=554141278#gid=554141278"", ""'Char Def. - Attributes'!C20:C2242""), 1,false)"),"DESAIN_YEAR")</f>
        <v>DESAIN_YEAR</v>
      </c>
      <c r="I2597" s="136"/>
    </row>
    <row r="2598" ht="15.75" customHeight="1">
      <c r="B2598" s="63">
        <f t="shared" si="1"/>
        <v>18</v>
      </c>
      <c r="C2598" s="134" t="s">
        <v>150</v>
      </c>
      <c r="D2598" s="134" t="s">
        <v>74</v>
      </c>
      <c r="E2598" s="135">
        <f t="shared" si="59"/>
        <v>21</v>
      </c>
      <c r="F2598" s="134" t="s">
        <v>3797</v>
      </c>
      <c r="G2598" s="63" t="str">
        <f>VLOOKUP(C2598, 'Class Def. - General Data'!$C$20:$C$1000,1,false)</f>
        <v>ZPI1_BANTL_SELIMUT</v>
      </c>
      <c r="H2598" s="63" t="str">
        <f>IFERROR(__xludf.DUMMYFUNCTION("VLOOKUP(F2598, IMPORTRANGE(""https://docs.google.com/spreadsheets/d/1Lhp9OU0JdFf_VYSMzH5lBcEaU4o8teT1piV-SNzShjg/edit?gid=554141278#gid=554141278"", ""'Char Def. - Attributes'!C20:C2242""), 1,false)"),"SPEC_QTY_IN_ONE_BUNDLE")</f>
        <v>SPEC_QTY_IN_ONE_BUNDLE</v>
      </c>
      <c r="I2598" s="136"/>
    </row>
    <row r="2599" ht="15.75" customHeight="1">
      <c r="B2599" s="63">
        <f t="shared" si="1"/>
        <v>18</v>
      </c>
      <c r="C2599" s="134" t="s">
        <v>150</v>
      </c>
      <c r="D2599" s="134" t="s">
        <v>74</v>
      </c>
      <c r="E2599" s="135">
        <f t="shared" si="59"/>
        <v>22</v>
      </c>
      <c r="F2599" s="134" t="s">
        <v>3798</v>
      </c>
      <c r="G2599" s="63" t="str">
        <f>VLOOKUP(C2599, 'Class Def. - General Data'!$C$20:$C$1000,1,false)</f>
        <v>ZPI1_BANTL_SELIMUT</v>
      </c>
      <c r="H2599" s="63" t="str">
        <f>IFERROR(__xludf.DUMMYFUNCTION("VLOOKUP(F2599, IMPORTRANGE(""https://docs.google.com/spreadsheets/d/1Lhp9OU0JdFf_VYSMzH5lBcEaU4o8teT1piV-SNzShjg/edit?gid=554141278#gid=554141278"", ""'Char Def. - Attributes'!C20:C2242""), 1,false)"),"QTY_IN_ONE_BUNDLE")</f>
        <v>QTY_IN_ONE_BUNDLE</v>
      </c>
      <c r="I2599" s="136"/>
    </row>
    <row r="2600" ht="15.75" customHeight="1">
      <c r="B2600" s="63">
        <f t="shared" si="1"/>
        <v>18</v>
      </c>
      <c r="C2600" s="134" t="s">
        <v>150</v>
      </c>
      <c r="D2600" s="134" t="s">
        <v>74</v>
      </c>
      <c r="E2600" s="135">
        <f t="shared" si="59"/>
        <v>23</v>
      </c>
      <c r="F2600" s="134" t="s">
        <v>3585</v>
      </c>
      <c r="G2600" s="63" t="str">
        <f>VLOOKUP(C2600, 'Class Def. - General Data'!$C$20:$C$1000,1,false)</f>
        <v>ZPI1_BANTL_SELIMUT</v>
      </c>
      <c r="H2600" s="63" t="str">
        <f>IFERROR(__xludf.DUMMYFUNCTION("VLOOKUP(F2600, IMPORTRANGE(""https://docs.google.com/spreadsheets/d/1Lhp9OU0JdFf_VYSMzH5lBcEaU4o8teT1piV-SNzShjg/edit?gid=554141278#gid=554141278"", ""'Char Def. - Attributes'!C20:C2242""), 1,false)"),"HS_CODE")</f>
        <v>HS_CODE</v>
      </c>
      <c r="I2600" s="136"/>
    </row>
    <row r="2601" ht="15.75" customHeight="1">
      <c r="B2601" s="63">
        <f t="shared" si="1"/>
        <v>18</v>
      </c>
      <c r="C2601" s="134" t="s">
        <v>150</v>
      </c>
      <c r="D2601" s="134" t="s">
        <v>74</v>
      </c>
      <c r="E2601" s="135">
        <f t="shared" si="59"/>
        <v>24</v>
      </c>
      <c r="F2601" s="134" t="s">
        <v>3799</v>
      </c>
      <c r="G2601" s="63" t="str">
        <f>VLOOKUP(C2601, 'Class Def. - General Data'!$C$20:$C$1000,1,false)</f>
        <v>ZPI1_BANTL_SELIMUT</v>
      </c>
      <c r="H2601" s="63" t="str">
        <f>IFERROR(__xludf.DUMMYFUNCTION("VLOOKUP(F2601, IMPORTRANGE(""https://docs.google.com/spreadsheets/d/1Lhp9OU0JdFf_VYSMzH5lBcEaU4o8teT1piV-SNzShjg/edit?gid=554141278#gid=554141278"", ""'Char Def. - Attributes'!C20:C2242""), 1,false)"),"BASE_UNIT_ZPI1")</f>
        <v>BASE_UNIT_ZPI1</v>
      </c>
      <c r="I2601" s="136"/>
    </row>
    <row r="2602" ht="15.75" customHeight="1">
      <c r="B2602" s="63">
        <f t="shared" si="1"/>
        <v>18</v>
      </c>
      <c r="C2602" s="134" t="s">
        <v>150</v>
      </c>
      <c r="D2602" s="134" t="s">
        <v>74</v>
      </c>
      <c r="E2602" s="135">
        <f t="shared" si="59"/>
        <v>25</v>
      </c>
      <c r="F2602" s="135" t="s">
        <v>3800</v>
      </c>
      <c r="G2602" s="63" t="str">
        <f>VLOOKUP(C2602, 'Class Def. - General Data'!$C$20:$C$1000,1,false)</f>
        <v>ZPI1_BANTL_SELIMUT</v>
      </c>
      <c r="H2602" s="63" t="str">
        <f>IFERROR(__xludf.DUMMYFUNCTION("VLOOKUP(F2602, IMPORTRANGE(""https://docs.google.com/spreadsheets/d/1Lhp9OU0JdFf_VYSMzH5lBcEaU4o8teT1piV-SNzShjg/edit?gid=554141278#gid=554141278"", ""'Char Def. - Attributes'!C20:C2242""), 1,false)"),"ORDER_UNIT_DIFF_FROM_BASIC_UOM")</f>
        <v>ORDER_UNIT_DIFF_FROM_BASIC_UOM</v>
      </c>
      <c r="I2602" s="136"/>
    </row>
    <row r="2603" ht="15.75" customHeight="1">
      <c r="B2603" s="63">
        <f t="shared" si="1"/>
        <v>18</v>
      </c>
      <c r="C2603" s="134" t="s">
        <v>150</v>
      </c>
      <c r="D2603" s="134" t="s">
        <v>74</v>
      </c>
      <c r="E2603" s="135">
        <f t="shared" si="59"/>
        <v>26</v>
      </c>
      <c r="F2603" s="135" t="s">
        <v>3801</v>
      </c>
      <c r="G2603" s="63" t="str">
        <f>VLOOKUP(C2603, 'Class Def. - General Data'!$C$20:$C$1000,1,false)</f>
        <v>ZPI1_BANTL_SELIMUT</v>
      </c>
      <c r="H2603" s="63" t="str">
        <f>IFERROR(__xludf.DUMMYFUNCTION("VLOOKUP(F2603, IMPORTRANGE(""https://docs.google.com/spreadsheets/d/1Lhp9OU0JdFf_VYSMzH5lBcEaU4o8teT1piV-SNzShjg/edit?gid=554141278#gid=554141278"", ""'Char Def. - Attributes'!C20:C2242""), 1,false)"),"ORDER_UNIT_ZPI1")</f>
        <v>ORDER_UNIT_ZPI1</v>
      </c>
      <c r="I2603" s="136"/>
    </row>
    <row r="2604" ht="15.75" customHeight="1">
      <c r="B2604" s="63">
        <f t="shared" si="1"/>
        <v>18</v>
      </c>
      <c r="C2604" s="134" t="s">
        <v>150</v>
      </c>
      <c r="D2604" s="134" t="s">
        <v>74</v>
      </c>
      <c r="E2604" s="135">
        <f t="shared" si="59"/>
        <v>27</v>
      </c>
      <c r="F2604" s="134" t="s">
        <v>3802</v>
      </c>
      <c r="G2604" s="63" t="str">
        <f>VLOOKUP(C2604, 'Class Def. - General Data'!$C$20:$C$1000,1,false)</f>
        <v>ZPI1_BANTL_SELIMUT</v>
      </c>
      <c r="H2604" s="63" t="str">
        <f>IFERROR(__xludf.DUMMYFUNCTION("VLOOKUP(F2604, IMPORTRANGE(""https://docs.google.com/spreadsheets/d/1Lhp9OU0JdFf_VYSMzH5lBcEaU4o8teT1piV-SNzShjg/edit?gid=554141278#gid=554141278"", ""'Char Def. - Attributes'!C20:C2242""), 1,false)"),"WEIGHT_UNIT_PI")</f>
        <v>WEIGHT_UNIT_PI</v>
      </c>
      <c r="I2604" s="136"/>
    </row>
    <row r="2605" ht="15.75" customHeight="1">
      <c r="B2605" s="63">
        <f t="shared" si="1"/>
        <v>18</v>
      </c>
      <c r="C2605" s="134" t="s">
        <v>150</v>
      </c>
      <c r="D2605" s="134" t="s">
        <v>74</v>
      </c>
      <c r="E2605" s="135">
        <f t="shared" si="59"/>
        <v>28</v>
      </c>
      <c r="F2605" s="134" t="s">
        <v>3602</v>
      </c>
      <c r="G2605" s="63" t="str">
        <f>VLOOKUP(C2605, 'Class Def. - General Data'!$C$20:$C$1000,1,false)</f>
        <v>ZPI1_BANTL_SELIMUT</v>
      </c>
      <c r="H2605" s="63" t="str">
        <f>IFERROR(__xludf.DUMMYFUNCTION("VLOOKUP(F2605, IMPORTRANGE(""https://docs.google.com/spreadsheets/d/1Lhp9OU0JdFf_VYSMzH5lBcEaU4o8teT1piV-SNzShjg/edit?gid=554141278#gid=554141278"", ""'Char Def. - Attributes'!C20:C2242""), 1,false)"),"NET_WEIGHT")</f>
        <v>NET_WEIGHT</v>
      </c>
      <c r="I2605" s="136"/>
    </row>
    <row r="2606" ht="15.75" customHeight="1">
      <c r="B2606" s="63">
        <f t="shared" si="1"/>
        <v>18</v>
      </c>
      <c r="C2606" s="134" t="s">
        <v>150</v>
      </c>
      <c r="D2606" s="134" t="s">
        <v>74</v>
      </c>
      <c r="E2606" s="135">
        <f t="shared" si="59"/>
        <v>29</v>
      </c>
      <c r="F2606" s="134" t="s">
        <v>3601</v>
      </c>
      <c r="G2606" s="63" t="str">
        <f>VLOOKUP(C2606, 'Class Def. - General Data'!$C$20:$C$1000,1,false)</f>
        <v>ZPI1_BANTL_SELIMUT</v>
      </c>
      <c r="H2606" s="63" t="str">
        <f>IFERROR(__xludf.DUMMYFUNCTION("VLOOKUP(F2606, IMPORTRANGE(""https://docs.google.com/spreadsheets/d/1Lhp9OU0JdFf_VYSMzH5lBcEaU4o8teT1piV-SNzShjg/edit?gid=554141278#gid=554141278"", ""'Char Def. - Attributes'!C20:C2242""), 1,false)"),"GROSS_WEIGHT")</f>
        <v>GROSS_WEIGHT</v>
      </c>
      <c r="I2606" s="136"/>
    </row>
    <row r="2607" ht="15.75" customHeight="1">
      <c r="B2607" s="63">
        <f t="shared" si="1"/>
        <v>18</v>
      </c>
      <c r="C2607" s="134" t="s">
        <v>150</v>
      </c>
      <c r="D2607" s="134" t="s">
        <v>74</v>
      </c>
      <c r="E2607" s="135">
        <f t="shared" si="59"/>
        <v>30</v>
      </c>
      <c r="F2607" s="134" t="s">
        <v>3803</v>
      </c>
      <c r="G2607" s="63" t="str">
        <f>VLOOKUP(C2607, 'Class Def. - General Data'!$C$20:$C$1000,1,false)</f>
        <v>ZPI1_BANTL_SELIMUT</v>
      </c>
      <c r="H2607" s="63" t="str">
        <f>IFERROR(__xludf.DUMMYFUNCTION("VLOOKUP(F2607, IMPORTRANGE(""https://docs.google.com/spreadsheets/d/1Lhp9OU0JdFf_VYSMzH5lBcEaU4o8teT1piV-SNzShjg/edit?gid=554141278#gid=554141278"", ""'Char Def. - Attributes'!C20:C2242""), 1,false)"),"VOLUME_UNIT_PI")</f>
        <v>VOLUME_UNIT_PI</v>
      </c>
      <c r="I2607" s="136"/>
    </row>
    <row r="2608" ht="15.75" customHeight="1">
      <c r="B2608" s="63">
        <f t="shared" si="1"/>
        <v>18</v>
      </c>
      <c r="C2608" s="134" t="s">
        <v>150</v>
      </c>
      <c r="D2608" s="134" t="s">
        <v>74</v>
      </c>
      <c r="E2608" s="135">
        <f t="shared" si="59"/>
        <v>31</v>
      </c>
      <c r="F2608" s="134" t="s">
        <v>3603</v>
      </c>
      <c r="G2608" s="63" t="str">
        <f>VLOOKUP(C2608, 'Class Def. - General Data'!$C$20:$C$1000,1,false)</f>
        <v>ZPI1_BANTL_SELIMUT</v>
      </c>
      <c r="H2608" s="63" t="str">
        <f>IFERROR(__xludf.DUMMYFUNCTION("VLOOKUP(F2608, IMPORTRANGE(""https://docs.google.com/spreadsheets/d/1Lhp9OU0JdFf_VYSMzH5lBcEaU4o8teT1piV-SNzShjg/edit?gid=554141278#gid=554141278"", ""'Char Def. - Attributes'!C20:C2242""), 1,false)"),"VOLUME")</f>
        <v>VOLUME</v>
      </c>
      <c r="I2608" s="136"/>
    </row>
    <row r="2609" ht="15.75" customHeight="1">
      <c r="B2609" s="63">
        <f t="shared" si="1"/>
        <v>18</v>
      </c>
      <c r="C2609" s="134" t="s">
        <v>150</v>
      </c>
      <c r="D2609" s="134" t="s">
        <v>74</v>
      </c>
      <c r="E2609" s="135">
        <f t="shared" si="59"/>
        <v>32</v>
      </c>
      <c r="F2609" s="134" t="s">
        <v>3587</v>
      </c>
      <c r="G2609" s="63" t="str">
        <f>VLOOKUP(C2609, 'Class Def. - General Data'!$C$20:$C$1000,1,false)</f>
        <v>ZPI1_BANTL_SELIMUT</v>
      </c>
      <c r="H2609" s="63" t="str">
        <f>IFERROR(__xludf.DUMMYFUNCTION("VLOOKUP(F2609, IMPORTRANGE(""https://docs.google.com/spreadsheets/d/1Lhp9OU0JdFf_VYSMzH5lBcEaU4o8teT1piV-SNzShjg/edit?gid=554141278#gid=554141278"", ""'Char Def. - Attributes'!C20:C2242""), 1,false)"),"PLANT_BUY")</f>
        <v>PLANT_BUY</v>
      </c>
      <c r="I2609" s="136"/>
    </row>
    <row r="2610" ht="15.75" customHeight="1">
      <c r="B2610" s="63">
        <f t="shared" si="1"/>
        <v>18</v>
      </c>
      <c r="C2610" s="134" t="s">
        <v>150</v>
      </c>
      <c r="D2610" s="134" t="s">
        <v>74</v>
      </c>
      <c r="E2610" s="135">
        <f t="shared" si="59"/>
        <v>33</v>
      </c>
      <c r="F2610" s="134" t="s">
        <v>3804</v>
      </c>
      <c r="G2610" s="63" t="str">
        <f>VLOOKUP(C2610, 'Class Def. - General Data'!$C$20:$C$1000,1,false)</f>
        <v>ZPI1_BANTL_SELIMUT</v>
      </c>
      <c r="H2610" s="63" t="str">
        <f>IFERROR(__xludf.DUMMYFUNCTION("VLOOKUP(F2610, IMPORTRANGE(""https://docs.google.com/spreadsheets/d/1Lhp9OU0JdFf_VYSMzH5lBcEaU4o8teT1piV-SNzShjg/edit?gid=554141278#gid=554141278"", ""'Char Def. - Attributes'!C20:C2242""), 1,false)"),"ALT_UOM1_SIPI")</f>
        <v>ALT_UOM1_SIPI</v>
      </c>
      <c r="I2610" s="136"/>
    </row>
    <row r="2611" ht="15.75" customHeight="1">
      <c r="B2611" s="63">
        <f t="shared" si="1"/>
        <v>18</v>
      </c>
      <c r="C2611" s="134" t="s">
        <v>150</v>
      </c>
      <c r="D2611" s="134" t="s">
        <v>74</v>
      </c>
      <c r="E2611" s="135">
        <f t="shared" si="59"/>
        <v>34</v>
      </c>
      <c r="F2611" s="134" t="s">
        <v>3805</v>
      </c>
      <c r="G2611" s="63" t="str">
        <f>VLOOKUP(C2611, 'Class Def. - General Data'!$C$20:$C$1000,1,false)</f>
        <v>ZPI1_BANTL_SELIMUT</v>
      </c>
      <c r="H2611" s="63" t="str">
        <f>IFERROR(__xludf.DUMMYFUNCTION("VLOOKUP(F2611, IMPORTRANGE(""https://docs.google.com/spreadsheets/d/1Lhp9OU0JdFf_VYSMzH5lBcEaU4o8teT1piV-SNzShjg/edit?gid=554141278#gid=554141278"", ""'Char Def. - Attributes'!C20:C2242""), 1,false)"),"ALT_DENUM_UOM1")</f>
        <v>ALT_DENUM_UOM1</v>
      </c>
      <c r="I2611" s="136"/>
    </row>
    <row r="2612" ht="15.75" customHeight="1">
      <c r="B2612" s="63">
        <f t="shared" si="1"/>
        <v>18</v>
      </c>
      <c r="C2612" s="134" t="s">
        <v>150</v>
      </c>
      <c r="D2612" s="134" t="s">
        <v>74</v>
      </c>
      <c r="E2612" s="135">
        <f t="shared" si="59"/>
        <v>35</v>
      </c>
      <c r="F2612" s="134" t="s">
        <v>3806</v>
      </c>
      <c r="G2612" s="63" t="str">
        <f>VLOOKUP(C2612, 'Class Def. - General Data'!$C$20:$C$1000,1,false)</f>
        <v>ZPI1_BANTL_SELIMUT</v>
      </c>
      <c r="H2612" s="63" t="str">
        <f>IFERROR(__xludf.DUMMYFUNCTION("VLOOKUP(F2612, IMPORTRANGE(""https://docs.google.com/spreadsheets/d/1Lhp9OU0JdFf_VYSMzH5lBcEaU4o8teT1piV-SNzShjg/edit?gid=554141278#gid=554141278"", ""'Char Def. - Attributes'!C20:C2242""), 1,false)"),"ALT_NUM_UOM1")</f>
        <v>ALT_NUM_UOM1</v>
      </c>
      <c r="I2612" s="136"/>
    </row>
    <row r="2613" ht="15.75" customHeight="1">
      <c r="B2613" s="63">
        <f t="shared" si="1"/>
        <v>18</v>
      </c>
      <c r="C2613" s="134" t="s">
        <v>150</v>
      </c>
      <c r="D2613" s="134" t="s">
        <v>74</v>
      </c>
      <c r="E2613" s="135">
        <f t="shared" si="59"/>
        <v>36</v>
      </c>
      <c r="F2613" s="134" t="s">
        <v>3807</v>
      </c>
      <c r="G2613" s="63" t="str">
        <f>VLOOKUP(C2613, 'Class Def. - General Data'!$C$20:$C$1000,1,false)</f>
        <v>ZPI1_BANTL_SELIMUT</v>
      </c>
      <c r="H2613" s="63" t="str">
        <f>IFERROR(__xludf.DUMMYFUNCTION("VLOOKUP(F2613, IMPORTRANGE(""https://docs.google.com/spreadsheets/d/1Lhp9OU0JdFf_VYSMzH5lBcEaU4o8teT1piV-SNzShjg/edit?gid=554141278#gid=554141278"", ""'Char Def. - Attributes'!C20:C2242""), 1,false)"),"ALT_UOM2_SIPI")</f>
        <v>ALT_UOM2_SIPI</v>
      </c>
      <c r="I2613" s="136"/>
    </row>
    <row r="2614" ht="15.75" customHeight="1">
      <c r="B2614" s="63">
        <f t="shared" si="1"/>
        <v>18</v>
      </c>
      <c r="C2614" s="134" t="s">
        <v>150</v>
      </c>
      <c r="D2614" s="134" t="s">
        <v>74</v>
      </c>
      <c r="E2614" s="135">
        <f t="shared" si="59"/>
        <v>37</v>
      </c>
      <c r="F2614" s="134" t="s">
        <v>3808</v>
      </c>
      <c r="G2614" s="63" t="str">
        <f>VLOOKUP(C2614, 'Class Def. - General Data'!$C$20:$C$1000,1,false)</f>
        <v>ZPI1_BANTL_SELIMUT</v>
      </c>
      <c r="H2614" s="63" t="str">
        <f>IFERROR(__xludf.DUMMYFUNCTION("VLOOKUP(F2614, IMPORTRANGE(""https://docs.google.com/spreadsheets/d/1Lhp9OU0JdFf_VYSMzH5lBcEaU4o8teT1piV-SNzShjg/edit?gid=554141278#gid=554141278"", ""'Char Def. - Attributes'!C20:C2242""), 1,false)"),"ALT_DENUM_UOM2")</f>
        <v>ALT_DENUM_UOM2</v>
      </c>
      <c r="I2614" s="136"/>
    </row>
    <row r="2615" ht="15.75" customHeight="1">
      <c r="B2615" s="63">
        <f t="shared" si="1"/>
        <v>18</v>
      </c>
      <c r="C2615" s="134" t="s">
        <v>150</v>
      </c>
      <c r="D2615" s="134" t="s">
        <v>74</v>
      </c>
      <c r="E2615" s="135">
        <f t="shared" si="59"/>
        <v>38</v>
      </c>
      <c r="F2615" s="134" t="s">
        <v>3809</v>
      </c>
      <c r="G2615" s="63" t="str">
        <f>VLOOKUP(C2615, 'Class Def. - General Data'!$C$20:$C$1000,1,false)</f>
        <v>ZPI1_BANTL_SELIMUT</v>
      </c>
      <c r="H2615" s="63" t="str">
        <f>IFERROR(__xludf.DUMMYFUNCTION("VLOOKUP(F2615, IMPORTRANGE(""https://docs.google.com/spreadsheets/d/1Lhp9OU0JdFf_VYSMzH5lBcEaU4o8teT1piV-SNzShjg/edit?gid=554141278#gid=554141278"", ""'Char Def. - Attributes'!C20:C2242""), 1,false)"),"ALT_NUM_UOM2")</f>
        <v>ALT_NUM_UOM2</v>
      </c>
      <c r="I2615" s="136"/>
    </row>
    <row r="2616" ht="15.75" customHeight="1">
      <c r="B2616" s="63">
        <f t="shared" si="1"/>
        <v>18</v>
      </c>
      <c r="C2616" s="134" t="s">
        <v>150</v>
      </c>
      <c r="D2616" s="134" t="s">
        <v>74</v>
      </c>
      <c r="E2616" s="135">
        <f t="shared" si="59"/>
        <v>39</v>
      </c>
      <c r="F2616" s="134" t="s">
        <v>3810</v>
      </c>
      <c r="G2616" s="63" t="str">
        <f>VLOOKUP(C2616, 'Class Def. - General Data'!$C$20:$C$1000,1,false)</f>
        <v>ZPI1_BANTL_SELIMUT</v>
      </c>
      <c r="H2616" s="63" t="str">
        <f>IFERROR(__xludf.DUMMYFUNCTION("VLOOKUP(F2616, IMPORTRANGE(""https://docs.google.com/spreadsheets/d/1Lhp9OU0JdFf_VYSMzH5lBcEaU4o8teT1piV-SNzShjg/edit?gid=554141278#gid=554141278"", ""'Char Def. - Attributes'!C20:C2242""), 1,false)"),"ALT_UOM3_SIPI")</f>
        <v>ALT_UOM3_SIPI</v>
      </c>
      <c r="I2616" s="136"/>
    </row>
    <row r="2617" ht="15.75" customHeight="1">
      <c r="B2617" s="63">
        <f t="shared" si="1"/>
        <v>18</v>
      </c>
      <c r="C2617" s="134" t="s">
        <v>150</v>
      </c>
      <c r="D2617" s="134" t="s">
        <v>74</v>
      </c>
      <c r="E2617" s="135">
        <f t="shared" si="59"/>
        <v>40</v>
      </c>
      <c r="F2617" s="134" t="s">
        <v>3811</v>
      </c>
      <c r="G2617" s="63" t="str">
        <f>VLOOKUP(C2617, 'Class Def. - General Data'!$C$20:$C$1000,1,false)</f>
        <v>ZPI1_BANTL_SELIMUT</v>
      </c>
      <c r="H2617" s="63" t="str">
        <f>IFERROR(__xludf.DUMMYFUNCTION("VLOOKUP(F2617, IMPORTRANGE(""https://docs.google.com/spreadsheets/d/1Lhp9OU0JdFf_VYSMzH5lBcEaU4o8teT1piV-SNzShjg/edit?gid=554141278#gid=554141278"", ""'Char Def. - Attributes'!C20:C2242""), 1,false)"),"ALT_DENUM_UOM3")</f>
        <v>ALT_DENUM_UOM3</v>
      </c>
      <c r="I2617" s="136"/>
    </row>
    <row r="2618" ht="15.75" customHeight="1">
      <c r="B2618" s="63">
        <f t="shared" si="1"/>
        <v>18</v>
      </c>
      <c r="C2618" s="134" t="s">
        <v>150</v>
      </c>
      <c r="D2618" s="134" t="s">
        <v>74</v>
      </c>
      <c r="E2618" s="135">
        <f t="shared" si="59"/>
        <v>41</v>
      </c>
      <c r="F2618" s="134" t="s">
        <v>3812</v>
      </c>
      <c r="G2618" s="63" t="str">
        <f>VLOOKUP(C2618, 'Class Def. - General Data'!$C$20:$C$1000,1,false)</f>
        <v>ZPI1_BANTL_SELIMUT</v>
      </c>
      <c r="H2618" s="63" t="str">
        <f>IFERROR(__xludf.DUMMYFUNCTION("VLOOKUP(F2618, IMPORTRANGE(""https://docs.google.com/spreadsheets/d/1Lhp9OU0JdFf_VYSMzH5lBcEaU4o8teT1piV-SNzShjg/edit?gid=554141278#gid=554141278"", ""'Char Def. - Attributes'!C20:C2242""), 1,false)"),"ALT_NUM_UOM3")</f>
        <v>ALT_NUM_UOM3</v>
      </c>
      <c r="I2618" s="136"/>
    </row>
    <row r="2619" ht="15.75" customHeight="1">
      <c r="B2619" s="63">
        <f t="shared" si="1"/>
        <v>18</v>
      </c>
      <c r="C2619" s="134" t="s">
        <v>150</v>
      </c>
      <c r="D2619" s="134" t="s">
        <v>74</v>
      </c>
      <c r="E2619" s="135">
        <f t="shared" si="59"/>
        <v>42</v>
      </c>
      <c r="F2619" s="134" t="s">
        <v>3813</v>
      </c>
      <c r="G2619" s="63" t="str">
        <f>VLOOKUP(C2619, 'Class Def. - General Data'!$C$20:$C$1000,1,false)</f>
        <v>ZPI1_BANTL_SELIMUT</v>
      </c>
      <c r="H2619" s="63" t="str">
        <f>IFERROR(__xludf.DUMMYFUNCTION("VLOOKUP(F2619, IMPORTRANGE(""https://docs.google.com/spreadsheets/d/1Lhp9OU0JdFf_VYSMzH5lBcEaU4o8teT1piV-SNzShjg/edit?gid=554141278#gid=554141278"", ""'Char Def. - Attributes'!C20:C2242""), 1,false)"),"ALT_UOM4_SIPI")</f>
        <v>ALT_UOM4_SIPI</v>
      </c>
      <c r="I2619" s="136"/>
    </row>
    <row r="2620" ht="15.75" customHeight="1">
      <c r="B2620" s="63">
        <f t="shared" si="1"/>
        <v>18</v>
      </c>
      <c r="C2620" s="134" t="s">
        <v>150</v>
      </c>
      <c r="D2620" s="134" t="s">
        <v>74</v>
      </c>
      <c r="E2620" s="135">
        <f t="shared" si="59"/>
        <v>43</v>
      </c>
      <c r="F2620" s="134" t="s">
        <v>3814</v>
      </c>
      <c r="G2620" s="63" t="str">
        <f>VLOOKUP(C2620, 'Class Def. - General Data'!$C$20:$C$1000,1,false)</f>
        <v>ZPI1_BANTL_SELIMUT</v>
      </c>
      <c r="H2620" s="63" t="str">
        <f>IFERROR(__xludf.DUMMYFUNCTION("VLOOKUP(F2620, IMPORTRANGE(""https://docs.google.com/spreadsheets/d/1Lhp9OU0JdFf_VYSMzH5lBcEaU4o8teT1piV-SNzShjg/edit?gid=554141278#gid=554141278"", ""'Char Def. - Attributes'!C20:C2242""), 1,false)"),"ALT_DENUM_UOM4")</f>
        <v>ALT_DENUM_UOM4</v>
      </c>
      <c r="I2620" s="136"/>
    </row>
    <row r="2621" ht="15.75" customHeight="1">
      <c r="B2621" s="63">
        <f t="shared" si="1"/>
        <v>18</v>
      </c>
      <c r="C2621" s="134" t="s">
        <v>150</v>
      </c>
      <c r="D2621" s="134" t="s">
        <v>74</v>
      </c>
      <c r="E2621" s="135">
        <f t="shared" si="59"/>
        <v>44</v>
      </c>
      <c r="F2621" s="134" t="s">
        <v>3815</v>
      </c>
      <c r="G2621" s="63" t="str">
        <f>VLOOKUP(C2621, 'Class Def. - General Data'!$C$20:$C$1000,1,false)</f>
        <v>ZPI1_BANTL_SELIMUT</v>
      </c>
      <c r="H2621" s="63" t="str">
        <f>IFERROR(__xludf.DUMMYFUNCTION("VLOOKUP(F2621, IMPORTRANGE(""https://docs.google.com/spreadsheets/d/1Lhp9OU0JdFf_VYSMzH5lBcEaU4o8teT1piV-SNzShjg/edit?gid=554141278#gid=554141278"", ""'Char Def. - Attributes'!C20:C2242""), 1,false)"),"ALT_NUM_UOM4")</f>
        <v>ALT_NUM_UOM4</v>
      </c>
      <c r="I2621" s="136"/>
    </row>
    <row r="2622" ht="15.75" customHeight="1">
      <c r="B2622" s="63">
        <f t="shared" si="1"/>
        <v>18</v>
      </c>
      <c r="C2622" s="134" t="s">
        <v>150</v>
      </c>
      <c r="D2622" s="134" t="s">
        <v>74</v>
      </c>
      <c r="E2622" s="135">
        <f t="shared" si="59"/>
        <v>45</v>
      </c>
      <c r="F2622" s="134" t="s">
        <v>3816</v>
      </c>
      <c r="G2622" s="63" t="str">
        <f>VLOOKUP(C2622, 'Class Def. - General Data'!$C$20:$C$1000,1,false)</f>
        <v>ZPI1_BANTL_SELIMUT</v>
      </c>
      <c r="H2622" s="63" t="str">
        <f>IFERROR(__xludf.DUMMYFUNCTION("VLOOKUP(F2622, IMPORTRANGE(""https://docs.google.com/spreadsheets/d/1Lhp9OU0JdFf_VYSMzH5lBcEaU4o8teT1piV-SNzShjg/edit?gid=554141278#gid=554141278"", ""'Char Def. - Attributes'!C20:C2242""), 1,false)"),"ALT_UOM5_SIPI")</f>
        <v>ALT_UOM5_SIPI</v>
      </c>
      <c r="I2622" s="136"/>
    </row>
    <row r="2623" ht="15.75" customHeight="1">
      <c r="B2623" s="63">
        <f t="shared" si="1"/>
        <v>18</v>
      </c>
      <c r="C2623" s="134" t="s">
        <v>150</v>
      </c>
      <c r="D2623" s="134" t="s">
        <v>74</v>
      </c>
      <c r="E2623" s="135">
        <f t="shared" si="59"/>
        <v>46</v>
      </c>
      <c r="F2623" s="134" t="s">
        <v>3817</v>
      </c>
      <c r="G2623" s="63" t="str">
        <f>VLOOKUP(C2623, 'Class Def. - General Data'!$C$20:$C$1000,1,false)</f>
        <v>ZPI1_BANTL_SELIMUT</v>
      </c>
      <c r="H2623" s="63" t="str">
        <f>IFERROR(__xludf.DUMMYFUNCTION("VLOOKUP(F2623, IMPORTRANGE(""https://docs.google.com/spreadsheets/d/1Lhp9OU0JdFf_VYSMzH5lBcEaU4o8teT1piV-SNzShjg/edit?gid=554141278#gid=554141278"", ""'Char Def. - Attributes'!C20:C2242""), 1,false)"),"ALT_DENUM_UOM5")</f>
        <v>ALT_DENUM_UOM5</v>
      </c>
      <c r="I2623" s="136"/>
    </row>
    <row r="2624" ht="15.75" customHeight="1">
      <c r="B2624" s="63">
        <f t="shared" si="1"/>
        <v>18</v>
      </c>
      <c r="C2624" s="134" t="s">
        <v>150</v>
      </c>
      <c r="D2624" s="134" t="s">
        <v>74</v>
      </c>
      <c r="E2624" s="135">
        <f t="shared" si="59"/>
        <v>47</v>
      </c>
      <c r="F2624" s="134" t="s">
        <v>3818</v>
      </c>
      <c r="G2624" s="63" t="str">
        <f>VLOOKUP(C2624, 'Class Def. - General Data'!$C$20:$C$1000,1,false)</f>
        <v>ZPI1_BANTL_SELIMUT</v>
      </c>
      <c r="H2624" s="63" t="str">
        <f>IFERROR(__xludf.DUMMYFUNCTION("VLOOKUP(F2624, IMPORTRANGE(""https://docs.google.com/spreadsheets/d/1Lhp9OU0JdFf_VYSMzH5lBcEaU4o8teT1piV-SNzShjg/edit?gid=554141278#gid=554141278"", ""'Char Def. - Attributes'!C20:C2242""), 1,false)"),"ALT_NUM_UOM5")</f>
        <v>ALT_NUM_UOM5</v>
      </c>
      <c r="I2624" s="136"/>
    </row>
    <row r="2625" ht="15.75" customHeight="1">
      <c r="B2625" s="63">
        <f t="shared" si="1"/>
        <v>16</v>
      </c>
      <c r="C2625" s="134" t="s">
        <v>156</v>
      </c>
      <c r="D2625" s="134" t="s">
        <v>74</v>
      </c>
      <c r="E2625" s="135">
        <f t="shared" si="59"/>
        <v>1</v>
      </c>
      <c r="F2625" s="134" t="s">
        <v>3823</v>
      </c>
      <c r="G2625" s="63" t="str">
        <f>VLOOKUP(C2625, 'Class Def. - General Data'!$C$20:$C$1000,1,false)</f>
        <v>ZPI1_BUKU_KERTAS</v>
      </c>
      <c r="H2625" s="63" t="str">
        <f>IFERROR(__xludf.DUMMYFUNCTION("VLOOKUP(F2625, IMPORTRANGE(""https://docs.google.com/spreadsheets/d/1Lhp9OU0JdFf_VYSMzH5lBcEaU4o8teT1piV-SNzShjg/edit?gid=554141278#gid=554141278"", ""'Char Def. - Attributes'!C20:C2242""), 1,false)"),"ITEM_NAME_BUKU_KERTAS")</f>
        <v>ITEM_NAME_BUKU_KERTAS</v>
      </c>
      <c r="I2625" s="136"/>
    </row>
    <row r="2626" ht="15.75" customHeight="1">
      <c r="B2626" s="63">
        <f t="shared" si="1"/>
        <v>16</v>
      </c>
      <c r="C2626" s="134" t="s">
        <v>156</v>
      </c>
      <c r="D2626" s="134" t="s">
        <v>74</v>
      </c>
      <c r="E2626" s="135">
        <f t="shared" si="59"/>
        <v>2</v>
      </c>
      <c r="F2626" s="134" t="s">
        <v>3778</v>
      </c>
      <c r="G2626" s="63" t="str">
        <f>VLOOKUP(C2626, 'Class Def. - General Data'!$C$20:$C$1000,1,false)</f>
        <v>ZPI1_BUKU_KERTAS</v>
      </c>
      <c r="H2626" s="63" t="str">
        <f>IFERROR(__xludf.DUMMYFUNCTION("VLOOKUP(F2626, IMPORTRANGE(""https://docs.google.com/spreadsheets/d/1Lhp9OU0JdFf_VYSMzH5lBcEaU4o8teT1piV-SNzShjg/edit?gid=554141278#gid=554141278"", ""'Char Def. - Attributes'!C20:C2242""), 1,false)"),"SPECIAL_ACTIVITY")</f>
        <v>SPECIAL_ACTIVITY</v>
      </c>
      <c r="I2626" s="136"/>
    </row>
    <row r="2627" ht="15.75" customHeight="1">
      <c r="B2627" s="63">
        <f t="shared" si="1"/>
        <v>16</v>
      </c>
      <c r="C2627" s="134" t="s">
        <v>156</v>
      </c>
      <c r="D2627" s="134" t="s">
        <v>74</v>
      </c>
      <c r="E2627" s="135">
        <f t="shared" si="59"/>
        <v>3</v>
      </c>
      <c r="F2627" s="135" t="s">
        <v>3779</v>
      </c>
      <c r="G2627" s="63" t="str">
        <f>VLOOKUP(C2627, 'Class Def. - General Data'!$C$20:$C$1000,1,false)</f>
        <v>ZPI1_BUKU_KERTAS</v>
      </c>
      <c r="H2627" s="63" t="str">
        <f>IFERROR(__xludf.DUMMYFUNCTION("VLOOKUP(F2627, IMPORTRANGE(""https://docs.google.com/spreadsheets/d/1Lhp9OU0JdFf_VYSMzH5lBcEaU4o8teT1piV-SNzShjg/edit?gid=554141278#gid=554141278"", ""'Char Def. - Attributes'!C20:C2242""), 1,false)"),"EMBOSSED_BRAND_WINGS")</f>
        <v>EMBOSSED_BRAND_WINGS</v>
      </c>
      <c r="I2627" s="136"/>
    </row>
    <row r="2628" ht="15.75" customHeight="1">
      <c r="B2628" s="63">
        <f t="shared" si="1"/>
        <v>16</v>
      </c>
      <c r="C2628" s="134" t="s">
        <v>156</v>
      </c>
      <c r="D2628" s="134" t="s">
        <v>74</v>
      </c>
      <c r="E2628" s="135">
        <f t="shared" si="59"/>
        <v>4</v>
      </c>
      <c r="F2628" s="135" t="s">
        <v>3780</v>
      </c>
      <c r="G2628" s="63" t="str">
        <f>VLOOKUP(C2628, 'Class Def. - General Data'!$C$20:$C$1000,1,false)</f>
        <v>ZPI1_BUKU_KERTAS</v>
      </c>
      <c r="H2628" s="63" t="str">
        <f>IFERROR(__xludf.DUMMYFUNCTION("VLOOKUP(F2628, IMPORTRANGE(""https://docs.google.com/spreadsheets/d/1Lhp9OU0JdFf_VYSMzH5lBcEaU4o8teT1piV-SNzShjg/edit?gid=554141278#gid=554141278"", ""'Char Def. - Attributes'!C20:C2242""), 1,false)"),"BRAND_WINGS_SIPI")</f>
        <v>BRAND_WINGS_SIPI</v>
      </c>
      <c r="I2628" s="136"/>
    </row>
    <row r="2629" ht="15.75" customHeight="1">
      <c r="B2629" s="63">
        <f t="shared" si="1"/>
        <v>16</v>
      </c>
      <c r="C2629" s="134" t="s">
        <v>156</v>
      </c>
      <c r="D2629" s="134" t="s">
        <v>74</v>
      </c>
      <c r="E2629" s="135">
        <f t="shared" si="59"/>
        <v>5</v>
      </c>
      <c r="F2629" s="134" t="s">
        <v>3781</v>
      </c>
      <c r="G2629" s="63" t="str">
        <f>VLOOKUP(C2629, 'Class Def. - General Data'!$C$20:$C$1000,1,false)</f>
        <v>ZPI1_BUKU_KERTAS</v>
      </c>
      <c r="H2629" s="63" t="str">
        <f>IFERROR(__xludf.DUMMYFUNCTION("VLOOKUP(F2629, IMPORTRANGE(""https://docs.google.com/spreadsheets/d/1Lhp9OU0JdFf_VYSMzH5lBcEaU4o8teT1piV-SNzShjg/edit?gid=554141278#gid=554141278"", ""'Char Def. - Attributes'!C20:C2242""), 1,false)"),"EXTERNAL_BRAND")</f>
        <v>EXTERNAL_BRAND</v>
      </c>
      <c r="I2629" s="136"/>
    </row>
    <row r="2630" ht="15.75" customHeight="1">
      <c r="B2630" s="63">
        <f t="shared" si="1"/>
        <v>16</v>
      </c>
      <c r="C2630" s="134" t="s">
        <v>156</v>
      </c>
      <c r="D2630" s="134" t="s">
        <v>74</v>
      </c>
      <c r="E2630" s="135">
        <f t="shared" si="59"/>
        <v>6</v>
      </c>
      <c r="F2630" s="134" t="s">
        <v>3782</v>
      </c>
      <c r="G2630" s="63" t="str">
        <f>VLOOKUP(C2630, 'Class Def. - General Data'!$C$20:$C$1000,1,false)</f>
        <v>ZPI1_BUKU_KERTAS</v>
      </c>
      <c r="H2630" s="63" t="str">
        <f>IFERROR(__xludf.DUMMYFUNCTION("VLOOKUP(F2630, IMPORTRANGE(""https://docs.google.com/spreadsheets/d/1Lhp9OU0JdFf_VYSMzH5lBcEaU4o8teT1piV-SNzShjg/edit?gid=554141278#gid=554141278"", ""'Char Def. - Attributes'!C20:C2242""), 1,false)"),"BRAND_EXTERNAL")</f>
        <v>BRAND_EXTERNAL</v>
      </c>
      <c r="I2630" s="136"/>
    </row>
    <row r="2631" ht="15.75" customHeight="1">
      <c r="B2631" s="63">
        <f t="shared" si="1"/>
        <v>16</v>
      </c>
      <c r="C2631" s="134" t="s">
        <v>156</v>
      </c>
      <c r="D2631" s="134" t="s">
        <v>74</v>
      </c>
      <c r="E2631" s="135">
        <f t="shared" si="59"/>
        <v>7</v>
      </c>
      <c r="F2631" s="134" t="s">
        <v>3783</v>
      </c>
      <c r="G2631" s="63" t="str">
        <f>VLOOKUP(C2631, 'Class Def. - General Data'!$C$20:$C$1000,1,false)</f>
        <v>ZPI1_BUKU_KERTAS</v>
      </c>
      <c r="H2631" s="63" t="str">
        <f>IFERROR(__xludf.DUMMYFUNCTION("VLOOKUP(F2631, IMPORTRANGE(""https://docs.google.com/spreadsheets/d/1Lhp9OU0JdFf_VYSMzH5lBcEaU4o8teT1piV-SNzShjg/edit?gid=554141278#gid=554141278"", ""'Char Def. - Attributes'!C20:C2242""), 1,false)"),"NO_SERI_BRAND_EXTERNAL")</f>
        <v>NO_SERI_BRAND_EXTERNAL</v>
      </c>
      <c r="I2631" s="136"/>
    </row>
    <row r="2632" ht="15.75" customHeight="1">
      <c r="B2632" s="63">
        <f t="shared" si="1"/>
        <v>16</v>
      </c>
      <c r="C2632" s="134" t="s">
        <v>156</v>
      </c>
      <c r="D2632" s="134" t="s">
        <v>74</v>
      </c>
      <c r="E2632" s="135">
        <f t="shared" si="59"/>
        <v>8</v>
      </c>
      <c r="F2632" s="134" t="s">
        <v>3824</v>
      </c>
      <c r="G2632" s="63" t="str">
        <f>VLOOKUP(C2632, 'Class Def. - General Data'!$C$20:$C$1000,1,false)</f>
        <v>ZPI1_BUKU_KERTAS</v>
      </c>
      <c r="H2632" s="63" t="str">
        <f>IFERROR(__xludf.DUMMYFUNCTION("VLOOKUP(F2632, IMPORTRANGE(""https://docs.google.com/spreadsheets/d/1Lhp9OU0JdFf_VYSMzH5lBcEaU4o8teT1piV-SNzShjg/edit?gid=554141278#gid=554141278"", ""'Char Def. - Attributes'!C20:C2242""), 1,false)"),"MATERIAL_BUKU_KERTAS")</f>
        <v>MATERIAL_BUKU_KERTAS</v>
      </c>
      <c r="I2632" s="136"/>
    </row>
    <row r="2633" ht="15.75" customHeight="1">
      <c r="B2633" s="63">
        <f t="shared" si="1"/>
        <v>16</v>
      </c>
      <c r="C2633" s="134" t="s">
        <v>156</v>
      </c>
      <c r="D2633" s="134" t="s">
        <v>74</v>
      </c>
      <c r="E2633" s="135">
        <f t="shared" si="59"/>
        <v>9</v>
      </c>
      <c r="F2633" s="134" t="s">
        <v>3785</v>
      </c>
      <c r="G2633" s="63" t="str">
        <f>VLOOKUP(C2633, 'Class Def. - General Data'!$C$20:$C$1000,1,false)</f>
        <v>ZPI1_BUKU_KERTAS</v>
      </c>
      <c r="H2633" s="63" t="str">
        <f>IFERROR(__xludf.DUMMYFUNCTION("VLOOKUP(F2633, IMPORTRANGE(""https://docs.google.com/spreadsheets/d/1Lhp9OU0JdFf_VYSMzH5lBcEaU4o8teT1piV-SNzShjg/edit?gid=554141278#gid=554141278"", ""'Char Def. - Attributes'!C20:C2242""), 1,false)"),"ITEM_SHAPE")</f>
        <v>ITEM_SHAPE</v>
      </c>
      <c r="I2633" s="136"/>
    </row>
    <row r="2634" ht="15.75" customHeight="1">
      <c r="B2634" s="63">
        <f t="shared" si="1"/>
        <v>16</v>
      </c>
      <c r="C2634" s="134" t="s">
        <v>156</v>
      </c>
      <c r="D2634" s="134" t="s">
        <v>74</v>
      </c>
      <c r="E2634" s="135">
        <f t="shared" si="59"/>
        <v>10</v>
      </c>
      <c r="F2634" s="134" t="s">
        <v>3786</v>
      </c>
      <c r="G2634" s="63" t="str">
        <f>VLOOKUP(C2634, 'Class Def. - General Data'!$C$20:$C$1000,1,false)</f>
        <v>ZPI1_BUKU_KERTAS</v>
      </c>
      <c r="H2634" s="63" t="str">
        <f>IFERROR(__xludf.DUMMYFUNCTION("VLOOKUP(F2634, IMPORTRANGE(""https://docs.google.com/spreadsheets/d/1Lhp9OU0JdFf_VYSMzH5lBcEaU4o8teT1piV-SNzShjg/edit?gid=554141278#gid=554141278"", ""'Char Def. - Attributes'!C20:C2242""), 1,false)"),"SIZE_UNIT_DIMENSI")</f>
        <v>SIZE_UNIT_DIMENSI</v>
      </c>
      <c r="I2634" s="136"/>
    </row>
    <row r="2635" ht="15.75" customHeight="1">
      <c r="B2635" s="63">
        <f t="shared" si="1"/>
        <v>16</v>
      </c>
      <c r="C2635" s="134" t="s">
        <v>156</v>
      </c>
      <c r="D2635" s="134" t="s">
        <v>74</v>
      </c>
      <c r="E2635" s="135">
        <f t="shared" si="59"/>
        <v>11</v>
      </c>
      <c r="F2635" s="135" t="s">
        <v>3787</v>
      </c>
      <c r="G2635" s="63" t="str">
        <f>VLOOKUP(C2635, 'Class Def. - General Data'!$C$20:$C$1000,1,false)</f>
        <v>ZPI1_BUKU_KERTAS</v>
      </c>
      <c r="H2635" s="63" t="str">
        <f>IFERROR(__xludf.DUMMYFUNCTION("VLOOKUP(F2635, IMPORTRANGE(""https://docs.google.com/spreadsheets/d/1Lhp9OU0JdFf_VYSMzH5lBcEaU4o8teT1piV-SNzShjg/edit?gid=554141278#gid=554141278"", ""'Char Def. - Attributes'!C20:C2242""), 1,false)"),"DIAMETER_PCS")</f>
        <v>DIAMETER_PCS</v>
      </c>
      <c r="I2635" s="136"/>
    </row>
    <row r="2636" ht="15.75" customHeight="1">
      <c r="B2636" s="63">
        <f t="shared" si="1"/>
        <v>16</v>
      </c>
      <c r="C2636" s="134" t="s">
        <v>156</v>
      </c>
      <c r="D2636" s="134" t="s">
        <v>74</v>
      </c>
      <c r="E2636" s="135">
        <f t="shared" si="59"/>
        <v>12</v>
      </c>
      <c r="F2636" s="134" t="s">
        <v>3788</v>
      </c>
      <c r="G2636" s="63" t="str">
        <f>VLOOKUP(C2636, 'Class Def. - General Data'!$C$20:$C$1000,1,false)</f>
        <v>ZPI1_BUKU_KERTAS</v>
      </c>
      <c r="H2636" s="63" t="str">
        <f>IFERROR(__xludf.DUMMYFUNCTION("VLOOKUP(F2636, IMPORTRANGE(""https://docs.google.com/spreadsheets/d/1Lhp9OU0JdFf_VYSMzH5lBcEaU4o8teT1piV-SNzShjg/edit?gid=554141278#gid=554141278"", ""'Char Def. - Attributes'!C20:C2242""), 1,false)"),"LENGTH_PCS")</f>
        <v>LENGTH_PCS</v>
      </c>
      <c r="I2636" s="136"/>
    </row>
    <row r="2637" ht="15.75" customHeight="1">
      <c r="B2637" s="63">
        <f t="shared" si="1"/>
        <v>16</v>
      </c>
      <c r="C2637" s="134" t="s">
        <v>156</v>
      </c>
      <c r="D2637" s="134" t="s">
        <v>74</v>
      </c>
      <c r="E2637" s="135">
        <f t="shared" si="59"/>
        <v>13</v>
      </c>
      <c r="F2637" s="134" t="s">
        <v>3789</v>
      </c>
      <c r="G2637" s="63" t="str">
        <f>VLOOKUP(C2637, 'Class Def. - General Data'!$C$20:$C$1000,1,false)</f>
        <v>ZPI1_BUKU_KERTAS</v>
      </c>
      <c r="H2637" s="63" t="str">
        <f>IFERROR(__xludf.DUMMYFUNCTION("VLOOKUP(F2637, IMPORTRANGE(""https://docs.google.com/spreadsheets/d/1Lhp9OU0JdFf_VYSMzH5lBcEaU4o8teT1piV-SNzShjg/edit?gid=554141278#gid=554141278"", ""'Char Def. - Attributes'!C20:C2242""), 1,false)"),"WIDTH_PCS")</f>
        <v>WIDTH_PCS</v>
      </c>
      <c r="I2637" s="136"/>
    </row>
    <row r="2638" ht="15.75" customHeight="1">
      <c r="B2638" s="63">
        <f t="shared" si="1"/>
        <v>16</v>
      </c>
      <c r="C2638" s="134" t="s">
        <v>156</v>
      </c>
      <c r="D2638" s="134" t="s">
        <v>74</v>
      </c>
      <c r="E2638" s="135">
        <f t="shared" si="59"/>
        <v>14</v>
      </c>
      <c r="F2638" s="134" t="s">
        <v>3790</v>
      </c>
      <c r="G2638" s="63" t="str">
        <f>VLOOKUP(C2638, 'Class Def. - General Data'!$C$20:$C$1000,1,false)</f>
        <v>ZPI1_BUKU_KERTAS</v>
      </c>
      <c r="H2638" s="63" t="str">
        <f>IFERROR(__xludf.DUMMYFUNCTION("VLOOKUP(F2638, IMPORTRANGE(""https://docs.google.com/spreadsheets/d/1Lhp9OU0JdFf_VYSMzH5lBcEaU4o8teT1piV-SNzShjg/edit?gid=554141278#gid=554141278"", ""'Char Def. - Attributes'!C20:C2242""), 1,false)"),"HEIGHT_PCS")</f>
        <v>HEIGHT_PCS</v>
      </c>
      <c r="I2638" s="136"/>
    </row>
    <row r="2639" ht="15.75" customHeight="1">
      <c r="B2639" s="63">
        <f t="shared" si="1"/>
        <v>16</v>
      </c>
      <c r="C2639" s="134" t="s">
        <v>156</v>
      </c>
      <c r="D2639" s="134" t="s">
        <v>74</v>
      </c>
      <c r="E2639" s="135">
        <f t="shared" si="59"/>
        <v>15</v>
      </c>
      <c r="F2639" s="134" t="s">
        <v>3791</v>
      </c>
      <c r="G2639" s="63" t="str">
        <f>VLOOKUP(C2639, 'Class Def. - General Data'!$C$20:$C$1000,1,false)</f>
        <v>ZPI1_BUKU_KERTAS</v>
      </c>
      <c r="H2639" s="63" t="str">
        <f>IFERROR(__xludf.DUMMYFUNCTION("VLOOKUP(F2639, IMPORTRANGE(""https://docs.google.com/spreadsheets/d/1Lhp9OU0JdFf_VYSMzH5lBcEaU4o8teT1piV-SNzShjg/edit?gid=554141278#gid=554141278"", ""'Char Def. - Attributes'!C20:C2242""), 1,false)"),"HAS_SPESIFIC_COLOUR")</f>
        <v>HAS_SPESIFIC_COLOUR</v>
      </c>
      <c r="I2639" s="136"/>
    </row>
    <row r="2640" ht="15.75" customHeight="1">
      <c r="B2640" s="63">
        <f t="shared" si="1"/>
        <v>16</v>
      </c>
      <c r="C2640" s="134" t="s">
        <v>156</v>
      </c>
      <c r="D2640" s="134" t="s">
        <v>74</v>
      </c>
      <c r="E2640" s="135">
        <f t="shared" si="59"/>
        <v>16</v>
      </c>
      <c r="F2640" s="134" t="s">
        <v>3792</v>
      </c>
      <c r="G2640" s="63" t="str">
        <f>VLOOKUP(C2640, 'Class Def. - General Data'!$C$20:$C$1000,1,false)</f>
        <v>ZPI1_BUKU_KERTAS</v>
      </c>
      <c r="H2640" s="63" t="str">
        <f>IFERROR(__xludf.DUMMYFUNCTION("VLOOKUP(F2640, IMPORTRANGE(""https://docs.google.com/spreadsheets/d/1Lhp9OU0JdFf_VYSMzH5lBcEaU4o8teT1piV-SNzShjg/edit?gid=554141278#gid=554141278"", ""'Char Def. - Attributes'!C20:C2242""), 1,false)"),"COLOUR")</f>
        <v>COLOUR</v>
      </c>
      <c r="I2640" s="136"/>
    </row>
    <row r="2641" ht="15.75" customHeight="1">
      <c r="B2641" s="63">
        <f t="shared" si="1"/>
        <v>16</v>
      </c>
      <c r="C2641" s="134" t="s">
        <v>156</v>
      </c>
      <c r="D2641" s="134" t="s">
        <v>74</v>
      </c>
      <c r="E2641" s="135">
        <f t="shared" si="59"/>
        <v>17</v>
      </c>
      <c r="F2641" s="134" t="s">
        <v>3793</v>
      </c>
      <c r="G2641" s="63" t="str">
        <f>VLOOKUP(C2641, 'Class Def. - General Data'!$C$20:$C$1000,1,false)</f>
        <v>ZPI1_BUKU_KERTAS</v>
      </c>
      <c r="H2641" s="63" t="str">
        <f>IFERROR(__xludf.DUMMYFUNCTION("VLOOKUP(F2641, IMPORTRANGE(""https://docs.google.com/spreadsheets/d/1Lhp9OU0JdFf_VYSMzH5lBcEaU4o8teT1piV-SNzShjg/edit?gid=554141278#gid=554141278"", ""'Char Def. - Attributes'!C20:C2242""), 1,false)"),"EMBOSSED_SPESIFIC_DESAIN")</f>
        <v>EMBOSSED_SPESIFIC_DESAIN</v>
      </c>
      <c r="I2641" s="136"/>
    </row>
    <row r="2642" ht="15.75" customHeight="1">
      <c r="B2642" s="63">
        <f t="shared" si="1"/>
        <v>16</v>
      </c>
      <c r="C2642" s="134" t="s">
        <v>156</v>
      </c>
      <c r="D2642" s="134" t="s">
        <v>74</v>
      </c>
      <c r="E2642" s="135">
        <f t="shared" si="59"/>
        <v>18</v>
      </c>
      <c r="F2642" s="134" t="s">
        <v>3794</v>
      </c>
      <c r="G2642" s="63" t="str">
        <f>VLOOKUP(C2642, 'Class Def. - General Data'!$C$20:$C$1000,1,false)</f>
        <v>ZPI1_BUKU_KERTAS</v>
      </c>
      <c r="H2642" s="63" t="str">
        <f>IFERROR(__xludf.DUMMYFUNCTION("VLOOKUP(F2642, IMPORTRANGE(""https://docs.google.com/spreadsheets/d/1Lhp9OU0JdFf_VYSMzH5lBcEaU4o8teT1piV-SNzShjg/edit?gid=554141278#gid=554141278"", ""'Char Def. - Attributes'!C20:C2242""), 1,false)"),"DESAIN_NAME")</f>
        <v>DESAIN_NAME</v>
      </c>
      <c r="I2642" s="136"/>
    </row>
    <row r="2643" ht="15.75" customHeight="1">
      <c r="B2643" s="63">
        <f t="shared" si="1"/>
        <v>16</v>
      </c>
      <c r="C2643" s="134" t="s">
        <v>156</v>
      </c>
      <c r="D2643" s="134" t="s">
        <v>74</v>
      </c>
      <c r="E2643" s="135">
        <f t="shared" si="59"/>
        <v>19</v>
      </c>
      <c r="F2643" s="134" t="s">
        <v>3795</v>
      </c>
      <c r="G2643" s="63" t="str">
        <f>VLOOKUP(C2643, 'Class Def. - General Data'!$C$20:$C$1000,1,false)</f>
        <v>ZPI1_BUKU_KERTAS</v>
      </c>
      <c r="H2643" s="63" t="str">
        <f>IFERROR(__xludf.DUMMYFUNCTION("VLOOKUP(F2643, IMPORTRANGE(""https://docs.google.com/spreadsheets/d/1Lhp9OU0JdFf_VYSMzH5lBcEaU4o8teT1piV-SNzShjg/edit?gid=554141278#gid=554141278"", ""'Char Def. - Attributes'!C20:C2242""), 1,false)"),"DESAIN_MONTH")</f>
        <v>DESAIN_MONTH</v>
      </c>
      <c r="I2643" s="136"/>
    </row>
    <row r="2644" ht="15.75" customHeight="1">
      <c r="B2644" s="63">
        <f t="shared" si="1"/>
        <v>16</v>
      </c>
      <c r="C2644" s="134" t="s">
        <v>156</v>
      </c>
      <c r="D2644" s="134" t="s">
        <v>74</v>
      </c>
      <c r="E2644" s="135">
        <f t="shared" si="59"/>
        <v>20</v>
      </c>
      <c r="F2644" s="134" t="s">
        <v>3796</v>
      </c>
      <c r="G2644" s="63" t="str">
        <f>VLOOKUP(C2644, 'Class Def. - General Data'!$C$20:$C$1000,1,false)</f>
        <v>ZPI1_BUKU_KERTAS</v>
      </c>
      <c r="H2644" s="63" t="str">
        <f>IFERROR(__xludf.DUMMYFUNCTION("VLOOKUP(F2644, IMPORTRANGE(""https://docs.google.com/spreadsheets/d/1Lhp9OU0JdFf_VYSMzH5lBcEaU4o8teT1piV-SNzShjg/edit?gid=554141278#gid=554141278"", ""'Char Def. - Attributes'!C20:C2242""), 1,false)"),"DESAIN_YEAR")</f>
        <v>DESAIN_YEAR</v>
      </c>
      <c r="I2644" s="136"/>
    </row>
    <row r="2645" ht="15.75" customHeight="1">
      <c r="B2645" s="63">
        <f t="shared" si="1"/>
        <v>16</v>
      </c>
      <c r="C2645" s="134" t="s">
        <v>156</v>
      </c>
      <c r="D2645" s="134" t="s">
        <v>74</v>
      </c>
      <c r="E2645" s="135">
        <f t="shared" si="59"/>
        <v>21</v>
      </c>
      <c r="F2645" s="134" t="s">
        <v>3797</v>
      </c>
      <c r="G2645" s="63" t="str">
        <f>VLOOKUP(C2645, 'Class Def. - General Data'!$C$20:$C$1000,1,false)</f>
        <v>ZPI1_BUKU_KERTAS</v>
      </c>
      <c r="H2645" s="63" t="str">
        <f>IFERROR(__xludf.DUMMYFUNCTION("VLOOKUP(F2645, IMPORTRANGE(""https://docs.google.com/spreadsheets/d/1Lhp9OU0JdFf_VYSMzH5lBcEaU4o8teT1piV-SNzShjg/edit?gid=554141278#gid=554141278"", ""'Char Def. - Attributes'!C20:C2242""), 1,false)"),"SPEC_QTY_IN_ONE_BUNDLE")</f>
        <v>SPEC_QTY_IN_ONE_BUNDLE</v>
      </c>
      <c r="I2645" s="136"/>
    </row>
    <row r="2646" ht="15.75" customHeight="1">
      <c r="B2646" s="63">
        <f t="shared" si="1"/>
        <v>16</v>
      </c>
      <c r="C2646" s="134" t="s">
        <v>156</v>
      </c>
      <c r="D2646" s="134" t="s">
        <v>74</v>
      </c>
      <c r="E2646" s="135">
        <f t="shared" si="59"/>
        <v>22</v>
      </c>
      <c r="F2646" s="134" t="s">
        <v>3798</v>
      </c>
      <c r="G2646" s="63" t="str">
        <f>VLOOKUP(C2646, 'Class Def. - General Data'!$C$20:$C$1000,1,false)</f>
        <v>ZPI1_BUKU_KERTAS</v>
      </c>
      <c r="H2646" s="63" t="str">
        <f>IFERROR(__xludf.DUMMYFUNCTION("VLOOKUP(F2646, IMPORTRANGE(""https://docs.google.com/spreadsheets/d/1Lhp9OU0JdFf_VYSMzH5lBcEaU4o8teT1piV-SNzShjg/edit?gid=554141278#gid=554141278"", ""'Char Def. - Attributes'!C20:C2242""), 1,false)"),"QTY_IN_ONE_BUNDLE")</f>
        <v>QTY_IN_ONE_BUNDLE</v>
      </c>
      <c r="I2646" s="136"/>
    </row>
    <row r="2647" ht="15.75" customHeight="1">
      <c r="B2647" s="63">
        <f t="shared" si="1"/>
        <v>16</v>
      </c>
      <c r="C2647" s="134" t="s">
        <v>156</v>
      </c>
      <c r="D2647" s="134" t="s">
        <v>74</v>
      </c>
      <c r="E2647" s="135">
        <f t="shared" si="59"/>
        <v>23</v>
      </c>
      <c r="F2647" s="134" t="s">
        <v>3585</v>
      </c>
      <c r="G2647" s="63" t="str">
        <f>VLOOKUP(C2647, 'Class Def. - General Data'!$C$20:$C$1000,1,false)</f>
        <v>ZPI1_BUKU_KERTAS</v>
      </c>
      <c r="H2647" s="63" t="str">
        <f>IFERROR(__xludf.DUMMYFUNCTION("VLOOKUP(F2647, IMPORTRANGE(""https://docs.google.com/spreadsheets/d/1Lhp9OU0JdFf_VYSMzH5lBcEaU4o8teT1piV-SNzShjg/edit?gid=554141278#gid=554141278"", ""'Char Def. - Attributes'!C20:C2242""), 1,false)"),"HS_CODE")</f>
        <v>HS_CODE</v>
      </c>
      <c r="I2647" s="136"/>
    </row>
    <row r="2648" ht="15.75" customHeight="1">
      <c r="B2648" s="63">
        <f t="shared" si="1"/>
        <v>16</v>
      </c>
      <c r="C2648" s="134" t="s">
        <v>156</v>
      </c>
      <c r="D2648" s="134" t="s">
        <v>74</v>
      </c>
      <c r="E2648" s="135">
        <f t="shared" si="59"/>
        <v>24</v>
      </c>
      <c r="F2648" s="134" t="s">
        <v>3799</v>
      </c>
      <c r="G2648" s="63" t="str">
        <f>VLOOKUP(C2648, 'Class Def. - General Data'!$C$20:$C$1000,1,false)</f>
        <v>ZPI1_BUKU_KERTAS</v>
      </c>
      <c r="H2648" s="63" t="str">
        <f>IFERROR(__xludf.DUMMYFUNCTION("VLOOKUP(F2648, IMPORTRANGE(""https://docs.google.com/spreadsheets/d/1Lhp9OU0JdFf_VYSMzH5lBcEaU4o8teT1piV-SNzShjg/edit?gid=554141278#gid=554141278"", ""'Char Def. - Attributes'!C20:C2242""), 1,false)"),"BASE_UNIT_ZPI1")</f>
        <v>BASE_UNIT_ZPI1</v>
      </c>
      <c r="I2648" s="136"/>
    </row>
    <row r="2649" ht="15.75" customHeight="1">
      <c r="B2649" s="63">
        <f t="shared" si="1"/>
        <v>16</v>
      </c>
      <c r="C2649" s="134" t="s">
        <v>156</v>
      </c>
      <c r="D2649" s="134" t="s">
        <v>74</v>
      </c>
      <c r="E2649" s="135">
        <f t="shared" si="59"/>
        <v>25</v>
      </c>
      <c r="F2649" s="135" t="s">
        <v>3800</v>
      </c>
      <c r="G2649" s="63" t="str">
        <f>VLOOKUP(C2649, 'Class Def. - General Data'!$C$20:$C$1000,1,false)</f>
        <v>ZPI1_BUKU_KERTAS</v>
      </c>
      <c r="H2649" s="63" t="str">
        <f>IFERROR(__xludf.DUMMYFUNCTION("VLOOKUP(F2649, IMPORTRANGE(""https://docs.google.com/spreadsheets/d/1Lhp9OU0JdFf_VYSMzH5lBcEaU4o8teT1piV-SNzShjg/edit?gid=554141278#gid=554141278"", ""'Char Def. - Attributes'!C20:C2242""), 1,false)"),"ORDER_UNIT_DIFF_FROM_BASIC_UOM")</f>
        <v>ORDER_UNIT_DIFF_FROM_BASIC_UOM</v>
      </c>
      <c r="I2649" s="136"/>
    </row>
    <row r="2650" ht="15.75" customHeight="1">
      <c r="B2650" s="63">
        <f t="shared" si="1"/>
        <v>16</v>
      </c>
      <c r="C2650" s="134" t="s">
        <v>156</v>
      </c>
      <c r="D2650" s="134" t="s">
        <v>74</v>
      </c>
      <c r="E2650" s="135">
        <f t="shared" si="59"/>
        <v>26</v>
      </c>
      <c r="F2650" s="135" t="s">
        <v>3801</v>
      </c>
      <c r="G2650" s="63" t="str">
        <f>VLOOKUP(C2650, 'Class Def. - General Data'!$C$20:$C$1000,1,false)</f>
        <v>ZPI1_BUKU_KERTAS</v>
      </c>
      <c r="H2650" s="63" t="str">
        <f>IFERROR(__xludf.DUMMYFUNCTION("VLOOKUP(F2650, IMPORTRANGE(""https://docs.google.com/spreadsheets/d/1Lhp9OU0JdFf_VYSMzH5lBcEaU4o8teT1piV-SNzShjg/edit?gid=554141278#gid=554141278"", ""'Char Def. - Attributes'!C20:C2242""), 1,false)"),"ORDER_UNIT_ZPI1")</f>
        <v>ORDER_UNIT_ZPI1</v>
      </c>
      <c r="I2650" s="136"/>
    </row>
    <row r="2651" ht="15.75" customHeight="1">
      <c r="B2651" s="63">
        <f t="shared" si="1"/>
        <v>16</v>
      </c>
      <c r="C2651" s="134" t="s">
        <v>156</v>
      </c>
      <c r="D2651" s="134" t="s">
        <v>74</v>
      </c>
      <c r="E2651" s="135">
        <f t="shared" si="59"/>
        <v>27</v>
      </c>
      <c r="F2651" s="134" t="s">
        <v>3802</v>
      </c>
      <c r="G2651" s="63" t="str">
        <f>VLOOKUP(C2651, 'Class Def. - General Data'!$C$20:$C$1000,1,false)</f>
        <v>ZPI1_BUKU_KERTAS</v>
      </c>
      <c r="H2651" s="63" t="str">
        <f>IFERROR(__xludf.DUMMYFUNCTION("VLOOKUP(F2651, IMPORTRANGE(""https://docs.google.com/spreadsheets/d/1Lhp9OU0JdFf_VYSMzH5lBcEaU4o8teT1piV-SNzShjg/edit?gid=554141278#gid=554141278"", ""'Char Def. - Attributes'!C20:C2242""), 1,false)"),"WEIGHT_UNIT_PI")</f>
        <v>WEIGHT_UNIT_PI</v>
      </c>
      <c r="I2651" s="136"/>
    </row>
    <row r="2652" ht="15.75" customHeight="1">
      <c r="B2652" s="63">
        <f t="shared" si="1"/>
        <v>16</v>
      </c>
      <c r="C2652" s="134" t="s">
        <v>156</v>
      </c>
      <c r="D2652" s="134" t="s">
        <v>74</v>
      </c>
      <c r="E2652" s="135">
        <f t="shared" si="59"/>
        <v>28</v>
      </c>
      <c r="F2652" s="134" t="s">
        <v>3602</v>
      </c>
      <c r="G2652" s="63" t="str">
        <f>VLOOKUP(C2652, 'Class Def. - General Data'!$C$20:$C$1000,1,false)</f>
        <v>ZPI1_BUKU_KERTAS</v>
      </c>
      <c r="H2652" s="63" t="str">
        <f>IFERROR(__xludf.DUMMYFUNCTION("VLOOKUP(F2652, IMPORTRANGE(""https://docs.google.com/spreadsheets/d/1Lhp9OU0JdFf_VYSMzH5lBcEaU4o8teT1piV-SNzShjg/edit?gid=554141278#gid=554141278"", ""'Char Def. - Attributes'!C20:C2242""), 1,false)"),"NET_WEIGHT")</f>
        <v>NET_WEIGHT</v>
      </c>
      <c r="I2652" s="136"/>
    </row>
    <row r="2653" ht="15.75" customHeight="1">
      <c r="B2653" s="63">
        <f t="shared" si="1"/>
        <v>16</v>
      </c>
      <c r="C2653" s="134" t="s">
        <v>156</v>
      </c>
      <c r="D2653" s="134" t="s">
        <v>74</v>
      </c>
      <c r="E2653" s="135">
        <f t="shared" si="59"/>
        <v>29</v>
      </c>
      <c r="F2653" s="134" t="s">
        <v>3601</v>
      </c>
      <c r="G2653" s="63" t="str">
        <f>VLOOKUP(C2653, 'Class Def. - General Data'!$C$20:$C$1000,1,false)</f>
        <v>ZPI1_BUKU_KERTAS</v>
      </c>
      <c r="H2653" s="63" t="str">
        <f>IFERROR(__xludf.DUMMYFUNCTION("VLOOKUP(F2653, IMPORTRANGE(""https://docs.google.com/spreadsheets/d/1Lhp9OU0JdFf_VYSMzH5lBcEaU4o8teT1piV-SNzShjg/edit?gid=554141278#gid=554141278"", ""'Char Def. - Attributes'!C20:C2242""), 1,false)"),"GROSS_WEIGHT")</f>
        <v>GROSS_WEIGHT</v>
      </c>
      <c r="I2653" s="136"/>
    </row>
    <row r="2654" ht="15.75" customHeight="1">
      <c r="B2654" s="63">
        <f t="shared" si="1"/>
        <v>16</v>
      </c>
      <c r="C2654" s="134" t="s">
        <v>156</v>
      </c>
      <c r="D2654" s="134" t="s">
        <v>74</v>
      </c>
      <c r="E2654" s="135">
        <f t="shared" si="59"/>
        <v>30</v>
      </c>
      <c r="F2654" s="134" t="s">
        <v>3803</v>
      </c>
      <c r="G2654" s="63" t="str">
        <f>VLOOKUP(C2654, 'Class Def. - General Data'!$C$20:$C$1000,1,false)</f>
        <v>ZPI1_BUKU_KERTAS</v>
      </c>
      <c r="H2654" s="63" t="str">
        <f>IFERROR(__xludf.DUMMYFUNCTION("VLOOKUP(F2654, IMPORTRANGE(""https://docs.google.com/spreadsheets/d/1Lhp9OU0JdFf_VYSMzH5lBcEaU4o8teT1piV-SNzShjg/edit?gid=554141278#gid=554141278"", ""'Char Def. - Attributes'!C20:C2242""), 1,false)"),"VOLUME_UNIT_PI")</f>
        <v>VOLUME_UNIT_PI</v>
      </c>
      <c r="I2654" s="136"/>
    </row>
    <row r="2655" ht="15.75" customHeight="1">
      <c r="B2655" s="63">
        <f t="shared" si="1"/>
        <v>16</v>
      </c>
      <c r="C2655" s="134" t="s">
        <v>156</v>
      </c>
      <c r="D2655" s="134" t="s">
        <v>74</v>
      </c>
      <c r="E2655" s="135">
        <f t="shared" si="59"/>
        <v>31</v>
      </c>
      <c r="F2655" s="134" t="s">
        <v>3603</v>
      </c>
      <c r="G2655" s="63" t="str">
        <f>VLOOKUP(C2655, 'Class Def. - General Data'!$C$20:$C$1000,1,false)</f>
        <v>ZPI1_BUKU_KERTAS</v>
      </c>
      <c r="H2655" s="63" t="str">
        <f>IFERROR(__xludf.DUMMYFUNCTION("VLOOKUP(F2655, IMPORTRANGE(""https://docs.google.com/spreadsheets/d/1Lhp9OU0JdFf_VYSMzH5lBcEaU4o8teT1piV-SNzShjg/edit?gid=554141278#gid=554141278"", ""'Char Def. - Attributes'!C20:C2242""), 1,false)"),"VOLUME")</f>
        <v>VOLUME</v>
      </c>
      <c r="I2655" s="136"/>
    </row>
    <row r="2656" ht="15.75" customHeight="1">
      <c r="B2656" s="63">
        <f t="shared" si="1"/>
        <v>16</v>
      </c>
      <c r="C2656" s="134" t="s">
        <v>156</v>
      </c>
      <c r="D2656" s="134" t="s">
        <v>74</v>
      </c>
      <c r="E2656" s="135">
        <f t="shared" si="59"/>
        <v>32</v>
      </c>
      <c r="F2656" s="134" t="s">
        <v>3587</v>
      </c>
      <c r="G2656" s="63" t="str">
        <f>VLOOKUP(C2656, 'Class Def. - General Data'!$C$20:$C$1000,1,false)</f>
        <v>ZPI1_BUKU_KERTAS</v>
      </c>
      <c r="H2656" s="63" t="str">
        <f>IFERROR(__xludf.DUMMYFUNCTION("VLOOKUP(F2656, IMPORTRANGE(""https://docs.google.com/spreadsheets/d/1Lhp9OU0JdFf_VYSMzH5lBcEaU4o8teT1piV-SNzShjg/edit?gid=554141278#gid=554141278"", ""'Char Def. - Attributes'!C20:C2242""), 1,false)"),"PLANT_BUY")</f>
        <v>PLANT_BUY</v>
      </c>
      <c r="I2656" s="136"/>
    </row>
    <row r="2657" ht="15.75" customHeight="1">
      <c r="B2657" s="63">
        <f t="shared" si="1"/>
        <v>16</v>
      </c>
      <c r="C2657" s="134" t="s">
        <v>156</v>
      </c>
      <c r="D2657" s="134" t="s">
        <v>74</v>
      </c>
      <c r="E2657" s="135">
        <f t="shared" si="59"/>
        <v>33</v>
      </c>
      <c r="F2657" s="134" t="s">
        <v>3804</v>
      </c>
      <c r="G2657" s="63" t="str">
        <f>VLOOKUP(C2657, 'Class Def. - General Data'!$C$20:$C$1000,1,false)</f>
        <v>ZPI1_BUKU_KERTAS</v>
      </c>
      <c r="H2657" s="63" t="str">
        <f>IFERROR(__xludf.DUMMYFUNCTION("VLOOKUP(F2657, IMPORTRANGE(""https://docs.google.com/spreadsheets/d/1Lhp9OU0JdFf_VYSMzH5lBcEaU4o8teT1piV-SNzShjg/edit?gid=554141278#gid=554141278"", ""'Char Def. - Attributes'!C20:C2242""), 1,false)"),"ALT_UOM1_SIPI")</f>
        <v>ALT_UOM1_SIPI</v>
      </c>
      <c r="I2657" s="136"/>
    </row>
    <row r="2658" ht="15.75" customHeight="1">
      <c r="B2658" s="63">
        <f t="shared" si="1"/>
        <v>16</v>
      </c>
      <c r="C2658" s="134" t="s">
        <v>156</v>
      </c>
      <c r="D2658" s="134" t="s">
        <v>74</v>
      </c>
      <c r="E2658" s="135">
        <f t="shared" si="59"/>
        <v>34</v>
      </c>
      <c r="F2658" s="134" t="s">
        <v>3805</v>
      </c>
      <c r="G2658" s="63" t="str">
        <f>VLOOKUP(C2658, 'Class Def. - General Data'!$C$20:$C$1000,1,false)</f>
        <v>ZPI1_BUKU_KERTAS</v>
      </c>
      <c r="H2658" s="63" t="str">
        <f>IFERROR(__xludf.DUMMYFUNCTION("VLOOKUP(F2658, IMPORTRANGE(""https://docs.google.com/spreadsheets/d/1Lhp9OU0JdFf_VYSMzH5lBcEaU4o8teT1piV-SNzShjg/edit?gid=554141278#gid=554141278"", ""'Char Def. - Attributes'!C20:C2242""), 1,false)"),"ALT_DENUM_UOM1")</f>
        <v>ALT_DENUM_UOM1</v>
      </c>
      <c r="I2658" s="136"/>
    </row>
    <row r="2659" ht="15.75" customHeight="1">
      <c r="B2659" s="63">
        <f t="shared" si="1"/>
        <v>16</v>
      </c>
      <c r="C2659" s="134" t="s">
        <v>156</v>
      </c>
      <c r="D2659" s="134" t="s">
        <v>74</v>
      </c>
      <c r="E2659" s="135">
        <f t="shared" si="59"/>
        <v>35</v>
      </c>
      <c r="F2659" s="134" t="s">
        <v>3806</v>
      </c>
      <c r="G2659" s="63" t="str">
        <f>VLOOKUP(C2659, 'Class Def. - General Data'!$C$20:$C$1000,1,false)</f>
        <v>ZPI1_BUKU_KERTAS</v>
      </c>
      <c r="H2659" s="63" t="str">
        <f>IFERROR(__xludf.DUMMYFUNCTION("VLOOKUP(F2659, IMPORTRANGE(""https://docs.google.com/spreadsheets/d/1Lhp9OU0JdFf_VYSMzH5lBcEaU4o8teT1piV-SNzShjg/edit?gid=554141278#gid=554141278"", ""'Char Def. - Attributes'!C20:C2242""), 1,false)"),"ALT_NUM_UOM1")</f>
        <v>ALT_NUM_UOM1</v>
      </c>
      <c r="I2659" s="136"/>
    </row>
    <row r="2660" ht="15.75" customHeight="1">
      <c r="B2660" s="63">
        <f t="shared" si="1"/>
        <v>16</v>
      </c>
      <c r="C2660" s="134" t="s">
        <v>156</v>
      </c>
      <c r="D2660" s="134" t="s">
        <v>74</v>
      </c>
      <c r="E2660" s="135">
        <f t="shared" si="59"/>
        <v>36</v>
      </c>
      <c r="F2660" s="134" t="s">
        <v>3807</v>
      </c>
      <c r="G2660" s="63" t="str">
        <f>VLOOKUP(C2660, 'Class Def. - General Data'!$C$20:$C$1000,1,false)</f>
        <v>ZPI1_BUKU_KERTAS</v>
      </c>
      <c r="H2660" s="63" t="str">
        <f>IFERROR(__xludf.DUMMYFUNCTION("VLOOKUP(F2660, IMPORTRANGE(""https://docs.google.com/spreadsheets/d/1Lhp9OU0JdFf_VYSMzH5lBcEaU4o8teT1piV-SNzShjg/edit?gid=554141278#gid=554141278"", ""'Char Def. - Attributes'!C20:C2242""), 1,false)"),"ALT_UOM2_SIPI")</f>
        <v>ALT_UOM2_SIPI</v>
      </c>
      <c r="I2660" s="136"/>
    </row>
    <row r="2661" ht="15.75" customHeight="1">
      <c r="B2661" s="63">
        <f t="shared" si="1"/>
        <v>16</v>
      </c>
      <c r="C2661" s="134" t="s">
        <v>156</v>
      </c>
      <c r="D2661" s="134" t="s">
        <v>74</v>
      </c>
      <c r="E2661" s="135">
        <f t="shared" si="59"/>
        <v>37</v>
      </c>
      <c r="F2661" s="134" t="s">
        <v>3808</v>
      </c>
      <c r="G2661" s="63" t="str">
        <f>VLOOKUP(C2661, 'Class Def. - General Data'!$C$20:$C$1000,1,false)</f>
        <v>ZPI1_BUKU_KERTAS</v>
      </c>
      <c r="H2661" s="63" t="str">
        <f>IFERROR(__xludf.DUMMYFUNCTION("VLOOKUP(F2661, IMPORTRANGE(""https://docs.google.com/spreadsheets/d/1Lhp9OU0JdFf_VYSMzH5lBcEaU4o8teT1piV-SNzShjg/edit?gid=554141278#gid=554141278"", ""'Char Def. - Attributes'!C20:C2242""), 1,false)"),"ALT_DENUM_UOM2")</f>
        <v>ALT_DENUM_UOM2</v>
      </c>
      <c r="I2661" s="136"/>
    </row>
    <row r="2662" ht="15.75" customHeight="1">
      <c r="B2662" s="63">
        <f t="shared" si="1"/>
        <v>16</v>
      </c>
      <c r="C2662" s="134" t="s">
        <v>156</v>
      </c>
      <c r="D2662" s="134" t="s">
        <v>74</v>
      </c>
      <c r="E2662" s="135">
        <f t="shared" si="59"/>
        <v>38</v>
      </c>
      <c r="F2662" s="134" t="s">
        <v>3809</v>
      </c>
      <c r="G2662" s="63" t="str">
        <f>VLOOKUP(C2662, 'Class Def. - General Data'!$C$20:$C$1000,1,false)</f>
        <v>ZPI1_BUKU_KERTAS</v>
      </c>
      <c r="H2662" s="63" t="str">
        <f>IFERROR(__xludf.DUMMYFUNCTION("VLOOKUP(F2662, IMPORTRANGE(""https://docs.google.com/spreadsheets/d/1Lhp9OU0JdFf_VYSMzH5lBcEaU4o8teT1piV-SNzShjg/edit?gid=554141278#gid=554141278"", ""'Char Def. - Attributes'!C20:C2242""), 1,false)"),"ALT_NUM_UOM2")</f>
        <v>ALT_NUM_UOM2</v>
      </c>
      <c r="I2662" s="136"/>
    </row>
    <row r="2663" ht="15.75" customHeight="1">
      <c r="B2663" s="63">
        <f t="shared" si="1"/>
        <v>16</v>
      </c>
      <c r="C2663" s="134" t="s">
        <v>156</v>
      </c>
      <c r="D2663" s="134" t="s">
        <v>74</v>
      </c>
      <c r="E2663" s="135">
        <f t="shared" si="59"/>
        <v>39</v>
      </c>
      <c r="F2663" s="134" t="s">
        <v>3810</v>
      </c>
      <c r="G2663" s="63" t="str">
        <f>VLOOKUP(C2663, 'Class Def. - General Data'!$C$20:$C$1000,1,false)</f>
        <v>ZPI1_BUKU_KERTAS</v>
      </c>
      <c r="H2663" s="63" t="str">
        <f>IFERROR(__xludf.DUMMYFUNCTION("VLOOKUP(F2663, IMPORTRANGE(""https://docs.google.com/spreadsheets/d/1Lhp9OU0JdFf_VYSMzH5lBcEaU4o8teT1piV-SNzShjg/edit?gid=554141278#gid=554141278"", ""'Char Def. - Attributes'!C20:C2242""), 1,false)"),"ALT_UOM3_SIPI")</f>
        <v>ALT_UOM3_SIPI</v>
      </c>
      <c r="I2663" s="136"/>
    </row>
    <row r="2664" ht="15.75" customHeight="1">
      <c r="B2664" s="63">
        <f t="shared" si="1"/>
        <v>16</v>
      </c>
      <c r="C2664" s="134" t="s">
        <v>156</v>
      </c>
      <c r="D2664" s="134" t="s">
        <v>74</v>
      </c>
      <c r="E2664" s="135">
        <f t="shared" si="59"/>
        <v>40</v>
      </c>
      <c r="F2664" s="134" t="s">
        <v>3811</v>
      </c>
      <c r="G2664" s="63" t="str">
        <f>VLOOKUP(C2664, 'Class Def. - General Data'!$C$20:$C$1000,1,false)</f>
        <v>ZPI1_BUKU_KERTAS</v>
      </c>
      <c r="H2664" s="63" t="str">
        <f>IFERROR(__xludf.DUMMYFUNCTION("VLOOKUP(F2664, IMPORTRANGE(""https://docs.google.com/spreadsheets/d/1Lhp9OU0JdFf_VYSMzH5lBcEaU4o8teT1piV-SNzShjg/edit?gid=554141278#gid=554141278"", ""'Char Def. - Attributes'!C20:C2242""), 1,false)"),"ALT_DENUM_UOM3")</f>
        <v>ALT_DENUM_UOM3</v>
      </c>
      <c r="I2664" s="136"/>
    </row>
    <row r="2665" ht="15.75" customHeight="1">
      <c r="B2665" s="63">
        <f t="shared" si="1"/>
        <v>16</v>
      </c>
      <c r="C2665" s="134" t="s">
        <v>156</v>
      </c>
      <c r="D2665" s="134" t="s">
        <v>74</v>
      </c>
      <c r="E2665" s="135">
        <f t="shared" si="59"/>
        <v>41</v>
      </c>
      <c r="F2665" s="134" t="s">
        <v>3812</v>
      </c>
      <c r="G2665" s="63" t="str">
        <f>VLOOKUP(C2665, 'Class Def. - General Data'!$C$20:$C$1000,1,false)</f>
        <v>ZPI1_BUKU_KERTAS</v>
      </c>
      <c r="H2665" s="63" t="str">
        <f>IFERROR(__xludf.DUMMYFUNCTION("VLOOKUP(F2665, IMPORTRANGE(""https://docs.google.com/spreadsheets/d/1Lhp9OU0JdFf_VYSMzH5lBcEaU4o8teT1piV-SNzShjg/edit?gid=554141278#gid=554141278"", ""'Char Def. - Attributes'!C20:C2242""), 1,false)"),"ALT_NUM_UOM3")</f>
        <v>ALT_NUM_UOM3</v>
      </c>
      <c r="I2665" s="136"/>
    </row>
    <row r="2666" ht="15.75" customHeight="1">
      <c r="B2666" s="63">
        <f t="shared" si="1"/>
        <v>16</v>
      </c>
      <c r="C2666" s="134" t="s">
        <v>156</v>
      </c>
      <c r="D2666" s="134" t="s">
        <v>74</v>
      </c>
      <c r="E2666" s="135">
        <f t="shared" si="59"/>
        <v>42</v>
      </c>
      <c r="F2666" s="134" t="s">
        <v>3813</v>
      </c>
      <c r="G2666" s="63" t="str">
        <f>VLOOKUP(C2666, 'Class Def. - General Data'!$C$20:$C$1000,1,false)</f>
        <v>ZPI1_BUKU_KERTAS</v>
      </c>
      <c r="H2666" s="63" t="str">
        <f>IFERROR(__xludf.DUMMYFUNCTION("VLOOKUP(F2666, IMPORTRANGE(""https://docs.google.com/spreadsheets/d/1Lhp9OU0JdFf_VYSMzH5lBcEaU4o8teT1piV-SNzShjg/edit?gid=554141278#gid=554141278"", ""'Char Def. - Attributes'!C20:C2242""), 1,false)"),"ALT_UOM4_SIPI")</f>
        <v>ALT_UOM4_SIPI</v>
      </c>
      <c r="I2666" s="136"/>
    </row>
    <row r="2667" ht="15.75" customHeight="1">
      <c r="B2667" s="63">
        <f t="shared" si="1"/>
        <v>16</v>
      </c>
      <c r="C2667" s="134" t="s">
        <v>156</v>
      </c>
      <c r="D2667" s="134" t="s">
        <v>74</v>
      </c>
      <c r="E2667" s="135">
        <f t="shared" si="59"/>
        <v>43</v>
      </c>
      <c r="F2667" s="134" t="s">
        <v>3814</v>
      </c>
      <c r="G2667" s="63" t="str">
        <f>VLOOKUP(C2667, 'Class Def. - General Data'!$C$20:$C$1000,1,false)</f>
        <v>ZPI1_BUKU_KERTAS</v>
      </c>
      <c r="H2667" s="63" t="str">
        <f>IFERROR(__xludf.DUMMYFUNCTION("VLOOKUP(F2667, IMPORTRANGE(""https://docs.google.com/spreadsheets/d/1Lhp9OU0JdFf_VYSMzH5lBcEaU4o8teT1piV-SNzShjg/edit?gid=554141278#gid=554141278"", ""'Char Def. - Attributes'!C20:C2242""), 1,false)"),"ALT_DENUM_UOM4")</f>
        <v>ALT_DENUM_UOM4</v>
      </c>
      <c r="I2667" s="136"/>
    </row>
    <row r="2668" ht="15.75" customHeight="1">
      <c r="B2668" s="63">
        <f t="shared" si="1"/>
        <v>16</v>
      </c>
      <c r="C2668" s="134" t="s">
        <v>156</v>
      </c>
      <c r="D2668" s="134" t="s">
        <v>74</v>
      </c>
      <c r="E2668" s="135">
        <f t="shared" si="59"/>
        <v>44</v>
      </c>
      <c r="F2668" s="134" t="s">
        <v>3815</v>
      </c>
      <c r="G2668" s="63" t="str">
        <f>VLOOKUP(C2668, 'Class Def. - General Data'!$C$20:$C$1000,1,false)</f>
        <v>ZPI1_BUKU_KERTAS</v>
      </c>
      <c r="H2668" s="63" t="str">
        <f>IFERROR(__xludf.DUMMYFUNCTION("VLOOKUP(F2668, IMPORTRANGE(""https://docs.google.com/spreadsheets/d/1Lhp9OU0JdFf_VYSMzH5lBcEaU4o8teT1piV-SNzShjg/edit?gid=554141278#gid=554141278"", ""'Char Def. - Attributes'!C20:C2242""), 1,false)"),"ALT_NUM_UOM4")</f>
        <v>ALT_NUM_UOM4</v>
      </c>
      <c r="I2668" s="136"/>
    </row>
    <row r="2669" ht="15.75" customHeight="1">
      <c r="B2669" s="63">
        <f t="shared" si="1"/>
        <v>16</v>
      </c>
      <c r="C2669" s="134" t="s">
        <v>156</v>
      </c>
      <c r="D2669" s="134" t="s">
        <v>74</v>
      </c>
      <c r="E2669" s="135">
        <f t="shared" si="59"/>
        <v>45</v>
      </c>
      <c r="F2669" s="134" t="s">
        <v>3816</v>
      </c>
      <c r="G2669" s="63" t="str">
        <f>VLOOKUP(C2669, 'Class Def. - General Data'!$C$20:$C$1000,1,false)</f>
        <v>ZPI1_BUKU_KERTAS</v>
      </c>
      <c r="H2669" s="63" t="str">
        <f>IFERROR(__xludf.DUMMYFUNCTION("VLOOKUP(F2669, IMPORTRANGE(""https://docs.google.com/spreadsheets/d/1Lhp9OU0JdFf_VYSMzH5lBcEaU4o8teT1piV-SNzShjg/edit?gid=554141278#gid=554141278"", ""'Char Def. - Attributes'!C20:C2242""), 1,false)"),"ALT_UOM5_SIPI")</f>
        <v>ALT_UOM5_SIPI</v>
      </c>
      <c r="I2669" s="136"/>
    </row>
    <row r="2670" ht="15.75" customHeight="1">
      <c r="B2670" s="63">
        <f t="shared" si="1"/>
        <v>16</v>
      </c>
      <c r="C2670" s="134" t="s">
        <v>156</v>
      </c>
      <c r="D2670" s="134" t="s">
        <v>74</v>
      </c>
      <c r="E2670" s="135">
        <f t="shared" si="59"/>
        <v>46</v>
      </c>
      <c r="F2670" s="134" t="s">
        <v>3817</v>
      </c>
      <c r="G2670" s="63" t="str">
        <f>VLOOKUP(C2670, 'Class Def. - General Data'!$C$20:$C$1000,1,false)</f>
        <v>ZPI1_BUKU_KERTAS</v>
      </c>
      <c r="H2670" s="63" t="str">
        <f>IFERROR(__xludf.DUMMYFUNCTION("VLOOKUP(F2670, IMPORTRANGE(""https://docs.google.com/spreadsheets/d/1Lhp9OU0JdFf_VYSMzH5lBcEaU4o8teT1piV-SNzShjg/edit?gid=554141278#gid=554141278"", ""'Char Def. - Attributes'!C20:C2242""), 1,false)"),"ALT_DENUM_UOM5")</f>
        <v>ALT_DENUM_UOM5</v>
      </c>
      <c r="I2670" s="136"/>
    </row>
    <row r="2671" ht="15.75" customHeight="1">
      <c r="B2671" s="63">
        <f t="shared" si="1"/>
        <v>16</v>
      </c>
      <c r="C2671" s="134" t="s">
        <v>156</v>
      </c>
      <c r="D2671" s="134" t="s">
        <v>74</v>
      </c>
      <c r="E2671" s="135">
        <f t="shared" si="59"/>
        <v>47</v>
      </c>
      <c r="F2671" s="134" t="s">
        <v>3818</v>
      </c>
      <c r="G2671" s="63" t="str">
        <f>VLOOKUP(C2671, 'Class Def. - General Data'!$C$20:$C$1000,1,false)</f>
        <v>ZPI1_BUKU_KERTAS</v>
      </c>
      <c r="H2671" s="63" t="str">
        <f>IFERROR(__xludf.DUMMYFUNCTION("VLOOKUP(F2671, IMPORTRANGE(""https://docs.google.com/spreadsheets/d/1Lhp9OU0JdFf_VYSMzH5lBcEaU4o8teT1piV-SNzShjg/edit?gid=554141278#gid=554141278"", ""'Char Def. - Attributes'!C20:C2242""), 1,false)"),"ALT_NUM_UOM5")</f>
        <v>ALT_NUM_UOM5</v>
      </c>
      <c r="I2671" s="136"/>
    </row>
    <row r="2672" ht="15.75" customHeight="1">
      <c r="B2672" s="63">
        <f t="shared" si="1"/>
        <v>11</v>
      </c>
      <c r="C2672" s="134" t="s">
        <v>151</v>
      </c>
      <c r="D2672" s="134" t="s">
        <v>74</v>
      </c>
      <c r="E2672" s="135">
        <f t="shared" si="59"/>
        <v>1</v>
      </c>
      <c r="F2672" s="134" t="s">
        <v>3825</v>
      </c>
      <c r="G2672" s="63" t="str">
        <f>VLOOKUP(C2672, 'Class Def. - General Data'!$C$20:$C$1000,1,false)</f>
        <v>ZPI1_HANDUK</v>
      </c>
      <c r="H2672" s="63" t="str">
        <f>IFERROR(__xludf.DUMMYFUNCTION("VLOOKUP(F2672, IMPORTRANGE(""https://docs.google.com/spreadsheets/d/1Lhp9OU0JdFf_VYSMzH5lBcEaU4o8teT1piV-SNzShjg/edit?gid=554141278#gid=554141278"", ""'Char Def. - Attributes'!C20:C2242""), 1,false)"),"ITEM_NAME_HANDUK")</f>
        <v>ITEM_NAME_HANDUK</v>
      </c>
      <c r="I2672" s="136"/>
    </row>
    <row r="2673" ht="15.75" customHeight="1">
      <c r="B2673" s="63">
        <f t="shared" si="1"/>
        <v>11</v>
      </c>
      <c r="C2673" s="134" t="s">
        <v>151</v>
      </c>
      <c r="D2673" s="134" t="s">
        <v>74</v>
      </c>
      <c r="E2673" s="135">
        <f t="shared" si="59"/>
        <v>2</v>
      </c>
      <c r="F2673" s="134" t="s">
        <v>3778</v>
      </c>
      <c r="G2673" s="63" t="str">
        <f>VLOOKUP(C2673, 'Class Def. - General Data'!$C$20:$C$1000,1,false)</f>
        <v>ZPI1_HANDUK</v>
      </c>
      <c r="H2673" s="63" t="str">
        <f>IFERROR(__xludf.DUMMYFUNCTION("VLOOKUP(F2673, IMPORTRANGE(""https://docs.google.com/spreadsheets/d/1Lhp9OU0JdFf_VYSMzH5lBcEaU4o8teT1piV-SNzShjg/edit?gid=554141278#gid=554141278"", ""'Char Def. - Attributes'!C20:C2242""), 1,false)"),"SPECIAL_ACTIVITY")</f>
        <v>SPECIAL_ACTIVITY</v>
      </c>
      <c r="I2673" s="136"/>
    </row>
    <row r="2674" ht="15.75" customHeight="1">
      <c r="B2674" s="63">
        <f t="shared" si="1"/>
        <v>11</v>
      </c>
      <c r="C2674" s="134" t="s">
        <v>151</v>
      </c>
      <c r="D2674" s="134" t="s">
        <v>74</v>
      </c>
      <c r="E2674" s="135">
        <f t="shared" si="59"/>
        <v>3</v>
      </c>
      <c r="F2674" s="135" t="s">
        <v>3779</v>
      </c>
      <c r="G2674" s="63" t="str">
        <f>VLOOKUP(C2674, 'Class Def. - General Data'!$C$20:$C$1000,1,false)</f>
        <v>ZPI1_HANDUK</v>
      </c>
      <c r="H2674" s="63" t="str">
        <f>IFERROR(__xludf.DUMMYFUNCTION("VLOOKUP(F2674, IMPORTRANGE(""https://docs.google.com/spreadsheets/d/1Lhp9OU0JdFf_VYSMzH5lBcEaU4o8teT1piV-SNzShjg/edit?gid=554141278#gid=554141278"", ""'Char Def. - Attributes'!C20:C2242""), 1,false)"),"EMBOSSED_BRAND_WINGS")</f>
        <v>EMBOSSED_BRAND_WINGS</v>
      </c>
      <c r="I2674" s="136"/>
    </row>
    <row r="2675" ht="15.75" customHeight="1">
      <c r="B2675" s="63">
        <f t="shared" si="1"/>
        <v>11</v>
      </c>
      <c r="C2675" s="134" t="s">
        <v>151</v>
      </c>
      <c r="D2675" s="134" t="s">
        <v>74</v>
      </c>
      <c r="E2675" s="135">
        <f t="shared" si="59"/>
        <v>4</v>
      </c>
      <c r="F2675" s="135" t="s">
        <v>3780</v>
      </c>
      <c r="G2675" s="63" t="str">
        <f>VLOOKUP(C2675, 'Class Def. - General Data'!$C$20:$C$1000,1,false)</f>
        <v>ZPI1_HANDUK</v>
      </c>
      <c r="H2675" s="63" t="str">
        <f>IFERROR(__xludf.DUMMYFUNCTION("VLOOKUP(F2675, IMPORTRANGE(""https://docs.google.com/spreadsheets/d/1Lhp9OU0JdFf_VYSMzH5lBcEaU4o8teT1piV-SNzShjg/edit?gid=554141278#gid=554141278"", ""'Char Def. - Attributes'!C20:C2242""), 1,false)"),"BRAND_WINGS_SIPI")</f>
        <v>BRAND_WINGS_SIPI</v>
      </c>
      <c r="I2675" s="136"/>
    </row>
    <row r="2676" ht="15.75" customHeight="1">
      <c r="B2676" s="63">
        <f t="shared" si="1"/>
        <v>11</v>
      </c>
      <c r="C2676" s="134" t="s">
        <v>151</v>
      </c>
      <c r="D2676" s="134" t="s">
        <v>74</v>
      </c>
      <c r="E2676" s="135">
        <f t="shared" si="59"/>
        <v>5</v>
      </c>
      <c r="F2676" s="134" t="s">
        <v>3781</v>
      </c>
      <c r="G2676" s="63" t="str">
        <f>VLOOKUP(C2676, 'Class Def. - General Data'!$C$20:$C$1000,1,false)</f>
        <v>ZPI1_HANDUK</v>
      </c>
      <c r="H2676" s="63" t="str">
        <f>IFERROR(__xludf.DUMMYFUNCTION("VLOOKUP(F2676, IMPORTRANGE(""https://docs.google.com/spreadsheets/d/1Lhp9OU0JdFf_VYSMzH5lBcEaU4o8teT1piV-SNzShjg/edit?gid=554141278#gid=554141278"", ""'Char Def. - Attributes'!C20:C2242""), 1,false)"),"EXTERNAL_BRAND")</f>
        <v>EXTERNAL_BRAND</v>
      </c>
      <c r="I2676" s="136"/>
    </row>
    <row r="2677" ht="15.75" customHeight="1">
      <c r="B2677" s="63">
        <f t="shared" si="1"/>
        <v>11</v>
      </c>
      <c r="C2677" s="134" t="s">
        <v>151</v>
      </c>
      <c r="D2677" s="134" t="s">
        <v>74</v>
      </c>
      <c r="E2677" s="135">
        <f t="shared" si="59"/>
        <v>6</v>
      </c>
      <c r="F2677" s="134" t="s">
        <v>3782</v>
      </c>
      <c r="G2677" s="63" t="str">
        <f>VLOOKUP(C2677, 'Class Def. - General Data'!$C$20:$C$1000,1,false)</f>
        <v>ZPI1_HANDUK</v>
      </c>
      <c r="H2677" s="63" t="str">
        <f>IFERROR(__xludf.DUMMYFUNCTION("VLOOKUP(F2677, IMPORTRANGE(""https://docs.google.com/spreadsheets/d/1Lhp9OU0JdFf_VYSMzH5lBcEaU4o8teT1piV-SNzShjg/edit?gid=554141278#gid=554141278"", ""'Char Def. - Attributes'!C20:C2242""), 1,false)"),"BRAND_EXTERNAL")</f>
        <v>BRAND_EXTERNAL</v>
      </c>
      <c r="I2677" s="136"/>
    </row>
    <row r="2678" ht="15.75" customHeight="1">
      <c r="B2678" s="63">
        <f t="shared" si="1"/>
        <v>11</v>
      </c>
      <c r="C2678" s="134" t="s">
        <v>151</v>
      </c>
      <c r="D2678" s="134" t="s">
        <v>74</v>
      </c>
      <c r="E2678" s="135">
        <f t="shared" si="59"/>
        <v>7</v>
      </c>
      <c r="F2678" s="134" t="s">
        <v>3783</v>
      </c>
      <c r="G2678" s="63" t="str">
        <f>VLOOKUP(C2678, 'Class Def. - General Data'!$C$20:$C$1000,1,false)</f>
        <v>ZPI1_HANDUK</v>
      </c>
      <c r="H2678" s="63" t="str">
        <f>IFERROR(__xludf.DUMMYFUNCTION("VLOOKUP(F2678, IMPORTRANGE(""https://docs.google.com/spreadsheets/d/1Lhp9OU0JdFf_VYSMzH5lBcEaU4o8teT1piV-SNzShjg/edit?gid=554141278#gid=554141278"", ""'Char Def. - Attributes'!C20:C2242""), 1,false)"),"NO_SERI_BRAND_EXTERNAL")</f>
        <v>NO_SERI_BRAND_EXTERNAL</v>
      </c>
      <c r="I2678" s="136"/>
    </row>
    <row r="2679" ht="15.75" customHeight="1">
      <c r="B2679" s="63">
        <f t="shared" si="1"/>
        <v>11</v>
      </c>
      <c r="C2679" s="134" t="s">
        <v>151</v>
      </c>
      <c r="D2679" s="134" t="s">
        <v>74</v>
      </c>
      <c r="E2679" s="135">
        <f t="shared" si="59"/>
        <v>8</v>
      </c>
      <c r="F2679" s="134" t="s">
        <v>3826</v>
      </c>
      <c r="G2679" s="63" t="str">
        <f>VLOOKUP(C2679, 'Class Def. - General Data'!$C$20:$C$1000,1,false)</f>
        <v>ZPI1_HANDUK</v>
      </c>
      <c r="H2679" s="63" t="str">
        <f>IFERROR(__xludf.DUMMYFUNCTION("VLOOKUP(F2679, IMPORTRANGE(""https://docs.google.com/spreadsheets/d/1Lhp9OU0JdFf_VYSMzH5lBcEaU4o8teT1piV-SNzShjg/edit?gid=554141278#gid=554141278"", ""'Char Def. - Attributes'!C20:C2242""), 1,false)"),"MATERIAL_HANDUK")</f>
        <v>MATERIAL_HANDUK</v>
      </c>
      <c r="I2679" s="136"/>
    </row>
    <row r="2680" ht="15.75" customHeight="1">
      <c r="B2680" s="63">
        <f t="shared" si="1"/>
        <v>11</v>
      </c>
      <c r="C2680" s="134" t="s">
        <v>151</v>
      </c>
      <c r="D2680" s="134" t="s">
        <v>74</v>
      </c>
      <c r="E2680" s="135">
        <f t="shared" si="59"/>
        <v>9</v>
      </c>
      <c r="F2680" s="134" t="s">
        <v>3785</v>
      </c>
      <c r="G2680" s="63" t="str">
        <f>VLOOKUP(C2680, 'Class Def. - General Data'!$C$20:$C$1000,1,false)</f>
        <v>ZPI1_HANDUK</v>
      </c>
      <c r="H2680" s="63" t="str">
        <f>IFERROR(__xludf.DUMMYFUNCTION("VLOOKUP(F2680, IMPORTRANGE(""https://docs.google.com/spreadsheets/d/1Lhp9OU0JdFf_VYSMzH5lBcEaU4o8teT1piV-SNzShjg/edit?gid=554141278#gid=554141278"", ""'Char Def. - Attributes'!C20:C2242""), 1,false)"),"ITEM_SHAPE")</f>
        <v>ITEM_SHAPE</v>
      </c>
      <c r="I2680" s="136"/>
    </row>
    <row r="2681" ht="15.75" customHeight="1">
      <c r="B2681" s="63">
        <f t="shared" si="1"/>
        <v>11</v>
      </c>
      <c r="C2681" s="134" t="s">
        <v>151</v>
      </c>
      <c r="D2681" s="134" t="s">
        <v>74</v>
      </c>
      <c r="E2681" s="135">
        <f t="shared" si="59"/>
        <v>10</v>
      </c>
      <c r="F2681" s="134" t="s">
        <v>3786</v>
      </c>
      <c r="G2681" s="63" t="str">
        <f>VLOOKUP(C2681, 'Class Def. - General Data'!$C$20:$C$1000,1,false)</f>
        <v>ZPI1_HANDUK</v>
      </c>
      <c r="H2681" s="63" t="str">
        <f>IFERROR(__xludf.DUMMYFUNCTION("VLOOKUP(F2681, IMPORTRANGE(""https://docs.google.com/spreadsheets/d/1Lhp9OU0JdFf_VYSMzH5lBcEaU4o8teT1piV-SNzShjg/edit?gid=554141278#gid=554141278"", ""'Char Def. - Attributes'!C20:C2242""), 1,false)"),"SIZE_UNIT_DIMENSI")</f>
        <v>SIZE_UNIT_DIMENSI</v>
      </c>
      <c r="I2681" s="136"/>
    </row>
    <row r="2682" ht="15.75" customHeight="1">
      <c r="B2682" s="63">
        <f t="shared" si="1"/>
        <v>11</v>
      </c>
      <c r="C2682" s="134" t="s">
        <v>151</v>
      </c>
      <c r="D2682" s="134" t="s">
        <v>74</v>
      </c>
      <c r="E2682" s="135">
        <f t="shared" si="59"/>
        <v>11</v>
      </c>
      <c r="F2682" s="135" t="s">
        <v>3787</v>
      </c>
      <c r="G2682" s="63" t="str">
        <f>VLOOKUP(C2682, 'Class Def. - General Data'!$C$20:$C$1000,1,false)</f>
        <v>ZPI1_HANDUK</v>
      </c>
      <c r="H2682" s="63" t="str">
        <f>IFERROR(__xludf.DUMMYFUNCTION("VLOOKUP(F2682, IMPORTRANGE(""https://docs.google.com/spreadsheets/d/1Lhp9OU0JdFf_VYSMzH5lBcEaU4o8teT1piV-SNzShjg/edit?gid=554141278#gid=554141278"", ""'Char Def. - Attributes'!C20:C2242""), 1,false)"),"DIAMETER_PCS")</f>
        <v>DIAMETER_PCS</v>
      </c>
      <c r="I2682" s="136"/>
    </row>
    <row r="2683" ht="15.75" customHeight="1">
      <c r="B2683" s="63">
        <f t="shared" si="1"/>
        <v>11</v>
      </c>
      <c r="C2683" s="134" t="s">
        <v>151</v>
      </c>
      <c r="D2683" s="134" t="s">
        <v>74</v>
      </c>
      <c r="E2683" s="135">
        <f t="shared" si="59"/>
        <v>12</v>
      </c>
      <c r="F2683" s="134" t="s">
        <v>3788</v>
      </c>
      <c r="G2683" s="63" t="str">
        <f>VLOOKUP(C2683, 'Class Def. - General Data'!$C$20:$C$1000,1,false)</f>
        <v>ZPI1_HANDUK</v>
      </c>
      <c r="H2683" s="63" t="str">
        <f>IFERROR(__xludf.DUMMYFUNCTION("VLOOKUP(F2683, IMPORTRANGE(""https://docs.google.com/spreadsheets/d/1Lhp9OU0JdFf_VYSMzH5lBcEaU4o8teT1piV-SNzShjg/edit?gid=554141278#gid=554141278"", ""'Char Def. - Attributes'!C20:C2242""), 1,false)"),"LENGTH_PCS")</f>
        <v>LENGTH_PCS</v>
      </c>
      <c r="I2683" s="136"/>
    </row>
    <row r="2684" ht="15.75" customHeight="1">
      <c r="B2684" s="63">
        <f t="shared" si="1"/>
        <v>11</v>
      </c>
      <c r="C2684" s="134" t="s">
        <v>151</v>
      </c>
      <c r="D2684" s="134" t="s">
        <v>74</v>
      </c>
      <c r="E2684" s="135">
        <f t="shared" si="59"/>
        <v>13</v>
      </c>
      <c r="F2684" s="134" t="s">
        <v>3789</v>
      </c>
      <c r="G2684" s="63" t="str">
        <f>VLOOKUP(C2684, 'Class Def. - General Data'!$C$20:$C$1000,1,false)</f>
        <v>ZPI1_HANDUK</v>
      </c>
      <c r="H2684" s="63" t="str">
        <f>IFERROR(__xludf.DUMMYFUNCTION("VLOOKUP(F2684, IMPORTRANGE(""https://docs.google.com/spreadsheets/d/1Lhp9OU0JdFf_VYSMzH5lBcEaU4o8teT1piV-SNzShjg/edit?gid=554141278#gid=554141278"", ""'Char Def. - Attributes'!C20:C2242""), 1,false)"),"WIDTH_PCS")</f>
        <v>WIDTH_PCS</v>
      </c>
      <c r="I2684" s="136"/>
    </row>
    <row r="2685" ht="15.75" customHeight="1">
      <c r="B2685" s="63">
        <f t="shared" si="1"/>
        <v>11</v>
      </c>
      <c r="C2685" s="134" t="s">
        <v>151</v>
      </c>
      <c r="D2685" s="134" t="s">
        <v>74</v>
      </c>
      <c r="E2685" s="135">
        <f t="shared" si="59"/>
        <v>14</v>
      </c>
      <c r="F2685" s="135" t="s">
        <v>3790</v>
      </c>
      <c r="G2685" s="63" t="str">
        <f>VLOOKUP(C2685, 'Class Def. - General Data'!$C$20:$C$1000,1,false)</f>
        <v>ZPI1_HANDUK</v>
      </c>
      <c r="H2685" s="63" t="str">
        <f>IFERROR(__xludf.DUMMYFUNCTION("VLOOKUP(F2685, IMPORTRANGE(""https://docs.google.com/spreadsheets/d/1Lhp9OU0JdFf_VYSMzH5lBcEaU4o8teT1piV-SNzShjg/edit?gid=554141278#gid=554141278"", ""'Char Def. - Attributes'!C20:C2242""), 1,false)"),"HEIGHT_PCS")</f>
        <v>HEIGHT_PCS</v>
      </c>
      <c r="I2685" s="136"/>
    </row>
    <row r="2686" ht="15.75" customHeight="1">
      <c r="B2686" s="63">
        <f t="shared" si="1"/>
        <v>11</v>
      </c>
      <c r="C2686" s="134" t="s">
        <v>151</v>
      </c>
      <c r="D2686" s="134" t="s">
        <v>74</v>
      </c>
      <c r="E2686" s="135">
        <f t="shared" si="59"/>
        <v>15</v>
      </c>
      <c r="F2686" s="134" t="s">
        <v>3791</v>
      </c>
      <c r="G2686" s="63" t="str">
        <f>VLOOKUP(C2686, 'Class Def. - General Data'!$C$20:$C$1000,1,false)</f>
        <v>ZPI1_HANDUK</v>
      </c>
      <c r="H2686" s="63" t="str">
        <f>IFERROR(__xludf.DUMMYFUNCTION("VLOOKUP(F2686, IMPORTRANGE(""https://docs.google.com/spreadsheets/d/1Lhp9OU0JdFf_VYSMzH5lBcEaU4o8teT1piV-SNzShjg/edit?gid=554141278#gid=554141278"", ""'Char Def. - Attributes'!C20:C2242""), 1,false)"),"HAS_SPESIFIC_COLOUR")</f>
        <v>HAS_SPESIFIC_COLOUR</v>
      </c>
      <c r="I2686" s="136"/>
    </row>
    <row r="2687" ht="15.75" customHeight="1">
      <c r="B2687" s="63">
        <f t="shared" si="1"/>
        <v>11</v>
      </c>
      <c r="C2687" s="134" t="s">
        <v>151</v>
      </c>
      <c r="D2687" s="134" t="s">
        <v>74</v>
      </c>
      <c r="E2687" s="135">
        <f t="shared" si="59"/>
        <v>16</v>
      </c>
      <c r="F2687" s="134" t="s">
        <v>3792</v>
      </c>
      <c r="G2687" s="63" t="str">
        <f>VLOOKUP(C2687, 'Class Def. - General Data'!$C$20:$C$1000,1,false)</f>
        <v>ZPI1_HANDUK</v>
      </c>
      <c r="H2687" s="63" t="str">
        <f>IFERROR(__xludf.DUMMYFUNCTION("VLOOKUP(F2687, IMPORTRANGE(""https://docs.google.com/spreadsheets/d/1Lhp9OU0JdFf_VYSMzH5lBcEaU4o8teT1piV-SNzShjg/edit?gid=554141278#gid=554141278"", ""'Char Def. - Attributes'!C20:C2242""), 1,false)"),"COLOUR")</f>
        <v>COLOUR</v>
      </c>
      <c r="I2687" s="136"/>
    </row>
    <row r="2688" ht="15.75" customHeight="1">
      <c r="B2688" s="63">
        <f t="shared" si="1"/>
        <v>11</v>
      </c>
      <c r="C2688" s="134" t="s">
        <v>151</v>
      </c>
      <c r="D2688" s="134" t="s">
        <v>74</v>
      </c>
      <c r="E2688" s="135">
        <f t="shared" si="59"/>
        <v>17</v>
      </c>
      <c r="F2688" s="134" t="s">
        <v>3793</v>
      </c>
      <c r="G2688" s="63" t="str">
        <f>VLOOKUP(C2688, 'Class Def. - General Data'!$C$20:$C$1000,1,false)</f>
        <v>ZPI1_HANDUK</v>
      </c>
      <c r="H2688" s="63" t="str">
        <f>IFERROR(__xludf.DUMMYFUNCTION("VLOOKUP(F2688, IMPORTRANGE(""https://docs.google.com/spreadsheets/d/1Lhp9OU0JdFf_VYSMzH5lBcEaU4o8teT1piV-SNzShjg/edit?gid=554141278#gid=554141278"", ""'Char Def. - Attributes'!C20:C2242""), 1,false)"),"EMBOSSED_SPESIFIC_DESAIN")</f>
        <v>EMBOSSED_SPESIFIC_DESAIN</v>
      </c>
      <c r="I2688" s="136"/>
    </row>
    <row r="2689" ht="15.75" customHeight="1">
      <c r="B2689" s="63">
        <f t="shared" si="1"/>
        <v>11</v>
      </c>
      <c r="C2689" s="134" t="s">
        <v>151</v>
      </c>
      <c r="D2689" s="134" t="s">
        <v>74</v>
      </c>
      <c r="E2689" s="135">
        <f t="shared" si="59"/>
        <v>18</v>
      </c>
      <c r="F2689" s="134" t="s">
        <v>3794</v>
      </c>
      <c r="G2689" s="63" t="str">
        <f>VLOOKUP(C2689, 'Class Def. - General Data'!$C$20:$C$1000,1,false)</f>
        <v>ZPI1_HANDUK</v>
      </c>
      <c r="H2689" s="63" t="str">
        <f>IFERROR(__xludf.DUMMYFUNCTION("VLOOKUP(F2689, IMPORTRANGE(""https://docs.google.com/spreadsheets/d/1Lhp9OU0JdFf_VYSMzH5lBcEaU4o8teT1piV-SNzShjg/edit?gid=554141278#gid=554141278"", ""'Char Def. - Attributes'!C20:C2242""), 1,false)"),"DESAIN_NAME")</f>
        <v>DESAIN_NAME</v>
      </c>
      <c r="I2689" s="136"/>
    </row>
    <row r="2690" ht="15.75" customHeight="1">
      <c r="B2690" s="63">
        <f t="shared" si="1"/>
        <v>11</v>
      </c>
      <c r="C2690" s="134" t="s">
        <v>151</v>
      </c>
      <c r="D2690" s="134" t="s">
        <v>74</v>
      </c>
      <c r="E2690" s="135">
        <f t="shared" si="59"/>
        <v>19</v>
      </c>
      <c r="F2690" s="134" t="s">
        <v>3795</v>
      </c>
      <c r="G2690" s="63" t="str">
        <f>VLOOKUP(C2690, 'Class Def. - General Data'!$C$20:$C$1000,1,false)</f>
        <v>ZPI1_HANDUK</v>
      </c>
      <c r="H2690" s="63" t="str">
        <f>IFERROR(__xludf.DUMMYFUNCTION("VLOOKUP(F2690, IMPORTRANGE(""https://docs.google.com/spreadsheets/d/1Lhp9OU0JdFf_VYSMzH5lBcEaU4o8teT1piV-SNzShjg/edit?gid=554141278#gid=554141278"", ""'Char Def. - Attributes'!C20:C2242""), 1,false)"),"DESAIN_MONTH")</f>
        <v>DESAIN_MONTH</v>
      </c>
      <c r="I2690" s="136"/>
    </row>
    <row r="2691" ht="15.75" customHeight="1">
      <c r="B2691" s="63">
        <f t="shared" si="1"/>
        <v>11</v>
      </c>
      <c r="C2691" s="134" t="s">
        <v>151</v>
      </c>
      <c r="D2691" s="134" t="s">
        <v>74</v>
      </c>
      <c r="E2691" s="135">
        <f t="shared" si="59"/>
        <v>20</v>
      </c>
      <c r="F2691" s="134" t="s">
        <v>3796</v>
      </c>
      <c r="G2691" s="63" t="str">
        <f>VLOOKUP(C2691, 'Class Def. - General Data'!$C$20:$C$1000,1,false)</f>
        <v>ZPI1_HANDUK</v>
      </c>
      <c r="H2691" s="63" t="str">
        <f>IFERROR(__xludf.DUMMYFUNCTION("VLOOKUP(F2691, IMPORTRANGE(""https://docs.google.com/spreadsheets/d/1Lhp9OU0JdFf_VYSMzH5lBcEaU4o8teT1piV-SNzShjg/edit?gid=554141278#gid=554141278"", ""'Char Def. - Attributes'!C20:C2242""), 1,false)"),"DESAIN_YEAR")</f>
        <v>DESAIN_YEAR</v>
      </c>
      <c r="I2691" s="136"/>
    </row>
    <row r="2692" ht="15.75" customHeight="1">
      <c r="B2692" s="63">
        <f t="shared" si="1"/>
        <v>11</v>
      </c>
      <c r="C2692" s="134" t="s">
        <v>151</v>
      </c>
      <c r="D2692" s="134" t="s">
        <v>74</v>
      </c>
      <c r="E2692" s="135">
        <f t="shared" si="59"/>
        <v>21</v>
      </c>
      <c r="F2692" s="134" t="s">
        <v>3797</v>
      </c>
      <c r="G2692" s="63" t="str">
        <f>VLOOKUP(C2692, 'Class Def. - General Data'!$C$20:$C$1000,1,false)</f>
        <v>ZPI1_HANDUK</v>
      </c>
      <c r="H2692" s="63" t="str">
        <f>IFERROR(__xludf.DUMMYFUNCTION("VLOOKUP(F2692, IMPORTRANGE(""https://docs.google.com/spreadsheets/d/1Lhp9OU0JdFf_VYSMzH5lBcEaU4o8teT1piV-SNzShjg/edit?gid=554141278#gid=554141278"", ""'Char Def. - Attributes'!C20:C2242""), 1,false)"),"SPEC_QTY_IN_ONE_BUNDLE")</f>
        <v>SPEC_QTY_IN_ONE_BUNDLE</v>
      </c>
      <c r="I2692" s="136"/>
    </row>
    <row r="2693" ht="15.75" customHeight="1">
      <c r="B2693" s="63">
        <f t="shared" si="1"/>
        <v>11</v>
      </c>
      <c r="C2693" s="134" t="s">
        <v>151</v>
      </c>
      <c r="D2693" s="134" t="s">
        <v>74</v>
      </c>
      <c r="E2693" s="135">
        <f t="shared" si="59"/>
        <v>22</v>
      </c>
      <c r="F2693" s="134" t="s">
        <v>3798</v>
      </c>
      <c r="G2693" s="63" t="str">
        <f>VLOOKUP(C2693, 'Class Def. - General Data'!$C$20:$C$1000,1,false)</f>
        <v>ZPI1_HANDUK</v>
      </c>
      <c r="H2693" s="63" t="str">
        <f>IFERROR(__xludf.DUMMYFUNCTION("VLOOKUP(F2693, IMPORTRANGE(""https://docs.google.com/spreadsheets/d/1Lhp9OU0JdFf_VYSMzH5lBcEaU4o8teT1piV-SNzShjg/edit?gid=554141278#gid=554141278"", ""'Char Def. - Attributes'!C20:C2242""), 1,false)"),"QTY_IN_ONE_BUNDLE")</f>
        <v>QTY_IN_ONE_BUNDLE</v>
      </c>
      <c r="I2693" s="136"/>
    </row>
    <row r="2694" ht="15.75" customHeight="1">
      <c r="B2694" s="63">
        <f t="shared" si="1"/>
        <v>11</v>
      </c>
      <c r="C2694" s="134" t="s">
        <v>151</v>
      </c>
      <c r="D2694" s="134" t="s">
        <v>74</v>
      </c>
      <c r="E2694" s="135">
        <f t="shared" si="59"/>
        <v>23</v>
      </c>
      <c r="F2694" s="134" t="s">
        <v>3585</v>
      </c>
      <c r="G2694" s="63" t="str">
        <f>VLOOKUP(C2694, 'Class Def. - General Data'!$C$20:$C$1000,1,false)</f>
        <v>ZPI1_HANDUK</v>
      </c>
      <c r="H2694" s="63" t="str">
        <f>IFERROR(__xludf.DUMMYFUNCTION("VLOOKUP(F2694, IMPORTRANGE(""https://docs.google.com/spreadsheets/d/1Lhp9OU0JdFf_VYSMzH5lBcEaU4o8teT1piV-SNzShjg/edit?gid=554141278#gid=554141278"", ""'Char Def. - Attributes'!C20:C2242""), 1,false)"),"HS_CODE")</f>
        <v>HS_CODE</v>
      </c>
      <c r="I2694" s="136"/>
    </row>
    <row r="2695" ht="15.75" customHeight="1">
      <c r="B2695" s="63">
        <f t="shared" si="1"/>
        <v>11</v>
      </c>
      <c r="C2695" s="134" t="s">
        <v>151</v>
      </c>
      <c r="D2695" s="134" t="s">
        <v>74</v>
      </c>
      <c r="E2695" s="135">
        <f t="shared" si="59"/>
        <v>24</v>
      </c>
      <c r="F2695" s="134" t="s">
        <v>3799</v>
      </c>
      <c r="G2695" s="63" t="str">
        <f>VLOOKUP(C2695, 'Class Def. - General Data'!$C$20:$C$1000,1,false)</f>
        <v>ZPI1_HANDUK</v>
      </c>
      <c r="H2695" s="63" t="str">
        <f>IFERROR(__xludf.DUMMYFUNCTION("VLOOKUP(F2695, IMPORTRANGE(""https://docs.google.com/spreadsheets/d/1Lhp9OU0JdFf_VYSMzH5lBcEaU4o8teT1piV-SNzShjg/edit?gid=554141278#gid=554141278"", ""'Char Def. - Attributes'!C20:C2242""), 1,false)"),"BASE_UNIT_ZPI1")</f>
        <v>BASE_UNIT_ZPI1</v>
      </c>
      <c r="I2695" s="136"/>
    </row>
    <row r="2696" ht="15.75" customHeight="1">
      <c r="B2696" s="63">
        <f t="shared" si="1"/>
        <v>11</v>
      </c>
      <c r="C2696" s="134" t="s">
        <v>151</v>
      </c>
      <c r="D2696" s="134" t="s">
        <v>74</v>
      </c>
      <c r="E2696" s="135">
        <f t="shared" si="59"/>
        <v>25</v>
      </c>
      <c r="F2696" s="135" t="s">
        <v>3800</v>
      </c>
      <c r="G2696" s="63" t="str">
        <f>VLOOKUP(C2696, 'Class Def. - General Data'!$C$20:$C$1000,1,false)</f>
        <v>ZPI1_HANDUK</v>
      </c>
      <c r="H2696" s="63" t="str">
        <f>IFERROR(__xludf.DUMMYFUNCTION("VLOOKUP(F2696, IMPORTRANGE(""https://docs.google.com/spreadsheets/d/1Lhp9OU0JdFf_VYSMzH5lBcEaU4o8teT1piV-SNzShjg/edit?gid=554141278#gid=554141278"", ""'Char Def. - Attributes'!C20:C2242""), 1,false)"),"ORDER_UNIT_DIFF_FROM_BASIC_UOM")</f>
        <v>ORDER_UNIT_DIFF_FROM_BASIC_UOM</v>
      </c>
      <c r="I2696" s="136"/>
    </row>
    <row r="2697" ht="15.75" customHeight="1">
      <c r="B2697" s="63">
        <f t="shared" si="1"/>
        <v>11</v>
      </c>
      <c r="C2697" s="134" t="s">
        <v>151</v>
      </c>
      <c r="D2697" s="134" t="s">
        <v>74</v>
      </c>
      <c r="E2697" s="135">
        <f t="shared" si="59"/>
        <v>26</v>
      </c>
      <c r="F2697" s="135" t="s">
        <v>3801</v>
      </c>
      <c r="G2697" s="63" t="str">
        <f>VLOOKUP(C2697, 'Class Def. - General Data'!$C$20:$C$1000,1,false)</f>
        <v>ZPI1_HANDUK</v>
      </c>
      <c r="H2697" s="63" t="str">
        <f>IFERROR(__xludf.DUMMYFUNCTION("VLOOKUP(F2697, IMPORTRANGE(""https://docs.google.com/spreadsheets/d/1Lhp9OU0JdFf_VYSMzH5lBcEaU4o8teT1piV-SNzShjg/edit?gid=554141278#gid=554141278"", ""'Char Def. - Attributes'!C20:C2242""), 1,false)"),"ORDER_UNIT_ZPI1")</f>
        <v>ORDER_UNIT_ZPI1</v>
      </c>
      <c r="I2697" s="136"/>
    </row>
    <row r="2698" ht="15.75" customHeight="1">
      <c r="B2698" s="63">
        <f t="shared" si="1"/>
        <v>11</v>
      </c>
      <c r="C2698" s="134" t="s">
        <v>151</v>
      </c>
      <c r="D2698" s="134" t="s">
        <v>74</v>
      </c>
      <c r="E2698" s="135">
        <f t="shared" si="59"/>
        <v>27</v>
      </c>
      <c r="F2698" s="134" t="s">
        <v>3802</v>
      </c>
      <c r="G2698" s="63" t="str">
        <f>VLOOKUP(C2698, 'Class Def. - General Data'!$C$20:$C$1000,1,false)</f>
        <v>ZPI1_HANDUK</v>
      </c>
      <c r="H2698" s="63" t="str">
        <f>IFERROR(__xludf.DUMMYFUNCTION("VLOOKUP(F2698, IMPORTRANGE(""https://docs.google.com/spreadsheets/d/1Lhp9OU0JdFf_VYSMzH5lBcEaU4o8teT1piV-SNzShjg/edit?gid=554141278#gid=554141278"", ""'Char Def. - Attributes'!C20:C2242""), 1,false)"),"WEIGHT_UNIT_PI")</f>
        <v>WEIGHT_UNIT_PI</v>
      </c>
      <c r="I2698" s="136"/>
    </row>
    <row r="2699" ht="15.75" customHeight="1">
      <c r="B2699" s="63">
        <f t="shared" si="1"/>
        <v>11</v>
      </c>
      <c r="C2699" s="134" t="s">
        <v>151</v>
      </c>
      <c r="D2699" s="134" t="s">
        <v>74</v>
      </c>
      <c r="E2699" s="135">
        <f t="shared" si="59"/>
        <v>28</v>
      </c>
      <c r="F2699" s="134" t="s">
        <v>3602</v>
      </c>
      <c r="G2699" s="63" t="str">
        <f>VLOOKUP(C2699, 'Class Def. - General Data'!$C$20:$C$1000,1,false)</f>
        <v>ZPI1_HANDUK</v>
      </c>
      <c r="H2699" s="63" t="str">
        <f>IFERROR(__xludf.DUMMYFUNCTION("VLOOKUP(F2699, IMPORTRANGE(""https://docs.google.com/spreadsheets/d/1Lhp9OU0JdFf_VYSMzH5lBcEaU4o8teT1piV-SNzShjg/edit?gid=554141278#gid=554141278"", ""'Char Def. - Attributes'!C20:C2242""), 1,false)"),"NET_WEIGHT")</f>
        <v>NET_WEIGHT</v>
      </c>
      <c r="I2699" s="136"/>
    </row>
    <row r="2700" ht="15.75" customHeight="1">
      <c r="B2700" s="63">
        <f t="shared" si="1"/>
        <v>11</v>
      </c>
      <c r="C2700" s="134" t="s">
        <v>151</v>
      </c>
      <c r="D2700" s="134" t="s">
        <v>74</v>
      </c>
      <c r="E2700" s="135">
        <f t="shared" si="59"/>
        <v>29</v>
      </c>
      <c r="F2700" s="134" t="s">
        <v>3601</v>
      </c>
      <c r="G2700" s="63" t="str">
        <f>VLOOKUP(C2700, 'Class Def. - General Data'!$C$20:$C$1000,1,false)</f>
        <v>ZPI1_HANDUK</v>
      </c>
      <c r="H2700" s="63" t="str">
        <f>IFERROR(__xludf.DUMMYFUNCTION("VLOOKUP(F2700, IMPORTRANGE(""https://docs.google.com/spreadsheets/d/1Lhp9OU0JdFf_VYSMzH5lBcEaU4o8teT1piV-SNzShjg/edit?gid=554141278#gid=554141278"", ""'Char Def. - Attributes'!C20:C2242""), 1,false)"),"GROSS_WEIGHT")</f>
        <v>GROSS_WEIGHT</v>
      </c>
      <c r="I2700" s="136"/>
    </row>
    <row r="2701" ht="15.75" customHeight="1">
      <c r="B2701" s="63">
        <f t="shared" si="1"/>
        <v>11</v>
      </c>
      <c r="C2701" s="134" t="s">
        <v>151</v>
      </c>
      <c r="D2701" s="134" t="s">
        <v>74</v>
      </c>
      <c r="E2701" s="135">
        <f t="shared" si="59"/>
        <v>30</v>
      </c>
      <c r="F2701" s="134" t="s">
        <v>3803</v>
      </c>
      <c r="G2701" s="63" t="str">
        <f>VLOOKUP(C2701, 'Class Def. - General Data'!$C$20:$C$1000,1,false)</f>
        <v>ZPI1_HANDUK</v>
      </c>
      <c r="H2701" s="63" t="str">
        <f>IFERROR(__xludf.DUMMYFUNCTION("VLOOKUP(F2701, IMPORTRANGE(""https://docs.google.com/spreadsheets/d/1Lhp9OU0JdFf_VYSMzH5lBcEaU4o8teT1piV-SNzShjg/edit?gid=554141278#gid=554141278"", ""'Char Def. - Attributes'!C20:C2242""), 1,false)"),"VOLUME_UNIT_PI")</f>
        <v>VOLUME_UNIT_PI</v>
      </c>
      <c r="I2701" s="136"/>
    </row>
    <row r="2702" ht="15.75" customHeight="1">
      <c r="B2702" s="63">
        <f t="shared" si="1"/>
        <v>11</v>
      </c>
      <c r="C2702" s="134" t="s">
        <v>151</v>
      </c>
      <c r="D2702" s="134" t="s">
        <v>74</v>
      </c>
      <c r="E2702" s="135">
        <f t="shared" si="59"/>
        <v>31</v>
      </c>
      <c r="F2702" s="134" t="s">
        <v>3603</v>
      </c>
      <c r="G2702" s="63" t="str">
        <f>VLOOKUP(C2702, 'Class Def. - General Data'!$C$20:$C$1000,1,false)</f>
        <v>ZPI1_HANDUK</v>
      </c>
      <c r="H2702" s="63" t="str">
        <f>IFERROR(__xludf.DUMMYFUNCTION("VLOOKUP(F2702, IMPORTRANGE(""https://docs.google.com/spreadsheets/d/1Lhp9OU0JdFf_VYSMzH5lBcEaU4o8teT1piV-SNzShjg/edit?gid=554141278#gid=554141278"", ""'Char Def. - Attributes'!C20:C2242""), 1,false)"),"VOLUME")</f>
        <v>VOLUME</v>
      </c>
      <c r="I2702" s="136"/>
    </row>
    <row r="2703" ht="15.75" customHeight="1">
      <c r="B2703" s="63">
        <f t="shared" si="1"/>
        <v>11</v>
      </c>
      <c r="C2703" s="134" t="s">
        <v>151</v>
      </c>
      <c r="D2703" s="134" t="s">
        <v>74</v>
      </c>
      <c r="E2703" s="135">
        <f t="shared" si="59"/>
        <v>32</v>
      </c>
      <c r="F2703" s="134" t="s">
        <v>3587</v>
      </c>
      <c r="G2703" s="63" t="str">
        <f>VLOOKUP(C2703, 'Class Def. - General Data'!$C$20:$C$1000,1,false)</f>
        <v>ZPI1_HANDUK</v>
      </c>
      <c r="H2703" s="63" t="str">
        <f>IFERROR(__xludf.DUMMYFUNCTION("VLOOKUP(F2703, IMPORTRANGE(""https://docs.google.com/spreadsheets/d/1Lhp9OU0JdFf_VYSMzH5lBcEaU4o8teT1piV-SNzShjg/edit?gid=554141278#gid=554141278"", ""'Char Def. - Attributes'!C20:C2242""), 1,false)"),"PLANT_BUY")</f>
        <v>PLANT_BUY</v>
      </c>
      <c r="I2703" s="136"/>
    </row>
    <row r="2704" ht="15.75" customHeight="1">
      <c r="B2704" s="63">
        <f t="shared" si="1"/>
        <v>11</v>
      </c>
      <c r="C2704" s="134" t="s">
        <v>151</v>
      </c>
      <c r="D2704" s="134" t="s">
        <v>74</v>
      </c>
      <c r="E2704" s="135">
        <f t="shared" si="59"/>
        <v>33</v>
      </c>
      <c r="F2704" s="134" t="s">
        <v>3804</v>
      </c>
      <c r="G2704" s="63" t="str">
        <f>VLOOKUP(C2704, 'Class Def. - General Data'!$C$20:$C$1000,1,false)</f>
        <v>ZPI1_HANDUK</v>
      </c>
      <c r="H2704" s="63" t="str">
        <f>IFERROR(__xludf.DUMMYFUNCTION("VLOOKUP(F2704, IMPORTRANGE(""https://docs.google.com/spreadsheets/d/1Lhp9OU0JdFf_VYSMzH5lBcEaU4o8teT1piV-SNzShjg/edit?gid=554141278#gid=554141278"", ""'Char Def. - Attributes'!C20:C2242""), 1,false)"),"ALT_UOM1_SIPI")</f>
        <v>ALT_UOM1_SIPI</v>
      </c>
      <c r="I2704" s="136"/>
    </row>
    <row r="2705" ht="15.75" customHeight="1">
      <c r="B2705" s="63">
        <f t="shared" si="1"/>
        <v>11</v>
      </c>
      <c r="C2705" s="134" t="s">
        <v>151</v>
      </c>
      <c r="D2705" s="134" t="s">
        <v>74</v>
      </c>
      <c r="E2705" s="135">
        <f t="shared" si="59"/>
        <v>34</v>
      </c>
      <c r="F2705" s="134" t="s">
        <v>3805</v>
      </c>
      <c r="G2705" s="63" t="str">
        <f>VLOOKUP(C2705, 'Class Def. - General Data'!$C$20:$C$1000,1,false)</f>
        <v>ZPI1_HANDUK</v>
      </c>
      <c r="H2705" s="63" t="str">
        <f>IFERROR(__xludf.DUMMYFUNCTION("VLOOKUP(F2705, IMPORTRANGE(""https://docs.google.com/spreadsheets/d/1Lhp9OU0JdFf_VYSMzH5lBcEaU4o8teT1piV-SNzShjg/edit?gid=554141278#gid=554141278"", ""'Char Def. - Attributes'!C20:C2242""), 1,false)"),"ALT_DENUM_UOM1")</f>
        <v>ALT_DENUM_UOM1</v>
      </c>
      <c r="I2705" s="136"/>
    </row>
    <row r="2706" ht="15.75" customHeight="1">
      <c r="B2706" s="63">
        <f t="shared" si="1"/>
        <v>11</v>
      </c>
      <c r="C2706" s="134" t="s">
        <v>151</v>
      </c>
      <c r="D2706" s="134" t="s">
        <v>74</v>
      </c>
      <c r="E2706" s="135">
        <f t="shared" si="59"/>
        <v>35</v>
      </c>
      <c r="F2706" s="134" t="s">
        <v>3806</v>
      </c>
      <c r="G2706" s="63" t="str">
        <f>VLOOKUP(C2706, 'Class Def. - General Data'!$C$20:$C$1000,1,false)</f>
        <v>ZPI1_HANDUK</v>
      </c>
      <c r="H2706" s="63" t="str">
        <f>IFERROR(__xludf.DUMMYFUNCTION("VLOOKUP(F2706, IMPORTRANGE(""https://docs.google.com/spreadsheets/d/1Lhp9OU0JdFf_VYSMzH5lBcEaU4o8teT1piV-SNzShjg/edit?gid=554141278#gid=554141278"", ""'Char Def. - Attributes'!C20:C2242""), 1,false)"),"ALT_NUM_UOM1")</f>
        <v>ALT_NUM_UOM1</v>
      </c>
      <c r="I2706" s="136"/>
    </row>
    <row r="2707" ht="15.75" customHeight="1">
      <c r="B2707" s="63">
        <f t="shared" si="1"/>
        <v>11</v>
      </c>
      <c r="C2707" s="134" t="s">
        <v>151</v>
      </c>
      <c r="D2707" s="134" t="s">
        <v>74</v>
      </c>
      <c r="E2707" s="135">
        <f t="shared" si="59"/>
        <v>36</v>
      </c>
      <c r="F2707" s="134" t="s">
        <v>3807</v>
      </c>
      <c r="G2707" s="63" t="str">
        <f>VLOOKUP(C2707, 'Class Def. - General Data'!$C$20:$C$1000,1,false)</f>
        <v>ZPI1_HANDUK</v>
      </c>
      <c r="H2707" s="63" t="str">
        <f>IFERROR(__xludf.DUMMYFUNCTION("VLOOKUP(F2707, IMPORTRANGE(""https://docs.google.com/spreadsheets/d/1Lhp9OU0JdFf_VYSMzH5lBcEaU4o8teT1piV-SNzShjg/edit?gid=554141278#gid=554141278"", ""'Char Def. - Attributes'!C20:C2242""), 1,false)"),"ALT_UOM2_SIPI")</f>
        <v>ALT_UOM2_SIPI</v>
      </c>
      <c r="I2707" s="136"/>
    </row>
    <row r="2708" ht="15.75" customHeight="1">
      <c r="B2708" s="63">
        <f t="shared" si="1"/>
        <v>11</v>
      </c>
      <c r="C2708" s="134" t="s">
        <v>151</v>
      </c>
      <c r="D2708" s="134" t="s">
        <v>74</v>
      </c>
      <c r="E2708" s="135">
        <f t="shared" si="59"/>
        <v>37</v>
      </c>
      <c r="F2708" s="134" t="s">
        <v>3808</v>
      </c>
      <c r="G2708" s="63" t="str">
        <f>VLOOKUP(C2708, 'Class Def. - General Data'!$C$20:$C$1000,1,false)</f>
        <v>ZPI1_HANDUK</v>
      </c>
      <c r="H2708" s="63" t="str">
        <f>IFERROR(__xludf.DUMMYFUNCTION("VLOOKUP(F2708, IMPORTRANGE(""https://docs.google.com/spreadsheets/d/1Lhp9OU0JdFf_VYSMzH5lBcEaU4o8teT1piV-SNzShjg/edit?gid=554141278#gid=554141278"", ""'Char Def. - Attributes'!C20:C2242""), 1,false)"),"ALT_DENUM_UOM2")</f>
        <v>ALT_DENUM_UOM2</v>
      </c>
      <c r="I2708" s="136"/>
    </row>
    <row r="2709" ht="15.75" customHeight="1">
      <c r="B2709" s="63">
        <f t="shared" si="1"/>
        <v>11</v>
      </c>
      <c r="C2709" s="134" t="s">
        <v>151</v>
      </c>
      <c r="D2709" s="134" t="s">
        <v>74</v>
      </c>
      <c r="E2709" s="135">
        <f t="shared" si="59"/>
        <v>38</v>
      </c>
      <c r="F2709" s="134" t="s">
        <v>3809</v>
      </c>
      <c r="G2709" s="63" t="str">
        <f>VLOOKUP(C2709, 'Class Def. - General Data'!$C$20:$C$1000,1,false)</f>
        <v>ZPI1_HANDUK</v>
      </c>
      <c r="H2709" s="63" t="str">
        <f>IFERROR(__xludf.DUMMYFUNCTION("VLOOKUP(F2709, IMPORTRANGE(""https://docs.google.com/spreadsheets/d/1Lhp9OU0JdFf_VYSMzH5lBcEaU4o8teT1piV-SNzShjg/edit?gid=554141278#gid=554141278"", ""'Char Def. - Attributes'!C20:C2242""), 1,false)"),"ALT_NUM_UOM2")</f>
        <v>ALT_NUM_UOM2</v>
      </c>
      <c r="I2709" s="136"/>
    </row>
    <row r="2710" ht="15.75" customHeight="1">
      <c r="B2710" s="63">
        <f t="shared" si="1"/>
        <v>11</v>
      </c>
      <c r="C2710" s="134" t="s">
        <v>151</v>
      </c>
      <c r="D2710" s="134" t="s">
        <v>74</v>
      </c>
      <c r="E2710" s="135">
        <f t="shared" si="59"/>
        <v>39</v>
      </c>
      <c r="F2710" s="134" t="s">
        <v>3810</v>
      </c>
      <c r="G2710" s="63" t="str">
        <f>VLOOKUP(C2710, 'Class Def. - General Data'!$C$20:$C$1000,1,false)</f>
        <v>ZPI1_HANDUK</v>
      </c>
      <c r="H2710" s="63" t="str">
        <f>IFERROR(__xludf.DUMMYFUNCTION("VLOOKUP(F2710, IMPORTRANGE(""https://docs.google.com/spreadsheets/d/1Lhp9OU0JdFf_VYSMzH5lBcEaU4o8teT1piV-SNzShjg/edit?gid=554141278#gid=554141278"", ""'Char Def. - Attributes'!C20:C2242""), 1,false)"),"ALT_UOM3_SIPI")</f>
        <v>ALT_UOM3_SIPI</v>
      </c>
      <c r="I2710" s="136"/>
    </row>
    <row r="2711" ht="15.75" customHeight="1">
      <c r="B2711" s="63">
        <f t="shared" si="1"/>
        <v>11</v>
      </c>
      <c r="C2711" s="134" t="s">
        <v>151</v>
      </c>
      <c r="D2711" s="134" t="s">
        <v>74</v>
      </c>
      <c r="E2711" s="135">
        <f t="shared" si="59"/>
        <v>40</v>
      </c>
      <c r="F2711" s="134" t="s">
        <v>3811</v>
      </c>
      <c r="G2711" s="63" t="str">
        <f>VLOOKUP(C2711, 'Class Def. - General Data'!$C$20:$C$1000,1,false)</f>
        <v>ZPI1_HANDUK</v>
      </c>
      <c r="H2711" s="63" t="str">
        <f>IFERROR(__xludf.DUMMYFUNCTION("VLOOKUP(F2711, IMPORTRANGE(""https://docs.google.com/spreadsheets/d/1Lhp9OU0JdFf_VYSMzH5lBcEaU4o8teT1piV-SNzShjg/edit?gid=554141278#gid=554141278"", ""'Char Def. - Attributes'!C20:C2242""), 1,false)"),"ALT_DENUM_UOM3")</f>
        <v>ALT_DENUM_UOM3</v>
      </c>
      <c r="I2711" s="136"/>
    </row>
    <row r="2712" ht="15.75" customHeight="1">
      <c r="B2712" s="63">
        <f t="shared" si="1"/>
        <v>11</v>
      </c>
      <c r="C2712" s="134" t="s">
        <v>151</v>
      </c>
      <c r="D2712" s="134" t="s">
        <v>74</v>
      </c>
      <c r="E2712" s="135">
        <f t="shared" si="59"/>
        <v>41</v>
      </c>
      <c r="F2712" s="134" t="s">
        <v>3812</v>
      </c>
      <c r="G2712" s="63" t="str">
        <f>VLOOKUP(C2712, 'Class Def. - General Data'!$C$20:$C$1000,1,false)</f>
        <v>ZPI1_HANDUK</v>
      </c>
      <c r="H2712" s="63" t="str">
        <f>IFERROR(__xludf.DUMMYFUNCTION("VLOOKUP(F2712, IMPORTRANGE(""https://docs.google.com/spreadsheets/d/1Lhp9OU0JdFf_VYSMzH5lBcEaU4o8teT1piV-SNzShjg/edit?gid=554141278#gid=554141278"", ""'Char Def. - Attributes'!C20:C2242""), 1,false)"),"ALT_NUM_UOM3")</f>
        <v>ALT_NUM_UOM3</v>
      </c>
      <c r="I2712" s="136"/>
    </row>
    <row r="2713" ht="15.75" customHeight="1">
      <c r="B2713" s="63">
        <f t="shared" si="1"/>
        <v>11</v>
      </c>
      <c r="C2713" s="134" t="s">
        <v>151</v>
      </c>
      <c r="D2713" s="134" t="s">
        <v>74</v>
      </c>
      <c r="E2713" s="135">
        <f t="shared" si="59"/>
        <v>42</v>
      </c>
      <c r="F2713" s="134" t="s">
        <v>3813</v>
      </c>
      <c r="G2713" s="63" t="str">
        <f>VLOOKUP(C2713, 'Class Def. - General Data'!$C$20:$C$1000,1,false)</f>
        <v>ZPI1_HANDUK</v>
      </c>
      <c r="H2713" s="63" t="str">
        <f>IFERROR(__xludf.DUMMYFUNCTION("VLOOKUP(F2713, IMPORTRANGE(""https://docs.google.com/spreadsheets/d/1Lhp9OU0JdFf_VYSMzH5lBcEaU4o8teT1piV-SNzShjg/edit?gid=554141278#gid=554141278"", ""'Char Def. - Attributes'!C20:C2242""), 1,false)"),"ALT_UOM4_SIPI")</f>
        <v>ALT_UOM4_SIPI</v>
      </c>
      <c r="I2713" s="136"/>
    </row>
    <row r="2714" ht="15.75" customHeight="1">
      <c r="B2714" s="63">
        <f t="shared" si="1"/>
        <v>11</v>
      </c>
      <c r="C2714" s="134" t="s">
        <v>151</v>
      </c>
      <c r="D2714" s="134" t="s">
        <v>74</v>
      </c>
      <c r="E2714" s="135">
        <f t="shared" si="59"/>
        <v>43</v>
      </c>
      <c r="F2714" s="134" t="s">
        <v>3814</v>
      </c>
      <c r="G2714" s="63" t="str">
        <f>VLOOKUP(C2714, 'Class Def. - General Data'!$C$20:$C$1000,1,false)</f>
        <v>ZPI1_HANDUK</v>
      </c>
      <c r="H2714" s="63" t="str">
        <f>IFERROR(__xludf.DUMMYFUNCTION("VLOOKUP(F2714, IMPORTRANGE(""https://docs.google.com/spreadsheets/d/1Lhp9OU0JdFf_VYSMzH5lBcEaU4o8teT1piV-SNzShjg/edit?gid=554141278#gid=554141278"", ""'Char Def. - Attributes'!C20:C2242""), 1,false)"),"ALT_DENUM_UOM4")</f>
        <v>ALT_DENUM_UOM4</v>
      </c>
      <c r="I2714" s="136"/>
    </row>
    <row r="2715" ht="15.75" customHeight="1">
      <c r="B2715" s="63">
        <f t="shared" si="1"/>
        <v>11</v>
      </c>
      <c r="C2715" s="134" t="s">
        <v>151</v>
      </c>
      <c r="D2715" s="134" t="s">
        <v>74</v>
      </c>
      <c r="E2715" s="135">
        <f t="shared" si="59"/>
        <v>44</v>
      </c>
      <c r="F2715" s="134" t="s">
        <v>3815</v>
      </c>
      <c r="G2715" s="63" t="str">
        <f>VLOOKUP(C2715, 'Class Def. - General Data'!$C$20:$C$1000,1,false)</f>
        <v>ZPI1_HANDUK</v>
      </c>
      <c r="H2715" s="63" t="str">
        <f>IFERROR(__xludf.DUMMYFUNCTION("VLOOKUP(F2715, IMPORTRANGE(""https://docs.google.com/spreadsheets/d/1Lhp9OU0JdFf_VYSMzH5lBcEaU4o8teT1piV-SNzShjg/edit?gid=554141278#gid=554141278"", ""'Char Def. - Attributes'!C20:C2242""), 1,false)"),"ALT_NUM_UOM4")</f>
        <v>ALT_NUM_UOM4</v>
      </c>
      <c r="I2715" s="136"/>
    </row>
    <row r="2716" ht="15.75" customHeight="1">
      <c r="B2716" s="63">
        <f t="shared" si="1"/>
        <v>11</v>
      </c>
      <c r="C2716" s="134" t="s">
        <v>151</v>
      </c>
      <c r="D2716" s="134" t="s">
        <v>74</v>
      </c>
      <c r="E2716" s="135">
        <f t="shared" si="59"/>
        <v>45</v>
      </c>
      <c r="F2716" s="134" t="s">
        <v>3816</v>
      </c>
      <c r="G2716" s="63" t="str">
        <f>VLOOKUP(C2716, 'Class Def. - General Data'!$C$20:$C$1000,1,false)</f>
        <v>ZPI1_HANDUK</v>
      </c>
      <c r="H2716" s="63" t="str">
        <f>IFERROR(__xludf.DUMMYFUNCTION("VLOOKUP(F2716, IMPORTRANGE(""https://docs.google.com/spreadsheets/d/1Lhp9OU0JdFf_VYSMzH5lBcEaU4o8teT1piV-SNzShjg/edit?gid=554141278#gid=554141278"", ""'Char Def. - Attributes'!C20:C2242""), 1,false)"),"ALT_UOM5_SIPI")</f>
        <v>ALT_UOM5_SIPI</v>
      </c>
      <c r="I2716" s="136"/>
    </row>
    <row r="2717" ht="15.75" customHeight="1">
      <c r="B2717" s="63">
        <f t="shared" si="1"/>
        <v>11</v>
      </c>
      <c r="C2717" s="134" t="s">
        <v>151</v>
      </c>
      <c r="D2717" s="134" t="s">
        <v>74</v>
      </c>
      <c r="E2717" s="135">
        <f t="shared" si="59"/>
        <v>46</v>
      </c>
      <c r="F2717" s="134" t="s">
        <v>3817</v>
      </c>
      <c r="G2717" s="63" t="str">
        <f>VLOOKUP(C2717, 'Class Def. - General Data'!$C$20:$C$1000,1,false)</f>
        <v>ZPI1_HANDUK</v>
      </c>
      <c r="H2717" s="63" t="str">
        <f>IFERROR(__xludf.DUMMYFUNCTION("VLOOKUP(F2717, IMPORTRANGE(""https://docs.google.com/spreadsheets/d/1Lhp9OU0JdFf_VYSMzH5lBcEaU4o8teT1piV-SNzShjg/edit?gid=554141278#gid=554141278"", ""'Char Def. - Attributes'!C20:C2242""), 1,false)"),"ALT_DENUM_UOM5")</f>
        <v>ALT_DENUM_UOM5</v>
      </c>
      <c r="I2717" s="136"/>
    </row>
    <row r="2718" ht="15.75" customHeight="1">
      <c r="B2718" s="63">
        <f t="shared" si="1"/>
        <v>11</v>
      </c>
      <c r="C2718" s="134" t="s">
        <v>151</v>
      </c>
      <c r="D2718" s="134" t="s">
        <v>74</v>
      </c>
      <c r="E2718" s="135">
        <f t="shared" si="59"/>
        <v>47</v>
      </c>
      <c r="F2718" s="134" t="s">
        <v>3818</v>
      </c>
      <c r="G2718" s="63" t="str">
        <f>VLOOKUP(C2718, 'Class Def. - General Data'!$C$20:$C$1000,1,false)</f>
        <v>ZPI1_HANDUK</v>
      </c>
      <c r="H2718" s="63" t="str">
        <f>IFERROR(__xludf.DUMMYFUNCTION("VLOOKUP(F2718, IMPORTRANGE(""https://docs.google.com/spreadsheets/d/1Lhp9OU0JdFf_VYSMzH5lBcEaU4o8teT1piV-SNzShjg/edit?gid=554141278#gid=554141278"", ""'Char Def. - Attributes'!C20:C2242""), 1,false)"),"ALT_NUM_UOM5")</f>
        <v>ALT_NUM_UOM5</v>
      </c>
      <c r="I2718" s="136"/>
    </row>
    <row r="2719" ht="15.75" customHeight="1">
      <c r="B2719" s="63">
        <f t="shared" si="1"/>
        <v>8</v>
      </c>
      <c r="C2719" s="134" t="s">
        <v>152</v>
      </c>
      <c r="D2719" s="134" t="s">
        <v>74</v>
      </c>
      <c r="E2719" s="135">
        <f t="shared" si="59"/>
        <v>1</v>
      </c>
      <c r="F2719" s="134" t="s">
        <v>3827</v>
      </c>
      <c r="G2719" s="63" t="str">
        <f>VLOOKUP(C2719, 'Class Def. - General Data'!$C$20:$C$1000,1,false)</f>
        <v>ZPI1_JAM</v>
      </c>
      <c r="H2719" s="63" t="str">
        <f>IFERROR(__xludf.DUMMYFUNCTION("VLOOKUP(F2719, IMPORTRANGE(""https://docs.google.com/spreadsheets/d/1Lhp9OU0JdFf_VYSMzH5lBcEaU4o8teT1piV-SNzShjg/edit?gid=554141278#gid=554141278"", ""'Char Def. - Attributes'!C20:C2242""), 1,false)"),"ITEM_NAME_JAM")</f>
        <v>ITEM_NAME_JAM</v>
      </c>
      <c r="I2719" s="136"/>
    </row>
    <row r="2720" ht="15.75" customHeight="1">
      <c r="B2720" s="63">
        <f t="shared" si="1"/>
        <v>8</v>
      </c>
      <c r="C2720" s="134" t="s">
        <v>152</v>
      </c>
      <c r="D2720" s="134" t="s">
        <v>74</v>
      </c>
      <c r="E2720" s="135">
        <f t="shared" si="59"/>
        <v>2</v>
      </c>
      <c r="F2720" s="134" t="s">
        <v>3778</v>
      </c>
      <c r="G2720" s="63" t="str">
        <f>VLOOKUP(C2720, 'Class Def. - General Data'!$C$20:$C$1000,1,false)</f>
        <v>ZPI1_JAM</v>
      </c>
      <c r="H2720" s="63" t="str">
        <f>IFERROR(__xludf.DUMMYFUNCTION("VLOOKUP(F2720, IMPORTRANGE(""https://docs.google.com/spreadsheets/d/1Lhp9OU0JdFf_VYSMzH5lBcEaU4o8teT1piV-SNzShjg/edit?gid=554141278#gid=554141278"", ""'Char Def. - Attributes'!C20:C2242""), 1,false)"),"SPECIAL_ACTIVITY")</f>
        <v>SPECIAL_ACTIVITY</v>
      </c>
      <c r="I2720" s="136"/>
    </row>
    <row r="2721" ht="15.75" customHeight="1">
      <c r="B2721" s="63">
        <f t="shared" si="1"/>
        <v>8</v>
      </c>
      <c r="C2721" s="134" t="s">
        <v>152</v>
      </c>
      <c r="D2721" s="134" t="s">
        <v>74</v>
      </c>
      <c r="E2721" s="135">
        <f t="shared" si="59"/>
        <v>3</v>
      </c>
      <c r="F2721" s="135" t="s">
        <v>3779</v>
      </c>
      <c r="G2721" s="63" t="str">
        <f>VLOOKUP(C2721, 'Class Def. - General Data'!$C$20:$C$1000,1,false)</f>
        <v>ZPI1_JAM</v>
      </c>
      <c r="H2721" s="63" t="str">
        <f>IFERROR(__xludf.DUMMYFUNCTION("VLOOKUP(F2721, IMPORTRANGE(""https://docs.google.com/spreadsheets/d/1Lhp9OU0JdFf_VYSMzH5lBcEaU4o8teT1piV-SNzShjg/edit?gid=554141278#gid=554141278"", ""'Char Def. - Attributes'!C20:C2242""), 1,false)"),"EMBOSSED_BRAND_WINGS")</f>
        <v>EMBOSSED_BRAND_WINGS</v>
      </c>
      <c r="I2721" s="136"/>
    </row>
    <row r="2722" ht="15.75" customHeight="1">
      <c r="B2722" s="63">
        <f t="shared" si="1"/>
        <v>8</v>
      </c>
      <c r="C2722" s="134" t="s">
        <v>152</v>
      </c>
      <c r="D2722" s="134" t="s">
        <v>74</v>
      </c>
      <c r="E2722" s="135">
        <f t="shared" si="59"/>
        <v>4</v>
      </c>
      <c r="F2722" s="135" t="s">
        <v>3780</v>
      </c>
      <c r="G2722" s="63" t="str">
        <f>VLOOKUP(C2722, 'Class Def. - General Data'!$C$20:$C$1000,1,false)</f>
        <v>ZPI1_JAM</v>
      </c>
      <c r="H2722" s="63" t="str">
        <f>IFERROR(__xludf.DUMMYFUNCTION("VLOOKUP(F2722, IMPORTRANGE(""https://docs.google.com/spreadsheets/d/1Lhp9OU0JdFf_VYSMzH5lBcEaU4o8teT1piV-SNzShjg/edit?gid=554141278#gid=554141278"", ""'Char Def. - Attributes'!C20:C2242""), 1,false)"),"BRAND_WINGS_SIPI")</f>
        <v>BRAND_WINGS_SIPI</v>
      </c>
      <c r="I2722" s="136"/>
    </row>
    <row r="2723" ht="15.75" customHeight="1">
      <c r="B2723" s="63">
        <f t="shared" si="1"/>
        <v>8</v>
      </c>
      <c r="C2723" s="134" t="s">
        <v>152</v>
      </c>
      <c r="D2723" s="134" t="s">
        <v>74</v>
      </c>
      <c r="E2723" s="135">
        <f t="shared" si="59"/>
        <v>5</v>
      </c>
      <c r="F2723" s="134" t="s">
        <v>3781</v>
      </c>
      <c r="G2723" s="63" t="str">
        <f>VLOOKUP(C2723, 'Class Def. - General Data'!$C$20:$C$1000,1,false)</f>
        <v>ZPI1_JAM</v>
      </c>
      <c r="H2723" s="63" t="str">
        <f>IFERROR(__xludf.DUMMYFUNCTION("VLOOKUP(F2723, IMPORTRANGE(""https://docs.google.com/spreadsheets/d/1Lhp9OU0JdFf_VYSMzH5lBcEaU4o8teT1piV-SNzShjg/edit?gid=554141278#gid=554141278"", ""'Char Def. - Attributes'!C20:C2242""), 1,false)"),"EXTERNAL_BRAND")</f>
        <v>EXTERNAL_BRAND</v>
      </c>
      <c r="I2723" s="136"/>
    </row>
    <row r="2724" ht="15.75" customHeight="1">
      <c r="B2724" s="63">
        <f t="shared" si="1"/>
        <v>8</v>
      </c>
      <c r="C2724" s="134" t="s">
        <v>152</v>
      </c>
      <c r="D2724" s="134" t="s">
        <v>74</v>
      </c>
      <c r="E2724" s="135">
        <f t="shared" si="59"/>
        <v>6</v>
      </c>
      <c r="F2724" s="134" t="s">
        <v>3782</v>
      </c>
      <c r="G2724" s="63" t="str">
        <f>VLOOKUP(C2724, 'Class Def. - General Data'!$C$20:$C$1000,1,false)</f>
        <v>ZPI1_JAM</v>
      </c>
      <c r="H2724" s="63" t="str">
        <f>IFERROR(__xludf.DUMMYFUNCTION("VLOOKUP(F2724, IMPORTRANGE(""https://docs.google.com/spreadsheets/d/1Lhp9OU0JdFf_VYSMzH5lBcEaU4o8teT1piV-SNzShjg/edit?gid=554141278#gid=554141278"", ""'Char Def. - Attributes'!C20:C2242""), 1,false)"),"BRAND_EXTERNAL")</f>
        <v>BRAND_EXTERNAL</v>
      </c>
      <c r="I2724" s="136"/>
    </row>
    <row r="2725" ht="15.75" customHeight="1">
      <c r="B2725" s="63">
        <f t="shared" si="1"/>
        <v>8</v>
      </c>
      <c r="C2725" s="134" t="s">
        <v>152</v>
      </c>
      <c r="D2725" s="134" t="s">
        <v>74</v>
      </c>
      <c r="E2725" s="135">
        <f t="shared" si="59"/>
        <v>7</v>
      </c>
      <c r="F2725" s="134" t="s">
        <v>3783</v>
      </c>
      <c r="G2725" s="63" t="str">
        <f>VLOOKUP(C2725, 'Class Def. - General Data'!$C$20:$C$1000,1,false)</f>
        <v>ZPI1_JAM</v>
      </c>
      <c r="H2725" s="63" t="str">
        <f>IFERROR(__xludf.DUMMYFUNCTION("VLOOKUP(F2725, IMPORTRANGE(""https://docs.google.com/spreadsheets/d/1Lhp9OU0JdFf_VYSMzH5lBcEaU4o8teT1piV-SNzShjg/edit?gid=554141278#gid=554141278"", ""'Char Def. - Attributes'!C20:C2242""), 1,false)"),"NO_SERI_BRAND_EXTERNAL")</f>
        <v>NO_SERI_BRAND_EXTERNAL</v>
      </c>
      <c r="I2725" s="136"/>
    </row>
    <row r="2726" ht="15.75" customHeight="1">
      <c r="B2726" s="63">
        <f t="shared" si="1"/>
        <v>8</v>
      </c>
      <c r="C2726" s="134" t="s">
        <v>152</v>
      </c>
      <c r="D2726" s="134" t="s">
        <v>74</v>
      </c>
      <c r="E2726" s="135">
        <f t="shared" si="59"/>
        <v>8</v>
      </c>
      <c r="F2726" s="134" t="s">
        <v>3785</v>
      </c>
      <c r="G2726" s="63" t="str">
        <f>VLOOKUP(C2726, 'Class Def. - General Data'!$C$20:$C$1000,1,false)</f>
        <v>ZPI1_JAM</v>
      </c>
      <c r="H2726" s="63" t="str">
        <f>IFERROR(__xludf.DUMMYFUNCTION("VLOOKUP(F2726, IMPORTRANGE(""https://docs.google.com/spreadsheets/d/1Lhp9OU0JdFf_VYSMzH5lBcEaU4o8teT1piV-SNzShjg/edit?gid=554141278#gid=554141278"", ""'Char Def. - Attributes'!C20:C2242""), 1,false)"),"ITEM_SHAPE")</f>
        <v>ITEM_SHAPE</v>
      </c>
      <c r="I2726" s="136"/>
    </row>
    <row r="2727" ht="15.75" customHeight="1">
      <c r="B2727" s="63">
        <f t="shared" si="1"/>
        <v>8</v>
      </c>
      <c r="C2727" s="134" t="s">
        <v>152</v>
      </c>
      <c r="D2727" s="134" t="s">
        <v>74</v>
      </c>
      <c r="E2727" s="135">
        <f t="shared" si="59"/>
        <v>9</v>
      </c>
      <c r="F2727" s="134" t="s">
        <v>3786</v>
      </c>
      <c r="G2727" s="63" t="str">
        <f>VLOOKUP(C2727, 'Class Def. - General Data'!$C$20:$C$1000,1,false)</f>
        <v>ZPI1_JAM</v>
      </c>
      <c r="H2727" s="63" t="str">
        <f>IFERROR(__xludf.DUMMYFUNCTION("VLOOKUP(F2727, IMPORTRANGE(""https://docs.google.com/spreadsheets/d/1Lhp9OU0JdFf_VYSMzH5lBcEaU4o8teT1piV-SNzShjg/edit?gid=554141278#gid=554141278"", ""'Char Def. - Attributes'!C20:C2242""), 1,false)"),"SIZE_UNIT_DIMENSI")</f>
        <v>SIZE_UNIT_DIMENSI</v>
      </c>
      <c r="I2727" s="136"/>
    </row>
    <row r="2728" ht="15.75" customHeight="1">
      <c r="B2728" s="63">
        <f t="shared" si="1"/>
        <v>8</v>
      </c>
      <c r="C2728" s="134" t="s">
        <v>152</v>
      </c>
      <c r="D2728" s="134" t="s">
        <v>74</v>
      </c>
      <c r="E2728" s="135">
        <f t="shared" si="59"/>
        <v>10</v>
      </c>
      <c r="F2728" s="135" t="s">
        <v>3787</v>
      </c>
      <c r="G2728" s="63" t="str">
        <f>VLOOKUP(C2728, 'Class Def. - General Data'!$C$20:$C$1000,1,false)</f>
        <v>ZPI1_JAM</v>
      </c>
      <c r="H2728" s="63" t="str">
        <f>IFERROR(__xludf.DUMMYFUNCTION("VLOOKUP(F2728, IMPORTRANGE(""https://docs.google.com/spreadsheets/d/1Lhp9OU0JdFf_VYSMzH5lBcEaU4o8teT1piV-SNzShjg/edit?gid=554141278#gid=554141278"", ""'Char Def. - Attributes'!C20:C2242""), 1,false)"),"DIAMETER_PCS")</f>
        <v>DIAMETER_PCS</v>
      </c>
      <c r="I2728" s="136"/>
    </row>
    <row r="2729" ht="15.75" customHeight="1">
      <c r="B2729" s="63">
        <f t="shared" si="1"/>
        <v>8</v>
      </c>
      <c r="C2729" s="134" t="s">
        <v>152</v>
      </c>
      <c r="D2729" s="134" t="s">
        <v>74</v>
      </c>
      <c r="E2729" s="135">
        <f t="shared" si="59"/>
        <v>11</v>
      </c>
      <c r="F2729" s="134" t="s">
        <v>3788</v>
      </c>
      <c r="G2729" s="63" t="str">
        <f>VLOOKUP(C2729, 'Class Def. - General Data'!$C$20:$C$1000,1,false)</f>
        <v>ZPI1_JAM</v>
      </c>
      <c r="H2729" s="63" t="str">
        <f>IFERROR(__xludf.DUMMYFUNCTION("VLOOKUP(F2729, IMPORTRANGE(""https://docs.google.com/spreadsheets/d/1Lhp9OU0JdFf_VYSMzH5lBcEaU4o8teT1piV-SNzShjg/edit?gid=554141278#gid=554141278"", ""'Char Def. - Attributes'!C20:C2242""), 1,false)"),"LENGTH_PCS")</f>
        <v>LENGTH_PCS</v>
      </c>
      <c r="I2729" s="136"/>
    </row>
    <row r="2730" ht="15.75" customHeight="1">
      <c r="B2730" s="63">
        <f t="shared" si="1"/>
        <v>8</v>
      </c>
      <c r="C2730" s="134" t="s">
        <v>152</v>
      </c>
      <c r="D2730" s="134" t="s">
        <v>74</v>
      </c>
      <c r="E2730" s="135">
        <f t="shared" si="59"/>
        <v>12</v>
      </c>
      <c r="F2730" s="134" t="s">
        <v>3789</v>
      </c>
      <c r="G2730" s="63" t="str">
        <f>VLOOKUP(C2730, 'Class Def. - General Data'!$C$20:$C$1000,1,false)</f>
        <v>ZPI1_JAM</v>
      </c>
      <c r="H2730" s="63" t="str">
        <f>IFERROR(__xludf.DUMMYFUNCTION("VLOOKUP(F2730, IMPORTRANGE(""https://docs.google.com/spreadsheets/d/1Lhp9OU0JdFf_VYSMzH5lBcEaU4o8teT1piV-SNzShjg/edit?gid=554141278#gid=554141278"", ""'Char Def. - Attributes'!C20:C2242""), 1,false)"),"WIDTH_PCS")</f>
        <v>WIDTH_PCS</v>
      </c>
      <c r="I2730" s="136"/>
    </row>
    <row r="2731" ht="15.75" customHeight="1">
      <c r="B2731" s="63">
        <f t="shared" si="1"/>
        <v>8</v>
      </c>
      <c r="C2731" s="134" t="s">
        <v>152</v>
      </c>
      <c r="D2731" s="134" t="s">
        <v>74</v>
      </c>
      <c r="E2731" s="135">
        <f t="shared" si="59"/>
        <v>13</v>
      </c>
      <c r="F2731" s="135" t="s">
        <v>3790</v>
      </c>
      <c r="G2731" s="63" t="str">
        <f>VLOOKUP(C2731, 'Class Def. - General Data'!$C$20:$C$1000,1,false)</f>
        <v>ZPI1_JAM</v>
      </c>
      <c r="H2731" s="63" t="str">
        <f>IFERROR(__xludf.DUMMYFUNCTION("VLOOKUP(F2731, IMPORTRANGE(""https://docs.google.com/spreadsheets/d/1Lhp9OU0JdFf_VYSMzH5lBcEaU4o8teT1piV-SNzShjg/edit?gid=554141278#gid=554141278"", ""'Char Def. - Attributes'!C20:C2242""), 1,false)"),"HEIGHT_PCS")</f>
        <v>HEIGHT_PCS</v>
      </c>
      <c r="I2731" s="136"/>
    </row>
    <row r="2732" ht="15.75" customHeight="1">
      <c r="B2732" s="63">
        <f t="shared" si="1"/>
        <v>8</v>
      </c>
      <c r="C2732" s="134" t="s">
        <v>152</v>
      </c>
      <c r="D2732" s="134" t="s">
        <v>74</v>
      </c>
      <c r="E2732" s="135">
        <f t="shared" si="59"/>
        <v>14</v>
      </c>
      <c r="F2732" s="134" t="s">
        <v>3791</v>
      </c>
      <c r="G2732" s="63" t="str">
        <f>VLOOKUP(C2732, 'Class Def. - General Data'!$C$20:$C$1000,1,false)</f>
        <v>ZPI1_JAM</v>
      </c>
      <c r="H2732" s="63" t="str">
        <f>IFERROR(__xludf.DUMMYFUNCTION("VLOOKUP(F2732, IMPORTRANGE(""https://docs.google.com/spreadsheets/d/1Lhp9OU0JdFf_VYSMzH5lBcEaU4o8teT1piV-SNzShjg/edit?gid=554141278#gid=554141278"", ""'Char Def. - Attributes'!C20:C2242""), 1,false)"),"HAS_SPESIFIC_COLOUR")</f>
        <v>HAS_SPESIFIC_COLOUR</v>
      </c>
      <c r="I2732" s="136"/>
    </row>
    <row r="2733" ht="15.75" customHeight="1">
      <c r="B2733" s="63">
        <f t="shared" si="1"/>
        <v>8</v>
      </c>
      <c r="C2733" s="134" t="s">
        <v>152</v>
      </c>
      <c r="D2733" s="134" t="s">
        <v>74</v>
      </c>
      <c r="E2733" s="135">
        <f t="shared" si="59"/>
        <v>15</v>
      </c>
      <c r="F2733" s="134" t="s">
        <v>3792</v>
      </c>
      <c r="G2733" s="63" t="str">
        <f>VLOOKUP(C2733, 'Class Def. - General Data'!$C$20:$C$1000,1,false)</f>
        <v>ZPI1_JAM</v>
      </c>
      <c r="H2733" s="63" t="str">
        <f>IFERROR(__xludf.DUMMYFUNCTION("VLOOKUP(F2733, IMPORTRANGE(""https://docs.google.com/spreadsheets/d/1Lhp9OU0JdFf_VYSMzH5lBcEaU4o8teT1piV-SNzShjg/edit?gid=554141278#gid=554141278"", ""'Char Def. - Attributes'!C20:C2242""), 1,false)"),"COLOUR")</f>
        <v>COLOUR</v>
      </c>
      <c r="I2733" s="136"/>
    </row>
    <row r="2734" ht="15.75" customHeight="1">
      <c r="B2734" s="63">
        <f t="shared" si="1"/>
        <v>8</v>
      </c>
      <c r="C2734" s="134" t="s">
        <v>152</v>
      </c>
      <c r="D2734" s="134" t="s">
        <v>74</v>
      </c>
      <c r="E2734" s="135">
        <f t="shared" si="59"/>
        <v>16</v>
      </c>
      <c r="F2734" s="134" t="s">
        <v>3793</v>
      </c>
      <c r="G2734" s="63" t="str">
        <f>VLOOKUP(C2734, 'Class Def. - General Data'!$C$20:$C$1000,1,false)</f>
        <v>ZPI1_JAM</v>
      </c>
      <c r="H2734" s="63" t="str">
        <f>IFERROR(__xludf.DUMMYFUNCTION("VLOOKUP(F2734, IMPORTRANGE(""https://docs.google.com/spreadsheets/d/1Lhp9OU0JdFf_VYSMzH5lBcEaU4o8teT1piV-SNzShjg/edit?gid=554141278#gid=554141278"", ""'Char Def. - Attributes'!C20:C2242""), 1,false)"),"EMBOSSED_SPESIFIC_DESAIN")</f>
        <v>EMBOSSED_SPESIFIC_DESAIN</v>
      </c>
      <c r="I2734" s="136"/>
    </row>
    <row r="2735" ht="15.75" customHeight="1">
      <c r="B2735" s="63">
        <f t="shared" si="1"/>
        <v>8</v>
      </c>
      <c r="C2735" s="134" t="s">
        <v>152</v>
      </c>
      <c r="D2735" s="134" t="s">
        <v>74</v>
      </c>
      <c r="E2735" s="135">
        <f t="shared" si="59"/>
        <v>17</v>
      </c>
      <c r="F2735" s="134" t="s">
        <v>3794</v>
      </c>
      <c r="G2735" s="63" t="str">
        <f>VLOOKUP(C2735, 'Class Def. - General Data'!$C$20:$C$1000,1,false)</f>
        <v>ZPI1_JAM</v>
      </c>
      <c r="H2735" s="63" t="str">
        <f>IFERROR(__xludf.DUMMYFUNCTION("VLOOKUP(F2735, IMPORTRANGE(""https://docs.google.com/spreadsheets/d/1Lhp9OU0JdFf_VYSMzH5lBcEaU4o8teT1piV-SNzShjg/edit?gid=554141278#gid=554141278"", ""'Char Def. - Attributes'!C20:C2242""), 1,false)"),"DESAIN_NAME")</f>
        <v>DESAIN_NAME</v>
      </c>
      <c r="I2735" s="136"/>
    </row>
    <row r="2736" ht="15.75" customHeight="1">
      <c r="B2736" s="63">
        <f t="shared" si="1"/>
        <v>8</v>
      </c>
      <c r="C2736" s="134" t="s">
        <v>152</v>
      </c>
      <c r="D2736" s="134" t="s">
        <v>74</v>
      </c>
      <c r="E2736" s="135">
        <f t="shared" si="59"/>
        <v>18</v>
      </c>
      <c r="F2736" s="134" t="s">
        <v>3795</v>
      </c>
      <c r="G2736" s="63" t="str">
        <f>VLOOKUP(C2736, 'Class Def. - General Data'!$C$20:$C$1000,1,false)</f>
        <v>ZPI1_JAM</v>
      </c>
      <c r="H2736" s="63" t="str">
        <f>IFERROR(__xludf.DUMMYFUNCTION("VLOOKUP(F2736, IMPORTRANGE(""https://docs.google.com/spreadsheets/d/1Lhp9OU0JdFf_VYSMzH5lBcEaU4o8teT1piV-SNzShjg/edit?gid=554141278#gid=554141278"", ""'Char Def. - Attributes'!C20:C2242""), 1,false)"),"DESAIN_MONTH")</f>
        <v>DESAIN_MONTH</v>
      </c>
      <c r="I2736" s="136"/>
    </row>
    <row r="2737" ht="15.75" customHeight="1">
      <c r="B2737" s="63">
        <f t="shared" si="1"/>
        <v>8</v>
      </c>
      <c r="C2737" s="134" t="s">
        <v>152</v>
      </c>
      <c r="D2737" s="134" t="s">
        <v>74</v>
      </c>
      <c r="E2737" s="135">
        <f t="shared" si="59"/>
        <v>19</v>
      </c>
      <c r="F2737" s="134" t="s">
        <v>3796</v>
      </c>
      <c r="G2737" s="63" t="str">
        <f>VLOOKUP(C2737, 'Class Def. - General Data'!$C$20:$C$1000,1,false)</f>
        <v>ZPI1_JAM</v>
      </c>
      <c r="H2737" s="63" t="str">
        <f>IFERROR(__xludf.DUMMYFUNCTION("VLOOKUP(F2737, IMPORTRANGE(""https://docs.google.com/spreadsheets/d/1Lhp9OU0JdFf_VYSMzH5lBcEaU4o8teT1piV-SNzShjg/edit?gid=554141278#gid=554141278"", ""'Char Def. - Attributes'!C20:C2242""), 1,false)"),"DESAIN_YEAR")</f>
        <v>DESAIN_YEAR</v>
      </c>
      <c r="I2737" s="136"/>
    </row>
    <row r="2738" ht="15.75" customHeight="1">
      <c r="B2738" s="63">
        <f t="shared" si="1"/>
        <v>8</v>
      </c>
      <c r="C2738" s="134" t="s">
        <v>152</v>
      </c>
      <c r="D2738" s="134" t="s">
        <v>74</v>
      </c>
      <c r="E2738" s="135">
        <f t="shared" si="59"/>
        <v>20</v>
      </c>
      <c r="F2738" s="134" t="s">
        <v>3797</v>
      </c>
      <c r="G2738" s="63" t="str">
        <f>VLOOKUP(C2738, 'Class Def. - General Data'!$C$20:$C$1000,1,false)</f>
        <v>ZPI1_JAM</v>
      </c>
      <c r="H2738" s="63" t="str">
        <f>IFERROR(__xludf.DUMMYFUNCTION("VLOOKUP(F2738, IMPORTRANGE(""https://docs.google.com/spreadsheets/d/1Lhp9OU0JdFf_VYSMzH5lBcEaU4o8teT1piV-SNzShjg/edit?gid=554141278#gid=554141278"", ""'Char Def. - Attributes'!C20:C2242""), 1,false)"),"SPEC_QTY_IN_ONE_BUNDLE")</f>
        <v>SPEC_QTY_IN_ONE_BUNDLE</v>
      </c>
      <c r="I2738" s="136"/>
    </row>
    <row r="2739" ht="15.75" customHeight="1">
      <c r="B2739" s="63">
        <f t="shared" si="1"/>
        <v>8</v>
      </c>
      <c r="C2739" s="134" t="s">
        <v>152</v>
      </c>
      <c r="D2739" s="134" t="s">
        <v>74</v>
      </c>
      <c r="E2739" s="135">
        <f t="shared" si="59"/>
        <v>21</v>
      </c>
      <c r="F2739" s="134" t="s">
        <v>3798</v>
      </c>
      <c r="G2739" s="63" t="str">
        <f>VLOOKUP(C2739, 'Class Def. - General Data'!$C$20:$C$1000,1,false)</f>
        <v>ZPI1_JAM</v>
      </c>
      <c r="H2739" s="63" t="str">
        <f>IFERROR(__xludf.DUMMYFUNCTION("VLOOKUP(F2739, IMPORTRANGE(""https://docs.google.com/spreadsheets/d/1Lhp9OU0JdFf_VYSMzH5lBcEaU4o8teT1piV-SNzShjg/edit?gid=554141278#gid=554141278"", ""'Char Def. - Attributes'!C20:C2242""), 1,false)"),"QTY_IN_ONE_BUNDLE")</f>
        <v>QTY_IN_ONE_BUNDLE</v>
      </c>
      <c r="I2739" s="136"/>
    </row>
    <row r="2740" ht="15.75" customHeight="1">
      <c r="B2740" s="63">
        <f t="shared" si="1"/>
        <v>8</v>
      </c>
      <c r="C2740" s="134" t="s">
        <v>152</v>
      </c>
      <c r="D2740" s="134" t="s">
        <v>74</v>
      </c>
      <c r="E2740" s="135">
        <f t="shared" si="59"/>
        <v>22</v>
      </c>
      <c r="F2740" s="134" t="s">
        <v>3585</v>
      </c>
      <c r="G2740" s="63" t="str">
        <f>VLOOKUP(C2740, 'Class Def. - General Data'!$C$20:$C$1000,1,false)</f>
        <v>ZPI1_JAM</v>
      </c>
      <c r="H2740" s="63" t="str">
        <f>IFERROR(__xludf.DUMMYFUNCTION("VLOOKUP(F2740, IMPORTRANGE(""https://docs.google.com/spreadsheets/d/1Lhp9OU0JdFf_VYSMzH5lBcEaU4o8teT1piV-SNzShjg/edit?gid=554141278#gid=554141278"", ""'Char Def. - Attributes'!C20:C2242""), 1,false)"),"HS_CODE")</f>
        <v>HS_CODE</v>
      </c>
      <c r="I2740" s="136"/>
    </row>
    <row r="2741" ht="15.75" customHeight="1">
      <c r="B2741" s="63">
        <f t="shared" si="1"/>
        <v>8</v>
      </c>
      <c r="C2741" s="134" t="s">
        <v>152</v>
      </c>
      <c r="D2741" s="134" t="s">
        <v>74</v>
      </c>
      <c r="E2741" s="135">
        <f t="shared" si="59"/>
        <v>23</v>
      </c>
      <c r="F2741" s="134" t="s">
        <v>3799</v>
      </c>
      <c r="G2741" s="63" t="str">
        <f>VLOOKUP(C2741, 'Class Def. - General Data'!$C$20:$C$1000,1,false)</f>
        <v>ZPI1_JAM</v>
      </c>
      <c r="H2741" s="63" t="str">
        <f>IFERROR(__xludf.DUMMYFUNCTION("VLOOKUP(F2741, IMPORTRANGE(""https://docs.google.com/spreadsheets/d/1Lhp9OU0JdFf_VYSMzH5lBcEaU4o8teT1piV-SNzShjg/edit?gid=554141278#gid=554141278"", ""'Char Def. - Attributes'!C20:C2242""), 1,false)"),"BASE_UNIT_ZPI1")</f>
        <v>BASE_UNIT_ZPI1</v>
      </c>
      <c r="I2741" s="136"/>
    </row>
    <row r="2742" ht="15.75" customHeight="1">
      <c r="B2742" s="63">
        <f t="shared" si="1"/>
        <v>8</v>
      </c>
      <c r="C2742" s="134" t="s">
        <v>152</v>
      </c>
      <c r="D2742" s="134" t="s">
        <v>74</v>
      </c>
      <c r="E2742" s="135">
        <f t="shared" si="59"/>
        <v>24</v>
      </c>
      <c r="F2742" s="135" t="s">
        <v>3800</v>
      </c>
      <c r="G2742" s="63" t="str">
        <f>VLOOKUP(C2742, 'Class Def. - General Data'!$C$20:$C$1000,1,false)</f>
        <v>ZPI1_JAM</v>
      </c>
      <c r="H2742" s="63" t="str">
        <f>IFERROR(__xludf.DUMMYFUNCTION("VLOOKUP(F2742, IMPORTRANGE(""https://docs.google.com/spreadsheets/d/1Lhp9OU0JdFf_VYSMzH5lBcEaU4o8teT1piV-SNzShjg/edit?gid=554141278#gid=554141278"", ""'Char Def. - Attributes'!C20:C2242""), 1,false)"),"ORDER_UNIT_DIFF_FROM_BASIC_UOM")</f>
        <v>ORDER_UNIT_DIFF_FROM_BASIC_UOM</v>
      </c>
      <c r="I2742" s="136"/>
    </row>
    <row r="2743" ht="15.75" customHeight="1">
      <c r="B2743" s="63">
        <f t="shared" si="1"/>
        <v>8</v>
      </c>
      <c r="C2743" s="134" t="s">
        <v>152</v>
      </c>
      <c r="D2743" s="134" t="s">
        <v>74</v>
      </c>
      <c r="E2743" s="135">
        <f t="shared" si="59"/>
        <v>25</v>
      </c>
      <c r="F2743" s="135" t="s">
        <v>3801</v>
      </c>
      <c r="G2743" s="63" t="str">
        <f>VLOOKUP(C2743, 'Class Def. - General Data'!$C$20:$C$1000,1,false)</f>
        <v>ZPI1_JAM</v>
      </c>
      <c r="H2743" s="63" t="str">
        <f>IFERROR(__xludf.DUMMYFUNCTION("VLOOKUP(F2743, IMPORTRANGE(""https://docs.google.com/spreadsheets/d/1Lhp9OU0JdFf_VYSMzH5lBcEaU4o8teT1piV-SNzShjg/edit?gid=554141278#gid=554141278"", ""'Char Def. - Attributes'!C20:C2242""), 1,false)"),"ORDER_UNIT_ZPI1")</f>
        <v>ORDER_UNIT_ZPI1</v>
      </c>
      <c r="I2743" s="136"/>
    </row>
    <row r="2744" ht="15.75" customHeight="1">
      <c r="B2744" s="63">
        <f t="shared" si="1"/>
        <v>8</v>
      </c>
      <c r="C2744" s="134" t="s">
        <v>152</v>
      </c>
      <c r="D2744" s="134" t="s">
        <v>74</v>
      </c>
      <c r="E2744" s="135">
        <f t="shared" si="59"/>
        <v>26</v>
      </c>
      <c r="F2744" s="134" t="s">
        <v>3802</v>
      </c>
      <c r="G2744" s="63" t="str">
        <f>VLOOKUP(C2744, 'Class Def. - General Data'!$C$20:$C$1000,1,false)</f>
        <v>ZPI1_JAM</v>
      </c>
      <c r="H2744" s="63" t="str">
        <f>IFERROR(__xludf.DUMMYFUNCTION("VLOOKUP(F2744, IMPORTRANGE(""https://docs.google.com/spreadsheets/d/1Lhp9OU0JdFf_VYSMzH5lBcEaU4o8teT1piV-SNzShjg/edit?gid=554141278#gid=554141278"", ""'Char Def. - Attributes'!C20:C2242""), 1,false)"),"WEIGHT_UNIT_PI")</f>
        <v>WEIGHT_UNIT_PI</v>
      </c>
      <c r="I2744" s="136"/>
    </row>
    <row r="2745" ht="15.75" customHeight="1">
      <c r="B2745" s="63">
        <f t="shared" si="1"/>
        <v>8</v>
      </c>
      <c r="C2745" s="134" t="s">
        <v>152</v>
      </c>
      <c r="D2745" s="134" t="s">
        <v>74</v>
      </c>
      <c r="E2745" s="135">
        <f t="shared" si="59"/>
        <v>27</v>
      </c>
      <c r="F2745" s="134" t="s">
        <v>3602</v>
      </c>
      <c r="G2745" s="63" t="str">
        <f>VLOOKUP(C2745, 'Class Def. - General Data'!$C$20:$C$1000,1,false)</f>
        <v>ZPI1_JAM</v>
      </c>
      <c r="H2745" s="63" t="str">
        <f>IFERROR(__xludf.DUMMYFUNCTION("VLOOKUP(F2745, IMPORTRANGE(""https://docs.google.com/spreadsheets/d/1Lhp9OU0JdFf_VYSMzH5lBcEaU4o8teT1piV-SNzShjg/edit?gid=554141278#gid=554141278"", ""'Char Def. - Attributes'!C20:C2242""), 1,false)"),"NET_WEIGHT")</f>
        <v>NET_WEIGHT</v>
      </c>
      <c r="I2745" s="136"/>
    </row>
    <row r="2746" ht="15.75" customHeight="1">
      <c r="B2746" s="63">
        <f t="shared" si="1"/>
        <v>8</v>
      </c>
      <c r="C2746" s="134" t="s">
        <v>152</v>
      </c>
      <c r="D2746" s="134" t="s">
        <v>74</v>
      </c>
      <c r="E2746" s="135">
        <f t="shared" si="59"/>
        <v>28</v>
      </c>
      <c r="F2746" s="134" t="s">
        <v>3601</v>
      </c>
      <c r="G2746" s="63" t="str">
        <f>VLOOKUP(C2746, 'Class Def. - General Data'!$C$20:$C$1000,1,false)</f>
        <v>ZPI1_JAM</v>
      </c>
      <c r="H2746" s="63" t="str">
        <f>IFERROR(__xludf.DUMMYFUNCTION("VLOOKUP(F2746, IMPORTRANGE(""https://docs.google.com/spreadsheets/d/1Lhp9OU0JdFf_VYSMzH5lBcEaU4o8teT1piV-SNzShjg/edit?gid=554141278#gid=554141278"", ""'Char Def. - Attributes'!C20:C2242""), 1,false)"),"GROSS_WEIGHT")</f>
        <v>GROSS_WEIGHT</v>
      </c>
      <c r="I2746" s="136"/>
    </row>
    <row r="2747" ht="15.75" customHeight="1">
      <c r="B2747" s="63">
        <f t="shared" si="1"/>
        <v>8</v>
      </c>
      <c r="C2747" s="134" t="s">
        <v>152</v>
      </c>
      <c r="D2747" s="134" t="s">
        <v>74</v>
      </c>
      <c r="E2747" s="135">
        <f t="shared" si="59"/>
        <v>29</v>
      </c>
      <c r="F2747" s="134" t="s">
        <v>3803</v>
      </c>
      <c r="G2747" s="63" t="str">
        <f>VLOOKUP(C2747, 'Class Def. - General Data'!$C$20:$C$1000,1,false)</f>
        <v>ZPI1_JAM</v>
      </c>
      <c r="H2747" s="63" t="str">
        <f>IFERROR(__xludf.DUMMYFUNCTION("VLOOKUP(F2747, IMPORTRANGE(""https://docs.google.com/spreadsheets/d/1Lhp9OU0JdFf_VYSMzH5lBcEaU4o8teT1piV-SNzShjg/edit?gid=554141278#gid=554141278"", ""'Char Def. - Attributes'!C20:C2242""), 1,false)"),"VOLUME_UNIT_PI")</f>
        <v>VOLUME_UNIT_PI</v>
      </c>
      <c r="I2747" s="136"/>
    </row>
    <row r="2748" ht="15.75" customHeight="1">
      <c r="B2748" s="63">
        <f t="shared" si="1"/>
        <v>8</v>
      </c>
      <c r="C2748" s="134" t="s">
        <v>152</v>
      </c>
      <c r="D2748" s="134" t="s">
        <v>74</v>
      </c>
      <c r="E2748" s="135">
        <f t="shared" si="59"/>
        <v>30</v>
      </c>
      <c r="F2748" s="134" t="s">
        <v>3603</v>
      </c>
      <c r="G2748" s="63" t="str">
        <f>VLOOKUP(C2748, 'Class Def. - General Data'!$C$20:$C$1000,1,false)</f>
        <v>ZPI1_JAM</v>
      </c>
      <c r="H2748" s="63" t="str">
        <f>IFERROR(__xludf.DUMMYFUNCTION("VLOOKUP(F2748, IMPORTRANGE(""https://docs.google.com/spreadsheets/d/1Lhp9OU0JdFf_VYSMzH5lBcEaU4o8teT1piV-SNzShjg/edit?gid=554141278#gid=554141278"", ""'Char Def. - Attributes'!C20:C2242""), 1,false)"),"VOLUME")</f>
        <v>VOLUME</v>
      </c>
      <c r="I2748" s="136"/>
    </row>
    <row r="2749" ht="15.75" customHeight="1">
      <c r="B2749" s="63">
        <f t="shared" si="1"/>
        <v>8</v>
      </c>
      <c r="C2749" s="134" t="s">
        <v>152</v>
      </c>
      <c r="D2749" s="134" t="s">
        <v>74</v>
      </c>
      <c r="E2749" s="135">
        <f t="shared" si="59"/>
        <v>31</v>
      </c>
      <c r="F2749" s="134" t="s">
        <v>3587</v>
      </c>
      <c r="G2749" s="63" t="str">
        <f>VLOOKUP(C2749, 'Class Def. - General Data'!$C$20:$C$1000,1,false)</f>
        <v>ZPI1_JAM</v>
      </c>
      <c r="H2749" s="63" t="str">
        <f>IFERROR(__xludf.DUMMYFUNCTION("VLOOKUP(F2749, IMPORTRANGE(""https://docs.google.com/spreadsheets/d/1Lhp9OU0JdFf_VYSMzH5lBcEaU4o8teT1piV-SNzShjg/edit?gid=554141278#gid=554141278"", ""'Char Def. - Attributes'!C20:C2242""), 1,false)"),"PLANT_BUY")</f>
        <v>PLANT_BUY</v>
      </c>
      <c r="I2749" s="136"/>
    </row>
    <row r="2750" ht="15.75" customHeight="1">
      <c r="B2750" s="63">
        <f t="shared" si="1"/>
        <v>8</v>
      </c>
      <c r="C2750" s="134" t="s">
        <v>152</v>
      </c>
      <c r="D2750" s="134" t="s">
        <v>74</v>
      </c>
      <c r="E2750" s="135">
        <f t="shared" si="59"/>
        <v>32</v>
      </c>
      <c r="F2750" s="134" t="s">
        <v>3804</v>
      </c>
      <c r="G2750" s="63" t="str">
        <f>VLOOKUP(C2750, 'Class Def. - General Data'!$C$20:$C$1000,1,false)</f>
        <v>ZPI1_JAM</v>
      </c>
      <c r="H2750" s="63" t="str">
        <f>IFERROR(__xludf.DUMMYFUNCTION("VLOOKUP(F2750, IMPORTRANGE(""https://docs.google.com/spreadsheets/d/1Lhp9OU0JdFf_VYSMzH5lBcEaU4o8teT1piV-SNzShjg/edit?gid=554141278#gid=554141278"", ""'Char Def. - Attributes'!C20:C2242""), 1,false)"),"ALT_UOM1_SIPI")</f>
        <v>ALT_UOM1_SIPI</v>
      </c>
      <c r="I2750" s="136"/>
    </row>
    <row r="2751" ht="15.75" customHeight="1">
      <c r="B2751" s="63">
        <f t="shared" si="1"/>
        <v>8</v>
      </c>
      <c r="C2751" s="134" t="s">
        <v>152</v>
      </c>
      <c r="D2751" s="134" t="s">
        <v>74</v>
      </c>
      <c r="E2751" s="135">
        <f t="shared" si="59"/>
        <v>33</v>
      </c>
      <c r="F2751" s="134" t="s">
        <v>3805</v>
      </c>
      <c r="G2751" s="63" t="str">
        <f>VLOOKUP(C2751, 'Class Def. - General Data'!$C$20:$C$1000,1,false)</f>
        <v>ZPI1_JAM</v>
      </c>
      <c r="H2751" s="63" t="str">
        <f>IFERROR(__xludf.DUMMYFUNCTION("VLOOKUP(F2751, IMPORTRANGE(""https://docs.google.com/spreadsheets/d/1Lhp9OU0JdFf_VYSMzH5lBcEaU4o8teT1piV-SNzShjg/edit?gid=554141278#gid=554141278"", ""'Char Def. - Attributes'!C20:C2242""), 1,false)"),"ALT_DENUM_UOM1")</f>
        <v>ALT_DENUM_UOM1</v>
      </c>
      <c r="I2751" s="136"/>
    </row>
    <row r="2752" ht="15.75" customHeight="1">
      <c r="B2752" s="63">
        <f t="shared" si="1"/>
        <v>8</v>
      </c>
      <c r="C2752" s="134" t="s">
        <v>152</v>
      </c>
      <c r="D2752" s="134" t="s">
        <v>74</v>
      </c>
      <c r="E2752" s="135">
        <f t="shared" si="59"/>
        <v>34</v>
      </c>
      <c r="F2752" s="134" t="s">
        <v>3806</v>
      </c>
      <c r="G2752" s="63" t="str">
        <f>VLOOKUP(C2752, 'Class Def. - General Data'!$C$20:$C$1000,1,false)</f>
        <v>ZPI1_JAM</v>
      </c>
      <c r="H2752" s="63" t="str">
        <f>IFERROR(__xludf.DUMMYFUNCTION("VLOOKUP(F2752, IMPORTRANGE(""https://docs.google.com/spreadsheets/d/1Lhp9OU0JdFf_VYSMzH5lBcEaU4o8teT1piV-SNzShjg/edit?gid=554141278#gid=554141278"", ""'Char Def. - Attributes'!C20:C2242""), 1,false)"),"ALT_NUM_UOM1")</f>
        <v>ALT_NUM_UOM1</v>
      </c>
      <c r="I2752" s="136"/>
    </row>
    <row r="2753" ht="15.75" customHeight="1">
      <c r="B2753" s="63">
        <f t="shared" si="1"/>
        <v>8</v>
      </c>
      <c r="C2753" s="134" t="s">
        <v>152</v>
      </c>
      <c r="D2753" s="134" t="s">
        <v>74</v>
      </c>
      <c r="E2753" s="135">
        <f t="shared" si="59"/>
        <v>35</v>
      </c>
      <c r="F2753" s="134" t="s">
        <v>3807</v>
      </c>
      <c r="G2753" s="63" t="str">
        <f>VLOOKUP(C2753, 'Class Def. - General Data'!$C$20:$C$1000,1,false)</f>
        <v>ZPI1_JAM</v>
      </c>
      <c r="H2753" s="63" t="str">
        <f>IFERROR(__xludf.DUMMYFUNCTION("VLOOKUP(F2753, IMPORTRANGE(""https://docs.google.com/spreadsheets/d/1Lhp9OU0JdFf_VYSMzH5lBcEaU4o8teT1piV-SNzShjg/edit?gid=554141278#gid=554141278"", ""'Char Def. - Attributes'!C20:C2242""), 1,false)"),"ALT_UOM2_SIPI")</f>
        <v>ALT_UOM2_SIPI</v>
      </c>
      <c r="I2753" s="136"/>
    </row>
    <row r="2754" ht="15.75" customHeight="1">
      <c r="B2754" s="63">
        <f t="shared" si="1"/>
        <v>8</v>
      </c>
      <c r="C2754" s="134" t="s">
        <v>152</v>
      </c>
      <c r="D2754" s="134" t="s">
        <v>74</v>
      </c>
      <c r="E2754" s="135">
        <f t="shared" si="59"/>
        <v>36</v>
      </c>
      <c r="F2754" s="134" t="s">
        <v>3808</v>
      </c>
      <c r="G2754" s="63" t="str">
        <f>VLOOKUP(C2754, 'Class Def. - General Data'!$C$20:$C$1000,1,false)</f>
        <v>ZPI1_JAM</v>
      </c>
      <c r="H2754" s="63" t="str">
        <f>IFERROR(__xludf.DUMMYFUNCTION("VLOOKUP(F2754, IMPORTRANGE(""https://docs.google.com/spreadsheets/d/1Lhp9OU0JdFf_VYSMzH5lBcEaU4o8teT1piV-SNzShjg/edit?gid=554141278#gid=554141278"", ""'Char Def. - Attributes'!C20:C2242""), 1,false)"),"ALT_DENUM_UOM2")</f>
        <v>ALT_DENUM_UOM2</v>
      </c>
      <c r="I2754" s="136"/>
    </row>
    <row r="2755" ht="15.75" customHeight="1">
      <c r="B2755" s="63">
        <f t="shared" si="1"/>
        <v>8</v>
      </c>
      <c r="C2755" s="134" t="s">
        <v>152</v>
      </c>
      <c r="D2755" s="134" t="s">
        <v>74</v>
      </c>
      <c r="E2755" s="135">
        <f t="shared" si="59"/>
        <v>37</v>
      </c>
      <c r="F2755" s="134" t="s">
        <v>3809</v>
      </c>
      <c r="G2755" s="63" t="str">
        <f>VLOOKUP(C2755, 'Class Def. - General Data'!$C$20:$C$1000,1,false)</f>
        <v>ZPI1_JAM</v>
      </c>
      <c r="H2755" s="63" t="str">
        <f>IFERROR(__xludf.DUMMYFUNCTION("VLOOKUP(F2755, IMPORTRANGE(""https://docs.google.com/spreadsheets/d/1Lhp9OU0JdFf_VYSMzH5lBcEaU4o8teT1piV-SNzShjg/edit?gid=554141278#gid=554141278"", ""'Char Def. - Attributes'!C20:C2242""), 1,false)"),"ALT_NUM_UOM2")</f>
        <v>ALT_NUM_UOM2</v>
      </c>
      <c r="I2755" s="136"/>
    </row>
    <row r="2756" ht="15.75" customHeight="1">
      <c r="B2756" s="63">
        <f t="shared" si="1"/>
        <v>8</v>
      </c>
      <c r="C2756" s="134" t="s">
        <v>152</v>
      </c>
      <c r="D2756" s="134" t="s">
        <v>74</v>
      </c>
      <c r="E2756" s="135">
        <f t="shared" si="59"/>
        <v>38</v>
      </c>
      <c r="F2756" s="134" t="s">
        <v>3810</v>
      </c>
      <c r="G2756" s="63" t="str">
        <f>VLOOKUP(C2756, 'Class Def. - General Data'!$C$20:$C$1000,1,false)</f>
        <v>ZPI1_JAM</v>
      </c>
      <c r="H2756" s="63" t="str">
        <f>IFERROR(__xludf.DUMMYFUNCTION("VLOOKUP(F2756, IMPORTRANGE(""https://docs.google.com/spreadsheets/d/1Lhp9OU0JdFf_VYSMzH5lBcEaU4o8teT1piV-SNzShjg/edit?gid=554141278#gid=554141278"", ""'Char Def. - Attributes'!C20:C2242""), 1,false)"),"ALT_UOM3_SIPI")</f>
        <v>ALT_UOM3_SIPI</v>
      </c>
      <c r="I2756" s="136"/>
    </row>
    <row r="2757" ht="15.75" customHeight="1">
      <c r="B2757" s="63">
        <f t="shared" si="1"/>
        <v>8</v>
      </c>
      <c r="C2757" s="134" t="s">
        <v>152</v>
      </c>
      <c r="D2757" s="134" t="s">
        <v>74</v>
      </c>
      <c r="E2757" s="135">
        <f t="shared" si="59"/>
        <v>39</v>
      </c>
      <c r="F2757" s="134" t="s">
        <v>3811</v>
      </c>
      <c r="G2757" s="63" t="str">
        <f>VLOOKUP(C2757, 'Class Def. - General Data'!$C$20:$C$1000,1,false)</f>
        <v>ZPI1_JAM</v>
      </c>
      <c r="H2757" s="63" t="str">
        <f>IFERROR(__xludf.DUMMYFUNCTION("VLOOKUP(F2757, IMPORTRANGE(""https://docs.google.com/spreadsheets/d/1Lhp9OU0JdFf_VYSMzH5lBcEaU4o8teT1piV-SNzShjg/edit?gid=554141278#gid=554141278"", ""'Char Def. - Attributes'!C20:C2242""), 1,false)"),"ALT_DENUM_UOM3")</f>
        <v>ALT_DENUM_UOM3</v>
      </c>
      <c r="I2757" s="136"/>
    </row>
    <row r="2758" ht="15.75" customHeight="1">
      <c r="B2758" s="63">
        <f t="shared" si="1"/>
        <v>8</v>
      </c>
      <c r="C2758" s="134" t="s">
        <v>152</v>
      </c>
      <c r="D2758" s="134" t="s">
        <v>74</v>
      </c>
      <c r="E2758" s="135">
        <f t="shared" si="59"/>
        <v>40</v>
      </c>
      <c r="F2758" s="134" t="s">
        <v>3812</v>
      </c>
      <c r="G2758" s="63" t="str">
        <f>VLOOKUP(C2758, 'Class Def. - General Data'!$C$20:$C$1000,1,false)</f>
        <v>ZPI1_JAM</v>
      </c>
      <c r="H2758" s="63" t="str">
        <f>IFERROR(__xludf.DUMMYFUNCTION("VLOOKUP(F2758, IMPORTRANGE(""https://docs.google.com/spreadsheets/d/1Lhp9OU0JdFf_VYSMzH5lBcEaU4o8teT1piV-SNzShjg/edit?gid=554141278#gid=554141278"", ""'Char Def. - Attributes'!C20:C2242""), 1,false)"),"ALT_NUM_UOM3")</f>
        <v>ALT_NUM_UOM3</v>
      </c>
      <c r="I2758" s="136"/>
    </row>
    <row r="2759" ht="15.75" customHeight="1">
      <c r="B2759" s="63">
        <f t="shared" si="1"/>
        <v>8</v>
      </c>
      <c r="C2759" s="134" t="s">
        <v>152</v>
      </c>
      <c r="D2759" s="134" t="s">
        <v>74</v>
      </c>
      <c r="E2759" s="135">
        <f t="shared" si="59"/>
        <v>41</v>
      </c>
      <c r="F2759" s="134" t="s">
        <v>3813</v>
      </c>
      <c r="G2759" s="63" t="str">
        <f>VLOOKUP(C2759, 'Class Def. - General Data'!$C$20:$C$1000,1,false)</f>
        <v>ZPI1_JAM</v>
      </c>
      <c r="H2759" s="63" t="str">
        <f>IFERROR(__xludf.DUMMYFUNCTION("VLOOKUP(F2759, IMPORTRANGE(""https://docs.google.com/spreadsheets/d/1Lhp9OU0JdFf_VYSMzH5lBcEaU4o8teT1piV-SNzShjg/edit?gid=554141278#gid=554141278"", ""'Char Def. - Attributes'!C20:C2242""), 1,false)"),"ALT_UOM4_SIPI")</f>
        <v>ALT_UOM4_SIPI</v>
      </c>
      <c r="I2759" s="136"/>
    </row>
    <row r="2760" ht="15.75" customHeight="1">
      <c r="B2760" s="63">
        <f t="shared" si="1"/>
        <v>8</v>
      </c>
      <c r="C2760" s="134" t="s">
        <v>152</v>
      </c>
      <c r="D2760" s="134" t="s">
        <v>74</v>
      </c>
      <c r="E2760" s="135">
        <f t="shared" si="59"/>
        <v>42</v>
      </c>
      <c r="F2760" s="134" t="s">
        <v>3814</v>
      </c>
      <c r="G2760" s="63" t="str">
        <f>VLOOKUP(C2760, 'Class Def. - General Data'!$C$20:$C$1000,1,false)</f>
        <v>ZPI1_JAM</v>
      </c>
      <c r="H2760" s="63" t="str">
        <f>IFERROR(__xludf.DUMMYFUNCTION("VLOOKUP(F2760, IMPORTRANGE(""https://docs.google.com/spreadsheets/d/1Lhp9OU0JdFf_VYSMzH5lBcEaU4o8teT1piV-SNzShjg/edit?gid=554141278#gid=554141278"", ""'Char Def. - Attributes'!C20:C2242""), 1,false)"),"ALT_DENUM_UOM4")</f>
        <v>ALT_DENUM_UOM4</v>
      </c>
      <c r="I2760" s="136"/>
    </row>
    <row r="2761" ht="15.75" customHeight="1">
      <c r="B2761" s="63">
        <f t="shared" si="1"/>
        <v>8</v>
      </c>
      <c r="C2761" s="134" t="s">
        <v>152</v>
      </c>
      <c r="D2761" s="134" t="s">
        <v>74</v>
      </c>
      <c r="E2761" s="135">
        <f t="shared" si="59"/>
        <v>43</v>
      </c>
      <c r="F2761" s="134" t="s">
        <v>3815</v>
      </c>
      <c r="G2761" s="63" t="str">
        <f>VLOOKUP(C2761, 'Class Def. - General Data'!$C$20:$C$1000,1,false)</f>
        <v>ZPI1_JAM</v>
      </c>
      <c r="H2761" s="63" t="str">
        <f>IFERROR(__xludf.DUMMYFUNCTION("VLOOKUP(F2761, IMPORTRANGE(""https://docs.google.com/spreadsheets/d/1Lhp9OU0JdFf_VYSMzH5lBcEaU4o8teT1piV-SNzShjg/edit?gid=554141278#gid=554141278"", ""'Char Def. - Attributes'!C20:C2242""), 1,false)"),"ALT_NUM_UOM4")</f>
        <v>ALT_NUM_UOM4</v>
      </c>
      <c r="I2761" s="136"/>
    </row>
    <row r="2762" ht="15.75" customHeight="1">
      <c r="B2762" s="63">
        <f t="shared" si="1"/>
        <v>8</v>
      </c>
      <c r="C2762" s="134" t="s">
        <v>152</v>
      </c>
      <c r="D2762" s="134" t="s">
        <v>74</v>
      </c>
      <c r="E2762" s="135">
        <f t="shared" si="59"/>
        <v>44</v>
      </c>
      <c r="F2762" s="134" t="s">
        <v>3816</v>
      </c>
      <c r="G2762" s="63" t="str">
        <f>VLOOKUP(C2762, 'Class Def. - General Data'!$C$20:$C$1000,1,false)</f>
        <v>ZPI1_JAM</v>
      </c>
      <c r="H2762" s="63" t="str">
        <f>IFERROR(__xludf.DUMMYFUNCTION("VLOOKUP(F2762, IMPORTRANGE(""https://docs.google.com/spreadsheets/d/1Lhp9OU0JdFf_VYSMzH5lBcEaU4o8teT1piV-SNzShjg/edit?gid=554141278#gid=554141278"", ""'Char Def. - Attributes'!C20:C2242""), 1,false)"),"ALT_UOM5_SIPI")</f>
        <v>ALT_UOM5_SIPI</v>
      </c>
      <c r="I2762" s="136"/>
    </row>
    <row r="2763" ht="15.75" customHeight="1">
      <c r="B2763" s="63">
        <f t="shared" si="1"/>
        <v>8</v>
      </c>
      <c r="C2763" s="134" t="s">
        <v>152</v>
      </c>
      <c r="D2763" s="134" t="s">
        <v>74</v>
      </c>
      <c r="E2763" s="135">
        <f t="shared" si="59"/>
        <v>45</v>
      </c>
      <c r="F2763" s="134" t="s">
        <v>3817</v>
      </c>
      <c r="G2763" s="63" t="str">
        <f>VLOOKUP(C2763, 'Class Def. - General Data'!$C$20:$C$1000,1,false)</f>
        <v>ZPI1_JAM</v>
      </c>
      <c r="H2763" s="63" t="str">
        <f>IFERROR(__xludf.DUMMYFUNCTION("VLOOKUP(F2763, IMPORTRANGE(""https://docs.google.com/spreadsheets/d/1Lhp9OU0JdFf_VYSMzH5lBcEaU4o8teT1piV-SNzShjg/edit?gid=554141278#gid=554141278"", ""'Char Def. - Attributes'!C20:C2242""), 1,false)"),"ALT_DENUM_UOM5")</f>
        <v>ALT_DENUM_UOM5</v>
      </c>
      <c r="I2763" s="136"/>
    </row>
    <row r="2764" ht="15.75" customHeight="1">
      <c r="B2764" s="63">
        <f t="shared" si="1"/>
        <v>8</v>
      </c>
      <c r="C2764" s="134" t="s">
        <v>152</v>
      </c>
      <c r="D2764" s="134" t="s">
        <v>74</v>
      </c>
      <c r="E2764" s="135">
        <f t="shared" si="59"/>
        <v>46</v>
      </c>
      <c r="F2764" s="134" t="s">
        <v>3818</v>
      </c>
      <c r="G2764" s="63" t="str">
        <f>VLOOKUP(C2764, 'Class Def. - General Data'!$C$20:$C$1000,1,false)</f>
        <v>ZPI1_JAM</v>
      </c>
      <c r="H2764" s="63" t="str">
        <f>IFERROR(__xludf.DUMMYFUNCTION("VLOOKUP(F2764, IMPORTRANGE(""https://docs.google.com/spreadsheets/d/1Lhp9OU0JdFf_VYSMzH5lBcEaU4o8teT1piV-SNzShjg/edit?gid=554141278#gid=554141278"", ""'Char Def. - Attributes'!C20:C2242""), 1,false)"),"ALT_NUM_UOM5")</f>
        <v>ALT_NUM_UOM5</v>
      </c>
      <c r="I2764" s="136"/>
    </row>
    <row r="2765" ht="15.75" customHeight="1">
      <c r="B2765" s="63">
        <f t="shared" si="1"/>
        <v>16</v>
      </c>
      <c r="C2765" s="134" t="s">
        <v>149</v>
      </c>
      <c r="D2765" s="134" t="s">
        <v>74</v>
      </c>
      <c r="E2765" s="135">
        <f t="shared" si="59"/>
        <v>1</v>
      </c>
      <c r="F2765" s="134" t="s">
        <v>3828</v>
      </c>
      <c r="G2765" s="63" t="str">
        <f>VLOOKUP(C2765, 'Class Def. - General Data'!$C$20:$C$1000,1,false)</f>
        <v>ZPI1_LOGAM_MULIA</v>
      </c>
      <c r="H2765" s="63" t="str">
        <f>IFERROR(__xludf.DUMMYFUNCTION("VLOOKUP(F2765, IMPORTRANGE(""https://docs.google.com/spreadsheets/d/1Lhp9OU0JdFf_VYSMzH5lBcEaU4o8teT1piV-SNzShjg/edit?gid=554141278#gid=554141278"", ""'Char Def. - Attributes'!C20:C2242""), 1,false)"),"ITEM_NAME_LOGAM_MULIA")</f>
        <v>ITEM_NAME_LOGAM_MULIA</v>
      </c>
      <c r="I2765" s="136"/>
    </row>
    <row r="2766" ht="15.75" customHeight="1">
      <c r="B2766" s="63">
        <f t="shared" si="1"/>
        <v>16</v>
      </c>
      <c r="C2766" s="134" t="s">
        <v>149</v>
      </c>
      <c r="D2766" s="134" t="s">
        <v>74</v>
      </c>
      <c r="E2766" s="135">
        <f t="shared" si="59"/>
        <v>2</v>
      </c>
      <c r="F2766" s="134" t="s">
        <v>3778</v>
      </c>
      <c r="G2766" s="63" t="str">
        <f>VLOOKUP(C2766, 'Class Def. - General Data'!$C$20:$C$1000,1,false)</f>
        <v>ZPI1_LOGAM_MULIA</v>
      </c>
      <c r="H2766" s="63" t="str">
        <f>IFERROR(__xludf.DUMMYFUNCTION("VLOOKUP(F2766, IMPORTRANGE(""https://docs.google.com/spreadsheets/d/1Lhp9OU0JdFf_VYSMzH5lBcEaU4o8teT1piV-SNzShjg/edit?gid=554141278#gid=554141278"", ""'Char Def. - Attributes'!C20:C2242""), 1,false)"),"SPECIAL_ACTIVITY")</f>
        <v>SPECIAL_ACTIVITY</v>
      </c>
      <c r="I2766" s="136"/>
    </row>
    <row r="2767" ht="15.75" customHeight="1">
      <c r="B2767" s="63">
        <f t="shared" si="1"/>
        <v>16</v>
      </c>
      <c r="C2767" s="134" t="s">
        <v>149</v>
      </c>
      <c r="D2767" s="134" t="s">
        <v>74</v>
      </c>
      <c r="E2767" s="135">
        <f t="shared" si="59"/>
        <v>3</v>
      </c>
      <c r="F2767" s="135" t="s">
        <v>3779</v>
      </c>
      <c r="G2767" s="63" t="str">
        <f>VLOOKUP(C2767, 'Class Def. - General Data'!$C$20:$C$1000,1,false)</f>
        <v>ZPI1_LOGAM_MULIA</v>
      </c>
      <c r="H2767" s="63" t="str">
        <f>IFERROR(__xludf.DUMMYFUNCTION("VLOOKUP(F2767, IMPORTRANGE(""https://docs.google.com/spreadsheets/d/1Lhp9OU0JdFf_VYSMzH5lBcEaU4o8teT1piV-SNzShjg/edit?gid=554141278#gid=554141278"", ""'Char Def. - Attributes'!C20:C2242""), 1,false)"),"EMBOSSED_BRAND_WINGS")</f>
        <v>EMBOSSED_BRAND_WINGS</v>
      </c>
      <c r="I2767" s="136"/>
    </row>
    <row r="2768" ht="15.75" customHeight="1">
      <c r="B2768" s="63">
        <f t="shared" si="1"/>
        <v>16</v>
      </c>
      <c r="C2768" s="134" t="s">
        <v>149</v>
      </c>
      <c r="D2768" s="134" t="s">
        <v>74</v>
      </c>
      <c r="E2768" s="135">
        <f t="shared" si="59"/>
        <v>4</v>
      </c>
      <c r="F2768" s="135" t="s">
        <v>3780</v>
      </c>
      <c r="G2768" s="63" t="str">
        <f>VLOOKUP(C2768, 'Class Def. - General Data'!$C$20:$C$1000,1,false)</f>
        <v>ZPI1_LOGAM_MULIA</v>
      </c>
      <c r="H2768" s="63" t="str">
        <f>IFERROR(__xludf.DUMMYFUNCTION("VLOOKUP(F2768, IMPORTRANGE(""https://docs.google.com/spreadsheets/d/1Lhp9OU0JdFf_VYSMzH5lBcEaU4o8teT1piV-SNzShjg/edit?gid=554141278#gid=554141278"", ""'Char Def. - Attributes'!C20:C2242""), 1,false)"),"BRAND_WINGS_SIPI")</f>
        <v>BRAND_WINGS_SIPI</v>
      </c>
      <c r="I2768" s="136"/>
    </row>
    <row r="2769" ht="15.75" customHeight="1">
      <c r="B2769" s="63">
        <f t="shared" si="1"/>
        <v>16</v>
      </c>
      <c r="C2769" s="134" t="s">
        <v>149</v>
      </c>
      <c r="D2769" s="134" t="s">
        <v>74</v>
      </c>
      <c r="E2769" s="135">
        <f t="shared" si="59"/>
        <v>5</v>
      </c>
      <c r="F2769" s="134" t="s">
        <v>3781</v>
      </c>
      <c r="G2769" s="63" t="str">
        <f>VLOOKUP(C2769, 'Class Def. - General Data'!$C$20:$C$1000,1,false)</f>
        <v>ZPI1_LOGAM_MULIA</v>
      </c>
      <c r="H2769" s="63" t="str">
        <f>IFERROR(__xludf.DUMMYFUNCTION("VLOOKUP(F2769, IMPORTRANGE(""https://docs.google.com/spreadsheets/d/1Lhp9OU0JdFf_VYSMzH5lBcEaU4o8teT1piV-SNzShjg/edit?gid=554141278#gid=554141278"", ""'Char Def. - Attributes'!C20:C2242""), 1,false)"),"EXTERNAL_BRAND")</f>
        <v>EXTERNAL_BRAND</v>
      </c>
      <c r="I2769" s="136"/>
    </row>
    <row r="2770" ht="15.75" customHeight="1">
      <c r="B2770" s="63">
        <f t="shared" si="1"/>
        <v>16</v>
      </c>
      <c r="C2770" s="134" t="s">
        <v>149</v>
      </c>
      <c r="D2770" s="134" t="s">
        <v>74</v>
      </c>
      <c r="E2770" s="135">
        <f t="shared" si="59"/>
        <v>6</v>
      </c>
      <c r="F2770" s="134" t="s">
        <v>3782</v>
      </c>
      <c r="G2770" s="63" t="str">
        <f>VLOOKUP(C2770, 'Class Def. - General Data'!$C$20:$C$1000,1,false)</f>
        <v>ZPI1_LOGAM_MULIA</v>
      </c>
      <c r="H2770" s="63" t="str">
        <f>IFERROR(__xludf.DUMMYFUNCTION("VLOOKUP(F2770, IMPORTRANGE(""https://docs.google.com/spreadsheets/d/1Lhp9OU0JdFf_VYSMzH5lBcEaU4o8teT1piV-SNzShjg/edit?gid=554141278#gid=554141278"", ""'Char Def. - Attributes'!C20:C2242""), 1,false)"),"BRAND_EXTERNAL")</f>
        <v>BRAND_EXTERNAL</v>
      </c>
      <c r="I2770" s="136"/>
    </row>
    <row r="2771" ht="15.75" customHeight="1">
      <c r="B2771" s="63">
        <f t="shared" si="1"/>
        <v>16</v>
      </c>
      <c r="C2771" s="134" t="s">
        <v>149</v>
      </c>
      <c r="D2771" s="134" t="s">
        <v>74</v>
      </c>
      <c r="E2771" s="135">
        <f t="shared" si="59"/>
        <v>7</v>
      </c>
      <c r="F2771" s="134" t="s">
        <v>3829</v>
      </c>
      <c r="G2771" s="63" t="str">
        <f>VLOOKUP(C2771, 'Class Def. - General Data'!$C$20:$C$1000,1,false)</f>
        <v>ZPI1_LOGAM_MULIA</v>
      </c>
      <c r="H2771" s="63" t="str">
        <f>IFERROR(__xludf.DUMMYFUNCTION("VLOOKUP(F2771, IMPORTRANGE(""https://docs.google.com/spreadsheets/d/1Lhp9OU0JdFf_VYSMzH5lBcEaU4o8teT1piV-SNzShjg/edit?gid=554141278#gid=554141278"", ""'Char Def. - Attributes'!C20:C2242""), 1,false)"),"SIZE_UNIT_LOGAM_MULIA")</f>
        <v>SIZE_UNIT_LOGAM_MULIA</v>
      </c>
      <c r="I2771" s="136"/>
    </row>
    <row r="2772" ht="15.75" customHeight="1">
      <c r="B2772" s="63">
        <f t="shared" si="1"/>
        <v>16</v>
      </c>
      <c r="C2772" s="134" t="s">
        <v>149</v>
      </c>
      <c r="D2772" s="134" t="s">
        <v>74</v>
      </c>
      <c r="E2772" s="135">
        <f t="shared" si="59"/>
        <v>8</v>
      </c>
      <c r="F2772" s="134" t="s">
        <v>3830</v>
      </c>
      <c r="G2772" s="63" t="str">
        <f>VLOOKUP(C2772, 'Class Def. - General Data'!$C$20:$C$1000,1,false)</f>
        <v>ZPI1_LOGAM_MULIA</v>
      </c>
      <c r="H2772" s="63" t="str">
        <f>IFERROR(__xludf.DUMMYFUNCTION("VLOOKUP(F2772, IMPORTRANGE(""https://docs.google.com/spreadsheets/d/1Lhp9OU0JdFf_VYSMzH5lBcEaU4o8teT1piV-SNzShjg/edit?gid=554141278#gid=554141278"", ""'Char Def. - Attributes'!C20:C2242""), 1,false)"),"SIZE_INPUT")</f>
        <v>SIZE_INPUT</v>
      </c>
      <c r="I2772" s="136"/>
    </row>
    <row r="2773" ht="15.75" customHeight="1">
      <c r="B2773" s="63">
        <f t="shared" si="1"/>
        <v>16</v>
      </c>
      <c r="C2773" s="134" t="s">
        <v>149</v>
      </c>
      <c r="D2773" s="134" t="s">
        <v>74</v>
      </c>
      <c r="E2773" s="135">
        <f t="shared" si="59"/>
        <v>9</v>
      </c>
      <c r="F2773" s="134" t="s">
        <v>3793</v>
      </c>
      <c r="G2773" s="63" t="str">
        <f>VLOOKUP(C2773, 'Class Def. - General Data'!$C$20:$C$1000,1,false)</f>
        <v>ZPI1_LOGAM_MULIA</v>
      </c>
      <c r="H2773" s="63" t="str">
        <f>IFERROR(__xludf.DUMMYFUNCTION("VLOOKUP(F2773, IMPORTRANGE(""https://docs.google.com/spreadsheets/d/1Lhp9OU0JdFf_VYSMzH5lBcEaU4o8teT1piV-SNzShjg/edit?gid=554141278#gid=554141278"", ""'Char Def. - Attributes'!C20:C2242""), 1,false)"),"EMBOSSED_SPESIFIC_DESAIN")</f>
        <v>EMBOSSED_SPESIFIC_DESAIN</v>
      </c>
      <c r="I2773" s="136"/>
    </row>
    <row r="2774" ht="15.75" customHeight="1">
      <c r="B2774" s="63">
        <f t="shared" si="1"/>
        <v>16</v>
      </c>
      <c r="C2774" s="134" t="s">
        <v>149</v>
      </c>
      <c r="D2774" s="134" t="s">
        <v>74</v>
      </c>
      <c r="E2774" s="135">
        <f t="shared" si="59"/>
        <v>10</v>
      </c>
      <c r="F2774" s="134" t="s">
        <v>3794</v>
      </c>
      <c r="G2774" s="63" t="str">
        <f>VLOOKUP(C2774, 'Class Def. - General Data'!$C$20:$C$1000,1,false)</f>
        <v>ZPI1_LOGAM_MULIA</v>
      </c>
      <c r="H2774" s="63" t="str">
        <f>IFERROR(__xludf.DUMMYFUNCTION("VLOOKUP(F2774, IMPORTRANGE(""https://docs.google.com/spreadsheets/d/1Lhp9OU0JdFf_VYSMzH5lBcEaU4o8teT1piV-SNzShjg/edit?gid=554141278#gid=554141278"", ""'Char Def. - Attributes'!C20:C2242""), 1,false)"),"DESAIN_NAME")</f>
        <v>DESAIN_NAME</v>
      </c>
      <c r="I2774" s="136"/>
    </row>
    <row r="2775" ht="15.75" customHeight="1">
      <c r="B2775" s="63">
        <f t="shared" si="1"/>
        <v>16</v>
      </c>
      <c r="C2775" s="134" t="s">
        <v>149</v>
      </c>
      <c r="D2775" s="134" t="s">
        <v>74</v>
      </c>
      <c r="E2775" s="135">
        <f t="shared" si="59"/>
        <v>11</v>
      </c>
      <c r="F2775" s="134" t="s">
        <v>3795</v>
      </c>
      <c r="G2775" s="63" t="str">
        <f>VLOOKUP(C2775, 'Class Def. - General Data'!$C$20:$C$1000,1,false)</f>
        <v>ZPI1_LOGAM_MULIA</v>
      </c>
      <c r="H2775" s="63" t="str">
        <f>IFERROR(__xludf.DUMMYFUNCTION("VLOOKUP(F2775, IMPORTRANGE(""https://docs.google.com/spreadsheets/d/1Lhp9OU0JdFf_VYSMzH5lBcEaU4o8teT1piV-SNzShjg/edit?gid=554141278#gid=554141278"", ""'Char Def. - Attributes'!C20:C2242""), 1,false)"),"DESAIN_MONTH")</f>
        <v>DESAIN_MONTH</v>
      </c>
      <c r="I2775" s="136"/>
    </row>
    <row r="2776" ht="15.75" customHeight="1">
      <c r="B2776" s="63">
        <f t="shared" si="1"/>
        <v>16</v>
      </c>
      <c r="C2776" s="134" t="s">
        <v>149</v>
      </c>
      <c r="D2776" s="134" t="s">
        <v>74</v>
      </c>
      <c r="E2776" s="135">
        <f t="shared" si="59"/>
        <v>12</v>
      </c>
      <c r="F2776" s="134" t="s">
        <v>3796</v>
      </c>
      <c r="G2776" s="63" t="str">
        <f>VLOOKUP(C2776, 'Class Def. - General Data'!$C$20:$C$1000,1,false)</f>
        <v>ZPI1_LOGAM_MULIA</v>
      </c>
      <c r="H2776" s="63" t="str">
        <f>IFERROR(__xludf.DUMMYFUNCTION("VLOOKUP(F2776, IMPORTRANGE(""https://docs.google.com/spreadsheets/d/1Lhp9OU0JdFf_VYSMzH5lBcEaU4o8teT1piV-SNzShjg/edit?gid=554141278#gid=554141278"", ""'Char Def. - Attributes'!C20:C2242""), 1,false)"),"DESAIN_YEAR")</f>
        <v>DESAIN_YEAR</v>
      </c>
      <c r="I2776" s="136"/>
    </row>
    <row r="2777" ht="15.75" customHeight="1">
      <c r="B2777" s="63">
        <f t="shared" si="1"/>
        <v>16</v>
      </c>
      <c r="C2777" s="134" t="s">
        <v>149</v>
      </c>
      <c r="D2777" s="134" t="s">
        <v>74</v>
      </c>
      <c r="E2777" s="135">
        <f t="shared" si="59"/>
        <v>13</v>
      </c>
      <c r="F2777" s="134" t="s">
        <v>3585</v>
      </c>
      <c r="G2777" s="63" t="str">
        <f>VLOOKUP(C2777, 'Class Def. - General Data'!$C$20:$C$1000,1,false)</f>
        <v>ZPI1_LOGAM_MULIA</v>
      </c>
      <c r="H2777" s="63" t="str">
        <f>IFERROR(__xludf.DUMMYFUNCTION("VLOOKUP(F2777, IMPORTRANGE(""https://docs.google.com/spreadsheets/d/1Lhp9OU0JdFf_VYSMzH5lBcEaU4o8teT1piV-SNzShjg/edit?gid=554141278#gid=554141278"", ""'Char Def. - Attributes'!C20:C2242""), 1,false)"),"HS_CODE")</f>
        <v>HS_CODE</v>
      </c>
      <c r="I2777" s="136"/>
    </row>
    <row r="2778" ht="15.75" customHeight="1">
      <c r="B2778" s="63">
        <f t="shared" si="1"/>
        <v>16</v>
      </c>
      <c r="C2778" s="134" t="s">
        <v>149</v>
      </c>
      <c r="D2778" s="134" t="s">
        <v>74</v>
      </c>
      <c r="E2778" s="135">
        <f t="shared" si="59"/>
        <v>14</v>
      </c>
      <c r="F2778" s="134" t="s">
        <v>3799</v>
      </c>
      <c r="G2778" s="63" t="str">
        <f>VLOOKUP(C2778, 'Class Def. - General Data'!$C$20:$C$1000,1,false)</f>
        <v>ZPI1_LOGAM_MULIA</v>
      </c>
      <c r="H2778" s="63" t="str">
        <f>IFERROR(__xludf.DUMMYFUNCTION("VLOOKUP(F2778, IMPORTRANGE(""https://docs.google.com/spreadsheets/d/1Lhp9OU0JdFf_VYSMzH5lBcEaU4o8teT1piV-SNzShjg/edit?gid=554141278#gid=554141278"", ""'Char Def. - Attributes'!C20:C2242""), 1,false)"),"BASE_UNIT_ZPI1")</f>
        <v>BASE_UNIT_ZPI1</v>
      </c>
      <c r="I2778" s="136"/>
    </row>
    <row r="2779" ht="15.75" customHeight="1">
      <c r="B2779" s="63">
        <f t="shared" si="1"/>
        <v>16</v>
      </c>
      <c r="C2779" s="134" t="s">
        <v>149</v>
      </c>
      <c r="D2779" s="134" t="s">
        <v>74</v>
      </c>
      <c r="E2779" s="135">
        <f t="shared" si="59"/>
        <v>15</v>
      </c>
      <c r="F2779" s="135" t="s">
        <v>3800</v>
      </c>
      <c r="G2779" s="63" t="str">
        <f>VLOOKUP(C2779, 'Class Def. - General Data'!$C$20:$C$1000,1,false)</f>
        <v>ZPI1_LOGAM_MULIA</v>
      </c>
      <c r="H2779" s="63" t="str">
        <f>IFERROR(__xludf.DUMMYFUNCTION("VLOOKUP(F2779, IMPORTRANGE(""https://docs.google.com/spreadsheets/d/1Lhp9OU0JdFf_VYSMzH5lBcEaU4o8teT1piV-SNzShjg/edit?gid=554141278#gid=554141278"", ""'Char Def. - Attributes'!C20:C2242""), 1,false)"),"ORDER_UNIT_DIFF_FROM_BASIC_UOM")</f>
        <v>ORDER_UNIT_DIFF_FROM_BASIC_UOM</v>
      </c>
      <c r="I2779" s="136"/>
    </row>
    <row r="2780" ht="15.75" customHeight="1">
      <c r="B2780" s="63">
        <f t="shared" si="1"/>
        <v>16</v>
      </c>
      <c r="C2780" s="134" t="s">
        <v>149</v>
      </c>
      <c r="D2780" s="134" t="s">
        <v>74</v>
      </c>
      <c r="E2780" s="135">
        <f t="shared" si="59"/>
        <v>16</v>
      </c>
      <c r="F2780" s="135" t="s">
        <v>3801</v>
      </c>
      <c r="G2780" s="63" t="str">
        <f>VLOOKUP(C2780, 'Class Def. - General Data'!$C$20:$C$1000,1,false)</f>
        <v>ZPI1_LOGAM_MULIA</v>
      </c>
      <c r="H2780" s="63" t="str">
        <f>IFERROR(__xludf.DUMMYFUNCTION("VLOOKUP(F2780, IMPORTRANGE(""https://docs.google.com/spreadsheets/d/1Lhp9OU0JdFf_VYSMzH5lBcEaU4o8teT1piV-SNzShjg/edit?gid=554141278#gid=554141278"", ""'Char Def. - Attributes'!C20:C2242""), 1,false)"),"ORDER_UNIT_ZPI1")</f>
        <v>ORDER_UNIT_ZPI1</v>
      </c>
      <c r="I2780" s="136"/>
    </row>
    <row r="2781" ht="15.75" customHeight="1">
      <c r="B2781" s="63">
        <f t="shared" si="1"/>
        <v>16</v>
      </c>
      <c r="C2781" s="134" t="s">
        <v>149</v>
      </c>
      <c r="D2781" s="134" t="s">
        <v>74</v>
      </c>
      <c r="E2781" s="135">
        <f t="shared" si="59"/>
        <v>17</v>
      </c>
      <c r="F2781" s="134" t="s">
        <v>3802</v>
      </c>
      <c r="G2781" s="63" t="str">
        <f>VLOOKUP(C2781, 'Class Def. - General Data'!$C$20:$C$1000,1,false)</f>
        <v>ZPI1_LOGAM_MULIA</v>
      </c>
      <c r="H2781" s="63" t="str">
        <f>IFERROR(__xludf.DUMMYFUNCTION("VLOOKUP(F2781, IMPORTRANGE(""https://docs.google.com/spreadsheets/d/1Lhp9OU0JdFf_VYSMzH5lBcEaU4o8teT1piV-SNzShjg/edit?gid=554141278#gid=554141278"", ""'Char Def. - Attributes'!C20:C2242""), 1,false)"),"WEIGHT_UNIT_PI")</f>
        <v>WEIGHT_UNIT_PI</v>
      </c>
      <c r="I2781" s="136"/>
    </row>
    <row r="2782" ht="15.75" customHeight="1">
      <c r="B2782" s="63">
        <f t="shared" si="1"/>
        <v>16</v>
      </c>
      <c r="C2782" s="134" t="s">
        <v>149</v>
      </c>
      <c r="D2782" s="134" t="s">
        <v>74</v>
      </c>
      <c r="E2782" s="135">
        <f t="shared" si="59"/>
        <v>18</v>
      </c>
      <c r="F2782" s="134" t="s">
        <v>3602</v>
      </c>
      <c r="G2782" s="63" t="str">
        <f>VLOOKUP(C2782, 'Class Def. - General Data'!$C$20:$C$1000,1,false)</f>
        <v>ZPI1_LOGAM_MULIA</v>
      </c>
      <c r="H2782" s="63" t="str">
        <f>IFERROR(__xludf.DUMMYFUNCTION("VLOOKUP(F2782, IMPORTRANGE(""https://docs.google.com/spreadsheets/d/1Lhp9OU0JdFf_VYSMzH5lBcEaU4o8teT1piV-SNzShjg/edit?gid=554141278#gid=554141278"", ""'Char Def. - Attributes'!C20:C2242""), 1,false)"),"NET_WEIGHT")</f>
        <v>NET_WEIGHT</v>
      </c>
      <c r="I2782" s="136"/>
    </row>
    <row r="2783" ht="15.75" customHeight="1">
      <c r="B2783" s="63">
        <f t="shared" si="1"/>
        <v>16</v>
      </c>
      <c r="C2783" s="134" t="s">
        <v>149</v>
      </c>
      <c r="D2783" s="134" t="s">
        <v>74</v>
      </c>
      <c r="E2783" s="135">
        <f t="shared" si="59"/>
        <v>19</v>
      </c>
      <c r="F2783" s="134" t="s">
        <v>3601</v>
      </c>
      <c r="G2783" s="63" t="str">
        <f>VLOOKUP(C2783, 'Class Def. - General Data'!$C$20:$C$1000,1,false)</f>
        <v>ZPI1_LOGAM_MULIA</v>
      </c>
      <c r="H2783" s="63" t="str">
        <f>IFERROR(__xludf.DUMMYFUNCTION("VLOOKUP(F2783, IMPORTRANGE(""https://docs.google.com/spreadsheets/d/1Lhp9OU0JdFf_VYSMzH5lBcEaU4o8teT1piV-SNzShjg/edit?gid=554141278#gid=554141278"", ""'Char Def. - Attributes'!C20:C2242""), 1,false)"),"GROSS_WEIGHT")</f>
        <v>GROSS_WEIGHT</v>
      </c>
      <c r="I2783" s="136"/>
    </row>
    <row r="2784" ht="15.75" customHeight="1">
      <c r="B2784" s="63">
        <f t="shared" si="1"/>
        <v>16</v>
      </c>
      <c r="C2784" s="134" t="s">
        <v>149</v>
      </c>
      <c r="D2784" s="134" t="s">
        <v>74</v>
      </c>
      <c r="E2784" s="135">
        <f t="shared" si="59"/>
        <v>20</v>
      </c>
      <c r="F2784" s="134" t="s">
        <v>3803</v>
      </c>
      <c r="G2784" s="63" t="str">
        <f>VLOOKUP(C2784, 'Class Def. - General Data'!$C$20:$C$1000,1,false)</f>
        <v>ZPI1_LOGAM_MULIA</v>
      </c>
      <c r="H2784" s="63" t="str">
        <f>IFERROR(__xludf.DUMMYFUNCTION("VLOOKUP(F2784, IMPORTRANGE(""https://docs.google.com/spreadsheets/d/1Lhp9OU0JdFf_VYSMzH5lBcEaU4o8teT1piV-SNzShjg/edit?gid=554141278#gid=554141278"", ""'Char Def. - Attributes'!C20:C2242""), 1,false)"),"VOLUME_UNIT_PI")</f>
        <v>VOLUME_UNIT_PI</v>
      </c>
      <c r="I2784" s="136"/>
    </row>
    <row r="2785" ht="15.75" customHeight="1">
      <c r="B2785" s="63">
        <f t="shared" si="1"/>
        <v>16</v>
      </c>
      <c r="C2785" s="134" t="s">
        <v>149</v>
      </c>
      <c r="D2785" s="134" t="s">
        <v>74</v>
      </c>
      <c r="E2785" s="135">
        <f t="shared" si="59"/>
        <v>21</v>
      </c>
      <c r="F2785" s="134" t="s">
        <v>3603</v>
      </c>
      <c r="G2785" s="63" t="str">
        <f>VLOOKUP(C2785, 'Class Def. - General Data'!$C$20:$C$1000,1,false)</f>
        <v>ZPI1_LOGAM_MULIA</v>
      </c>
      <c r="H2785" s="63" t="str">
        <f>IFERROR(__xludf.DUMMYFUNCTION("VLOOKUP(F2785, IMPORTRANGE(""https://docs.google.com/spreadsheets/d/1Lhp9OU0JdFf_VYSMzH5lBcEaU4o8teT1piV-SNzShjg/edit?gid=554141278#gid=554141278"", ""'Char Def. - Attributes'!C20:C2242""), 1,false)"),"VOLUME")</f>
        <v>VOLUME</v>
      </c>
      <c r="I2785" s="136"/>
    </row>
    <row r="2786" ht="15.75" customHeight="1">
      <c r="B2786" s="63">
        <f t="shared" si="1"/>
        <v>16</v>
      </c>
      <c r="C2786" s="134" t="s">
        <v>149</v>
      </c>
      <c r="D2786" s="134" t="s">
        <v>74</v>
      </c>
      <c r="E2786" s="135">
        <f t="shared" si="59"/>
        <v>22</v>
      </c>
      <c r="F2786" s="134" t="s">
        <v>3587</v>
      </c>
      <c r="G2786" s="63" t="str">
        <f>VLOOKUP(C2786, 'Class Def. - General Data'!$C$20:$C$1000,1,false)</f>
        <v>ZPI1_LOGAM_MULIA</v>
      </c>
      <c r="H2786" s="63" t="str">
        <f>IFERROR(__xludf.DUMMYFUNCTION("VLOOKUP(F2786, IMPORTRANGE(""https://docs.google.com/spreadsheets/d/1Lhp9OU0JdFf_VYSMzH5lBcEaU4o8teT1piV-SNzShjg/edit?gid=554141278#gid=554141278"", ""'Char Def. - Attributes'!C20:C2242""), 1,false)"),"PLANT_BUY")</f>
        <v>PLANT_BUY</v>
      </c>
      <c r="I2786" s="136"/>
    </row>
    <row r="2787" ht="15.75" customHeight="1">
      <c r="B2787" s="63">
        <f t="shared" si="1"/>
        <v>16</v>
      </c>
      <c r="C2787" s="134" t="s">
        <v>149</v>
      </c>
      <c r="D2787" s="134" t="s">
        <v>74</v>
      </c>
      <c r="E2787" s="135">
        <f t="shared" si="59"/>
        <v>23</v>
      </c>
      <c r="F2787" s="134" t="s">
        <v>3804</v>
      </c>
      <c r="G2787" s="63" t="str">
        <f>VLOOKUP(C2787, 'Class Def. - General Data'!$C$20:$C$1000,1,false)</f>
        <v>ZPI1_LOGAM_MULIA</v>
      </c>
      <c r="H2787" s="63" t="str">
        <f>IFERROR(__xludf.DUMMYFUNCTION("VLOOKUP(F2787, IMPORTRANGE(""https://docs.google.com/spreadsheets/d/1Lhp9OU0JdFf_VYSMzH5lBcEaU4o8teT1piV-SNzShjg/edit?gid=554141278#gid=554141278"", ""'Char Def. - Attributes'!C20:C2242""), 1,false)"),"ALT_UOM1_SIPI")</f>
        <v>ALT_UOM1_SIPI</v>
      </c>
      <c r="I2787" s="136"/>
    </row>
    <row r="2788" ht="15.75" customHeight="1">
      <c r="B2788" s="63">
        <f t="shared" si="1"/>
        <v>16</v>
      </c>
      <c r="C2788" s="134" t="s">
        <v>149</v>
      </c>
      <c r="D2788" s="134" t="s">
        <v>74</v>
      </c>
      <c r="E2788" s="135">
        <f t="shared" si="59"/>
        <v>24</v>
      </c>
      <c r="F2788" s="134" t="s">
        <v>3805</v>
      </c>
      <c r="G2788" s="63" t="str">
        <f>VLOOKUP(C2788, 'Class Def. - General Data'!$C$20:$C$1000,1,false)</f>
        <v>ZPI1_LOGAM_MULIA</v>
      </c>
      <c r="H2788" s="63" t="str">
        <f>IFERROR(__xludf.DUMMYFUNCTION("VLOOKUP(F2788, IMPORTRANGE(""https://docs.google.com/spreadsheets/d/1Lhp9OU0JdFf_VYSMzH5lBcEaU4o8teT1piV-SNzShjg/edit?gid=554141278#gid=554141278"", ""'Char Def. - Attributes'!C20:C2242""), 1,false)"),"ALT_DENUM_UOM1")</f>
        <v>ALT_DENUM_UOM1</v>
      </c>
      <c r="I2788" s="136"/>
    </row>
    <row r="2789" ht="15.75" customHeight="1">
      <c r="B2789" s="63">
        <f t="shared" si="1"/>
        <v>16</v>
      </c>
      <c r="C2789" s="134" t="s">
        <v>149</v>
      </c>
      <c r="D2789" s="134" t="s">
        <v>74</v>
      </c>
      <c r="E2789" s="135">
        <f t="shared" si="59"/>
        <v>25</v>
      </c>
      <c r="F2789" s="134" t="s">
        <v>3806</v>
      </c>
      <c r="G2789" s="63" t="str">
        <f>VLOOKUP(C2789, 'Class Def. - General Data'!$C$20:$C$1000,1,false)</f>
        <v>ZPI1_LOGAM_MULIA</v>
      </c>
      <c r="H2789" s="63" t="str">
        <f>IFERROR(__xludf.DUMMYFUNCTION("VLOOKUP(F2789, IMPORTRANGE(""https://docs.google.com/spreadsheets/d/1Lhp9OU0JdFf_VYSMzH5lBcEaU4o8teT1piV-SNzShjg/edit?gid=554141278#gid=554141278"", ""'Char Def. - Attributes'!C20:C2242""), 1,false)"),"ALT_NUM_UOM1")</f>
        <v>ALT_NUM_UOM1</v>
      </c>
      <c r="I2789" s="136"/>
    </row>
    <row r="2790" ht="15.75" customHeight="1">
      <c r="B2790" s="63">
        <f t="shared" si="1"/>
        <v>16</v>
      </c>
      <c r="C2790" s="134" t="s">
        <v>149</v>
      </c>
      <c r="D2790" s="134" t="s">
        <v>74</v>
      </c>
      <c r="E2790" s="135">
        <f t="shared" si="59"/>
        <v>26</v>
      </c>
      <c r="F2790" s="134" t="s">
        <v>3807</v>
      </c>
      <c r="G2790" s="63" t="str">
        <f>VLOOKUP(C2790, 'Class Def. - General Data'!$C$20:$C$1000,1,false)</f>
        <v>ZPI1_LOGAM_MULIA</v>
      </c>
      <c r="H2790" s="63" t="str">
        <f>IFERROR(__xludf.DUMMYFUNCTION("VLOOKUP(F2790, IMPORTRANGE(""https://docs.google.com/spreadsheets/d/1Lhp9OU0JdFf_VYSMzH5lBcEaU4o8teT1piV-SNzShjg/edit?gid=554141278#gid=554141278"", ""'Char Def. - Attributes'!C20:C2242""), 1,false)"),"ALT_UOM2_SIPI")</f>
        <v>ALT_UOM2_SIPI</v>
      </c>
      <c r="I2790" s="136"/>
    </row>
    <row r="2791" ht="15.75" customHeight="1">
      <c r="B2791" s="63">
        <f t="shared" si="1"/>
        <v>16</v>
      </c>
      <c r="C2791" s="134" t="s">
        <v>149</v>
      </c>
      <c r="D2791" s="134" t="s">
        <v>74</v>
      </c>
      <c r="E2791" s="135">
        <f t="shared" si="59"/>
        <v>27</v>
      </c>
      <c r="F2791" s="134" t="s">
        <v>3808</v>
      </c>
      <c r="G2791" s="63" t="str">
        <f>VLOOKUP(C2791, 'Class Def. - General Data'!$C$20:$C$1000,1,false)</f>
        <v>ZPI1_LOGAM_MULIA</v>
      </c>
      <c r="H2791" s="63" t="str">
        <f>IFERROR(__xludf.DUMMYFUNCTION("VLOOKUP(F2791, IMPORTRANGE(""https://docs.google.com/spreadsheets/d/1Lhp9OU0JdFf_VYSMzH5lBcEaU4o8teT1piV-SNzShjg/edit?gid=554141278#gid=554141278"", ""'Char Def. - Attributes'!C20:C2242""), 1,false)"),"ALT_DENUM_UOM2")</f>
        <v>ALT_DENUM_UOM2</v>
      </c>
      <c r="I2791" s="136"/>
    </row>
    <row r="2792" ht="15.75" customHeight="1">
      <c r="B2792" s="63">
        <f t="shared" si="1"/>
        <v>16</v>
      </c>
      <c r="C2792" s="134" t="s">
        <v>149</v>
      </c>
      <c r="D2792" s="134" t="s">
        <v>74</v>
      </c>
      <c r="E2792" s="135">
        <f t="shared" si="59"/>
        <v>28</v>
      </c>
      <c r="F2792" s="134" t="s">
        <v>3809</v>
      </c>
      <c r="G2792" s="63" t="str">
        <f>VLOOKUP(C2792, 'Class Def. - General Data'!$C$20:$C$1000,1,false)</f>
        <v>ZPI1_LOGAM_MULIA</v>
      </c>
      <c r="H2792" s="63" t="str">
        <f>IFERROR(__xludf.DUMMYFUNCTION("VLOOKUP(F2792, IMPORTRANGE(""https://docs.google.com/spreadsheets/d/1Lhp9OU0JdFf_VYSMzH5lBcEaU4o8teT1piV-SNzShjg/edit?gid=554141278#gid=554141278"", ""'Char Def. - Attributes'!C20:C2242""), 1,false)"),"ALT_NUM_UOM2")</f>
        <v>ALT_NUM_UOM2</v>
      </c>
      <c r="I2792" s="136"/>
    </row>
    <row r="2793" ht="15.75" customHeight="1">
      <c r="B2793" s="63">
        <f t="shared" si="1"/>
        <v>16</v>
      </c>
      <c r="C2793" s="134" t="s">
        <v>149</v>
      </c>
      <c r="D2793" s="134" t="s">
        <v>74</v>
      </c>
      <c r="E2793" s="135">
        <f t="shared" si="59"/>
        <v>29</v>
      </c>
      <c r="F2793" s="134" t="s">
        <v>3810</v>
      </c>
      <c r="G2793" s="63" t="str">
        <f>VLOOKUP(C2793, 'Class Def. - General Data'!$C$20:$C$1000,1,false)</f>
        <v>ZPI1_LOGAM_MULIA</v>
      </c>
      <c r="H2793" s="63" t="str">
        <f>IFERROR(__xludf.DUMMYFUNCTION("VLOOKUP(F2793, IMPORTRANGE(""https://docs.google.com/spreadsheets/d/1Lhp9OU0JdFf_VYSMzH5lBcEaU4o8teT1piV-SNzShjg/edit?gid=554141278#gid=554141278"", ""'Char Def. - Attributes'!C20:C2242""), 1,false)"),"ALT_UOM3_SIPI")</f>
        <v>ALT_UOM3_SIPI</v>
      </c>
      <c r="I2793" s="136"/>
    </row>
    <row r="2794" ht="15.75" customHeight="1">
      <c r="B2794" s="63">
        <f t="shared" si="1"/>
        <v>16</v>
      </c>
      <c r="C2794" s="134" t="s">
        <v>149</v>
      </c>
      <c r="D2794" s="134" t="s">
        <v>74</v>
      </c>
      <c r="E2794" s="135">
        <f t="shared" si="59"/>
        <v>30</v>
      </c>
      <c r="F2794" s="134" t="s">
        <v>3811</v>
      </c>
      <c r="G2794" s="63" t="str">
        <f>VLOOKUP(C2794, 'Class Def. - General Data'!$C$20:$C$1000,1,false)</f>
        <v>ZPI1_LOGAM_MULIA</v>
      </c>
      <c r="H2794" s="63" t="str">
        <f>IFERROR(__xludf.DUMMYFUNCTION("VLOOKUP(F2794, IMPORTRANGE(""https://docs.google.com/spreadsheets/d/1Lhp9OU0JdFf_VYSMzH5lBcEaU4o8teT1piV-SNzShjg/edit?gid=554141278#gid=554141278"", ""'Char Def. - Attributes'!C20:C2242""), 1,false)"),"ALT_DENUM_UOM3")</f>
        <v>ALT_DENUM_UOM3</v>
      </c>
      <c r="I2794" s="136"/>
    </row>
    <row r="2795" ht="15.75" customHeight="1">
      <c r="B2795" s="63">
        <f t="shared" si="1"/>
        <v>16</v>
      </c>
      <c r="C2795" s="134" t="s">
        <v>149</v>
      </c>
      <c r="D2795" s="134" t="s">
        <v>74</v>
      </c>
      <c r="E2795" s="135">
        <f t="shared" si="59"/>
        <v>31</v>
      </c>
      <c r="F2795" s="134" t="s">
        <v>3812</v>
      </c>
      <c r="G2795" s="63" t="str">
        <f>VLOOKUP(C2795, 'Class Def. - General Data'!$C$20:$C$1000,1,false)</f>
        <v>ZPI1_LOGAM_MULIA</v>
      </c>
      <c r="H2795" s="63" t="str">
        <f>IFERROR(__xludf.DUMMYFUNCTION("VLOOKUP(F2795, IMPORTRANGE(""https://docs.google.com/spreadsheets/d/1Lhp9OU0JdFf_VYSMzH5lBcEaU4o8teT1piV-SNzShjg/edit?gid=554141278#gid=554141278"", ""'Char Def. - Attributes'!C20:C2242""), 1,false)"),"ALT_NUM_UOM3")</f>
        <v>ALT_NUM_UOM3</v>
      </c>
      <c r="I2795" s="136"/>
    </row>
    <row r="2796" ht="15.75" customHeight="1">
      <c r="B2796" s="63">
        <f t="shared" si="1"/>
        <v>16</v>
      </c>
      <c r="C2796" s="134" t="s">
        <v>149</v>
      </c>
      <c r="D2796" s="134" t="s">
        <v>74</v>
      </c>
      <c r="E2796" s="135">
        <f t="shared" si="59"/>
        <v>32</v>
      </c>
      <c r="F2796" s="134" t="s">
        <v>3813</v>
      </c>
      <c r="G2796" s="63" t="str">
        <f>VLOOKUP(C2796, 'Class Def. - General Data'!$C$20:$C$1000,1,false)</f>
        <v>ZPI1_LOGAM_MULIA</v>
      </c>
      <c r="H2796" s="63" t="str">
        <f>IFERROR(__xludf.DUMMYFUNCTION("VLOOKUP(F2796, IMPORTRANGE(""https://docs.google.com/spreadsheets/d/1Lhp9OU0JdFf_VYSMzH5lBcEaU4o8teT1piV-SNzShjg/edit?gid=554141278#gid=554141278"", ""'Char Def. - Attributes'!C20:C2242""), 1,false)"),"ALT_UOM4_SIPI")</f>
        <v>ALT_UOM4_SIPI</v>
      </c>
      <c r="I2796" s="136"/>
    </row>
    <row r="2797" ht="15.75" customHeight="1">
      <c r="B2797" s="63">
        <f t="shared" si="1"/>
        <v>16</v>
      </c>
      <c r="C2797" s="134" t="s">
        <v>149</v>
      </c>
      <c r="D2797" s="134" t="s">
        <v>74</v>
      </c>
      <c r="E2797" s="135">
        <f t="shared" si="59"/>
        <v>33</v>
      </c>
      <c r="F2797" s="134" t="s">
        <v>3814</v>
      </c>
      <c r="G2797" s="63" t="str">
        <f>VLOOKUP(C2797, 'Class Def. - General Data'!$C$20:$C$1000,1,false)</f>
        <v>ZPI1_LOGAM_MULIA</v>
      </c>
      <c r="H2797" s="63" t="str">
        <f>IFERROR(__xludf.DUMMYFUNCTION("VLOOKUP(F2797, IMPORTRANGE(""https://docs.google.com/spreadsheets/d/1Lhp9OU0JdFf_VYSMzH5lBcEaU4o8teT1piV-SNzShjg/edit?gid=554141278#gid=554141278"", ""'Char Def. - Attributes'!C20:C2242""), 1,false)"),"ALT_DENUM_UOM4")</f>
        <v>ALT_DENUM_UOM4</v>
      </c>
      <c r="I2797" s="136"/>
    </row>
    <row r="2798" ht="15.75" customHeight="1">
      <c r="B2798" s="63">
        <f t="shared" si="1"/>
        <v>16</v>
      </c>
      <c r="C2798" s="134" t="s">
        <v>149</v>
      </c>
      <c r="D2798" s="134" t="s">
        <v>74</v>
      </c>
      <c r="E2798" s="135">
        <f t="shared" si="59"/>
        <v>34</v>
      </c>
      <c r="F2798" s="134" t="s">
        <v>3815</v>
      </c>
      <c r="G2798" s="63" t="str">
        <f>VLOOKUP(C2798, 'Class Def. - General Data'!$C$20:$C$1000,1,false)</f>
        <v>ZPI1_LOGAM_MULIA</v>
      </c>
      <c r="H2798" s="63" t="str">
        <f>IFERROR(__xludf.DUMMYFUNCTION("VLOOKUP(F2798, IMPORTRANGE(""https://docs.google.com/spreadsheets/d/1Lhp9OU0JdFf_VYSMzH5lBcEaU4o8teT1piV-SNzShjg/edit?gid=554141278#gid=554141278"", ""'Char Def. - Attributes'!C20:C2242""), 1,false)"),"ALT_NUM_UOM4")</f>
        <v>ALT_NUM_UOM4</v>
      </c>
      <c r="I2798" s="136"/>
    </row>
    <row r="2799" ht="15.75" customHeight="1">
      <c r="B2799" s="63">
        <f t="shared" si="1"/>
        <v>16</v>
      </c>
      <c r="C2799" s="134" t="s">
        <v>149</v>
      </c>
      <c r="D2799" s="134" t="s">
        <v>74</v>
      </c>
      <c r="E2799" s="135">
        <f t="shared" si="59"/>
        <v>35</v>
      </c>
      <c r="F2799" s="134" t="s">
        <v>3816</v>
      </c>
      <c r="G2799" s="63" t="str">
        <f>VLOOKUP(C2799, 'Class Def. - General Data'!$C$20:$C$1000,1,false)</f>
        <v>ZPI1_LOGAM_MULIA</v>
      </c>
      <c r="H2799" s="63" t="str">
        <f>IFERROR(__xludf.DUMMYFUNCTION("VLOOKUP(F2799, IMPORTRANGE(""https://docs.google.com/spreadsheets/d/1Lhp9OU0JdFf_VYSMzH5lBcEaU4o8teT1piV-SNzShjg/edit?gid=554141278#gid=554141278"", ""'Char Def. - Attributes'!C20:C2242""), 1,false)"),"ALT_UOM5_SIPI")</f>
        <v>ALT_UOM5_SIPI</v>
      </c>
      <c r="I2799" s="136"/>
    </row>
    <row r="2800" ht="15.75" customHeight="1">
      <c r="B2800" s="63">
        <f t="shared" si="1"/>
        <v>16</v>
      </c>
      <c r="C2800" s="134" t="s">
        <v>149</v>
      </c>
      <c r="D2800" s="134" t="s">
        <v>74</v>
      </c>
      <c r="E2800" s="135">
        <f t="shared" si="59"/>
        <v>36</v>
      </c>
      <c r="F2800" s="134" t="s">
        <v>3817</v>
      </c>
      <c r="G2800" s="63" t="str">
        <f>VLOOKUP(C2800, 'Class Def. - General Data'!$C$20:$C$1000,1,false)</f>
        <v>ZPI1_LOGAM_MULIA</v>
      </c>
      <c r="H2800" s="63" t="str">
        <f>IFERROR(__xludf.DUMMYFUNCTION("VLOOKUP(F2800, IMPORTRANGE(""https://docs.google.com/spreadsheets/d/1Lhp9OU0JdFf_VYSMzH5lBcEaU4o8teT1piV-SNzShjg/edit?gid=554141278#gid=554141278"", ""'Char Def. - Attributes'!C20:C2242""), 1,false)"),"ALT_DENUM_UOM5")</f>
        <v>ALT_DENUM_UOM5</v>
      </c>
      <c r="I2800" s="136"/>
    </row>
    <row r="2801" ht="15.75" customHeight="1">
      <c r="B2801" s="63">
        <f t="shared" si="1"/>
        <v>16</v>
      </c>
      <c r="C2801" s="134" t="s">
        <v>149</v>
      </c>
      <c r="D2801" s="134" t="s">
        <v>74</v>
      </c>
      <c r="E2801" s="135">
        <f t="shared" si="59"/>
        <v>37</v>
      </c>
      <c r="F2801" s="134" t="s">
        <v>3818</v>
      </c>
      <c r="G2801" s="63" t="str">
        <f>VLOOKUP(C2801, 'Class Def. - General Data'!$C$20:$C$1000,1,false)</f>
        <v>ZPI1_LOGAM_MULIA</v>
      </c>
      <c r="H2801" s="63" t="str">
        <f>IFERROR(__xludf.DUMMYFUNCTION("VLOOKUP(F2801, IMPORTRANGE(""https://docs.google.com/spreadsheets/d/1Lhp9OU0JdFf_VYSMzH5lBcEaU4o8teT1piV-SNzShjg/edit?gid=554141278#gid=554141278"", ""'Char Def. - Attributes'!C20:C2242""), 1,false)"),"ALT_NUM_UOM5")</f>
        <v>ALT_NUM_UOM5</v>
      </c>
      <c r="I2801" s="136"/>
    </row>
    <row r="2802" ht="15.75" customHeight="1">
      <c r="B2802" s="63">
        <f t="shared" si="1"/>
        <v>18</v>
      </c>
      <c r="C2802" s="134" t="s">
        <v>161</v>
      </c>
      <c r="D2802" s="134" t="s">
        <v>74</v>
      </c>
      <c r="E2802" s="135">
        <f t="shared" si="59"/>
        <v>1</v>
      </c>
      <c r="F2802" s="134" t="s">
        <v>3831</v>
      </c>
      <c r="G2802" s="63" t="str">
        <f>VLOOKUP(C2802, 'Class Def. - General Data'!$C$20:$C$1000,1,false)</f>
        <v>ZPI1_MAINAN_BONEKA</v>
      </c>
      <c r="H2802" s="63" t="str">
        <f>IFERROR(__xludf.DUMMYFUNCTION("VLOOKUP(F2802, IMPORTRANGE(""https://docs.google.com/spreadsheets/d/1Lhp9OU0JdFf_VYSMzH5lBcEaU4o8teT1piV-SNzShjg/edit?gid=554141278#gid=554141278"", ""'Char Def. - Attributes'!C20:C2242""), 1,false)"),"ITEM_NAME_MAINAN_BONEKA")</f>
        <v>ITEM_NAME_MAINAN_BONEKA</v>
      </c>
      <c r="I2802" s="136"/>
    </row>
    <row r="2803" ht="15.75" customHeight="1">
      <c r="B2803" s="63">
        <f t="shared" si="1"/>
        <v>18</v>
      </c>
      <c r="C2803" s="134" t="s">
        <v>161</v>
      </c>
      <c r="D2803" s="134" t="s">
        <v>74</v>
      </c>
      <c r="E2803" s="135">
        <f t="shared" si="59"/>
        <v>2</v>
      </c>
      <c r="F2803" s="134" t="s">
        <v>3778</v>
      </c>
      <c r="G2803" s="63" t="str">
        <f>VLOOKUP(C2803, 'Class Def. - General Data'!$C$20:$C$1000,1,false)</f>
        <v>ZPI1_MAINAN_BONEKA</v>
      </c>
      <c r="H2803" s="63" t="str">
        <f>IFERROR(__xludf.DUMMYFUNCTION("VLOOKUP(F2803, IMPORTRANGE(""https://docs.google.com/spreadsheets/d/1Lhp9OU0JdFf_VYSMzH5lBcEaU4o8teT1piV-SNzShjg/edit?gid=554141278#gid=554141278"", ""'Char Def. - Attributes'!C20:C2242""), 1,false)"),"SPECIAL_ACTIVITY")</f>
        <v>SPECIAL_ACTIVITY</v>
      </c>
      <c r="I2803" s="136"/>
    </row>
    <row r="2804" ht="15.75" customHeight="1">
      <c r="B2804" s="63">
        <f t="shared" si="1"/>
        <v>18</v>
      </c>
      <c r="C2804" s="134" t="s">
        <v>161</v>
      </c>
      <c r="D2804" s="134" t="s">
        <v>74</v>
      </c>
      <c r="E2804" s="135">
        <f t="shared" si="59"/>
        <v>3</v>
      </c>
      <c r="F2804" s="135" t="s">
        <v>3779</v>
      </c>
      <c r="G2804" s="63" t="str">
        <f>VLOOKUP(C2804, 'Class Def. - General Data'!$C$20:$C$1000,1,false)</f>
        <v>ZPI1_MAINAN_BONEKA</v>
      </c>
      <c r="H2804" s="63" t="str">
        <f>IFERROR(__xludf.DUMMYFUNCTION("VLOOKUP(F2804, IMPORTRANGE(""https://docs.google.com/spreadsheets/d/1Lhp9OU0JdFf_VYSMzH5lBcEaU4o8teT1piV-SNzShjg/edit?gid=554141278#gid=554141278"", ""'Char Def. - Attributes'!C20:C2242""), 1,false)"),"EMBOSSED_BRAND_WINGS")</f>
        <v>EMBOSSED_BRAND_WINGS</v>
      </c>
      <c r="I2804" s="136"/>
    </row>
    <row r="2805" ht="15.75" customHeight="1">
      <c r="B2805" s="63">
        <f t="shared" si="1"/>
        <v>18</v>
      </c>
      <c r="C2805" s="134" t="s">
        <v>161</v>
      </c>
      <c r="D2805" s="134" t="s">
        <v>74</v>
      </c>
      <c r="E2805" s="135">
        <f t="shared" si="59"/>
        <v>4</v>
      </c>
      <c r="F2805" s="135" t="s">
        <v>3780</v>
      </c>
      <c r="G2805" s="63" t="str">
        <f>VLOOKUP(C2805, 'Class Def. - General Data'!$C$20:$C$1000,1,false)</f>
        <v>ZPI1_MAINAN_BONEKA</v>
      </c>
      <c r="H2805" s="63" t="str">
        <f>IFERROR(__xludf.DUMMYFUNCTION("VLOOKUP(F2805, IMPORTRANGE(""https://docs.google.com/spreadsheets/d/1Lhp9OU0JdFf_VYSMzH5lBcEaU4o8teT1piV-SNzShjg/edit?gid=554141278#gid=554141278"", ""'Char Def. - Attributes'!C20:C2242""), 1,false)"),"BRAND_WINGS_SIPI")</f>
        <v>BRAND_WINGS_SIPI</v>
      </c>
      <c r="I2805" s="136"/>
    </row>
    <row r="2806" ht="15.75" customHeight="1">
      <c r="B2806" s="63">
        <f t="shared" si="1"/>
        <v>18</v>
      </c>
      <c r="C2806" s="134" t="s">
        <v>161</v>
      </c>
      <c r="D2806" s="134" t="s">
        <v>74</v>
      </c>
      <c r="E2806" s="135">
        <f t="shared" si="59"/>
        <v>5</v>
      </c>
      <c r="F2806" s="134" t="s">
        <v>3781</v>
      </c>
      <c r="G2806" s="63" t="str">
        <f>VLOOKUP(C2806, 'Class Def. - General Data'!$C$20:$C$1000,1,false)</f>
        <v>ZPI1_MAINAN_BONEKA</v>
      </c>
      <c r="H2806" s="63" t="str">
        <f>IFERROR(__xludf.DUMMYFUNCTION("VLOOKUP(F2806, IMPORTRANGE(""https://docs.google.com/spreadsheets/d/1Lhp9OU0JdFf_VYSMzH5lBcEaU4o8teT1piV-SNzShjg/edit?gid=554141278#gid=554141278"", ""'Char Def. - Attributes'!C20:C2242""), 1,false)"),"EXTERNAL_BRAND")</f>
        <v>EXTERNAL_BRAND</v>
      </c>
      <c r="I2806" s="136"/>
    </row>
    <row r="2807" ht="15.75" customHeight="1">
      <c r="B2807" s="63">
        <f t="shared" si="1"/>
        <v>18</v>
      </c>
      <c r="C2807" s="134" t="s">
        <v>161</v>
      </c>
      <c r="D2807" s="134" t="s">
        <v>74</v>
      </c>
      <c r="E2807" s="135">
        <f t="shared" si="59"/>
        <v>6</v>
      </c>
      <c r="F2807" s="134" t="s">
        <v>3782</v>
      </c>
      <c r="G2807" s="63" t="str">
        <f>VLOOKUP(C2807, 'Class Def. - General Data'!$C$20:$C$1000,1,false)</f>
        <v>ZPI1_MAINAN_BONEKA</v>
      </c>
      <c r="H2807" s="63" t="str">
        <f>IFERROR(__xludf.DUMMYFUNCTION("VLOOKUP(F2807, IMPORTRANGE(""https://docs.google.com/spreadsheets/d/1Lhp9OU0JdFf_VYSMzH5lBcEaU4o8teT1piV-SNzShjg/edit?gid=554141278#gid=554141278"", ""'Char Def. - Attributes'!C20:C2242""), 1,false)"),"BRAND_EXTERNAL")</f>
        <v>BRAND_EXTERNAL</v>
      </c>
      <c r="I2807" s="136"/>
    </row>
    <row r="2808" ht="15.75" customHeight="1">
      <c r="B2808" s="63">
        <f t="shared" si="1"/>
        <v>18</v>
      </c>
      <c r="C2808" s="134" t="s">
        <v>161</v>
      </c>
      <c r="D2808" s="134" t="s">
        <v>74</v>
      </c>
      <c r="E2808" s="135">
        <f t="shared" si="59"/>
        <v>7</v>
      </c>
      <c r="F2808" s="134" t="s">
        <v>3783</v>
      </c>
      <c r="G2808" s="63" t="str">
        <f>VLOOKUP(C2808, 'Class Def. - General Data'!$C$20:$C$1000,1,false)</f>
        <v>ZPI1_MAINAN_BONEKA</v>
      </c>
      <c r="H2808" s="63" t="str">
        <f>IFERROR(__xludf.DUMMYFUNCTION("VLOOKUP(F2808, IMPORTRANGE(""https://docs.google.com/spreadsheets/d/1Lhp9OU0JdFf_VYSMzH5lBcEaU4o8teT1piV-SNzShjg/edit?gid=554141278#gid=554141278"", ""'Char Def. - Attributes'!C20:C2242""), 1,false)"),"NO_SERI_BRAND_EXTERNAL")</f>
        <v>NO_SERI_BRAND_EXTERNAL</v>
      </c>
      <c r="I2808" s="136"/>
    </row>
    <row r="2809" ht="15.75" customHeight="1">
      <c r="B2809" s="63">
        <f t="shared" si="1"/>
        <v>18</v>
      </c>
      <c r="C2809" s="134" t="s">
        <v>161</v>
      </c>
      <c r="D2809" s="134" t="s">
        <v>74</v>
      </c>
      <c r="E2809" s="135">
        <f t="shared" si="59"/>
        <v>8</v>
      </c>
      <c r="F2809" s="134" t="s">
        <v>3832</v>
      </c>
      <c r="G2809" s="63" t="str">
        <f>VLOOKUP(C2809, 'Class Def. - General Data'!$C$20:$C$1000,1,false)</f>
        <v>ZPI1_MAINAN_BONEKA</v>
      </c>
      <c r="H2809" s="63" t="str">
        <f>IFERROR(__xludf.DUMMYFUNCTION("VLOOKUP(F2809, IMPORTRANGE(""https://docs.google.com/spreadsheets/d/1Lhp9OU0JdFf_VYSMzH5lBcEaU4o8teT1piV-SNzShjg/edit?gid=554141278#gid=554141278"", ""'Char Def. - Attributes'!C20:C2242""), 1,false)"),"MATERIAL_MAINAN_BONEKA")</f>
        <v>MATERIAL_MAINAN_BONEKA</v>
      </c>
      <c r="I2809" s="136"/>
    </row>
    <row r="2810" ht="15.75" customHeight="1">
      <c r="B2810" s="63">
        <f t="shared" si="1"/>
        <v>18</v>
      </c>
      <c r="C2810" s="134" t="s">
        <v>161</v>
      </c>
      <c r="D2810" s="134" t="s">
        <v>74</v>
      </c>
      <c r="E2810" s="135">
        <f t="shared" si="59"/>
        <v>9</v>
      </c>
      <c r="F2810" s="134" t="s">
        <v>3785</v>
      </c>
      <c r="G2810" s="63" t="str">
        <f>VLOOKUP(C2810, 'Class Def. - General Data'!$C$20:$C$1000,1,false)</f>
        <v>ZPI1_MAINAN_BONEKA</v>
      </c>
      <c r="H2810" s="63" t="str">
        <f>IFERROR(__xludf.DUMMYFUNCTION("VLOOKUP(F2810, IMPORTRANGE(""https://docs.google.com/spreadsheets/d/1Lhp9OU0JdFf_VYSMzH5lBcEaU4o8teT1piV-SNzShjg/edit?gid=554141278#gid=554141278"", ""'Char Def. - Attributes'!C20:C2242""), 1,false)"),"ITEM_SHAPE")</f>
        <v>ITEM_SHAPE</v>
      </c>
      <c r="I2810" s="136"/>
    </row>
    <row r="2811" ht="15.75" customHeight="1">
      <c r="B2811" s="63">
        <f t="shared" si="1"/>
        <v>18</v>
      </c>
      <c r="C2811" s="134" t="s">
        <v>161</v>
      </c>
      <c r="D2811" s="134" t="s">
        <v>74</v>
      </c>
      <c r="E2811" s="135">
        <f t="shared" si="59"/>
        <v>10</v>
      </c>
      <c r="F2811" s="134" t="s">
        <v>3786</v>
      </c>
      <c r="G2811" s="63" t="str">
        <f>VLOOKUP(C2811, 'Class Def. - General Data'!$C$20:$C$1000,1,false)</f>
        <v>ZPI1_MAINAN_BONEKA</v>
      </c>
      <c r="H2811" s="63" t="str">
        <f>IFERROR(__xludf.DUMMYFUNCTION("VLOOKUP(F2811, IMPORTRANGE(""https://docs.google.com/spreadsheets/d/1Lhp9OU0JdFf_VYSMzH5lBcEaU4o8teT1piV-SNzShjg/edit?gid=554141278#gid=554141278"", ""'Char Def. - Attributes'!C20:C2242""), 1,false)"),"SIZE_UNIT_DIMENSI")</f>
        <v>SIZE_UNIT_DIMENSI</v>
      </c>
      <c r="I2811" s="136"/>
    </row>
    <row r="2812" ht="15.75" customHeight="1">
      <c r="B2812" s="63">
        <f t="shared" si="1"/>
        <v>18</v>
      </c>
      <c r="C2812" s="134" t="s">
        <v>161</v>
      </c>
      <c r="D2812" s="134" t="s">
        <v>74</v>
      </c>
      <c r="E2812" s="135">
        <f t="shared" si="59"/>
        <v>11</v>
      </c>
      <c r="F2812" s="135" t="s">
        <v>3787</v>
      </c>
      <c r="G2812" s="63" t="str">
        <f>VLOOKUP(C2812, 'Class Def. - General Data'!$C$20:$C$1000,1,false)</f>
        <v>ZPI1_MAINAN_BONEKA</v>
      </c>
      <c r="H2812" s="63" t="str">
        <f>IFERROR(__xludf.DUMMYFUNCTION("VLOOKUP(F2812, IMPORTRANGE(""https://docs.google.com/spreadsheets/d/1Lhp9OU0JdFf_VYSMzH5lBcEaU4o8teT1piV-SNzShjg/edit?gid=554141278#gid=554141278"", ""'Char Def. - Attributes'!C20:C2242""), 1,false)"),"DIAMETER_PCS")</f>
        <v>DIAMETER_PCS</v>
      </c>
      <c r="I2812" s="136"/>
    </row>
    <row r="2813" ht="15.75" customHeight="1">
      <c r="B2813" s="63">
        <f t="shared" si="1"/>
        <v>18</v>
      </c>
      <c r="C2813" s="134" t="s">
        <v>161</v>
      </c>
      <c r="D2813" s="134" t="s">
        <v>74</v>
      </c>
      <c r="E2813" s="135">
        <f t="shared" si="59"/>
        <v>12</v>
      </c>
      <c r="F2813" s="134" t="s">
        <v>3788</v>
      </c>
      <c r="G2813" s="63" t="str">
        <f>VLOOKUP(C2813, 'Class Def. - General Data'!$C$20:$C$1000,1,false)</f>
        <v>ZPI1_MAINAN_BONEKA</v>
      </c>
      <c r="H2813" s="63" t="str">
        <f>IFERROR(__xludf.DUMMYFUNCTION("VLOOKUP(F2813, IMPORTRANGE(""https://docs.google.com/spreadsheets/d/1Lhp9OU0JdFf_VYSMzH5lBcEaU4o8teT1piV-SNzShjg/edit?gid=554141278#gid=554141278"", ""'Char Def. - Attributes'!C20:C2242""), 1,false)"),"LENGTH_PCS")</f>
        <v>LENGTH_PCS</v>
      </c>
      <c r="I2813" s="136"/>
    </row>
    <row r="2814" ht="15.75" customHeight="1">
      <c r="B2814" s="63">
        <f t="shared" si="1"/>
        <v>18</v>
      </c>
      <c r="C2814" s="134" t="s">
        <v>161</v>
      </c>
      <c r="D2814" s="134" t="s">
        <v>74</v>
      </c>
      <c r="E2814" s="135">
        <f t="shared" si="59"/>
        <v>13</v>
      </c>
      <c r="F2814" s="134" t="s">
        <v>3789</v>
      </c>
      <c r="G2814" s="63" t="str">
        <f>VLOOKUP(C2814, 'Class Def. - General Data'!$C$20:$C$1000,1,false)</f>
        <v>ZPI1_MAINAN_BONEKA</v>
      </c>
      <c r="H2814" s="63" t="str">
        <f>IFERROR(__xludf.DUMMYFUNCTION("VLOOKUP(F2814, IMPORTRANGE(""https://docs.google.com/spreadsheets/d/1Lhp9OU0JdFf_VYSMzH5lBcEaU4o8teT1piV-SNzShjg/edit?gid=554141278#gid=554141278"", ""'Char Def. - Attributes'!C20:C2242""), 1,false)"),"WIDTH_PCS")</f>
        <v>WIDTH_PCS</v>
      </c>
      <c r="I2814" s="136"/>
    </row>
    <row r="2815" ht="15.75" customHeight="1">
      <c r="B2815" s="63">
        <f t="shared" si="1"/>
        <v>18</v>
      </c>
      <c r="C2815" s="134" t="s">
        <v>161</v>
      </c>
      <c r="D2815" s="134" t="s">
        <v>74</v>
      </c>
      <c r="E2815" s="135">
        <f t="shared" si="59"/>
        <v>14</v>
      </c>
      <c r="F2815" s="134" t="s">
        <v>3790</v>
      </c>
      <c r="G2815" s="63" t="str">
        <f>VLOOKUP(C2815, 'Class Def. - General Data'!$C$20:$C$1000,1,false)</f>
        <v>ZPI1_MAINAN_BONEKA</v>
      </c>
      <c r="H2815" s="63" t="str">
        <f>IFERROR(__xludf.DUMMYFUNCTION("VLOOKUP(F2815, IMPORTRANGE(""https://docs.google.com/spreadsheets/d/1Lhp9OU0JdFf_VYSMzH5lBcEaU4o8teT1piV-SNzShjg/edit?gid=554141278#gid=554141278"", ""'Char Def. - Attributes'!C20:C2242""), 1,false)"),"HEIGHT_PCS")</f>
        <v>HEIGHT_PCS</v>
      </c>
      <c r="I2815" s="136"/>
    </row>
    <row r="2816" ht="15.75" customHeight="1">
      <c r="B2816" s="63">
        <f t="shared" si="1"/>
        <v>18</v>
      </c>
      <c r="C2816" s="134" t="s">
        <v>161</v>
      </c>
      <c r="D2816" s="134" t="s">
        <v>74</v>
      </c>
      <c r="E2816" s="135">
        <f t="shared" si="59"/>
        <v>15</v>
      </c>
      <c r="F2816" s="134" t="s">
        <v>3791</v>
      </c>
      <c r="G2816" s="63" t="str">
        <f>VLOOKUP(C2816, 'Class Def. - General Data'!$C$20:$C$1000,1,false)</f>
        <v>ZPI1_MAINAN_BONEKA</v>
      </c>
      <c r="H2816" s="63" t="str">
        <f>IFERROR(__xludf.DUMMYFUNCTION("VLOOKUP(F2816, IMPORTRANGE(""https://docs.google.com/spreadsheets/d/1Lhp9OU0JdFf_VYSMzH5lBcEaU4o8teT1piV-SNzShjg/edit?gid=554141278#gid=554141278"", ""'Char Def. - Attributes'!C20:C2242""), 1,false)"),"HAS_SPESIFIC_COLOUR")</f>
        <v>HAS_SPESIFIC_COLOUR</v>
      </c>
      <c r="I2816" s="136"/>
    </row>
    <row r="2817" ht="15.75" customHeight="1">
      <c r="B2817" s="63">
        <f t="shared" si="1"/>
        <v>18</v>
      </c>
      <c r="C2817" s="134" t="s">
        <v>161</v>
      </c>
      <c r="D2817" s="134" t="s">
        <v>74</v>
      </c>
      <c r="E2817" s="135">
        <f t="shared" si="59"/>
        <v>16</v>
      </c>
      <c r="F2817" s="134" t="s">
        <v>3792</v>
      </c>
      <c r="G2817" s="63" t="str">
        <f>VLOOKUP(C2817, 'Class Def. - General Data'!$C$20:$C$1000,1,false)</f>
        <v>ZPI1_MAINAN_BONEKA</v>
      </c>
      <c r="H2817" s="63" t="str">
        <f>IFERROR(__xludf.DUMMYFUNCTION("VLOOKUP(F2817, IMPORTRANGE(""https://docs.google.com/spreadsheets/d/1Lhp9OU0JdFf_VYSMzH5lBcEaU4o8teT1piV-SNzShjg/edit?gid=554141278#gid=554141278"", ""'Char Def. - Attributes'!C20:C2242""), 1,false)"),"COLOUR")</f>
        <v>COLOUR</v>
      </c>
      <c r="I2817" s="136"/>
    </row>
    <row r="2818" ht="15.75" customHeight="1">
      <c r="B2818" s="63">
        <f t="shared" si="1"/>
        <v>18</v>
      </c>
      <c r="C2818" s="134" t="s">
        <v>161</v>
      </c>
      <c r="D2818" s="134" t="s">
        <v>74</v>
      </c>
      <c r="E2818" s="135">
        <f t="shared" si="59"/>
        <v>17</v>
      </c>
      <c r="F2818" s="134" t="s">
        <v>3793</v>
      </c>
      <c r="G2818" s="63" t="str">
        <f>VLOOKUP(C2818, 'Class Def. - General Data'!$C$20:$C$1000,1,false)</f>
        <v>ZPI1_MAINAN_BONEKA</v>
      </c>
      <c r="H2818" s="63" t="str">
        <f>IFERROR(__xludf.DUMMYFUNCTION("VLOOKUP(F2818, IMPORTRANGE(""https://docs.google.com/spreadsheets/d/1Lhp9OU0JdFf_VYSMzH5lBcEaU4o8teT1piV-SNzShjg/edit?gid=554141278#gid=554141278"", ""'Char Def. - Attributes'!C20:C2242""), 1,false)"),"EMBOSSED_SPESIFIC_DESAIN")</f>
        <v>EMBOSSED_SPESIFIC_DESAIN</v>
      </c>
      <c r="I2818" s="136"/>
    </row>
    <row r="2819" ht="15.75" customHeight="1">
      <c r="B2819" s="63">
        <f t="shared" si="1"/>
        <v>18</v>
      </c>
      <c r="C2819" s="134" t="s">
        <v>161</v>
      </c>
      <c r="D2819" s="134" t="s">
        <v>74</v>
      </c>
      <c r="E2819" s="135">
        <f t="shared" si="59"/>
        <v>18</v>
      </c>
      <c r="F2819" s="134" t="s">
        <v>3794</v>
      </c>
      <c r="G2819" s="63" t="str">
        <f>VLOOKUP(C2819, 'Class Def. - General Data'!$C$20:$C$1000,1,false)</f>
        <v>ZPI1_MAINAN_BONEKA</v>
      </c>
      <c r="H2819" s="63" t="str">
        <f>IFERROR(__xludf.DUMMYFUNCTION("VLOOKUP(F2819, IMPORTRANGE(""https://docs.google.com/spreadsheets/d/1Lhp9OU0JdFf_VYSMzH5lBcEaU4o8teT1piV-SNzShjg/edit?gid=554141278#gid=554141278"", ""'Char Def. - Attributes'!C20:C2242""), 1,false)"),"DESAIN_NAME")</f>
        <v>DESAIN_NAME</v>
      </c>
      <c r="I2819" s="136"/>
    </row>
    <row r="2820" ht="15.75" customHeight="1">
      <c r="B2820" s="63">
        <f t="shared" si="1"/>
        <v>18</v>
      </c>
      <c r="C2820" s="134" t="s">
        <v>161</v>
      </c>
      <c r="D2820" s="134" t="s">
        <v>74</v>
      </c>
      <c r="E2820" s="135">
        <f t="shared" si="59"/>
        <v>19</v>
      </c>
      <c r="F2820" s="134" t="s">
        <v>3795</v>
      </c>
      <c r="G2820" s="63" t="str">
        <f>VLOOKUP(C2820, 'Class Def. - General Data'!$C$20:$C$1000,1,false)</f>
        <v>ZPI1_MAINAN_BONEKA</v>
      </c>
      <c r="H2820" s="63" t="str">
        <f>IFERROR(__xludf.DUMMYFUNCTION("VLOOKUP(F2820, IMPORTRANGE(""https://docs.google.com/spreadsheets/d/1Lhp9OU0JdFf_VYSMzH5lBcEaU4o8teT1piV-SNzShjg/edit?gid=554141278#gid=554141278"", ""'Char Def. - Attributes'!C20:C2242""), 1,false)"),"DESAIN_MONTH")</f>
        <v>DESAIN_MONTH</v>
      </c>
      <c r="I2820" s="136"/>
    </row>
    <row r="2821" ht="15.75" customHeight="1">
      <c r="B2821" s="63">
        <f t="shared" si="1"/>
        <v>18</v>
      </c>
      <c r="C2821" s="134" t="s">
        <v>161</v>
      </c>
      <c r="D2821" s="134" t="s">
        <v>74</v>
      </c>
      <c r="E2821" s="135">
        <f t="shared" si="59"/>
        <v>20</v>
      </c>
      <c r="F2821" s="134" t="s">
        <v>3796</v>
      </c>
      <c r="G2821" s="63" t="str">
        <f>VLOOKUP(C2821, 'Class Def. - General Data'!$C$20:$C$1000,1,false)</f>
        <v>ZPI1_MAINAN_BONEKA</v>
      </c>
      <c r="H2821" s="63" t="str">
        <f>IFERROR(__xludf.DUMMYFUNCTION("VLOOKUP(F2821, IMPORTRANGE(""https://docs.google.com/spreadsheets/d/1Lhp9OU0JdFf_VYSMzH5lBcEaU4o8teT1piV-SNzShjg/edit?gid=554141278#gid=554141278"", ""'Char Def. - Attributes'!C20:C2242""), 1,false)"),"DESAIN_YEAR")</f>
        <v>DESAIN_YEAR</v>
      </c>
      <c r="I2821" s="136"/>
    </row>
    <row r="2822" ht="15.75" customHeight="1">
      <c r="B2822" s="63">
        <f t="shared" si="1"/>
        <v>18</v>
      </c>
      <c r="C2822" s="134" t="s">
        <v>161</v>
      </c>
      <c r="D2822" s="134" t="s">
        <v>74</v>
      </c>
      <c r="E2822" s="135">
        <f t="shared" si="59"/>
        <v>21</v>
      </c>
      <c r="F2822" s="134" t="s">
        <v>3797</v>
      </c>
      <c r="G2822" s="63" t="str">
        <f>VLOOKUP(C2822, 'Class Def. - General Data'!$C$20:$C$1000,1,false)</f>
        <v>ZPI1_MAINAN_BONEKA</v>
      </c>
      <c r="H2822" s="63" t="str">
        <f>IFERROR(__xludf.DUMMYFUNCTION("VLOOKUP(F2822, IMPORTRANGE(""https://docs.google.com/spreadsheets/d/1Lhp9OU0JdFf_VYSMzH5lBcEaU4o8teT1piV-SNzShjg/edit?gid=554141278#gid=554141278"", ""'Char Def. - Attributes'!C20:C2242""), 1,false)"),"SPEC_QTY_IN_ONE_BUNDLE")</f>
        <v>SPEC_QTY_IN_ONE_BUNDLE</v>
      </c>
      <c r="I2822" s="136"/>
    </row>
    <row r="2823" ht="15.75" customHeight="1">
      <c r="B2823" s="63">
        <f t="shared" si="1"/>
        <v>18</v>
      </c>
      <c r="C2823" s="134" t="s">
        <v>161</v>
      </c>
      <c r="D2823" s="134" t="s">
        <v>74</v>
      </c>
      <c r="E2823" s="135">
        <f t="shared" si="59"/>
        <v>22</v>
      </c>
      <c r="F2823" s="134" t="s">
        <v>3798</v>
      </c>
      <c r="G2823" s="63" t="str">
        <f>VLOOKUP(C2823, 'Class Def. - General Data'!$C$20:$C$1000,1,false)</f>
        <v>ZPI1_MAINAN_BONEKA</v>
      </c>
      <c r="H2823" s="63" t="str">
        <f>IFERROR(__xludf.DUMMYFUNCTION("VLOOKUP(F2823, IMPORTRANGE(""https://docs.google.com/spreadsheets/d/1Lhp9OU0JdFf_VYSMzH5lBcEaU4o8teT1piV-SNzShjg/edit?gid=554141278#gid=554141278"", ""'Char Def. - Attributes'!C20:C2242""), 1,false)"),"QTY_IN_ONE_BUNDLE")</f>
        <v>QTY_IN_ONE_BUNDLE</v>
      </c>
      <c r="I2823" s="136"/>
    </row>
    <row r="2824" ht="15.75" customHeight="1">
      <c r="B2824" s="63">
        <f t="shared" si="1"/>
        <v>18</v>
      </c>
      <c r="C2824" s="134" t="s">
        <v>161</v>
      </c>
      <c r="D2824" s="134" t="s">
        <v>74</v>
      </c>
      <c r="E2824" s="135">
        <f t="shared" si="59"/>
        <v>23</v>
      </c>
      <c r="F2824" s="134" t="s">
        <v>3585</v>
      </c>
      <c r="G2824" s="63" t="str">
        <f>VLOOKUP(C2824, 'Class Def. - General Data'!$C$20:$C$1000,1,false)</f>
        <v>ZPI1_MAINAN_BONEKA</v>
      </c>
      <c r="H2824" s="63" t="str">
        <f>IFERROR(__xludf.DUMMYFUNCTION("VLOOKUP(F2824, IMPORTRANGE(""https://docs.google.com/spreadsheets/d/1Lhp9OU0JdFf_VYSMzH5lBcEaU4o8teT1piV-SNzShjg/edit?gid=554141278#gid=554141278"", ""'Char Def. - Attributes'!C20:C2242""), 1,false)"),"HS_CODE")</f>
        <v>HS_CODE</v>
      </c>
      <c r="I2824" s="136"/>
    </row>
    <row r="2825" ht="15.75" customHeight="1">
      <c r="B2825" s="63">
        <f t="shared" si="1"/>
        <v>18</v>
      </c>
      <c r="C2825" s="134" t="s">
        <v>161</v>
      </c>
      <c r="D2825" s="134" t="s">
        <v>74</v>
      </c>
      <c r="E2825" s="135">
        <f t="shared" si="59"/>
        <v>24</v>
      </c>
      <c r="F2825" s="134" t="s">
        <v>3799</v>
      </c>
      <c r="G2825" s="63" t="str">
        <f>VLOOKUP(C2825, 'Class Def. - General Data'!$C$20:$C$1000,1,false)</f>
        <v>ZPI1_MAINAN_BONEKA</v>
      </c>
      <c r="H2825" s="63" t="str">
        <f>IFERROR(__xludf.DUMMYFUNCTION("VLOOKUP(F2825, IMPORTRANGE(""https://docs.google.com/spreadsheets/d/1Lhp9OU0JdFf_VYSMzH5lBcEaU4o8teT1piV-SNzShjg/edit?gid=554141278#gid=554141278"", ""'Char Def. - Attributes'!C20:C2242""), 1,false)"),"BASE_UNIT_ZPI1")</f>
        <v>BASE_UNIT_ZPI1</v>
      </c>
      <c r="I2825" s="136"/>
    </row>
    <row r="2826" ht="15.75" customHeight="1">
      <c r="B2826" s="63">
        <f t="shared" si="1"/>
        <v>18</v>
      </c>
      <c r="C2826" s="134" t="s">
        <v>161</v>
      </c>
      <c r="D2826" s="134" t="s">
        <v>74</v>
      </c>
      <c r="E2826" s="135">
        <f t="shared" si="59"/>
        <v>25</v>
      </c>
      <c r="F2826" s="135" t="s">
        <v>3800</v>
      </c>
      <c r="G2826" s="63" t="str">
        <f>VLOOKUP(C2826, 'Class Def. - General Data'!$C$20:$C$1000,1,false)</f>
        <v>ZPI1_MAINAN_BONEKA</v>
      </c>
      <c r="H2826" s="63" t="str">
        <f>IFERROR(__xludf.DUMMYFUNCTION("VLOOKUP(F2826, IMPORTRANGE(""https://docs.google.com/spreadsheets/d/1Lhp9OU0JdFf_VYSMzH5lBcEaU4o8teT1piV-SNzShjg/edit?gid=554141278#gid=554141278"", ""'Char Def. - Attributes'!C20:C2242""), 1,false)"),"ORDER_UNIT_DIFF_FROM_BASIC_UOM")</f>
        <v>ORDER_UNIT_DIFF_FROM_BASIC_UOM</v>
      </c>
      <c r="I2826" s="136"/>
    </row>
    <row r="2827" ht="15.75" customHeight="1">
      <c r="B2827" s="63">
        <f t="shared" si="1"/>
        <v>18</v>
      </c>
      <c r="C2827" s="134" t="s">
        <v>161</v>
      </c>
      <c r="D2827" s="134" t="s">
        <v>74</v>
      </c>
      <c r="E2827" s="135">
        <f t="shared" si="59"/>
        <v>26</v>
      </c>
      <c r="F2827" s="135" t="s">
        <v>3801</v>
      </c>
      <c r="G2827" s="63" t="str">
        <f>VLOOKUP(C2827, 'Class Def. - General Data'!$C$20:$C$1000,1,false)</f>
        <v>ZPI1_MAINAN_BONEKA</v>
      </c>
      <c r="H2827" s="63" t="str">
        <f>IFERROR(__xludf.DUMMYFUNCTION("VLOOKUP(F2827, IMPORTRANGE(""https://docs.google.com/spreadsheets/d/1Lhp9OU0JdFf_VYSMzH5lBcEaU4o8teT1piV-SNzShjg/edit?gid=554141278#gid=554141278"", ""'Char Def. - Attributes'!C20:C2242""), 1,false)"),"ORDER_UNIT_ZPI1")</f>
        <v>ORDER_UNIT_ZPI1</v>
      </c>
      <c r="I2827" s="136"/>
    </row>
    <row r="2828" ht="15.75" customHeight="1">
      <c r="B2828" s="63">
        <f t="shared" si="1"/>
        <v>18</v>
      </c>
      <c r="C2828" s="134" t="s">
        <v>161</v>
      </c>
      <c r="D2828" s="134" t="s">
        <v>74</v>
      </c>
      <c r="E2828" s="135">
        <f t="shared" si="59"/>
        <v>27</v>
      </c>
      <c r="F2828" s="134" t="s">
        <v>3802</v>
      </c>
      <c r="G2828" s="63" t="str">
        <f>VLOOKUP(C2828, 'Class Def. - General Data'!$C$20:$C$1000,1,false)</f>
        <v>ZPI1_MAINAN_BONEKA</v>
      </c>
      <c r="H2828" s="63" t="str">
        <f>IFERROR(__xludf.DUMMYFUNCTION("VLOOKUP(F2828, IMPORTRANGE(""https://docs.google.com/spreadsheets/d/1Lhp9OU0JdFf_VYSMzH5lBcEaU4o8teT1piV-SNzShjg/edit?gid=554141278#gid=554141278"", ""'Char Def. - Attributes'!C20:C2242""), 1,false)"),"WEIGHT_UNIT_PI")</f>
        <v>WEIGHT_UNIT_PI</v>
      </c>
      <c r="I2828" s="136"/>
    </row>
    <row r="2829" ht="15.75" customHeight="1">
      <c r="B2829" s="63">
        <f t="shared" si="1"/>
        <v>18</v>
      </c>
      <c r="C2829" s="134" t="s">
        <v>161</v>
      </c>
      <c r="D2829" s="134" t="s">
        <v>74</v>
      </c>
      <c r="E2829" s="135">
        <f t="shared" si="59"/>
        <v>28</v>
      </c>
      <c r="F2829" s="134" t="s">
        <v>3602</v>
      </c>
      <c r="G2829" s="63" t="str">
        <f>VLOOKUP(C2829, 'Class Def. - General Data'!$C$20:$C$1000,1,false)</f>
        <v>ZPI1_MAINAN_BONEKA</v>
      </c>
      <c r="H2829" s="63" t="str">
        <f>IFERROR(__xludf.DUMMYFUNCTION("VLOOKUP(F2829, IMPORTRANGE(""https://docs.google.com/spreadsheets/d/1Lhp9OU0JdFf_VYSMzH5lBcEaU4o8teT1piV-SNzShjg/edit?gid=554141278#gid=554141278"", ""'Char Def. - Attributes'!C20:C2242""), 1,false)"),"NET_WEIGHT")</f>
        <v>NET_WEIGHT</v>
      </c>
      <c r="I2829" s="136"/>
    </row>
    <row r="2830" ht="15.75" customHeight="1">
      <c r="B2830" s="63">
        <f t="shared" si="1"/>
        <v>18</v>
      </c>
      <c r="C2830" s="134" t="s">
        <v>161</v>
      </c>
      <c r="D2830" s="134" t="s">
        <v>74</v>
      </c>
      <c r="E2830" s="135">
        <f t="shared" si="59"/>
        <v>29</v>
      </c>
      <c r="F2830" s="134" t="s">
        <v>3601</v>
      </c>
      <c r="G2830" s="63" t="str">
        <f>VLOOKUP(C2830, 'Class Def. - General Data'!$C$20:$C$1000,1,false)</f>
        <v>ZPI1_MAINAN_BONEKA</v>
      </c>
      <c r="H2830" s="63" t="str">
        <f>IFERROR(__xludf.DUMMYFUNCTION("VLOOKUP(F2830, IMPORTRANGE(""https://docs.google.com/spreadsheets/d/1Lhp9OU0JdFf_VYSMzH5lBcEaU4o8teT1piV-SNzShjg/edit?gid=554141278#gid=554141278"", ""'Char Def. - Attributes'!C20:C2242""), 1,false)"),"GROSS_WEIGHT")</f>
        <v>GROSS_WEIGHT</v>
      </c>
      <c r="I2830" s="136"/>
    </row>
    <row r="2831" ht="15.75" customHeight="1">
      <c r="B2831" s="63">
        <f t="shared" si="1"/>
        <v>18</v>
      </c>
      <c r="C2831" s="134" t="s">
        <v>161</v>
      </c>
      <c r="D2831" s="134" t="s">
        <v>74</v>
      </c>
      <c r="E2831" s="135">
        <f t="shared" si="59"/>
        <v>30</v>
      </c>
      <c r="F2831" s="134" t="s">
        <v>3803</v>
      </c>
      <c r="G2831" s="63" t="str">
        <f>VLOOKUP(C2831, 'Class Def. - General Data'!$C$20:$C$1000,1,false)</f>
        <v>ZPI1_MAINAN_BONEKA</v>
      </c>
      <c r="H2831" s="63" t="str">
        <f>IFERROR(__xludf.DUMMYFUNCTION("VLOOKUP(F2831, IMPORTRANGE(""https://docs.google.com/spreadsheets/d/1Lhp9OU0JdFf_VYSMzH5lBcEaU4o8teT1piV-SNzShjg/edit?gid=554141278#gid=554141278"", ""'Char Def. - Attributes'!C20:C2242""), 1,false)"),"VOLUME_UNIT_PI")</f>
        <v>VOLUME_UNIT_PI</v>
      </c>
      <c r="I2831" s="136"/>
    </row>
    <row r="2832" ht="15.75" customHeight="1">
      <c r="B2832" s="63">
        <f t="shared" si="1"/>
        <v>18</v>
      </c>
      <c r="C2832" s="134" t="s">
        <v>161</v>
      </c>
      <c r="D2832" s="134" t="s">
        <v>74</v>
      </c>
      <c r="E2832" s="135">
        <f t="shared" si="59"/>
        <v>31</v>
      </c>
      <c r="F2832" s="134" t="s">
        <v>3603</v>
      </c>
      <c r="G2832" s="63" t="str">
        <f>VLOOKUP(C2832, 'Class Def. - General Data'!$C$20:$C$1000,1,false)</f>
        <v>ZPI1_MAINAN_BONEKA</v>
      </c>
      <c r="H2832" s="63" t="str">
        <f>IFERROR(__xludf.DUMMYFUNCTION("VLOOKUP(F2832, IMPORTRANGE(""https://docs.google.com/spreadsheets/d/1Lhp9OU0JdFf_VYSMzH5lBcEaU4o8teT1piV-SNzShjg/edit?gid=554141278#gid=554141278"", ""'Char Def. - Attributes'!C20:C2242""), 1,false)"),"VOLUME")</f>
        <v>VOLUME</v>
      </c>
      <c r="I2832" s="136"/>
    </row>
    <row r="2833" ht="15.75" customHeight="1">
      <c r="B2833" s="63">
        <f t="shared" si="1"/>
        <v>18</v>
      </c>
      <c r="C2833" s="134" t="s">
        <v>161</v>
      </c>
      <c r="D2833" s="134" t="s">
        <v>74</v>
      </c>
      <c r="E2833" s="135">
        <f t="shared" si="59"/>
        <v>32</v>
      </c>
      <c r="F2833" s="134" t="s">
        <v>3587</v>
      </c>
      <c r="G2833" s="63" t="str">
        <f>VLOOKUP(C2833, 'Class Def. - General Data'!$C$20:$C$1000,1,false)</f>
        <v>ZPI1_MAINAN_BONEKA</v>
      </c>
      <c r="H2833" s="63" t="str">
        <f>IFERROR(__xludf.DUMMYFUNCTION("VLOOKUP(F2833, IMPORTRANGE(""https://docs.google.com/spreadsheets/d/1Lhp9OU0JdFf_VYSMzH5lBcEaU4o8teT1piV-SNzShjg/edit?gid=554141278#gid=554141278"", ""'Char Def. - Attributes'!C20:C2242""), 1,false)"),"PLANT_BUY")</f>
        <v>PLANT_BUY</v>
      </c>
      <c r="I2833" s="136"/>
    </row>
    <row r="2834" ht="15.75" customHeight="1">
      <c r="B2834" s="63">
        <f t="shared" si="1"/>
        <v>18</v>
      </c>
      <c r="C2834" s="134" t="s">
        <v>161</v>
      </c>
      <c r="D2834" s="134" t="s">
        <v>74</v>
      </c>
      <c r="E2834" s="135">
        <f t="shared" si="59"/>
        <v>33</v>
      </c>
      <c r="F2834" s="134" t="s">
        <v>3804</v>
      </c>
      <c r="G2834" s="63" t="str">
        <f>VLOOKUP(C2834, 'Class Def. - General Data'!$C$20:$C$1000,1,false)</f>
        <v>ZPI1_MAINAN_BONEKA</v>
      </c>
      <c r="H2834" s="63" t="str">
        <f>IFERROR(__xludf.DUMMYFUNCTION("VLOOKUP(F2834, IMPORTRANGE(""https://docs.google.com/spreadsheets/d/1Lhp9OU0JdFf_VYSMzH5lBcEaU4o8teT1piV-SNzShjg/edit?gid=554141278#gid=554141278"", ""'Char Def. - Attributes'!C20:C2242""), 1,false)"),"ALT_UOM1_SIPI")</f>
        <v>ALT_UOM1_SIPI</v>
      </c>
      <c r="I2834" s="136"/>
    </row>
    <row r="2835" ht="15.75" customHeight="1">
      <c r="B2835" s="63">
        <f t="shared" si="1"/>
        <v>18</v>
      </c>
      <c r="C2835" s="134" t="s">
        <v>161</v>
      </c>
      <c r="D2835" s="134" t="s">
        <v>74</v>
      </c>
      <c r="E2835" s="135">
        <f t="shared" si="59"/>
        <v>34</v>
      </c>
      <c r="F2835" s="134" t="s">
        <v>3805</v>
      </c>
      <c r="G2835" s="63" t="str">
        <f>VLOOKUP(C2835, 'Class Def. - General Data'!$C$20:$C$1000,1,false)</f>
        <v>ZPI1_MAINAN_BONEKA</v>
      </c>
      <c r="H2835" s="63" t="str">
        <f>IFERROR(__xludf.DUMMYFUNCTION("VLOOKUP(F2835, IMPORTRANGE(""https://docs.google.com/spreadsheets/d/1Lhp9OU0JdFf_VYSMzH5lBcEaU4o8teT1piV-SNzShjg/edit?gid=554141278#gid=554141278"", ""'Char Def. - Attributes'!C20:C2242""), 1,false)"),"ALT_DENUM_UOM1")</f>
        <v>ALT_DENUM_UOM1</v>
      </c>
      <c r="I2835" s="136"/>
    </row>
    <row r="2836" ht="15.75" customHeight="1">
      <c r="B2836" s="63">
        <f t="shared" si="1"/>
        <v>18</v>
      </c>
      <c r="C2836" s="134" t="s">
        <v>161</v>
      </c>
      <c r="D2836" s="134" t="s">
        <v>74</v>
      </c>
      <c r="E2836" s="135">
        <f t="shared" si="59"/>
        <v>35</v>
      </c>
      <c r="F2836" s="134" t="s">
        <v>3806</v>
      </c>
      <c r="G2836" s="63" t="str">
        <f>VLOOKUP(C2836, 'Class Def. - General Data'!$C$20:$C$1000,1,false)</f>
        <v>ZPI1_MAINAN_BONEKA</v>
      </c>
      <c r="H2836" s="63" t="str">
        <f>IFERROR(__xludf.DUMMYFUNCTION("VLOOKUP(F2836, IMPORTRANGE(""https://docs.google.com/spreadsheets/d/1Lhp9OU0JdFf_VYSMzH5lBcEaU4o8teT1piV-SNzShjg/edit?gid=554141278#gid=554141278"", ""'Char Def. - Attributes'!C20:C2242""), 1,false)"),"ALT_NUM_UOM1")</f>
        <v>ALT_NUM_UOM1</v>
      </c>
      <c r="I2836" s="136"/>
    </row>
    <row r="2837" ht="15.75" customHeight="1">
      <c r="B2837" s="63">
        <f t="shared" si="1"/>
        <v>18</v>
      </c>
      <c r="C2837" s="134" t="s">
        <v>161</v>
      </c>
      <c r="D2837" s="134" t="s">
        <v>74</v>
      </c>
      <c r="E2837" s="135">
        <f t="shared" si="59"/>
        <v>36</v>
      </c>
      <c r="F2837" s="134" t="s">
        <v>3807</v>
      </c>
      <c r="G2837" s="63" t="str">
        <f>VLOOKUP(C2837, 'Class Def. - General Data'!$C$20:$C$1000,1,false)</f>
        <v>ZPI1_MAINAN_BONEKA</v>
      </c>
      <c r="H2837" s="63" t="str">
        <f>IFERROR(__xludf.DUMMYFUNCTION("VLOOKUP(F2837, IMPORTRANGE(""https://docs.google.com/spreadsheets/d/1Lhp9OU0JdFf_VYSMzH5lBcEaU4o8teT1piV-SNzShjg/edit?gid=554141278#gid=554141278"", ""'Char Def. - Attributes'!C20:C2242""), 1,false)"),"ALT_UOM2_SIPI")</f>
        <v>ALT_UOM2_SIPI</v>
      </c>
      <c r="I2837" s="136"/>
    </row>
    <row r="2838" ht="15.75" customHeight="1">
      <c r="B2838" s="63">
        <f t="shared" si="1"/>
        <v>18</v>
      </c>
      <c r="C2838" s="134" t="s">
        <v>161</v>
      </c>
      <c r="D2838" s="134" t="s">
        <v>74</v>
      </c>
      <c r="E2838" s="135">
        <f t="shared" si="59"/>
        <v>37</v>
      </c>
      <c r="F2838" s="134" t="s">
        <v>3808</v>
      </c>
      <c r="G2838" s="63" t="str">
        <f>VLOOKUP(C2838, 'Class Def. - General Data'!$C$20:$C$1000,1,false)</f>
        <v>ZPI1_MAINAN_BONEKA</v>
      </c>
      <c r="H2838" s="63" t="str">
        <f>IFERROR(__xludf.DUMMYFUNCTION("VLOOKUP(F2838, IMPORTRANGE(""https://docs.google.com/spreadsheets/d/1Lhp9OU0JdFf_VYSMzH5lBcEaU4o8teT1piV-SNzShjg/edit?gid=554141278#gid=554141278"", ""'Char Def. - Attributes'!C20:C2242""), 1,false)"),"ALT_DENUM_UOM2")</f>
        <v>ALT_DENUM_UOM2</v>
      </c>
      <c r="I2838" s="136"/>
    </row>
    <row r="2839" ht="15.75" customHeight="1">
      <c r="B2839" s="63">
        <f t="shared" si="1"/>
        <v>18</v>
      </c>
      <c r="C2839" s="134" t="s">
        <v>161</v>
      </c>
      <c r="D2839" s="134" t="s">
        <v>74</v>
      </c>
      <c r="E2839" s="135">
        <f t="shared" si="59"/>
        <v>38</v>
      </c>
      <c r="F2839" s="134" t="s">
        <v>3809</v>
      </c>
      <c r="G2839" s="63" t="str">
        <f>VLOOKUP(C2839, 'Class Def. - General Data'!$C$20:$C$1000,1,false)</f>
        <v>ZPI1_MAINAN_BONEKA</v>
      </c>
      <c r="H2839" s="63" t="str">
        <f>IFERROR(__xludf.DUMMYFUNCTION("VLOOKUP(F2839, IMPORTRANGE(""https://docs.google.com/spreadsheets/d/1Lhp9OU0JdFf_VYSMzH5lBcEaU4o8teT1piV-SNzShjg/edit?gid=554141278#gid=554141278"", ""'Char Def. - Attributes'!C20:C2242""), 1,false)"),"ALT_NUM_UOM2")</f>
        <v>ALT_NUM_UOM2</v>
      </c>
      <c r="I2839" s="136"/>
    </row>
    <row r="2840" ht="15.75" customHeight="1">
      <c r="B2840" s="63">
        <f t="shared" si="1"/>
        <v>18</v>
      </c>
      <c r="C2840" s="134" t="s">
        <v>161</v>
      </c>
      <c r="D2840" s="134" t="s">
        <v>74</v>
      </c>
      <c r="E2840" s="135">
        <f t="shared" si="59"/>
        <v>39</v>
      </c>
      <c r="F2840" s="134" t="s">
        <v>3810</v>
      </c>
      <c r="G2840" s="63" t="str">
        <f>VLOOKUP(C2840, 'Class Def. - General Data'!$C$20:$C$1000,1,false)</f>
        <v>ZPI1_MAINAN_BONEKA</v>
      </c>
      <c r="H2840" s="63" t="str">
        <f>IFERROR(__xludf.DUMMYFUNCTION("VLOOKUP(F2840, IMPORTRANGE(""https://docs.google.com/spreadsheets/d/1Lhp9OU0JdFf_VYSMzH5lBcEaU4o8teT1piV-SNzShjg/edit?gid=554141278#gid=554141278"", ""'Char Def. - Attributes'!C20:C2242""), 1,false)"),"ALT_UOM3_SIPI")</f>
        <v>ALT_UOM3_SIPI</v>
      </c>
      <c r="I2840" s="136"/>
    </row>
    <row r="2841" ht="15.75" customHeight="1">
      <c r="B2841" s="63">
        <f t="shared" si="1"/>
        <v>18</v>
      </c>
      <c r="C2841" s="134" t="s">
        <v>161</v>
      </c>
      <c r="D2841" s="134" t="s">
        <v>74</v>
      </c>
      <c r="E2841" s="135">
        <f t="shared" si="59"/>
        <v>40</v>
      </c>
      <c r="F2841" s="134" t="s">
        <v>3811</v>
      </c>
      <c r="G2841" s="63" t="str">
        <f>VLOOKUP(C2841, 'Class Def. - General Data'!$C$20:$C$1000,1,false)</f>
        <v>ZPI1_MAINAN_BONEKA</v>
      </c>
      <c r="H2841" s="63" t="str">
        <f>IFERROR(__xludf.DUMMYFUNCTION("VLOOKUP(F2841, IMPORTRANGE(""https://docs.google.com/spreadsheets/d/1Lhp9OU0JdFf_VYSMzH5lBcEaU4o8teT1piV-SNzShjg/edit?gid=554141278#gid=554141278"", ""'Char Def. - Attributes'!C20:C2242""), 1,false)"),"ALT_DENUM_UOM3")</f>
        <v>ALT_DENUM_UOM3</v>
      </c>
      <c r="I2841" s="136"/>
    </row>
    <row r="2842" ht="15.75" customHeight="1">
      <c r="B2842" s="63">
        <f t="shared" si="1"/>
        <v>18</v>
      </c>
      <c r="C2842" s="134" t="s">
        <v>161</v>
      </c>
      <c r="D2842" s="134" t="s">
        <v>74</v>
      </c>
      <c r="E2842" s="135">
        <f t="shared" si="59"/>
        <v>41</v>
      </c>
      <c r="F2842" s="134" t="s">
        <v>3812</v>
      </c>
      <c r="G2842" s="63" t="str">
        <f>VLOOKUP(C2842, 'Class Def. - General Data'!$C$20:$C$1000,1,false)</f>
        <v>ZPI1_MAINAN_BONEKA</v>
      </c>
      <c r="H2842" s="63" t="str">
        <f>IFERROR(__xludf.DUMMYFUNCTION("VLOOKUP(F2842, IMPORTRANGE(""https://docs.google.com/spreadsheets/d/1Lhp9OU0JdFf_VYSMzH5lBcEaU4o8teT1piV-SNzShjg/edit?gid=554141278#gid=554141278"", ""'Char Def. - Attributes'!C20:C2242""), 1,false)"),"ALT_NUM_UOM3")</f>
        <v>ALT_NUM_UOM3</v>
      </c>
      <c r="I2842" s="136"/>
    </row>
    <row r="2843" ht="15.75" customHeight="1">
      <c r="B2843" s="63">
        <f t="shared" si="1"/>
        <v>18</v>
      </c>
      <c r="C2843" s="134" t="s">
        <v>161</v>
      </c>
      <c r="D2843" s="134" t="s">
        <v>74</v>
      </c>
      <c r="E2843" s="135">
        <f t="shared" si="59"/>
        <v>42</v>
      </c>
      <c r="F2843" s="134" t="s">
        <v>3813</v>
      </c>
      <c r="G2843" s="63" t="str">
        <f>VLOOKUP(C2843, 'Class Def. - General Data'!$C$20:$C$1000,1,false)</f>
        <v>ZPI1_MAINAN_BONEKA</v>
      </c>
      <c r="H2843" s="63" t="str">
        <f>IFERROR(__xludf.DUMMYFUNCTION("VLOOKUP(F2843, IMPORTRANGE(""https://docs.google.com/spreadsheets/d/1Lhp9OU0JdFf_VYSMzH5lBcEaU4o8teT1piV-SNzShjg/edit?gid=554141278#gid=554141278"", ""'Char Def. - Attributes'!C20:C2242""), 1,false)"),"ALT_UOM4_SIPI")</f>
        <v>ALT_UOM4_SIPI</v>
      </c>
      <c r="I2843" s="136"/>
    </row>
    <row r="2844" ht="15.75" customHeight="1">
      <c r="B2844" s="63">
        <f t="shared" si="1"/>
        <v>18</v>
      </c>
      <c r="C2844" s="134" t="s">
        <v>161</v>
      </c>
      <c r="D2844" s="134" t="s">
        <v>74</v>
      </c>
      <c r="E2844" s="135">
        <f t="shared" si="59"/>
        <v>43</v>
      </c>
      <c r="F2844" s="134" t="s">
        <v>3814</v>
      </c>
      <c r="G2844" s="63" t="str">
        <f>VLOOKUP(C2844, 'Class Def. - General Data'!$C$20:$C$1000,1,false)</f>
        <v>ZPI1_MAINAN_BONEKA</v>
      </c>
      <c r="H2844" s="63" t="str">
        <f>IFERROR(__xludf.DUMMYFUNCTION("VLOOKUP(F2844, IMPORTRANGE(""https://docs.google.com/spreadsheets/d/1Lhp9OU0JdFf_VYSMzH5lBcEaU4o8teT1piV-SNzShjg/edit?gid=554141278#gid=554141278"", ""'Char Def. - Attributes'!C20:C2242""), 1,false)"),"ALT_DENUM_UOM4")</f>
        <v>ALT_DENUM_UOM4</v>
      </c>
      <c r="I2844" s="136"/>
    </row>
    <row r="2845" ht="15.75" customHeight="1">
      <c r="B2845" s="63">
        <f t="shared" si="1"/>
        <v>18</v>
      </c>
      <c r="C2845" s="134" t="s">
        <v>161</v>
      </c>
      <c r="D2845" s="134" t="s">
        <v>74</v>
      </c>
      <c r="E2845" s="135">
        <f t="shared" si="59"/>
        <v>44</v>
      </c>
      <c r="F2845" s="134" t="s">
        <v>3815</v>
      </c>
      <c r="G2845" s="63" t="str">
        <f>VLOOKUP(C2845, 'Class Def. - General Data'!$C$20:$C$1000,1,false)</f>
        <v>ZPI1_MAINAN_BONEKA</v>
      </c>
      <c r="H2845" s="63" t="str">
        <f>IFERROR(__xludf.DUMMYFUNCTION("VLOOKUP(F2845, IMPORTRANGE(""https://docs.google.com/spreadsheets/d/1Lhp9OU0JdFf_VYSMzH5lBcEaU4o8teT1piV-SNzShjg/edit?gid=554141278#gid=554141278"", ""'Char Def. - Attributes'!C20:C2242""), 1,false)"),"ALT_NUM_UOM4")</f>
        <v>ALT_NUM_UOM4</v>
      </c>
      <c r="I2845" s="136"/>
    </row>
    <row r="2846" ht="15.75" customHeight="1">
      <c r="B2846" s="63">
        <f t="shared" si="1"/>
        <v>18</v>
      </c>
      <c r="C2846" s="134" t="s">
        <v>161</v>
      </c>
      <c r="D2846" s="134" t="s">
        <v>74</v>
      </c>
      <c r="E2846" s="135">
        <f t="shared" si="59"/>
        <v>45</v>
      </c>
      <c r="F2846" s="134" t="s">
        <v>3816</v>
      </c>
      <c r="G2846" s="63" t="str">
        <f>VLOOKUP(C2846, 'Class Def. - General Data'!$C$20:$C$1000,1,false)</f>
        <v>ZPI1_MAINAN_BONEKA</v>
      </c>
      <c r="H2846" s="63" t="str">
        <f>IFERROR(__xludf.DUMMYFUNCTION("VLOOKUP(F2846, IMPORTRANGE(""https://docs.google.com/spreadsheets/d/1Lhp9OU0JdFf_VYSMzH5lBcEaU4o8teT1piV-SNzShjg/edit?gid=554141278#gid=554141278"", ""'Char Def. - Attributes'!C20:C2242""), 1,false)"),"ALT_UOM5_SIPI")</f>
        <v>ALT_UOM5_SIPI</v>
      </c>
      <c r="I2846" s="136"/>
    </row>
    <row r="2847" ht="15.75" customHeight="1">
      <c r="B2847" s="63">
        <f t="shared" si="1"/>
        <v>18</v>
      </c>
      <c r="C2847" s="134" t="s">
        <v>161</v>
      </c>
      <c r="D2847" s="134" t="s">
        <v>74</v>
      </c>
      <c r="E2847" s="135">
        <f t="shared" si="59"/>
        <v>46</v>
      </c>
      <c r="F2847" s="134" t="s">
        <v>3817</v>
      </c>
      <c r="G2847" s="63" t="str">
        <f>VLOOKUP(C2847, 'Class Def. - General Data'!$C$20:$C$1000,1,false)</f>
        <v>ZPI1_MAINAN_BONEKA</v>
      </c>
      <c r="H2847" s="63" t="str">
        <f>IFERROR(__xludf.DUMMYFUNCTION("VLOOKUP(F2847, IMPORTRANGE(""https://docs.google.com/spreadsheets/d/1Lhp9OU0JdFf_VYSMzH5lBcEaU4o8teT1piV-SNzShjg/edit?gid=554141278#gid=554141278"", ""'Char Def. - Attributes'!C20:C2242""), 1,false)"),"ALT_DENUM_UOM5")</f>
        <v>ALT_DENUM_UOM5</v>
      </c>
      <c r="I2847" s="136"/>
    </row>
    <row r="2848" ht="15.75" customHeight="1">
      <c r="B2848" s="63">
        <f t="shared" si="1"/>
        <v>18</v>
      </c>
      <c r="C2848" s="134" t="s">
        <v>161</v>
      </c>
      <c r="D2848" s="134" t="s">
        <v>74</v>
      </c>
      <c r="E2848" s="135">
        <f t="shared" si="59"/>
        <v>47</v>
      </c>
      <c r="F2848" s="134" t="s">
        <v>3818</v>
      </c>
      <c r="G2848" s="63" t="str">
        <f>VLOOKUP(C2848, 'Class Def. - General Data'!$C$20:$C$1000,1,false)</f>
        <v>ZPI1_MAINAN_BONEKA</v>
      </c>
      <c r="H2848" s="63" t="str">
        <f>IFERROR(__xludf.DUMMYFUNCTION("VLOOKUP(F2848, IMPORTRANGE(""https://docs.google.com/spreadsheets/d/1Lhp9OU0JdFf_VYSMzH5lBcEaU4o8teT1piV-SNzShjg/edit?gid=554141278#gid=554141278"", ""'Char Def. - Attributes'!C20:C2242""), 1,false)"),"ALT_NUM_UOM5")</f>
        <v>ALT_NUM_UOM5</v>
      </c>
      <c r="I2848" s="136"/>
    </row>
    <row r="2849" ht="15.75" customHeight="1">
      <c r="B2849" s="63">
        <f t="shared" si="1"/>
        <v>12</v>
      </c>
      <c r="C2849" s="134" t="s">
        <v>146</v>
      </c>
      <c r="D2849" s="134" t="s">
        <v>74</v>
      </c>
      <c r="E2849" s="135">
        <f t="shared" si="59"/>
        <v>1</v>
      </c>
      <c r="F2849" s="134" t="s">
        <v>3833</v>
      </c>
      <c r="G2849" s="63" t="str">
        <f>VLOOKUP(C2849, 'Class Def. - General Data'!$C$20:$C$1000,1,false)</f>
        <v>ZPI1_PAKAIAN</v>
      </c>
      <c r="H2849" s="63" t="str">
        <f>IFERROR(__xludf.DUMMYFUNCTION("VLOOKUP(F2849, IMPORTRANGE(""https://docs.google.com/spreadsheets/d/1Lhp9OU0JdFf_VYSMzH5lBcEaU4o8teT1piV-SNzShjg/edit?gid=554141278#gid=554141278"", ""'Char Def. - Attributes'!C20:C2242""), 1,false)"),"ITEM_NAME_PAKAIAN")</f>
        <v>ITEM_NAME_PAKAIAN</v>
      </c>
      <c r="I2849" s="136"/>
    </row>
    <row r="2850" ht="15.75" customHeight="1">
      <c r="B2850" s="63">
        <f t="shared" si="1"/>
        <v>12</v>
      </c>
      <c r="C2850" s="134" t="s">
        <v>146</v>
      </c>
      <c r="D2850" s="134" t="s">
        <v>74</v>
      </c>
      <c r="E2850" s="135">
        <f t="shared" si="59"/>
        <v>2</v>
      </c>
      <c r="F2850" s="134" t="s">
        <v>3778</v>
      </c>
      <c r="G2850" s="63" t="str">
        <f>VLOOKUP(C2850, 'Class Def. - General Data'!$C$20:$C$1000,1,false)</f>
        <v>ZPI1_PAKAIAN</v>
      </c>
      <c r="H2850" s="63" t="str">
        <f>IFERROR(__xludf.DUMMYFUNCTION("VLOOKUP(F2850, IMPORTRANGE(""https://docs.google.com/spreadsheets/d/1Lhp9OU0JdFf_VYSMzH5lBcEaU4o8teT1piV-SNzShjg/edit?gid=554141278#gid=554141278"", ""'Char Def. - Attributes'!C20:C2242""), 1,false)"),"SPECIAL_ACTIVITY")</f>
        <v>SPECIAL_ACTIVITY</v>
      </c>
      <c r="I2850" s="136"/>
    </row>
    <row r="2851" ht="15.75" customHeight="1">
      <c r="B2851" s="63">
        <f t="shared" si="1"/>
        <v>12</v>
      </c>
      <c r="C2851" s="134" t="s">
        <v>146</v>
      </c>
      <c r="D2851" s="134" t="s">
        <v>74</v>
      </c>
      <c r="E2851" s="135">
        <f t="shared" si="59"/>
        <v>3</v>
      </c>
      <c r="F2851" s="135" t="s">
        <v>3779</v>
      </c>
      <c r="G2851" s="63" t="str">
        <f>VLOOKUP(C2851, 'Class Def. - General Data'!$C$20:$C$1000,1,false)</f>
        <v>ZPI1_PAKAIAN</v>
      </c>
      <c r="H2851" s="63" t="str">
        <f>IFERROR(__xludf.DUMMYFUNCTION("VLOOKUP(F2851, IMPORTRANGE(""https://docs.google.com/spreadsheets/d/1Lhp9OU0JdFf_VYSMzH5lBcEaU4o8teT1piV-SNzShjg/edit?gid=554141278#gid=554141278"", ""'Char Def. - Attributes'!C20:C2242""), 1,false)"),"EMBOSSED_BRAND_WINGS")</f>
        <v>EMBOSSED_BRAND_WINGS</v>
      </c>
      <c r="I2851" s="136"/>
    </row>
    <row r="2852" ht="15.75" customHeight="1">
      <c r="B2852" s="63">
        <f t="shared" si="1"/>
        <v>12</v>
      </c>
      <c r="C2852" s="134" t="s">
        <v>146</v>
      </c>
      <c r="D2852" s="134" t="s">
        <v>74</v>
      </c>
      <c r="E2852" s="135">
        <f t="shared" si="59"/>
        <v>4</v>
      </c>
      <c r="F2852" s="135" t="s">
        <v>3780</v>
      </c>
      <c r="G2852" s="63" t="str">
        <f>VLOOKUP(C2852, 'Class Def. - General Data'!$C$20:$C$1000,1,false)</f>
        <v>ZPI1_PAKAIAN</v>
      </c>
      <c r="H2852" s="63" t="str">
        <f>IFERROR(__xludf.DUMMYFUNCTION("VLOOKUP(F2852, IMPORTRANGE(""https://docs.google.com/spreadsheets/d/1Lhp9OU0JdFf_VYSMzH5lBcEaU4o8teT1piV-SNzShjg/edit?gid=554141278#gid=554141278"", ""'Char Def. - Attributes'!C20:C2242""), 1,false)"),"BRAND_WINGS_SIPI")</f>
        <v>BRAND_WINGS_SIPI</v>
      </c>
      <c r="I2852" s="136"/>
    </row>
    <row r="2853" ht="15.75" customHeight="1">
      <c r="B2853" s="63">
        <f t="shared" si="1"/>
        <v>12</v>
      </c>
      <c r="C2853" s="134" t="s">
        <v>146</v>
      </c>
      <c r="D2853" s="134" t="s">
        <v>74</v>
      </c>
      <c r="E2853" s="135">
        <f t="shared" si="59"/>
        <v>5</v>
      </c>
      <c r="F2853" s="134" t="s">
        <v>3781</v>
      </c>
      <c r="G2853" s="63" t="str">
        <f>VLOOKUP(C2853, 'Class Def. - General Data'!$C$20:$C$1000,1,false)</f>
        <v>ZPI1_PAKAIAN</v>
      </c>
      <c r="H2853" s="63" t="str">
        <f>IFERROR(__xludf.DUMMYFUNCTION("VLOOKUP(F2853, IMPORTRANGE(""https://docs.google.com/spreadsheets/d/1Lhp9OU0JdFf_VYSMzH5lBcEaU4o8teT1piV-SNzShjg/edit?gid=554141278#gid=554141278"", ""'Char Def. - Attributes'!C20:C2242""), 1,false)"),"EXTERNAL_BRAND")</f>
        <v>EXTERNAL_BRAND</v>
      </c>
      <c r="I2853" s="136"/>
    </row>
    <row r="2854" ht="15.75" customHeight="1">
      <c r="B2854" s="63">
        <f t="shared" si="1"/>
        <v>12</v>
      </c>
      <c r="C2854" s="134" t="s">
        <v>146</v>
      </c>
      <c r="D2854" s="134" t="s">
        <v>74</v>
      </c>
      <c r="E2854" s="135">
        <f t="shared" si="59"/>
        <v>6</v>
      </c>
      <c r="F2854" s="134" t="s">
        <v>3782</v>
      </c>
      <c r="G2854" s="63" t="str">
        <f>VLOOKUP(C2854, 'Class Def. - General Data'!$C$20:$C$1000,1,false)</f>
        <v>ZPI1_PAKAIAN</v>
      </c>
      <c r="H2854" s="63" t="str">
        <f>IFERROR(__xludf.DUMMYFUNCTION("VLOOKUP(F2854, IMPORTRANGE(""https://docs.google.com/spreadsheets/d/1Lhp9OU0JdFf_VYSMzH5lBcEaU4o8teT1piV-SNzShjg/edit?gid=554141278#gid=554141278"", ""'Char Def. - Attributes'!C20:C2242""), 1,false)"),"BRAND_EXTERNAL")</f>
        <v>BRAND_EXTERNAL</v>
      </c>
      <c r="I2854" s="136"/>
    </row>
    <row r="2855" ht="15.75" customHeight="1">
      <c r="B2855" s="63">
        <f t="shared" si="1"/>
        <v>12</v>
      </c>
      <c r="C2855" s="134" t="s">
        <v>146</v>
      </c>
      <c r="D2855" s="134" t="s">
        <v>74</v>
      </c>
      <c r="E2855" s="135">
        <f t="shared" si="59"/>
        <v>7</v>
      </c>
      <c r="F2855" s="134" t="s">
        <v>3783</v>
      </c>
      <c r="G2855" s="63" t="str">
        <f>VLOOKUP(C2855, 'Class Def. - General Data'!$C$20:$C$1000,1,false)</f>
        <v>ZPI1_PAKAIAN</v>
      </c>
      <c r="H2855" s="63" t="str">
        <f>IFERROR(__xludf.DUMMYFUNCTION("VLOOKUP(F2855, IMPORTRANGE(""https://docs.google.com/spreadsheets/d/1Lhp9OU0JdFf_VYSMzH5lBcEaU4o8teT1piV-SNzShjg/edit?gid=554141278#gid=554141278"", ""'Char Def. - Attributes'!C20:C2242""), 1,false)"),"NO_SERI_BRAND_EXTERNAL")</f>
        <v>NO_SERI_BRAND_EXTERNAL</v>
      </c>
      <c r="I2855" s="136"/>
    </row>
    <row r="2856" ht="15.75" customHeight="1">
      <c r="B2856" s="63">
        <f t="shared" si="1"/>
        <v>12</v>
      </c>
      <c r="C2856" s="134" t="s">
        <v>146</v>
      </c>
      <c r="D2856" s="134" t="s">
        <v>74</v>
      </c>
      <c r="E2856" s="135">
        <f t="shared" si="59"/>
        <v>8</v>
      </c>
      <c r="F2856" s="134" t="s">
        <v>3834</v>
      </c>
      <c r="G2856" s="63" t="str">
        <f>VLOOKUP(C2856, 'Class Def. - General Data'!$C$20:$C$1000,1,false)</f>
        <v>ZPI1_PAKAIAN</v>
      </c>
      <c r="H2856" s="63" t="str">
        <f>IFERROR(__xludf.DUMMYFUNCTION("VLOOKUP(F2856, IMPORTRANGE(""https://docs.google.com/spreadsheets/d/1Lhp9OU0JdFf_VYSMzH5lBcEaU4o8teT1piV-SNzShjg/edit?gid=554141278#gid=554141278"", ""'Char Def. - Attributes'!C20:C2242""), 1,false)"),"MATERIAL_PAKAIAN")</f>
        <v>MATERIAL_PAKAIAN</v>
      </c>
      <c r="I2856" s="136"/>
    </row>
    <row r="2857" ht="15.75" customHeight="1">
      <c r="B2857" s="63">
        <f t="shared" si="1"/>
        <v>12</v>
      </c>
      <c r="C2857" s="134" t="s">
        <v>146</v>
      </c>
      <c r="D2857" s="134" t="s">
        <v>74</v>
      </c>
      <c r="E2857" s="135">
        <f t="shared" si="59"/>
        <v>9</v>
      </c>
      <c r="F2857" s="134" t="s">
        <v>3835</v>
      </c>
      <c r="G2857" s="63" t="str">
        <f>VLOOKUP(C2857, 'Class Def. - General Data'!$C$20:$C$1000,1,false)</f>
        <v>ZPI1_PAKAIAN</v>
      </c>
      <c r="H2857" s="63" t="str">
        <f>IFERROR(__xludf.DUMMYFUNCTION("VLOOKUP(F2857, IMPORTRANGE(""https://docs.google.com/spreadsheets/d/1Lhp9OU0JdFf_VYSMzH5lBcEaU4o8teT1piV-SNzShjg/edit?gid=554141278#gid=554141278"", ""'Char Def. - Attributes'!C20:C2242""), 1,false)"),"SIZE_UNIT_PAKAIAN")</f>
        <v>SIZE_UNIT_PAKAIAN</v>
      </c>
      <c r="I2857" s="136"/>
    </row>
    <row r="2858" ht="15.75" customHeight="1">
      <c r="B2858" s="63">
        <f t="shared" si="1"/>
        <v>12</v>
      </c>
      <c r="C2858" s="134" t="s">
        <v>146</v>
      </c>
      <c r="D2858" s="134" t="s">
        <v>74</v>
      </c>
      <c r="E2858" s="135">
        <f t="shared" si="59"/>
        <v>10</v>
      </c>
      <c r="F2858" s="134" t="s">
        <v>3791</v>
      </c>
      <c r="G2858" s="63" t="str">
        <f>VLOOKUP(C2858, 'Class Def. - General Data'!$C$20:$C$1000,1,false)</f>
        <v>ZPI1_PAKAIAN</v>
      </c>
      <c r="H2858" s="63" t="str">
        <f>IFERROR(__xludf.DUMMYFUNCTION("VLOOKUP(F2858, IMPORTRANGE(""https://docs.google.com/spreadsheets/d/1Lhp9OU0JdFf_VYSMzH5lBcEaU4o8teT1piV-SNzShjg/edit?gid=554141278#gid=554141278"", ""'Char Def. - Attributes'!C20:C2242""), 1,false)"),"HAS_SPESIFIC_COLOUR")</f>
        <v>HAS_SPESIFIC_COLOUR</v>
      </c>
      <c r="I2858" s="136"/>
    </row>
    <row r="2859" ht="15.75" customHeight="1">
      <c r="B2859" s="63">
        <f t="shared" si="1"/>
        <v>12</v>
      </c>
      <c r="C2859" s="134" t="s">
        <v>146</v>
      </c>
      <c r="D2859" s="134" t="s">
        <v>74</v>
      </c>
      <c r="E2859" s="135">
        <f t="shared" si="59"/>
        <v>11</v>
      </c>
      <c r="F2859" s="134" t="s">
        <v>3792</v>
      </c>
      <c r="G2859" s="63" t="str">
        <f>VLOOKUP(C2859, 'Class Def. - General Data'!$C$20:$C$1000,1,false)</f>
        <v>ZPI1_PAKAIAN</v>
      </c>
      <c r="H2859" s="63" t="str">
        <f>IFERROR(__xludf.DUMMYFUNCTION("VLOOKUP(F2859, IMPORTRANGE(""https://docs.google.com/spreadsheets/d/1Lhp9OU0JdFf_VYSMzH5lBcEaU4o8teT1piV-SNzShjg/edit?gid=554141278#gid=554141278"", ""'Char Def. - Attributes'!C20:C2242""), 1,false)"),"COLOUR")</f>
        <v>COLOUR</v>
      </c>
      <c r="I2859" s="136"/>
    </row>
    <row r="2860" ht="15.75" customHeight="1">
      <c r="B2860" s="63">
        <f t="shared" si="1"/>
        <v>12</v>
      </c>
      <c r="C2860" s="134" t="s">
        <v>146</v>
      </c>
      <c r="D2860" s="134" t="s">
        <v>74</v>
      </c>
      <c r="E2860" s="135">
        <f t="shared" si="59"/>
        <v>12</v>
      </c>
      <c r="F2860" s="134" t="s">
        <v>3793</v>
      </c>
      <c r="G2860" s="63" t="str">
        <f>VLOOKUP(C2860, 'Class Def. - General Data'!$C$20:$C$1000,1,false)</f>
        <v>ZPI1_PAKAIAN</v>
      </c>
      <c r="H2860" s="63" t="str">
        <f>IFERROR(__xludf.DUMMYFUNCTION("VLOOKUP(F2860, IMPORTRANGE(""https://docs.google.com/spreadsheets/d/1Lhp9OU0JdFf_VYSMzH5lBcEaU4o8teT1piV-SNzShjg/edit?gid=554141278#gid=554141278"", ""'Char Def. - Attributes'!C20:C2242""), 1,false)"),"EMBOSSED_SPESIFIC_DESAIN")</f>
        <v>EMBOSSED_SPESIFIC_DESAIN</v>
      </c>
      <c r="I2860" s="136"/>
    </row>
    <row r="2861" ht="15.75" customHeight="1">
      <c r="B2861" s="63">
        <f t="shared" si="1"/>
        <v>12</v>
      </c>
      <c r="C2861" s="134" t="s">
        <v>146</v>
      </c>
      <c r="D2861" s="134" t="s">
        <v>74</v>
      </c>
      <c r="E2861" s="135">
        <f t="shared" si="59"/>
        <v>13</v>
      </c>
      <c r="F2861" s="134" t="s">
        <v>3794</v>
      </c>
      <c r="G2861" s="63" t="str">
        <f>VLOOKUP(C2861, 'Class Def. - General Data'!$C$20:$C$1000,1,false)</f>
        <v>ZPI1_PAKAIAN</v>
      </c>
      <c r="H2861" s="63" t="str">
        <f>IFERROR(__xludf.DUMMYFUNCTION("VLOOKUP(F2861, IMPORTRANGE(""https://docs.google.com/spreadsheets/d/1Lhp9OU0JdFf_VYSMzH5lBcEaU4o8teT1piV-SNzShjg/edit?gid=554141278#gid=554141278"", ""'Char Def. - Attributes'!C20:C2242""), 1,false)"),"DESAIN_NAME")</f>
        <v>DESAIN_NAME</v>
      </c>
      <c r="I2861" s="136"/>
    </row>
    <row r="2862" ht="15.75" customHeight="1">
      <c r="B2862" s="63">
        <f t="shared" si="1"/>
        <v>12</v>
      </c>
      <c r="C2862" s="134" t="s">
        <v>146</v>
      </c>
      <c r="D2862" s="134" t="s">
        <v>74</v>
      </c>
      <c r="E2862" s="135">
        <f t="shared" si="59"/>
        <v>14</v>
      </c>
      <c r="F2862" s="134" t="s">
        <v>3795</v>
      </c>
      <c r="G2862" s="63" t="str">
        <f>VLOOKUP(C2862, 'Class Def. - General Data'!$C$20:$C$1000,1,false)</f>
        <v>ZPI1_PAKAIAN</v>
      </c>
      <c r="H2862" s="63" t="str">
        <f>IFERROR(__xludf.DUMMYFUNCTION("VLOOKUP(F2862, IMPORTRANGE(""https://docs.google.com/spreadsheets/d/1Lhp9OU0JdFf_VYSMzH5lBcEaU4o8teT1piV-SNzShjg/edit?gid=554141278#gid=554141278"", ""'Char Def. - Attributes'!C20:C2242""), 1,false)"),"DESAIN_MONTH")</f>
        <v>DESAIN_MONTH</v>
      </c>
      <c r="I2862" s="136"/>
    </row>
    <row r="2863" ht="15.75" customHeight="1">
      <c r="B2863" s="63">
        <f t="shared" si="1"/>
        <v>12</v>
      </c>
      <c r="C2863" s="134" t="s">
        <v>146</v>
      </c>
      <c r="D2863" s="134" t="s">
        <v>74</v>
      </c>
      <c r="E2863" s="135">
        <f t="shared" si="59"/>
        <v>15</v>
      </c>
      <c r="F2863" s="134" t="s">
        <v>3796</v>
      </c>
      <c r="G2863" s="63" t="str">
        <f>VLOOKUP(C2863, 'Class Def. - General Data'!$C$20:$C$1000,1,false)</f>
        <v>ZPI1_PAKAIAN</v>
      </c>
      <c r="H2863" s="63" t="str">
        <f>IFERROR(__xludf.DUMMYFUNCTION("VLOOKUP(F2863, IMPORTRANGE(""https://docs.google.com/spreadsheets/d/1Lhp9OU0JdFf_VYSMzH5lBcEaU4o8teT1piV-SNzShjg/edit?gid=554141278#gid=554141278"", ""'Char Def. - Attributes'!C20:C2242""), 1,false)"),"DESAIN_YEAR")</f>
        <v>DESAIN_YEAR</v>
      </c>
      <c r="I2863" s="136"/>
    </row>
    <row r="2864" ht="15.75" customHeight="1">
      <c r="B2864" s="63">
        <f t="shared" si="1"/>
        <v>12</v>
      </c>
      <c r="C2864" s="134" t="s">
        <v>146</v>
      </c>
      <c r="D2864" s="134" t="s">
        <v>74</v>
      </c>
      <c r="E2864" s="135">
        <f t="shared" si="59"/>
        <v>16</v>
      </c>
      <c r="F2864" s="134" t="s">
        <v>3797</v>
      </c>
      <c r="G2864" s="63" t="str">
        <f>VLOOKUP(C2864, 'Class Def. - General Data'!$C$20:$C$1000,1,false)</f>
        <v>ZPI1_PAKAIAN</v>
      </c>
      <c r="H2864" s="63" t="str">
        <f>IFERROR(__xludf.DUMMYFUNCTION("VLOOKUP(F2864, IMPORTRANGE(""https://docs.google.com/spreadsheets/d/1Lhp9OU0JdFf_VYSMzH5lBcEaU4o8teT1piV-SNzShjg/edit?gid=554141278#gid=554141278"", ""'Char Def. - Attributes'!C20:C2242""), 1,false)"),"SPEC_QTY_IN_ONE_BUNDLE")</f>
        <v>SPEC_QTY_IN_ONE_BUNDLE</v>
      </c>
      <c r="I2864" s="136"/>
    </row>
    <row r="2865" ht="15.75" customHeight="1">
      <c r="B2865" s="63">
        <f t="shared" si="1"/>
        <v>12</v>
      </c>
      <c r="C2865" s="134" t="s">
        <v>146</v>
      </c>
      <c r="D2865" s="134" t="s">
        <v>74</v>
      </c>
      <c r="E2865" s="135">
        <f t="shared" si="59"/>
        <v>17</v>
      </c>
      <c r="F2865" s="134" t="s">
        <v>3798</v>
      </c>
      <c r="G2865" s="63" t="str">
        <f>VLOOKUP(C2865, 'Class Def. - General Data'!$C$20:$C$1000,1,false)</f>
        <v>ZPI1_PAKAIAN</v>
      </c>
      <c r="H2865" s="63" t="str">
        <f>IFERROR(__xludf.DUMMYFUNCTION("VLOOKUP(F2865, IMPORTRANGE(""https://docs.google.com/spreadsheets/d/1Lhp9OU0JdFf_VYSMzH5lBcEaU4o8teT1piV-SNzShjg/edit?gid=554141278#gid=554141278"", ""'Char Def. - Attributes'!C20:C2242""), 1,false)"),"QTY_IN_ONE_BUNDLE")</f>
        <v>QTY_IN_ONE_BUNDLE</v>
      </c>
      <c r="I2865" s="136"/>
    </row>
    <row r="2866" ht="15.75" customHeight="1">
      <c r="B2866" s="63">
        <f t="shared" si="1"/>
        <v>12</v>
      </c>
      <c r="C2866" s="134" t="s">
        <v>146</v>
      </c>
      <c r="D2866" s="134" t="s">
        <v>74</v>
      </c>
      <c r="E2866" s="135">
        <f t="shared" si="59"/>
        <v>18</v>
      </c>
      <c r="F2866" s="134" t="s">
        <v>3585</v>
      </c>
      <c r="G2866" s="63" t="str">
        <f>VLOOKUP(C2866, 'Class Def. - General Data'!$C$20:$C$1000,1,false)</f>
        <v>ZPI1_PAKAIAN</v>
      </c>
      <c r="H2866" s="63" t="str">
        <f>IFERROR(__xludf.DUMMYFUNCTION("VLOOKUP(F2866, IMPORTRANGE(""https://docs.google.com/spreadsheets/d/1Lhp9OU0JdFf_VYSMzH5lBcEaU4o8teT1piV-SNzShjg/edit?gid=554141278#gid=554141278"", ""'Char Def. - Attributes'!C20:C2242""), 1,false)"),"HS_CODE")</f>
        <v>HS_CODE</v>
      </c>
      <c r="I2866" s="136"/>
    </row>
    <row r="2867" ht="15.75" customHeight="1">
      <c r="B2867" s="63">
        <f t="shared" si="1"/>
        <v>12</v>
      </c>
      <c r="C2867" s="134" t="s">
        <v>146</v>
      </c>
      <c r="D2867" s="134" t="s">
        <v>74</v>
      </c>
      <c r="E2867" s="135">
        <f t="shared" si="59"/>
        <v>19</v>
      </c>
      <c r="F2867" s="134" t="s">
        <v>3799</v>
      </c>
      <c r="G2867" s="63" t="str">
        <f>VLOOKUP(C2867, 'Class Def. - General Data'!$C$20:$C$1000,1,false)</f>
        <v>ZPI1_PAKAIAN</v>
      </c>
      <c r="H2867" s="63" t="str">
        <f>IFERROR(__xludf.DUMMYFUNCTION("VLOOKUP(F2867, IMPORTRANGE(""https://docs.google.com/spreadsheets/d/1Lhp9OU0JdFf_VYSMzH5lBcEaU4o8teT1piV-SNzShjg/edit?gid=554141278#gid=554141278"", ""'Char Def. - Attributes'!C20:C2242""), 1,false)"),"BASE_UNIT_ZPI1")</f>
        <v>BASE_UNIT_ZPI1</v>
      </c>
      <c r="I2867" s="136"/>
    </row>
    <row r="2868" ht="15.75" customHeight="1">
      <c r="B2868" s="63">
        <f t="shared" si="1"/>
        <v>12</v>
      </c>
      <c r="C2868" s="134" t="s">
        <v>146</v>
      </c>
      <c r="D2868" s="134" t="s">
        <v>74</v>
      </c>
      <c r="E2868" s="135">
        <f t="shared" si="59"/>
        <v>20</v>
      </c>
      <c r="F2868" s="135" t="s">
        <v>3800</v>
      </c>
      <c r="G2868" s="63" t="str">
        <f>VLOOKUP(C2868, 'Class Def. - General Data'!$C$20:$C$1000,1,false)</f>
        <v>ZPI1_PAKAIAN</v>
      </c>
      <c r="H2868" s="63" t="str">
        <f>IFERROR(__xludf.DUMMYFUNCTION("VLOOKUP(F2868, IMPORTRANGE(""https://docs.google.com/spreadsheets/d/1Lhp9OU0JdFf_VYSMzH5lBcEaU4o8teT1piV-SNzShjg/edit?gid=554141278#gid=554141278"", ""'Char Def. - Attributes'!C20:C2242""), 1,false)"),"ORDER_UNIT_DIFF_FROM_BASIC_UOM")</f>
        <v>ORDER_UNIT_DIFF_FROM_BASIC_UOM</v>
      </c>
      <c r="I2868" s="136"/>
    </row>
    <row r="2869" ht="15.75" customHeight="1">
      <c r="B2869" s="63">
        <f t="shared" si="1"/>
        <v>12</v>
      </c>
      <c r="C2869" s="134" t="s">
        <v>146</v>
      </c>
      <c r="D2869" s="134" t="s">
        <v>74</v>
      </c>
      <c r="E2869" s="135">
        <f t="shared" si="59"/>
        <v>21</v>
      </c>
      <c r="F2869" s="135" t="s">
        <v>3801</v>
      </c>
      <c r="G2869" s="63" t="str">
        <f>VLOOKUP(C2869, 'Class Def. - General Data'!$C$20:$C$1000,1,false)</f>
        <v>ZPI1_PAKAIAN</v>
      </c>
      <c r="H2869" s="63" t="str">
        <f>IFERROR(__xludf.DUMMYFUNCTION("VLOOKUP(F2869, IMPORTRANGE(""https://docs.google.com/spreadsheets/d/1Lhp9OU0JdFf_VYSMzH5lBcEaU4o8teT1piV-SNzShjg/edit?gid=554141278#gid=554141278"", ""'Char Def. - Attributes'!C20:C2242""), 1,false)"),"ORDER_UNIT_ZPI1")</f>
        <v>ORDER_UNIT_ZPI1</v>
      </c>
      <c r="I2869" s="136"/>
    </row>
    <row r="2870" ht="15.75" customHeight="1">
      <c r="B2870" s="63">
        <f t="shared" si="1"/>
        <v>12</v>
      </c>
      <c r="C2870" s="134" t="s">
        <v>146</v>
      </c>
      <c r="D2870" s="134" t="s">
        <v>74</v>
      </c>
      <c r="E2870" s="135">
        <f t="shared" si="59"/>
        <v>22</v>
      </c>
      <c r="F2870" s="134" t="s">
        <v>3802</v>
      </c>
      <c r="G2870" s="63" t="str">
        <f>VLOOKUP(C2870, 'Class Def. - General Data'!$C$20:$C$1000,1,false)</f>
        <v>ZPI1_PAKAIAN</v>
      </c>
      <c r="H2870" s="63" t="str">
        <f>IFERROR(__xludf.DUMMYFUNCTION("VLOOKUP(F2870, IMPORTRANGE(""https://docs.google.com/spreadsheets/d/1Lhp9OU0JdFf_VYSMzH5lBcEaU4o8teT1piV-SNzShjg/edit?gid=554141278#gid=554141278"", ""'Char Def. - Attributes'!C20:C2242""), 1,false)"),"WEIGHT_UNIT_PI")</f>
        <v>WEIGHT_UNIT_PI</v>
      </c>
      <c r="I2870" s="136"/>
    </row>
    <row r="2871" ht="15.75" customHeight="1">
      <c r="B2871" s="63">
        <f t="shared" si="1"/>
        <v>12</v>
      </c>
      <c r="C2871" s="134" t="s">
        <v>146</v>
      </c>
      <c r="D2871" s="134" t="s">
        <v>74</v>
      </c>
      <c r="E2871" s="135">
        <f t="shared" si="59"/>
        <v>23</v>
      </c>
      <c r="F2871" s="134" t="s">
        <v>3602</v>
      </c>
      <c r="G2871" s="63" t="str">
        <f>VLOOKUP(C2871, 'Class Def. - General Data'!$C$20:$C$1000,1,false)</f>
        <v>ZPI1_PAKAIAN</v>
      </c>
      <c r="H2871" s="63" t="str">
        <f>IFERROR(__xludf.DUMMYFUNCTION("VLOOKUP(F2871, IMPORTRANGE(""https://docs.google.com/spreadsheets/d/1Lhp9OU0JdFf_VYSMzH5lBcEaU4o8teT1piV-SNzShjg/edit?gid=554141278#gid=554141278"", ""'Char Def. - Attributes'!C20:C2242""), 1,false)"),"NET_WEIGHT")</f>
        <v>NET_WEIGHT</v>
      </c>
      <c r="I2871" s="136"/>
    </row>
    <row r="2872" ht="15.75" customHeight="1">
      <c r="B2872" s="63">
        <f t="shared" si="1"/>
        <v>12</v>
      </c>
      <c r="C2872" s="134" t="s">
        <v>146</v>
      </c>
      <c r="D2872" s="134" t="s">
        <v>74</v>
      </c>
      <c r="E2872" s="135">
        <f t="shared" si="59"/>
        <v>24</v>
      </c>
      <c r="F2872" s="134" t="s">
        <v>3601</v>
      </c>
      <c r="G2872" s="63" t="str">
        <f>VLOOKUP(C2872, 'Class Def. - General Data'!$C$20:$C$1000,1,false)</f>
        <v>ZPI1_PAKAIAN</v>
      </c>
      <c r="H2872" s="63" t="str">
        <f>IFERROR(__xludf.DUMMYFUNCTION("VLOOKUP(F2872, IMPORTRANGE(""https://docs.google.com/spreadsheets/d/1Lhp9OU0JdFf_VYSMzH5lBcEaU4o8teT1piV-SNzShjg/edit?gid=554141278#gid=554141278"", ""'Char Def. - Attributes'!C20:C2242""), 1,false)"),"GROSS_WEIGHT")</f>
        <v>GROSS_WEIGHT</v>
      </c>
      <c r="I2872" s="136"/>
    </row>
    <row r="2873" ht="15.75" customHeight="1">
      <c r="B2873" s="63">
        <f t="shared" si="1"/>
        <v>12</v>
      </c>
      <c r="C2873" s="134" t="s">
        <v>146</v>
      </c>
      <c r="D2873" s="134" t="s">
        <v>74</v>
      </c>
      <c r="E2873" s="135">
        <f t="shared" si="59"/>
        <v>25</v>
      </c>
      <c r="F2873" s="134" t="s">
        <v>3803</v>
      </c>
      <c r="G2873" s="63" t="str">
        <f>VLOOKUP(C2873, 'Class Def. - General Data'!$C$20:$C$1000,1,false)</f>
        <v>ZPI1_PAKAIAN</v>
      </c>
      <c r="H2873" s="63" t="str">
        <f>IFERROR(__xludf.DUMMYFUNCTION("VLOOKUP(F2873, IMPORTRANGE(""https://docs.google.com/spreadsheets/d/1Lhp9OU0JdFf_VYSMzH5lBcEaU4o8teT1piV-SNzShjg/edit?gid=554141278#gid=554141278"", ""'Char Def. - Attributes'!C20:C2242""), 1,false)"),"VOLUME_UNIT_PI")</f>
        <v>VOLUME_UNIT_PI</v>
      </c>
      <c r="I2873" s="136"/>
    </row>
    <row r="2874" ht="15.75" customHeight="1">
      <c r="B2874" s="63">
        <f t="shared" si="1"/>
        <v>12</v>
      </c>
      <c r="C2874" s="134" t="s">
        <v>146</v>
      </c>
      <c r="D2874" s="134" t="s">
        <v>74</v>
      </c>
      <c r="E2874" s="135">
        <f t="shared" si="59"/>
        <v>26</v>
      </c>
      <c r="F2874" s="134" t="s">
        <v>3603</v>
      </c>
      <c r="G2874" s="63" t="str">
        <f>VLOOKUP(C2874, 'Class Def. - General Data'!$C$20:$C$1000,1,false)</f>
        <v>ZPI1_PAKAIAN</v>
      </c>
      <c r="H2874" s="63" t="str">
        <f>IFERROR(__xludf.DUMMYFUNCTION("VLOOKUP(F2874, IMPORTRANGE(""https://docs.google.com/spreadsheets/d/1Lhp9OU0JdFf_VYSMzH5lBcEaU4o8teT1piV-SNzShjg/edit?gid=554141278#gid=554141278"", ""'Char Def. - Attributes'!C20:C2242""), 1,false)"),"VOLUME")</f>
        <v>VOLUME</v>
      </c>
      <c r="I2874" s="136"/>
    </row>
    <row r="2875" ht="15.75" customHeight="1">
      <c r="B2875" s="63">
        <f t="shared" si="1"/>
        <v>12</v>
      </c>
      <c r="C2875" s="134" t="s">
        <v>146</v>
      </c>
      <c r="D2875" s="134" t="s">
        <v>74</v>
      </c>
      <c r="E2875" s="135">
        <f t="shared" si="59"/>
        <v>27</v>
      </c>
      <c r="F2875" s="134" t="s">
        <v>3587</v>
      </c>
      <c r="G2875" s="63" t="str">
        <f>VLOOKUP(C2875, 'Class Def. - General Data'!$C$20:$C$1000,1,false)</f>
        <v>ZPI1_PAKAIAN</v>
      </c>
      <c r="H2875" s="63" t="str">
        <f>IFERROR(__xludf.DUMMYFUNCTION("VLOOKUP(F2875, IMPORTRANGE(""https://docs.google.com/spreadsheets/d/1Lhp9OU0JdFf_VYSMzH5lBcEaU4o8teT1piV-SNzShjg/edit?gid=554141278#gid=554141278"", ""'Char Def. - Attributes'!C20:C2242""), 1,false)"),"PLANT_BUY")</f>
        <v>PLANT_BUY</v>
      </c>
      <c r="I2875" s="136"/>
    </row>
    <row r="2876" ht="15.75" customHeight="1">
      <c r="B2876" s="63">
        <f t="shared" si="1"/>
        <v>12</v>
      </c>
      <c r="C2876" s="134" t="s">
        <v>146</v>
      </c>
      <c r="D2876" s="134" t="s">
        <v>74</v>
      </c>
      <c r="E2876" s="135">
        <f t="shared" si="59"/>
        <v>28</v>
      </c>
      <c r="F2876" s="134" t="s">
        <v>3804</v>
      </c>
      <c r="G2876" s="63" t="str">
        <f>VLOOKUP(C2876, 'Class Def. - General Data'!$C$20:$C$1000,1,false)</f>
        <v>ZPI1_PAKAIAN</v>
      </c>
      <c r="H2876" s="63" t="str">
        <f>IFERROR(__xludf.DUMMYFUNCTION("VLOOKUP(F2876, IMPORTRANGE(""https://docs.google.com/spreadsheets/d/1Lhp9OU0JdFf_VYSMzH5lBcEaU4o8teT1piV-SNzShjg/edit?gid=554141278#gid=554141278"", ""'Char Def. - Attributes'!C20:C2242""), 1,false)"),"ALT_UOM1_SIPI")</f>
        <v>ALT_UOM1_SIPI</v>
      </c>
      <c r="I2876" s="136"/>
    </row>
    <row r="2877" ht="15.75" customHeight="1">
      <c r="B2877" s="63">
        <f t="shared" si="1"/>
        <v>12</v>
      </c>
      <c r="C2877" s="134" t="s">
        <v>146</v>
      </c>
      <c r="D2877" s="134" t="s">
        <v>74</v>
      </c>
      <c r="E2877" s="135">
        <f t="shared" si="59"/>
        <v>29</v>
      </c>
      <c r="F2877" s="134" t="s">
        <v>3805</v>
      </c>
      <c r="G2877" s="63" t="str">
        <f>VLOOKUP(C2877, 'Class Def. - General Data'!$C$20:$C$1000,1,false)</f>
        <v>ZPI1_PAKAIAN</v>
      </c>
      <c r="H2877" s="63" t="str">
        <f>IFERROR(__xludf.DUMMYFUNCTION("VLOOKUP(F2877, IMPORTRANGE(""https://docs.google.com/spreadsheets/d/1Lhp9OU0JdFf_VYSMzH5lBcEaU4o8teT1piV-SNzShjg/edit?gid=554141278#gid=554141278"", ""'Char Def. - Attributes'!C20:C2242""), 1,false)"),"ALT_DENUM_UOM1")</f>
        <v>ALT_DENUM_UOM1</v>
      </c>
      <c r="I2877" s="136"/>
    </row>
    <row r="2878" ht="15.75" customHeight="1">
      <c r="B2878" s="63">
        <f t="shared" si="1"/>
        <v>12</v>
      </c>
      <c r="C2878" s="134" t="s">
        <v>146</v>
      </c>
      <c r="D2878" s="134" t="s">
        <v>74</v>
      </c>
      <c r="E2878" s="135">
        <f t="shared" si="59"/>
        <v>30</v>
      </c>
      <c r="F2878" s="134" t="s">
        <v>3806</v>
      </c>
      <c r="G2878" s="63" t="str">
        <f>VLOOKUP(C2878, 'Class Def. - General Data'!$C$20:$C$1000,1,false)</f>
        <v>ZPI1_PAKAIAN</v>
      </c>
      <c r="H2878" s="63" t="str">
        <f>IFERROR(__xludf.DUMMYFUNCTION("VLOOKUP(F2878, IMPORTRANGE(""https://docs.google.com/spreadsheets/d/1Lhp9OU0JdFf_VYSMzH5lBcEaU4o8teT1piV-SNzShjg/edit?gid=554141278#gid=554141278"", ""'Char Def. - Attributes'!C20:C2242""), 1,false)"),"ALT_NUM_UOM1")</f>
        <v>ALT_NUM_UOM1</v>
      </c>
      <c r="I2878" s="136"/>
    </row>
    <row r="2879" ht="15.75" customHeight="1">
      <c r="B2879" s="63">
        <f t="shared" si="1"/>
        <v>12</v>
      </c>
      <c r="C2879" s="134" t="s">
        <v>146</v>
      </c>
      <c r="D2879" s="134" t="s">
        <v>74</v>
      </c>
      <c r="E2879" s="135">
        <f t="shared" si="59"/>
        <v>31</v>
      </c>
      <c r="F2879" s="134" t="s">
        <v>3807</v>
      </c>
      <c r="G2879" s="63" t="str">
        <f>VLOOKUP(C2879, 'Class Def. - General Data'!$C$20:$C$1000,1,false)</f>
        <v>ZPI1_PAKAIAN</v>
      </c>
      <c r="H2879" s="63" t="str">
        <f>IFERROR(__xludf.DUMMYFUNCTION("VLOOKUP(F2879, IMPORTRANGE(""https://docs.google.com/spreadsheets/d/1Lhp9OU0JdFf_VYSMzH5lBcEaU4o8teT1piV-SNzShjg/edit?gid=554141278#gid=554141278"", ""'Char Def. - Attributes'!C20:C2242""), 1,false)"),"ALT_UOM2_SIPI")</f>
        <v>ALT_UOM2_SIPI</v>
      </c>
      <c r="I2879" s="136"/>
    </row>
    <row r="2880" ht="15.75" customHeight="1">
      <c r="B2880" s="63">
        <f t="shared" si="1"/>
        <v>12</v>
      </c>
      <c r="C2880" s="134" t="s">
        <v>146</v>
      </c>
      <c r="D2880" s="134" t="s">
        <v>74</v>
      </c>
      <c r="E2880" s="135">
        <f t="shared" si="59"/>
        <v>32</v>
      </c>
      <c r="F2880" s="134" t="s">
        <v>3808</v>
      </c>
      <c r="G2880" s="63" t="str">
        <f>VLOOKUP(C2880, 'Class Def. - General Data'!$C$20:$C$1000,1,false)</f>
        <v>ZPI1_PAKAIAN</v>
      </c>
      <c r="H2880" s="63" t="str">
        <f>IFERROR(__xludf.DUMMYFUNCTION("VLOOKUP(F2880, IMPORTRANGE(""https://docs.google.com/spreadsheets/d/1Lhp9OU0JdFf_VYSMzH5lBcEaU4o8teT1piV-SNzShjg/edit?gid=554141278#gid=554141278"", ""'Char Def. - Attributes'!C20:C2242""), 1,false)"),"ALT_DENUM_UOM2")</f>
        <v>ALT_DENUM_UOM2</v>
      </c>
      <c r="I2880" s="136"/>
    </row>
    <row r="2881" ht="15.75" customHeight="1">
      <c r="B2881" s="63">
        <f t="shared" si="1"/>
        <v>12</v>
      </c>
      <c r="C2881" s="134" t="s">
        <v>146</v>
      </c>
      <c r="D2881" s="134" t="s">
        <v>74</v>
      </c>
      <c r="E2881" s="135">
        <f t="shared" si="59"/>
        <v>33</v>
      </c>
      <c r="F2881" s="134" t="s">
        <v>3809</v>
      </c>
      <c r="G2881" s="63" t="str">
        <f>VLOOKUP(C2881, 'Class Def. - General Data'!$C$20:$C$1000,1,false)</f>
        <v>ZPI1_PAKAIAN</v>
      </c>
      <c r="H2881" s="63" t="str">
        <f>IFERROR(__xludf.DUMMYFUNCTION("VLOOKUP(F2881, IMPORTRANGE(""https://docs.google.com/spreadsheets/d/1Lhp9OU0JdFf_VYSMzH5lBcEaU4o8teT1piV-SNzShjg/edit?gid=554141278#gid=554141278"", ""'Char Def. - Attributes'!C20:C2242""), 1,false)"),"ALT_NUM_UOM2")</f>
        <v>ALT_NUM_UOM2</v>
      </c>
      <c r="I2881" s="136"/>
    </row>
    <row r="2882" ht="15.75" customHeight="1">
      <c r="B2882" s="63">
        <f t="shared" si="1"/>
        <v>12</v>
      </c>
      <c r="C2882" s="134" t="s">
        <v>146</v>
      </c>
      <c r="D2882" s="134" t="s">
        <v>74</v>
      </c>
      <c r="E2882" s="135">
        <f t="shared" si="59"/>
        <v>34</v>
      </c>
      <c r="F2882" s="134" t="s">
        <v>3810</v>
      </c>
      <c r="G2882" s="63" t="str">
        <f>VLOOKUP(C2882, 'Class Def. - General Data'!$C$20:$C$1000,1,false)</f>
        <v>ZPI1_PAKAIAN</v>
      </c>
      <c r="H2882" s="63" t="str">
        <f>IFERROR(__xludf.DUMMYFUNCTION("VLOOKUP(F2882, IMPORTRANGE(""https://docs.google.com/spreadsheets/d/1Lhp9OU0JdFf_VYSMzH5lBcEaU4o8teT1piV-SNzShjg/edit?gid=554141278#gid=554141278"", ""'Char Def. - Attributes'!C20:C2242""), 1,false)"),"ALT_UOM3_SIPI")</f>
        <v>ALT_UOM3_SIPI</v>
      </c>
      <c r="I2882" s="136"/>
    </row>
    <row r="2883" ht="15.75" customHeight="1">
      <c r="B2883" s="63">
        <f t="shared" si="1"/>
        <v>12</v>
      </c>
      <c r="C2883" s="134" t="s">
        <v>146</v>
      </c>
      <c r="D2883" s="134" t="s">
        <v>74</v>
      </c>
      <c r="E2883" s="135">
        <f t="shared" si="59"/>
        <v>35</v>
      </c>
      <c r="F2883" s="134" t="s">
        <v>3811</v>
      </c>
      <c r="G2883" s="63" t="str">
        <f>VLOOKUP(C2883, 'Class Def. - General Data'!$C$20:$C$1000,1,false)</f>
        <v>ZPI1_PAKAIAN</v>
      </c>
      <c r="H2883" s="63" t="str">
        <f>IFERROR(__xludf.DUMMYFUNCTION("VLOOKUP(F2883, IMPORTRANGE(""https://docs.google.com/spreadsheets/d/1Lhp9OU0JdFf_VYSMzH5lBcEaU4o8teT1piV-SNzShjg/edit?gid=554141278#gid=554141278"", ""'Char Def. - Attributes'!C20:C2242""), 1,false)"),"ALT_DENUM_UOM3")</f>
        <v>ALT_DENUM_UOM3</v>
      </c>
      <c r="I2883" s="136"/>
    </row>
    <row r="2884" ht="15.75" customHeight="1">
      <c r="B2884" s="63">
        <f t="shared" si="1"/>
        <v>12</v>
      </c>
      <c r="C2884" s="134" t="s">
        <v>146</v>
      </c>
      <c r="D2884" s="134" t="s">
        <v>74</v>
      </c>
      <c r="E2884" s="135">
        <f t="shared" si="59"/>
        <v>36</v>
      </c>
      <c r="F2884" s="134" t="s">
        <v>3812</v>
      </c>
      <c r="G2884" s="63" t="str">
        <f>VLOOKUP(C2884, 'Class Def. - General Data'!$C$20:$C$1000,1,false)</f>
        <v>ZPI1_PAKAIAN</v>
      </c>
      <c r="H2884" s="63" t="str">
        <f>IFERROR(__xludf.DUMMYFUNCTION("VLOOKUP(F2884, IMPORTRANGE(""https://docs.google.com/spreadsheets/d/1Lhp9OU0JdFf_VYSMzH5lBcEaU4o8teT1piV-SNzShjg/edit?gid=554141278#gid=554141278"", ""'Char Def. - Attributes'!C20:C2242""), 1,false)"),"ALT_NUM_UOM3")</f>
        <v>ALT_NUM_UOM3</v>
      </c>
      <c r="I2884" s="136"/>
    </row>
    <row r="2885" ht="15.75" customHeight="1">
      <c r="B2885" s="63">
        <f t="shared" si="1"/>
        <v>12</v>
      </c>
      <c r="C2885" s="134" t="s">
        <v>146</v>
      </c>
      <c r="D2885" s="134" t="s">
        <v>74</v>
      </c>
      <c r="E2885" s="135">
        <f t="shared" si="59"/>
        <v>37</v>
      </c>
      <c r="F2885" s="134" t="s">
        <v>3813</v>
      </c>
      <c r="G2885" s="63" t="str">
        <f>VLOOKUP(C2885, 'Class Def. - General Data'!$C$20:$C$1000,1,false)</f>
        <v>ZPI1_PAKAIAN</v>
      </c>
      <c r="H2885" s="63" t="str">
        <f>IFERROR(__xludf.DUMMYFUNCTION("VLOOKUP(F2885, IMPORTRANGE(""https://docs.google.com/spreadsheets/d/1Lhp9OU0JdFf_VYSMzH5lBcEaU4o8teT1piV-SNzShjg/edit?gid=554141278#gid=554141278"", ""'Char Def. - Attributes'!C20:C2242""), 1,false)"),"ALT_UOM4_SIPI")</f>
        <v>ALT_UOM4_SIPI</v>
      </c>
      <c r="I2885" s="136"/>
    </row>
    <row r="2886" ht="15.75" customHeight="1">
      <c r="B2886" s="63">
        <f t="shared" si="1"/>
        <v>12</v>
      </c>
      <c r="C2886" s="134" t="s">
        <v>146</v>
      </c>
      <c r="D2886" s="134" t="s">
        <v>74</v>
      </c>
      <c r="E2886" s="135">
        <f t="shared" si="59"/>
        <v>38</v>
      </c>
      <c r="F2886" s="134" t="s">
        <v>3814</v>
      </c>
      <c r="G2886" s="63" t="str">
        <f>VLOOKUP(C2886, 'Class Def. - General Data'!$C$20:$C$1000,1,false)</f>
        <v>ZPI1_PAKAIAN</v>
      </c>
      <c r="H2886" s="63" t="str">
        <f>IFERROR(__xludf.DUMMYFUNCTION("VLOOKUP(F2886, IMPORTRANGE(""https://docs.google.com/spreadsheets/d/1Lhp9OU0JdFf_VYSMzH5lBcEaU4o8teT1piV-SNzShjg/edit?gid=554141278#gid=554141278"", ""'Char Def. - Attributes'!C20:C2242""), 1,false)"),"ALT_DENUM_UOM4")</f>
        <v>ALT_DENUM_UOM4</v>
      </c>
      <c r="I2886" s="136"/>
    </row>
    <row r="2887" ht="15.75" customHeight="1">
      <c r="B2887" s="63">
        <f t="shared" si="1"/>
        <v>12</v>
      </c>
      <c r="C2887" s="134" t="s">
        <v>146</v>
      </c>
      <c r="D2887" s="134" t="s">
        <v>74</v>
      </c>
      <c r="E2887" s="135">
        <f t="shared" si="59"/>
        <v>39</v>
      </c>
      <c r="F2887" s="134" t="s">
        <v>3815</v>
      </c>
      <c r="G2887" s="63" t="str">
        <f>VLOOKUP(C2887, 'Class Def. - General Data'!$C$20:$C$1000,1,false)</f>
        <v>ZPI1_PAKAIAN</v>
      </c>
      <c r="H2887" s="63" t="str">
        <f>IFERROR(__xludf.DUMMYFUNCTION("VLOOKUP(F2887, IMPORTRANGE(""https://docs.google.com/spreadsheets/d/1Lhp9OU0JdFf_VYSMzH5lBcEaU4o8teT1piV-SNzShjg/edit?gid=554141278#gid=554141278"", ""'Char Def. - Attributes'!C20:C2242""), 1,false)"),"ALT_NUM_UOM4")</f>
        <v>ALT_NUM_UOM4</v>
      </c>
      <c r="I2887" s="136"/>
    </row>
    <row r="2888" ht="15.75" customHeight="1">
      <c r="B2888" s="63">
        <f t="shared" si="1"/>
        <v>12</v>
      </c>
      <c r="C2888" s="134" t="s">
        <v>146</v>
      </c>
      <c r="D2888" s="134" t="s">
        <v>74</v>
      </c>
      <c r="E2888" s="135">
        <f t="shared" si="59"/>
        <v>40</v>
      </c>
      <c r="F2888" s="134" t="s">
        <v>3816</v>
      </c>
      <c r="G2888" s="63" t="str">
        <f>VLOOKUP(C2888, 'Class Def. - General Data'!$C$20:$C$1000,1,false)</f>
        <v>ZPI1_PAKAIAN</v>
      </c>
      <c r="H2888" s="63" t="str">
        <f>IFERROR(__xludf.DUMMYFUNCTION("VLOOKUP(F2888, IMPORTRANGE(""https://docs.google.com/spreadsheets/d/1Lhp9OU0JdFf_VYSMzH5lBcEaU4o8teT1piV-SNzShjg/edit?gid=554141278#gid=554141278"", ""'Char Def. - Attributes'!C20:C2242""), 1,false)"),"ALT_UOM5_SIPI")</f>
        <v>ALT_UOM5_SIPI</v>
      </c>
      <c r="I2888" s="136"/>
    </row>
    <row r="2889" ht="15.75" customHeight="1">
      <c r="B2889" s="63">
        <f t="shared" si="1"/>
        <v>12</v>
      </c>
      <c r="C2889" s="134" t="s">
        <v>146</v>
      </c>
      <c r="D2889" s="134" t="s">
        <v>74</v>
      </c>
      <c r="E2889" s="135">
        <f t="shared" si="59"/>
        <v>41</v>
      </c>
      <c r="F2889" s="134" t="s">
        <v>3817</v>
      </c>
      <c r="G2889" s="63" t="str">
        <f>VLOOKUP(C2889, 'Class Def. - General Data'!$C$20:$C$1000,1,false)</f>
        <v>ZPI1_PAKAIAN</v>
      </c>
      <c r="H2889" s="63" t="str">
        <f>IFERROR(__xludf.DUMMYFUNCTION("VLOOKUP(F2889, IMPORTRANGE(""https://docs.google.com/spreadsheets/d/1Lhp9OU0JdFf_VYSMzH5lBcEaU4o8teT1piV-SNzShjg/edit?gid=554141278#gid=554141278"", ""'Char Def. - Attributes'!C20:C2242""), 1,false)"),"ALT_DENUM_UOM5")</f>
        <v>ALT_DENUM_UOM5</v>
      </c>
      <c r="I2889" s="136"/>
    </row>
    <row r="2890" ht="15.75" customHeight="1">
      <c r="B2890" s="63">
        <f t="shared" si="1"/>
        <v>12</v>
      </c>
      <c r="C2890" s="134" t="s">
        <v>146</v>
      </c>
      <c r="D2890" s="134" t="s">
        <v>74</v>
      </c>
      <c r="E2890" s="135">
        <f t="shared" si="59"/>
        <v>42</v>
      </c>
      <c r="F2890" s="134" t="s">
        <v>3818</v>
      </c>
      <c r="G2890" s="63" t="str">
        <f>VLOOKUP(C2890, 'Class Def. - General Data'!$C$20:$C$1000,1,false)</f>
        <v>ZPI1_PAKAIAN</v>
      </c>
      <c r="H2890" s="63" t="str">
        <f>IFERROR(__xludf.DUMMYFUNCTION("VLOOKUP(F2890, IMPORTRANGE(""https://docs.google.com/spreadsheets/d/1Lhp9OU0JdFf_VYSMzH5lBcEaU4o8teT1piV-SNzShjg/edit?gid=554141278#gid=554141278"", ""'Char Def. - Attributes'!C20:C2242""), 1,false)"),"ALT_NUM_UOM5")</f>
        <v>ALT_NUM_UOM5</v>
      </c>
      <c r="I2890" s="136"/>
    </row>
    <row r="2891" ht="15.75" customHeight="1">
      <c r="B2891" s="63">
        <f t="shared" si="1"/>
        <v>17</v>
      </c>
      <c r="C2891" s="134" t="s">
        <v>154</v>
      </c>
      <c r="D2891" s="134" t="s">
        <v>74</v>
      </c>
      <c r="E2891" s="135">
        <f t="shared" si="59"/>
        <v>1</v>
      </c>
      <c r="F2891" s="134" t="s">
        <v>3836</v>
      </c>
      <c r="G2891" s="63" t="str">
        <f>VLOOKUP(C2891, 'Class Def. - General Data'!$C$20:$C$1000,1,false)</f>
        <v>ZPI1_PERLKP_DAPUR</v>
      </c>
      <c r="H2891" s="63" t="str">
        <f>IFERROR(__xludf.DUMMYFUNCTION("VLOOKUP(F2891, IMPORTRANGE(""https://docs.google.com/spreadsheets/d/1Lhp9OU0JdFf_VYSMzH5lBcEaU4o8teT1piV-SNzShjg/edit?gid=554141278#gid=554141278"", ""'Char Def. - Attributes'!C20:C2242""), 1,false)"),"ITEM_NAME_PERLKP_DAPUR")</f>
        <v>ITEM_NAME_PERLKP_DAPUR</v>
      </c>
      <c r="I2891" s="136"/>
    </row>
    <row r="2892" ht="15.75" customHeight="1">
      <c r="B2892" s="63">
        <f t="shared" si="1"/>
        <v>17</v>
      </c>
      <c r="C2892" s="134" t="s">
        <v>154</v>
      </c>
      <c r="D2892" s="134" t="s">
        <v>74</v>
      </c>
      <c r="E2892" s="135">
        <f t="shared" si="59"/>
        <v>2</v>
      </c>
      <c r="F2892" s="134" t="s">
        <v>3778</v>
      </c>
      <c r="G2892" s="63" t="str">
        <f>VLOOKUP(C2892, 'Class Def. - General Data'!$C$20:$C$1000,1,false)</f>
        <v>ZPI1_PERLKP_DAPUR</v>
      </c>
      <c r="H2892" s="63" t="str">
        <f>IFERROR(__xludf.DUMMYFUNCTION("VLOOKUP(F2892, IMPORTRANGE(""https://docs.google.com/spreadsheets/d/1Lhp9OU0JdFf_VYSMzH5lBcEaU4o8teT1piV-SNzShjg/edit?gid=554141278#gid=554141278"", ""'Char Def. - Attributes'!C20:C2242""), 1,false)"),"SPECIAL_ACTIVITY")</f>
        <v>SPECIAL_ACTIVITY</v>
      </c>
      <c r="I2892" s="136"/>
    </row>
    <row r="2893" ht="15.75" customHeight="1">
      <c r="B2893" s="63">
        <f t="shared" si="1"/>
        <v>17</v>
      </c>
      <c r="C2893" s="134" t="s">
        <v>154</v>
      </c>
      <c r="D2893" s="134" t="s">
        <v>74</v>
      </c>
      <c r="E2893" s="135">
        <f t="shared" si="59"/>
        <v>3</v>
      </c>
      <c r="F2893" s="135" t="s">
        <v>3779</v>
      </c>
      <c r="G2893" s="63" t="str">
        <f>VLOOKUP(C2893, 'Class Def. - General Data'!$C$20:$C$1000,1,false)</f>
        <v>ZPI1_PERLKP_DAPUR</v>
      </c>
      <c r="H2893" s="63" t="str">
        <f>IFERROR(__xludf.DUMMYFUNCTION("VLOOKUP(F2893, IMPORTRANGE(""https://docs.google.com/spreadsheets/d/1Lhp9OU0JdFf_VYSMzH5lBcEaU4o8teT1piV-SNzShjg/edit?gid=554141278#gid=554141278"", ""'Char Def. - Attributes'!C20:C2242""), 1,false)"),"EMBOSSED_BRAND_WINGS")</f>
        <v>EMBOSSED_BRAND_WINGS</v>
      </c>
      <c r="I2893" s="136"/>
    </row>
    <row r="2894" ht="15.75" customHeight="1">
      <c r="B2894" s="63">
        <f t="shared" si="1"/>
        <v>17</v>
      </c>
      <c r="C2894" s="134" t="s">
        <v>154</v>
      </c>
      <c r="D2894" s="134" t="s">
        <v>74</v>
      </c>
      <c r="E2894" s="135">
        <f t="shared" si="59"/>
        <v>4</v>
      </c>
      <c r="F2894" s="135" t="s">
        <v>3780</v>
      </c>
      <c r="G2894" s="63" t="str">
        <f>VLOOKUP(C2894, 'Class Def. - General Data'!$C$20:$C$1000,1,false)</f>
        <v>ZPI1_PERLKP_DAPUR</v>
      </c>
      <c r="H2894" s="63" t="str">
        <f>IFERROR(__xludf.DUMMYFUNCTION("VLOOKUP(F2894, IMPORTRANGE(""https://docs.google.com/spreadsheets/d/1Lhp9OU0JdFf_VYSMzH5lBcEaU4o8teT1piV-SNzShjg/edit?gid=554141278#gid=554141278"", ""'Char Def. - Attributes'!C20:C2242""), 1,false)"),"BRAND_WINGS_SIPI")</f>
        <v>BRAND_WINGS_SIPI</v>
      </c>
      <c r="I2894" s="136"/>
    </row>
    <row r="2895" ht="15.75" customHeight="1">
      <c r="B2895" s="63">
        <f t="shared" si="1"/>
        <v>17</v>
      </c>
      <c r="C2895" s="134" t="s">
        <v>154</v>
      </c>
      <c r="D2895" s="134" t="s">
        <v>74</v>
      </c>
      <c r="E2895" s="135">
        <f t="shared" si="59"/>
        <v>5</v>
      </c>
      <c r="F2895" s="134" t="s">
        <v>3781</v>
      </c>
      <c r="G2895" s="63" t="str">
        <f>VLOOKUP(C2895, 'Class Def. - General Data'!$C$20:$C$1000,1,false)</f>
        <v>ZPI1_PERLKP_DAPUR</v>
      </c>
      <c r="H2895" s="63" t="str">
        <f>IFERROR(__xludf.DUMMYFUNCTION("VLOOKUP(F2895, IMPORTRANGE(""https://docs.google.com/spreadsheets/d/1Lhp9OU0JdFf_VYSMzH5lBcEaU4o8teT1piV-SNzShjg/edit?gid=554141278#gid=554141278"", ""'Char Def. - Attributes'!C20:C2242""), 1,false)"),"EXTERNAL_BRAND")</f>
        <v>EXTERNAL_BRAND</v>
      </c>
      <c r="I2895" s="136"/>
    </row>
    <row r="2896" ht="15.75" customHeight="1">
      <c r="B2896" s="63">
        <f t="shared" si="1"/>
        <v>17</v>
      </c>
      <c r="C2896" s="134" t="s">
        <v>154</v>
      </c>
      <c r="D2896" s="134" t="s">
        <v>74</v>
      </c>
      <c r="E2896" s="135">
        <f t="shared" si="59"/>
        <v>6</v>
      </c>
      <c r="F2896" s="134" t="s">
        <v>3782</v>
      </c>
      <c r="G2896" s="63" t="str">
        <f>VLOOKUP(C2896, 'Class Def. - General Data'!$C$20:$C$1000,1,false)</f>
        <v>ZPI1_PERLKP_DAPUR</v>
      </c>
      <c r="H2896" s="63" t="str">
        <f>IFERROR(__xludf.DUMMYFUNCTION("VLOOKUP(F2896, IMPORTRANGE(""https://docs.google.com/spreadsheets/d/1Lhp9OU0JdFf_VYSMzH5lBcEaU4o8teT1piV-SNzShjg/edit?gid=554141278#gid=554141278"", ""'Char Def. - Attributes'!C20:C2242""), 1,false)"),"BRAND_EXTERNAL")</f>
        <v>BRAND_EXTERNAL</v>
      </c>
      <c r="I2896" s="136"/>
    </row>
    <row r="2897" ht="15.75" customHeight="1">
      <c r="B2897" s="63">
        <f t="shared" si="1"/>
        <v>17</v>
      </c>
      <c r="C2897" s="134" t="s">
        <v>154</v>
      </c>
      <c r="D2897" s="134" t="s">
        <v>74</v>
      </c>
      <c r="E2897" s="135">
        <f t="shared" si="59"/>
        <v>7</v>
      </c>
      <c r="F2897" s="134" t="s">
        <v>3783</v>
      </c>
      <c r="G2897" s="63" t="str">
        <f>VLOOKUP(C2897, 'Class Def. - General Data'!$C$20:$C$1000,1,false)</f>
        <v>ZPI1_PERLKP_DAPUR</v>
      </c>
      <c r="H2897" s="63" t="str">
        <f>IFERROR(__xludf.DUMMYFUNCTION("VLOOKUP(F2897, IMPORTRANGE(""https://docs.google.com/spreadsheets/d/1Lhp9OU0JdFf_VYSMzH5lBcEaU4o8teT1piV-SNzShjg/edit?gid=554141278#gid=554141278"", ""'Char Def. - Attributes'!C20:C2242""), 1,false)"),"NO_SERI_BRAND_EXTERNAL")</f>
        <v>NO_SERI_BRAND_EXTERNAL</v>
      </c>
      <c r="I2897" s="136"/>
    </row>
    <row r="2898" ht="15.75" customHeight="1">
      <c r="B2898" s="63">
        <f t="shared" si="1"/>
        <v>17</v>
      </c>
      <c r="C2898" s="134" t="s">
        <v>154</v>
      </c>
      <c r="D2898" s="134" t="s">
        <v>74</v>
      </c>
      <c r="E2898" s="135">
        <f t="shared" si="59"/>
        <v>8</v>
      </c>
      <c r="F2898" s="134" t="s">
        <v>3837</v>
      </c>
      <c r="G2898" s="63" t="str">
        <f>VLOOKUP(C2898, 'Class Def. - General Data'!$C$20:$C$1000,1,false)</f>
        <v>ZPI1_PERLKP_DAPUR</v>
      </c>
      <c r="H2898" s="63" t="str">
        <f>IFERROR(__xludf.DUMMYFUNCTION("VLOOKUP(F2898, IMPORTRANGE(""https://docs.google.com/spreadsheets/d/1Lhp9OU0JdFf_VYSMzH5lBcEaU4o8teT1piV-SNzShjg/edit?gid=554141278#gid=554141278"", ""'Char Def. - Attributes'!C20:C2242""), 1,false)"),"MATERIAL_PERLKP_DAPUR")</f>
        <v>MATERIAL_PERLKP_DAPUR</v>
      </c>
      <c r="I2898" s="136"/>
    </row>
    <row r="2899" ht="15.75" customHeight="1">
      <c r="B2899" s="63">
        <f t="shared" si="1"/>
        <v>17</v>
      </c>
      <c r="C2899" s="143" t="s">
        <v>154</v>
      </c>
      <c r="D2899" s="143" t="s">
        <v>74</v>
      </c>
      <c r="E2899" s="135">
        <f t="shared" si="59"/>
        <v>9</v>
      </c>
      <c r="F2899" s="134" t="s">
        <v>3838</v>
      </c>
      <c r="G2899" s="63" t="str">
        <f>VLOOKUP(C2899, 'Class Def. - General Data'!$C$20:$C$1000,1,false)</f>
        <v>ZPI1_PERLKP_DAPUR</v>
      </c>
      <c r="H2899" s="63" t="str">
        <f>IFERROR(__xludf.DUMMYFUNCTION("VLOOKUP(F2899, IMPORTRANGE(""https://docs.google.com/spreadsheets/d/1Lhp9OU0JdFf_VYSMzH5lBcEaU4o8teT1piV-SNzShjg/edit?gid=554141278#gid=554141278"", ""'Char Def. - Attributes'!C20:C2242""), 1,false)"),"ITEM_CAPACITY_UNIT")</f>
        <v>ITEM_CAPACITY_UNIT</v>
      </c>
      <c r="I2899" s="136"/>
    </row>
    <row r="2900" ht="15.75" customHeight="1">
      <c r="B2900" s="63">
        <f t="shared" si="1"/>
        <v>17</v>
      </c>
      <c r="C2900" s="143" t="s">
        <v>154</v>
      </c>
      <c r="D2900" s="143" t="s">
        <v>74</v>
      </c>
      <c r="E2900" s="135">
        <f t="shared" si="59"/>
        <v>10</v>
      </c>
      <c r="F2900" s="134" t="s">
        <v>3839</v>
      </c>
      <c r="G2900" s="63" t="str">
        <f>VLOOKUP(C2900, 'Class Def. - General Data'!$C$20:$C$1000,1,false)</f>
        <v>ZPI1_PERLKP_DAPUR</v>
      </c>
      <c r="H2900" s="63" t="str">
        <f>IFERROR(__xludf.DUMMYFUNCTION("VLOOKUP(F2900, IMPORTRANGE(""https://docs.google.com/spreadsheets/d/1Lhp9OU0JdFf_VYSMzH5lBcEaU4o8teT1piV-SNzShjg/edit?gid=554141278#gid=554141278"", ""'Char Def. - Attributes'!C20:C2242""), 1,false)"),"ITEM_CAPACITY")</f>
        <v>ITEM_CAPACITY</v>
      </c>
      <c r="I2900" s="136"/>
    </row>
    <row r="2901" ht="15.75" customHeight="1">
      <c r="B2901" s="63">
        <f t="shared" si="1"/>
        <v>17</v>
      </c>
      <c r="C2901" s="143" t="s">
        <v>154</v>
      </c>
      <c r="D2901" s="143" t="s">
        <v>74</v>
      </c>
      <c r="E2901" s="135">
        <f t="shared" si="59"/>
        <v>11</v>
      </c>
      <c r="F2901" s="134" t="s">
        <v>3785</v>
      </c>
      <c r="G2901" s="63" t="str">
        <f>VLOOKUP(C2901, 'Class Def. - General Data'!$C$20:$C$1000,1,false)</f>
        <v>ZPI1_PERLKP_DAPUR</v>
      </c>
      <c r="H2901" s="63" t="str">
        <f>IFERROR(__xludf.DUMMYFUNCTION("VLOOKUP(F2901, IMPORTRANGE(""https://docs.google.com/spreadsheets/d/1Lhp9OU0JdFf_VYSMzH5lBcEaU4o8teT1piV-SNzShjg/edit?gid=554141278#gid=554141278"", ""'Char Def. - Attributes'!C20:C2242""), 1,false)"),"ITEM_SHAPE")</f>
        <v>ITEM_SHAPE</v>
      </c>
      <c r="I2901" s="136"/>
    </row>
    <row r="2902" ht="15.75" customHeight="1">
      <c r="B2902" s="63">
        <f t="shared" si="1"/>
        <v>17</v>
      </c>
      <c r="C2902" s="143" t="s">
        <v>154</v>
      </c>
      <c r="D2902" s="143" t="s">
        <v>74</v>
      </c>
      <c r="E2902" s="135">
        <f t="shared" si="59"/>
        <v>12</v>
      </c>
      <c r="F2902" s="134" t="s">
        <v>3786</v>
      </c>
      <c r="G2902" s="63" t="str">
        <f>VLOOKUP(C2902, 'Class Def. - General Data'!$C$20:$C$1000,1,false)</f>
        <v>ZPI1_PERLKP_DAPUR</v>
      </c>
      <c r="H2902" s="63" t="str">
        <f>IFERROR(__xludf.DUMMYFUNCTION("VLOOKUP(F2902, IMPORTRANGE(""https://docs.google.com/spreadsheets/d/1Lhp9OU0JdFf_VYSMzH5lBcEaU4o8teT1piV-SNzShjg/edit?gid=554141278#gid=554141278"", ""'Char Def. - Attributes'!C20:C2242""), 1,false)"),"SIZE_UNIT_DIMENSI")</f>
        <v>SIZE_UNIT_DIMENSI</v>
      </c>
      <c r="I2902" s="136"/>
    </row>
    <row r="2903" ht="15.75" customHeight="1">
      <c r="B2903" s="63">
        <f t="shared" si="1"/>
        <v>17</v>
      </c>
      <c r="C2903" s="143" t="s">
        <v>154</v>
      </c>
      <c r="D2903" s="143" t="s">
        <v>74</v>
      </c>
      <c r="E2903" s="135">
        <f t="shared" si="59"/>
        <v>13</v>
      </c>
      <c r="F2903" s="135" t="s">
        <v>3787</v>
      </c>
      <c r="G2903" s="63" t="str">
        <f>VLOOKUP(C2903, 'Class Def. - General Data'!$C$20:$C$1000,1,false)</f>
        <v>ZPI1_PERLKP_DAPUR</v>
      </c>
      <c r="H2903" s="63" t="str">
        <f>IFERROR(__xludf.DUMMYFUNCTION("VLOOKUP(F2903, IMPORTRANGE(""https://docs.google.com/spreadsheets/d/1Lhp9OU0JdFf_VYSMzH5lBcEaU4o8teT1piV-SNzShjg/edit?gid=554141278#gid=554141278"", ""'Char Def. - Attributes'!C20:C2242""), 1,false)"),"DIAMETER_PCS")</f>
        <v>DIAMETER_PCS</v>
      </c>
      <c r="I2903" s="136"/>
    </row>
    <row r="2904" ht="15.75" customHeight="1">
      <c r="B2904" s="63">
        <f t="shared" si="1"/>
        <v>17</v>
      </c>
      <c r="C2904" s="143" t="s">
        <v>154</v>
      </c>
      <c r="D2904" s="143" t="s">
        <v>74</v>
      </c>
      <c r="E2904" s="135">
        <f t="shared" si="59"/>
        <v>14</v>
      </c>
      <c r="F2904" s="134" t="s">
        <v>3788</v>
      </c>
      <c r="G2904" s="63" t="str">
        <f>VLOOKUP(C2904, 'Class Def. - General Data'!$C$20:$C$1000,1,false)</f>
        <v>ZPI1_PERLKP_DAPUR</v>
      </c>
      <c r="H2904" s="63" t="str">
        <f>IFERROR(__xludf.DUMMYFUNCTION("VLOOKUP(F2904, IMPORTRANGE(""https://docs.google.com/spreadsheets/d/1Lhp9OU0JdFf_VYSMzH5lBcEaU4o8teT1piV-SNzShjg/edit?gid=554141278#gid=554141278"", ""'Char Def. - Attributes'!C20:C2242""), 1,false)"),"LENGTH_PCS")</f>
        <v>LENGTH_PCS</v>
      </c>
      <c r="I2904" s="136"/>
    </row>
    <row r="2905" ht="15.75" customHeight="1">
      <c r="B2905" s="63">
        <f t="shared" si="1"/>
        <v>17</v>
      </c>
      <c r="C2905" s="143" t="s">
        <v>154</v>
      </c>
      <c r="D2905" s="143" t="s">
        <v>74</v>
      </c>
      <c r="E2905" s="135">
        <f t="shared" si="59"/>
        <v>15</v>
      </c>
      <c r="F2905" s="134" t="s">
        <v>3789</v>
      </c>
      <c r="G2905" s="63" t="str">
        <f>VLOOKUP(C2905, 'Class Def. - General Data'!$C$20:$C$1000,1,false)</f>
        <v>ZPI1_PERLKP_DAPUR</v>
      </c>
      <c r="H2905" s="63" t="str">
        <f>IFERROR(__xludf.DUMMYFUNCTION("VLOOKUP(F2905, IMPORTRANGE(""https://docs.google.com/spreadsheets/d/1Lhp9OU0JdFf_VYSMzH5lBcEaU4o8teT1piV-SNzShjg/edit?gid=554141278#gid=554141278"", ""'Char Def. - Attributes'!C20:C2242""), 1,false)"),"WIDTH_PCS")</f>
        <v>WIDTH_PCS</v>
      </c>
      <c r="I2905" s="136"/>
    </row>
    <row r="2906" ht="15.75" customHeight="1">
      <c r="B2906" s="63">
        <f t="shared" si="1"/>
        <v>17</v>
      </c>
      <c r="C2906" s="143" t="s">
        <v>154</v>
      </c>
      <c r="D2906" s="143" t="s">
        <v>74</v>
      </c>
      <c r="E2906" s="135">
        <f t="shared" si="59"/>
        <v>16</v>
      </c>
      <c r="F2906" s="134" t="s">
        <v>3790</v>
      </c>
      <c r="G2906" s="63" t="str">
        <f>VLOOKUP(C2906, 'Class Def. - General Data'!$C$20:$C$1000,1,false)</f>
        <v>ZPI1_PERLKP_DAPUR</v>
      </c>
      <c r="H2906" s="63" t="str">
        <f>IFERROR(__xludf.DUMMYFUNCTION("VLOOKUP(F2906, IMPORTRANGE(""https://docs.google.com/spreadsheets/d/1Lhp9OU0JdFf_VYSMzH5lBcEaU4o8teT1piV-SNzShjg/edit?gid=554141278#gid=554141278"", ""'Char Def. - Attributes'!C20:C2242""), 1,false)"),"HEIGHT_PCS")</f>
        <v>HEIGHT_PCS</v>
      </c>
      <c r="I2906" s="136"/>
    </row>
    <row r="2907" ht="15.75" customHeight="1">
      <c r="B2907" s="63">
        <f t="shared" si="1"/>
        <v>17</v>
      </c>
      <c r="C2907" s="143" t="s">
        <v>154</v>
      </c>
      <c r="D2907" s="143" t="s">
        <v>74</v>
      </c>
      <c r="E2907" s="135">
        <f t="shared" si="59"/>
        <v>17</v>
      </c>
      <c r="F2907" s="134" t="s">
        <v>3791</v>
      </c>
      <c r="G2907" s="63" t="str">
        <f>VLOOKUP(C2907, 'Class Def. - General Data'!$C$20:$C$1000,1,false)</f>
        <v>ZPI1_PERLKP_DAPUR</v>
      </c>
      <c r="H2907" s="63" t="str">
        <f>IFERROR(__xludf.DUMMYFUNCTION("VLOOKUP(F2907, IMPORTRANGE(""https://docs.google.com/spreadsheets/d/1Lhp9OU0JdFf_VYSMzH5lBcEaU4o8teT1piV-SNzShjg/edit?gid=554141278#gid=554141278"", ""'Char Def. - Attributes'!C20:C2242""), 1,false)"),"HAS_SPESIFIC_COLOUR")</f>
        <v>HAS_SPESIFIC_COLOUR</v>
      </c>
      <c r="I2907" s="136"/>
    </row>
    <row r="2908" ht="15.75" customHeight="1">
      <c r="B2908" s="63">
        <f t="shared" si="1"/>
        <v>17</v>
      </c>
      <c r="C2908" s="143" t="s">
        <v>154</v>
      </c>
      <c r="D2908" s="143" t="s">
        <v>74</v>
      </c>
      <c r="E2908" s="135">
        <f t="shared" si="59"/>
        <v>18</v>
      </c>
      <c r="F2908" s="134" t="s">
        <v>3792</v>
      </c>
      <c r="G2908" s="63" t="str">
        <f>VLOOKUP(C2908, 'Class Def. - General Data'!$C$20:$C$1000,1,false)</f>
        <v>ZPI1_PERLKP_DAPUR</v>
      </c>
      <c r="H2908" s="63" t="str">
        <f>IFERROR(__xludf.DUMMYFUNCTION("VLOOKUP(F2908, IMPORTRANGE(""https://docs.google.com/spreadsheets/d/1Lhp9OU0JdFf_VYSMzH5lBcEaU4o8teT1piV-SNzShjg/edit?gid=554141278#gid=554141278"", ""'Char Def. - Attributes'!C20:C2242""), 1,false)"),"COLOUR")</f>
        <v>COLOUR</v>
      </c>
      <c r="I2908" s="136"/>
    </row>
    <row r="2909" ht="15.75" customHeight="1">
      <c r="B2909" s="63">
        <f t="shared" si="1"/>
        <v>17</v>
      </c>
      <c r="C2909" s="143" t="s">
        <v>154</v>
      </c>
      <c r="D2909" s="143" t="s">
        <v>74</v>
      </c>
      <c r="E2909" s="135">
        <f t="shared" si="59"/>
        <v>19</v>
      </c>
      <c r="F2909" s="134" t="s">
        <v>3793</v>
      </c>
      <c r="G2909" s="63" t="str">
        <f>VLOOKUP(C2909, 'Class Def. - General Data'!$C$20:$C$1000,1,false)</f>
        <v>ZPI1_PERLKP_DAPUR</v>
      </c>
      <c r="H2909" s="63" t="str">
        <f>IFERROR(__xludf.DUMMYFUNCTION("VLOOKUP(F2909, IMPORTRANGE(""https://docs.google.com/spreadsheets/d/1Lhp9OU0JdFf_VYSMzH5lBcEaU4o8teT1piV-SNzShjg/edit?gid=554141278#gid=554141278"", ""'Char Def. - Attributes'!C20:C2242""), 1,false)"),"EMBOSSED_SPESIFIC_DESAIN")</f>
        <v>EMBOSSED_SPESIFIC_DESAIN</v>
      </c>
      <c r="I2909" s="136"/>
    </row>
    <row r="2910" ht="15.75" customHeight="1">
      <c r="B2910" s="63">
        <f t="shared" si="1"/>
        <v>17</v>
      </c>
      <c r="C2910" s="143" t="s">
        <v>154</v>
      </c>
      <c r="D2910" s="143" t="s">
        <v>74</v>
      </c>
      <c r="E2910" s="135">
        <f t="shared" si="59"/>
        <v>20</v>
      </c>
      <c r="F2910" s="134" t="s">
        <v>3794</v>
      </c>
      <c r="G2910" s="63" t="str">
        <f>VLOOKUP(C2910, 'Class Def. - General Data'!$C$20:$C$1000,1,false)</f>
        <v>ZPI1_PERLKP_DAPUR</v>
      </c>
      <c r="H2910" s="63" t="str">
        <f>IFERROR(__xludf.DUMMYFUNCTION("VLOOKUP(F2910, IMPORTRANGE(""https://docs.google.com/spreadsheets/d/1Lhp9OU0JdFf_VYSMzH5lBcEaU4o8teT1piV-SNzShjg/edit?gid=554141278#gid=554141278"", ""'Char Def. - Attributes'!C20:C2242""), 1,false)"),"DESAIN_NAME")</f>
        <v>DESAIN_NAME</v>
      </c>
      <c r="I2910" s="136"/>
    </row>
    <row r="2911" ht="15.75" customHeight="1">
      <c r="B2911" s="63">
        <f t="shared" si="1"/>
        <v>17</v>
      </c>
      <c r="C2911" s="143" t="s">
        <v>154</v>
      </c>
      <c r="D2911" s="143" t="s">
        <v>74</v>
      </c>
      <c r="E2911" s="135">
        <f t="shared" si="59"/>
        <v>21</v>
      </c>
      <c r="F2911" s="134" t="s">
        <v>3795</v>
      </c>
      <c r="G2911" s="63" t="str">
        <f>VLOOKUP(C2911, 'Class Def. - General Data'!$C$20:$C$1000,1,false)</f>
        <v>ZPI1_PERLKP_DAPUR</v>
      </c>
      <c r="H2911" s="63" t="str">
        <f>IFERROR(__xludf.DUMMYFUNCTION("VLOOKUP(F2911, IMPORTRANGE(""https://docs.google.com/spreadsheets/d/1Lhp9OU0JdFf_VYSMzH5lBcEaU4o8teT1piV-SNzShjg/edit?gid=554141278#gid=554141278"", ""'Char Def. - Attributes'!C20:C2242""), 1,false)"),"DESAIN_MONTH")</f>
        <v>DESAIN_MONTH</v>
      </c>
      <c r="I2911" s="136"/>
    </row>
    <row r="2912" ht="15.75" customHeight="1">
      <c r="B2912" s="63">
        <f t="shared" si="1"/>
        <v>17</v>
      </c>
      <c r="C2912" s="143" t="s">
        <v>154</v>
      </c>
      <c r="D2912" s="143" t="s">
        <v>74</v>
      </c>
      <c r="E2912" s="135">
        <f t="shared" si="59"/>
        <v>22</v>
      </c>
      <c r="F2912" s="134" t="s">
        <v>3796</v>
      </c>
      <c r="G2912" s="63" t="str">
        <f>VLOOKUP(C2912, 'Class Def. - General Data'!$C$20:$C$1000,1,false)</f>
        <v>ZPI1_PERLKP_DAPUR</v>
      </c>
      <c r="H2912" s="63" t="str">
        <f>IFERROR(__xludf.DUMMYFUNCTION("VLOOKUP(F2912, IMPORTRANGE(""https://docs.google.com/spreadsheets/d/1Lhp9OU0JdFf_VYSMzH5lBcEaU4o8teT1piV-SNzShjg/edit?gid=554141278#gid=554141278"", ""'Char Def. - Attributes'!C20:C2242""), 1,false)"),"DESAIN_YEAR")</f>
        <v>DESAIN_YEAR</v>
      </c>
      <c r="I2912" s="136"/>
    </row>
    <row r="2913" ht="15.75" customHeight="1">
      <c r="B2913" s="63">
        <f t="shared" si="1"/>
        <v>17</v>
      </c>
      <c r="C2913" s="143" t="s">
        <v>154</v>
      </c>
      <c r="D2913" s="143" t="s">
        <v>74</v>
      </c>
      <c r="E2913" s="135">
        <f t="shared" si="59"/>
        <v>23</v>
      </c>
      <c r="F2913" s="134" t="s">
        <v>3797</v>
      </c>
      <c r="G2913" s="63" t="str">
        <f>VLOOKUP(C2913, 'Class Def. - General Data'!$C$20:$C$1000,1,false)</f>
        <v>ZPI1_PERLKP_DAPUR</v>
      </c>
      <c r="H2913" s="63" t="str">
        <f>IFERROR(__xludf.DUMMYFUNCTION("VLOOKUP(F2913, IMPORTRANGE(""https://docs.google.com/spreadsheets/d/1Lhp9OU0JdFf_VYSMzH5lBcEaU4o8teT1piV-SNzShjg/edit?gid=554141278#gid=554141278"", ""'Char Def. - Attributes'!C20:C2242""), 1,false)"),"SPEC_QTY_IN_ONE_BUNDLE")</f>
        <v>SPEC_QTY_IN_ONE_BUNDLE</v>
      </c>
      <c r="I2913" s="136"/>
    </row>
    <row r="2914" ht="15.75" customHeight="1">
      <c r="B2914" s="63">
        <f t="shared" si="1"/>
        <v>17</v>
      </c>
      <c r="C2914" s="143" t="s">
        <v>154</v>
      </c>
      <c r="D2914" s="143" t="s">
        <v>74</v>
      </c>
      <c r="E2914" s="135">
        <f t="shared" si="59"/>
        <v>24</v>
      </c>
      <c r="F2914" s="134" t="s">
        <v>3798</v>
      </c>
      <c r="G2914" s="63" t="str">
        <f>VLOOKUP(C2914, 'Class Def. - General Data'!$C$20:$C$1000,1,false)</f>
        <v>ZPI1_PERLKP_DAPUR</v>
      </c>
      <c r="H2914" s="63" t="str">
        <f>IFERROR(__xludf.DUMMYFUNCTION("VLOOKUP(F2914, IMPORTRANGE(""https://docs.google.com/spreadsheets/d/1Lhp9OU0JdFf_VYSMzH5lBcEaU4o8teT1piV-SNzShjg/edit?gid=554141278#gid=554141278"", ""'Char Def. - Attributes'!C20:C2242""), 1,false)"),"QTY_IN_ONE_BUNDLE")</f>
        <v>QTY_IN_ONE_BUNDLE</v>
      </c>
      <c r="I2914" s="136"/>
    </row>
    <row r="2915" ht="15.75" customHeight="1">
      <c r="B2915" s="63">
        <f t="shared" si="1"/>
        <v>17</v>
      </c>
      <c r="C2915" s="143" t="s">
        <v>154</v>
      </c>
      <c r="D2915" s="143" t="s">
        <v>74</v>
      </c>
      <c r="E2915" s="135">
        <f t="shared" si="59"/>
        <v>25</v>
      </c>
      <c r="F2915" s="134" t="s">
        <v>3585</v>
      </c>
      <c r="G2915" s="63" t="str">
        <f>VLOOKUP(C2915, 'Class Def. - General Data'!$C$20:$C$1000,1,false)</f>
        <v>ZPI1_PERLKP_DAPUR</v>
      </c>
      <c r="H2915" s="63" t="str">
        <f>IFERROR(__xludf.DUMMYFUNCTION("VLOOKUP(F2915, IMPORTRANGE(""https://docs.google.com/spreadsheets/d/1Lhp9OU0JdFf_VYSMzH5lBcEaU4o8teT1piV-SNzShjg/edit?gid=554141278#gid=554141278"", ""'Char Def. - Attributes'!C20:C2242""), 1,false)"),"HS_CODE")</f>
        <v>HS_CODE</v>
      </c>
      <c r="I2915" s="136"/>
    </row>
    <row r="2916" ht="15.75" customHeight="1">
      <c r="B2916" s="63">
        <f t="shared" si="1"/>
        <v>17</v>
      </c>
      <c r="C2916" s="143" t="s">
        <v>154</v>
      </c>
      <c r="D2916" s="143" t="s">
        <v>74</v>
      </c>
      <c r="E2916" s="135">
        <f t="shared" si="59"/>
        <v>26</v>
      </c>
      <c r="F2916" s="134" t="s">
        <v>3799</v>
      </c>
      <c r="G2916" s="63" t="str">
        <f>VLOOKUP(C2916, 'Class Def. - General Data'!$C$20:$C$1000,1,false)</f>
        <v>ZPI1_PERLKP_DAPUR</v>
      </c>
      <c r="H2916" s="63" t="str">
        <f>IFERROR(__xludf.DUMMYFUNCTION("VLOOKUP(F2916, IMPORTRANGE(""https://docs.google.com/spreadsheets/d/1Lhp9OU0JdFf_VYSMzH5lBcEaU4o8teT1piV-SNzShjg/edit?gid=554141278#gid=554141278"", ""'Char Def. - Attributes'!C20:C2242""), 1,false)"),"BASE_UNIT_ZPI1")</f>
        <v>BASE_UNIT_ZPI1</v>
      </c>
      <c r="I2916" s="136"/>
    </row>
    <row r="2917" ht="15.75" customHeight="1">
      <c r="B2917" s="63">
        <f t="shared" si="1"/>
        <v>17</v>
      </c>
      <c r="C2917" s="143" t="s">
        <v>154</v>
      </c>
      <c r="D2917" s="143" t="s">
        <v>74</v>
      </c>
      <c r="E2917" s="135">
        <f t="shared" si="59"/>
        <v>27</v>
      </c>
      <c r="F2917" s="135" t="s">
        <v>3800</v>
      </c>
      <c r="G2917" s="63" t="str">
        <f>VLOOKUP(C2917, 'Class Def. - General Data'!$C$20:$C$1000,1,false)</f>
        <v>ZPI1_PERLKP_DAPUR</v>
      </c>
      <c r="H2917" s="63" t="str">
        <f>IFERROR(__xludf.DUMMYFUNCTION("VLOOKUP(F2917, IMPORTRANGE(""https://docs.google.com/spreadsheets/d/1Lhp9OU0JdFf_VYSMzH5lBcEaU4o8teT1piV-SNzShjg/edit?gid=554141278#gid=554141278"", ""'Char Def. - Attributes'!C20:C2242""), 1,false)"),"ORDER_UNIT_DIFF_FROM_BASIC_UOM")</f>
        <v>ORDER_UNIT_DIFF_FROM_BASIC_UOM</v>
      </c>
      <c r="I2917" s="136"/>
    </row>
    <row r="2918" ht="15.75" customHeight="1">
      <c r="B2918" s="63">
        <f t="shared" si="1"/>
        <v>17</v>
      </c>
      <c r="C2918" s="143" t="s">
        <v>154</v>
      </c>
      <c r="D2918" s="143" t="s">
        <v>74</v>
      </c>
      <c r="E2918" s="135">
        <f t="shared" si="59"/>
        <v>28</v>
      </c>
      <c r="F2918" s="135" t="s">
        <v>3801</v>
      </c>
      <c r="G2918" s="63" t="str">
        <f>VLOOKUP(C2918, 'Class Def. - General Data'!$C$20:$C$1000,1,false)</f>
        <v>ZPI1_PERLKP_DAPUR</v>
      </c>
      <c r="H2918" s="63" t="str">
        <f>IFERROR(__xludf.DUMMYFUNCTION("VLOOKUP(F2918, IMPORTRANGE(""https://docs.google.com/spreadsheets/d/1Lhp9OU0JdFf_VYSMzH5lBcEaU4o8teT1piV-SNzShjg/edit?gid=554141278#gid=554141278"", ""'Char Def. - Attributes'!C20:C2242""), 1,false)"),"ORDER_UNIT_ZPI1")</f>
        <v>ORDER_UNIT_ZPI1</v>
      </c>
      <c r="I2918" s="136"/>
    </row>
    <row r="2919" ht="15.75" customHeight="1">
      <c r="B2919" s="63">
        <f t="shared" si="1"/>
        <v>17</v>
      </c>
      <c r="C2919" s="143" t="s">
        <v>154</v>
      </c>
      <c r="D2919" s="143" t="s">
        <v>74</v>
      </c>
      <c r="E2919" s="135">
        <f t="shared" si="59"/>
        <v>29</v>
      </c>
      <c r="F2919" s="134" t="s">
        <v>3802</v>
      </c>
      <c r="G2919" s="63" t="str">
        <f>VLOOKUP(C2919, 'Class Def. - General Data'!$C$20:$C$1000,1,false)</f>
        <v>ZPI1_PERLKP_DAPUR</v>
      </c>
      <c r="H2919" s="63" t="str">
        <f>IFERROR(__xludf.DUMMYFUNCTION("VLOOKUP(F2919, IMPORTRANGE(""https://docs.google.com/spreadsheets/d/1Lhp9OU0JdFf_VYSMzH5lBcEaU4o8teT1piV-SNzShjg/edit?gid=554141278#gid=554141278"", ""'Char Def. - Attributes'!C20:C2242""), 1,false)"),"WEIGHT_UNIT_PI")</f>
        <v>WEIGHT_UNIT_PI</v>
      </c>
      <c r="I2919" s="136"/>
    </row>
    <row r="2920" ht="15.75" customHeight="1">
      <c r="B2920" s="63">
        <f t="shared" si="1"/>
        <v>17</v>
      </c>
      <c r="C2920" s="143" t="s">
        <v>154</v>
      </c>
      <c r="D2920" s="143" t="s">
        <v>74</v>
      </c>
      <c r="E2920" s="135">
        <f t="shared" si="59"/>
        <v>30</v>
      </c>
      <c r="F2920" s="143" t="s">
        <v>3602</v>
      </c>
      <c r="G2920" s="63" t="str">
        <f>VLOOKUP(C2920, 'Class Def. - General Data'!$C$20:$C$1000,1,false)</f>
        <v>ZPI1_PERLKP_DAPUR</v>
      </c>
      <c r="H2920" s="63" t="str">
        <f>IFERROR(__xludf.DUMMYFUNCTION("VLOOKUP(F2920, IMPORTRANGE(""https://docs.google.com/spreadsheets/d/1Lhp9OU0JdFf_VYSMzH5lBcEaU4o8teT1piV-SNzShjg/edit?gid=554141278#gid=554141278"", ""'Char Def. - Attributes'!C20:C2242""), 1,false)"),"NET_WEIGHT")</f>
        <v>NET_WEIGHT</v>
      </c>
      <c r="I2920" s="136"/>
    </row>
    <row r="2921" ht="15.75" customHeight="1">
      <c r="B2921" s="63">
        <f t="shared" si="1"/>
        <v>17</v>
      </c>
      <c r="C2921" s="143" t="s">
        <v>154</v>
      </c>
      <c r="D2921" s="143" t="s">
        <v>74</v>
      </c>
      <c r="E2921" s="135">
        <f t="shared" si="59"/>
        <v>31</v>
      </c>
      <c r="F2921" s="143" t="s">
        <v>3601</v>
      </c>
      <c r="G2921" s="63" t="str">
        <f>VLOOKUP(C2921, 'Class Def. - General Data'!$C$20:$C$1000,1,false)</f>
        <v>ZPI1_PERLKP_DAPUR</v>
      </c>
      <c r="H2921" s="63" t="str">
        <f>IFERROR(__xludf.DUMMYFUNCTION("VLOOKUP(F2921, IMPORTRANGE(""https://docs.google.com/spreadsheets/d/1Lhp9OU0JdFf_VYSMzH5lBcEaU4o8teT1piV-SNzShjg/edit?gid=554141278#gid=554141278"", ""'Char Def. - Attributes'!C20:C2242""), 1,false)"),"GROSS_WEIGHT")</f>
        <v>GROSS_WEIGHT</v>
      </c>
      <c r="I2921" s="136"/>
    </row>
    <row r="2922" ht="15.75" customHeight="1">
      <c r="B2922" s="63">
        <f t="shared" si="1"/>
        <v>17</v>
      </c>
      <c r="C2922" s="143" t="s">
        <v>154</v>
      </c>
      <c r="D2922" s="143" t="s">
        <v>74</v>
      </c>
      <c r="E2922" s="135">
        <f t="shared" si="59"/>
        <v>32</v>
      </c>
      <c r="F2922" s="143" t="s">
        <v>3803</v>
      </c>
      <c r="G2922" s="63" t="str">
        <f>VLOOKUP(C2922, 'Class Def. - General Data'!$C$20:$C$1000,1,false)</f>
        <v>ZPI1_PERLKP_DAPUR</v>
      </c>
      <c r="H2922" s="63" t="str">
        <f>IFERROR(__xludf.DUMMYFUNCTION("VLOOKUP(F2922, IMPORTRANGE(""https://docs.google.com/spreadsheets/d/1Lhp9OU0JdFf_VYSMzH5lBcEaU4o8teT1piV-SNzShjg/edit?gid=554141278#gid=554141278"", ""'Char Def. - Attributes'!C20:C2242""), 1,false)"),"VOLUME_UNIT_PI")</f>
        <v>VOLUME_UNIT_PI</v>
      </c>
      <c r="I2922" s="136"/>
    </row>
    <row r="2923" ht="15.75" customHeight="1">
      <c r="B2923" s="63">
        <f t="shared" si="1"/>
        <v>17</v>
      </c>
      <c r="C2923" s="143" t="s">
        <v>154</v>
      </c>
      <c r="D2923" s="143" t="s">
        <v>74</v>
      </c>
      <c r="E2923" s="135">
        <f t="shared" si="59"/>
        <v>33</v>
      </c>
      <c r="F2923" s="143" t="s">
        <v>3603</v>
      </c>
      <c r="G2923" s="63" t="str">
        <f>VLOOKUP(C2923, 'Class Def. - General Data'!$C$20:$C$1000,1,false)</f>
        <v>ZPI1_PERLKP_DAPUR</v>
      </c>
      <c r="H2923" s="63" t="str">
        <f>IFERROR(__xludf.DUMMYFUNCTION("VLOOKUP(F2923, IMPORTRANGE(""https://docs.google.com/spreadsheets/d/1Lhp9OU0JdFf_VYSMzH5lBcEaU4o8teT1piV-SNzShjg/edit?gid=554141278#gid=554141278"", ""'Char Def. - Attributes'!C20:C2242""), 1,false)"),"VOLUME")</f>
        <v>VOLUME</v>
      </c>
      <c r="I2923" s="136"/>
    </row>
    <row r="2924" ht="15.75" customHeight="1">
      <c r="B2924" s="63">
        <f t="shared" si="1"/>
        <v>17</v>
      </c>
      <c r="C2924" s="143" t="s">
        <v>154</v>
      </c>
      <c r="D2924" s="143" t="s">
        <v>74</v>
      </c>
      <c r="E2924" s="135">
        <f t="shared" si="59"/>
        <v>34</v>
      </c>
      <c r="F2924" s="143" t="s">
        <v>3586</v>
      </c>
      <c r="G2924" s="63" t="str">
        <f>VLOOKUP(C2924, 'Class Def. - General Data'!$C$20:$C$1000,1,false)</f>
        <v>ZPI1_PERLKP_DAPUR</v>
      </c>
      <c r="H2924" s="63" t="str">
        <f>IFERROR(__xludf.DUMMYFUNCTION("VLOOKUP(F2924, IMPORTRANGE(""https://docs.google.com/spreadsheets/d/1Lhp9OU0JdFf_VYSMzH5lBcEaU4o8teT1piV-SNzShjg/edit?gid=554141278#gid=554141278"", ""'Char Def. - Attributes'!C20:C2242""), 1,false)"),"PLANT_PROD")</f>
        <v>PLANT_PROD</v>
      </c>
      <c r="I2924" s="136"/>
    </row>
    <row r="2925" ht="15.75" customHeight="1">
      <c r="B2925" s="63">
        <f t="shared" si="1"/>
        <v>17</v>
      </c>
      <c r="C2925" s="143" t="s">
        <v>154</v>
      </c>
      <c r="D2925" s="143" t="s">
        <v>74</v>
      </c>
      <c r="E2925" s="135">
        <f t="shared" si="59"/>
        <v>35</v>
      </c>
      <c r="F2925" s="143" t="s">
        <v>3587</v>
      </c>
      <c r="G2925" s="63" t="str">
        <f>VLOOKUP(C2925, 'Class Def. - General Data'!$C$20:$C$1000,1,false)</f>
        <v>ZPI1_PERLKP_DAPUR</v>
      </c>
      <c r="H2925" s="63" t="str">
        <f>IFERROR(__xludf.DUMMYFUNCTION("VLOOKUP(F2925, IMPORTRANGE(""https://docs.google.com/spreadsheets/d/1Lhp9OU0JdFf_VYSMzH5lBcEaU4o8teT1piV-SNzShjg/edit?gid=554141278#gid=554141278"", ""'Char Def. - Attributes'!C20:C2242""), 1,false)"),"PLANT_BUY")</f>
        <v>PLANT_BUY</v>
      </c>
      <c r="I2925" s="136"/>
    </row>
    <row r="2926" ht="15.75" customHeight="1">
      <c r="B2926" s="63">
        <f t="shared" si="1"/>
        <v>17</v>
      </c>
      <c r="C2926" s="143" t="s">
        <v>154</v>
      </c>
      <c r="D2926" s="143" t="s">
        <v>74</v>
      </c>
      <c r="E2926" s="135">
        <f t="shared" si="59"/>
        <v>36</v>
      </c>
      <c r="F2926" s="143" t="s">
        <v>3804</v>
      </c>
      <c r="G2926" s="63" t="str">
        <f>VLOOKUP(C2926, 'Class Def. - General Data'!$C$20:$C$1000,1,false)</f>
        <v>ZPI1_PERLKP_DAPUR</v>
      </c>
      <c r="H2926" s="63" t="str">
        <f>IFERROR(__xludf.DUMMYFUNCTION("VLOOKUP(F2926, IMPORTRANGE(""https://docs.google.com/spreadsheets/d/1Lhp9OU0JdFf_VYSMzH5lBcEaU4o8teT1piV-SNzShjg/edit?gid=554141278#gid=554141278"", ""'Char Def. - Attributes'!C20:C2242""), 1,false)"),"ALT_UOM1_SIPI")</f>
        <v>ALT_UOM1_SIPI</v>
      </c>
      <c r="I2926" s="136"/>
    </row>
    <row r="2927" ht="15.75" customHeight="1">
      <c r="B2927" s="63">
        <f t="shared" si="1"/>
        <v>17</v>
      </c>
      <c r="C2927" s="143" t="s">
        <v>154</v>
      </c>
      <c r="D2927" s="143" t="s">
        <v>74</v>
      </c>
      <c r="E2927" s="135">
        <f t="shared" si="59"/>
        <v>37</v>
      </c>
      <c r="F2927" s="143" t="s">
        <v>3805</v>
      </c>
      <c r="G2927" s="63" t="str">
        <f>VLOOKUP(C2927, 'Class Def. - General Data'!$C$20:$C$1000,1,false)</f>
        <v>ZPI1_PERLKP_DAPUR</v>
      </c>
      <c r="H2927" s="63" t="str">
        <f>IFERROR(__xludf.DUMMYFUNCTION("VLOOKUP(F2927, IMPORTRANGE(""https://docs.google.com/spreadsheets/d/1Lhp9OU0JdFf_VYSMzH5lBcEaU4o8teT1piV-SNzShjg/edit?gid=554141278#gid=554141278"", ""'Char Def. - Attributes'!C20:C2242""), 1,false)"),"ALT_DENUM_UOM1")</f>
        <v>ALT_DENUM_UOM1</v>
      </c>
      <c r="I2927" s="136"/>
    </row>
    <row r="2928" ht="15.75" customHeight="1">
      <c r="B2928" s="63">
        <f t="shared" si="1"/>
        <v>17</v>
      </c>
      <c r="C2928" s="143" t="s">
        <v>154</v>
      </c>
      <c r="D2928" s="143" t="s">
        <v>74</v>
      </c>
      <c r="E2928" s="135">
        <f t="shared" si="59"/>
        <v>38</v>
      </c>
      <c r="F2928" s="143" t="s">
        <v>3806</v>
      </c>
      <c r="G2928" s="63" t="str">
        <f>VLOOKUP(C2928, 'Class Def. - General Data'!$C$20:$C$1000,1,false)</f>
        <v>ZPI1_PERLKP_DAPUR</v>
      </c>
      <c r="H2928" s="63" t="str">
        <f>IFERROR(__xludf.DUMMYFUNCTION("VLOOKUP(F2928, IMPORTRANGE(""https://docs.google.com/spreadsheets/d/1Lhp9OU0JdFf_VYSMzH5lBcEaU4o8teT1piV-SNzShjg/edit?gid=554141278#gid=554141278"", ""'Char Def. - Attributes'!C20:C2242""), 1,false)"),"ALT_NUM_UOM1")</f>
        <v>ALT_NUM_UOM1</v>
      </c>
      <c r="I2928" s="136"/>
    </row>
    <row r="2929" ht="15.75" customHeight="1">
      <c r="B2929" s="63">
        <f t="shared" si="1"/>
        <v>17</v>
      </c>
      <c r="C2929" s="143" t="s">
        <v>154</v>
      </c>
      <c r="D2929" s="143" t="s">
        <v>74</v>
      </c>
      <c r="E2929" s="135">
        <f t="shared" si="59"/>
        <v>39</v>
      </c>
      <c r="F2929" s="143" t="s">
        <v>3807</v>
      </c>
      <c r="G2929" s="63" t="str">
        <f>VLOOKUP(C2929, 'Class Def. - General Data'!$C$20:$C$1000,1,false)</f>
        <v>ZPI1_PERLKP_DAPUR</v>
      </c>
      <c r="H2929" s="63" t="str">
        <f>IFERROR(__xludf.DUMMYFUNCTION("VLOOKUP(F2929, IMPORTRANGE(""https://docs.google.com/spreadsheets/d/1Lhp9OU0JdFf_VYSMzH5lBcEaU4o8teT1piV-SNzShjg/edit?gid=554141278#gid=554141278"", ""'Char Def. - Attributes'!C20:C2242""), 1,false)"),"ALT_UOM2_SIPI")</f>
        <v>ALT_UOM2_SIPI</v>
      </c>
      <c r="I2929" s="136"/>
    </row>
    <row r="2930" ht="15.75" customHeight="1">
      <c r="B2930" s="63">
        <f t="shared" si="1"/>
        <v>17</v>
      </c>
      <c r="C2930" s="143" t="s">
        <v>154</v>
      </c>
      <c r="D2930" s="143" t="s">
        <v>74</v>
      </c>
      <c r="E2930" s="135">
        <f t="shared" si="59"/>
        <v>40</v>
      </c>
      <c r="F2930" s="143" t="s">
        <v>3808</v>
      </c>
      <c r="G2930" s="63" t="str">
        <f>VLOOKUP(C2930, 'Class Def. - General Data'!$C$20:$C$1000,1,false)</f>
        <v>ZPI1_PERLKP_DAPUR</v>
      </c>
      <c r="H2930" s="63" t="str">
        <f>IFERROR(__xludf.DUMMYFUNCTION("VLOOKUP(F2930, IMPORTRANGE(""https://docs.google.com/spreadsheets/d/1Lhp9OU0JdFf_VYSMzH5lBcEaU4o8teT1piV-SNzShjg/edit?gid=554141278#gid=554141278"", ""'Char Def. - Attributes'!C20:C2242""), 1,false)"),"ALT_DENUM_UOM2")</f>
        <v>ALT_DENUM_UOM2</v>
      </c>
      <c r="I2930" s="136"/>
    </row>
    <row r="2931" ht="15.75" customHeight="1">
      <c r="B2931" s="63">
        <f t="shared" si="1"/>
        <v>17</v>
      </c>
      <c r="C2931" s="143" t="s">
        <v>154</v>
      </c>
      <c r="D2931" s="143" t="s">
        <v>74</v>
      </c>
      <c r="E2931" s="135">
        <f t="shared" si="59"/>
        <v>41</v>
      </c>
      <c r="F2931" s="143" t="s">
        <v>3809</v>
      </c>
      <c r="G2931" s="63" t="str">
        <f>VLOOKUP(C2931, 'Class Def. - General Data'!$C$20:$C$1000,1,false)</f>
        <v>ZPI1_PERLKP_DAPUR</v>
      </c>
      <c r="H2931" s="63" t="str">
        <f>IFERROR(__xludf.DUMMYFUNCTION("VLOOKUP(F2931, IMPORTRANGE(""https://docs.google.com/spreadsheets/d/1Lhp9OU0JdFf_VYSMzH5lBcEaU4o8teT1piV-SNzShjg/edit?gid=554141278#gid=554141278"", ""'Char Def. - Attributes'!C20:C2242""), 1,false)"),"ALT_NUM_UOM2")</f>
        <v>ALT_NUM_UOM2</v>
      </c>
      <c r="I2931" s="136"/>
    </row>
    <row r="2932" ht="15.75" customHeight="1">
      <c r="B2932" s="63">
        <f t="shared" si="1"/>
        <v>17</v>
      </c>
      <c r="C2932" s="143" t="s">
        <v>154</v>
      </c>
      <c r="D2932" s="143" t="s">
        <v>74</v>
      </c>
      <c r="E2932" s="135">
        <f t="shared" si="59"/>
        <v>42</v>
      </c>
      <c r="F2932" s="143" t="s">
        <v>3810</v>
      </c>
      <c r="G2932" s="63" t="str">
        <f>VLOOKUP(C2932, 'Class Def. - General Data'!$C$20:$C$1000,1,false)</f>
        <v>ZPI1_PERLKP_DAPUR</v>
      </c>
      <c r="H2932" s="63" t="str">
        <f>IFERROR(__xludf.DUMMYFUNCTION("VLOOKUP(F2932, IMPORTRANGE(""https://docs.google.com/spreadsheets/d/1Lhp9OU0JdFf_VYSMzH5lBcEaU4o8teT1piV-SNzShjg/edit?gid=554141278#gid=554141278"", ""'Char Def. - Attributes'!C20:C2242""), 1,false)"),"ALT_UOM3_SIPI")</f>
        <v>ALT_UOM3_SIPI</v>
      </c>
      <c r="I2932" s="136"/>
    </row>
    <row r="2933" ht="15.75" customHeight="1">
      <c r="B2933" s="63">
        <f t="shared" si="1"/>
        <v>17</v>
      </c>
      <c r="C2933" s="143" t="s">
        <v>154</v>
      </c>
      <c r="D2933" s="143" t="s">
        <v>74</v>
      </c>
      <c r="E2933" s="135">
        <f t="shared" si="59"/>
        <v>43</v>
      </c>
      <c r="F2933" s="143" t="s">
        <v>3811</v>
      </c>
      <c r="G2933" s="63" t="str">
        <f>VLOOKUP(C2933, 'Class Def. - General Data'!$C$20:$C$1000,1,false)</f>
        <v>ZPI1_PERLKP_DAPUR</v>
      </c>
      <c r="H2933" s="63" t="str">
        <f>IFERROR(__xludf.DUMMYFUNCTION("VLOOKUP(F2933, IMPORTRANGE(""https://docs.google.com/spreadsheets/d/1Lhp9OU0JdFf_VYSMzH5lBcEaU4o8teT1piV-SNzShjg/edit?gid=554141278#gid=554141278"", ""'Char Def. - Attributes'!C20:C2242""), 1,false)"),"ALT_DENUM_UOM3")</f>
        <v>ALT_DENUM_UOM3</v>
      </c>
      <c r="I2933" s="136"/>
    </row>
    <row r="2934" ht="15.75" customHeight="1">
      <c r="B2934" s="63">
        <f t="shared" si="1"/>
        <v>17</v>
      </c>
      <c r="C2934" s="143" t="s">
        <v>154</v>
      </c>
      <c r="D2934" s="143" t="s">
        <v>74</v>
      </c>
      <c r="E2934" s="135">
        <f t="shared" si="59"/>
        <v>44</v>
      </c>
      <c r="F2934" s="143" t="s">
        <v>3812</v>
      </c>
      <c r="G2934" s="63" t="str">
        <f>VLOOKUP(C2934, 'Class Def. - General Data'!$C$20:$C$1000,1,false)</f>
        <v>ZPI1_PERLKP_DAPUR</v>
      </c>
      <c r="H2934" s="63" t="str">
        <f>IFERROR(__xludf.DUMMYFUNCTION("VLOOKUP(F2934, IMPORTRANGE(""https://docs.google.com/spreadsheets/d/1Lhp9OU0JdFf_VYSMzH5lBcEaU4o8teT1piV-SNzShjg/edit?gid=554141278#gid=554141278"", ""'Char Def. - Attributes'!C20:C2242""), 1,false)"),"ALT_NUM_UOM3")</f>
        <v>ALT_NUM_UOM3</v>
      </c>
      <c r="I2934" s="136"/>
    </row>
    <row r="2935" ht="15.75" customHeight="1">
      <c r="B2935" s="63">
        <f t="shared" si="1"/>
        <v>17</v>
      </c>
      <c r="C2935" s="143" t="s">
        <v>154</v>
      </c>
      <c r="D2935" s="143" t="s">
        <v>74</v>
      </c>
      <c r="E2935" s="135">
        <f t="shared" si="59"/>
        <v>45</v>
      </c>
      <c r="F2935" s="143" t="s">
        <v>3813</v>
      </c>
      <c r="G2935" s="63" t="str">
        <f>VLOOKUP(C2935, 'Class Def. - General Data'!$C$20:$C$1000,1,false)</f>
        <v>ZPI1_PERLKP_DAPUR</v>
      </c>
      <c r="H2935" s="63" t="str">
        <f>IFERROR(__xludf.DUMMYFUNCTION("VLOOKUP(F2935, IMPORTRANGE(""https://docs.google.com/spreadsheets/d/1Lhp9OU0JdFf_VYSMzH5lBcEaU4o8teT1piV-SNzShjg/edit?gid=554141278#gid=554141278"", ""'Char Def. - Attributes'!C20:C2242""), 1,false)"),"ALT_UOM4_SIPI")</f>
        <v>ALT_UOM4_SIPI</v>
      </c>
      <c r="I2935" s="136"/>
    </row>
    <row r="2936" ht="15.75" customHeight="1">
      <c r="B2936" s="63">
        <f t="shared" si="1"/>
        <v>17</v>
      </c>
      <c r="C2936" s="143" t="s">
        <v>154</v>
      </c>
      <c r="D2936" s="143" t="s">
        <v>74</v>
      </c>
      <c r="E2936" s="135">
        <f t="shared" si="59"/>
        <v>46</v>
      </c>
      <c r="F2936" s="143" t="s">
        <v>3814</v>
      </c>
      <c r="G2936" s="63" t="str">
        <f>VLOOKUP(C2936, 'Class Def. - General Data'!$C$20:$C$1000,1,false)</f>
        <v>ZPI1_PERLKP_DAPUR</v>
      </c>
      <c r="H2936" s="63" t="str">
        <f>IFERROR(__xludf.DUMMYFUNCTION("VLOOKUP(F2936, IMPORTRANGE(""https://docs.google.com/spreadsheets/d/1Lhp9OU0JdFf_VYSMzH5lBcEaU4o8teT1piV-SNzShjg/edit?gid=554141278#gid=554141278"", ""'Char Def. - Attributes'!C20:C2242""), 1,false)"),"ALT_DENUM_UOM4")</f>
        <v>ALT_DENUM_UOM4</v>
      </c>
      <c r="I2936" s="136"/>
    </row>
    <row r="2937" ht="15.75" customHeight="1">
      <c r="B2937" s="63">
        <f t="shared" si="1"/>
        <v>17</v>
      </c>
      <c r="C2937" s="143" t="s">
        <v>154</v>
      </c>
      <c r="D2937" s="143" t="s">
        <v>74</v>
      </c>
      <c r="E2937" s="135">
        <f t="shared" si="59"/>
        <v>47</v>
      </c>
      <c r="F2937" s="143" t="s">
        <v>3815</v>
      </c>
      <c r="G2937" s="63" t="str">
        <f>VLOOKUP(C2937, 'Class Def. - General Data'!$C$20:$C$1000,1,false)</f>
        <v>ZPI1_PERLKP_DAPUR</v>
      </c>
      <c r="H2937" s="63" t="str">
        <f>IFERROR(__xludf.DUMMYFUNCTION("VLOOKUP(F2937, IMPORTRANGE(""https://docs.google.com/spreadsheets/d/1Lhp9OU0JdFf_VYSMzH5lBcEaU4o8teT1piV-SNzShjg/edit?gid=554141278#gid=554141278"", ""'Char Def. - Attributes'!C20:C2242""), 1,false)"),"ALT_NUM_UOM4")</f>
        <v>ALT_NUM_UOM4</v>
      </c>
      <c r="I2937" s="136"/>
    </row>
    <row r="2938" ht="15.75" customHeight="1">
      <c r="B2938" s="63">
        <f t="shared" si="1"/>
        <v>17</v>
      </c>
      <c r="C2938" s="143" t="s">
        <v>154</v>
      </c>
      <c r="D2938" s="143" t="s">
        <v>74</v>
      </c>
      <c r="E2938" s="135">
        <f t="shared" si="59"/>
        <v>48</v>
      </c>
      <c r="F2938" s="143" t="s">
        <v>3816</v>
      </c>
      <c r="G2938" s="63" t="str">
        <f>VLOOKUP(C2938, 'Class Def. - General Data'!$C$20:$C$1000,1,false)</f>
        <v>ZPI1_PERLKP_DAPUR</v>
      </c>
      <c r="H2938" s="63" t="str">
        <f>IFERROR(__xludf.DUMMYFUNCTION("VLOOKUP(F2938, IMPORTRANGE(""https://docs.google.com/spreadsheets/d/1Lhp9OU0JdFf_VYSMzH5lBcEaU4o8teT1piV-SNzShjg/edit?gid=554141278#gid=554141278"", ""'Char Def. - Attributes'!C20:C2242""), 1,false)"),"ALT_UOM5_SIPI")</f>
        <v>ALT_UOM5_SIPI</v>
      </c>
      <c r="I2938" s="136"/>
    </row>
    <row r="2939" ht="15.75" customHeight="1">
      <c r="B2939" s="63">
        <f t="shared" si="1"/>
        <v>17</v>
      </c>
      <c r="C2939" s="143" t="s">
        <v>154</v>
      </c>
      <c r="D2939" s="143" t="s">
        <v>74</v>
      </c>
      <c r="E2939" s="135">
        <f t="shared" si="59"/>
        <v>49</v>
      </c>
      <c r="F2939" s="143" t="s">
        <v>3817</v>
      </c>
      <c r="G2939" s="63" t="str">
        <f>VLOOKUP(C2939, 'Class Def. - General Data'!$C$20:$C$1000,1,false)</f>
        <v>ZPI1_PERLKP_DAPUR</v>
      </c>
      <c r="H2939" s="63" t="str">
        <f>IFERROR(__xludf.DUMMYFUNCTION("VLOOKUP(F2939, IMPORTRANGE(""https://docs.google.com/spreadsheets/d/1Lhp9OU0JdFf_VYSMzH5lBcEaU4o8teT1piV-SNzShjg/edit?gid=554141278#gid=554141278"", ""'Char Def. - Attributes'!C20:C2242""), 1,false)"),"ALT_DENUM_UOM5")</f>
        <v>ALT_DENUM_UOM5</v>
      </c>
      <c r="I2939" s="136"/>
    </row>
    <row r="2940" ht="15.75" customHeight="1">
      <c r="B2940" s="63">
        <f t="shared" si="1"/>
        <v>17</v>
      </c>
      <c r="C2940" s="143" t="s">
        <v>154</v>
      </c>
      <c r="D2940" s="143" t="s">
        <v>74</v>
      </c>
      <c r="E2940" s="135">
        <f t="shared" si="59"/>
        <v>50</v>
      </c>
      <c r="F2940" s="143" t="s">
        <v>3818</v>
      </c>
      <c r="G2940" s="63" t="str">
        <f>VLOOKUP(C2940, 'Class Def. - General Data'!$C$20:$C$1000,1,false)</f>
        <v>ZPI1_PERLKP_DAPUR</v>
      </c>
      <c r="H2940" s="63" t="str">
        <f>IFERROR(__xludf.DUMMYFUNCTION("VLOOKUP(F2940, IMPORTRANGE(""https://docs.google.com/spreadsheets/d/1Lhp9OU0JdFf_VYSMzH5lBcEaU4o8teT1piV-SNzShjg/edit?gid=554141278#gid=554141278"", ""'Char Def. - Attributes'!C20:C2242""), 1,false)"),"ALT_NUM_UOM5")</f>
        <v>ALT_NUM_UOM5</v>
      </c>
      <c r="I2940" s="136"/>
    </row>
    <row r="2941" ht="15.75" customHeight="1">
      <c r="B2941" s="63">
        <f t="shared" si="1"/>
        <v>17</v>
      </c>
      <c r="C2941" s="143" t="s">
        <v>148</v>
      </c>
      <c r="D2941" s="143" t="s">
        <v>74</v>
      </c>
      <c r="E2941" s="135">
        <f t="shared" si="59"/>
        <v>1</v>
      </c>
      <c r="F2941" s="143" t="s">
        <v>3840</v>
      </c>
      <c r="G2941" s="63" t="str">
        <f>VLOOKUP(C2941, 'Class Def. - General Data'!$C$20:$C$1000,1,false)</f>
        <v>ZPI1_PERLKP_HUJAN</v>
      </c>
      <c r="H2941" s="63" t="str">
        <f>IFERROR(__xludf.DUMMYFUNCTION("VLOOKUP(F2941, IMPORTRANGE(""https://docs.google.com/spreadsheets/d/1Lhp9OU0JdFf_VYSMzH5lBcEaU4o8teT1piV-SNzShjg/edit?gid=554141278#gid=554141278"", ""'Char Def. - Attributes'!C20:C2242""), 1,false)"),"ITEM_NAME_PERLKP_HUJAN")</f>
        <v>ITEM_NAME_PERLKP_HUJAN</v>
      </c>
      <c r="I2941" s="136"/>
    </row>
    <row r="2942" ht="15.75" customHeight="1">
      <c r="B2942" s="63">
        <f t="shared" si="1"/>
        <v>17</v>
      </c>
      <c r="C2942" s="143" t="s">
        <v>148</v>
      </c>
      <c r="D2942" s="143" t="s">
        <v>74</v>
      </c>
      <c r="E2942" s="135">
        <f t="shared" si="59"/>
        <v>2</v>
      </c>
      <c r="F2942" s="143" t="s">
        <v>3778</v>
      </c>
      <c r="G2942" s="63" t="str">
        <f>VLOOKUP(C2942, 'Class Def. - General Data'!$C$20:$C$1000,1,false)</f>
        <v>ZPI1_PERLKP_HUJAN</v>
      </c>
      <c r="H2942" s="63" t="str">
        <f>IFERROR(__xludf.DUMMYFUNCTION("VLOOKUP(F2942, IMPORTRANGE(""https://docs.google.com/spreadsheets/d/1Lhp9OU0JdFf_VYSMzH5lBcEaU4o8teT1piV-SNzShjg/edit?gid=554141278#gid=554141278"", ""'Char Def. - Attributes'!C20:C2242""), 1,false)"),"SPECIAL_ACTIVITY")</f>
        <v>SPECIAL_ACTIVITY</v>
      </c>
      <c r="I2942" s="136"/>
    </row>
    <row r="2943" ht="15.75" customHeight="1">
      <c r="B2943" s="63">
        <f t="shared" si="1"/>
        <v>17</v>
      </c>
      <c r="C2943" s="143" t="s">
        <v>148</v>
      </c>
      <c r="D2943" s="143" t="s">
        <v>74</v>
      </c>
      <c r="E2943" s="135">
        <f t="shared" si="59"/>
        <v>3</v>
      </c>
      <c r="F2943" s="144" t="s">
        <v>3779</v>
      </c>
      <c r="G2943" s="63" t="str">
        <f>VLOOKUP(C2943, 'Class Def. - General Data'!$C$20:$C$1000,1,false)</f>
        <v>ZPI1_PERLKP_HUJAN</v>
      </c>
      <c r="H2943" s="63" t="str">
        <f>IFERROR(__xludf.DUMMYFUNCTION("VLOOKUP(F2943, IMPORTRANGE(""https://docs.google.com/spreadsheets/d/1Lhp9OU0JdFf_VYSMzH5lBcEaU4o8teT1piV-SNzShjg/edit?gid=554141278#gid=554141278"", ""'Char Def. - Attributes'!C20:C2242""), 1,false)"),"EMBOSSED_BRAND_WINGS")</f>
        <v>EMBOSSED_BRAND_WINGS</v>
      </c>
      <c r="I2943" s="136"/>
    </row>
    <row r="2944" ht="15.75" customHeight="1">
      <c r="B2944" s="63">
        <f t="shared" si="1"/>
        <v>17</v>
      </c>
      <c r="C2944" s="143" t="s">
        <v>148</v>
      </c>
      <c r="D2944" s="143" t="s">
        <v>74</v>
      </c>
      <c r="E2944" s="135">
        <f t="shared" si="59"/>
        <v>4</v>
      </c>
      <c r="F2944" s="144" t="s">
        <v>3780</v>
      </c>
      <c r="G2944" s="63" t="str">
        <f>VLOOKUP(C2944, 'Class Def. - General Data'!$C$20:$C$1000,1,false)</f>
        <v>ZPI1_PERLKP_HUJAN</v>
      </c>
      <c r="H2944" s="63" t="str">
        <f>IFERROR(__xludf.DUMMYFUNCTION("VLOOKUP(F2944, IMPORTRANGE(""https://docs.google.com/spreadsheets/d/1Lhp9OU0JdFf_VYSMzH5lBcEaU4o8teT1piV-SNzShjg/edit?gid=554141278#gid=554141278"", ""'Char Def. - Attributes'!C20:C2242""), 1,false)"),"BRAND_WINGS_SIPI")</f>
        <v>BRAND_WINGS_SIPI</v>
      </c>
      <c r="I2944" s="136"/>
    </row>
    <row r="2945" ht="15.75" customHeight="1">
      <c r="B2945" s="63">
        <f t="shared" si="1"/>
        <v>17</v>
      </c>
      <c r="C2945" s="143" t="s">
        <v>148</v>
      </c>
      <c r="D2945" s="143" t="s">
        <v>74</v>
      </c>
      <c r="E2945" s="135">
        <f t="shared" si="59"/>
        <v>5</v>
      </c>
      <c r="F2945" s="143" t="s">
        <v>3781</v>
      </c>
      <c r="G2945" s="63" t="str">
        <f>VLOOKUP(C2945, 'Class Def. - General Data'!$C$20:$C$1000,1,false)</f>
        <v>ZPI1_PERLKP_HUJAN</v>
      </c>
      <c r="H2945" s="63" t="str">
        <f>IFERROR(__xludf.DUMMYFUNCTION("VLOOKUP(F2945, IMPORTRANGE(""https://docs.google.com/spreadsheets/d/1Lhp9OU0JdFf_VYSMzH5lBcEaU4o8teT1piV-SNzShjg/edit?gid=554141278#gid=554141278"", ""'Char Def. - Attributes'!C20:C2242""), 1,false)"),"EXTERNAL_BRAND")</f>
        <v>EXTERNAL_BRAND</v>
      </c>
      <c r="I2945" s="136"/>
    </row>
    <row r="2946" ht="15.75" customHeight="1">
      <c r="B2946" s="63">
        <f t="shared" si="1"/>
        <v>17</v>
      </c>
      <c r="C2946" s="143" t="s">
        <v>148</v>
      </c>
      <c r="D2946" s="143" t="s">
        <v>74</v>
      </c>
      <c r="E2946" s="135">
        <f t="shared" si="59"/>
        <v>6</v>
      </c>
      <c r="F2946" s="143" t="s">
        <v>3782</v>
      </c>
      <c r="G2946" s="63" t="str">
        <f>VLOOKUP(C2946, 'Class Def. - General Data'!$C$20:$C$1000,1,false)</f>
        <v>ZPI1_PERLKP_HUJAN</v>
      </c>
      <c r="H2946" s="63" t="str">
        <f>IFERROR(__xludf.DUMMYFUNCTION("VLOOKUP(F2946, IMPORTRANGE(""https://docs.google.com/spreadsheets/d/1Lhp9OU0JdFf_VYSMzH5lBcEaU4o8teT1piV-SNzShjg/edit?gid=554141278#gid=554141278"", ""'Char Def. - Attributes'!C20:C2242""), 1,false)"),"BRAND_EXTERNAL")</f>
        <v>BRAND_EXTERNAL</v>
      </c>
      <c r="I2946" s="136"/>
    </row>
    <row r="2947" ht="15.75" customHeight="1">
      <c r="B2947" s="63">
        <f t="shared" si="1"/>
        <v>17</v>
      </c>
      <c r="C2947" s="143" t="s">
        <v>148</v>
      </c>
      <c r="D2947" s="143" t="s">
        <v>74</v>
      </c>
      <c r="E2947" s="135">
        <f t="shared" si="59"/>
        <v>7</v>
      </c>
      <c r="F2947" s="143" t="s">
        <v>3783</v>
      </c>
      <c r="G2947" s="63" t="str">
        <f>VLOOKUP(C2947, 'Class Def. - General Data'!$C$20:$C$1000,1,false)</f>
        <v>ZPI1_PERLKP_HUJAN</v>
      </c>
      <c r="H2947" s="63" t="str">
        <f>IFERROR(__xludf.DUMMYFUNCTION("VLOOKUP(F2947, IMPORTRANGE(""https://docs.google.com/spreadsheets/d/1Lhp9OU0JdFf_VYSMzH5lBcEaU4o8teT1piV-SNzShjg/edit?gid=554141278#gid=554141278"", ""'Char Def. - Attributes'!C20:C2242""), 1,false)"),"NO_SERI_BRAND_EXTERNAL")</f>
        <v>NO_SERI_BRAND_EXTERNAL</v>
      </c>
      <c r="I2947" s="136"/>
    </row>
    <row r="2948" ht="15.75" customHeight="1">
      <c r="B2948" s="63">
        <f t="shared" si="1"/>
        <v>17</v>
      </c>
      <c r="C2948" s="143" t="s">
        <v>148</v>
      </c>
      <c r="D2948" s="143" t="s">
        <v>74</v>
      </c>
      <c r="E2948" s="135">
        <f t="shared" si="59"/>
        <v>8</v>
      </c>
      <c r="F2948" s="143" t="s">
        <v>3841</v>
      </c>
      <c r="G2948" s="63" t="str">
        <f>VLOOKUP(C2948, 'Class Def. - General Data'!$C$20:$C$1000,1,false)</f>
        <v>ZPI1_PERLKP_HUJAN</v>
      </c>
      <c r="H2948" s="63" t="str">
        <f>IFERROR(__xludf.DUMMYFUNCTION("VLOOKUP(F2948, IMPORTRANGE(""https://docs.google.com/spreadsheets/d/1Lhp9OU0JdFf_VYSMzH5lBcEaU4o8teT1piV-SNzShjg/edit?gid=554141278#gid=554141278"", ""'Char Def. - Attributes'!C20:C2242""), 1,false)"),"MATERIAL_PERLKP_HUJAN")</f>
        <v>MATERIAL_PERLKP_HUJAN</v>
      </c>
      <c r="I2948" s="136"/>
    </row>
    <row r="2949" ht="15.75" customHeight="1">
      <c r="B2949" s="63">
        <f t="shared" si="1"/>
        <v>17</v>
      </c>
      <c r="C2949" s="143" t="s">
        <v>148</v>
      </c>
      <c r="D2949" s="143" t="s">
        <v>74</v>
      </c>
      <c r="E2949" s="135">
        <f t="shared" si="59"/>
        <v>9</v>
      </c>
      <c r="F2949" s="143" t="s">
        <v>3835</v>
      </c>
      <c r="G2949" s="63" t="str">
        <f>VLOOKUP(C2949, 'Class Def. - General Data'!$C$20:$C$1000,1,false)</f>
        <v>ZPI1_PERLKP_HUJAN</v>
      </c>
      <c r="H2949" s="63" t="str">
        <f>IFERROR(__xludf.DUMMYFUNCTION("VLOOKUP(F2949, IMPORTRANGE(""https://docs.google.com/spreadsheets/d/1Lhp9OU0JdFf_VYSMzH5lBcEaU4o8teT1piV-SNzShjg/edit?gid=554141278#gid=554141278"", ""'Char Def. - Attributes'!C20:C2242""), 1,false)"),"SIZE_UNIT_PAKAIAN")</f>
        <v>SIZE_UNIT_PAKAIAN</v>
      </c>
      <c r="I2949" s="136"/>
    </row>
    <row r="2950" ht="15.75" customHeight="1">
      <c r="B2950" s="63">
        <f t="shared" si="1"/>
        <v>17</v>
      </c>
      <c r="C2950" s="143" t="s">
        <v>148</v>
      </c>
      <c r="D2950" s="143" t="s">
        <v>74</v>
      </c>
      <c r="E2950" s="135">
        <f t="shared" si="59"/>
        <v>10</v>
      </c>
      <c r="F2950" s="143" t="s">
        <v>3785</v>
      </c>
      <c r="G2950" s="63" t="str">
        <f>VLOOKUP(C2950, 'Class Def. - General Data'!$C$20:$C$1000,1,false)</f>
        <v>ZPI1_PERLKP_HUJAN</v>
      </c>
      <c r="H2950" s="63" t="str">
        <f>IFERROR(__xludf.DUMMYFUNCTION("VLOOKUP(F2950, IMPORTRANGE(""https://docs.google.com/spreadsheets/d/1Lhp9OU0JdFf_VYSMzH5lBcEaU4o8teT1piV-SNzShjg/edit?gid=554141278#gid=554141278"", ""'Char Def. - Attributes'!C20:C2242""), 1,false)"),"ITEM_SHAPE")</f>
        <v>ITEM_SHAPE</v>
      </c>
      <c r="I2950" s="136"/>
    </row>
    <row r="2951" ht="15.75" customHeight="1">
      <c r="B2951" s="63">
        <f t="shared" si="1"/>
        <v>17</v>
      </c>
      <c r="C2951" s="143" t="s">
        <v>148</v>
      </c>
      <c r="D2951" s="143" t="s">
        <v>74</v>
      </c>
      <c r="E2951" s="135">
        <f t="shared" si="59"/>
        <v>11</v>
      </c>
      <c r="F2951" s="143" t="s">
        <v>3786</v>
      </c>
      <c r="G2951" s="63" t="str">
        <f>VLOOKUP(C2951, 'Class Def. - General Data'!$C$20:$C$1000,1,false)</f>
        <v>ZPI1_PERLKP_HUJAN</v>
      </c>
      <c r="H2951" s="63" t="str">
        <f>IFERROR(__xludf.DUMMYFUNCTION("VLOOKUP(F2951, IMPORTRANGE(""https://docs.google.com/spreadsheets/d/1Lhp9OU0JdFf_VYSMzH5lBcEaU4o8teT1piV-SNzShjg/edit?gid=554141278#gid=554141278"", ""'Char Def. - Attributes'!C20:C2242""), 1,false)"),"SIZE_UNIT_DIMENSI")</f>
        <v>SIZE_UNIT_DIMENSI</v>
      </c>
      <c r="I2951" s="136"/>
    </row>
    <row r="2952" ht="15.75" customHeight="1">
      <c r="B2952" s="63">
        <f t="shared" si="1"/>
        <v>17</v>
      </c>
      <c r="C2952" s="143" t="s">
        <v>148</v>
      </c>
      <c r="D2952" s="143" t="s">
        <v>74</v>
      </c>
      <c r="E2952" s="135">
        <f t="shared" si="59"/>
        <v>12</v>
      </c>
      <c r="F2952" s="144" t="s">
        <v>3787</v>
      </c>
      <c r="G2952" s="63" t="str">
        <f>VLOOKUP(C2952, 'Class Def. - General Data'!$C$20:$C$1000,1,false)</f>
        <v>ZPI1_PERLKP_HUJAN</v>
      </c>
      <c r="H2952" s="63" t="str">
        <f>IFERROR(__xludf.DUMMYFUNCTION("VLOOKUP(F2952, IMPORTRANGE(""https://docs.google.com/spreadsheets/d/1Lhp9OU0JdFf_VYSMzH5lBcEaU4o8teT1piV-SNzShjg/edit?gid=554141278#gid=554141278"", ""'Char Def. - Attributes'!C20:C2242""), 1,false)"),"DIAMETER_PCS")</f>
        <v>DIAMETER_PCS</v>
      </c>
      <c r="I2952" s="136"/>
    </row>
    <row r="2953" ht="15.75" customHeight="1">
      <c r="B2953" s="63">
        <f t="shared" si="1"/>
        <v>17</v>
      </c>
      <c r="C2953" s="143" t="s">
        <v>148</v>
      </c>
      <c r="D2953" s="143" t="s">
        <v>74</v>
      </c>
      <c r="E2953" s="135">
        <f t="shared" si="59"/>
        <v>13</v>
      </c>
      <c r="F2953" s="143" t="s">
        <v>3788</v>
      </c>
      <c r="G2953" s="63" t="str">
        <f>VLOOKUP(C2953, 'Class Def. - General Data'!$C$20:$C$1000,1,false)</f>
        <v>ZPI1_PERLKP_HUJAN</v>
      </c>
      <c r="H2953" s="63" t="str">
        <f>IFERROR(__xludf.DUMMYFUNCTION("VLOOKUP(F2953, IMPORTRANGE(""https://docs.google.com/spreadsheets/d/1Lhp9OU0JdFf_VYSMzH5lBcEaU4o8teT1piV-SNzShjg/edit?gid=554141278#gid=554141278"", ""'Char Def. - Attributes'!C20:C2242""), 1,false)"),"LENGTH_PCS")</f>
        <v>LENGTH_PCS</v>
      </c>
      <c r="I2953" s="136"/>
    </row>
    <row r="2954" ht="15.75" customHeight="1">
      <c r="B2954" s="63">
        <f t="shared" si="1"/>
        <v>17</v>
      </c>
      <c r="C2954" s="143" t="s">
        <v>148</v>
      </c>
      <c r="D2954" s="143" t="s">
        <v>74</v>
      </c>
      <c r="E2954" s="135">
        <f t="shared" si="59"/>
        <v>14</v>
      </c>
      <c r="F2954" s="143" t="s">
        <v>3789</v>
      </c>
      <c r="G2954" s="63" t="str">
        <f>VLOOKUP(C2954, 'Class Def. - General Data'!$C$20:$C$1000,1,false)</f>
        <v>ZPI1_PERLKP_HUJAN</v>
      </c>
      <c r="H2954" s="63" t="str">
        <f>IFERROR(__xludf.DUMMYFUNCTION("VLOOKUP(F2954, IMPORTRANGE(""https://docs.google.com/spreadsheets/d/1Lhp9OU0JdFf_VYSMzH5lBcEaU4o8teT1piV-SNzShjg/edit?gid=554141278#gid=554141278"", ""'Char Def. - Attributes'!C20:C2242""), 1,false)"),"WIDTH_PCS")</f>
        <v>WIDTH_PCS</v>
      </c>
      <c r="I2954" s="136"/>
    </row>
    <row r="2955" ht="15.75" customHeight="1">
      <c r="B2955" s="63">
        <f t="shared" si="1"/>
        <v>17</v>
      </c>
      <c r="C2955" s="143" t="s">
        <v>148</v>
      </c>
      <c r="D2955" s="143" t="s">
        <v>74</v>
      </c>
      <c r="E2955" s="135">
        <f t="shared" si="59"/>
        <v>15</v>
      </c>
      <c r="F2955" s="144" t="s">
        <v>3790</v>
      </c>
      <c r="G2955" s="63" t="str">
        <f>VLOOKUP(C2955, 'Class Def. - General Data'!$C$20:$C$1000,1,false)</f>
        <v>ZPI1_PERLKP_HUJAN</v>
      </c>
      <c r="H2955" s="63" t="str">
        <f>IFERROR(__xludf.DUMMYFUNCTION("VLOOKUP(F2955, IMPORTRANGE(""https://docs.google.com/spreadsheets/d/1Lhp9OU0JdFf_VYSMzH5lBcEaU4o8teT1piV-SNzShjg/edit?gid=554141278#gid=554141278"", ""'Char Def. - Attributes'!C20:C2242""), 1,false)"),"HEIGHT_PCS")</f>
        <v>HEIGHT_PCS</v>
      </c>
      <c r="I2955" s="136"/>
    </row>
    <row r="2956" ht="15.75" customHeight="1">
      <c r="B2956" s="63">
        <f t="shared" si="1"/>
        <v>17</v>
      </c>
      <c r="C2956" s="143" t="s">
        <v>148</v>
      </c>
      <c r="D2956" s="143" t="s">
        <v>74</v>
      </c>
      <c r="E2956" s="135">
        <f t="shared" si="59"/>
        <v>16</v>
      </c>
      <c r="F2956" s="143" t="s">
        <v>3791</v>
      </c>
      <c r="G2956" s="63" t="str">
        <f>VLOOKUP(C2956, 'Class Def. - General Data'!$C$20:$C$1000,1,false)</f>
        <v>ZPI1_PERLKP_HUJAN</v>
      </c>
      <c r="H2956" s="63" t="str">
        <f>IFERROR(__xludf.DUMMYFUNCTION("VLOOKUP(F2956, IMPORTRANGE(""https://docs.google.com/spreadsheets/d/1Lhp9OU0JdFf_VYSMzH5lBcEaU4o8teT1piV-SNzShjg/edit?gid=554141278#gid=554141278"", ""'Char Def. - Attributes'!C20:C2242""), 1,false)"),"HAS_SPESIFIC_COLOUR")</f>
        <v>HAS_SPESIFIC_COLOUR</v>
      </c>
      <c r="I2956" s="136"/>
    </row>
    <row r="2957" ht="15.75" customHeight="1">
      <c r="B2957" s="63">
        <f t="shared" si="1"/>
        <v>17</v>
      </c>
      <c r="C2957" s="143" t="s">
        <v>148</v>
      </c>
      <c r="D2957" s="143" t="s">
        <v>74</v>
      </c>
      <c r="E2957" s="135">
        <f t="shared" si="59"/>
        <v>17</v>
      </c>
      <c r="F2957" s="143" t="s">
        <v>3792</v>
      </c>
      <c r="G2957" s="63" t="str">
        <f>VLOOKUP(C2957, 'Class Def. - General Data'!$C$20:$C$1000,1,false)</f>
        <v>ZPI1_PERLKP_HUJAN</v>
      </c>
      <c r="H2957" s="63" t="str">
        <f>IFERROR(__xludf.DUMMYFUNCTION("VLOOKUP(F2957, IMPORTRANGE(""https://docs.google.com/spreadsheets/d/1Lhp9OU0JdFf_VYSMzH5lBcEaU4o8teT1piV-SNzShjg/edit?gid=554141278#gid=554141278"", ""'Char Def. - Attributes'!C20:C2242""), 1,false)"),"COLOUR")</f>
        <v>COLOUR</v>
      </c>
      <c r="I2957" s="136"/>
    </row>
    <row r="2958" ht="15.75" customHeight="1">
      <c r="B2958" s="63">
        <f t="shared" si="1"/>
        <v>17</v>
      </c>
      <c r="C2958" s="143" t="s">
        <v>148</v>
      </c>
      <c r="D2958" s="143" t="s">
        <v>74</v>
      </c>
      <c r="E2958" s="135">
        <f t="shared" si="59"/>
        <v>18</v>
      </c>
      <c r="F2958" s="143" t="s">
        <v>3793</v>
      </c>
      <c r="G2958" s="63" t="str">
        <f>VLOOKUP(C2958, 'Class Def. - General Data'!$C$20:$C$1000,1,false)</f>
        <v>ZPI1_PERLKP_HUJAN</v>
      </c>
      <c r="H2958" s="63" t="str">
        <f>IFERROR(__xludf.DUMMYFUNCTION("VLOOKUP(F2958, IMPORTRANGE(""https://docs.google.com/spreadsheets/d/1Lhp9OU0JdFf_VYSMzH5lBcEaU4o8teT1piV-SNzShjg/edit?gid=554141278#gid=554141278"", ""'Char Def. - Attributes'!C20:C2242""), 1,false)"),"EMBOSSED_SPESIFIC_DESAIN")</f>
        <v>EMBOSSED_SPESIFIC_DESAIN</v>
      </c>
      <c r="I2958" s="136"/>
    </row>
    <row r="2959" ht="15.75" customHeight="1">
      <c r="B2959" s="63">
        <f t="shared" si="1"/>
        <v>17</v>
      </c>
      <c r="C2959" s="143" t="s">
        <v>148</v>
      </c>
      <c r="D2959" s="143" t="s">
        <v>74</v>
      </c>
      <c r="E2959" s="135">
        <f t="shared" si="59"/>
        <v>19</v>
      </c>
      <c r="F2959" s="143" t="s">
        <v>3794</v>
      </c>
      <c r="G2959" s="63" t="str">
        <f>VLOOKUP(C2959, 'Class Def. - General Data'!$C$20:$C$1000,1,false)</f>
        <v>ZPI1_PERLKP_HUJAN</v>
      </c>
      <c r="H2959" s="63" t="str">
        <f>IFERROR(__xludf.DUMMYFUNCTION("VLOOKUP(F2959, IMPORTRANGE(""https://docs.google.com/spreadsheets/d/1Lhp9OU0JdFf_VYSMzH5lBcEaU4o8teT1piV-SNzShjg/edit?gid=554141278#gid=554141278"", ""'Char Def. - Attributes'!C20:C2242""), 1,false)"),"DESAIN_NAME")</f>
        <v>DESAIN_NAME</v>
      </c>
      <c r="I2959" s="136"/>
    </row>
    <row r="2960" ht="15.75" customHeight="1">
      <c r="B2960" s="63">
        <f t="shared" si="1"/>
        <v>17</v>
      </c>
      <c r="C2960" s="143" t="s">
        <v>148</v>
      </c>
      <c r="D2960" s="143" t="s">
        <v>74</v>
      </c>
      <c r="E2960" s="135">
        <f t="shared" si="59"/>
        <v>20</v>
      </c>
      <c r="F2960" s="143" t="s">
        <v>3795</v>
      </c>
      <c r="G2960" s="63" t="str">
        <f>VLOOKUP(C2960, 'Class Def. - General Data'!$C$20:$C$1000,1,false)</f>
        <v>ZPI1_PERLKP_HUJAN</v>
      </c>
      <c r="H2960" s="63" t="str">
        <f>IFERROR(__xludf.DUMMYFUNCTION("VLOOKUP(F2960, IMPORTRANGE(""https://docs.google.com/spreadsheets/d/1Lhp9OU0JdFf_VYSMzH5lBcEaU4o8teT1piV-SNzShjg/edit?gid=554141278#gid=554141278"", ""'Char Def. - Attributes'!C20:C2242""), 1,false)"),"DESAIN_MONTH")</f>
        <v>DESAIN_MONTH</v>
      </c>
      <c r="I2960" s="136"/>
    </row>
    <row r="2961" ht="15.75" customHeight="1">
      <c r="B2961" s="63">
        <f t="shared" si="1"/>
        <v>17</v>
      </c>
      <c r="C2961" s="143" t="s">
        <v>148</v>
      </c>
      <c r="D2961" s="143" t="s">
        <v>74</v>
      </c>
      <c r="E2961" s="135">
        <f t="shared" si="59"/>
        <v>21</v>
      </c>
      <c r="F2961" s="143" t="s">
        <v>3796</v>
      </c>
      <c r="G2961" s="63" t="str">
        <f>VLOOKUP(C2961, 'Class Def. - General Data'!$C$20:$C$1000,1,false)</f>
        <v>ZPI1_PERLKP_HUJAN</v>
      </c>
      <c r="H2961" s="63" t="str">
        <f>IFERROR(__xludf.DUMMYFUNCTION("VLOOKUP(F2961, IMPORTRANGE(""https://docs.google.com/spreadsheets/d/1Lhp9OU0JdFf_VYSMzH5lBcEaU4o8teT1piV-SNzShjg/edit?gid=554141278#gid=554141278"", ""'Char Def. - Attributes'!C20:C2242""), 1,false)"),"DESAIN_YEAR")</f>
        <v>DESAIN_YEAR</v>
      </c>
      <c r="I2961" s="136"/>
    </row>
    <row r="2962" ht="15.75" customHeight="1">
      <c r="B2962" s="63">
        <f t="shared" si="1"/>
        <v>17</v>
      </c>
      <c r="C2962" s="143" t="s">
        <v>148</v>
      </c>
      <c r="D2962" s="143" t="s">
        <v>74</v>
      </c>
      <c r="E2962" s="135">
        <f t="shared" si="59"/>
        <v>22</v>
      </c>
      <c r="F2962" s="143" t="s">
        <v>3797</v>
      </c>
      <c r="G2962" s="63" t="str">
        <f>VLOOKUP(C2962, 'Class Def. - General Data'!$C$20:$C$1000,1,false)</f>
        <v>ZPI1_PERLKP_HUJAN</v>
      </c>
      <c r="H2962" s="63" t="str">
        <f>IFERROR(__xludf.DUMMYFUNCTION("VLOOKUP(F2962, IMPORTRANGE(""https://docs.google.com/spreadsheets/d/1Lhp9OU0JdFf_VYSMzH5lBcEaU4o8teT1piV-SNzShjg/edit?gid=554141278#gid=554141278"", ""'Char Def. - Attributes'!C20:C2242""), 1,false)"),"SPEC_QTY_IN_ONE_BUNDLE")</f>
        <v>SPEC_QTY_IN_ONE_BUNDLE</v>
      </c>
      <c r="I2962" s="136"/>
    </row>
    <row r="2963" ht="15.75" customHeight="1">
      <c r="B2963" s="63">
        <f t="shared" si="1"/>
        <v>17</v>
      </c>
      <c r="C2963" s="143" t="s">
        <v>148</v>
      </c>
      <c r="D2963" s="143" t="s">
        <v>74</v>
      </c>
      <c r="E2963" s="135">
        <f t="shared" si="59"/>
        <v>23</v>
      </c>
      <c r="F2963" s="143" t="s">
        <v>3798</v>
      </c>
      <c r="G2963" s="63" t="str">
        <f>VLOOKUP(C2963, 'Class Def. - General Data'!$C$20:$C$1000,1,false)</f>
        <v>ZPI1_PERLKP_HUJAN</v>
      </c>
      <c r="H2963" s="63" t="str">
        <f>IFERROR(__xludf.DUMMYFUNCTION("VLOOKUP(F2963, IMPORTRANGE(""https://docs.google.com/spreadsheets/d/1Lhp9OU0JdFf_VYSMzH5lBcEaU4o8teT1piV-SNzShjg/edit?gid=554141278#gid=554141278"", ""'Char Def. - Attributes'!C20:C2242""), 1,false)"),"QTY_IN_ONE_BUNDLE")</f>
        <v>QTY_IN_ONE_BUNDLE</v>
      </c>
      <c r="I2963" s="136"/>
    </row>
    <row r="2964" ht="15.75" customHeight="1">
      <c r="B2964" s="63">
        <f t="shared" si="1"/>
        <v>17</v>
      </c>
      <c r="C2964" s="143" t="s">
        <v>148</v>
      </c>
      <c r="D2964" s="143" t="s">
        <v>74</v>
      </c>
      <c r="E2964" s="135">
        <f t="shared" si="59"/>
        <v>24</v>
      </c>
      <c r="F2964" s="143" t="s">
        <v>3585</v>
      </c>
      <c r="G2964" s="63" t="str">
        <f>VLOOKUP(C2964, 'Class Def. - General Data'!$C$20:$C$1000,1,false)</f>
        <v>ZPI1_PERLKP_HUJAN</v>
      </c>
      <c r="H2964" s="63" t="str">
        <f>IFERROR(__xludf.DUMMYFUNCTION("VLOOKUP(F2964, IMPORTRANGE(""https://docs.google.com/spreadsheets/d/1Lhp9OU0JdFf_VYSMzH5lBcEaU4o8teT1piV-SNzShjg/edit?gid=554141278#gid=554141278"", ""'Char Def. - Attributes'!C20:C2242""), 1,false)"),"HS_CODE")</f>
        <v>HS_CODE</v>
      </c>
      <c r="I2964" s="136"/>
    </row>
    <row r="2965" ht="15.75" customHeight="1">
      <c r="B2965" s="63">
        <f t="shared" si="1"/>
        <v>17</v>
      </c>
      <c r="C2965" s="143" t="s">
        <v>148</v>
      </c>
      <c r="D2965" s="143" t="s">
        <v>74</v>
      </c>
      <c r="E2965" s="135">
        <f t="shared" si="59"/>
        <v>25</v>
      </c>
      <c r="F2965" s="143" t="s">
        <v>3799</v>
      </c>
      <c r="G2965" s="63" t="str">
        <f>VLOOKUP(C2965, 'Class Def. - General Data'!$C$20:$C$1000,1,false)</f>
        <v>ZPI1_PERLKP_HUJAN</v>
      </c>
      <c r="H2965" s="63" t="str">
        <f>IFERROR(__xludf.DUMMYFUNCTION("VLOOKUP(F2965, IMPORTRANGE(""https://docs.google.com/spreadsheets/d/1Lhp9OU0JdFf_VYSMzH5lBcEaU4o8teT1piV-SNzShjg/edit?gid=554141278#gid=554141278"", ""'Char Def. - Attributes'!C20:C2242""), 1,false)"),"BASE_UNIT_ZPI1")</f>
        <v>BASE_UNIT_ZPI1</v>
      </c>
      <c r="I2965" s="136"/>
    </row>
    <row r="2966" ht="15.75" customHeight="1">
      <c r="B2966" s="63">
        <f t="shared" si="1"/>
        <v>17</v>
      </c>
      <c r="C2966" s="143" t="s">
        <v>148</v>
      </c>
      <c r="D2966" s="143" t="s">
        <v>74</v>
      </c>
      <c r="E2966" s="135">
        <f t="shared" si="59"/>
        <v>26</v>
      </c>
      <c r="F2966" s="144" t="s">
        <v>3800</v>
      </c>
      <c r="G2966" s="63" t="str">
        <f>VLOOKUP(C2966, 'Class Def. - General Data'!$C$20:$C$1000,1,false)</f>
        <v>ZPI1_PERLKP_HUJAN</v>
      </c>
      <c r="H2966" s="63" t="str">
        <f>IFERROR(__xludf.DUMMYFUNCTION("VLOOKUP(F2966, IMPORTRANGE(""https://docs.google.com/spreadsheets/d/1Lhp9OU0JdFf_VYSMzH5lBcEaU4o8teT1piV-SNzShjg/edit?gid=554141278#gid=554141278"", ""'Char Def. - Attributes'!C20:C2242""), 1,false)"),"ORDER_UNIT_DIFF_FROM_BASIC_UOM")</f>
        <v>ORDER_UNIT_DIFF_FROM_BASIC_UOM</v>
      </c>
      <c r="I2966" s="136"/>
    </row>
    <row r="2967" ht="15.75" customHeight="1">
      <c r="B2967" s="63">
        <f t="shared" si="1"/>
        <v>17</v>
      </c>
      <c r="C2967" s="143" t="s">
        <v>148</v>
      </c>
      <c r="D2967" s="143" t="s">
        <v>74</v>
      </c>
      <c r="E2967" s="135">
        <f t="shared" si="59"/>
        <v>27</v>
      </c>
      <c r="F2967" s="144" t="s">
        <v>3801</v>
      </c>
      <c r="G2967" s="63" t="str">
        <f>VLOOKUP(C2967, 'Class Def. - General Data'!$C$20:$C$1000,1,false)</f>
        <v>ZPI1_PERLKP_HUJAN</v>
      </c>
      <c r="H2967" s="63" t="str">
        <f>IFERROR(__xludf.DUMMYFUNCTION("VLOOKUP(F2967, IMPORTRANGE(""https://docs.google.com/spreadsheets/d/1Lhp9OU0JdFf_VYSMzH5lBcEaU4o8teT1piV-SNzShjg/edit?gid=554141278#gid=554141278"", ""'Char Def. - Attributes'!C20:C2242""), 1,false)"),"ORDER_UNIT_ZPI1")</f>
        <v>ORDER_UNIT_ZPI1</v>
      </c>
      <c r="I2967" s="136"/>
    </row>
    <row r="2968" ht="15.75" customHeight="1">
      <c r="B2968" s="63">
        <f t="shared" si="1"/>
        <v>17</v>
      </c>
      <c r="C2968" s="143" t="s">
        <v>148</v>
      </c>
      <c r="D2968" s="143" t="s">
        <v>74</v>
      </c>
      <c r="E2968" s="135">
        <f t="shared" si="59"/>
        <v>28</v>
      </c>
      <c r="F2968" s="143" t="s">
        <v>3802</v>
      </c>
      <c r="G2968" s="63" t="str">
        <f>VLOOKUP(C2968, 'Class Def. - General Data'!$C$20:$C$1000,1,false)</f>
        <v>ZPI1_PERLKP_HUJAN</v>
      </c>
      <c r="H2968" s="63" t="str">
        <f>IFERROR(__xludf.DUMMYFUNCTION("VLOOKUP(F2968, IMPORTRANGE(""https://docs.google.com/spreadsheets/d/1Lhp9OU0JdFf_VYSMzH5lBcEaU4o8teT1piV-SNzShjg/edit?gid=554141278#gid=554141278"", ""'Char Def. - Attributes'!C20:C2242""), 1,false)"),"WEIGHT_UNIT_PI")</f>
        <v>WEIGHT_UNIT_PI</v>
      </c>
      <c r="I2968" s="136"/>
    </row>
    <row r="2969" ht="15.75" customHeight="1">
      <c r="B2969" s="63">
        <f t="shared" si="1"/>
        <v>17</v>
      </c>
      <c r="C2969" s="143" t="s">
        <v>148</v>
      </c>
      <c r="D2969" s="143" t="s">
        <v>74</v>
      </c>
      <c r="E2969" s="135">
        <f t="shared" si="59"/>
        <v>29</v>
      </c>
      <c r="F2969" s="143" t="s">
        <v>3602</v>
      </c>
      <c r="G2969" s="63" t="str">
        <f>VLOOKUP(C2969, 'Class Def. - General Data'!$C$20:$C$1000,1,false)</f>
        <v>ZPI1_PERLKP_HUJAN</v>
      </c>
      <c r="H2969" s="63" t="str">
        <f>IFERROR(__xludf.DUMMYFUNCTION("VLOOKUP(F2969, IMPORTRANGE(""https://docs.google.com/spreadsheets/d/1Lhp9OU0JdFf_VYSMzH5lBcEaU4o8teT1piV-SNzShjg/edit?gid=554141278#gid=554141278"", ""'Char Def. - Attributes'!C20:C2242""), 1,false)"),"NET_WEIGHT")</f>
        <v>NET_WEIGHT</v>
      </c>
      <c r="I2969" s="136"/>
    </row>
    <row r="2970" ht="15.75" customHeight="1">
      <c r="B2970" s="63">
        <f t="shared" si="1"/>
        <v>17</v>
      </c>
      <c r="C2970" s="143" t="s">
        <v>148</v>
      </c>
      <c r="D2970" s="143" t="s">
        <v>74</v>
      </c>
      <c r="E2970" s="135">
        <f t="shared" si="59"/>
        <v>30</v>
      </c>
      <c r="F2970" s="143" t="s">
        <v>3601</v>
      </c>
      <c r="G2970" s="63" t="str">
        <f>VLOOKUP(C2970, 'Class Def. - General Data'!$C$20:$C$1000,1,false)</f>
        <v>ZPI1_PERLKP_HUJAN</v>
      </c>
      <c r="H2970" s="63" t="str">
        <f>IFERROR(__xludf.DUMMYFUNCTION("VLOOKUP(F2970, IMPORTRANGE(""https://docs.google.com/spreadsheets/d/1Lhp9OU0JdFf_VYSMzH5lBcEaU4o8teT1piV-SNzShjg/edit?gid=554141278#gid=554141278"", ""'Char Def. - Attributes'!C20:C2242""), 1,false)"),"GROSS_WEIGHT")</f>
        <v>GROSS_WEIGHT</v>
      </c>
      <c r="I2970" s="136"/>
    </row>
    <row r="2971" ht="15.75" customHeight="1">
      <c r="B2971" s="63">
        <f t="shared" si="1"/>
        <v>17</v>
      </c>
      <c r="C2971" s="143" t="s">
        <v>148</v>
      </c>
      <c r="D2971" s="143" t="s">
        <v>74</v>
      </c>
      <c r="E2971" s="135">
        <f t="shared" si="59"/>
        <v>31</v>
      </c>
      <c r="F2971" s="143" t="s">
        <v>3803</v>
      </c>
      <c r="G2971" s="63" t="str">
        <f>VLOOKUP(C2971, 'Class Def. - General Data'!$C$20:$C$1000,1,false)</f>
        <v>ZPI1_PERLKP_HUJAN</v>
      </c>
      <c r="H2971" s="63" t="str">
        <f>IFERROR(__xludf.DUMMYFUNCTION("VLOOKUP(F2971, IMPORTRANGE(""https://docs.google.com/spreadsheets/d/1Lhp9OU0JdFf_VYSMzH5lBcEaU4o8teT1piV-SNzShjg/edit?gid=554141278#gid=554141278"", ""'Char Def. - Attributes'!C20:C2242""), 1,false)"),"VOLUME_UNIT_PI")</f>
        <v>VOLUME_UNIT_PI</v>
      </c>
      <c r="I2971" s="136"/>
    </row>
    <row r="2972" ht="15.75" customHeight="1">
      <c r="B2972" s="63">
        <f t="shared" si="1"/>
        <v>17</v>
      </c>
      <c r="C2972" s="143" t="s">
        <v>148</v>
      </c>
      <c r="D2972" s="143" t="s">
        <v>74</v>
      </c>
      <c r="E2972" s="135">
        <f t="shared" si="59"/>
        <v>32</v>
      </c>
      <c r="F2972" s="143" t="s">
        <v>3603</v>
      </c>
      <c r="G2972" s="63" t="str">
        <f>VLOOKUP(C2972, 'Class Def. - General Data'!$C$20:$C$1000,1,false)</f>
        <v>ZPI1_PERLKP_HUJAN</v>
      </c>
      <c r="H2972" s="63" t="str">
        <f>IFERROR(__xludf.DUMMYFUNCTION("VLOOKUP(F2972, IMPORTRANGE(""https://docs.google.com/spreadsheets/d/1Lhp9OU0JdFf_VYSMzH5lBcEaU4o8teT1piV-SNzShjg/edit?gid=554141278#gid=554141278"", ""'Char Def. - Attributes'!C20:C2242""), 1,false)"),"VOLUME")</f>
        <v>VOLUME</v>
      </c>
      <c r="I2972" s="136"/>
    </row>
    <row r="2973" ht="15.75" customHeight="1">
      <c r="B2973" s="63">
        <f t="shared" si="1"/>
        <v>17</v>
      </c>
      <c r="C2973" s="143" t="s">
        <v>148</v>
      </c>
      <c r="D2973" s="143" t="s">
        <v>74</v>
      </c>
      <c r="E2973" s="135">
        <f t="shared" si="59"/>
        <v>33</v>
      </c>
      <c r="F2973" s="143" t="s">
        <v>3587</v>
      </c>
      <c r="G2973" s="63" t="str">
        <f>VLOOKUP(C2973, 'Class Def. - General Data'!$C$20:$C$1000,1,false)</f>
        <v>ZPI1_PERLKP_HUJAN</v>
      </c>
      <c r="H2973" s="63" t="str">
        <f>IFERROR(__xludf.DUMMYFUNCTION("VLOOKUP(F2973, IMPORTRANGE(""https://docs.google.com/spreadsheets/d/1Lhp9OU0JdFf_VYSMzH5lBcEaU4o8teT1piV-SNzShjg/edit?gid=554141278#gid=554141278"", ""'Char Def. - Attributes'!C20:C2242""), 1,false)"),"PLANT_BUY")</f>
        <v>PLANT_BUY</v>
      </c>
      <c r="I2973" s="136"/>
    </row>
    <row r="2974" ht="15.75" customHeight="1">
      <c r="B2974" s="63">
        <f t="shared" si="1"/>
        <v>17</v>
      </c>
      <c r="C2974" s="143" t="s">
        <v>148</v>
      </c>
      <c r="D2974" s="143" t="s">
        <v>74</v>
      </c>
      <c r="E2974" s="135">
        <f t="shared" si="59"/>
        <v>34</v>
      </c>
      <c r="F2974" s="143" t="s">
        <v>3804</v>
      </c>
      <c r="G2974" s="63" t="str">
        <f>VLOOKUP(C2974, 'Class Def. - General Data'!$C$20:$C$1000,1,false)</f>
        <v>ZPI1_PERLKP_HUJAN</v>
      </c>
      <c r="H2974" s="63" t="str">
        <f>IFERROR(__xludf.DUMMYFUNCTION("VLOOKUP(F2974, IMPORTRANGE(""https://docs.google.com/spreadsheets/d/1Lhp9OU0JdFf_VYSMzH5lBcEaU4o8teT1piV-SNzShjg/edit?gid=554141278#gid=554141278"", ""'Char Def. - Attributes'!C20:C2242""), 1,false)"),"ALT_UOM1_SIPI")</f>
        <v>ALT_UOM1_SIPI</v>
      </c>
      <c r="I2974" s="136"/>
    </row>
    <row r="2975" ht="15.75" customHeight="1">
      <c r="B2975" s="63">
        <f t="shared" si="1"/>
        <v>17</v>
      </c>
      <c r="C2975" s="143" t="s">
        <v>148</v>
      </c>
      <c r="D2975" s="143" t="s">
        <v>74</v>
      </c>
      <c r="E2975" s="135">
        <f t="shared" si="59"/>
        <v>35</v>
      </c>
      <c r="F2975" s="143" t="s">
        <v>3805</v>
      </c>
      <c r="G2975" s="63" t="str">
        <f>VLOOKUP(C2975, 'Class Def. - General Data'!$C$20:$C$1000,1,false)</f>
        <v>ZPI1_PERLKP_HUJAN</v>
      </c>
      <c r="H2975" s="63" t="str">
        <f>IFERROR(__xludf.DUMMYFUNCTION("VLOOKUP(F2975, IMPORTRANGE(""https://docs.google.com/spreadsheets/d/1Lhp9OU0JdFf_VYSMzH5lBcEaU4o8teT1piV-SNzShjg/edit?gid=554141278#gid=554141278"", ""'Char Def. - Attributes'!C20:C2242""), 1,false)"),"ALT_DENUM_UOM1")</f>
        <v>ALT_DENUM_UOM1</v>
      </c>
      <c r="I2975" s="136"/>
    </row>
    <row r="2976" ht="15.75" customHeight="1">
      <c r="B2976" s="63">
        <f t="shared" si="1"/>
        <v>17</v>
      </c>
      <c r="C2976" s="143" t="s">
        <v>148</v>
      </c>
      <c r="D2976" s="143" t="s">
        <v>74</v>
      </c>
      <c r="E2976" s="135">
        <f t="shared" si="59"/>
        <v>36</v>
      </c>
      <c r="F2976" s="143" t="s">
        <v>3806</v>
      </c>
      <c r="G2976" s="63" t="str">
        <f>VLOOKUP(C2976, 'Class Def. - General Data'!$C$20:$C$1000,1,false)</f>
        <v>ZPI1_PERLKP_HUJAN</v>
      </c>
      <c r="H2976" s="63" t="str">
        <f>IFERROR(__xludf.DUMMYFUNCTION("VLOOKUP(F2976, IMPORTRANGE(""https://docs.google.com/spreadsheets/d/1Lhp9OU0JdFf_VYSMzH5lBcEaU4o8teT1piV-SNzShjg/edit?gid=554141278#gid=554141278"", ""'Char Def. - Attributes'!C20:C2242""), 1,false)"),"ALT_NUM_UOM1")</f>
        <v>ALT_NUM_UOM1</v>
      </c>
      <c r="I2976" s="136"/>
    </row>
    <row r="2977" ht="15.75" customHeight="1">
      <c r="B2977" s="63">
        <f t="shared" si="1"/>
        <v>17</v>
      </c>
      <c r="C2977" s="143" t="s">
        <v>148</v>
      </c>
      <c r="D2977" s="143" t="s">
        <v>74</v>
      </c>
      <c r="E2977" s="135">
        <f t="shared" si="59"/>
        <v>37</v>
      </c>
      <c r="F2977" s="143" t="s">
        <v>3807</v>
      </c>
      <c r="G2977" s="63" t="str">
        <f>VLOOKUP(C2977, 'Class Def. - General Data'!$C$20:$C$1000,1,false)</f>
        <v>ZPI1_PERLKP_HUJAN</v>
      </c>
      <c r="H2977" s="63" t="str">
        <f>IFERROR(__xludf.DUMMYFUNCTION("VLOOKUP(F2977, IMPORTRANGE(""https://docs.google.com/spreadsheets/d/1Lhp9OU0JdFf_VYSMzH5lBcEaU4o8teT1piV-SNzShjg/edit?gid=554141278#gid=554141278"", ""'Char Def. - Attributes'!C20:C2242""), 1,false)"),"ALT_UOM2_SIPI")</f>
        <v>ALT_UOM2_SIPI</v>
      </c>
      <c r="I2977" s="136"/>
    </row>
    <row r="2978" ht="15.75" customHeight="1">
      <c r="B2978" s="63">
        <f t="shared" si="1"/>
        <v>17</v>
      </c>
      <c r="C2978" s="143" t="s">
        <v>148</v>
      </c>
      <c r="D2978" s="143" t="s">
        <v>74</v>
      </c>
      <c r="E2978" s="135">
        <f t="shared" si="59"/>
        <v>38</v>
      </c>
      <c r="F2978" s="143" t="s">
        <v>3808</v>
      </c>
      <c r="G2978" s="63" t="str">
        <f>VLOOKUP(C2978, 'Class Def. - General Data'!$C$20:$C$1000,1,false)</f>
        <v>ZPI1_PERLKP_HUJAN</v>
      </c>
      <c r="H2978" s="63" t="str">
        <f>IFERROR(__xludf.DUMMYFUNCTION("VLOOKUP(F2978, IMPORTRANGE(""https://docs.google.com/spreadsheets/d/1Lhp9OU0JdFf_VYSMzH5lBcEaU4o8teT1piV-SNzShjg/edit?gid=554141278#gid=554141278"", ""'Char Def. - Attributes'!C20:C2242""), 1,false)"),"ALT_DENUM_UOM2")</f>
        <v>ALT_DENUM_UOM2</v>
      </c>
      <c r="I2978" s="136"/>
    </row>
    <row r="2979" ht="15.75" customHeight="1">
      <c r="B2979" s="63">
        <f t="shared" si="1"/>
        <v>17</v>
      </c>
      <c r="C2979" s="143" t="s">
        <v>148</v>
      </c>
      <c r="D2979" s="143" t="s">
        <v>74</v>
      </c>
      <c r="E2979" s="135">
        <f t="shared" si="59"/>
        <v>39</v>
      </c>
      <c r="F2979" s="143" t="s">
        <v>3809</v>
      </c>
      <c r="G2979" s="63" t="str">
        <f>VLOOKUP(C2979, 'Class Def. - General Data'!$C$20:$C$1000,1,false)</f>
        <v>ZPI1_PERLKP_HUJAN</v>
      </c>
      <c r="H2979" s="63" t="str">
        <f>IFERROR(__xludf.DUMMYFUNCTION("VLOOKUP(F2979, IMPORTRANGE(""https://docs.google.com/spreadsheets/d/1Lhp9OU0JdFf_VYSMzH5lBcEaU4o8teT1piV-SNzShjg/edit?gid=554141278#gid=554141278"", ""'Char Def. - Attributes'!C20:C2242""), 1,false)"),"ALT_NUM_UOM2")</f>
        <v>ALT_NUM_UOM2</v>
      </c>
      <c r="I2979" s="136"/>
    </row>
    <row r="2980" ht="15.75" customHeight="1">
      <c r="B2980" s="63">
        <f t="shared" si="1"/>
        <v>17</v>
      </c>
      <c r="C2980" s="143" t="s">
        <v>148</v>
      </c>
      <c r="D2980" s="143" t="s">
        <v>74</v>
      </c>
      <c r="E2980" s="135">
        <f t="shared" si="59"/>
        <v>40</v>
      </c>
      <c r="F2980" s="143" t="s">
        <v>3810</v>
      </c>
      <c r="G2980" s="63" t="str">
        <f>VLOOKUP(C2980, 'Class Def. - General Data'!$C$20:$C$1000,1,false)</f>
        <v>ZPI1_PERLKP_HUJAN</v>
      </c>
      <c r="H2980" s="63" t="str">
        <f>IFERROR(__xludf.DUMMYFUNCTION("VLOOKUP(F2980, IMPORTRANGE(""https://docs.google.com/spreadsheets/d/1Lhp9OU0JdFf_VYSMzH5lBcEaU4o8teT1piV-SNzShjg/edit?gid=554141278#gid=554141278"", ""'Char Def. - Attributes'!C20:C2242""), 1,false)"),"ALT_UOM3_SIPI")</f>
        <v>ALT_UOM3_SIPI</v>
      </c>
      <c r="I2980" s="136"/>
    </row>
    <row r="2981" ht="15.75" customHeight="1">
      <c r="B2981" s="63">
        <f t="shared" si="1"/>
        <v>17</v>
      </c>
      <c r="C2981" s="143" t="s">
        <v>148</v>
      </c>
      <c r="D2981" s="143" t="s">
        <v>74</v>
      </c>
      <c r="E2981" s="135">
        <f t="shared" si="59"/>
        <v>41</v>
      </c>
      <c r="F2981" s="143" t="s">
        <v>3811</v>
      </c>
      <c r="G2981" s="63" t="str">
        <f>VLOOKUP(C2981, 'Class Def. - General Data'!$C$20:$C$1000,1,false)</f>
        <v>ZPI1_PERLKP_HUJAN</v>
      </c>
      <c r="H2981" s="63" t="str">
        <f>IFERROR(__xludf.DUMMYFUNCTION("VLOOKUP(F2981, IMPORTRANGE(""https://docs.google.com/spreadsheets/d/1Lhp9OU0JdFf_VYSMzH5lBcEaU4o8teT1piV-SNzShjg/edit?gid=554141278#gid=554141278"", ""'Char Def. - Attributes'!C20:C2242""), 1,false)"),"ALT_DENUM_UOM3")</f>
        <v>ALT_DENUM_UOM3</v>
      </c>
      <c r="I2981" s="136"/>
    </row>
    <row r="2982" ht="15.75" customHeight="1">
      <c r="B2982" s="63">
        <f t="shared" si="1"/>
        <v>17</v>
      </c>
      <c r="C2982" s="143" t="s">
        <v>148</v>
      </c>
      <c r="D2982" s="143" t="s">
        <v>74</v>
      </c>
      <c r="E2982" s="135">
        <f t="shared" si="59"/>
        <v>42</v>
      </c>
      <c r="F2982" s="143" t="s">
        <v>3812</v>
      </c>
      <c r="G2982" s="63" t="str">
        <f>VLOOKUP(C2982, 'Class Def. - General Data'!$C$20:$C$1000,1,false)</f>
        <v>ZPI1_PERLKP_HUJAN</v>
      </c>
      <c r="H2982" s="63" t="str">
        <f>IFERROR(__xludf.DUMMYFUNCTION("VLOOKUP(F2982, IMPORTRANGE(""https://docs.google.com/spreadsheets/d/1Lhp9OU0JdFf_VYSMzH5lBcEaU4o8teT1piV-SNzShjg/edit?gid=554141278#gid=554141278"", ""'Char Def. - Attributes'!C20:C2242""), 1,false)"),"ALT_NUM_UOM3")</f>
        <v>ALT_NUM_UOM3</v>
      </c>
      <c r="I2982" s="136"/>
    </row>
    <row r="2983" ht="15.75" customHeight="1">
      <c r="B2983" s="63">
        <f t="shared" si="1"/>
        <v>17</v>
      </c>
      <c r="C2983" s="143" t="s">
        <v>148</v>
      </c>
      <c r="D2983" s="143" t="s">
        <v>74</v>
      </c>
      <c r="E2983" s="135">
        <f t="shared" si="59"/>
        <v>43</v>
      </c>
      <c r="F2983" s="143" t="s">
        <v>3813</v>
      </c>
      <c r="G2983" s="63" t="str">
        <f>VLOOKUP(C2983, 'Class Def. - General Data'!$C$20:$C$1000,1,false)</f>
        <v>ZPI1_PERLKP_HUJAN</v>
      </c>
      <c r="H2983" s="63" t="str">
        <f>IFERROR(__xludf.DUMMYFUNCTION("VLOOKUP(F2983, IMPORTRANGE(""https://docs.google.com/spreadsheets/d/1Lhp9OU0JdFf_VYSMzH5lBcEaU4o8teT1piV-SNzShjg/edit?gid=554141278#gid=554141278"", ""'Char Def. - Attributes'!C20:C2242""), 1,false)"),"ALT_UOM4_SIPI")</f>
        <v>ALT_UOM4_SIPI</v>
      </c>
      <c r="I2983" s="136"/>
    </row>
    <row r="2984" ht="15.75" customHeight="1">
      <c r="B2984" s="63">
        <f t="shared" si="1"/>
        <v>17</v>
      </c>
      <c r="C2984" s="143" t="s">
        <v>148</v>
      </c>
      <c r="D2984" s="143" t="s">
        <v>74</v>
      </c>
      <c r="E2984" s="135">
        <f t="shared" si="59"/>
        <v>44</v>
      </c>
      <c r="F2984" s="143" t="s">
        <v>3814</v>
      </c>
      <c r="G2984" s="63" t="str">
        <f>VLOOKUP(C2984, 'Class Def. - General Data'!$C$20:$C$1000,1,false)</f>
        <v>ZPI1_PERLKP_HUJAN</v>
      </c>
      <c r="H2984" s="63" t="str">
        <f>IFERROR(__xludf.DUMMYFUNCTION("VLOOKUP(F2984, IMPORTRANGE(""https://docs.google.com/spreadsheets/d/1Lhp9OU0JdFf_VYSMzH5lBcEaU4o8teT1piV-SNzShjg/edit?gid=554141278#gid=554141278"", ""'Char Def. - Attributes'!C20:C2242""), 1,false)"),"ALT_DENUM_UOM4")</f>
        <v>ALT_DENUM_UOM4</v>
      </c>
      <c r="I2984" s="136"/>
    </row>
    <row r="2985" ht="15.75" customHeight="1">
      <c r="B2985" s="63">
        <f t="shared" si="1"/>
        <v>17</v>
      </c>
      <c r="C2985" s="143" t="s">
        <v>148</v>
      </c>
      <c r="D2985" s="143" t="s">
        <v>74</v>
      </c>
      <c r="E2985" s="135">
        <f t="shared" si="59"/>
        <v>45</v>
      </c>
      <c r="F2985" s="143" t="s">
        <v>3815</v>
      </c>
      <c r="G2985" s="63" t="str">
        <f>VLOOKUP(C2985, 'Class Def. - General Data'!$C$20:$C$1000,1,false)</f>
        <v>ZPI1_PERLKP_HUJAN</v>
      </c>
      <c r="H2985" s="63" t="str">
        <f>IFERROR(__xludf.DUMMYFUNCTION("VLOOKUP(F2985, IMPORTRANGE(""https://docs.google.com/spreadsheets/d/1Lhp9OU0JdFf_VYSMzH5lBcEaU4o8teT1piV-SNzShjg/edit?gid=554141278#gid=554141278"", ""'Char Def. - Attributes'!C20:C2242""), 1,false)"),"ALT_NUM_UOM4")</f>
        <v>ALT_NUM_UOM4</v>
      </c>
      <c r="I2985" s="136"/>
    </row>
    <row r="2986" ht="15.75" customHeight="1">
      <c r="B2986" s="63">
        <f t="shared" si="1"/>
        <v>17</v>
      </c>
      <c r="C2986" s="143" t="s">
        <v>148</v>
      </c>
      <c r="D2986" s="143" t="s">
        <v>74</v>
      </c>
      <c r="E2986" s="135">
        <f t="shared" si="59"/>
        <v>46</v>
      </c>
      <c r="F2986" s="143" t="s">
        <v>3816</v>
      </c>
      <c r="G2986" s="63" t="str">
        <f>VLOOKUP(C2986, 'Class Def. - General Data'!$C$20:$C$1000,1,false)</f>
        <v>ZPI1_PERLKP_HUJAN</v>
      </c>
      <c r="H2986" s="63" t="str">
        <f>IFERROR(__xludf.DUMMYFUNCTION("VLOOKUP(F2986, IMPORTRANGE(""https://docs.google.com/spreadsheets/d/1Lhp9OU0JdFf_VYSMzH5lBcEaU4o8teT1piV-SNzShjg/edit?gid=554141278#gid=554141278"", ""'Char Def. - Attributes'!C20:C2242""), 1,false)"),"ALT_UOM5_SIPI")</f>
        <v>ALT_UOM5_SIPI</v>
      </c>
      <c r="I2986" s="136"/>
    </row>
    <row r="2987" ht="15.75" customHeight="1">
      <c r="B2987" s="63">
        <f t="shared" si="1"/>
        <v>17</v>
      </c>
      <c r="C2987" s="143" t="s">
        <v>148</v>
      </c>
      <c r="D2987" s="143" t="s">
        <v>74</v>
      </c>
      <c r="E2987" s="135">
        <f t="shared" si="59"/>
        <v>47</v>
      </c>
      <c r="F2987" s="143" t="s">
        <v>3817</v>
      </c>
      <c r="G2987" s="63" t="str">
        <f>VLOOKUP(C2987, 'Class Def. - General Data'!$C$20:$C$1000,1,false)</f>
        <v>ZPI1_PERLKP_HUJAN</v>
      </c>
      <c r="H2987" s="63" t="str">
        <f>IFERROR(__xludf.DUMMYFUNCTION("VLOOKUP(F2987, IMPORTRANGE(""https://docs.google.com/spreadsheets/d/1Lhp9OU0JdFf_VYSMzH5lBcEaU4o8teT1piV-SNzShjg/edit?gid=554141278#gid=554141278"", ""'Char Def. - Attributes'!C20:C2242""), 1,false)"),"ALT_DENUM_UOM5")</f>
        <v>ALT_DENUM_UOM5</v>
      </c>
      <c r="I2987" s="136"/>
    </row>
    <row r="2988" ht="15.75" customHeight="1">
      <c r="B2988" s="63">
        <f t="shared" si="1"/>
        <v>17</v>
      </c>
      <c r="C2988" s="143" t="s">
        <v>148</v>
      </c>
      <c r="D2988" s="143" t="s">
        <v>74</v>
      </c>
      <c r="E2988" s="135">
        <f t="shared" si="59"/>
        <v>48</v>
      </c>
      <c r="F2988" s="143" t="s">
        <v>3818</v>
      </c>
      <c r="G2988" s="63" t="str">
        <f>VLOOKUP(C2988, 'Class Def. - General Data'!$C$20:$C$1000,1,false)</f>
        <v>ZPI1_PERLKP_HUJAN</v>
      </c>
      <c r="H2988" s="63" t="str">
        <f>IFERROR(__xludf.DUMMYFUNCTION("VLOOKUP(F2988, IMPORTRANGE(""https://docs.google.com/spreadsheets/d/1Lhp9OU0JdFf_VYSMzH5lBcEaU4o8teT1piV-SNzShjg/edit?gid=554141278#gid=554141278"", ""'Char Def. - Attributes'!C20:C2242""), 1,false)"),"ALT_NUM_UOM5")</f>
        <v>ALT_NUM_UOM5</v>
      </c>
      <c r="I2988" s="136"/>
    </row>
    <row r="2989" ht="15.75" customHeight="1">
      <c r="B2989" s="63">
        <f t="shared" si="1"/>
        <v>18</v>
      </c>
      <c r="C2989" s="143" t="s">
        <v>155</v>
      </c>
      <c r="D2989" s="143" t="s">
        <v>74</v>
      </c>
      <c r="E2989" s="135">
        <f t="shared" si="59"/>
        <v>1</v>
      </c>
      <c r="F2989" s="143" t="s">
        <v>3842</v>
      </c>
      <c r="G2989" s="63" t="str">
        <f>VLOOKUP(C2989, 'Class Def. - General Data'!$C$20:$C$1000,1,false)</f>
        <v>ZPI1_PERLKP_OLHRGA</v>
      </c>
      <c r="H2989" s="63" t="str">
        <f>IFERROR(__xludf.DUMMYFUNCTION("VLOOKUP(F2989, IMPORTRANGE(""https://docs.google.com/spreadsheets/d/1Lhp9OU0JdFf_VYSMzH5lBcEaU4o8teT1piV-SNzShjg/edit?gid=554141278#gid=554141278"", ""'Char Def. - Attributes'!C20:C2242""), 1,false)"),"ITEM_NAME_PERLKP_OLHRAGA")</f>
        <v>ITEM_NAME_PERLKP_OLHRAGA</v>
      </c>
      <c r="I2989" s="136"/>
    </row>
    <row r="2990" ht="15.75" customHeight="1">
      <c r="B2990" s="63">
        <f t="shared" si="1"/>
        <v>18</v>
      </c>
      <c r="C2990" s="143" t="s">
        <v>155</v>
      </c>
      <c r="D2990" s="143" t="s">
        <v>74</v>
      </c>
      <c r="E2990" s="135">
        <f t="shared" si="59"/>
        <v>2</v>
      </c>
      <c r="F2990" s="143" t="s">
        <v>3778</v>
      </c>
      <c r="G2990" s="63" t="str">
        <f>VLOOKUP(C2990, 'Class Def. - General Data'!$C$20:$C$1000,1,false)</f>
        <v>ZPI1_PERLKP_OLHRGA</v>
      </c>
      <c r="H2990" s="63" t="str">
        <f>IFERROR(__xludf.DUMMYFUNCTION("VLOOKUP(F2990, IMPORTRANGE(""https://docs.google.com/spreadsheets/d/1Lhp9OU0JdFf_VYSMzH5lBcEaU4o8teT1piV-SNzShjg/edit?gid=554141278#gid=554141278"", ""'Char Def. - Attributes'!C20:C2242""), 1,false)"),"SPECIAL_ACTIVITY")</f>
        <v>SPECIAL_ACTIVITY</v>
      </c>
      <c r="I2990" s="136"/>
    </row>
    <row r="2991" ht="15.75" customHeight="1">
      <c r="B2991" s="63">
        <f t="shared" si="1"/>
        <v>18</v>
      </c>
      <c r="C2991" s="143" t="s">
        <v>155</v>
      </c>
      <c r="D2991" s="143" t="s">
        <v>74</v>
      </c>
      <c r="E2991" s="135">
        <f t="shared" si="59"/>
        <v>3</v>
      </c>
      <c r="F2991" s="144" t="s">
        <v>3779</v>
      </c>
      <c r="G2991" s="63" t="str">
        <f>VLOOKUP(C2991, 'Class Def. - General Data'!$C$20:$C$1000,1,false)</f>
        <v>ZPI1_PERLKP_OLHRGA</v>
      </c>
      <c r="H2991" s="63" t="str">
        <f>IFERROR(__xludf.DUMMYFUNCTION("VLOOKUP(F2991, IMPORTRANGE(""https://docs.google.com/spreadsheets/d/1Lhp9OU0JdFf_VYSMzH5lBcEaU4o8teT1piV-SNzShjg/edit?gid=554141278#gid=554141278"", ""'Char Def. - Attributes'!C20:C2242""), 1,false)"),"EMBOSSED_BRAND_WINGS")</f>
        <v>EMBOSSED_BRAND_WINGS</v>
      </c>
      <c r="I2991" s="136"/>
    </row>
    <row r="2992" ht="15.75" customHeight="1">
      <c r="B2992" s="63">
        <f t="shared" si="1"/>
        <v>18</v>
      </c>
      <c r="C2992" s="143" t="s">
        <v>155</v>
      </c>
      <c r="D2992" s="143" t="s">
        <v>74</v>
      </c>
      <c r="E2992" s="135">
        <f t="shared" si="59"/>
        <v>4</v>
      </c>
      <c r="F2992" s="144" t="s">
        <v>3780</v>
      </c>
      <c r="G2992" s="63" t="str">
        <f>VLOOKUP(C2992, 'Class Def. - General Data'!$C$20:$C$1000,1,false)</f>
        <v>ZPI1_PERLKP_OLHRGA</v>
      </c>
      <c r="H2992" s="63" t="str">
        <f>IFERROR(__xludf.DUMMYFUNCTION("VLOOKUP(F2992, IMPORTRANGE(""https://docs.google.com/spreadsheets/d/1Lhp9OU0JdFf_VYSMzH5lBcEaU4o8teT1piV-SNzShjg/edit?gid=554141278#gid=554141278"", ""'Char Def. - Attributes'!C20:C2242""), 1,false)"),"BRAND_WINGS_SIPI")</f>
        <v>BRAND_WINGS_SIPI</v>
      </c>
      <c r="I2992" s="136"/>
    </row>
    <row r="2993" ht="15.75" customHeight="1">
      <c r="B2993" s="63">
        <f t="shared" si="1"/>
        <v>18</v>
      </c>
      <c r="C2993" s="143" t="s">
        <v>155</v>
      </c>
      <c r="D2993" s="143" t="s">
        <v>74</v>
      </c>
      <c r="E2993" s="135">
        <f t="shared" si="59"/>
        <v>5</v>
      </c>
      <c r="F2993" s="143" t="s">
        <v>3781</v>
      </c>
      <c r="G2993" s="63" t="str">
        <f>VLOOKUP(C2993, 'Class Def. - General Data'!$C$20:$C$1000,1,false)</f>
        <v>ZPI1_PERLKP_OLHRGA</v>
      </c>
      <c r="H2993" s="63" t="str">
        <f>IFERROR(__xludf.DUMMYFUNCTION("VLOOKUP(F2993, IMPORTRANGE(""https://docs.google.com/spreadsheets/d/1Lhp9OU0JdFf_VYSMzH5lBcEaU4o8teT1piV-SNzShjg/edit?gid=554141278#gid=554141278"", ""'Char Def. - Attributes'!C20:C2242""), 1,false)"),"EXTERNAL_BRAND")</f>
        <v>EXTERNAL_BRAND</v>
      </c>
      <c r="I2993" s="136"/>
    </row>
    <row r="2994" ht="15.75" customHeight="1">
      <c r="B2994" s="63">
        <f t="shared" si="1"/>
        <v>18</v>
      </c>
      <c r="C2994" s="143" t="s">
        <v>155</v>
      </c>
      <c r="D2994" s="143" t="s">
        <v>74</v>
      </c>
      <c r="E2994" s="135">
        <f t="shared" si="59"/>
        <v>6</v>
      </c>
      <c r="F2994" s="143" t="s">
        <v>3782</v>
      </c>
      <c r="G2994" s="63" t="str">
        <f>VLOOKUP(C2994, 'Class Def. - General Data'!$C$20:$C$1000,1,false)</f>
        <v>ZPI1_PERLKP_OLHRGA</v>
      </c>
      <c r="H2994" s="63" t="str">
        <f>IFERROR(__xludf.DUMMYFUNCTION("VLOOKUP(F2994, IMPORTRANGE(""https://docs.google.com/spreadsheets/d/1Lhp9OU0JdFf_VYSMzH5lBcEaU4o8teT1piV-SNzShjg/edit?gid=554141278#gid=554141278"", ""'Char Def. - Attributes'!C20:C2242""), 1,false)"),"BRAND_EXTERNAL")</f>
        <v>BRAND_EXTERNAL</v>
      </c>
      <c r="I2994" s="136"/>
    </row>
    <row r="2995" ht="15.75" customHeight="1">
      <c r="B2995" s="63">
        <f t="shared" si="1"/>
        <v>18</v>
      </c>
      <c r="C2995" s="143" t="s">
        <v>155</v>
      </c>
      <c r="D2995" s="143" t="s">
        <v>74</v>
      </c>
      <c r="E2995" s="135">
        <f t="shared" si="59"/>
        <v>7</v>
      </c>
      <c r="F2995" s="143" t="s">
        <v>3783</v>
      </c>
      <c r="G2995" s="63" t="str">
        <f>VLOOKUP(C2995, 'Class Def. - General Data'!$C$20:$C$1000,1,false)</f>
        <v>ZPI1_PERLKP_OLHRGA</v>
      </c>
      <c r="H2995" s="63" t="str">
        <f>IFERROR(__xludf.DUMMYFUNCTION("VLOOKUP(F2995, IMPORTRANGE(""https://docs.google.com/spreadsheets/d/1Lhp9OU0JdFf_VYSMzH5lBcEaU4o8teT1piV-SNzShjg/edit?gid=554141278#gid=554141278"", ""'Char Def. - Attributes'!C20:C2242""), 1,false)"),"NO_SERI_BRAND_EXTERNAL")</f>
        <v>NO_SERI_BRAND_EXTERNAL</v>
      </c>
      <c r="I2995" s="136"/>
    </row>
    <row r="2996" ht="15.75" customHeight="1">
      <c r="B2996" s="63">
        <f t="shared" si="1"/>
        <v>18</v>
      </c>
      <c r="C2996" s="143" t="s">
        <v>155</v>
      </c>
      <c r="D2996" s="143" t="s">
        <v>74</v>
      </c>
      <c r="E2996" s="135">
        <f t="shared" si="59"/>
        <v>8</v>
      </c>
      <c r="F2996" s="143" t="s">
        <v>3843</v>
      </c>
      <c r="G2996" s="63" t="str">
        <f>VLOOKUP(C2996, 'Class Def. - General Data'!$C$20:$C$1000,1,false)</f>
        <v>ZPI1_PERLKP_OLHRGA</v>
      </c>
      <c r="H2996" s="63" t="str">
        <f>IFERROR(__xludf.DUMMYFUNCTION("VLOOKUP(F2996, IMPORTRANGE(""https://docs.google.com/spreadsheets/d/1Lhp9OU0JdFf_VYSMzH5lBcEaU4o8teT1piV-SNzShjg/edit?gid=554141278#gid=554141278"", ""'Char Def. - Attributes'!C20:C2242""), 1,false)"),"MATERIAL_PERLKP_OLHRAGA")</f>
        <v>MATERIAL_PERLKP_OLHRAGA</v>
      </c>
      <c r="I2996" s="136"/>
    </row>
    <row r="2997" ht="15.75" customHeight="1">
      <c r="B2997" s="63">
        <f t="shared" si="1"/>
        <v>18</v>
      </c>
      <c r="C2997" s="143" t="s">
        <v>155</v>
      </c>
      <c r="D2997" s="143" t="s">
        <v>74</v>
      </c>
      <c r="E2997" s="135">
        <f t="shared" si="59"/>
        <v>9</v>
      </c>
      <c r="F2997" s="143" t="s">
        <v>3785</v>
      </c>
      <c r="G2997" s="63" t="str">
        <f>VLOOKUP(C2997, 'Class Def. - General Data'!$C$20:$C$1000,1,false)</f>
        <v>ZPI1_PERLKP_OLHRGA</v>
      </c>
      <c r="H2997" s="63" t="str">
        <f>IFERROR(__xludf.DUMMYFUNCTION("VLOOKUP(F2997, IMPORTRANGE(""https://docs.google.com/spreadsheets/d/1Lhp9OU0JdFf_VYSMzH5lBcEaU4o8teT1piV-SNzShjg/edit?gid=554141278#gid=554141278"", ""'Char Def. - Attributes'!C20:C2242""), 1,false)"),"ITEM_SHAPE")</f>
        <v>ITEM_SHAPE</v>
      </c>
      <c r="I2997" s="136"/>
    </row>
    <row r="2998" ht="15.75" customHeight="1">
      <c r="B2998" s="63">
        <f t="shared" si="1"/>
        <v>18</v>
      </c>
      <c r="C2998" s="143" t="s">
        <v>155</v>
      </c>
      <c r="D2998" s="143" t="s">
        <v>74</v>
      </c>
      <c r="E2998" s="135">
        <f t="shared" si="59"/>
        <v>10</v>
      </c>
      <c r="F2998" s="143" t="s">
        <v>3786</v>
      </c>
      <c r="G2998" s="63" t="str">
        <f>VLOOKUP(C2998, 'Class Def. - General Data'!$C$20:$C$1000,1,false)</f>
        <v>ZPI1_PERLKP_OLHRGA</v>
      </c>
      <c r="H2998" s="63" t="str">
        <f>IFERROR(__xludf.DUMMYFUNCTION("VLOOKUP(F2998, IMPORTRANGE(""https://docs.google.com/spreadsheets/d/1Lhp9OU0JdFf_VYSMzH5lBcEaU4o8teT1piV-SNzShjg/edit?gid=554141278#gid=554141278"", ""'Char Def. - Attributes'!C20:C2242""), 1,false)"),"SIZE_UNIT_DIMENSI")</f>
        <v>SIZE_UNIT_DIMENSI</v>
      </c>
      <c r="I2998" s="136"/>
    </row>
    <row r="2999" ht="15.75" customHeight="1">
      <c r="B2999" s="63">
        <f t="shared" si="1"/>
        <v>18</v>
      </c>
      <c r="C2999" s="143" t="s">
        <v>155</v>
      </c>
      <c r="D2999" s="143" t="s">
        <v>74</v>
      </c>
      <c r="E2999" s="135">
        <f t="shared" si="59"/>
        <v>11</v>
      </c>
      <c r="F2999" s="144" t="s">
        <v>3787</v>
      </c>
      <c r="G2999" s="63" t="str">
        <f>VLOOKUP(C2999, 'Class Def. - General Data'!$C$20:$C$1000,1,false)</f>
        <v>ZPI1_PERLKP_OLHRGA</v>
      </c>
      <c r="H2999" s="63" t="str">
        <f>IFERROR(__xludf.DUMMYFUNCTION("VLOOKUP(F2999, IMPORTRANGE(""https://docs.google.com/spreadsheets/d/1Lhp9OU0JdFf_VYSMzH5lBcEaU4o8teT1piV-SNzShjg/edit?gid=554141278#gid=554141278"", ""'Char Def. - Attributes'!C20:C2242""), 1,false)"),"DIAMETER_PCS")</f>
        <v>DIAMETER_PCS</v>
      </c>
      <c r="I2999" s="136"/>
    </row>
    <row r="3000" ht="15.75" customHeight="1">
      <c r="B3000" s="63">
        <f t="shared" si="1"/>
        <v>18</v>
      </c>
      <c r="C3000" s="143" t="s">
        <v>155</v>
      </c>
      <c r="D3000" s="143" t="s">
        <v>74</v>
      </c>
      <c r="E3000" s="135">
        <f t="shared" si="59"/>
        <v>12</v>
      </c>
      <c r="F3000" s="143" t="s">
        <v>3788</v>
      </c>
      <c r="G3000" s="63" t="str">
        <f>VLOOKUP(C3000, 'Class Def. - General Data'!$C$20:$C$1000,1,false)</f>
        <v>ZPI1_PERLKP_OLHRGA</v>
      </c>
      <c r="H3000" s="63" t="str">
        <f>IFERROR(__xludf.DUMMYFUNCTION("VLOOKUP(F3000, IMPORTRANGE(""https://docs.google.com/spreadsheets/d/1Lhp9OU0JdFf_VYSMzH5lBcEaU4o8teT1piV-SNzShjg/edit?gid=554141278#gid=554141278"", ""'Char Def. - Attributes'!C20:C2242""), 1,false)"),"LENGTH_PCS")</f>
        <v>LENGTH_PCS</v>
      </c>
      <c r="I3000" s="136"/>
    </row>
    <row r="3001" ht="15.75" customHeight="1">
      <c r="B3001" s="63">
        <f t="shared" si="1"/>
        <v>18</v>
      </c>
      <c r="C3001" s="143" t="s">
        <v>155</v>
      </c>
      <c r="D3001" s="143" t="s">
        <v>74</v>
      </c>
      <c r="E3001" s="135">
        <f t="shared" si="59"/>
        <v>13</v>
      </c>
      <c r="F3001" s="143" t="s">
        <v>3789</v>
      </c>
      <c r="G3001" s="63" t="str">
        <f>VLOOKUP(C3001, 'Class Def. - General Data'!$C$20:$C$1000,1,false)</f>
        <v>ZPI1_PERLKP_OLHRGA</v>
      </c>
      <c r="H3001" s="63" t="str">
        <f>IFERROR(__xludf.DUMMYFUNCTION("VLOOKUP(F3001, IMPORTRANGE(""https://docs.google.com/spreadsheets/d/1Lhp9OU0JdFf_VYSMzH5lBcEaU4o8teT1piV-SNzShjg/edit?gid=554141278#gid=554141278"", ""'Char Def. - Attributes'!C20:C2242""), 1,false)"),"WIDTH_PCS")</f>
        <v>WIDTH_PCS</v>
      </c>
      <c r="I3001" s="136"/>
    </row>
    <row r="3002" ht="15.75" customHeight="1">
      <c r="B3002" s="63">
        <f t="shared" si="1"/>
        <v>18</v>
      </c>
      <c r="C3002" s="143" t="s">
        <v>155</v>
      </c>
      <c r="D3002" s="143" t="s">
        <v>74</v>
      </c>
      <c r="E3002" s="135">
        <f t="shared" si="59"/>
        <v>14</v>
      </c>
      <c r="F3002" s="143" t="s">
        <v>3790</v>
      </c>
      <c r="G3002" s="63" t="str">
        <f>VLOOKUP(C3002, 'Class Def. - General Data'!$C$20:$C$1000,1,false)</f>
        <v>ZPI1_PERLKP_OLHRGA</v>
      </c>
      <c r="H3002" s="63" t="str">
        <f>IFERROR(__xludf.DUMMYFUNCTION("VLOOKUP(F3002, IMPORTRANGE(""https://docs.google.com/spreadsheets/d/1Lhp9OU0JdFf_VYSMzH5lBcEaU4o8teT1piV-SNzShjg/edit?gid=554141278#gid=554141278"", ""'Char Def. - Attributes'!C20:C2242""), 1,false)"),"HEIGHT_PCS")</f>
        <v>HEIGHT_PCS</v>
      </c>
      <c r="I3002" s="136"/>
    </row>
    <row r="3003" ht="15.75" customHeight="1">
      <c r="B3003" s="63">
        <f t="shared" si="1"/>
        <v>18</v>
      </c>
      <c r="C3003" s="143" t="s">
        <v>155</v>
      </c>
      <c r="D3003" s="143" t="s">
        <v>74</v>
      </c>
      <c r="E3003" s="135">
        <f t="shared" si="59"/>
        <v>15</v>
      </c>
      <c r="F3003" s="143" t="s">
        <v>3791</v>
      </c>
      <c r="G3003" s="63" t="str">
        <f>VLOOKUP(C3003, 'Class Def. - General Data'!$C$20:$C$1000,1,false)</f>
        <v>ZPI1_PERLKP_OLHRGA</v>
      </c>
      <c r="H3003" s="63" t="str">
        <f>IFERROR(__xludf.DUMMYFUNCTION("VLOOKUP(F3003, IMPORTRANGE(""https://docs.google.com/spreadsheets/d/1Lhp9OU0JdFf_VYSMzH5lBcEaU4o8teT1piV-SNzShjg/edit?gid=554141278#gid=554141278"", ""'Char Def. - Attributes'!C20:C2242""), 1,false)"),"HAS_SPESIFIC_COLOUR")</f>
        <v>HAS_SPESIFIC_COLOUR</v>
      </c>
      <c r="I3003" s="136"/>
    </row>
    <row r="3004" ht="15.75" customHeight="1">
      <c r="B3004" s="63">
        <f t="shared" si="1"/>
        <v>18</v>
      </c>
      <c r="C3004" s="143" t="s">
        <v>155</v>
      </c>
      <c r="D3004" s="143" t="s">
        <v>74</v>
      </c>
      <c r="E3004" s="135">
        <f t="shared" si="59"/>
        <v>16</v>
      </c>
      <c r="F3004" s="143" t="s">
        <v>3792</v>
      </c>
      <c r="G3004" s="63" t="str">
        <f>VLOOKUP(C3004, 'Class Def. - General Data'!$C$20:$C$1000,1,false)</f>
        <v>ZPI1_PERLKP_OLHRGA</v>
      </c>
      <c r="H3004" s="63" t="str">
        <f>IFERROR(__xludf.DUMMYFUNCTION("VLOOKUP(F3004, IMPORTRANGE(""https://docs.google.com/spreadsheets/d/1Lhp9OU0JdFf_VYSMzH5lBcEaU4o8teT1piV-SNzShjg/edit?gid=554141278#gid=554141278"", ""'Char Def. - Attributes'!C20:C2242""), 1,false)"),"COLOUR")</f>
        <v>COLOUR</v>
      </c>
      <c r="I3004" s="136"/>
    </row>
    <row r="3005" ht="15.75" customHeight="1">
      <c r="B3005" s="63">
        <f t="shared" si="1"/>
        <v>18</v>
      </c>
      <c r="C3005" s="143" t="s">
        <v>155</v>
      </c>
      <c r="D3005" s="143" t="s">
        <v>74</v>
      </c>
      <c r="E3005" s="135">
        <f t="shared" si="59"/>
        <v>17</v>
      </c>
      <c r="F3005" s="143" t="s">
        <v>3793</v>
      </c>
      <c r="G3005" s="63" t="str">
        <f>VLOOKUP(C3005, 'Class Def. - General Data'!$C$20:$C$1000,1,false)</f>
        <v>ZPI1_PERLKP_OLHRGA</v>
      </c>
      <c r="H3005" s="63" t="str">
        <f>IFERROR(__xludf.DUMMYFUNCTION("VLOOKUP(F3005, IMPORTRANGE(""https://docs.google.com/spreadsheets/d/1Lhp9OU0JdFf_VYSMzH5lBcEaU4o8teT1piV-SNzShjg/edit?gid=554141278#gid=554141278"", ""'Char Def. - Attributes'!C20:C2242""), 1,false)"),"EMBOSSED_SPESIFIC_DESAIN")</f>
        <v>EMBOSSED_SPESIFIC_DESAIN</v>
      </c>
      <c r="I3005" s="136"/>
    </row>
    <row r="3006" ht="15.75" customHeight="1">
      <c r="B3006" s="63">
        <f t="shared" si="1"/>
        <v>18</v>
      </c>
      <c r="C3006" s="143" t="s">
        <v>155</v>
      </c>
      <c r="D3006" s="143" t="s">
        <v>74</v>
      </c>
      <c r="E3006" s="135">
        <f t="shared" si="59"/>
        <v>18</v>
      </c>
      <c r="F3006" s="143" t="s">
        <v>3794</v>
      </c>
      <c r="G3006" s="63" t="str">
        <f>VLOOKUP(C3006, 'Class Def. - General Data'!$C$20:$C$1000,1,false)</f>
        <v>ZPI1_PERLKP_OLHRGA</v>
      </c>
      <c r="H3006" s="63" t="str">
        <f>IFERROR(__xludf.DUMMYFUNCTION("VLOOKUP(F3006, IMPORTRANGE(""https://docs.google.com/spreadsheets/d/1Lhp9OU0JdFf_VYSMzH5lBcEaU4o8teT1piV-SNzShjg/edit?gid=554141278#gid=554141278"", ""'Char Def. - Attributes'!C20:C2242""), 1,false)"),"DESAIN_NAME")</f>
        <v>DESAIN_NAME</v>
      </c>
      <c r="I3006" s="136"/>
    </row>
    <row r="3007" ht="15.75" customHeight="1">
      <c r="B3007" s="63">
        <f t="shared" si="1"/>
        <v>18</v>
      </c>
      <c r="C3007" s="143" t="s">
        <v>155</v>
      </c>
      <c r="D3007" s="143" t="s">
        <v>74</v>
      </c>
      <c r="E3007" s="135">
        <f t="shared" si="59"/>
        <v>19</v>
      </c>
      <c r="F3007" s="143" t="s">
        <v>3795</v>
      </c>
      <c r="G3007" s="63" t="str">
        <f>VLOOKUP(C3007, 'Class Def. - General Data'!$C$20:$C$1000,1,false)</f>
        <v>ZPI1_PERLKP_OLHRGA</v>
      </c>
      <c r="H3007" s="63" t="str">
        <f>IFERROR(__xludf.DUMMYFUNCTION("VLOOKUP(F3007, IMPORTRANGE(""https://docs.google.com/spreadsheets/d/1Lhp9OU0JdFf_VYSMzH5lBcEaU4o8teT1piV-SNzShjg/edit?gid=554141278#gid=554141278"", ""'Char Def. - Attributes'!C20:C2242""), 1,false)"),"DESAIN_MONTH")</f>
        <v>DESAIN_MONTH</v>
      </c>
      <c r="I3007" s="136"/>
    </row>
    <row r="3008" ht="15.75" customHeight="1">
      <c r="B3008" s="63">
        <f t="shared" si="1"/>
        <v>18</v>
      </c>
      <c r="C3008" s="143" t="s">
        <v>155</v>
      </c>
      <c r="D3008" s="143" t="s">
        <v>74</v>
      </c>
      <c r="E3008" s="135">
        <f t="shared" si="59"/>
        <v>20</v>
      </c>
      <c r="F3008" s="143" t="s">
        <v>3796</v>
      </c>
      <c r="G3008" s="63" t="str">
        <f>VLOOKUP(C3008, 'Class Def. - General Data'!$C$20:$C$1000,1,false)</f>
        <v>ZPI1_PERLKP_OLHRGA</v>
      </c>
      <c r="H3008" s="63" t="str">
        <f>IFERROR(__xludf.DUMMYFUNCTION("VLOOKUP(F3008, IMPORTRANGE(""https://docs.google.com/spreadsheets/d/1Lhp9OU0JdFf_VYSMzH5lBcEaU4o8teT1piV-SNzShjg/edit?gid=554141278#gid=554141278"", ""'Char Def. - Attributes'!C20:C2242""), 1,false)"),"DESAIN_YEAR")</f>
        <v>DESAIN_YEAR</v>
      </c>
      <c r="I3008" s="136"/>
    </row>
    <row r="3009" ht="15.75" customHeight="1">
      <c r="B3009" s="63">
        <f t="shared" si="1"/>
        <v>18</v>
      </c>
      <c r="C3009" s="143" t="s">
        <v>155</v>
      </c>
      <c r="D3009" s="143" t="s">
        <v>74</v>
      </c>
      <c r="E3009" s="135">
        <f t="shared" si="59"/>
        <v>21</v>
      </c>
      <c r="F3009" s="143" t="s">
        <v>3797</v>
      </c>
      <c r="G3009" s="63" t="str">
        <f>VLOOKUP(C3009, 'Class Def. - General Data'!$C$20:$C$1000,1,false)</f>
        <v>ZPI1_PERLKP_OLHRGA</v>
      </c>
      <c r="H3009" s="63" t="str">
        <f>IFERROR(__xludf.DUMMYFUNCTION("VLOOKUP(F3009, IMPORTRANGE(""https://docs.google.com/spreadsheets/d/1Lhp9OU0JdFf_VYSMzH5lBcEaU4o8teT1piV-SNzShjg/edit?gid=554141278#gid=554141278"", ""'Char Def. - Attributes'!C20:C2242""), 1,false)"),"SPEC_QTY_IN_ONE_BUNDLE")</f>
        <v>SPEC_QTY_IN_ONE_BUNDLE</v>
      </c>
      <c r="I3009" s="136"/>
    </row>
    <row r="3010" ht="15.75" customHeight="1">
      <c r="B3010" s="63">
        <f t="shared" si="1"/>
        <v>18</v>
      </c>
      <c r="C3010" s="143" t="s">
        <v>155</v>
      </c>
      <c r="D3010" s="143" t="s">
        <v>74</v>
      </c>
      <c r="E3010" s="135">
        <f t="shared" si="59"/>
        <v>22</v>
      </c>
      <c r="F3010" s="143" t="s">
        <v>3798</v>
      </c>
      <c r="G3010" s="63" t="str">
        <f>VLOOKUP(C3010, 'Class Def. - General Data'!$C$20:$C$1000,1,false)</f>
        <v>ZPI1_PERLKP_OLHRGA</v>
      </c>
      <c r="H3010" s="63" t="str">
        <f>IFERROR(__xludf.DUMMYFUNCTION("VLOOKUP(F3010, IMPORTRANGE(""https://docs.google.com/spreadsheets/d/1Lhp9OU0JdFf_VYSMzH5lBcEaU4o8teT1piV-SNzShjg/edit?gid=554141278#gid=554141278"", ""'Char Def. - Attributes'!C20:C2242""), 1,false)"),"QTY_IN_ONE_BUNDLE")</f>
        <v>QTY_IN_ONE_BUNDLE</v>
      </c>
      <c r="I3010" s="136"/>
    </row>
    <row r="3011" ht="15.75" customHeight="1">
      <c r="B3011" s="63">
        <f t="shared" si="1"/>
        <v>18</v>
      </c>
      <c r="C3011" s="143" t="s">
        <v>155</v>
      </c>
      <c r="D3011" s="143" t="s">
        <v>74</v>
      </c>
      <c r="E3011" s="135">
        <f t="shared" si="59"/>
        <v>23</v>
      </c>
      <c r="F3011" s="143" t="s">
        <v>3585</v>
      </c>
      <c r="G3011" s="63" t="str">
        <f>VLOOKUP(C3011, 'Class Def. - General Data'!$C$20:$C$1000,1,false)</f>
        <v>ZPI1_PERLKP_OLHRGA</v>
      </c>
      <c r="H3011" s="63" t="str">
        <f>IFERROR(__xludf.DUMMYFUNCTION("VLOOKUP(F3011, IMPORTRANGE(""https://docs.google.com/spreadsheets/d/1Lhp9OU0JdFf_VYSMzH5lBcEaU4o8teT1piV-SNzShjg/edit?gid=554141278#gid=554141278"", ""'Char Def. - Attributes'!C20:C2242""), 1,false)"),"HS_CODE")</f>
        <v>HS_CODE</v>
      </c>
      <c r="I3011" s="136"/>
    </row>
    <row r="3012" ht="15.75" customHeight="1">
      <c r="B3012" s="63">
        <f t="shared" si="1"/>
        <v>18</v>
      </c>
      <c r="C3012" s="143" t="s">
        <v>155</v>
      </c>
      <c r="D3012" s="143" t="s">
        <v>74</v>
      </c>
      <c r="E3012" s="135">
        <f t="shared" si="59"/>
        <v>24</v>
      </c>
      <c r="F3012" s="143" t="s">
        <v>3799</v>
      </c>
      <c r="G3012" s="63" t="str">
        <f>VLOOKUP(C3012, 'Class Def. - General Data'!$C$20:$C$1000,1,false)</f>
        <v>ZPI1_PERLKP_OLHRGA</v>
      </c>
      <c r="H3012" s="63" t="str">
        <f>IFERROR(__xludf.DUMMYFUNCTION("VLOOKUP(F3012, IMPORTRANGE(""https://docs.google.com/spreadsheets/d/1Lhp9OU0JdFf_VYSMzH5lBcEaU4o8teT1piV-SNzShjg/edit?gid=554141278#gid=554141278"", ""'Char Def. - Attributes'!C20:C2242""), 1,false)"),"BASE_UNIT_ZPI1")</f>
        <v>BASE_UNIT_ZPI1</v>
      </c>
      <c r="I3012" s="136"/>
    </row>
    <row r="3013" ht="15.75" customHeight="1">
      <c r="B3013" s="63">
        <f t="shared" si="1"/>
        <v>18</v>
      </c>
      <c r="C3013" s="143" t="s">
        <v>155</v>
      </c>
      <c r="D3013" s="143" t="s">
        <v>74</v>
      </c>
      <c r="E3013" s="135">
        <f t="shared" si="59"/>
        <v>25</v>
      </c>
      <c r="F3013" s="144" t="s">
        <v>3800</v>
      </c>
      <c r="G3013" s="63" t="str">
        <f>VLOOKUP(C3013, 'Class Def. - General Data'!$C$20:$C$1000,1,false)</f>
        <v>ZPI1_PERLKP_OLHRGA</v>
      </c>
      <c r="H3013" s="63" t="str">
        <f>IFERROR(__xludf.DUMMYFUNCTION("VLOOKUP(F3013, IMPORTRANGE(""https://docs.google.com/spreadsheets/d/1Lhp9OU0JdFf_VYSMzH5lBcEaU4o8teT1piV-SNzShjg/edit?gid=554141278#gid=554141278"", ""'Char Def. - Attributes'!C20:C2242""), 1,false)"),"ORDER_UNIT_DIFF_FROM_BASIC_UOM")</f>
        <v>ORDER_UNIT_DIFF_FROM_BASIC_UOM</v>
      </c>
      <c r="I3013" s="136"/>
    </row>
    <row r="3014" ht="15.75" customHeight="1">
      <c r="B3014" s="63">
        <f t="shared" si="1"/>
        <v>18</v>
      </c>
      <c r="C3014" s="143" t="s">
        <v>155</v>
      </c>
      <c r="D3014" s="143" t="s">
        <v>74</v>
      </c>
      <c r="E3014" s="135">
        <f t="shared" si="59"/>
        <v>26</v>
      </c>
      <c r="F3014" s="144" t="s">
        <v>3801</v>
      </c>
      <c r="G3014" s="63" t="str">
        <f>VLOOKUP(C3014, 'Class Def. - General Data'!$C$20:$C$1000,1,false)</f>
        <v>ZPI1_PERLKP_OLHRGA</v>
      </c>
      <c r="H3014" s="63" t="str">
        <f>IFERROR(__xludf.DUMMYFUNCTION("VLOOKUP(F3014, IMPORTRANGE(""https://docs.google.com/spreadsheets/d/1Lhp9OU0JdFf_VYSMzH5lBcEaU4o8teT1piV-SNzShjg/edit?gid=554141278#gid=554141278"", ""'Char Def. - Attributes'!C20:C2242""), 1,false)"),"ORDER_UNIT_ZPI1")</f>
        <v>ORDER_UNIT_ZPI1</v>
      </c>
      <c r="I3014" s="136"/>
    </row>
    <row r="3015" ht="15.75" customHeight="1">
      <c r="B3015" s="63">
        <f t="shared" si="1"/>
        <v>18</v>
      </c>
      <c r="C3015" s="143" t="s">
        <v>155</v>
      </c>
      <c r="D3015" s="143" t="s">
        <v>74</v>
      </c>
      <c r="E3015" s="135">
        <f t="shared" si="59"/>
        <v>27</v>
      </c>
      <c r="F3015" s="143" t="s">
        <v>3802</v>
      </c>
      <c r="G3015" s="63" t="str">
        <f>VLOOKUP(C3015, 'Class Def. - General Data'!$C$20:$C$1000,1,false)</f>
        <v>ZPI1_PERLKP_OLHRGA</v>
      </c>
      <c r="H3015" s="63" t="str">
        <f>IFERROR(__xludf.DUMMYFUNCTION("VLOOKUP(F3015, IMPORTRANGE(""https://docs.google.com/spreadsheets/d/1Lhp9OU0JdFf_VYSMzH5lBcEaU4o8teT1piV-SNzShjg/edit?gid=554141278#gid=554141278"", ""'Char Def. - Attributes'!C20:C2242""), 1,false)"),"WEIGHT_UNIT_PI")</f>
        <v>WEIGHT_UNIT_PI</v>
      </c>
      <c r="I3015" s="136"/>
    </row>
    <row r="3016" ht="15.75" customHeight="1">
      <c r="B3016" s="63">
        <f t="shared" si="1"/>
        <v>18</v>
      </c>
      <c r="C3016" s="143" t="s">
        <v>155</v>
      </c>
      <c r="D3016" s="143" t="s">
        <v>74</v>
      </c>
      <c r="E3016" s="135">
        <f t="shared" si="59"/>
        <v>28</v>
      </c>
      <c r="F3016" s="143" t="s">
        <v>3602</v>
      </c>
      <c r="G3016" s="63" t="str">
        <f>VLOOKUP(C3016, 'Class Def. - General Data'!$C$20:$C$1000,1,false)</f>
        <v>ZPI1_PERLKP_OLHRGA</v>
      </c>
      <c r="H3016" s="63" t="str">
        <f>IFERROR(__xludf.DUMMYFUNCTION("VLOOKUP(F3016, IMPORTRANGE(""https://docs.google.com/spreadsheets/d/1Lhp9OU0JdFf_VYSMzH5lBcEaU4o8teT1piV-SNzShjg/edit?gid=554141278#gid=554141278"", ""'Char Def. - Attributes'!C20:C2242""), 1,false)"),"NET_WEIGHT")</f>
        <v>NET_WEIGHT</v>
      </c>
      <c r="I3016" s="136"/>
    </row>
    <row r="3017" ht="15.75" customHeight="1">
      <c r="B3017" s="63">
        <f t="shared" si="1"/>
        <v>18</v>
      </c>
      <c r="C3017" s="143" t="s">
        <v>155</v>
      </c>
      <c r="D3017" s="143" t="s">
        <v>74</v>
      </c>
      <c r="E3017" s="135">
        <f t="shared" si="59"/>
        <v>29</v>
      </c>
      <c r="F3017" s="143" t="s">
        <v>3601</v>
      </c>
      <c r="G3017" s="63" t="str">
        <f>VLOOKUP(C3017, 'Class Def. - General Data'!$C$20:$C$1000,1,false)</f>
        <v>ZPI1_PERLKP_OLHRGA</v>
      </c>
      <c r="H3017" s="63" t="str">
        <f>IFERROR(__xludf.DUMMYFUNCTION("VLOOKUP(F3017, IMPORTRANGE(""https://docs.google.com/spreadsheets/d/1Lhp9OU0JdFf_VYSMzH5lBcEaU4o8teT1piV-SNzShjg/edit?gid=554141278#gid=554141278"", ""'Char Def. - Attributes'!C20:C2242""), 1,false)"),"GROSS_WEIGHT")</f>
        <v>GROSS_WEIGHT</v>
      </c>
      <c r="I3017" s="136"/>
    </row>
    <row r="3018" ht="15.75" customHeight="1">
      <c r="B3018" s="63">
        <f t="shared" si="1"/>
        <v>18</v>
      </c>
      <c r="C3018" s="143" t="s">
        <v>155</v>
      </c>
      <c r="D3018" s="143" t="s">
        <v>74</v>
      </c>
      <c r="E3018" s="135">
        <f t="shared" si="59"/>
        <v>30</v>
      </c>
      <c r="F3018" s="143" t="s">
        <v>3803</v>
      </c>
      <c r="G3018" s="63" t="str">
        <f>VLOOKUP(C3018, 'Class Def. - General Data'!$C$20:$C$1000,1,false)</f>
        <v>ZPI1_PERLKP_OLHRGA</v>
      </c>
      <c r="H3018" s="63" t="str">
        <f>IFERROR(__xludf.DUMMYFUNCTION("VLOOKUP(F3018, IMPORTRANGE(""https://docs.google.com/spreadsheets/d/1Lhp9OU0JdFf_VYSMzH5lBcEaU4o8teT1piV-SNzShjg/edit?gid=554141278#gid=554141278"", ""'Char Def. - Attributes'!C20:C2242""), 1,false)"),"VOLUME_UNIT_PI")</f>
        <v>VOLUME_UNIT_PI</v>
      </c>
      <c r="I3018" s="136"/>
    </row>
    <row r="3019" ht="15.75" customHeight="1">
      <c r="B3019" s="63">
        <f t="shared" si="1"/>
        <v>18</v>
      </c>
      <c r="C3019" s="143" t="s">
        <v>155</v>
      </c>
      <c r="D3019" s="143" t="s">
        <v>74</v>
      </c>
      <c r="E3019" s="135">
        <f t="shared" si="59"/>
        <v>31</v>
      </c>
      <c r="F3019" s="143" t="s">
        <v>3603</v>
      </c>
      <c r="G3019" s="63" t="str">
        <f>VLOOKUP(C3019, 'Class Def. - General Data'!$C$20:$C$1000,1,false)</f>
        <v>ZPI1_PERLKP_OLHRGA</v>
      </c>
      <c r="H3019" s="63" t="str">
        <f>IFERROR(__xludf.DUMMYFUNCTION("VLOOKUP(F3019, IMPORTRANGE(""https://docs.google.com/spreadsheets/d/1Lhp9OU0JdFf_VYSMzH5lBcEaU4o8teT1piV-SNzShjg/edit?gid=554141278#gid=554141278"", ""'Char Def. - Attributes'!C20:C2242""), 1,false)"),"VOLUME")</f>
        <v>VOLUME</v>
      </c>
      <c r="I3019" s="136"/>
    </row>
    <row r="3020" ht="15.75" customHeight="1">
      <c r="B3020" s="63">
        <f t="shared" si="1"/>
        <v>18</v>
      </c>
      <c r="C3020" s="143" t="s">
        <v>155</v>
      </c>
      <c r="D3020" s="143" t="s">
        <v>74</v>
      </c>
      <c r="E3020" s="135">
        <f t="shared" si="59"/>
        <v>32</v>
      </c>
      <c r="F3020" s="143" t="s">
        <v>3587</v>
      </c>
      <c r="G3020" s="63" t="str">
        <f>VLOOKUP(C3020, 'Class Def. - General Data'!$C$20:$C$1000,1,false)</f>
        <v>ZPI1_PERLKP_OLHRGA</v>
      </c>
      <c r="H3020" s="63" t="str">
        <f>IFERROR(__xludf.DUMMYFUNCTION("VLOOKUP(F3020, IMPORTRANGE(""https://docs.google.com/spreadsheets/d/1Lhp9OU0JdFf_VYSMzH5lBcEaU4o8teT1piV-SNzShjg/edit?gid=554141278#gid=554141278"", ""'Char Def. - Attributes'!C20:C2242""), 1,false)"),"PLANT_BUY")</f>
        <v>PLANT_BUY</v>
      </c>
      <c r="I3020" s="136"/>
    </row>
    <row r="3021" ht="15.75" customHeight="1">
      <c r="B3021" s="63">
        <f t="shared" si="1"/>
        <v>18</v>
      </c>
      <c r="C3021" s="143" t="s">
        <v>155</v>
      </c>
      <c r="D3021" s="143" t="s">
        <v>74</v>
      </c>
      <c r="E3021" s="135">
        <f t="shared" si="59"/>
        <v>33</v>
      </c>
      <c r="F3021" s="143" t="s">
        <v>3804</v>
      </c>
      <c r="G3021" s="63" t="str">
        <f>VLOOKUP(C3021, 'Class Def. - General Data'!$C$20:$C$1000,1,false)</f>
        <v>ZPI1_PERLKP_OLHRGA</v>
      </c>
      <c r="H3021" s="63" t="str">
        <f>IFERROR(__xludf.DUMMYFUNCTION("VLOOKUP(F3021, IMPORTRANGE(""https://docs.google.com/spreadsheets/d/1Lhp9OU0JdFf_VYSMzH5lBcEaU4o8teT1piV-SNzShjg/edit?gid=554141278#gid=554141278"", ""'Char Def. - Attributes'!C20:C2242""), 1,false)"),"ALT_UOM1_SIPI")</f>
        <v>ALT_UOM1_SIPI</v>
      </c>
      <c r="I3021" s="136"/>
    </row>
    <row r="3022" ht="15.75" customHeight="1">
      <c r="B3022" s="63">
        <f t="shared" si="1"/>
        <v>18</v>
      </c>
      <c r="C3022" s="143" t="s">
        <v>155</v>
      </c>
      <c r="D3022" s="143" t="s">
        <v>74</v>
      </c>
      <c r="E3022" s="135">
        <f t="shared" si="59"/>
        <v>34</v>
      </c>
      <c r="F3022" s="143" t="s">
        <v>3805</v>
      </c>
      <c r="G3022" s="63" t="str">
        <f>VLOOKUP(C3022, 'Class Def. - General Data'!$C$20:$C$1000,1,false)</f>
        <v>ZPI1_PERLKP_OLHRGA</v>
      </c>
      <c r="H3022" s="63" t="str">
        <f>IFERROR(__xludf.DUMMYFUNCTION("VLOOKUP(F3022, IMPORTRANGE(""https://docs.google.com/spreadsheets/d/1Lhp9OU0JdFf_VYSMzH5lBcEaU4o8teT1piV-SNzShjg/edit?gid=554141278#gid=554141278"", ""'Char Def. - Attributes'!C20:C2242""), 1,false)"),"ALT_DENUM_UOM1")</f>
        <v>ALT_DENUM_UOM1</v>
      </c>
      <c r="I3022" s="136"/>
    </row>
    <row r="3023" ht="15.75" customHeight="1">
      <c r="B3023" s="63">
        <f t="shared" si="1"/>
        <v>18</v>
      </c>
      <c r="C3023" s="143" t="s">
        <v>155</v>
      </c>
      <c r="D3023" s="143" t="s">
        <v>74</v>
      </c>
      <c r="E3023" s="135">
        <f t="shared" si="59"/>
        <v>35</v>
      </c>
      <c r="F3023" s="143" t="s">
        <v>3806</v>
      </c>
      <c r="G3023" s="63" t="str">
        <f>VLOOKUP(C3023, 'Class Def. - General Data'!$C$20:$C$1000,1,false)</f>
        <v>ZPI1_PERLKP_OLHRGA</v>
      </c>
      <c r="H3023" s="63" t="str">
        <f>IFERROR(__xludf.DUMMYFUNCTION("VLOOKUP(F3023, IMPORTRANGE(""https://docs.google.com/spreadsheets/d/1Lhp9OU0JdFf_VYSMzH5lBcEaU4o8teT1piV-SNzShjg/edit?gid=554141278#gid=554141278"", ""'Char Def. - Attributes'!C20:C2242""), 1,false)"),"ALT_NUM_UOM1")</f>
        <v>ALT_NUM_UOM1</v>
      </c>
      <c r="I3023" s="136"/>
    </row>
    <row r="3024" ht="15.75" customHeight="1">
      <c r="B3024" s="63">
        <f t="shared" si="1"/>
        <v>18</v>
      </c>
      <c r="C3024" s="143" t="s">
        <v>155</v>
      </c>
      <c r="D3024" s="143" t="s">
        <v>74</v>
      </c>
      <c r="E3024" s="135">
        <f t="shared" si="59"/>
        <v>36</v>
      </c>
      <c r="F3024" s="143" t="s">
        <v>3807</v>
      </c>
      <c r="G3024" s="63" t="str">
        <f>VLOOKUP(C3024, 'Class Def. - General Data'!$C$20:$C$1000,1,false)</f>
        <v>ZPI1_PERLKP_OLHRGA</v>
      </c>
      <c r="H3024" s="63" t="str">
        <f>IFERROR(__xludf.DUMMYFUNCTION("VLOOKUP(F3024, IMPORTRANGE(""https://docs.google.com/spreadsheets/d/1Lhp9OU0JdFf_VYSMzH5lBcEaU4o8teT1piV-SNzShjg/edit?gid=554141278#gid=554141278"", ""'Char Def. - Attributes'!C20:C2242""), 1,false)"),"ALT_UOM2_SIPI")</f>
        <v>ALT_UOM2_SIPI</v>
      </c>
      <c r="I3024" s="136"/>
    </row>
    <row r="3025" ht="15.75" customHeight="1">
      <c r="B3025" s="63">
        <f t="shared" si="1"/>
        <v>18</v>
      </c>
      <c r="C3025" s="143" t="s">
        <v>155</v>
      </c>
      <c r="D3025" s="143" t="s">
        <v>74</v>
      </c>
      <c r="E3025" s="135">
        <f t="shared" si="59"/>
        <v>37</v>
      </c>
      <c r="F3025" s="143" t="s">
        <v>3808</v>
      </c>
      <c r="G3025" s="63" t="str">
        <f>VLOOKUP(C3025, 'Class Def. - General Data'!$C$20:$C$1000,1,false)</f>
        <v>ZPI1_PERLKP_OLHRGA</v>
      </c>
      <c r="H3025" s="63" t="str">
        <f>IFERROR(__xludf.DUMMYFUNCTION("VLOOKUP(F3025, IMPORTRANGE(""https://docs.google.com/spreadsheets/d/1Lhp9OU0JdFf_VYSMzH5lBcEaU4o8teT1piV-SNzShjg/edit?gid=554141278#gid=554141278"", ""'Char Def. - Attributes'!C20:C2242""), 1,false)"),"ALT_DENUM_UOM2")</f>
        <v>ALT_DENUM_UOM2</v>
      </c>
      <c r="I3025" s="136"/>
    </row>
    <row r="3026" ht="15.75" customHeight="1">
      <c r="B3026" s="63">
        <f t="shared" si="1"/>
        <v>18</v>
      </c>
      <c r="C3026" s="143" t="s">
        <v>155</v>
      </c>
      <c r="D3026" s="143" t="s">
        <v>74</v>
      </c>
      <c r="E3026" s="135">
        <f t="shared" si="59"/>
        <v>38</v>
      </c>
      <c r="F3026" s="143" t="s">
        <v>3809</v>
      </c>
      <c r="G3026" s="63" t="str">
        <f>VLOOKUP(C3026, 'Class Def. - General Data'!$C$20:$C$1000,1,false)</f>
        <v>ZPI1_PERLKP_OLHRGA</v>
      </c>
      <c r="H3026" s="63" t="str">
        <f>IFERROR(__xludf.DUMMYFUNCTION("VLOOKUP(F3026, IMPORTRANGE(""https://docs.google.com/spreadsheets/d/1Lhp9OU0JdFf_VYSMzH5lBcEaU4o8teT1piV-SNzShjg/edit?gid=554141278#gid=554141278"", ""'Char Def. - Attributes'!C20:C2242""), 1,false)"),"ALT_NUM_UOM2")</f>
        <v>ALT_NUM_UOM2</v>
      </c>
      <c r="I3026" s="136"/>
    </row>
    <row r="3027" ht="15.75" customHeight="1">
      <c r="B3027" s="63">
        <f t="shared" si="1"/>
        <v>18</v>
      </c>
      <c r="C3027" s="143" t="s">
        <v>155</v>
      </c>
      <c r="D3027" s="143" t="s">
        <v>74</v>
      </c>
      <c r="E3027" s="135">
        <f t="shared" si="59"/>
        <v>39</v>
      </c>
      <c r="F3027" s="143" t="s">
        <v>3810</v>
      </c>
      <c r="G3027" s="63" t="str">
        <f>VLOOKUP(C3027, 'Class Def. - General Data'!$C$20:$C$1000,1,false)</f>
        <v>ZPI1_PERLKP_OLHRGA</v>
      </c>
      <c r="H3027" s="63" t="str">
        <f>IFERROR(__xludf.DUMMYFUNCTION("VLOOKUP(F3027, IMPORTRANGE(""https://docs.google.com/spreadsheets/d/1Lhp9OU0JdFf_VYSMzH5lBcEaU4o8teT1piV-SNzShjg/edit?gid=554141278#gid=554141278"", ""'Char Def. - Attributes'!C20:C2242""), 1,false)"),"ALT_UOM3_SIPI")</f>
        <v>ALT_UOM3_SIPI</v>
      </c>
      <c r="I3027" s="136"/>
    </row>
    <row r="3028" ht="15.75" customHeight="1">
      <c r="B3028" s="63">
        <f t="shared" si="1"/>
        <v>18</v>
      </c>
      <c r="C3028" s="143" t="s">
        <v>155</v>
      </c>
      <c r="D3028" s="143" t="s">
        <v>74</v>
      </c>
      <c r="E3028" s="135">
        <f t="shared" si="59"/>
        <v>40</v>
      </c>
      <c r="F3028" s="143" t="s">
        <v>3811</v>
      </c>
      <c r="G3028" s="63" t="str">
        <f>VLOOKUP(C3028, 'Class Def. - General Data'!$C$20:$C$1000,1,false)</f>
        <v>ZPI1_PERLKP_OLHRGA</v>
      </c>
      <c r="H3028" s="63" t="str">
        <f>IFERROR(__xludf.DUMMYFUNCTION("VLOOKUP(F3028, IMPORTRANGE(""https://docs.google.com/spreadsheets/d/1Lhp9OU0JdFf_VYSMzH5lBcEaU4o8teT1piV-SNzShjg/edit?gid=554141278#gid=554141278"", ""'Char Def. - Attributes'!C20:C2242""), 1,false)"),"ALT_DENUM_UOM3")</f>
        <v>ALT_DENUM_UOM3</v>
      </c>
      <c r="I3028" s="136"/>
    </row>
    <row r="3029" ht="15.75" customHeight="1">
      <c r="B3029" s="63">
        <f t="shared" si="1"/>
        <v>18</v>
      </c>
      <c r="C3029" s="143" t="s">
        <v>155</v>
      </c>
      <c r="D3029" s="143" t="s">
        <v>74</v>
      </c>
      <c r="E3029" s="135">
        <f t="shared" si="59"/>
        <v>41</v>
      </c>
      <c r="F3029" s="143" t="s">
        <v>3812</v>
      </c>
      <c r="G3029" s="63" t="str">
        <f>VLOOKUP(C3029, 'Class Def. - General Data'!$C$20:$C$1000,1,false)</f>
        <v>ZPI1_PERLKP_OLHRGA</v>
      </c>
      <c r="H3029" s="63" t="str">
        <f>IFERROR(__xludf.DUMMYFUNCTION("VLOOKUP(F3029, IMPORTRANGE(""https://docs.google.com/spreadsheets/d/1Lhp9OU0JdFf_VYSMzH5lBcEaU4o8teT1piV-SNzShjg/edit?gid=554141278#gid=554141278"", ""'Char Def. - Attributes'!C20:C2242""), 1,false)"),"ALT_NUM_UOM3")</f>
        <v>ALT_NUM_UOM3</v>
      </c>
      <c r="I3029" s="136"/>
    </row>
    <row r="3030" ht="15.75" customHeight="1">
      <c r="B3030" s="63">
        <f t="shared" si="1"/>
        <v>18</v>
      </c>
      <c r="C3030" s="143" t="s">
        <v>155</v>
      </c>
      <c r="D3030" s="143" t="s">
        <v>74</v>
      </c>
      <c r="E3030" s="135">
        <f t="shared" si="59"/>
        <v>42</v>
      </c>
      <c r="F3030" s="143" t="s">
        <v>3813</v>
      </c>
      <c r="G3030" s="63" t="str">
        <f>VLOOKUP(C3030, 'Class Def. - General Data'!$C$20:$C$1000,1,false)</f>
        <v>ZPI1_PERLKP_OLHRGA</v>
      </c>
      <c r="H3030" s="63" t="str">
        <f>IFERROR(__xludf.DUMMYFUNCTION("VLOOKUP(F3030, IMPORTRANGE(""https://docs.google.com/spreadsheets/d/1Lhp9OU0JdFf_VYSMzH5lBcEaU4o8teT1piV-SNzShjg/edit?gid=554141278#gid=554141278"", ""'Char Def. - Attributes'!C20:C2242""), 1,false)"),"ALT_UOM4_SIPI")</f>
        <v>ALT_UOM4_SIPI</v>
      </c>
      <c r="I3030" s="136"/>
    </row>
    <row r="3031" ht="15.75" customHeight="1">
      <c r="B3031" s="63">
        <f t="shared" si="1"/>
        <v>18</v>
      </c>
      <c r="C3031" s="143" t="s">
        <v>155</v>
      </c>
      <c r="D3031" s="143" t="s">
        <v>74</v>
      </c>
      <c r="E3031" s="135">
        <f t="shared" si="59"/>
        <v>43</v>
      </c>
      <c r="F3031" s="143" t="s">
        <v>3814</v>
      </c>
      <c r="G3031" s="63" t="str">
        <f>VLOOKUP(C3031, 'Class Def. - General Data'!$C$20:$C$1000,1,false)</f>
        <v>ZPI1_PERLKP_OLHRGA</v>
      </c>
      <c r="H3031" s="63" t="str">
        <f>IFERROR(__xludf.DUMMYFUNCTION("VLOOKUP(F3031, IMPORTRANGE(""https://docs.google.com/spreadsheets/d/1Lhp9OU0JdFf_VYSMzH5lBcEaU4o8teT1piV-SNzShjg/edit?gid=554141278#gid=554141278"", ""'Char Def. - Attributes'!C20:C2242""), 1,false)"),"ALT_DENUM_UOM4")</f>
        <v>ALT_DENUM_UOM4</v>
      </c>
      <c r="I3031" s="136"/>
    </row>
    <row r="3032" ht="15.75" customHeight="1">
      <c r="B3032" s="63">
        <f t="shared" si="1"/>
        <v>18</v>
      </c>
      <c r="C3032" s="143" t="s">
        <v>155</v>
      </c>
      <c r="D3032" s="143" t="s">
        <v>74</v>
      </c>
      <c r="E3032" s="135">
        <f t="shared" si="59"/>
        <v>44</v>
      </c>
      <c r="F3032" s="143" t="s">
        <v>3815</v>
      </c>
      <c r="G3032" s="63" t="str">
        <f>VLOOKUP(C3032, 'Class Def. - General Data'!$C$20:$C$1000,1,false)</f>
        <v>ZPI1_PERLKP_OLHRGA</v>
      </c>
      <c r="H3032" s="63" t="str">
        <f>IFERROR(__xludf.DUMMYFUNCTION("VLOOKUP(F3032, IMPORTRANGE(""https://docs.google.com/spreadsheets/d/1Lhp9OU0JdFf_VYSMzH5lBcEaU4o8teT1piV-SNzShjg/edit?gid=554141278#gid=554141278"", ""'Char Def. - Attributes'!C20:C2242""), 1,false)"),"ALT_NUM_UOM4")</f>
        <v>ALT_NUM_UOM4</v>
      </c>
      <c r="I3032" s="136"/>
    </row>
    <row r="3033" ht="15.75" customHeight="1">
      <c r="B3033" s="63">
        <f t="shared" si="1"/>
        <v>18</v>
      </c>
      <c r="C3033" s="143" t="s">
        <v>155</v>
      </c>
      <c r="D3033" s="143" t="s">
        <v>74</v>
      </c>
      <c r="E3033" s="135">
        <f t="shared" si="59"/>
        <v>45</v>
      </c>
      <c r="F3033" s="143" t="s">
        <v>3816</v>
      </c>
      <c r="G3033" s="63" t="str">
        <f>VLOOKUP(C3033, 'Class Def. - General Data'!$C$20:$C$1000,1,false)</f>
        <v>ZPI1_PERLKP_OLHRGA</v>
      </c>
      <c r="H3033" s="63" t="str">
        <f>IFERROR(__xludf.DUMMYFUNCTION("VLOOKUP(F3033, IMPORTRANGE(""https://docs.google.com/spreadsheets/d/1Lhp9OU0JdFf_VYSMzH5lBcEaU4o8teT1piV-SNzShjg/edit?gid=554141278#gid=554141278"", ""'Char Def. - Attributes'!C20:C2242""), 1,false)"),"ALT_UOM5_SIPI")</f>
        <v>ALT_UOM5_SIPI</v>
      </c>
      <c r="I3033" s="136"/>
    </row>
    <row r="3034" ht="15.75" customHeight="1">
      <c r="B3034" s="63">
        <f t="shared" si="1"/>
        <v>18</v>
      </c>
      <c r="C3034" s="143" t="s">
        <v>155</v>
      </c>
      <c r="D3034" s="143" t="s">
        <v>74</v>
      </c>
      <c r="E3034" s="135">
        <f t="shared" si="59"/>
        <v>46</v>
      </c>
      <c r="F3034" s="143" t="s">
        <v>3817</v>
      </c>
      <c r="G3034" s="63" t="str">
        <f>VLOOKUP(C3034, 'Class Def. - General Data'!$C$20:$C$1000,1,false)</f>
        <v>ZPI1_PERLKP_OLHRGA</v>
      </c>
      <c r="H3034" s="63" t="str">
        <f>IFERROR(__xludf.DUMMYFUNCTION("VLOOKUP(F3034, IMPORTRANGE(""https://docs.google.com/spreadsheets/d/1Lhp9OU0JdFf_VYSMzH5lBcEaU4o8teT1piV-SNzShjg/edit?gid=554141278#gid=554141278"", ""'Char Def. - Attributes'!C20:C2242""), 1,false)"),"ALT_DENUM_UOM5")</f>
        <v>ALT_DENUM_UOM5</v>
      </c>
      <c r="I3034" s="136"/>
    </row>
    <row r="3035" ht="15.75" customHeight="1">
      <c r="B3035" s="63">
        <f t="shared" si="1"/>
        <v>18</v>
      </c>
      <c r="C3035" s="143" t="s">
        <v>155</v>
      </c>
      <c r="D3035" s="143" t="s">
        <v>74</v>
      </c>
      <c r="E3035" s="135">
        <f t="shared" si="59"/>
        <v>47</v>
      </c>
      <c r="F3035" s="143" t="s">
        <v>3818</v>
      </c>
      <c r="G3035" s="63" t="str">
        <f>VLOOKUP(C3035, 'Class Def. - General Data'!$C$20:$C$1000,1,false)</f>
        <v>ZPI1_PERLKP_OLHRGA</v>
      </c>
      <c r="H3035" s="63" t="str">
        <f>IFERROR(__xludf.DUMMYFUNCTION("VLOOKUP(F3035, IMPORTRANGE(""https://docs.google.com/spreadsheets/d/1Lhp9OU0JdFf_VYSMzH5lBcEaU4o8teT1piV-SNzShjg/edit?gid=554141278#gid=554141278"", ""'Char Def. - Attributes'!C20:C2242""), 1,false)"),"ALT_NUM_UOM5")</f>
        <v>ALT_NUM_UOM5</v>
      </c>
      <c r="I3035" s="136"/>
    </row>
    <row r="3036" ht="15.75" customHeight="1">
      <c r="B3036" s="63">
        <f t="shared" si="1"/>
        <v>17</v>
      </c>
      <c r="C3036" s="143" t="s">
        <v>160</v>
      </c>
      <c r="D3036" s="143" t="s">
        <v>74</v>
      </c>
      <c r="E3036" s="135">
        <f t="shared" si="59"/>
        <v>1</v>
      </c>
      <c r="F3036" s="143" t="s">
        <v>3844</v>
      </c>
      <c r="G3036" s="63" t="str">
        <f>VLOOKUP(C3036, 'Class Def. - General Data'!$C$20:$C$1000,1,false)</f>
        <v>ZPI1_POSM_DISPLAY</v>
      </c>
      <c r="H3036" s="63" t="str">
        <f>IFERROR(__xludf.DUMMYFUNCTION("VLOOKUP(F3036, IMPORTRANGE(""https://docs.google.com/spreadsheets/d/1Lhp9OU0JdFf_VYSMzH5lBcEaU4o8teT1piV-SNzShjg/edit?gid=554141278#gid=554141278"", ""'Char Def. - Attributes'!C20:C2242""), 1,false)"),"ITEM_NAME_POSM_DISPLAY")</f>
        <v>ITEM_NAME_POSM_DISPLAY</v>
      </c>
      <c r="I3036" s="136"/>
    </row>
    <row r="3037" ht="15.75" customHeight="1">
      <c r="B3037" s="63">
        <f t="shared" si="1"/>
        <v>17</v>
      </c>
      <c r="C3037" s="143" t="s">
        <v>160</v>
      </c>
      <c r="D3037" s="143" t="s">
        <v>74</v>
      </c>
      <c r="E3037" s="135">
        <f t="shared" si="59"/>
        <v>2</v>
      </c>
      <c r="F3037" s="143" t="s">
        <v>3778</v>
      </c>
      <c r="G3037" s="63" t="str">
        <f>VLOOKUP(C3037, 'Class Def. - General Data'!$C$20:$C$1000,1,false)</f>
        <v>ZPI1_POSM_DISPLAY</v>
      </c>
      <c r="H3037" s="63" t="str">
        <f>IFERROR(__xludf.DUMMYFUNCTION("VLOOKUP(F3037, IMPORTRANGE(""https://docs.google.com/spreadsheets/d/1Lhp9OU0JdFf_VYSMzH5lBcEaU4o8teT1piV-SNzShjg/edit?gid=554141278#gid=554141278"", ""'Char Def. - Attributes'!C20:C2242""), 1,false)"),"SPECIAL_ACTIVITY")</f>
        <v>SPECIAL_ACTIVITY</v>
      </c>
      <c r="I3037" s="136"/>
    </row>
    <row r="3038" ht="15.75" customHeight="1">
      <c r="B3038" s="63">
        <f t="shared" si="1"/>
        <v>17</v>
      </c>
      <c r="C3038" s="143" t="s">
        <v>160</v>
      </c>
      <c r="D3038" s="143" t="s">
        <v>74</v>
      </c>
      <c r="E3038" s="135">
        <f t="shared" si="59"/>
        <v>3</v>
      </c>
      <c r="F3038" s="144" t="s">
        <v>3779</v>
      </c>
      <c r="G3038" s="63" t="str">
        <f>VLOOKUP(C3038, 'Class Def. - General Data'!$C$20:$C$1000,1,false)</f>
        <v>ZPI1_POSM_DISPLAY</v>
      </c>
      <c r="H3038" s="63" t="str">
        <f>IFERROR(__xludf.DUMMYFUNCTION("VLOOKUP(F3038, IMPORTRANGE(""https://docs.google.com/spreadsheets/d/1Lhp9OU0JdFf_VYSMzH5lBcEaU4o8teT1piV-SNzShjg/edit?gid=554141278#gid=554141278"", ""'Char Def. - Attributes'!C20:C2242""), 1,false)"),"EMBOSSED_BRAND_WINGS")</f>
        <v>EMBOSSED_BRAND_WINGS</v>
      </c>
      <c r="I3038" s="136"/>
    </row>
    <row r="3039" ht="15.75" customHeight="1">
      <c r="B3039" s="63">
        <f t="shared" si="1"/>
        <v>17</v>
      </c>
      <c r="C3039" s="143" t="s">
        <v>160</v>
      </c>
      <c r="D3039" s="143" t="s">
        <v>74</v>
      </c>
      <c r="E3039" s="135">
        <f t="shared" si="59"/>
        <v>4</v>
      </c>
      <c r="F3039" s="144" t="s">
        <v>3780</v>
      </c>
      <c r="G3039" s="63" t="str">
        <f>VLOOKUP(C3039, 'Class Def. - General Data'!$C$20:$C$1000,1,false)</f>
        <v>ZPI1_POSM_DISPLAY</v>
      </c>
      <c r="H3039" s="63" t="str">
        <f>IFERROR(__xludf.DUMMYFUNCTION("VLOOKUP(F3039, IMPORTRANGE(""https://docs.google.com/spreadsheets/d/1Lhp9OU0JdFf_VYSMzH5lBcEaU4o8teT1piV-SNzShjg/edit?gid=554141278#gid=554141278"", ""'Char Def. - Attributes'!C20:C2242""), 1,false)"),"BRAND_WINGS_SIPI")</f>
        <v>BRAND_WINGS_SIPI</v>
      </c>
      <c r="I3039" s="136"/>
    </row>
    <row r="3040" ht="15.75" customHeight="1">
      <c r="B3040" s="63">
        <f t="shared" si="1"/>
        <v>17</v>
      </c>
      <c r="C3040" s="143" t="s">
        <v>160</v>
      </c>
      <c r="D3040" s="143" t="s">
        <v>74</v>
      </c>
      <c r="E3040" s="135">
        <f t="shared" si="59"/>
        <v>5</v>
      </c>
      <c r="F3040" s="143" t="s">
        <v>3845</v>
      </c>
      <c r="G3040" s="63" t="str">
        <f>VLOOKUP(C3040, 'Class Def. - General Data'!$C$20:$C$1000,1,false)</f>
        <v>ZPI1_POSM_DISPLAY</v>
      </c>
      <c r="H3040" s="63" t="str">
        <f>IFERROR(__xludf.DUMMYFUNCTION("VLOOKUP(F3040, IMPORTRANGE(""https://docs.google.com/spreadsheets/d/1Lhp9OU0JdFf_VYSMzH5lBcEaU4o8teT1piV-SNzShjg/edit?gid=554141278#gid=554141278"", ""'Char Def. - Attributes'!C20:C2242""), 1,false)"),"MATERIAL_POSM")</f>
        <v>MATERIAL_POSM</v>
      </c>
      <c r="I3040" s="136"/>
    </row>
    <row r="3041" ht="15.75" customHeight="1">
      <c r="B3041" s="63">
        <f t="shared" si="1"/>
        <v>17</v>
      </c>
      <c r="C3041" s="143" t="s">
        <v>160</v>
      </c>
      <c r="D3041" s="143" t="s">
        <v>74</v>
      </c>
      <c r="E3041" s="135">
        <f t="shared" si="59"/>
        <v>6</v>
      </c>
      <c r="F3041" s="143" t="s">
        <v>3785</v>
      </c>
      <c r="G3041" s="63" t="str">
        <f>VLOOKUP(C3041, 'Class Def. - General Data'!$C$20:$C$1000,1,false)</f>
        <v>ZPI1_POSM_DISPLAY</v>
      </c>
      <c r="H3041" s="63" t="str">
        <f>IFERROR(__xludf.DUMMYFUNCTION("VLOOKUP(F3041, IMPORTRANGE(""https://docs.google.com/spreadsheets/d/1Lhp9OU0JdFf_VYSMzH5lBcEaU4o8teT1piV-SNzShjg/edit?gid=554141278#gid=554141278"", ""'Char Def. - Attributes'!C20:C2242""), 1,false)"),"ITEM_SHAPE")</f>
        <v>ITEM_SHAPE</v>
      </c>
      <c r="I3041" s="136"/>
    </row>
    <row r="3042" ht="15.75" customHeight="1">
      <c r="B3042" s="63">
        <f t="shared" si="1"/>
        <v>17</v>
      </c>
      <c r="C3042" s="143" t="s">
        <v>160</v>
      </c>
      <c r="D3042" s="143" t="s">
        <v>74</v>
      </c>
      <c r="E3042" s="135">
        <f t="shared" si="59"/>
        <v>7</v>
      </c>
      <c r="F3042" s="143" t="s">
        <v>3786</v>
      </c>
      <c r="G3042" s="63" t="str">
        <f>VLOOKUP(C3042, 'Class Def. - General Data'!$C$20:$C$1000,1,false)</f>
        <v>ZPI1_POSM_DISPLAY</v>
      </c>
      <c r="H3042" s="63" t="str">
        <f>IFERROR(__xludf.DUMMYFUNCTION("VLOOKUP(F3042, IMPORTRANGE(""https://docs.google.com/spreadsheets/d/1Lhp9OU0JdFf_VYSMzH5lBcEaU4o8teT1piV-SNzShjg/edit?gid=554141278#gid=554141278"", ""'Char Def. - Attributes'!C20:C2242""), 1,false)"),"SIZE_UNIT_DIMENSI")</f>
        <v>SIZE_UNIT_DIMENSI</v>
      </c>
      <c r="I3042" s="136"/>
    </row>
    <row r="3043" ht="15.75" customHeight="1">
      <c r="B3043" s="63">
        <f t="shared" si="1"/>
        <v>17</v>
      </c>
      <c r="C3043" s="143" t="s">
        <v>160</v>
      </c>
      <c r="D3043" s="143" t="s">
        <v>74</v>
      </c>
      <c r="E3043" s="135">
        <f t="shared" si="59"/>
        <v>8</v>
      </c>
      <c r="F3043" s="144" t="s">
        <v>3787</v>
      </c>
      <c r="G3043" s="63" t="str">
        <f>VLOOKUP(C3043, 'Class Def. - General Data'!$C$20:$C$1000,1,false)</f>
        <v>ZPI1_POSM_DISPLAY</v>
      </c>
      <c r="H3043" s="63" t="str">
        <f>IFERROR(__xludf.DUMMYFUNCTION("VLOOKUP(F3043, IMPORTRANGE(""https://docs.google.com/spreadsheets/d/1Lhp9OU0JdFf_VYSMzH5lBcEaU4o8teT1piV-SNzShjg/edit?gid=554141278#gid=554141278"", ""'Char Def. - Attributes'!C20:C2242""), 1,false)"),"DIAMETER_PCS")</f>
        <v>DIAMETER_PCS</v>
      </c>
      <c r="I3043" s="136"/>
    </row>
    <row r="3044" ht="15.75" customHeight="1">
      <c r="B3044" s="63">
        <f t="shared" si="1"/>
        <v>17</v>
      </c>
      <c r="C3044" s="143" t="s">
        <v>160</v>
      </c>
      <c r="D3044" s="143" t="s">
        <v>74</v>
      </c>
      <c r="E3044" s="135">
        <f t="shared" si="59"/>
        <v>9</v>
      </c>
      <c r="F3044" s="143" t="s">
        <v>3788</v>
      </c>
      <c r="G3044" s="63" t="str">
        <f>VLOOKUP(C3044, 'Class Def. - General Data'!$C$20:$C$1000,1,false)</f>
        <v>ZPI1_POSM_DISPLAY</v>
      </c>
      <c r="H3044" s="63" t="str">
        <f>IFERROR(__xludf.DUMMYFUNCTION("VLOOKUP(F3044, IMPORTRANGE(""https://docs.google.com/spreadsheets/d/1Lhp9OU0JdFf_VYSMzH5lBcEaU4o8teT1piV-SNzShjg/edit?gid=554141278#gid=554141278"", ""'Char Def. - Attributes'!C20:C2242""), 1,false)"),"LENGTH_PCS")</f>
        <v>LENGTH_PCS</v>
      </c>
      <c r="I3044" s="136"/>
    </row>
    <row r="3045" ht="15.75" customHeight="1">
      <c r="B3045" s="63">
        <f t="shared" si="1"/>
        <v>17</v>
      </c>
      <c r="C3045" s="143" t="s">
        <v>160</v>
      </c>
      <c r="D3045" s="143" t="s">
        <v>74</v>
      </c>
      <c r="E3045" s="135">
        <f t="shared" si="59"/>
        <v>10</v>
      </c>
      <c r="F3045" s="143" t="s">
        <v>3789</v>
      </c>
      <c r="G3045" s="63" t="str">
        <f>VLOOKUP(C3045, 'Class Def. - General Data'!$C$20:$C$1000,1,false)</f>
        <v>ZPI1_POSM_DISPLAY</v>
      </c>
      <c r="H3045" s="63" t="str">
        <f>IFERROR(__xludf.DUMMYFUNCTION("VLOOKUP(F3045, IMPORTRANGE(""https://docs.google.com/spreadsheets/d/1Lhp9OU0JdFf_VYSMzH5lBcEaU4o8teT1piV-SNzShjg/edit?gid=554141278#gid=554141278"", ""'Char Def. - Attributes'!C20:C2242""), 1,false)"),"WIDTH_PCS")</f>
        <v>WIDTH_PCS</v>
      </c>
      <c r="I3045" s="136"/>
    </row>
    <row r="3046" ht="15.75" customHeight="1">
      <c r="B3046" s="63">
        <f t="shared" si="1"/>
        <v>17</v>
      </c>
      <c r="C3046" s="143" t="s">
        <v>160</v>
      </c>
      <c r="D3046" s="143" t="s">
        <v>74</v>
      </c>
      <c r="E3046" s="135">
        <f t="shared" si="59"/>
        <v>11</v>
      </c>
      <c r="F3046" s="143" t="s">
        <v>3790</v>
      </c>
      <c r="G3046" s="63" t="str">
        <f>VLOOKUP(C3046, 'Class Def. - General Data'!$C$20:$C$1000,1,false)</f>
        <v>ZPI1_POSM_DISPLAY</v>
      </c>
      <c r="H3046" s="63" t="str">
        <f>IFERROR(__xludf.DUMMYFUNCTION("VLOOKUP(F3046, IMPORTRANGE(""https://docs.google.com/spreadsheets/d/1Lhp9OU0JdFf_VYSMzH5lBcEaU4o8teT1piV-SNzShjg/edit?gid=554141278#gid=554141278"", ""'Char Def. - Attributes'!C20:C2242""), 1,false)"),"HEIGHT_PCS")</f>
        <v>HEIGHT_PCS</v>
      </c>
      <c r="I3046" s="136"/>
    </row>
    <row r="3047" ht="15.75" customHeight="1">
      <c r="B3047" s="63">
        <f t="shared" si="1"/>
        <v>17</v>
      </c>
      <c r="C3047" s="143" t="s">
        <v>160</v>
      </c>
      <c r="D3047" s="143" t="s">
        <v>74</v>
      </c>
      <c r="E3047" s="135">
        <f t="shared" si="59"/>
        <v>12</v>
      </c>
      <c r="F3047" s="143" t="s">
        <v>3791</v>
      </c>
      <c r="G3047" s="63" t="str">
        <f>VLOOKUP(C3047, 'Class Def. - General Data'!$C$20:$C$1000,1,false)</f>
        <v>ZPI1_POSM_DISPLAY</v>
      </c>
      <c r="H3047" s="63" t="str">
        <f>IFERROR(__xludf.DUMMYFUNCTION("VLOOKUP(F3047, IMPORTRANGE(""https://docs.google.com/spreadsheets/d/1Lhp9OU0JdFf_VYSMzH5lBcEaU4o8teT1piV-SNzShjg/edit?gid=554141278#gid=554141278"", ""'Char Def. - Attributes'!C20:C2242""), 1,false)"),"HAS_SPESIFIC_COLOUR")</f>
        <v>HAS_SPESIFIC_COLOUR</v>
      </c>
      <c r="I3047" s="136"/>
    </row>
    <row r="3048" ht="15.75" customHeight="1">
      <c r="B3048" s="63">
        <f t="shared" si="1"/>
        <v>17</v>
      </c>
      <c r="C3048" s="143" t="s">
        <v>160</v>
      </c>
      <c r="D3048" s="143" t="s">
        <v>74</v>
      </c>
      <c r="E3048" s="135">
        <f t="shared" si="59"/>
        <v>13</v>
      </c>
      <c r="F3048" s="143" t="s">
        <v>3792</v>
      </c>
      <c r="G3048" s="63" t="str">
        <f>VLOOKUP(C3048, 'Class Def. - General Data'!$C$20:$C$1000,1,false)</f>
        <v>ZPI1_POSM_DISPLAY</v>
      </c>
      <c r="H3048" s="63" t="str">
        <f>IFERROR(__xludf.DUMMYFUNCTION("VLOOKUP(F3048, IMPORTRANGE(""https://docs.google.com/spreadsheets/d/1Lhp9OU0JdFf_VYSMzH5lBcEaU4o8teT1piV-SNzShjg/edit?gid=554141278#gid=554141278"", ""'Char Def. - Attributes'!C20:C2242""), 1,false)"),"COLOUR")</f>
        <v>COLOUR</v>
      </c>
      <c r="I3048" s="136"/>
    </row>
    <row r="3049" ht="15.75" customHeight="1">
      <c r="B3049" s="63">
        <f t="shared" si="1"/>
        <v>17</v>
      </c>
      <c r="C3049" s="143" t="s">
        <v>160</v>
      </c>
      <c r="D3049" s="143" t="s">
        <v>74</v>
      </c>
      <c r="E3049" s="135">
        <f t="shared" si="59"/>
        <v>14</v>
      </c>
      <c r="F3049" s="143" t="s">
        <v>3793</v>
      </c>
      <c r="G3049" s="63" t="str">
        <f>VLOOKUP(C3049, 'Class Def. - General Data'!$C$20:$C$1000,1,false)</f>
        <v>ZPI1_POSM_DISPLAY</v>
      </c>
      <c r="H3049" s="63" t="str">
        <f>IFERROR(__xludf.DUMMYFUNCTION("VLOOKUP(F3049, IMPORTRANGE(""https://docs.google.com/spreadsheets/d/1Lhp9OU0JdFf_VYSMzH5lBcEaU4o8teT1piV-SNzShjg/edit?gid=554141278#gid=554141278"", ""'Char Def. - Attributes'!C20:C2242""), 1,false)"),"EMBOSSED_SPESIFIC_DESAIN")</f>
        <v>EMBOSSED_SPESIFIC_DESAIN</v>
      </c>
      <c r="I3049" s="136"/>
    </row>
    <row r="3050" ht="15.75" customHeight="1">
      <c r="B3050" s="63">
        <f t="shared" si="1"/>
        <v>17</v>
      </c>
      <c r="C3050" s="143" t="s">
        <v>160</v>
      </c>
      <c r="D3050" s="143" t="s">
        <v>74</v>
      </c>
      <c r="E3050" s="135">
        <f t="shared" si="59"/>
        <v>15</v>
      </c>
      <c r="F3050" s="143" t="s">
        <v>3794</v>
      </c>
      <c r="G3050" s="63" t="str">
        <f>VLOOKUP(C3050, 'Class Def. - General Data'!$C$20:$C$1000,1,false)</f>
        <v>ZPI1_POSM_DISPLAY</v>
      </c>
      <c r="H3050" s="63" t="str">
        <f>IFERROR(__xludf.DUMMYFUNCTION("VLOOKUP(F3050, IMPORTRANGE(""https://docs.google.com/spreadsheets/d/1Lhp9OU0JdFf_VYSMzH5lBcEaU4o8teT1piV-SNzShjg/edit?gid=554141278#gid=554141278"", ""'Char Def. - Attributes'!C20:C2242""), 1,false)"),"DESAIN_NAME")</f>
        <v>DESAIN_NAME</v>
      </c>
      <c r="I3050" s="136"/>
    </row>
    <row r="3051" ht="15.75" customHeight="1">
      <c r="B3051" s="63">
        <f t="shared" si="1"/>
        <v>17</v>
      </c>
      <c r="C3051" s="143" t="s">
        <v>160</v>
      </c>
      <c r="D3051" s="143" t="s">
        <v>74</v>
      </c>
      <c r="E3051" s="135">
        <f t="shared" si="59"/>
        <v>16</v>
      </c>
      <c r="F3051" s="143" t="s">
        <v>3795</v>
      </c>
      <c r="G3051" s="63" t="str">
        <f>VLOOKUP(C3051, 'Class Def. - General Data'!$C$20:$C$1000,1,false)</f>
        <v>ZPI1_POSM_DISPLAY</v>
      </c>
      <c r="H3051" s="63" t="str">
        <f>IFERROR(__xludf.DUMMYFUNCTION("VLOOKUP(F3051, IMPORTRANGE(""https://docs.google.com/spreadsheets/d/1Lhp9OU0JdFf_VYSMzH5lBcEaU4o8teT1piV-SNzShjg/edit?gid=554141278#gid=554141278"", ""'Char Def. - Attributes'!C20:C2242""), 1,false)"),"DESAIN_MONTH")</f>
        <v>DESAIN_MONTH</v>
      </c>
      <c r="I3051" s="136"/>
    </row>
    <row r="3052" ht="15.75" customHeight="1">
      <c r="B3052" s="63">
        <f t="shared" si="1"/>
        <v>17</v>
      </c>
      <c r="C3052" s="143" t="s">
        <v>160</v>
      </c>
      <c r="D3052" s="143" t="s">
        <v>74</v>
      </c>
      <c r="E3052" s="135">
        <f t="shared" si="59"/>
        <v>17</v>
      </c>
      <c r="F3052" s="143" t="s">
        <v>3796</v>
      </c>
      <c r="G3052" s="63" t="str">
        <f>VLOOKUP(C3052, 'Class Def. - General Data'!$C$20:$C$1000,1,false)</f>
        <v>ZPI1_POSM_DISPLAY</v>
      </c>
      <c r="H3052" s="63" t="str">
        <f>IFERROR(__xludf.DUMMYFUNCTION("VLOOKUP(F3052, IMPORTRANGE(""https://docs.google.com/spreadsheets/d/1Lhp9OU0JdFf_VYSMzH5lBcEaU4o8teT1piV-SNzShjg/edit?gid=554141278#gid=554141278"", ""'Char Def. - Attributes'!C20:C2242""), 1,false)"),"DESAIN_YEAR")</f>
        <v>DESAIN_YEAR</v>
      </c>
      <c r="I3052" s="136"/>
    </row>
    <row r="3053" ht="15.75" customHeight="1">
      <c r="B3053" s="63">
        <f t="shared" si="1"/>
        <v>17</v>
      </c>
      <c r="C3053" s="143" t="s">
        <v>160</v>
      </c>
      <c r="D3053" s="143" t="s">
        <v>74</v>
      </c>
      <c r="E3053" s="135">
        <f t="shared" si="59"/>
        <v>18</v>
      </c>
      <c r="F3053" s="143" t="s">
        <v>3797</v>
      </c>
      <c r="G3053" s="63" t="str">
        <f>VLOOKUP(C3053, 'Class Def. - General Data'!$C$20:$C$1000,1,false)</f>
        <v>ZPI1_POSM_DISPLAY</v>
      </c>
      <c r="H3053" s="63" t="str">
        <f>IFERROR(__xludf.DUMMYFUNCTION("VLOOKUP(F3053, IMPORTRANGE(""https://docs.google.com/spreadsheets/d/1Lhp9OU0JdFf_VYSMzH5lBcEaU4o8teT1piV-SNzShjg/edit?gid=554141278#gid=554141278"", ""'Char Def. - Attributes'!C20:C2242""), 1,false)"),"SPEC_QTY_IN_ONE_BUNDLE")</f>
        <v>SPEC_QTY_IN_ONE_BUNDLE</v>
      </c>
      <c r="I3053" s="136"/>
    </row>
    <row r="3054" ht="15.75" customHeight="1">
      <c r="B3054" s="63">
        <f t="shared" si="1"/>
        <v>17</v>
      </c>
      <c r="C3054" s="143" t="s">
        <v>160</v>
      </c>
      <c r="D3054" s="143" t="s">
        <v>74</v>
      </c>
      <c r="E3054" s="135">
        <f t="shared" si="59"/>
        <v>19</v>
      </c>
      <c r="F3054" s="143" t="s">
        <v>3798</v>
      </c>
      <c r="G3054" s="63" t="str">
        <f>VLOOKUP(C3054, 'Class Def. - General Data'!$C$20:$C$1000,1,false)</f>
        <v>ZPI1_POSM_DISPLAY</v>
      </c>
      <c r="H3054" s="63" t="str">
        <f>IFERROR(__xludf.DUMMYFUNCTION("VLOOKUP(F3054, IMPORTRANGE(""https://docs.google.com/spreadsheets/d/1Lhp9OU0JdFf_VYSMzH5lBcEaU4o8teT1piV-SNzShjg/edit?gid=554141278#gid=554141278"", ""'Char Def. - Attributes'!C20:C2242""), 1,false)"),"QTY_IN_ONE_BUNDLE")</f>
        <v>QTY_IN_ONE_BUNDLE</v>
      </c>
      <c r="I3054" s="136"/>
    </row>
    <row r="3055" ht="15.75" customHeight="1">
      <c r="B3055" s="63">
        <f t="shared" si="1"/>
        <v>17</v>
      </c>
      <c r="C3055" s="143" t="s">
        <v>160</v>
      </c>
      <c r="D3055" s="143" t="s">
        <v>74</v>
      </c>
      <c r="E3055" s="135">
        <f t="shared" si="59"/>
        <v>20</v>
      </c>
      <c r="F3055" s="143" t="s">
        <v>3585</v>
      </c>
      <c r="G3055" s="63" t="str">
        <f>VLOOKUP(C3055, 'Class Def. - General Data'!$C$20:$C$1000,1,false)</f>
        <v>ZPI1_POSM_DISPLAY</v>
      </c>
      <c r="H3055" s="63" t="str">
        <f>IFERROR(__xludf.DUMMYFUNCTION("VLOOKUP(F3055, IMPORTRANGE(""https://docs.google.com/spreadsheets/d/1Lhp9OU0JdFf_VYSMzH5lBcEaU4o8teT1piV-SNzShjg/edit?gid=554141278#gid=554141278"", ""'Char Def. - Attributes'!C20:C2242""), 1,false)"),"HS_CODE")</f>
        <v>HS_CODE</v>
      </c>
      <c r="I3055" s="136"/>
    </row>
    <row r="3056" ht="15.75" customHeight="1">
      <c r="B3056" s="63">
        <f t="shared" si="1"/>
        <v>17</v>
      </c>
      <c r="C3056" s="143" t="s">
        <v>160</v>
      </c>
      <c r="D3056" s="143" t="s">
        <v>74</v>
      </c>
      <c r="E3056" s="135">
        <f t="shared" si="59"/>
        <v>21</v>
      </c>
      <c r="F3056" s="143" t="s">
        <v>3799</v>
      </c>
      <c r="G3056" s="63" t="str">
        <f>VLOOKUP(C3056, 'Class Def. - General Data'!$C$20:$C$1000,1,false)</f>
        <v>ZPI1_POSM_DISPLAY</v>
      </c>
      <c r="H3056" s="63" t="str">
        <f>IFERROR(__xludf.DUMMYFUNCTION("VLOOKUP(F3056, IMPORTRANGE(""https://docs.google.com/spreadsheets/d/1Lhp9OU0JdFf_VYSMzH5lBcEaU4o8teT1piV-SNzShjg/edit?gid=554141278#gid=554141278"", ""'Char Def. - Attributes'!C20:C2242""), 1,false)"),"BASE_UNIT_ZPI1")</f>
        <v>BASE_UNIT_ZPI1</v>
      </c>
      <c r="I3056" s="136"/>
    </row>
    <row r="3057" ht="15.75" customHeight="1">
      <c r="B3057" s="63">
        <f t="shared" si="1"/>
        <v>17</v>
      </c>
      <c r="C3057" s="143" t="s">
        <v>160</v>
      </c>
      <c r="D3057" s="143" t="s">
        <v>74</v>
      </c>
      <c r="E3057" s="135">
        <f t="shared" si="59"/>
        <v>22</v>
      </c>
      <c r="F3057" s="144" t="s">
        <v>3800</v>
      </c>
      <c r="G3057" s="63" t="str">
        <f>VLOOKUP(C3057, 'Class Def. - General Data'!$C$20:$C$1000,1,false)</f>
        <v>ZPI1_POSM_DISPLAY</v>
      </c>
      <c r="H3057" s="63" t="str">
        <f>IFERROR(__xludf.DUMMYFUNCTION("VLOOKUP(F3057, IMPORTRANGE(""https://docs.google.com/spreadsheets/d/1Lhp9OU0JdFf_VYSMzH5lBcEaU4o8teT1piV-SNzShjg/edit?gid=554141278#gid=554141278"", ""'Char Def. - Attributes'!C20:C2242""), 1,false)"),"ORDER_UNIT_DIFF_FROM_BASIC_UOM")</f>
        <v>ORDER_UNIT_DIFF_FROM_BASIC_UOM</v>
      </c>
      <c r="I3057" s="136"/>
    </row>
    <row r="3058" ht="15.75" customHeight="1">
      <c r="B3058" s="63">
        <f t="shared" si="1"/>
        <v>17</v>
      </c>
      <c r="C3058" s="143" t="s">
        <v>160</v>
      </c>
      <c r="D3058" s="143" t="s">
        <v>74</v>
      </c>
      <c r="E3058" s="135">
        <f t="shared" si="59"/>
        <v>23</v>
      </c>
      <c r="F3058" s="144" t="s">
        <v>3801</v>
      </c>
      <c r="G3058" s="63" t="str">
        <f>VLOOKUP(C3058, 'Class Def. - General Data'!$C$20:$C$1000,1,false)</f>
        <v>ZPI1_POSM_DISPLAY</v>
      </c>
      <c r="H3058" s="63" t="str">
        <f>IFERROR(__xludf.DUMMYFUNCTION("VLOOKUP(F3058, IMPORTRANGE(""https://docs.google.com/spreadsheets/d/1Lhp9OU0JdFf_VYSMzH5lBcEaU4o8teT1piV-SNzShjg/edit?gid=554141278#gid=554141278"", ""'Char Def. - Attributes'!C20:C2242""), 1,false)"),"ORDER_UNIT_ZPI1")</f>
        <v>ORDER_UNIT_ZPI1</v>
      </c>
      <c r="I3058" s="136"/>
    </row>
    <row r="3059" ht="15.75" customHeight="1">
      <c r="B3059" s="63">
        <f t="shared" si="1"/>
        <v>17</v>
      </c>
      <c r="C3059" s="143" t="s">
        <v>160</v>
      </c>
      <c r="D3059" s="143" t="s">
        <v>74</v>
      </c>
      <c r="E3059" s="135">
        <f t="shared" si="59"/>
        <v>24</v>
      </c>
      <c r="F3059" s="143" t="s">
        <v>3802</v>
      </c>
      <c r="G3059" s="63" t="str">
        <f>VLOOKUP(C3059, 'Class Def. - General Data'!$C$20:$C$1000,1,false)</f>
        <v>ZPI1_POSM_DISPLAY</v>
      </c>
      <c r="H3059" s="63" t="str">
        <f>IFERROR(__xludf.DUMMYFUNCTION("VLOOKUP(F3059, IMPORTRANGE(""https://docs.google.com/spreadsheets/d/1Lhp9OU0JdFf_VYSMzH5lBcEaU4o8teT1piV-SNzShjg/edit?gid=554141278#gid=554141278"", ""'Char Def. - Attributes'!C20:C2242""), 1,false)"),"WEIGHT_UNIT_PI")</f>
        <v>WEIGHT_UNIT_PI</v>
      </c>
      <c r="I3059" s="136"/>
    </row>
    <row r="3060" ht="15.75" customHeight="1">
      <c r="B3060" s="63">
        <f t="shared" si="1"/>
        <v>17</v>
      </c>
      <c r="C3060" s="143" t="s">
        <v>160</v>
      </c>
      <c r="D3060" s="143" t="s">
        <v>74</v>
      </c>
      <c r="E3060" s="135">
        <f t="shared" si="59"/>
        <v>25</v>
      </c>
      <c r="F3060" s="143" t="s">
        <v>3602</v>
      </c>
      <c r="G3060" s="63" t="str">
        <f>VLOOKUP(C3060, 'Class Def. - General Data'!$C$20:$C$1000,1,false)</f>
        <v>ZPI1_POSM_DISPLAY</v>
      </c>
      <c r="H3060" s="63" t="str">
        <f>IFERROR(__xludf.DUMMYFUNCTION("VLOOKUP(F3060, IMPORTRANGE(""https://docs.google.com/spreadsheets/d/1Lhp9OU0JdFf_VYSMzH5lBcEaU4o8teT1piV-SNzShjg/edit?gid=554141278#gid=554141278"", ""'Char Def. - Attributes'!C20:C2242""), 1,false)"),"NET_WEIGHT")</f>
        <v>NET_WEIGHT</v>
      </c>
      <c r="I3060" s="136"/>
    </row>
    <row r="3061" ht="15.75" customHeight="1">
      <c r="B3061" s="63">
        <f t="shared" si="1"/>
        <v>17</v>
      </c>
      <c r="C3061" s="143" t="s">
        <v>160</v>
      </c>
      <c r="D3061" s="143" t="s">
        <v>74</v>
      </c>
      <c r="E3061" s="135">
        <f t="shared" si="59"/>
        <v>26</v>
      </c>
      <c r="F3061" s="143" t="s">
        <v>3601</v>
      </c>
      <c r="G3061" s="63" t="str">
        <f>VLOOKUP(C3061, 'Class Def. - General Data'!$C$20:$C$1000,1,false)</f>
        <v>ZPI1_POSM_DISPLAY</v>
      </c>
      <c r="H3061" s="63" t="str">
        <f>IFERROR(__xludf.DUMMYFUNCTION("VLOOKUP(F3061, IMPORTRANGE(""https://docs.google.com/spreadsheets/d/1Lhp9OU0JdFf_VYSMzH5lBcEaU4o8teT1piV-SNzShjg/edit?gid=554141278#gid=554141278"", ""'Char Def. - Attributes'!C20:C2242""), 1,false)"),"GROSS_WEIGHT")</f>
        <v>GROSS_WEIGHT</v>
      </c>
      <c r="I3061" s="136"/>
    </row>
    <row r="3062" ht="15.75" customHeight="1">
      <c r="B3062" s="63">
        <f t="shared" si="1"/>
        <v>17</v>
      </c>
      <c r="C3062" s="143" t="s">
        <v>160</v>
      </c>
      <c r="D3062" s="143" t="s">
        <v>74</v>
      </c>
      <c r="E3062" s="135">
        <f t="shared" si="59"/>
        <v>27</v>
      </c>
      <c r="F3062" s="143" t="s">
        <v>3803</v>
      </c>
      <c r="G3062" s="63" t="str">
        <f>VLOOKUP(C3062, 'Class Def. - General Data'!$C$20:$C$1000,1,false)</f>
        <v>ZPI1_POSM_DISPLAY</v>
      </c>
      <c r="H3062" s="63" t="str">
        <f>IFERROR(__xludf.DUMMYFUNCTION("VLOOKUP(F3062, IMPORTRANGE(""https://docs.google.com/spreadsheets/d/1Lhp9OU0JdFf_VYSMzH5lBcEaU4o8teT1piV-SNzShjg/edit?gid=554141278#gid=554141278"", ""'Char Def. - Attributes'!C20:C2242""), 1,false)"),"VOLUME_UNIT_PI")</f>
        <v>VOLUME_UNIT_PI</v>
      </c>
      <c r="I3062" s="136"/>
    </row>
    <row r="3063" ht="15.75" customHeight="1">
      <c r="B3063" s="63">
        <f t="shared" si="1"/>
        <v>17</v>
      </c>
      <c r="C3063" s="143" t="s">
        <v>160</v>
      </c>
      <c r="D3063" s="143" t="s">
        <v>74</v>
      </c>
      <c r="E3063" s="135">
        <f t="shared" si="59"/>
        <v>28</v>
      </c>
      <c r="F3063" s="143" t="s">
        <v>3603</v>
      </c>
      <c r="G3063" s="63" t="str">
        <f>VLOOKUP(C3063, 'Class Def. - General Data'!$C$20:$C$1000,1,false)</f>
        <v>ZPI1_POSM_DISPLAY</v>
      </c>
      <c r="H3063" s="63" t="str">
        <f>IFERROR(__xludf.DUMMYFUNCTION("VLOOKUP(F3063, IMPORTRANGE(""https://docs.google.com/spreadsheets/d/1Lhp9OU0JdFf_VYSMzH5lBcEaU4o8teT1piV-SNzShjg/edit?gid=554141278#gid=554141278"", ""'Char Def. - Attributes'!C20:C2242""), 1,false)"),"VOLUME")</f>
        <v>VOLUME</v>
      </c>
      <c r="I3063" s="136"/>
    </row>
    <row r="3064" ht="15.75" customHeight="1">
      <c r="B3064" s="63">
        <f t="shared" si="1"/>
        <v>17</v>
      </c>
      <c r="C3064" s="143" t="s">
        <v>160</v>
      </c>
      <c r="D3064" s="143" t="s">
        <v>74</v>
      </c>
      <c r="E3064" s="135">
        <f t="shared" si="59"/>
        <v>29</v>
      </c>
      <c r="F3064" s="143" t="s">
        <v>3587</v>
      </c>
      <c r="G3064" s="63" t="str">
        <f>VLOOKUP(C3064, 'Class Def. - General Data'!$C$20:$C$1000,1,false)</f>
        <v>ZPI1_POSM_DISPLAY</v>
      </c>
      <c r="H3064" s="63" t="str">
        <f>IFERROR(__xludf.DUMMYFUNCTION("VLOOKUP(F3064, IMPORTRANGE(""https://docs.google.com/spreadsheets/d/1Lhp9OU0JdFf_VYSMzH5lBcEaU4o8teT1piV-SNzShjg/edit?gid=554141278#gid=554141278"", ""'Char Def. - Attributes'!C20:C2242""), 1,false)"),"PLANT_BUY")</f>
        <v>PLANT_BUY</v>
      </c>
      <c r="I3064" s="136"/>
    </row>
    <row r="3065" ht="15.75" customHeight="1">
      <c r="B3065" s="63">
        <f t="shared" si="1"/>
        <v>17</v>
      </c>
      <c r="C3065" s="143" t="s">
        <v>160</v>
      </c>
      <c r="D3065" s="143" t="s">
        <v>74</v>
      </c>
      <c r="E3065" s="135">
        <f t="shared" si="59"/>
        <v>30</v>
      </c>
      <c r="F3065" s="143" t="s">
        <v>3804</v>
      </c>
      <c r="G3065" s="63" t="str">
        <f>VLOOKUP(C3065, 'Class Def. - General Data'!$C$20:$C$1000,1,false)</f>
        <v>ZPI1_POSM_DISPLAY</v>
      </c>
      <c r="H3065" s="63" t="str">
        <f>IFERROR(__xludf.DUMMYFUNCTION("VLOOKUP(F3065, IMPORTRANGE(""https://docs.google.com/spreadsheets/d/1Lhp9OU0JdFf_VYSMzH5lBcEaU4o8teT1piV-SNzShjg/edit?gid=554141278#gid=554141278"", ""'Char Def. - Attributes'!C20:C2242""), 1,false)"),"ALT_UOM1_SIPI")</f>
        <v>ALT_UOM1_SIPI</v>
      </c>
      <c r="I3065" s="136"/>
    </row>
    <row r="3066" ht="15.75" customHeight="1">
      <c r="B3066" s="63">
        <f t="shared" si="1"/>
        <v>17</v>
      </c>
      <c r="C3066" s="143" t="s">
        <v>160</v>
      </c>
      <c r="D3066" s="143" t="s">
        <v>74</v>
      </c>
      <c r="E3066" s="135">
        <f t="shared" si="59"/>
        <v>31</v>
      </c>
      <c r="F3066" s="143" t="s">
        <v>3805</v>
      </c>
      <c r="G3066" s="63" t="str">
        <f>VLOOKUP(C3066, 'Class Def. - General Data'!$C$20:$C$1000,1,false)</f>
        <v>ZPI1_POSM_DISPLAY</v>
      </c>
      <c r="H3066" s="63" t="str">
        <f>IFERROR(__xludf.DUMMYFUNCTION("VLOOKUP(F3066, IMPORTRANGE(""https://docs.google.com/spreadsheets/d/1Lhp9OU0JdFf_VYSMzH5lBcEaU4o8teT1piV-SNzShjg/edit?gid=554141278#gid=554141278"", ""'Char Def. - Attributes'!C20:C2242""), 1,false)"),"ALT_DENUM_UOM1")</f>
        <v>ALT_DENUM_UOM1</v>
      </c>
      <c r="I3066" s="136"/>
    </row>
    <row r="3067" ht="15.75" customHeight="1">
      <c r="B3067" s="63">
        <f t="shared" si="1"/>
        <v>17</v>
      </c>
      <c r="C3067" s="143" t="s">
        <v>160</v>
      </c>
      <c r="D3067" s="143" t="s">
        <v>74</v>
      </c>
      <c r="E3067" s="135">
        <f t="shared" si="59"/>
        <v>32</v>
      </c>
      <c r="F3067" s="143" t="s">
        <v>3806</v>
      </c>
      <c r="G3067" s="63" t="str">
        <f>VLOOKUP(C3067, 'Class Def. - General Data'!$C$20:$C$1000,1,false)</f>
        <v>ZPI1_POSM_DISPLAY</v>
      </c>
      <c r="H3067" s="63" t="str">
        <f>IFERROR(__xludf.DUMMYFUNCTION("VLOOKUP(F3067, IMPORTRANGE(""https://docs.google.com/spreadsheets/d/1Lhp9OU0JdFf_VYSMzH5lBcEaU4o8teT1piV-SNzShjg/edit?gid=554141278#gid=554141278"", ""'Char Def. - Attributes'!C20:C2242""), 1,false)"),"ALT_NUM_UOM1")</f>
        <v>ALT_NUM_UOM1</v>
      </c>
      <c r="I3067" s="136"/>
    </row>
    <row r="3068" ht="15.75" customHeight="1">
      <c r="B3068" s="63">
        <f t="shared" si="1"/>
        <v>17</v>
      </c>
      <c r="C3068" s="143" t="s">
        <v>160</v>
      </c>
      <c r="D3068" s="143" t="s">
        <v>74</v>
      </c>
      <c r="E3068" s="135">
        <f t="shared" si="59"/>
        <v>33</v>
      </c>
      <c r="F3068" s="143" t="s">
        <v>3807</v>
      </c>
      <c r="G3068" s="63" t="str">
        <f>VLOOKUP(C3068, 'Class Def. - General Data'!$C$20:$C$1000,1,false)</f>
        <v>ZPI1_POSM_DISPLAY</v>
      </c>
      <c r="H3068" s="63" t="str">
        <f>IFERROR(__xludf.DUMMYFUNCTION("VLOOKUP(F3068, IMPORTRANGE(""https://docs.google.com/spreadsheets/d/1Lhp9OU0JdFf_VYSMzH5lBcEaU4o8teT1piV-SNzShjg/edit?gid=554141278#gid=554141278"", ""'Char Def. - Attributes'!C20:C2242""), 1,false)"),"ALT_UOM2_SIPI")</f>
        <v>ALT_UOM2_SIPI</v>
      </c>
      <c r="I3068" s="136"/>
    </row>
    <row r="3069" ht="15.75" customHeight="1">
      <c r="B3069" s="63">
        <f t="shared" si="1"/>
        <v>17</v>
      </c>
      <c r="C3069" s="143" t="s">
        <v>160</v>
      </c>
      <c r="D3069" s="143" t="s">
        <v>74</v>
      </c>
      <c r="E3069" s="135">
        <f t="shared" si="59"/>
        <v>34</v>
      </c>
      <c r="F3069" s="143" t="s">
        <v>3808</v>
      </c>
      <c r="G3069" s="63" t="str">
        <f>VLOOKUP(C3069, 'Class Def. - General Data'!$C$20:$C$1000,1,false)</f>
        <v>ZPI1_POSM_DISPLAY</v>
      </c>
      <c r="H3069" s="63" t="str">
        <f>IFERROR(__xludf.DUMMYFUNCTION("VLOOKUP(F3069, IMPORTRANGE(""https://docs.google.com/spreadsheets/d/1Lhp9OU0JdFf_VYSMzH5lBcEaU4o8teT1piV-SNzShjg/edit?gid=554141278#gid=554141278"", ""'Char Def. - Attributes'!C20:C2242""), 1,false)"),"ALT_DENUM_UOM2")</f>
        <v>ALT_DENUM_UOM2</v>
      </c>
      <c r="I3069" s="136"/>
    </row>
    <row r="3070" ht="15.75" customHeight="1">
      <c r="B3070" s="63">
        <f t="shared" si="1"/>
        <v>17</v>
      </c>
      <c r="C3070" s="143" t="s">
        <v>160</v>
      </c>
      <c r="D3070" s="143" t="s">
        <v>74</v>
      </c>
      <c r="E3070" s="135">
        <f t="shared" si="59"/>
        <v>35</v>
      </c>
      <c r="F3070" s="134" t="s">
        <v>3809</v>
      </c>
      <c r="G3070" s="63" t="str">
        <f>VLOOKUP(C3070, 'Class Def. - General Data'!$C$20:$C$1000,1,false)</f>
        <v>ZPI1_POSM_DISPLAY</v>
      </c>
      <c r="H3070" s="63" t="str">
        <f>IFERROR(__xludf.DUMMYFUNCTION("VLOOKUP(F3070, IMPORTRANGE(""https://docs.google.com/spreadsheets/d/1Lhp9OU0JdFf_VYSMzH5lBcEaU4o8teT1piV-SNzShjg/edit?gid=554141278#gid=554141278"", ""'Char Def. - Attributes'!C20:C2242""), 1,false)"),"ALT_NUM_UOM2")</f>
        <v>ALT_NUM_UOM2</v>
      </c>
      <c r="I3070" s="136"/>
    </row>
    <row r="3071" ht="15.75" customHeight="1">
      <c r="B3071" s="63">
        <f t="shared" si="1"/>
        <v>17</v>
      </c>
      <c r="C3071" s="143" t="s">
        <v>160</v>
      </c>
      <c r="D3071" s="143" t="s">
        <v>74</v>
      </c>
      <c r="E3071" s="135">
        <f t="shared" si="59"/>
        <v>36</v>
      </c>
      <c r="F3071" s="134" t="s">
        <v>3810</v>
      </c>
      <c r="G3071" s="63" t="str">
        <f>VLOOKUP(C3071, 'Class Def. - General Data'!$C$20:$C$1000,1,false)</f>
        <v>ZPI1_POSM_DISPLAY</v>
      </c>
      <c r="H3071" s="63" t="str">
        <f>IFERROR(__xludf.DUMMYFUNCTION("VLOOKUP(F3071, IMPORTRANGE(""https://docs.google.com/spreadsheets/d/1Lhp9OU0JdFf_VYSMzH5lBcEaU4o8teT1piV-SNzShjg/edit?gid=554141278#gid=554141278"", ""'Char Def. - Attributes'!C20:C2242""), 1,false)"),"ALT_UOM3_SIPI")</f>
        <v>ALT_UOM3_SIPI</v>
      </c>
      <c r="I3071" s="136"/>
    </row>
    <row r="3072" ht="15.75" customHeight="1">
      <c r="B3072" s="63">
        <f t="shared" si="1"/>
        <v>17</v>
      </c>
      <c r="C3072" s="143" t="s">
        <v>160</v>
      </c>
      <c r="D3072" s="143" t="s">
        <v>74</v>
      </c>
      <c r="E3072" s="135">
        <f t="shared" si="59"/>
        <v>37</v>
      </c>
      <c r="F3072" s="134" t="s">
        <v>3811</v>
      </c>
      <c r="G3072" s="63" t="str">
        <f>VLOOKUP(C3072, 'Class Def. - General Data'!$C$20:$C$1000,1,false)</f>
        <v>ZPI1_POSM_DISPLAY</v>
      </c>
      <c r="H3072" s="63" t="str">
        <f>IFERROR(__xludf.DUMMYFUNCTION("VLOOKUP(F3072, IMPORTRANGE(""https://docs.google.com/spreadsheets/d/1Lhp9OU0JdFf_VYSMzH5lBcEaU4o8teT1piV-SNzShjg/edit?gid=554141278#gid=554141278"", ""'Char Def. - Attributes'!C20:C2242""), 1,false)"),"ALT_DENUM_UOM3")</f>
        <v>ALT_DENUM_UOM3</v>
      </c>
      <c r="I3072" s="136"/>
    </row>
    <row r="3073" ht="15.75" customHeight="1">
      <c r="B3073" s="63">
        <f t="shared" si="1"/>
        <v>17</v>
      </c>
      <c r="C3073" s="143" t="s">
        <v>160</v>
      </c>
      <c r="D3073" s="143" t="s">
        <v>74</v>
      </c>
      <c r="E3073" s="135">
        <f t="shared" si="59"/>
        <v>38</v>
      </c>
      <c r="F3073" s="134" t="s">
        <v>3812</v>
      </c>
      <c r="G3073" s="63" t="str">
        <f>VLOOKUP(C3073, 'Class Def. - General Data'!$C$20:$C$1000,1,false)</f>
        <v>ZPI1_POSM_DISPLAY</v>
      </c>
      <c r="H3073" s="63" t="str">
        <f>IFERROR(__xludf.DUMMYFUNCTION("VLOOKUP(F3073, IMPORTRANGE(""https://docs.google.com/spreadsheets/d/1Lhp9OU0JdFf_VYSMzH5lBcEaU4o8teT1piV-SNzShjg/edit?gid=554141278#gid=554141278"", ""'Char Def. - Attributes'!C20:C2242""), 1,false)"),"ALT_NUM_UOM3")</f>
        <v>ALT_NUM_UOM3</v>
      </c>
      <c r="I3073" s="136"/>
    </row>
    <row r="3074" ht="15.75" customHeight="1">
      <c r="B3074" s="63">
        <f t="shared" si="1"/>
        <v>17</v>
      </c>
      <c r="C3074" s="143" t="s">
        <v>160</v>
      </c>
      <c r="D3074" s="143" t="s">
        <v>74</v>
      </c>
      <c r="E3074" s="135">
        <f t="shared" si="59"/>
        <v>39</v>
      </c>
      <c r="F3074" s="134" t="s">
        <v>3813</v>
      </c>
      <c r="G3074" s="63" t="str">
        <f>VLOOKUP(C3074, 'Class Def. - General Data'!$C$20:$C$1000,1,false)</f>
        <v>ZPI1_POSM_DISPLAY</v>
      </c>
      <c r="H3074" s="63" t="str">
        <f>IFERROR(__xludf.DUMMYFUNCTION("VLOOKUP(F3074, IMPORTRANGE(""https://docs.google.com/spreadsheets/d/1Lhp9OU0JdFf_VYSMzH5lBcEaU4o8teT1piV-SNzShjg/edit?gid=554141278#gid=554141278"", ""'Char Def. - Attributes'!C20:C2242""), 1,false)"),"ALT_UOM4_SIPI")</f>
        <v>ALT_UOM4_SIPI</v>
      </c>
      <c r="I3074" s="136"/>
    </row>
    <row r="3075" ht="15.75" customHeight="1">
      <c r="B3075" s="63">
        <f t="shared" si="1"/>
        <v>17</v>
      </c>
      <c r="C3075" s="143" t="s">
        <v>160</v>
      </c>
      <c r="D3075" s="143" t="s">
        <v>74</v>
      </c>
      <c r="E3075" s="135">
        <f t="shared" si="59"/>
        <v>40</v>
      </c>
      <c r="F3075" s="134" t="s">
        <v>3814</v>
      </c>
      <c r="G3075" s="63" t="str">
        <f>VLOOKUP(C3075, 'Class Def. - General Data'!$C$20:$C$1000,1,false)</f>
        <v>ZPI1_POSM_DISPLAY</v>
      </c>
      <c r="H3075" s="63" t="str">
        <f>IFERROR(__xludf.DUMMYFUNCTION("VLOOKUP(F3075, IMPORTRANGE(""https://docs.google.com/spreadsheets/d/1Lhp9OU0JdFf_VYSMzH5lBcEaU4o8teT1piV-SNzShjg/edit?gid=554141278#gid=554141278"", ""'Char Def. - Attributes'!C20:C2242""), 1,false)"),"ALT_DENUM_UOM4")</f>
        <v>ALT_DENUM_UOM4</v>
      </c>
      <c r="I3075" s="136"/>
    </row>
    <row r="3076" ht="15.75" customHeight="1">
      <c r="B3076" s="63">
        <f t="shared" si="1"/>
        <v>17</v>
      </c>
      <c r="C3076" s="143" t="s">
        <v>160</v>
      </c>
      <c r="D3076" s="143" t="s">
        <v>74</v>
      </c>
      <c r="E3076" s="135">
        <f t="shared" si="59"/>
        <v>41</v>
      </c>
      <c r="F3076" s="134" t="s">
        <v>3815</v>
      </c>
      <c r="G3076" s="63" t="str">
        <f>VLOOKUP(C3076, 'Class Def. - General Data'!$C$20:$C$1000,1,false)</f>
        <v>ZPI1_POSM_DISPLAY</v>
      </c>
      <c r="H3076" s="63" t="str">
        <f>IFERROR(__xludf.DUMMYFUNCTION("VLOOKUP(F3076, IMPORTRANGE(""https://docs.google.com/spreadsheets/d/1Lhp9OU0JdFf_VYSMzH5lBcEaU4o8teT1piV-SNzShjg/edit?gid=554141278#gid=554141278"", ""'Char Def. - Attributes'!C20:C2242""), 1,false)"),"ALT_NUM_UOM4")</f>
        <v>ALT_NUM_UOM4</v>
      </c>
      <c r="I3076" s="136"/>
    </row>
    <row r="3077" ht="15.75" customHeight="1">
      <c r="B3077" s="63">
        <f t="shared" si="1"/>
        <v>17</v>
      </c>
      <c r="C3077" s="143" t="s">
        <v>160</v>
      </c>
      <c r="D3077" s="143" t="s">
        <v>74</v>
      </c>
      <c r="E3077" s="135">
        <f t="shared" si="59"/>
        <v>42</v>
      </c>
      <c r="F3077" s="134" t="s">
        <v>3816</v>
      </c>
      <c r="G3077" s="63" t="str">
        <f>VLOOKUP(C3077, 'Class Def. - General Data'!$C$20:$C$1000,1,false)</f>
        <v>ZPI1_POSM_DISPLAY</v>
      </c>
      <c r="H3077" s="63" t="str">
        <f>IFERROR(__xludf.DUMMYFUNCTION("VLOOKUP(F3077, IMPORTRANGE(""https://docs.google.com/spreadsheets/d/1Lhp9OU0JdFf_VYSMzH5lBcEaU4o8teT1piV-SNzShjg/edit?gid=554141278#gid=554141278"", ""'Char Def. - Attributes'!C20:C2242""), 1,false)"),"ALT_UOM5_SIPI")</f>
        <v>ALT_UOM5_SIPI</v>
      </c>
      <c r="I3077" s="136"/>
    </row>
    <row r="3078" ht="15.75" customHeight="1">
      <c r="B3078" s="63">
        <f t="shared" si="1"/>
        <v>17</v>
      </c>
      <c r="C3078" s="143" t="s">
        <v>160</v>
      </c>
      <c r="D3078" s="143" t="s">
        <v>74</v>
      </c>
      <c r="E3078" s="135">
        <f t="shared" si="59"/>
        <v>43</v>
      </c>
      <c r="F3078" s="134" t="s">
        <v>3817</v>
      </c>
      <c r="G3078" s="63" t="str">
        <f>VLOOKUP(C3078, 'Class Def. - General Data'!$C$20:$C$1000,1,false)</f>
        <v>ZPI1_POSM_DISPLAY</v>
      </c>
      <c r="H3078" s="63" t="str">
        <f>IFERROR(__xludf.DUMMYFUNCTION("VLOOKUP(F3078, IMPORTRANGE(""https://docs.google.com/spreadsheets/d/1Lhp9OU0JdFf_VYSMzH5lBcEaU4o8teT1piV-SNzShjg/edit?gid=554141278#gid=554141278"", ""'Char Def. - Attributes'!C20:C2242""), 1,false)"),"ALT_DENUM_UOM5")</f>
        <v>ALT_DENUM_UOM5</v>
      </c>
      <c r="I3078" s="136"/>
    </row>
    <row r="3079" ht="15.75" customHeight="1">
      <c r="B3079" s="63">
        <f t="shared" si="1"/>
        <v>17</v>
      </c>
      <c r="C3079" s="143" t="s">
        <v>160</v>
      </c>
      <c r="D3079" s="143" t="s">
        <v>74</v>
      </c>
      <c r="E3079" s="135">
        <f t="shared" si="59"/>
        <v>44</v>
      </c>
      <c r="F3079" s="134" t="s">
        <v>3818</v>
      </c>
      <c r="G3079" s="63" t="str">
        <f>VLOOKUP(C3079, 'Class Def. - General Data'!$C$20:$C$1000,1,false)</f>
        <v>ZPI1_POSM_DISPLAY</v>
      </c>
      <c r="H3079" s="63" t="str">
        <f>IFERROR(__xludf.DUMMYFUNCTION("VLOOKUP(F3079, IMPORTRANGE(""https://docs.google.com/spreadsheets/d/1Lhp9OU0JdFf_VYSMzH5lBcEaU4o8teT1piV-SNzShjg/edit?gid=554141278#gid=554141278"", ""'Char Def. - Attributes'!C20:C2242""), 1,false)"),"ALT_NUM_UOM5")</f>
        <v>ALT_NUM_UOM5</v>
      </c>
      <c r="I3079" s="136"/>
    </row>
    <row r="3080" ht="15.75" customHeight="1">
      <c r="B3080" s="63">
        <f t="shared" si="1"/>
        <v>18</v>
      </c>
      <c r="C3080" s="144" t="s">
        <v>159</v>
      </c>
      <c r="D3080" s="143" t="s">
        <v>74</v>
      </c>
      <c r="E3080" s="135">
        <f t="shared" si="59"/>
        <v>1</v>
      </c>
      <c r="F3080" s="135" t="s">
        <v>3846</v>
      </c>
      <c r="G3080" s="63" t="str">
        <f>VLOOKUP(C3080, 'Class Def. - General Data'!$C$20:$C$1000,1,false)</f>
        <v>ZPI1_POSM_MECHNDSE</v>
      </c>
      <c r="H3080" s="63" t="str">
        <f>IFERROR(__xludf.DUMMYFUNCTION("VLOOKUP(F3080, IMPORTRANGE(""https://docs.google.com/spreadsheets/d/1Lhp9OU0JdFf_VYSMzH5lBcEaU4o8teT1piV-SNzShjg/edit?gid=554141278#gid=554141278"", ""'Char Def. - Attributes'!C20:C2242""), 1,false)"),"ITEM_NAME_POSM_MECHNDSE")</f>
        <v>ITEM_NAME_POSM_MECHNDSE</v>
      </c>
      <c r="I3080" s="136"/>
    </row>
    <row r="3081" ht="15.75" customHeight="1">
      <c r="B3081" s="63">
        <f t="shared" si="1"/>
        <v>18</v>
      </c>
      <c r="C3081" s="144" t="s">
        <v>159</v>
      </c>
      <c r="D3081" s="143" t="s">
        <v>74</v>
      </c>
      <c r="E3081" s="135">
        <f t="shared" si="59"/>
        <v>2</v>
      </c>
      <c r="F3081" s="134" t="s">
        <v>3778</v>
      </c>
      <c r="G3081" s="63" t="str">
        <f>VLOOKUP(C3081, 'Class Def. - General Data'!$C$20:$C$1000,1,false)</f>
        <v>ZPI1_POSM_MECHNDSE</v>
      </c>
      <c r="H3081" s="63" t="str">
        <f>IFERROR(__xludf.DUMMYFUNCTION("VLOOKUP(F3081, IMPORTRANGE(""https://docs.google.com/spreadsheets/d/1Lhp9OU0JdFf_VYSMzH5lBcEaU4o8teT1piV-SNzShjg/edit?gid=554141278#gid=554141278"", ""'Char Def. - Attributes'!C20:C2242""), 1,false)"),"SPECIAL_ACTIVITY")</f>
        <v>SPECIAL_ACTIVITY</v>
      </c>
      <c r="I3081" s="136"/>
    </row>
    <row r="3082" ht="15.75" customHeight="1">
      <c r="B3082" s="63">
        <f t="shared" si="1"/>
        <v>18</v>
      </c>
      <c r="C3082" s="144" t="s">
        <v>159</v>
      </c>
      <c r="D3082" s="143" t="s">
        <v>74</v>
      </c>
      <c r="E3082" s="135">
        <f t="shared" si="59"/>
        <v>3</v>
      </c>
      <c r="F3082" s="135" t="s">
        <v>3779</v>
      </c>
      <c r="G3082" s="63" t="str">
        <f>VLOOKUP(C3082, 'Class Def. - General Data'!$C$20:$C$1000,1,false)</f>
        <v>ZPI1_POSM_MECHNDSE</v>
      </c>
      <c r="H3082" s="63" t="str">
        <f>IFERROR(__xludf.DUMMYFUNCTION("VLOOKUP(F3082, IMPORTRANGE(""https://docs.google.com/spreadsheets/d/1Lhp9OU0JdFf_VYSMzH5lBcEaU4o8teT1piV-SNzShjg/edit?gid=554141278#gid=554141278"", ""'Char Def. - Attributes'!C20:C2242""), 1,false)"),"EMBOSSED_BRAND_WINGS")</f>
        <v>EMBOSSED_BRAND_WINGS</v>
      </c>
      <c r="I3082" s="136"/>
    </row>
    <row r="3083" ht="15.75" customHeight="1">
      <c r="B3083" s="63">
        <f t="shared" si="1"/>
        <v>18</v>
      </c>
      <c r="C3083" s="144" t="s">
        <v>159</v>
      </c>
      <c r="D3083" s="143" t="s">
        <v>74</v>
      </c>
      <c r="E3083" s="135">
        <f t="shared" si="59"/>
        <v>4</v>
      </c>
      <c r="F3083" s="135" t="s">
        <v>3780</v>
      </c>
      <c r="G3083" s="63" t="str">
        <f>VLOOKUP(C3083, 'Class Def. - General Data'!$C$20:$C$1000,1,false)</f>
        <v>ZPI1_POSM_MECHNDSE</v>
      </c>
      <c r="H3083" s="63" t="str">
        <f>IFERROR(__xludf.DUMMYFUNCTION("VLOOKUP(F3083, IMPORTRANGE(""https://docs.google.com/spreadsheets/d/1Lhp9OU0JdFf_VYSMzH5lBcEaU4o8teT1piV-SNzShjg/edit?gid=554141278#gid=554141278"", ""'Char Def. - Attributes'!C20:C2242""), 1,false)"),"BRAND_WINGS_SIPI")</f>
        <v>BRAND_WINGS_SIPI</v>
      </c>
      <c r="I3083" s="136"/>
    </row>
    <row r="3084" ht="15.75" customHeight="1">
      <c r="B3084" s="63">
        <f t="shared" si="1"/>
        <v>18</v>
      </c>
      <c r="C3084" s="145" t="s">
        <v>159</v>
      </c>
      <c r="D3084" s="143" t="s">
        <v>74</v>
      </c>
      <c r="E3084" s="135">
        <f t="shared" si="59"/>
        <v>5</v>
      </c>
      <c r="F3084" s="134" t="s">
        <v>3781</v>
      </c>
      <c r="G3084" s="63" t="str">
        <f>VLOOKUP(C3084, 'Class Def. - General Data'!$C$20:$C$1000,1,false)</f>
        <v>ZPI1_POSM_MECHNDSE</v>
      </c>
      <c r="H3084" s="63" t="str">
        <f>IFERROR(__xludf.DUMMYFUNCTION("VLOOKUP(F3084, IMPORTRANGE(""https://docs.google.com/spreadsheets/d/1Lhp9OU0JdFf_VYSMzH5lBcEaU4o8teT1piV-SNzShjg/edit?gid=554141278#gid=554141278"", ""'Char Def. - Attributes'!C20:C2242""), 1,false)"),"EXTERNAL_BRAND")</f>
        <v>EXTERNAL_BRAND</v>
      </c>
      <c r="I3084" s="136"/>
    </row>
    <row r="3085" ht="15.75" customHeight="1">
      <c r="B3085" s="63">
        <f t="shared" si="1"/>
        <v>18</v>
      </c>
      <c r="C3085" s="145" t="s">
        <v>159</v>
      </c>
      <c r="D3085" s="143" t="s">
        <v>74</v>
      </c>
      <c r="E3085" s="135">
        <f t="shared" si="59"/>
        <v>6</v>
      </c>
      <c r="F3085" s="134" t="s">
        <v>3782</v>
      </c>
      <c r="G3085" s="63" t="str">
        <f>VLOOKUP(C3085, 'Class Def. - General Data'!$C$20:$C$1000,1,false)</f>
        <v>ZPI1_POSM_MECHNDSE</v>
      </c>
      <c r="H3085" s="63" t="str">
        <f>IFERROR(__xludf.DUMMYFUNCTION("VLOOKUP(F3085, IMPORTRANGE(""https://docs.google.com/spreadsheets/d/1Lhp9OU0JdFf_VYSMzH5lBcEaU4o8teT1piV-SNzShjg/edit?gid=554141278#gid=554141278"", ""'Char Def. - Attributes'!C20:C2242""), 1,false)"),"BRAND_EXTERNAL")</f>
        <v>BRAND_EXTERNAL</v>
      </c>
      <c r="I3085" s="136"/>
    </row>
    <row r="3086" ht="15.75" customHeight="1">
      <c r="B3086" s="63">
        <f t="shared" si="1"/>
        <v>18</v>
      </c>
      <c r="C3086" s="145" t="s">
        <v>159</v>
      </c>
      <c r="D3086" s="143" t="s">
        <v>74</v>
      </c>
      <c r="E3086" s="135">
        <f t="shared" si="59"/>
        <v>7</v>
      </c>
      <c r="F3086" s="134" t="s">
        <v>3783</v>
      </c>
      <c r="G3086" s="63" t="str">
        <f>VLOOKUP(C3086, 'Class Def. - General Data'!$C$20:$C$1000,1,false)</f>
        <v>ZPI1_POSM_MECHNDSE</v>
      </c>
      <c r="H3086" s="63" t="str">
        <f>IFERROR(__xludf.DUMMYFUNCTION("VLOOKUP(F3086, IMPORTRANGE(""https://docs.google.com/spreadsheets/d/1Lhp9OU0JdFf_VYSMzH5lBcEaU4o8teT1piV-SNzShjg/edit?gid=554141278#gid=554141278"", ""'Char Def. - Attributes'!C20:C2242""), 1,false)"),"NO_SERI_BRAND_EXTERNAL")</f>
        <v>NO_SERI_BRAND_EXTERNAL</v>
      </c>
      <c r="I3086" s="136"/>
    </row>
    <row r="3087" ht="15.75" customHeight="1">
      <c r="B3087" s="63">
        <f t="shared" si="1"/>
        <v>18</v>
      </c>
      <c r="C3087" s="145" t="s">
        <v>159</v>
      </c>
      <c r="D3087" s="143" t="s">
        <v>74</v>
      </c>
      <c r="E3087" s="135">
        <f t="shared" si="59"/>
        <v>8</v>
      </c>
      <c r="F3087" s="134" t="s">
        <v>3845</v>
      </c>
      <c r="G3087" s="63" t="str">
        <f>VLOOKUP(C3087, 'Class Def. - General Data'!$C$20:$C$1000,1,false)</f>
        <v>ZPI1_POSM_MECHNDSE</v>
      </c>
      <c r="H3087" s="63" t="str">
        <f>IFERROR(__xludf.DUMMYFUNCTION("VLOOKUP(F3087, IMPORTRANGE(""https://docs.google.com/spreadsheets/d/1Lhp9OU0JdFf_VYSMzH5lBcEaU4o8teT1piV-SNzShjg/edit?gid=554141278#gid=554141278"", ""'Char Def. - Attributes'!C20:C2242""), 1,false)"),"MATERIAL_POSM")</f>
        <v>MATERIAL_POSM</v>
      </c>
      <c r="I3087" s="136"/>
    </row>
    <row r="3088" ht="15.75" customHeight="1">
      <c r="B3088" s="63">
        <f t="shared" si="1"/>
        <v>18</v>
      </c>
      <c r="C3088" s="145" t="s">
        <v>159</v>
      </c>
      <c r="D3088" s="143" t="s">
        <v>74</v>
      </c>
      <c r="E3088" s="135">
        <f t="shared" si="59"/>
        <v>9</v>
      </c>
      <c r="F3088" s="134" t="s">
        <v>3785</v>
      </c>
      <c r="G3088" s="63" t="str">
        <f>VLOOKUP(C3088, 'Class Def. - General Data'!$C$20:$C$1000,1,false)</f>
        <v>ZPI1_POSM_MECHNDSE</v>
      </c>
      <c r="H3088" s="63" t="str">
        <f>IFERROR(__xludf.DUMMYFUNCTION("VLOOKUP(F3088, IMPORTRANGE(""https://docs.google.com/spreadsheets/d/1Lhp9OU0JdFf_VYSMzH5lBcEaU4o8teT1piV-SNzShjg/edit?gid=554141278#gid=554141278"", ""'Char Def. - Attributes'!C20:C2242""), 1,false)"),"ITEM_SHAPE")</f>
        <v>ITEM_SHAPE</v>
      </c>
      <c r="I3088" s="136"/>
    </row>
    <row r="3089" ht="15.75" customHeight="1">
      <c r="B3089" s="63">
        <f t="shared" si="1"/>
        <v>18</v>
      </c>
      <c r="C3089" s="145" t="s">
        <v>159</v>
      </c>
      <c r="D3089" s="143" t="s">
        <v>74</v>
      </c>
      <c r="E3089" s="135">
        <f t="shared" si="59"/>
        <v>10</v>
      </c>
      <c r="F3089" s="134" t="s">
        <v>3786</v>
      </c>
      <c r="G3089" s="63" t="str">
        <f>VLOOKUP(C3089, 'Class Def. - General Data'!$C$20:$C$1000,1,false)</f>
        <v>ZPI1_POSM_MECHNDSE</v>
      </c>
      <c r="H3089" s="63" t="str">
        <f>IFERROR(__xludf.DUMMYFUNCTION("VLOOKUP(F3089, IMPORTRANGE(""https://docs.google.com/spreadsheets/d/1Lhp9OU0JdFf_VYSMzH5lBcEaU4o8teT1piV-SNzShjg/edit?gid=554141278#gid=554141278"", ""'Char Def. - Attributes'!C20:C2242""), 1,false)"),"SIZE_UNIT_DIMENSI")</f>
        <v>SIZE_UNIT_DIMENSI</v>
      </c>
      <c r="I3089" s="136"/>
    </row>
    <row r="3090" ht="15.75" customHeight="1">
      <c r="B3090" s="63">
        <f t="shared" si="1"/>
        <v>18</v>
      </c>
      <c r="C3090" s="144" t="s">
        <v>159</v>
      </c>
      <c r="D3090" s="143" t="s">
        <v>74</v>
      </c>
      <c r="E3090" s="135">
        <f t="shared" si="59"/>
        <v>11</v>
      </c>
      <c r="F3090" s="135" t="s">
        <v>3787</v>
      </c>
      <c r="G3090" s="63" t="str">
        <f>VLOOKUP(C3090, 'Class Def. - General Data'!$C$20:$C$1000,1,false)</f>
        <v>ZPI1_POSM_MECHNDSE</v>
      </c>
      <c r="H3090" s="63" t="str">
        <f>IFERROR(__xludf.DUMMYFUNCTION("VLOOKUP(F3090, IMPORTRANGE(""https://docs.google.com/spreadsheets/d/1Lhp9OU0JdFf_VYSMzH5lBcEaU4o8teT1piV-SNzShjg/edit?gid=554141278#gid=554141278"", ""'Char Def. - Attributes'!C20:C2242""), 1,false)"),"DIAMETER_PCS")</f>
        <v>DIAMETER_PCS</v>
      </c>
      <c r="I3090" s="136"/>
    </row>
    <row r="3091" ht="15.75" customHeight="1">
      <c r="B3091" s="63">
        <f t="shared" si="1"/>
        <v>18</v>
      </c>
      <c r="C3091" s="144" t="s">
        <v>159</v>
      </c>
      <c r="D3091" s="143" t="s">
        <v>74</v>
      </c>
      <c r="E3091" s="135">
        <f t="shared" si="59"/>
        <v>12</v>
      </c>
      <c r="F3091" s="134" t="s">
        <v>3788</v>
      </c>
      <c r="G3091" s="63" t="str">
        <f>VLOOKUP(C3091, 'Class Def. - General Data'!$C$20:$C$1000,1,false)</f>
        <v>ZPI1_POSM_MECHNDSE</v>
      </c>
      <c r="H3091" s="63" t="str">
        <f>IFERROR(__xludf.DUMMYFUNCTION("VLOOKUP(F3091, IMPORTRANGE(""https://docs.google.com/spreadsheets/d/1Lhp9OU0JdFf_VYSMzH5lBcEaU4o8teT1piV-SNzShjg/edit?gid=554141278#gid=554141278"", ""'Char Def. - Attributes'!C20:C2242""), 1,false)"),"LENGTH_PCS")</f>
        <v>LENGTH_PCS</v>
      </c>
      <c r="I3091" s="136"/>
    </row>
    <row r="3092" ht="15.75" customHeight="1">
      <c r="B3092" s="63">
        <f t="shared" si="1"/>
        <v>18</v>
      </c>
      <c r="C3092" s="144" t="s">
        <v>159</v>
      </c>
      <c r="D3092" s="143" t="s">
        <v>74</v>
      </c>
      <c r="E3092" s="135">
        <f t="shared" si="59"/>
        <v>13</v>
      </c>
      <c r="F3092" s="134" t="s">
        <v>3789</v>
      </c>
      <c r="G3092" s="63" t="str">
        <f>VLOOKUP(C3092, 'Class Def. - General Data'!$C$20:$C$1000,1,false)</f>
        <v>ZPI1_POSM_MECHNDSE</v>
      </c>
      <c r="H3092" s="63" t="str">
        <f>IFERROR(__xludf.DUMMYFUNCTION("VLOOKUP(F3092, IMPORTRANGE(""https://docs.google.com/spreadsheets/d/1Lhp9OU0JdFf_VYSMzH5lBcEaU4o8teT1piV-SNzShjg/edit?gid=554141278#gid=554141278"", ""'Char Def. - Attributes'!C20:C2242""), 1,false)"),"WIDTH_PCS")</f>
        <v>WIDTH_PCS</v>
      </c>
      <c r="I3092" s="136"/>
    </row>
    <row r="3093" ht="15.75" customHeight="1">
      <c r="B3093" s="63">
        <f t="shared" si="1"/>
        <v>18</v>
      </c>
      <c r="C3093" s="144" t="s">
        <v>159</v>
      </c>
      <c r="D3093" s="143" t="s">
        <v>74</v>
      </c>
      <c r="E3093" s="135">
        <f t="shared" si="59"/>
        <v>14</v>
      </c>
      <c r="F3093" s="134" t="s">
        <v>3790</v>
      </c>
      <c r="G3093" s="63" t="str">
        <f>VLOOKUP(C3093, 'Class Def. - General Data'!$C$20:$C$1000,1,false)</f>
        <v>ZPI1_POSM_MECHNDSE</v>
      </c>
      <c r="H3093" s="63" t="str">
        <f>IFERROR(__xludf.DUMMYFUNCTION("VLOOKUP(F3093, IMPORTRANGE(""https://docs.google.com/spreadsheets/d/1Lhp9OU0JdFf_VYSMzH5lBcEaU4o8teT1piV-SNzShjg/edit?gid=554141278#gid=554141278"", ""'Char Def. - Attributes'!C20:C2242""), 1,false)"),"HEIGHT_PCS")</f>
        <v>HEIGHT_PCS</v>
      </c>
      <c r="I3093" s="136"/>
    </row>
    <row r="3094" ht="15.75" customHeight="1">
      <c r="B3094" s="63">
        <f t="shared" si="1"/>
        <v>18</v>
      </c>
      <c r="C3094" s="144" t="s">
        <v>159</v>
      </c>
      <c r="D3094" s="143" t="s">
        <v>74</v>
      </c>
      <c r="E3094" s="135">
        <f t="shared" si="59"/>
        <v>15</v>
      </c>
      <c r="F3094" s="134" t="s">
        <v>3791</v>
      </c>
      <c r="G3094" s="63" t="str">
        <f>VLOOKUP(C3094, 'Class Def. - General Data'!$C$20:$C$1000,1,false)</f>
        <v>ZPI1_POSM_MECHNDSE</v>
      </c>
      <c r="H3094" s="63" t="str">
        <f>IFERROR(__xludf.DUMMYFUNCTION("VLOOKUP(F3094, IMPORTRANGE(""https://docs.google.com/spreadsheets/d/1Lhp9OU0JdFf_VYSMzH5lBcEaU4o8teT1piV-SNzShjg/edit?gid=554141278#gid=554141278"", ""'Char Def. - Attributes'!C20:C2242""), 1,false)"),"HAS_SPESIFIC_COLOUR")</f>
        <v>HAS_SPESIFIC_COLOUR</v>
      </c>
      <c r="I3094" s="136"/>
    </row>
    <row r="3095" ht="15.75" customHeight="1">
      <c r="B3095" s="63">
        <f t="shared" si="1"/>
        <v>18</v>
      </c>
      <c r="C3095" s="144" t="s">
        <v>159</v>
      </c>
      <c r="D3095" s="143" t="s">
        <v>74</v>
      </c>
      <c r="E3095" s="135">
        <f t="shared" si="59"/>
        <v>16</v>
      </c>
      <c r="F3095" s="134" t="s">
        <v>3792</v>
      </c>
      <c r="G3095" s="63" t="str">
        <f>VLOOKUP(C3095, 'Class Def. - General Data'!$C$20:$C$1000,1,false)</f>
        <v>ZPI1_POSM_MECHNDSE</v>
      </c>
      <c r="H3095" s="63" t="str">
        <f>IFERROR(__xludf.DUMMYFUNCTION("VLOOKUP(F3095, IMPORTRANGE(""https://docs.google.com/spreadsheets/d/1Lhp9OU0JdFf_VYSMzH5lBcEaU4o8teT1piV-SNzShjg/edit?gid=554141278#gid=554141278"", ""'Char Def. - Attributes'!C20:C2242""), 1,false)"),"COLOUR")</f>
        <v>COLOUR</v>
      </c>
      <c r="I3095" s="136"/>
    </row>
    <row r="3096" ht="15.75" customHeight="1">
      <c r="B3096" s="63">
        <f t="shared" si="1"/>
        <v>18</v>
      </c>
      <c r="C3096" s="144" t="s">
        <v>159</v>
      </c>
      <c r="D3096" s="143" t="s">
        <v>74</v>
      </c>
      <c r="E3096" s="135">
        <f t="shared" si="59"/>
        <v>17</v>
      </c>
      <c r="F3096" s="134" t="s">
        <v>3793</v>
      </c>
      <c r="G3096" s="63" t="str">
        <f>VLOOKUP(C3096, 'Class Def. - General Data'!$C$20:$C$1000,1,false)</f>
        <v>ZPI1_POSM_MECHNDSE</v>
      </c>
      <c r="H3096" s="63" t="str">
        <f>IFERROR(__xludf.DUMMYFUNCTION("VLOOKUP(F3096, IMPORTRANGE(""https://docs.google.com/spreadsheets/d/1Lhp9OU0JdFf_VYSMzH5lBcEaU4o8teT1piV-SNzShjg/edit?gid=554141278#gid=554141278"", ""'Char Def. - Attributes'!C20:C2242""), 1,false)"),"EMBOSSED_SPESIFIC_DESAIN")</f>
        <v>EMBOSSED_SPESIFIC_DESAIN</v>
      </c>
      <c r="I3096" s="136"/>
    </row>
    <row r="3097" ht="15.75" customHeight="1">
      <c r="B3097" s="63">
        <f t="shared" si="1"/>
        <v>18</v>
      </c>
      <c r="C3097" s="144" t="s">
        <v>159</v>
      </c>
      <c r="D3097" s="143" t="s">
        <v>74</v>
      </c>
      <c r="E3097" s="135">
        <f t="shared" si="59"/>
        <v>18</v>
      </c>
      <c r="F3097" s="134" t="s">
        <v>3794</v>
      </c>
      <c r="G3097" s="63" t="str">
        <f>VLOOKUP(C3097, 'Class Def. - General Data'!$C$20:$C$1000,1,false)</f>
        <v>ZPI1_POSM_MECHNDSE</v>
      </c>
      <c r="H3097" s="63" t="str">
        <f>IFERROR(__xludf.DUMMYFUNCTION("VLOOKUP(F3097, IMPORTRANGE(""https://docs.google.com/spreadsheets/d/1Lhp9OU0JdFf_VYSMzH5lBcEaU4o8teT1piV-SNzShjg/edit?gid=554141278#gid=554141278"", ""'Char Def. - Attributes'!C20:C2242""), 1,false)"),"DESAIN_NAME")</f>
        <v>DESAIN_NAME</v>
      </c>
      <c r="I3097" s="136"/>
    </row>
    <row r="3098" ht="15.75" customHeight="1">
      <c r="B3098" s="63">
        <f t="shared" si="1"/>
        <v>18</v>
      </c>
      <c r="C3098" s="144" t="s">
        <v>159</v>
      </c>
      <c r="D3098" s="143" t="s">
        <v>74</v>
      </c>
      <c r="E3098" s="135">
        <f t="shared" si="59"/>
        <v>19</v>
      </c>
      <c r="F3098" s="134" t="s">
        <v>3795</v>
      </c>
      <c r="G3098" s="63" t="str">
        <f>VLOOKUP(C3098, 'Class Def. - General Data'!$C$20:$C$1000,1,false)</f>
        <v>ZPI1_POSM_MECHNDSE</v>
      </c>
      <c r="H3098" s="63" t="str">
        <f>IFERROR(__xludf.DUMMYFUNCTION("VLOOKUP(F3098, IMPORTRANGE(""https://docs.google.com/spreadsheets/d/1Lhp9OU0JdFf_VYSMzH5lBcEaU4o8teT1piV-SNzShjg/edit?gid=554141278#gid=554141278"", ""'Char Def. - Attributes'!C20:C2242""), 1,false)"),"DESAIN_MONTH")</f>
        <v>DESAIN_MONTH</v>
      </c>
      <c r="I3098" s="136"/>
    </row>
    <row r="3099" ht="15.75" customHeight="1">
      <c r="B3099" s="63">
        <f t="shared" si="1"/>
        <v>18</v>
      </c>
      <c r="C3099" s="144" t="s">
        <v>159</v>
      </c>
      <c r="D3099" s="143" t="s">
        <v>74</v>
      </c>
      <c r="E3099" s="135">
        <f t="shared" si="59"/>
        <v>20</v>
      </c>
      <c r="F3099" s="134" t="s">
        <v>3796</v>
      </c>
      <c r="G3099" s="63" t="str">
        <f>VLOOKUP(C3099, 'Class Def. - General Data'!$C$20:$C$1000,1,false)</f>
        <v>ZPI1_POSM_MECHNDSE</v>
      </c>
      <c r="H3099" s="63" t="str">
        <f>IFERROR(__xludf.DUMMYFUNCTION("VLOOKUP(F3099, IMPORTRANGE(""https://docs.google.com/spreadsheets/d/1Lhp9OU0JdFf_VYSMzH5lBcEaU4o8teT1piV-SNzShjg/edit?gid=554141278#gid=554141278"", ""'Char Def. - Attributes'!C20:C2242""), 1,false)"),"DESAIN_YEAR")</f>
        <v>DESAIN_YEAR</v>
      </c>
      <c r="I3099" s="136"/>
    </row>
    <row r="3100" ht="15.75" customHeight="1">
      <c r="B3100" s="63">
        <f t="shared" si="1"/>
        <v>18</v>
      </c>
      <c r="C3100" s="144" t="s">
        <v>159</v>
      </c>
      <c r="D3100" s="143" t="s">
        <v>74</v>
      </c>
      <c r="E3100" s="135">
        <f t="shared" si="59"/>
        <v>21</v>
      </c>
      <c r="F3100" s="134" t="s">
        <v>3797</v>
      </c>
      <c r="G3100" s="63" t="str">
        <f>VLOOKUP(C3100, 'Class Def. - General Data'!$C$20:$C$1000,1,false)</f>
        <v>ZPI1_POSM_MECHNDSE</v>
      </c>
      <c r="H3100" s="63" t="str">
        <f>IFERROR(__xludf.DUMMYFUNCTION("VLOOKUP(F3100, IMPORTRANGE(""https://docs.google.com/spreadsheets/d/1Lhp9OU0JdFf_VYSMzH5lBcEaU4o8teT1piV-SNzShjg/edit?gid=554141278#gid=554141278"", ""'Char Def. - Attributes'!C20:C2242""), 1,false)"),"SPEC_QTY_IN_ONE_BUNDLE")</f>
        <v>SPEC_QTY_IN_ONE_BUNDLE</v>
      </c>
      <c r="I3100" s="136"/>
    </row>
    <row r="3101" ht="15.75" customHeight="1">
      <c r="B3101" s="63">
        <f t="shared" si="1"/>
        <v>18</v>
      </c>
      <c r="C3101" s="144" t="s">
        <v>159</v>
      </c>
      <c r="D3101" s="143" t="s">
        <v>74</v>
      </c>
      <c r="E3101" s="135">
        <f t="shared" si="59"/>
        <v>22</v>
      </c>
      <c r="F3101" s="134" t="s">
        <v>3798</v>
      </c>
      <c r="G3101" s="63" t="str">
        <f>VLOOKUP(C3101, 'Class Def. - General Data'!$C$20:$C$1000,1,false)</f>
        <v>ZPI1_POSM_MECHNDSE</v>
      </c>
      <c r="H3101" s="63" t="str">
        <f>IFERROR(__xludf.DUMMYFUNCTION("VLOOKUP(F3101, IMPORTRANGE(""https://docs.google.com/spreadsheets/d/1Lhp9OU0JdFf_VYSMzH5lBcEaU4o8teT1piV-SNzShjg/edit?gid=554141278#gid=554141278"", ""'Char Def. - Attributes'!C20:C2242""), 1,false)"),"QTY_IN_ONE_BUNDLE")</f>
        <v>QTY_IN_ONE_BUNDLE</v>
      </c>
      <c r="I3101" s="136"/>
    </row>
    <row r="3102" ht="15.75" customHeight="1">
      <c r="B3102" s="63">
        <f t="shared" si="1"/>
        <v>18</v>
      </c>
      <c r="C3102" s="144" t="s">
        <v>159</v>
      </c>
      <c r="D3102" s="143" t="s">
        <v>74</v>
      </c>
      <c r="E3102" s="135">
        <f t="shared" si="59"/>
        <v>23</v>
      </c>
      <c r="F3102" s="134" t="s">
        <v>3585</v>
      </c>
      <c r="G3102" s="63" t="str">
        <f>VLOOKUP(C3102, 'Class Def. - General Data'!$C$20:$C$1000,1,false)</f>
        <v>ZPI1_POSM_MECHNDSE</v>
      </c>
      <c r="H3102" s="63" t="str">
        <f>IFERROR(__xludf.DUMMYFUNCTION("VLOOKUP(F3102, IMPORTRANGE(""https://docs.google.com/spreadsheets/d/1Lhp9OU0JdFf_VYSMzH5lBcEaU4o8teT1piV-SNzShjg/edit?gid=554141278#gid=554141278"", ""'Char Def. - Attributes'!C20:C2242""), 1,false)"),"HS_CODE")</f>
        <v>HS_CODE</v>
      </c>
      <c r="I3102" s="136"/>
    </row>
    <row r="3103" ht="15.75" customHeight="1">
      <c r="B3103" s="63">
        <f t="shared" si="1"/>
        <v>18</v>
      </c>
      <c r="C3103" s="144" t="s">
        <v>159</v>
      </c>
      <c r="D3103" s="143" t="s">
        <v>74</v>
      </c>
      <c r="E3103" s="135">
        <f t="shared" si="59"/>
        <v>24</v>
      </c>
      <c r="F3103" s="134" t="s">
        <v>3799</v>
      </c>
      <c r="G3103" s="63" t="str">
        <f>VLOOKUP(C3103, 'Class Def. - General Data'!$C$20:$C$1000,1,false)</f>
        <v>ZPI1_POSM_MECHNDSE</v>
      </c>
      <c r="H3103" s="63" t="str">
        <f>IFERROR(__xludf.DUMMYFUNCTION("VLOOKUP(F3103, IMPORTRANGE(""https://docs.google.com/spreadsheets/d/1Lhp9OU0JdFf_VYSMzH5lBcEaU4o8teT1piV-SNzShjg/edit?gid=554141278#gid=554141278"", ""'Char Def. - Attributes'!C20:C2242""), 1,false)"),"BASE_UNIT_ZPI1")</f>
        <v>BASE_UNIT_ZPI1</v>
      </c>
      <c r="I3103" s="136"/>
    </row>
    <row r="3104" ht="15.75" customHeight="1">
      <c r="B3104" s="63">
        <f t="shared" si="1"/>
        <v>18</v>
      </c>
      <c r="C3104" s="144" t="s">
        <v>159</v>
      </c>
      <c r="D3104" s="143" t="s">
        <v>74</v>
      </c>
      <c r="E3104" s="135">
        <f t="shared" si="59"/>
        <v>25</v>
      </c>
      <c r="F3104" s="135" t="s">
        <v>3800</v>
      </c>
      <c r="G3104" s="63" t="str">
        <f>VLOOKUP(C3104, 'Class Def. - General Data'!$C$20:$C$1000,1,false)</f>
        <v>ZPI1_POSM_MECHNDSE</v>
      </c>
      <c r="H3104" s="63" t="str">
        <f>IFERROR(__xludf.DUMMYFUNCTION("VLOOKUP(F3104, IMPORTRANGE(""https://docs.google.com/spreadsheets/d/1Lhp9OU0JdFf_VYSMzH5lBcEaU4o8teT1piV-SNzShjg/edit?gid=554141278#gid=554141278"", ""'Char Def. - Attributes'!C20:C2242""), 1,false)"),"ORDER_UNIT_DIFF_FROM_BASIC_UOM")</f>
        <v>ORDER_UNIT_DIFF_FROM_BASIC_UOM</v>
      </c>
      <c r="I3104" s="136"/>
    </row>
    <row r="3105" ht="15.75" customHeight="1">
      <c r="B3105" s="63">
        <f t="shared" si="1"/>
        <v>18</v>
      </c>
      <c r="C3105" s="144" t="s">
        <v>159</v>
      </c>
      <c r="D3105" s="143" t="s">
        <v>74</v>
      </c>
      <c r="E3105" s="135">
        <f t="shared" si="59"/>
        <v>26</v>
      </c>
      <c r="F3105" s="135" t="s">
        <v>3801</v>
      </c>
      <c r="G3105" s="63" t="str">
        <f>VLOOKUP(C3105, 'Class Def. - General Data'!$C$20:$C$1000,1,false)</f>
        <v>ZPI1_POSM_MECHNDSE</v>
      </c>
      <c r="H3105" s="63" t="str">
        <f>IFERROR(__xludf.DUMMYFUNCTION("VLOOKUP(F3105, IMPORTRANGE(""https://docs.google.com/spreadsheets/d/1Lhp9OU0JdFf_VYSMzH5lBcEaU4o8teT1piV-SNzShjg/edit?gid=554141278#gid=554141278"", ""'Char Def. - Attributes'!C20:C2242""), 1,false)"),"ORDER_UNIT_ZPI1")</f>
        <v>ORDER_UNIT_ZPI1</v>
      </c>
      <c r="I3105" s="136"/>
    </row>
    <row r="3106" ht="15.75" customHeight="1">
      <c r="B3106" s="63">
        <f t="shared" si="1"/>
        <v>18</v>
      </c>
      <c r="C3106" s="144" t="s">
        <v>159</v>
      </c>
      <c r="D3106" s="143" t="s">
        <v>74</v>
      </c>
      <c r="E3106" s="135">
        <f t="shared" si="59"/>
        <v>27</v>
      </c>
      <c r="F3106" s="134" t="s">
        <v>3802</v>
      </c>
      <c r="G3106" s="63" t="str">
        <f>VLOOKUP(C3106, 'Class Def. - General Data'!$C$20:$C$1000,1,false)</f>
        <v>ZPI1_POSM_MECHNDSE</v>
      </c>
      <c r="H3106" s="63" t="str">
        <f>IFERROR(__xludf.DUMMYFUNCTION("VLOOKUP(F3106, IMPORTRANGE(""https://docs.google.com/spreadsheets/d/1Lhp9OU0JdFf_VYSMzH5lBcEaU4o8teT1piV-SNzShjg/edit?gid=554141278#gid=554141278"", ""'Char Def. - Attributes'!C20:C2242""), 1,false)"),"WEIGHT_UNIT_PI")</f>
        <v>WEIGHT_UNIT_PI</v>
      </c>
      <c r="I3106" s="136"/>
    </row>
    <row r="3107" ht="15.75" customHeight="1">
      <c r="B3107" s="63">
        <f t="shared" si="1"/>
        <v>18</v>
      </c>
      <c r="C3107" s="144" t="s">
        <v>159</v>
      </c>
      <c r="D3107" s="143" t="s">
        <v>74</v>
      </c>
      <c r="E3107" s="135">
        <f t="shared" si="59"/>
        <v>28</v>
      </c>
      <c r="F3107" s="134" t="s">
        <v>3602</v>
      </c>
      <c r="G3107" s="63" t="str">
        <f>VLOOKUP(C3107, 'Class Def. - General Data'!$C$20:$C$1000,1,false)</f>
        <v>ZPI1_POSM_MECHNDSE</v>
      </c>
      <c r="H3107" s="63" t="str">
        <f>IFERROR(__xludf.DUMMYFUNCTION("VLOOKUP(F3107, IMPORTRANGE(""https://docs.google.com/spreadsheets/d/1Lhp9OU0JdFf_VYSMzH5lBcEaU4o8teT1piV-SNzShjg/edit?gid=554141278#gid=554141278"", ""'Char Def. - Attributes'!C20:C2242""), 1,false)"),"NET_WEIGHT")</f>
        <v>NET_WEIGHT</v>
      </c>
      <c r="I3107" s="136"/>
    </row>
    <row r="3108" ht="15.75" customHeight="1">
      <c r="B3108" s="63">
        <f t="shared" si="1"/>
        <v>18</v>
      </c>
      <c r="C3108" s="144" t="s">
        <v>159</v>
      </c>
      <c r="D3108" s="143" t="s">
        <v>74</v>
      </c>
      <c r="E3108" s="135">
        <f t="shared" si="59"/>
        <v>29</v>
      </c>
      <c r="F3108" s="134" t="s">
        <v>3601</v>
      </c>
      <c r="G3108" s="63" t="str">
        <f>VLOOKUP(C3108, 'Class Def. - General Data'!$C$20:$C$1000,1,false)</f>
        <v>ZPI1_POSM_MECHNDSE</v>
      </c>
      <c r="H3108" s="63" t="str">
        <f>IFERROR(__xludf.DUMMYFUNCTION("VLOOKUP(F3108, IMPORTRANGE(""https://docs.google.com/spreadsheets/d/1Lhp9OU0JdFf_VYSMzH5lBcEaU4o8teT1piV-SNzShjg/edit?gid=554141278#gid=554141278"", ""'Char Def. - Attributes'!C20:C2242""), 1,false)"),"GROSS_WEIGHT")</f>
        <v>GROSS_WEIGHT</v>
      </c>
      <c r="I3108" s="136"/>
    </row>
    <row r="3109" ht="15.75" customHeight="1">
      <c r="B3109" s="63">
        <f t="shared" si="1"/>
        <v>18</v>
      </c>
      <c r="C3109" s="144" t="s">
        <v>159</v>
      </c>
      <c r="D3109" s="143" t="s">
        <v>74</v>
      </c>
      <c r="E3109" s="135">
        <f t="shared" si="59"/>
        <v>30</v>
      </c>
      <c r="F3109" s="134" t="s">
        <v>3803</v>
      </c>
      <c r="G3109" s="63" t="str">
        <f>VLOOKUP(C3109, 'Class Def. - General Data'!$C$20:$C$1000,1,false)</f>
        <v>ZPI1_POSM_MECHNDSE</v>
      </c>
      <c r="H3109" s="63" t="str">
        <f>IFERROR(__xludf.DUMMYFUNCTION("VLOOKUP(F3109, IMPORTRANGE(""https://docs.google.com/spreadsheets/d/1Lhp9OU0JdFf_VYSMzH5lBcEaU4o8teT1piV-SNzShjg/edit?gid=554141278#gid=554141278"", ""'Char Def. - Attributes'!C20:C2242""), 1,false)"),"VOLUME_UNIT_PI")</f>
        <v>VOLUME_UNIT_PI</v>
      </c>
      <c r="I3109" s="136"/>
    </row>
    <row r="3110" ht="15.75" customHeight="1">
      <c r="B3110" s="63">
        <f t="shared" si="1"/>
        <v>18</v>
      </c>
      <c r="C3110" s="144" t="s">
        <v>159</v>
      </c>
      <c r="D3110" s="143" t="s">
        <v>74</v>
      </c>
      <c r="E3110" s="135">
        <f t="shared" si="59"/>
        <v>31</v>
      </c>
      <c r="F3110" s="134" t="s">
        <v>3603</v>
      </c>
      <c r="G3110" s="63" t="str">
        <f>VLOOKUP(C3110, 'Class Def. - General Data'!$C$20:$C$1000,1,false)</f>
        <v>ZPI1_POSM_MECHNDSE</v>
      </c>
      <c r="H3110" s="63" t="str">
        <f>IFERROR(__xludf.DUMMYFUNCTION("VLOOKUP(F3110, IMPORTRANGE(""https://docs.google.com/spreadsheets/d/1Lhp9OU0JdFf_VYSMzH5lBcEaU4o8teT1piV-SNzShjg/edit?gid=554141278#gid=554141278"", ""'Char Def. - Attributes'!C20:C2242""), 1,false)"),"VOLUME")</f>
        <v>VOLUME</v>
      </c>
      <c r="I3110" s="136"/>
    </row>
    <row r="3111" ht="15.75" customHeight="1">
      <c r="B3111" s="63">
        <f t="shared" si="1"/>
        <v>18</v>
      </c>
      <c r="C3111" s="144" t="s">
        <v>159</v>
      </c>
      <c r="D3111" s="143" t="s">
        <v>74</v>
      </c>
      <c r="E3111" s="135">
        <f t="shared" si="59"/>
        <v>32</v>
      </c>
      <c r="F3111" s="134" t="s">
        <v>3587</v>
      </c>
      <c r="G3111" s="63" t="str">
        <f>VLOOKUP(C3111, 'Class Def. - General Data'!$C$20:$C$1000,1,false)</f>
        <v>ZPI1_POSM_MECHNDSE</v>
      </c>
      <c r="H3111" s="63" t="str">
        <f>IFERROR(__xludf.DUMMYFUNCTION("VLOOKUP(F3111, IMPORTRANGE(""https://docs.google.com/spreadsheets/d/1Lhp9OU0JdFf_VYSMzH5lBcEaU4o8teT1piV-SNzShjg/edit?gid=554141278#gid=554141278"", ""'Char Def. - Attributes'!C20:C2242""), 1,false)"),"PLANT_BUY")</f>
        <v>PLANT_BUY</v>
      </c>
      <c r="I3111" s="136"/>
    </row>
    <row r="3112" ht="15.75" customHeight="1">
      <c r="B3112" s="63">
        <f t="shared" si="1"/>
        <v>18</v>
      </c>
      <c r="C3112" s="144" t="s">
        <v>159</v>
      </c>
      <c r="D3112" s="143" t="s">
        <v>74</v>
      </c>
      <c r="E3112" s="135">
        <f t="shared" si="59"/>
        <v>33</v>
      </c>
      <c r="F3112" s="134" t="s">
        <v>3804</v>
      </c>
      <c r="G3112" s="63" t="str">
        <f>VLOOKUP(C3112, 'Class Def. - General Data'!$C$20:$C$1000,1,false)</f>
        <v>ZPI1_POSM_MECHNDSE</v>
      </c>
      <c r="H3112" s="63" t="str">
        <f>IFERROR(__xludf.DUMMYFUNCTION("VLOOKUP(F3112, IMPORTRANGE(""https://docs.google.com/spreadsheets/d/1Lhp9OU0JdFf_VYSMzH5lBcEaU4o8teT1piV-SNzShjg/edit?gid=554141278#gid=554141278"", ""'Char Def. - Attributes'!C20:C2242""), 1,false)"),"ALT_UOM1_SIPI")</f>
        <v>ALT_UOM1_SIPI</v>
      </c>
      <c r="I3112" s="136"/>
    </row>
    <row r="3113" ht="15.75" customHeight="1">
      <c r="B3113" s="63">
        <f t="shared" si="1"/>
        <v>18</v>
      </c>
      <c r="C3113" s="144" t="s">
        <v>159</v>
      </c>
      <c r="D3113" s="143" t="s">
        <v>74</v>
      </c>
      <c r="E3113" s="135">
        <f t="shared" si="59"/>
        <v>34</v>
      </c>
      <c r="F3113" s="134" t="s">
        <v>3805</v>
      </c>
      <c r="G3113" s="63" t="str">
        <f>VLOOKUP(C3113, 'Class Def. - General Data'!$C$20:$C$1000,1,false)</f>
        <v>ZPI1_POSM_MECHNDSE</v>
      </c>
      <c r="H3113" s="63" t="str">
        <f>IFERROR(__xludf.DUMMYFUNCTION("VLOOKUP(F3113, IMPORTRANGE(""https://docs.google.com/spreadsheets/d/1Lhp9OU0JdFf_VYSMzH5lBcEaU4o8teT1piV-SNzShjg/edit?gid=554141278#gid=554141278"", ""'Char Def. - Attributes'!C20:C2242""), 1,false)"),"ALT_DENUM_UOM1")</f>
        <v>ALT_DENUM_UOM1</v>
      </c>
      <c r="I3113" s="136"/>
    </row>
    <row r="3114" ht="15.75" customHeight="1">
      <c r="B3114" s="63">
        <f t="shared" si="1"/>
        <v>18</v>
      </c>
      <c r="C3114" s="144" t="s">
        <v>159</v>
      </c>
      <c r="D3114" s="143" t="s">
        <v>74</v>
      </c>
      <c r="E3114" s="135">
        <f t="shared" si="59"/>
        <v>35</v>
      </c>
      <c r="F3114" s="134" t="s">
        <v>3806</v>
      </c>
      <c r="G3114" s="63" t="str">
        <f>VLOOKUP(C3114, 'Class Def. - General Data'!$C$20:$C$1000,1,false)</f>
        <v>ZPI1_POSM_MECHNDSE</v>
      </c>
      <c r="H3114" s="63" t="str">
        <f>IFERROR(__xludf.DUMMYFUNCTION("VLOOKUP(F3114, IMPORTRANGE(""https://docs.google.com/spreadsheets/d/1Lhp9OU0JdFf_VYSMzH5lBcEaU4o8teT1piV-SNzShjg/edit?gid=554141278#gid=554141278"", ""'Char Def. - Attributes'!C20:C2242""), 1,false)"),"ALT_NUM_UOM1")</f>
        <v>ALT_NUM_UOM1</v>
      </c>
      <c r="I3114" s="136"/>
    </row>
    <row r="3115" ht="15.75" customHeight="1">
      <c r="B3115" s="63">
        <f t="shared" si="1"/>
        <v>18</v>
      </c>
      <c r="C3115" s="144" t="s">
        <v>159</v>
      </c>
      <c r="D3115" s="143" t="s">
        <v>74</v>
      </c>
      <c r="E3115" s="135">
        <f t="shared" si="59"/>
        <v>36</v>
      </c>
      <c r="F3115" s="134" t="s">
        <v>3807</v>
      </c>
      <c r="G3115" s="63" t="str">
        <f>VLOOKUP(C3115, 'Class Def. - General Data'!$C$20:$C$1000,1,false)</f>
        <v>ZPI1_POSM_MECHNDSE</v>
      </c>
      <c r="H3115" s="63" t="str">
        <f>IFERROR(__xludf.DUMMYFUNCTION("VLOOKUP(F3115, IMPORTRANGE(""https://docs.google.com/spreadsheets/d/1Lhp9OU0JdFf_VYSMzH5lBcEaU4o8teT1piV-SNzShjg/edit?gid=554141278#gid=554141278"", ""'Char Def. - Attributes'!C20:C2242""), 1,false)"),"ALT_UOM2_SIPI")</f>
        <v>ALT_UOM2_SIPI</v>
      </c>
      <c r="I3115" s="136"/>
    </row>
    <row r="3116" ht="15.75" customHeight="1">
      <c r="B3116" s="63">
        <f t="shared" si="1"/>
        <v>18</v>
      </c>
      <c r="C3116" s="144" t="s">
        <v>159</v>
      </c>
      <c r="D3116" s="143" t="s">
        <v>74</v>
      </c>
      <c r="E3116" s="135">
        <f t="shared" si="59"/>
        <v>37</v>
      </c>
      <c r="F3116" s="134" t="s">
        <v>3808</v>
      </c>
      <c r="G3116" s="63" t="str">
        <f>VLOOKUP(C3116, 'Class Def. - General Data'!$C$20:$C$1000,1,false)</f>
        <v>ZPI1_POSM_MECHNDSE</v>
      </c>
      <c r="H3116" s="63" t="str">
        <f>IFERROR(__xludf.DUMMYFUNCTION("VLOOKUP(F3116, IMPORTRANGE(""https://docs.google.com/spreadsheets/d/1Lhp9OU0JdFf_VYSMzH5lBcEaU4o8teT1piV-SNzShjg/edit?gid=554141278#gid=554141278"", ""'Char Def. - Attributes'!C20:C2242""), 1,false)"),"ALT_DENUM_UOM2")</f>
        <v>ALT_DENUM_UOM2</v>
      </c>
      <c r="I3116" s="136"/>
    </row>
    <row r="3117" ht="15.75" customHeight="1">
      <c r="B3117" s="63">
        <f t="shared" si="1"/>
        <v>18</v>
      </c>
      <c r="C3117" s="144" t="s">
        <v>159</v>
      </c>
      <c r="D3117" s="143" t="s">
        <v>74</v>
      </c>
      <c r="E3117" s="135">
        <f t="shared" si="59"/>
        <v>38</v>
      </c>
      <c r="F3117" s="134" t="s">
        <v>3809</v>
      </c>
      <c r="G3117" s="63" t="str">
        <f>VLOOKUP(C3117, 'Class Def. - General Data'!$C$20:$C$1000,1,false)</f>
        <v>ZPI1_POSM_MECHNDSE</v>
      </c>
      <c r="H3117" s="63" t="str">
        <f>IFERROR(__xludf.DUMMYFUNCTION("VLOOKUP(F3117, IMPORTRANGE(""https://docs.google.com/spreadsheets/d/1Lhp9OU0JdFf_VYSMzH5lBcEaU4o8teT1piV-SNzShjg/edit?gid=554141278#gid=554141278"", ""'Char Def. - Attributes'!C20:C2242""), 1,false)"),"ALT_NUM_UOM2")</f>
        <v>ALT_NUM_UOM2</v>
      </c>
      <c r="I3117" s="136"/>
    </row>
    <row r="3118" ht="15.75" customHeight="1">
      <c r="B3118" s="63">
        <f t="shared" si="1"/>
        <v>18</v>
      </c>
      <c r="C3118" s="144" t="s">
        <v>159</v>
      </c>
      <c r="D3118" s="143" t="s">
        <v>74</v>
      </c>
      <c r="E3118" s="135">
        <f t="shared" si="59"/>
        <v>39</v>
      </c>
      <c r="F3118" s="134" t="s">
        <v>3810</v>
      </c>
      <c r="G3118" s="63" t="str">
        <f>VLOOKUP(C3118, 'Class Def. - General Data'!$C$20:$C$1000,1,false)</f>
        <v>ZPI1_POSM_MECHNDSE</v>
      </c>
      <c r="H3118" s="63" t="str">
        <f>IFERROR(__xludf.DUMMYFUNCTION("VLOOKUP(F3118, IMPORTRANGE(""https://docs.google.com/spreadsheets/d/1Lhp9OU0JdFf_VYSMzH5lBcEaU4o8teT1piV-SNzShjg/edit?gid=554141278#gid=554141278"", ""'Char Def. - Attributes'!C20:C2242""), 1,false)"),"ALT_UOM3_SIPI")</f>
        <v>ALT_UOM3_SIPI</v>
      </c>
      <c r="I3118" s="136"/>
    </row>
    <row r="3119" ht="15.75" customHeight="1">
      <c r="B3119" s="63">
        <f t="shared" si="1"/>
        <v>18</v>
      </c>
      <c r="C3119" s="144" t="s">
        <v>159</v>
      </c>
      <c r="D3119" s="143" t="s">
        <v>74</v>
      </c>
      <c r="E3119" s="135">
        <f t="shared" si="59"/>
        <v>40</v>
      </c>
      <c r="F3119" s="134" t="s">
        <v>3811</v>
      </c>
      <c r="G3119" s="63" t="str">
        <f>VLOOKUP(C3119, 'Class Def. - General Data'!$C$20:$C$1000,1,false)</f>
        <v>ZPI1_POSM_MECHNDSE</v>
      </c>
      <c r="H3119" s="63" t="str">
        <f>IFERROR(__xludf.DUMMYFUNCTION("VLOOKUP(F3119, IMPORTRANGE(""https://docs.google.com/spreadsheets/d/1Lhp9OU0JdFf_VYSMzH5lBcEaU4o8teT1piV-SNzShjg/edit?gid=554141278#gid=554141278"", ""'Char Def. - Attributes'!C20:C2242""), 1,false)"),"ALT_DENUM_UOM3")</f>
        <v>ALT_DENUM_UOM3</v>
      </c>
      <c r="I3119" s="136"/>
    </row>
    <row r="3120" ht="15.75" customHeight="1">
      <c r="B3120" s="63">
        <f t="shared" si="1"/>
        <v>18</v>
      </c>
      <c r="C3120" s="144" t="s">
        <v>159</v>
      </c>
      <c r="D3120" s="143" t="s">
        <v>74</v>
      </c>
      <c r="E3120" s="135">
        <f t="shared" si="59"/>
        <v>41</v>
      </c>
      <c r="F3120" s="134" t="s">
        <v>3812</v>
      </c>
      <c r="G3120" s="63" t="str">
        <f>VLOOKUP(C3120, 'Class Def. - General Data'!$C$20:$C$1000,1,false)</f>
        <v>ZPI1_POSM_MECHNDSE</v>
      </c>
      <c r="H3120" s="63" t="str">
        <f>IFERROR(__xludf.DUMMYFUNCTION("VLOOKUP(F3120, IMPORTRANGE(""https://docs.google.com/spreadsheets/d/1Lhp9OU0JdFf_VYSMzH5lBcEaU4o8teT1piV-SNzShjg/edit?gid=554141278#gid=554141278"", ""'Char Def. - Attributes'!C20:C2242""), 1,false)"),"ALT_NUM_UOM3")</f>
        <v>ALT_NUM_UOM3</v>
      </c>
      <c r="I3120" s="136"/>
    </row>
    <row r="3121" ht="15.75" customHeight="1">
      <c r="B3121" s="63">
        <f t="shared" si="1"/>
        <v>18</v>
      </c>
      <c r="C3121" s="144" t="s">
        <v>159</v>
      </c>
      <c r="D3121" s="143" t="s">
        <v>74</v>
      </c>
      <c r="E3121" s="135">
        <f t="shared" si="59"/>
        <v>42</v>
      </c>
      <c r="F3121" s="134" t="s">
        <v>3813</v>
      </c>
      <c r="G3121" s="63" t="str">
        <f>VLOOKUP(C3121, 'Class Def. - General Data'!$C$20:$C$1000,1,false)</f>
        <v>ZPI1_POSM_MECHNDSE</v>
      </c>
      <c r="H3121" s="63" t="str">
        <f>IFERROR(__xludf.DUMMYFUNCTION("VLOOKUP(F3121, IMPORTRANGE(""https://docs.google.com/spreadsheets/d/1Lhp9OU0JdFf_VYSMzH5lBcEaU4o8teT1piV-SNzShjg/edit?gid=554141278#gid=554141278"", ""'Char Def. - Attributes'!C20:C2242""), 1,false)"),"ALT_UOM4_SIPI")</f>
        <v>ALT_UOM4_SIPI</v>
      </c>
      <c r="I3121" s="136"/>
    </row>
    <row r="3122" ht="15.75" customHeight="1">
      <c r="B3122" s="63">
        <f t="shared" si="1"/>
        <v>18</v>
      </c>
      <c r="C3122" s="144" t="s">
        <v>159</v>
      </c>
      <c r="D3122" s="143" t="s">
        <v>74</v>
      </c>
      <c r="E3122" s="135">
        <f t="shared" si="59"/>
        <v>43</v>
      </c>
      <c r="F3122" s="134" t="s">
        <v>3814</v>
      </c>
      <c r="G3122" s="63" t="str">
        <f>VLOOKUP(C3122, 'Class Def. - General Data'!$C$20:$C$1000,1,false)</f>
        <v>ZPI1_POSM_MECHNDSE</v>
      </c>
      <c r="H3122" s="63" t="str">
        <f>IFERROR(__xludf.DUMMYFUNCTION("VLOOKUP(F3122, IMPORTRANGE(""https://docs.google.com/spreadsheets/d/1Lhp9OU0JdFf_VYSMzH5lBcEaU4o8teT1piV-SNzShjg/edit?gid=554141278#gid=554141278"", ""'Char Def. - Attributes'!C20:C2242""), 1,false)"),"ALT_DENUM_UOM4")</f>
        <v>ALT_DENUM_UOM4</v>
      </c>
      <c r="I3122" s="136"/>
    </row>
    <row r="3123" ht="15.75" customHeight="1">
      <c r="B3123" s="63">
        <f t="shared" si="1"/>
        <v>18</v>
      </c>
      <c r="C3123" s="144" t="s">
        <v>159</v>
      </c>
      <c r="D3123" s="143" t="s">
        <v>74</v>
      </c>
      <c r="E3123" s="135">
        <f t="shared" si="59"/>
        <v>44</v>
      </c>
      <c r="F3123" s="134" t="s">
        <v>3815</v>
      </c>
      <c r="G3123" s="63" t="str">
        <f>VLOOKUP(C3123, 'Class Def. - General Data'!$C$20:$C$1000,1,false)</f>
        <v>ZPI1_POSM_MECHNDSE</v>
      </c>
      <c r="H3123" s="63" t="str">
        <f>IFERROR(__xludf.DUMMYFUNCTION("VLOOKUP(F3123, IMPORTRANGE(""https://docs.google.com/spreadsheets/d/1Lhp9OU0JdFf_VYSMzH5lBcEaU4o8teT1piV-SNzShjg/edit?gid=554141278#gid=554141278"", ""'Char Def. - Attributes'!C20:C2242""), 1,false)"),"ALT_NUM_UOM4")</f>
        <v>ALT_NUM_UOM4</v>
      </c>
      <c r="I3123" s="136"/>
    </row>
    <row r="3124" ht="15.75" customHeight="1">
      <c r="B3124" s="63">
        <f t="shared" si="1"/>
        <v>18</v>
      </c>
      <c r="C3124" s="144" t="s">
        <v>159</v>
      </c>
      <c r="D3124" s="143" t="s">
        <v>74</v>
      </c>
      <c r="E3124" s="135">
        <f t="shared" si="59"/>
        <v>45</v>
      </c>
      <c r="F3124" s="134" t="s">
        <v>3816</v>
      </c>
      <c r="G3124" s="63" t="str">
        <f>VLOOKUP(C3124, 'Class Def. - General Data'!$C$20:$C$1000,1,false)</f>
        <v>ZPI1_POSM_MECHNDSE</v>
      </c>
      <c r="H3124" s="63" t="str">
        <f>IFERROR(__xludf.DUMMYFUNCTION("VLOOKUP(F3124, IMPORTRANGE(""https://docs.google.com/spreadsheets/d/1Lhp9OU0JdFf_VYSMzH5lBcEaU4o8teT1piV-SNzShjg/edit?gid=554141278#gid=554141278"", ""'Char Def. - Attributes'!C20:C2242""), 1,false)"),"ALT_UOM5_SIPI")</f>
        <v>ALT_UOM5_SIPI</v>
      </c>
      <c r="I3124" s="136"/>
    </row>
    <row r="3125" ht="15.75" customHeight="1">
      <c r="B3125" s="63">
        <f t="shared" si="1"/>
        <v>18</v>
      </c>
      <c r="C3125" s="144" t="s">
        <v>159</v>
      </c>
      <c r="D3125" s="143" t="s">
        <v>74</v>
      </c>
      <c r="E3125" s="135">
        <f t="shared" si="59"/>
        <v>46</v>
      </c>
      <c r="F3125" s="134" t="s">
        <v>3817</v>
      </c>
      <c r="G3125" s="63" t="str">
        <f>VLOOKUP(C3125, 'Class Def. - General Data'!$C$20:$C$1000,1,false)</f>
        <v>ZPI1_POSM_MECHNDSE</v>
      </c>
      <c r="H3125" s="63" t="str">
        <f>IFERROR(__xludf.DUMMYFUNCTION("VLOOKUP(F3125, IMPORTRANGE(""https://docs.google.com/spreadsheets/d/1Lhp9OU0JdFf_VYSMzH5lBcEaU4o8teT1piV-SNzShjg/edit?gid=554141278#gid=554141278"", ""'Char Def. - Attributes'!C20:C2242""), 1,false)"),"ALT_DENUM_UOM5")</f>
        <v>ALT_DENUM_UOM5</v>
      </c>
      <c r="I3125" s="136"/>
    </row>
    <row r="3126" ht="15.75" customHeight="1">
      <c r="B3126" s="63">
        <f t="shared" si="1"/>
        <v>18</v>
      </c>
      <c r="C3126" s="144" t="s">
        <v>159</v>
      </c>
      <c r="D3126" s="143" t="s">
        <v>74</v>
      </c>
      <c r="E3126" s="135">
        <f t="shared" si="59"/>
        <v>47</v>
      </c>
      <c r="F3126" s="134" t="s">
        <v>3818</v>
      </c>
      <c r="G3126" s="63" t="str">
        <f>VLOOKUP(C3126, 'Class Def. - General Data'!$C$20:$C$1000,1,false)</f>
        <v>ZPI1_POSM_MECHNDSE</v>
      </c>
      <c r="H3126" s="63" t="str">
        <f>IFERROR(__xludf.DUMMYFUNCTION("VLOOKUP(F3126, IMPORTRANGE(""https://docs.google.com/spreadsheets/d/1Lhp9OU0JdFf_VYSMzH5lBcEaU4o8teT1piV-SNzShjg/edit?gid=554141278#gid=554141278"", ""'Char Def. - Attributes'!C20:C2242""), 1,false)"),"ALT_NUM_UOM5")</f>
        <v>ALT_NUM_UOM5</v>
      </c>
      <c r="I3126" s="136"/>
    </row>
    <row r="3127" ht="15.75" customHeight="1">
      <c r="B3127" s="63">
        <f t="shared" si="1"/>
        <v>18</v>
      </c>
      <c r="C3127" s="144" t="s">
        <v>162</v>
      </c>
      <c r="D3127" s="143" t="s">
        <v>74</v>
      </c>
      <c r="E3127" s="135">
        <f t="shared" si="59"/>
        <v>1</v>
      </c>
      <c r="F3127" s="135" t="s">
        <v>3847</v>
      </c>
      <c r="G3127" s="63" t="str">
        <f>VLOOKUP(C3127, 'Class Def. - General Data'!$C$20:$C$1000,1,false)</f>
        <v>ZPI1_SIGNAGE_LABEL</v>
      </c>
      <c r="H3127" s="63" t="str">
        <f>IFERROR(__xludf.DUMMYFUNCTION("VLOOKUP(F3127, IMPORTRANGE(""https://docs.google.com/spreadsheets/d/1Lhp9OU0JdFf_VYSMzH5lBcEaU4o8teT1piV-SNzShjg/edit?gid=554141278#gid=554141278"", ""'Char Def. - Attributes'!C20:C2242""), 1,false)"),"ITEM_NAME_SIGNAGE_LABEL")</f>
        <v>ITEM_NAME_SIGNAGE_LABEL</v>
      </c>
      <c r="I3127" s="136"/>
    </row>
    <row r="3128" ht="15.75" customHeight="1">
      <c r="B3128" s="63">
        <f t="shared" si="1"/>
        <v>18</v>
      </c>
      <c r="C3128" s="144" t="s">
        <v>162</v>
      </c>
      <c r="D3128" s="143" t="s">
        <v>74</v>
      </c>
      <c r="E3128" s="135">
        <f t="shared" si="59"/>
        <v>2</v>
      </c>
      <c r="F3128" s="134" t="s">
        <v>3778</v>
      </c>
      <c r="G3128" s="63" t="str">
        <f>VLOOKUP(C3128, 'Class Def. - General Data'!$C$20:$C$1000,1,false)</f>
        <v>ZPI1_SIGNAGE_LABEL</v>
      </c>
      <c r="H3128" s="63" t="str">
        <f>IFERROR(__xludf.DUMMYFUNCTION("VLOOKUP(F3128, IMPORTRANGE(""https://docs.google.com/spreadsheets/d/1Lhp9OU0JdFf_VYSMzH5lBcEaU4o8teT1piV-SNzShjg/edit?gid=554141278#gid=554141278"", ""'Char Def. - Attributes'!C20:C2242""), 1,false)"),"SPECIAL_ACTIVITY")</f>
        <v>SPECIAL_ACTIVITY</v>
      </c>
      <c r="I3128" s="136"/>
    </row>
    <row r="3129" ht="15.75" customHeight="1">
      <c r="B3129" s="63">
        <f t="shared" si="1"/>
        <v>18</v>
      </c>
      <c r="C3129" s="144" t="s">
        <v>162</v>
      </c>
      <c r="D3129" s="143" t="s">
        <v>74</v>
      </c>
      <c r="E3129" s="135">
        <f t="shared" si="59"/>
        <v>3</v>
      </c>
      <c r="F3129" s="135" t="s">
        <v>3779</v>
      </c>
      <c r="G3129" s="63" t="str">
        <f>VLOOKUP(C3129, 'Class Def. - General Data'!$C$20:$C$1000,1,false)</f>
        <v>ZPI1_SIGNAGE_LABEL</v>
      </c>
      <c r="H3129" s="63" t="str">
        <f>IFERROR(__xludf.DUMMYFUNCTION("VLOOKUP(F3129, IMPORTRANGE(""https://docs.google.com/spreadsheets/d/1Lhp9OU0JdFf_VYSMzH5lBcEaU4o8teT1piV-SNzShjg/edit?gid=554141278#gid=554141278"", ""'Char Def. - Attributes'!C20:C2242""), 1,false)"),"EMBOSSED_BRAND_WINGS")</f>
        <v>EMBOSSED_BRAND_WINGS</v>
      </c>
      <c r="I3129" s="136"/>
    </row>
    <row r="3130" ht="15.75" customHeight="1">
      <c r="B3130" s="63">
        <f t="shared" si="1"/>
        <v>18</v>
      </c>
      <c r="C3130" s="144" t="s">
        <v>162</v>
      </c>
      <c r="D3130" s="143" t="s">
        <v>74</v>
      </c>
      <c r="E3130" s="135">
        <f t="shared" si="59"/>
        <v>4</v>
      </c>
      <c r="F3130" s="135" t="s">
        <v>3780</v>
      </c>
      <c r="G3130" s="63" t="str">
        <f>VLOOKUP(C3130, 'Class Def. - General Data'!$C$20:$C$1000,1,false)</f>
        <v>ZPI1_SIGNAGE_LABEL</v>
      </c>
      <c r="H3130" s="63" t="str">
        <f>IFERROR(__xludf.DUMMYFUNCTION("VLOOKUP(F3130, IMPORTRANGE(""https://docs.google.com/spreadsheets/d/1Lhp9OU0JdFf_VYSMzH5lBcEaU4o8teT1piV-SNzShjg/edit?gid=554141278#gid=554141278"", ""'Char Def. - Attributes'!C20:C2242""), 1,false)"),"BRAND_WINGS_SIPI")</f>
        <v>BRAND_WINGS_SIPI</v>
      </c>
      <c r="I3130" s="136"/>
    </row>
    <row r="3131" ht="15.75" customHeight="1">
      <c r="B3131" s="63">
        <f t="shared" si="1"/>
        <v>18</v>
      </c>
      <c r="C3131" s="144" t="s">
        <v>162</v>
      </c>
      <c r="D3131" s="143" t="s">
        <v>74</v>
      </c>
      <c r="E3131" s="135">
        <f t="shared" si="59"/>
        <v>5</v>
      </c>
      <c r="F3131" s="134" t="s">
        <v>3781</v>
      </c>
      <c r="G3131" s="63" t="str">
        <f>VLOOKUP(C3131, 'Class Def. - General Data'!$C$20:$C$1000,1,false)</f>
        <v>ZPI1_SIGNAGE_LABEL</v>
      </c>
      <c r="H3131" s="63" t="str">
        <f>IFERROR(__xludf.DUMMYFUNCTION("VLOOKUP(F3131, IMPORTRANGE(""https://docs.google.com/spreadsheets/d/1Lhp9OU0JdFf_VYSMzH5lBcEaU4o8teT1piV-SNzShjg/edit?gid=554141278#gid=554141278"", ""'Char Def. - Attributes'!C20:C2242""), 1,false)"),"EXTERNAL_BRAND")</f>
        <v>EXTERNAL_BRAND</v>
      </c>
      <c r="I3131" s="136"/>
    </row>
    <row r="3132" ht="15.75" customHeight="1">
      <c r="B3132" s="63">
        <f t="shared" si="1"/>
        <v>18</v>
      </c>
      <c r="C3132" s="144" t="s">
        <v>162</v>
      </c>
      <c r="D3132" s="143" t="s">
        <v>74</v>
      </c>
      <c r="E3132" s="135">
        <f t="shared" si="59"/>
        <v>6</v>
      </c>
      <c r="F3132" s="134" t="s">
        <v>3782</v>
      </c>
      <c r="G3132" s="63" t="str">
        <f>VLOOKUP(C3132, 'Class Def. - General Data'!$C$20:$C$1000,1,false)</f>
        <v>ZPI1_SIGNAGE_LABEL</v>
      </c>
      <c r="H3132" s="63" t="str">
        <f>IFERROR(__xludf.DUMMYFUNCTION("VLOOKUP(F3132, IMPORTRANGE(""https://docs.google.com/spreadsheets/d/1Lhp9OU0JdFf_VYSMzH5lBcEaU4o8teT1piV-SNzShjg/edit?gid=554141278#gid=554141278"", ""'Char Def. - Attributes'!C20:C2242""), 1,false)"),"BRAND_EXTERNAL")</f>
        <v>BRAND_EXTERNAL</v>
      </c>
      <c r="I3132" s="136"/>
    </row>
    <row r="3133" ht="15.75" customHeight="1">
      <c r="B3133" s="63">
        <f t="shared" si="1"/>
        <v>18</v>
      </c>
      <c r="C3133" s="144" t="s">
        <v>162</v>
      </c>
      <c r="D3133" s="143" t="s">
        <v>74</v>
      </c>
      <c r="E3133" s="135">
        <f t="shared" si="59"/>
        <v>7</v>
      </c>
      <c r="F3133" s="134" t="s">
        <v>3783</v>
      </c>
      <c r="G3133" s="63" t="str">
        <f>VLOOKUP(C3133, 'Class Def. - General Data'!$C$20:$C$1000,1,false)</f>
        <v>ZPI1_SIGNAGE_LABEL</v>
      </c>
      <c r="H3133" s="63" t="str">
        <f>IFERROR(__xludf.DUMMYFUNCTION("VLOOKUP(F3133, IMPORTRANGE(""https://docs.google.com/spreadsheets/d/1Lhp9OU0JdFf_VYSMzH5lBcEaU4o8teT1piV-SNzShjg/edit?gid=554141278#gid=554141278"", ""'Char Def. - Attributes'!C20:C2242""), 1,false)"),"NO_SERI_BRAND_EXTERNAL")</f>
        <v>NO_SERI_BRAND_EXTERNAL</v>
      </c>
      <c r="I3133" s="136"/>
    </row>
    <row r="3134" ht="15.75" customHeight="1">
      <c r="B3134" s="63">
        <f t="shared" si="1"/>
        <v>18</v>
      </c>
      <c r="C3134" s="144" t="s">
        <v>162</v>
      </c>
      <c r="D3134" s="143" t="s">
        <v>74</v>
      </c>
      <c r="E3134" s="135">
        <f t="shared" si="59"/>
        <v>8</v>
      </c>
      <c r="F3134" s="135" t="s">
        <v>3848</v>
      </c>
      <c r="G3134" s="63" t="str">
        <f>VLOOKUP(C3134, 'Class Def. - General Data'!$C$20:$C$1000,1,false)</f>
        <v>ZPI1_SIGNAGE_LABEL</v>
      </c>
      <c r="H3134" s="63" t="str">
        <f>IFERROR(__xludf.DUMMYFUNCTION("VLOOKUP(F3134, IMPORTRANGE(""https://docs.google.com/spreadsheets/d/1Lhp9OU0JdFf_VYSMzH5lBcEaU4o8teT1piV-SNzShjg/edit?gid=554141278#gid=554141278"", ""'Char Def. - Attributes'!C20:C2242""), 1,false)"),"MATERIAL_SIGNAGE_LABEL")</f>
        <v>MATERIAL_SIGNAGE_LABEL</v>
      </c>
      <c r="I3134" s="136"/>
    </row>
    <row r="3135" ht="15.75" customHeight="1">
      <c r="B3135" s="63">
        <f t="shared" si="1"/>
        <v>18</v>
      </c>
      <c r="C3135" s="144" t="s">
        <v>162</v>
      </c>
      <c r="D3135" s="143" t="s">
        <v>74</v>
      </c>
      <c r="E3135" s="135">
        <f t="shared" si="59"/>
        <v>9</v>
      </c>
      <c r="F3135" s="134" t="s">
        <v>3785</v>
      </c>
      <c r="G3135" s="63" t="str">
        <f>VLOOKUP(C3135, 'Class Def. - General Data'!$C$20:$C$1000,1,false)</f>
        <v>ZPI1_SIGNAGE_LABEL</v>
      </c>
      <c r="H3135" s="63" t="str">
        <f>IFERROR(__xludf.DUMMYFUNCTION("VLOOKUP(F3135, IMPORTRANGE(""https://docs.google.com/spreadsheets/d/1Lhp9OU0JdFf_VYSMzH5lBcEaU4o8teT1piV-SNzShjg/edit?gid=554141278#gid=554141278"", ""'Char Def. - Attributes'!C20:C2242""), 1,false)"),"ITEM_SHAPE")</f>
        <v>ITEM_SHAPE</v>
      </c>
      <c r="I3135" s="136"/>
    </row>
    <row r="3136" ht="15.75" customHeight="1">
      <c r="B3136" s="63">
        <f t="shared" si="1"/>
        <v>18</v>
      </c>
      <c r="C3136" s="144" t="s">
        <v>162</v>
      </c>
      <c r="D3136" s="143" t="s">
        <v>74</v>
      </c>
      <c r="E3136" s="135">
        <f t="shared" si="59"/>
        <v>10</v>
      </c>
      <c r="F3136" s="134" t="s">
        <v>3786</v>
      </c>
      <c r="G3136" s="63" t="str">
        <f>VLOOKUP(C3136, 'Class Def. - General Data'!$C$20:$C$1000,1,false)</f>
        <v>ZPI1_SIGNAGE_LABEL</v>
      </c>
      <c r="H3136" s="63" t="str">
        <f>IFERROR(__xludf.DUMMYFUNCTION("VLOOKUP(F3136, IMPORTRANGE(""https://docs.google.com/spreadsheets/d/1Lhp9OU0JdFf_VYSMzH5lBcEaU4o8teT1piV-SNzShjg/edit?gid=554141278#gid=554141278"", ""'Char Def. - Attributes'!C20:C2242""), 1,false)"),"SIZE_UNIT_DIMENSI")</f>
        <v>SIZE_UNIT_DIMENSI</v>
      </c>
      <c r="I3136" s="136"/>
    </row>
    <row r="3137" ht="15.75" customHeight="1">
      <c r="B3137" s="63">
        <f t="shared" si="1"/>
        <v>18</v>
      </c>
      <c r="C3137" s="144" t="s">
        <v>162</v>
      </c>
      <c r="D3137" s="143" t="s">
        <v>74</v>
      </c>
      <c r="E3137" s="135">
        <f t="shared" si="59"/>
        <v>11</v>
      </c>
      <c r="F3137" s="135" t="s">
        <v>3787</v>
      </c>
      <c r="G3137" s="63" t="str">
        <f>VLOOKUP(C3137, 'Class Def. - General Data'!$C$20:$C$1000,1,false)</f>
        <v>ZPI1_SIGNAGE_LABEL</v>
      </c>
      <c r="H3137" s="63" t="str">
        <f>IFERROR(__xludf.DUMMYFUNCTION("VLOOKUP(F3137, IMPORTRANGE(""https://docs.google.com/spreadsheets/d/1Lhp9OU0JdFf_VYSMzH5lBcEaU4o8teT1piV-SNzShjg/edit?gid=554141278#gid=554141278"", ""'Char Def. - Attributes'!C20:C2242""), 1,false)"),"DIAMETER_PCS")</f>
        <v>DIAMETER_PCS</v>
      </c>
      <c r="I3137" s="136"/>
    </row>
    <row r="3138" ht="15.75" customHeight="1">
      <c r="B3138" s="63">
        <f t="shared" si="1"/>
        <v>18</v>
      </c>
      <c r="C3138" s="144" t="s">
        <v>162</v>
      </c>
      <c r="D3138" s="143" t="s">
        <v>74</v>
      </c>
      <c r="E3138" s="135">
        <f t="shared" si="59"/>
        <v>12</v>
      </c>
      <c r="F3138" s="134" t="s">
        <v>3788</v>
      </c>
      <c r="G3138" s="63" t="str">
        <f>VLOOKUP(C3138, 'Class Def. - General Data'!$C$20:$C$1000,1,false)</f>
        <v>ZPI1_SIGNAGE_LABEL</v>
      </c>
      <c r="H3138" s="63" t="str">
        <f>IFERROR(__xludf.DUMMYFUNCTION("VLOOKUP(F3138, IMPORTRANGE(""https://docs.google.com/spreadsheets/d/1Lhp9OU0JdFf_VYSMzH5lBcEaU4o8teT1piV-SNzShjg/edit?gid=554141278#gid=554141278"", ""'Char Def. - Attributes'!C20:C2242""), 1,false)"),"LENGTH_PCS")</f>
        <v>LENGTH_PCS</v>
      </c>
      <c r="I3138" s="136"/>
    </row>
    <row r="3139" ht="15.75" customHeight="1">
      <c r="B3139" s="63">
        <f t="shared" si="1"/>
        <v>18</v>
      </c>
      <c r="C3139" s="144" t="s">
        <v>162</v>
      </c>
      <c r="D3139" s="143" t="s">
        <v>74</v>
      </c>
      <c r="E3139" s="135">
        <f t="shared" si="59"/>
        <v>13</v>
      </c>
      <c r="F3139" s="134" t="s">
        <v>3789</v>
      </c>
      <c r="G3139" s="63" t="str">
        <f>VLOOKUP(C3139, 'Class Def. - General Data'!$C$20:$C$1000,1,false)</f>
        <v>ZPI1_SIGNAGE_LABEL</v>
      </c>
      <c r="H3139" s="63" t="str">
        <f>IFERROR(__xludf.DUMMYFUNCTION("VLOOKUP(F3139, IMPORTRANGE(""https://docs.google.com/spreadsheets/d/1Lhp9OU0JdFf_VYSMzH5lBcEaU4o8teT1piV-SNzShjg/edit?gid=554141278#gid=554141278"", ""'Char Def. - Attributes'!C20:C2242""), 1,false)"),"WIDTH_PCS")</f>
        <v>WIDTH_PCS</v>
      </c>
      <c r="I3139" s="136"/>
    </row>
    <row r="3140" ht="15.75" customHeight="1">
      <c r="B3140" s="63">
        <f t="shared" si="1"/>
        <v>18</v>
      </c>
      <c r="C3140" s="144" t="s">
        <v>162</v>
      </c>
      <c r="D3140" s="143" t="s">
        <v>74</v>
      </c>
      <c r="E3140" s="135">
        <f t="shared" si="59"/>
        <v>14</v>
      </c>
      <c r="F3140" s="134" t="s">
        <v>3790</v>
      </c>
      <c r="G3140" s="63" t="str">
        <f>VLOOKUP(C3140, 'Class Def. - General Data'!$C$20:$C$1000,1,false)</f>
        <v>ZPI1_SIGNAGE_LABEL</v>
      </c>
      <c r="H3140" s="63" t="str">
        <f>IFERROR(__xludf.DUMMYFUNCTION("VLOOKUP(F3140, IMPORTRANGE(""https://docs.google.com/spreadsheets/d/1Lhp9OU0JdFf_VYSMzH5lBcEaU4o8teT1piV-SNzShjg/edit?gid=554141278#gid=554141278"", ""'Char Def. - Attributes'!C20:C2242""), 1,false)"),"HEIGHT_PCS")</f>
        <v>HEIGHT_PCS</v>
      </c>
      <c r="I3140" s="136"/>
    </row>
    <row r="3141" ht="15.75" customHeight="1">
      <c r="B3141" s="63">
        <f t="shared" si="1"/>
        <v>18</v>
      </c>
      <c r="C3141" s="144" t="s">
        <v>162</v>
      </c>
      <c r="D3141" s="143" t="s">
        <v>74</v>
      </c>
      <c r="E3141" s="135">
        <f t="shared" si="59"/>
        <v>15</v>
      </c>
      <c r="F3141" s="134" t="s">
        <v>3791</v>
      </c>
      <c r="G3141" s="63" t="str">
        <f>VLOOKUP(C3141, 'Class Def. - General Data'!$C$20:$C$1000,1,false)</f>
        <v>ZPI1_SIGNAGE_LABEL</v>
      </c>
      <c r="H3141" s="63" t="str">
        <f>IFERROR(__xludf.DUMMYFUNCTION("VLOOKUP(F3141, IMPORTRANGE(""https://docs.google.com/spreadsheets/d/1Lhp9OU0JdFf_VYSMzH5lBcEaU4o8teT1piV-SNzShjg/edit?gid=554141278#gid=554141278"", ""'Char Def. - Attributes'!C20:C2242""), 1,false)"),"HAS_SPESIFIC_COLOUR")</f>
        <v>HAS_SPESIFIC_COLOUR</v>
      </c>
      <c r="I3141" s="136"/>
    </row>
    <row r="3142" ht="15.75" customHeight="1">
      <c r="B3142" s="63">
        <f t="shared" si="1"/>
        <v>18</v>
      </c>
      <c r="C3142" s="144" t="s">
        <v>162</v>
      </c>
      <c r="D3142" s="143" t="s">
        <v>74</v>
      </c>
      <c r="E3142" s="135">
        <f t="shared" si="59"/>
        <v>16</v>
      </c>
      <c r="F3142" s="134" t="s">
        <v>3792</v>
      </c>
      <c r="G3142" s="63" t="str">
        <f>VLOOKUP(C3142, 'Class Def. - General Data'!$C$20:$C$1000,1,false)</f>
        <v>ZPI1_SIGNAGE_LABEL</v>
      </c>
      <c r="H3142" s="63" t="str">
        <f>IFERROR(__xludf.DUMMYFUNCTION("VLOOKUP(F3142, IMPORTRANGE(""https://docs.google.com/spreadsheets/d/1Lhp9OU0JdFf_VYSMzH5lBcEaU4o8teT1piV-SNzShjg/edit?gid=554141278#gid=554141278"", ""'Char Def. - Attributes'!C20:C2242""), 1,false)"),"COLOUR")</f>
        <v>COLOUR</v>
      </c>
      <c r="I3142" s="136"/>
    </row>
    <row r="3143" ht="15.75" customHeight="1">
      <c r="B3143" s="63">
        <f t="shared" si="1"/>
        <v>18</v>
      </c>
      <c r="C3143" s="144" t="s">
        <v>162</v>
      </c>
      <c r="D3143" s="143" t="s">
        <v>74</v>
      </c>
      <c r="E3143" s="135">
        <f t="shared" si="59"/>
        <v>17</v>
      </c>
      <c r="F3143" s="134" t="s">
        <v>3793</v>
      </c>
      <c r="G3143" s="63" t="str">
        <f>VLOOKUP(C3143, 'Class Def. - General Data'!$C$20:$C$1000,1,false)</f>
        <v>ZPI1_SIGNAGE_LABEL</v>
      </c>
      <c r="H3143" s="63" t="str">
        <f>IFERROR(__xludf.DUMMYFUNCTION("VLOOKUP(F3143, IMPORTRANGE(""https://docs.google.com/spreadsheets/d/1Lhp9OU0JdFf_VYSMzH5lBcEaU4o8teT1piV-SNzShjg/edit?gid=554141278#gid=554141278"", ""'Char Def. - Attributes'!C20:C2242""), 1,false)"),"EMBOSSED_SPESIFIC_DESAIN")</f>
        <v>EMBOSSED_SPESIFIC_DESAIN</v>
      </c>
      <c r="I3143" s="136"/>
    </row>
    <row r="3144" ht="15.75" customHeight="1">
      <c r="B3144" s="63">
        <f t="shared" si="1"/>
        <v>18</v>
      </c>
      <c r="C3144" s="144" t="s">
        <v>162</v>
      </c>
      <c r="D3144" s="143" t="s">
        <v>74</v>
      </c>
      <c r="E3144" s="135">
        <f t="shared" si="59"/>
        <v>18</v>
      </c>
      <c r="F3144" s="134" t="s">
        <v>3794</v>
      </c>
      <c r="G3144" s="63" t="str">
        <f>VLOOKUP(C3144, 'Class Def. - General Data'!$C$20:$C$1000,1,false)</f>
        <v>ZPI1_SIGNAGE_LABEL</v>
      </c>
      <c r="H3144" s="63" t="str">
        <f>IFERROR(__xludf.DUMMYFUNCTION("VLOOKUP(F3144, IMPORTRANGE(""https://docs.google.com/spreadsheets/d/1Lhp9OU0JdFf_VYSMzH5lBcEaU4o8teT1piV-SNzShjg/edit?gid=554141278#gid=554141278"", ""'Char Def. - Attributes'!C20:C2242""), 1,false)"),"DESAIN_NAME")</f>
        <v>DESAIN_NAME</v>
      </c>
      <c r="I3144" s="136"/>
    </row>
    <row r="3145" ht="15.75" customHeight="1">
      <c r="B3145" s="63">
        <f t="shared" si="1"/>
        <v>18</v>
      </c>
      <c r="C3145" s="144" t="s">
        <v>162</v>
      </c>
      <c r="D3145" s="143" t="s">
        <v>74</v>
      </c>
      <c r="E3145" s="135">
        <f t="shared" si="59"/>
        <v>19</v>
      </c>
      <c r="F3145" s="134" t="s">
        <v>3795</v>
      </c>
      <c r="G3145" s="63" t="str">
        <f>VLOOKUP(C3145, 'Class Def. - General Data'!$C$20:$C$1000,1,false)</f>
        <v>ZPI1_SIGNAGE_LABEL</v>
      </c>
      <c r="H3145" s="63" t="str">
        <f>IFERROR(__xludf.DUMMYFUNCTION("VLOOKUP(F3145, IMPORTRANGE(""https://docs.google.com/spreadsheets/d/1Lhp9OU0JdFf_VYSMzH5lBcEaU4o8teT1piV-SNzShjg/edit?gid=554141278#gid=554141278"", ""'Char Def. - Attributes'!C20:C2242""), 1,false)"),"DESAIN_MONTH")</f>
        <v>DESAIN_MONTH</v>
      </c>
      <c r="I3145" s="136"/>
    </row>
    <row r="3146" ht="15.75" customHeight="1">
      <c r="B3146" s="63">
        <f t="shared" si="1"/>
        <v>18</v>
      </c>
      <c r="C3146" s="144" t="s">
        <v>162</v>
      </c>
      <c r="D3146" s="143" t="s">
        <v>74</v>
      </c>
      <c r="E3146" s="135">
        <f t="shared" si="59"/>
        <v>20</v>
      </c>
      <c r="F3146" s="134" t="s">
        <v>3796</v>
      </c>
      <c r="G3146" s="63" t="str">
        <f>VLOOKUP(C3146, 'Class Def. - General Data'!$C$20:$C$1000,1,false)</f>
        <v>ZPI1_SIGNAGE_LABEL</v>
      </c>
      <c r="H3146" s="63" t="str">
        <f>IFERROR(__xludf.DUMMYFUNCTION("VLOOKUP(F3146, IMPORTRANGE(""https://docs.google.com/spreadsheets/d/1Lhp9OU0JdFf_VYSMzH5lBcEaU4o8teT1piV-SNzShjg/edit?gid=554141278#gid=554141278"", ""'Char Def. - Attributes'!C20:C2242""), 1,false)"),"DESAIN_YEAR")</f>
        <v>DESAIN_YEAR</v>
      </c>
      <c r="I3146" s="136"/>
    </row>
    <row r="3147" ht="15.75" customHeight="1">
      <c r="B3147" s="63">
        <f t="shared" si="1"/>
        <v>18</v>
      </c>
      <c r="C3147" s="144" t="s">
        <v>162</v>
      </c>
      <c r="D3147" s="143" t="s">
        <v>74</v>
      </c>
      <c r="E3147" s="135">
        <f t="shared" si="59"/>
        <v>21</v>
      </c>
      <c r="F3147" s="134" t="s">
        <v>3797</v>
      </c>
      <c r="G3147" s="63" t="str">
        <f>VLOOKUP(C3147, 'Class Def. - General Data'!$C$20:$C$1000,1,false)</f>
        <v>ZPI1_SIGNAGE_LABEL</v>
      </c>
      <c r="H3147" s="63" t="str">
        <f>IFERROR(__xludf.DUMMYFUNCTION("VLOOKUP(F3147, IMPORTRANGE(""https://docs.google.com/spreadsheets/d/1Lhp9OU0JdFf_VYSMzH5lBcEaU4o8teT1piV-SNzShjg/edit?gid=554141278#gid=554141278"", ""'Char Def. - Attributes'!C20:C2242""), 1,false)"),"SPEC_QTY_IN_ONE_BUNDLE")</f>
        <v>SPEC_QTY_IN_ONE_BUNDLE</v>
      </c>
      <c r="I3147" s="136"/>
    </row>
    <row r="3148" ht="15.75" customHeight="1">
      <c r="B3148" s="63">
        <f t="shared" si="1"/>
        <v>18</v>
      </c>
      <c r="C3148" s="144" t="s">
        <v>162</v>
      </c>
      <c r="D3148" s="143" t="s">
        <v>74</v>
      </c>
      <c r="E3148" s="135">
        <f t="shared" si="59"/>
        <v>22</v>
      </c>
      <c r="F3148" s="134" t="s">
        <v>3798</v>
      </c>
      <c r="G3148" s="63" t="str">
        <f>VLOOKUP(C3148, 'Class Def. - General Data'!$C$20:$C$1000,1,false)</f>
        <v>ZPI1_SIGNAGE_LABEL</v>
      </c>
      <c r="H3148" s="63" t="str">
        <f>IFERROR(__xludf.DUMMYFUNCTION("VLOOKUP(F3148, IMPORTRANGE(""https://docs.google.com/spreadsheets/d/1Lhp9OU0JdFf_VYSMzH5lBcEaU4o8teT1piV-SNzShjg/edit?gid=554141278#gid=554141278"", ""'Char Def. - Attributes'!C20:C2242""), 1,false)"),"QTY_IN_ONE_BUNDLE")</f>
        <v>QTY_IN_ONE_BUNDLE</v>
      </c>
      <c r="I3148" s="136"/>
    </row>
    <row r="3149" ht="15.75" customHeight="1">
      <c r="B3149" s="63">
        <f t="shared" si="1"/>
        <v>18</v>
      </c>
      <c r="C3149" s="144" t="s">
        <v>162</v>
      </c>
      <c r="D3149" s="143" t="s">
        <v>74</v>
      </c>
      <c r="E3149" s="135">
        <f t="shared" si="59"/>
        <v>23</v>
      </c>
      <c r="F3149" s="134" t="s">
        <v>3585</v>
      </c>
      <c r="G3149" s="63" t="str">
        <f>VLOOKUP(C3149, 'Class Def. - General Data'!$C$20:$C$1000,1,false)</f>
        <v>ZPI1_SIGNAGE_LABEL</v>
      </c>
      <c r="H3149" s="63" t="str">
        <f>IFERROR(__xludf.DUMMYFUNCTION("VLOOKUP(F3149, IMPORTRANGE(""https://docs.google.com/spreadsheets/d/1Lhp9OU0JdFf_VYSMzH5lBcEaU4o8teT1piV-SNzShjg/edit?gid=554141278#gid=554141278"", ""'Char Def. - Attributes'!C20:C2242""), 1,false)"),"HS_CODE")</f>
        <v>HS_CODE</v>
      </c>
      <c r="I3149" s="136"/>
    </row>
    <row r="3150" ht="15.75" customHeight="1">
      <c r="B3150" s="63">
        <f t="shared" si="1"/>
        <v>18</v>
      </c>
      <c r="C3150" s="144" t="s">
        <v>162</v>
      </c>
      <c r="D3150" s="143" t="s">
        <v>74</v>
      </c>
      <c r="E3150" s="135">
        <f t="shared" si="59"/>
        <v>24</v>
      </c>
      <c r="F3150" s="134" t="s">
        <v>3799</v>
      </c>
      <c r="G3150" s="63" t="str">
        <f>VLOOKUP(C3150, 'Class Def. - General Data'!$C$20:$C$1000,1,false)</f>
        <v>ZPI1_SIGNAGE_LABEL</v>
      </c>
      <c r="H3150" s="63" t="str">
        <f>IFERROR(__xludf.DUMMYFUNCTION("VLOOKUP(F3150, IMPORTRANGE(""https://docs.google.com/spreadsheets/d/1Lhp9OU0JdFf_VYSMzH5lBcEaU4o8teT1piV-SNzShjg/edit?gid=554141278#gid=554141278"", ""'Char Def. - Attributes'!C20:C2242""), 1,false)"),"BASE_UNIT_ZPI1")</f>
        <v>BASE_UNIT_ZPI1</v>
      </c>
      <c r="I3150" s="136"/>
    </row>
    <row r="3151" ht="15.75" customHeight="1">
      <c r="B3151" s="63">
        <f t="shared" si="1"/>
        <v>18</v>
      </c>
      <c r="C3151" s="144" t="s">
        <v>162</v>
      </c>
      <c r="D3151" s="143" t="s">
        <v>74</v>
      </c>
      <c r="E3151" s="135">
        <f t="shared" si="59"/>
        <v>25</v>
      </c>
      <c r="F3151" s="135" t="s">
        <v>3800</v>
      </c>
      <c r="G3151" s="63" t="str">
        <f>VLOOKUP(C3151, 'Class Def. - General Data'!$C$20:$C$1000,1,false)</f>
        <v>ZPI1_SIGNAGE_LABEL</v>
      </c>
      <c r="H3151" s="63" t="str">
        <f>IFERROR(__xludf.DUMMYFUNCTION("VLOOKUP(F3151, IMPORTRANGE(""https://docs.google.com/spreadsheets/d/1Lhp9OU0JdFf_VYSMzH5lBcEaU4o8teT1piV-SNzShjg/edit?gid=554141278#gid=554141278"", ""'Char Def. - Attributes'!C20:C2242""), 1,false)"),"ORDER_UNIT_DIFF_FROM_BASIC_UOM")</f>
        <v>ORDER_UNIT_DIFF_FROM_BASIC_UOM</v>
      </c>
      <c r="I3151" s="136"/>
    </row>
    <row r="3152" ht="15.75" customHeight="1">
      <c r="B3152" s="63">
        <f t="shared" si="1"/>
        <v>18</v>
      </c>
      <c r="C3152" s="144" t="s">
        <v>162</v>
      </c>
      <c r="D3152" s="143" t="s">
        <v>74</v>
      </c>
      <c r="E3152" s="135">
        <f t="shared" si="59"/>
        <v>26</v>
      </c>
      <c r="F3152" s="135" t="s">
        <v>3801</v>
      </c>
      <c r="G3152" s="63" t="str">
        <f>VLOOKUP(C3152, 'Class Def. - General Data'!$C$20:$C$1000,1,false)</f>
        <v>ZPI1_SIGNAGE_LABEL</v>
      </c>
      <c r="H3152" s="63" t="str">
        <f>IFERROR(__xludf.DUMMYFUNCTION("VLOOKUP(F3152, IMPORTRANGE(""https://docs.google.com/spreadsheets/d/1Lhp9OU0JdFf_VYSMzH5lBcEaU4o8teT1piV-SNzShjg/edit?gid=554141278#gid=554141278"", ""'Char Def. - Attributes'!C20:C2242""), 1,false)"),"ORDER_UNIT_ZPI1")</f>
        <v>ORDER_UNIT_ZPI1</v>
      </c>
      <c r="I3152" s="136"/>
    </row>
    <row r="3153" ht="15.75" customHeight="1">
      <c r="B3153" s="63">
        <f t="shared" si="1"/>
        <v>18</v>
      </c>
      <c r="C3153" s="144" t="s">
        <v>162</v>
      </c>
      <c r="D3153" s="143" t="s">
        <v>74</v>
      </c>
      <c r="E3153" s="135">
        <f t="shared" si="59"/>
        <v>27</v>
      </c>
      <c r="F3153" s="134" t="s">
        <v>3802</v>
      </c>
      <c r="G3153" s="63" t="str">
        <f>VLOOKUP(C3153, 'Class Def. - General Data'!$C$20:$C$1000,1,false)</f>
        <v>ZPI1_SIGNAGE_LABEL</v>
      </c>
      <c r="H3153" s="63" t="str">
        <f>IFERROR(__xludf.DUMMYFUNCTION("VLOOKUP(F3153, IMPORTRANGE(""https://docs.google.com/spreadsheets/d/1Lhp9OU0JdFf_VYSMzH5lBcEaU4o8teT1piV-SNzShjg/edit?gid=554141278#gid=554141278"", ""'Char Def. - Attributes'!C20:C2242""), 1,false)"),"WEIGHT_UNIT_PI")</f>
        <v>WEIGHT_UNIT_PI</v>
      </c>
      <c r="I3153" s="136"/>
    </row>
    <row r="3154" ht="15.75" customHeight="1">
      <c r="B3154" s="63">
        <f t="shared" si="1"/>
        <v>18</v>
      </c>
      <c r="C3154" s="144" t="s">
        <v>162</v>
      </c>
      <c r="D3154" s="143" t="s">
        <v>74</v>
      </c>
      <c r="E3154" s="135">
        <f t="shared" si="59"/>
        <v>28</v>
      </c>
      <c r="F3154" s="134" t="s">
        <v>3602</v>
      </c>
      <c r="G3154" s="63" t="str">
        <f>VLOOKUP(C3154, 'Class Def. - General Data'!$C$20:$C$1000,1,false)</f>
        <v>ZPI1_SIGNAGE_LABEL</v>
      </c>
      <c r="H3154" s="63" t="str">
        <f>IFERROR(__xludf.DUMMYFUNCTION("VLOOKUP(F3154, IMPORTRANGE(""https://docs.google.com/spreadsheets/d/1Lhp9OU0JdFf_VYSMzH5lBcEaU4o8teT1piV-SNzShjg/edit?gid=554141278#gid=554141278"", ""'Char Def. - Attributes'!C20:C2242""), 1,false)"),"NET_WEIGHT")</f>
        <v>NET_WEIGHT</v>
      </c>
      <c r="I3154" s="136"/>
    </row>
    <row r="3155" ht="15.75" customHeight="1">
      <c r="B3155" s="63">
        <f t="shared" si="1"/>
        <v>18</v>
      </c>
      <c r="C3155" s="144" t="s">
        <v>162</v>
      </c>
      <c r="D3155" s="143" t="s">
        <v>74</v>
      </c>
      <c r="E3155" s="135">
        <f t="shared" si="59"/>
        <v>29</v>
      </c>
      <c r="F3155" s="134" t="s">
        <v>3601</v>
      </c>
      <c r="G3155" s="63" t="str">
        <f>VLOOKUP(C3155, 'Class Def. - General Data'!$C$20:$C$1000,1,false)</f>
        <v>ZPI1_SIGNAGE_LABEL</v>
      </c>
      <c r="H3155" s="63" t="str">
        <f>IFERROR(__xludf.DUMMYFUNCTION("VLOOKUP(F3155, IMPORTRANGE(""https://docs.google.com/spreadsheets/d/1Lhp9OU0JdFf_VYSMzH5lBcEaU4o8teT1piV-SNzShjg/edit?gid=554141278#gid=554141278"", ""'Char Def. - Attributes'!C20:C2242""), 1,false)"),"GROSS_WEIGHT")</f>
        <v>GROSS_WEIGHT</v>
      </c>
      <c r="I3155" s="136"/>
    </row>
    <row r="3156" ht="15.75" customHeight="1">
      <c r="B3156" s="63">
        <f t="shared" si="1"/>
        <v>18</v>
      </c>
      <c r="C3156" s="144" t="s">
        <v>162</v>
      </c>
      <c r="D3156" s="143" t="s">
        <v>74</v>
      </c>
      <c r="E3156" s="135">
        <f t="shared" si="59"/>
        <v>30</v>
      </c>
      <c r="F3156" s="134" t="s">
        <v>3803</v>
      </c>
      <c r="G3156" s="63" t="str">
        <f>VLOOKUP(C3156, 'Class Def. - General Data'!$C$20:$C$1000,1,false)</f>
        <v>ZPI1_SIGNAGE_LABEL</v>
      </c>
      <c r="H3156" s="63" t="str">
        <f>IFERROR(__xludf.DUMMYFUNCTION("VLOOKUP(F3156, IMPORTRANGE(""https://docs.google.com/spreadsheets/d/1Lhp9OU0JdFf_VYSMzH5lBcEaU4o8teT1piV-SNzShjg/edit?gid=554141278#gid=554141278"", ""'Char Def. - Attributes'!C20:C2242""), 1,false)"),"VOLUME_UNIT_PI")</f>
        <v>VOLUME_UNIT_PI</v>
      </c>
      <c r="I3156" s="136"/>
    </row>
    <row r="3157" ht="15.75" customHeight="1">
      <c r="B3157" s="63">
        <f t="shared" si="1"/>
        <v>18</v>
      </c>
      <c r="C3157" s="144" t="s">
        <v>162</v>
      </c>
      <c r="D3157" s="143" t="s">
        <v>74</v>
      </c>
      <c r="E3157" s="135">
        <f t="shared" si="59"/>
        <v>31</v>
      </c>
      <c r="F3157" s="134" t="s">
        <v>3603</v>
      </c>
      <c r="G3157" s="63" t="str">
        <f>VLOOKUP(C3157, 'Class Def. - General Data'!$C$20:$C$1000,1,false)</f>
        <v>ZPI1_SIGNAGE_LABEL</v>
      </c>
      <c r="H3157" s="63" t="str">
        <f>IFERROR(__xludf.DUMMYFUNCTION("VLOOKUP(F3157, IMPORTRANGE(""https://docs.google.com/spreadsheets/d/1Lhp9OU0JdFf_VYSMzH5lBcEaU4o8teT1piV-SNzShjg/edit?gid=554141278#gid=554141278"", ""'Char Def. - Attributes'!C20:C2242""), 1,false)"),"VOLUME")</f>
        <v>VOLUME</v>
      </c>
      <c r="I3157" s="136"/>
    </row>
    <row r="3158" ht="15.75" customHeight="1">
      <c r="B3158" s="63">
        <f t="shared" si="1"/>
        <v>18</v>
      </c>
      <c r="C3158" s="144" t="s">
        <v>162</v>
      </c>
      <c r="D3158" s="143" t="s">
        <v>74</v>
      </c>
      <c r="E3158" s="135">
        <f t="shared" si="59"/>
        <v>32</v>
      </c>
      <c r="F3158" s="134" t="s">
        <v>3587</v>
      </c>
      <c r="G3158" s="63" t="str">
        <f>VLOOKUP(C3158, 'Class Def. - General Data'!$C$20:$C$1000,1,false)</f>
        <v>ZPI1_SIGNAGE_LABEL</v>
      </c>
      <c r="H3158" s="63" t="str">
        <f>IFERROR(__xludf.DUMMYFUNCTION("VLOOKUP(F3158, IMPORTRANGE(""https://docs.google.com/spreadsheets/d/1Lhp9OU0JdFf_VYSMzH5lBcEaU4o8teT1piV-SNzShjg/edit?gid=554141278#gid=554141278"", ""'Char Def. - Attributes'!C20:C2242""), 1,false)"),"PLANT_BUY")</f>
        <v>PLANT_BUY</v>
      </c>
      <c r="I3158" s="136"/>
    </row>
    <row r="3159" ht="15.75" customHeight="1">
      <c r="B3159" s="63">
        <f t="shared" si="1"/>
        <v>18</v>
      </c>
      <c r="C3159" s="144" t="s">
        <v>162</v>
      </c>
      <c r="D3159" s="143" t="s">
        <v>74</v>
      </c>
      <c r="E3159" s="135">
        <f t="shared" si="59"/>
        <v>33</v>
      </c>
      <c r="F3159" s="134" t="s">
        <v>3804</v>
      </c>
      <c r="G3159" s="63" t="str">
        <f>VLOOKUP(C3159, 'Class Def. - General Data'!$C$20:$C$1000,1,false)</f>
        <v>ZPI1_SIGNAGE_LABEL</v>
      </c>
      <c r="H3159" s="63" t="str">
        <f>IFERROR(__xludf.DUMMYFUNCTION("VLOOKUP(F3159, IMPORTRANGE(""https://docs.google.com/spreadsheets/d/1Lhp9OU0JdFf_VYSMzH5lBcEaU4o8teT1piV-SNzShjg/edit?gid=554141278#gid=554141278"", ""'Char Def. - Attributes'!C20:C2242""), 1,false)"),"ALT_UOM1_SIPI")</f>
        <v>ALT_UOM1_SIPI</v>
      </c>
      <c r="I3159" s="136"/>
    </row>
    <row r="3160" ht="15.75" customHeight="1">
      <c r="B3160" s="63">
        <f t="shared" si="1"/>
        <v>18</v>
      </c>
      <c r="C3160" s="144" t="s">
        <v>162</v>
      </c>
      <c r="D3160" s="143" t="s">
        <v>74</v>
      </c>
      <c r="E3160" s="135">
        <f t="shared" si="59"/>
        <v>34</v>
      </c>
      <c r="F3160" s="134" t="s">
        <v>3805</v>
      </c>
      <c r="G3160" s="63" t="str">
        <f>VLOOKUP(C3160, 'Class Def. - General Data'!$C$20:$C$1000,1,false)</f>
        <v>ZPI1_SIGNAGE_LABEL</v>
      </c>
      <c r="H3160" s="63" t="str">
        <f>IFERROR(__xludf.DUMMYFUNCTION("VLOOKUP(F3160, IMPORTRANGE(""https://docs.google.com/spreadsheets/d/1Lhp9OU0JdFf_VYSMzH5lBcEaU4o8teT1piV-SNzShjg/edit?gid=554141278#gid=554141278"", ""'Char Def. - Attributes'!C20:C2242""), 1,false)"),"ALT_DENUM_UOM1")</f>
        <v>ALT_DENUM_UOM1</v>
      </c>
      <c r="I3160" s="136"/>
    </row>
    <row r="3161" ht="15.75" customHeight="1">
      <c r="B3161" s="63">
        <f t="shared" si="1"/>
        <v>18</v>
      </c>
      <c r="C3161" s="144" t="s">
        <v>162</v>
      </c>
      <c r="D3161" s="143" t="s">
        <v>74</v>
      </c>
      <c r="E3161" s="135">
        <f t="shared" si="59"/>
        <v>35</v>
      </c>
      <c r="F3161" s="134" t="s">
        <v>3806</v>
      </c>
      <c r="G3161" s="63" t="str">
        <f>VLOOKUP(C3161, 'Class Def. - General Data'!$C$20:$C$1000,1,false)</f>
        <v>ZPI1_SIGNAGE_LABEL</v>
      </c>
      <c r="H3161" s="63" t="str">
        <f>IFERROR(__xludf.DUMMYFUNCTION("VLOOKUP(F3161, IMPORTRANGE(""https://docs.google.com/spreadsheets/d/1Lhp9OU0JdFf_VYSMzH5lBcEaU4o8teT1piV-SNzShjg/edit?gid=554141278#gid=554141278"", ""'Char Def. - Attributes'!C20:C2242""), 1,false)"),"ALT_NUM_UOM1")</f>
        <v>ALT_NUM_UOM1</v>
      </c>
      <c r="I3161" s="136"/>
    </row>
    <row r="3162" ht="15.75" customHeight="1">
      <c r="B3162" s="63">
        <f t="shared" si="1"/>
        <v>18</v>
      </c>
      <c r="C3162" s="144" t="s">
        <v>162</v>
      </c>
      <c r="D3162" s="143" t="s">
        <v>74</v>
      </c>
      <c r="E3162" s="135">
        <f t="shared" si="59"/>
        <v>36</v>
      </c>
      <c r="F3162" s="134" t="s">
        <v>3807</v>
      </c>
      <c r="G3162" s="63" t="str">
        <f>VLOOKUP(C3162, 'Class Def. - General Data'!$C$20:$C$1000,1,false)</f>
        <v>ZPI1_SIGNAGE_LABEL</v>
      </c>
      <c r="H3162" s="63" t="str">
        <f>IFERROR(__xludf.DUMMYFUNCTION("VLOOKUP(F3162, IMPORTRANGE(""https://docs.google.com/spreadsheets/d/1Lhp9OU0JdFf_VYSMzH5lBcEaU4o8teT1piV-SNzShjg/edit?gid=554141278#gid=554141278"", ""'Char Def. - Attributes'!C20:C2242""), 1,false)"),"ALT_UOM2_SIPI")</f>
        <v>ALT_UOM2_SIPI</v>
      </c>
      <c r="I3162" s="136"/>
    </row>
    <row r="3163" ht="15.75" customHeight="1">
      <c r="B3163" s="63">
        <f t="shared" si="1"/>
        <v>18</v>
      </c>
      <c r="C3163" s="144" t="s">
        <v>162</v>
      </c>
      <c r="D3163" s="143" t="s">
        <v>74</v>
      </c>
      <c r="E3163" s="135">
        <f t="shared" si="59"/>
        <v>37</v>
      </c>
      <c r="F3163" s="134" t="s">
        <v>3808</v>
      </c>
      <c r="G3163" s="63" t="str">
        <f>VLOOKUP(C3163, 'Class Def. - General Data'!$C$20:$C$1000,1,false)</f>
        <v>ZPI1_SIGNAGE_LABEL</v>
      </c>
      <c r="H3163" s="63" t="str">
        <f>IFERROR(__xludf.DUMMYFUNCTION("VLOOKUP(F3163, IMPORTRANGE(""https://docs.google.com/spreadsheets/d/1Lhp9OU0JdFf_VYSMzH5lBcEaU4o8teT1piV-SNzShjg/edit?gid=554141278#gid=554141278"", ""'Char Def. - Attributes'!C20:C2242""), 1,false)"),"ALT_DENUM_UOM2")</f>
        <v>ALT_DENUM_UOM2</v>
      </c>
      <c r="I3163" s="136"/>
    </row>
    <row r="3164" ht="15.75" customHeight="1">
      <c r="B3164" s="63">
        <f t="shared" si="1"/>
        <v>18</v>
      </c>
      <c r="C3164" s="144" t="s">
        <v>162</v>
      </c>
      <c r="D3164" s="143" t="s">
        <v>74</v>
      </c>
      <c r="E3164" s="135">
        <f t="shared" si="59"/>
        <v>38</v>
      </c>
      <c r="F3164" s="134" t="s">
        <v>3809</v>
      </c>
      <c r="G3164" s="63" t="str">
        <f>VLOOKUP(C3164, 'Class Def. - General Data'!$C$20:$C$1000,1,false)</f>
        <v>ZPI1_SIGNAGE_LABEL</v>
      </c>
      <c r="H3164" s="63" t="str">
        <f>IFERROR(__xludf.DUMMYFUNCTION("VLOOKUP(F3164, IMPORTRANGE(""https://docs.google.com/spreadsheets/d/1Lhp9OU0JdFf_VYSMzH5lBcEaU4o8teT1piV-SNzShjg/edit?gid=554141278#gid=554141278"", ""'Char Def. - Attributes'!C20:C2242""), 1,false)"),"ALT_NUM_UOM2")</f>
        <v>ALT_NUM_UOM2</v>
      </c>
      <c r="I3164" s="136"/>
    </row>
    <row r="3165" ht="15.75" customHeight="1">
      <c r="B3165" s="63">
        <f t="shared" si="1"/>
        <v>18</v>
      </c>
      <c r="C3165" s="144" t="s">
        <v>162</v>
      </c>
      <c r="D3165" s="143" t="s">
        <v>74</v>
      </c>
      <c r="E3165" s="135">
        <f t="shared" si="59"/>
        <v>39</v>
      </c>
      <c r="F3165" s="134" t="s">
        <v>3810</v>
      </c>
      <c r="G3165" s="63" t="str">
        <f>VLOOKUP(C3165, 'Class Def. - General Data'!$C$20:$C$1000,1,false)</f>
        <v>ZPI1_SIGNAGE_LABEL</v>
      </c>
      <c r="H3165" s="63" t="str">
        <f>IFERROR(__xludf.DUMMYFUNCTION("VLOOKUP(F3165, IMPORTRANGE(""https://docs.google.com/spreadsheets/d/1Lhp9OU0JdFf_VYSMzH5lBcEaU4o8teT1piV-SNzShjg/edit?gid=554141278#gid=554141278"", ""'Char Def. - Attributes'!C20:C2242""), 1,false)"),"ALT_UOM3_SIPI")</f>
        <v>ALT_UOM3_SIPI</v>
      </c>
      <c r="I3165" s="136"/>
    </row>
    <row r="3166" ht="15.75" customHeight="1">
      <c r="B3166" s="63">
        <f t="shared" si="1"/>
        <v>18</v>
      </c>
      <c r="C3166" s="144" t="s">
        <v>162</v>
      </c>
      <c r="D3166" s="143" t="s">
        <v>74</v>
      </c>
      <c r="E3166" s="135">
        <f t="shared" si="59"/>
        <v>40</v>
      </c>
      <c r="F3166" s="134" t="s">
        <v>3811</v>
      </c>
      <c r="G3166" s="63" t="str">
        <f>VLOOKUP(C3166, 'Class Def. - General Data'!$C$20:$C$1000,1,false)</f>
        <v>ZPI1_SIGNAGE_LABEL</v>
      </c>
      <c r="H3166" s="63" t="str">
        <f>IFERROR(__xludf.DUMMYFUNCTION("VLOOKUP(F3166, IMPORTRANGE(""https://docs.google.com/spreadsheets/d/1Lhp9OU0JdFf_VYSMzH5lBcEaU4o8teT1piV-SNzShjg/edit?gid=554141278#gid=554141278"", ""'Char Def. - Attributes'!C20:C2242""), 1,false)"),"ALT_DENUM_UOM3")</f>
        <v>ALT_DENUM_UOM3</v>
      </c>
      <c r="I3166" s="136"/>
    </row>
    <row r="3167" ht="15.75" customHeight="1">
      <c r="B3167" s="63">
        <f t="shared" si="1"/>
        <v>18</v>
      </c>
      <c r="C3167" s="144" t="s">
        <v>162</v>
      </c>
      <c r="D3167" s="143" t="s">
        <v>74</v>
      </c>
      <c r="E3167" s="135">
        <f t="shared" si="59"/>
        <v>41</v>
      </c>
      <c r="F3167" s="134" t="s">
        <v>3812</v>
      </c>
      <c r="G3167" s="63" t="str">
        <f>VLOOKUP(C3167, 'Class Def. - General Data'!$C$20:$C$1000,1,false)</f>
        <v>ZPI1_SIGNAGE_LABEL</v>
      </c>
      <c r="H3167" s="63" t="str">
        <f>IFERROR(__xludf.DUMMYFUNCTION("VLOOKUP(F3167, IMPORTRANGE(""https://docs.google.com/spreadsheets/d/1Lhp9OU0JdFf_VYSMzH5lBcEaU4o8teT1piV-SNzShjg/edit?gid=554141278#gid=554141278"", ""'Char Def. - Attributes'!C20:C2242""), 1,false)"),"ALT_NUM_UOM3")</f>
        <v>ALT_NUM_UOM3</v>
      </c>
      <c r="I3167" s="136"/>
    </row>
    <row r="3168" ht="15.75" customHeight="1">
      <c r="B3168" s="63">
        <f t="shared" si="1"/>
        <v>18</v>
      </c>
      <c r="C3168" s="144" t="s">
        <v>162</v>
      </c>
      <c r="D3168" s="143" t="s">
        <v>74</v>
      </c>
      <c r="E3168" s="135">
        <f t="shared" si="59"/>
        <v>42</v>
      </c>
      <c r="F3168" s="134" t="s">
        <v>3813</v>
      </c>
      <c r="G3168" s="63" t="str">
        <f>VLOOKUP(C3168, 'Class Def. - General Data'!$C$20:$C$1000,1,false)</f>
        <v>ZPI1_SIGNAGE_LABEL</v>
      </c>
      <c r="H3168" s="63" t="str">
        <f>IFERROR(__xludf.DUMMYFUNCTION("VLOOKUP(F3168, IMPORTRANGE(""https://docs.google.com/spreadsheets/d/1Lhp9OU0JdFf_VYSMzH5lBcEaU4o8teT1piV-SNzShjg/edit?gid=554141278#gid=554141278"", ""'Char Def. - Attributes'!C20:C2242""), 1,false)"),"ALT_UOM4_SIPI")</f>
        <v>ALT_UOM4_SIPI</v>
      </c>
      <c r="I3168" s="136"/>
    </row>
    <row r="3169" ht="15.75" customHeight="1">
      <c r="B3169" s="63">
        <f t="shared" si="1"/>
        <v>18</v>
      </c>
      <c r="C3169" s="144" t="s">
        <v>162</v>
      </c>
      <c r="D3169" s="143" t="s">
        <v>74</v>
      </c>
      <c r="E3169" s="135">
        <f t="shared" si="59"/>
        <v>43</v>
      </c>
      <c r="F3169" s="134" t="s">
        <v>3814</v>
      </c>
      <c r="G3169" s="63" t="str">
        <f>VLOOKUP(C3169, 'Class Def. - General Data'!$C$20:$C$1000,1,false)</f>
        <v>ZPI1_SIGNAGE_LABEL</v>
      </c>
      <c r="H3169" s="63" t="str">
        <f>IFERROR(__xludf.DUMMYFUNCTION("VLOOKUP(F3169, IMPORTRANGE(""https://docs.google.com/spreadsheets/d/1Lhp9OU0JdFf_VYSMzH5lBcEaU4o8teT1piV-SNzShjg/edit?gid=554141278#gid=554141278"", ""'Char Def. - Attributes'!C20:C2242""), 1,false)"),"ALT_DENUM_UOM4")</f>
        <v>ALT_DENUM_UOM4</v>
      </c>
      <c r="I3169" s="136"/>
    </row>
    <row r="3170" ht="15.75" customHeight="1">
      <c r="B3170" s="63">
        <f t="shared" si="1"/>
        <v>18</v>
      </c>
      <c r="C3170" s="144" t="s">
        <v>162</v>
      </c>
      <c r="D3170" s="143" t="s">
        <v>74</v>
      </c>
      <c r="E3170" s="135">
        <f t="shared" si="59"/>
        <v>44</v>
      </c>
      <c r="F3170" s="134" t="s">
        <v>3815</v>
      </c>
      <c r="G3170" s="63" t="str">
        <f>VLOOKUP(C3170, 'Class Def. - General Data'!$C$20:$C$1000,1,false)</f>
        <v>ZPI1_SIGNAGE_LABEL</v>
      </c>
      <c r="H3170" s="63" t="str">
        <f>IFERROR(__xludf.DUMMYFUNCTION("VLOOKUP(F3170, IMPORTRANGE(""https://docs.google.com/spreadsheets/d/1Lhp9OU0JdFf_VYSMzH5lBcEaU4o8teT1piV-SNzShjg/edit?gid=554141278#gid=554141278"", ""'Char Def. - Attributes'!C20:C2242""), 1,false)"),"ALT_NUM_UOM4")</f>
        <v>ALT_NUM_UOM4</v>
      </c>
      <c r="I3170" s="136"/>
    </row>
    <row r="3171" ht="15.75" customHeight="1">
      <c r="B3171" s="63">
        <f t="shared" si="1"/>
        <v>18</v>
      </c>
      <c r="C3171" s="144" t="s">
        <v>162</v>
      </c>
      <c r="D3171" s="143" t="s">
        <v>74</v>
      </c>
      <c r="E3171" s="135">
        <f t="shared" si="59"/>
        <v>45</v>
      </c>
      <c r="F3171" s="134" t="s">
        <v>3816</v>
      </c>
      <c r="G3171" s="63" t="str">
        <f>VLOOKUP(C3171, 'Class Def. - General Data'!$C$20:$C$1000,1,false)</f>
        <v>ZPI1_SIGNAGE_LABEL</v>
      </c>
      <c r="H3171" s="63" t="str">
        <f>IFERROR(__xludf.DUMMYFUNCTION("VLOOKUP(F3171, IMPORTRANGE(""https://docs.google.com/spreadsheets/d/1Lhp9OU0JdFf_VYSMzH5lBcEaU4o8teT1piV-SNzShjg/edit?gid=554141278#gid=554141278"", ""'Char Def. - Attributes'!C20:C2242""), 1,false)"),"ALT_UOM5_SIPI")</f>
        <v>ALT_UOM5_SIPI</v>
      </c>
      <c r="I3171" s="136"/>
    </row>
    <row r="3172" ht="15.75" customHeight="1">
      <c r="B3172" s="63">
        <f t="shared" si="1"/>
        <v>18</v>
      </c>
      <c r="C3172" s="144" t="s">
        <v>162</v>
      </c>
      <c r="D3172" s="143" t="s">
        <v>74</v>
      </c>
      <c r="E3172" s="135">
        <f t="shared" si="59"/>
        <v>46</v>
      </c>
      <c r="F3172" s="134" t="s">
        <v>3817</v>
      </c>
      <c r="G3172" s="63" t="str">
        <f>VLOOKUP(C3172, 'Class Def. - General Data'!$C$20:$C$1000,1,false)</f>
        <v>ZPI1_SIGNAGE_LABEL</v>
      </c>
      <c r="H3172" s="63" t="str">
        <f>IFERROR(__xludf.DUMMYFUNCTION("VLOOKUP(F3172, IMPORTRANGE(""https://docs.google.com/spreadsheets/d/1Lhp9OU0JdFf_VYSMzH5lBcEaU4o8teT1piV-SNzShjg/edit?gid=554141278#gid=554141278"", ""'Char Def. - Attributes'!C20:C2242""), 1,false)"),"ALT_DENUM_UOM5")</f>
        <v>ALT_DENUM_UOM5</v>
      </c>
      <c r="I3172" s="136"/>
    </row>
    <row r="3173" ht="15.75" customHeight="1">
      <c r="B3173" s="63">
        <f t="shared" si="1"/>
        <v>18</v>
      </c>
      <c r="C3173" s="144" t="s">
        <v>162</v>
      </c>
      <c r="D3173" s="143" t="s">
        <v>74</v>
      </c>
      <c r="E3173" s="135">
        <f t="shared" si="59"/>
        <v>47</v>
      </c>
      <c r="F3173" s="134" t="s">
        <v>3818</v>
      </c>
      <c r="G3173" s="63" t="str">
        <f>VLOOKUP(C3173, 'Class Def. - General Data'!$C$20:$C$1000,1,false)</f>
        <v>ZPI1_SIGNAGE_LABEL</v>
      </c>
      <c r="H3173" s="63" t="str">
        <f>IFERROR(__xludf.DUMMYFUNCTION("VLOOKUP(F3173, IMPORTRANGE(""https://docs.google.com/spreadsheets/d/1Lhp9OU0JdFf_VYSMzH5lBcEaU4o8teT1piV-SNzShjg/edit?gid=554141278#gid=554141278"", ""'Char Def. - Attributes'!C20:C2242""), 1,false)"),"ALT_NUM_UOM5")</f>
        <v>ALT_NUM_UOM5</v>
      </c>
      <c r="I3173" s="136"/>
    </row>
    <row r="3174" ht="15.75" customHeight="1">
      <c r="B3174" s="63">
        <f t="shared" si="1"/>
        <v>15</v>
      </c>
      <c r="C3174" s="143" t="s">
        <v>153</v>
      </c>
      <c r="D3174" s="143" t="s">
        <v>74</v>
      </c>
      <c r="E3174" s="135">
        <f t="shared" si="59"/>
        <v>1</v>
      </c>
      <c r="F3174" s="134" t="s">
        <v>3849</v>
      </c>
      <c r="G3174" s="63" t="str">
        <f>VLOOKUP(C3174, 'Class Def. - General Data'!$C$20:$C$1000,1,false)</f>
        <v>ZPI1_TAS_DOMPET</v>
      </c>
      <c r="H3174" s="63" t="str">
        <f>IFERROR(__xludf.DUMMYFUNCTION("VLOOKUP(F3174, IMPORTRANGE(""https://docs.google.com/spreadsheets/d/1Lhp9OU0JdFf_VYSMzH5lBcEaU4o8teT1piV-SNzShjg/edit?gid=554141278#gid=554141278"", ""'Char Def. - Attributes'!C20:C2242""), 1,false)"),"ITEM_NAME_TAS_DOMPET")</f>
        <v>ITEM_NAME_TAS_DOMPET</v>
      </c>
      <c r="I3174" s="136"/>
    </row>
    <row r="3175" ht="15.75" customHeight="1">
      <c r="B3175" s="63">
        <f t="shared" si="1"/>
        <v>15</v>
      </c>
      <c r="C3175" s="143" t="s">
        <v>153</v>
      </c>
      <c r="D3175" s="143" t="s">
        <v>74</v>
      </c>
      <c r="E3175" s="135">
        <f t="shared" si="59"/>
        <v>2</v>
      </c>
      <c r="F3175" s="134" t="s">
        <v>3778</v>
      </c>
      <c r="G3175" s="63" t="str">
        <f>VLOOKUP(C3175, 'Class Def. - General Data'!$C$20:$C$1000,1,false)</f>
        <v>ZPI1_TAS_DOMPET</v>
      </c>
      <c r="H3175" s="63" t="str">
        <f>IFERROR(__xludf.DUMMYFUNCTION("VLOOKUP(F3175, IMPORTRANGE(""https://docs.google.com/spreadsheets/d/1Lhp9OU0JdFf_VYSMzH5lBcEaU4o8teT1piV-SNzShjg/edit?gid=554141278#gid=554141278"", ""'Char Def. - Attributes'!C20:C2242""), 1,false)"),"SPECIAL_ACTIVITY")</f>
        <v>SPECIAL_ACTIVITY</v>
      </c>
      <c r="I3175" s="136"/>
    </row>
    <row r="3176" ht="15.75" customHeight="1">
      <c r="B3176" s="63">
        <f t="shared" si="1"/>
        <v>15</v>
      </c>
      <c r="C3176" s="143" t="s">
        <v>153</v>
      </c>
      <c r="D3176" s="143" t="s">
        <v>74</v>
      </c>
      <c r="E3176" s="135">
        <f t="shared" si="59"/>
        <v>3</v>
      </c>
      <c r="F3176" s="135" t="s">
        <v>3779</v>
      </c>
      <c r="G3176" s="63" t="str">
        <f>VLOOKUP(C3176, 'Class Def. - General Data'!$C$20:$C$1000,1,false)</f>
        <v>ZPI1_TAS_DOMPET</v>
      </c>
      <c r="H3176" s="63" t="str">
        <f>IFERROR(__xludf.DUMMYFUNCTION("VLOOKUP(F3176, IMPORTRANGE(""https://docs.google.com/spreadsheets/d/1Lhp9OU0JdFf_VYSMzH5lBcEaU4o8teT1piV-SNzShjg/edit?gid=554141278#gid=554141278"", ""'Char Def. - Attributes'!C20:C2242""), 1,false)"),"EMBOSSED_BRAND_WINGS")</f>
        <v>EMBOSSED_BRAND_WINGS</v>
      </c>
      <c r="I3176" s="136"/>
    </row>
    <row r="3177" ht="15.75" customHeight="1">
      <c r="B3177" s="63">
        <f t="shared" si="1"/>
        <v>15</v>
      </c>
      <c r="C3177" s="143" t="s">
        <v>153</v>
      </c>
      <c r="D3177" s="143" t="s">
        <v>74</v>
      </c>
      <c r="E3177" s="135">
        <f t="shared" si="59"/>
        <v>4</v>
      </c>
      <c r="F3177" s="135" t="s">
        <v>3780</v>
      </c>
      <c r="G3177" s="63" t="str">
        <f>VLOOKUP(C3177, 'Class Def. - General Data'!$C$20:$C$1000,1,false)</f>
        <v>ZPI1_TAS_DOMPET</v>
      </c>
      <c r="H3177" s="63" t="str">
        <f>IFERROR(__xludf.DUMMYFUNCTION("VLOOKUP(F3177, IMPORTRANGE(""https://docs.google.com/spreadsheets/d/1Lhp9OU0JdFf_VYSMzH5lBcEaU4o8teT1piV-SNzShjg/edit?gid=554141278#gid=554141278"", ""'Char Def. - Attributes'!C20:C2242""), 1,false)"),"BRAND_WINGS_SIPI")</f>
        <v>BRAND_WINGS_SIPI</v>
      </c>
      <c r="I3177" s="136"/>
    </row>
    <row r="3178" ht="15.75" customHeight="1">
      <c r="B3178" s="63">
        <f t="shared" si="1"/>
        <v>15</v>
      </c>
      <c r="C3178" s="143" t="s">
        <v>153</v>
      </c>
      <c r="D3178" s="143" t="s">
        <v>74</v>
      </c>
      <c r="E3178" s="135">
        <f t="shared" si="59"/>
        <v>5</v>
      </c>
      <c r="F3178" s="134" t="s">
        <v>3781</v>
      </c>
      <c r="G3178" s="63" t="str">
        <f>VLOOKUP(C3178, 'Class Def. - General Data'!$C$20:$C$1000,1,false)</f>
        <v>ZPI1_TAS_DOMPET</v>
      </c>
      <c r="H3178" s="63" t="str">
        <f>IFERROR(__xludf.DUMMYFUNCTION("VLOOKUP(F3178, IMPORTRANGE(""https://docs.google.com/spreadsheets/d/1Lhp9OU0JdFf_VYSMzH5lBcEaU4o8teT1piV-SNzShjg/edit?gid=554141278#gid=554141278"", ""'Char Def. - Attributes'!C20:C2242""), 1,false)"),"EXTERNAL_BRAND")</f>
        <v>EXTERNAL_BRAND</v>
      </c>
      <c r="I3178" s="136"/>
    </row>
    <row r="3179" ht="15.75" customHeight="1">
      <c r="B3179" s="63">
        <f t="shared" si="1"/>
        <v>15</v>
      </c>
      <c r="C3179" s="143" t="s">
        <v>153</v>
      </c>
      <c r="D3179" s="143" t="s">
        <v>74</v>
      </c>
      <c r="E3179" s="135">
        <f t="shared" si="59"/>
        <v>6</v>
      </c>
      <c r="F3179" s="134" t="s">
        <v>3782</v>
      </c>
      <c r="G3179" s="63" t="str">
        <f>VLOOKUP(C3179, 'Class Def. - General Data'!$C$20:$C$1000,1,false)</f>
        <v>ZPI1_TAS_DOMPET</v>
      </c>
      <c r="H3179" s="63" t="str">
        <f>IFERROR(__xludf.DUMMYFUNCTION("VLOOKUP(F3179, IMPORTRANGE(""https://docs.google.com/spreadsheets/d/1Lhp9OU0JdFf_VYSMzH5lBcEaU4o8teT1piV-SNzShjg/edit?gid=554141278#gid=554141278"", ""'Char Def. - Attributes'!C20:C2242""), 1,false)"),"BRAND_EXTERNAL")</f>
        <v>BRAND_EXTERNAL</v>
      </c>
      <c r="I3179" s="136"/>
    </row>
    <row r="3180" ht="15.75" customHeight="1">
      <c r="B3180" s="63">
        <f t="shared" si="1"/>
        <v>15</v>
      </c>
      <c r="C3180" s="143" t="s">
        <v>153</v>
      </c>
      <c r="D3180" s="143" t="s">
        <v>74</v>
      </c>
      <c r="E3180" s="135">
        <f t="shared" si="59"/>
        <v>7</v>
      </c>
      <c r="F3180" s="134" t="s">
        <v>3783</v>
      </c>
      <c r="G3180" s="63" t="str">
        <f>VLOOKUP(C3180, 'Class Def. - General Data'!$C$20:$C$1000,1,false)</f>
        <v>ZPI1_TAS_DOMPET</v>
      </c>
      <c r="H3180" s="63" t="str">
        <f>IFERROR(__xludf.DUMMYFUNCTION("VLOOKUP(F3180, IMPORTRANGE(""https://docs.google.com/spreadsheets/d/1Lhp9OU0JdFf_VYSMzH5lBcEaU4o8teT1piV-SNzShjg/edit?gid=554141278#gid=554141278"", ""'Char Def. - Attributes'!C20:C2242""), 1,false)"),"NO_SERI_BRAND_EXTERNAL")</f>
        <v>NO_SERI_BRAND_EXTERNAL</v>
      </c>
      <c r="I3180" s="136"/>
    </row>
    <row r="3181" ht="15.75" customHeight="1">
      <c r="B3181" s="63">
        <f t="shared" si="1"/>
        <v>15</v>
      </c>
      <c r="C3181" s="143" t="s">
        <v>153</v>
      </c>
      <c r="D3181" s="143" t="s">
        <v>74</v>
      </c>
      <c r="E3181" s="135">
        <f t="shared" si="59"/>
        <v>8</v>
      </c>
      <c r="F3181" s="134" t="s">
        <v>3850</v>
      </c>
      <c r="G3181" s="63" t="str">
        <f>VLOOKUP(C3181, 'Class Def. - General Data'!$C$20:$C$1000,1,false)</f>
        <v>ZPI1_TAS_DOMPET</v>
      </c>
      <c r="H3181" s="63" t="str">
        <f>IFERROR(__xludf.DUMMYFUNCTION("VLOOKUP(F3181, IMPORTRANGE(""https://docs.google.com/spreadsheets/d/1Lhp9OU0JdFf_VYSMzH5lBcEaU4o8teT1piV-SNzShjg/edit?gid=554141278#gid=554141278"", ""'Char Def. - Attributes'!C20:C2242""), 1,false)"),"MATERIAL_TAS_DOMPET")</f>
        <v>MATERIAL_TAS_DOMPET</v>
      </c>
      <c r="I3181" s="136"/>
    </row>
    <row r="3182" ht="15.75" customHeight="1">
      <c r="B3182" s="63">
        <f t="shared" si="1"/>
        <v>15</v>
      </c>
      <c r="C3182" s="143" t="s">
        <v>153</v>
      </c>
      <c r="D3182" s="143" t="s">
        <v>74</v>
      </c>
      <c r="E3182" s="135">
        <f t="shared" si="59"/>
        <v>9</v>
      </c>
      <c r="F3182" s="134" t="s">
        <v>3785</v>
      </c>
      <c r="G3182" s="63" t="str">
        <f>VLOOKUP(C3182, 'Class Def. - General Data'!$C$20:$C$1000,1,false)</f>
        <v>ZPI1_TAS_DOMPET</v>
      </c>
      <c r="H3182" s="63" t="str">
        <f>IFERROR(__xludf.DUMMYFUNCTION("VLOOKUP(F3182, IMPORTRANGE(""https://docs.google.com/spreadsheets/d/1Lhp9OU0JdFf_VYSMzH5lBcEaU4o8teT1piV-SNzShjg/edit?gid=554141278#gid=554141278"", ""'Char Def. - Attributes'!C20:C2242""), 1,false)"),"ITEM_SHAPE")</f>
        <v>ITEM_SHAPE</v>
      </c>
      <c r="I3182" s="136"/>
    </row>
    <row r="3183" ht="15.75" customHeight="1">
      <c r="B3183" s="63">
        <f t="shared" si="1"/>
        <v>15</v>
      </c>
      <c r="C3183" s="143" t="s">
        <v>153</v>
      </c>
      <c r="D3183" s="143" t="s">
        <v>74</v>
      </c>
      <c r="E3183" s="135">
        <f t="shared" si="59"/>
        <v>10</v>
      </c>
      <c r="F3183" s="134" t="s">
        <v>3786</v>
      </c>
      <c r="G3183" s="63" t="str">
        <f>VLOOKUP(C3183, 'Class Def. - General Data'!$C$20:$C$1000,1,false)</f>
        <v>ZPI1_TAS_DOMPET</v>
      </c>
      <c r="H3183" s="63" t="str">
        <f>IFERROR(__xludf.DUMMYFUNCTION("VLOOKUP(F3183, IMPORTRANGE(""https://docs.google.com/spreadsheets/d/1Lhp9OU0JdFf_VYSMzH5lBcEaU4o8teT1piV-SNzShjg/edit?gid=554141278#gid=554141278"", ""'Char Def. - Attributes'!C20:C2242""), 1,false)"),"SIZE_UNIT_DIMENSI")</f>
        <v>SIZE_UNIT_DIMENSI</v>
      </c>
      <c r="I3183" s="136"/>
    </row>
    <row r="3184" ht="15.75" customHeight="1">
      <c r="B3184" s="63">
        <f t="shared" si="1"/>
        <v>15</v>
      </c>
      <c r="C3184" s="143" t="s">
        <v>153</v>
      </c>
      <c r="D3184" s="143" t="s">
        <v>74</v>
      </c>
      <c r="E3184" s="135">
        <f t="shared" si="59"/>
        <v>11</v>
      </c>
      <c r="F3184" s="135" t="s">
        <v>3787</v>
      </c>
      <c r="G3184" s="63" t="str">
        <f>VLOOKUP(C3184, 'Class Def. - General Data'!$C$20:$C$1000,1,false)</f>
        <v>ZPI1_TAS_DOMPET</v>
      </c>
      <c r="H3184" s="63" t="str">
        <f>IFERROR(__xludf.DUMMYFUNCTION("VLOOKUP(F3184, IMPORTRANGE(""https://docs.google.com/spreadsheets/d/1Lhp9OU0JdFf_VYSMzH5lBcEaU4o8teT1piV-SNzShjg/edit?gid=554141278#gid=554141278"", ""'Char Def. - Attributes'!C20:C2242""), 1,false)"),"DIAMETER_PCS")</f>
        <v>DIAMETER_PCS</v>
      </c>
      <c r="I3184" s="136"/>
    </row>
    <row r="3185" ht="15.75" customHeight="1">
      <c r="B3185" s="63">
        <f t="shared" si="1"/>
        <v>15</v>
      </c>
      <c r="C3185" s="143" t="s">
        <v>153</v>
      </c>
      <c r="D3185" s="143" t="s">
        <v>74</v>
      </c>
      <c r="E3185" s="135">
        <f t="shared" si="59"/>
        <v>12</v>
      </c>
      <c r="F3185" s="134" t="s">
        <v>3788</v>
      </c>
      <c r="G3185" s="63" t="str">
        <f>VLOOKUP(C3185, 'Class Def. - General Data'!$C$20:$C$1000,1,false)</f>
        <v>ZPI1_TAS_DOMPET</v>
      </c>
      <c r="H3185" s="63" t="str">
        <f>IFERROR(__xludf.DUMMYFUNCTION("VLOOKUP(F3185, IMPORTRANGE(""https://docs.google.com/spreadsheets/d/1Lhp9OU0JdFf_VYSMzH5lBcEaU4o8teT1piV-SNzShjg/edit?gid=554141278#gid=554141278"", ""'Char Def. - Attributes'!C20:C2242""), 1,false)"),"LENGTH_PCS")</f>
        <v>LENGTH_PCS</v>
      </c>
      <c r="I3185" s="136"/>
    </row>
    <row r="3186" ht="15.75" customHeight="1">
      <c r="B3186" s="63">
        <f t="shared" si="1"/>
        <v>15</v>
      </c>
      <c r="C3186" s="143" t="s">
        <v>153</v>
      </c>
      <c r="D3186" s="143" t="s">
        <v>74</v>
      </c>
      <c r="E3186" s="135">
        <f t="shared" si="59"/>
        <v>13</v>
      </c>
      <c r="F3186" s="134" t="s">
        <v>3789</v>
      </c>
      <c r="G3186" s="63" t="str">
        <f>VLOOKUP(C3186, 'Class Def. - General Data'!$C$20:$C$1000,1,false)</f>
        <v>ZPI1_TAS_DOMPET</v>
      </c>
      <c r="H3186" s="63" t="str">
        <f>IFERROR(__xludf.DUMMYFUNCTION("VLOOKUP(F3186, IMPORTRANGE(""https://docs.google.com/spreadsheets/d/1Lhp9OU0JdFf_VYSMzH5lBcEaU4o8teT1piV-SNzShjg/edit?gid=554141278#gid=554141278"", ""'Char Def. - Attributes'!C20:C2242""), 1,false)"),"WIDTH_PCS")</f>
        <v>WIDTH_PCS</v>
      </c>
      <c r="I3186" s="136"/>
    </row>
    <row r="3187" ht="15.75" customHeight="1">
      <c r="B3187" s="63">
        <f t="shared" si="1"/>
        <v>15</v>
      </c>
      <c r="C3187" s="143" t="s">
        <v>153</v>
      </c>
      <c r="D3187" s="143" t="s">
        <v>74</v>
      </c>
      <c r="E3187" s="135">
        <f t="shared" si="59"/>
        <v>14</v>
      </c>
      <c r="F3187" s="134" t="s">
        <v>3790</v>
      </c>
      <c r="G3187" s="63" t="str">
        <f>VLOOKUP(C3187, 'Class Def. - General Data'!$C$20:$C$1000,1,false)</f>
        <v>ZPI1_TAS_DOMPET</v>
      </c>
      <c r="H3187" s="63" t="str">
        <f>IFERROR(__xludf.DUMMYFUNCTION("VLOOKUP(F3187, IMPORTRANGE(""https://docs.google.com/spreadsheets/d/1Lhp9OU0JdFf_VYSMzH5lBcEaU4o8teT1piV-SNzShjg/edit?gid=554141278#gid=554141278"", ""'Char Def. - Attributes'!C20:C2242""), 1,false)"),"HEIGHT_PCS")</f>
        <v>HEIGHT_PCS</v>
      </c>
      <c r="I3187" s="136"/>
    </row>
    <row r="3188" ht="15.75" customHeight="1">
      <c r="B3188" s="63">
        <f t="shared" si="1"/>
        <v>15</v>
      </c>
      <c r="C3188" s="143" t="s">
        <v>153</v>
      </c>
      <c r="D3188" s="143" t="s">
        <v>74</v>
      </c>
      <c r="E3188" s="135">
        <f t="shared" si="59"/>
        <v>15</v>
      </c>
      <c r="F3188" s="134" t="s">
        <v>3791</v>
      </c>
      <c r="G3188" s="63" t="str">
        <f>VLOOKUP(C3188, 'Class Def. - General Data'!$C$20:$C$1000,1,false)</f>
        <v>ZPI1_TAS_DOMPET</v>
      </c>
      <c r="H3188" s="63" t="str">
        <f>IFERROR(__xludf.DUMMYFUNCTION("VLOOKUP(F3188, IMPORTRANGE(""https://docs.google.com/spreadsheets/d/1Lhp9OU0JdFf_VYSMzH5lBcEaU4o8teT1piV-SNzShjg/edit?gid=554141278#gid=554141278"", ""'Char Def. - Attributes'!C20:C2242""), 1,false)"),"HAS_SPESIFIC_COLOUR")</f>
        <v>HAS_SPESIFIC_COLOUR</v>
      </c>
      <c r="I3188" s="136"/>
    </row>
    <row r="3189" ht="15.75" customHeight="1">
      <c r="B3189" s="63">
        <f t="shared" si="1"/>
        <v>15</v>
      </c>
      <c r="C3189" s="143" t="s">
        <v>153</v>
      </c>
      <c r="D3189" s="143" t="s">
        <v>74</v>
      </c>
      <c r="E3189" s="135">
        <f t="shared" si="59"/>
        <v>16</v>
      </c>
      <c r="F3189" s="134" t="s">
        <v>3792</v>
      </c>
      <c r="G3189" s="63" t="str">
        <f>VLOOKUP(C3189, 'Class Def. - General Data'!$C$20:$C$1000,1,false)</f>
        <v>ZPI1_TAS_DOMPET</v>
      </c>
      <c r="H3189" s="63" t="str">
        <f>IFERROR(__xludf.DUMMYFUNCTION("VLOOKUP(F3189, IMPORTRANGE(""https://docs.google.com/spreadsheets/d/1Lhp9OU0JdFf_VYSMzH5lBcEaU4o8teT1piV-SNzShjg/edit?gid=554141278#gid=554141278"", ""'Char Def. - Attributes'!C20:C2242""), 1,false)"),"COLOUR")</f>
        <v>COLOUR</v>
      </c>
      <c r="I3189" s="136"/>
    </row>
    <row r="3190" ht="15.75" customHeight="1">
      <c r="B3190" s="63">
        <f t="shared" si="1"/>
        <v>15</v>
      </c>
      <c r="C3190" s="143" t="s">
        <v>153</v>
      </c>
      <c r="D3190" s="143" t="s">
        <v>74</v>
      </c>
      <c r="E3190" s="135">
        <f t="shared" si="59"/>
        <v>17</v>
      </c>
      <c r="F3190" s="134" t="s">
        <v>3793</v>
      </c>
      <c r="G3190" s="63" t="str">
        <f>VLOOKUP(C3190, 'Class Def. - General Data'!$C$20:$C$1000,1,false)</f>
        <v>ZPI1_TAS_DOMPET</v>
      </c>
      <c r="H3190" s="63" t="str">
        <f>IFERROR(__xludf.DUMMYFUNCTION("VLOOKUP(F3190, IMPORTRANGE(""https://docs.google.com/spreadsheets/d/1Lhp9OU0JdFf_VYSMzH5lBcEaU4o8teT1piV-SNzShjg/edit?gid=554141278#gid=554141278"", ""'Char Def. - Attributes'!C20:C2242""), 1,false)"),"EMBOSSED_SPESIFIC_DESAIN")</f>
        <v>EMBOSSED_SPESIFIC_DESAIN</v>
      </c>
      <c r="I3190" s="136"/>
    </row>
    <row r="3191" ht="15.75" customHeight="1">
      <c r="B3191" s="63">
        <f t="shared" si="1"/>
        <v>15</v>
      </c>
      <c r="C3191" s="143" t="s">
        <v>153</v>
      </c>
      <c r="D3191" s="143" t="s">
        <v>74</v>
      </c>
      <c r="E3191" s="135">
        <f t="shared" si="59"/>
        <v>18</v>
      </c>
      <c r="F3191" s="134" t="s">
        <v>3794</v>
      </c>
      <c r="G3191" s="63" t="str">
        <f>VLOOKUP(C3191, 'Class Def. - General Data'!$C$20:$C$1000,1,false)</f>
        <v>ZPI1_TAS_DOMPET</v>
      </c>
      <c r="H3191" s="63" t="str">
        <f>IFERROR(__xludf.DUMMYFUNCTION("VLOOKUP(F3191, IMPORTRANGE(""https://docs.google.com/spreadsheets/d/1Lhp9OU0JdFf_VYSMzH5lBcEaU4o8teT1piV-SNzShjg/edit?gid=554141278#gid=554141278"", ""'Char Def. - Attributes'!C20:C2242""), 1,false)"),"DESAIN_NAME")</f>
        <v>DESAIN_NAME</v>
      </c>
      <c r="I3191" s="136"/>
    </row>
    <row r="3192" ht="15.75" customHeight="1">
      <c r="B3192" s="63">
        <f t="shared" si="1"/>
        <v>15</v>
      </c>
      <c r="C3192" s="143" t="s">
        <v>153</v>
      </c>
      <c r="D3192" s="143" t="s">
        <v>74</v>
      </c>
      <c r="E3192" s="135">
        <f t="shared" si="59"/>
        <v>19</v>
      </c>
      <c r="F3192" s="134" t="s">
        <v>3795</v>
      </c>
      <c r="G3192" s="63" t="str">
        <f>VLOOKUP(C3192, 'Class Def. - General Data'!$C$20:$C$1000,1,false)</f>
        <v>ZPI1_TAS_DOMPET</v>
      </c>
      <c r="H3192" s="63" t="str">
        <f>IFERROR(__xludf.DUMMYFUNCTION("VLOOKUP(F3192, IMPORTRANGE(""https://docs.google.com/spreadsheets/d/1Lhp9OU0JdFf_VYSMzH5lBcEaU4o8teT1piV-SNzShjg/edit?gid=554141278#gid=554141278"", ""'Char Def. - Attributes'!C20:C2242""), 1,false)"),"DESAIN_MONTH")</f>
        <v>DESAIN_MONTH</v>
      </c>
      <c r="I3192" s="136"/>
    </row>
    <row r="3193" ht="15.75" customHeight="1">
      <c r="B3193" s="63">
        <f t="shared" si="1"/>
        <v>15</v>
      </c>
      <c r="C3193" s="143" t="s">
        <v>153</v>
      </c>
      <c r="D3193" s="143" t="s">
        <v>74</v>
      </c>
      <c r="E3193" s="135">
        <f t="shared" si="59"/>
        <v>20</v>
      </c>
      <c r="F3193" s="134" t="s">
        <v>3796</v>
      </c>
      <c r="G3193" s="63" t="str">
        <f>VLOOKUP(C3193, 'Class Def. - General Data'!$C$20:$C$1000,1,false)</f>
        <v>ZPI1_TAS_DOMPET</v>
      </c>
      <c r="H3193" s="63" t="str">
        <f>IFERROR(__xludf.DUMMYFUNCTION("VLOOKUP(F3193, IMPORTRANGE(""https://docs.google.com/spreadsheets/d/1Lhp9OU0JdFf_VYSMzH5lBcEaU4o8teT1piV-SNzShjg/edit?gid=554141278#gid=554141278"", ""'Char Def. - Attributes'!C20:C2242""), 1,false)"),"DESAIN_YEAR")</f>
        <v>DESAIN_YEAR</v>
      </c>
      <c r="I3193" s="136"/>
    </row>
    <row r="3194" ht="15.75" customHeight="1">
      <c r="B3194" s="63">
        <f t="shared" si="1"/>
        <v>15</v>
      </c>
      <c r="C3194" s="143" t="s">
        <v>153</v>
      </c>
      <c r="D3194" s="143" t="s">
        <v>74</v>
      </c>
      <c r="E3194" s="135">
        <f t="shared" si="59"/>
        <v>21</v>
      </c>
      <c r="F3194" s="134" t="s">
        <v>3797</v>
      </c>
      <c r="G3194" s="63" t="str">
        <f>VLOOKUP(C3194, 'Class Def. - General Data'!$C$20:$C$1000,1,false)</f>
        <v>ZPI1_TAS_DOMPET</v>
      </c>
      <c r="H3194" s="63" t="str">
        <f>IFERROR(__xludf.DUMMYFUNCTION("VLOOKUP(F3194, IMPORTRANGE(""https://docs.google.com/spreadsheets/d/1Lhp9OU0JdFf_VYSMzH5lBcEaU4o8teT1piV-SNzShjg/edit?gid=554141278#gid=554141278"", ""'Char Def. - Attributes'!C20:C2242""), 1,false)"),"SPEC_QTY_IN_ONE_BUNDLE")</f>
        <v>SPEC_QTY_IN_ONE_BUNDLE</v>
      </c>
      <c r="I3194" s="136"/>
    </row>
    <row r="3195" ht="15.75" customHeight="1">
      <c r="B3195" s="63">
        <f t="shared" si="1"/>
        <v>15</v>
      </c>
      <c r="C3195" s="143" t="s">
        <v>153</v>
      </c>
      <c r="D3195" s="143" t="s">
        <v>74</v>
      </c>
      <c r="E3195" s="135">
        <f t="shared" si="59"/>
        <v>22</v>
      </c>
      <c r="F3195" s="134" t="s">
        <v>3798</v>
      </c>
      <c r="G3195" s="63" t="str">
        <f>VLOOKUP(C3195, 'Class Def. - General Data'!$C$20:$C$1000,1,false)</f>
        <v>ZPI1_TAS_DOMPET</v>
      </c>
      <c r="H3195" s="63" t="str">
        <f>IFERROR(__xludf.DUMMYFUNCTION("VLOOKUP(F3195, IMPORTRANGE(""https://docs.google.com/spreadsheets/d/1Lhp9OU0JdFf_VYSMzH5lBcEaU4o8teT1piV-SNzShjg/edit?gid=554141278#gid=554141278"", ""'Char Def. - Attributes'!C20:C2242""), 1,false)"),"QTY_IN_ONE_BUNDLE")</f>
        <v>QTY_IN_ONE_BUNDLE</v>
      </c>
      <c r="I3195" s="136"/>
    </row>
    <row r="3196" ht="15.75" customHeight="1">
      <c r="B3196" s="63">
        <f t="shared" si="1"/>
        <v>15</v>
      </c>
      <c r="C3196" s="143" t="s">
        <v>153</v>
      </c>
      <c r="D3196" s="143" t="s">
        <v>74</v>
      </c>
      <c r="E3196" s="135">
        <f t="shared" si="59"/>
        <v>23</v>
      </c>
      <c r="F3196" s="134" t="s">
        <v>3585</v>
      </c>
      <c r="G3196" s="63" t="str">
        <f>VLOOKUP(C3196, 'Class Def. - General Data'!$C$20:$C$1000,1,false)</f>
        <v>ZPI1_TAS_DOMPET</v>
      </c>
      <c r="H3196" s="63" t="str">
        <f>IFERROR(__xludf.DUMMYFUNCTION("VLOOKUP(F3196, IMPORTRANGE(""https://docs.google.com/spreadsheets/d/1Lhp9OU0JdFf_VYSMzH5lBcEaU4o8teT1piV-SNzShjg/edit?gid=554141278#gid=554141278"", ""'Char Def. - Attributes'!C20:C2242""), 1,false)"),"HS_CODE")</f>
        <v>HS_CODE</v>
      </c>
      <c r="I3196" s="136"/>
    </row>
    <row r="3197" ht="15.75" customHeight="1">
      <c r="B3197" s="63">
        <f t="shared" si="1"/>
        <v>15</v>
      </c>
      <c r="C3197" s="143" t="s">
        <v>153</v>
      </c>
      <c r="D3197" s="143" t="s">
        <v>74</v>
      </c>
      <c r="E3197" s="135">
        <f t="shared" si="59"/>
        <v>24</v>
      </c>
      <c r="F3197" s="134" t="s">
        <v>3799</v>
      </c>
      <c r="G3197" s="63" t="str">
        <f>VLOOKUP(C3197, 'Class Def. - General Data'!$C$20:$C$1000,1,false)</f>
        <v>ZPI1_TAS_DOMPET</v>
      </c>
      <c r="H3197" s="63" t="str">
        <f>IFERROR(__xludf.DUMMYFUNCTION("VLOOKUP(F3197, IMPORTRANGE(""https://docs.google.com/spreadsheets/d/1Lhp9OU0JdFf_VYSMzH5lBcEaU4o8teT1piV-SNzShjg/edit?gid=554141278#gid=554141278"", ""'Char Def. - Attributes'!C20:C2242""), 1,false)"),"BASE_UNIT_ZPI1")</f>
        <v>BASE_UNIT_ZPI1</v>
      </c>
      <c r="I3197" s="136"/>
    </row>
    <row r="3198" ht="15.75" customHeight="1">
      <c r="B3198" s="63">
        <f t="shared" si="1"/>
        <v>15</v>
      </c>
      <c r="C3198" s="143" t="s">
        <v>153</v>
      </c>
      <c r="D3198" s="143" t="s">
        <v>74</v>
      </c>
      <c r="E3198" s="135">
        <f t="shared" si="59"/>
        <v>25</v>
      </c>
      <c r="F3198" s="135" t="s">
        <v>3800</v>
      </c>
      <c r="G3198" s="63" t="str">
        <f>VLOOKUP(C3198, 'Class Def. - General Data'!$C$20:$C$1000,1,false)</f>
        <v>ZPI1_TAS_DOMPET</v>
      </c>
      <c r="H3198" s="63" t="str">
        <f>IFERROR(__xludf.DUMMYFUNCTION("VLOOKUP(F3198, IMPORTRANGE(""https://docs.google.com/spreadsheets/d/1Lhp9OU0JdFf_VYSMzH5lBcEaU4o8teT1piV-SNzShjg/edit?gid=554141278#gid=554141278"", ""'Char Def. - Attributes'!C20:C2242""), 1,false)"),"ORDER_UNIT_DIFF_FROM_BASIC_UOM")</f>
        <v>ORDER_UNIT_DIFF_FROM_BASIC_UOM</v>
      </c>
      <c r="I3198" s="136"/>
    </row>
    <row r="3199" ht="15.75" customHeight="1">
      <c r="B3199" s="63">
        <f t="shared" si="1"/>
        <v>15</v>
      </c>
      <c r="C3199" s="143" t="s">
        <v>153</v>
      </c>
      <c r="D3199" s="143" t="s">
        <v>74</v>
      </c>
      <c r="E3199" s="135">
        <f t="shared" si="59"/>
        <v>26</v>
      </c>
      <c r="F3199" s="135" t="s">
        <v>3801</v>
      </c>
      <c r="G3199" s="63" t="str">
        <f>VLOOKUP(C3199, 'Class Def. - General Data'!$C$20:$C$1000,1,false)</f>
        <v>ZPI1_TAS_DOMPET</v>
      </c>
      <c r="H3199" s="63" t="str">
        <f>IFERROR(__xludf.DUMMYFUNCTION("VLOOKUP(F3199, IMPORTRANGE(""https://docs.google.com/spreadsheets/d/1Lhp9OU0JdFf_VYSMzH5lBcEaU4o8teT1piV-SNzShjg/edit?gid=554141278#gid=554141278"", ""'Char Def. - Attributes'!C20:C2242""), 1,false)"),"ORDER_UNIT_ZPI1")</f>
        <v>ORDER_UNIT_ZPI1</v>
      </c>
      <c r="I3199" s="136"/>
    </row>
    <row r="3200" ht="15.75" customHeight="1">
      <c r="B3200" s="63">
        <f t="shared" si="1"/>
        <v>15</v>
      </c>
      <c r="C3200" s="143" t="s">
        <v>153</v>
      </c>
      <c r="D3200" s="143" t="s">
        <v>74</v>
      </c>
      <c r="E3200" s="135">
        <f t="shared" si="59"/>
        <v>27</v>
      </c>
      <c r="F3200" s="134" t="s">
        <v>3802</v>
      </c>
      <c r="G3200" s="63" t="str">
        <f>VLOOKUP(C3200, 'Class Def. - General Data'!$C$20:$C$1000,1,false)</f>
        <v>ZPI1_TAS_DOMPET</v>
      </c>
      <c r="H3200" s="63" t="str">
        <f>IFERROR(__xludf.DUMMYFUNCTION("VLOOKUP(F3200, IMPORTRANGE(""https://docs.google.com/spreadsheets/d/1Lhp9OU0JdFf_VYSMzH5lBcEaU4o8teT1piV-SNzShjg/edit?gid=554141278#gid=554141278"", ""'Char Def. - Attributes'!C20:C2242""), 1,false)"),"WEIGHT_UNIT_PI")</f>
        <v>WEIGHT_UNIT_PI</v>
      </c>
      <c r="I3200" s="136"/>
    </row>
    <row r="3201" ht="15.75" customHeight="1">
      <c r="B3201" s="63">
        <f t="shared" si="1"/>
        <v>15</v>
      </c>
      <c r="C3201" s="143" t="s">
        <v>153</v>
      </c>
      <c r="D3201" s="143" t="s">
        <v>74</v>
      </c>
      <c r="E3201" s="135">
        <f t="shared" si="59"/>
        <v>28</v>
      </c>
      <c r="F3201" s="134" t="s">
        <v>3602</v>
      </c>
      <c r="G3201" s="63" t="str">
        <f>VLOOKUP(C3201, 'Class Def. - General Data'!$C$20:$C$1000,1,false)</f>
        <v>ZPI1_TAS_DOMPET</v>
      </c>
      <c r="H3201" s="63" t="str">
        <f>IFERROR(__xludf.DUMMYFUNCTION("VLOOKUP(F3201, IMPORTRANGE(""https://docs.google.com/spreadsheets/d/1Lhp9OU0JdFf_VYSMzH5lBcEaU4o8teT1piV-SNzShjg/edit?gid=554141278#gid=554141278"", ""'Char Def. - Attributes'!C20:C2242""), 1,false)"),"NET_WEIGHT")</f>
        <v>NET_WEIGHT</v>
      </c>
      <c r="I3201" s="136"/>
    </row>
    <row r="3202" ht="15.75" customHeight="1">
      <c r="B3202" s="63">
        <f t="shared" si="1"/>
        <v>15</v>
      </c>
      <c r="C3202" s="143" t="s">
        <v>153</v>
      </c>
      <c r="D3202" s="143" t="s">
        <v>74</v>
      </c>
      <c r="E3202" s="135">
        <f t="shared" si="59"/>
        <v>29</v>
      </c>
      <c r="F3202" s="134" t="s">
        <v>3601</v>
      </c>
      <c r="G3202" s="63" t="str">
        <f>VLOOKUP(C3202, 'Class Def. - General Data'!$C$20:$C$1000,1,false)</f>
        <v>ZPI1_TAS_DOMPET</v>
      </c>
      <c r="H3202" s="63" t="str">
        <f>IFERROR(__xludf.DUMMYFUNCTION("VLOOKUP(F3202, IMPORTRANGE(""https://docs.google.com/spreadsheets/d/1Lhp9OU0JdFf_VYSMzH5lBcEaU4o8teT1piV-SNzShjg/edit?gid=554141278#gid=554141278"", ""'Char Def. - Attributes'!C20:C2242""), 1,false)"),"GROSS_WEIGHT")</f>
        <v>GROSS_WEIGHT</v>
      </c>
      <c r="I3202" s="136"/>
    </row>
    <row r="3203" ht="15.75" customHeight="1">
      <c r="B3203" s="63">
        <f t="shared" si="1"/>
        <v>15</v>
      </c>
      <c r="C3203" s="143" t="s">
        <v>153</v>
      </c>
      <c r="D3203" s="143" t="s">
        <v>74</v>
      </c>
      <c r="E3203" s="135">
        <f t="shared" si="59"/>
        <v>30</v>
      </c>
      <c r="F3203" s="134" t="s">
        <v>3803</v>
      </c>
      <c r="G3203" s="63" t="str">
        <f>VLOOKUP(C3203, 'Class Def. - General Data'!$C$20:$C$1000,1,false)</f>
        <v>ZPI1_TAS_DOMPET</v>
      </c>
      <c r="H3203" s="63" t="str">
        <f>IFERROR(__xludf.DUMMYFUNCTION("VLOOKUP(F3203, IMPORTRANGE(""https://docs.google.com/spreadsheets/d/1Lhp9OU0JdFf_VYSMzH5lBcEaU4o8teT1piV-SNzShjg/edit?gid=554141278#gid=554141278"", ""'Char Def. - Attributes'!C20:C2242""), 1,false)"),"VOLUME_UNIT_PI")</f>
        <v>VOLUME_UNIT_PI</v>
      </c>
      <c r="I3203" s="136"/>
    </row>
    <row r="3204" ht="15.75" customHeight="1">
      <c r="B3204" s="63">
        <f t="shared" si="1"/>
        <v>15</v>
      </c>
      <c r="C3204" s="143" t="s">
        <v>153</v>
      </c>
      <c r="D3204" s="143" t="s">
        <v>74</v>
      </c>
      <c r="E3204" s="135">
        <f t="shared" si="59"/>
        <v>31</v>
      </c>
      <c r="F3204" s="134" t="s">
        <v>3603</v>
      </c>
      <c r="G3204" s="63" t="str">
        <f>VLOOKUP(C3204, 'Class Def. - General Data'!$C$20:$C$1000,1,false)</f>
        <v>ZPI1_TAS_DOMPET</v>
      </c>
      <c r="H3204" s="63" t="str">
        <f>IFERROR(__xludf.DUMMYFUNCTION("VLOOKUP(F3204, IMPORTRANGE(""https://docs.google.com/spreadsheets/d/1Lhp9OU0JdFf_VYSMzH5lBcEaU4o8teT1piV-SNzShjg/edit?gid=554141278#gid=554141278"", ""'Char Def. - Attributes'!C20:C2242""), 1,false)"),"VOLUME")</f>
        <v>VOLUME</v>
      </c>
      <c r="I3204" s="136"/>
    </row>
    <row r="3205" ht="15.75" customHeight="1">
      <c r="B3205" s="63">
        <f t="shared" si="1"/>
        <v>15</v>
      </c>
      <c r="C3205" s="143" t="s">
        <v>153</v>
      </c>
      <c r="D3205" s="143" t="s">
        <v>74</v>
      </c>
      <c r="E3205" s="135">
        <f t="shared" si="59"/>
        <v>32</v>
      </c>
      <c r="F3205" s="134" t="s">
        <v>3587</v>
      </c>
      <c r="G3205" s="63" t="str">
        <f>VLOOKUP(C3205, 'Class Def. - General Data'!$C$20:$C$1000,1,false)</f>
        <v>ZPI1_TAS_DOMPET</v>
      </c>
      <c r="H3205" s="63" t="str">
        <f>IFERROR(__xludf.DUMMYFUNCTION("VLOOKUP(F3205, IMPORTRANGE(""https://docs.google.com/spreadsheets/d/1Lhp9OU0JdFf_VYSMzH5lBcEaU4o8teT1piV-SNzShjg/edit?gid=554141278#gid=554141278"", ""'Char Def. - Attributes'!C20:C2242""), 1,false)"),"PLANT_BUY")</f>
        <v>PLANT_BUY</v>
      </c>
      <c r="I3205" s="136"/>
    </row>
    <row r="3206" ht="15.75" customHeight="1">
      <c r="B3206" s="63">
        <f t="shared" si="1"/>
        <v>15</v>
      </c>
      <c r="C3206" s="143" t="s">
        <v>153</v>
      </c>
      <c r="D3206" s="143" t="s">
        <v>74</v>
      </c>
      <c r="E3206" s="135">
        <f t="shared" si="59"/>
        <v>33</v>
      </c>
      <c r="F3206" s="134" t="s">
        <v>3804</v>
      </c>
      <c r="G3206" s="63" t="str">
        <f>VLOOKUP(C3206, 'Class Def. - General Data'!$C$20:$C$1000,1,false)</f>
        <v>ZPI1_TAS_DOMPET</v>
      </c>
      <c r="H3206" s="63" t="str">
        <f>IFERROR(__xludf.DUMMYFUNCTION("VLOOKUP(F3206, IMPORTRANGE(""https://docs.google.com/spreadsheets/d/1Lhp9OU0JdFf_VYSMzH5lBcEaU4o8teT1piV-SNzShjg/edit?gid=554141278#gid=554141278"", ""'Char Def. - Attributes'!C20:C2242""), 1,false)"),"ALT_UOM1_SIPI")</f>
        <v>ALT_UOM1_SIPI</v>
      </c>
      <c r="I3206" s="136"/>
    </row>
    <row r="3207" ht="15.75" customHeight="1">
      <c r="B3207" s="63">
        <f t="shared" si="1"/>
        <v>15</v>
      </c>
      <c r="C3207" s="143" t="s">
        <v>153</v>
      </c>
      <c r="D3207" s="143" t="s">
        <v>74</v>
      </c>
      <c r="E3207" s="135">
        <f t="shared" si="59"/>
        <v>34</v>
      </c>
      <c r="F3207" s="134" t="s">
        <v>3805</v>
      </c>
      <c r="G3207" s="63" t="str">
        <f>VLOOKUP(C3207, 'Class Def. - General Data'!$C$20:$C$1000,1,false)</f>
        <v>ZPI1_TAS_DOMPET</v>
      </c>
      <c r="H3207" s="63" t="str">
        <f>IFERROR(__xludf.DUMMYFUNCTION("VLOOKUP(F3207, IMPORTRANGE(""https://docs.google.com/spreadsheets/d/1Lhp9OU0JdFf_VYSMzH5lBcEaU4o8teT1piV-SNzShjg/edit?gid=554141278#gid=554141278"", ""'Char Def. - Attributes'!C20:C2242""), 1,false)"),"ALT_DENUM_UOM1")</f>
        <v>ALT_DENUM_UOM1</v>
      </c>
      <c r="I3207" s="136"/>
    </row>
    <row r="3208" ht="15.75" customHeight="1">
      <c r="B3208" s="63">
        <f t="shared" si="1"/>
        <v>15</v>
      </c>
      <c r="C3208" s="143" t="s">
        <v>153</v>
      </c>
      <c r="D3208" s="143" t="s">
        <v>74</v>
      </c>
      <c r="E3208" s="135">
        <f t="shared" si="59"/>
        <v>35</v>
      </c>
      <c r="F3208" s="134" t="s">
        <v>3806</v>
      </c>
      <c r="G3208" s="63" t="str">
        <f>VLOOKUP(C3208, 'Class Def. - General Data'!$C$20:$C$1000,1,false)</f>
        <v>ZPI1_TAS_DOMPET</v>
      </c>
      <c r="H3208" s="63" t="str">
        <f>IFERROR(__xludf.DUMMYFUNCTION("VLOOKUP(F3208, IMPORTRANGE(""https://docs.google.com/spreadsheets/d/1Lhp9OU0JdFf_VYSMzH5lBcEaU4o8teT1piV-SNzShjg/edit?gid=554141278#gid=554141278"", ""'Char Def. - Attributes'!C20:C2242""), 1,false)"),"ALT_NUM_UOM1")</f>
        <v>ALT_NUM_UOM1</v>
      </c>
      <c r="I3208" s="136"/>
    </row>
    <row r="3209" ht="15.75" customHeight="1">
      <c r="B3209" s="63">
        <f t="shared" si="1"/>
        <v>15</v>
      </c>
      <c r="C3209" s="143" t="s">
        <v>153</v>
      </c>
      <c r="D3209" s="143" t="s">
        <v>74</v>
      </c>
      <c r="E3209" s="135">
        <f t="shared" si="59"/>
        <v>36</v>
      </c>
      <c r="F3209" s="134" t="s">
        <v>3807</v>
      </c>
      <c r="G3209" s="63" t="str">
        <f>VLOOKUP(C3209, 'Class Def. - General Data'!$C$20:$C$1000,1,false)</f>
        <v>ZPI1_TAS_DOMPET</v>
      </c>
      <c r="H3209" s="63" t="str">
        <f>IFERROR(__xludf.DUMMYFUNCTION("VLOOKUP(F3209, IMPORTRANGE(""https://docs.google.com/spreadsheets/d/1Lhp9OU0JdFf_VYSMzH5lBcEaU4o8teT1piV-SNzShjg/edit?gid=554141278#gid=554141278"", ""'Char Def. - Attributes'!C20:C2242""), 1,false)"),"ALT_UOM2_SIPI")</f>
        <v>ALT_UOM2_SIPI</v>
      </c>
      <c r="I3209" s="136"/>
    </row>
    <row r="3210" ht="15.75" customHeight="1">
      <c r="B3210" s="63">
        <f t="shared" si="1"/>
        <v>15</v>
      </c>
      <c r="C3210" s="143" t="s">
        <v>153</v>
      </c>
      <c r="D3210" s="143" t="s">
        <v>74</v>
      </c>
      <c r="E3210" s="135">
        <f t="shared" si="59"/>
        <v>37</v>
      </c>
      <c r="F3210" s="134" t="s">
        <v>3808</v>
      </c>
      <c r="G3210" s="63" t="str">
        <f>VLOOKUP(C3210, 'Class Def. - General Data'!$C$20:$C$1000,1,false)</f>
        <v>ZPI1_TAS_DOMPET</v>
      </c>
      <c r="H3210" s="63" t="str">
        <f>IFERROR(__xludf.DUMMYFUNCTION("VLOOKUP(F3210, IMPORTRANGE(""https://docs.google.com/spreadsheets/d/1Lhp9OU0JdFf_VYSMzH5lBcEaU4o8teT1piV-SNzShjg/edit?gid=554141278#gid=554141278"", ""'Char Def. - Attributes'!C20:C2242""), 1,false)"),"ALT_DENUM_UOM2")</f>
        <v>ALT_DENUM_UOM2</v>
      </c>
      <c r="I3210" s="136"/>
    </row>
    <row r="3211" ht="15.75" customHeight="1">
      <c r="B3211" s="63">
        <f t="shared" si="1"/>
        <v>15</v>
      </c>
      <c r="C3211" s="143" t="s">
        <v>153</v>
      </c>
      <c r="D3211" s="143" t="s">
        <v>74</v>
      </c>
      <c r="E3211" s="135">
        <f t="shared" si="59"/>
        <v>38</v>
      </c>
      <c r="F3211" s="134" t="s">
        <v>3809</v>
      </c>
      <c r="G3211" s="63" t="str">
        <f>VLOOKUP(C3211, 'Class Def. - General Data'!$C$20:$C$1000,1,false)</f>
        <v>ZPI1_TAS_DOMPET</v>
      </c>
      <c r="H3211" s="63" t="str">
        <f>IFERROR(__xludf.DUMMYFUNCTION("VLOOKUP(F3211, IMPORTRANGE(""https://docs.google.com/spreadsheets/d/1Lhp9OU0JdFf_VYSMzH5lBcEaU4o8teT1piV-SNzShjg/edit?gid=554141278#gid=554141278"", ""'Char Def. - Attributes'!C20:C2242""), 1,false)"),"ALT_NUM_UOM2")</f>
        <v>ALT_NUM_UOM2</v>
      </c>
      <c r="I3211" s="136"/>
    </row>
    <row r="3212" ht="15.75" customHeight="1">
      <c r="B3212" s="63">
        <f t="shared" si="1"/>
        <v>15</v>
      </c>
      <c r="C3212" s="143" t="s">
        <v>153</v>
      </c>
      <c r="D3212" s="143" t="s">
        <v>74</v>
      </c>
      <c r="E3212" s="135">
        <f t="shared" si="59"/>
        <v>39</v>
      </c>
      <c r="F3212" s="134" t="s">
        <v>3810</v>
      </c>
      <c r="G3212" s="63" t="str">
        <f>VLOOKUP(C3212, 'Class Def. - General Data'!$C$20:$C$1000,1,false)</f>
        <v>ZPI1_TAS_DOMPET</v>
      </c>
      <c r="H3212" s="63" t="str">
        <f>IFERROR(__xludf.DUMMYFUNCTION("VLOOKUP(F3212, IMPORTRANGE(""https://docs.google.com/spreadsheets/d/1Lhp9OU0JdFf_VYSMzH5lBcEaU4o8teT1piV-SNzShjg/edit?gid=554141278#gid=554141278"", ""'Char Def. - Attributes'!C20:C2242""), 1,false)"),"ALT_UOM3_SIPI")</f>
        <v>ALT_UOM3_SIPI</v>
      </c>
      <c r="I3212" s="136"/>
    </row>
    <row r="3213" ht="15.75" customHeight="1">
      <c r="B3213" s="63">
        <f t="shared" si="1"/>
        <v>15</v>
      </c>
      <c r="C3213" s="143" t="s">
        <v>153</v>
      </c>
      <c r="D3213" s="143" t="s">
        <v>74</v>
      </c>
      <c r="E3213" s="135">
        <f t="shared" si="59"/>
        <v>40</v>
      </c>
      <c r="F3213" s="134" t="s">
        <v>3811</v>
      </c>
      <c r="G3213" s="63" t="str">
        <f>VLOOKUP(C3213, 'Class Def. - General Data'!$C$20:$C$1000,1,false)</f>
        <v>ZPI1_TAS_DOMPET</v>
      </c>
      <c r="H3213" s="63" t="str">
        <f>IFERROR(__xludf.DUMMYFUNCTION("VLOOKUP(F3213, IMPORTRANGE(""https://docs.google.com/spreadsheets/d/1Lhp9OU0JdFf_VYSMzH5lBcEaU4o8teT1piV-SNzShjg/edit?gid=554141278#gid=554141278"", ""'Char Def. - Attributes'!C20:C2242""), 1,false)"),"ALT_DENUM_UOM3")</f>
        <v>ALT_DENUM_UOM3</v>
      </c>
      <c r="I3213" s="136"/>
    </row>
    <row r="3214" ht="15.75" customHeight="1">
      <c r="B3214" s="63">
        <f t="shared" si="1"/>
        <v>15</v>
      </c>
      <c r="C3214" s="143" t="s">
        <v>153</v>
      </c>
      <c r="D3214" s="143" t="s">
        <v>74</v>
      </c>
      <c r="E3214" s="135">
        <f t="shared" si="59"/>
        <v>41</v>
      </c>
      <c r="F3214" s="134" t="s">
        <v>3812</v>
      </c>
      <c r="G3214" s="63" t="str">
        <f>VLOOKUP(C3214, 'Class Def. - General Data'!$C$20:$C$1000,1,false)</f>
        <v>ZPI1_TAS_DOMPET</v>
      </c>
      <c r="H3214" s="63" t="str">
        <f>IFERROR(__xludf.DUMMYFUNCTION("VLOOKUP(F3214, IMPORTRANGE(""https://docs.google.com/spreadsheets/d/1Lhp9OU0JdFf_VYSMzH5lBcEaU4o8teT1piV-SNzShjg/edit?gid=554141278#gid=554141278"", ""'Char Def. - Attributes'!C20:C2242""), 1,false)"),"ALT_NUM_UOM3")</f>
        <v>ALT_NUM_UOM3</v>
      </c>
      <c r="I3214" s="136"/>
    </row>
    <row r="3215" ht="15.75" customHeight="1">
      <c r="B3215" s="63">
        <f t="shared" si="1"/>
        <v>15</v>
      </c>
      <c r="C3215" s="143" t="s">
        <v>153</v>
      </c>
      <c r="D3215" s="143" t="s">
        <v>74</v>
      </c>
      <c r="E3215" s="135">
        <f t="shared" si="59"/>
        <v>42</v>
      </c>
      <c r="F3215" s="134" t="s">
        <v>3813</v>
      </c>
      <c r="G3215" s="63" t="str">
        <f>VLOOKUP(C3215, 'Class Def. - General Data'!$C$20:$C$1000,1,false)</f>
        <v>ZPI1_TAS_DOMPET</v>
      </c>
      <c r="H3215" s="63" t="str">
        <f>IFERROR(__xludf.DUMMYFUNCTION("VLOOKUP(F3215, IMPORTRANGE(""https://docs.google.com/spreadsheets/d/1Lhp9OU0JdFf_VYSMzH5lBcEaU4o8teT1piV-SNzShjg/edit?gid=554141278#gid=554141278"", ""'Char Def. - Attributes'!C20:C2242""), 1,false)"),"ALT_UOM4_SIPI")</f>
        <v>ALT_UOM4_SIPI</v>
      </c>
      <c r="I3215" s="136"/>
    </row>
    <row r="3216" ht="15.75" customHeight="1">
      <c r="B3216" s="63">
        <f t="shared" si="1"/>
        <v>15</v>
      </c>
      <c r="C3216" s="143" t="s">
        <v>153</v>
      </c>
      <c r="D3216" s="143" t="s">
        <v>74</v>
      </c>
      <c r="E3216" s="135">
        <f t="shared" si="59"/>
        <v>43</v>
      </c>
      <c r="F3216" s="134" t="s">
        <v>3814</v>
      </c>
      <c r="G3216" s="63" t="str">
        <f>VLOOKUP(C3216, 'Class Def. - General Data'!$C$20:$C$1000,1,false)</f>
        <v>ZPI1_TAS_DOMPET</v>
      </c>
      <c r="H3216" s="63" t="str">
        <f>IFERROR(__xludf.DUMMYFUNCTION("VLOOKUP(F3216, IMPORTRANGE(""https://docs.google.com/spreadsheets/d/1Lhp9OU0JdFf_VYSMzH5lBcEaU4o8teT1piV-SNzShjg/edit?gid=554141278#gid=554141278"", ""'Char Def. - Attributes'!C20:C2242""), 1,false)"),"ALT_DENUM_UOM4")</f>
        <v>ALT_DENUM_UOM4</v>
      </c>
      <c r="I3216" s="136"/>
    </row>
    <row r="3217" ht="15.75" customHeight="1">
      <c r="B3217" s="63">
        <f t="shared" si="1"/>
        <v>15</v>
      </c>
      <c r="C3217" s="143" t="s">
        <v>153</v>
      </c>
      <c r="D3217" s="143" t="s">
        <v>74</v>
      </c>
      <c r="E3217" s="135">
        <f t="shared" si="59"/>
        <v>44</v>
      </c>
      <c r="F3217" s="134" t="s">
        <v>3815</v>
      </c>
      <c r="G3217" s="63" t="str">
        <f>VLOOKUP(C3217, 'Class Def. - General Data'!$C$20:$C$1000,1,false)</f>
        <v>ZPI1_TAS_DOMPET</v>
      </c>
      <c r="H3217" s="63" t="str">
        <f>IFERROR(__xludf.DUMMYFUNCTION("VLOOKUP(F3217, IMPORTRANGE(""https://docs.google.com/spreadsheets/d/1Lhp9OU0JdFf_VYSMzH5lBcEaU4o8teT1piV-SNzShjg/edit?gid=554141278#gid=554141278"", ""'Char Def. - Attributes'!C20:C2242""), 1,false)"),"ALT_NUM_UOM4")</f>
        <v>ALT_NUM_UOM4</v>
      </c>
      <c r="I3217" s="136"/>
    </row>
    <row r="3218" ht="15.75" customHeight="1">
      <c r="B3218" s="63">
        <f t="shared" si="1"/>
        <v>15</v>
      </c>
      <c r="C3218" s="143" t="s">
        <v>153</v>
      </c>
      <c r="D3218" s="143" t="s">
        <v>74</v>
      </c>
      <c r="E3218" s="135">
        <f t="shared" si="59"/>
        <v>45</v>
      </c>
      <c r="F3218" s="134" t="s">
        <v>3816</v>
      </c>
      <c r="G3218" s="63" t="str">
        <f>VLOOKUP(C3218, 'Class Def. - General Data'!$C$20:$C$1000,1,false)</f>
        <v>ZPI1_TAS_DOMPET</v>
      </c>
      <c r="H3218" s="63" t="str">
        <f>IFERROR(__xludf.DUMMYFUNCTION("VLOOKUP(F3218, IMPORTRANGE(""https://docs.google.com/spreadsheets/d/1Lhp9OU0JdFf_VYSMzH5lBcEaU4o8teT1piV-SNzShjg/edit?gid=554141278#gid=554141278"", ""'Char Def. - Attributes'!C20:C2242""), 1,false)"),"ALT_UOM5_SIPI")</f>
        <v>ALT_UOM5_SIPI</v>
      </c>
      <c r="I3218" s="136"/>
    </row>
    <row r="3219" ht="15.75" customHeight="1">
      <c r="B3219" s="63">
        <f t="shared" si="1"/>
        <v>15</v>
      </c>
      <c r="C3219" s="143" t="s">
        <v>153</v>
      </c>
      <c r="D3219" s="143" t="s">
        <v>74</v>
      </c>
      <c r="E3219" s="135">
        <f t="shared" si="59"/>
        <v>46</v>
      </c>
      <c r="F3219" s="134" t="s">
        <v>3817</v>
      </c>
      <c r="G3219" s="63" t="str">
        <f>VLOOKUP(C3219, 'Class Def. - General Data'!$C$20:$C$1000,1,false)</f>
        <v>ZPI1_TAS_DOMPET</v>
      </c>
      <c r="H3219" s="63" t="str">
        <f>IFERROR(__xludf.DUMMYFUNCTION("VLOOKUP(F3219, IMPORTRANGE(""https://docs.google.com/spreadsheets/d/1Lhp9OU0JdFf_VYSMzH5lBcEaU4o8teT1piV-SNzShjg/edit?gid=554141278#gid=554141278"", ""'Char Def. - Attributes'!C20:C2242""), 1,false)"),"ALT_DENUM_UOM5")</f>
        <v>ALT_DENUM_UOM5</v>
      </c>
      <c r="I3219" s="136"/>
    </row>
    <row r="3220" ht="15.75" customHeight="1">
      <c r="B3220" s="63">
        <f t="shared" si="1"/>
        <v>15</v>
      </c>
      <c r="C3220" s="143" t="s">
        <v>153</v>
      </c>
      <c r="D3220" s="143" t="s">
        <v>74</v>
      </c>
      <c r="E3220" s="135">
        <f t="shared" si="59"/>
        <v>47</v>
      </c>
      <c r="F3220" s="134" t="s">
        <v>3818</v>
      </c>
      <c r="G3220" s="63" t="str">
        <f>VLOOKUP(C3220, 'Class Def. - General Data'!$C$20:$C$1000,1,false)</f>
        <v>ZPI1_TAS_DOMPET</v>
      </c>
      <c r="H3220" s="63" t="str">
        <f>IFERROR(__xludf.DUMMYFUNCTION("VLOOKUP(F3220, IMPORTRANGE(""https://docs.google.com/spreadsheets/d/1Lhp9OU0JdFf_VYSMzH5lBcEaU4o8teT1piV-SNzShjg/edit?gid=554141278#gid=554141278"", ""'Char Def. - Attributes'!C20:C2242""), 1,false)"),"ALT_NUM_UOM5")</f>
        <v>ALT_NUM_UOM5</v>
      </c>
      <c r="I3220" s="136"/>
    </row>
    <row r="3221" ht="15.75" customHeight="1">
      <c r="B3221" s="63">
        <f t="shared" si="1"/>
        <v>18</v>
      </c>
      <c r="C3221" s="146" t="s">
        <v>241</v>
      </c>
      <c r="D3221" s="147" t="s">
        <v>74</v>
      </c>
      <c r="E3221" s="135">
        <f t="shared" si="59"/>
        <v>1</v>
      </c>
      <c r="F3221" s="134" t="s">
        <v>3851</v>
      </c>
      <c r="G3221" s="63" t="str">
        <f>VLOOKUP(C3221, 'Class Def. - General Data'!$C$20:$C$1000,1,false)</f>
        <v>ZPM1_Aero_TBHandle</v>
      </c>
      <c r="H3221" s="63" t="str">
        <f>IFERROR(__xludf.DUMMYFUNCTION("VLOOKUP(F3221, IMPORTRANGE(""https://docs.google.com/spreadsheets/d/1Lhp9OU0JdFf_VYSMzH5lBcEaU4o8teT1piV-SNzShjg/edit?gid=554141278#gid=554141278"", ""'Char Def. - Attributes'!C20:C2242""), 1,false)"),"MATERIAL_CODE_AERO_TBHANDLE")</f>
        <v>MATERIAL_CODE_AERO_TBHANDLE</v>
      </c>
      <c r="I3221" s="136"/>
    </row>
    <row r="3222" ht="15.75" customHeight="1">
      <c r="B3222" s="63">
        <f t="shared" si="1"/>
        <v>18</v>
      </c>
      <c r="C3222" s="146" t="s">
        <v>241</v>
      </c>
      <c r="D3222" s="147" t="s">
        <v>74</v>
      </c>
      <c r="E3222" s="135">
        <f t="shared" si="59"/>
        <v>2</v>
      </c>
      <c r="F3222" s="143" t="s">
        <v>3852</v>
      </c>
      <c r="G3222" s="63" t="str">
        <f>VLOOKUP(C3222, 'Class Def. - General Data'!$C$20:$C$1000,1,false)</f>
        <v>ZPM1_Aero_TBHandle</v>
      </c>
      <c r="H3222" s="63" t="str">
        <f>IFERROR(__xludf.DUMMYFUNCTION("VLOOKUP(F3222, IMPORTRANGE(""https://docs.google.com/spreadsheets/d/1Lhp9OU0JdFf_VYSMzH5lBcEaU4o8teT1piV-SNzShjg/edit?gid=554141278#gid=554141278"", ""'Char Def. - Attributes'!C20:C2242""), 1,false)"),"SINGLE_BRAND")</f>
        <v>SINGLE_BRAND</v>
      </c>
      <c r="I3222" s="136"/>
    </row>
    <row r="3223" ht="15.75" customHeight="1">
      <c r="B3223" s="63">
        <f t="shared" si="1"/>
        <v>18</v>
      </c>
      <c r="C3223" s="146" t="s">
        <v>241</v>
      </c>
      <c r="D3223" s="147" t="s">
        <v>74</v>
      </c>
      <c r="E3223" s="135">
        <f t="shared" si="59"/>
        <v>3</v>
      </c>
      <c r="F3223" s="143" t="s">
        <v>3853</v>
      </c>
      <c r="G3223" s="63" t="str">
        <f>VLOOKUP(C3223, 'Class Def. - General Data'!$C$20:$C$1000,1,false)</f>
        <v>ZPM1_Aero_TBHandle</v>
      </c>
      <c r="H3223" s="63" t="str">
        <f>IFERROR(__xludf.DUMMYFUNCTION("VLOOKUP(F3223, IMPORTRANGE(""https://docs.google.com/spreadsheets/d/1Lhp9OU0JdFf_VYSMzH5lBcEaU4o8teT1piV-SNzShjg/edit?gid=554141278#gid=554141278"", ""'Char Def. - Attributes'!C20:C2242""), 1,false)"),"BRAND_WINGS")</f>
        <v>BRAND_WINGS</v>
      </c>
      <c r="I3223" s="136"/>
    </row>
    <row r="3224" ht="15.75" customHeight="1">
      <c r="B3224" s="63">
        <f t="shared" si="1"/>
        <v>18</v>
      </c>
      <c r="C3224" s="146" t="s">
        <v>241</v>
      </c>
      <c r="D3224" s="147" t="s">
        <v>74</v>
      </c>
      <c r="E3224" s="135">
        <f t="shared" si="59"/>
        <v>4</v>
      </c>
      <c r="F3224" s="143" t="s">
        <v>3854</v>
      </c>
      <c r="G3224" s="63" t="str">
        <f>VLOOKUP(C3224, 'Class Def. - General Data'!$C$20:$C$1000,1,false)</f>
        <v>ZPM1_Aero_TBHandle</v>
      </c>
      <c r="H3224" s="63" t="str">
        <f>IFERROR(__xludf.DUMMYFUNCTION("VLOOKUP(F3224, IMPORTRANGE(""https://docs.google.com/spreadsheets/d/1Lhp9OU0JdFf_VYSMzH5lBcEaU4o8teT1piV-SNzShjg/edit?gid=554141278#gid=554141278"", ""'Char Def. - Attributes'!C20:C2242""), 1,false)"),"SINGLE_PACK_SHAPE")</f>
        <v>SINGLE_PACK_SHAPE</v>
      </c>
      <c r="I3224" s="136"/>
    </row>
    <row r="3225" ht="15.75" customHeight="1">
      <c r="B3225" s="63">
        <f t="shared" si="1"/>
        <v>18</v>
      </c>
      <c r="C3225" s="146" t="s">
        <v>241</v>
      </c>
      <c r="D3225" s="147" t="s">
        <v>74</v>
      </c>
      <c r="E3225" s="135">
        <f t="shared" si="59"/>
        <v>5</v>
      </c>
      <c r="F3225" s="143" t="s">
        <v>3855</v>
      </c>
      <c r="G3225" s="63" t="str">
        <f>VLOOKUP(C3225, 'Class Def. - General Data'!$C$20:$C$1000,1,false)</f>
        <v>ZPM1_Aero_TBHandle</v>
      </c>
      <c r="H3225" s="63" t="str">
        <f>IFERROR(__xludf.DUMMYFUNCTION("VLOOKUP(F3225, IMPORTRANGE(""https://docs.google.com/spreadsheets/d/1Lhp9OU0JdFf_VYSMzH5lBcEaU4o8teT1piV-SNzShjg/edit?gid=554141278#gid=554141278"", ""'Char Def. - Attributes'!C20:C2242""), 1,false)"),"PACK_SHAPE")</f>
        <v>PACK_SHAPE</v>
      </c>
      <c r="I3225" s="136"/>
    </row>
    <row r="3226" ht="15.75" customHeight="1">
      <c r="B3226" s="63">
        <f t="shared" si="1"/>
        <v>18</v>
      </c>
      <c r="C3226" s="146" t="s">
        <v>241</v>
      </c>
      <c r="D3226" s="147" t="s">
        <v>74</v>
      </c>
      <c r="E3226" s="135">
        <f t="shared" si="59"/>
        <v>6</v>
      </c>
      <c r="F3226" s="143" t="s">
        <v>3856</v>
      </c>
      <c r="G3226" s="63" t="str">
        <f>VLOOKUP(C3226, 'Class Def. - General Data'!$C$20:$C$1000,1,false)</f>
        <v>ZPM1_Aero_TBHandle</v>
      </c>
      <c r="H3226" s="63" t="str">
        <f>IFERROR(__xludf.DUMMYFUNCTION("VLOOKUP(F3226, IMPORTRANGE(""https://docs.google.com/spreadsheets/d/1Lhp9OU0JdFf_VYSMzH5lBcEaU4o8teT1piV-SNzShjg/edit?gid=554141278#gid=554141278"", ""'Char Def. - Attributes'!C20:C2242""), 1,false)"),"SINGLE_PACK_NETTO")</f>
        <v>SINGLE_PACK_NETTO</v>
      </c>
      <c r="I3226" s="136"/>
    </row>
    <row r="3227" ht="15.75" customHeight="1">
      <c r="B3227" s="63">
        <f t="shared" si="1"/>
        <v>18</v>
      </c>
      <c r="C3227" s="146" t="s">
        <v>241</v>
      </c>
      <c r="D3227" s="147" t="s">
        <v>74</v>
      </c>
      <c r="E3227" s="135">
        <f t="shared" si="59"/>
        <v>7</v>
      </c>
      <c r="F3227" s="143" t="s">
        <v>3605</v>
      </c>
      <c r="G3227" s="63" t="str">
        <f>VLOOKUP(C3227, 'Class Def. - General Data'!$C$20:$C$1000,1,false)</f>
        <v>ZPM1_Aero_TBHandle</v>
      </c>
      <c r="H3227" s="63" t="str">
        <f>IFERROR(__xludf.DUMMYFUNCTION("VLOOKUP(F3227, IMPORTRANGE(""https://docs.google.com/spreadsheets/d/1Lhp9OU0JdFf_VYSMzH5lBcEaU4o8teT1piV-SNzShjg/edit?gid=554141278#gid=554141278"", ""'Char Def. - Attributes'!C20:C2242""), 1,false)"),"PACK_NETTO")</f>
        <v>PACK_NETTO</v>
      </c>
      <c r="I3227" s="136"/>
    </row>
    <row r="3228" ht="15.75" customHeight="1">
      <c r="B3228" s="63">
        <f t="shared" si="1"/>
        <v>18</v>
      </c>
      <c r="C3228" s="146" t="s">
        <v>241</v>
      </c>
      <c r="D3228" s="147" t="s">
        <v>74</v>
      </c>
      <c r="E3228" s="135">
        <f t="shared" si="59"/>
        <v>8</v>
      </c>
      <c r="F3228" s="143" t="s">
        <v>3857</v>
      </c>
      <c r="G3228" s="63" t="str">
        <f>VLOOKUP(C3228, 'Class Def. - General Data'!$C$20:$C$1000,1,false)</f>
        <v>ZPM1_Aero_TBHandle</v>
      </c>
      <c r="H3228" s="63" t="str">
        <f>IFERROR(__xludf.DUMMYFUNCTION("VLOOKUP(F3228, IMPORTRANGE(""https://docs.google.com/spreadsheets/d/1Lhp9OU0JdFf_VYSMzH5lBcEaU4o8teT1piV-SNzShjg/edit?gid=554141278#gid=554141278"", ""'Char Def. - Attributes'!C20:C2242""), 1,false)"),"PACK_UOM")</f>
        <v>PACK_UOM</v>
      </c>
      <c r="I3228" s="136"/>
    </row>
    <row r="3229" ht="15.75" customHeight="1">
      <c r="B3229" s="63">
        <f t="shared" si="1"/>
        <v>18</v>
      </c>
      <c r="C3229" s="146" t="s">
        <v>241</v>
      </c>
      <c r="D3229" s="147" t="s">
        <v>74</v>
      </c>
      <c r="E3229" s="135">
        <f t="shared" si="59"/>
        <v>9</v>
      </c>
      <c r="F3229" s="143" t="s">
        <v>3858</v>
      </c>
      <c r="G3229" s="63" t="str">
        <f>VLOOKUP(C3229, 'Class Def. - General Data'!$C$20:$C$1000,1,false)</f>
        <v>ZPM1_Aero_TBHandle</v>
      </c>
      <c r="H3229" s="63" t="str">
        <f>IFERROR(__xludf.DUMMYFUNCTION("VLOOKUP(F3229, IMPORTRANGE(""https://docs.google.com/spreadsheets/d/1Lhp9OU0JdFf_VYSMzH5lBcEaU4o8teT1piV-SNzShjg/edit?gid=554141278#gid=554141278"", ""'Char Def. - Attributes'!C20:C2242""), 1,false)"),"SINGLE_VARIAN")</f>
        <v>SINGLE_VARIAN</v>
      </c>
      <c r="I3229" s="136"/>
    </row>
    <row r="3230" ht="15.75" customHeight="1">
      <c r="B3230" s="63">
        <f t="shared" si="1"/>
        <v>18</v>
      </c>
      <c r="C3230" s="146" t="s">
        <v>241</v>
      </c>
      <c r="D3230" s="147" t="s">
        <v>74</v>
      </c>
      <c r="E3230" s="135">
        <f t="shared" si="59"/>
        <v>10</v>
      </c>
      <c r="F3230" s="143" t="s">
        <v>3607</v>
      </c>
      <c r="G3230" s="63" t="str">
        <f>VLOOKUP(C3230, 'Class Def. - General Data'!$C$20:$C$1000,1,false)</f>
        <v>ZPM1_Aero_TBHandle</v>
      </c>
      <c r="H3230" s="63" t="str">
        <f>IFERROR(__xludf.DUMMYFUNCTION("VLOOKUP(F3230, IMPORTRANGE(""https://docs.google.com/spreadsheets/d/1Lhp9OU0JdFf_VYSMzH5lBcEaU4o8teT1piV-SNzShjg/edit?gid=554141278#gid=554141278"", ""'Char Def. - Attributes'!C20:C2242""), 1,false)"),"VARIAN")</f>
        <v>VARIAN</v>
      </c>
      <c r="I3230" s="136"/>
    </row>
    <row r="3231" ht="15.75" customHeight="1">
      <c r="B3231" s="63">
        <f t="shared" si="1"/>
        <v>18</v>
      </c>
      <c r="C3231" s="146" t="s">
        <v>241</v>
      </c>
      <c r="D3231" s="147" t="s">
        <v>74</v>
      </c>
      <c r="E3231" s="135">
        <f t="shared" si="59"/>
        <v>11</v>
      </c>
      <c r="F3231" s="143" t="s">
        <v>3859</v>
      </c>
      <c r="G3231" s="63" t="str">
        <f>VLOOKUP(C3231, 'Class Def. - General Data'!$C$20:$C$1000,1,false)</f>
        <v>ZPM1_Aero_TBHandle</v>
      </c>
      <c r="H3231" s="63" t="str">
        <f>IFERROR(__xludf.DUMMYFUNCTION("VLOOKUP(F3231, IMPORTRANGE(""https://docs.google.com/spreadsheets/d/1Lhp9OU0JdFf_VYSMzH5lBcEaU4o8teT1piV-SNzShjg/edit?gid=554141278#gid=554141278"", ""'Char Def. - Attributes'!C20:C2242""), 1,false)"),"ADA_ADDITIONAL_PROMO")</f>
        <v>ADA_ADDITIONAL_PROMO</v>
      </c>
      <c r="I3231" s="136"/>
    </row>
    <row r="3232" ht="15.75" customHeight="1">
      <c r="B3232" s="63">
        <f t="shared" si="1"/>
        <v>18</v>
      </c>
      <c r="C3232" s="146" t="s">
        <v>241</v>
      </c>
      <c r="D3232" s="147" t="s">
        <v>74</v>
      </c>
      <c r="E3232" s="135">
        <f t="shared" si="59"/>
        <v>12</v>
      </c>
      <c r="F3232" s="143" t="s">
        <v>3609</v>
      </c>
      <c r="G3232" s="63" t="str">
        <f>VLOOKUP(C3232, 'Class Def. - General Data'!$C$20:$C$1000,1,false)</f>
        <v>ZPM1_Aero_TBHandle</v>
      </c>
      <c r="H3232" s="63" t="str">
        <f>IFERROR(__xludf.DUMMYFUNCTION("VLOOKUP(F3232, IMPORTRANGE(""https://docs.google.com/spreadsheets/d/1Lhp9OU0JdFf_VYSMzH5lBcEaU4o8teT1piV-SNzShjg/edit?gid=554141278#gid=554141278"", ""'Char Def. - Attributes'!C20:C2242""), 1,false)"),"ADDITIONAL_PROMO")</f>
        <v>ADDITIONAL_PROMO</v>
      </c>
      <c r="I3232" s="136"/>
    </row>
    <row r="3233" ht="15.75" customHeight="1">
      <c r="B3233" s="63">
        <f t="shared" si="1"/>
        <v>18</v>
      </c>
      <c r="C3233" s="146" t="s">
        <v>241</v>
      </c>
      <c r="D3233" s="147" t="s">
        <v>74</v>
      </c>
      <c r="E3233" s="135">
        <f t="shared" si="59"/>
        <v>13</v>
      </c>
      <c r="F3233" s="143" t="s">
        <v>3860</v>
      </c>
      <c r="G3233" s="63" t="str">
        <f>VLOOKUP(C3233, 'Class Def. - General Data'!$C$20:$C$1000,1,false)</f>
        <v>ZPM1_Aero_TBHandle</v>
      </c>
      <c r="H3233" s="63" t="str">
        <f>IFERROR(__xludf.DUMMYFUNCTION("VLOOKUP(F3233, IMPORTRANGE(""https://docs.google.com/spreadsheets/d/1Lhp9OU0JdFf_VYSMzH5lBcEaU4o8teT1piV-SNzShjg/edit?gid=554141278#gid=554141278"", ""'Char Def. - Attributes'!C20:C2242""), 1,false)"),"ADA_BANDED_PROMO")</f>
        <v>ADA_BANDED_PROMO</v>
      </c>
      <c r="I3233" s="136"/>
    </row>
    <row r="3234" ht="15.75" customHeight="1">
      <c r="B3234" s="63">
        <f t="shared" si="1"/>
        <v>18</v>
      </c>
      <c r="C3234" s="146" t="s">
        <v>241</v>
      </c>
      <c r="D3234" s="147" t="s">
        <v>74</v>
      </c>
      <c r="E3234" s="135">
        <f t="shared" si="59"/>
        <v>14</v>
      </c>
      <c r="F3234" s="143" t="s">
        <v>3610</v>
      </c>
      <c r="G3234" s="63" t="str">
        <f>VLOOKUP(C3234, 'Class Def. - General Data'!$C$20:$C$1000,1,false)</f>
        <v>ZPM1_Aero_TBHandle</v>
      </c>
      <c r="H3234" s="63" t="str">
        <f>IFERROR(__xludf.DUMMYFUNCTION("VLOOKUP(F3234, IMPORTRANGE(""https://docs.google.com/spreadsheets/d/1Lhp9OU0JdFf_VYSMzH5lBcEaU4o8teT1piV-SNzShjg/edit?gid=554141278#gid=554141278"", ""'Char Def. - Attributes'!C20:C2242""), 1,false)"),"BANDED_PROMO")</f>
        <v>BANDED_PROMO</v>
      </c>
      <c r="I3234" s="136"/>
    </row>
    <row r="3235" ht="15.75" customHeight="1">
      <c r="B3235" s="63">
        <f t="shared" si="1"/>
        <v>18</v>
      </c>
      <c r="C3235" s="146" t="s">
        <v>241</v>
      </c>
      <c r="D3235" s="147" t="s">
        <v>74</v>
      </c>
      <c r="E3235" s="135">
        <f t="shared" si="59"/>
        <v>15</v>
      </c>
      <c r="F3235" s="143" t="s">
        <v>1292</v>
      </c>
      <c r="G3235" s="63" t="str">
        <f>VLOOKUP(C3235, 'Class Def. - General Data'!$C$20:$C$1000,1,false)</f>
        <v>ZPM1_Aero_TBHandle</v>
      </c>
      <c r="H3235" s="63" t="str">
        <f>IFERROR(__xludf.DUMMYFUNCTION("VLOOKUP(F3235, IMPORTRANGE(""https://docs.google.com/spreadsheets/d/1Lhp9OU0JdFf_VYSMzH5lBcEaU4o8teT1piV-SNzShjg/edit?gid=554141278#gid=554141278"", ""'Char Def. - Attributes'!C20:C2242""), 1,false)"),"EXPORT")</f>
        <v>EXPORT</v>
      </c>
      <c r="I3235" s="136"/>
    </row>
    <row r="3236" ht="15.75" customHeight="1">
      <c r="B3236" s="63">
        <f t="shared" si="1"/>
        <v>18</v>
      </c>
      <c r="C3236" s="146" t="s">
        <v>241</v>
      </c>
      <c r="D3236" s="147" t="s">
        <v>74</v>
      </c>
      <c r="E3236" s="135">
        <f t="shared" si="59"/>
        <v>16</v>
      </c>
      <c r="F3236" s="143" t="s">
        <v>3612</v>
      </c>
      <c r="G3236" s="63" t="str">
        <f>VLOOKUP(C3236, 'Class Def. - General Data'!$C$20:$C$1000,1,false)</f>
        <v>ZPM1_Aero_TBHandle</v>
      </c>
      <c r="H3236" s="63" t="str">
        <f>IFERROR(__xludf.DUMMYFUNCTION("VLOOKUP(F3236, IMPORTRANGE(""https://docs.google.com/spreadsheets/d/1Lhp9OU0JdFf_VYSMzH5lBcEaU4o8teT1piV-SNzShjg/edit?gid=554141278#gid=554141278"", ""'Char Def. - Attributes'!C20:C2242""), 1,false)"),"COUNTRY_EKSPOR")</f>
        <v>COUNTRY_EKSPOR</v>
      </c>
      <c r="I3236" s="136"/>
    </row>
    <row r="3237" ht="15.75" customHeight="1">
      <c r="B3237" s="63">
        <f t="shared" si="1"/>
        <v>18</v>
      </c>
      <c r="C3237" s="146" t="s">
        <v>241</v>
      </c>
      <c r="D3237" s="147" t="s">
        <v>74</v>
      </c>
      <c r="E3237" s="135">
        <f t="shared" si="59"/>
        <v>17</v>
      </c>
      <c r="F3237" s="143" t="s">
        <v>3861</v>
      </c>
      <c r="G3237" s="63" t="str">
        <f>VLOOKUP(C3237, 'Class Def. - General Data'!$C$20:$C$1000,1,false)</f>
        <v>ZPM1_Aero_TBHandle</v>
      </c>
      <c r="H3237" s="63" t="str">
        <f>IFERROR(__xludf.DUMMYFUNCTION("VLOOKUP(F3237, IMPORTRANGE(""https://docs.google.com/spreadsheets/d/1Lhp9OU0JdFf_VYSMzH5lBcEaU4o8teT1piV-SNzShjg/edit?gid=554141278#gid=554141278"", ""'Char Def. - Attributes'!C20:C2242""), 1,false)"),"PEMBATAS")</f>
        <v>PEMBATAS</v>
      </c>
      <c r="I3237" s="136"/>
    </row>
    <row r="3238" ht="15.75" customHeight="1">
      <c r="B3238" s="63">
        <f t="shared" si="1"/>
        <v>18</v>
      </c>
      <c r="C3238" s="146" t="s">
        <v>241</v>
      </c>
      <c r="D3238" s="147" t="s">
        <v>74</v>
      </c>
      <c r="E3238" s="135">
        <f t="shared" si="59"/>
        <v>18</v>
      </c>
      <c r="F3238" s="143" t="s">
        <v>3862</v>
      </c>
      <c r="G3238" s="63" t="str">
        <f>VLOOKUP(C3238, 'Class Def. - General Data'!$C$20:$C$1000,1,false)</f>
        <v>ZPM1_Aero_TBHandle</v>
      </c>
      <c r="H3238" s="63" t="str">
        <f>IFERROR(__xludf.DUMMYFUNCTION("VLOOKUP(F3238, IMPORTRANGE(""https://docs.google.com/spreadsheets/d/1Lhp9OU0JdFf_VYSMzH5lBcEaU4o8teT1piV-SNzShjg/edit?gid=554141278#gid=554141278"", ""'Char Def. - Attributes'!C20:C2242""), 1,false)"),"MONTH")</f>
        <v>MONTH</v>
      </c>
      <c r="I3238" s="136"/>
    </row>
    <row r="3239" ht="15.75" customHeight="1">
      <c r="B3239" s="63">
        <f t="shared" si="1"/>
        <v>18</v>
      </c>
      <c r="C3239" s="146" t="s">
        <v>241</v>
      </c>
      <c r="D3239" s="147" t="s">
        <v>74</v>
      </c>
      <c r="E3239" s="135">
        <f t="shared" si="59"/>
        <v>19</v>
      </c>
      <c r="F3239" s="143" t="s">
        <v>3863</v>
      </c>
      <c r="G3239" s="63" t="str">
        <f>VLOOKUP(C3239, 'Class Def. - General Data'!$C$20:$C$1000,1,false)</f>
        <v>ZPM1_Aero_TBHandle</v>
      </c>
      <c r="H3239" s="63" t="str">
        <f>IFERROR(__xludf.DUMMYFUNCTION("VLOOKUP(F3239, IMPORTRANGE(""https://docs.google.com/spreadsheets/d/1Lhp9OU0JdFf_VYSMzH5lBcEaU4o8teT1piV-SNzShjg/edit?gid=554141278#gid=554141278"", ""'Char Def. - Attributes'!C20:C2242""), 1,false)"),"YEAR")</f>
        <v>YEAR</v>
      </c>
      <c r="I3239" s="136"/>
    </row>
    <row r="3240" ht="15.75" customHeight="1">
      <c r="B3240" s="63">
        <f t="shared" si="1"/>
        <v>18</v>
      </c>
      <c r="C3240" s="146" t="s">
        <v>241</v>
      </c>
      <c r="D3240" s="147" t="s">
        <v>74</v>
      </c>
      <c r="E3240" s="135">
        <f t="shared" si="59"/>
        <v>20</v>
      </c>
      <c r="F3240" s="143" t="s">
        <v>3864</v>
      </c>
      <c r="G3240" s="63" t="str">
        <f>VLOOKUP(C3240, 'Class Def. - General Data'!$C$20:$C$1000,1,false)</f>
        <v>ZPM1_Aero_TBHandle</v>
      </c>
      <c r="H3240" s="63" t="str">
        <f>IFERROR(__xludf.DUMMYFUNCTION("VLOOKUP(F3240, IMPORTRANGE(""https://docs.google.com/spreadsheets/d/1Lhp9OU0JdFf_VYSMzH5lBcEaU4o8teT1piV-SNzShjg/edit?gid=554141278#gid=554141278"", ""'Char Def. - Attributes'!C20:C2242""), 1,false)"),"DIMENSION_OPT")</f>
        <v>DIMENSION_OPT</v>
      </c>
      <c r="I3240" s="136"/>
    </row>
    <row r="3241" ht="15.75" customHeight="1">
      <c r="B3241" s="63">
        <f t="shared" si="1"/>
        <v>18</v>
      </c>
      <c r="C3241" s="146" t="s">
        <v>241</v>
      </c>
      <c r="D3241" s="147" t="s">
        <v>74</v>
      </c>
      <c r="E3241" s="135">
        <f t="shared" si="59"/>
        <v>21</v>
      </c>
      <c r="F3241" s="143" t="s">
        <v>3587</v>
      </c>
      <c r="G3241" s="63" t="str">
        <f>VLOOKUP(C3241, 'Class Def. - General Data'!$C$20:$C$1000,1,false)</f>
        <v>ZPM1_Aero_TBHandle</v>
      </c>
      <c r="H3241" s="63" t="str">
        <f>IFERROR(__xludf.DUMMYFUNCTION("VLOOKUP(F3241, IMPORTRANGE(""https://docs.google.com/spreadsheets/d/1Lhp9OU0JdFf_VYSMzH5lBcEaU4o8teT1piV-SNzShjg/edit?gid=554141278#gid=554141278"", ""'Char Def. - Attributes'!C20:C2242""), 1,false)"),"PLANT_BUY")</f>
        <v>PLANT_BUY</v>
      </c>
      <c r="I3241" s="136"/>
    </row>
    <row r="3242" ht="15.75" customHeight="1">
      <c r="B3242" s="63">
        <f t="shared" si="1"/>
        <v>18</v>
      </c>
      <c r="C3242" s="146" t="s">
        <v>241</v>
      </c>
      <c r="D3242" s="147" t="s">
        <v>74</v>
      </c>
      <c r="E3242" s="135">
        <f t="shared" si="59"/>
        <v>22</v>
      </c>
      <c r="F3242" s="143" t="s">
        <v>3865</v>
      </c>
      <c r="G3242" s="63" t="str">
        <f>VLOOKUP(C3242, 'Class Def. - General Data'!$C$20:$C$1000,1,false)</f>
        <v>ZPM1_Aero_TBHandle</v>
      </c>
      <c r="H3242" s="63" t="str">
        <f>IFERROR(__xludf.DUMMYFUNCTION("VLOOKUP(F3242, IMPORTRANGE(""https://docs.google.com/spreadsheets/d/1Lhp9OU0JdFf_VYSMzH5lBcEaU4o8teT1piV-SNzShjg/edit?gid=554141278#gid=554141278"", ""'Char Def. - Attributes'!C20:C2242""), 1,false)"),"PLANT_PROD_OPT")</f>
        <v>PLANT_PROD_OPT</v>
      </c>
      <c r="I3242" s="136"/>
    </row>
    <row r="3243" ht="15.75" customHeight="1">
      <c r="B3243" s="63">
        <f t="shared" si="1"/>
        <v>18</v>
      </c>
      <c r="C3243" s="146" t="s">
        <v>241</v>
      </c>
      <c r="D3243" s="147" t="s">
        <v>74</v>
      </c>
      <c r="E3243" s="135">
        <f t="shared" si="59"/>
        <v>23</v>
      </c>
      <c r="F3243" s="143" t="s">
        <v>3866</v>
      </c>
      <c r="G3243" s="63" t="str">
        <f>VLOOKUP(C3243, 'Class Def. - General Data'!$C$20:$C$1000,1,false)</f>
        <v>ZPM1_Aero_TBHandle</v>
      </c>
      <c r="H3243" s="63" t="str">
        <f>IFERROR(__xludf.DUMMYFUNCTION("VLOOKUP(F3243, IMPORTRANGE(""https://docs.google.com/spreadsheets/d/1Lhp9OU0JdFf_VYSMzH5lBcEaU4o8teT1piV-SNzShjg/edit?gid=554141278#gid=554141278"", ""'Char Def. - Attributes'!C20:C2242""), 1,false)"),"PM_SUPPLY_JKT")</f>
        <v>PM_SUPPLY_JKT</v>
      </c>
      <c r="I3243" s="136"/>
    </row>
    <row r="3244" ht="15.75" customHeight="1">
      <c r="B3244" s="63">
        <f t="shared" si="1"/>
        <v>18</v>
      </c>
      <c r="C3244" s="146" t="s">
        <v>241</v>
      </c>
      <c r="D3244" s="147" t="s">
        <v>74</v>
      </c>
      <c r="E3244" s="135">
        <f t="shared" si="59"/>
        <v>24</v>
      </c>
      <c r="F3244" s="143" t="s">
        <v>3867</v>
      </c>
      <c r="G3244" s="63" t="str">
        <f>VLOOKUP(C3244, 'Class Def. - General Data'!$C$20:$C$1000,1,false)</f>
        <v>ZPM1_Aero_TBHandle</v>
      </c>
      <c r="H3244" s="63" t="str">
        <f>IFERROR(__xludf.DUMMYFUNCTION("VLOOKUP(F3244, IMPORTRANGE(""https://docs.google.com/spreadsheets/d/1Lhp9OU0JdFf_VYSMzH5lBcEaU4o8teT1piV-SNzShjg/edit?gid=554141278#gid=554141278"", ""'Char Def. - Attributes'!C20:C2242""), 1,false)"),"PM_SUPPLY_SBY")</f>
        <v>PM_SUPPLY_SBY</v>
      </c>
      <c r="I3244" s="136"/>
    </row>
    <row r="3245" ht="15.75" customHeight="1">
      <c r="B3245" s="63">
        <f t="shared" si="1"/>
        <v>18</v>
      </c>
      <c r="C3245" s="146" t="s">
        <v>241</v>
      </c>
      <c r="D3245" s="147" t="s">
        <v>74</v>
      </c>
      <c r="E3245" s="135">
        <f t="shared" si="59"/>
        <v>25</v>
      </c>
      <c r="F3245" s="143" t="s">
        <v>3868</v>
      </c>
      <c r="G3245" s="63" t="str">
        <f>VLOOKUP(C3245, 'Class Def. - General Data'!$C$20:$C$1000,1,false)</f>
        <v>ZPM1_Aero_TBHandle</v>
      </c>
      <c r="H3245" s="63" t="str">
        <f>IFERROR(__xludf.DUMMYFUNCTION("VLOOKUP(F3245, IMPORTRANGE(""https://docs.google.com/spreadsheets/d/1Lhp9OU0JdFf_VYSMzH5lBcEaU4o8teT1piV-SNzShjg/edit?gid=554141278#gid=554141278"", ""'Char Def. - Attributes'!C20:C2242""), 1,false)"),"BASIC_UOM_RMPM")</f>
        <v>BASIC_UOM_RMPM</v>
      </c>
      <c r="I3245" s="136"/>
    </row>
    <row r="3246" ht="15.75" customHeight="1">
      <c r="B3246" s="63">
        <f t="shared" si="1"/>
        <v>18</v>
      </c>
      <c r="C3246" s="146" t="s">
        <v>241</v>
      </c>
      <c r="D3246" s="147" t="s">
        <v>74</v>
      </c>
      <c r="E3246" s="135">
        <f t="shared" si="59"/>
        <v>26</v>
      </c>
      <c r="F3246" s="143" t="s">
        <v>3869</v>
      </c>
      <c r="G3246" s="63" t="str">
        <f>VLOOKUP(C3246, 'Class Def. - General Data'!$C$20:$C$1000,1,false)</f>
        <v>ZPM1_Aero_TBHandle</v>
      </c>
      <c r="H3246" s="63" t="str">
        <f>IFERROR(__xludf.DUMMYFUNCTION("VLOOKUP(F3246, IMPORTRANGE(""https://docs.google.com/spreadsheets/d/1Lhp9OU0JdFf_VYSMzH5lBcEaU4o8teT1piV-SNzShjg/edit?gid=554141278#gid=554141278"", ""'Char Def. - Attributes'!C20:C2242""), 1,false)"),"ALT_UOM1_RMPM")</f>
        <v>ALT_UOM1_RMPM</v>
      </c>
      <c r="I3246" s="136"/>
    </row>
    <row r="3247" ht="15.75" customHeight="1">
      <c r="B3247" s="63">
        <f t="shared" si="1"/>
        <v>18</v>
      </c>
      <c r="C3247" s="146" t="s">
        <v>241</v>
      </c>
      <c r="D3247" s="147" t="s">
        <v>74</v>
      </c>
      <c r="E3247" s="135">
        <f t="shared" si="59"/>
        <v>27</v>
      </c>
      <c r="F3247" s="143" t="s">
        <v>3805</v>
      </c>
      <c r="G3247" s="63" t="str">
        <f>VLOOKUP(C3247, 'Class Def. - General Data'!$C$20:$C$1000,1,false)</f>
        <v>ZPM1_Aero_TBHandle</v>
      </c>
      <c r="H3247" s="63" t="str">
        <f>IFERROR(__xludf.DUMMYFUNCTION("VLOOKUP(F3247, IMPORTRANGE(""https://docs.google.com/spreadsheets/d/1Lhp9OU0JdFf_VYSMzH5lBcEaU4o8teT1piV-SNzShjg/edit?gid=554141278#gid=554141278"", ""'Char Def. - Attributes'!C20:C2242""), 1,false)"),"ALT_DENUM_UOM1")</f>
        <v>ALT_DENUM_UOM1</v>
      </c>
      <c r="I3247" s="136"/>
    </row>
    <row r="3248" ht="15.75" customHeight="1">
      <c r="B3248" s="63">
        <f t="shared" si="1"/>
        <v>18</v>
      </c>
      <c r="C3248" s="146" t="s">
        <v>241</v>
      </c>
      <c r="D3248" s="147" t="s">
        <v>74</v>
      </c>
      <c r="E3248" s="135">
        <f t="shared" si="59"/>
        <v>28</v>
      </c>
      <c r="F3248" s="143" t="s">
        <v>3806</v>
      </c>
      <c r="G3248" s="63" t="str">
        <f>VLOOKUP(C3248, 'Class Def. - General Data'!$C$20:$C$1000,1,false)</f>
        <v>ZPM1_Aero_TBHandle</v>
      </c>
      <c r="H3248" s="63" t="str">
        <f>IFERROR(__xludf.DUMMYFUNCTION("VLOOKUP(F3248, IMPORTRANGE(""https://docs.google.com/spreadsheets/d/1Lhp9OU0JdFf_VYSMzH5lBcEaU4o8teT1piV-SNzShjg/edit?gid=554141278#gid=554141278"", ""'Char Def. - Attributes'!C20:C2242""), 1,false)"),"ALT_NUM_UOM1")</f>
        <v>ALT_NUM_UOM1</v>
      </c>
      <c r="I3248" s="136"/>
    </row>
    <row r="3249" ht="15.75" customHeight="1">
      <c r="B3249" s="63">
        <f t="shared" si="1"/>
        <v>18</v>
      </c>
      <c r="C3249" s="146" t="s">
        <v>241</v>
      </c>
      <c r="D3249" s="147" t="s">
        <v>74</v>
      </c>
      <c r="E3249" s="135">
        <f t="shared" si="59"/>
        <v>29</v>
      </c>
      <c r="F3249" s="143" t="s">
        <v>3870</v>
      </c>
      <c r="G3249" s="63" t="str">
        <f>VLOOKUP(C3249, 'Class Def. - General Data'!$C$20:$C$1000,1,false)</f>
        <v>ZPM1_Aero_TBHandle</v>
      </c>
      <c r="H3249" s="63" t="str">
        <f>IFERROR(__xludf.DUMMYFUNCTION("VLOOKUP(F3249, IMPORTRANGE(""https://docs.google.com/spreadsheets/d/1Lhp9OU0JdFf_VYSMzH5lBcEaU4o8teT1piV-SNzShjg/edit?gid=554141278#gid=554141278"", ""'Char Def. - Attributes'!C20:C2242""), 1,false)"),"ALT_UOM2_RMPM")</f>
        <v>ALT_UOM2_RMPM</v>
      </c>
      <c r="I3249" s="136"/>
    </row>
    <row r="3250" ht="15.75" customHeight="1">
      <c r="B3250" s="63">
        <f t="shared" si="1"/>
        <v>18</v>
      </c>
      <c r="C3250" s="146" t="s">
        <v>241</v>
      </c>
      <c r="D3250" s="147" t="s">
        <v>74</v>
      </c>
      <c r="E3250" s="135">
        <f t="shared" si="59"/>
        <v>30</v>
      </c>
      <c r="F3250" s="143" t="s">
        <v>3808</v>
      </c>
      <c r="G3250" s="63" t="str">
        <f>VLOOKUP(C3250, 'Class Def. - General Data'!$C$20:$C$1000,1,false)</f>
        <v>ZPM1_Aero_TBHandle</v>
      </c>
      <c r="H3250" s="63" t="str">
        <f>IFERROR(__xludf.DUMMYFUNCTION("VLOOKUP(F3250, IMPORTRANGE(""https://docs.google.com/spreadsheets/d/1Lhp9OU0JdFf_VYSMzH5lBcEaU4o8teT1piV-SNzShjg/edit?gid=554141278#gid=554141278"", ""'Char Def. - Attributes'!C20:C2242""), 1,false)"),"ALT_DENUM_UOM2")</f>
        <v>ALT_DENUM_UOM2</v>
      </c>
      <c r="I3250" s="136"/>
    </row>
    <row r="3251" ht="15.75" customHeight="1">
      <c r="B3251" s="63">
        <f t="shared" si="1"/>
        <v>18</v>
      </c>
      <c r="C3251" s="146" t="s">
        <v>241</v>
      </c>
      <c r="D3251" s="147" t="s">
        <v>74</v>
      </c>
      <c r="E3251" s="135">
        <f t="shared" si="59"/>
        <v>31</v>
      </c>
      <c r="F3251" s="143" t="s">
        <v>3809</v>
      </c>
      <c r="G3251" s="63" t="str">
        <f>VLOOKUP(C3251, 'Class Def. - General Data'!$C$20:$C$1000,1,false)</f>
        <v>ZPM1_Aero_TBHandle</v>
      </c>
      <c r="H3251" s="63" t="str">
        <f>IFERROR(__xludf.DUMMYFUNCTION("VLOOKUP(F3251, IMPORTRANGE(""https://docs.google.com/spreadsheets/d/1Lhp9OU0JdFf_VYSMzH5lBcEaU4o8teT1piV-SNzShjg/edit?gid=554141278#gid=554141278"", ""'Char Def. - Attributes'!C20:C2242""), 1,false)"),"ALT_NUM_UOM2")</f>
        <v>ALT_NUM_UOM2</v>
      </c>
      <c r="I3251" s="136"/>
    </row>
    <row r="3252" ht="15.75" customHeight="1">
      <c r="B3252" s="63">
        <f t="shared" si="1"/>
        <v>18</v>
      </c>
      <c r="C3252" s="146" t="s">
        <v>241</v>
      </c>
      <c r="D3252" s="147" t="s">
        <v>74</v>
      </c>
      <c r="E3252" s="135">
        <f t="shared" si="59"/>
        <v>32</v>
      </c>
      <c r="F3252" s="143" t="s">
        <v>3871</v>
      </c>
      <c r="G3252" s="63" t="str">
        <f>VLOOKUP(C3252, 'Class Def. - General Data'!$C$20:$C$1000,1,false)</f>
        <v>ZPM1_Aero_TBHandle</v>
      </c>
      <c r="H3252" s="63" t="str">
        <f>IFERROR(__xludf.DUMMYFUNCTION("VLOOKUP(F3252, IMPORTRANGE(""https://docs.google.com/spreadsheets/d/1Lhp9OU0JdFf_VYSMzH5lBcEaU4o8teT1piV-SNzShjg/edit?gid=554141278#gid=554141278"", ""'Char Def. - Attributes'!C20:C2242""), 1,false)"),"ALT_UOM3_RMPM")</f>
        <v>ALT_UOM3_RMPM</v>
      </c>
      <c r="I3252" s="136"/>
    </row>
    <row r="3253" ht="15.75" customHeight="1">
      <c r="B3253" s="63">
        <f t="shared" si="1"/>
        <v>18</v>
      </c>
      <c r="C3253" s="146" t="s">
        <v>241</v>
      </c>
      <c r="D3253" s="147" t="s">
        <v>74</v>
      </c>
      <c r="E3253" s="135">
        <f t="shared" si="59"/>
        <v>33</v>
      </c>
      <c r="F3253" s="143" t="s">
        <v>3811</v>
      </c>
      <c r="G3253" s="63" t="str">
        <f>VLOOKUP(C3253, 'Class Def. - General Data'!$C$20:$C$1000,1,false)</f>
        <v>ZPM1_Aero_TBHandle</v>
      </c>
      <c r="H3253" s="63" t="str">
        <f>IFERROR(__xludf.DUMMYFUNCTION("VLOOKUP(F3253, IMPORTRANGE(""https://docs.google.com/spreadsheets/d/1Lhp9OU0JdFf_VYSMzH5lBcEaU4o8teT1piV-SNzShjg/edit?gid=554141278#gid=554141278"", ""'Char Def. - Attributes'!C20:C2242""), 1,false)"),"ALT_DENUM_UOM3")</f>
        <v>ALT_DENUM_UOM3</v>
      </c>
      <c r="I3253" s="136"/>
    </row>
    <row r="3254" ht="15.75" customHeight="1">
      <c r="B3254" s="63">
        <f t="shared" si="1"/>
        <v>18</v>
      </c>
      <c r="C3254" s="146" t="s">
        <v>241</v>
      </c>
      <c r="D3254" s="147" t="s">
        <v>74</v>
      </c>
      <c r="E3254" s="135">
        <f t="shared" si="59"/>
        <v>34</v>
      </c>
      <c r="F3254" s="143" t="s">
        <v>3812</v>
      </c>
      <c r="G3254" s="63" t="str">
        <f>VLOOKUP(C3254, 'Class Def. - General Data'!$C$20:$C$1000,1,false)</f>
        <v>ZPM1_Aero_TBHandle</v>
      </c>
      <c r="H3254" s="63" t="str">
        <f>IFERROR(__xludf.DUMMYFUNCTION("VLOOKUP(F3254, IMPORTRANGE(""https://docs.google.com/spreadsheets/d/1Lhp9OU0JdFf_VYSMzH5lBcEaU4o8teT1piV-SNzShjg/edit?gid=554141278#gid=554141278"", ""'Char Def. - Attributes'!C20:C2242""), 1,false)"),"ALT_NUM_UOM3")</f>
        <v>ALT_NUM_UOM3</v>
      </c>
      <c r="I3254" s="136"/>
    </row>
    <row r="3255" ht="15.75" customHeight="1">
      <c r="B3255" s="63">
        <f t="shared" si="1"/>
        <v>18</v>
      </c>
      <c r="C3255" s="146" t="s">
        <v>241</v>
      </c>
      <c r="D3255" s="147" t="s">
        <v>74</v>
      </c>
      <c r="E3255" s="135">
        <f t="shared" si="59"/>
        <v>35</v>
      </c>
      <c r="F3255" s="143" t="s">
        <v>3872</v>
      </c>
      <c r="G3255" s="63" t="str">
        <f>VLOOKUP(C3255, 'Class Def. - General Data'!$C$20:$C$1000,1,false)</f>
        <v>ZPM1_Aero_TBHandle</v>
      </c>
      <c r="H3255" s="63" t="str">
        <f>IFERROR(__xludf.DUMMYFUNCTION("VLOOKUP(F3255, IMPORTRANGE(""https://docs.google.com/spreadsheets/d/1Lhp9OU0JdFf_VYSMzH5lBcEaU4o8teT1piV-SNzShjg/edit?gid=554141278#gid=554141278"", ""'Char Def. - Attributes'!C20:C2242""), 1,false)"),"ALT_UOM4_RMPM")</f>
        <v>ALT_UOM4_RMPM</v>
      </c>
      <c r="I3255" s="136"/>
    </row>
    <row r="3256" ht="15.75" customHeight="1">
      <c r="B3256" s="63">
        <f t="shared" si="1"/>
        <v>18</v>
      </c>
      <c r="C3256" s="146" t="s">
        <v>241</v>
      </c>
      <c r="D3256" s="147" t="s">
        <v>74</v>
      </c>
      <c r="E3256" s="135">
        <f t="shared" si="59"/>
        <v>36</v>
      </c>
      <c r="F3256" s="143" t="s">
        <v>3814</v>
      </c>
      <c r="G3256" s="63" t="str">
        <f>VLOOKUP(C3256, 'Class Def. - General Data'!$C$20:$C$1000,1,false)</f>
        <v>ZPM1_Aero_TBHandle</v>
      </c>
      <c r="H3256" s="63" t="str">
        <f>IFERROR(__xludf.DUMMYFUNCTION("VLOOKUP(F3256, IMPORTRANGE(""https://docs.google.com/spreadsheets/d/1Lhp9OU0JdFf_VYSMzH5lBcEaU4o8teT1piV-SNzShjg/edit?gid=554141278#gid=554141278"", ""'Char Def. - Attributes'!C20:C2242""), 1,false)"),"ALT_DENUM_UOM4")</f>
        <v>ALT_DENUM_UOM4</v>
      </c>
      <c r="I3256" s="136"/>
    </row>
    <row r="3257" ht="15.75" customHeight="1">
      <c r="B3257" s="63">
        <f t="shared" si="1"/>
        <v>18</v>
      </c>
      <c r="C3257" s="146" t="s">
        <v>241</v>
      </c>
      <c r="D3257" s="147" t="s">
        <v>74</v>
      </c>
      <c r="E3257" s="135">
        <f t="shared" si="59"/>
        <v>37</v>
      </c>
      <c r="F3257" s="143" t="s">
        <v>3815</v>
      </c>
      <c r="G3257" s="63" t="str">
        <f>VLOOKUP(C3257, 'Class Def. - General Data'!$C$20:$C$1000,1,false)</f>
        <v>ZPM1_Aero_TBHandle</v>
      </c>
      <c r="H3257" s="63" t="str">
        <f>IFERROR(__xludf.DUMMYFUNCTION("VLOOKUP(F3257, IMPORTRANGE(""https://docs.google.com/spreadsheets/d/1Lhp9OU0JdFf_VYSMzH5lBcEaU4o8teT1piV-SNzShjg/edit?gid=554141278#gid=554141278"", ""'Char Def. - Attributes'!C20:C2242""), 1,false)"),"ALT_NUM_UOM4")</f>
        <v>ALT_NUM_UOM4</v>
      </c>
      <c r="I3257" s="136"/>
    </row>
    <row r="3258" ht="15.75" customHeight="1">
      <c r="B3258" s="63">
        <f t="shared" si="1"/>
        <v>18</v>
      </c>
      <c r="C3258" s="146" t="s">
        <v>241</v>
      </c>
      <c r="D3258" s="147" t="s">
        <v>74</v>
      </c>
      <c r="E3258" s="135">
        <f t="shared" si="59"/>
        <v>38</v>
      </c>
      <c r="F3258" s="143" t="s">
        <v>3873</v>
      </c>
      <c r="G3258" s="63" t="str">
        <f>VLOOKUP(C3258, 'Class Def. - General Data'!$C$20:$C$1000,1,false)</f>
        <v>ZPM1_Aero_TBHandle</v>
      </c>
      <c r="H3258" s="63" t="str">
        <f>IFERROR(__xludf.DUMMYFUNCTION("VLOOKUP(F3258, IMPORTRANGE(""https://docs.google.com/spreadsheets/d/1Lhp9OU0JdFf_VYSMzH5lBcEaU4o8teT1piV-SNzShjg/edit?gid=554141278#gid=554141278"", ""'Char Def. - Attributes'!C20:C2242""), 1,false)"),"ALT_UOM5_RMPM")</f>
        <v>ALT_UOM5_RMPM</v>
      </c>
      <c r="I3258" s="136"/>
    </row>
    <row r="3259" ht="15.75" customHeight="1">
      <c r="B3259" s="63">
        <f t="shared" si="1"/>
        <v>18</v>
      </c>
      <c r="C3259" s="146" t="s">
        <v>241</v>
      </c>
      <c r="D3259" s="147" t="s">
        <v>74</v>
      </c>
      <c r="E3259" s="135">
        <f t="shared" si="59"/>
        <v>39</v>
      </c>
      <c r="F3259" s="143" t="s">
        <v>3817</v>
      </c>
      <c r="G3259" s="63" t="str">
        <f>VLOOKUP(C3259, 'Class Def. - General Data'!$C$20:$C$1000,1,false)</f>
        <v>ZPM1_Aero_TBHandle</v>
      </c>
      <c r="H3259" s="63" t="str">
        <f>IFERROR(__xludf.DUMMYFUNCTION("VLOOKUP(F3259, IMPORTRANGE(""https://docs.google.com/spreadsheets/d/1Lhp9OU0JdFf_VYSMzH5lBcEaU4o8teT1piV-SNzShjg/edit?gid=554141278#gid=554141278"", ""'Char Def. - Attributes'!C20:C2242""), 1,false)"),"ALT_DENUM_UOM5")</f>
        <v>ALT_DENUM_UOM5</v>
      </c>
      <c r="I3259" s="136"/>
    </row>
    <row r="3260" ht="15.75" customHeight="1">
      <c r="B3260" s="63">
        <f t="shared" si="1"/>
        <v>18</v>
      </c>
      <c r="C3260" s="146" t="s">
        <v>241</v>
      </c>
      <c r="D3260" s="147" t="s">
        <v>74</v>
      </c>
      <c r="E3260" s="135">
        <f t="shared" si="59"/>
        <v>40</v>
      </c>
      <c r="F3260" s="143" t="s">
        <v>3818</v>
      </c>
      <c r="G3260" s="63" t="str">
        <f>VLOOKUP(C3260, 'Class Def. - General Data'!$C$20:$C$1000,1,false)</f>
        <v>ZPM1_Aero_TBHandle</v>
      </c>
      <c r="H3260" s="63" t="str">
        <f>IFERROR(__xludf.DUMMYFUNCTION("VLOOKUP(F3260, IMPORTRANGE(""https://docs.google.com/spreadsheets/d/1Lhp9OU0JdFf_VYSMzH5lBcEaU4o8teT1piV-SNzShjg/edit?gid=554141278#gid=554141278"", ""'Char Def. - Attributes'!C20:C2242""), 1,false)"),"ALT_NUM_UOM5")</f>
        <v>ALT_NUM_UOM5</v>
      </c>
      <c r="I3260" s="136"/>
    </row>
    <row r="3261" ht="15.75" customHeight="1">
      <c r="B3261" s="63">
        <f t="shared" si="1"/>
        <v>18</v>
      </c>
      <c r="C3261" s="146" t="s">
        <v>241</v>
      </c>
      <c r="D3261" s="147" t="s">
        <v>74</v>
      </c>
      <c r="E3261" s="135">
        <f t="shared" si="59"/>
        <v>41</v>
      </c>
      <c r="F3261" s="134" t="s">
        <v>3874</v>
      </c>
      <c r="G3261" s="63" t="str">
        <f>VLOOKUP(C3261, 'Class Def. - General Data'!$C$20:$C$1000,1,false)</f>
        <v>ZPM1_Aero_TBHandle</v>
      </c>
      <c r="H3261" s="63" t="str">
        <f>IFERROR(__xludf.DUMMYFUNCTION("VLOOKUP(F3261, IMPORTRANGE(""https://docs.google.com/spreadsheets/d/1Lhp9OU0JdFf_VYSMzH5lBcEaU4o8teT1piV-SNzShjg/edit?gid=554141278#gid=554141278"", ""'Char Def. - Attributes'!C20:C2242""), 1,false)"),"VALUATION_CATEGORY")</f>
        <v>VALUATION_CATEGORY</v>
      </c>
      <c r="I3261" s="136"/>
    </row>
    <row r="3262" ht="15.75" customHeight="1">
      <c r="B3262" s="63">
        <f t="shared" si="1"/>
        <v>18</v>
      </c>
      <c r="C3262" s="146" t="s">
        <v>241</v>
      </c>
      <c r="D3262" s="147" t="s">
        <v>74</v>
      </c>
      <c r="E3262" s="135">
        <f t="shared" si="59"/>
        <v>42</v>
      </c>
      <c r="F3262" s="134" t="s">
        <v>3800</v>
      </c>
      <c r="G3262" s="63" t="str">
        <f>VLOOKUP(C3262, 'Class Def. - General Data'!$C$20:$C$1000,1,false)</f>
        <v>ZPM1_Aero_TBHandle</v>
      </c>
      <c r="H3262" s="63" t="str">
        <f>IFERROR(__xludf.DUMMYFUNCTION("VLOOKUP(F3262, IMPORTRANGE(""https://docs.google.com/spreadsheets/d/1Lhp9OU0JdFf_VYSMzH5lBcEaU4o8teT1piV-SNzShjg/edit?gid=554141278#gid=554141278"", ""'Char Def. - Attributes'!C20:C2242""), 1,false)"),"ORDER_UNIT_DIFF_FROM_BASIC_UOM")</f>
        <v>ORDER_UNIT_DIFF_FROM_BASIC_UOM</v>
      </c>
      <c r="I3262" s="136"/>
    </row>
    <row r="3263" ht="15.75" customHeight="1">
      <c r="B3263" s="63">
        <f t="shared" si="1"/>
        <v>18</v>
      </c>
      <c r="C3263" s="146" t="s">
        <v>241</v>
      </c>
      <c r="D3263" s="147" t="s">
        <v>74</v>
      </c>
      <c r="E3263" s="135">
        <f t="shared" si="59"/>
        <v>43</v>
      </c>
      <c r="F3263" s="134" t="s">
        <v>3875</v>
      </c>
      <c r="G3263" s="63" t="str">
        <f>VLOOKUP(C3263, 'Class Def. - General Data'!$C$20:$C$1000,1,false)</f>
        <v>ZPM1_Aero_TBHandle</v>
      </c>
      <c r="H3263" s="63" t="str">
        <f>IFERROR(__xludf.DUMMYFUNCTION("VLOOKUP(F3263, IMPORTRANGE(""https://docs.google.com/spreadsheets/d/1Lhp9OU0JdFf_VYSMzH5lBcEaU4o8teT1piV-SNzShjg/edit?gid=554141278#gid=554141278"", ""'Char Def. - Attributes'!C20:C2242""), 1,false)"),"ORDER_UNIT_RMPM")</f>
        <v>ORDER_UNIT_RMPM</v>
      </c>
      <c r="I3263" s="136"/>
    </row>
    <row r="3264" ht="15.75" customHeight="1">
      <c r="B3264" s="63">
        <f t="shared" si="1"/>
        <v>18</v>
      </c>
      <c r="C3264" s="146" t="s">
        <v>241</v>
      </c>
      <c r="D3264" s="147" t="s">
        <v>74</v>
      </c>
      <c r="E3264" s="135">
        <f t="shared" si="59"/>
        <v>44</v>
      </c>
      <c r="F3264" s="134" t="s">
        <v>3602</v>
      </c>
      <c r="G3264" s="63" t="str">
        <f>VLOOKUP(C3264, 'Class Def. - General Data'!$C$20:$C$1000,1,false)</f>
        <v>ZPM1_Aero_TBHandle</v>
      </c>
      <c r="H3264" s="63" t="str">
        <f>IFERROR(__xludf.DUMMYFUNCTION("VLOOKUP(F3264, IMPORTRANGE(""https://docs.google.com/spreadsheets/d/1Lhp9OU0JdFf_VYSMzH5lBcEaU4o8teT1piV-SNzShjg/edit?gid=554141278#gid=554141278"", ""'Char Def. - Attributes'!C20:C2242""), 1,false)"),"NET_WEIGHT")</f>
        <v>NET_WEIGHT</v>
      </c>
      <c r="I3264" s="136"/>
    </row>
    <row r="3265" ht="15.75" customHeight="1">
      <c r="B3265" s="63">
        <f t="shared" si="1"/>
        <v>18</v>
      </c>
      <c r="C3265" s="146" t="s">
        <v>241</v>
      </c>
      <c r="D3265" s="147" t="s">
        <v>74</v>
      </c>
      <c r="E3265" s="135">
        <f t="shared" si="59"/>
        <v>45</v>
      </c>
      <c r="F3265" s="134" t="s">
        <v>3601</v>
      </c>
      <c r="G3265" s="63" t="str">
        <f>VLOOKUP(C3265, 'Class Def. - General Data'!$C$20:$C$1000,1,false)</f>
        <v>ZPM1_Aero_TBHandle</v>
      </c>
      <c r="H3265" s="63" t="str">
        <f>IFERROR(__xludf.DUMMYFUNCTION("VLOOKUP(F3265, IMPORTRANGE(""https://docs.google.com/spreadsheets/d/1Lhp9OU0JdFf_VYSMzH5lBcEaU4o8teT1piV-SNzShjg/edit?gid=554141278#gid=554141278"", ""'Char Def. - Attributes'!C20:C2242""), 1,false)"),"GROSS_WEIGHT")</f>
        <v>GROSS_WEIGHT</v>
      </c>
      <c r="I3265" s="136"/>
    </row>
    <row r="3266" ht="15.75" customHeight="1">
      <c r="B3266" s="63">
        <f t="shared" si="1"/>
        <v>18</v>
      </c>
      <c r="C3266" s="146" t="s">
        <v>241</v>
      </c>
      <c r="D3266" s="147" t="s">
        <v>74</v>
      </c>
      <c r="E3266" s="135">
        <f t="shared" si="59"/>
        <v>46</v>
      </c>
      <c r="F3266" s="134" t="s">
        <v>3876</v>
      </c>
      <c r="G3266" s="63" t="str">
        <f>VLOOKUP(C3266, 'Class Def. - General Data'!$C$20:$C$1000,1,false)</f>
        <v>ZPM1_Aero_TBHandle</v>
      </c>
      <c r="H3266" s="63" t="str">
        <f>IFERROR(__xludf.DUMMYFUNCTION("VLOOKUP(F3266, IMPORTRANGE(""https://docs.google.com/spreadsheets/d/1Lhp9OU0JdFf_VYSMzH5lBcEaU4o8teT1piV-SNzShjg/edit?gid=554141278#gid=554141278"", ""'Char Def. - Attributes'!C20:C2242""), 1,false)"),"WEIGHT_UNIT_PM")</f>
        <v>WEIGHT_UNIT_PM</v>
      </c>
      <c r="I3266" s="136"/>
    </row>
    <row r="3267" ht="15.75" customHeight="1">
      <c r="B3267" s="63">
        <f t="shared" si="1"/>
        <v>18</v>
      </c>
      <c r="C3267" s="146" t="s">
        <v>241</v>
      </c>
      <c r="D3267" s="147" t="s">
        <v>74</v>
      </c>
      <c r="E3267" s="135">
        <f t="shared" si="59"/>
        <v>47</v>
      </c>
      <c r="F3267" s="134" t="s">
        <v>3877</v>
      </c>
      <c r="G3267" s="63" t="str">
        <f>VLOOKUP(C3267, 'Class Def. - General Data'!$C$20:$C$1000,1,false)</f>
        <v>ZPM1_Aero_TBHandle</v>
      </c>
      <c r="H3267" s="63" t="str">
        <f>IFERROR(__xludf.DUMMYFUNCTION("VLOOKUP(F3267, IMPORTRANGE(""https://docs.google.com/spreadsheets/d/1Lhp9OU0JdFf_VYSMzH5lBcEaU4o8teT1piV-SNzShjg/edit?gid=554141278#gid=554141278"", ""'Char Def. - Attributes'!C20:C2242""), 1,false)"),"VOLUME_OPT")</f>
        <v>VOLUME_OPT</v>
      </c>
      <c r="I3267" s="136"/>
    </row>
    <row r="3268" ht="15.75" customHeight="1">
      <c r="B3268" s="63">
        <f t="shared" si="1"/>
        <v>18</v>
      </c>
      <c r="C3268" s="146" t="s">
        <v>241</v>
      </c>
      <c r="D3268" s="147" t="s">
        <v>74</v>
      </c>
      <c r="E3268" s="135">
        <f t="shared" si="59"/>
        <v>48</v>
      </c>
      <c r="F3268" s="134" t="s">
        <v>3878</v>
      </c>
      <c r="G3268" s="63" t="str">
        <f>VLOOKUP(C3268, 'Class Def. - General Data'!$C$20:$C$1000,1,false)</f>
        <v>ZPM1_Aero_TBHandle</v>
      </c>
      <c r="H3268" s="63" t="str">
        <f>IFERROR(__xludf.DUMMYFUNCTION("VLOOKUP(F3268, IMPORTRANGE(""https://docs.google.com/spreadsheets/d/1Lhp9OU0JdFf_VYSMzH5lBcEaU4o8teT1piV-SNzShjg/edit?gid=554141278#gid=554141278"", ""'Char Def. - Attributes'!C20:C2242""), 1,false)"),"VOLUME_UNIT")</f>
        <v>VOLUME_UNIT</v>
      </c>
      <c r="I3268" s="136"/>
    </row>
    <row r="3269" ht="15.75" customHeight="1">
      <c r="B3269" s="63">
        <f t="shared" si="1"/>
        <v>18</v>
      </c>
      <c r="C3269" s="146" t="s">
        <v>241</v>
      </c>
      <c r="D3269" s="147" t="s">
        <v>74</v>
      </c>
      <c r="E3269" s="135">
        <f t="shared" si="59"/>
        <v>49</v>
      </c>
      <c r="F3269" s="134" t="s">
        <v>3879</v>
      </c>
      <c r="G3269" s="63" t="str">
        <f>VLOOKUP(C3269, 'Class Def. - General Data'!$C$20:$C$1000,1,false)</f>
        <v>ZPM1_Aero_TBHandle</v>
      </c>
      <c r="H3269" s="63" t="str">
        <f>IFERROR(__xludf.DUMMYFUNCTION("VLOOKUP(F3269, IMPORTRANGE(""https://docs.google.com/spreadsheets/d/1Lhp9OU0JdFf_VYSMzH5lBcEaU4o8teT1piV-SNzShjg/edit?gid=554141278#gid=554141278"", ""'Char Def. - Attributes'!C20:C2242""), 1,false)"),"OLD_MAT_NO_RMPM")</f>
        <v>OLD_MAT_NO_RMPM</v>
      </c>
      <c r="I3269" s="136"/>
    </row>
    <row r="3270" ht="15.75" customHeight="1">
      <c r="B3270" s="63">
        <f t="shared" si="1"/>
        <v>18</v>
      </c>
      <c r="C3270" s="146" t="s">
        <v>241</v>
      </c>
      <c r="D3270" s="147" t="s">
        <v>74</v>
      </c>
      <c r="E3270" s="135">
        <f t="shared" si="59"/>
        <v>50</v>
      </c>
      <c r="F3270" s="134" t="s">
        <v>3880</v>
      </c>
      <c r="G3270" s="63" t="str">
        <f>VLOOKUP(C3270, 'Class Def. - General Data'!$C$20:$C$1000,1,false)</f>
        <v>ZPM1_Aero_TBHandle</v>
      </c>
      <c r="H3270" s="63" t="str">
        <f>IFERROR(__xludf.DUMMYFUNCTION("VLOOKUP(F3270, IMPORTRANGE(""https://docs.google.com/spreadsheets/d/1Lhp9OU0JdFf_VYSMzH5lBcEaU4o8teT1piV-SNzShjg/edit?gid=554141278#gid=554141278"", ""'Char Def. - Attributes'!C20:C2242""), 1,false)"),"NOTE_PM")</f>
        <v>NOTE_PM</v>
      </c>
      <c r="I3270" s="136"/>
    </row>
    <row r="3271" ht="15.75" customHeight="1">
      <c r="B3271" s="63">
        <f t="shared" si="1"/>
        <v>18</v>
      </c>
      <c r="C3271" s="146" t="s">
        <v>241</v>
      </c>
      <c r="D3271" s="147" t="s">
        <v>74</v>
      </c>
      <c r="E3271" s="135">
        <f t="shared" si="59"/>
        <v>51</v>
      </c>
      <c r="F3271" s="134" t="s">
        <v>3881</v>
      </c>
      <c r="G3271" s="63" t="str">
        <f>VLOOKUP(C3271, 'Class Def. - General Data'!$C$20:$C$1000,1,false)</f>
        <v>ZPM1_Aero_TBHandle</v>
      </c>
      <c r="H3271" s="63" t="str">
        <f>IFERROR(__xludf.DUMMYFUNCTION("VLOOKUP(F3271, IMPORTRANGE(""https://docs.google.com/spreadsheets/d/1Lhp9OU0JdFf_VYSMzH5lBcEaU4o8teT1piV-SNzShjg/edit?gid=554141278#gid=554141278"", ""'Char Def. - Attributes'!C20:C2242""), 1,false)"),"BS_BERSIH")</f>
        <v>BS_BERSIH</v>
      </c>
      <c r="I3271" s="136"/>
    </row>
    <row r="3272" ht="15.75" customHeight="1">
      <c r="B3272" s="63">
        <f t="shared" si="1"/>
        <v>18</v>
      </c>
      <c r="C3272" s="146" t="s">
        <v>241</v>
      </c>
      <c r="D3272" s="147" t="s">
        <v>74</v>
      </c>
      <c r="E3272" s="135">
        <f t="shared" si="59"/>
        <v>52</v>
      </c>
      <c r="F3272" s="134" t="s">
        <v>3882</v>
      </c>
      <c r="G3272" s="63" t="str">
        <f>VLOOKUP(C3272, 'Class Def. - General Data'!$C$20:$C$1000,1,false)</f>
        <v>ZPM1_Aero_TBHandle</v>
      </c>
      <c r="H3272" s="63" t="str">
        <f>IFERROR(__xludf.DUMMYFUNCTION("VLOOKUP(F3272, IMPORTRANGE(""https://docs.google.com/spreadsheets/d/1Lhp9OU0JdFf_VYSMzH5lBcEaU4o8teT1piV-SNzShjg/edit?gid=554141278#gid=554141278"", ""'Char Def. - Attributes'!C20:C2242""), 1,false)"),"BS_KOTOR")</f>
        <v>BS_KOTOR</v>
      </c>
      <c r="I3272" s="136"/>
    </row>
    <row r="3273" ht="15.75" customHeight="1">
      <c r="B3273" s="63">
        <f t="shared" si="1"/>
        <v>18</v>
      </c>
      <c r="C3273" s="146" t="s">
        <v>241</v>
      </c>
      <c r="D3273" s="147" t="s">
        <v>74</v>
      </c>
      <c r="E3273" s="135">
        <f t="shared" si="59"/>
        <v>53</v>
      </c>
      <c r="F3273" s="134" t="s">
        <v>3883</v>
      </c>
      <c r="G3273" s="63" t="str">
        <f>VLOOKUP(C3273, 'Class Def. - General Data'!$C$20:$C$1000,1,false)</f>
        <v>ZPM1_Aero_TBHandle</v>
      </c>
      <c r="H3273" s="63" t="str">
        <f>IFERROR(__xludf.DUMMYFUNCTION("VLOOKUP(F3273, IMPORTRANGE(""https://docs.google.com/spreadsheets/d/1Lhp9OU0JdFf_VYSMzH5lBcEaU4o8teT1piV-SNzShjg/edit?gid=554141278#gid=554141278"", ""'Char Def. - Attributes'!C20:C2242""), 1,false)"),"BS_SCRAP")</f>
        <v>BS_SCRAP</v>
      </c>
      <c r="I3273" s="136"/>
    </row>
    <row r="3274" ht="15.75" customHeight="1">
      <c r="B3274" s="63">
        <f t="shared" si="1"/>
        <v>18</v>
      </c>
      <c r="C3274" s="146" t="s">
        <v>270</v>
      </c>
      <c r="D3274" s="147" t="s">
        <v>74</v>
      </c>
      <c r="E3274" s="135">
        <f t="shared" si="59"/>
        <v>1</v>
      </c>
      <c r="F3274" s="134" t="s">
        <v>3884</v>
      </c>
      <c r="G3274" s="63" t="str">
        <f>VLOOKUP(C3274, 'Class Def. - General Data'!$C$20:$C$1000,1,false)</f>
        <v>ZPM1_AluCan_TinCan</v>
      </c>
      <c r="H3274" s="63" t="str">
        <f>IFERROR(__xludf.DUMMYFUNCTION("VLOOKUP(F3274, IMPORTRANGE(""https://docs.google.com/spreadsheets/d/1Lhp9OU0JdFf_VYSMzH5lBcEaU4o8teT1piV-SNzShjg/edit?gid=554141278#gid=554141278"", ""'Char Def. - Attributes'!C20:C2242""), 1,false)"),"MATERIAL_CODE_ALUCAN_TINCAN")</f>
        <v>MATERIAL_CODE_ALUCAN_TINCAN</v>
      </c>
      <c r="I3274" s="136"/>
    </row>
    <row r="3275" ht="15.75" customHeight="1">
      <c r="B3275" s="63">
        <f t="shared" si="1"/>
        <v>18</v>
      </c>
      <c r="C3275" s="146" t="s">
        <v>270</v>
      </c>
      <c r="D3275" s="147" t="s">
        <v>74</v>
      </c>
      <c r="E3275" s="135">
        <f t="shared" si="59"/>
        <v>2</v>
      </c>
      <c r="F3275" s="134" t="s">
        <v>3852</v>
      </c>
      <c r="G3275" s="63" t="str">
        <f>VLOOKUP(C3275, 'Class Def. - General Data'!$C$20:$C$1000,1,false)</f>
        <v>ZPM1_AluCan_TinCan</v>
      </c>
      <c r="H3275" s="63" t="str">
        <f>IFERROR(__xludf.DUMMYFUNCTION("VLOOKUP(F3275, IMPORTRANGE(""https://docs.google.com/spreadsheets/d/1Lhp9OU0JdFf_VYSMzH5lBcEaU4o8teT1piV-SNzShjg/edit?gid=554141278#gid=554141278"", ""'Char Def. - Attributes'!C20:C2242""), 1,false)"),"SINGLE_BRAND")</f>
        <v>SINGLE_BRAND</v>
      </c>
      <c r="I3275" s="136"/>
    </row>
    <row r="3276" ht="15.75" customHeight="1">
      <c r="B3276" s="63">
        <f t="shared" si="1"/>
        <v>18</v>
      </c>
      <c r="C3276" s="146" t="s">
        <v>270</v>
      </c>
      <c r="D3276" s="147" t="s">
        <v>74</v>
      </c>
      <c r="E3276" s="135">
        <f t="shared" si="59"/>
        <v>3</v>
      </c>
      <c r="F3276" s="134" t="s">
        <v>3853</v>
      </c>
      <c r="G3276" s="63" t="str">
        <f>VLOOKUP(C3276, 'Class Def. - General Data'!$C$20:$C$1000,1,false)</f>
        <v>ZPM1_AluCan_TinCan</v>
      </c>
      <c r="H3276" s="63" t="str">
        <f>IFERROR(__xludf.DUMMYFUNCTION("VLOOKUP(F3276, IMPORTRANGE(""https://docs.google.com/spreadsheets/d/1Lhp9OU0JdFf_VYSMzH5lBcEaU4o8teT1piV-SNzShjg/edit?gid=554141278#gid=554141278"", ""'Char Def. - Attributes'!C20:C2242""), 1,false)"),"BRAND_WINGS")</f>
        <v>BRAND_WINGS</v>
      </c>
      <c r="I3276" s="136"/>
    </row>
    <row r="3277" ht="15.75" customHeight="1">
      <c r="B3277" s="63">
        <f t="shared" si="1"/>
        <v>18</v>
      </c>
      <c r="C3277" s="146" t="s">
        <v>270</v>
      </c>
      <c r="D3277" s="147" t="s">
        <v>74</v>
      </c>
      <c r="E3277" s="135">
        <f t="shared" si="59"/>
        <v>4</v>
      </c>
      <c r="F3277" s="134" t="s">
        <v>3854</v>
      </c>
      <c r="G3277" s="63" t="str">
        <f>VLOOKUP(C3277, 'Class Def. - General Data'!$C$20:$C$1000,1,false)</f>
        <v>ZPM1_AluCan_TinCan</v>
      </c>
      <c r="H3277" s="63" t="str">
        <f>IFERROR(__xludf.DUMMYFUNCTION("VLOOKUP(F3277, IMPORTRANGE(""https://docs.google.com/spreadsheets/d/1Lhp9OU0JdFf_VYSMzH5lBcEaU4o8teT1piV-SNzShjg/edit?gid=554141278#gid=554141278"", ""'Char Def. - Attributes'!C20:C2242""), 1,false)"),"SINGLE_PACK_SHAPE")</f>
        <v>SINGLE_PACK_SHAPE</v>
      </c>
      <c r="I3277" s="136"/>
    </row>
    <row r="3278" ht="15.75" customHeight="1">
      <c r="B3278" s="63">
        <f t="shared" si="1"/>
        <v>18</v>
      </c>
      <c r="C3278" s="146" t="s">
        <v>270</v>
      </c>
      <c r="D3278" s="147" t="s">
        <v>74</v>
      </c>
      <c r="E3278" s="135">
        <f t="shared" si="59"/>
        <v>5</v>
      </c>
      <c r="F3278" s="134" t="s">
        <v>3855</v>
      </c>
      <c r="G3278" s="63" t="str">
        <f>VLOOKUP(C3278, 'Class Def. - General Data'!$C$20:$C$1000,1,false)</f>
        <v>ZPM1_AluCan_TinCan</v>
      </c>
      <c r="H3278" s="63" t="str">
        <f>IFERROR(__xludf.DUMMYFUNCTION("VLOOKUP(F3278, IMPORTRANGE(""https://docs.google.com/spreadsheets/d/1Lhp9OU0JdFf_VYSMzH5lBcEaU4o8teT1piV-SNzShjg/edit?gid=554141278#gid=554141278"", ""'Char Def. - Attributes'!C20:C2242""), 1,false)"),"PACK_SHAPE")</f>
        <v>PACK_SHAPE</v>
      </c>
      <c r="I3278" s="136"/>
    </row>
    <row r="3279" ht="15.75" customHeight="1">
      <c r="B3279" s="63">
        <f t="shared" si="1"/>
        <v>18</v>
      </c>
      <c r="C3279" s="146" t="s">
        <v>270</v>
      </c>
      <c r="D3279" s="147" t="s">
        <v>74</v>
      </c>
      <c r="E3279" s="135">
        <f t="shared" si="59"/>
        <v>6</v>
      </c>
      <c r="F3279" s="134" t="s">
        <v>3856</v>
      </c>
      <c r="G3279" s="63" t="str">
        <f>VLOOKUP(C3279, 'Class Def. - General Data'!$C$20:$C$1000,1,false)</f>
        <v>ZPM1_AluCan_TinCan</v>
      </c>
      <c r="H3279" s="63" t="str">
        <f>IFERROR(__xludf.DUMMYFUNCTION("VLOOKUP(F3279, IMPORTRANGE(""https://docs.google.com/spreadsheets/d/1Lhp9OU0JdFf_VYSMzH5lBcEaU4o8teT1piV-SNzShjg/edit?gid=554141278#gid=554141278"", ""'Char Def. - Attributes'!C20:C2242""), 1,false)"),"SINGLE_PACK_NETTO")</f>
        <v>SINGLE_PACK_NETTO</v>
      </c>
      <c r="I3279" s="136"/>
    </row>
    <row r="3280" ht="15.75" customHeight="1">
      <c r="B3280" s="63">
        <f t="shared" si="1"/>
        <v>18</v>
      </c>
      <c r="C3280" s="146" t="s">
        <v>270</v>
      </c>
      <c r="D3280" s="147" t="s">
        <v>74</v>
      </c>
      <c r="E3280" s="135">
        <f t="shared" si="59"/>
        <v>7</v>
      </c>
      <c r="F3280" s="134" t="s">
        <v>3605</v>
      </c>
      <c r="G3280" s="63" t="str">
        <f>VLOOKUP(C3280, 'Class Def. - General Data'!$C$20:$C$1000,1,false)</f>
        <v>ZPM1_AluCan_TinCan</v>
      </c>
      <c r="H3280" s="63" t="str">
        <f>IFERROR(__xludf.DUMMYFUNCTION("VLOOKUP(F3280, IMPORTRANGE(""https://docs.google.com/spreadsheets/d/1Lhp9OU0JdFf_VYSMzH5lBcEaU4o8teT1piV-SNzShjg/edit?gid=554141278#gid=554141278"", ""'Char Def. - Attributes'!C20:C2242""), 1,false)"),"PACK_NETTO")</f>
        <v>PACK_NETTO</v>
      </c>
      <c r="I3280" s="136"/>
    </row>
    <row r="3281" ht="15.75" customHeight="1">
      <c r="B3281" s="63">
        <f t="shared" si="1"/>
        <v>18</v>
      </c>
      <c r="C3281" s="146" t="s">
        <v>270</v>
      </c>
      <c r="D3281" s="147" t="s">
        <v>74</v>
      </c>
      <c r="E3281" s="135">
        <f t="shared" si="59"/>
        <v>8</v>
      </c>
      <c r="F3281" s="134" t="s">
        <v>3857</v>
      </c>
      <c r="G3281" s="63" t="str">
        <f>VLOOKUP(C3281, 'Class Def. - General Data'!$C$20:$C$1000,1,false)</f>
        <v>ZPM1_AluCan_TinCan</v>
      </c>
      <c r="H3281" s="63" t="str">
        <f>IFERROR(__xludf.DUMMYFUNCTION("VLOOKUP(F3281, IMPORTRANGE(""https://docs.google.com/spreadsheets/d/1Lhp9OU0JdFf_VYSMzH5lBcEaU4o8teT1piV-SNzShjg/edit?gid=554141278#gid=554141278"", ""'Char Def. - Attributes'!C20:C2242""), 1,false)"),"PACK_UOM")</f>
        <v>PACK_UOM</v>
      </c>
      <c r="I3281" s="136"/>
    </row>
    <row r="3282" ht="15.75" customHeight="1">
      <c r="B3282" s="63">
        <f t="shared" si="1"/>
        <v>18</v>
      </c>
      <c r="C3282" s="146" t="s">
        <v>270</v>
      </c>
      <c r="D3282" s="147" t="s">
        <v>74</v>
      </c>
      <c r="E3282" s="135">
        <f t="shared" si="59"/>
        <v>9</v>
      </c>
      <c r="F3282" s="134" t="s">
        <v>3858</v>
      </c>
      <c r="G3282" s="63" t="str">
        <f>VLOOKUP(C3282, 'Class Def. - General Data'!$C$20:$C$1000,1,false)</f>
        <v>ZPM1_AluCan_TinCan</v>
      </c>
      <c r="H3282" s="63" t="str">
        <f>IFERROR(__xludf.DUMMYFUNCTION("VLOOKUP(F3282, IMPORTRANGE(""https://docs.google.com/spreadsheets/d/1Lhp9OU0JdFf_VYSMzH5lBcEaU4o8teT1piV-SNzShjg/edit?gid=554141278#gid=554141278"", ""'Char Def. - Attributes'!C20:C2242""), 1,false)"),"SINGLE_VARIAN")</f>
        <v>SINGLE_VARIAN</v>
      </c>
      <c r="I3282" s="136"/>
    </row>
    <row r="3283" ht="15.75" customHeight="1">
      <c r="B3283" s="63">
        <f t="shared" si="1"/>
        <v>18</v>
      </c>
      <c r="C3283" s="146" t="s">
        <v>270</v>
      </c>
      <c r="D3283" s="147" t="s">
        <v>74</v>
      </c>
      <c r="E3283" s="135">
        <f t="shared" si="59"/>
        <v>10</v>
      </c>
      <c r="F3283" s="134" t="s">
        <v>3607</v>
      </c>
      <c r="G3283" s="63" t="str">
        <f>VLOOKUP(C3283, 'Class Def. - General Data'!$C$20:$C$1000,1,false)</f>
        <v>ZPM1_AluCan_TinCan</v>
      </c>
      <c r="H3283" s="63" t="str">
        <f>IFERROR(__xludf.DUMMYFUNCTION("VLOOKUP(F3283, IMPORTRANGE(""https://docs.google.com/spreadsheets/d/1Lhp9OU0JdFf_VYSMzH5lBcEaU4o8teT1piV-SNzShjg/edit?gid=554141278#gid=554141278"", ""'Char Def. - Attributes'!C20:C2242""), 1,false)"),"VARIAN")</f>
        <v>VARIAN</v>
      </c>
      <c r="I3283" s="136"/>
    </row>
    <row r="3284" ht="15.75" customHeight="1">
      <c r="B3284" s="63">
        <f t="shared" si="1"/>
        <v>18</v>
      </c>
      <c r="C3284" s="146" t="s">
        <v>270</v>
      </c>
      <c r="D3284" s="147" t="s">
        <v>74</v>
      </c>
      <c r="E3284" s="135">
        <f t="shared" si="59"/>
        <v>11</v>
      </c>
      <c r="F3284" s="134" t="s">
        <v>3859</v>
      </c>
      <c r="G3284" s="63" t="str">
        <f>VLOOKUP(C3284, 'Class Def. - General Data'!$C$20:$C$1000,1,false)</f>
        <v>ZPM1_AluCan_TinCan</v>
      </c>
      <c r="H3284" s="63" t="str">
        <f>IFERROR(__xludf.DUMMYFUNCTION("VLOOKUP(F3284, IMPORTRANGE(""https://docs.google.com/spreadsheets/d/1Lhp9OU0JdFf_VYSMzH5lBcEaU4o8teT1piV-SNzShjg/edit?gid=554141278#gid=554141278"", ""'Char Def. - Attributes'!C20:C2242""), 1,false)"),"ADA_ADDITIONAL_PROMO")</f>
        <v>ADA_ADDITIONAL_PROMO</v>
      </c>
      <c r="I3284" s="136"/>
    </row>
    <row r="3285" ht="15.75" customHeight="1">
      <c r="B3285" s="63">
        <f t="shared" si="1"/>
        <v>18</v>
      </c>
      <c r="C3285" s="146" t="s">
        <v>270</v>
      </c>
      <c r="D3285" s="147" t="s">
        <v>74</v>
      </c>
      <c r="E3285" s="135">
        <f t="shared" si="59"/>
        <v>12</v>
      </c>
      <c r="F3285" s="134" t="s">
        <v>3609</v>
      </c>
      <c r="G3285" s="63" t="str">
        <f>VLOOKUP(C3285, 'Class Def. - General Data'!$C$20:$C$1000,1,false)</f>
        <v>ZPM1_AluCan_TinCan</v>
      </c>
      <c r="H3285" s="63" t="str">
        <f>IFERROR(__xludf.DUMMYFUNCTION("VLOOKUP(F3285, IMPORTRANGE(""https://docs.google.com/spreadsheets/d/1Lhp9OU0JdFf_VYSMzH5lBcEaU4o8teT1piV-SNzShjg/edit?gid=554141278#gid=554141278"", ""'Char Def. - Attributes'!C20:C2242""), 1,false)"),"ADDITIONAL_PROMO")</f>
        <v>ADDITIONAL_PROMO</v>
      </c>
      <c r="I3285" s="136"/>
    </row>
    <row r="3286" ht="15.75" customHeight="1">
      <c r="B3286" s="63">
        <f t="shared" si="1"/>
        <v>18</v>
      </c>
      <c r="C3286" s="146" t="s">
        <v>270</v>
      </c>
      <c r="D3286" s="147" t="s">
        <v>74</v>
      </c>
      <c r="E3286" s="135">
        <f t="shared" si="59"/>
        <v>13</v>
      </c>
      <c r="F3286" s="134" t="s">
        <v>3860</v>
      </c>
      <c r="G3286" s="63" t="str">
        <f>VLOOKUP(C3286, 'Class Def. - General Data'!$C$20:$C$1000,1,false)</f>
        <v>ZPM1_AluCan_TinCan</v>
      </c>
      <c r="H3286" s="63" t="str">
        <f>IFERROR(__xludf.DUMMYFUNCTION("VLOOKUP(F3286, IMPORTRANGE(""https://docs.google.com/spreadsheets/d/1Lhp9OU0JdFf_VYSMzH5lBcEaU4o8teT1piV-SNzShjg/edit?gid=554141278#gid=554141278"", ""'Char Def. - Attributes'!C20:C2242""), 1,false)"),"ADA_BANDED_PROMO")</f>
        <v>ADA_BANDED_PROMO</v>
      </c>
      <c r="I3286" s="136"/>
    </row>
    <row r="3287" ht="15.75" customHeight="1">
      <c r="B3287" s="63">
        <f t="shared" si="1"/>
        <v>18</v>
      </c>
      <c r="C3287" s="146" t="s">
        <v>270</v>
      </c>
      <c r="D3287" s="147" t="s">
        <v>74</v>
      </c>
      <c r="E3287" s="135">
        <f t="shared" si="59"/>
        <v>14</v>
      </c>
      <c r="F3287" s="134" t="s">
        <v>3610</v>
      </c>
      <c r="G3287" s="63" t="str">
        <f>VLOOKUP(C3287, 'Class Def. - General Data'!$C$20:$C$1000,1,false)</f>
        <v>ZPM1_AluCan_TinCan</v>
      </c>
      <c r="H3287" s="63" t="str">
        <f>IFERROR(__xludf.DUMMYFUNCTION("VLOOKUP(F3287, IMPORTRANGE(""https://docs.google.com/spreadsheets/d/1Lhp9OU0JdFf_VYSMzH5lBcEaU4o8teT1piV-SNzShjg/edit?gid=554141278#gid=554141278"", ""'Char Def. - Attributes'!C20:C2242""), 1,false)"),"BANDED_PROMO")</f>
        <v>BANDED_PROMO</v>
      </c>
      <c r="I3287" s="136"/>
    </row>
    <row r="3288" ht="15.75" customHeight="1">
      <c r="B3288" s="63">
        <f t="shared" si="1"/>
        <v>18</v>
      </c>
      <c r="C3288" s="146" t="s">
        <v>270</v>
      </c>
      <c r="D3288" s="147" t="s">
        <v>74</v>
      </c>
      <c r="E3288" s="135">
        <f t="shared" si="59"/>
        <v>15</v>
      </c>
      <c r="F3288" s="134" t="s">
        <v>1292</v>
      </c>
      <c r="G3288" s="63" t="str">
        <f>VLOOKUP(C3288, 'Class Def. - General Data'!$C$20:$C$1000,1,false)</f>
        <v>ZPM1_AluCan_TinCan</v>
      </c>
      <c r="H3288" s="63" t="str">
        <f>IFERROR(__xludf.DUMMYFUNCTION("VLOOKUP(F3288, IMPORTRANGE(""https://docs.google.com/spreadsheets/d/1Lhp9OU0JdFf_VYSMzH5lBcEaU4o8teT1piV-SNzShjg/edit?gid=554141278#gid=554141278"", ""'Char Def. - Attributes'!C20:C2242""), 1,false)"),"EXPORT")</f>
        <v>EXPORT</v>
      </c>
      <c r="I3288" s="136"/>
    </row>
    <row r="3289" ht="15.75" customHeight="1">
      <c r="B3289" s="63">
        <f t="shared" si="1"/>
        <v>18</v>
      </c>
      <c r="C3289" s="146" t="s">
        <v>270</v>
      </c>
      <c r="D3289" s="147" t="s">
        <v>74</v>
      </c>
      <c r="E3289" s="135">
        <f t="shared" si="59"/>
        <v>16</v>
      </c>
      <c r="F3289" s="134" t="s">
        <v>3612</v>
      </c>
      <c r="G3289" s="63" t="str">
        <f>VLOOKUP(C3289, 'Class Def. - General Data'!$C$20:$C$1000,1,false)</f>
        <v>ZPM1_AluCan_TinCan</v>
      </c>
      <c r="H3289" s="63" t="str">
        <f>IFERROR(__xludf.DUMMYFUNCTION("VLOOKUP(F3289, IMPORTRANGE(""https://docs.google.com/spreadsheets/d/1Lhp9OU0JdFf_VYSMzH5lBcEaU4o8teT1piV-SNzShjg/edit?gid=554141278#gid=554141278"", ""'Char Def. - Attributes'!C20:C2242""), 1,false)"),"COUNTRY_EKSPOR")</f>
        <v>COUNTRY_EKSPOR</v>
      </c>
      <c r="I3289" s="136"/>
    </row>
    <row r="3290" ht="15.75" customHeight="1">
      <c r="B3290" s="63">
        <f t="shared" si="1"/>
        <v>18</v>
      </c>
      <c r="C3290" s="146" t="s">
        <v>270</v>
      </c>
      <c r="D3290" s="147" t="s">
        <v>74</v>
      </c>
      <c r="E3290" s="135">
        <f t="shared" si="59"/>
        <v>17</v>
      </c>
      <c r="F3290" s="134" t="s">
        <v>3861</v>
      </c>
      <c r="G3290" s="63" t="str">
        <f>VLOOKUP(C3290, 'Class Def. - General Data'!$C$20:$C$1000,1,false)</f>
        <v>ZPM1_AluCan_TinCan</v>
      </c>
      <c r="H3290" s="63" t="str">
        <f>IFERROR(__xludf.DUMMYFUNCTION("VLOOKUP(F3290, IMPORTRANGE(""https://docs.google.com/spreadsheets/d/1Lhp9OU0JdFf_VYSMzH5lBcEaU4o8teT1piV-SNzShjg/edit?gid=554141278#gid=554141278"", ""'Char Def. - Attributes'!C20:C2242""), 1,false)"),"PEMBATAS")</f>
        <v>PEMBATAS</v>
      </c>
      <c r="I3290" s="136"/>
    </row>
    <row r="3291" ht="15.75" customHeight="1">
      <c r="B3291" s="63">
        <f t="shared" si="1"/>
        <v>18</v>
      </c>
      <c r="C3291" s="146" t="s">
        <v>270</v>
      </c>
      <c r="D3291" s="147" t="s">
        <v>74</v>
      </c>
      <c r="E3291" s="135">
        <f t="shared" si="59"/>
        <v>18</v>
      </c>
      <c r="F3291" s="134" t="s">
        <v>3885</v>
      </c>
      <c r="G3291" s="63" t="str">
        <f>VLOOKUP(C3291, 'Class Def. - General Data'!$C$20:$C$1000,1,false)</f>
        <v>ZPM1_AluCan_TinCan</v>
      </c>
      <c r="H3291" s="63" t="str">
        <f>IFERROR(__xludf.DUMMYFUNCTION("VLOOKUP(F3291, IMPORTRANGE(""https://docs.google.com/spreadsheets/d/1Lhp9OU0JdFf_VYSMzH5lBcEaU4o8teT1piV-SNzShjg/edit?gid=554141278#gid=554141278"", ""'Char Def. - Attributes'!C20:C2242""), 1,false)"),"PACK_CODE")</f>
        <v>PACK_CODE</v>
      </c>
      <c r="I3291" s="136"/>
    </row>
    <row r="3292" ht="15.75" customHeight="1">
      <c r="B3292" s="63">
        <f t="shared" si="1"/>
        <v>18</v>
      </c>
      <c r="C3292" s="146" t="s">
        <v>270</v>
      </c>
      <c r="D3292" s="147" t="s">
        <v>74</v>
      </c>
      <c r="E3292" s="135">
        <f t="shared" si="59"/>
        <v>19</v>
      </c>
      <c r="F3292" s="134" t="s">
        <v>3862</v>
      </c>
      <c r="G3292" s="63" t="str">
        <f>VLOOKUP(C3292, 'Class Def. - General Data'!$C$20:$C$1000,1,false)</f>
        <v>ZPM1_AluCan_TinCan</v>
      </c>
      <c r="H3292" s="63" t="str">
        <f>IFERROR(__xludf.DUMMYFUNCTION("VLOOKUP(F3292, IMPORTRANGE(""https://docs.google.com/spreadsheets/d/1Lhp9OU0JdFf_VYSMzH5lBcEaU4o8teT1piV-SNzShjg/edit?gid=554141278#gid=554141278"", ""'Char Def. - Attributes'!C20:C2242""), 1,false)"),"MONTH")</f>
        <v>MONTH</v>
      </c>
      <c r="I3292" s="136"/>
    </row>
    <row r="3293" ht="15.75" customHeight="1">
      <c r="B3293" s="63">
        <f t="shared" si="1"/>
        <v>18</v>
      </c>
      <c r="C3293" s="146" t="s">
        <v>270</v>
      </c>
      <c r="D3293" s="147" t="s">
        <v>74</v>
      </c>
      <c r="E3293" s="135">
        <f t="shared" si="59"/>
        <v>20</v>
      </c>
      <c r="F3293" s="134" t="s">
        <v>3863</v>
      </c>
      <c r="G3293" s="63" t="str">
        <f>VLOOKUP(C3293, 'Class Def. - General Data'!$C$20:$C$1000,1,false)</f>
        <v>ZPM1_AluCan_TinCan</v>
      </c>
      <c r="H3293" s="63" t="str">
        <f>IFERROR(__xludf.DUMMYFUNCTION("VLOOKUP(F3293, IMPORTRANGE(""https://docs.google.com/spreadsheets/d/1Lhp9OU0JdFf_VYSMzH5lBcEaU4o8teT1piV-SNzShjg/edit?gid=554141278#gid=554141278"", ""'Char Def. - Attributes'!C20:C2242""), 1,false)"),"YEAR")</f>
        <v>YEAR</v>
      </c>
      <c r="I3293" s="136"/>
    </row>
    <row r="3294" ht="15.75" customHeight="1">
      <c r="B3294" s="63">
        <f t="shared" si="1"/>
        <v>18</v>
      </c>
      <c r="C3294" s="146" t="s">
        <v>270</v>
      </c>
      <c r="D3294" s="147" t="s">
        <v>74</v>
      </c>
      <c r="E3294" s="135">
        <f t="shared" si="59"/>
        <v>21</v>
      </c>
      <c r="F3294" s="134" t="s">
        <v>3864</v>
      </c>
      <c r="G3294" s="63" t="str">
        <f>VLOOKUP(C3294, 'Class Def. - General Data'!$C$20:$C$1000,1,false)</f>
        <v>ZPM1_AluCan_TinCan</v>
      </c>
      <c r="H3294" s="63" t="str">
        <f>IFERROR(__xludf.DUMMYFUNCTION("VLOOKUP(F3294, IMPORTRANGE(""https://docs.google.com/spreadsheets/d/1Lhp9OU0JdFf_VYSMzH5lBcEaU4o8teT1piV-SNzShjg/edit?gid=554141278#gid=554141278"", ""'Char Def. - Attributes'!C20:C2242""), 1,false)"),"DIMENSION_OPT")</f>
        <v>DIMENSION_OPT</v>
      </c>
      <c r="I3294" s="136"/>
    </row>
    <row r="3295" ht="15.75" customHeight="1">
      <c r="B3295" s="63">
        <f t="shared" si="1"/>
        <v>18</v>
      </c>
      <c r="C3295" s="146" t="s">
        <v>270</v>
      </c>
      <c r="D3295" s="147" t="s">
        <v>74</v>
      </c>
      <c r="E3295" s="135">
        <f t="shared" si="59"/>
        <v>22</v>
      </c>
      <c r="F3295" s="134" t="s">
        <v>3886</v>
      </c>
      <c r="G3295" s="63" t="str">
        <f>VLOOKUP(C3295, 'Class Def. - General Data'!$C$20:$C$1000,1,false)</f>
        <v>ZPM1_AluCan_TinCan</v>
      </c>
      <c r="H3295" s="63" t="str">
        <f>IFERROR(__xludf.DUMMYFUNCTION("VLOOKUP(F3295, IMPORTRANGE(""https://docs.google.com/spreadsheets/d/1Lhp9OU0JdFf_VYSMzH5lBcEaU4o8teT1piV-SNzShjg/edit?gid=554141278#gid=554141278"", ""'Char Def. - Attributes'!C20:C2242""), 1,false)"),"COLOR_COUNT_OPT")</f>
        <v>COLOR_COUNT_OPT</v>
      </c>
      <c r="I3295" s="136"/>
    </row>
    <row r="3296" ht="15.75" customHeight="1">
      <c r="B3296" s="63">
        <f t="shared" si="1"/>
        <v>18</v>
      </c>
      <c r="C3296" s="146" t="s">
        <v>270</v>
      </c>
      <c r="D3296" s="147" t="s">
        <v>74</v>
      </c>
      <c r="E3296" s="135">
        <f t="shared" si="59"/>
        <v>23</v>
      </c>
      <c r="F3296" s="134" t="s">
        <v>3587</v>
      </c>
      <c r="G3296" s="63" t="str">
        <f>VLOOKUP(C3296, 'Class Def. - General Data'!$C$20:$C$1000,1,false)</f>
        <v>ZPM1_AluCan_TinCan</v>
      </c>
      <c r="H3296" s="63" t="str">
        <f>IFERROR(__xludf.DUMMYFUNCTION("VLOOKUP(F3296, IMPORTRANGE(""https://docs.google.com/spreadsheets/d/1Lhp9OU0JdFf_VYSMzH5lBcEaU4o8teT1piV-SNzShjg/edit?gid=554141278#gid=554141278"", ""'Char Def. - Attributes'!C20:C2242""), 1,false)"),"PLANT_BUY")</f>
        <v>PLANT_BUY</v>
      </c>
      <c r="I3296" s="136"/>
    </row>
    <row r="3297" ht="15.75" customHeight="1">
      <c r="B3297" s="63">
        <f t="shared" si="1"/>
        <v>18</v>
      </c>
      <c r="C3297" s="146" t="s">
        <v>270</v>
      </c>
      <c r="D3297" s="147" t="s">
        <v>74</v>
      </c>
      <c r="E3297" s="135">
        <f t="shared" si="59"/>
        <v>24</v>
      </c>
      <c r="F3297" s="134" t="s">
        <v>3865</v>
      </c>
      <c r="G3297" s="63" t="str">
        <f>VLOOKUP(C3297, 'Class Def. - General Data'!$C$20:$C$1000,1,false)</f>
        <v>ZPM1_AluCan_TinCan</v>
      </c>
      <c r="H3297" s="63" t="str">
        <f>IFERROR(__xludf.DUMMYFUNCTION("VLOOKUP(F3297, IMPORTRANGE(""https://docs.google.com/spreadsheets/d/1Lhp9OU0JdFf_VYSMzH5lBcEaU4o8teT1piV-SNzShjg/edit?gid=554141278#gid=554141278"", ""'Char Def. - Attributes'!C20:C2242""), 1,false)"),"PLANT_PROD_OPT")</f>
        <v>PLANT_PROD_OPT</v>
      </c>
      <c r="I3297" s="136"/>
    </row>
    <row r="3298" ht="15.75" customHeight="1">
      <c r="B3298" s="63">
        <f t="shared" si="1"/>
        <v>18</v>
      </c>
      <c r="C3298" s="146" t="s">
        <v>270</v>
      </c>
      <c r="D3298" s="147" t="s">
        <v>74</v>
      </c>
      <c r="E3298" s="135">
        <f t="shared" si="59"/>
        <v>25</v>
      </c>
      <c r="F3298" s="134" t="s">
        <v>3866</v>
      </c>
      <c r="G3298" s="63" t="str">
        <f>VLOOKUP(C3298, 'Class Def. - General Data'!$C$20:$C$1000,1,false)</f>
        <v>ZPM1_AluCan_TinCan</v>
      </c>
      <c r="H3298" s="63" t="str">
        <f>IFERROR(__xludf.DUMMYFUNCTION("VLOOKUP(F3298, IMPORTRANGE(""https://docs.google.com/spreadsheets/d/1Lhp9OU0JdFf_VYSMzH5lBcEaU4o8teT1piV-SNzShjg/edit?gid=554141278#gid=554141278"", ""'Char Def. - Attributes'!C20:C2242""), 1,false)"),"PM_SUPPLY_JKT")</f>
        <v>PM_SUPPLY_JKT</v>
      </c>
      <c r="I3298" s="136"/>
    </row>
    <row r="3299" ht="15.75" customHeight="1">
      <c r="B3299" s="63">
        <f t="shared" si="1"/>
        <v>18</v>
      </c>
      <c r="C3299" s="146" t="s">
        <v>270</v>
      </c>
      <c r="D3299" s="147" t="s">
        <v>74</v>
      </c>
      <c r="E3299" s="135">
        <f t="shared" si="59"/>
        <v>26</v>
      </c>
      <c r="F3299" s="134" t="s">
        <v>3867</v>
      </c>
      <c r="G3299" s="63" t="str">
        <f>VLOOKUP(C3299, 'Class Def. - General Data'!$C$20:$C$1000,1,false)</f>
        <v>ZPM1_AluCan_TinCan</v>
      </c>
      <c r="H3299" s="63" t="str">
        <f>IFERROR(__xludf.DUMMYFUNCTION("VLOOKUP(F3299, IMPORTRANGE(""https://docs.google.com/spreadsheets/d/1Lhp9OU0JdFf_VYSMzH5lBcEaU4o8teT1piV-SNzShjg/edit?gid=554141278#gid=554141278"", ""'Char Def. - Attributes'!C20:C2242""), 1,false)"),"PM_SUPPLY_SBY")</f>
        <v>PM_SUPPLY_SBY</v>
      </c>
      <c r="I3299" s="136"/>
    </row>
    <row r="3300" ht="15.75" customHeight="1">
      <c r="B3300" s="63">
        <f t="shared" si="1"/>
        <v>18</v>
      </c>
      <c r="C3300" s="146" t="s">
        <v>270</v>
      </c>
      <c r="D3300" s="147" t="s">
        <v>74</v>
      </c>
      <c r="E3300" s="135">
        <f t="shared" si="59"/>
        <v>27</v>
      </c>
      <c r="F3300" s="134" t="s">
        <v>3868</v>
      </c>
      <c r="G3300" s="63" t="str">
        <f>VLOOKUP(C3300, 'Class Def. - General Data'!$C$20:$C$1000,1,false)</f>
        <v>ZPM1_AluCan_TinCan</v>
      </c>
      <c r="H3300" s="63" t="str">
        <f>IFERROR(__xludf.DUMMYFUNCTION("VLOOKUP(F3300, IMPORTRANGE(""https://docs.google.com/spreadsheets/d/1Lhp9OU0JdFf_VYSMzH5lBcEaU4o8teT1piV-SNzShjg/edit?gid=554141278#gid=554141278"", ""'Char Def. - Attributes'!C20:C2242""), 1,false)"),"BASIC_UOM_RMPM")</f>
        <v>BASIC_UOM_RMPM</v>
      </c>
      <c r="I3300" s="136"/>
    </row>
    <row r="3301" ht="15.75" customHeight="1">
      <c r="B3301" s="63">
        <f t="shared" si="1"/>
        <v>18</v>
      </c>
      <c r="C3301" s="146" t="s">
        <v>270</v>
      </c>
      <c r="D3301" s="147" t="s">
        <v>74</v>
      </c>
      <c r="E3301" s="135">
        <f t="shared" si="59"/>
        <v>28</v>
      </c>
      <c r="F3301" s="134" t="s">
        <v>3869</v>
      </c>
      <c r="G3301" s="63" t="str">
        <f>VLOOKUP(C3301, 'Class Def. - General Data'!$C$20:$C$1000,1,false)</f>
        <v>ZPM1_AluCan_TinCan</v>
      </c>
      <c r="H3301" s="63" t="str">
        <f>IFERROR(__xludf.DUMMYFUNCTION("VLOOKUP(F3301, IMPORTRANGE(""https://docs.google.com/spreadsheets/d/1Lhp9OU0JdFf_VYSMzH5lBcEaU4o8teT1piV-SNzShjg/edit?gid=554141278#gid=554141278"", ""'Char Def. - Attributes'!C20:C2242""), 1,false)"),"ALT_UOM1_RMPM")</f>
        <v>ALT_UOM1_RMPM</v>
      </c>
      <c r="I3301" s="136"/>
    </row>
    <row r="3302" ht="15.75" customHeight="1">
      <c r="B3302" s="63">
        <f t="shared" si="1"/>
        <v>18</v>
      </c>
      <c r="C3302" s="146" t="s">
        <v>270</v>
      </c>
      <c r="D3302" s="147" t="s">
        <v>74</v>
      </c>
      <c r="E3302" s="135">
        <f t="shared" si="59"/>
        <v>29</v>
      </c>
      <c r="F3302" s="134" t="s">
        <v>3805</v>
      </c>
      <c r="G3302" s="63" t="str">
        <f>VLOOKUP(C3302, 'Class Def. - General Data'!$C$20:$C$1000,1,false)</f>
        <v>ZPM1_AluCan_TinCan</v>
      </c>
      <c r="H3302" s="63" t="str">
        <f>IFERROR(__xludf.DUMMYFUNCTION("VLOOKUP(F3302, IMPORTRANGE(""https://docs.google.com/spreadsheets/d/1Lhp9OU0JdFf_VYSMzH5lBcEaU4o8teT1piV-SNzShjg/edit?gid=554141278#gid=554141278"", ""'Char Def. - Attributes'!C20:C2242""), 1,false)"),"ALT_DENUM_UOM1")</f>
        <v>ALT_DENUM_UOM1</v>
      </c>
      <c r="I3302" s="136"/>
    </row>
    <row r="3303" ht="15.75" customHeight="1">
      <c r="B3303" s="63">
        <f t="shared" si="1"/>
        <v>18</v>
      </c>
      <c r="C3303" s="146" t="s">
        <v>270</v>
      </c>
      <c r="D3303" s="147" t="s">
        <v>74</v>
      </c>
      <c r="E3303" s="135">
        <f t="shared" si="59"/>
        <v>30</v>
      </c>
      <c r="F3303" s="134" t="s">
        <v>3806</v>
      </c>
      <c r="G3303" s="63" t="str">
        <f>VLOOKUP(C3303, 'Class Def. - General Data'!$C$20:$C$1000,1,false)</f>
        <v>ZPM1_AluCan_TinCan</v>
      </c>
      <c r="H3303" s="63" t="str">
        <f>IFERROR(__xludf.DUMMYFUNCTION("VLOOKUP(F3303, IMPORTRANGE(""https://docs.google.com/spreadsheets/d/1Lhp9OU0JdFf_VYSMzH5lBcEaU4o8teT1piV-SNzShjg/edit?gid=554141278#gid=554141278"", ""'Char Def. - Attributes'!C20:C2242""), 1,false)"),"ALT_NUM_UOM1")</f>
        <v>ALT_NUM_UOM1</v>
      </c>
      <c r="I3303" s="136"/>
    </row>
    <row r="3304" ht="15.75" customHeight="1">
      <c r="B3304" s="63">
        <f t="shared" si="1"/>
        <v>18</v>
      </c>
      <c r="C3304" s="146" t="s">
        <v>270</v>
      </c>
      <c r="D3304" s="147" t="s">
        <v>74</v>
      </c>
      <c r="E3304" s="135">
        <f t="shared" si="59"/>
        <v>31</v>
      </c>
      <c r="F3304" s="134" t="s">
        <v>3870</v>
      </c>
      <c r="G3304" s="63" t="str">
        <f>VLOOKUP(C3304, 'Class Def. - General Data'!$C$20:$C$1000,1,false)</f>
        <v>ZPM1_AluCan_TinCan</v>
      </c>
      <c r="H3304" s="63" t="str">
        <f>IFERROR(__xludf.DUMMYFUNCTION("VLOOKUP(F3304, IMPORTRANGE(""https://docs.google.com/spreadsheets/d/1Lhp9OU0JdFf_VYSMzH5lBcEaU4o8teT1piV-SNzShjg/edit?gid=554141278#gid=554141278"", ""'Char Def. - Attributes'!C20:C2242""), 1,false)"),"ALT_UOM2_RMPM")</f>
        <v>ALT_UOM2_RMPM</v>
      </c>
      <c r="I3304" s="136"/>
    </row>
    <row r="3305" ht="15.75" customHeight="1">
      <c r="B3305" s="63">
        <f t="shared" si="1"/>
        <v>18</v>
      </c>
      <c r="C3305" s="146" t="s">
        <v>270</v>
      </c>
      <c r="D3305" s="147" t="s">
        <v>74</v>
      </c>
      <c r="E3305" s="135">
        <f t="shared" si="59"/>
        <v>32</v>
      </c>
      <c r="F3305" s="134" t="s">
        <v>3808</v>
      </c>
      <c r="G3305" s="63" t="str">
        <f>VLOOKUP(C3305, 'Class Def. - General Data'!$C$20:$C$1000,1,false)</f>
        <v>ZPM1_AluCan_TinCan</v>
      </c>
      <c r="H3305" s="63" t="str">
        <f>IFERROR(__xludf.DUMMYFUNCTION("VLOOKUP(F3305, IMPORTRANGE(""https://docs.google.com/spreadsheets/d/1Lhp9OU0JdFf_VYSMzH5lBcEaU4o8teT1piV-SNzShjg/edit?gid=554141278#gid=554141278"", ""'Char Def. - Attributes'!C20:C2242""), 1,false)"),"ALT_DENUM_UOM2")</f>
        <v>ALT_DENUM_UOM2</v>
      </c>
      <c r="I3305" s="136"/>
    </row>
    <row r="3306" ht="15.75" customHeight="1">
      <c r="B3306" s="63">
        <f t="shared" si="1"/>
        <v>18</v>
      </c>
      <c r="C3306" s="146" t="s">
        <v>270</v>
      </c>
      <c r="D3306" s="147" t="s">
        <v>74</v>
      </c>
      <c r="E3306" s="135">
        <f t="shared" si="59"/>
        <v>33</v>
      </c>
      <c r="F3306" s="134" t="s">
        <v>3809</v>
      </c>
      <c r="G3306" s="63" t="str">
        <f>VLOOKUP(C3306, 'Class Def. - General Data'!$C$20:$C$1000,1,false)</f>
        <v>ZPM1_AluCan_TinCan</v>
      </c>
      <c r="H3306" s="63" t="str">
        <f>IFERROR(__xludf.DUMMYFUNCTION("VLOOKUP(F3306, IMPORTRANGE(""https://docs.google.com/spreadsheets/d/1Lhp9OU0JdFf_VYSMzH5lBcEaU4o8teT1piV-SNzShjg/edit?gid=554141278#gid=554141278"", ""'Char Def. - Attributes'!C20:C2242""), 1,false)"),"ALT_NUM_UOM2")</f>
        <v>ALT_NUM_UOM2</v>
      </c>
      <c r="I3306" s="136"/>
    </row>
    <row r="3307" ht="15.75" customHeight="1">
      <c r="B3307" s="63">
        <f t="shared" si="1"/>
        <v>18</v>
      </c>
      <c r="C3307" s="146" t="s">
        <v>270</v>
      </c>
      <c r="D3307" s="147" t="s">
        <v>74</v>
      </c>
      <c r="E3307" s="135">
        <f t="shared" si="59"/>
        <v>34</v>
      </c>
      <c r="F3307" s="134" t="s">
        <v>3871</v>
      </c>
      <c r="G3307" s="63" t="str">
        <f>VLOOKUP(C3307, 'Class Def. - General Data'!$C$20:$C$1000,1,false)</f>
        <v>ZPM1_AluCan_TinCan</v>
      </c>
      <c r="H3307" s="63" t="str">
        <f>IFERROR(__xludf.DUMMYFUNCTION("VLOOKUP(F3307, IMPORTRANGE(""https://docs.google.com/spreadsheets/d/1Lhp9OU0JdFf_VYSMzH5lBcEaU4o8teT1piV-SNzShjg/edit?gid=554141278#gid=554141278"", ""'Char Def. - Attributes'!C20:C2242""), 1,false)"),"ALT_UOM3_RMPM")</f>
        <v>ALT_UOM3_RMPM</v>
      </c>
      <c r="I3307" s="136"/>
    </row>
    <row r="3308" ht="15.75" customHeight="1">
      <c r="B3308" s="63">
        <f t="shared" si="1"/>
        <v>18</v>
      </c>
      <c r="C3308" s="146" t="s">
        <v>270</v>
      </c>
      <c r="D3308" s="147" t="s">
        <v>74</v>
      </c>
      <c r="E3308" s="135">
        <f t="shared" si="59"/>
        <v>35</v>
      </c>
      <c r="F3308" s="134" t="s">
        <v>3811</v>
      </c>
      <c r="G3308" s="63" t="str">
        <f>VLOOKUP(C3308, 'Class Def. - General Data'!$C$20:$C$1000,1,false)</f>
        <v>ZPM1_AluCan_TinCan</v>
      </c>
      <c r="H3308" s="63" t="str">
        <f>IFERROR(__xludf.DUMMYFUNCTION("VLOOKUP(F3308, IMPORTRANGE(""https://docs.google.com/spreadsheets/d/1Lhp9OU0JdFf_VYSMzH5lBcEaU4o8teT1piV-SNzShjg/edit?gid=554141278#gid=554141278"", ""'Char Def. - Attributes'!C20:C2242""), 1,false)"),"ALT_DENUM_UOM3")</f>
        <v>ALT_DENUM_UOM3</v>
      </c>
      <c r="I3308" s="136"/>
    </row>
    <row r="3309" ht="15.75" customHeight="1">
      <c r="B3309" s="63">
        <f t="shared" si="1"/>
        <v>18</v>
      </c>
      <c r="C3309" s="146" t="s">
        <v>270</v>
      </c>
      <c r="D3309" s="147" t="s">
        <v>74</v>
      </c>
      <c r="E3309" s="135">
        <f t="shared" si="59"/>
        <v>36</v>
      </c>
      <c r="F3309" s="134" t="s">
        <v>3812</v>
      </c>
      <c r="G3309" s="63" t="str">
        <f>VLOOKUP(C3309, 'Class Def. - General Data'!$C$20:$C$1000,1,false)</f>
        <v>ZPM1_AluCan_TinCan</v>
      </c>
      <c r="H3309" s="63" t="str">
        <f>IFERROR(__xludf.DUMMYFUNCTION("VLOOKUP(F3309, IMPORTRANGE(""https://docs.google.com/spreadsheets/d/1Lhp9OU0JdFf_VYSMzH5lBcEaU4o8teT1piV-SNzShjg/edit?gid=554141278#gid=554141278"", ""'Char Def. - Attributes'!C20:C2242""), 1,false)"),"ALT_NUM_UOM3")</f>
        <v>ALT_NUM_UOM3</v>
      </c>
      <c r="I3309" s="136"/>
    </row>
    <row r="3310" ht="15.75" customHeight="1">
      <c r="B3310" s="63">
        <f t="shared" si="1"/>
        <v>18</v>
      </c>
      <c r="C3310" s="146" t="s">
        <v>270</v>
      </c>
      <c r="D3310" s="147" t="s">
        <v>74</v>
      </c>
      <c r="E3310" s="135">
        <f t="shared" si="59"/>
        <v>37</v>
      </c>
      <c r="F3310" s="134" t="s">
        <v>3872</v>
      </c>
      <c r="G3310" s="63" t="str">
        <f>VLOOKUP(C3310, 'Class Def. - General Data'!$C$20:$C$1000,1,false)</f>
        <v>ZPM1_AluCan_TinCan</v>
      </c>
      <c r="H3310" s="63" t="str">
        <f>IFERROR(__xludf.DUMMYFUNCTION("VLOOKUP(F3310, IMPORTRANGE(""https://docs.google.com/spreadsheets/d/1Lhp9OU0JdFf_VYSMzH5lBcEaU4o8teT1piV-SNzShjg/edit?gid=554141278#gid=554141278"", ""'Char Def. - Attributes'!C20:C2242""), 1,false)"),"ALT_UOM4_RMPM")</f>
        <v>ALT_UOM4_RMPM</v>
      </c>
      <c r="I3310" s="136"/>
    </row>
    <row r="3311" ht="15.75" customHeight="1">
      <c r="B3311" s="63">
        <f t="shared" si="1"/>
        <v>18</v>
      </c>
      <c r="C3311" s="146" t="s">
        <v>270</v>
      </c>
      <c r="D3311" s="147" t="s">
        <v>74</v>
      </c>
      <c r="E3311" s="135">
        <f t="shared" si="59"/>
        <v>38</v>
      </c>
      <c r="F3311" s="134" t="s">
        <v>3814</v>
      </c>
      <c r="G3311" s="63" t="str">
        <f>VLOOKUP(C3311, 'Class Def. - General Data'!$C$20:$C$1000,1,false)</f>
        <v>ZPM1_AluCan_TinCan</v>
      </c>
      <c r="H3311" s="63" t="str">
        <f>IFERROR(__xludf.DUMMYFUNCTION("VLOOKUP(F3311, IMPORTRANGE(""https://docs.google.com/spreadsheets/d/1Lhp9OU0JdFf_VYSMzH5lBcEaU4o8teT1piV-SNzShjg/edit?gid=554141278#gid=554141278"", ""'Char Def. - Attributes'!C20:C2242""), 1,false)"),"ALT_DENUM_UOM4")</f>
        <v>ALT_DENUM_UOM4</v>
      </c>
      <c r="I3311" s="136"/>
    </row>
    <row r="3312" ht="15.75" customHeight="1">
      <c r="B3312" s="63">
        <f t="shared" si="1"/>
        <v>18</v>
      </c>
      <c r="C3312" s="146" t="s">
        <v>270</v>
      </c>
      <c r="D3312" s="147" t="s">
        <v>74</v>
      </c>
      <c r="E3312" s="135">
        <f t="shared" si="59"/>
        <v>39</v>
      </c>
      <c r="F3312" s="134" t="s">
        <v>3815</v>
      </c>
      <c r="G3312" s="63" t="str">
        <f>VLOOKUP(C3312, 'Class Def. - General Data'!$C$20:$C$1000,1,false)</f>
        <v>ZPM1_AluCan_TinCan</v>
      </c>
      <c r="H3312" s="63" t="str">
        <f>IFERROR(__xludf.DUMMYFUNCTION("VLOOKUP(F3312, IMPORTRANGE(""https://docs.google.com/spreadsheets/d/1Lhp9OU0JdFf_VYSMzH5lBcEaU4o8teT1piV-SNzShjg/edit?gid=554141278#gid=554141278"", ""'Char Def. - Attributes'!C20:C2242""), 1,false)"),"ALT_NUM_UOM4")</f>
        <v>ALT_NUM_UOM4</v>
      </c>
      <c r="I3312" s="136"/>
    </row>
    <row r="3313" ht="15.75" customHeight="1">
      <c r="B3313" s="63">
        <f t="shared" si="1"/>
        <v>18</v>
      </c>
      <c r="C3313" s="146" t="s">
        <v>270</v>
      </c>
      <c r="D3313" s="147" t="s">
        <v>74</v>
      </c>
      <c r="E3313" s="135">
        <f t="shared" si="59"/>
        <v>40</v>
      </c>
      <c r="F3313" s="134" t="s">
        <v>3873</v>
      </c>
      <c r="G3313" s="63" t="str">
        <f>VLOOKUP(C3313, 'Class Def. - General Data'!$C$20:$C$1000,1,false)</f>
        <v>ZPM1_AluCan_TinCan</v>
      </c>
      <c r="H3313" s="63" t="str">
        <f>IFERROR(__xludf.DUMMYFUNCTION("VLOOKUP(F3313, IMPORTRANGE(""https://docs.google.com/spreadsheets/d/1Lhp9OU0JdFf_VYSMzH5lBcEaU4o8teT1piV-SNzShjg/edit?gid=554141278#gid=554141278"", ""'Char Def. - Attributes'!C20:C2242""), 1,false)"),"ALT_UOM5_RMPM")</f>
        <v>ALT_UOM5_RMPM</v>
      </c>
      <c r="I3313" s="136"/>
    </row>
    <row r="3314" ht="15.75" customHeight="1">
      <c r="B3314" s="63">
        <f t="shared" si="1"/>
        <v>18</v>
      </c>
      <c r="C3314" s="146" t="s">
        <v>270</v>
      </c>
      <c r="D3314" s="147" t="s">
        <v>74</v>
      </c>
      <c r="E3314" s="135">
        <f t="shared" si="59"/>
        <v>41</v>
      </c>
      <c r="F3314" s="134" t="s">
        <v>3817</v>
      </c>
      <c r="G3314" s="63" t="str">
        <f>VLOOKUP(C3314, 'Class Def. - General Data'!$C$20:$C$1000,1,false)</f>
        <v>ZPM1_AluCan_TinCan</v>
      </c>
      <c r="H3314" s="63" t="str">
        <f>IFERROR(__xludf.DUMMYFUNCTION("VLOOKUP(F3314, IMPORTRANGE(""https://docs.google.com/spreadsheets/d/1Lhp9OU0JdFf_VYSMzH5lBcEaU4o8teT1piV-SNzShjg/edit?gid=554141278#gid=554141278"", ""'Char Def. - Attributes'!C20:C2242""), 1,false)"),"ALT_DENUM_UOM5")</f>
        <v>ALT_DENUM_UOM5</v>
      </c>
      <c r="I3314" s="136"/>
    </row>
    <row r="3315" ht="15.75" customHeight="1">
      <c r="B3315" s="63">
        <f t="shared" si="1"/>
        <v>18</v>
      </c>
      <c r="C3315" s="146" t="s">
        <v>270</v>
      </c>
      <c r="D3315" s="147" t="s">
        <v>74</v>
      </c>
      <c r="E3315" s="135">
        <f t="shared" si="59"/>
        <v>42</v>
      </c>
      <c r="F3315" s="134" t="s">
        <v>3818</v>
      </c>
      <c r="G3315" s="63" t="str">
        <f>VLOOKUP(C3315, 'Class Def. - General Data'!$C$20:$C$1000,1,false)</f>
        <v>ZPM1_AluCan_TinCan</v>
      </c>
      <c r="H3315" s="63" t="str">
        <f>IFERROR(__xludf.DUMMYFUNCTION("VLOOKUP(F3315, IMPORTRANGE(""https://docs.google.com/spreadsheets/d/1Lhp9OU0JdFf_VYSMzH5lBcEaU4o8teT1piV-SNzShjg/edit?gid=554141278#gid=554141278"", ""'Char Def. - Attributes'!C20:C2242""), 1,false)"),"ALT_NUM_UOM5")</f>
        <v>ALT_NUM_UOM5</v>
      </c>
      <c r="I3315" s="136"/>
    </row>
    <row r="3316" ht="15.75" customHeight="1">
      <c r="B3316" s="63">
        <f t="shared" si="1"/>
        <v>18</v>
      </c>
      <c r="C3316" s="146" t="s">
        <v>270</v>
      </c>
      <c r="D3316" s="147" t="s">
        <v>74</v>
      </c>
      <c r="E3316" s="135">
        <f t="shared" si="59"/>
        <v>43</v>
      </c>
      <c r="F3316" s="134" t="s">
        <v>3874</v>
      </c>
      <c r="G3316" s="63" t="str">
        <f>VLOOKUP(C3316, 'Class Def. - General Data'!$C$20:$C$1000,1,false)</f>
        <v>ZPM1_AluCan_TinCan</v>
      </c>
      <c r="H3316" s="63" t="str">
        <f>IFERROR(__xludf.DUMMYFUNCTION("VLOOKUP(F3316, IMPORTRANGE(""https://docs.google.com/spreadsheets/d/1Lhp9OU0JdFf_VYSMzH5lBcEaU4o8teT1piV-SNzShjg/edit?gid=554141278#gid=554141278"", ""'Char Def. - Attributes'!C20:C2242""), 1,false)"),"VALUATION_CATEGORY")</f>
        <v>VALUATION_CATEGORY</v>
      </c>
      <c r="I3316" s="136"/>
    </row>
    <row r="3317" ht="15.75" customHeight="1">
      <c r="B3317" s="63">
        <f t="shared" si="1"/>
        <v>18</v>
      </c>
      <c r="C3317" s="146" t="s">
        <v>270</v>
      </c>
      <c r="D3317" s="147" t="s">
        <v>74</v>
      </c>
      <c r="E3317" s="135">
        <f t="shared" si="59"/>
        <v>44</v>
      </c>
      <c r="F3317" s="134" t="s">
        <v>3800</v>
      </c>
      <c r="G3317" s="63" t="str">
        <f>VLOOKUP(C3317, 'Class Def. - General Data'!$C$20:$C$1000,1,false)</f>
        <v>ZPM1_AluCan_TinCan</v>
      </c>
      <c r="H3317" s="63" t="str">
        <f>IFERROR(__xludf.DUMMYFUNCTION("VLOOKUP(F3317, IMPORTRANGE(""https://docs.google.com/spreadsheets/d/1Lhp9OU0JdFf_VYSMzH5lBcEaU4o8teT1piV-SNzShjg/edit?gid=554141278#gid=554141278"", ""'Char Def. - Attributes'!C20:C2242""), 1,false)"),"ORDER_UNIT_DIFF_FROM_BASIC_UOM")</f>
        <v>ORDER_UNIT_DIFF_FROM_BASIC_UOM</v>
      </c>
      <c r="I3317" s="136"/>
    </row>
    <row r="3318" ht="15.75" customHeight="1">
      <c r="B3318" s="63">
        <f t="shared" si="1"/>
        <v>18</v>
      </c>
      <c r="C3318" s="146" t="s">
        <v>270</v>
      </c>
      <c r="D3318" s="147" t="s">
        <v>74</v>
      </c>
      <c r="E3318" s="135">
        <f t="shared" si="59"/>
        <v>45</v>
      </c>
      <c r="F3318" s="134" t="s">
        <v>3875</v>
      </c>
      <c r="G3318" s="63" t="str">
        <f>VLOOKUP(C3318, 'Class Def. - General Data'!$C$20:$C$1000,1,false)</f>
        <v>ZPM1_AluCan_TinCan</v>
      </c>
      <c r="H3318" s="63" t="str">
        <f>IFERROR(__xludf.DUMMYFUNCTION("VLOOKUP(F3318, IMPORTRANGE(""https://docs.google.com/spreadsheets/d/1Lhp9OU0JdFf_VYSMzH5lBcEaU4o8teT1piV-SNzShjg/edit?gid=554141278#gid=554141278"", ""'Char Def. - Attributes'!C20:C2242""), 1,false)"),"ORDER_UNIT_RMPM")</f>
        <v>ORDER_UNIT_RMPM</v>
      </c>
      <c r="I3318" s="136"/>
    </row>
    <row r="3319" ht="15.75" customHeight="1">
      <c r="B3319" s="63">
        <f t="shared" si="1"/>
        <v>18</v>
      </c>
      <c r="C3319" s="146" t="s">
        <v>270</v>
      </c>
      <c r="D3319" s="147" t="s">
        <v>74</v>
      </c>
      <c r="E3319" s="135">
        <f t="shared" si="59"/>
        <v>46</v>
      </c>
      <c r="F3319" s="134" t="s">
        <v>3602</v>
      </c>
      <c r="G3319" s="63" t="str">
        <f>VLOOKUP(C3319, 'Class Def. - General Data'!$C$20:$C$1000,1,false)</f>
        <v>ZPM1_AluCan_TinCan</v>
      </c>
      <c r="H3319" s="63" t="str">
        <f>IFERROR(__xludf.DUMMYFUNCTION("VLOOKUP(F3319, IMPORTRANGE(""https://docs.google.com/spreadsheets/d/1Lhp9OU0JdFf_VYSMzH5lBcEaU4o8teT1piV-SNzShjg/edit?gid=554141278#gid=554141278"", ""'Char Def. - Attributes'!C20:C2242""), 1,false)"),"NET_WEIGHT")</f>
        <v>NET_WEIGHT</v>
      </c>
      <c r="I3319" s="136"/>
    </row>
    <row r="3320" ht="15.75" customHeight="1">
      <c r="B3320" s="63">
        <f t="shared" si="1"/>
        <v>18</v>
      </c>
      <c r="C3320" s="146" t="s">
        <v>270</v>
      </c>
      <c r="D3320" s="147" t="s">
        <v>74</v>
      </c>
      <c r="E3320" s="135">
        <f t="shared" si="59"/>
        <v>47</v>
      </c>
      <c r="F3320" s="134" t="s">
        <v>3601</v>
      </c>
      <c r="G3320" s="63" t="str">
        <f>VLOOKUP(C3320, 'Class Def. - General Data'!$C$20:$C$1000,1,false)</f>
        <v>ZPM1_AluCan_TinCan</v>
      </c>
      <c r="H3320" s="63" t="str">
        <f>IFERROR(__xludf.DUMMYFUNCTION("VLOOKUP(F3320, IMPORTRANGE(""https://docs.google.com/spreadsheets/d/1Lhp9OU0JdFf_VYSMzH5lBcEaU4o8teT1piV-SNzShjg/edit?gid=554141278#gid=554141278"", ""'Char Def. - Attributes'!C20:C2242""), 1,false)"),"GROSS_WEIGHT")</f>
        <v>GROSS_WEIGHT</v>
      </c>
      <c r="I3320" s="136"/>
    </row>
    <row r="3321" ht="15.75" customHeight="1">
      <c r="B3321" s="63">
        <f t="shared" si="1"/>
        <v>18</v>
      </c>
      <c r="C3321" s="146" t="s">
        <v>270</v>
      </c>
      <c r="D3321" s="147" t="s">
        <v>74</v>
      </c>
      <c r="E3321" s="135">
        <f t="shared" si="59"/>
        <v>48</v>
      </c>
      <c r="F3321" s="134" t="s">
        <v>3876</v>
      </c>
      <c r="G3321" s="63" t="str">
        <f>VLOOKUP(C3321, 'Class Def. - General Data'!$C$20:$C$1000,1,false)</f>
        <v>ZPM1_AluCan_TinCan</v>
      </c>
      <c r="H3321" s="63" t="str">
        <f>IFERROR(__xludf.DUMMYFUNCTION("VLOOKUP(F3321, IMPORTRANGE(""https://docs.google.com/spreadsheets/d/1Lhp9OU0JdFf_VYSMzH5lBcEaU4o8teT1piV-SNzShjg/edit?gid=554141278#gid=554141278"", ""'Char Def. - Attributes'!C20:C2242""), 1,false)"),"WEIGHT_UNIT_PM")</f>
        <v>WEIGHT_UNIT_PM</v>
      </c>
      <c r="I3321" s="136"/>
    </row>
    <row r="3322" ht="15.75" customHeight="1">
      <c r="B3322" s="63">
        <f t="shared" si="1"/>
        <v>18</v>
      </c>
      <c r="C3322" s="146" t="s">
        <v>270</v>
      </c>
      <c r="D3322" s="147" t="s">
        <v>74</v>
      </c>
      <c r="E3322" s="135">
        <f t="shared" si="59"/>
        <v>49</v>
      </c>
      <c r="F3322" s="134" t="s">
        <v>3877</v>
      </c>
      <c r="G3322" s="63" t="str">
        <f>VLOOKUP(C3322, 'Class Def. - General Data'!$C$20:$C$1000,1,false)</f>
        <v>ZPM1_AluCan_TinCan</v>
      </c>
      <c r="H3322" s="63" t="str">
        <f>IFERROR(__xludf.DUMMYFUNCTION("VLOOKUP(F3322, IMPORTRANGE(""https://docs.google.com/spreadsheets/d/1Lhp9OU0JdFf_VYSMzH5lBcEaU4o8teT1piV-SNzShjg/edit?gid=554141278#gid=554141278"", ""'Char Def. - Attributes'!C20:C2242""), 1,false)"),"VOLUME_OPT")</f>
        <v>VOLUME_OPT</v>
      </c>
      <c r="I3322" s="136"/>
    </row>
    <row r="3323" ht="15.75" customHeight="1">
      <c r="B3323" s="63">
        <f t="shared" si="1"/>
        <v>18</v>
      </c>
      <c r="C3323" s="146" t="s">
        <v>270</v>
      </c>
      <c r="D3323" s="147" t="s">
        <v>74</v>
      </c>
      <c r="E3323" s="135">
        <f t="shared" si="59"/>
        <v>50</v>
      </c>
      <c r="F3323" s="134" t="s">
        <v>3878</v>
      </c>
      <c r="G3323" s="63" t="str">
        <f>VLOOKUP(C3323, 'Class Def. - General Data'!$C$20:$C$1000,1,false)</f>
        <v>ZPM1_AluCan_TinCan</v>
      </c>
      <c r="H3323" s="63" t="str">
        <f>IFERROR(__xludf.DUMMYFUNCTION("VLOOKUP(F3323, IMPORTRANGE(""https://docs.google.com/spreadsheets/d/1Lhp9OU0JdFf_VYSMzH5lBcEaU4o8teT1piV-SNzShjg/edit?gid=554141278#gid=554141278"", ""'Char Def. - Attributes'!C20:C2242""), 1,false)"),"VOLUME_UNIT")</f>
        <v>VOLUME_UNIT</v>
      </c>
      <c r="I3323" s="136"/>
    </row>
    <row r="3324" ht="15.75" customHeight="1">
      <c r="B3324" s="63">
        <f t="shared" si="1"/>
        <v>18</v>
      </c>
      <c r="C3324" s="146" t="s">
        <v>270</v>
      </c>
      <c r="D3324" s="147" t="s">
        <v>74</v>
      </c>
      <c r="E3324" s="135">
        <f t="shared" si="59"/>
        <v>51</v>
      </c>
      <c r="F3324" s="134" t="s">
        <v>3879</v>
      </c>
      <c r="G3324" s="63" t="str">
        <f>VLOOKUP(C3324, 'Class Def. - General Data'!$C$20:$C$1000,1,false)</f>
        <v>ZPM1_AluCan_TinCan</v>
      </c>
      <c r="H3324" s="63" t="str">
        <f>IFERROR(__xludf.DUMMYFUNCTION("VLOOKUP(F3324, IMPORTRANGE(""https://docs.google.com/spreadsheets/d/1Lhp9OU0JdFf_VYSMzH5lBcEaU4o8teT1piV-SNzShjg/edit?gid=554141278#gid=554141278"", ""'Char Def. - Attributes'!C20:C2242""), 1,false)"),"OLD_MAT_NO_RMPM")</f>
        <v>OLD_MAT_NO_RMPM</v>
      </c>
      <c r="I3324" s="136"/>
    </row>
    <row r="3325" ht="15.75" customHeight="1">
      <c r="B3325" s="63">
        <f t="shared" si="1"/>
        <v>18</v>
      </c>
      <c r="C3325" s="146" t="s">
        <v>270</v>
      </c>
      <c r="D3325" s="147" t="s">
        <v>74</v>
      </c>
      <c r="E3325" s="135">
        <f t="shared" si="59"/>
        <v>52</v>
      </c>
      <c r="F3325" s="134" t="s">
        <v>3880</v>
      </c>
      <c r="G3325" s="63" t="str">
        <f>VLOOKUP(C3325, 'Class Def. - General Data'!$C$20:$C$1000,1,false)</f>
        <v>ZPM1_AluCan_TinCan</v>
      </c>
      <c r="H3325" s="63" t="str">
        <f>IFERROR(__xludf.DUMMYFUNCTION("VLOOKUP(F3325, IMPORTRANGE(""https://docs.google.com/spreadsheets/d/1Lhp9OU0JdFf_VYSMzH5lBcEaU4o8teT1piV-SNzShjg/edit?gid=554141278#gid=554141278"", ""'Char Def. - Attributes'!C20:C2242""), 1,false)"),"NOTE_PM")</f>
        <v>NOTE_PM</v>
      </c>
      <c r="I3325" s="136"/>
    </row>
    <row r="3326" ht="15.75" customHeight="1">
      <c r="B3326" s="63">
        <f t="shared" si="1"/>
        <v>18</v>
      </c>
      <c r="C3326" s="146" t="s">
        <v>270</v>
      </c>
      <c r="D3326" s="147" t="s">
        <v>74</v>
      </c>
      <c r="E3326" s="135">
        <f t="shared" si="59"/>
        <v>53</v>
      </c>
      <c r="F3326" s="134" t="s">
        <v>3881</v>
      </c>
      <c r="G3326" s="63" t="str">
        <f>VLOOKUP(C3326, 'Class Def. - General Data'!$C$20:$C$1000,1,false)</f>
        <v>ZPM1_AluCan_TinCan</v>
      </c>
      <c r="H3326" s="63" t="str">
        <f>IFERROR(__xludf.DUMMYFUNCTION("VLOOKUP(F3326, IMPORTRANGE(""https://docs.google.com/spreadsheets/d/1Lhp9OU0JdFf_VYSMzH5lBcEaU4o8teT1piV-SNzShjg/edit?gid=554141278#gid=554141278"", ""'Char Def. - Attributes'!C20:C2242""), 1,false)"),"BS_BERSIH")</f>
        <v>BS_BERSIH</v>
      </c>
      <c r="I3326" s="136"/>
    </row>
    <row r="3327" ht="15.75" customHeight="1">
      <c r="B3327" s="63">
        <f t="shared" si="1"/>
        <v>18</v>
      </c>
      <c r="C3327" s="146" t="s">
        <v>270</v>
      </c>
      <c r="D3327" s="147" t="s">
        <v>74</v>
      </c>
      <c r="E3327" s="135">
        <f t="shared" si="59"/>
        <v>54</v>
      </c>
      <c r="F3327" s="134" t="s">
        <v>3882</v>
      </c>
      <c r="G3327" s="63" t="str">
        <f>VLOOKUP(C3327, 'Class Def. - General Data'!$C$20:$C$1000,1,false)</f>
        <v>ZPM1_AluCan_TinCan</v>
      </c>
      <c r="H3327" s="63" t="str">
        <f>IFERROR(__xludf.DUMMYFUNCTION("VLOOKUP(F3327, IMPORTRANGE(""https://docs.google.com/spreadsheets/d/1Lhp9OU0JdFf_VYSMzH5lBcEaU4o8teT1piV-SNzShjg/edit?gid=554141278#gid=554141278"", ""'Char Def. - Attributes'!C20:C2242""), 1,false)"),"BS_KOTOR")</f>
        <v>BS_KOTOR</v>
      </c>
      <c r="I3327" s="136"/>
    </row>
    <row r="3328" ht="15.75" customHeight="1">
      <c r="B3328" s="63">
        <f t="shared" si="1"/>
        <v>18</v>
      </c>
      <c r="C3328" s="146" t="s">
        <v>270</v>
      </c>
      <c r="D3328" s="147" t="s">
        <v>74</v>
      </c>
      <c r="E3328" s="135">
        <f t="shared" si="59"/>
        <v>55</v>
      </c>
      <c r="F3328" s="134" t="s">
        <v>3883</v>
      </c>
      <c r="G3328" s="63" t="str">
        <f>VLOOKUP(C3328, 'Class Def. - General Data'!$C$20:$C$1000,1,false)</f>
        <v>ZPM1_AluCan_TinCan</v>
      </c>
      <c r="H3328" s="63" t="str">
        <f>IFERROR(__xludf.DUMMYFUNCTION("VLOOKUP(F3328, IMPORTRANGE(""https://docs.google.com/spreadsheets/d/1Lhp9OU0JdFf_VYSMzH5lBcEaU4o8teT1piV-SNzShjg/edit?gid=554141278#gid=554141278"", ""'Char Def. - Attributes'!C20:C2242""), 1,false)"),"BS_SCRAP")</f>
        <v>BS_SCRAP</v>
      </c>
      <c r="I3328" s="136"/>
    </row>
    <row r="3329" ht="15.75" customHeight="1">
      <c r="B3329" s="63">
        <f t="shared" si="1"/>
        <v>17</v>
      </c>
      <c r="C3329" s="146" t="s">
        <v>250</v>
      </c>
      <c r="D3329" s="147" t="s">
        <v>74</v>
      </c>
      <c r="E3329" s="135">
        <f t="shared" si="59"/>
        <v>1</v>
      </c>
      <c r="F3329" s="134" t="s">
        <v>3887</v>
      </c>
      <c r="G3329" s="63" t="str">
        <f>VLOOKUP(C3329, 'Class Def. - General Data'!$C$20:$C$1000,1,false)</f>
        <v>ZPM1_Bag3SideSeal</v>
      </c>
      <c r="H3329" s="63" t="str">
        <f>IFERROR(__xludf.DUMMYFUNCTION("VLOOKUP(F3329, IMPORTRANGE(""https://docs.google.com/spreadsheets/d/1Lhp9OU0JdFf_VYSMzH5lBcEaU4o8teT1piV-SNzShjg/edit?gid=554141278#gid=554141278"", ""'Char Def. - Attributes'!C20:C2242""), 1,false)"),"MATERIAL_CODE_BAG3SIDESEAL")</f>
        <v>MATERIAL_CODE_BAG3SIDESEAL</v>
      </c>
      <c r="I3329" s="136"/>
    </row>
    <row r="3330" ht="15.75" customHeight="1">
      <c r="B3330" s="63">
        <f t="shared" si="1"/>
        <v>17</v>
      </c>
      <c r="C3330" s="146" t="s">
        <v>250</v>
      </c>
      <c r="D3330" s="147" t="s">
        <v>74</v>
      </c>
      <c r="E3330" s="135">
        <f t="shared" si="59"/>
        <v>2</v>
      </c>
      <c r="F3330" s="134" t="s">
        <v>3852</v>
      </c>
      <c r="G3330" s="63" t="str">
        <f>VLOOKUP(C3330, 'Class Def. - General Data'!$C$20:$C$1000,1,false)</f>
        <v>ZPM1_Bag3SideSeal</v>
      </c>
      <c r="H3330" s="63" t="str">
        <f>IFERROR(__xludf.DUMMYFUNCTION("VLOOKUP(F3330, IMPORTRANGE(""https://docs.google.com/spreadsheets/d/1Lhp9OU0JdFf_VYSMzH5lBcEaU4o8teT1piV-SNzShjg/edit?gid=554141278#gid=554141278"", ""'Char Def. - Attributes'!C20:C2242""), 1,false)"),"SINGLE_BRAND")</f>
        <v>SINGLE_BRAND</v>
      </c>
      <c r="I3330" s="136"/>
    </row>
    <row r="3331" ht="15.75" customHeight="1">
      <c r="B3331" s="63">
        <f t="shared" si="1"/>
        <v>17</v>
      </c>
      <c r="C3331" s="146" t="s">
        <v>250</v>
      </c>
      <c r="D3331" s="147" t="s">
        <v>74</v>
      </c>
      <c r="E3331" s="135">
        <f t="shared" si="59"/>
        <v>3</v>
      </c>
      <c r="F3331" s="134" t="s">
        <v>3853</v>
      </c>
      <c r="G3331" s="63" t="str">
        <f>VLOOKUP(C3331, 'Class Def. - General Data'!$C$20:$C$1000,1,false)</f>
        <v>ZPM1_Bag3SideSeal</v>
      </c>
      <c r="H3331" s="63" t="str">
        <f>IFERROR(__xludf.DUMMYFUNCTION("VLOOKUP(F3331, IMPORTRANGE(""https://docs.google.com/spreadsheets/d/1Lhp9OU0JdFf_VYSMzH5lBcEaU4o8teT1piV-SNzShjg/edit?gid=554141278#gid=554141278"", ""'Char Def. - Attributes'!C20:C2242""), 1,false)"),"BRAND_WINGS")</f>
        <v>BRAND_WINGS</v>
      </c>
      <c r="I3331" s="136"/>
    </row>
    <row r="3332" ht="15.75" customHeight="1">
      <c r="B3332" s="63">
        <f t="shared" si="1"/>
        <v>17</v>
      </c>
      <c r="C3332" s="146" t="s">
        <v>250</v>
      </c>
      <c r="D3332" s="147" t="s">
        <v>74</v>
      </c>
      <c r="E3332" s="135">
        <f t="shared" si="59"/>
        <v>4</v>
      </c>
      <c r="F3332" s="134" t="s">
        <v>3854</v>
      </c>
      <c r="G3332" s="63" t="str">
        <f>VLOOKUP(C3332, 'Class Def. - General Data'!$C$20:$C$1000,1,false)</f>
        <v>ZPM1_Bag3SideSeal</v>
      </c>
      <c r="H3332" s="63" t="str">
        <f>IFERROR(__xludf.DUMMYFUNCTION("VLOOKUP(F3332, IMPORTRANGE(""https://docs.google.com/spreadsheets/d/1Lhp9OU0JdFf_VYSMzH5lBcEaU4o8teT1piV-SNzShjg/edit?gid=554141278#gid=554141278"", ""'Char Def. - Attributes'!C20:C2242""), 1,false)"),"SINGLE_PACK_SHAPE")</f>
        <v>SINGLE_PACK_SHAPE</v>
      </c>
      <c r="I3332" s="136"/>
    </row>
    <row r="3333" ht="15.75" customHeight="1">
      <c r="B3333" s="63">
        <f t="shared" si="1"/>
        <v>17</v>
      </c>
      <c r="C3333" s="146" t="s">
        <v>250</v>
      </c>
      <c r="D3333" s="147" t="s">
        <v>74</v>
      </c>
      <c r="E3333" s="135">
        <f t="shared" si="59"/>
        <v>5</v>
      </c>
      <c r="F3333" s="134" t="s">
        <v>3855</v>
      </c>
      <c r="G3333" s="63" t="str">
        <f>VLOOKUP(C3333, 'Class Def. - General Data'!$C$20:$C$1000,1,false)</f>
        <v>ZPM1_Bag3SideSeal</v>
      </c>
      <c r="H3333" s="63" t="str">
        <f>IFERROR(__xludf.DUMMYFUNCTION("VLOOKUP(F3333, IMPORTRANGE(""https://docs.google.com/spreadsheets/d/1Lhp9OU0JdFf_VYSMzH5lBcEaU4o8teT1piV-SNzShjg/edit?gid=554141278#gid=554141278"", ""'Char Def. - Attributes'!C20:C2242""), 1,false)"),"PACK_SHAPE")</f>
        <v>PACK_SHAPE</v>
      </c>
      <c r="I3333" s="136"/>
    </row>
    <row r="3334" ht="15.75" customHeight="1">
      <c r="B3334" s="63">
        <f t="shared" si="1"/>
        <v>17</v>
      </c>
      <c r="C3334" s="146" t="s">
        <v>250</v>
      </c>
      <c r="D3334" s="147" t="s">
        <v>74</v>
      </c>
      <c r="E3334" s="135">
        <f t="shared" si="59"/>
        <v>6</v>
      </c>
      <c r="F3334" s="134" t="s">
        <v>3856</v>
      </c>
      <c r="G3334" s="63" t="str">
        <f>VLOOKUP(C3334, 'Class Def. - General Data'!$C$20:$C$1000,1,false)</f>
        <v>ZPM1_Bag3SideSeal</v>
      </c>
      <c r="H3334" s="63" t="str">
        <f>IFERROR(__xludf.DUMMYFUNCTION("VLOOKUP(F3334, IMPORTRANGE(""https://docs.google.com/spreadsheets/d/1Lhp9OU0JdFf_VYSMzH5lBcEaU4o8teT1piV-SNzShjg/edit?gid=554141278#gid=554141278"", ""'Char Def. - Attributes'!C20:C2242""), 1,false)"),"SINGLE_PACK_NETTO")</f>
        <v>SINGLE_PACK_NETTO</v>
      </c>
      <c r="I3334" s="136"/>
    </row>
    <row r="3335" ht="15.75" customHeight="1">
      <c r="B3335" s="63">
        <f t="shared" si="1"/>
        <v>17</v>
      </c>
      <c r="C3335" s="146" t="s">
        <v>250</v>
      </c>
      <c r="D3335" s="147" t="s">
        <v>74</v>
      </c>
      <c r="E3335" s="135">
        <f t="shared" si="59"/>
        <v>7</v>
      </c>
      <c r="F3335" s="134" t="s">
        <v>3605</v>
      </c>
      <c r="G3335" s="63" t="str">
        <f>VLOOKUP(C3335, 'Class Def. - General Data'!$C$20:$C$1000,1,false)</f>
        <v>ZPM1_Bag3SideSeal</v>
      </c>
      <c r="H3335" s="63" t="str">
        <f>IFERROR(__xludf.DUMMYFUNCTION("VLOOKUP(F3335, IMPORTRANGE(""https://docs.google.com/spreadsheets/d/1Lhp9OU0JdFf_VYSMzH5lBcEaU4o8teT1piV-SNzShjg/edit?gid=554141278#gid=554141278"", ""'Char Def. - Attributes'!C20:C2242""), 1,false)"),"PACK_NETTO")</f>
        <v>PACK_NETTO</v>
      </c>
      <c r="I3335" s="136"/>
    </row>
    <row r="3336" ht="15.75" customHeight="1">
      <c r="B3336" s="63">
        <f t="shared" si="1"/>
        <v>17</v>
      </c>
      <c r="C3336" s="146" t="s">
        <v>250</v>
      </c>
      <c r="D3336" s="147" t="s">
        <v>74</v>
      </c>
      <c r="E3336" s="135">
        <f t="shared" si="59"/>
        <v>8</v>
      </c>
      <c r="F3336" s="134" t="s">
        <v>3857</v>
      </c>
      <c r="G3336" s="63" t="str">
        <f>VLOOKUP(C3336, 'Class Def. - General Data'!$C$20:$C$1000,1,false)</f>
        <v>ZPM1_Bag3SideSeal</v>
      </c>
      <c r="H3336" s="63" t="str">
        <f>IFERROR(__xludf.DUMMYFUNCTION("VLOOKUP(F3336, IMPORTRANGE(""https://docs.google.com/spreadsheets/d/1Lhp9OU0JdFf_VYSMzH5lBcEaU4o8teT1piV-SNzShjg/edit?gid=554141278#gid=554141278"", ""'Char Def. - Attributes'!C20:C2242""), 1,false)"),"PACK_UOM")</f>
        <v>PACK_UOM</v>
      </c>
      <c r="I3336" s="136"/>
    </row>
    <row r="3337" ht="15.75" customHeight="1">
      <c r="B3337" s="63">
        <f t="shared" si="1"/>
        <v>17</v>
      </c>
      <c r="C3337" s="146" t="s">
        <v>250</v>
      </c>
      <c r="D3337" s="147" t="s">
        <v>74</v>
      </c>
      <c r="E3337" s="135">
        <f t="shared" si="59"/>
        <v>9</v>
      </c>
      <c r="F3337" s="134" t="s">
        <v>3858</v>
      </c>
      <c r="G3337" s="63" t="str">
        <f>VLOOKUP(C3337, 'Class Def. - General Data'!$C$20:$C$1000,1,false)</f>
        <v>ZPM1_Bag3SideSeal</v>
      </c>
      <c r="H3337" s="63" t="str">
        <f>IFERROR(__xludf.DUMMYFUNCTION("VLOOKUP(F3337, IMPORTRANGE(""https://docs.google.com/spreadsheets/d/1Lhp9OU0JdFf_VYSMzH5lBcEaU4o8teT1piV-SNzShjg/edit?gid=554141278#gid=554141278"", ""'Char Def. - Attributes'!C20:C2242""), 1,false)"),"SINGLE_VARIAN")</f>
        <v>SINGLE_VARIAN</v>
      </c>
      <c r="I3337" s="136"/>
    </row>
    <row r="3338" ht="15.75" customHeight="1">
      <c r="B3338" s="63">
        <f t="shared" si="1"/>
        <v>17</v>
      </c>
      <c r="C3338" s="146" t="s">
        <v>250</v>
      </c>
      <c r="D3338" s="147" t="s">
        <v>74</v>
      </c>
      <c r="E3338" s="135">
        <f t="shared" si="59"/>
        <v>10</v>
      </c>
      <c r="F3338" s="134" t="s">
        <v>3607</v>
      </c>
      <c r="G3338" s="63" t="str">
        <f>VLOOKUP(C3338, 'Class Def. - General Data'!$C$20:$C$1000,1,false)</f>
        <v>ZPM1_Bag3SideSeal</v>
      </c>
      <c r="H3338" s="63" t="str">
        <f>IFERROR(__xludf.DUMMYFUNCTION("VLOOKUP(F3338, IMPORTRANGE(""https://docs.google.com/spreadsheets/d/1Lhp9OU0JdFf_VYSMzH5lBcEaU4o8teT1piV-SNzShjg/edit?gid=554141278#gid=554141278"", ""'Char Def. - Attributes'!C20:C2242""), 1,false)"),"VARIAN")</f>
        <v>VARIAN</v>
      </c>
      <c r="I3338" s="136"/>
    </row>
    <row r="3339" ht="15.75" customHeight="1">
      <c r="B3339" s="63">
        <f t="shared" si="1"/>
        <v>17</v>
      </c>
      <c r="C3339" s="146" t="s">
        <v>250</v>
      </c>
      <c r="D3339" s="147" t="s">
        <v>74</v>
      </c>
      <c r="E3339" s="135">
        <f t="shared" si="59"/>
        <v>11</v>
      </c>
      <c r="F3339" s="134" t="s">
        <v>3859</v>
      </c>
      <c r="G3339" s="63" t="str">
        <f>VLOOKUP(C3339, 'Class Def. - General Data'!$C$20:$C$1000,1,false)</f>
        <v>ZPM1_Bag3SideSeal</v>
      </c>
      <c r="H3339" s="63" t="str">
        <f>IFERROR(__xludf.DUMMYFUNCTION("VLOOKUP(F3339, IMPORTRANGE(""https://docs.google.com/spreadsheets/d/1Lhp9OU0JdFf_VYSMzH5lBcEaU4o8teT1piV-SNzShjg/edit?gid=554141278#gid=554141278"", ""'Char Def. - Attributes'!C20:C2242""), 1,false)"),"ADA_ADDITIONAL_PROMO")</f>
        <v>ADA_ADDITIONAL_PROMO</v>
      </c>
      <c r="I3339" s="136"/>
    </row>
    <row r="3340" ht="15.75" customHeight="1">
      <c r="B3340" s="63">
        <f t="shared" si="1"/>
        <v>17</v>
      </c>
      <c r="C3340" s="146" t="s">
        <v>250</v>
      </c>
      <c r="D3340" s="147" t="s">
        <v>74</v>
      </c>
      <c r="E3340" s="135">
        <f t="shared" si="59"/>
        <v>12</v>
      </c>
      <c r="F3340" s="134" t="s">
        <v>3609</v>
      </c>
      <c r="G3340" s="63" t="str">
        <f>VLOOKUP(C3340, 'Class Def. - General Data'!$C$20:$C$1000,1,false)</f>
        <v>ZPM1_Bag3SideSeal</v>
      </c>
      <c r="H3340" s="63" t="str">
        <f>IFERROR(__xludf.DUMMYFUNCTION("VLOOKUP(F3340, IMPORTRANGE(""https://docs.google.com/spreadsheets/d/1Lhp9OU0JdFf_VYSMzH5lBcEaU4o8teT1piV-SNzShjg/edit?gid=554141278#gid=554141278"", ""'Char Def. - Attributes'!C20:C2242""), 1,false)"),"ADDITIONAL_PROMO")</f>
        <v>ADDITIONAL_PROMO</v>
      </c>
      <c r="I3340" s="136"/>
    </row>
    <row r="3341" ht="15.75" customHeight="1">
      <c r="B3341" s="63">
        <f t="shared" si="1"/>
        <v>17</v>
      </c>
      <c r="C3341" s="146" t="s">
        <v>250</v>
      </c>
      <c r="D3341" s="147" t="s">
        <v>74</v>
      </c>
      <c r="E3341" s="135">
        <f t="shared" si="59"/>
        <v>13</v>
      </c>
      <c r="F3341" s="134" t="s">
        <v>3860</v>
      </c>
      <c r="G3341" s="63" t="str">
        <f>VLOOKUP(C3341, 'Class Def. - General Data'!$C$20:$C$1000,1,false)</f>
        <v>ZPM1_Bag3SideSeal</v>
      </c>
      <c r="H3341" s="63" t="str">
        <f>IFERROR(__xludf.DUMMYFUNCTION("VLOOKUP(F3341, IMPORTRANGE(""https://docs.google.com/spreadsheets/d/1Lhp9OU0JdFf_VYSMzH5lBcEaU4o8teT1piV-SNzShjg/edit?gid=554141278#gid=554141278"", ""'Char Def. - Attributes'!C20:C2242""), 1,false)"),"ADA_BANDED_PROMO")</f>
        <v>ADA_BANDED_PROMO</v>
      </c>
      <c r="I3341" s="136"/>
    </row>
    <row r="3342" ht="15.75" customHeight="1">
      <c r="B3342" s="63">
        <f t="shared" si="1"/>
        <v>17</v>
      </c>
      <c r="C3342" s="146" t="s">
        <v>250</v>
      </c>
      <c r="D3342" s="147" t="s">
        <v>74</v>
      </c>
      <c r="E3342" s="135">
        <f t="shared" si="59"/>
        <v>14</v>
      </c>
      <c r="F3342" s="134" t="s">
        <v>3610</v>
      </c>
      <c r="G3342" s="63" t="str">
        <f>VLOOKUP(C3342, 'Class Def. - General Data'!$C$20:$C$1000,1,false)</f>
        <v>ZPM1_Bag3SideSeal</v>
      </c>
      <c r="H3342" s="63" t="str">
        <f>IFERROR(__xludf.DUMMYFUNCTION("VLOOKUP(F3342, IMPORTRANGE(""https://docs.google.com/spreadsheets/d/1Lhp9OU0JdFf_VYSMzH5lBcEaU4o8teT1piV-SNzShjg/edit?gid=554141278#gid=554141278"", ""'Char Def. - Attributes'!C20:C2242""), 1,false)"),"BANDED_PROMO")</f>
        <v>BANDED_PROMO</v>
      </c>
      <c r="I3342" s="136"/>
    </row>
    <row r="3343" ht="15.75" customHeight="1">
      <c r="B3343" s="63">
        <f t="shared" si="1"/>
        <v>17</v>
      </c>
      <c r="C3343" s="146" t="s">
        <v>250</v>
      </c>
      <c r="D3343" s="147" t="s">
        <v>74</v>
      </c>
      <c r="E3343" s="135">
        <f t="shared" si="59"/>
        <v>15</v>
      </c>
      <c r="F3343" s="134" t="s">
        <v>1292</v>
      </c>
      <c r="G3343" s="63" t="str">
        <f>VLOOKUP(C3343, 'Class Def. - General Data'!$C$20:$C$1000,1,false)</f>
        <v>ZPM1_Bag3SideSeal</v>
      </c>
      <c r="H3343" s="63" t="str">
        <f>IFERROR(__xludf.DUMMYFUNCTION("VLOOKUP(F3343, IMPORTRANGE(""https://docs.google.com/spreadsheets/d/1Lhp9OU0JdFf_VYSMzH5lBcEaU4o8teT1piV-SNzShjg/edit?gid=554141278#gid=554141278"", ""'Char Def. - Attributes'!C20:C2242""), 1,false)"),"EXPORT")</f>
        <v>EXPORT</v>
      </c>
      <c r="I3343" s="136"/>
    </row>
    <row r="3344" ht="15.75" customHeight="1">
      <c r="B3344" s="63">
        <f t="shared" si="1"/>
        <v>17</v>
      </c>
      <c r="C3344" s="146" t="s">
        <v>250</v>
      </c>
      <c r="D3344" s="147" t="s">
        <v>74</v>
      </c>
      <c r="E3344" s="135">
        <f t="shared" si="59"/>
        <v>16</v>
      </c>
      <c r="F3344" s="134" t="s">
        <v>3612</v>
      </c>
      <c r="G3344" s="63" t="str">
        <f>VLOOKUP(C3344, 'Class Def. - General Data'!$C$20:$C$1000,1,false)</f>
        <v>ZPM1_Bag3SideSeal</v>
      </c>
      <c r="H3344" s="63" t="str">
        <f>IFERROR(__xludf.DUMMYFUNCTION("VLOOKUP(F3344, IMPORTRANGE(""https://docs.google.com/spreadsheets/d/1Lhp9OU0JdFf_VYSMzH5lBcEaU4o8teT1piV-SNzShjg/edit?gid=554141278#gid=554141278"", ""'Char Def. - Attributes'!C20:C2242""), 1,false)"),"COUNTRY_EKSPOR")</f>
        <v>COUNTRY_EKSPOR</v>
      </c>
      <c r="I3344" s="136"/>
    </row>
    <row r="3345" ht="15.75" customHeight="1">
      <c r="B3345" s="63">
        <f t="shared" si="1"/>
        <v>17</v>
      </c>
      <c r="C3345" s="146" t="s">
        <v>250</v>
      </c>
      <c r="D3345" s="147" t="s">
        <v>74</v>
      </c>
      <c r="E3345" s="135">
        <f t="shared" si="59"/>
        <v>17</v>
      </c>
      <c r="F3345" s="134" t="s">
        <v>3861</v>
      </c>
      <c r="G3345" s="63" t="str">
        <f>VLOOKUP(C3345, 'Class Def. - General Data'!$C$20:$C$1000,1,false)</f>
        <v>ZPM1_Bag3SideSeal</v>
      </c>
      <c r="H3345" s="63" t="str">
        <f>IFERROR(__xludf.DUMMYFUNCTION("VLOOKUP(F3345, IMPORTRANGE(""https://docs.google.com/spreadsheets/d/1Lhp9OU0JdFf_VYSMzH5lBcEaU4o8teT1piV-SNzShjg/edit?gid=554141278#gid=554141278"", ""'Char Def. - Attributes'!C20:C2242""), 1,false)"),"PEMBATAS")</f>
        <v>PEMBATAS</v>
      </c>
      <c r="I3345" s="136"/>
    </row>
    <row r="3346" ht="15.75" customHeight="1">
      <c r="B3346" s="63">
        <f t="shared" si="1"/>
        <v>17</v>
      </c>
      <c r="C3346" s="146" t="s">
        <v>250</v>
      </c>
      <c r="D3346" s="147" t="s">
        <v>74</v>
      </c>
      <c r="E3346" s="135">
        <f t="shared" si="59"/>
        <v>18</v>
      </c>
      <c r="F3346" s="134" t="s">
        <v>3888</v>
      </c>
      <c r="G3346" s="63" t="str">
        <f>VLOOKUP(C3346, 'Class Def. - General Data'!$C$20:$C$1000,1,false)</f>
        <v>ZPM1_Bag3SideSeal</v>
      </c>
      <c r="H3346" s="63" t="str">
        <f>IFERROR(__xludf.DUMMYFUNCTION("VLOOKUP(F3346, IMPORTRANGE(""https://docs.google.com/spreadsheets/d/1Lhp9OU0JdFf_VYSMzH5lBcEaU4o8teT1piV-SNzShjg/edit?gid=554141278#gid=554141278"", ""'Char Def. - Attributes'!C20:C2242""), 1,false)"),"PACK_CODE_OPT")</f>
        <v>PACK_CODE_OPT</v>
      </c>
      <c r="I3346" s="136"/>
    </row>
    <row r="3347" ht="15.75" customHeight="1">
      <c r="B3347" s="63">
        <f t="shared" si="1"/>
        <v>17</v>
      </c>
      <c r="C3347" s="146" t="s">
        <v>250</v>
      </c>
      <c r="D3347" s="147" t="s">
        <v>74</v>
      </c>
      <c r="E3347" s="135">
        <f t="shared" si="59"/>
        <v>19</v>
      </c>
      <c r="F3347" s="134" t="s">
        <v>3889</v>
      </c>
      <c r="G3347" s="63" t="str">
        <f>VLOOKUP(C3347, 'Class Def. - General Data'!$C$20:$C$1000,1,false)</f>
        <v>ZPM1_Bag3SideSeal</v>
      </c>
      <c r="H3347" s="63" t="str">
        <f>IFERROR(__xludf.DUMMYFUNCTION("VLOOKUP(F3347, IMPORTRANGE(""https://docs.google.com/spreadsheets/d/1Lhp9OU0JdFf_VYSMzH5lBcEaU4o8teT1piV-SNzShjg/edit?gid=554141278#gid=554141278"", ""'Char Def. - Attributes'!C20:C2242""), 1,false)"),"PACK_CONTENT_AMOUNT_4")</f>
        <v>PACK_CONTENT_AMOUNT_4</v>
      </c>
      <c r="I3347" s="136"/>
    </row>
    <row r="3348" ht="15.75" customHeight="1">
      <c r="B3348" s="63">
        <f t="shared" si="1"/>
        <v>17</v>
      </c>
      <c r="C3348" s="146" t="s">
        <v>250</v>
      </c>
      <c r="D3348" s="147" t="s">
        <v>74</v>
      </c>
      <c r="E3348" s="135">
        <f t="shared" si="59"/>
        <v>20</v>
      </c>
      <c r="F3348" s="134" t="s">
        <v>3862</v>
      </c>
      <c r="G3348" s="63" t="str">
        <f>VLOOKUP(C3348, 'Class Def. - General Data'!$C$20:$C$1000,1,false)</f>
        <v>ZPM1_Bag3SideSeal</v>
      </c>
      <c r="H3348" s="63" t="str">
        <f>IFERROR(__xludf.DUMMYFUNCTION("VLOOKUP(F3348, IMPORTRANGE(""https://docs.google.com/spreadsheets/d/1Lhp9OU0JdFf_VYSMzH5lBcEaU4o8teT1piV-SNzShjg/edit?gid=554141278#gid=554141278"", ""'Char Def. - Attributes'!C20:C2242""), 1,false)"),"MONTH")</f>
        <v>MONTH</v>
      </c>
      <c r="I3348" s="136"/>
    </row>
    <row r="3349" ht="15.75" customHeight="1">
      <c r="B3349" s="63">
        <f t="shared" si="1"/>
        <v>17</v>
      </c>
      <c r="C3349" s="146" t="s">
        <v>250</v>
      </c>
      <c r="D3349" s="147" t="s">
        <v>74</v>
      </c>
      <c r="E3349" s="135">
        <f t="shared" si="59"/>
        <v>21</v>
      </c>
      <c r="F3349" s="134" t="s">
        <v>3863</v>
      </c>
      <c r="G3349" s="63" t="str">
        <f>VLOOKUP(C3349, 'Class Def. - General Data'!$C$20:$C$1000,1,false)</f>
        <v>ZPM1_Bag3SideSeal</v>
      </c>
      <c r="H3349" s="63" t="str">
        <f>IFERROR(__xludf.DUMMYFUNCTION("VLOOKUP(F3349, IMPORTRANGE(""https://docs.google.com/spreadsheets/d/1Lhp9OU0JdFf_VYSMzH5lBcEaU4o8teT1piV-SNzShjg/edit?gid=554141278#gid=554141278"", ""'Char Def. - Attributes'!C20:C2242""), 1,false)"),"YEAR")</f>
        <v>YEAR</v>
      </c>
      <c r="I3349" s="136"/>
    </row>
    <row r="3350" ht="15.75" customHeight="1">
      <c r="B3350" s="63">
        <f t="shared" si="1"/>
        <v>17</v>
      </c>
      <c r="C3350" s="146" t="s">
        <v>250</v>
      </c>
      <c r="D3350" s="147" t="s">
        <v>74</v>
      </c>
      <c r="E3350" s="135">
        <f t="shared" si="59"/>
        <v>22</v>
      </c>
      <c r="F3350" s="134" t="s">
        <v>3890</v>
      </c>
      <c r="G3350" s="63" t="str">
        <f>VLOOKUP(C3350, 'Class Def. - General Data'!$C$20:$C$1000,1,false)</f>
        <v>ZPM1_Bag3SideSeal</v>
      </c>
      <c r="H3350" s="63" t="str">
        <f>IFERROR(__xludf.DUMMYFUNCTION("VLOOKUP(F3350, IMPORTRANGE(""https://docs.google.com/spreadsheets/d/1Lhp9OU0JdFf_VYSMzH5lBcEaU4o8teT1piV-SNzShjg/edit?gid=554141278#gid=554141278"", ""'Char Def. - Attributes'!C20:C2242""), 1,false)"),"EXT_MAT_GRP")</f>
        <v>EXT_MAT_GRP</v>
      </c>
      <c r="I3350" s="136"/>
    </row>
    <row r="3351" ht="15.75" customHeight="1">
      <c r="B3351" s="63">
        <f t="shared" si="1"/>
        <v>17</v>
      </c>
      <c r="C3351" s="146" t="s">
        <v>250</v>
      </c>
      <c r="D3351" s="147" t="s">
        <v>74</v>
      </c>
      <c r="E3351" s="135">
        <f t="shared" si="59"/>
        <v>23</v>
      </c>
      <c r="F3351" s="134" t="s">
        <v>3891</v>
      </c>
      <c r="G3351" s="63" t="str">
        <f>VLOOKUP(C3351, 'Class Def. - General Data'!$C$20:$C$1000,1,false)</f>
        <v>ZPM1_Bag3SideSeal</v>
      </c>
      <c r="H3351" s="63" t="str">
        <f>IFERROR(__xludf.DUMMYFUNCTION("VLOOKUP(F3351, IMPORTRANGE(""https://docs.google.com/spreadsheets/d/1Lhp9OU0JdFf_VYSMzH5lBcEaU4o8teT1piV-SNzShjg/edit?gid=554141278#gid=554141278"", ""'Char Def. - Attributes'!C20:C2242""), 1,false)"),"GENERAL_SPEC")</f>
        <v>GENERAL_SPEC</v>
      </c>
      <c r="I3351" s="136"/>
    </row>
    <row r="3352" ht="15.75" customHeight="1">
      <c r="B3352" s="63">
        <f t="shared" si="1"/>
        <v>17</v>
      </c>
      <c r="C3352" s="146" t="s">
        <v>250</v>
      </c>
      <c r="D3352" s="147" t="s">
        <v>74</v>
      </c>
      <c r="E3352" s="135">
        <f t="shared" si="59"/>
        <v>24</v>
      </c>
      <c r="F3352" s="134" t="s">
        <v>3892</v>
      </c>
      <c r="G3352" s="63" t="str">
        <f>VLOOKUP(C3352, 'Class Def. - General Data'!$C$20:$C$1000,1,false)</f>
        <v>ZPM1_Bag3SideSeal</v>
      </c>
      <c r="H3352" s="63" t="str">
        <f>IFERROR(__xludf.DUMMYFUNCTION("VLOOKUP(F3352, IMPORTRANGE(""https://docs.google.com/spreadsheets/d/1Lhp9OU0JdFf_VYSMzH5lBcEaU4o8teT1piV-SNzShjg/edit?gid=554141278#gid=554141278"", ""'Char Def. - Attributes'!C20:C2242""), 1,false)"),"COLOR_COUNT")</f>
        <v>COLOR_COUNT</v>
      </c>
      <c r="I3352" s="136"/>
    </row>
    <row r="3353" ht="15.75" customHeight="1">
      <c r="B3353" s="63">
        <f t="shared" si="1"/>
        <v>17</v>
      </c>
      <c r="C3353" s="146" t="s">
        <v>250</v>
      </c>
      <c r="D3353" s="147" t="s">
        <v>74</v>
      </c>
      <c r="E3353" s="135">
        <f t="shared" si="59"/>
        <v>25</v>
      </c>
      <c r="F3353" s="134" t="s">
        <v>3893</v>
      </c>
      <c r="G3353" s="63" t="str">
        <f>VLOOKUP(C3353, 'Class Def. - General Data'!$C$20:$C$1000,1,false)</f>
        <v>ZPM1_Bag3SideSeal</v>
      </c>
      <c r="H3353" s="63" t="str">
        <f>IFERROR(__xludf.DUMMYFUNCTION("VLOOKUP(F3353, IMPORTRANGE(""https://docs.google.com/spreadsheets/d/1Lhp9OU0JdFf_VYSMzH5lBcEaU4o8teT1piV-SNzShjg/edit?gid=554141278#gid=554141278"", ""'Char Def. - Attributes'!C20:C2242""), 1,false)"),"FLEX_UOM")</f>
        <v>FLEX_UOM</v>
      </c>
      <c r="I3353" s="136"/>
    </row>
    <row r="3354" ht="15.75" customHeight="1">
      <c r="B3354" s="63">
        <f t="shared" si="1"/>
        <v>17</v>
      </c>
      <c r="C3354" s="146" t="s">
        <v>250</v>
      </c>
      <c r="D3354" s="147" t="s">
        <v>74</v>
      </c>
      <c r="E3354" s="135">
        <f t="shared" si="59"/>
        <v>26</v>
      </c>
      <c r="F3354" s="134" t="s">
        <v>3894</v>
      </c>
      <c r="G3354" s="63" t="str">
        <f>VLOOKUP(C3354, 'Class Def. - General Data'!$C$20:$C$1000,1,false)</f>
        <v>ZPM1_Bag3SideSeal</v>
      </c>
      <c r="H3354" s="63" t="str">
        <f>IFERROR(__xludf.DUMMYFUNCTION("VLOOKUP(F3354, IMPORTRANGE(""https://docs.google.com/spreadsheets/d/1Lhp9OU0JdFf_VYSMzH5lBcEaU4o8teT1piV-SNzShjg/edit?gid=554141278#gid=554141278"", ""'Char Def. - Attributes'!C20:C2242""), 1,false)"),"FLEX_COMPLEXITY")</f>
        <v>FLEX_COMPLEXITY</v>
      </c>
      <c r="I3354" s="136"/>
    </row>
    <row r="3355" ht="15.75" customHeight="1">
      <c r="B3355" s="63">
        <f t="shared" si="1"/>
        <v>17</v>
      </c>
      <c r="C3355" s="146" t="s">
        <v>250</v>
      </c>
      <c r="D3355" s="147" t="s">
        <v>74</v>
      </c>
      <c r="E3355" s="135">
        <f t="shared" si="59"/>
        <v>27</v>
      </c>
      <c r="F3355" s="134" t="s">
        <v>3587</v>
      </c>
      <c r="G3355" s="63" t="str">
        <f>VLOOKUP(C3355, 'Class Def. - General Data'!$C$20:$C$1000,1,false)</f>
        <v>ZPM1_Bag3SideSeal</v>
      </c>
      <c r="H3355" s="63" t="str">
        <f>IFERROR(__xludf.DUMMYFUNCTION("VLOOKUP(F3355, IMPORTRANGE(""https://docs.google.com/spreadsheets/d/1Lhp9OU0JdFf_VYSMzH5lBcEaU4o8teT1piV-SNzShjg/edit?gid=554141278#gid=554141278"", ""'Char Def. - Attributes'!C20:C2242""), 1,false)"),"PLANT_BUY")</f>
        <v>PLANT_BUY</v>
      </c>
      <c r="I3355" s="136"/>
    </row>
    <row r="3356" ht="15.75" customHeight="1">
      <c r="B3356" s="63">
        <f t="shared" si="1"/>
        <v>17</v>
      </c>
      <c r="C3356" s="146" t="s">
        <v>250</v>
      </c>
      <c r="D3356" s="147" t="s">
        <v>74</v>
      </c>
      <c r="E3356" s="135">
        <f t="shared" si="59"/>
        <v>28</v>
      </c>
      <c r="F3356" s="134" t="s">
        <v>3865</v>
      </c>
      <c r="G3356" s="63" t="str">
        <f>VLOOKUP(C3356, 'Class Def. - General Data'!$C$20:$C$1000,1,false)</f>
        <v>ZPM1_Bag3SideSeal</v>
      </c>
      <c r="H3356" s="63" t="str">
        <f>IFERROR(__xludf.DUMMYFUNCTION("VLOOKUP(F3356, IMPORTRANGE(""https://docs.google.com/spreadsheets/d/1Lhp9OU0JdFf_VYSMzH5lBcEaU4o8teT1piV-SNzShjg/edit?gid=554141278#gid=554141278"", ""'Char Def. - Attributes'!C20:C2242""), 1,false)"),"PLANT_PROD_OPT")</f>
        <v>PLANT_PROD_OPT</v>
      </c>
      <c r="I3356" s="136"/>
    </row>
    <row r="3357" ht="15.75" customHeight="1">
      <c r="B3357" s="63">
        <f t="shared" si="1"/>
        <v>17</v>
      </c>
      <c r="C3357" s="146" t="s">
        <v>250</v>
      </c>
      <c r="D3357" s="147" t="s">
        <v>74</v>
      </c>
      <c r="E3357" s="135">
        <f t="shared" si="59"/>
        <v>29</v>
      </c>
      <c r="F3357" s="134" t="s">
        <v>3866</v>
      </c>
      <c r="G3357" s="63" t="str">
        <f>VLOOKUP(C3357, 'Class Def. - General Data'!$C$20:$C$1000,1,false)</f>
        <v>ZPM1_Bag3SideSeal</v>
      </c>
      <c r="H3357" s="63" t="str">
        <f>IFERROR(__xludf.DUMMYFUNCTION("VLOOKUP(F3357, IMPORTRANGE(""https://docs.google.com/spreadsheets/d/1Lhp9OU0JdFf_VYSMzH5lBcEaU4o8teT1piV-SNzShjg/edit?gid=554141278#gid=554141278"", ""'Char Def. - Attributes'!C20:C2242""), 1,false)"),"PM_SUPPLY_JKT")</f>
        <v>PM_SUPPLY_JKT</v>
      </c>
      <c r="I3357" s="136"/>
    </row>
    <row r="3358" ht="15.75" customHeight="1">
      <c r="B3358" s="63">
        <f t="shared" si="1"/>
        <v>17</v>
      </c>
      <c r="C3358" s="146" t="s">
        <v>250</v>
      </c>
      <c r="D3358" s="147" t="s">
        <v>74</v>
      </c>
      <c r="E3358" s="135">
        <f t="shared" si="59"/>
        <v>30</v>
      </c>
      <c r="F3358" s="134" t="s">
        <v>3867</v>
      </c>
      <c r="G3358" s="63" t="str">
        <f>VLOOKUP(C3358, 'Class Def. - General Data'!$C$20:$C$1000,1,false)</f>
        <v>ZPM1_Bag3SideSeal</v>
      </c>
      <c r="H3358" s="63" t="str">
        <f>IFERROR(__xludf.DUMMYFUNCTION("VLOOKUP(F3358, IMPORTRANGE(""https://docs.google.com/spreadsheets/d/1Lhp9OU0JdFf_VYSMzH5lBcEaU4o8teT1piV-SNzShjg/edit?gid=554141278#gid=554141278"", ""'Char Def. - Attributes'!C20:C2242""), 1,false)"),"PM_SUPPLY_SBY")</f>
        <v>PM_SUPPLY_SBY</v>
      </c>
      <c r="I3358" s="136"/>
    </row>
    <row r="3359" ht="15.75" customHeight="1">
      <c r="B3359" s="63">
        <f t="shared" si="1"/>
        <v>17</v>
      </c>
      <c r="C3359" s="146" t="s">
        <v>250</v>
      </c>
      <c r="D3359" s="147" t="s">
        <v>74</v>
      </c>
      <c r="E3359" s="135">
        <f t="shared" si="59"/>
        <v>31</v>
      </c>
      <c r="F3359" s="134" t="s">
        <v>3868</v>
      </c>
      <c r="G3359" s="63" t="str">
        <f>VLOOKUP(C3359, 'Class Def. - General Data'!$C$20:$C$1000,1,false)</f>
        <v>ZPM1_Bag3SideSeal</v>
      </c>
      <c r="H3359" s="63" t="str">
        <f>IFERROR(__xludf.DUMMYFUNCTION("VLOOKUP(F3359, IMPORTRANGE(""https://docs.google.com/spreadsheets/d/1Lhp9OU0JdFf_VYSMzH5lBcEaU4o8teT1piV-SNzShjg/edit?gid=554141278#gid=554141278"", ""'Char Def. - Attributes'!C20:C2242""), 1,false)"),"BASIC_UOM_RMPM")</f>
        <v>BASIC_UOM_RMPM</v>
      </c>
      <c r="I3359" s="136"/>
    </row>
    <row r="3360" ht="15.75" customHeight="1">
      <c r="B3360" s="63">
        <f t="shared" si="1"/>
        <v>17</v>
      </c>
      <c r="C3360" s="146" t="s">
        <v>250</v>
      </c>
      <c r="D3360" s="147" t="s">
        <v>74</v>
      </c>
      <c r="E3360" s="135">
        <f t="shared" si="59"/>
        <v>32</v>
      </c>
      <c r="F3360" s="134" t="s">
        <v>3869</v>
      </c>
      <c r="G3360" s="63" t="str">
        <f>VLOOKUP(C3360, 'Class Def. - General Data'!$C$20:$C$1000,1,false)</f>
        <v>ZPM1_Bag3SideSeal</v>
      </c>
      <c r="H3360" s="63" t="str">
        <f>IFERROR(__xludf.DUMMYFUNCTION("VLOOKUP(F3360, IMPORTRANGE(""https://docs.google.com/spreadsheets/d/1Lhp9OU0JdFf_VYSMzH5lBcEaU4o8teT1piV-SNzShjg/edit?gid=554141278#gid=554141278"", ""'Char Def. - Attributes'!C20:C2242""), 1,false)"),"ALT_UOM1_RMPM")</f>
        <v>ALT_UOM1_RMPM</v>
      </c>
      <c r="I3360" s="136"/>
    </row>
    <row r="3361" ht="15.75" customHeight="1">
      <c r="B3361" s="63">
        <f t="shared" si="1"/>
        <v>17</v>
      </c>
      <c r="C3361" s="146" t="s">
        <v>250</v>
      </c>
      <c r="D3361" s="147" t="s">
        <v>74</v>
      </c>
      <c r="E3361" s="135">
        <f t="shared" si="59"/>
        <v>33</v>
      </c>
      <c r="F3361" s="134" t="s">
        <v>3805</v>
      </c>
      <c r="G3361" s="63" t="str">
        <f>VLOOKUP(C3361, 'Class Def. - General Data'!$C$20:$C$1000,1,false)</f>
        <v>ZPM1_Bag3SideSeal</v>
      </c>
      <c r="H3361" s="63" t="str">
        <f>IFERROR(__xludf.DUMMYFUNCTION("VLOOKUP(F3361, IMPORTRANGE(""https://docs.google.com/spreadsheets/d/1Lhp9OU0JdFf_VYSMzH5lBcEaU4o8teT1piV-SNzShjg/edit?gid=554141278#gid=554141278"", ""'Char Def. - Attributes'!C20:C2242""), 1,false)"),"ALT_DENUM_UOM1")</f>
        <v>ALT_DENUM_UOM1</v>
      </c>
      <c r="I3361" s="136"/>
    </row>
    <row r="3362" ht="15.75" customHeight="1">
      <c r="B3362" s="63">
        <f t="shared" si="1"/>
        <v>17</v>
      </c>
      <c r="C3362" s="146" t="s">
        <v>250</v>
      </c>
      <c r="D3362" s="147" t="s">
        <v>74</v>
      </c>
      <c r="E3362" s="135">
        <f t="shared" si="59"/>
        <v>34</v>
      </c>
      <c r="F3362" s="134" t="s">
        <v>3806</v>
      </c>
      <c r="G3362" s="63" t="str">
        <f>VLOOKUP(C3362, 'Class Def. - General Data'!$C$20:$C$1000,1,false)</f>
        <v>ZPM1_Bag3SideSeal</v>
      </c>
      <c r="H3362" s="63" t="str">
        <f>IFERROR(__xludf.DUMMYFUNCTION("VLOOKUP(F3362, IMPORTRANGE(""https://docs.google.com/spreadsheets/d/1Lhp9OU0JdFf_VYSMzH5lBcEaU4o8teT1piV-SNzShjg/edit?gid=554141278#gid=554141278"", ""'Char Def. - Attributes'!C20:C2242""), 1,false)"),"ALT_NUM_UOM1")</f>
        <v>ALT_NUM_UOM1</v>
      </c>
      <c r="I3362" s="136"/>
    </row>
    <row r="3363" ht="15.75" customHeight="1">
      <c r="B3363" s="63">
        <f t="shared" si="1"/>
        <v>17</v>
      </c>
      <c r="C3363" s="146" t="s">
        <v>250</v>
      </c>
      <c r="D3363" s="147" t="s">
        <v>74</v>
      </c>
      <c r="E3363" s="135">
        <f t="shared" si="59"/>
        <v>35</v>
      </c>
      <c r="F3363" s="134" t="s">
        <v>3870</v>
      </c>
      <c r="G3363" s="63" t="str">
        <f>VLOOKUP(C3363, 'Class Def. - General Data'!$C$20:$C$1000,1,false)</f>
        <v>ZPM1_Bag3SideSeal</v>
      </c>
      <c r="H3363" s="63" t="str">
        <f>IFERROR(__xludf.DUMMYFUNCTION("VLOOKUP(F3363, IMPORTRANGE(""https://docs.google.com/spreadsheets/d/1Lhp9OU0JdFf_VYSMzH5lBcEaU4o8teT1piV-SNzShjg/edit?gid=554141278#gid=554141278"", ""'Char Def. - Attributes'!C20:C2242""), 1,false)"),"ALT_UOM2_RMPM")</f>
        <v>ALT_UOM2_RMPM</v>
      </c>
      <c r="I3363" s="136"/>
    </row>
    <row r="3364" ht="15.75" customHeight="1">
      <c r="B3364" s="63">
        <f t="shared" si="1"/>
        <v>17</v>
      </c>
      <c r="C3364" s="146" t="s">
        <v>250</v>
      </c>
      <c r="D3364" s="147" t="s">
        <v>74</v>
      </c>
      <c r="E3364" s="135">
        <f t="shared" si="59"/>
        <v>36</v>
      </c>
      <c r="F3364" s="134" t="s">
        <v>3808</v>
      </c>
      <c r="G3364" s="63" t="str">
        <f>VLOOKUP(C3364, 'Class Def. - General Data'!$C$20:$C$1000,1,false)</f>
        <v>ZPM1_Bag3SideSeal</v>
      </c>
      <c r="H3364" s="63" t="str">
        <f>IFERROR(__xludf.DUMMYFUNCTION("VLOOKUP(F3364, IMPORTRANGE(""https://docs.google.com/spreadsheets/d/1Lhp9OU0JdFf_VYSMzH5lBcEaU4o8teT1piV-SNzShjg/edit?gid=554141278#gid=554141278"", ""'Char Def. - Attributes'!C20:C2242""), 1,false)"),"ALT_DENUM_UOM2")</f>
        <v>ALT_DENUM_UOM2</v>
      </c>
      <c r="I3364" s="136"/>
    </row>
    <row r="3365" ht="15.75" customHeight="1">
      <c r="B3365" s="63">
        <f t="shared" si="1"/>
        <v>17</v>
      </c>
      <c r="C3365" s="146" t="s">
        <v>250</v>
      </c>
      <c r="D3365" s="147" t="s">
        <v>74</v>
      </c>
      <c r="E3365" s="135">
        <f t="shared" si="59"/>
        <v>37</v>
      </c>
      <c r="F3365" s="134" t="s">
        <v>3809</v>
      </c>
      <c r="G3365" s="63" t="str">
        <f>VLOOKUP(C3365, 'Class Def. - General Data'!$C$20:$C$1000,1,false)</f>
        <v>ZPM1_Bag3SideSeal</v>
      </c>
      <c r="H3365" s="63" t="str">
        <f>IFERROR(__xludf.DUMMYFUNCTION("VLOOKUP(F3365, IMPORTRANGE(""https://docs.google.com/spreadsheets/d/1Lhp9OU0JdFf_VYSMzH5lBcEaU4o8teT1piV-SNzShjg/edit?gid=554141278#gid=554141278"", ""'Char Def. - Attributes'!C20:C2242""), 1,false)"),"ALT_NUM_UOM2")</f>
        <v>ALT_NUM_UOM2</v>
      </c>
      <c r="I3365" s="136"/>
    </row>
    <row r="3366" ht="15.75" customHeight="1">
      <c r="B3366" s="63">
        <f t="shared" si="1"/>
        <v>17</v>
      </c>
      <c r="C3366" s="146" t="s">
        <v>250</v>
      </c>
      <c r="D3366" s="147" t="s">
        <v>74</v>
      </c>
      <c r="E3366" s="135">
        <f t="shared" si="59"/>
        <v>38</v>
      </c>
      <c r="F3366" s="134" t="s">
        <v>3871</v>
      </c>
      <c r="G3366" s="63" t="str">
        <f>VLOOKUP(C3366, 'Class Def. - General Data'!$C$20:$C$1000,1,false)</f>
        <v>ZPM1_Bag3SideSeal</v>
      </c>
      <c r="H3366" s="63" t="str">
        <f>IFERROR(__xludf.DUMMYFUNCTION("VLOOKUP(F3366, IMPORTRANGE(""https://docs.google.com/spreadsheets/d/1Lhp9OU0JdFf_VYSMzH5lBcEaU4o8teT1piV-SNzShjg/edit?gid=554141278#gid=554141278"", ""'Char Def. - Attributes'!C20:C2242""), 1,false)"),"ALT_UOM3_RMPM")</f>
        <v>ALT_UOM3_RMPM</v>
      </c>
      <c r="I3366" s="136"/>
    </row>
    <row r="3367" ht="15.75" customHeight="1">
      <c r="B3367" s="63">
        <f t="shared" si="1"/>
        <v>17</v>
      </c>
      <c r="C3367" s="146" t="s">
        <v>250</v>
      </c>
      <c r="D3367" s="147" t="s">
        <v>74</v>
      </c>
      <c r="E3367" s="135">
        <f t="shared" si="59"/>
        <v>39</v>
      </c>
      <c r="F3367" s="134" t="s">
        <v>3811</v>
      </c>
      <c r="G3367" s="63" t="str">
        <f>VLOOKUP(C3367, 'Class Def. - General Data'!$C$20:$C$1000,1,false)</f>
        <v>ZPM1_Bag3SideSeal</v>
      </c>
      <c r="H3367" s="63" t="str">
        <f>IFERROR(__xludf.DUMMYFUNCTION("VLOOKUP(F3367, IMPORTRANGE(""https://docs.google.com/spreadsheets/d/1Lhp9OU0JdFf_VYSMzH5lBcEaU4o8teT1piV-SNzShjg/edit?gid=554141278#gid=554141278"", ""'Char Def. - Attributes'!C20:C2242""), 1,false)"),"ALT_DENUM_UOM3")</f>
        <v>ALT_DENUM_UOM3</v>
      </c>
      <c r="I3367" s="136"/>
    </row>
    <row r="3368" ht="15.75" customHeight="1">
      <c r="B3368" s="63">
        <f t="shared" si="1"/>
        <v>17</v>
      </c>
      <c r="C3368" s="146" t="s">
        <v>250</v>
      </c>
      <c r="D3368" s="147" t="s">
        <v>74</v>
      </c>
      <c r="E3368" s="135">
        <f t="shared" si="59"/>
        <v>40</v>
      </c>
      <c r="F3368" s="134" t="s">
        <v>3812</v>
      </c>
      <c r="G3368" s="63" t="str">
        <f>VLOOKUP(C3368, 'Class Def. - General Data'!$C$20:$C$1000,1,false)</f>
        <v>ZPM1_Bag3SideSeal</v>
      </c>
      <c r="H3368" s="63" t="str">
        <f>IFERROR(__xludf.DUMMYFUNCTION("VLOOKUP(F3368, IMPORTRANGE(""https://docs.google.com/spreadsheets/d/1Lhp9OU0JdFf_VYSMzH5lBcEaU4o8teT1piV-SNzShjg/edit?gid=554141278#gid=554141278"", ""'Char Def. - Attributes'!C20:C2242""), 1,false)"),"ALT_NUM_UOM3")</f>
        <v>ALT_NUM_UOM3</v>
      </c>
      <c r="I3368" s="136"/>
    </row>
    <row r="3369" ht="15.75" customHeight="1">
      <c r="B3369" s="63">
        <f t="shared" si="1"/>
        <v>17</v>
      </c>
      <c r="C3369" s="146" t="s">
        <v>250</v>
      </c>
      <c r="D3369" s="147" t="s">
        <v>74</v>
      </c>
      <c r="E3369" s="135">
        <f t="shared" si="59"/>
        <v>41</v>
      </c>
      <c r="F3369" s="134" t="s">
        <v>3872</v>
      </c>
      <c r="G3369" s="63" t="str">
        <f>VLOOKUP(C3369, 'Class Def. - General Data'!$C$20:$C$1000,1,false)</f>
        <v>ZPM1_Bag3SideSeal</v>
      </c>
      <c r="H3369" s="63" t="str">
        <f>IFERROR(__xludf.DUMMYFUNCTION("VLOOKUP(F3369, IMPORTRANGE(""https://docs.google.com/spreadsheets/d/1Lhp9OU0JdFf_VYSMzH5lBcEaU4o8teT1piV-SNzShjg/edit?gid=554141278#gid=554141278"", ""'Char Def. - Attributes'!C20:C2242""), 1,false)"),"ALT_UOM4_RMPM")</f>
        <v>ALT_UOM4_RMPM</v>
      </c>
      <c r="I3369" s="136"/>
    </row>
    <row r="3370" ht="15.75" customHeight="1">
      <c r="B3370" s="63">
        <f t="shared" si="1"/>
        <v>17</v>
      </c>
      <c r="C3370" s="146" t="s">
        <v>250</v>
      </c>
      <c r="D3370" s="147" t="s">
        <v>74</v>
      </c>
      <c r="E3370" s="135">
        <f t="shared" si="59"/>
        <v>42</v>
      </c>
      <c r="F3370" s="134" t="s">
        <v>3814</v>
      </c>
      <c r="G3370" s="63" t="str">
        <f>VLOOKUP(C3370, 'Class Def. - General Data'!$C$20:$C$1000,1,false)</f>
        <v>ZPM1_Bag3SideSeal</v>
      </c>
      <c r="H3370" s="63" t="str">
        <f>IFERROR(__xludf.DUMMYFUNCTION("VLOOKUP(F3370, IMPORTRANGE(""https://docs.google.com/spreadsheets/d/1Lhp9OU0JdFf_VYSMzH5lBcEaU4o8teT1piV-SNzShjg/edit?gid=554141278#gid=554141278"", ""'Char Def. - Attributes'!C20:C2242""), 1,false)"),"ALT_DENUM_UOM4")</f>
        <v>ALT_DENUM_UOM4</v>
      </c>
      <c r="I3370" s="136"/>
    </row>
    <row r="3371" ht="15.75" customHeight="1">
      <c r="B3371" s="63">
        <f t="shared" si="1"/>
        <v>17</v>
      </c>
      <c r="C3371" s="146" t="s">
        <v>250</v>
      </c>
      <c r="D3371" s="147" t="s">
        <v>74</v>
      </c>
      <c r="E3371" s="135">
        <f t="shared" si="59"/>
        <v>43</v>
      </c>
      <c r="F3371" s="134" t="s">
        <v>3815</v>
      </c>
      <c r="G3371" s="63" t="str">
        <f>VLOOKUP(C3371, 'Class Def. - General Data'!$C$20:$C$1000,1,false)</f>
        <v>ZPM1_Bag3SideSeal</v>
      </c>
      <c r="H3371" s="63" t="str">
        <f>IFERROR(__xludf.DUMMYFUNCTION("VLOOKUP(F3371, IMPORTRANGE(""https://docs.google.com/spreadsheets/d/1Lhp9OU0JdFf_VYSMzH5lBcEaU4o8teT1piV-SNzShjg/edit?gid=554141278#gid=554141278"", ""'Char Def. - Attributes'!C20:C2242""), 1,false)"),"ALT_NUM_UOM4")</f>
        <v>ALT_NUM_UOM4</v>
      </c>
      <c r="I3371" s="136"/>
    </row>
    <row r="3372" ht="15.75" customHeight="1">
      <c r="B3372" s="63">
        <f t="shared" si="1"/>
        <v>17</v>
      </c>
      <c r="C3372" s="146" t="s">
        <v>250</v>
      </c>
      <c r="D3372" s="147" t="s">
        <v>74</v>
      </c>
      <c r="E3372" s="135">
        <f t="shared" si="59"/>
        <v>44</v>
      </c>
      <c r="F3372" s="134" t="s">
        <v>3873</v>
      </c>
      <c r="G3372" s="63" t="str">
        <f>VLOOKUP(C3372, 'Class Def. - General Data'!$C$20:$C$1000,1,false)</f>
        <v>ZPM1_Bag3SideSeal</v>
      </c>
      <c r="H3372" s="63" t="str">
        <f>IFERROR(__xludf.DUMMYFUNCTION("VLOOKUP(F3372, IMPORTRANGE(""https://docs.google.com/spreadsheets/d/1Lhp9OU0JdFf_VYSMzH5lBcEaU4o8teT1piV-SNzShjg/edit?gid=554141278#gid=554141278"", ""'Char Def. - Attributes'!C20:C2242""), 1,false)"),"ALT_UOM5_RMPM")</f>
        <v>ALT_UOM5_RMPM</v>
      </c>
      <c r="I3372" s="136"/>
    </row>
    <row r="3373" ht="15.75" customHeight="1">
      <c r="B3373" s="63">
        <f t="shared" si="1"/>
        <v>17</v>
      </c>
      <c r="C3373" s="146" t="s">
        <v>250</v>
      </c>
      <c r="D3373" s="147" t="s">
        <v>74</v>
      </c>
      <c r="E3373" s="135">
        <f t="shared" si="59"/>
        <v>45</v>
      </c>
      <c r="F3373" s="134" t="s">
        <v>3817</v>
      </c>
      <c r="G3373" s="63" t="str">
        <f>VLOOKUP(C3373, 'Class Def. - General Data'!$C$20:$C$1000,1,false)</f>
        <v>ZPM1_Bag3SideSeal</v>
      </c>
      <c r="H3373" s="63" t="str">
        <f>IFERROR(__xludf.DUMMYFUNCTION("VLOOKUP(F3373, IMPORTRANGE(""https://docs.google.com/spreadsheets/d/1Lhp9OU0JdFf_VYSMzH5lBcEaU4o8teT1piV-SNzShjg/edit?gid=554141278#gid=554141278"", ""'Char Def. - Attributes'!C20:C2242""), 1,false)"),"ALT_DENUM_UOM5")</f>
        <v>ALT_DENUM_UOM5</v>
      </c>
      <c r="I3373" s="136"/>
    </row>
    <row r="3374" ht="15.75" customHeight="1">
      <c r="B3374" s="63">
        <f t="shared" si="1"/>
        <v>17</v>
      </c>
      <c r="C3374" s="146" t="s">
        <v>250</v>
      </c>
      <c r="D3374" s="147" t="s">
        <v>74</v>
      </c>
      <c r="E3374" s="135">
        <f t="shared" si="59"/>
        <v>46</v>
      </c>
      <c r="F3374" s="134" t="s">
        <v>3818</v>
      </c>
      <c r="G3374" s="63" t="str">
        <f>VLOOKUP(C3374, 'Class Def. - General Data'!$C$20:$C$1000,1,false)</f>
        <v>ZPM1_Bag3SideSeal</v>
      </c>
      <c r="H3374" s="63" t="str">
        <f>IFERROR(__xludf.DUMMYFUNCTION("VLOOKUP(F3374, IMPORTRANGE(""https://docs.google.com/spreadsheets/d/1Lhp9OU0JdFf_VYSMzH5lBcEaU4o8teT1piV-SNzShjg/edit?gid=554141278#gid=554141278"", ""'Char Def. - Attributes'!C20:C2242""), 1,false)"),"ALT_NUM_UOM5")</f>
        <v>ALT_NUM_UOM5</v>
      </c>
      <c r="I3374" s="136"/>
    </row>
    <row r="3375" ht="15.75" customHeight="1">
      <c r="B3375" s="63">
        <f t="shared" si="1"/>
        <v>17</v>
      </c>
      <c r="C3375" s="146" t="s">
        <v>250</v>
      </c>
      <c r="D3375" s="147" t="s">
        <v>74</v>
      </c>
      <c r="E3375" s="135">
        <f t="shared" si="59"/>
        <v>47</v>
      </c>
      <c r="F3375" s="134" t="s">
        <v>3874</v>
      </c>
      <c r="G3375" s="63" t="str">
        <f>VLOOKUP(C3375, 'Class Def. - General Data'!$C$20:$C$1000,1,false)</f>
        <v>ZPM1_Bag3SideSeal</v>
      </c>
      <c r="H3375" s="63" t="str">
        <f>IFERROR(__xludf.DUMMYFUNCTION("VLOOKUP(F3375, IMPORTRANGE(""https://docs.google.com/spreadsheets/d/1Lhp9OU0JdFf_VYSMzH5lBcEaU4o8teT1piV-SNzShjg/edit?gid=554141278#gid=554141278"", ""'Char Def. - Attributes'!C20:C2242""), 1,false)"),"VALUATION_CATEGORY")</f>
        <v>VALUATION_CATEGORY</v>
      </c>
      <c r="I3375" s="136"/>
    </row>
    <row r="3376" ht="15.75" customHeight="1">
      <c r="B3376" s="63">
        <f t="shared" si="1"/>
        <v>17</v>
      </c>
      <c r="C3376" s="146" t="s">
        <v>250</v>
      </c>
      <c r="D3376" s="147" t="s">
        <v>74</v>
      </c>
      <c r="E3376" s="135">
        <f t="shared" si="59"/>
        <v>48</v>
      </c>
      <c r="F3376" s="134" t="s">
        <v>3800</v>
      </c>
      <c r="G3376" s="63" t="str">
        <f>VLOOKUP(C3376, 'Class Def. - General Data'!$C$20:$C$1000,1,false)</f>
        <v>ZPM1_Bag3SideSeal</v>
      </c>
      <c r="H3376" s="63" t="str">
        <f>IFERROR(__xludf.DUMMYFUNCTION("VLOOKUP(F3376, IMPORTRANGE(""https://docs.google.com/spreadsheets/d/1Lhp9OU0JdFf_VYSMzH5lBcEaU4o8teT1piV-SNzShjg/edit?gid=554141278#gid=554141278"", ""'Char Def. - Attributes'!C20:C2242""), 1,false)"),"ORDER_UNIT_DIFF_FROM_BASIC_UOM")</f>
        <v>ORDER_UNIT_DIFF_FROM_BASIC_UOM</v>
      </c>
      <c r="I3376" s="136"/>
    </row>
    <row r="3377" ht="15.75" customHeight="1">
      <c r="B3377" s="63">
        <f t="shared" si="1"/>
        <v>17</v>
      </c>
      <c r="C3377" s="146" t="s">
        <v>250</v>
      </c>
      <c r="D3377" s="147" t="s">
        <v>74</v>
      </c>
      <c r="E3377" s="135">
        <f t="shared" si="59"/>
        <v>49</v>
      </c>
      <c r="F3377" s="134" t="s">
        <v>3875</v>
      </c>
      <c r="G3377" s="63" t="str">
        <f>VLOOKUP(C3377, 'Class Def. - General Data'!$C$20:$C$1000,1,false)</f>
        <v>ZPM1_Bag3SideSeal</v>
      </c>
      <c r="H3377" s="63" t="str">
        <f>IFERROR(__xludf.DUMMYFUNCTION("VLOOKUP(F3377, IMPORTRANGE(""https://docs.google.com/spreadsheets/d/1Lhp9OU0JdFf_VYSMzH5lBcEaU4o8teT1piV-SNzShjg/edit?gid=554141278#gid=554141278"", ""'Char Def. - Attributes'!C20:C2242""), 1,false)"),"ORDER_UNIT_RMPM")</f>
        <v>ORDER_UNIT_RMPM</v>
      </c>
      <c r="I3377" s="136"/>
    </row>
    <row r="3378" ht="15.75" customHeight="1">
      <c r="B3378" s="63">
        <f t="shared" si="1"/>
        <v>17</v>
      </c>
      <c r="C3378" s="146" t="s">
        <v>250</v>
      </c>
      <c r="D3378" s="147" t="s">
        <v>74</v>
      </c>
      <c r="E3378" s="135">
        <f t="shared" si="59"/>
        <v>50</v>
      </c>
      <c r="F3378" s="134" t="s">
        <v>3602</v>
      </c>
      <c r="G3378" s="63" t="str">
        <f>VLOOKUP(C3378, 'Class Def. - General Data'!$C$20:$C$1000,1,false)</f>
        <v>ZPM1_Bag3SideSeal</v>
      </c>
      <c r="H3378" s="63" t="str">
        <f>IFERROR(__xludf.DUMMYFUNCTION("VLOOKUP(F3378, IMPORTRANGE(""https://docs.google.com/spreadsheets/d/1Lhp9OU0JdFf_VYSMzH5lBcEaU4o8teT1piV-SNzShjg/edit?gid=554141278#gid=554141278"", ""'Char Def. - Attributes'!C20:C2242""), 1,false)"),"NET_WEIGHT")</f>
        <v>NET_WEIGHT</v>
      </c>
      <c r="I3378" s="136"/>
    </row>
    <row r="3379" ht="15.75" customHeight="1">
      <c r="B3379" s="63">
        <f t="shared" si="1"/>
        <v>17</v>
      </c>
      <c r="C3379" s="146" t="s">
        <v>250</v>
      </c>
      <c r="D3379" s="147" t="s">
        <v>74</v>
      </c>
      <c r="E3379" s="135">
        <f t="shared" si="59"/>
        <v>51</v>
      </c>
      <c r="F3379" s="134" t="s">
        <v>3601</v>
      </c>
      <c r="G3379" s="63" t="str">
        <f>VLOOKUP(C3379, 'Class Def. - General Data'!$C$20:$C$1000,1,false)</f>
        <v>ZPM1_Bag3SideSeal</v>
      </c>
      <c r="H3379" s="63" t="str">
        <f>IFERROR(__xludf.DUMMYFUNCTION("VLOOKUP(F3379, IMPORTRANGE(""https://docs.google.com/spreadsheets/d/1Lhp9OU0JdFf_VYSMzH5lBcEaU4o8teT1piV-SNzShjg/edit?gid=554141278#gid=554141278"", ""'Char Def. - Attributes'!C20:C2242""), 1,false)"),"GROSS_WEIGHT")</f>
        <v>GROSS_WEIGHT</v>
      </c>
      <c r="I3379" s="136"/>
    </row>
    <row r="3380" ht="15.75" customHeight="1">
      <c r="B3380" s="63">
        <f t="shared" si="1"/>
        <v>17</v>
      </c>
      <c r="C3380" s="146" t="s">
        <v>250</v>
      </c>
      <c r="D3380" s="147" t="s">
        <v>74</v>
      </c>
      <c r="E3380" s="135">
        <f t="shared" si="59"/>
        <v>52</v>
      </c>
      <c r="F3380" s="134" t="s">
        <v>3876</v>
      </c>
      <c r="G3380" s="63" t="str">
        <f>VLOOKUP(C3380, 'Class Def. - General Data'!$C$20:$C$1000,1,false)</f>
        <v>ZPM1_Bag3SideSeal</v>
      </c>
      <c r="H3380" s="63" t="str">
        <f>IFERROR(__xludf.DUMMYFUNCTION("VLOOKUP(F3380, IMPORTRANGE(""https://docs.google.com/spreadsheets/d/1Lhp9OU0JdFf_VYSMzH5lBcEaU4o8teT1piV-SNzShjg/edit?gid=554141278#gid=554141278"", ""'Char Def. - Attributes'!C20:C2242""), 1,false)"),"WEIGHT_UNIT_PM")</f>
        <v>WEIGHT_UNIT_PM</v>
      </c>
      <c r="I3380" s="136"/>
    </row>
    <row r="3381" ht="15.75" customHeight="1">
      <c r="B3381" s="63">
        <f t="shared" si="1"/>
        <v>17</v>
      </c>
      <c r="C3381" s="146" t="s">
        <v>250</v>
      </c>
      <c r="D3381" s="147" t="s">
        <v>74</v>
      </c>
      <c r="E3381" s="135">
        <f t="shared" si="59"/>
        <v>53</v>
      </c>
      <c r="F3381" s="134" t="s">
        <v>3877</v>
      </c>
      <c r="G3381" s="63" t="str">
        <f>VLOOKUP(C3381, 'Class Def. - General Data'!$C$20:$C$1000,1,false)</f>
        <v>ZPM1_Bag3SideSeal</v>
      </c>
      <c r="H3381" s="63" t="str">
        <f>IFERROR(__xludf.DUMMYFUNCTION("VLOOKUP(F3381, IMPORTRANGE(""https://docs.google.com/spreadsheets/d/1Lhp9OU0JdFf_VYSMzH5lBcEaU4o8teT1piV-SNzShjg/edit?gid=554141278#gid=554141278"", ""'Char Def. - Attributes'!C20:C2242""), 1,false)"),"VOLUME_OPT")</f>
        <v>VOLUME_OPT</v>
      </c>
      <c r="I3381" s="136"/>
    </row>
    <row r="3382" ht="15.75" customHeight="1">
      <c r="B3382" s="63">
        <f t="shared" si="1"/>
        <v>17</v>
      </c>
      <c r="C3382" s="146" t="s">
        <v>250</v>
      </c>
      <c r="D3382" s="147" t="s">
        <v>74</v>
      </c>
      <c r="E3382" s="135">
        <f t="shared" si="59"/>
        <v>54</v>
      </c>
      <c r="F3382" s="134" t="s">
        <v>3878</v>
      </c>
      <c r="G3382" s="63" t="str">
        <f>VLOOKUP(C3382, 'Class Def. - General Data'!$C$20:$C$1000,1,false)</f>
        <v>ZPM1_Bag3SideSeal</v>
      </c>
      <c r="H3382" s="63" t="str">
        <f>IFERROR(__xludf.DUMMYFUNCTION("VLOOKUP(F3382, IMPORTRANGE(""https://docs.google.com/spreadsheets/d/1Lhp9OU0JdFf_VYSMzH5lBcEaU4o8teT1piV-SNzShjg/edit?gid=554141278#gid=554141278"", ""'Char Def. - Attributes'!C20:C2242""), 1,false)"),"VOLUME_UNIT")</f>
        <v>VOLUME_UNIT</v>
      </c>
      <c r="I3382" s="136"/>
    </row>
    <row r="3383" ht="15.75" customHeight="1">
      <c r="B3383" s="63">
        <f t="shared" si="1"/>
        <v>17</v>
      </c>
      <c r="C3383" s="146" t="s">
        <v>250</v>
      </c>
      <c r="D3383" s="147" t="s">
        <v>74</v>
      </c>
      <c r="E3383" s="135">
        <f t="shared" si="59"/>
        <v>55</v>
      </c>
      <c r="F3383" s="134" t="s">
        <v>3879</v>
      </c>
      <c r="G3383" s="63" t="str">
        <f>VLOOKUP(C3383, 'Class Def. - General Data'!$C$20:$C$1000,1,false)</f>
        <v>ZPM1_Bag3SideSeal</v>
      </c>
      <c r="H3383" s="63" t="str">
        <f>IFERROR(__xludf.DUMMYFUNCTION("VLOOKUP(F3383, IMPORTRANGE(""https://docs.google.com/spreadsheets/d/1Lhp9OU0JdFf_VYSMzH5lBcEaU4o8teT1piV-SNzShjg/edit?gid=554141278#gid=554141278"", ""'Char Def. - Attributes'!C20:C2242""), 1,false)"),"OLD_MAT_NO_RMPM")</f>
        <v>OLD_MAT_NO_RMPM</v>
      </c>
      <c r="I3383" s="136"/>
    </row>
    <row r="3384" ht="15.75" customHeight="1">
      <c r="B3384" s="63">
        <f t="shared" si="1"/>
        <v>17</v>
      </c>
      <c r="C3384" s="146" t="s">
        <v>250</v>
      </c>
      <c r="D3384" s="147" t="s">
        <v>74</v>
      </c>
      <c r="E3384" s="135">
        <f t="shared" si="59"/>
        <v>56</v>
      </c>
      <c r="F3384" s="134" t="s">
        <v>3880</v>
      </c>
      <c r="G3384" s="63" t="str">
        <f>VLOOKUP(C3384, 'Class Def. - General Data'!$C$20:$C$1000,1,false)</f>
        <v>ZPM1_Bag3SideSeal</v>
      </c>
      <c r="H3384" s="63" t="str">
        <f>IFERROR(__xludf.DUMMYFUNCTION("VLOOKUP(F3384, IMPORTRANGE(""https://docs.google.com/spreadsheets/d/1Lhp9OU0JdFf_VYSMzH5lBcEaU4o8teT1piV-SNzShjg/edit?gid=554141278#gid=554141278"", ""'Char Def. - Attributes'!C20:C2242""), 1,false)"),"NOTE_PM")</f>
        <v>NOTE_PM</v>
      </c>
      <c r="I3384" s="136"/>
    </row>
    <row r="3385" ht="15.75" customHeight="1">
      <c r="B3385" s="63">
        <f t="shared" si="1"/>
        <v>17</v>
      </c>
      <c r="C3385" s="146" t="s">
        <v>250</v>
      </c>
      <c r="D3385" s="147" t="s">
        <v>74</v>
      </c>
      <c r="E3385" s="135">
        <f t="shared" si="59"/>
        <v>57</v>
      </c>
      <c r="F3385" s="134" t="s">
        <v>3881</v>
      </c>
      <c r="G3385" s="63" t="str">
        <f>VLOOKUP(C3385, 'Class Def. - General Data'!$C$20:$C$1000,1,false)</f>
        <v>ZPM1_Bag3SideSeal</v>
      </c>
      <c r="H3385" s="63" t="str">
        <f>IFERROR(__xludf.DUMMYFUNCTION("VLOOKUP(F3385, IMPORTRANGE(""https://docs.google.com/spreadsheets/d/1Lhp9OU0JdFf_VYSMzH5lBcEaU4o8teT1piV-SNzShjg/edit?gid=554141278#gid=554141278"", ""'Char Def. - Attributes'!C20:C2242""), 1,false)"),"BS_BERSIH")</f>
        <v>BS_BERSIH</v>
      </c>
      <c r="I3385" s="136"/>
    </row>
    <row r="3386" ht="15.75" customHeight="1">
      <c r="B3386" s="63">
        <f t="shared" si="1"/>
        <v>17</v>
      </c>
      <c r="C3386" s="146" t="s">
        <v>250</v>
      </c>
      <c r="D3386" s="147" t="s">
        <v>74</v>
      </c>
      <c r="E3386" s="135">
        <f t="shared" si="59"/>
        <v>58</v>
      </c>
      <c r="F3386" s="134" t="s">
        <v>3882</v>
      </c>
      <c r="G3386" s="63" t="str">
        <f>VLOOKUP(C3386, 'Class Def. - General Data'!$C$20:$C$1000,1,false)</f>
        <v>ZPM1_Bag3SideSeal</v>
      </c>
      <c r="H3386" s="63" t="str">
        <f>IFERROR(__xludf.DUMMYFUNCTION("VLOOKUP(F3386, IMPORTRANGE(""https://docs.google.com/spreadsheets/d/1Lhp9OU0JdFf_VYSMzH5lBcEaU4o8teT1piV-SNzShjg/edit?gid=554141278#gid=554141278"", ""'Char Def. - Attributes'!C20:C2242""), 1,false)"),"BS_KOTOR")</f>
        <v>BS_KOTOR</v>
      </c>
      <c r="I3386" s="136"/>
    </row>
    <row r="3387" ht="15.75" customHeight="1">
      <c r="B3387" s="63">
        <f t="shared" si="1"/>
        <v>17</v>
      </c>
      <c r="C3387" s="146" t="s">
        <v>250</v>
      </c>
      <c r="D3387" s="147" t="s">
        <v>74</v>
      </c>
      <c r="E3387" s="135">
        <f t="shared" si="59"/>
        <v>59</v>
      </c>
      <c r="F3387" s="134" t="s">
        <v>3883</v>
      </c>
      <c r="G3387" s="63" t="str">
        <f>VLOOKUP(C3387, 'Class Def. - General Data'!$C$20:$C$1000,1,false)</f>
        <v>ZPM1_Bag3SideSeal</v>
      </c>
      <c r="H3387" s="63" t="str">
        <f>IFERROR(__xludf.DUMMYFUNCTION("VLOOKUP(F3387, IMPORTRANGE(""https://docs.google.com/spreadsheets/d/1Lhp9OU0JdFf_VYSMzH5lBcEaU4o8teT1piV-SNzShjg/edit?gid=554141278#gid=554141278"", ""'Char Def. - Attributes'!C20:C2242""), 1,false)"),"BS_SCRAP")</f>
        <v>BS_SCRAP</v>
      </c>
      <c r="I3387" s="136"/>
    </row>
    <row r="3388" ht="15.75" customHeight="1">
      <c r="B3388" s="63">
        <f t="shared" si="1"/>
        <v>14</v>
      </c>
      <c r="C3388" s="146" t="s">
        <v>249</v>
      </c>
      <c r="D3388" s="147" t="s">
        <v>74</v>
      </c>
      <c r="E3388" s="135">
        <f t="shared" si="59"/>
        <v>1</v>
      </c>
      <c r="F3388" s="134" t="s">
        <v>3895</v>
      </c>
      <c r="G3388" s="63" t="str">
        <f>VLOOKUP(C3388, 'Class Def. - General Data'!$C$20:$C$1000,1,false)</f>
        <v>ZPM1_BagCupLid</v>
      </c>
      <c r="H3388" s="63" t="str">
        <f>IFERROR(__xludf.DUMMYFUNCTION("VLOOKUP(F3388, IMPORTRANGE(""https://docs.google.com/spreadsheets/d/1Lhp9OU0JdFf_VYSMzH5lBcEaU4o8teT1piV-SNzShjg/edit?gid=554141278#gid=554141278"", ""'Char Def. - Attributes'!C20:C2242""), 1,false)"),"MATERIAL_CODE_BAGCUPLID")</f>
        <v>MATERIAL_CODE_BAGCUPLID</v>
      </c>
      <c r="I3388" s="136"/>
    </row>
    <row r="3389" ht="15.75" customHeight="1">
      <c r="B3389" s="63">
        <f t="shared" si="1"/>
        <v>14</v>
      </c>
      <c r="C3389" s="146" t="s">
        <v>249</v>
      </c>
      <c r="D3389" s="147" t="s">
        <v>74</v>
      </c>
      <c r="E3389" s="135">
        <f t="shared" si="59"/>
        <v>2</v>
      </c>
      <c r="F3389" s="134" t="s">
        <v>3852</v>
      </c>
      <c r="G3389" s="63" t="str">
        <f>VLOOKUP(C3389, 'Class Def. - General Data'!$C$20:$C$1000,1,false)</f>
        <v>ZPM1_BagCupLid</v>
      </c>
      <c r="H3389" s="63" t="str">
        <f>IFERROR(__xludf.DUMMYFUNCTION("VLOOKUP(F3389, IMPORTRANGE(""https://docs.google.com/spreadsheets/d/1Lhp9OU0JdFf_VYSMzH5lBcEaU4o8teT1piV-SNzShjg/edit?gid=554141278#gid=554141278"", ""'Char Def. - Attributes'!C20:C2242""), 1,false)"),"SINGLE_BRAND")</f>
        <v>SINGLE_BRAND</v>
      </c>
      <c r="I3389" s="136"/>
    </row>
    <row r="3390" ht="15.75" customHeight="1">
      <c r="B3390" s="63">
        <f t="shared" si="1"/>
        <v>14</v>
      </c>
      <c r="C3390" s="146" t="s">
        <v>249</v>
      </c>
      <c r="D3390" s="147" t="s">
        <v>74</v>
      </c>
      <c r="E3390" s="135">
        <f t="shared" si="59"/>
        <v>3</v>
      </c>
      <c r="F3390" s="134" t="s">
        <v>3853</v>
      </c>
      <c r="G3390" s="63" t="str">
        <f>VLOOKUP(C3390, 'Class Def. - General Data'!$C$20:$C$1000,1,false)</f>
        <v>ZPM1_BagCupLid</v>
      </c>
      <c r="H3390" s="63" t="str">
        <f>IFERROR(__xludf.DUMMYFUNCTION("VLOOKUP(F3390, IMPORTRANGE(""https://docs.google.com/spreadsheets/d/1Lhp9OU0JdFf_VYSMzH5lBcEaU4o8teT1piV-SNzShjg/edit?gid=554141278#gid=554141278"", ""'Char Def. - Attributes'!C20:C2242""), 1,false)"),"BRAND_WINGS")</f>
        <v>BRAND_WINGS</v>
      </c>
      <c r="I3390" s="136"/>
    </row>
    <row r="3391" ht="15.75" customHeight="1">
      <c r="B3391" s="63">
        <f t="shared" si="1"/>
        <v>14</v>
      </c>
      <c r="C3391" s="146" t="s">
        <v>249</v>
      </c>
      <c r="D3391" s="147" t="s">
        <v>74</v>
      </c>
      <c r="E3391" s="135">
        <f t="shared" si="59"/>
        <v>4</v>
      </c>
      <c r="F3391" s="134" t="s">
        <v>3854</v>
      </c>
      <c r="G3391" s="63" t="str">
        <f>VLOOKUP(C3391, 'Class Def. - General Data'!$C$20:$C$1000,1,false)</f>
        <v>ZPM1_BagCupLid</v>
      </c>
      <c r="H3391" s="63" t="str">
        <f>IFERROR(__xludf.DUMMYFUNCTION("VLOOKUP(F3391, IMPORTRANGE(""https://docs.google.com/spreadsheets/d/1Lhp9OU0JdFf_VYSMzH5lBcEaU4o8teT1piV-SNzShjg/edit?gid=554141278#gid=554141278"", ""'Char Def. - Attributes'!C20:C2242""), 1,false)"),"SINGLE_PACK_SHAPE")</f>
        <v>SINGLE_PACK_SHAPE</v>
      </c>
      <c r="I3391" s="136"/>
    </row>
    <row r="3392" ht="15.75" customHeight="1">
      <c r="B3392" s="63">
        <f t="shared" si="1"/>
        <v>14</v>
      </c>
      <c r="C3392" s="146" t="s">
        <v>249</v>
      </c>
      <c r="D3392" s="147" t="s">
        <v>74</v>
      </c>
      <c r="E3392" s="135">
        <f t="shared" si="59"/>
        <v>5</v>
      </c>
      <c r="F3392" s="134" t="s">
        <v>3855</v>
      </c>
      <c r="G3392" s="63" t="str">
        <f>VLOOKUP(C3392, 'Class Def. - General Data'!$C$20:$C$1000,1,false)</f>
        <v>ZPM1_BagCupLid</v>
      </c>
      <c r="H3392" s="63" t="str">
        <f>IFERROR(__xludf.DUMMYFUNCTION("VLOOKUP(F3392, IMPORTRANGE(""https://docs.google.com/spreadsheets/d/1Lhp9OU0JdFf_VYSMzH5lBcEaU4o8teT1piV-SNzShjg/edit?gid=554141278#gid=554141278"", ""'Char Def. - Attributes'!C20:C2242""), 1,false)"),"PACK_SHAPE")</f>
        <v>PACK_SHAPE</v>
      </c>
      <c r="I3392" s="136"/>
    </row>
    <row r="3393" ht="15.75" customHeight="1">
      <c r="B3393" s="63">
        <f t="shared" si="1"/>
        <v>14</v>
      </c>
      <c r="C3393" s="146" t="s">
        <v>249</v>
      </c>
      <c r="D3393" s="147" t="s">
        <v>74</v>
      </c>
      <c r="E3393" s="135">
        <f t="shared" si="59"/>
        <v>6</v>
      </c>
      <c r="F3393" s="134" t="s">
        <v>3856</v>
      </c>
      <c r="G3393" s="63" t="str">
        <f>VLOOKUP(C3393, 'Class Def. - General Data'!$C$20:$C$1000,1,false)</f>
        <v>ZPM1_BagCupLid</v>
      </c>
      <c r="H3393" s="63" t="str">
        <f>IFERROR(__xludf.DUMMYFUNCTION("VLOOKUP(F3393, IMPORTRANGE(""https://docs.google.com/spreadsheets/d/1Lhp9OU0JdFf_VYSMzH5lBcEaU4o8teT1piV-SNzShjg/edit?gid=554141278#gid=554141278"", ""'Char Def. - Attributes'!C20:C2242""), 1,false)"),"SINGLE_PACK_NETTO")</f>
        <v>SINGLE_PACK_NETTO</v>
      </c>
      <c r="I3393" s="136"/>
    </row>
    <row r="3394" ht="15.75" customHeight="1">
      <c r="B3394" s="63">
        <f t="shared" si="1"/>
        <v>14</v>
      </c>
      <c r="C3394" s="146" t="s">
        <v>249</v>
      </c>
      <c r="D3394" s="147" t="s">
        <v>74</v>
      </c>
      <c r="E3394" s="135">
        <f t="shared" si="59"/>
        <v>7</v>
      </c>
      <c r="F3394" s="134" t="s">
        <v>3605</v>
      </c>
      <c r="G3394" s="63" t="str">
        <f>VLOOKUP(C3394, 'Class Def. - General Data'!$C$20:$C$1000,1,false)</f>
        <v>ZPM1_BagCupLid</v>
      </c>
      <c r="H3394" s="63" t="str">
        <f>IFERROR(__xludf.DUMMYFUNCTION("VLOOKUP(F3394, IMPORTRANGE(""https://docs.google.com/spreadsheets/d/1Lhp9OU0JdFf_VYSMzH5lBcEaU4o8teT1piV-SNzShjg/edit?gid=554141278#gid=554141278"", ""'Char Def. - Attributes'!C20:C2242""), 1,false)"),"PACK_NETTO")</f>
        <v>PACK_NETTO</v>
      </c>
      <c r="I3394" s="136"/>
    </row>
    <row r="3395" ht="15.75" customHeight="1">
      <c r="B3395" s="63">
        <f t="shared" si="1"/>
        <v>14</v>
      </c>
      <c r="C3395" s="146" t="s">
        <v>249</v>
      </c>
      <c r="D3395" s="147" t="s">
        <v>74</v>
      </c>
      <c r="E3395" s="135">
        <f t="shared" si="59"/>
        <v>8</v>
      </c>
      <c r="F3395" s="134" t="s">
        <v>3857</v>
      </c>
      <c r="G3395" s="63" t="str">
        <f>VLOOKUP(C3395, 'Class Def. - General Data'!$C$20:$C$1000,1,false)</f>
        <v>ZPM1_BagCupLid</v>
      </c>
      <c r="H3395" s="63" t="str">
        <f>IFERROR(__xludf.DUMMYFUNCTION("VLOOKUP(F3395, IMPORTRANGE(""https://docs.google.com/spreadsheets/d/1Lhp9OU0JdFf_VYSMzH5lBcEaU4o8teT1piV-SNzShjg/edit?gid=554141278#gid=554141278"", ""'Char Def. - Attributes'!C20:C2242""), 1,false)"),"PACK_UOM")</f>
        <v>PACK_UOM</v>
      </c>
      <c r="I3395" s="136"/>
    </row>
    <row r="3396" ht="15.75" customHeight="1">
      <c r="B3396" s="63">
        <f t="shared" si="1"/>
        <v>14</v>
      </c>
      <c r="C3396" s="146" t="s">
        <v>249</v>
      </c>
      <c r="D3396" s="147" t="s">
        <v>74</v>
      </c>
      <c r="E3396" s="135">
        <f t="shared" si="59"/>
        <v>9</v>
      </c>
      <c r="F3396" s="134" t="s">
        <v>3858</v>
      </c>
      <c r="G3396" s="63" t="str">
        <f>VLOOKUP(C3396, 'Class Def. - General Data'!$C$20:$C$1000,1,false)</f>
        <v>ZPM1_BagCupLid</v>
      </c>
      <c r="H3396" s="63" t="str">
        <f>IFERROR(__xludf.DUMMYFUNCTION("VLOOKUP(F3396, IMPORTRANGE(""https://docs.google.com/spreadsheets/d/1Lhp9OU0JdFf_VYSMzH5lBcEaU4o8teT1piV-SNzShjg/edit?gid=554141278#gid=554141278"", ""'Char Def. - Attributes'!C20:C2242""), 1,false)"),"SINGLE_VARIAN")</f>
        <v>SINGLE_VARIAN</v>
      </c>
      <c r="I3396" s="136"/>
    </row>
    <row r="3397" ht="15.75" customHeight="1">
      <c r="B3397" s="63">
        <f t="shared" si="1"/>
        <v>14</v>
      </c>
      <c r="C3397" s="146" t="s">
        <v>249</v>
      </c>
      <c r="D3397" s="147" t="s">
        <v>74</v>
      </c>
      <c r="E3397" s="135">
        <f t="shared" si="59"/>
        <v>10</v>
      </c>
      <c r="F3397" s="134" t="s">
        <v>3607</v>
      </c>
      <c r="G3397" s="63" t="str">
        <f>VLOOKUP(C3397, 'Class Def. - General Data'!$C$20:$C$1000,1,false)</f>
        <v>ZPM1_BagCupLid</v>
      </c>
      <c r="H3397" s="63" t="str">
        <f>IFERROR(__xludf.DUMMYFUNCTION("VLOOKUP(F3397, IMPORTRANGE(""https://docs.google.com/spreadsheets/d/1Lhp9OU0JdFf_VYSMzH5lBcEaU4o8teT1piV-SNzShjg/edit?gid=554141278#gid=554141278"", ""'Char Def. - Attributes'!C20:C2242""), 1,false)"),"VARIAN")</f>
        <v>VARIAN</v>
      </c>
      <c r="I3397" s="136"/>
    </row>
    <row r="3398" ht="15.75" customHeight="1">
      <c r="B3398" s="63">
        <f t="shared" si="1"/>
        <v>14</v>
      </c>
      <c r="C3398" s="146" t="s">
        <v>249</v>
      </c>
      <c r="D3398" s="147" t="s">
        <v>74</v>
      </c>
      <c r="E3398" s="135">
        <f t="shared" si="59"/>
        <v>11</v>
      </c>
      <c r="F3398" s="134" t="s">
        <v>3859</v>
      </c>
      <c r="G3398" s="63" t="str">
        <f>VLOOKUP(C3398, 'Class Def. - General Data'!$C$20:$C$1000,1,false)</f>
        <v>ZPM1_BagCupLid</v>
      </c>
      <c r="H3398" s="63" t="str">
        <f>IFERROR(__xludf.DUMMYFUNCTION("VLOOKUP(F3398, IMPORTRANGE(""https://docs.google.com/spreadsheets/d/1Lhp9OU0JdFf_VYSMzH5lBcEaU4o8teT1piV-SNzShjg/edit?gid=554141278#gid=554141278"", ""'Char Def. - Attributes'!C20:C2242""), 1,false)"),"ADA_ADDITIONAL_PROMO")</f>
        <v>ADA_ADDITIONAL_PROMO</v>
      </c>
      <c r="I3398" s="136"/>
    </row>
    <row r="3399" ht="15.75" customHeight="1">
      <c r="B3399" s="63">
        <f t="shared" si="1"/>
        <v>14</v>
      </c>
      <c r="C3399" s="146" t="s">
        <v>249</v>
      </c>
      <c r="D3399" s="147" t="s">
        <v>74</v>
      </c>
      <c r="E3399" s="135">
        <f t="shared" si="59"/>
        <v>12</v>
      </c>
      <c r="F3399" s="134" t="s">
        <v>3609</v>
      </c>
      <c r="G3399" s="63" t="str">
        <f>VLOOKUP(C3399, 'Class Def. - General Data'!$C$20:$C$1000,1,false)</f>
        <v>ZPM1_BagCupLid</v>
      </c>
      <c r="H3399" s="63" t="str">
        <f>IFERROR(__xludf.DUMMYFUNCTION("VLOOKUP(F3399, IMPORTRANGE(""https://docs.google.com/spreadsheets/d/1Lhp9OU0JdFf_VYSMzH5lBcEaU4o8teT1piV-SNzShjg/edit?gid=554141278#gid=554141278"", ""'Char Def. - Attributes'!C20:C2242""), 1,false)"),"ADDITIONAL_PROMO")</f>
        <v>ADDITIONAL_PROMO</v>
      </c>
      <c r="I3399" s="136"/>
    </row>
    <row r="3400" ht="15.75" customHeight="1">
      <c r="B3400" s="63">
        <f t="shared" si="1"/>
        <v>14</v>
      </c>
      <c r="C3400" s="146" t="s">
        <v>249</v>
      </c>
      <c r="D3400" s="147" t="s">
        <v>74</v>
      </c>
      <c r="E3400" s="135">
        <f t="shared" si="59"/>
        <v>13</v>
      </c>
      <c r="F3400" s="134" t="s">
        <v>3860</v>
      </c>
      <c r="G3400" s="63" t="str">
        <f>VLOOKUP(C3400, 'Class Def. - General Data'!$C$20:$C$1000,1,false)</f>
        <v>ZPM1_BagCupLid</v>
      </c>
      <c r="H3400" s="63" t="str">
        <f>IFERROR(__xludf.DUMMYFUNCTION("VLOOKUP(F3400, IMPORTRANGE(""https://docs.google.com/spreadsheets/d/1Lhp9OU0JdFf_VYSMzH5lBcEaU4o8teT1piV-SNzShjg/edit?gid=554141278#gid=554141278"", ""'Char Def. - Attributes'!C20:C2242""), 1,false)"),"ADA_BANDED_PROMO")</f>
        <v>ADA_BANDED_PROMO</v>
      </c>
      <c r="I3400" s="136"/>
    </row>
    <row r="3401" ht="15.75" customHeight="1">
      <c r="B3401" s="63">
        <f t="shared" si="1"/>
        <v>14</v>
      </c>
      <c r="C3401" s="146" t="s">
        <v>249</v>
      </c>
      <c r="D3401" s="147" t="s">
        <v>74</v>
      </c>
      <c r="E3401" s="135">
        <f t="shared" si="59"/>
        <v>14</v>
      </c>
      <c r="F3401" s="134" t="s">
        <v>3610</v>
      </c>
      <c r="G3401" s="63" t="str">
        <f>VLOOKUP(C3401, 'Class Def. - General Data'!$C$20:$C$1000,1,false)</f>
        <v>ZPM1_BagCupLid</v>
      </c>
      <c r="H3401" s="63" t="str">
        <f>IFERROR(__xludf.DUMMYFUNCTION("VLOOKUP(F3401, IMPORTRANGE(""https://docs.google.com/spreadsheets/d/1Lhp9OU0JdFf_VYSMzH5lBcEaU4o8teT1piV-SNzShjg/edit?gid=554141278#gid=554141278"", ""'Char Def. - Attributes'!C20:C2242""), 1,false)"),"BANDED_PROMO")</f>
        <v>BANDED_PROMO</v>
      </c>
      <c r="I3401" s="136"/>
    </row>
    <row r="3402" ht="15.75" customHeight="1">
      <c r="B3402" s="63">
        <f t="shared" si="1"/>
        <v>14</v>
      </c>
      <c r="C3402" s="146" t="s">
        <v>249</v>
      </c>
      <c r="D3402" s="147" t="s">
        <v>74</v>
      </c>
      <c r="E3402" s="135">
        <f t="shared" si="59"/>
        <v>15</v>
      </c>
      <c r="F3402" s="134" t="s">
        <v>1292</v>
      </c>
      <c r="G3402" s="63" t="str">
        <f>VLOOKUP(C3402, 'Class Def. - General Data'!$C$20:$C$1000,1,false)</f>
        <v>ZPM1_BagCupLid</v>
      </c>
      <c r="H3402" s="63" t="str">
        <f>IFERROR(__xludf.DUMMYFUNCTION("VLOOKUP(F3402, IMPORTRANGE(""https://docs.google.com/spreadsheets/d/1Lhp9OU0JdFf_VYSMzH5lBcEaU4o8teT1piV-SNzShjg/edit?gid=554141278#gid=554141278"", ""'Char Def. - Attributes'!C20:C2242""), 1,false)"),"EXPORT")</f>
        <v>EXPORT</v>
      </c>
      <c r="I3402" s="136"/>
    </row>
    <row r="3403" ht="15.75" customHeight="1">
      <c r="B3403" s="63">
        <f t="shared" si="1"/>
        <v>14</v>
      </c>
      <c r="C3403" s="146" t="s">
        <v>249</v>
      </c>
      <c r="D3403" s="147" t="s">
        <v>74</v>
      </c>
      <c r="E3403" s="135">
        <f t="shared" si="59"/>
        <v>16</v>
      </c>
      <c r="F3403" s="134" t="s">
        <v>3612</v>
      </c>
      <c r="G3403" s="63" t="str">
        <f>VLOOKUP(C3403, 'Class Def. - General Data'!$C$20:$C$1000,1,false)</f>
        <v>ZPM1_BagCupLid</v>
      </c>
      <c r="H3403" s="63" t="str">
        <f>IFERROR(__xludf.DUMMYFUNCTION("VLOOKUP(F3403, IMPORTRANGE(""https://docs.google.com/spreadsheets/d/1Lhp9OU0JdFf_VYSMzH5lBcEaU4o8teT1piV-SNzShjg/edit?gid=554141278#gid=554141278"", ""'Char Def. - Attributes'!C20:C2242""), 1,false)"),"COUNTRY_EKSPOR")</f>
        <v>COUNTRY_EKSPOR</v>
      </c>
      <c r="I3403" s="136"/>
    </row>
    <row r="3404" ht="15.75" customHeight="1">
      <c r="B3404" s="63">
        <f t="shared" si="1"/>
        <v>14</v>
      </c>
      <c r="C3404" s="146" t="s">
        <v>249</v>
      </c>
      <c r="D3404" s="147" t="s">
        <v>74</v>
      </c>
      <c r="E3404" s="135">
        <f t="shared" si="59"/>
        <v>17</v>
      </c>
      <c r="F3404" s="134" t="s">
        <v>3861</v>
      </c>
      <c r="G3404" s="63" t="str">
        <f>VLOOKUP(C3404, 'Class Def. - General Data'!$C$20:$C$1000,1,false)</f>
        <v>ZPM1_BagCupLid</v>
      </c>
      <c r="H3404" s="63" t="str">
        <f>IFERROR(__xludf.DUMMYFUNCTION("VLOOKUP(F3404, IMPORTRANGE(""https://docs.google.com/spreadsheets/d/1Lhp9OU0JdFf_VYSMzH5lBcEaU4o8teT1piV-SNzShjg/edit?gid=554141278#gid=554141278"", ""'Char Def. - Attributes'!C20:C2242""), 1,false)"),"PEMBATAS")</f>
        <v>PEMBATAS</v>
      </c>
      <c r="I3404" s="136"/>
    </row>
    <row r="3405" ht="15.75" customHeight="1">
      <c r="B3405" s="63">
        <f t="shared" si="1"/>
        <v>14</v>
      </c>
      <c r="C3405" s="146" t="s">
        <v>249</v>
      </c>
      <c r="D3405" s="147" t="s">
        <v>74</v>
      </c>
      <c r="E3405" s="135">
        <f t="shared" si="59"/>
        <v>18</v>
      </c>
      <c r="F3405" s="134" t="s">
        <v>3888</v>
      </c>
      <c r="G3405" s="63" t="str">
        <f>VLOOKUP(C3405, 'Class Def. - General Data'!$C$20:$C$1000,1,false)</f>
        <v>ZPM1_BagCupLid</v>
      </c>
      <c r="H3405" s="63" t="str">
        <f>IFERROR(__xludf.DUMMYFUNCTION("VLOOKUP(F3405, IMPORTRANGE(""https://docs.google.com/spreadsheets/d/1Lhp9OU0JdFf_VYSMzH5lBcEaU4o8teT1piV-SNzShjg/edit?gid=554141278#gid=554141278"", ""'Char Def. - Attributes'!C20:C2242""), 1,false)"),"PACK_CODE_OPT")</f>
        <v>PACK_CODE_OPT</v>
      </c>
      <c r="I3405" s="136"/>
    </row>
    <row r="3406" ht="15.75" customHeight="1">
      <c r="B3406" s="63">
        <f t="shared" si="1"/>
        <v>14</v>
      </c>
      <c r="C3406" s="146" t="s">
        <v>249</v>
      </c>
      <c r="D3406" s="147" t="s">
        <v>74</v>
      </c>
      <c r="E3406" s="135">
        <f t="shared" si="59"/>
        <v>19</v>
      </c>
      <c r="F3406" s="134" t="s">
        <v>3889</v>
      </c>
      <c r="G3406" s="63" t="str">
        <f>VLOOKUP(C3406, 'Class Def. - General Data'!$C$20:$C$1000,1,false)</f>
        <v>ZPM1_BagCupLid</v>
      </c>
      <c r="H3406" s="63" t="str">
        <f>IFERROR(__xludf.DUMMYFUNCTION("VLOOKUP(F3406, IMPORTRANGE(""https://docs.google.com/spreadsheets/d/1Lhp9OU0JdFf_VYSMzH5lBcEaU4o8teT1piV-SNzShjg/edit?gid=554141278#gid=554141278"", ""'Char Def. - Attributes'!C20:C2242""), 1,false)"),"PACK_CONTENT_AMOUNT_4")</f>
        <v>PACK_CONTENT_AMOUNT_4</v>
      </c>
      <c r="I3406" s="136"/>
    </row>
    <row r="3407" ht="15.75" customHeight="1">
      <c r="B3407" s="63">
        <f t="shared" si="1"/>
        <v>14</v>
      </c>
      <c r="C3407" s="146" t="s">
        <v>249</v>
      </c>
      <c r="D3407" s="147" t="s">
        <v>74</v>
      </c>
      <c r="E3407" s="135">
        <f t="shared" si="59"/>
        <v>20</v>
      </c>
      <c r="F3407" s="143" t="s">
        <v>3862</v>
      </c>
      <c r="G3407" s="63" t="str">
        <f>VLOOKUP(C3407, 'Class Def. - General Data'!$C$20:$C$1000,1,false)</f>
        <v>ZPM1_BagCupLid</v>
      </c>
      <c r="H3407" s="63" t="str">
        <f>IFERROR(__xludf.DUMMYFUNCTION("VLOOKUP(F3407, IMPORTRANGE(""https://docs.google.com/spreadsheets/d/1Lhp9OU0JdFf_VYSMzH5lBcEaU4o8teT1piV-SNzShjg/edit?gid=554141278#gid=554141278"", ""'Char Def. - Attributes'!C20:C2242""), 1,false)"),"MONTH")</f>
        <v>MONTH</v>
      </c>
      <c r="I3407" s="136"/>
    </row>
    <row r="3408" ht="15.75" customHeight="1">
      <c r="B3408" s="63">
        <f t="shared" si="1"/>
        <v>14</v>
      </c>
      <c r="C3408" s="146" t="s">
        <v>249</v>
      </c>
      <c r="D3408" s="147" t="s">
        <v>74</v>
      </c>
      <c r="E3408" s="135">
        <f t="shared" si="59"/>
        <v>21</v>
      </c>
      <c r="F3408" s="143" t="s">
        <v>3863</v>
      </c>
      <c r="G3408" s="63" t="str">
        <f>VLOOKUP(C3408, 'Class Def. - General Data'!$C$20:$C$1000,1,false)</f>
        <v>ZPM1_BagCupLid</v>
      </c>
      <c r="H3408" s="63" t="str">
        <f>IFERROR(__xludf.DUMMYFUNCTION("VLOOKUP(F3408, IMPORTRANGE(""https://docs.google.com/spreadsheets/d/1Lhp9OU0JdFf_VYSMzH5lBcEaU4o8teT1piV-SNzShjg/edit?gid=554141278#gid=554141278"", ""'Char Def. - Attributes'!C20:C2242""), 1,false)"),"YEAR")</f>
        <v>YEAR</v>
      </c>
      <c r="I3408" s="136"/>
    </row>
    <row r="3409" ht="15.75" customHeight="1">
      <c r="B3409" s="63">
        <f t="shared" si="1"/>
        <v>14</v>
      </c>
      <c r="C3409" s="146" t="s">
        <v>249</v>
      </c>
      <c r="D3409" s="147" t="s">
        <v>74</v>
      </c>
      <c r="E3409" s="135">
        <f t="shared" si="59"/>
        <v>22</v>
      </c>
      <c r="F3409" s="143" t="s">
        <v>3890</v>
      </c>
      <c r="G3409" s="63" t="str">
        <f>VLOOKUP(C3409, 'Class Def. - General Data'!$C$20:$C$1000,1,false)</f>
        <v>ZPM1_BagCupLid</v>
      </c>
      <c r="H3409" s="63" t="str">
        <f>IFERROR(__xludf.DUMMYFUNCTION("VLOOKUP(F3409, IMPORTRANGE(""https://docs.google.com/spreadsheets/d/1Lhp9OU0JdFf_VYSMzH5lBcEaU4o8teT1piV-SNzShjg/edit?gid=554141278#gid=554141278"", ""'Char Def. - Attributes'!C20:C2242""), 1,false)"),"EXT_MAT_GRP")</f>
        <v>EXT_MAT_GRP</v>
      </c>
      <c r="I3409" s="136"/>
    </row>
    <row r="3410" ht="15.75" customHeight="1">
      <c r="B3410" s="63">
        <f t="shared" si="1"/>
        <v>14</v>
      </c>
      <c r="C3410" s="146" t="s">
        <v>249</v>
      </c>
      <c r="D3410" s="147" t="s">
        <v>74</v>
      </c>
      <c r="E3410" s="135">
        <f t="shared" si="59"/>
        <v>23</v>
      </c>
      <c r="F3410" s="143" t="s">
        <v>3891</v>
      </c>
      <c r="G3410" s="63" t="str">
        <f>VLOOKUP(C3410, 'Class Def. - General Data'!$C$20:$C$1000,1,false)</f>
        <v>ZPM1_BagCupLid</v>
      </c>
      <c r="H3410" s="63" t="str">
        <f>IFERROR(__xludf.DUMMYFUNCTION("VLOOKUP(F3410, IMPORTRANGE(""https://docs.google.com/spreadsheets/d/1Lhp9OU0JdFf_VYSMzH5lBcEaU4o8teT1piV-SNzShjg/edit?gid=554141278#gid=554141278"", ""'Char Def. - Attributes'!C20:C2242""), 1,false)"),"GENERAL_SPEC")</f>
        <v>GENERAL_SPEC</v>
      </c>
      <c r="I3410" s="136"/>
    </row>
    <row r="3411" ht="15.75" customHeight="1">
      <c r="B3411" s="63">
        <f t="shared" si="1"/>
        <v>14</v>
      </c>
      <c r="C3411" s="146" t="s">
        <v>249</v>
      </c>
      <c r="D3411" s="147" t="s">
        <v>74</v>
      </c>
      <c r="E3411" s="135">
        <f t="shared" si="59"/>
        <v>24</v>
      </c>
      <c r="F3411" s="143" t="s">
        <v>3892</v>
      </c>
      <c r="G3411" s="63" t="str">
        <f>VLOOKUP(C3411, 'Class Def. - General Data'!$C$20:$C$1000,1,false)</f>
        <v>ZPM1_BagCupLid</v>
      </c>
      <c r="H3411" s="63" t="str">
        <f>IFERROR(__xludf.DUMMYFUNCTION("VLOOKUP(F3411, IMPORTRANGE(""https://docs.google.com/spreadsheets/d/1Lhp9OU0JdFf_VYSMzH5lBcEaU4o8teT1piV-SNzShjg/edit?gid=554141278#gid=554141278"", ""'Char Def. - Attributes'!C20:C2242""), 1,false)"),"COLOR_COUNT")</f>
        <v>COLOR_COUNT</v>
      </c>
      <c r="I3411" s="136"/>
    </row>
    <row r="3412" ht="15.75" customHeight="1">
      <c r="B3412" s="63">
        <f t="shared" si="1"/>
        <v>14</v>
      </c>
      <c r="C3412" s="146" t="s">
        <v>249</v>
      </c>
      <c r="D3412" s="147" t="s">
        <v>74</v>
      </c>
      <c r="E3412" s="135">
        <f t="shared" si="59"/>
        <v>25</v>
      </c>
      <c r="F3412" s="143" t="s">
        <v>3893</v>
      </c>
      <c r="G3412" s="63" t="str">
        <f>VLOOKUP(C3412, 'Class Def. - General Data'!$C$20:$C$1000,1,false)</f>
        <v>ZPM1_BagCupLid</v>
      </c>
      <c r="H3412" s="63" t="str">
        <f>IFERROR(__xludf.DUMMYFUNCTION("VLOOKUP(F3412, IMPORTRANGE(""https://docs.google.com/spreadsheets/d/1Lhp9OU0JdFf_VYSMzH5lBcEaU4o8teT1piV-SNzShjg/edit?gid=554141278#gid=554141278"", ""'Char Def. - Attributes'!C20:C2242""), 1,false)"),"FLEX_UOM")</f>
        <v>FLEX_UOM</v>
      </c>
      <c r="I3412" s="136"/>
    </row>
    <row r="3413" ht="15.75" customHeight="1">
      <c r="B3413" s="63">
        <f t="shared" si="1"/>
        <v>14</v>
      </c>
      <c r="C3413" s="146" t="s">
        <v>249</v>
      </c>
      <c r="D3413" s="147" t="s">
        <v>74</v>
      </c>
      <c r="E3413" s="135">
        <f t="shared" si="59"/>
        <v>26</v>
      </c>
      <c r="F3413" s="143" t="s">
        <v>3894</v>
      </c>
      <c r="G3413" s="63" t="str">
        <f>VLOOKUP(C3413, 'Class Def. - General Data'!$C$20:$C$1000,1,false)</f>
        <v>ZPM1_BagCupLid</v>
      </c>
      <c r="H3413" s="63" t="str">
        <f>IFERROR(__xludf.DUMMYFUNCTION("VLOOKUP(F3413, IMPORTRANGE(""https://docs.google.com/spreadsheets/d/1Lhp9OU0JdFf_VYSMzH5lBcEaU4o8teT1piV-SNzShjg/edit?gid=554141278#gid=554141278"", ""'Char Def. - Attributes'!C20:C2242""), 1,false)"),"FLEX_COMPLEXITY")</f>
        <v>FLEX_COMPLEXITY</v>
      </c>
      <c r="I3413" s="136"/>
    </row>
    <row r="3414" ht="15.75" customHeight="1">
      <c r="B3414" s="63">
        <f t="shared" si="1"/>
        <v>14</v>
      </c>
      <c r="C3414" s="146" t="s">
        <v>249</v>
      </c>
      <c r="D3414" s="147" t="s">
        <v>74</v>
      </c>
      <c r="E3414" s="135">
        <f t="shared" si="59"/>
        <v>27</v>
      </c>
      <c r="F3414" s="143" t="s">
        <v>3587</v>
      </c>
      <c r="G3414" s="63" t="str">
        <f>VLOOKUP(C3414, 'Class Def. - General Data'!$C$20:$C$1000,1,false)</f>
        <v>ZPM1_BagCupLid</v>
      </c>
      <c r="H3414" s="63" t="str">
        <f>IFERROR(__xludf.DUMMYFUNCTION("VLOOKUP(F3414, IMPORTRANGE(""https://docs.google.com/spreadsheets/d/1Lhp9OU0JdFf_VYSMzH5lBcEaU4o8teT1piV-SNzShjg/edit?gid=554141278#gid=554141278"", ""'Char Def. - Attributes'!C20:C2242""), 1,false)"),"PLANT_BUY")</f>
        <v>PLANT_BUY</v>
      </c>
      <c r="I3414" s="136"/>
    </row>
    <row r="3415" ht="15.75" customHeight="1">
      <c r="B3415" s="63">
        <f t="shared" si="1"/>
        <v>14</v>
      </c>
      <c r="C3415" s="146" t="s">
        <v>249</v>
      </c>
      <c r="D3415" s="147" t="s">
        <v>74</v>
      </c>
      <c r="E3415" s="135">
        <f t="shared" si="59"/>
        <v>28</v>
      </c>
      <c r="F3415" s="143" t="s">
        <v>3865</v>
      </c>
      <c r="G3415" s="63" t="str">
        <f>VLOOKUP(C3415, 'Class Def. - General Data'!$C$20:$C$1000,1,false)</f>
        <v>ZPM1_BagCupLid</v>
      </c>
      <c r="H3415" s="63" t="str">
        <f>IFERROR(__xludf.DUMMYFUNCTION("VLOOKUP(F3415, IMPORTRANGE(""https://docs.google.com/spreadsheets/d/1Lhp9OU0JdFf_VYSMzH5lBcEaU4o8teT1piV-SNzShjg/edit?gid=554141278#gid=554141278"", ""'Char Def. - Attributes'!C20:C2242""), 1,false)"),"PLANT_PROD_OPT")</f>
        <v>PLANT_PROD_OPT</v>
      </c>
      <c r="I3415" s="136"/>
    </row>
    <row r="3416" ht="15.75" customHeight="1">
      <c r="B3416" s="63">
        <f t="shared" si="1"/>
        <v>14</v>
      </c>
      <c r="C3416" s="146" t="s">
        <v>249</v>
      </c>
      <c r="D3416" s="147" t="s">
        <v>74</v>
      </c>
      <c r="E3416" s="135">
        <f t="shared" si="59"/>
        <v>29</v>
      </c>
      <c r="F3416" s="143" t="s">
        <v>3866</v>
      </c>
      <c r="G3416" s="63" t="str">
        <f>VLOOKUP(C3416, 'Class Def. - General Data'!$C$20:$C$1000,1,false)</f>
        <v>ZPM1_BagCupLid</v>
      </c>
      <c r="H3416" s="63" t="str">
        <f>IFERROR(__xludf.DUMMYFUNCTION("VLOOKUP(F3416, IMPORTRANGE(""https://docs.google.com/spreadsheets/d/1Lhp9OU0JdFf_VYSMzH5lBcEaU4o8teT1piV-SNzShjg/edit?gid=554141278#gid=554141278"", ""'Char Def. - Attributes'!C20:C2242""), 1,false)"),"PM_SUPPLY_JKT")</f>
        <v>PM_SUPPLY_JKT</v>
      </c>
      <c r="I3416" s="136"/>
    </row>
    <row r="3417" ht="15.75" customHeight="1">
      <c r="B3417" s="63">
        <f t="shared" si="1"/>
        <v>14</v>
      </c>
      <c r="C3417" s="146" t="s">
        <v>249</v>
      </c>
      <c r="D3417" s="147" t="s">
        <v>74</v>
      </c>
      <c r="E3417" s="135">
        <f t="shared" si="59"/>
        <v>30</v>
      </c>
      <c r="F3417" s="143" t="s">
        <v>3867</v>
      </c>
      <c r="G3417" s="63" t="str">
        <f>VLOOKUP(C3417, 'Class Def. - General Data'!$C$20:$C$1000,1,false)</f>
        <v>ZPM1_BagCupLid</v>
      </c>
      <c r="H3417" s="63" t="str">
        <f>IFERROR(__xludf.DUMMYFUNCTION("VLOOKUP(F3417, IMPORTRANGE(""https://docs.google.com/spreadsheets/d/1Lhp9OU0JdFf_VYSMzH5lBcEaU4o8teT1piV-SNzShjg/edit?gid=554141278#gid=554141278"", ""'Char Def. - Attributes'!C20:C2242""), 1,false)"),"PM_SUPPLY_SBY")</f>
        <v>PM_SUPPLY_SBY</v>
      </c>
      <c r="I3417" s="136"/>
    </row>
    <row r="3418" ht="15.75" customHeight="1">
      <c r="B3418" s="63">
        <f t="shared" si="1"/>
        <v>14</v>
      </c>
      <c r="C3418" s="146" t="s">
        <v>249</v>
      </c>
      <c r="D3418" s="147" t="s">
        <v>74</v>
      </c>
      <c r="E3418" s="135">
        <f t="shared" si="59"/>
        <v>31</v>
      </c>
      <c r="F3418" s="143" t="s">
        <v>3868</v>
      </c>
      <c r="G3418" s="63" t="str">
        <f>VLOOKUP(C3418, 'Class Def. - General Data'!$C$20:$C$1000,1,false)</f>
        <v>ZPM1_BagCupLid</v>
      </c>
      <c r="H3418" s="63" t="str">
        <f>IFERROR(__xludf.DUMMYFUNCTION("VLOOKUP(F3418, IMPORTRANGE(""https://docs.google.com/spreadsheets/d/1Lhp9OU0JdFf_VYSMzH5lBcEaU4o8teT1piV-SNzShjg/edit?gid=554141278#gid=554141278"", ""'Char Def. - Attributes'!C20:C2242""), 1,false)"),"BASIC_UOM_RMPM")</f>
        <v>BASIC_UOM_RMPM</v>
      </c>
      <c r="I3418" s="136"/>
    </row>
    <row r="3419" ht="15.75" customHeight="1">
      <c r="B3419" s="63">
        <f t="shared" si="1"/>
        <v>14</v>
      </c>
      <c r="C3419" s="146" t="s">
        <v>249</v>
      </c>
      <c r="D3419" s="147" t="s">
        <v>74</v>
      </c>
      <c r="E3419" s="135">
        <f t="shared" si="59"/>
        <v>32</v>
      </c>
      <c r="F3419" s="143" t="s">
        <v>3869</v>
      </c>
      <c r="G3419" s="63" t="str">
        <f>VLOOKUP(C3419, 'Class Def. - General Data'!$C$20:$C$1000,1,false)</f>
        <v>ZPM1_BagCupLid</v>
      </c>
      <c r="H3419" s="63" t="str">
        <f>IFERROR(__xludf.DUMMYFUNCTION("VLOOKUP(F3419, IMPORTRANGE(""https://docs.google.com/spreadsheets/d/1Lhp9OU0JdFf_VYSMzH5lBcEaU4o8teT1piV-SNzShjg/edit?gid=554141278#gid=554141278"", ""'Char Def. - Attributes'!C20:C2242""), 1,false)"),"ALT_UOM1_RMPM")</f>
        <v>ALT_UOM1_RMPM</v>
      </c>
      <c r="I3419" s="136"/>
    </row>
    <row r="3420" ht="15.75" customHeight="1">
      <c r="B3420" s="63">
        <f t="shared" si="1"/>
        <v>14</v>
      </c>
      <c r="C3420" s="146" t="s">
        <v>249</v>
      </c>
      <c r="D3420" s="147" t="s">
        <v>74</v>
      </c>
      <c r="E3420" s="135">
        <f t="shared" si="59"/>
        <v>33</v>
      </c>
      <c r="F3420" s="143" t="s">
        <v>3805</v>
      </c>
      <c r="G3420" s="63" t="str">
        <f>VLOOKUP(C3420, 'Class Def. - General Data'!$C$20:$C$1000,1,false)</f>
        <v>ZPM1_BagCupLid</v>
      </c>
      <c r="H3420" s="63" t="str">
        <f>IFERROR(__xludf.DUMMYFUNCTION("VLOOKUP(F3420, IMPORTRANGE(""https://docs.google.com/spreadsheets/d/1Lhp9OU0JdFf_VYSMzH5lBcEaU4o8teT1piV-SNzShjg/edit?gid=554141278#gid=554141278"", ""'Char Def. - Attributes'!C20:C2242""), 1,false)"),"ALT_DENUM_UOM1")</f>
        <v>ALT_DENUM_UOM1</v>
      </c>
      <c r="I3420" s="136"/>
    </row>
    <row r="3421" ht="15.75" customHeight="1">
      <c r="B3421" s="63">
        <f t="shared" si="1"/>
        <v>14</v>
      </c>
      <c r="C3421" s="146" t="s">
        <v>249</v>
      </c>
      <c r="D3421" s="147" t="s">
        <v>74</v>
      </c>
      <c r="E3421" s="135">
        <f t="shared" si="59"/>
        <v>34</v>
      </c>
      <c r="F3421" s="143" t="s">
        <v>3806</v>
      </c>
      <c r="G3421" s="63" t="str">
        <f>VLOOKUP(C3421, 'Class Def. - General Data'!$C$20:$C$1000,1,false)</f>
        <v>ZPM1_BagCupLid</v>
      </c>
      <c r="H3421" s="63" t="str">
        <f>IFERROR(__xludf.DUMMYFUNCTION("VLOOKUP(F3421, IMPORTRANGE(""https://docs.google.com/spreadsheets/d/1Lhp9OU0JdFf_VYSMzH5lBcEaU4o8teT1piV-SNzShjg/edit?gid=554141278#gid=554141278"", ""'Char Def. - Attributes'!C20:C2242""), 1,false)"),"ALT_NUM_UOM1")</f>
        <v>ALT_NUM_UOM1</v>
      </c>
      <c r="I3421" s="136"/>
    </row>
    <row r="3422" ht="15.75" customHeight="1">
      <c r="B3422" s="63">
        <f t="shared" si="1"/>
        <v>14</v>
      </c>
      <c r="C3422" s="146" t="s">
        <v>249</v>
      </c>
      <c r="D3422" s="147" t="s">
        <v>74</v>
      </c>
      <c r="E3422" s="135">
        <f t="shared" si="59"/>
        <v>35</v>
      </c>
      <c r="F3422" s="143" t="s">
        <v>3870</v>
      </c>
      <c r="G3422" s="63" t="str">
        <f>VLOOKUP(C3422, 'Class Def. - General Data'!$C$20:$C$1000,1,false)</f>
        <v>ZPM1_BagCupLid</v>
      </c>
      <c r="H3422" s="63" t="str">
        <f>IFERROR(__xludf.DUMMYFUNCTION("VLOOKUP(F3422, IMPORTRANGE(""https://docs.google.com/spreadsheets/d/1Lhp9OU0JdFf_VYSMzH5lBcEaU4o8teT1piV-SNzShjg/edit?gid=554141278#gid=554141278"", ""'Char Def. - Attributes'!C20:C2242""), 1,false)"),"ALT_UOM2_RMPM")</f>
        <v>ALT_UOM2_RMPM</v>
      </c>
      <c r="I3422" s="136"/>
    </row>
    <row r="3423" ht="15.75" customHeight="1">
      <c r="B3423" s="63">
        <f t="shared" si="1"/>
        <v>14</v>
      </c>
      <c r="C3423" s="146" t="s">
        <v>249</v>
      </c>
      <c r="D3423" s="147" t="s">
        <v>74</v>
      </c>
      <c r="E3423" s="135">
        <f t="shared" si="59"/>
        <v>36</v>
      </c>
      <c r="F3423" s="143" t="s">
        <v>3808</v>
      </c>
      <c r="G3423" s="63" t="str">
        <f>VLOOKUP(C3423, 'Class Def. - General Data'!$C$20:$C$1000,1,false)</f>
        <v>ZPM1_BagCupLid</v>
      </c>
      <c r="H3423" s="63" t="str">
        <f>IFERROR(__xludf.DUMMYFUNCTION("VLOOKUP(F3423, IMPORTRANGE(""https://docs.google.com/spreadsheets/d/1Lhp9OU0JdFf_VYSMzH5lBcEaU4o8teT1piV-SNzShjg/edit?gid=554141278#gid=554141278"", ""'Char Def. - Attributes'!C20:C2242""), 1,false)"),"ALT_DENUM_UOM2")</f>
        <v>ALT_DENUM_UOM2</v>
      </c>
      <c r="I3423" s="136"/>
    </row>
    <row r="3424" ht="15.75" customHeight="1">
      <c r="B3424" s="63">
        <f t="shared" si="1"/>
        <v>14</v>
      </c>
      <c r="C3424" s="146" t="s">
        <v>249</v>
      </c>
      <c r="D3424" s="147" t="s">
        <v>74</v>
      </c>
      <c r="E3424" s="135">
        <f t="shared" si="59"/>
        <v>37</v>
      </c>
      <c r="F3424" s="143" t="s">
        <v>3809</v>
      </c>
      <c r="G3424" s="63" t="str">
        <f>VLOOKUP(C3424, 'Class Def. - General Data'!$C$20:$C$1000,1,false)</f>
        <v>ZPM1_BagCupLid</v>
      </c>
      <c r="H3424" s="63" t="str">
        <f>IFERROR(__xludf.DUMMYFUNCTION("VLOOKUP(F3424, IMPORTRANGE(""https://docs.google.com/spreadsheets/d/1Lhp9OU0JdFf_VYSMzH5lBcEaU4o8teT1piV-SNzShjg/edit?gid=554141278#gid=554141278"", ""'Char Def. - Attributes'!C20:C2242""), 1,false)"),"ALT_NUM_UOM2")</f>
        <v>ALT_NUM_UOM2</v>
      </c>
      <c r="I3424" s="136"/>
    </row>
    <row r="3425" ht="15.75" customHeight="1">
      <c r="B3425" s="63">
        <f t="shared" si="1"/>
        <v>14</v>
      </c>
      <c r="C3425" s="146" t="s">
        <v>249</v>
      </c>
      <c r="D3425" s="147" t="s">
        <v>74</v>
      </c>
      <c r="E3425" s="135">
        <f t="shared" si="59"/>
        <v>38</v>
      </c>
      <c r="F3425" s="143" t="s">
        <v>3871</v>
      </c>
      <c r="G3425" s="63" t="str">
        <f>VLOOKUP(C3425, 'Class Def. - General Data'!$C$20:$C$1000,1,false)</f>
        <v>ZPM1_BagCupLid</v>
      </c>
      <c r="H3425" s="63" t="str">
        <f>IFERROR(__xludf.DUMMYFUNCTION("VLOOKUP(F3425, IMPORTRANGE(""https://docs.google.com/spreadsheets/d/1Lhp9OU0JdFf_VYSMzH5lBcEaU4o8teT1piV-SNzShjg/edit?gid=554141278#gid=554141278"", ""'Char Def. - Attributes'!C20:C2242""), 1,false)"),"ALT_UOM3_RMPM")</f>
        <v>ALT_UOM3_RMPM</v>
      </c>
      <c r="I3425" s="136"/>
    </row>
    <row r="3426" ht="15.75" customHeight="1">
      <c r="B3426" s="63">
        <f t="shared" si="1"/>
        <v>14</v>
      </c>
      <c r="C3426" s="146" t="s">
        <v>249</v>
      </c>
      <c r="D3426" s="147" t="s">
        <v>74</v>
      </c>
      <c r="E3426" s="135">
        <f t="shared" si="59"/>
        <v>39</v>
      </c>
      <c r="F3426" s="143" t="s">
        <v>3811</v>
      </c>
      <c r="G3426" s="63" t="str">
        <f>VLOOKUP(C3426, 'Class Def. - General Data'!$C$20:$C$1000,1,false)</f>
        <v>ZPM1_BagCupLid</v>
      </c>
      <c r="H3426" s="63" t="str">
        <f>IFERROR(__xludf.DUMMYFUNCTION("VLOOKUP(F3426, IMPORTRANGE(""https://docs.google.com/spreadsheets/d/1Lhp9OU0JdFf_VYSMzH5lBcEaU4o8teT1piV-SNzShjg/edit?gid=554141278#gid=554141278"", ""'Char Def. - Attributes'!C20:C2242""), 1,false)"),"ALT_DENUM_UOM3")</f>
        <v>ALT_DENUM_UOM3</v>
      </c>
      <c r="I3426" s="136"/>
    </row>
    <row r="3427" ht="15.75" customHeight="1">
      <c r="B3427" s="63">
        <f t="shared" si="1"/>
        <v>14</v>
      </c>
      <c r="C3427" s="146" t="s">
        <v>249</v>
      </c>
      <c r="D3427" s="147" t="s">
        <v>74</v>
      </c>
      <c r="E3427" s="135">
        <f t="shared" si="59"/>
        <v>40</v>
      </c>
      <c r="F3427" s="143" t="s">
        <v>3812</v>
      </c>
      <c r="G3427" s="63" t="str">
        <f>VLOOKUP(C3427, 'Class Def. - General Data'!$C$20:$C$1000,1,false)</f>
        <v>ZPM1_BagCupLid</v>
      </c>
      <c r="H3427" s="63" t="str">
        <f>IFERROR(__xludf.DUMMYFUNCTION("VLOOKUP(F3427, IMPORTRANGE(""https://docs.google.com/spreadsheets/d/1Lhp9OU0JdFf_VYSMzH5lBcEaU4o8teT1piV-SNzShjg/edit?gid=554141278#gid=554141278"", ""'Char Def. - Attributes'!C20:C2242""), 1,false)"),"ALT_NUM_UOM3")</f>
        <v>ALT_NUM_UOM3</v>
      </c>
      <c r="I3427" s="136"/>
    </row>
    <row r="3428" ht="15.75" customHeight="1">
      <c r="B3428" s="63">
        <f t="shared" si="1"/>
        <v>14</v>
      </c>
      <c r="C3428" s="146" t="s">
        <v>249</v>
      </c>
      <c r="D3428" s="147" t="s">
        <v>74</v>
      </c>
      <c r="E3428" s="135">
        <f t="shared" si="59"/>
        <v>41</v>
      </c>
      <c r="F3428" s="143" t="s">
        <v>3872</v>
      </c>
      <c r="G3428" s="63" t="str">
        <f>VLOOKUP(C3428, 'Class Def. - General Data'!$C$20:$C$1000,1,false)</f>
        <v>ZPM1_BagCupLid</v>
      </c>
      <c r="H3428" s="63" t="str">
        <f>IFERROR(__xludf.DUMMYFUNCTION("VLOOKUP(F3428, IMPORTRANGE(""https://docs.google.com/spreadsheets/d/1Lhp9OU0JdFf_VYSMzH5lBcEaU4o8teT1piV-SNzShjg/edit?gid=554141278#gid=554141278"", ""'Char Def. - Attributes'!C20:C2242""), 1,false)"),"ALT_UOM4_RMPM")</f>
        <v>ALT_UOM4_RMPM</v>
      </c>
      <c r="I3428" s="136"/>
    </row>
    <row r="3429" ht="15.75" customHeight="1">
      <c r="B3429" s="63">
        <f t="shared" si="1"/>
        <v>14</v>
      </c>
      <c r="C3429" s="146" t="s">
        <v>249</v>
      </c>
      <c r="D3429" s="147" t="s">
        <v>74</v>
      </c>
      <c r="E3429" s="135">
        <f t="shared" si="59"/>
        <v>42</v>
      </c>
      <c r="F3429" s="143" t="s">
        <v>3814</v>
      </c>
      <c r="G3429" s="63" t="str">
        <f>VLOOKUP(C3429, 'Class Def. - General Data'!$C$20:$C$1000,1,false)</f>
        <v>ZPM1_BagCupLid</v>
      </c>
      <c r="H3429" s="63" t="str">
        <f>IFERROR(__xludf.DUMMYFUNCTION("VLOOKUP(F3429, IMPORTRANGE(""https://docs.google.com/spreadsheets/d/1Lhp9OU0JdFf_VYSMzH5lBcEaU4o8teT1piV-SNzShjg/edit?gid=554141278#gid=554141278"", ""'Char Def. - Attributes'!C20:C2242""), 1,false)"),"ALT_DENUM_UOM4")</f>
        <v>ALT_DENUM_UOM4</v>
      </c>
      <c r="I3429" s="136"/>
    </row>
    <row r="3430" ht="15.75" customHeight="1">
      <c r="B3430" s="63">
        <f t="shared" si="1"/>
        <v>14</v>
      </c>
      <c r="C3430" s="146" t="s">
        <v>249</v>
      </c>
      <c r="D3430" s="147" t="s">
        <v>74</v>
      </c>
      <c r="E3430" s="135">
        <f t="shared" si="59"/>
        <v>43</v>
      </c>
      <c r="F3430" s="143" t="s">
        <v>3815</v>
      </c>
      <c r="G3430" s="63" t="str">
        <f>VLOOKUP(C3430, 'Class Def. - General Data'!$C$20:$C$1000,1,false)</f>
        <v>ZPM1_BagCupLid</v>
      </c>
      <c r="H3430" s="63" t="str">
        <f>IFERROR(__xludf.DUMMYFUNCTION("VLOOKUP(F3430, IMPORTRANGE(""https://docs.google.com/spreadsheets/d/1Lhp9OU0JdFf_VYSMzH5lBcEaU4o8teT1piV-SNzShjg/edit?gid=554141278#gid=554141278"", ""'Char Def. - Attributes'!C20:C2242""), 1,false)"),"ALT_NUM_UOM4")</f>
        <v>ALT_NUM_UOM4</v>
      </c>
      <c r="I3430" s="136"/>
    </row>
    <row r="3431" ht="15.75" customHeight="1">
      <c r="B3431" s="63">
        <f t="shared" si="1"/>
        <v>14</v>
      </c>
      <c r="C3431" s="146" t="s">
        <v>249</v>
      </c>
      <c r="D3431" s="147" t="s">
        <v>74</v>
      </c>
      <c r="E3431" s="135">
        <f t="shared" si="59"/>
        <v>44</v>
      </c>
      <c r="F3431" s="143" t="s">
        <v>3873</v>
      </c>
      <c r="G3431" s="63" t="str">
        <f>VLOOKUP(C3431, 'Class Def. - General Data'!$C$20:$C$1000,1,false)</f>
        <v>ZPM1_BagCupLid</v>
      </c>
      <c r="H3431" s="63" t="str">
        <f>IFERROR(__xludf.DUMMYFUNCTION("VLOOKUP(F3431, IMPORTRANGE(""https://docs.google.com/spreadsheets/d/1Lhp9OU0JdFf_VYSMzH5lBcEaU4o8teT1piV-SNzShjg/edit?gid=554141278#gid=554141278"", ""'Char Def. - Attributes'!C20:C2242""), 1,false)"),"ALT_UOM5_RMPM")</f>
        <v>ALT_UOM5_RMPM</v>
      </c>
      <c r="I3431" s="136"/>
    </row>
    <row r="3432" ht="15.75" customHeight="1">
      <c r="B3432" s="63">
        <f t="shared" si="1"/>
        <v>14</v>
      </c>
      <c r="C3432" s="146" t="s">
        <v>249</v>
      </c>
      <c r="D3432" s="147" t="s">
        <v>74</v>
      </c>
      <c r="E3432" s="135">
        <f t="shared" si="59"/>
        <v>45</v>
      </c>
      <c r="F3432" s="143" t="s">
        <v>3817</v>
      </c>
      <c r="G3432" s="63" t="str">
        <f>VLOOKUP(C3432, 'Class Def. - General Data'!$C$20:$C$1000,1,false)</f>
        <v>ZPM1_BagCupLid</v>
      </c>
      <c r="H3432" s="63" t="str">
        <f>IFERROR(__xludf.DUMMYFUNCTION("VLOOKUP(F3432, IMPORTRANGE(""https://docs.google.com/spreadsheets/d/1Lhp9OU0JdFf_VYSMzH5lBcEaU4o8teT1piV-SNzShjg/edit?gid=554141278#gid=554141278"", ""'Char Def. - Attributes'!C20:C2242""), 1,false)"),"ALT_DENUM_UOM5")</f>
        <v>ALT_DENUM_UOM5</v>
      </c>
      <c r="I3432" s="136"/>
    </row>
    <row r="3433" ht="15.75" customHeight="1">
      <c r="B3433" s="63">
        <f t="shared" si="1"/>
        <v>14</v>
      </c>
      <c r="C3433" s="146" t="s">
        <v>249</v>
      </c>
      <c r="D3433" s="147" t="s">
        <v>74</v>
      </c>
      <c r="E3433" s="135">
        <f t="shared" si="59"/>
        <v>46</v>
      </c>
      <c r="F3433" s="143" t="s">
        <v>3818</v>
      </c>
      <c r="G3433" s="63" t="str">
        <f>VLOOKUP(C3433, 'Class Def. - General Data'!$C$20:$C$1000,1,false)</f>
        <v>ZPM1_BagCupLid</v>
      </c>
      <c r="H3433" s="63" t="str">
        <f>IFERROR(__xludf.DUMMYFUNCTION("VLOOKUP(F3433, IMPORTRANGE(""https://docs.google.com/spreadsheets/d/1Lhp9OU0JdFf_VYSMzH5lBcEaU4o8teT1piV-SNzShjg/edit?gid=554141278#gid=554141278"", ""'Char Def. - Attributes'!C20:C2242""), 1,false)"),"ALT_NUM_UOM5")</f>
        <v>ALT_NUM_UOM5</v>
      </c>
      <c r="I3433" s="136"/>
    </row>
    <row r="3434" ht="15.75" customHeight="1">
      <c r="B3434" s="63">
        <f t="shared" si="1"/>
        <v>14</v>
      </c>
      <c r="C3434" s="146" t="s">
        <v>249</v>
      </c>
      <c r="D3434" s="147" t="s">
        <v>74</v>
      </c>
      <c r="E3434" s="135">
        <f t="shared" si="59"/>
        <v>47</v>
      </c>
      <c r="F3434" s="143" t="s">
        <v>3874</v>
      </c>
      <c r="G3434" s="63" t="str">
        <f>VLOOKUP(C3434, 'Class Def. - General Data'!$C$20:$C$1000,1,false)</f>
        <v>ZPM1_BagCupLid</v>
      </c>
      <c r="H3434" s="63" t="str">
        <f>IFERROR(__xludf.DUMMYFUNCTION("VLOOKUP(F3434, IMPORTRANGE(""https://docs.google.com/spreadsheets/d/1Lhp9OU0JdFf_VYSMzH5lBcEaU4o8teT1piV-SNzShjg/edit?gid=554141278#gid=554141278"", ""'Char Def. - Attributes'!C20:C2242""), 1,false)"),"VALUATION_CATEGORY")</f>
        <v>VALUATION_CATEGORY</v>
      </c>
      <c r="I3434" s="136"/>
    </row>
    <row r="3435" ht="15.75" customHeight="1">
      <c r="B3435" s="63">
        <f t="shared" si="1"/>
        <v>14</v>
      </c>
      <c r="C3435" s="146" t="s">
        <v>249</v>
      </c>
      <c r="D3435" s="147" t="s">
        <v>74</v>
      </c>
      <c r="E3435" s="135">
        <f t="shared" si="59"/>
        <v>48</v>
      </c>
      <c r="F3435" s="143" t="s">
        <v>3800</v>
      </c>
      <c r="G3435" s="63" t="str">
        <f>VLOOKUP(C3435, 'Class Def. - General Data'!$C$20:$C$1000,1,false)</f>
        <v>ZPM1_BagCupLid</v>
      </c>
      <c r="H3435" s="63" t="str">
        <f>IFERROR(__xludf.DUMMYFUNCTION("VLOOKUP(F3435, IMPORTRANGE(""https://docs.google.com/spreadsheets/d/1Lhp9OU0JdFf_VYSMzH5lBcEaU4o8teT1piV-SNzShjg/edit?gid=554141278#gid=554141278"", ""'Char Def. - Attributes'!C20:C2242""), 1,false)"),"ORDER_UNIT_DIFF_FROM_BASIC_UOM")</f>
        <v>ORDER_UNIT_DIFF_FROM_BASIC_UOM</v>
      </c>
      <c r="I3435" s="136"/>
    </row>
    <row r="3436" ht="15.75" customHeight="1">
      <c r="B3436" s="63">
        <f t="shared" si="1"/>
        <v>14</v>
      </c>
      <c r="C3436" s="146" t="s">
        <v>249</v>
      </c>
      <c r="D3436" s="147" t="s">
        <v>74</v>
      </c>
      <c r="E3436" s="135">
        <f t="shared" si="59"/>
        <v>49</v>
      </c>
      <c r="F3436" s="143" t="s">
        <v>3875</v>
      </c>
      <c r="G3436" s="63" t="str">
        <f>VLOOKUP(C3436, 'Class Def. - General Data'!$C$20:$C$1000,1,false)</f>
        <v>ZPM1_BagCupLid</v>
      </c>
      <c r="H3436" s="63" t="str">
        <f>IFERROR(__xludf.DUMMYFUNCTION("VLOOKUP(F3436, IMPORTRANGE(""https://docs.google.com/spreadsheets/d/1Lhp9OU0JdFf_VYSMzH5lBcEaU4o8teT1piV-SNzShjg/edit?gid=554141278#gid=554141278"", ""'Char Def. - Attributes'!C20:C2242""), 1,false)"),"ORDER_UNIT_RMPM")</f>
        <v>ORDER_UNIT_RMPM</v>
      </c>
      <c r="I3436" s="136"/>
    </row>
    <row r="3437" ht="15.75" customHeight="1">
      <c r="B3437" s="63">
        <f t="shared" si="1"/>
        <v>14</v>
      </c>
      <c r="C3437" s="146" t="s">
        <v>249</v>
      </c>
      <c r="D3437" s="147" t="s">
        <v>74</v>
      </c>
      <c r="E3437" s="135">
        <f t="shared" si="59"/>
        <v>50</v>
      </c>
      <c r="F3437" s="143" t="s">
        <v>3602</v>
      </c>
      <c r="G3437" s="63" t="str">
        <f>VLOOKUP(C3437, 'Class Def. - General Data'!$C$20:$C$1000,1,false)</f>
        <v>ZPM1_BagCupLid</v>
      </c>
      <c r="H3437" s="63" t="str">
        <f>IFERROR(__xludf.DUMMYFUNCTION("VLOOKUP(F3437, IMPORTRANGE(""https://docs.google.com/spreadsheets/d/1Lhp9OU0JdFf_VYSMzH5lBcEaU4o8teT1piV-SNzShjg/edit?gid=554141278#gid=554141278"", ""'Char Def. - Attributes'!C20:C2242""), 1,false)"),"NET_WEIGHT")</f>
        <v>NET_WEIGHT</v>
      </c>
      <c r="I3437" s="136"/>
    </row>
    <row r="3438" ht="15.75" customHeight="1">
      <c r="B3438" s="63">
        <f t="shared" si="1"/>
        <v>14</v>
      </c>
      <c r="C3438" s="146" t="s">
        <v>249</v>
      </c>
      <c r="D3438" s="147" t="s">
        <v>74</v>
      </c>
      <c r="E3438" s="135">
        <f t="shared" si="59"/>
        <v>51</v>
      </c>
      <c r="F3438" s="143" t="s">
        <v>3601</v>
      </c>
      <c r="G3438" s="63" t="str">
        <f>VLOOKUP(C3438, 'Class Def. - General Data'!$C$20:$C$1000,1,false)</f>
        <v>ZPM1_BagCupLid</v>
      </c>
      <c r="H3438" s="63" t="str">
        <f>IFERROR(__xludf.DUMMYFUNCTION("VLOOKUP(F3438, IMPORTRANGE(""https://docs.google.com/spreadsheets/d/1Lhp9OU0JdFf_VYSMzH5lBcEaU4o8teT1piV-SNzShjg/edit?gid=554141278#gid=554141278"", ""'Char Def. - Attributes'!C20:C2242""), 1,false)"),"GROSS_WEIGHT")</f>
        <v>GROSS_WEIGHT</v>
      </c>
      <c r="I3438" s="136"/>
    </row>
    <row r="3439" ht="15.75" customHeight="1">
      <c r="B3439" s="63">
        <f t="shared" si="1"/>
        <v>14</v>
      </c>
      <c r="C3439" s="146" t="s">
        <v>249</v>
      </c>
      <c r="D3439" s="147" t="s">
        <v>74</v>
      </c>
      <c r="E3439" s="135">
        <f t="shared" si="59"/>
        <v>52</v>
      </c>
      <c r="F3439" s="143" t="s">
        <v>3876</v>
      </c>
      <c r="G3439" s="63" t="str">
        <f>VLOOKUP(C3439, 'Class Def. - General Data'!$C$20:$C$1000,1,false)</f>
        <v>ZPM1_BagCupLid</v>
      </c>
      <c r="H3439" s="63" t="str">
        <f>IFERROR(__xludf.DUMMYFUNCTION("VLOOKUP(F3439, IMPORTRANGE(""https://docs.google.com/spreadsheets/d/1Lhp9OU0JdFf_VYSMzH5lBcEaU4o8teT1piV-SNzShjg/edit?gid=554141278#gid=554141278"", ""'Char Def. - Attributes'!C20:C2242""), 1,false)"),"WEIGHT_UNIT_PM")</f>
        <v>WEIGHT_UNIT_PM</v>
      </c>
      <c r="I3439" s="136"/>
    </row>
    <row r="3440" ht="15.75" customHeight="1">
      <c r="B3440" s="63">
        <f t="shared" si="1"/>
        <v>14</v>
      </c>
      <c r="C3440" s="146" t="s">
        <v>249</v>
      </c>
      <c r="D3440" s="147" t="s">
        <v>74</v>
      </c>
      <c r="E3440" s="135">
        <f t="shared" si="59"/>
        <v>53</v>
      </c>
      <c r="F3440" s="143" t="s">
        <v>3877</v>
      </c>
      <c r="G3440" s="63" t="str">
        <f>VLOOKUP(C3440, 'Class Def. - General Data'!$C$20:$C$1000,1,false)</f>
        <v>ZPM1_BagCupLid</v>
      </c>
      <c r="H3440" s="63" t="str">
        <f>IFERROR(__xludf.DUMMYFUNCTION("VLOOKUP(F3440, IMPORTRANGE(""https://docs.google.com/spreadsheets/d/1Lhp9OU0JdFf_VYSMzH5lBcEaU4o8teT1piV-SNzShjg/edit?gid=554141278#gid=554141278"", ""'Char Def. - Attributes'!C20:C2242""), 1,false)"),"VOLUME_OPT")</f>
        <v>VOLUME_OPT</v>
      </c>
      <c r="I3440" s="136"/>
    </row>
    <row r="3441" ht="15.75" customHeight="1">
      <c r="B3441" s="63">
        <f t="shared" si="1"/>
        <v>14</v>
      </c>
      <c r="C3441" s="146" t="s">
        <v>249</v>
      </c>
      <c r="D3441" s="147" t="s">
        <v>74</v>
      </c>
      <c r="E3441" s="135">
        <f t="shared" si="59"/>
        <v>54</v>
      </c>
      <c r="F3441" s="143" t="s">
        <v>3878</v>
      </c>
      <c r="G3441" s="63" t="str">
        <f>VLOOKUP(C3441, 'Class Def. - General Data'!$C$20:$C$1000,1,false)</f>
        <v>ZPM1_BagCupLid</v>
      </c>
      <c r="H3441" s="63" t="str">
        <f>IFERROR(__xludf.DUMMYFUNCTION("VLOOKUP(F3441, IMPORTRANGE(""https://docs.google.com/spreadsheets/d/1Lhp9OU0JdFf_VYSMzH5lBcEaU4o8teT1piV-SNzShjg/edit?gid=554141278#gid=554141278"", ""'Char Def. - Attributes'!C20:C2242""), 1,false)"),"VOLUME_UNIT")</f>
        <v>VOLUME_UNIT</v>
      </c>
      <c r="I3441" s="136"/>
    </row>
    <row r="3442" ht="15.75" customHeight="1">
      <c r="B3442" s="63">
        <f t="shared" si="1"/>
        <v>14</v>
      </c>
      <c r="C3442" s="146" t="s">
        <v>249</v>
      </c>
      <c r="D3442" s="147" t="s">
        <v>74</v>
      </c>
      <c r="E3442" s="135">
        <f t="shared" si="59"/>
        <v>55</v>
      </c>
      <c r="F3442" s="143" t="s">
        <v>3879</v>
      </c>
      <c r="G3442" s="63" t="str">
        <f>VLOOKUP(C3442, 'Class Def. - General Data'!$C$20:$C$1000,1,false)</f>
        <v>ZPM1_BagCupLid</v>
      </c>
      <c r="H3442" s="63" t="str">
        <f>IFERROR(__xludf.DUMMYFUNCTION("VLOOKUP(F3442, IMPORTRANGE(""https://docs.google.com/spreadsheets/d/1Lhp9OU0JdFf_VYSMzH5lBcEaU4o8teT1piV-SNzShjg/edit?gid=554141278#gid=554141278"", ""'Char Def. - Attributes'!C20:C2242""), 1,false)"),"OLD_MAT_NO_RMPM")</f>
        <v>OLD_MAT_NO_RMPM</v>
      </c>
      <c r="I3442" s="136"/>
    </row>
    <row r="3443" ht="15.75" customHeight="1">
      <c r="B3443" s="63">
        <f t="shared" si="1"/>
        <v>14</v>
      </c>
      <c r="C3443" s="146" t="s">
        <v>249</v>
      </c>
      <c r="D3443" s="147" t="s">
        <v>74</v>
      </c>
      <c r="E3443" s="135">
        <f t="shared" si="59"/>
        <v>56</v>
      </c>
      <c r="F3443" s="143" t="s">
        <v>3880</v>
      </c>
      <c r="G3443" s="63" t="str">
        <f>VLOOKUP(C3443, 'Class Def. - General Data'!$C$20:$C$1000,1,false)</f>
        <v>ZPM1_BagCupLid</v>
      </c>
      <c r="H3443" s="63" t="str">
        <f>IFERROR(__xludf.DUMMYFUNCTION("VLOOKUP(F3443, IMPORTRANGE(""https://docs.google.com/spreadsheets/d/1Lhp9OU0JdFf_VYSMzH5lBcEaU4o8teT1piV-SNzShjg/edit?gid=554141278#gid=554141278"", ""'Char Def. - Attributes'!C20:C2242""), 1,false)"),"NOTE_PM")</f>
        <v>NOTE_PM</v>
      </c>
      <c r="I3443" s="136"/>
    </row>
    <row r="3444" ht="15.75" customHeight="1">
      <c r="B3444" s="63">
        <f t="shared" si="1"/>
        <v>14</v>
      </c>
      <c r="C3444" s="146" t="s">
        <v>249</v>
      </c>
      <c r="D3444" s="147" t="s">
        <v>74</v>
      </c>
      <c r="E3444" s="135">
        <f t="shared" si="59"/>
        <v>57</v>
      </c>
      <c r="F3444" s="143" t="s">
        <v>3881</v>
      </c>
      <c r="G3444" s="63" t="str">
        <f>VLOOKUP(C3444, 'Class Def. - General Data'!$C$20:$C$1000,1,false)</f>
        <v>ZPM1_BagCupLid</v>
      </c>
      <c r="H3444" s="63" t="str">
        <f>IFERROR(__xludf.DUMMYFUNCTION("VLOOKUP(F3444, IMPORTRANGE(""https://docs.google.com/spreadsheets/d/1Lhp9OU0JdFf_VYSMzH5lBcEaU4o8teT1piV-SNzShjg/edit?gid=554141278#gid=554141278"", ""'Char Def. - Attributes'!C20:C2242""), 1,false)"),"BS_BERSIH")</f>
        <v>BS_BERSIH</v>
      </c>
      <c r="I3444" s="136"/>
    </row>
    <row r="3445" ht="15.75" customHeight="1">
      <c r="B3445" s="63">
        <f t="shared" si="1"/>
        <v>14</v>
      </c>
      <c r="C3445" s="146" t="s">
        <v>249</v>
      </c>
      <c r="D3445" s="147" t="s">
        <v>74</v>
      </c>
      <c r="E3445" s="135">
        <f t="shared" si="59"/>
        <v>58</v>
      </c>
      <c r="F3445" s="143" t="s">
        <v>3882</v>
      </c>
      <c r="G3445" s="63" t="str">
        <f>VLOOKUP(C3445, 'Class Def. - General Data'!$C$20:$C$1000,1,false)</f>
        <v>ZPM1_BagCupLid</v>
      </c>
      <c r="H3445" s="63" t="str">
        <f>IFERROR(__xludf.DUMMYFUNCTION("VLOOKUP(F3445, IMPORTRANGE(""https://docs.google.com/spreadsheets/d/1Lhp9OU0JdFf_VYSMzH5lBcEaU4o8teT1piV-SNzShjg/edit?gid=554141278#gid=554141278"", ""'Char Def. - Attributes'!C20:C2242""), 1,false)"),"BS_KOTOR")</f>
        <v>BS_KOTOR</v>
      </c>
      <c r="I3445" s="136"/>
    </row>
    <row r="3446" ht="15.75" customHeight="1">
      <c r="B3446" s="63">
        <f t="shared" si="1"/>
        <v>14</v>
      </c>
      <c r="C3446" s="146" t="s">
        <v>249</v>
      </c>
      <c r="D3446" s="147" t="s">
        <v>74</v>
      </c>
      <c r="E3446" s="135">
        <f t="shared" si="59"/>
        <v>59</v>
      </c>
      <c r="F3446" s="143" t="s">
        <v>3883</v>
      </c>
      <c r="G3446" s="63" t="str">
        <f>VLOOKUP(C3446, 'Class Def. - General Data'!$C$20:$C$1000,1,false)</f>
        <v>ZPM1_BagCupLid</v>
      </c>
      <c r="H3446" s="63" t="str">
        <f>IFERROR(__xludf.DUMMYFUNCTION("VLOOKUP(F3446, IMPORTRANGE(""https://docs.google.com/spreadsheets/d/1Lhp9OU0JdFf_VYSMzH5lBcEaU4o8teT1piV-SNzShjg/edit?gid=554141278#gid=554141278"", ""'Char Def. - Attributes'!C20:C2242""), 1,false)"),"BS_SCRAP")</f>
        <v>BS_SCRAP</v>
      </c>
      <c r="I3446" s="136"/>
    </row>
    <row r="3447" ht="15.75" customHeight="1">
      <c r="B3447" s="63">
        <f t="shared" si="1"/>
        <v>16</v>
      </c>
      <c r="C3447" s="146" t="s">
        <v>242</v>
      </c>
      <c r="D3447" s="147" t="s">
        <v>74</v>
      </c>
      <c r="E3447" s="135">
        <f t="shared" si="59"/>
        <v>1</v>
      </c>
      <c r="F3447" s="143" t="s">
        <v>3896</v>
      </c>
      <c r="G3447" s="63" t="str">
        <f>VLOOKUP(C3447, 'Class Def. - General Data'!$C$20:$C$1000,1,false)</f>
        <v>ZPM1_Ball_Holder</v>
      </c>
      <c r="H3447" s="63" t="str">
        <f>IFERROR(__xludf.DUMMYFUNCTION("VLOOKUP(F3447, IMPORTRANGE(""https://docs.google.com/spreadsheets/d/1Lhp9OU0JdFf_VYSMzH5lBcEaU4o8teT1piV-SNzShjg/edit?gid=554141278#gid=554141278"", ""'Char Def. - Attributes'!C20:C2242""), 1,false)"),"MATERIAL_CODE_BALL_HOLDER")</f>
        <v>MATERIAL_CODE_BALL_HOLDER</v>
      </c>
      <c r="I3447" s="136"/>
    </row>
    <row r="3448" ht="15.75" customHeight="1">
      <c r="B3448" s="63">
        <f t="shared" si="1"/>
        <v>16</v>
      </c>
      <c r="C3448" s="146" t="s">
        <v>242</v>
      </c>
      <c r="D3448" s="147" t="s">
        <v>74</v>
      </c>
      <c r="E3448" s="135">
        <f t="shared" si="59"/>
        <v>2</v>
      </c>
      <c r="F3448" s="143" t="s">
        <v>3852</v>
      </c>
      <c r="G3448" s="63" t="str">
        <f>VLOOKUP(C3448, 'Class Def. - General Data'!$C$20:$C$1000,1,false)</f>
        <v>ZPM1_Ball_Holder</v>
      </c>
      <c r="H3448" s="63" t="str">
        <f>IFERROR(__xludf.DUMMYFUNCTION("VLOOKUP(F3448, IMPORTRANGE(""https://docs.google.com/spreadsheets/d/1Lhp9OU0JdFf_VYSMzH5lBcEaU4o8teT1piV-SNzShjg/edit?gid=554141278#gid=554141278"", ""'Char Def. - Attributes'!C20:C2242""), 1,false)"),"SINGLE_BRAND")</f>
        <v>SINGLE_BRAND</v>
      </c>
      <c r="I3448" s="136"/>
    </row>
    <row r="3449" ht="15.75" customHeight="1">
      <c r="B3449" s="63">
        <f t="shared" si="1"/>
        <v>16</v>
      </c>
      <c r="C3449" s="146" t="s">
        <v>242</v>
      </c>
      <c r="D3449" s="147" t="s">
        <v>74</v>
      </c>
      <c r="E3449" s="135">
        <f t="shared" si="59"/>
        <v>3</v>
      </c>
      <c r="F3449" s="143" t="s">
        <v>3853</v>
      </c>
      <c r="G3449" s="63" t="str">
        <f>VLOOKUP(C3449, 'Class Def. - General Data'!$C$20:$C$1000,1,false)</f>
        <v>ZPM1_Ball_Holder</v>
      </c>
      <c r="H3449" s="63" t="str">
        <f>IFERROR(__xludf.DUMMYFUNCTION("VLOOKUP(F3449, IMPORTRANGE(""https://docs.google.com/spreadsheets/d/1Lhp9OU0JdFf_VYSMzH5lBcEaU4o8teT1piV-SNzShjg/edit?gid=554141278#gid=554141278"", ""'Char Def. - Attributes'!C20:C2242""), 1,false)"),"BRAND_WINGS")</f>
        <v>BRAND_WINGS</v>
      </c>
      <c r="I3449" s="136"/>
    </row>
    <row r="3450" ht="15.75" customHeight="1">
      <c r="B3450" s="63">
        <f t="shared" si="1"/>
        <v>16</v>
      </c>
      <c r="C3450" s="146" t="s">
        <v>242</v>
      </c>
      <c r="D3450" s="147" t="s">
        <v>74</v>
      </c>
      <c r="E3450" s="135">
        <f t="shared" si="59"/>
        <v>4</v>
      </c>
      <c r="F3450" s="143" t="s">
        <v>3854</v>
      </c>
      <c r="G3450" s="63" t="str">
        <f>VLOOKUP(C3450, 'Class Def. - General Data'!$C$20:$C$1000,1,false)</f>
        <v>ZPM1_Ball_Holder</v>
      </c>
      <c r="H3450" s="63" t="str">
        <f>IFERROR(__xludf.DUMMYFUNCTION("VLOOKUP(F3450, IMPORTRANGE(""https://docs.google.com/spreadsheets/d/1Lhp9OU0JdFf_VYSMzH5lBcEaU4o8teT1piV-SNzShjg/edit?gid=554141278#gid=554141278"", ""'Char Def. - Attributes'!C20:C2242""), 1,false)"),"SINGLE_PACK_SHAPE")</f>
        <v>SINGLE_PACK_SHAPE</v>
      </c>
      <c r="I3450" s="136"/>
    </row>
    <row r="3451" ht="15.75" customHeight="1">
      <c r="B3451" s="63">
        <f t="shared" si="1"/>
        <v>16</v>
      </c>
      <c r="C3451" s="146" t="s">
        <v>242</v>
      </c>
      <c r="D3451" s="147" t="s">
        <v>74</v>
      </c>
      <c r="E3451" s="135">
        <f t="shared" si="59"/>
        <v>5</v>
      </c>
      <c r="F3451" s="143" t="s">
        <v>3855</v>
      </c>
      <c r="G3451" s="63" t="str">
        <f>VLOOKUP(C3451, 'Class Def. - General Data'!$C$20:$C$1000,1,false)</f>
        <v>ZPM1_Ball_Holder</v>
      </c>
      <c r="H3451" s="63" t="str">
        <f>IFERROR(__xludf.DUMMYFUNCTION("VLOOKUP(F3451, IMPORTRANGE(""https://docs.google.com/spreadsheets/d/1Lhp9OU0JdFf_VYSMzH5lBcEaU4o8teT1piV-SNzShjg/edit?gid=554141278#gid=554141278"", ""'Char Def. - Attributes'!C20:C2242""), 1,false)"),"PACK_SHAPE")</f>
        <v>PACK_SHAPE</v>
      </c>
      <c r="I3451" s="136"/>
    </row>
    <row r="3452" ht="15.75" customHeight="1">
      <c r="B3452" s="63">
        <f t="shared" si="1"/>
        <v>16</v>
      </c>
      <c r="C3452" s="146" t="s">
        <v>242</v>
      </c>
      <c r="D3452" s="147" t="s">
        <v>74</v>
      </c>
      <c r="E3452" s="135">
        <f t="shared" si="59"/>
        <v>6</v>
      </c>
      <c r="F3452" s="143" t="s">
        <v>3856</v>
      </c>
      <c r="G3452" s="63" t="str">
        <f>VLOOKUP(C3452, 'Class Def. - General Data'!$C$20:$C$1000,1,false)</f>
        <v>ZPM1_Ball_Holder</v>
      </c>
      <c r="H3452" s="63" t="str">
        <f>IFERROR(__xludf.DUMMYFUNCTION("VLOOKUP(F3452, IMPORTRANGE(""https://docs.google.com/spreadsheets/d/1Lhp9OU0JdFf_VYSMzH5lBcEaU4o8teT1piV-SNzShjg/edit?gid=554141278#gid=554141278"", ""'Char Def. - Attributes'!C20:C2242""), 1,false)"),"SINGLE_PACK_NETTO")</f>
        <v>SINGLE_PACK_NETTO</v>
      </c>
      <c r="I3452" s="136"/>
    </row>
    <row r="3453" ht="15.75" customHeight="1">
      <c r="B3453" s="63">
        <f t="shared" si="1"/>
        <v>16</v>
      </c>
      <c r="C3453" s="146" t="s">
        <v>242</v>
      </c>
      <c r="D3453" s="147" t="s">
        <v>74</v>
      </c>
      <c r="E3453" s="135">
        <f t="shared" si="59"/>
        <v>7</v>
      </c>
      <c r="F3453" s="143" t="s">
        <v>3605</v>
      </c>
      <c r="G3453" s="63" t="str">
        <f>VLOOKUP(C3453, 'Class Def. - General Data'!$C$20:$C$1000,1,false)</f>
        <v>ZPM1_Ball_Holder</v>
      </c>
      <c r="H3453" s="63" t="str">
        <f>IFERROR(__xludf.DUMMYFUNCTION("VLOOKUP(F3453, IMPORTRANGE(""https://docs.google.com/spreadsheets/d/1Lhp9OU0JdFf_VYSMzH5lBcEaU4o8teT1piV-SNzShjg/edit?gid=554141278#gid=554141278"", ""'Char Def. - Attributes'!C20:C2242""), 1,false)"),"PACK_NETTO")</f>
        <v>PACK_NETTO</v>
      </c>
      <c r="I3453" s="136"/>
    </row>
    <row r="3454" ht="15.75" customHeight="1">
      <c r="B3454" s="63">
        <f t="shared" si="1"/>
        <v>16</v>
      </c>
      <c r="C3454" s="146" t="s">
        <v>242</v>
      </c>
      <c r="D3454" s="147" t="s">
        <v>74</v>
      </c>
      <c r="E3454" s="135">
        <f t="shared" si="59"/>
        <v>8</v>
      </c>
      <c r="F3454" s="143" t="s">
        <v>3857</v>
      </c>
      <c r="G3454" s="63" t="str">
        <f>VLOOKUP(C3454, 'Class Def. - General Data'!$C$20:$C$1000,1,false)</f>
        <v>ZPM1_Ball_Holder</v>
      </c>
      <c r="H3454" s="63" t="str">
        <f>IFERROR(__xludf.DUMMYFUNCTION("VLOOKUP(F3454, IMPORTRANGE(""https://docs.google.com/spreadsheets/d/1Lhp9OU0JdFf_VYSMzH5lBcEaU4o8teT1piV-SNzShjg/edit?gid=554141278#gid=554141278"", ""'Char Def. - Attributes'!C20:C2242""), 1,false)"),"PACK_UOM")</f>
        <v>PACK_UOM</v>
      </c>
      <c r="I3454" s="136"/>
    </row>
    <row r="3455" ht="15.75" customHeight="1">
      <c r="B3455" s="63">
        <f t="shared" si="1"/>
        <v>16</v>
      </c>
      <c r="C3455" s="146" t="s">
        <v>242</v>
      </c>
      <c r="D3455" s="147" t="s">
        <v>74</v>
      </c>
      <c r="E3455" s="135">
        <f t="shared" si="59"/>
        <v>9</v>
      </c>
      <c r="F3455" s="143" t="s">
        <v>3858</v>
      </c>
      <c r="G3455" s="63" t="str">
        <f>VLOOKUP(C3455, 'Class Def. - General Data'!$C$20:$C$1000,1,false)</f>
        <v>ZPM1_Ball_Holder</v>
      </c>
      <c r="H3455" s="63" t="str">
        <f>IFERROR(__xludf.DUMMYFUNCTION("VLOOKUP(F3455, IMPORTRANGE(""https://docs.google.com/spreadsheets/d/1Lhp9OU0JdFf_VYSMzH5lBcEaU4o8teT1piV-SNzShjg/edit?gid=554141278#gid=554141278"", ""'Char Def. - Attributes'!C20:C2242""), 1,false)"),"SINGLE_VARIAN")</f>
        <v>SINGLE_VARIAN</v>
      </c>
      <c r="I3455" s="136"/>
    </row>
    <row r="3456" ht="15.75" customHeight="1">
      <c r="B3456" s="63">
        <f t="shared" si="1"/>
        <v>16</v>
      </c>
      <c r="C3456" s="146" t="s">
        <v>242</v>
      </c>
      <c r="D3456" s="147" t="s">
        <v>74</v>
      </c>
      <c r="E3456" s="135">
        <f t="shared" si="59"/>
        <v>10</v>
      </c>
      <c r="F3456" s="143" t="s">
        <v>3607</v>
      </c>
      <c r="G3456" s="63" t="str">
        <f>VLOOKUP(C3456, 'Class Def. - General Data'!$C$20:$C$1000,1,false)</f>
        <v>ZPM1_Ball_Holder</v>
      </c>
      <c r="H3456" s="63" t="str">
        <f>IFERROR(__xludf.DUMMYFUNCTION("VLOOKUP(F3456, IMPORTRANGE(""https://docs.google.com/spreadsheets/d/1Lhp9OU0JdFf_VYSMzH5lBcEaU4o8teT1piV-SNzShjg/edit?gid=554141278#gid=554141278"", ""'Char Def. - Attributes'!C20:C2242""), 1,false)"),"VARIAN")</f>
        <v>VARIAN</v>
      </c>
      <c r="I3456" s="136"/>
    </row>
    <row r="3457" ht="15.75" customHeight="1">
      <c r="B3457" s="63">
        <f t="shared" si="1"/>
        <v>16</v>
      </c>
      <c r="C3457" s="146" t="s">
        <v>242</v>
      </c>
      <c r="D3457" s="147" t="s">
        <v>74</v>
      </c>
      <c r="E3457" s="135">
        <f t="shared" si="59"/>
        <v>11</v>
      </c>
      <c r="F3457" s="143" t="s">
        <v>3859</v>
      </c>
      <c r="G3457" s="63" t="str">
        <f>VLOOKUP(C3457, 'Class Def. - General Data'!$C$20:$C$1000,1,false)</f>
        <v>ZPM1_Ball_Holder</v>
      </c>
      <c r="H3457" s="63" t="str">
        <f>IFERROR(__xludf.DUMMYFUNCTION("VLOOKUP(F3457, IMPORTRANGE(""https://docs.google.com/spreadsheets/d/1Lhp9OU0JdFf_VYSMzH5lBcEaU4o8teT1piV-SNzShjg/edit?gid=554141278#gid=554141278"", ""'Char Def. - Attributes'!C20:C2242""), 1,false)"),"ADA_ADDITIONAL_PROMO")</f>
        <v>ADA_ADDITIONAL_PROMO</v>
      </c>
      <c r="I3457" s="136"/>
    </row>
    <row r="3458" ht="15.75" customHeight="1">
      <c r="B3458" s="63">
        <f t="shared" si="1"/>
        <v>16</v>
      </c>
      <c r="C3458" s="146" t="s">
        <v>242</v>
      </c>
      <c r="D3458" s="147" t="s">
        <v>74</v>
      </c>
      <c r="E3458" s="135">
        <f t="shared" si="59"/>
        <v>12</v>
      </c>
      <c r="F3458" s="143" t="s">
        <v>3609</v>
      </c>
      <c r="G3458" s="63" t="str">
        <f>VLOOKUP(C3458, 'Class Def. - General Data'!$C$20:$C$1000,1,false)</f>
        <v>ZPM1_Ball_Holder</v>
      </c>
      <c r="H3458" s="63" t="str">
        <f>IFERROR(__xludf.DUMMYFUNCTION("VLOOKUP(F3458, IMPORTRANGE(""https://docs.google.com/spreadsheets/d/1Lhp9OU0JdFf_VYSMzH5lBcEaU4o8teT1piV-SNzShjg/edit?gid=554141278#gid=554141278"", ""'Char Def. - Attributes'!C20:C2242""), 1,false)"),"ADDITIONAL_PROMO")</f>
        <v>ADDITIONAL_PROMO</v>
      </c>
      <c r="I3458" s="136"/>
    </row>
    <row r="3459" ht="15.75" customHeight="1">
      <c r="B3459" s="63">
        <f t="shared" si="1"/>
        <v>16</v>
      </c>
      <c r="C3459" s="146" t="s">
        <v>242</v>
      </c>
      <c r="D3459" s="147" t="s">
        <v>74</v>
      </c>
      <c r="E3459" s="135">
        <f t="shared" si="59"/>
        <v>13</v>
      </c>
      <c r="F3459" s="143" t="s">
        <v>3860</v>
      </c>
      <c r="G3459" s="63" t="str">
        <f>VLOOKUP(C3459, 'Class Def. - General Data'!$C$20:$C$1000,1,false)</f>
        <v>ZPM1_Ball_Holder</v>
      </c>
      <c r="H3459" s="63" t="str">
        <f>IFERROR(__xludf.DUMMYFUNCTION("VLOOKUP(F3459, IMPORTRANGE(""https://docs.google.com/spreadsheets/d/1Lhp9OU0JdFf_VYSMzH5lBcEaU4o8teT1piV-SNzShjg/edit?gid=554141278#gid=554141278"", ""'Char Def. - Attributes'!C20:C2242""), 1,false)"),"ADA_BANDED_PROMO")</f>
        <v>ADA_BANDED_PROMO</v>
      </c>
      <c r="I3459" s="136"/>
    </row>
    <row r="3460" ht="15.75" customHeight="1">
      <c r="B3460" s="63">
        <f t="shared" si="1"/>
        <v>16</v>
      </c>
      <c r="C3460" s="146" t="s">
        <v>242</v>
      </c>
      <c r="D3460" s="147" t="s">
        <v>74</v>
      </c>
      <c r="E3460" s="135">
        <f t="shared" si="59"/>
        <v>14</v>
      </c>
      <c r="F3460" s="143" t="s">
        <v>3610</v>
      </c>
      <c r="G3460" s="63" t="str">
        <f>VLOOKUP(C3460, 'Class Def. - General Data'!$C$20:$C$1000,1,false)</f>
        <v>ZPM1_Ball_Holder</v>
      </c>
      <c r="H3460" s="63" t="str">
        <f>IFERROR(__xludf.DUMMYFUNCTION("VLOOKUP(F3460, IMPORTRANGE(""https://docs.google.com/spreadsheets/d/1Lhp9OU0JdFf_VYSMzH5lBcEaU4o8teT1piV-SNzShjg/edit?gid=554141278#gid=554141278"", ""'Char Def. - Attributes'!C20:C2242""), 1,false)"),"BANDED_PROMO")</f>
        <v>BANDED_PROMO</v>
      </c>
      <c r="I3460" s="136"/>
    </row>
    <row r="3461" ht="15.75" customHeight="1">
      <c r="B3461" s="63">
        <f t="shared" si="1"/>
        <v>16</v>
      </c>
      <c r="C3461" s="146" t="s">
        <v>242</v>
      </c>
      <c r="D3461" s="147" t="s">
        <v>74</v>
      </c>
      <c r="E3461" s="135">
        <f t="shared" si="59"/>
        <v>15</v>
      </c>
      <c r="F3461" s="143" t="s">
        <v>1292</v>
      </c>
      <c r="G3461" s="63" t="str">
        <f>VLOOKUP(C3461, 'Class Def. - General Data'!$C$20:$C$1000,1,false)</f>
        <v>ZPM1_Ball_Holder</v>
      </c>
      <c r="H3461" s="63" t="str">
        <f>IFERROR(__xludf.DUMMYFUNCTION("VLOOKUP(F3461, IMPORTRANGE(""https://docs.google.com/spreadsheets/d/1Lhp9OU0JdFf_VYSMzH5lBcEaU4o8teT1piV-SNzShjg/edit?gid=554141278#gid=554141278"", ""'Char Def. - Attributes'!C20:C2242""), 1,false)"),"EXPORT")</f>
        <v>EXPORT</v>
      </c>
      <c r="I3461" s="136"/>
    </row>
    <row r="3462" ht="15.75" customHeight="1">
      <c r="B3462" s="63">
        <f t="shared" si="1"/>
        <v>16</v>
      </c>
      <c r="C3462" s="146" t="s">
        <v>242</v>
      </c>
      <c r="D3462" s="147" t="s">
        <v>74</v>
      </c>
      <c r="E3462" s="135">
        <f t="shared" si="59"/>
        <v>16</v>
      </c>
      <c r="F3462" s="143" t="s">
        <v>3612</v>
      </c>
      <c r="G3462" s="63" t="str">
        <f>VLOOKUP(C3462, 'Class Def. - General Data'!$C$20:$C$1000,1,false)</f>
        <v>ZPM1_Ball_Holder</v>
      </c>
      <c r="H3462" s="63" t="str">
        <f>IFERROR(__xludf.DUMMYFUNCTION("VLOOKUP(F3462, IMPORTRANGE(""https://docs.google.com/spreadsheets/d/1Lhp9OU0JdFf_VYSMzH5lBcEaU4o8teT1piV-SNzShjg/edit?gid=554141278#gid=554141278"", ""'Char Def. - Attributes'!C20:C2242""), 1,false)"),"COUNTRY_EKSPOR")</f>
        <v>COUNTRY_EKSPOR</v>
      </c>
      <c r="I3462" s="136"/>
    </row>
    <row r="3463" ht="15.75" customHeight="1">
      <c r="B3463" s="63">
        <f t="shared" si="1"/>
        <v>16</v>
      </c>
      <c r="C3463" s="146" t="s">
        <v>242</v>
      </c>
      <c r="D3463" s="147" t="s">
        <v>74</v>
      </c>
      <c r="E3463" s="135">
        <f t="shared" si="59"/>
        <v>17</v>
      </c>
      <c r="F3463" s="143" t="s">
        <v>3861</v>
      </c>
      <c r="G3463" s="63" t="str">
        <f>VLOOKUP(C3463, 'Class Def. - General Data'!$C$20:$C$1000,1,false)</f>
        <v>ZPM1_Ball_Holder</v>
      </c>
      <c r="H3463" s="63" t="str">
        <f>IFERROR(__xludf.DUMMYFUNCTION("VLOOKUP(F3463, IMPORTRANGE(""https://docs.google.com/spreadsheets/d/1Lhp9OU0JdFf_VYSMzH5lBcEaU4o8teT1piV-SNzShjg/edit?gid=554141278#gid=554141278"", ""'Char Def. - Attributes'!C20:C2242""), 1,false)"),"PEMBATAS")</f>
        <v>PEMBATAS</v>
      </c>
      <c r="I3463" s="136"/>
    </row>
    <row r="3464" ht="15.75" customHeight="1">
      <c r="B3464" s="63">
        <f t="shared" si="1"/>
        <v>16</v>
      </c>
      <c r="C3464" s="146" t="s">
        <v>242</v>
      </c>
      <c r="D3464" s="147" t="s">
        <v>74</v>
      </c>
      <c r="E3464" s="135">
        <f t="shared" si="59"/>
        <v>18</v>
      </c>
      <c r="F3464" s="143" t="s">
        <v>3897</v>
      </c>
      <c r="G3464" s="63" t="str">
        <f>VLOOKUP(C3464, 'Class Def. - General Data'!$C$20:$C$1000,1,false)</f>
        <v>ZPM1_Ball_Holder</v>
      </c>
      <c r="H3464" s="63" t="str">
        <f>IFERROR(__xludf.DUMMYFUNCTION("VLOOKUP(F3464, IMPORTRANGE(""https://docs.google.com/spreadsheets/d/1Lhp9OU0JdFf_VYSMzH5lBcEaU4o8teT1piV-SNzShjg/edit?gid=554141278#gid=554141278"", ""'Char Def. - Attributes'!C20:C2242""), 1,false)"),"COLOR_A")</f>
        <v>COLOR_A</v>
      </c>
      <c r="I3464" s="136"/>
    </row>
    <row r="3465" ht="15.75" customHeight="1">
      <c r="B3465" s="63">
        <f t="shared" si="1"/>
        <v>16</v>
      </c>
      <c r="C3465" s="146" t="s">
        <v>242</v>
      </c>
      <c r="D3465" s="147" t="s">
        <v>74</v>
      </c>
      <c r="E3465" s="135">
        <f t="shared" si="59"/>
        <v>19</v>
      </c>
      <c r="F3465" s="143" t="s">
        <v>3898</v>
      </c>
      <c r="G3465" s="63" t="str">
        <f>VLOOKUP(C3465, 'Class Def. - General Data'!$C$20:$C$1000,1,false)</f>
        <v>ZPM1_Ball_Holder</v>
      </c>
      <c r="H3465" s="63" t="str">
        <f>IFERROR(__xludf.DUMMYFUNCTION("VLOOKUP(F3465, IMPORTRANGE(""https://docs.google.com/spreadsheets/d/1Lhp9OU0JdFf_VYSMzH5lBcEaU4o8teT1piV-SNzShjg/edit?gid=554141278#gid=554141278"", ""'Char Def. - Attributes'!C20:C2242""), 1,false)"),"DIAMETER_MM_A")</f>
        <v>DIAMETER_MM_A</v>
      </c>
      <c r="I3465" s="136"/>
    </row>
    <row r="3466" ht="15.75" customHeight="1">
      <c r="B3466" s="63">
        <f t="shared" si="1"/>
        <v>16</v>
      </c>
      <c r="C3466" s="146" t="s">
        <v>242</v>
      </c>
      <c r="D3466" s="147" t="s">
        <v>74</v>
      </c>
      <c r="E3466" s="135">
        <f t="shared" si="59"/>
        <v>20</v>
      </c>
      <c r="F3466" s="134" t="s">
        <v>3899</v>
      </c>
      <c r="G3466" s="63" t="str">
        <f>VLOOKUP(C3466, 'Class Def. - General Data'!$C$20:$C$1000,1,false)</f>
        <v>ZPM1_Ball_Holder</v>
      </c>
      <c r="H3466" s="63" t="str">
        <f>IFERROR(__xludf.DUMMYFUNCTION("VLOOKUP(F3466, IMPORTRANGE(""https://docs.google.com/spreadsheets/d/1Lhp9OU0JdFf_VYSMzH5lBcEaU4o8teT1piV-SNzShjg/edit?gid=554141278#gid=554141278"", ""'Char Def. - Attributes'!C20:C2242""), 1,false)"),"HEIGHT_MM")</f>
        <v>HEIGHT_MM</v>
      </c>
      <c r="I3466" s="136"/>
    </row>
    <row r="3467" ht="15.75" customHeight="1">
      <c r="B3467" s="63">
        <f t="shared" si="1"/>
        <v>16</v>
      </c>
      <c r="C3467" s="146" t="s">
        <v>242</v>
      </c>
      <c r="D3467" s="147" t="s">
        <v>74</v>
      </c>
      <c r="E3467" s="135">
        <f t="shared" si="59"/>
        <v>21</v>
      </c>
      <c r="F3467" s="134" t="s">
        <v>3900</v>
      </c>
      <c r="G3467" s="63" t="str">
        <f>VLOOKUP(C3467, 'Class Def. - General Data'!$C$20:$C$1000,1,false)</f>
        <v>ZPM1_Ball_Holder</v>
      </c>
      <c r="H3467" s="63" t="str">
        <f>IFERROR(__xludf.DUMMYFUNCTION("VLOOKUP(F3467, IMPORTRANGE(""https://docs.google.com/spreadsheets/d/1Lhp9OU0JdFf_VYSMzH5lBcEaU4o8teT1piV-SNzShjg/edit?gid=554141278#gid=554141278"", ""'Char Def. - Attributes'!C20:C2242""), 1,false)"),"PLASTIC_TYPE_OPT")</f>
        <v>PLASTIC_TYPE_OPT</v>
      </c>
      <c r="I3467" s="136"/>
    </row>
    <row r="3468" ht="15.75" customHeight="1">
      <c r="B3468" s="63">
        <f t="shared" si="1"/>
        <v>16</v>
      </c>
      <c r="C3468" s="146" t="s">
        <v>242</v>
      </c>
      <c r="D3468" s="147" t="s">
        <v>74</v>
      </c>
      <c r="E3468" s="135">
        <f t="shared" si="59"/>
        <v>22</v>
      </c>
      <c r="F3468" s="134" t="s">
        <v>3864</v>
      </c>
      <c r="G3468" s="63" t="str">
        <f>VLOOKUP(C3468, 'Class Def. - General Data'!$C$20:$C$1000,1,false)</f>
        <v>ZPM1_Ball_Holder</v>
      </c>
      <c r="H3468" s="63" t="str">
        <f>IFERROR(__xludf.DUMMYFUNCTION("VLOOKUP(F3468, IMPORTRANGE(""https://docs.google.com/spreadsheets/d/1Lhp9OU0JdFf_VYSMzH5lBcEaU4o8teT1piV-SNzShjg/edit?gid=554141278#gid=554141278"", ""'Char Def. - Attributes'!C20:C2242""), 1,false)"),"DIMENSION_OPT")</f>
        <v>DIMENSION_OPT</v>
      </c>
      <c r="I3468" s="136"/>
    </row>
    <row r="3469" ht="15.75" customHeight="1">
      <c r="B3469" s="63">
        <f t="shared" si="1"/>
        <v>16</v>
      </c>
      <c r="C3469" s="146" t="s">
        <v>242</v>
      </c>
      <c r="D3469" s="147" t="s">
        <v>74</v>
      </c>
      <c r="E3469" s="135">
        <f t="shared" si="59"/>
        <v>23</v>
      </c>
      <c r="F3469" s="134" t="s">
        <v>3587</v>
      </c>
      <c r="G3469" s="63" t="str">
        <f>VLOOKUP(C3469, 'Class Def. - General Data'!$C$20:$C$1000,1,false)</f>
        <v>ZPM1_Ball_Holder</v>
      </c>
      <c r="H3469" s="63" t="str">
        <f>IFERROR(__xludf.DUMMYFUNCTION("VLOOKUP(F3469, IMPORTRANGE(""https://docs.google.com/spreadsheets/d/1Lhp9OU0JdFf_VYSMzH5lBcEaU4o8teT1piV-SNzShjg/edit?gid=554141278#gid=554141278"", ""'Char Def. - Attributes'!C20:C2242""), 1,false)"),"PLANT_BUY")</f>
        <v>PLANT_BUY</v>
      </c>
      <c r="I3469" s="136"/>
    </row>
    <row r="3470" ht="15.75" customHeight="1">
      <c r="B3470" s="63">
        <f t="shared" si="1"/>
        <v>16</v>
      </c>
      <c r="C3470" s="146" t="s">
        <v>242</v>
      </c>
      <c r="D3470" s="147" t="s">
        <v>74</v>
      </c>
      <c r="E3470" s="135">
        <f t="shared" si="59"/>
        <v>24</v>
      </c>
      <c r="F3470" s="134" t="s">
        <v>3865</v>
      </c>
      <c r="G3470" s="63" t="str">
        <f>VLOOKUP(C3470, 'Class Def. - General Data'!$C$20:$C$1000,1,false)</f>
        <v>ZPM1_Ball_Holder</v>
      </c>
      <c r="H3470" s="63" t="str">
        <f>IFERROR(__xludf.DUMMYFUNCTION("VLOOKUP(F3470, IMPORTRANGE(""https://docs.google.com/spreadsheets/d/1Lhp9OU0JdFf_VYSMzH5lBcEaU4o8teT1piV-SNzShjg/edit?gid=554141278#gid=554141278"", ""'Char Def. - Attributes'!C20:C2242""), 1,false)"),"PLANT_PROD_OPT")</f>
        <v>PLANT_PROD_OPT</v>
      </c>
      <c r="I3470" s="136"/>
    </row>
    <row r="3471" ht="15.75" customHeight="1">
      <c r="B3471" s="63">
        <f t="shared" si="1"/>
        <v>16</v>
      </c>
      <c r="C3471" s="146" t="s">
        <v>242</v>
      </c>
      <c r="D3471" s="147" t="s">
        <v>74</v>
      </c>
      <c r="E3471" s="135">
        <f t="shared" si="59"/>
        <v>25</v>
      </c>
      <c r="F3471" s="134" t="s">
        <v>3866</v>
      </c>
      <c r="G3471" s="63" t="str">
        <f>VLOOKUP(C3471, 'Class Def. - General Data'!$C$20:$C$1000,1,false)</f>
        <v>ZPM1_Ball_Holder</v>
      </c>
      <c r="H3471" s="63" t="str">
        <f>IFERROR(__xludf.DUMMYFUNCTION("VLOOKUP(F3471, IMPORTRANGE(""https://docs.google.com/spreadsheets/d/1Lhp9OU0JdFf_VYSMzH5lBcEaU4o8teT1piV-SNzShjg/edit?gid=554141278#gid=554141278"", ""'Char Def. - Attributes'!C20:C2242""), 1,false)"),"PM_SUPPLY_JKT")</f>
        <v>PM_SUPPLY_JKT</v>
      </c>
      <c r="I3471" s="136"/>
    </row>
    <row r="3472" ht="15.75" customHeight="1">
      <c r="B3472" s="63">
        <f t="shared" si="1"/>
        <v>16</v>
      </c>
      <c r="C3472" s="146" t="s">
        <v>242</v>
      </c>
      <c r="D3472" s="147" t="s">
        <v>74</v>
      </c>
      <c r="E3472" s="135">
        <f t="shared" si="59"/>
        <v>26</v>
      </c>
      <c r="F3472" s="134" t="s">
        <v>3867</v>
      </c>
      <c r="G3472" s="63" t="str">
        <f>VLOOKUP(C3472, 'Class Def. - General Data'!$C$20:$C$1000,1,false)</f>
        <v>ZPM1_Ball_Holder</v>
      </c>
      <c r="H3472" s="63" t="str">
        <f>IFERROR(__xludf.DUMMYFUNCTION("VLOOKUP(F3472, IMPORTRANGE(""https://docs.google.com/spreadsheets/d/1Lhp9OU0JdFf_VYSMzH5lBcEaU4o8teT1piV-SNzShjg/edit?gid=554141278#gid=554141278"", ""'Char Def. - Attributes'!C20:C2242""), 1,false)"),"PM_SUPPLY_SBY")</f>
        <v>PM_SUPPLY_SBY</v>
      </c>
      <c r="I3472" s="136"/>
    </row>
    <row r="3473" ht="15.75" customHeight="1">
      <c r="B3473" s="63">
        <f t="shared" si="1"/>
        <v>16</v>
      </c>
      <c r="C3473" s="146" t="s">
        <v>242</v>
      </c>
      <c r="D3473" s="147" t="s">
        <v>74</v>
      </c>
      <c r="E3473" s="135">
        <f t="shared" si="59"/>
        <v>27</v>
      </c>
      <c r="F3473" s="134" t="s">
        <v>3868</v>
      </c>
      <c r="G3473" s="63" t="str">
        <f>VLOOKUP(C3473, 'Class Def. - General Data'!$C$20:$C$1000,1,false)</f>
        <v>ZPM1_Ball_Holder</v>
      </c>
      <c r="H3473" s="63" t="str">
        <f>IFERROR(__xludf.DUMMYFUNCTION("VLOOKUP(F3473, IMPORTRANGE(""https://docs.google.com/spreadsheets/d/1Lhp9OU0JdFf_VYSMzH5lBcEaU4o8teT1piV-SNzShjg/edit?gid=554141278#gid=554141278"", ""'Char Def. - Attributes'!C20:C2242""), 1,false)"),"BASIC_UOM_RMPM")</f>
        <v>BASIC_UOM_RMPM</v>
      </c>
      <c r="I3473" s="136"/>
    </row>
    <row r="3474" ht="15.75" customHeight="1">
      <c r="B3474" s="63">
        <f t="shared" si="1"/>
        <v>16</v>
      </c>
      <c r="C3474" s="146" t="s">
        <v>242</v>
      </c>
      <c r="D3474" s="147" t="s">
        <v>74</v>
      </c>
      <c r="E3474" s="135">
        <f t="shared" si="59"/>
        <v>28</v>
      </c>
      <c r="F3474" s="134" t="s">
        <v>3869</v>
      </c>
      <c r="G3474" s="63" t="str">
        <f>VLOOKUP(C3474, 'Class Def. - General Data'!$C$20:$C$1000,1,false)</f>
        <v>ZPM1_Ball_Holder</v>
      </c>
      <c r="H3474" s="63" t="str">
        <f>IFERROR(__xludf.DUMMYFUNCTION("VLOOKUP(F3474, IMPORTRANGE(""https://docs.google.com/spreadsheets/d/1Lhp9OU0JdFf_VYSMzH5lBcEaU4o8teT1piV-SNzShjg/edit?gid=554141278#gid=554141278"", ""'Char Def. - Attributes'!C20:C2242""), 1,false)"),"ALT_UOM1_RMPM")</f>
        <v>ALT_UOM1_RMPM</v>
      </c>
      <c r="I3474" s="136"/>
    </row>
    <row r="3475" ht="15.75" customHeight="1">
      <c r="B3475" s="63">
        <f t="shared" si="1"/>
        <v>16</v>
      </c>
      <c r="C3475" s="146" t="s">
        <v>242</v>
      </c>
      <c r="D3475" s="147" t="s">
        <v>74</v>
      </c>
      <c r="E3475" s="135">
        <f t="shared" si="59"/>
        <v>29</v>
      </c>
      <c r="F3475" s="134" t="s">
        <v>3805</v>
      </c>
      <c r="G3475" s="63" t="str">
        <f>VLOOKUP(C3475, 'Class Def. - General Data'!$C$20:$C$1000,1,false)</f>
        <v>ZPM1_Ball_Holder</v>
      </c>
      <c r="H3475" s="63" t="str">
        <f>IFERROR(__xludf.DUMMYFUNCTION("VLOOKUP(F3475, IMPORTRANGE(""https://docs.google.com/spreadsheets/d/1Lhp9OU0JdFf_VYSMzH5lBcEaU4o8teT1piV-SNzShjg/edit?gid=554141278#gid=554141278"", ""'Char Def. - Attributes'!C20:C2242""), 1,false)"),"ALT_DENUM_UOM1")</f>
        <v>ALT_DENUM_UOM1</v>
      </c>
      <c r="I3475" s="136"/>
    </row>
    <row r="3476" ht="15.75" customHeight="1">
      <c r="B3476" s="63">
        <f t="shared" si="1"/>
        <v>16</v>
      </c>
      <c r="C3476" s="146" t="s">
        <v>242</v>
      </c>
      <c r="D3476" s="147" t="s">
        <v>74</v>
      </c>
      <c r="E3476" s="135">
        <f t="shared" si="59"/>
        <v>30</v>
      </c>
      <c r="F3476" s="134" t="s">
        <v>3806</v>
      </c>
      <c r="G3476" s="63" t="str">
        <f>VLOOKUP(C3476, 'Class Def. - General Data'!$C$20:$C$1000,1,false)</f>
        <v>ZPM1_Ball_Holder</v>
      </c>
      <c r="H3476" s="63" t="str">
        <f>IFERROR(__xludf.DUMMYFUNCTION("VLOOKUP(F3476, IMPORTRANGE(""https://docs.google.com/spreadsheets/d/1Lhp9OU0JdFf_VYSMzH5lBcEaU4o8teT1piV-SNzShjg/edit?gid=554141278#gid=554141278"", ""'Char Def. - Attributes'!C20:C2242""), 1,false)"),"ALT_NUM_UOM1")</f>
        <v>ALT_NUM_UOM1</v>
      </c>
      <c r="I3476" s="136"/>
    </row>
    <row r="3477" ht="15.75" customHeight="1">
      <c r="B3477" s="63">
        <f t="shared" si="1"/>
        <v>16</v>
      </c>
      <c r="C3477" s="146" t="s">
        <v>242</v>
      </c>
      <c r="D3477" s="147" t="s">
        <v>74</v>
      </c>
      <c r="E3477" s="135">
        <f t="shared" si="59"/>
        <v>31</v>
      </c>
      <c r="F3477" s="134" t="s">
        <v>3870</v>
      </c>
      <c r="G3477" s="63" t="str">
        <f>VLOOKUP(C3477, 'Class Def. - General Data'!$C$20:$C$1000,1,false)</f>
        <v>ZPM1_Ball_Holder</v>
      </c>
      <c r="H3477" s="63" t="str">
        <f>IFERROR(__xludf.DUMMYFUNCTION("VLOOKUP(F3477, IMPORTRANGE(""https://docs.google.com/spreadsheets/d/1Lhp9OU0JdFf_VYSMzH5lBcEaU4o8teT1piV-SNzShjg/edit?gid=554141278#gid=554141278"", ""'Char Def. - Attributes'!C20:C2242""), 1,false)"),"ALT_UOM2_RMPM")</f>
        <v>ALT_UOM2_RMPM</v>
      </c>
      <c r="I3477" s="136"/>
    </row>
    <row r="3478" ht="15.75" customHeight="1">
      <c r="B3478" s="63">
        <f t="shared" si="1"/>
        <v>16</v>
      </c>
      <c r="C3478" s="146" t="s">
        <v>242</v>
      </c>
      <c r="D3478" s="147" t="s">
        <v>74</v>
      </c>
      <c r="E3478" s="135">
        <f t="shared" si="59"/>
        <v>32</v>
      </c>
      <c r="F3478" s="134" t="s">
        <v>3808</v>
      </c>
      <c r="G3478" s="63" t="str">
        <f>VLOOKUP(C3478, 'Class Def. - General Data'!$C$20:$C$1000,1,false)</f>
        <v>ZPM1_Ball_Holder</v>
      </c>
      <c r="H3478" s="63" t="str">
        <f>IFERROR(__xludf.DUMMYFUNCTION("VLOOKUP(F3478, IMPORTRANGE(""https://docs.google.com/spreadsheets/d/1Lhp9OU0JdFf_VYSMzH5lBcEaU4o8teT1piV-SNzShjg/edit?gid=554141278#gid=554141278"", ""'Char Def. - Attributes'!C20:C2242""), 1,false)"),"ALT_DENUM_UOM2")</f>
        <v>ALT_DENUM_UOM2</v>
      </c>
      <c r="I3478" s="136"/>
    </row>
    <row r="3479" ht="15.75" customHeight="1">
      <c r="B3479" s="63">
        <f t="shared" si="1"/>
        <v>16</v>
      </c>
      <c r="C3479" s="146" t="s">
        <v>242</v>
      </c>
      <c r="D3479" s="147" t="s">
        <v>74</v>
      </c>
      <c r="E3479" s="135">
        <f t="shared" si="59"/>
        <v>33</v>
      </c>
      <c r="F3479" s="134" t="s">
        <v>3809</v>
      </c>
      <c r="G3479" s="63" t="str">
        <f>VLOOKUP(C3479, 'Class Def. - General Data'!$C$20:$C$1000,1,false)</f>
        <v>ZPM1_Ball_Holder</v>
      </c>
      <c r="H3479" s="63" t="str">
        <f>IFERROR(__xludf.DUMMYFUNCTION("VLOOKUP(F3479, IMPORTRANGE(""https://docs.google.com/spreadsheets/d/1Lhp9OU0JdFf_VYSMzH5lBcEaU4o8teT1piV-SNzShjg/edit?gid=554141278#gid=554141278"", ""'Char Def. - Attributes'!C20:C2242""), 1,false)"),"ALT_NUM_UOM2")</f>
        <v>ALT_NUM_UOM2</v>
      </c>
      <c r="I3479" s="136"/>
    </row>
    <row r="3480" ht="15.75" customHeight="1">
      <c r="B3480" s="63">
        <f t="shared" si="1"/>
        <v>16</v>
      </c>
      <c r="C3480" s="146" t="s">
        <v>242</v>
      </c>
      <c r="D3480" s="147" t="s">
        <v>74</v>
      </c>
      <c r="E3480" s="135">
        <f t="shared" si="59"/>
        <v>34</v>
      </c>
      <c r="F3480" s="134" t="s">
        <v>3871</v>
      </c>
      <c r="G3480" s="63" t="str">
        <f>VLOOKUP(C3480, 'Class Def. - General Data'!$C$20:$C$1000,1,false)</f>
        <v>ZPM1_Ball_Holder</v>
      </c>
      <c r="H3480" s="63" t="str">
        <f>IFERROR(__xludf.DUMMYFUNCTION("VLOOKUP(F3480, IMPORTRANGE(""https://docs.google.com/spreadsheets/d/1Lhp9OU0JdFf_VYSMzH5lBcEaU4o8teT1piV-SNzShjg/edit?gid=554141278#gid=554141278"", ""'Char Def. - Attributes'!C20:C2242""), 1,false)"),"ALT_UOM3_RMPM")</f>
        <v>ALT_UOM3_RMPM</v>
      </c>
      <c r="I3480" s="136"/>
    </row>
    <row r="3481" ht="15.75" customHeight="1">
      <c r="B3481" s="63">
        <f t="shared" si="1"/>
        <v>16</v>
      </c>
      <c r="C3481" s="146" t="s">
        <v>242</v>
      </c>
      <c r="D3481" s="147" t="s">
        <v>74</v>
      </c>
      <c r="E3481" s="135">
        <f t="shared" si="59"/>
        <v>35</v>
      </c>
      <c r="F3481" s="134" t="s">
        <v>3811</v>
      </c>
      <c r="G3481" s="63" t="str">
        <f>VLOOKUP(C3481, 'Class Def. - General Data'!$C$20:$C$1000,1,false)</f>
        <v>ZPM1_Ball_Holder</v>
      </c>
      <c r="H3481" s="63" t="str">
        <f>IFERROR(__xludf.DUMMYFUNCTION("VLOOKUP(F3481, IMPORTRANGE(""https://docs.google.com/spreadsheets/d/1Lhp9OU0JdFf_VYSMzH5lBcEaU4o8teT1piV-SNzShjg/edit?gid=554141278#gid=554141278"", ""'Char Def. - Attributes'!C20:C2242""), 1,false)"),"ALT_DENUM_UOM3")</f>
        <v>ALT_DENUM_UOM3</v>
      </c>
      <c r="I3481" s="136"/>
    </row>
    <row r="3482" ht="15.75" customHeight="1">
      <c r="B3482" s="63">
        <f t="shared" si="1"/>
        <v>16</v>
      </c>
      <c r="C3482" s="146" t="s">
        <v>242</v>
      </c>
      <c r="D3482" s="147" t="s">
        <v>74</v>
      </c>
      <c r="E3482" s="135">
        <f t="shared" si="59"/>
        <v>36</v>
      </c>
      <c r="F3482" s="134" t="s">
        <v>3812</v>
      </c>
      <c r="G3482" s="63" t="str">
        <f>VLOOKUP(C3482, 'Class Def. - General Data'!$C$20:$C$1000,1,false)</f>
        <v>ZPM1_Ball_Holder</v>
      </c>
      <c r="H3482" s="63" t="str">
        <f>IFERROR(__xludf.DUMMYFUNCTION("VLOOKUP(F3482, IMPORTRANGE(""https://docs.google.com/spreadsheets/d/1Lhp9OU0JdFf_VYSMzH5lBcEaU4o8teT1piV-SNzShjg/edit?gid=554141278#gid=554141278"", ""'Char Def. - Attributes'!C20:C2242""), 1,false)"),"ALT_NUM_UOM3")</f>
        <v>ALT_NUM_UOM3</v>
      </c>
      <c r="I3482" s="136"/>
    </row>
    <row r="3483" ht="15.75" customHeight="1">
      <c r="B3483" s="63">
        <f t="shared" si="1"/>
        <v>16</v>
      </c>
      <c r="C3483" s="146" t="s">
        <v>242</v>
      </c>
      <c r="D3483" s="147" t="s">
        <v>74</v>
      </c>
      <c r="E3483" s="135">
        <f t="shared" si="59"/>
        <v>37</v>
      </c>
      <c r="F3483" s="134" t="s">
        <v>3872</v>
      </c>
      <c r="G3483" s="63" t="str">
        <f>VLOOKUP(C3483, 'Class Def. - General Data'!$C$20:$C$1000,1,false)</f>
        <v>ZPM1_Ball_Holder</v>
      </c>
      <c r="H3483" s="63" t="str">
        <f>IFERROR(__xludf.DUMMYFUNCTION("VLOOKUP(F3483, IMPORTRANGE(""https://docs.google.com/spreadsheets/d/1Lhp9OU0JdFf_VYSMzH5lBcEaU4o8teT1piV-SNzShjg/edit?gid=554141278#gid=554141278"", ""'Char Def. - Attributes'!C20:C2242""), 1,false)"),"ALT_UOM4_RMPM")</f>
        <v>ALT_UOM4_RMPM</v>
      </c>
      <c r="I3483" s="136"/>
    </row>
    <row r="3484" ht="15.75" customHeight="1">
      <c r="B3484" s="63">
        <f t="shared" si="1"/>
        <v>16</v>
      </c>
      <c r="C3484" s="146" t="s">
        <v>242</v>
      </c>
      <c r="D3484" s="147" t="s">
        <v>74</v>
      </c>
      <c r="E3484" s="135">
        <f t="shared" si="59"/>
        <v>38</v>
      </c>
      <c r="F3484" s="134" t="s">
        <v>3814</v>
      </c>
      <c r="G3484" s="63" t="str">
        <f>VLOOKUP(C3484, 'Class Def. - General Data'!$C$20:$C$1000,1,false)</f>
        <v>ZPM1_Ball_Holder</v>
      </c>
      <c r="H3484" s="63" t="str">
        <f>IFERROR(__xludf.DUMMYFUNCTION("VLOOKUP(F3484, IMPORTRANGE(""https://docs.google.com/spreadsheets/d/1Lhp9OU0JdFf_VYSMzH5lBcEaU4o8teT1piV-SNzShjg/edit?gid=554141278#gid=554141278"", ""'Char Def. - Attributes'!C20:C2242""), 1,false)"),"ALT_DENUM_UOM4")</f>
        <v>ALT_DENUM_UOM4</v>
      </c>
      <c r="I3484" s="136"/>
    </row>
    <row r="3485" ht="15.75" customHeight="1">
      <c r="B3485" s="63">
        <f t="shared" si="1"/>
        <v>16</v>
      </c>
      <c r="C3485" s="146" t="s">
        <v>242</v>
      </c>
      <c r="D3485" s="147" t="s">
        <v>74</v>
      </c>
      <c r="E3485" s="135">
        <f t="shared" si="59"/>
        <v>39</v>
      </c>
      <c r="F3485" s="134" t="s">
        <v>3815</v>
      </c>
      <c r="G3485" s="63" t="str">
        <f>VLOOKUP(C3485, 'Class Def. - General Data'!$C$20:$C$1000,1,false)</f>
        <v>ZPM1_Ball_Holder</v>
      </c>
      <c r="H3485" s="63" t="str">
        <f>IFERROR(__xludf.DUMMYFUNCTION("VLOOKUP(F3485, IMPORTRANGE(""https://docs.google.com/spreadsheets/d/1Lhp9OU0JdFf_VYSMzH5lBcEaU4o8teT1piV-SNzShjg/edit?gid=554141278#gid=554141278"", ""'Char Def. - Attributes'!C20:C2242""), 1,false)"),"ALT_NUM_UOM4")</f>
        <v>ALT_NUM_UOM4</v>
      </c>
      <c r="I3485" s="136"/>
    </row>
    <row r="3486" ht="15.75" customHeight="1">
      <c r="B3486" s="63">
        <f t="shared" si="1"/>
        <v>16</v>
      </c>
      <c r="C3486" s="146" t="s">
        <v>242</v>
      </c>
      <c r="D3486" s="147" t="s">
        <v>74</v>
      </c>
      <c r="E3486" s="135">
        <f t="shared" si="59"/>
        <v>40</v>
      </c>
      <c r="F3486" s="134" t="s">
        <v>3873</v>
      </c>
      <c r="G3486" s="63" t="str">
        <f>VLOOKUP(C3486, 'Class Def. - General Data'!$C$20:$C$1000,1,false)</f>
        <v>ZPM1_Ball_Holder</v>
      </c>
      <c r="H3486" s="63" t="str">
        <f>IFERROR(__xludf.DUMMYFUNCTION("VLOOKUP(F3486, IMPORTRANGE(""https://docs.google.com/spreadsheets/d/1Lhp9OU0JdFf_VYSMzH5lBcEaU4o8teT1piV-SNzShjg/edit?gid=554141278#gid=554141278"", ""'Char Def. - Attributes'!C20:C2242""), 1,false)"),"ALT_UOM5_RMPM")</f>
        <v>ALT_UOM5_RMPM</v>
      </c>
      <c r="I3486" s="136"/>
    </row>
    <row r="3487" ht="15.75" customHeight="1">
      <c r="B3487" s="63">
        <f t="shared" si="1"/>
        <v>16</v>
      </c>
      <c r="C3487" s="146" t="s">
        <v>242</v>
      </c>
      <c r="D3487" s="147" t="s">
        <v>74</v>
      </c>
      <c r="E3487" s="135">
        <f t="shared" si="59"/>
        <v>41</v>
      </c>
      <c r="F3487" s="134" t="s">
        <v>3817</v>
      </c>
      <c r="G3487" s="63" t="str">
        <f>VLOOKUP(C3487, 'Class Def. - General Data'!$C$20:$C$1000,1,false)</f>
        <v>ZPM1_Ball_Holder</v>
      </c>
      <c r="H3487" s="63" t="str">
        <f>IFERROR(__xludf.DUMMYFUNCTION("VLOOKUP(F3487, IMPORTRANGE(""https://docs.google.com/spreadsheets/d/1Lhp9OU0JdFf_VYSMzH5lBcEaU4o8teT1piV-SNzShjg/edit?gid=554141278#gid=554141278"", ""'Char Def. - Attributes'!C20:C2242""), 1,false)"),"ALT_DENUM_UOM5")</f>
        <v>ALT_DENUM_UOM5</v>
      </c>
      <c r="I3487" s="136"/>
    </row>
    <row r="3488" ht="15.75" customHeight="1">
      <c r="B3488" s="63">
        <f t="shared" si="1"/>
        <v>16</v>
      </c>
      <c r="C3488" s="146" t="s">
        <v>242</v>
      </c>
      <c r="D3488" s="147" t="s">
        <v>74</v>
      </c>
      <c r="E3488" s="135">
        <f t="shared" si="59"/>
        <v>42</v>
      </c>
      <c r="F3488" s="134" t="s">
        <v>3818</v>
      </c>
      <c r="G3488" s="63" t="str">
        <f>VLOOKUP(C3488, 'Class Def. - General Data'!$C$20:$C$1000,1,false)</f>
        <v>ZPM1_Ball_Holder</v>
      </c>
      <c r="H3488" s="63" t="str">
        <f>IFERROR(__xludf.DUMMYFUNCTION("VLOOKUP(F3488, IMPORTRANGE(""https://docs.google.com/spreadsheets/d/1Lhp9OU0JdFf_VYSMzH5lBcEaU4o8teT1piV-SNzShjg/edit?gid=554141278#gid=554141278"", ""'Char Def. - Attributes'!C20:C2242""), 1,false)"),"ALT_NUM_UOM5")</f>
        <v>ALT_NUM_UOM5</v>
      </c>
      <c r="I3488" s="136"/>
    </row>
    <row r="3489" ht="15.75" customHeight="1">
      <c r="B3489" s="63">
        <f t="shared" si="1"/>
        <v>16</v>
      </c>
      <c r="C3489" s="146" t="s">
        <v>242</v>
      </c>
      <c r="D3489" s="147" t="s">
        <v>74</v>
      </c>
      <c r="E3489" s="135">
        <f t="shared" si="59"/>
        <v>43</v>
      </c>
      <c r="F3489" s="134" t="s">
        <v>3874</v>
      </c>
      <c r="G3489" s="63" t="str">
        <f>VLOOKUP(C3489, 'Class Def. - General Data'!$C$20:$C$1000,1,false)</f>
        <v>ZPM1_Ball_Holder</v>
      </c>
      <c r="H3489" s="63" t="str">
        <f>IFERROR(__xludf.DUMMYFUNCTION("VLOOKUP(F3489, IMPORTRANGE(""https://docs.google.com/spreadsheets/d/1Lhp9OU0JdFf_VYSMzH5lBcEaU4o8teT1piV-SNzShjg/edit?gid=554141278#gid=554141278"", ""'Char Def. - Attributes'!C20:C2242""), 1,false)"),"VALUATION_CATEGORY")</f>
        <v>VALUATION_CATEGORY</v>
      </c>
      <c r="I3489" s="136"/>
    </row>
    <row r="3490" ht="15.75" customHeight="1">
      <c r="B3490" s="63">
        <f t="shared" si="1"/>
        <v>16</v>
      </c>
      <c r="C3490" s="146" t="s">
        <v>242</v>
      </c>
      <c r="D3490" s="147" t="s">
        <v>74</v>
      </c>
      <c r="E3490" s="135">
        <f t="shared" si="59"/>
        <v>44</v>
      </c>
      <c r="F3490" s="134" t="s">
        <v>3800</v>
      </c>
      <c r="G3490" s="63" t="str">
        <f>VLOOKUP(C3490, 'Class Def. - General Data'!$C$20:$C$1000,1,false)</f>
        <v>ZPM1_Ball_Holder</v>
      </c>
      <c r="H3490" s="63" t="str">
        <f>IFERROR(__xludf.DUMMYFUNCTION("VLOOKUP(F3490, IMPORTRANGE(""https://docs.google.com/spreadsheets/d/1Lhp9OU0JdFf_VYSMzH5lBcEaU4o8teT1piV-SNzShjg/edit?gid=554141278#gid=554141278"", ""'Char Def. - Attributes'!C20:C2242""), 1,false)"),"ORDER_UNIT_DIFF_FROM_BASIC_UOM")</f>
        <v>ORDER_UNIT_DIFF_FROM_BASIC_UOM</v>
      </c>
      <c r="I3490" s="136"/>
    </row>
    <row r="3491" ht="15.75" customHeight="1">
      <c r="B3491" s="63">
        <f t="shared" si="1"/>
        <v>16</v>
      </c>
      <c r="C3491" s="146" t="s">
        <v>242</v>
      </c>
      <c r="D3491" s="147" t="s">
        <v>74</v>
      </c>
      <c r="E3491" s="135">
        <f t="shared" si="59"/>
        <v>45</v>
      </c>
      <c r="F3491" s="134" t="s">
        <v>3875</v>
      </c>
      <c r="G3491" s="63" t="str">
        <f>VLOOKUP(C3491, 'Class Def. - General Data'!$C$20:$C$1000,1,false)</f>
        <v>ZPM1_Ball_Holder</v>
      </c>
      <c r="H3491" s="63" t="str">
        <f>IFERROR(__xludf.DUMMYFUNCTION("VLOOKUP(F3491, IMPORTRANGE(""https://docs.google.com/spreadsheets/d/1Lhp9OU0JdFf_VYSMzH5lBcEaU4o8teT1piV-SNzShjg/edit?gid=554141278#gid=554141278"", ""'Char Def. - Attributes'!C20:C2242""), 1,false)"),"ORDER_UNIT_RMPM")</f>
        <v>ORDER_UNIT_RMPM</v>
      </c>
      <c r="I3491" s="136"/>
    </row>
    <row r="3492" ht="15.75" customHeight="1">
      <c r="B3492" s="63">
        <f t="shared" si="1"/>
        <v>16</v>
      </c>
      <c r="C3492" s="146" t="s">
        <v>242</v>
      </c>
      <c r="D3492" s="147" t="s">
        <v>74</v>
      </c>
      <c r="E3492" s="135">
        <f t="shared" si="59"/>
        <v>46</v>
      </c>
      <c r="F3492" s="134" t="s">
        <v>3602</v>
      </c>
      <c r="G3492" s="63" t="str">
        <f>VLOOKUP(C3492, 'Class Def. - General Data'!$C$20:$C$1000,1,false)</f>
        <v>ZPM1_Ball_Holder</v>
      </c>
      <c r="H3492" s="63" t="str">
        <f>IFERROR(__xludf.DUMMYFUNCTION("VLOOKUP(F3492, IMPORTRANGE(""https://docs.google.com/spreadsheets/d/1Lhp9OU0JdFf_VYSMzH5lBcEaU4o8teT1piV-SNzShjg/edit?gid=554141278#gid=554141278"", ""'Char Def. - Attributes'!C20:C2242""), 1,false)"),"NET_WEIGHT")</f>
        <v>NET_WEIGHT</v>
      </c>
      <c r="I3492" s="136"/>
    </row>
    <row r="3493" ht="15.75" customHeight="1">
      <c r="B3493" s="63">
        <f t="shared" si="1"/>
        <v>16</v>
      </c>
      <c r="C3493" s="146" t="s">
        <v>242</v>
      </c>
      <c r="D3493" s="147" t="s">
        <v>74</v>
      </c>
      <c r="E3493" s="135">
        <f t="shared" si="59"/>
        <v>47</v>
      </c>
      <c r="F3493" s="134" t="s">
        <v>3601</v>
      </c>
      <c r="G3493" s="63" t="str">
        <f>VLOOKUP(C3493, 'Class Def. - General Data'!$C$20:$C$1000,1,false)</f>
        <v>ZPM1_Ball_Holder</v>
      </c>
      <c r="H3493" s="63" t="str">
        <f>IFERROR(__xludf.DUMMYFUNCTION("VLOOKUP(F3493, IMPORTRANGE(""https://docs.google.com/spreadsheets/d/1Lhp9OU0JdFf_VYSMzH5lBcEaU4o8teT1piV-SNzShjg/edit?gid=554141278#gid=554141278"", ""'Char Def. - Attributes'!C20:C2242""), 1,false)"),"GROSS_WEIGHT")</f>
        <v>GROSS_WEIGHT</v>
      </c>
      <c r="I3493" s="136"/>
    </row>
    <row r="3494" ht="15.75" customHeight="1">
      <c r="B3494" s="63">
        <f t="shared" si="1"/>
        <v>16</v>
      </c>
      <c r="C3494" s="146" t="s">
        <v>242</v>
      </c>
      <c r="D3494" s="147" t="s">
        <v>74</v>
      </c>
      <c r="E3494" s="135">
        <f t="shared" si="59"/>
        <v>48</v>
      </c>
      <c r="F3494" s="134" t="s">
        <v>3876</v>
      </c>
      <c r="G3494" s="63" t="str">
        <f>VLOOKUP(C3494, 'Class Def. - General Data'!$C$20:$C$1000,1,false)</f>
        <v>ZPM1_Ball_Holder</v>
      </c>
      <c r="H3494" s="63" t="str">
        <f>IFERROR(__xludf.DUMMYFUNCTION("VLOOKUP(F3494, IMPORTRANGE(""https://docs.google.com/spreadsheets/d/1Lhp9OU0JdFf_VYSMzH5lBcEaU4o8teT1piV-SNzShjg/edit?gid=554141278#gid=554141278"", ""'Char Def. - Attributes'!C20:C2242""), 1,false)"),"WEIGHT_UNIT_PM")</f>
        <v>WEIGHT_UNIT_PM</v>
      </c>
      <c r="I3494" s="136"/>
    </row>
    <row r="3495" ht="15.75" customHeight="1">
      <c r="B3495" s="63">
        <f t="shared" si="1"/>
        <v>16</v>
      </c>
      <c r="C3495" s="146" t="s">
        <v>242</v>
      </c>
      <c r="D3495" s="147" t="s">
        <v>74</v>
      </c>
      <c r="E3495" s="135">
        <f t="shared" si="59"/>
        <v>49</v>
      </c>
      <c r="F3495" s="134" t="s">
        <v>3877</v>
      </c>
      <c r="G3495" s="63" t="str">
        <f>VLOOKUP(C3495, 'Class Def. - General Data'!$C$20:$C$1000,1,false)</f>
        <v>ZPM1_Ball_Holder</v>
      </c>
      <c r="H3495" s="63" t="str">
        <f>IFERROR(__xludf.DUMMYFUNCTION("VLOOKUP(F3495, IMPORTRANGE(""https://docs.google.com/spreadsheets/d/1Lhp9OU0JdFf_VYSMzH5lBcEaU4o8teT1piV-SNzShjg/edit?gid=554141278#gid=554141278"", ""'Char Def. - Attributes'!C20:C2242""), 1,false)"),"VOLUME_OPT")</f>
        <v>VOLUME_OPT</v>
      </c>
      <c r="I3495" s="136"/>
    </row>
    <row r="3496" ht="15.75" customHeight="1">
      <c r="B3496" s="63">
        <f t="shared" si="1"/>
        <v>16</v>
      </c>
      <c r="C3496" s="146" t="s">
        <v>242</v>
      </c>
      <c r="D3496" s="147" t="s">
        <v>74</v>
      </c>
      <c r="E3496" s="135">
        <f t="shared" si="59"/>
        <v>50</v>
      </c>
      <c r="F3496" s="134" t="s">
        <v>3878</v>
      </c>
      <c r="G3496" s="63" t="str">
        <f>VLOOKUP(C3496, 'Class Def. - General Data'!$C$20:$C$1000,1,false)</f>
        <v>ZPM1_Ball_Holder</v>
      </c>
      <c r="H3496" s="63" t="str">
        <f>IFERROR(__xludf.DUMMYFUNCTION("VLOOKUP(F3496, IMPORTRANGE(""https://docs.google.com/spreadsheets/d/1Lhp9OU0JdFf_VYSMzH5lBcEaU4o8teT1piV-SNzShjg/edit?gid=554141278#gid=554141278"", ""'Char Def. - Attributes'!C20:C2242""), 1,false)"),"VOLUME_UNIT")</f>
        <v>VOLUME_UNIT</v>
      </c>
      <c r="I3496" s="136"/>
    </row>
    <row r="3497" ht="15.75" customHeight="1">
      <c r="B3497" s="63">
        <f t="shared" si="1"/>
        <v>16</v>
      </c>
      <c r="C3497" s="146" t="s">
        <v>242</v>
      </c>
      <c r="D3497" s="147" t="s">
        <v>74</v>
      </c>
      <c r="E3497" s="135">
        <f t="shared" si="59"/>
        <v>51</v>
      </c>
      <c r="F3497" s="134" t="s">
        <v>3879</v>
      </c>
      <c r="G3497" s="63" t="str">
        <f>VLOOKUP(C3497, 'Class Def. - General Data'!$C$20:$C$1000,1,false)</f>
        <v>ZPM1_Ball_Holder</v>
      </c>
      <c r="H3497" s="63" t="str">
        <f>IFERROR(__xludf.DUMMYFUNCTION("VLOOKUP(F3497, IMPORTRANGE(""https://docs.google.com/spreadsheets/d/1Lhp9OU0JdFf_VYSMzH5lBcEaU4o8teT1piV-SNzShjg/edit?gid=554141278#gid=554141278"", ""'Char Def. - Attributes'!C20:C2242""), 1,false)"),"OLD_MAT_NO_RMPM")</f>
        <v>OLD_MAT_NO_RMPM</v>
      </c>
      <c r="I3497" s="136"/>
    </row>
    <row r="3498" ht="15.75" customHeight="1">
      <c r="B3498" s="63">
        <f t="shared" si="1"/>
        <v>16</v>
      </c>
      <c r="C3498" s="146" t="s">
        <v>242</v>
      </c>
      <c r="D3498" s="147" t="s">
        <v>74</v>
      </c>
      <c r="E3498" s="135">
        <f t="shared" si="59"/>
        <v>52</v>
      </c>
      <c r="F3498" s="134" t="s">
        <v>3880</v>
      </c>
      <c r="G3498" s="63" t="str">
        <f>VLOOKUP(C3498, 'Class Def. - General Data'!$C$20:$C$1000,1,false)</f>
        <v>ZPM1_Ball_Holder</v>
      </c>
      <c r="H3498" s="63" t="str">
        <f>IFERROR(__xludf.DUMMYFUNCTION("VLOOKUP(F3498, IMPORTRANGE(""https://docs.google.com/spreadsheets/d/1Lhp9OU0JdFf_VYSMzH5lBcEaU4o8teT1piV-SNzShjg/edit?gid=554141278#gid=554141278"", ""'Char Def. - Attributes'!C20:C2242""), 1,false)"),"NOTE_PM")</f>
        <v>NOTE_PM</v>
      </c>
      <c r="I3498" s="136"/>
    </row>
    <row r="3499" ht="15.75" customHeight="1">
      <c r="B3499" s="63">
        <f t="shared" si="1"/>
        <v>16</v>
      </c>
      <c r="C3499" s="146" t="s">
        <v>242</v>
      </c>
      <c r="D3499" s="147" t="s">
        <v>74</v>
      </c>
      <c r="E3499" s="135">
        <f t="shared" si="59"/>
        <v>53</v>
      </c>
      <c r="F3499" s="134" t="s">
        <v>3881</v>
      </c>
      <c r="G3499" s="63" t="str">
        <f>VLOOKUP(C3499, 'Class Def. - General Data'!$C$20:$C$1000,1,false)</f>
        <v>ZPM1_Ball_Holder</v>
      </c>
      <c r="H3499" s="63" t="str">
        <f>IFERROR(__xludf.DUMMYFUNCTION("VLOOKUP(F3499, IMPORTRANGE(""https://docs.google.com/spreadsheets/d/1Lhp9OU0JdFf_VYSMzH5lBcEaU4o8teT1piV-SNzShjg/edit?gid=554141278#gid=554141278"", ""'Char Def. - Attributes'!C20:C2242""), 1,false)"),"BS_BERSIH")</f>
        <v>BS_BERSIH</v>
      </c>
      <c r="I3499" s="136"/>
    </row>
    <row r="3500" ht="15.75" customHeight="1">
      <c r="B3500" s="63">
        <f t="shared" si="1"/>
        <v>16</v>
      </c>
      <c r="C3500" s="146" t="s">
        <v>242</v>
      </c>
      <c r="D3500" s="147" t="s">
        <v>74</v>
      </c>
      <c r="E3500" s="135">
        <f t="shared" si="59"/>
        <v>54</v>
      </c>
      <c r="F3500" s="134" t="s">
        <v>3882</v>
      </c>
      <c r="G3500" s="63" t="str">
        <f>VLOOKUP(C3500, 'Class Def. - General Data'!$C$20:$C$1000,1,false)</f>
        <v>ZPM1_Ball_Holder</v>
      </c>
      <c r="H3500" s="63" t="str">
        <f>IFERROR(__xludf.DUMMYFUNCTION("VLOOKUP(F3500, IMPORTRANGE(""https://docs.google.com/spreadsheets/d/1Lhp9OU0JdFf_VYSMzH5lBcEaU4o8teT1piV-SNzShjg/edit?gid=554141278#gid=554141278"", ""'Char Def. - Attributes'!C20:C2242""), 1,false)"),"BS_KOTOR")</f>
        <v>BS_KOTOR</v>
      </c>
      <c r="I3500" s="136"/>
    </row>
    <row r="3501" ht="15.75" customHeight="1">
      <c r="B3501" s="63">
        <f t="shared" si="1"/>
        <v>16</v>
      </c>
      <c r="C3501" s="146" t="s">
        <v>242</v>
      </c>
      <c r="D3501" s="147" t="s">
        <v>74</v>
      </c>
      <c r="E3501" s="135">
        <f t="shared" si="59"/>
        <v>55</v>
      </c>
      <c r="F3501" s="134" t="s">
        <v>3883</v>
      </c>
      <c r="G3501" s="63" t="str">
        <f>VLOOKUP(C3501, 'Class Def. - General Data'!$C$20:$C$1000,1,false)</f>
        <v>ZPM1_Ball_Holder</v>
      </c>
      <c r="H3501" s="63" t="str">
        <f>IFERROR(__xludf.DUMMYFUNCTION("VLOOKUP(F3501, IMPORTRANGE(""https://docs.google.com/spreadsheets/d/1Lhp9OU0JdFf_VYSMzH5lBcEaU4o8teT1piV-SNzShjg/edit?gid=554141278#gid=554141278"", ""'Char Def. - Attributes'!C20:C2242""), 1,false)"),"BS_SCRAP")</f>
        <v>BS_SCRAP</v>
      </c>
      <c r="I3501" s="136"/>
    </row>
    <row r="3502" ht="15.75" customHeight="1">
      <c r="B3502" s="63">
        <f t="shared" si="1"/>
        <v>8</v>
      </c>
      <c r="C3502" s="146" t="s">
        <v>251</v>
      </c>
      <c r="D3502" s="147" t="s">
        <v>74</v>
      </c>
      <c r="E3502" s="135">
        <f t="shared" si="59"/>
        <v>1</v>
      </c>
      <c r="F3502" s="148" t="s">
        <v>3901</v>
      </c>
      <c r="G3502" s="63" t="str">
        <f>VLOOKUP(C3502, 'Class Def. - General Data'!$C$20:$C$1000,1,false)</f>
        <v>ZPM1_BIB</v>
      </c>
      <c r="H3502" s="63" t="str">
        <f>IFERROR(__xludf.DUMMYFUNCTION("VLOOKUP(F3502, IMPORTRANGE(""https://docs.google.com/spreadsheets/d/1Lhp9OU0JdFf_VYSMzH5lBcEaU4o8teT1piV-SNzShjg/edit?gid=554141278#gid=554141278"", ""'Char Def. - Attributes'!C20:C2242""), 1,false)"),"MATERIAL_CODE_BIB")</f>
        <v>MATERIAL_CODE_BIB</v>
      </c>
      <c r="I3502" s="136"/>
    </row>
    <row r="3503" ht="15.75" customHeight="1">
      <c r="B3503" s="63">
        <f t="shared" si="1"/>
        <v>8</v>
      </c>
      <c r="C3503" s="146" t="s">
        <v>251</v>
      </c>
      <c r="D3503" s="147" t="s">
        <v>74</v>
      </c>
      <c r="E3503" s="135">
        <f t="shared" si="59"/>
        <v>2</v>
      </c>
      <c r="F3503" s="134" t="s">
        <v>3902</v>
      </c>
      <c r="G3503" s="63" t="str">
        <f>VLOOKUP(C3503, 'Class Def. - General Data'!$C$20:$C$1000,1,false)</f>
        <v>ZPM1_BIB</v>
      </c>
      <c r="H3503" s="63" t="str">
        <f>IFERROR(__xludf.DUMMYFUNCTION("VLOOKUP(F3503, IMPORTRANGE(""https://docs.google.com/spreadsheets/d/1Lhp9OU0JdFf_VYSMzH5lBcEaU4o8teT1piV-SNzShjg/edit?gid=554141278#gid=554141278"", ""'Char Def. - Attributes'!C20:C2242""), 1,false)"),"BRAND_WINGS_OPT")</f>
        <v>BRAND_WINGS_OPT</v>
      </c>
      <c r="I3503" s="136"/>
    </row>
    <row r="3504" ht="15.75" customHeight="1">
      <c r="B3504" s="63">
        <f t="shared" si="1"/>
        <v>8</v>
      </c>
      <c r="C3504" s="146" t="s">
        <v>251</v>
      </c>
      <c r="D3504" s="147" t="s">
        <v>74</v>
      </c>
      <c r="E3504" s="135">
        <f t="shared" si="59"/>
        <v>3</v>
      </c>
      <c r="F3504" s="148" t="s">
        <v>3903</v>
      </c>
      <c r="G3504" s="63" t="str">
        <f>VLOOKUP(C3504, 'Class Def. - General Data'!$C$20:$C$1000,1,false)</f>
        <v>ZPM1_BIB</v>
      </c>
      <c r="H3504" s="63" t="str">
        <f>IFERROR(__xludf.DUMMYFUNCTION("VLOOKUP(F3504, IMPORTRANGE(""https://docs.google.com/spreadsheets/d/1Lhp9OU0JdFf_VYSMzH5lBcEaU4o8teT1piV-SNzShjg/edit?gid=554141278#gid=554141278"", ""'Char Def. - Attributes'!C20:C2242""), 1,false)"),"ADDITIONAL_INFO_PM")</f>
        <v>ADDITIONAL_INFO_PM</v>
      </c>
      <c r="I3504" s="136"/>
    </row>
    <row r="3505" ht="15.75" customHeight="1">
      <c r="B3505" s="63">
        <f t="shared" si="1"/>
        <v>8</v>
      </c>
      <c r="C3505" s="146" t="s">
        <v>251</v>
      </c>
      <c r="D3505" s="147" t="s">
        <v>74</v>
      </c>
      <c r="E3505" s="135">
        <f t="shared" si="59"/>
        <v>4</v>
      </c>
      <c r="F3505" s="149" t="s">
        <v>3904</v>
      </c>
      <c r="G3505" s="63" t="str">
        <f>VLOOKUP(C3505, 'Class Def. - General Data'!$C$20:$C$1000,1,false)</f>
        <v>ZPM1_BIB</v>
      </c>
      <c r="H3505" s="63" t="str">
        <f>IFERROR(__xludf.DUMMYFUNCTION("VLOOKUP(F3505, IMPORTRANGE(""https://docs.google.com/spreadsheets/d/1Lhp9OU0JdFf_VYSMzH5lBcEaU4o8teT1piV-SNzShjg/edit?gid=554141278#gid=554141278"", ""'Char Def. - Attributes'!C20:C2242""), 1,false)"),"VOLUME_L_OPT")</f>
        <v>VOLUME_L_OPT</v>
      </c>
      <c r="I3505" s="136"/>
    </row>
    <row r="3506" ht="15.75" customHeight="1">
      <c r="B3506" s="63">
        <f t="shared" si="1"/>
        <v>8</v>
      </c>
      <c r="C3506" s="146" t="s">
        <v>251</v>
      </c>
      <c r="D3506" s="147" t="s">
        <v>74</v>
      </c>
      <c r="E3506" s="135">
        <f t="shared" si="59"/>
        <v>5</v>
      </c>
      <c r="F3506" s="149" t="s">
        <v>3891</v>
      </c>
      <c r="G3506" s="63" t="str">
        <f>VLOOKUP(C3506, 'Class Def. - General Data'!$C$20:$C$1000,1,false)</f>
        <v>ZPM1_BIB</v>
      </c>
      <c r="H3506" s="63" t="str">
        <f>IFERROR(__xludf.DUMMYFUNCTION("VLOOKUP(F3506, IMPORTRANGE(""https://docs.google.com/spreadsheets/d/1Lhp9OU0JdFf_VYSMzH5lBcEaU4o8teT1piV-SNzShjg/edit?gid=554141278#gid=554141278"", ""'Char Def. - Attributes'!C20:C2242""), 1,false)"),"GENERAL_SPEC")</f>
        <v>GENERAL_SPEC</v>
      </c>
      <c r="I3506" s="136"/>
    </row>
    <row r="3507" ht="15.75" customHeight="1">
      <c r="B3507" s="63">
        <f t="shared" si="1"/>
        <v>8</v>
      </c>
      <c r="C3507" s="146" t="s">
        <v>251</v>
      </c>
      <c r="D3507" s="147" t="s">
        <v>74</v>
      </c>
      <c r="E3507" s="135">
        <f t="shared" si="59"/>
        <v>6</v>
      </c>
      <c r="F3507" s="134" t="s">
        <v>3905</v>
      </c>
      <c r="G3507" s="63" t="str">
        <f>VLOOKUP(C3507, 'Class Def. - General Data'!$C$20:$C$1000,1,false)</f>
        <v>ZPM1_BIB</v>
      </c>
      <c r="H3507" s="63" t="str">
        <f>IFERROR(__xludf.DUMMYFUNCTION("VLOOKUP(F3507, IMPORTRANGE(""https://docs.google.com/spreadsheets/d/1Lhp9OU0JdFf_VYSMzH5lBcEaU4o8teT1piV-SNzShjg/edit?gid=554141278#gid=554141278"", ""'Char Def. - Attributes'!C20:C2242""), 1,false)"),"SPEC_CODE")</f>
        <v>SPEC_CODE</v>
      </c>
      <c r="I3507" s="136"/>
    </row>
    <row r="3508" ht="15.75" customHeight="1">
      <c r="B3508" s="63">
        <f t="shared" si="1"/>
        <v>8</v>
      </c>
      <c r="C3508" s="146" t="s">
        <v>251</v>
      </c>
      <c r="D3508" s="147" t="s">
        <v>74</v>
      </c>
      <c r="E3508" s="135">
        <f t="shared" si="59"/>
        <v>7</v>
      </c>
      <c r="F3508" s="149" t="s">
        <v>3892</v>
      </c>
      <c r="G3508" s="63" t="str">
        <f>VLOOKUP(C3508, 'Class Def. - General Data'!$C$20:$C$1000,1,false)</f>
        <v>ZPM1_BIB</v>
      </c>
      <c r="H3508" s="63" t="str">
        <f>IFERROR(__xludf.DUMMYFUNCTION("VLOOKUP(F3508, IMPORTRANGE(""https://docs.google.com/spreadsheets/d/1Lhp9OU0JdFf_VYSMzH5lBcEaU4o8teT1piV-SNzShjg/edit?gid=554141278#gid=554141278"", ""'Char Def. - Attributes'!C20:C2242""), 1,false)"),"COLOR_COUNT")</f>
        <v>COLOR_COUNT</v>
      </c>
      <c r="I3508" s="136"/>
    </row>
    <row r="3509" ht="15.75" customHeight="1">
      <c r="B3509" s="63">
        <f t="shared" si="1"/>
        <v>8</v>
      </c>
      <c r="C3509" s="146" t="s">
        <v>251</v>
      </c>
      <c r="D3509" s="147" t="s">
        <v>74</v>
      </c>
      <c r="E3509" s="135">
        <f t="shared" si="59"/>
        <v>8</v>
      </c>
      <c r="F3509" s="134" t="s">
        <v>3893</v>
      </c>
      <c r="G3509" s="63" t="str">
        <f>VLOOKUP(C3509, 'Class Def. - General Data'!$C$20:$C$1000,1,false)</f>
        <v>ZPM1_BIB</v>
      </c>
      <c r="H3509" s="63" t="str">
        <f>IFERROR(__xludf.DUMMYFUNCTION("VLOOKUP(F3509, IMPORTRANGE(""https://docs.google.com/spreadsheets/d/1Lhp9OU0JdFf_VYSMzH5lBcEaU4o8teT1piV-SNzShjg/edit?gid=554141278#gid=554141278"", ""'Char Def. - Attributes'!C20:C2242""), 1,false)"),"FLEX_UOM")</f>
        <v>FLEX_UOM</v>
      </c>
      <c r="I3509" s="136"/>
    </row>
    <row r="3510" ht="15.75" customHeight="1">
      <c r="B3510" s="63">
        <f t="shared" si="1"/>
        <v>8</v>
      </c>
      <c r="C3510" s="146" t="s">
        <v>251</v>
      </c>
      <c r="D3510" s="147" t="s">
        <v>74</v>
      </c>
      <c r="E3510" s="135">
        <f t="shared" si="59"/>
        <v>9</v>
      </c>
      <c r="F3510" s="134" t="s">
        <v>3894</v>
      </c>
      <c r="G3510" s="63" t="str">
        <f>VLOOKUP(C3510, 'Class Def. - General Data'!$C$20:$C$1000,1,false)</f>
        <v>ZPM1_BIB</v>
      </c>
      <c r="H3510" s="63" t="str">
        <f>IFERROR(__xludf.DUMMYFUNCTION("VLOOKUP(F3510, IMPORTRANGE(""https://docs.google.com/spreadsheets/d/1Lhp9OU0JdFf_VYSMzH5lBcEaU4o8teT1piV-SNzShjg/edit?gid=554141278#gid=554141278"", ""'Char Def. - Attributes'!C20:C2242""), 1,false)"),"FLEX_COMPLEXITY")</f>
        <v>FLEX_COMPLEXITY</v>
      </c>
      <c r="I3510" s="136"/>
    </row>
    <row r="3511" ht="15.75" customHeight="1">
      <c r="B3511" s="63">
        <f t="shared" si="1"/>
        <v>8</v>
      </c>
      <c r="C3511" s="146" t="s">
        <v>251</v>
      </c>
      <c r="D3511" s="147" t="s">
        <v>74</v>
      </c>
      <c r="E3511" s="135">
        <f t="shared" si="59"/>
        <v>10</v>
      </c>
      <c r="F3511" s="150" t="s">
        <v>3587</v>
      </c>
      <c r="G3511" s="63" t="str">
        <f>VLOOKUP(C3511, 'Class Def. - General Data'!$C$20:$C$1000,1,false)</f>
        <v>ZPM1_BIB</v>
      </c>
      <c r="H3511" s="63" t="str">
        <f>IFERROR(__xludf.DUMMYFUNCTION("VLOOKUP(F3511, IMPORTRANGE(""https://docs.google.com/spreadsheets/d/1Lhp9OU0JdFf_VYSMzH5lBcEaU4o8teT1piV-SNzShjg/edit?gid=554141278#gid=554141278"", ""'Char Def. - Attributes'!C20:C2242""), 1,false)"),"PLANT_BUY")</f>
        <v>PLANT_BUY</v>
      </c>
      <c r="I3511" s="136"/>
    </row>
    <row r="3512" ht="15.75" customHeight="1">
      <c r="B3512" s="63">
        <f t="shared" si="1"/>
        <v>8</v>
      </c>
      <c r="C3512" s="146" t="s">
        <v>251</v>
      </c>
      <c r="D3512" s="147" t="s">
        <v>74</v>
      </c>
      <c r="E3512" s="135">
        <f t="shared" si="59"/>
        <v>11</v>
      </c>
      <c r="F3512" s="149" t="s">
        <v>3865</v>
      </c>
      <c r="G3512" s="63" t="str">
        <f>VLOOKUP(C3512, 'Class Def. - General Data'!$C$20:$C$1000,1,false)</f>
        <v>ZPM1_BIB</v>
      </c>
      <c r="H3512" s="63" t="str">
        <f>IFERROR(__xludf.DUMMYFUNCTION("VLOOKUP(F3512, IMPORTRANGE(""https://docs.google.com/spreadsheets/d/1Lhp9OU0JdFf_VYSMzH5lBcEaU4o8teT1piV-SNzShjg/edit?gid=554141278#gid=554141278"", ""'Char Def. - Attributes'!C20:C2242""), 1,false)"),"PLANT_PROD_OPT")</f>
        <v>PLANT_PROD_OPT</v>
      </c>
      <c r="I3512" s="136"/>
    </row>
    <row r="3513" ht="15.75" customHeight="1">
      <c r="B3513" s="63">
        <f t="shared" si="1"/>
        <v>8</v>
      </c>
      <c r="C3513" s="146" t="s">
        <v>251</v>
      </c>
      <c r="D3513" s="147" t="s">
        <v>74</v>
      </c>
      <c r="E3513" s="135">
        <f t="shared" si="59"/>
        <v>12</v>
      </c>
      <c r="F3513" s="148" t="s">
        <v>3866</v>
      </c>
      <c r="G3513" s="63" t="str">
        <f>VLOOKUP(C3513, 'Class Def. - General Data'!$C$20:$C$1000,1,false)</f>
        <v>ZPM1_BIB</v>
      </c>
      <c r="H3513" s="63" t="str">
        <f>IFERROR(__xludf.DUMMYFUNCTION("VLOOKUP(F3513, IMPORTRANGE(""https://docs.google.com/spreadsheets/d/1Lhp9OU0JdFf_VYSMzH5lBcEaU4o8teT1piV-SNzShjg/edit?gid=554141278#gid=554141278"", ""'Char Def. - Attributes'!C20:C2242""), 1,false)"),"PM_SUPPLY_JKT")</f>
        <v>PM_SUPPLY_JKT</v>
      </c>
      <c r="I3513" s="136"/>
    </row>
    <row r="3514" ht="15.75" customHeight="1">
      <c r="B3514" s="63">
        <f t="shared" si="1"/>
        <v>8</v>
      </c>
      <c r="C3514" s="146" t="s">
        <v>251</v>
      </c>
      <c r="D3514" s="147" t="s">
        <v>74</v>
      </c>
      <c r="E3514" s="135">
        <f t="shared" si="59"/>
        <v>13</v>
      </c>
      <c r="F3514" s="148" t="s">
        <v>3867</v>
      </c>
      <c r="G3514" s="63" t="str">
        <f>VLOOKUP(C3514, 'Class Def. - General Data'!$C$20:$C$1000,1,false)</f>
        <v>ZPM1_BIB</v>
      </c>
      <c r="H3514" s="63" t="str">
        <f>IFERROR(__xludf.DUMMYFUNCTION("VLOOKUP(F3514, IMPORTRANGE(""https://docs.google.com/spreadsheets/d/1Lhp9OU0JdFf_VYSMzH5lBcEaU4o8teT1piV-SNzShjg/edit?gid=554141278#gid=554141278"", ""'Char Def. - Attributes'!C20:C2242""), 1,false)"),"PM_SUPPLY_SBY")</f>
        <v>PM_SUPPLY_SBY</v>
      </c>
      <c r="I3514" s="136"/>
    </row>
    <row r="3515" ht="15.75" customHeight="1">
      <c r="B3515" s="63">
        <f t="shared" si="1"/>
        <v>8</v>
      </c>
      <c r="C3515" s="146" t="s">
        <v>251</v>
      </c>
      <c r="D3515" s="147" t="s">
        <v>74</v>
      </c>
      <c r="E3515" s="135">
        <f t="shared" si="59"/>
        <v>14</v>
      </c>
      <c r="F3515" s="151" t="s">
        <v>3868</v>
      </c>
      <c r="G3515" s="63" t="str">
        <f>VLOOKUP(C3515, 'Class Def. - General Data'!$C$20:$C$1000,1,false)</f>
        <v>ZPM1_BIB</v>
      </c>
      <c r="H3515" s="63" t="str">
        <f>IFERROR(__xludf.DUMMYFUNCTION("VLOOKUP(F3515, IMPORTRANGE(""https://docs.google.com/spreadsheets/d/1Lhp9OU0JdFf_VYSMzH5lBcEaU4o8teT1piV-SNzShjg/edit?gid=554141278#gid=554141278"", ""'Char Def. - Attributes'!C20:C2242""), 1,false)"),"BASIC_UOM_RMPM")</f>
        <v>BASIC_UOM_RMPM</v>
      </c>
      <c r="I3515" s="136"/>
    </row>
    <row r="3516" ht="15.75" customHeight="1">
      <c r="B3516" s="63">
        <f t="shared" si="1"/>
        <v>8</v>
      </c>
      <c r="C3516" s="146" t="s">
        <v>251</v>
      </c>
      <c r="D3516" s="147" t="s">
        <v>74</v>
      </c>
      <c r="E3516" s="135">
        <f t="shared" si="59"/>
        <v>15</v>
      </c>
      <c r="F3516" s="152" t="s">
        <v>3869</v>
      </c>
      <c r="G3516" s="63" t="str">
        <f>VLOOKUP(C3516, 'Class Def. - General Data'!$C$20:$C$1000,1,false)</f>
        <v>ZPM1_BIB</v>
      </c>
      <c r="H3516" s="63" t="str">
        <f>IFERROR(__xludf.DUMMYFUNCTION("VLOOKUP(F3516, IMPORTRANGE(""https://docs.google.com/spreadsheets/d/1Lhp9OU0JdFf_VYSMzH5lBcEaU4o8teT1piV-SNzShjg/edit?gid=554141278#gid=554141278"", ""'Char Def. - Attributes'!C20:C2242""), 1,false)"),"ALT_UOM1_RMPM")</f>
        <v>ALT_UOM1_RMPM</v>
      </c>
      <c r="I3516" s="136"/>
    </row>
    <row r="3517" ht="15.75" customHeight="1">
      <c r="B3517" s="63">
        <f t="shared" si="1"/>
        <v>8</v>
      </c>
      <c r="C3517" s="146" t="s">
        <v>251</v>
      </c>
      <c r="D3517" s="147" t="s">
        <v>74</v>
      </c>
      <c r="E3517" s="135">
        <f t="shared" si="59"/>
        <v>16</v>
      </c>
      <c r="F3517" s="152" t="s">
        <v>3805</v>
      </c>
      <c r="G3517" s="63" t="str">
        <f>VLOOKUP(C3517, 'Class Def. - General Data'!$C$20:$C$1000,1,false)</f>
        <v>ZPM1_BIB</v>
      </c>
      <c r="H3517" s="63" t="str">
        <f>IFERROR(__xludf.DUMMYFUNCTION("VLOOKUP(F3517, IMPORTRANGE(""https://docs.google.com/spreadsheets/d/1Lhp9OU0JdFf_VYSMzH5lBcEaU4o8teT1piV-SNzShjg/edit?gid=554141278#gid=554141278"", ""'Char Def. - Attributes'!C20:C2242""), 1,false)"),"ALT_DENUM_UOM1")</f>
        <v>ALT_DENUM_UOM1</v>
      </c>
      <c r="I3517" s="136"/>
    </row>
    <row r="3518" ht="15.75" customHeight="1">
      <c r="B3518" s="63">
        <f t="shared" si="1"/>
        <v>8</v>
      </c>
      <c r="C3518" s="146" t="s">
        <v>251</v>
      </c>
      <c r="D3518" s="147" t="s">
        <v>74</v>
      </c>
      <c r="E3518" s="135">
        <f t="shared" si="59"/>
        <v>17</v>
      </c>
      <c r="F3518" s="152" t="s">
        <v>3806</v>
      </c>
      <c r="G3518" s="63" t="str">
        <f>VLOOKUP(C3518, 'Class Def. - General Data'!$C$20:$C$1000,1,false)</f>
        <v>ZPM1_BIB</v>
      </c>
      <c r="H3518" s="63" t="str">
        <f>IFERROR(__xludf.DUMMYFUNCTION("VLOOKUP(F3518, IMPORTRANGE(""https://docs.google.com/spreadsheets/d/1Lhp9OU0JdFf_VYSMzH5lBcEaU4o8teT1piV-SNzShjg/edit?gid=554141278#gid=554141278"", ""'Char Def. - Attributes'!C20:C2242""), 1,false)"),"ALT_NUM_UOM1")</f>
        <v>ALT_NUM_UOM1</v>
      </c>
      <c r="I3518" s="136"/>
    </row>
    <row r="3519" ht="15.75" customHeight="1">
      <c r="B3519" s="63">
        <f t="shared" si="1"/>
        <v>8</v>
      </c>
      <c r="C3519" s="146" t="s">
        <v>251</v>
      </c>
      <c r="D3519" s="147" t="s">
        <v>74</v>
      </c>
      <c r="E3519" s="135">
        <f t="shared" si="59"/>
        <v>18</v>
      </c>
      <c r="F3519" s="152" t="s">
        <v>3870</v>
      </c>
      <c r="G3519" s="63" t="str">
        <f>VLOOKUP(C3519, 'Class Def. - General Data'!$C$20:$C$1000,1,false)</f>
        <v>ZPM1_BIB</v>
      </c>
      <c r="H3519" s="63" t="str">
        <f>IFERROR(__xludf.DUMMYFUNCTION("VLOOKUP(F3519, IMPORTRANGE(""https://docs.google.com/spreadsheets/d/1Lhp9OU0JdFf_VYSMzH5lBcEaU4o8teT1piV-SNzShjg/edit?gid=554141278#gid=554141278"", ""'Char Def. - Attributes'!C20:C2242""), 1,false)"),"ALT_UOM2_RMPM")</f>
        <v>ALT_UOM2_RMPM</v>
      </c>
      <c r="I3519" s="136"/>
    </row>
    <row r="3520" ht="15.75" customHeight="1">
      <c r="B3520" s="63">
        <f t="shared" si="1"/>
        <v>8</v>
      </c>
      <c r="C3520" s="146" t="s">
        <v>251</v>
      </c>
      <c r="D3520" s="147" t="s">
        <v>74</v>
      </c>
      <c r="E3520" s="135">
        <f t="shared" si="59"/>
        <v>19</v>
      </c>
      <c r="F3520" s="152" t="s">
        <v>3808</v>
      </c>
      <c r="G3520" s="63" t="str">
        <f>VLOOKUP(C3520, 'Class Def. - General Data'!$C$20:$C$1000,1,false)</f>
        <v>ZPM1_BIB</v>
      </c>
      <c r="H3520" s="63" t="str">
        <f>IFERROR(__xludf.DUMMYFUNCTION("VLOOKUP(F3520, IMPORTRANGE(""https://docs.google.com/spreadsheets/d/1Lhp9OU0JdFf_VYSMzH5lBcEaU4o8teT1piV-SNzShjg/edit?gid=554141278#gid=554141278"", ""'Char Def. - Attributes'!C20:C2242""), 1,false)"),"ALT_DENUM_UOM2")</f>
        <v>ALT_DENUM_UOM2</v>
      </c>
      <c r="I3520" s="136"/>
    </row>
    <row r="3521" ht="15.75" customHeight="1">
      <c r="B3521" s="63">
        <f t="shared" si="1"/>
        <v>8</v>
      </c>
      <c r="C3521" s="146" t="s">
        <v>251</v>
      </c>
      <c r="D3521" s="147" t="s">
        <v>74</v>
      </c>
      <c r="E3521" s="135">
        <f t="shared" si="59"/>
        <v>20</v>
      </c>
      <c r="F3521" s="152" t="s">
        <v>3809</v>
      </c>
      <c r="G3521" s="63" t="str">
        <f>VLOOKUP(C3521, 'Class Def. - General Data'!$C$20:$C$1000,1,false)</f>
        <v>ZPM1_BIB</v>
      </c>
      <c r="H3521" s="63" t="str">
        <f>IFERROR(__xludf.DUMMYFUNCTION("VLOOKUP(F3521, IMPORTRANGE(""https://docs.google.com/spreadsheets/d/1Lhp9OU0JdFf_VYSMzH5lBcEaU4o8teT1piV-SNzShjg/edit?gid=554141278#gid=554141278"", ""'Char Def. - Attributes'!C20:C2242""), 1,false)"),"ALT_NUM_UOM2")</f>
        <v>ALT_NUM_UOM2</v>
      </c>
      <c r="I3521" s="136"/>
    </row>
    <row r="3522" ht="15.75" customHeight="1">
      <c r="B3522" s="63">
        <f t="shared" si="1"/>
        <v>8</v>
      </c>
      <c r="C3522" s="146" t="s">
        <v>251</v>
      </c>
      <c r="D3522" s="147" t="s">
        <v>74</v>
      </c>
      <c r="E3522" s="135">
        <f t="shared" si="59"/>
        <v>21</v>
      </c>
      <c r="F3522" s="152" t="s">
        <v>3871</v>
      </c>
      <c r="G3522" s="63" t="str">
        <f>VLOOKUP(C3522, 'Class Def. - General Data'!$C$20:$C$1000,1,false)</f>
        <v>ZPM1_BIB</v>
      </c>
      <c r="H3522" s="63" t="str">
        <f>IFERROR(__xludf.DUMMYFUNCTION("VLOOKUP(F3522, IMPORTRANGE(""https://docs.google.com/spreadsheets/d/1Lhp9OU0JdFf_VYSMzH5lBcEaU4o8teT1piV-SNzShjg/edit?gid=554141278#gid=554141278"", ""'Char Def. - Attributes'!C20:C2242""), 1,false)"),"ALT_UOM3_RMPM")</f>
        <v>ALT_UOM3_RMPM</v>
      </c>
      <c r="I3522" s="136"/>
    </row>
    <row r="3523" ht="15.75" customHeight="1">
      <c r="B3523" s="63">
        <f t="shared" si="1"/>
        <v>8</v>
      </c>
      <c r="C3523" s="146" t="s">
        <v>251</v>
      </c>
      <c r="D3523" s="147" t="s">
        <v>74</v>
      </c>
      <c r="E3523" s="135">
        <f t="shared" si="59"/>
        <v>22</v>
      </c>
      <c r="F3523" s="152" t="s">
        <v>3811</v>
      </c>
      <c r="G3523" s="63" t="str">
        <f>VLOOKUP(C3523, 'Class Def. - General Data'!$C$20:$C$1000,1,false)</f>
        <v>ZPM1_BIB</v>
      </c>
      <c r="H3523" s="63" t="str">
        <f>IFERROR(__xludf.DUMMYFUNCTION("VLOOKUP(F3523, IMPORTRANGE(""https://docs.google.com/spreadsheets/d/1Lhp9OU0JdFf_VYSMzH5lBcEaU4o8teT1piV-SNzShjg/edit?gid=554141278#gid=554141278"", ""'Char Def. - Attributes'!C20:C2242""), 1,false)"),"ALT_DENUM_UOM3")</f>
        <v>ALT_DENUM_UOM3</v>
      </c>
      <c r="I3523" s="136"/>
    </row>
    <row r="3524" ht="15.75" customHeight="1">
      <c r="B3524" s="63">
        <f t="shared" si="1"/>
        <v>8</v>
      </c>
      <c r="C3524" s="146" t="s">
        <v>251</v>
      </c>
      <c r="D3524" s="147" t="s">
        <v>74</v>
      </c>
      <c r="E3524" s="135">
        <f t="shared" si="59"/>
        <v>23</v>
      </c>
      <c r="F3524" s="152" t="s">
        <v>3812</v>
      </c>
      <c r="G3524" s="63" t="str">
        <f>VLOOKUP(C3524, 'Class Def. - General Data'!$C$20:$C$1000,1,false)</f>
        <v>ZPM1_BIB</v>
      </c>
      <c r="H3524" s="63" t="str">
        <f>IFERROR(__xludf.DUMMYFUNCTION("VLOOKUP(F3524, IMPORTRANGE(""https://docs.google.com/spreadsheets/d/1Lhp9OU0JdFf_VYSMzH5lBcEaU4o8teT1piV-SNzShjg/edit?gid=554141278#gid=554141278"", ""'Char Def. - Attributes'!C20:C2242""), 1,false)"),"ALT_NUM_UOM3")</f>
        <v>ALT_NUM_UOM3</v>
      </c>
      <c r="I3524" s="136"/>
    </row>
    <row r="3525" ht="15.75" customHeight="1">
      <c r="B3525" s="63">
        <f t="shared" si="1"/>
        <v>8</v>
      </c>
      <c r="C3525" s="146" t="s">
        <v>251</v>
      </c>
      <c r="D3525" s="147" t="s">
        <v>74</v>
      </c>
      <c r="E3525" s="135">
        <f t="shared" si="59"/>
        <v>24</v>
      </c>
      <c r="F3525" s="152" t="s">
        <v>3872</v>
      </c>
      <c r="G3525" s="63" t="str">
        <f>VLOOKUP(C3525, 'Class Def. - General Data'!$C$20:$C$1000,1,false)</f>
        <v>ZPM1_BIB</v>
      </c>
      <c r="H3525" s="63" t="str">
        <f>IFERROR(__xludf.DUMMYFUNCTION("VLOOKUP(F3525, IMPORTRANGE(""https://docs.google.com/spreadsheets/d/1Lhp9OU0JdFf_VYSMzH5lBcEaU4o8teT1piV-SNzShjg/edit?gid=554141278#gid=554141278"", ""'Char Def. - Attributes'!C20:C2242""), 1,false)"),"ALT_UOM4_RMPM")</f>
        <v>ALT_UOM4_RMPM</v>
      </c>
      <c r="I3525" s="136"/>
    </row>
    <row r="3526" ht="15.75" customHeight="1">
      <c r="B3526" s="63">
        <f t="shared" si="1"/>
        <v>8</v>
      </c>
      <c r="C3526" s="146" t="s">
        <v>251</v>
      </c>
      <c r="D3526" s="147" t="s">
        <v>74</v>
      </c>
      <c r="E3526" s="135">
        <f t="shared" si="59"/>
        <v>25</v>
      </c>
      <c r="F3526" s="148" t="s">
        <v>3814</v>
      </c>
      <c r="G3526" s="63" t="str">
        <f>VLOOKUP(C3526, 'Class Def. - General Data'!$C$20:$C$1000,1,false)</f>
        <v>ZPM1_BIB</v>
      </c>
      <c r="H3526" s="63" t="str">
        <f>IFERROR(__xludf.DUMMYFUNCTION("VLOOKUP(F3526, IMPORTRANGE(""https://docs.google.com/spreadsheets/d/1Lhp9OU0JdFf_VYSMzH5lBcEaU4o8teT1piV-SNzShjg/edit?gid=554141278#gid=554141278"", ""'Char Def. - Attributes'!C20:C2242""), 1,false)"),"ALT_DENUM_UOM4")</f>
        <v>ALT_DENUM_UOM4</v>
      </c>
      <c r="I3526" s="136"/>
    </row>
    <row r="3527" ht="15.75" customHeight="1">
      <c r="B3527" s="63">
        <f t="shared" si="1"/>
        <v>8</v>
      </c>
      <c r="C3527" s="146" t="s">
        <v>251</v>
      </c>
      <c r="D3527" s="147" t="s">
        <v>74</v>
      </c>
      <c r="E3527" s="135">
        <f t="shared" si="59"/>
        <v>26</v>
      </c>
      <c r="F3527" s="152" t="s">
        <v>3815</v>
      </c>
      <c r="G3527" s="63" t="str">
        <f>VLOOKUP(C3527, 'Class Def. - General Data'!$C$20:$C$1000,1,false)</f>
        <v>ZPM1_BIB</v>
      </c>
      <c r="H3527" s="63" t="str">
        <f>IFERROR(__xludf.DUMMYFUNCTION("VLOOKUP(F3527, IMPORTRANGE(""https://docs.google.com/spreadsheets/d/1Lhp9OU0JdFf_VYSMzH5lBcEaU4o8teT1piV-SNzShjg/edit?gid=554141278#gid=554141278"", ""'Char Def. - Attributes'!C20:C2242""), 1,false)"),"ALT_NUM_UOM4")</f>
        <v>ALT_NUM_UOM4</v>
      </c>
      <c r="I3527" s="136"/>
    </row>
    <row r="3528" ht="15.75" customHeight="1">
      <c r="B3528" s="63">
        <f t="shared" si="1"/>
        <v>8</v>
      </c>
      <c r="C3528" s="146" t="s">
        <v>251</v>
      </c>
      <c r="D3528" s="147" t="s">
        <v>74</v>
      </c>
      <c r="E3528" s="135">
        <f t="shared" si="59"/>
        <v>27</v>
      </c>
      <c r="F3528" s="152" t="s">
        <v>3873</v>
      </c>
      <c r="G3528" s="63" t="str">
        <f>VLOOKUP(C3528, 'Class Def. - General Data'!$C$20:$C$1000,1,false)</f>
        <v>ZPM1_BIB</v>
      </c>
      <c r="H3528" s="63" t="str">
        <f>IFERROR(__xludf.DUMMYFUNCTION("VLOOKUP(F3528, IMPORTRANGE(""https://docs.google.com/spreadsheets/d/1Lhp9OU0JdFf_VYSMzH5lBcEaU4o8teT1piV-SNzShjg/edit?gid=554141278#gid=554141278"", ""'Char Def. - Attributes'!C20:C2242""), 1,false)"),"ALT_UOM5_RMPM")</f>
        <v>ALT_UOM5_RMPM</v>
      </c>
      <c r="I3528" s="136"/>
    </row>
    <row r="3529" ht="15.75" customHeight="1">
      <c r="B3529" s="63">
        <f t="shared" si="1"/>
        <v>8</v>
      </c>
      <c r="C3529" s="146" t="s">
        <v>251</v>
      </c>
      <c r="D3529" s="147" t="s">
        <v>74</v>
      </c>
      <c r="E3529" s="135">
        <f t="shared" si="59"/>
        <v>28</v>
      </c>
      <c r="F3529" s="152" t="s">
        <v>3817</v>
      </c>
      <c r="G3529" s="63" t="str">
        <f>VLOOKUP(C3529, 'Class Def. - General Data'!$C$20:$C$1000,1,false)</f>
        <v>ZPM1_BIB</v>
      </c>
      <c r="H3529" s="63" t="str">
        <f>IFERROR(__xludf.DUMMYFUNCTION("VLOOKUP(F3529, IMPORTRANGE(""https://docs.google.com/spreadsheets/d/1Lhp9OU0JdFf_VYSMzH5lBcEaU4o8teT1piV-SNzShjg/edit?gid=554141278#gid=554141278"", ""'Char Def. - Attributes'!C20:C2242""), 1,false)"),"ALT_DENUM_UOM5")</f>
        <v>ALT_DENUM_UOM5</v>
      </c>
      <c r="I3529" s="136"/>
    </row>
    <row r="3530" ht="15.75" customHeight="1">
      <c r="B3530" s="63">
        <f t="shared" si="1"/>
        <v>8</v>
      </c>
      <c r="C3530" s="146" t="s">
        <v>251</v>
      </c>
      <c r="D3530" s="147" t="s">
        <v>74</v>
      </c>
      <c r="E3530" s="135">
        <f t="shared" si="59"/>
        <v>29</v>
      </c>
      <c r="F3530" s="152" t="s">
        <v>3818</v>
      </c>
      <c r="G3530" s="63" t="str">
        <f>VLOOKUP(C3530, 'Class Def. - General Data'!$C$20:$C$1000,1,false)</f>
        <v>ZPM1_BIB</v>
      </c>
      <c r="H3530" s="63" t="str">
        <f>IFERROR(__xludf.DUMMYFUNCTION("VLOOKUP(F3530, IMPORTRANGE(""https://docs.google.com/spreadsheets/d/1Lhp9OU0JdFf_VYSMzH5lBcEaU4o8teT1piV-SNzShjg/edit?gid=554141278#gid=554141278"", ""'Char Def. - Attributes'!C20:C2242""), 1,false)"),"ALT_NUM_UOM5")</f>
        <v>ALT_NUM_UOM5</v>
      </c>
      <c r="I3530" s="136"/>
    </row>
    <row r="3531" ht="15.75" customHeight="1">
      <c r="B3531" s="63">
        <f t="shared" si="1"/>
        <v>8</v>
      </c>
      <c r="C3531" s="146" t="s">
        <v>251</v>
      </c>
      <c r="D3531" s="147" t="s">
        <v>74</v>
      </c>
      <c r="E3531" s="135">
        <f t="shared" si="59"/>
        <v>30</v>
      </c>
      <c r="F3531" s="152" t="s">
        <v>3874</v>
      </c>
      <c r="G3531" s="63" t="str">
        <f>VLOOKUP(C3531, 'Class Def. - General Data'!$C$20:$C$1000,1,false)</f>
        <v>ZPM1_BIB</v>
      </c>
      <c r="H3531" s="63" t="str">
        <f>IFERROR(__xludf.DUMMYFUNCTION("VLOOKUP(F3531, IMPORTRANGE(""https://docs.google.com/spreadsheets/d/1Lhp9OU0JdFf_VYSMzH5lBcEaU4o8teT1piV-SNzShjg/edit?gid=554141278#gid=554141278"", ""'Char Def. - Attributes'!C20:C2242""), 1,false)"),"VALUATION_CATEGORY")</f>
        <v>VALUATION_CATEGORY</v>
      </c>
      <c r="I3531" s="136"/>
    </row>
    <row r="3532" ht="15.75" customHeight="1">
      <c r="B3532" s="63">
        <f t="shared" si="1"/>
        <v>8</v>
      </c>
      <c r="C3532" s="146" t="s">
        <v>251</v>
      </c>
      <c r="D3532" s="147" t="s">
        <v>74</v>
      </c>
      <c r="E3532" s="135">
        <f t="shared" si="59"/>
        <v>31</v>
      </c>
      <c r="F3532" s="152" t="s">
        <v>3800</v>
      </c>
      <c r="G3532" s="63" t="str">
        <f>VLOOKUP(C3532, 'Class Def. - General Data'!$C$20:$C$1000,1,false)</f>
        <v>ZPM1_BIB</v>
      </c>
      <c r="H3532" s="63" t="str">
        <f>IFERROR(__xludf.DUMMYFUNCTION("VLOOKUP(F3532, IMPORTRANGE(""https://docs.google.com/spreadsheets/d/1Lhp9OU0JdFf_VYSMzH5lBcEaU4o8teT1piV-SNzShjg/edit?gid=554141278#gid=554141278"", ""'Char Def. - Attributes'!C20:C2242""), 1,false)"),"ORDER_UNIT_DIFF_FROM_BASIC_UOM")</f>
        <v>ORDER_UNIT_DIFF_FROM_BASIC_UOM</v>
      </c>
      <c r="I3532" s="136"/>
    </row>
    <row r="3533" ht="15.75" customHeight="1">
      <c r="B3533" s="63">
        <f t="shared" si="1"/>
        <v>8</v>
      </c>
      <c r="C3533" s="146" t="s">
        <v>251</v>
      </c>
      <c r="D3533" s="147" t="s">
        <v>74</v>
      </c>
      <c r="E3533" s="135">
        <f t="shared" si="59"/>
        <v>32</v>
      </c>
      <c r="F3533" s="152" t="s">
        <v>3875</v>
      </c>
      <c r="G3533" s="63" t="str">
        <f>VLOOKUP(C3533, 'Class Def. - General Data'!$C$20:$C$1000,1,false)</f>
        <v>ZPM1_BIB</v>
      </c>
      <c r="H3533" s="63" t="str">
        <f>IFERROR(__xludf.DUMMYFUNCTION("VLOOKUP(F3533, IMPORTRANGE(""https://docs.google.com/spreadsheets/d/1Lhp9OU0JdFf_VYSMzH5lBcEaU4o8teT1piV-SNzShjg/edit?gid=554141278#gid=554141278"", ""'Char Def. - Attributes'!C20:C2242""), 1,false)"),"ORDER_UNIT_RMPM")</f>
        <v>ORDER_UNIT_RMPM</v>
      </c>
      <c r="I3533" s="136"/>
    </row>
    <row r="3534" ht="15.75" customHeight="1">
      <c r="B3534" s="63">
        <f t="shared" si="1"/>
        <v>8</v>
      </c>
      <c r="C3534" s="146" t="s">
        <v>251</v>
      </c>
      <c r="D3534" s="147" t="s">
        <v>74</v>
      </c>
      <c r="E3534" s="135">
        <f t="shared" si="59"/>
        <v>33</v>
      </c>
      <c r="F3534" s="151" t="s">
        <v>3602</v>
      </c>
      <c r="G3534" s="63" t="str">
        <f>VLOOKUP(C3534, 'Class Def. - General Data'!$C$20:$C$1000,1,false)</f>
        <v>ZPM1_BIB</v>
      </c>
      <c r="H3534" s="63" t="str">
        <f>IFERROR(__xludf.DUMMYFUNCTION("VLOOKUP(F3534, IMPORTRANGE(""https://docs.google.com/spreadsheets/d/1Lhp9OU0JdFf_VYSMzH5lBcEaU4o8teT1piV-SNzShjg/edit?gid=554141278#gid=554141278"", ""'Char Def. - Attributes'!C20:C2242""), 1,false)"),"NET_WEIGHT")</f>
        <v>NET_WEIGHT</v>
      </c>
      <c r="I3534" s="136"/>
    </row>
    <row r="3535" ht="15.75" customHeight="1">
      <c r="B3535" s="63">
        <f t="shared" si="1"/>
        <v>8</v>
      </c>
      <c r="C3535" s="146" t="s">
        <v>251</v>
      </c>
      <c r="D3535" s="147" t="s">
        <v>74</v>
      </c>
      <c r="E3535" s="135">
        <f t="shared" si="59"/>
        <v>34</v>
      </c>
      <c r="F3535" s="151" t="s">
        <v>3601</v>
      </c>
      <c r="G3535" s="63" t="str">
        <f>VLOOKUP(C3535, 'Class Def. - General Data'!$C$20:$C$1000,1,false)</f>
        <v>ZPM1_BIB</v>
      </c>
      <c r="H3535" s="63" t="str">
        <f>IFERROR(__xludf.DUMMYFUNCTION("VLOOKUP(F3535, IMPORTRANGE(""https://docs.google.com/spreadsheets/d/1Lhp9OU0JdFf_VYSMzH5lBcEaU4o8teT1piV-SNzShjg/edit?gid=554141278#gid=554141278"", ""'Char Def. - Attributes'!C20:C2242""), 1,false)"),"GROSS_WEIGHT")</f>
        <v>GROSS_WEIGHT</v>
      </c>
      <c r="I3535" s="136"/>
    </row>
    <row r="3536" ht="15.75" customHeight="1">
      <c r="B3536" s="63">
        <f t="shared" si="1"/>
        <v>8</v>
      </c>
      <c r="C3536" s="146" t="s">
        <v>251</v>
      </c>
      <c r="D3536" s="147" t="s">
        <v>74</v>
      </c>
      <c r="E3536" s="135">
        <f t="shared" si="59"/>
        <v>35</v>
      </c>
      <c r="F3536" s="134" t="s">
        <v>3876</v>
      </c>
      <c r="G3536" s="63" t="str">
        <f>VLOOKUP(C3536, 'Class Def. - General Data'!$C$20:$C$1000,1,false)</f>
        <v>ZPM1_BIB</v>
      </c>
      <c r="H3536" s="63" t="str">
        <f>IFERROR(__xludf.DUMMYFUNCTION("VLOOKUP(F3536, IMPORTRANGE(""https://docs.google.com/spreadsheets/d/1Lhp9OU0JdFf_VYSMzH5lBcEaU4o8teT1piV-SNzShjg/edit?gid=554141278#gid=554141278"", ""'Char Def. - Attributes'!C20:C2242""), 1,false)"),"WEIGHT_UNIT_PM")</f>
        <v>WEIGHT_UNIT_PM</v>
      </c>
      <c r="I3536" s="136"/>
    </row>
    <row r="3537" ht="15.75" customHeight="1">
      <c r="B3537" s="63">
        <f t="shared" si="1"/>
        <v>8</v>
      </c>
      <c r="C3537" s="146" t="s">
        <v>251</v>
      </c>
      <c r="D3537" s="147" t="s">
        <v>74</v>
      </c>
      <c r="E3537" s="135">
        <f t="shared" si="59"/>
        <v>36</v>
      </c>
      <c r="F3537" s="151" t="s">
        <v>3877</v>
      </c>
      <c r="G3537" s="63" t="str">
        <f>VLOOKUP(C3537, 'Class Def. - General Data'!$C$20:$C$1000,1,false)</f>
        <v>ZPM1_BIB</v>
      </c>
      <c r="H3537" s="63" t="str">
        <f>IFERROR(__xludf.DUMMYFUNCTION("VLOOKUP(F3537, IMPORTRANGE(""https://docs.google.com/spreadsheets/d/1Lhp9OU0JdFf_VYSMzH5lBcEaU4o8teT1piV-SNzShjg/edit?gid=554141278#gid=554141278"", ""'Char Def. - Attributes'!C20:C2242""), 1,false)"),"VOLUME_OPT")</f>
        <v>VOLUME_OPT</v>
      </c>
      <c r="I3537" s="136"/>
    </row>
    <row r="3538" ht="15.75" customHeight="1">
      <c r="B3538" s="63">
        <f t="shared" si="1"/>
        <v>8</v>
      </c>
      <c r="C3538" s="146" t="s">
        <v>251</v>
      </c>
      <c r="D3538" s="147" t="s">
        <v>74</v>
      </c>
      <c r="E3538" s="135">
        <f t="shared" si="59"/>
        <v>37</v>
      </c>
      <c r="F3538" s="152" t="s">
        <v>3878</v>
      </c>
      <c r="G3538" s="63" t="str">
        <f>VLOOKUP(C3538, 'Class Def. - General Data'!$C$20:$C$1000,1,false)</f>
        <v>ZPM1_BIB</v>
      </c>
      <c r="H3538" s="63" t="str">
        <f>IFERROR(__xludf.DUMMYFUNCTION("VLOOKUP(F3538, IMPORTRANGE(""https://docs.google.com/spreadsheets/d/1Lhp9OU0JdFf_VYSMzH5lBcEaU4o8teT1piV-SNzShjg/edit?gid=554141278#gid=554141278"", ""'Char Def. - Attributes'!C20:C2242""), 1,false)"),"VOLUME_UNIT")</f>
        <v>VOLUME_UNIT</v>
      </c>
      <c r="I3538" s="136"/>
    </row>
    <row r="3539" ht="15.75" customHeight="1">
      <c r="B3539" s="63">
        <f t="shared" si="1"/>
        <v>8</v>
      </c>
      <c r="C3539" s="146" t="s">
        <v>251</v>
      </c>
      <c r="D3539" s="147" t="s">
        <v>74</v>
      </c>
      <c r="E3539" s="135">
        <f t="shared" si="59"/>
        <v>38</v>
      </c>
      <c r="F3539" s="149" t="s">
        <v>3879</v>
      </c>
      <c r="G3539" s="63" t="str">
        <f>VLOOKUP(C3539, 'Class Def. - General Data'!$C$20:$C$1000,1,false)</f>
        <v>ZPM1_BIB</v>
      </c>
      <c r="H3539" s="63" t="str">
        <f>IFERROR(__xludf.DUMMYFUNCTION("VLOOKUP(F3539, IMPORTRANGE(""https://docs.google.com/spreadsheets/d/1Lhp9OU0JdFf_VYSMzH5lBcEaU4o8teT1piV-SNzShjg/edit?gid=554141278#gid=554141278"", ""'Char Def. - Attributes'!C20:C2242""), 1,false)"),"OLD_MAT_NO_RMPM")</f>
        <v>OLD_MAT_NO_RMPM</v>
      </c>
      <c r="I3539" s="136"/>
    </row>
    <row r="3540" ht="15.75" customHeight="1">
      <c r="B3540" s="63">
        <f t="shared" si="1"/>
        <v>8</v>
      </c>
      <c r="C3540" s="146" t="s">
        <v>251</v>
      </c>
      <c r="D3540" s="147" t="s">
        <v>74</v>
      </c>
      <c r="E3540" s="135">
        <f t="shared" si="59"/>
        <v>39</v>
      </c>
      <c r="F3540" s="148" t="s">
        <v>3880</v>
      </c>
      <c r="G3540" s="63" t="str">
        <f>VLOOKUP(C3540, 'Class Def. - General Data'!$C$20:$C$1000,1,false)</f>
        <v>ZPM1_BIB</v>
      </c>
      <c r="H3540" s="63" t="str">
        <f>IFERROR(__xludf.DUMMYFUNCTION("VLOOKUP(F3540, IMPORTRANGE(""https://docs.google.com/spreadsheets/d/1Lhp9OU0JdFf_VYSMzH5lBcEaU4o8teT1piV-SNzShjg/edit?gid=554141278#gid=554141278"", ""'Char Def. - Attributes'!C20:C2242""), 1,false)"),"NOTE_PM")</f>
        <v>NOTE_PM</v>
      </c>
      <c r="I3540" s="136"/>
    </row>
    <row r="3541" ht="15.75" customHeight="1">
      <c r="B3541" s="63">
        <f t="shared" si="1"/>
        <v>8</v>
      </c>
      <c r="C3541" s="146" t="s">
        <v>251</v>
      </c>
      <c r="D3541" s="147" t="s">
        <v>74</v>
      </c>
      <c r="E3541" s="135">
        <f t="shared" si="59"/>
        <v>40</v>
      </c>
      <c r="F3541" s="148" t="s">
        <v>3881</v>
      </c>
      <c r="G3541" s="63" t="str">
        <f>VLOOKUP(C3541, 'Class Def. - General Data'!$C$20:$C$1000,1,false)</f>
        <v>ZPM1_BIB</v>
      </c>
      <c r="H3541" s="63" t="str">
        <f>IFERROR(__xludf.DUMMYFUNCTION("VLOOKUP(F3541, IMPORTRANGE(""https://docs.google.com/spreadsheets/d/1Lhp9OU0JdFf_VYSMzH5lBcEaU4o8teT1piV-SNzShjg/edit?gid=554141278#gid=554141278"", ""'Char Def. - Attributes'!C20:C2242""), 1,false)"),"BS_BERSIH")</f>
        <v>BS_BERSIH</v>
      </c>
      <c r="I3541" s="136"/>
    </row>
    <row r="3542" ht="15.75" customHeight="1">
      <c r="B3542" s="63">
        <f t="shared" si="1"/>
        <v>8</v>
      </c>
      <c r="C3542" s="146" t="s">
        <v>251</v>
      </c>
      <c r="D3542" s="147" t="s">
        <v>74</v>
      </c>
      <c r="E3542" s="135">
        <f t="shared" si="59"/>
        <v>41</v>
      </c>
      <c r="F3542" s="148" t="s">
        <v>3882</v>
      </c>
      <c r="G3542" s="63" t="str">
        <f>VLOOKUP(C3542, 'Class Def. - General Data'!$C$20:$C$1000,1,false)</f>
        <v>ZPM1_BIB</v>
      </c>
      <c r="H3542" s="63" t="str">
        <f>IFERROR(__xludf.DUMMYFUNCTION("VLOOKUP(F3542, IMPORTRANGE(""https://docs.google.com/spreadsheets/d/1Lhp9OU0JdFf_VYSMzH5lBcEaU4o8teT1piV-SNzShjg/edit?gid=554141278#gid=554141278"", ""'Char Def. - Attributes'!C20:C2242""), 1,false)"),"BS_KOTOR")</f>
        <v>BS_KOTOR</v>
      </c>
      <c r="I3542" s="136"/>
    </row>
    <row r="3543" ht="15.75" customHeight="1">
      <c r="B3543" s="63">
        <f t="shared" si="1"/>
        <v>8</v>
      </c>
      <c r="C3543" s="146" t="s">
        <v>251</v>
      </c>
      <c r="D3543" s="147" t="s">
        <v>74</v>
      </c>
      <c r="E3543" s="135">
        <f t="shared" si="59"/>
        <v>42</v>
      </c>
      <c r="F3543" s="148" t="s">
        <v>3883</v>
      </c>
      <c r="G3543" s="63" t="str">
        <f>VLOOKUP(C3543, 'Class Def. - General Data'!$C$20:$C$1000,1,false)</f>
        <v>ZPM1_BIB</v>
      </c>
      <c r="H3543" s="63" t="str">
        <f>IFERROR(__xludf.DUMMYFUNCTION("VLOOKUP(F3543, IMPORTRANGE(""https://docs.google.com/spreadsheets/d/1Lhp9OU0JdFf_VYSMzH5lBcEaU4o8teT1piV-SNzShjg/edit?gid=554141278#gid=554141278"", ""'Char Def. - Attributes'!C20:C2242""), 1,false)"),"BS_SCRAP")</f>
        <v>BS_SCRAP</v>
      </c>
      <c r="I3543" s="136"/>
    </row>
    <row r="3544" ht="15.75" customHeight="1">
      <c r="B3544" s="63">
        <f t="shared" si="1"/>
        <v>8</v>
      </c>
      <c r="C3544" s="146" t="s">
        <v>281</v>
      </c>
      <c r="D3544" s="147" t="s">
        <v>74</v>
      </c>
      <c r="E3544" s="135">
        <f t="shared" si="59"/>
        <v>1</v>
      </c>
      <c r="F3544" s="134" t="s">
        <v>3906</v>
      </c>
      <c r="G3544" s="63" t="str">
        <f>VLOOKUP(C3544, 'Class Def. - General Data'!$C$20:$C$1000,1,false)</f>
        <v>ZPM1_BLS</v>
      </c>
      <c r="H3544" s="63" t="str">
        <f>IFERROR(__xludf.DUMMYFUNCTION("VLOOKUP(F3544, IMPORTRANGE(""https://docs.google.com/spreadsheets/d/1Lhp9OU0JdFf_VYSMzH5lBcEaU4o8teT1piV-SNzShjg/edit?gid=554141278#gid=554141278"", ""'Char Def. - Attributes'!C20:C2242""), 1,false)"),"MATERIAL_CODE_BLS")</f>
        <v>MATERIAL_CODE_BLS</v>
      </c>
      <c r="I3544" s="136"/>
    </row>
    <row r="3545" ht="15.75" customHeight="1">
      <c r="B3545" s="63">
        <f t="shared" si="1"/>
        <v>8</v>
      </c>
      <c r="C3545" s="146" t="s">
        <v>281</v>
      </c>
      <c r="D3545" s="147" t="s">
        <v>74</v>
      </c>
      <c r="E3545" s="135">
        <f t="shared" si="59"/>
        <v>2</v>
      </c>
      <c r="F3545" s="134" t="s">
        <v>3852</v>
      </c>
      <c r="G3545" s="63" t="str">
        <f>VLOOKUP(C3545, 'Class Def. - General Data'!$C$20:$C$1000,1,false)</f>
        <v>ZPM1_BLS</v>
      </c>
      <c r="H3545" s="63" t="str">
        <f>IFERROR(__xludf.DUMMYFUNCTION("VLOOKUP(F3545, IMPORTRANGE(""https://docs.google.com/spreadsheets/d/1Lhp9OU0JdFf_VYSMzH5lBcEaU4o8teT1piV-SNzShjg/edit?gid=554141278#gid=554141278"", ""'Char Def. - Attributes'!C20:C2242""), 1,false)"),"SINGLE_BRAND")</f>
        <v>SINGLE_BRAND</v>
      </c>
      <c r="I3545" s="136"/>
    </row>
    <row r="3546" ht="15.75" customHeight="1">
      <c r="B3546" s="63">
        <f t="shared" si="1"/>
        <v>8</v>
      </c>
      <c r="C3546" s="146" t="s">
        <v>281</v>
      </c>
      <c r="D3546" s="147" t="s">
        <v>74</v>
      </c>
      <c r="E3546" s="135">
        <f t="shared" si="59"/>
        <v>3</v>
      </c>
      <c r="F3546" s="134" t="s">
        <v>3853</v>
      </c>
      <c r="G3546" s="63" t="str">
        <f>VLOOKUP(C3546, 'Class Def. - General Data'!$C$20:$C$1000,1,false)</f>
        <v>ZPM1_BLS</v>
      </c>
      <c r="H3546" s="63" t="str">
        <f>IFERROR(__xludf.DUMMYFUNCTION("VLOOKUP(F3546, IMPORTRANGE(""https://docs.google.com/spreadsheets/d/1Lhp9OU0JdFf_VYSMzH5lBcEaU4o8teT1piV-SNzShjg/edit?gid=554141278#gid=554141278"", ""'Char Def. - Attributes'!C20:C2242""), 1,false)"),"BRAND_WINGS")</f>
        <v>BRAND_WINGS</v>
      </c>
      <c r="I3546" s="136"/>
    </row>
    <row r="3547" ht="15.75" customHeight="1">
      <c r="B3547" s="63">
        <f t="shared" si="1"/>
        <v>8</v>
      </c>
      <c r="C3547" s="146" t="s">
        <v>281</v>
      </c>
      <c r="D3547" s="147" t="s">
        <v>74</v>
      </c>
      <c r="E3547" s="135">
        <f t="shared" si="59"/>
        <v>4</v>
      </c>
      <c r="F3547" s="134" t="s">
        <v>3854</v>
      </c>
      <c r="G3547" s="63" t="str">
        <f>VLOOKUP(C3547, 'Class Def. - General Data'!$C$20:$C$1000,1,false)</f>
        <v>ZPM1_BLS</v>
      </c>
      <c r="H3547" s="63" t="str">
        <f>IFERROR(__xludf.DUMMYFUNCTION("VLOOKUP(F3547, IMPORTRANGE(""https://docs.google.com/spreadsheets/d/1Lhp9OU0JdFf_VYSMzH5lBcEaU4o8teT1piV-SNzShjg/edit?gid=554141278#gid=554141278"", ""'Char Def. - Attributes'!C20:C2242""), 1,false)"),"SINGLE_PACK_SHAPE")</f>
        <v>SINGLE_PACK_SHAPE</v>
      </c>
      <c r="I3547" s="136"/>
    </row>
    <row r="3548" ht="15.75" customHeight="1">
      <c r="B3548" s="63">
        <f t="shared" si="1"/>
        <v>8</v>
      </c>
      <c r="C3548" s="146" t="s">
        <v>281</v>
      </c>
      <c r="D3548" s="147" t="s">
        <v>74</v>
      </c>
      <c r="E3548" s="135">
        <f t="shared" si="59"/>
        <v>5</v>
      </c>
      <c r="F3548" s="134" t="s">
        <v>3855</v>
      </c>
      <c r="G3548" s="63" t="str">
        <f>VLOOKUP(C3548, 'Class Def. - General Data'!$C$20:$C$1000,1,false)</f>
        <v>ZPM1_BLS</v>
      </c>
      <c r="H3548" s="63" t="str">
        <f>IFERROR(__xludf.DUMMYFUNCTION("VLOOKUP(F3548, IMPORTRANGE(""https://docs.google.com/spreadsheets/d/1Lhp9OU0JdFf_VYSMzH5lBcEaU4o8teT1piV-SNzShjg/edit?gid=554141278#gid=554141278"", ""'Char Def. - Attributes'!C20:C2242""), 1,false)"),"PACK_SHAPE")</f>
        <v>PACK_SHAPE</v>
      </c>
      <c r="I3548" s="136"/>
    </row>
    <row r="3549" ht="15.75" customHeight="1">
      <c r="B3549" s="63">
        <f t="shared" si="1"/>
        <v>8</v>
      </c>
      <c r="C3549" s="146" t="s">
        <v>281</v>
      </c>
      <c r="D3549" s="147" t="s">
        <v>74</v>
      </c>
      <c r="E3549" s="135">
        <f t="shared" si="59"/>
        <v>6</v>
      </c>
      <c r="F3549" s="134" t="s">
        <v>3856</v>
      </c>
      <c r="G3549" s="63" t="str">
        <f>VLOOKUP(C3549, 'Class Def. - General Data'!$C$20:$C$1000,1,false)</f>
        <v>ZPM1_BLS</v>
      </c>
      <c r="H3549" s="63" t="str">
        <f>IFERROR(__xludf.DUMMYFUNCTION("VLOOKUP(F3549, IMPORTRANGE(""https://docs.google.com/spreadsheets/d/1Lhp9OU0JdFf_VYSMzH5lBcEaU4o8teT1piV-SNzShjg/edit?gid=554141278#gid=554141278"", ""'Char Def. - Attributes'!C20:C2242""), 1,false)"),"SINGLE_PACK_NETTO")</f>
        <v>SINGLE_PACK_NETTO</v>
      </c>
      <c r="I3549" s="136"/>
    </row>
    <row r="3550" ht="15.75" customHeight="1">
      <c r="B3550" s="63">
        <f t="shared" si="1"/>
        <v>8</v>
      </c>
      <c r="C3550" s="146" t="s">
        <v>281</v>
      </c>
      <c r="D3550" s="147" t="s">
        <v>74</v>
      </c>
      <c r="E3550" s="135">
        <f t="shared" si="59"/>
        <v>7</v>
      </c>
      <c r="F3550" s="134" t="s">
        <v>3605</v>
      </c>
      <c r="G3550" s="63" t="str">
        <f>VLOOKUP(C3550, 'Class Def. - General Data'!$C$20:$C$1000,1,false)</f>
        <v>ZPM1_BLS</v>
      </c>
      <c r="H3550" s="63" t="str">
        <f>IFERROR(__xludf.DUMMYFUNCTION("VLOOKUP(F3550, IMPORTRANGE(""https://docs.google.com/spreadsheets/d/1Lhp9OU0JdFf_VYSMzH5lBcEaU4o8teT1piV-SNzShjg/edit?gid=554141278#gid=554141278"", ""'Char Def. - Attributes'!C20:C2242""), 1,false)"),"PACK_NETTO")</f>
        <v>PACK_NETTO</v>
      </c>
      <c r="I3550" s="136"/>
    </row>
    <row r="3551" ht="15.75" customHeight="1">
      <c r="B3551" s="63">
        <f t="shared" si="1"/>
        <v>8</v>
      </c>
      <c r="C3551" s="146" t="s">
        <v>281</v>
      </c>
      <c r="D3551" s="147" t="s">
        <v>74</v>
      </c>
      <c r="E3551" s="135">
        <f t="shared" si="59"/>
        <v>8</v>
      </c>
      <c r="F3551" s="134" t="s">
        <v>3857</v>
      </c>
      <c r="G3551" s="63" t="str">
        <f>VLOOKUP(C3551, 'Class Def. - General Data'!$C$20:$C$1000,1,false)</f>
        <v>ZPM1_BLS</v>
      </c>
      <c r="H3551" s="63" t="str">
        <f>IFERROR(__xludf.DUMMYFUNCTION("VLOOKUP(F3551, IMPORTRANGE(""https://docs.google.com/spreadsheets/d/1Lhp9OU0JdFf_VYSMzH5lBcEaU4o8teT1piV-SNzShjg/edit?gid=554141278#gid=554141278"", ""'Char Def. - Attributes'!C20:C2242""), 1,false)"),"PACK_UOM")</f>
        <v>PACK_UOM</v>
      </c>
      <c r="I3551" s="136"/>
    </row>
    <row r="3552" ht="15.75" customHeight="1">
      <c r="B3552" s="63">
        <f t="shared" si="1"/>
        <v>8</v>
      </c>
      <c r="C3552" s="146" t="s">
        <v>281</v>
      </c>
      <c r="D3552" s="147" t="s">
        <v>74</v>
      </c>
      <c r="E3552" s="135">
        <f t="shared" si="59"/>
        <v>9</v>
      </c>
      <c r="F3552" s="134" t="s">
        <v>3858</v>
      </c>
      <c r="G3552" s="63" t="str">
        <f>VLOOKUP(C3552, 'Class Def. - General Data'!$C$20:$C$1000,1,false)</f>
        <v>ZPM1_BLS</v>
      </c>
      <c r="H3552" s="63" t="str">
        <f>IFERROR(__xludf.DUMMYFUNCTION("VLOOKUP(F3552, IMPORTRANGE(""https://docs.google.com/spreadsheets/d/1Lhp9OU0JdFf_VYSMzH5lBcEaU4o8teT1piV-SNzShjg/edit?gid=554141278#gid=554141278"", ""'Char Def. - Attributes'!C20:C2242""), 1,false)"),"SINGLE_VARIAN")</f>
        <v>SINGLE_VARIAN</v>
      </c>
      <c r="I3552" s="136"/>
    </row>
    <row r="3553" ht="15.75" customHeight="1">
      <c r="B3553" s="63">
        <f t="shared" si="1"/>
        <v>8</v>
      </c>
      <c r="C3553" s="146" t="s">
        <v>281</v>
      </c>
      <c r="D3553" s="147" t="s">
        <v>74</v>
      </c>
      <c r="E3553" s="135">
        <f t="shared" si="59"/>
        <v>10</v>
      </c>
      <c r="F3553" s="134" t="s">
        <v>3607</v>
      </c>
      <c r="G3553" s="63" t="str">
        <f>VLOOKUP(C3553, 'Class Def. - General Data'!$C$20:$C$1000,1,false)</f>
        <v>ZPM1_BLS</v>
      </c>
      <c r="H3553" s="63" t="str">
        <f>IFERROR(__xludf.DUMMYFUNCTION("VLOOKUP(F3553, IMPORTRANGE(""https://docs.google.com/spreadsheets/d/1Lhp9OU0JdFf_VYSMzH5lBcEaU4o8teT1piV-SNzShjg/edit?gid=554141278#gid=554141278"", ""'Char Def. - Attributes'!C20:C2242""), 1,false)"),"VARIAN")</f>
        <v>VARIAN</v>
      </c>
      <c r="I3553" s="136"/>
    </row>
    <row r="3554" ht="15.75" customHeight="1">
      <c r="B3554" s="63">
        <f t="shared" si="1"/>
        <v>8</v>
      </c>
      <c r="C3554" s="146" t="s">
        <v>281</v>
      </c>
      <c r="D3554" s="147" t="s">
        <v>74</v>
      </c>
      <c r="E3554" s="135">
        <f t="shared" si="59"/>
        <v>11</v>
      </c>
      <c r="F3554" s="134" t="s">
        <v>3859</v>
      </c>
      <c r="G3554" s="63" t="str">
        <f>VLOOKUP(C3554, 'Class Def. - General Data'!$C$20:$C$1000,1,false)</f>
        <v>ZPM1_BLS</v>
      </c>
      <c r="H3554" s="63" t="str">
        <f>IFERROR(__xludf.DUMMYFUNCTION("VLOOKUP(F3554, IMPORTRANGE(""https://docs.google.com/spreadsheets/d/1Lhp9OU0JdFf_VYSMzH5lBcEaU4o8teT1piV-SNzShjg/edit?gid=554141278#gid=554141278"", ""'Char Def. - Attributes'!C20:C2242""), 1,false)"),"ADA_ADDITIONAL_PROMO")</f>
        <v>ADA_ADDITIONAL_PROMO</v>
      </c>
      <c r="I3554" s="136"/>
    </row>
    <row r="3555" ht="15.75" customHeight="1">
      <c r="B3555" s="63">
        <f t="shared" si="1"/>
        <v>8</v>
      </c>
      <c r="C3555" s="146" t="s">
        <v>281</v>
      </c>
      <c r="D3555" s="147" t="s">
        <v>74</v>
      </c>
      <c r="E3555" s="135">
        <f t="shared" si="59"/>
        <v>12</v>
      </c>
      <c r="F3555" s="134" t="s">
        <v>3609</v>
      </c>
      <c r="G3555" s="63" t="str">
        <f>VLOOKUP(C3555, 'Class Def. - General Data'!$C$20:$C$1000,1,false)</f>
        <v>ZPM1_BLS</v>
      </c>
      <c r="H3555" s="63" t="str">
        <f>IFERROR(__xludf.DUMMYFUNCTION("VLOOKUP(F3555, IMPORTRANGE(""https://docs.google.com/spreadsheets/d/1Lhp9OU0JdFf_VYSMzH5lBcEaU4o8teT1piV-SNzShjg/edit?gid=554141278#gid=554141278"", ""'Char Def. - Attributes'!C20:C2242""), 1,false)"),"ADDITIONAL_PROMO")</f>
        <v>ADDITIONAL_PROMO</v>
      </c>
      <c r="I3555" s="136"/>
    </row>
    <row r="3556" ht="15.75" customHeight="1">
      <c r="B3556" s="63">
        <f t="shared" si="1"/>
        <v>8</v>
      </c>
      <c r="C3556" s="146" t="s">
        <v>281</v>
      </c>
      <c r="D3556" s="147" t="s">
        <v>74</v>
      </c>
      <c r="E3556" s="135">
        <f t="shared" si="59"/>
        <v>13</v>
      </c>
      <c r="F3556" s="134" t="s">
        <v>3860</v>
      </c>
      <c r="G3556" s="63" t="str">
        <f>VLOOKUP(C3556, 'Class Def. - General Data'!$C$20:$C$1000,1,false)</f>
        <v>ZPM1_BLS</v>
      </c>
      <c r="H3556" s="63" t="str">
        <f>IFERROR(__xludf.DUMMYFUNCTION("VLOOKUP(F3556, IMPORTRANGE(""https://docs.google.com/spreadsheets/d/1Lhp9OU0JdFf_VYSMzH5lBcEaU4o8teT1piV-SNzShjg/edit?gid=554141278#gid=554141278"", ""'Char Def. - Attributes'!C20:C2242""), 1,false)"),"ADA_BANDED_PROMO")</f>
        <v>ADA_BANDED_PROMO</v>
      </c>
      <c r="I3556" s="136"/>
    </row>
    <row r="3557" ht="15.75" customHeight="1">
      <c r="B3557" s="63">
        <f t="shared" si="1"/>
        <v>8</v>
      </c>
      <c r="C3557" s="146" t="s">
        <v>281</v>
      </c>
      <c r="D3557" s="147" t="s">
        <v>74</v>
      </c>
      <c r="E3557" s="135">
        <f t="shared" si="59"/>
        <v>14</v>
      </c>
      <c r="F3557" s="134" t="s">
        <v>3610</v>
      </c>
      <c r="G3557" s="63" t="str">
        <f>VLOOKUP(C3557, 'Class Def. - General Data'!$C$20:$C$1000,1,false)</f>
        <v>ZPM1_BLS</v>
      </c>
      <c r="H3557" s="63" t="str">
        <f>IFERROR(__xludf.DUMMYFUNCTION("VLOOKUP(F3557, IMPORTRANGE(""https://docs.google.com/spreadsheets/d/1Lhp9OU0JdFf_VYSMzH5lBcEaU4o8teT1piV-SNzShjg/edit?gid=554141278#gid=554141278"", ""'Char Def. - Attributes'!C20:C2242""), 1,false)"),"BANDED_PROMO")</f>
        <v>BANDED_PROMO</v>
      </c>
      <c r="I3557" s="136"/>
    </row>
    <row r="3558" ht="15.75" customHeight="1">
      <c r="B3558" s="63">
        <f t="shared" si="1"/>
        <v>8</v>
      </c>
      <c r="C3558" s="146" t="s">
        <v>281</v>
      </c>
      <c r="D3558" s="147" t="s">
        <v>74</v>
      </c>
      <c r="E3558" s="135">
        <f t="shared" si="59"/>
        <v>15</v>
      </c>
      <c r="F3558" s="134" t="s">
        <v>1292</v>
      </c>
      <c r="G3558" s="63" t="str">
        <f>VLOOKUP(C3558, 'Class Def. - General Data'!$C$20:$C$1000,1,false)</f>
        <v>ZPM1_BLS</v>
      </c>
      <c r="H3558" s="63" t="str">
        <f>IFERROR(__xludf.DUMMYFUNCTION("VLOOKUP(F3558, IMPORTRANGE(""https://docs.google.com/spreadsheets/d/1Lhp9OU0JdFf_VYSMzH5lBcEaU4o8teT1piV-SNzShjg/edit?gid=554141278#gid=554141278"", ""'Char Def. - Attributes'!C20:C2242""), 1,false)"),"EXPORT")</f>
        <v>EXPORT</v>
      </c>
      <c r="I3558" s="136"/>
    </row>
    <row r="3559" ht="15.75" customHeight="1">
      <c r="B3559" s="63">
        <f t="shared" si="1"/>
        <v>8</v>
      </c>
      <c r="C3559" s="146" t="s">
        <v>281</v>
      </c>
      <c r="D3559" s="147" t="s">
        <v>74</v>
      </c>
      <c r="E3559" s="135">
        <f t="shared" si="59"/>
        <v>16</v>
      </c>
      <c r="F3559" s="134" t="s">
        <v>3612</v>
      </c>
      <c r="G3559" s="63" t="str">
        <f>VLOOKUP(C3559, 'Class Def. - General Data'!$C$20:$C$1000,1,false)</f>
        <v>ZPM1_BLS</v>
      </c>
      <c r="H3559" s="63" t="str">
        <f>IFERROR(__xludf.DUMMYFUNCTION("VLOOKUP(F3559, IMPORTRANGE(""https://docs.google.com/spreadsheets/d/1Lhp9OU0JdFf_VYSMzH5lBcEaU4o8teT1piV-SNzShjg/edit?gid=554141278#gid=554141278"", ""'Char Def. - Attributes'!C20:C2242""), 1,false)"),"COUNTRY_EKSPOR")</f>
        <v>COUNTRY_EKSPOR</v>
      </c>
      <c r="I3559" s="136"/>
    </row>
    <row r="3560" ht="15.75" customHeight="1">
      <c r="B3560" s="63">
        <f t="shared" si="1"/>
        <v>8</v>
      </c>
      <c r="C3560" s="146" t="s">
        <v>281</v>
      </c>
      <c r="D3560" s="147" t="s">
        <v>74</v>
      </c>
      <c r="E3560" s="135">
        <f t="shared" si="59"/>
        <v>17</v>
      </c>
      <c r="F3560" s="134" t="s">
        <v>3861</v>
      </c>
      <c r="G3560" s="63" t="str">
        <f>VLOOKUP(C3560, 'Class Def. - General Data'!$C$20:$C$1000,1,false)</f>
        <v>ZPM1_BLS</v>
      </c>
      <c r="H3560" s="63" t="str">
        <f>IFERROR(__xludf.DUMMYFUNCTION("VLOOKUP(F3560, IMPORTRANGE(""https://docs.google.com/spreadsheets/d/1Lhp9OU0JdFf_VYSMzH5lBcEaU4o8teT1piV-SNzShjg/edit?gid=554141278#gid=554141278"", ""'Char Def. - Attributes'!C20:C2242""), 1,false)"),"PEMBATAS")</f>
        <v>PEMBATAS</v>
      </c>
      <c r="I3560" s="136"/>
    </row>
    <row r="3561" ht="15.75" customHeight="1">
      <c r="B3561" s="63">
        <f t="shared" si="1"/>
        <v>8</v>
      </c>
      <c r="C3561" s="146" t="s">
        <v>281</v>
      </c>
      <c r="D3561" s="147" t="s">
        <v>74</v>
      </c>
      <c r="E3561" s="135">
        <f t="shared" si="59"/>
        <v>18</v>
      </c>
      <c r="F3561" s="134" t="s">
        <v>3907</v>
      </c>
      <c r="G3561" s="63" t="str">
        <f>VLOOKUP(C3561, 'Class Def. - General Data'!$C$20:$C$1000,1,false)</f>
        <v>ZPM1_BLS</v>
      </c>
      <c r="H3561" s="63" t="str">
        <f>IFERROR(__xludf.DUMMYFUNCTION("VLOOKUP(F3561, IMPORTRANGE(""https://docs.google.com/spreadsheets/d/1Lhp9OU0JdFf_VYSMzH5lBcEaU4o8teT1piV-SNzShjg/edit?gid=554141278#gid=554141278"", ""'Char Def. - Attributes'!C20:C2242""), 1,false)"),"FG_AMOUNT_INPACK_B")</f>
        <v>FG_AMOUNT_INPACK_B</v>
      </c>
      <c r="I3561" s="136"/>
    </row>
    <row r="3562" ht="15.75" customHeight="1">
      <c r="B3562" s="63">
        <f t="shared" si="1"/>
        <v>8</v>
      </c>
      <c r="C3562" s="146" t="s">
        <v>281</v>
      </c>
      <c r="D3562" s="147" t="s">
        <v>74</v>
      </c>
      <c r="E3562" s="135">
        <f t="shared" si="59"/>
        <v>19</v>
      </c>
      <c r="F3562" s="134" t="s">
        <v>3862</v>
      </c>
      <c r="G3562" s="63" t="str">
        <f>VLOOKUP(C3562, 'Class Def. - General Data'!$C$20:$C$1000,1,false)</f>
        <v>ZPM1_BLS</v>
      </c>
      <c r="H3562" s="63" t="str">
        <f>IFERROR(__xludf.DUMMYFUNCTION("VLOOKUP(F3562, IMPORTRANGE(""https://docs.google.com/spreadsheets/d/1Lhp9OU0JdFf_VYSMzH5lBcEaU4o8teT1piV-SNzShjg/edit?gid=554141278#gid=554141278"", ""'Char Def. - Attributes'!C20:C2242""), 1,false)"),"MONTH")</f>
        <v>MONTH</v>
      </c>
      <c r="I3562" s="136"/>
    </row>
    <row r="3563" ht="15.75" customHeight="1">
      <c r="B3563" s="63">
        <f t="shared" si="1"/>
        <v>8</v>
      </c>
      <c r="C3563" s="146" t="s">
        <v>281</v>
      </c>
      <c r="D3563" s="147" t="s">
        <v>74</v>
      </c>
      <c r="E3563" s="135">
        <f t="shared" si="59"/>
        <v>20</v>
      </c>
      <c r="F3563" s="134" t="s">
        <v>3863</v>
      </c>
      <c r="G3563" s="63" t="str">
        <f>VLOOKUP(C3563, 'Class Def. - General Data'!$C$20:$C$1000,1,false)</f>
        <v>ZPM1_BLS</v>
      </c>
      <c r="H3563" s="63" t="str">
        <f>IFERROR(__xludf.DUMMYFUNCTION("VLOOKUP(F3563, IMPORTRANGE(""https://docs.google.com/spreadsheets/d/1Lhp9OU0JdFf_VYSMzH5lBcEaU4o8teT1piV-SNzShjg/edit?gid=554141278#gid=554141278"", ""'Char Def. - Attributes'!C20:C2242""), 1,false)"),"YEAR")</f>
        <v>YEAR</v>
      </c>
      <c r="I3563" s="136"/>
    </row>
    <row r="3564" ht="15.75" customHeight="1">
      <c r="B3564" s="63">
        <f t="shared" si="1"/>
        <v>8</v>
      </c>
      <c r="C3564" s="146" t="s">
        <v>281</v>
      </c>
      <c r="D3564" s="147" t="s">
        <v>74</v>
      </c>
      <c r="E3564" s="135">
        <f t="shared" si="59"/>
        <v>21</v>
      </c>
      <c r="F3564" s="134" t="s">
        <v>3890</v>
      </c>
      <c r="G3564" s="63" t="str">
        <f>VLOOKUP(C3564, 'Class Def. - General Data'!$C$20:$C$1000,1,false)</f>
        <v>ZPM1_BLS</v>
      </c>
      <c r="H3564" s="63" t="str">
        <f>IFERROR(__xludf.DUMMYFUNCTION("VLOOKUP(F3564, IMPORTRANGE(""https://docs.google.com/spreadsheets/d/1Lhp9OU0JdFf_VYSMzH5lBcEaU4o8teT1piV-SNzShjg/edit?gid=554141278#gid=554141278"", ""'Char Def. - Attributes'!C20:C2242""), 1,false)"),"EXT_MAT_GRP")</f>
        <v>EXT_MAT_GRP</v>
      </c>
      <c r="I3564" s="136"/>
    </row>
    <row r="3565" ht="15.75" customHeight="1">
      <c r="B3565" s="63">
        <f t="shared" si="1"/>
        <v>8</v>
      </c>
      <c r="C3565" s="146" t="s">
        <v>281</v>
      </c>
      <c r="D3565" s="147" t="s">
        <v>74</v>
      </c>
      <c r="E3565" s="135">
        <f t="shared" si="59"/>
        <v>22</v>
      </c>
      <c r="F3565" s="134" t="s">
        <v>3587</v>
      </c>
      <c r="G3565" s="63" t="str">
        <f>VLOOKUP(C3565, 'Class Def. - General Data'!$C$20:$C$1000,1,false)</f>
        <v>ZPM1_BLS</v>
      </c>
      <c r="H3565" s="63" t="str">
        <f>IFERROR(__xludf.DUMMYFUNCTION("VLOOKUP(F3565, IMPORTRANGE(""https://docs.google.com/spreadsheets/d/1Lhp9OU0JdFf_VYSMzH5lBcEaU4o8teT1piV-SNzShjg/edit?gid=554141278#gid=554141278"", ""'Char Def. - Attributes'!C20:C2242""), 1,false)"),"PLANT_BUY")</f>
        <v>PLANT_BUY</v>
      </c>
      <c r="I3565" s="136"/>
    </row>
    <row r="3566" ht="15.75" customHeight="1">
      <c r="B3566" s="63">
        <f t="shared" si="1"/>
        <v>8</v>
      </c>
      <c r="C3566" s="146" t="s">
        <v>281</v>
      </c>
      <c r="D3566" s="147" t="s">
        <v>74</v>
      </c>
      <c r="E3566" s="135">
        <f t="shared" si="59"/>
        <v>23</v>
      </c>
      <c r="F3566" s="134" t="s">
        <v>3865</v>
      </c>
      <c r="G3566" s="63" t="str">
        <f>VLOOKUP(C3566, 'Class Def. - General Data'!$C$20:$C$1000,1,false)</f>
        <v>ZPM1_BLS</v>
      </c>
      <c r="H3566" s="63" t="str">
        <f>IFERROR(__xludf.DUMMYFUNCTION("VLOOKUP(F3566, IMPORTRANGE(""https://docs.google.com/spreadsheets/d/1Lhp9OU0JdFf_VYSMzH5lBcEaU4o8teT1piV-SNzShjg/edit?gid=554141278#gid=554141278"", ""'Char Def. - Attributes'!C20:C2242""), 1,false)"),"PLANT_PROD_OPT")</f>
        <v>PLANT_PROD_OPT</v>
      </c>
      <c r="I3566" s="136"/>
    </row>
    <row r="3567" ht="15.75" customHeight="1">
      <c r="B3567" s="63">
        <f t="shared" si="1"/>
        <v>8</v>
      </c>
      <c r="C3567" s="146" t="s">
        <v>281</v>
      </c>
      <c r="D3567" s="147" t="s">
        <v>74</v>
      </c>
      <c r="E3567" s="135">
        <f t="shared" si="59"/>
        <v>24</v>
      </c>
      <c r="F3567" s="134" t="s">
        <v>3866</v>
      </c>
      <c r="G3567" s="63" t="str">
        <f>VLOOKUP(C3567, 'Class Def. - General Data'!$C$20:$C$1000,1,false)</f>
        <v>ZPM1_BLS</v>
      </c>
      <c r="H3567" s="63" t="str">
        <f>IFERROR(__xludf.DUMMYFUNCTION("VLOOKUP(F3567, IMPORTRANGE(""https://docs.google.com/spreadsheets/d/1Lhp9OU0JdFf_VYSMzH5lBcEaU4o8teT1piV-SNzShjg/edit?gid=554141278#gid=554141278"", ""'Char Def. - Attributes'!C20:C2242""), 1,false)"),"PM_SUPPLY_JKT")</f>
        <v>PM_SUPPLY_JKT</v>
      </c>
      <c r="I3567" s="136"/>
    </row>
    <row r="3568" ht="15.75" customHeight="1">
      <c r="B3568" s="63">
        <f t="shared" si="1"/>
        <v>8</v>
      </c>
      <c r="C3568" s="146" t="s">
        <v>281</v>
      </c>
      <c r="D3568" s="147" t="s">
        <v>74</v>
      </c>
      <c r="E3568" s="135">
        <f t="shared" si="59"/>
        <v>25</v>
      </c>
      <c r="F3568" s="134" t="s">
        <v>3867</v>
      </c>
      <c r="G3568" s="63" t="str">
        <f>VLOOKUP(C3568, 'Class Def. - General Data'!$C$20:$C$1000,1,false)</f>
        <v>ZPM1_BLS</v>
      </c>
      <c r="H3568" s="63" t="str">
        <f>IFERROR(__xludf.DUMMYFUNCTION("VLOOKUP(F3568, IMPORTRANGE(""https://docs.google.com/spreadsheets/d/1Lhp9OU0JdFf_VYSMzH5lBcEaU4o8teT1piV-SNzShjg/edit?gid=554141278#gid=554141278"", ""'Char Def. - Attributes'!C20:C2242""), 1,false)"),"PM_SUPPLY_SBY")</f>
        <v>PM_SUPPLY_SBY</v>
      </c>
      <c r="I3568" s="136"/>
    </row>
    <row r="3569" ht="15.75" customHeight="1">
      <c r="B3569" s="63">
        <f t="shared" si="1"/>
        <v>8</v>
      </c>
      <c r="C3569" s="146" t="s">
        <v>281</v>
      </c>
      <c r="D3569" s="147" t="s">
        <v>74</v>
      </c>
      <c r="E3569" s="135">
        <f t="shared" si="59"/>
        <v>26</v>
      </c>
      <c r="F3569" s="134" t="s">
        <v>3868</v>
      </c>
      <c r="G3569" s="63" t="str">
        <f>VLOOKUP(C3569, 'Class Def. - General Data'!$C$20:$C$1000,1,false)</f>
        <v>ZPM1_BLS</v>
      </c>
      <c r="H3569" s="63" t="str">
        <f>IFERROR(__xludf.DUMMYFUNCTION("VLOOKUP(F3569, IMPORTRANGE(""https://docs.google.com/spreadsheets/d/1Lhp9OU0JdFf_VYSMzH5lBcEaU4o8teT1piV-SNzShjg/edit?gid=554141278#gid=554141278"", ""'Char Def. - Attributes'!C20:C2242""), 1,false)"),"BASIC_UOM_RMPM")</f>
        <v>BASIC_UOM_RMPM</v>
      </c>
      <c r="I3569" s="136"/>
    </row>
    <row r="3570" ht="15.75" customHeight="1">
      <c r="B3570" s="63">
        <f t="shared" si="1"/>
        <v>8</v>
      </c>
      <c r="C3570" s="146" t="s">
        <v>281</v>
      </c>
      <c r="D3570" s="147" t="s">
        <v>74</v>
      </c>
      <c r="E3570" s="135">
        <f t="shared" si="59"/>
        <v>27</v>
      </c>
      <c r="F3570" s="134" t="s">
        <v>3869</v>
      </c>
      <c r="G3570" s="63" t="str">
        <f>VLOOKUP(C3570, 'Class Def. - General Data'!$C$20:$C$1000,1,false)</f>
        <v>ZPM1_BLS</v>
      </c>
      <c r="H3570" s="63" t="str">
        <f>IFERROR(__xludf.DUMMYFUNCTION("VLOOKUP(F3570, IMPORTRANGE(""https://docs.google.com/spreadsheets/d/1Lhp9OU0JdFf_VYSMzH5lBcEaU4o8teT1piV-SNzShjg/edit?gid=554141278#gid=554141278"", ""'Char Def. - Attributes'!C20:C2242""), 1,false)"),"ALT_UOM1_RMPM")</f>
        <v>ALT_UOM1_RMPM</v>
      </c>
      <c r="I3570" s="136"/>
    </row>
    <row r="3571" ht="15.75" customHeight="1">
      <c r="B3571" s="63">
        <f t="shared" si="1"/>
        <v>8</v>
      </c>
      <c r="C3571" s="146" t="s">
        <v>281</v>
      </c>
      <c r="D3571" s="147" t="s">
        <v>74</v>
      </c>
      <c r="E3571" s="135">
        <f t="shared" si="59"/>
        <v>28</v>
      </c>
      <c r="F3571" s="134" t="s">
        <v>3805</v>
      </c>
      <c r="G3571" s="63" t="str">
        <f>VLOOKUP(C3571, 'Class Def. - General Data'!$C$20:$C$1000,1,false)</f>
        <v>ZPM1_BLS</v>
      </c>
      <c r="H3571" s="63" t="str">
        <f>IFERROR(__xludf.DUMMYFUNCTION("VLOOKUP(F3571, IMPORTRANGE(""https://docs.google.com/spreadsheets/d/1Lhp9OU0JdFf_VYSMzH5lBcEaU4o8teT1piV-SNzShjg/edit?gid=554141278#gid=554141278"", ""'Char Def. - Attributes'!C20:C2242""), 1,false)"),"ALT_DENUM_UOM1")</f>
        <v>ALT_DENUM_UOM1</v>
      </c>
      <c r="I3571" s="136"/>
    </row>
    <row r="3572" ht="15.75" customHeight="1">
      <c r="B3572" s="63">
        <f t="shared" si="1"/>
        <v>8</v>
      </c>
      <c r="C3572" s="146" t="s">
        <v>281</v>
      </c>
      <c r="D3572" s="147" t="s">
        <v>74</v>
      </c>
      <c r="E3572" s="135">
        <f t="shared" si="59"/>
        <v>29</v>
      </c>
      <c r="F3572" s="134" t="s">
        <v>3806</v>
      </c>
      <c r="G3572" s="63" t="str">
        <f>VLOOKUP(C3572, 'Class Def. - General Data'!$C$20:$C$1000,1,false)</f>
        <v>ZPM1_BLS</v>
      </c>
      <c r="H3572" s="63" t="str">
        <f>IFERROR(__xludf.DUMMYFUNCTION("VLOOKUP(F3572, IMPORTRANGE(""https://docs.google.com/spreadsheets/d/1Lhp9OU0JdFf_VYSMzH5lBcEaU4o8teT1piV-SNzShjg/edit?gid=554141278#gid=554141278"", ""'Char Def. - Attributes'!C20:C2242""), 1,false)"),"ALT_NUM_UOM1")</f>
        <v>ALT_NUM_UOM1</v>
      </c>
      <c r="I3572" s="136"/>
    </row>
    <row r="3573" ht="15.75" customHeight="1">
      <c r="B3573" s="63">
        <f t="shared" si="1"/>
        <v>8</v>
      </c>
      <c r="C3573" s="146" t="s">
        <v>281</v>
      </c>
      <c r="D3573" s="147" t="s">
        <v>74</v>
      </c>
      <c r="E3573" s="135">
        <f t="shared" si="59"/>
        <v>30</v>
      </c>
      <c r="F3573" s="134" t="s">
        <v>3870</v>
      </c>
      <c r="G3573" s="63" t="str">
        <f>VLOOKUP(C3573, 'Class Def. - General Data'!$C$20:$C$1000,1,false)</f>
        <v>ZPM1_BLS</v>
      </c>
      <c r="H3573" s="63" t="str">
        <f>IFERROR(__xludf.DUMMYFUNCTION("VLOOKUP(F3573, IMPORTRANGE(""https://docs.google.com/spreadsheets/d/1Lhp9OU0JdFf_VYSMzH5lBcEaU4o8teT1piV-SNzShjg/edit?gid=554141278#gid=554141278"", ""'Char Def. - Attributes'!C20:C2242""), 1,false)"),"ALT_UOM2_RMPM")</f>
        <v>ALT_UOM2_RMPM</v>
      </c>
      <c r="I3573" s="136"/>
    </row>
    <row r="3574" ht="15.75" customHeight="1">
      <c r="B3574" s="63">
        <f t="shared" si="1"/>
        <v>8</v>
      </c>
      <c r="C3574" s="146" t="s">
        <v>281</v>
      </c>
      <c r="D3574" s="147" t="s">
        <v>74</v>
      </c>
      <c r="E3574" s="135">
        <f t="shared" si="59"/>
        <v>31</v>
      </c>
      <c r="F3574" s="134" t="s">
        <v>3808</v>
      </c>
      <c r="G3574" s="63" t="str">
        <f>VLOOKUP(C3574, 'Class Def. - General Data'!$C$20:$C$1000,1,false)</f>
        <v>ZPM1_BLS</v>
      </c>
      <c r="H3574" s="63" t="str">
        <f>IFERROR(__xludf.DUMMYFUNCTION("VLOOKUP(F3574, IMPORTRANGE(""https://docs.google.com/spreadsheets/d/1Lhp9OU0JdFf_VYSMzH5lBcEaU4o8teT1piV-SNzShjg/edit?gid=554141278#gid=554141278"", ""'Char Def. - Attributes'!C20:C2242""), 1,false)"),"ALT_DENUM_UOM2")</f>
        <v>ALT_DENUM_UOM2</v>
      </c>
      <c r="I3574" s="136"/>
    </row>
    <row r="3575" ht="15.75" customHeight="1">
      <c r="B3575" s="63">
        <f t="shared" si="1"/>
        <v>8</v>
      </c>
      <c r="C3575" s="146" t="s">
        <v>281</v>
      </c>
      <c r="D3575" s="147" t="s">
        <v>74</v>
      </c>
      <c r="E3575" s="135">
        <f t="shared" si="59"/>
        <v>32</v>
      </c>
      <c r="F3575" s="134" t="s">
        <v>3809</v>
      </c>
      <c r="G3575" s="63" t="str">
        <f>VLOOKUP(C3575, 'Class Def. - General Data'!$C$20:$C$1000,1,false)</f>
        <v>ZPM1_BLS</v>
      </c>
      <c r="H3575" s="63" t="str">
        <f>IFERROR(__xludf.DUMMYFUNCTION("VLOOKUP(F3575, IMPORTRANGE(""https://docs.google.com/spreadsheets/d/1Lhp9OU0JdFf_VYSMzH5lBcEaU4o8teT1piV-SNzShjg/edit?gid=554141278#gid=554141278"", ""'Char Def. - Attributes'!C20:C2242""), 1,false)"),"ALT_NUM_UOM2")</f>
        <v>ALT_NUM_UOM2</v>
      </c>
      <c r="I3575" s="136"/>
    </row>
    <row r="3576" ht="15.75" customHeight="1">
      <c r="B3576" s="63">
        <f t="shared" si="1"/>
        <v>8</v>
      </c>
      <c r="C3576" s="146" t="s">
        <v>281</v>
      </c>
      <c r="D3576" s="147" t="s">
        <v>74</v>
      </c>
      <c r="E3576" s="135">
        <f t="shared" si="59"/>
        <v>33</v>
      </c>
      <c r="F3576" s="134" t="s">
        <v>3871</v>
      </c>
      <c r="G3576" s="63" t="str">
        <f>VLOOKUP(C3576, 'Class Def. - General Data'!$C$20:$C$1000,1,false)</f>
        <v>ZPM1_BLS</v>
      </c>
      <c r="H3576" s="63" t="str">
        <f>IFERROR(__xludf.DUMMYFUNCTION("VLOOKUP(F3576, IMPORTRANGE(""https://docs.google.com/spreadsheets/d/1Lhp9OU0JdFf_VYSMzH5lBcEaU4o8teT1piV-SNzShjg/edit?gid=554141278#gid=554141278"", ""'Char Def. - Attributes'!C20:C2242""), 1,false)"),"ALT_UOM3_RMPM")</f>
        <v>ALT_UOM3_RMPM</v>
      </c>
      <c r="I3576" s="136"/>
    </row>
    <row r="3577" ht="15.75" customHeight="1">
      <c r="B3577" s="63">
        <f t="shared" si="1"/>
        <v>8</v>
      </c>
      <c r="C3577" s="146" t="s">
        <v>281</v>
      </c>
      <c r="D3577" s="147" t="s">
        <v>74</v>
      </c>
      <c r="E3577" s="135">
        <f t="shared" si="59"/>
        <v>34</v>
      </c>
      <c r="F3577" s="134" t="s">
        <v>3811</v>
      </c>
      <c r="G3577" s="63" t="str">
        <f>VLOOKUP(C3577, 'Class Def. - General Data'!$C$20:$C$1000,1,false)</f>
        <v>ZPM1_BLS</v>
      </c>
      <c r="H3577" s="63" t="str">
        <f>IFERROR(__xludf.DUMMYFUNCTION("VLOOKUP(F3577, IMPORTRANGE(""https://docs.google.com/spreadsheets/d/1Lhp9OU0JdFf_VYSMzH5lBcEaU4o8teT1piV-SNzShjg/edit?gid=554141278#gid=554141278"", ""'Char Def. - Attributes'!C20:C2242""), 1,false)"),"ALT_DENUM_UOM3")</f>
        <v>ALT_DENUM_UOM3</v>
      </c>
      <c r="I3577" s="136"/>
    </row>
    <row r="3578" ht="15.75" customHeight="1">
      <c r="B3578" s="63">
        <f t="shared" si="1"/>
        <v>8</v>
      </c>
      <c r="C3578" s="146" t="s">
        <v>281</v>
      </c>
      <c r="D3578" s="147" t="s">
        <v>74</v>
      </c>
      <c r="E3578" s="135">
        <f t="shared" si="59"/>
        <v>35</v>
      </c>
      <c r="F3578" s="134" t="s">
        <v>3812</v>
      </c>
      <c r="G3578" s="63" t="str">
        <f>VLOOKUP(C3578, 'Class Def. - General Data'!$C$20:$C$1000,1,false)</f>
        <v>ZPM1_BLS</v>
      </c>
      <c r="H3578" s="63" t="str">
        <f>IFERROR(__xludf.DUMMYFUNCTION("VLOOKUP(F3578, IMPORTRANGE(""https://docs.google.com/spreadsheets/d/1Lhp9OU0JdFf_VYSMzH5lBcEaU4o8teT1piV-SNzShjg/edit?gid=554141278#gid=554141278"", ""'Char Def. - Attributes'!C20:C2242""), 1,false)"),"ALT_NUM_UOM3")</f>
        <v>ALT_NUM_UOM3</v>
      </c>
      <c r="I3578" s="136"/>
    </row>
    <row r="3579" ht="15.75" customHeight="1">
      <c r="B3579" s="63">
        <f t="shared" si="1"/>
        <v>8</v>
      </c>
      <c r="C3579" s="146" t="s">
        <v>281</v>
      </c>
      <c r="D3579" s="147" t="s">
        <v>74</v>
      </c>
      <c r="E3579" s="135">
        <f t="shared" si="59"/>
        <v>36</v>
      </c>
      <c r="F3579" s="134" t="s">
        <v>3872</v>
      </c>
      <c r="G3579" s="63" t="str">
        <f>VLOOKUP(C3579, 'Class Def. - General Data'!$C$20:$C$1000,1,false)</f>
        <v>ZPM1_BLS</v>
      </c>
      <c r="H3579" s="63" t="str">
        <f>IFERROR(__xludf.DUMMYFUNCTION("VLOOKUP(F3579, IMPORTRANGE(""https://docs.google.com/spreadsheets/d/1Lhp9OU0JdFf_VYSMzH5lBcEaU4o8teT1piV-SNzShjg/edit?gid=554141278#gid=554141278"", ""'Char Def. - Attributes'!C20:C2242""), 1,false)"),"ALT_UOM4_RMPM")</f>
        <v>ALT_UOM4_RMPM</v>
      </c>
      <c r="I3579" s="136"/>
    </row>
    <row r="3580" ht="15.75" customHeight="1">
      <c r="B3580" s="63">
        <f t="shared" si="1"/>
        <v>8</v>
      </c>
      <c r="C3580" s="146" t="s">
        <v>281</v>
      </c>
      <c r="D3580" s="147" t="s">
        <v>74</v>
      </c>
      <c r="E3580" s="135">
        <f t="shared" si="59"/>
        <v>37</v>
      </c>
      <c r="F3580" s="134" t="s">
        <v>3814</v>
      </c>
      <c r="G3580" s="63" t="str">
        <f>VLOOKUP(C3580, 'Class Def. - General Data'!$C$20:$C$1000,1,false)</f>
        <v>ZPM1_BLS</v>
      </c>
      <c r="H3580" s="63" t="str">
        <f>IFERROR(__xludf.DUMMYFUNCTION("VLOOKUP(F3580, IMPORTRANGE(""https://docs.google.com/spreadsheets/d/1Lhp9OU0JdFf_VYSMzH5lBcEaU4o8teT1piV-SNzShjg/edit?gid=554141278#gid=554141278"", ""'Char Def. - Attributes'!C20:C2242""), 1,false)"),"ALT_DENUM_UOM4")</f>
        <v>ALT_DENUM_UOM4</v>
      </c>
      <c r="I3580" s="136"/>
    </row>
    <row r="3581" ht="15.75" customHeight="1">
      <c r="B3581" s="63">
        <f t="shared" si="1"/>
        <v>8</v>
      </c>
      <c r="C3581" s="146" t="s">
        <v>281</v>
      </c>
      <c r="D3581" s="147" t="s">
        <v>74</v>
      </c>
      <c r="E3581" s="135">
        <f t="shared" si="59"/>
        <v>38</v>
      </c>
      <c r="F3581" s="134" t="s">
        <v>3815</v>
      </c>
      <c r="G3581" s="63" t="str">
        <f>VLOOKUP(C3581, 'Class Def. - General Data'!$C$20:$C$1000,1,false)</f>
        <v>ZPM1_BLS</v>
      </c>
      <c r="H3581" s="63" t="str">
        <f>IFERROR(__xludf.DUMMYFUNCTION("VLOOKUP(F3581, IMPORTRANGE(""https://docs.google.com/spreadsheets/d/1Lhp9OU0JdFf_VYSMzH5lBcEaU4o8teT1piV-SNzShjg/edit?gid=554141278#gid=554141278"", ""'Char Def. - Attributes'!C20:C2242""), 1,false)"),"ALT_NUM_UOM4")</f>
        <v>ALT_NUM_UOM4</v>
      </c>
      <c r="I3581" s="136"/>
    </row>
    <row r="3582" ht="15.75" customHeight="1">
      <c r="B3582" s="63">
        <f t="shared" si="1"/>
        <v>8</v>
      </c>
      <c r="C3582" s="146" t="s">
        <v>281</v>
      </c>
      <c r="D3582" s="147" t="s">
        <v>74</v>
      </c>
      <c r="E3582" s="135">
        <f t="shared" si="59"/>
        <v>39</v>
      </c>
      <c r="F3582" s="134" t="s">
        <v>3873</v>
      </c>
      <c r="G3582" s="63" t="str">
        <f>VLOOKUP(C3582, 'Class Def. - General Data'!$C$20:$C$1000,1,false)</f>
        <v>ZPM1_BLS</v>
      </c>
      <c r="H3582" s="63" t="str">
        <f>IFERROR(__xludf.DUMMYFUNCTION("VLOOKUP(F3582, IMPORTRANGE(""https://docs.google.com/spreadsheets/d/1Lhp9OU0JdFf_VYSMzH5lBcEaU4o8teT1piV-SNzShjg/edit?gid=554141278#gid=554141278"", ""'Char Def. - Attributes'!C20:C2242""), 1,false)"),"ALT_UOM5_RMPM")</f>
        <v>ALT_UOM5_RMPM</v>
      </c>
      <c r="I3582" s="136"/>
    </row>
    <row r="3583" ht="15.75" customHeight="1">
      <c r="B3583" s="63">
        <f t="shared" si="1"/>
        <v>8</v>
      </c>
      <c r="C3583" s="146" t="s">
        <v>281</v>
      </c>
      <c r="D3583" s="147" t="s">
        <v>74</v>
      </c>
      <c r="E3583" s="135">
        <f t="shared" si="59"/>
        <v>40</v>
      </c>
      <c r="F3583" s="134" t="s">
        <v>3817</v>
      </c>
      <c r="G3583" s="63" t="str">
        <f>VLOOKUP(C3583, 'Class Def. - General Data'!$C$20:$C$1000,1,false)</f>
        <v>ZPM1_BLS</v>
      </c>
      <c r="H3583" s="63" t="str">
        <f>IFERROR(__xludf.DUMMYFUNCTION("VLOOKUP(F3583, IMPORTRANGE(""https://docs.google.com/spreadsheets/d/1Lhp9OU0JdFf_VYSMzH5lBcEaU4o8teT1piV-SNzShjg/edit?gid=554141278#gid=554141278"", ""'Char Def. - Attributes'!C20:C2242""), 1,false)"),"ALT_DENUM_UOM5")</f>
        <v>ALT_DENUM_UOM5</v>
      </c>
      <c r="I3583" s="136"/>
    </row>
    <row r="3584" ht="15.75" customHeight="1">
      <c r="B3584" s="63">
        <f t="shared" si="1"/>
        <v>8</v>
      </c>
      <c r="C3584" s="146" t="s">
        <v>281</v>
      </c>
      <c r="D3584" s="147" t="s">
        <v>74</v>
      </c>
      <c r="E3584" s="135">
        <f t="shared" si="59"/>
        <v>41</v>
      </c>
      <c r="F3584" s="134" t="s">
        <v>3818</v>
      </c>
      <c r="G3584" s="63" t="str">
        <f>VLOOKUP(C3584, 'Class Def. - General Data'!$C$20:$C$1000,1,false)</f>
        <v>ZPM1_BLS</v>
      </c>
      <c r="H3584" s="63" t="str">
        <f>IFERROR(__xludf.DUMMYFUNCTION("VLOOKUP(F3584, IMPORTRANGE(""https://docs.google.com/spreadsheets/d/1Lhp9OU0JdFf_VYSMzH5lBcEaU4o8teT1piV-SNzShjg/edit?gid=554141278#gid=554141278"", ""'Char Def. - Attributes'!C20:C2242""), 1,false)"),"ALT_NUM_UOM5")</f>
        <v>ALT_NUM_UOM5</v>
      </c>
      <c r="I3584" s="136"/>
    </row>
    <row r="3585" ht="15.75" customHeight="1">
      <c r="B3585" s="63">
        <f t="shared" si="1"/>
        <v>8</v>
      </c>
      <c r="C3585" s="146" t="s">
        <v>281</v>
      </c>
      <c r="D3585" s="147" t="s">
        <v>74</v>
      </c>
      <c r="E3585" s="135">
        <f t="shared" si="59"/>
        <v>42</v>
      </c>
      <c r="F3585" s="134" t="s">
        <v>3874</v>
      </c>
      <c r="G3585" s="63" t="str">
        <f>VLOOKUP(C3585, 'Class Def. - General Data'!$C$20:$C$1000,1,false)</f>
        <v>ZPM1_BLS</v>
      </c>
      <c r="H3585" s="63" t="str">
        <f>IFERROR(__xludf.DUMMYFUNCTION("VLOOKUP(F3585, IMPORTRANGE(""https://docs.google.com/spreadsheets/d/1Lhp9OU0JdFf_VYSMzH5lBcEaU4o8teT1piV-SNzShjg/edit?gid=554141278#gid=554141278"", ""'Char Def. - Attributes'!C20:C2242""), 1,false)"),"VALUATION_CATEGORY")</f>
        <v>VALUATION_CATEGORY</v>
      </c>
      <c r="I3585" s="136"/>
    </row>
    <row r="3586" ht="15.75" customHeight="1">
      <c r="B3586" s="63">
        <f t="shared" si="1"/>
        <v>8</v>
      </c>
      <c r="C3586" s="146" t="s">
        <v>281</v>
      </c>
      <c r="D3586" s="147" t="s">
        <v>74</v>
      </c>
      <c r="E3586" s="135">
        <f t="shared" si="59"/>
        <v>43</v>
      </c>
      <c r="F3586" s="134" t="s">
        <v>3800</v>
      </c>
      <c r="G3586" s="63" t="str">
        <f>VLOOKUP(C3586, 'Class Def. - General Data'!$C$20:$C$1000,1,false)</f>
        <v>ZPM1_BLS</v>
      </c>
      <c r="H3586" s="63" t="str">
        <f>IFERROR(__xludf.DUMMYFUNCTION("VLOOKUP(F3586, IMPORTRANGE(""https://docs.google.com/spreadsheets/d/1Lhp9OU0JdFf_VYSMzH5lBcEaU4o8teT1piV-SNzShjg/edit?gid=554141278#gid=554141278"", ""'Char Def. - Attributes'!C20:C2242""), 1,false)"),"ORDER_UNIT_DIFF_FROM_BASIC_UOM")</f>
        <v>ORDER_UNIT_DIFF_FROM_BASIC_UOM</v>
      </c>
      <c r="I3586" s="136"/>
    </row>
    <row r="3587" ht="15.75" customHeight="1">
      <c r="B3587" s="63">
        <f t="shared" si="1"/>
        <v>8</v>
      </c>
      <c r="C3587" s="146" t="s">
        <v>281</v>
      </c>
      <c r="D3587" s="147" t="s">
        <v>74</v>
      </c>
      <c r="E3587" s="135">
        <f t="shared" si="59"/>
        <v>44</v>
      </c>
      <c r="F3587" s="134" t="s">
        <v>3875</v>
      </c>
      <c r="G3587" s="63" t="str">
        <f>VLOOKUP(C3587, 'Class Def. - General Data'!$C$20:$C$1000,1,false)</f>
        <v>ZPM1_BLS</v>
      </c>
      <c r="H3587" s="63" t="str">
        <f>IFERROR(__xludf.DUMMYFUNCTION("VLOOKUP(F3587, IMPORTRANGE(""https://docs.google.com/spreadsheets/d/1Lhp9OU0JdFf_VYSMzH5lBcEaU4o8teT1piV-SNzShjg/edit?gid=554141278#gid=554141278"", ""'Char Def. - Attributes'!C20:C2242""), 1,false)"),"ORDER_UNIT_RMPM")</f>
        <v>ORDER_UNIT_RMPM</v>
      </c>
      <c r="I3587" s="136"/>
    </row>
    <row r="3588" ht="15.75" customHeight="1">
      <c r="B3588" s="63">
        <f t="shared" si="1"/>
        <v>8</v>
      </c>
      <c r="C3588" s="146" t="s">
        <v>281</v>
      </c>
      <c r="D3588" s="147" t="s">
        <v>74</v>
      </c>
      <c r="E3588" s="135">
        <f t="shared" si="59"/>
        <v>45</v>
      </c>
      <c r="F3588" s="134" t="s">
        <v>3602</v>
      </c>
      <c r="G3588" s="63" t="str">
        <f>VLOOKUP(C3588, 'Class Def. - General Data'!$C$20:$C$1000,1,false)</f>
        <v>ZPM1_BLS</v>
      </c>
      <c r="H3588" s="63" t="str">
        <f>IFERROR(__xludf.DUMMYFUNCTION("VLOOKUP(F3588, IMPORTRANGE(""https://docs.google.com/spreadsheets/d/1Lhp9OU0JdFf_VYSMzH5lBcEaU4o8teT1piV-SNzShjg/edit?gid=554141278#gid=554141278"", ""'Char Def. - Attributes'!C20:C2242""), 1,false)"),"NET_WEIGHT")</f>
        <v>NET_WEIGHT</v>
      </c>
      <c r="I3588" s="136"/>
    </row>
    <row r="3589" ht="15.75" customHeight="1">
      <c r="B3589" s="63">
        <f t="shared" si="1"/>
        <v>8</v>
      </c>
      <c r="C3589" s="146" t="s">
        <v>281</v>
      </c>
      <c r="D3589" s="147" t="s">
        <v>74</v>
      </c>
      <c r="E3589" s="135">
        <f t="shared" si="59"/>
        <v>46</v>
      </c>
      <c r="F3589" s="134" t="s">
        <v>3601</v>
      </c>
      <c r="G3589" s="63" t="str">
        <f>VLOOKUP(C3589, 'Class Def. - General Data'!$C$20:$C$1000,1,false)</f>
        <v>ZPM1_BLS</v>
      </c>
      <c r="H3589" s="63" t="str">
        <f>IFERROR(__xludf.DUMMYFUNCTION("VLOOKUP(F3589, IMPORTRANGE(""https://docs.google.com/spreadsheets/d/1Lhp9OU0JdFf_VYSMzH5lBcEaU4o8teT1piV-SNzShjg/edit?gid=554141278#gid=554141278"", ""'Char Def. - Attributes'!C20:C2242""), 1,false)"),"GROSS_WEIGHT")</f>
        <v>GROSS_WEIGHT</v>
      </c>
      <c r="I3589" s="136"/>
    </row>
    <row r="3590" ht="15.75" customHeight="1">
      <c r="B3590" s="63">
        <f t="shared" si="1"/>
        <v>8</v>
      </c>
      <c r="C3590" s="146" t="s">
        <v>281</v>
      </c>
      <c r="D3590" s="147" t="s">
        <v>74</v>
      </c>
      <c r="E3590" s="135">
        <f t="shared" si="59"/>
        <v>47</v>
      </c>
      <c r="F3590" s="134" t="s">
        <v>3876</v>
      </c>
      <c r="G3590" s="63" t="str">
        <f>VLOOKUP(C3590, 'Class Def. - General Data'!$C$20:$C$1000,1,false)</f>
        <v>ZPM1_BLS</v>
      </c>
      <c r="H3590" s="63" t="str">
        <f>IFERROR(__xludf.DUMMYFUNCTION("VLOOKUP(F3590, IMPORTRANGE(""https://docs.google.com/spreadsheets/d/1Lhp9OU0JdFf_VYSMzH5lBcEaU4o8teT1piV-SNzShjg/edit?gid=554141278#gid=554141278"", ""'Char Def. - Attributes'!C20:C2242""), 1,false)"),"WEIGHT_UNIT_PM")</f>
        <v>WEIGHT_UNIT_PM</v>
      </c>
      <c r="I3590" s="136"/>
    </row>
    <row r="3591" ht="15.75" customHeight="1">
      <c r="B3591" s="63">
        <f t="shared" si="1"/>
        <v>8</v>
      </c>
      <c r="C3591" s="146" t="s">
        <v>281</v>
      </c>
      <c r="D3591" s="147" t="s">
        <v>74</v>
      </c>
      <c r="E3591" s="135">
        <f t="shared" si="59"/>
        <v>48</v>
      </c>
      <c r="F3591" s="134" t="s">
        <v>3877</v>
      </c>
      <c r="G3591" s="63" t="str">
        <f>VLOOKUP(C3591, 'Class Def. - General Data'!$C$20:$C$1000,1,false)</f>
        <v>ZPM1_BLS</v>
      </c>
      <c r="H3591" s="63" t="str">
        <f>IFERROR(__xludf.DUMMYFUNCTION("VLOOKUP(F3591, IMPORTRANGE(""https://docs.google.com/spreadsheets/d/1Lhp9OU0JdFf_VYSMzH5lBcEaU4o8teT1piV-SNzShjg/edit?gid=554141278#gid=554141278"", ""'Char Def. - Attributes'!C20:C2242""), 1,false)"),"VOLUME_OPT")</f>
        <v>VOLUME_OPT</v>
      </c>
      <c r="I3591" s="136"/>
    </row>
    <row r="3592" ht="15.75" customHeight="1">
      <c r="B3592" s="63">
        <f t="shared" si="1"/>
        <v>8</v>
      </c>
      <c r="C3592" s="146" t="s">
        <v>281</v>
      </c>
      <c r="D3592" s="147" t="s">
        <v>74</v>
      </c>
      <c r="E3592" s="135">
        <f t="shared" si="59"/>
        <v>49</v>
      </c>
      <c r="F3592" s="143" t="s">
        <v>3878</v>
      </c>
      <c r="G3592" s="63" t="str">
        <f>VLOOKUP(C3592, 'Class Def. - General Data'!$C$20:$C$1000,1,false)</f>
        <v>ZPM1_BLS</v>
      </c>
      <c r="H3592" s="63" t="str">
        <f>IFERROR(__xludf.DUMMYFUNCTION("VLOOKUP(F3592, IMPORTRANGE(""https://docs.google.com/spreadsheets/d/1Lhp9OU0JdFf_VYSMzH5lBcEaU4o8teT1piV-SNzShjg/edit?gid=554141278#gid=554141278"", ""'Char Def. - Attributes'!C20:C2242""), 1,false)"),"VOLUME_UNIT")</f>
        <v>VOLUME_UNIT</v>
      </c>
      <c r="I3592" s="136"/>
    </row>
    <row r="3593" ht="15.75" customHeight="1">
      <c r="B3593" s="63">
        <f t="shared" si="1"/>
        <v>8</v>
      </c>
      <c r="C3593" s="146" t="s">
        <v>281</v>
      </c>
      <c r="D3593" s="147" t="s">
        <v>74</v>
      </c>
      <c r="E3593" s="135">
        <f t="shared" si="59"/>
        <v>50</v>
      </c>
      <c r="F3593" s="143" t="s">
        <v>3879</v>
      </c>
      <c r="G3593" s="63" t="str">
        <f>VLOOKUP(C3593, 'Class Def. - General Data'!$C$20:$C$1000,1,false)</f>
        <v>ZPM1_BLS</v>
      </c>
      <c r="H3593" s="63" t="str">
        <f>IFERROR(__xludf.DUMMYFUNCTION("VLOOKUP(F3593, IMPORTRANGE(""https://docs.google.com/spreadsheets/d/1Lhp9OU0JdFf_VYSMzH5lBcEaU4o8teT1piV-SNzShjg/edit?gid=554141278#gid=554141278"", ""'Char Def. - Attributes'!C20:C2242""), 1,false)"),"OLD_MAT_NO_RMPM")</f>
        <v>OLD_MAT_NO_RMPM</v>
      </c>
      <c r="I3593" s="136"/>
    </row>
    <row r="3594" ht="15.75" customHeight="1">
      <c r="B3594" s="63">
        <f t="shared" si="1"/>
        <v>8</v>
      </c>
      <c r="C3594" s="146" t="s">
        <v>281</v>
      </c>
      <c r="D3594" s="147" t="s">
        <v>74</v>
      </c>
      <c r="E3594" s="135">
        <f t="shared" si="59"/>
        <v>51</v>
      </c>
      <c r="F3594" s="143" t="s">
        <v>3880</v>
      </c>
      <c r="G3594" s="63" t="str">
        <f>VLOOKUP(C3594, 'Class Def. - General Data'!$C$20:$C$1000,1,false)</f>
        <v>ZPM1_BLS</v>
      </c>
      <c r="H3594" s="63" t="str">
        <f>IFERROR(__xludf.DUMMYFUNCTION("VLOOKUP(F3594, IMPORTRANGE(""https://docs.google.com/spreadsheets/d/1Lhp9OU0JdFf_VYSMzH5lBcEaU4o8teT1piV-SNzShjg/edit?gid=554141278#gid=554141278"", ""'Char Def. - Attributes'!C20:C2242""), 1,false)"),"NOTE_PM")</f>
        <v>NOTE_PM</v>
      </c>
      <c r="I3594" s="136"/>
    </row>
    <row r="3595" ht="15.75" customHeight="1">
      <c r="B3595" s="63">
        <f t="shared" si="1"/>
        <v>8</v>
      </c>
      <c r="C3595" s="146" t="s">
        <v>281</v>
      </c>
      <c r="D3595" s="147" t="s">
        <v>74</v>
      </c>
      <c r="E3595" s="135">
        <f t="shared" si="59"/>
        <v>52</v>
      </c>
      <c r="F3595" s="143" t="s">
        <v>3881</v>
      </c>
      <c r="G3595" s="63" t="str">
        <f>VLOOKUP(C3595, 'Class Def. - General Data'!$C$20:$C$1000,1,false)</f>
        <v>ZPM1_BLS</v>
      </c>
      <c r="H3595" s="63" t="str">
        <f>IFERROR(__xludf.DUMMYFUNCTION("VLOOKUP(F3595, IMPORTRANGE(""https://docs.google.com/spreadsheets/d/1Lhp9OU0JdFf_VYSMzH5lBcEaU4o8teT1piV-SNzShjg/edit?gid=554141278#gid=554141278"", ""'Char Def. - Attributes'!C20:C2242""), 1,false)"),"BS_BERSIH")</f>
        <v>BS_BERSIH</v>
      </c>
      <c r="I3595" s="136"/>
    </row>
    <row r="3596" ht="15.75" customHeight="1">
      <c r="B3596" s="63">
        <f t="shared" si="1"/>
        <v>8</v>
      </c>
      <c r="C3596" s="146" t="s">
        <v>281</v>
      </c>
      <c r="D3596" s="147" t="s">
        <v>74</v>
      </c>
      <c r="E3596" s="135">
        <f t="shared" si="59"/>
        <v>53</v>
      </c>
      <c r="F3596" s="143" t="s">
        <v>3882</v>
      </c>
      <c r="G3596" s="63" t="str">
        <f>VLOOKUP(C3596, 'Class Def. - General Data'!$C$20:$C$1000,1,false)</f>
        <v>ZPM1_BLS</v>
      </c>
      <c r="H3596" s="63" t="str">
        <f>IFERROR(__xludf.DUMMYFUNCTION("VLOOKUP(F3596, IMPORTRANGE(""https://docs.google.com/spreadsheets/d/1Lhp9OU0JdFf_VYSMzH5lBcEaU4o8teT1piV-SNzShjg/edit?gid=554141278#gid=554141278"", ""'Char Def. - Attributes'!C20:C2242""), 1,false)"),"BS_KOTOR")</f>
        <v>BS_KOTOR</v>
      </c>
      <c r="I3596" s="136"/>
    </row>
    <row r="3597" ht="15.75" customHeight="1">
      <c r="B3597" s="63">
        <f t="shared" si="1"/>
        <v>8</v>
      </c>
      <c r="C3597" s="146" t="s">
        <v>281</v>
      </c>
      <c r="D3597" s="147" t="s">
        <v>74</v>
      </c>
      <c r="E3597" s="135">
        <f t="shared" si="59"/>
        <v>54</v>
      </c>
      <c r="F3597" s="143" t="s">
        <v>3883</v>
      </c>
      <c r="G3597" s="63" t="str">
        <f>VLOOKUP(C3597, 'Class Def. - General Data'!$C$20:$C$1000,1,false)</f>
        <v>ZPM1_BLS</v>
      </c>
      <c r="H3597" s="63" t="str">
        <f>IFERROR(__xludf.DUMMYFUNCTION("VLOOKUP(F3597, IMPORTRANGE(""https://docs.google.com/spreadsheets/d/1Lhp9OU0JdFf_VYSMzH5lBcEaU4o8teT1piV-SNzShjg/edit?gid=554141278#gid=554141278"", ""'Char Def. - Attributes'!C20:C2242""), 1,false)"),"BS_SCRAP")</f>
        <v>BS_SCRAP</v>
      </c>
      <c r="I3597" s="136"/>
    </row>
    <row r="3598" ht="15.75" customHeight="1">
      <c r="B3598" s="63">
        <f t="shared" si="1"/>
        <v>17</v>
      </c>
      <c r="C3598" s="146" t="s">
        <v>243</v>
      </c>
      <c r="D3598" s="147" t="s">
        <v>74</v>
      </c>
      <c r="E3598" s="135">
        <f t="shared" si="59"/>
        <v>1</v>
      </c>
      <c r="F3598" s="143" t="s">
        <v>3908</v>
      </c>
      <c r="G3598" s="63" t="str">
        <f>VLOOKUP(C3598, 'Class Def. - General Data'!$C$20:$C$1000,1,false)</f>
        <v>ZPM1_Bottle_Ember</v>
      </c>
      <c r="H3598" s="63" t="str">
        <f>IFERROR(__xludf.DUMMYFUNCTION("VLOOKUP(F3598, IMPORTRANGE(""https://docs.google.com/spreadsheets/d/1Lhp9OU0JdFf_VYSMzH5lBcEaU4o8teT1piV-SNzShjg/edit?gid=554141278#gid=554141278"", ""'Char Def. - Attributes'!C20:C2242""), 1,false)"),"MATERIAL_CODE_BOTTLE_BUCKET")</f>
        <v>MATERIAL_CODE_BOTTLE_BUCKET</v>
      </c>
      <c r="I3598" s="136"/>
    </row>
    <row r="3599" ht="15.75" customHeight="1">
      <c r="B3599" s="63">
        <f t="shared" si="1"/>
        <v>17</v>
      </c>
      <c r="C3599" s="146" t="s">
        <v>243</v>
      </c>
      <c r="D3599" s="147" t="s">
        <v>74</v>
      </c>
      <c r="E3599" s="135">
        <f t="shared" si="59"/>
        <v>2</v>
      </c>
      <c r="F3599" s="143" t="s">
        <v>3852</v>
      </c>
      <c r="G3599" s="63" t="str">
        <f>VLOOKUP(C3599, 'Class Def. - General Data'!$C$20:$C$1000,1,false)</f>
        <v>ZPM1_Bottle_Ember</v>
      </c>
      <c r="H3599" s="63" t="str">
        <f>IFERROR(__xludf.DUMMYFUNCTION("VLOOKUP(F3599, IMPORTRANGE(""https://docs.google.com/spreadsheets/d/1Lhp9OU0JdFf_VYSMzH5lBcEaU4o8teT1piV-SNzShjg/edit?gid=554141278#gid=554141278"", ""'Char Def. - Attributes'!C20:C2242""), 1,false)"),"SINGLE_BRAND")</f>
        <v>SINGLE_BRAND</v>
      </c>
      <c r="I3599" s="136"/>
    </row>
    <row r="3600" ht="15.75" customHeight="1">
      <c r="B3600" s="63">
        <f t="shared" si="1"/>
        <v>17</v>
      </c>
      <c r="C3600" s="146" t="s">
        <v>243</v>
      </c>
      <c r="D3600" s="147" t="s">
        <v>74</v>
      </c>
      <c r="E3600" s="135">
        <f t="shared" si="59"/>
        <v>3</v>
      </c>
      <c r="F3600" s="143" t="s">
        <v>3853</v>
      </c>
      <c r="G3600" s="63" t="str">
        <f>VLOOKUP(C3600, 'Class Def. - General Data'!$C$20:$C$1000,1,false)</f>
        <v>ZPM1_Bottle_Ember</v>
      </c>
      <c r="H3600" s="63" t="str">
        <f>IFERROR(__xludf.DUMMYFUNCTION("VLOOKUP(F3600, IMPORTRANGE(""https://docs.google.com/spreadsheets/d/1Lhp9OU0JdFf_VYSMzH5lBcEaU4o8teT1piV-SNzShjg/edit?gid=554141278#gid=554141278"", ""'Char Def. - Attributes'!C20:C2242""), 1,false)"),"BRAND_WINGS")</f>
        <v>BRAND_WINGS</v>
      </c>
      <c r="I3600" s="136"/>
    </row>
    <row r="3601" ht="15.75" customHeight="1">
      <c r="B3601" s="63">
        <f t="shared" si="1"/>
        <v>17</v>
      </c>
      <c r="C3601" s="146" t="s">
        <v>243</v>
      </c>
      <c r="D3601" s="147" t="s">
        <v>74</v>
      </c>
      <c r="E3601" s="135">
        <f t="shared" si="59"/>
        <v>4</v>
      </c>
      <c r="F3601" s="143" t="s">
        <v>3854</v>
      </c>
      <c r="G3601" s="63" t="str">
        <f>VLOOKUP(C3601, 'Class Def. - General Data'!$C$20:$C$1000,1,false)</f>
        <v>ZPM1_Bottle_Ember</v>
      </c>
      <c r="H3601" s="63" t="str">
        <f>IFERROR(__xludf.DUMMYFUNCTION("VLOOKUP(F3601, IMPORTRANGE(""https://docs.google.com/spreadsheets/d/1Lhp9OU0JdFf_VYSMzH5lBcEaU4o8teT1piV-SNzShjg/edit?gid=554141278#gid=554141278"", ""'Char Def. - Attributes'!C20:C2242""), 1,false)"),"SINGLE_PACK_SHAPE")</f>
        <v>SINGLE_PACK_SHAPE</v>
      </c>
      <c r="I3601" s="136"/>
    </row>
    <row r="3602" ht="15.75" customHeight="1">
      <c r="B3602" s="63">
        <f t="shared" si="1"/>
        <v>17</v>
      </c>
      <c r="C3602" s="146" t="s">
        <v>243</v>
      </c>
      <c r="D3602" s="147" t="s">
        <v>74</v>
      </c>
      <c r="E3602" s="135">
        <f t="shared" si="59"/>
        <v>5</v>
      </c>
      <c r="F3602" s="143" t="s">
        <v>3855</v>
      </c>
      <c r="G3602" s="63" t="str">
        <f>VLOOKUP(C3602, 'Class Def. - General Data'!$C$20:$C$1000,1,false)</f>
        <v>ZPM1_Bottle_Ember</v>
      </c>
      <c r="H3602" s="63" t="str">
        <f>IFERROR(__xludf.DUMMYFUNCTION("VLOOKUP(F3602, IMPORTRANGE(""https://docs.google.com/spreadsheets/d/1Lhp9OU0JdFf_VYSMzH5lBcEaU4o8teT1piV-SNzShjg/edit?gid=554141278#gid=554141278"", ""'Char Def. - Attributes'!C20:C2242""), 1,false)"),"PACK_SHAPE")</f>
        <v>PACK_SHAPE</v>
      </c>
      <c r="I3602" s="136"/>
    </row>
    <row r="3603" ht="15.75" customHeight="1">
      <c r="B3603" s="63">
        <f t="shared" si="1"/>
        <v>17</v>
      </c>
      <c r="C3603" s="146" t="s">
        <v>243</v>
      </c>
      <c r="D3603" s="147" t="s">
        <v>74</v>
      </c>
      <c r="E3603" s="135">
        <f t="shared" si="59"/>
        <v>6</v>
      </c>
      <c r="F3603" s="143" t="s">
        <v>3856</v>
      </c>
      <c r="G3603" s="63" t="str">
        <f>VLOOKUP(C3603, 'Class Def. - General Data'!$C$20:$C$1000,1,false)</f>
        <v>ZPM1_Bottle_Ember</v>
      </c>
      <c r="H3603" s="63" t="str">
        <f>IFERROR(__xludf.DUMMYFUNCTION("VLOOKUP(F3603, IMPORTRANGE(""https://docs.google.com/spreadsheets/d/1Lhp9OU0JdFf_VYSMzH5lBcEaU4o8teT1piV-SNzShjg/edit?gid=554141278#gid=554141278"", ""'Char Def. - Attributes'!C20:C2242""), 1,false)"),"SINGLE_PACK_NETTO")</f>
        <v>SINGLE_PACK_NETTO</v>
      </c>
      <c r="I3603" s="136"/>
    </row>
    <row r="3604" ht="15.75" customHeight="1">
      <c r="B3604" s="63">
        <f t="shared" si="1"/>
        <v>17</v>
      </c>
      <c r="C3604" s="146" t="s">
        <v>243</v>
      </c>
      <c r="D3604" s="147" t="s">
        <v>74</v>
      </c>
      <c r="E3604" s="135">
        <f t="shared" si="59"/>
        <v>7</v>
      </c>
      <c r="F3604" s="143" t="s">
        <v>3605</v>
      </c>
      <c r="G3604" s="63" t="str">
        <f>VLOOKUP(C3604, 'Class Def. - General Data'!$C$20:$C$1000,1,false)</f>
        <v>ZPM1_Bottle_Ember</v>
      </c>
      <c r="H3604" s="63" t="str">
        <f>IFERROR(__xludf.DUMMYFUNCTION("VLOOKUP(F3604, IMPORTRANGE(""https://docs.google.com/spreadsheets/d/1Lhp9OU0JdFf_VYSMzH5lBcEaU4o8teT1piV-SNzShjg/edit?gid=554141278#gid=554141278"", ""'Char Def. - Attributes'!C20:C2242""), 1,false)"),"PACK_NETTO")</f>
        <v>PACK_NETTO</v>
      </c>
      <c r="I3604" s="136"/>
    </row>
    <row r="3605" ht="15.75" customHeight="1">
      <c r="B3605" s="63">
        <f t="shared" si="1"/>
        <v>17</v>
      </c>
      <c r="C3605" s="146" t="s">
        <v>243</v>
      </c>
      <c r="D3605" s="147" t="s">
        <v>74</v>
      </c>
      <c r="E3605" s="135">
        <f t="shared" si="59"/>
        <v>8</v>
      </c>
      <c r="F3605" s="143" t="s">
        <v>3857</v>
      </c>
      <c r="G3605" s="63" t="str">
        <f>VLOOKUP(C3605, 'Class Def. - General Data'!$C$20:$C$1000,1,false)</f>
        <v>ZPM1_Bottle_Ember</v>
      </c>
      <c r="H3605" s="63" t="str">
        <f>IFERROR(__xludf.DUMMYFUNCTION("VLOOKUP(F3605, IMPORTRANGE(""https://docs.google.com/spreadsheets/d/1Lhp9OU0JdFf_VYSMzH5lBcEaU4o8teT1piV-SNzShjg/edit?gid=554141278#gid=554141278"", ""'Char Def. - Attributes'!C20:C2242""), 1,false)"),"PACK_UOM")</f>
        <v>PACK_UOM</v>
      </c>
      <c r="I3605" s="136"/>
    </row>
    <row r="3606" ht="15.75" customHeight="1">
      <c r="B3606" s="63">
        <f t="shared" si="1"/>
        <v>17</v>
      </c>
      <c r="C3606" s="146" t="s">
        <v>243</v>
      </c>
      <c r="D3606" s="147" t="s">
        <v>74</v>
      </c>
      <c r="E3606" s="135">
        <f t="shared" si="59"/>
        <v>9</v>
      </c>
      <c r="F3606" s="143" t="s">
        <v>3858</v>
      </c>
      <c r="G3606" s="63" t="str">
        <f>VLOOKUP(C3606, 'Class Def. - General Data'!$C$20:$C$1000,1,false)</f>
        <v>ZPM1_Bottle_Ember</v>
      </c>
      <c r="H3606" s="63" t="str">
        <f>IFERROR(__xludf.DUMMYFUNCTION("VLOOKUP(F3606, IMPORTRANGE(""https://docs.google.com/spreadsheets/d/1Lhp9OU0JdFf_VYSMzH5lBcEaU4o8teT1piV-SNzShjg/edit?gid=554141278#gid=554141278"", ""'Char Def. - Attributes'!C20:C2242""), 1,false)"),"SINGLE_VARIAN")</f>
        <v>SINGLE_VARIAN</v>
      </c>
      <c r="I3606" s="136"/>
    </row>
    <row r="3607" ht="15.75" customHeight="1">
      <c r="B3607" s="63">
        <f t="shared" si="1"/>
        <v>17</v>
      </c>
      <c r="C3607" s="146" t="s">
        <v>243</v>
      </c>
      <c r="D3607" s="147" t="s">
        <v>74</v>
      </c>
      <c r="E3607" s="135">
        <f t="shared" si="59"/>
        <v>10</v>
      </c>
      <c r="F3607" s="143" t="s">
        <v>3607</v>
      </c>
      <c r="G3607" s="63" t="str">
        <f>VLOOKUP(C3607, 'Class Def. - General Data'!$C$20:$C$1000,1,false)</f>
        <v>ZPM1_Bottle_Ember</v>
      </c>
      <c r="H3607" s="63" t="str">
        <f>IFERROR(__xludf.DUMMYFUNCTION("VLOOKUP(F3607, IMPORTRANGE(""https://docs.google.com/spreadsheets/d/1Lhp9OU0JdFf_VYSMzH5lBcEaU4o8teT1piV-SNzShjg/edit?gid=554141278#gid=554141278"", ""'Char Def. - Attributes'!C20:C2242""), 1,false)"),"VARIAN")</f>
        <v>VARIAN</v>
      </c>
      <c r="I3607" s="136"/>
    </row>
    <row r="3608" ht="15.75" customHeight="1">
      <c r="B3608" s="63">
        <f t="shared" si="1"/>
        <v>17</v>
      </c>
      <c r="C3608" s="146" t="s">
        <v>243</v>
      </c>
      <c r="D3608" s="147" t="s">
        <v>74</v>
      </c>
      <c r="E3608" s="135">
        <f t="shared" si="59"/>
        <v>11</v>
      </c>
      <c r="F3608" s="143" t="s">
        <v>3859</v>
      </c>
      <c r="G3608" s="63" t="str">
        <f>VLOOKUP(C3608, 'Class Def. - General Data'!$C$20:$C$1000,1,false)</f>
        <v>ZPM1_Bottle_Ember</v>
      </c>
      <c r="H3608" s="63" t="str">
        <f>IFERROR(__xludf.DUMMYFUNCTION("VLOOKUP(F3608, IMPORTRANGE(""https://docs.google.com/spreadsheets/d/1Lhp9OU0JdFf_VYSMzH5lBcEaU4o8teT1piV-SNzShjg/edit?gid=554141278#gid=554141278"", ""'Char Def. - Attributes'!C20:C2242""), 1,false)"),"ADA_ADDITIONAL_PROMO")</f>
        <v>ADA_ADDITIONAL_PROMO</v>
      </c>
      <c r="I3608" s="136"/>
    </row>
    <row r="3609" ht="15.75" customHeight="1">
      <c r="B3609" s="63">
        <f t="shared" si="1"/>
        <v>17</v>
      </c>
      <c r="C3609" s="146" t="s">
        <v>243</v>
      </c>
      <c r="D3609" s="147" t="s">
        <v>74</v>
      </c>
      <c r="E3609" s="135">
        <f t="shared" si="59"/>
        <v>12</v>
      </c>
      <c r="F3609" s="143" t="s">
        <v>3609</v>
      </c>
      <c r="G3609" s="63" t="str">
        <f>VLOOKUP(C3609, 'Class Def. - General Data'!$C$20:$C$1000,1,false)</f>
        <v>ZPM1_Bottle_Ember</v>
      </c>
      <c r="H3609" s="63" t="str">
        <f>IFERROR(__xludf.DUMMYFUNCTION("VLOOKUP(F3609, IMPORTRANGE(""https://docs.google.com/spreadsheets/d/1Lhp9OU0JdFf_VYSMzH5lBcEaU4o8teT1piV-SNzShjg/edit?gid=554141278#gid=554141278"", ""'Char Def. - Attributes'!C20:C2242""), 1,false)"),"ADDITIONAL_PROMO")</f>
        <v>ADDITIONAL_PROMO</v>
      </c>
      <c r="I3609" s="136"/>
    </row>
    <row r="3610" ht="15.75" customHeight="1">
      <c r="B3610" s="63">
        <f t="shared" si="1"/>
        <v>17</v>
      </c>
      <c r="C3610" s="146" t="s">
        <v>243</v>
      </c>
      <c r="D3610" s="147" t="s">
        <v>74</v>
      </c>
      <c r="E3610" s="135">
        <f t="shared" si="59"/>
        <v>13</v>
      </c>
      <c r="F3610" s="143" t="s">
        <v>3860</v>
      </c>
      <c r="G3610" s="63" t="str">
        <f>VLOOKUP(C3610, 'Class Def. - General Data'!$C$20:$C$1000,1,false)</f>
        <v>ZPM1_Bottle_Ember</v>
      </c>
      <c r="H3610" s="63" t="str">
        <f>IFERROR(__xludf.DUMMYFUNCTION("VLOOKUP(F3610, IMPORTRANGE(""https://docs.google.com/spreadsheets/d/1Lhp9OU0JdFf_VYSMzH5lBcEaU4o8teT1piV-SNzShjg/edit?gid=554141278#gid=554141278"", ""'Char Def. - Attributes'!C20:C2242""), 1,false)"),"ADA_BANDED_PROMO")</f>
        <v>ADA_BANDED_PROMO</v>
      </c>
      <c r="I3610" s="136"/>
    </row>
    <row r="3611" ht="15.75" customHeight="1">
      <c r="B3611" s="63">
        <f t="shared" si="1"/>
        <v>17</v>
      </c>
      <c r="C3611" s="146" t="s">
        <v>243</v>
      </c>
      <c r="D3611" s="147" t="s">
        <v>74</v>
      </c>
      <c r="E3611" s="135">
        <f t="shared" si="59"/>
        <v>14</v>
      </c>
      <c r="F3611" s="143" t="s">
        <v>3610</v>
      </c>
      <c r="G3611" s="63" t="str">
        <f>VLOOKUP(C3611, 'Class Def. - General Data'!$C$20:$C$1000,1,false)</f>
        <v>ZPM1_Bottle_Ember</v>
      </c>
      <c r="H3611" s="63" t="str">
        <f>IFERROR(__xludf.DUMMYFUNCTION("VLOOKUP(F3611, IMPORTRANGE(""https://docs.google.com/spreadsheets/d/1Lhp9OU0JdFf_VYSMzH5lBcEaU4o8teT1piV-SNzShjg/edit?gid=554141278#gid=554141278"", ""'Char Def. - Attributes'!C20:C2242""), 1,false)"),"BANDED_PROMO")</f>
        <v>BANDED_PROMO</v>
      </c>
      <c r="I3611" s="136"/>
    </row>
    <row r="3612" ht="15.75" customHeight="1">
      <c r="B3612" s="63">
        <f t="shared" si="1"/>
        <v>17</v>
      </c>
      <c r="C3612" s="146" t="s">
        <v>243</v>
      </c>
      <c r="D3612" s="147" t="s">
        <v>74</v>
      </c>
      <c r="E3612" s="135">
        <f t="shared" si="59"/>
        <v>15</v>
      </c>
      <c r="F3612" s="143" t="s">
        <v>1292</v>
      </c>
      <c r="G3612" s="63" t="str">
        <f>VLOOKUP(C3612, 'Class Def. - General Data'!$C$20:$C$1000,1,false)</f>
        <v>ZPM1_Bottle_Ember</v>
      </c>
      <c r="H3612" s="63" t="str">
        <f>IFERROR(__xludf.DUMMYFUNCTION("VLOOKUP(F3612, IMPORTRANGE(""https://docs.google.com/spreadsheets/d/1Lhp9OU0JdFf_VYSMzH5lBcEaU4o8teT1piV-SNzShjg/edit?gid=554141278#gid=554141278"", ""'Char Def. - Attributes'!C20:C2242""), 1,false)"),"EXPORT")</f>
        <v>EXPORT</v>
      </c>
      <c r="I3612" s="136"/>
    </row>
    <row r="3613" ht="15.75" customHeight="1">
      <c r="B3613" s="63">
        <f t="shared" si="1"/>
        <v>17</v>
      </c>
      <c r="C3613" s="146" t="s">
        <v>243</v>
      </c>
      <c r="D3613" s="147" t="s">
        <v>74</v>
      </c>
      <c r="E3613" s="135">
        <f t="shared" si="59"/>
        <v>16</v>
      </c>
      <c r="F3613" s="143" t="s">
        <v>3612</v>
      </c>
      <c r="G3613" s="63" t="str">
        <f>VLOOKUP(C3613, 'Class Def. - General Data'!$C$20:$C$1000,1,false)</f>
        <v>ZPM1_Bottle_Ember</v>
      </c>
      <c r="H3613" s="63" t="str">
        <f>IFERROR(__xludf.DUMMYFUNCTION("VLOOKUP(F3613, IMPORTRANGE(""https://docs.google.com/spreadsheets/d/1Lhp9OU0JdFf_VYSMzH5lBcEaU4o8teT1piV-SNzShjg/edit?gid=554141278#gid=554141278"", ""'Char Def. - Attributes'!C20:C2242""), 1,false)"),"COUNTRY_EKSPOR")</f>
        <v>COUNTRY_EKSPOR</v>
      </c>
      <c r="I3613" s="136"/>
    </row>
    <row r="3614" ht="15.75" customHeight="1">
      <c r="B3614" s="63">
        <f t="shared" si="1"/>
        <v>17</v>
      </c>
      <c r="C3614" s="146" t="s">
        <v>243</v>
      </c>
      <c r="D3614" s="147" t="s">
        <v>74</v>
      </c>
      <c r="E3614" s="135">
        <f t="shared" si="59"/>
        <v>17</v>
      </c>
      <c r="F3614" s="143" t="s">
        <v>3861</v>
      </c>
      <c r="G3614" s="63" t="str">
        <f>VLOOKUP(C3614, 'Class Def. - General Data'!$C$20:$C$1000,1,false)</f>
        <v>ZPM1_Bottle_Ember</v>
      </c>
      <c r="H3614" s="63" t="str">
        <f>IFERROR(__xludf.DUMMYFUNCTION("VLOOKUP(F3614, IMPORTRANGE(""https://docs.google.com/spreadsheets/d/1Lhp9OU0JdFf_VYSMzH5lBcEaU4o8teT1piV-SNzShjg/edit?gid=554141278#gid=554141278"", ""'Char Def. - Attributes'!C20:C2242""), 1,false)"),"PEMBATAS")</f>
        <v>PEMBATAS</v>
      </c>
      <c r="I3614" s="136"/>
    </row>
    <row r="3615" ht="15.75" customHeight="1">
      <c r="B3615" s="63">
        <f t="shared" si="1"/>
        <v>17</v>
      </c>
      <c r="C3615" s="146" t="s">
        <v>243</v>
      </c>
      <c r="D3615" s="147" t="s">
        <v>74</v>
      </c>
      <c r="E3615" s="135">
        <f t="shared" si="59"/>
        <v>18</v>
      </c>
      <c r="F3615" s="143" t="s">
        <v>3909</v>
      </c>
      <c r="G3615" s="63" t="str">
        <f>VLOOKUP(C3615, 'Class Def. - General Data'!$C$20:$C$1000,1,false)</f>
        <v>ZPM1_Bottle_Ember</v>
      </c>
      <c r="H3615" s="63" t="str">
        <f>IFERROR(__xludf.DUMMYFUNCTION("VLOOKUP(F3615, IMPORTRANGE(""https://docs.google.com/spreadsheets/d/1Lhp9OU0JdFf_VYSMzH5lBcEaU4o8teT1piV-SNzShjg/edit?gid=554141278#gid=554141278"", ""'Char Def. - Attributes'!C20:C2242""), 1,false)"),"COLOR_A_OPT")</f>
        <v>COLOR_A_OPT</v>
      </c>
      <c r="I3615" s="136"/>
    </row>
    <row r="3616" ht="15.75" customHeight="1">
      <c r="B3616" s="63">
        <f t="shared" si="1"/>
        <v>17</v>
      </c>
      <c r="C3616" s="146" t="s">
        <v>243</v>
      </c>
      <c r="D3616" s="147" t="s">
        <v>74</v>
      </c>
      <c r="E3616" s="135">
        <f t="shared" si="59"/>
        <v>19</v>
      </c>
      <c r="F3616" s="143" t="s">
        <v>3910</v>
      </c>
      <c r="G3616" s="63" t="str">
        <f>VLOOKUP(C3616, 'Class Def. - General Data'!$C$20:$C$1000,1,false)</f>
        <v>ZPM1_Bottle_Ember</v>
      </c>
      <c r="H3616" s="63" t="str">
        <f>IFERROR(__xludf.DUMMYFUNCTION("VLOOKUP(F3616, IMPORTRANGE(""https://docs.google.com/spreadsheets/d/1Lhp9OU0JdFf_VYSMzH5lBcEaU4o8teT1piV-SNzShjg/edit?gid=554141278#gid=554141278"", ""'Char Def. - Attributes'!C20:C2242""), 1,false)"),"PACK_CONTENT_AMOUNT_4_OPT")</f>
        <v>PACK_CONTENT_AMOUNT_4_OPT</v>
      </c>
      <c r="I3616" s="136"/>
    </row>
    <row r="3617" ht="15.75" customHeight="1">
      <c r="B3617" s="63">
        <f t="shared" si="1"/>
        <v>17</v>
      </c>
      <c r="C3617" s="146" t="s">
        <v>243</v>
      </c>
      <c r="D3617" s="147" t="s">
        <v>74</v>
      </c>
      <c r="E3617" s="135">
        <f t="shared" si="59"/>
        <v>20</v>
      </c>
      <c r="F3617" s="143" t="s">
        <v>3900</v>
      </c>
      <c r="G3617" s="63" t="str">
        <f>VLOOKUP(C3617, 'Class Def. - General Data'!$C$20:$C$1000,1,false)</f>
        <v>ZPM1_Bottle_Ember</v>
      </c>
      <c r="H3617" s="63" t="str">
        <f>IFERROR(__xludf.DUMMYFUNCTION("VLOOKUP(F3617, IMPORTRANGE(""https://docs.google.com/spreadsheets/d/1Lhp9OU0JdFf_VYSMzH5lBcEaU4o8teT1piV-SNzShjg/edit?gid=554141278#gid=554141278"", ""'Char Def. - Attributes'!C20:C2242""), 1,false)"),"PLASTIC_TYPE_OPT")</f>
        <v>PLASTIC_TYPE_OPT</v>
      </c>
      <c r="I3617" s="136"/>
    </row>
    <row r="3618" ht="15.75" customHeight="1">
      <c r="B3618" s="63">
        <f t="shared" si="1"/>
        <v>17</v>
      </c>
      <c r="C3618" s="146" t="s">
        <v>243</v>
      </c>
      <c r="D3618" s="147" t="s">
        <v>74</v>
      </c>
      <c r="E3618" s="135">
        <f t="shared" si="59"/>
        <v>21</v>
      </c>
      <c r="F3618" s="143" t="s">
        <v>3864</v>
      </c>
      <c r="G3618" s="63" t="str">
        <f>VLOOKUP(C3618, 'Class Def. - General Data'!$C$20:$C$1000,1,false)</f>
        <v>ZPM1_Bottle_Ember</v>
      </c>
      <c r="H3618" s="63" t="str">
        <f>IFERROR(__xludf.DUMMYFUNCTION("VLOOKUP(F3618, IMPORTRANGE(""https://docs.google.com/spreadsheets/d/1Lhp9OU0JdFf_VYSMzH5lBcEaU4o8teT1piV-SNzShjg/edit?gid=554141278#gid=554141278"", ""'Char Def. - Attributes'!C20:C2242""), 1,false)"),"DIMENSION_OPT")</f>
        <v>DIMENSION_OPT</v>
      </c>
      <c r="I3618" s="136"/>
    </row>
    <row r="3619" ht="15.75" customHeight="1">
      <c r="B3619" s="63">
        <f t="shared" si="1"/>
        <v>17</v>
      </c>
      <c r="C3619" s="146" t="s">
        <v>243</v>
      </c>
      <c r="D3619" s="147" t="s">
        <v>74</v>
      </c>
      <c r="E3619" s="135">
        <f t="shared" si="59"/>
        <v>22</v>
      </c>
      <c r="F3619" s="143" t="s">
        <v>3911</v>
      </c>
      <c r="G3619" s="63" t="str">
        <f>VLOOKUP(C3619, 'Class Def. - General Data'!$C$20:$C$1000,1,false)</f>
        <v>ZPM1_Bottle_Ember</v>
      </c>
      <c r="H3619" s="63" t="str">
        <f>IFERROR(__xludf.DUMMYFUNCTION("VLOOKUP(F3619, IMPORTRANGE(""https://docs.google.com/spreadsheets/d/1Lhp9OU0JdFf_VYSMzH5lBcEaU4o8teT1piV-SNzShjg/edit?gid=554141278#gid=554141278"", ""'Char Def. - Attributes'!C20:C2242""), 1,false)"),"PLANT_BUY_OPT")</f>
        <v>PLANT_BUY_OPT</v>
      </c>
      <c r="I3619" s="136"/>
    </row>
    <row r="3620" ht="15.75" customHeight="1">
      <c r="B3620" s="63">
        <f t="shared" si="1"/>
        <v>17</v>
      </c>
      <c r="C3620" s="146" t="s">
        <v>243</v>
      </c>
      <c r="D3620" s="147" t="s">
        <v>74</v>
      </c>
      <c r="E3620" s="135">
        <f t="shared" si="59"/>
        <v>23</v>
      </c>
      <c r="F3620" s="143" t="s">
        <v>3865</v>
      </c>
      <c r="G3620" s="63" t="str">
        <f>VLOOKUP(C3620, 'Class Def. - General Data'!$C$20:$C$1000,1,false)</f>
        <v>ZPM1_Bottle_Ember</v>
      </c>
      <c r="H3620" s="63" t="str">
        <f>IFERROR(__xludf.DUMMYFUNCTION("VLOOKUP(F3620, IMPORTRANGE(""https://docs.google.com/spreadsheets/d/1Lhp9OU0JdFf_VYSMzH5lBcEaU4o8teT1piV-SNzShjg/edit?gid=554141278#gid=554141278"", ""'Char Def. - Attributes'!C20:C2242""), 1,false)"),"PLANT_PROD_OPT")</f>
        <v>PLANT_PROD_OPT</v>
      </c>
      <c r="I3620" s="136"/>
    </row>
    <row r="3621" ht="15.75" customHeight="1">
      <c r="B3621" s="63">
        <f t="shared" si="1"/>
        <v>17</v>
      </c>
      <c r="C3621" s="146" t="s">
        <v>243</v>
      </c>
      <c r="D3621" s="147" t="s">
        <v>74</v>
      </c>
      <c r="E3621" s="135">
        <f t="shared" si="59"/>
        <v>24</v>
      </c>
      <c r="F3621" s="143" t="s">
        <v>3866</v>
      </c>
      <c r="G3621" s="63" t="str">
        <f>VLOOKUP(C3621, 'Class Def. - General Data'!$C$20:$C$1000,1,false)</f>
        <v>ZPM1_Bottle_Ember</v>
      </c>
      <c r="H3621" s="63" t="str">
        <f>IFERROR(__xludf.DUMMYFUNCTION("VLOOKUP(F3621, IMPORTRANGE(""https://docs.google.com/spreadsheets/d/1Lhp9OU0JdFf_VYSMzH5lBcEaU4o8teT1piV-SNzShjg/edit?gid=554141278#gid=554141278"", ""'Char Def. - Attributes'!C20:C2242""), 1,false)"),"PM_SUPPLY_JKT")</f>
        <v>PM_SUPPLY_JKT</v>
      </c>
      <c r="I3621" s="136"/>
    </row>
    <row r="3622" ht="15.75" customHeight="1">
      <c r="B3622" s="63">
        <f t="shared" si="1"/>
        <v>17</v>
      </c>
      <c r="C3622" s="146" t="s">
        <v>243</v>
      </c>
      <c r="D3622" s="147" t="s">
        <v>74</v>
      </c>
      <c r="E3622" s="135">
        <f t="shared" si="59"/>
        <v>25</v>
      </c>
      <c r="F3622" s="143" t="s">
        <v>3867</v>
      </c>
      <c r="G3622" s="63" t="str">
        <f>VLOOKUP(C3622, 'Class Def. - General Data'!$C$20:$C$1000,1,false)</f>
        <v>ZPM1_Bottle_Ember</v>
      </c>
      <c r="H3622" s="63" t="str">
        <f>IFERROR(__xludf.DUMMYFUNCTION("VLOOKUP(F3622, IMPORTRANGE(""https://docs.google.com/spreadsheets/d/1Lhp9OU0JdFf_VYSMzH5lBcEaU4o8teT1piV-SNzShjg/edit?gid=554141278#gid=554141278"", ""'Char Def. - Attributes'!C20:C2242""), 1,false)"),"PM_SUPPLY_SBY")</f>
        <v>PM_SUPPLY_SBY</v>
      </c>
      <c r="I3622" s="136"/>
    </row>
    <row r="3623" ht="15.75" customHeight="1">
      <c r="B3623" s="63">
        <f t="shared" si="1"/>
        <v>17</v>
      </c>
      <c r="C3623" s="146" t="s">
        <v>243</v>
      </c>
      <c r="D3623" s="147" t="s">
        <v>74</v>
      </c>
      <c r="E3623" s="135">
        <f t="shared" si="59"/>
        <v>26</v>
      </c>
      <c r="F3623" s="143" t="s">
        <v>3868</v>
      </c>
      <c r="G3623" s="63" t="str">
        <f>VLOOKUP(C3623, 'Class Def. - General Data'!$C$20:$C$1000,1,false)</f>
        <v>ZPM1_Bottle_Ember</v>
      </c>
      <c r="H3623" s="63" t="str">
        <f>IFERROR(__xludf.DUMMYFUNCTION("VLOOKUP(F3623, IMPORTRANGE(""https://docs.google.com/spreadsheets/d/1Lhp9OU0JdFf_VYSMzH5lBcEaU4o8teT1piV-SNzShjg/edit?gid=554141278#gid=554141278"", ""'Char Def. - Attributes'!C20:C2242""), 1,false)"),"BASIC_UOM_RMPM")</f>
        <v>BASIC_UOM_RMPM</v>
      </c>
      <c r="I3623" s="136"/>
    </row>
    <row r="3624" ht="15.75" customHeight="1">
      <c r="B3624" s="63">
        <f t="shared" si="1"/>
        <v>17</v>
      </c>
      <c r="C3624" s="146" t="s">
        <v>243</v>
      </c>
      <c r="D3624" s="147" t="s">
        <v>74</v>
      </c>
      <c r="E3624" s="135">
        <f t="shared" si="59"/>
        <v>27</v>
      </c>
      <c r="F3624" s="143" t="s">
        <v>3869</v>
      </c>
      <c r="G3624" s="63" t="str">
        <f>VLOOKUP(C3624, 'Class Def. - General Data'!$C$20:$C$1000,1,false)</f>
        <v>ZPM1_Bottle_Ember</v>
      </c>
      <c r="H3624" s="63" t="str">
        <f>IFERROR(__xludf.DUMMYFUNCTION("VLOOKUP(F3624, IMPORTRANGE(""https://docs.google.com/spreadsheets/d/1Lhp9OU0JdFf_VYSMzH5lBcEaU4o8teT1piV-SNzShjg/edit?gid=554141278#gid=554141278"", ""'Char Def. - Attributes'!C20:C2242""), 1,false)"),"ALT_UOM1_RMPM")</f>
        <v>ALT_UOM1_RMPM</v>
      </c>
      <c r="I3624" s="136"/>
    </row>
    <row r="3625" ht="15.75" customHeight="1">
      <c r="B3625" s="63">
        <f t="shared" si="1"/>
        <v>17</v>
      </c>
      <c r="C3625" s="146" t="s">
        <v>243</v>
      </c>
      <c r="D3625" s="147" t="s">
        <v>74</v>
      </c>
      <c r="E3625" s="135">
        <f t="shared" si="59"/>
        <v>28</v>
      </c>
      <c r="F3625" s="143" t="s">
        <v>3805</v>
      </c>
      <c r="G3625" s="63" t="str">
        <f>VLOOKUP(C3625, 'Class Def. - General Data'!$C$20:$C$1000,1,false)</f>
        <v>ZPM1_Bottle_Ember</v>
      </c>
      <c r="H3625" s="63" t="str">
        <f>IFERROR(__xludf.DUMMYFUNCTION("VLOOKUP(F3625, IMPORTRANGE(""https://docs.google.com/spreadsheets/d/1Lhp9OU0JdFf_VYSMzH5lBcEaU4o8teT1piV-SNzShjg/edit?gid=554141278#gid=554141278"", ""'Char Def. - Attributes'!C20:C2242""), 1,false)"),"ALT_DENUM_UOM1")</f>
        <v>ALT_DENUM_UOM1</v>
      </c>
      <c r="I3625" s="136"/>
    </row>
    <row r="3626" ht="15.75" customHeight="1">
      <c r="B3626" s="63">
        <f t="shared" si="1"/>
        <v>17</v>
      </c>
      <c r="C3626" s="146" t="s">
        <v>243</v>
      </c>
      <c r="D3626" s="147" t="s">
        <v>74</v>
      </c>
      <c r="E3626" s="135">
        <f t="shared" si="59"/>
        <v>29</v>
      </c>
      <c r="F3626" s="143" t="s">
        <v>3806</v>
      </c>
      <c r="G3626" s="63" t="str">
        <f>VLOOKUP(C3626, 'Class Def. - General Data'!$C$20:$C$1000,1,false)</f>
        <v>ZPM1_Bottle_Ember</v>
      </c>
      <c r="H3626" s="63" t="str">
        <f>IFERROR(__xludf.DUMMYFUNCTION("VLOOKUP(F3626, IMPORTRANGE(""https://docs.google.com/spreadsheets/d/1Lhp9OU0JdFf_VYSMzH5lBcEaU4o8teT1piV-SNzShjg/edit?gid=554141278#gid=554141278"", ""'Char Def. - Attributes'!C20:C2242""), 1,false)"),"ALT_NUM_UOM1")</f>
        <v>ALT_NUM_UOM1</v>
      </c>
      <c r="I3626" s="136"/>
    </row>
    <row r="3627" ht="15.75" customHeight="1">
      <c r="B3627" s="63">
        <f t="shared" si="1"/>
        <v>17</v>
      </c>
      <c r="C3627" s="146" t="s">
        <v>243</v>
      </c>
      <c r="D3627" s="147" t="s">
        <v>74</v>
      </c>
      <c r="E3627" s="135">
        <f t="shared" si="59"/>
        <v>30</v>
      </c>
      <c r="F3627" s="143" t="s">
        <v>3870</v>
      </c>
      <c r="G3627" s="63" t="str">
        <f>VLOOKUP(C3627, 'Class Def. - General Data'!$C$20:$C$1000,1,false)</f>
        <v>ZPM1_Bottle_Ember</v>
      </c>
      <c r="H3627" s="63" t="str">
        <f>IFERROR(__xludf.DUMMYFUNCTION("VLOOKUP(F3627, IMPORTRANGE(""https://docs.google.com/spreadsheets/d/1Lhp9OU0JdFf_VYSMzH5lBcEaU4o8teT1piV-SNzShjg/edit?gid=554141278#gid=554141278"", ""'Char Def. - Attributes'!C20:C2242""), 1,false)"),"ALT_UOM2_RMPM")</f>
        <v>ALT_UOM2_RMPM</v>
      </c>
      <c r="I3627" s="136"/>
    </row>
    <row r="3628" ht="15.75" customHeight="1">
      <c r="B3628" s="63">
        <f t="shared" si="1"/>
        <v>17</v>
      </c>
      <c r="C3628" s="146" t="s">
        <v>243</v>
      </c>
      <c r="D3628" s="147" t="s">
        <v>74</v>
      </c>
      <c r="E3628" s="135">
        <f t="shared" si="59"/>
        <v>31</v>
      </c>
      <c r="F3628" s="143" t="s">
        <v>3808</v>
      </c>
      <c r="G3628" s="63" t="str">
        <f>VLOOKUP(C3628, 'Class Def. - General Data'!$C$20:$C$1000,1,false)</f>
        <v>ZPM1_Bottle_Ember</v>
      </c>
      <c r="H3628" s="63" t="str">
        <f>IFERROR(__xludf.DUMMYFUNCTION("VLOOKUP(F3628, IMPORTRANGE(""https://docs.google.com/spreadsheets/d/1Lhp9OU0JdFf_VYSMzH5lBcEaU4o8teT1piV-SNzShjg/edit?gid=554141278#gid=554141278"", ""'Char Def. - Attributes'!C20:C2242""), 1,false)"),"ALT_DENUM_UOM2")</f>
        <v>ALT_DENUM_UOM2</v>
      </c>
      <c r="I3628" s="136"/>
    </row>
    <row r="3629" ht="15.75" customHeight="1">
      <c r="B3629" s="63">
        <f t="shared" si="1"/>
        <v>17</v>
      </c>
      <c r="C3629" s="146" t="s">
        <v>243</v>
      </c>
      <c r="D3629" s="147" t="s">
        <v>74</v>
      </c>
      <c r="E3629" s="135">
        <f t="shared" si="59"/>
        <v>32</v>
      </c>
      <c r="F3629" s="143" t="s">
        <v>3809</v>
      </c>
      <c r="G3629" s="63" t="str">
        <f>VLOOKUP(C3629, 'Class Def. - General Data'!$C$20:$C$1000,1,false)</f>
        <v>ZPM1_Bottle_Ember</v>
      </c>
      <c r="H3629" s="63" t="str">
        <f>IFERROR(__xludf.DUMMYFUNCTION("VLOOKUP(F3629, IMPORTRANGE(""https://docs.google.com/spreadsheets/d/1Lhp9OU0JdFf_VYSMzH5lBcEaU4o8teT1piV-SNzShjg/edit?gid=554141278#gid=554141278"", ""'Char Def. - Attributes'!C20:C2242""), 1,false)"),"ALT_NUM_UOM2")</f>
        <v>ALT_NUM_UOM2</v>
      </c>
      <c r="I3629" s="136"/>
    </row>
    <row r="3630" ht="15.75" customHeight="1">
      <c r="B3630" s="63">
        <f t="shared" si="1"/>
        <v>17</v>
      </c>
      <c r="C3630" s="146" t="s">
        <v>243</v>
      </c>
      <c r="D3630" s="147" t="s">
        <v>74</v>
      </c>
      <c r="E3630" s="135">
        <f t="shared" si="59"/>
        <v>33</v>
      </c>
      <c r="F3630" s="143" t="s">
        <v>3871</v>
      </c>
      <c r="G3630" s="63" t="str">
        <f>VLOOKUP(C3630, 'Class Def. - General Data'!$C$20:$C$1000,1,false)</f>
        <v>ZPM1_Bottle_Ember</v>
      </c>
      <c r="H3630" s="63" t="str">
        <f>IFERROR(__xludf.DUMMYFUNCTION("VLOOKUP(F3630, IMPORTRANGE(""https://docs.google.com/spreadsheets/d/1Lhp9OU0JdFf_VYSMzH5lBcEaU4o8teT1piV-SNzShjg/edit?gid=554141278#gid=554141278"", ""'Char Def. - Attributes'!C20:C2242""), 1,false)"),"ALT_UOM3_RMPM")</f>
        <v>ALT_UOM3_RMPM</v>
      </c>
      <c r="I3630" s="136"/>
    </row>
    <row r="3631" ht="15.75" customHeight="1">
      <c r="B3631" s="63">
        <f t="shared" si="1"/>
        <v>17</v>
      </c>
      <c r="C3631" s="146" t="s">
        <v>243</v>
      </c>
      <c r="D3631" s="147" t="s">
        <v>74</v>
      </c>
      <c r="E3631" s="135">
        <f t="shared" si="59"/>
        <v>34</v>
      </c>
      <c r="F3631" s="134" t="s">
        <v>3811</v>
      </c>
      <c r="G3631" s="63" t="str">
        <f>VLOOKUP(C3631, 'Class Def. - General Data'!$C$20:$C$1000,1,false)</f>
        <v>ZPM1_Bottle_Ember</v>
      </c>
      <c r="H3631" s="63" t="str">
        <f>IFERROR(__xludf.DUMMYFUNCTION("VLOOKUP(F3631, IMPORTRANGE(""https://docs.google.com/spreadsheets/d/1Lhp9OU0JdFf_VYSMzH5lBcEaU4o8teT1piV-SNzShjg/edit?gid=554141278#gid=554141278"", ""'Char Def. - Attributes'!C20:C2242""), 1,false)"),"ALT_DENUM_UOM3")</f>
        <v>ALT_DENUM_UOM3</v>
      </c>
      <c r="I3631" s="136"/>
    </row>
    <row r="3632" ht="15.75" customHeight="1">
      <c r="B3632" s="63">
        <f t="shared" si="1"/>
        <v>17</v>
      </c>
      <c r="C3632" s="146" t="s">
        <v>243</v>
      </c>
      <c r="D3632" s="147" t="s">
        <v>74</v>
      </c>
      <c r="E3632" s="135">
        <f t="shared" si="59"/>
        <v>35</v>
      </c>
      <c r="F3632" s="134" t="s">
        <v>3812</v>
      </c>
      <c r="G3632" s="63" t="str">
        <f>VLOOKUP(C3632, 'Class Def. - General Data'!$C$20:$C$1000,1,false)</f>
        <v>ZPM1_Bottle_Ember</v>
      </c>
      <c r="H3632" s="63" t="str">
        <f>IFERROR(__xludf.DUMMYFUNCTION("VLOOKUP(F3632, IMPORTRANGE(""https://docs.google.com/spreadsheets/d/1Lhp9OU0JdFf_VYSMzH5lBcEaU4o8teT1piV-SNzShjg/edit?gid=554141278#gid=554141278"", ""'Char Def. - Attributes'!C20:C2242""), 1,false)"),"ALT_NUM_UOM3")</f>
        <v>ALT_NUM_UOM3</v>
      </c>
      <c r="I3632" s="136"/>
    </row>
    <row r="3633" ht="15.75" customHeight="1">
      <c r="B3633" s="63">
        <f t="shared" si="1"/>
        <v>17</v>
      </c>
      <c r="C3633" s="146" t="s">
        <v>243</v>
      </c>
      <c r="D3633" s="147" t="s">
        <v>74</v>
      </c>
      <c r="E3633" s="135">
        <f t="shared" si="59"/>
        <v>36</v>
      </c>
      <c r="F3633" s="134" t="s">
        <v>3872</v>
      </c>
      <c r="G3633" s="63" t="str">
        <f>VLOOKUP(C3633, 'Class Def. - General Data'!$C$20:$C$1000,1,false)</f>
        <v>ZPM1_Bottle_Ember</v>
      </c>
      <c r="H3633" s="63" t="str">
        <f>IFERROR(__xludf.DUMMYFUNCTION("VLOOKUP(F3633, IMPORTRANGE(""https://docs.google.com/spreadsheets/d/1Lhp9OU0JdFf_VYSMzH5lBcEaU4o8teT1piV-SNzShjg/edit?gid=554141278#gid=554141278"", ""'Char Def. - Attributes'!C20:C2242""), 1,false)"),"ALT_UOM4_RMPM")</f>
        <v>ALT_UOM4_RMPM</v>
      </c>
      <c r="I3633" s="136"/>
    </row>
    <row r="3634" ht="15.75" customHeight="1">
      <c r="B3634" s="63">
        <f t="shared" si="1"/>
        <v>17</v>
      </c>
      <c r="C3634" s="146" t="s">
        <v>243</v>
      </c>
      <c r="D3634" s="147" t="s">
        <v>74</v>
      </c>
      <c r="E3634" s="135">
        <f t="shared" si="59"/>
        <v>37</v>
      </c>
      <c r="F3634" s="134" t="s">
        <v>3814</v>
      </c>
      <c r="G3634" s="63" t="str">
        <f>VLOOKUP(C3634, 'Class Def. - General Data'!$C$20:$C$1000,1,false)</f>
        <v>ZPM1_Bottle_Ember</v>
      </c>
      <c r="H3634" s="63" t="str">
        <f>IFERROR(__xludf.DUMMYFUNCTION("VLOOKUP(F3634, IMPORTRANGE(""https://docs.google.com/spreadsheets/d/1Lhp9OU0JdFf_VYSMzH5lBcEaU4o8teT1piV-SNzShjg/edit?gid=554141278#gid=554141278"", ""'Char Def. - Attributes'!C20:C2242""), 1,false)"),"ALT_DENUM_UOM4")</f>
        <v>ALT_DENUM_UOM4</v>
      </c>
      <c r="I3634" s="136"/>
    </row>
    <row r="3635" ht="15.75" customHeight="1">
      <c r="B3635" s="63">
        <f t="shared" si="1"/>
        <v>17</v>
      </c>
      <c r="C3635" s="146" t="s">
        <v>243</v>
      </c>
      <c r="D3635" s="147" t="s">
        <v>74</v>
      </c>
      <c r="E3635" s="135">
        <f t="shared" si="59"/>
        <v>38</v>
      </c>
      <c r="F3635" s="134" t="s">
        <v>3815</v>
      </c>
      <c r="G3635" s="63" t="str">
        <f>VLOOKUP(C3635, 'Class Def. - General Data'!$C$20:$C$1000,1,false)</f>
        <v>ZPM1_Bottle_Ember</v>
      </c>
      <c r="H3635" s="63" t="str">
        <f>IFERROR(__xludf.DUMMYFUNCTION("VLOOKUP(F3635, IMPORTRANGE(""https://docs.google.com/spreadsheets/d/1Lhp9OU0JdFf_VYSMzH5lBcEaU4o8teT1piV-SNzShjg/edit?gid=554141278#gid=554141278"", ""'Char Def. - Attributes'!C20:C2242""), 1,false)"),"ALT_NUM_UOM4")</f>
        <v>ALT_NUM_UOM4</v>
      </c>
      <c r="I3635" s="136"/>
    </row>
    <row r="3636" ht="15.75" customHeight="1">
      <c r="B3636" s="63">
        <f t="shared" si="1"/>
        <v>17</v>
      </c>
      <c r="C3636" s="146" t="s">
        <v>243</v>
      </c>
      <c r="D3636" s="147" t="s">
        <v>74</v>
      </c>
      <c r="E3636" s="135">
        <f t="shared" si="59"/>
        <v>39</v>
      </c>
      <c r="F3636" s="134" t="s">
        <v>3873</v>
      </c>
      <c r="G3636" s="63" t="str">
        <f>VLOOKUP(C3636, 'Class Def. - General Data'!$C$20:$C$1000,1,false)</f>
        <v>ZPM1_Bottle_Ember</v>
      </c>
      <c r="H3636" s="63" t="str">
        <f>IFERROR(__xludf.DUMMYFUNCTION("VLOOKUP(F3636, IMPORTRANGE(""https://docs.google.com/spreadsheets/d/1Lhp9OU0JdFf_VYSMzH5lBcEaU4o8teT1piV-SNzShjg/edit?gid=554141278#gid=554141278"", ""'Char Def. - Attributes'!C20:C2242""), 1,false)"),"ALT_UOM5_RMPM")</f>
        <v>ALT_UOM5_RMPM</v>
      </c>
      <c r="I3636" s="136"/>
    </row>
    <row r="3637" ht="15.75" customHeight="1">
      <c r="B3637" s="63">
        <f t="shared" si="1"/>
        <v>17</v>
      </c>
      <c r="C3637" s="146" t="s">
        <v>243</v>
      </c>
      <c r="D3637" s="147" t="s">
        <v>74</v>
      </c>
      <c r="E3637" s="135">
        <f t="shared" si="59"/>
        <v>40</v>
      </c>
      <c r="F3637" s="134" t="s">
        <v>3817</v>
      </c>
      <c r="G3637" s="63" t="str">
        <f>VLOOKUP(C3637, 'Class Def. - General Data'!$C$20:$C$1000,1,false)</f>
        <v>ZPM1_Bottle_Ember</v>
      </c>
      <c r="H3637" s="63" t="str">
        <f>IFERROR(__xludf.DUMMYFUNCTION("VLOOKUP(F3637, IMPORTRANGE(""https://docs.google.com/spreadsheets/d/1Lhp9OU0JdFf_VYSMzH5lBcEaU4o8teT1piV-SNzShjg/edit?gid=554141278#gid=554141278"", ""'Char Def. - Attributes'!C20:C2242""), 1,false)"),"ALT_DENUM_UOM5")</f>
        <v>ALT_DENUM_UOM5</v>
      </c>
      <c r="I3637" s="136"/>
    </row>
    <row r="3638" ht="15.75" customHeight="1">
      <c r="B3638" s="63">
        <f t="shared" si="1"/>
        <v>17</v>
      </c>
      <c r="C3638" s="146" t="s">
        <v>243</v>
      </c>
      <c r="D3638" s="147" t="s">
        <v>74</v>
      </c>
      <c r="E3638" s="135">
        <f t="shared" si="59"/>
        <v>41</v>
      </c>
      <c r="F3638" s="134" t="s">
        <v>3818</v>
      </c>
      <c r="G3638" s="63" t="str">
        <f>VLOOKUP(C3638, 'Class Def. - General Data'!$C$20:$C$1000,1,false)</f>
        <v>ZPM1_Bottle_Ember</v>
      </c>
      <c r="H3638" s="63" t="str">
        <f>IFERROR(__xludf.DUMMYFUNCTION("VLOOKUP(F3638, IMPORTRANGE(""https://docs.google.com/spreadsheets/d/1Lhp9OU0JdFf_VYSMzH5lBcEaU4o8teT1piV-SNzShjg/edit?gid=554141278#gid=554141278"", ""'Char Def. - Attributes'!C20:C2242""), 1,false)"),"ALT_NUM_UOM5")</f>
        <v>ALT_NUM_UOM5</v>
      </c>
      <c r="I3638" s="136"/>
    </row>
    <row r="3639" ht="15.75" customHeight="1">
      <c r="B3639" s="63">
        <f t="shared" si="1"/>
        <v>17</v>
      </c>
      <c r="C3639" s="146" t="s">
        <v>243</v>
      </c>
      <c r="D3639" s="147" t="s">
        <v>74</v>
      </c>
      <c r="E3639" s="135">
        <f t="shared" si="59"/>
        <v>42</v>
      </c>
      <c r="F3639" s="134" t="s">
        <v>3874</v>
      </c>
      <c r="G3639" s="63" t="str">
        <f>VLOOKUP(C3639, 'Class Def. - General Data'!$C$20:$C$1000,1,false)</f>
        <v>ZPM1_Bottle_Ember</v>
      </c>
      <c r="H3639" s="63" t="str">
        <f>IFERROR(__xludf.DUMMYFUNCTION("VLOOKUP(F3639, IMPORTRANGE(""https://docs.google.com/spreadsheets/d/1Lhp9OU0JdFf_VYSMzH5lBcEaU4o8teT1piV-SNzShjg/edit?gid=554141278#gid=554141278"", ""'Char Def. - Attributes'!C20:C2242""), 1,false)"),"VALUATION_CATEGORY")</f>
        <v>VALUATION_CATEGORY</v>
      </c>
      <c r="I3639" s="136"/>
    </row>
    <row r="3640" ht="15.75" customHeight="1">
      <c r="B3640" s="63">
        <f t="shared" si="1"/>
        <v>17</v>
      </c>
      <c r="C3640" s="146" t="s">
        <v>243</v>
      </c>
      <c r="D3640" s="147" t="s">
        <v>74</v>
      </c>
      <c r="E3640" s="135">
        <f t="shared" si="59"/>
        <v>43</v>
      </c>
      <c r="F3640" s="134" t="s">
        <v>3800</v>
      </c>
      <c r="G3640" s="63" t="str">
        <f>VLOOKUP(C3640, 'Class Def. - General Data'!$C$20:$C$1000,1,false)</f>
        <v>ZPM1_Bottle_Ember</v>
      </c>
      <c r="H3640" s="63" t="str">
        <f>IFERROR(__xludf.DUMMYFUNCTION("VLOOKUP(F3640, IMPORTRANGE(""https://docs.google.com/spreadsheets/d/1Lhp9OU0JdFf_VYSMzH5lBcEaU4o8teT1piV-SNzShjg/edit?gid=554141278#gid=554141278"", ""'Char Def. - Attributes'!C20:C2242""), 1,false)"),"ORDER_UNIT_DIFF_FROM_BASIC_UOM")</f>
        <v>ORDER_UNIT_DIFF_FROM_BASIC_UOM</v>
      </c>
      <c r="I3640" s="136"/>
    </row>
    <row r="3641" ht="15.75" customHeight="1">
      <c r="B3641" s="63">
        <f t="shared" si="1"/>
        <v>17</v>
      </c>
      <c r="C3641" s="146" t="s">
        <v>243</v>
      </c>
      <c r="D3641" s="147" t="s">
        <v>74</v>
      </c>
      <c r="E3641" s="135">
        <f t="shared" si="59"/>
        <v>44</v>
      </c>
      <c r="F3641" s="134" t="s">
        <v>3875</v>
      </c>
      <c r="G3641" s="63" t="str">
        <f>VLOOKUP(C3641, 'Class Def. - General Data'!$C$20:$C$1000,1,false)</f>
        <v>ZPM1_Bottle_Ember</v>
      </c>
      <c r="H3641" s="63" t="str">
        <f>IFERROR(__xludf.DUMMYFUNCTION("VLOOKUP(F3641, IMPORTRANGE(""https://docs.google.com/spreadsheets/d/1Lhp9OU0JdFf_VYSMzH5lBcEaU4o8teT1piV-SNzShjg/edit?gid=554141278#gid=554141278"", ""'Char Def. - Attributes'!C20:C2242""), 1,false)"),"ORDER_UNIT_RMPM")</f>
        <v>ORDER_UNIT_RMPM</v>
      </c>
      <c r="I3641" s="136"/>
    </row>
    <row r="3642" ht="15.75" customHeight="1">
      <c r="B3642" s="63">
        <f t="shared" si="1"/>
        <v>17</v>
      </c>
      <c r="C3642" s="146" t="s">
        <v>243</v>
      </c>
      <c r="D3642" s="147" t="s">
        <v>74</v>
      </c>
      <c r="E3642" s="135">
        <f t="shared" si="59"/>
        <v>45</v>
      </c>
      <c r="F3642" s="134" t="s">
        <v>3602</v>
      </c>
      <c r="G3642" s="63" t="str">
        <f>VLOOKUP(C3642, 'Class Def. - General Data'!$C$20:$C$1000,1,false)</f>
        <v>ZPM1_Bottle_Ember</v>
      </c>
      <c r="H3642" s="63" t="str">
        <f>IFERROR(__xludf.DUMMYFUNCTION("VLOOKUP(F3642, IMPORTRANGE(""https://docs.google.com/spreadsheets/d/1Lhp9OU0JdFf_VYSMzH5lBcEaU4o8teT1piV-SNzShjg/edit?gid=554141278#gid=554141278"", ""'Char Def. - Attributes'!C20:C2242""), 1,false)"),"NET_WEIGHT")</f>
        <v>NET_WEIGHT</v>
      </c>
      <c r="I3642" s="136"/>
    </row>
    <row r="3643" ht="15.75" customHeight="1">
      <c r="B3643" s="63">
        <f t="shared" si="1"/>
        <v>17</v>
      </c>
      <c r="C3643" s="146" t="s">
        <v>243</v>
      </c>
      <c r="D3643" s="147" t="s">
        <v>74</v>
      </c>
      <c r="E3643" s="135">
        <f t="shared" si="59"/>
        <v>46</v>
      </c>
      <c r="F3643" s="134" t="s">
        <v>3601</v>
      </c>
      <c r="G3643" s="63" t="str">
        <f>VLOOKUP(C3643, 'Class Def. - General Data'!$C$20:$C$1000,1,false)</f>
        <v>ZPM1_Bottle_Ember</v>
      </c>
      <c r="H3643" s="63" t="str">
        <f>IFERROR(__xludf.DUMMYFUNCTION("VLOOKUP(F3643, IMPORTRANGE(""https://docs.google.com/spreadsheets/d/1Lhp9OU0JdFf_VYSMzH5lBcEaU4o8teT1piV-SNzShjg/edit?gid=554141278#gid=554141278"", ""'Char Def. - Attributes'!C20:C2242""), 1,false)"),"GROSS_WEIGHT")</f>
        <v>GROSS_WEIGHT</v>
      </c>
      <c r="I3643" s="136"/>
    </row>
    <row r="3644" ht="15.75" customHeight="1">
      <c r="B3644" s="63">
        <f t="shared" si="1"/>
        <v>17</v>
      </c>
      <c r="C3644" s="146" t="s">
        <v>243</v>
      </c>
      <c r="D3644" s="147" t="s">
        <v>74</v>
      </c>
      <c r="E3644" s="135">
        <f t="shared" si="59"/>
        <v>47</v>
      </c>
      <c r="F3644" s="134" t="s">
        <v>3876</v>
      </c>
      <c r="G3644" s="63" t="str">
        <f>VLOOKUP(C3644, 'Class Def. - General Data'!$C$20:$C$1000,1,false)</f>
        <v>ZPM1_Bottle_Ember</v>
      </c>
      <c r="H3644" s="63" t="str">
        <f>IFERROR(__xludf.DUMMYFUNCTION("VLOOKUP(F3644, IMPORTRANGE(""https://docs.google.com/spreadsheets/d/1Lhp9OU0JdFf_VYSMzH5lBcEaU4o8teT1piV-SNzShjg/edit?gid=554141278#gid=554141278"", ""'Char Def. - Attributes'!C20:C2242""), 1,false)"),"WEIGHT_UNIT_PM")</f>
        <v>WEIGHT_UNIT_PM</v>
      </c>
      <c r="I3644" s="136"/>
    </row>
    <row r="3645" ht="15.75" customHeight="1">
      <c r="B3645" s="63">
        <f t="shared" si="1"/>
        <v>17</v>
      </c>
      <c r="C3645" s="146" t="s">
        <v>243</v>
      </c>
      <c r="D3645" s="147" t="s">
        <v>74</v>
      </c>
      <c r="E3645" s="135">
        <f t="shared" si="59"/>
        <v>48</v>
      </c>
      <c r="F3645" s="134" t="s">
        <v>3877</v>
      </c>
      <c r="G3645" s="63" t="str">
        <f>VLOOKUP(C3645, 'Class Def. - General Data'!$C$20:$C$1000,1,false)</f>
        <v>ZPM1_Bottle_Ember</v>
      </c>
      <c r="H3645" s="63" t="str">
        <f>IFERROR(__xludf.DUMMYFUNCTION("VLOOKUP(F3645, IMPORTRANGE(""https://docs.google.com/spreadsheets/d/1Lhp9OU0JdFf_VYSMzH5lBcEaU4o8teT1piV-SNzShjg/edit?gid=554141278#gid=554141278"", ""'Char Def. - Attributes'!C20:C2242""), 1,false)"),"VOLUME_OPT")</f>
        <v>VOLUME_OPT</v>
      </c>
      <c r="I3645" s="136"/>
    </row>
    <row r="3646" ht="15.75" customHeight="1">
      <c r="B3646" s="63">
        <f t="shared" si="1"/>
        <v>17</v>
      </c>
      <c r="C3646" s="146" t="s">
        <v>243</v>
      </c>
      <c r="D3646" s="147" t="s">
        <v>74</v>
      </c>
      <c r="E3646" s="135">
        <f t="shared" si="59"/>
        <v>49</v>
      </c>
      <c r="F3646" s="134" t="s">
        <v>3878</v>
      </c>
      <c r="G3646" s="63" t="str">
        <f>VLOOKUP(C3646, 'Class Def. - General Data'!$C$20:$C$1000,1,false)</f>
        <v>ZPM1_Bottle_Ember</v>
      </c>
      <c r="H3646" s="63" t="str">
        <f>IFERROR(__xludf.DUMMYFUNCTION("VLOOKUP(F3646, IMPORTRANGE(""https://docs.google.com/spreadsheets/d/1Lhp9OU0JdFf_VYSMzH5lBcEaU4o8teT1piV-SNzShjg/edit?gid=554141278#gid=554141278"", ""'Char Def. - Attributes'!C20:C2242""), 1,false)"),"VOLUME_UNIT")</f>
        <v>VOLUME_UNIT</v>
      </c>
      <c r="I3646" s="136"/>
    </row>
    <row r="3647" ht="15.75" customHeight="1">
      <c r="B3647" s="63">
        <f t="shared" si="1"/>
        <v>17</v>
      </c>
      <c r="C3647" s="146" t="s">
        <v>243</v>
      </c>
      <c r="D3647" s="147" t="s">
        <v>74</v>
      </c>
      <c r="E3647" s="135">
        <f t="shared" si="59"/>
        <v>50</v>
      </c>
      <c r="F3647" s="134" t="s">
        <v>3879</v>
      </c>
      <c r="G3647" s="63" t="str">
        <f>VLOOKUP(C3647, 'Class Def. - General Data'!$C$20:$C$1000,1,false)</f>
        <v>ZPM1_Bottle_Ember</v>
      </c>
      <c r="H3647" s="63" t="str">
        <f>IFERROR(__xludf.DUMMYFUNCTION("VLOOKUP(F3647, IMPORTRANGE(""https://docs.google.com/spreadsheets/d/1Lhp9OU0JdFf_VYSMzH5lBcEaU4o8teT1piV-SNzShjg/edit?gid=554141278#gid=554141278"", ""'Char Def. - Attributes'!C20:C2242""), 1,false)"),"OLD_MAT_NO_RMPM")</f>
        <v>OLD_MAT_NO_RMPM</v>
      </c>
      <c r="I3647" s="136"/>
    </row>
    <row r="3648" ht="15.75" customHeight="1">
      <c r="B3648" s="63">
        <f t="shared" si="1"/>
        <v>17</v>
      </c>
      <c r="C3648" s="146" t="s">
        <v>243</v>
      </c>
      <c r="D3648" s="147" t="s">
        <v>74</v>
      </c>
      <c r="E3648" s="135">
        <f t="shared" si="59"/>
        <v>51</v>
      </c>
      <c r="F3648" s="134" t="s">
        <v>3880</v>
      </c>
      <c r="G3648" s="63" t="str">
        <f>VLOOKUP(C3648, 'Class Def. - General Data'!$C$20:$C$1000,1,false)</f>
        <v>ZPM1_Bottle_Ember</v>
      </c>
      <c r="H3648" s="63" t="str">
        <f>IFERROR(__xludf.DUMMYFUNCTION("VLOOKUP(F3648, IMPORTRANGE(""https://docs.google.com/spreadsheets/d/1Lhp9OU0JdFf_VYSMzH5lBcEaU4o8teT1piV-SNzShjg/edit?gid=554141278#gid=554141278"", ""'Char Def. - Attributes'!C20:C2242""), 1,false)"),"NOTE_PM")</f>
        <v>NOTE_PM</v>
      </c>
      <c r="I3648" s="136"/>
    </row>
    <row r="3649" ht="15.75" customHeight="1">
      <c r="B3649" s="63">
        <f t="shared" si="1"/>
        <v>17</v>
      </c>
      <c r="C3649" s="146" t="s">
        <v>243</v>
      </c>
      <c r="D3649" s="147" t="s">
        <v>74</v>
      </c>
      <c r="E3649" s="135">
        <f t="shared" si="59"/>
        <v>52</v>
      </c>
      <c r="F3649" s="134" t="s">
        <v>3881</v>
      </c>
      <c r="G3649" s="63" t="str">
        <f>VLOOKUP(C3649, 'Class Def. - General Data'!$C$20:$C$1000,1,false)</f>
        <v>ZPM1_Bottle_Ember</v>
      </c>
      <c r="H3649" s="63" t="str">
        <f>IFERROR(__xludf.DUMMYFUNCTION("VLOOKUP(F3649, IMPORTRANGE(""https://docs.google.com/spreadsheets/d/1Lhp9OU0JdFf_VYSMzH5lBcEaU4o8teT1piV-SNzShjg/edit?gid=554141278#gid=554141278"", ""'Char Def. - Attributes'!C20:C2242""), 1,false)"),"BS_BERSIH")</f>
        <v>BS_BERSIH</v>
      </c>
      <c r="I3649" s="136"/>
    </row>
    <row r="3650" ht="15.75" customHeight="1">
      <c r="B3650" s="63">
        <f t="shared" si="1"/>
        <v>17</v>
      </c>
      <c r="C3650" s="146" t="s">
        <v>243</v>
      </c>
      <c r="D3650" s="147" t="s">
        <v>74</v>
      </c>
      <c r="E3650" s="135">
        <f t="shared" si="59"/>
        <v>53</v>
      </c>
      <c r="F3650" s="134" t="s">
        <v>3882</v>
      </c>
      <c r="G3650" s="63" t="str">
        <f>VLOOKUP(C3650, 'Class Def. - General Data'!$C$20:$C$1000,1,false)</f>
        <v>ZPM1_Bottle_Ember</v>
      </c>
      <c r="H3650" s="63" t="str">
        <f>IFERROR(__xludf.DUMMYFUNCTION("VLOOKUP(F3650, IMPORTRANGE(""https://docs.google.com/spreadsheets/d/1Lhp9OU0JdFf_VYSMzH5lBcEaU4o8teT1piV-SNzShjg/edit?gid=554141278#gid=554141278"", ""'Char Def. - Attributes'!C20:C2242""), 1,false)"),"BS_KOTOR")</f>
        <v>BS_KOTOR</v>
      </c>
      <c r="I3650" s="136"/>
    </row>
    <row r="3651" ht="15.75" customHeight="1">
      <c r="B3651" s="63">
        <f t="shared" si="1"/>
        <v>17</v>
      </c>
      <c r="C3651" s="146" t="s">
        <v>243</v>
      </c>
      <c r="D3651" s="147" t="s">
        <v>74</v>
      </c>
      <c r="E3651" s="135">
        <f t="shared" si="59"/>
        <v>54</v>
      </c>
      <c r="F3651" s="134" t="s">
        <v>3883</v>
      </c>
      <c r="G3651" s="63" t="str">
        <f>VLOOKUP(C3651, 'Class Def. - General Data'!$C$20:$C$1000,1,false)</f>
        <v>ZPM1_Bottle_Ember</v>
      </c>
      <c r="H3651" s="63" t="str">
        <f>IFERROR(__xludf.DUMMYFUNCTION("VLOOKUP(F3651, IMPORTRANGE(""https://docs.google.com/spreadsheets/d/1Lhp9OU0JdFf_VYSMzH5lBcEaU4o8teT1piV-SNzShjg/edit?gid=554141278#gid=554141278"", ""'Char Def. - Attributes'!C20:C2242""), 1,false)"),"BS_SCRAP")</f>
        <v>BS_SCRAP</v>
      </c>
      <c r="I3651" s="136"/>
    </row>
    <row r="3652" ht="15.75" customHeight="1">
      <c r="B3652" s="63">
        <f t="shared" si="1"/>
        <v>8</v>
      </c>
      <c r="C3652" s="146" t="s">
        <v>244</v>
      </c>
      <c r="D3652" s="147" t="s">
        <v>74</v>
      </c>
      <c r="E3652" s="135">
        <f t="shared" si="59"/>
        <v>1</v>
      </c>
      <c r="F3652" s="148" t="s">
        <v>3912</v>
      </c>
      <c r="G3652" s="63" t="str">
        <f>VLOOKUP(C3652, 'Class Def. - General Data'!$C$20:$C$1000,1,false)</f>
        <v>ZPM1_Box</v>
      </c>
      <c r="H3652" s="63" t="str">
        <f>IFERROR(__xludf.DUMMYFUNCTION("VLOOKUP(F3652, IMPORTRANGE(""https://docs.google.com/spreadsheets/d/1Lhp9OU0JdFf_VYSMzH5lBcEaU4o8teT1piV-SNzShjg/edit?gid=554141278#gid=554141278"", ""'Char Def. - Attributes'!C20:C2242""), 1,false)"),"MATERIAL_CODE_BOX")</f>
        <v>MATERIAL_CODE_BOX</v>
      </c>
      <c r="I3652" s="136"/>
    </row>
    <row r="3653" ht="15.75" customHeight="1">
      <c r="B3653" s="63">
        <f t="shared" si="1"/>
        <v>8</v>
      </c>
      <c r="C3653" s="146" t="s">
        <v>244</v>
      </c>
      <c r="D3653" s="147" t="s">
        <v>74</v>
      </c>
      <c r="E3653" s="135">
        <f t="shared" si="59"/>
        <v>2</v>
      </c>
      <c r="F3653" s="134" t="s">
        <v>3852</v>
      </c>
      <c r="G3653" s="63" t="str">
        <f>VLOOKUP(C3653, 'Class Def. - General Data'!$C$20:$C$1000,1,false)</f>
        <v>ZPM1_Box</v>
      </c>
      <c r="H3653" s="63" t="str">
        <f>IFERROR(__xludf.DUMMYFUNCTION("VLOOKUP(F3653, IMPORTRANGE(""https://docs.google.com/spreadsheets/d/1Lhp9OU0JdFf_VYSMzH5lBcEaU4o8teT1piV-SNzShjg/edit?gid=554141278#gid=554141278"", ""'Char Def. - Attributes'!C20:C2242""), 1,false)"),"SINGLE_BRAND")</f>
        <v>SINGLE_BRAND</v>
      </c>
      <c r="I3653" s="136"/>
    </row>
    <row r="3654" ht="15.75" customHeight="1">
      <c r="B3654" s="63">
        <f t="shared" si="1"/>
        <v>8</v>
      </c>
      <c r="C3654" s="146" t="s">
        <v>244</v>
      </c>
      <c r="D3654" s="147" t="s">
        <v>74</v>
      </c>
      <c r="E3654" s="135">
        <f t="shared" si="59"/>
        <v>3</v>
      </c>
      <c r="F3654" s="153" t="s">
        <v>3853</v>
      </c>
      <c r="G3654" s="63" t="str">
        <f>VLOOKUP(C3654, 'Class Def. - General Data'!$C$20:$C$1000,1,false)</f>
        <v>ZPM1_Box</v>
      </c>
      <c r="H3654" s="63" t="str">
        <f>IFERROR(__xludf.DUMMYFUNCTION("VLOOKUP(F3654, IMPORTRANGE(""https://docs.google.com/spreadsheets/d/1Lhp9OU0JdFf_VYSMzH5lBcEaU4o8teT1piV-SNzShjg/edit?gid=554141278#gid=554141278"", ""'Char Def. - Attributes'!C20:C2242""), 1,false)"),"BRAND_WINGS")</f>
        <v>BRAND_WINGS</v>
      </c>
      <c r="I3654" s="136"/>
    </row>
    <row r="3655" ht="15.75" customHeight="1">
      <c r="B3655" s="63">
        <f t="shared" si="1"/>
        <v>8</v>
      </c>
      <c r="C3655" s="146" t="s">
        <v>244</v>
      </c>
      <c r="D3655" s="147" t="s">
        <v>74</v>
      </c>
      <c r="E3655" s="135">
        <f t="shared" si="59"/>
        <v>4</v>
      </c>
      <c r="F3655" s="134" t="s">
        <v>3854</v>
      </c>
      <c r="G3655" s="63" t="str">
        <f>VLOOKUP(C3655, 'Class Def. - General Data'!$C$20:$C$1000,1,false)</f>
        <v>ZPM1_Box</v>
      </c>
      <c r="H3655" s="63" t="str">
        <f>IFERROR(__xludf.DUMMYFUNCTION("VLOOKUP(F3655, IMPORTRANGE(""https://docs.google.com/spreadsheets/d/1Lhp9OU0JdFf_VYSMzH5lBcEaU4o8teT1piV-SNzShjg/edit?gid=554141278#gid=554141278"", ""'Char Def. - Attributes'!C20:C2242""), 1,false)"),"SINGLE_PACK_SHAPE")</f>
        <v>SINGLE_PACK_SHAPE</v>
      </c>
      <c r="I3655" s="136"/>
    </row>
    <row r="3656" ht="15.75" customHeight="1">
      <c r="B3656" s="63">
        <f t="shared" si="1"/>
        <v>8</v>
      </c>
      <c r="C3656" s="146" t="s">
        <v>244</v>
      </c>
      <c r="D3656" s="147" t="s">
        <v>74</v>
      </c>
      <c r="E3656" s="135">
        <f t="shared" si="59"/>
        <v>5</v>
      </c>
      <c r="F3656" s="153" t="s">
        <v>3855</v>
      </c>
      <c r="G3656" s="63" t="str">
        <f>VLOOKUP(C3656, 'Class Def. - General Data'!$C$20:$C$1000,1,false)</f>
        <v>ZPM1_Box</v>
      </c>
      <c r="H3656" s="63" t="str">
        <f>IFERROR(__xludf.DUMMYFUNCTION("VLOOKUP(F3656, IMPORTRANGE(""https://docs.google.com/spreadsheets/d/1Lhp9OU0JdFf_VYSMzH5lBcEaU4o8teT1piV-SNzShjg/edit?gid=554141278#gid=554141278"", ""'Char Def. - Attributes'!C20:C2242""), 1,false)"),"PACK_SHAPE")</f>
        <v>PACK_SHAPE</v>
      </c>
      <c r="I3656" s="136"/>
    </row>
    <row r="3657" ht="15.75" customHeight="1">
      <c r="B3657" s="63">
        <f t="shared" si="1"/>
        <v>8</v>
      </c>
      <c r="C3657" s="146" t="s">
        <v>244</v>
      </c>
      <c r="D3657" s="147" t="s">
        <v>74</v>
      </c>
      <c r="E3657" s="135">
        <f t="shared" si="59"/>
        <v>6</v>
      </c>
      <c r="F3657" s="134" t="s">
        <v>3856</v>
      </c>
      <c r="G3657" s="63" t="str">
        <f>VLOOKUP(C3657, 'Class Def. - General Data'!$C$20:$C$1000,1,false)</f>
        <v>ZPM1_Box</v>
      </c>
      <c r="H3657" s="63" t="str">
        <f>IFERROR(__xludf.DUMMYFUNCTION("VLOOKUP(F3657, IMPORTRANGE(""https://docs.google.com/spreadsheets/d/1Lhp9OU0JdFf_VYSMzH5lBcEaU4o8teT1piV-SNzShjg/edit?gid=554141278#gid=554141278"", ""'Char Def. - Attributes'!C20:C2242""), 1,false)"),"SINGLE_PACK_NETTO")</f>
        <v>SINGLE_PACK_NETTO</v>
      </c>
      <c r="I3657" s="136"/>
    </row>
    <row r="3658" ht="15.75" customHeight="1">
      <c r="B3658" s="63">
        <f t="shared" si="1"/>
        <v>8</v>
      </c>
      <c r="C3658" s="146" t="s">
        <v>244</v>
      </c>
      <c r="D3658" s="147" t="s">
        <v>74</v>
      </c>
      <c r="E3658" s="135">
        <f t="shared" si="59"/>
        <v>7</v>
      </c>
      <c r="F3658" s="153" t="s">
        <v>3605</v>
      </c>
      <c r="G3658" s="63" t="str">
        <f>VLOOKUP(C3658, 'Class Def. - General Data'!$C$20:$C$1000,1,false)</f>
        <v>ZPM1_Box</v>
      </c>
      <c r="H3658" s="63" t="str">
        <f>IFERROR(__xludf.DUMMYFUNCTION("VLOOKUP(F3658, IMPORTRANGE(""https://docs.google.com/spreadsheets/d/1Lhp9OU0JdFf_VYSMzH5lBcEaU4o8teT1piV-SNzShjg/edit?gid=554141278#gid=554141278"", ""'Char Def. - Attributes'!C20:C2242""), 1,false)"),"PACK_NETTO")</f>
        <v>PACK_NETTO</v>
      </c>
      <c r="I3658" s="136"/>
    </row>
    <row r="3659" ht="15.75" customHeight="1">
      <c r="B3659" s="63">
        <f t="shared" si="1"/>
        <v>8</v>
      </c>
      <c r="C3659" s="146" t="s">
        <v>244</v>
      </c>
      <c r="D3659" s="147" t="s">
        <v>74</v>
      </c>
      <c r="E3659" s="135">
        <f t="shared" si="59"/>
        <v>8</v>
      </c>
      <c r="F3659" s="153" t="s">
        <v>3857</v>
      </c>
      <c r="G3659" s="63" t="str">
        <f>VLOOKUP(C3659, 'Class Def. - General Data'!$C$20:$C$1000,1,false)</f>
        <v>ZPM1_Box</v>
      </c>
      <c r="H3659" s="63" t="str">
        <f>IFERROR(__xludf.DUMMYFUNCTION("VLOOKUP(F3659, IMPORTRANGE(""https://docs.google.com/spreadsheets/d/1Lhp9OU0JdFf_VYSMzH5lBcEaU4o8teT1piV-SNzShjg/edit?gid=554141278#gid=554141278"", ""'Char Def. - Attributes'!C20:C2242""), 1,false)"),"PACK_UOM")</f>
        <v>PACK_UOM</v>
      </c>
      <c r="I3659" s="136"/>
    </row>
    <row r="3660" ht="15.75" customHeight="1">
      <c r="B3660" s="63">
        <f t="shared" si="1"/>
        <v>8</v>
      </c>
      <c r="C3660" s="146" t="s">
        <v>244</v>
      </c>
      <c r="D3660" s="147" t="s">
        <v>74</v>
      </c>
      <c r="E3660" s="135">
        <f t="shared" si="59"/>
        <v>9</v>
      </c>
      <c r="F3660" s="134" t="s">
        <v>3858</v>
      </c>
      <c r="G3660" s="63" t="str">
        <f>VLOOKUP(C3660, 'Class Def. - General Data'!$C$20:$C$1000,1,false)</f>
        <v>ZPM1_Box</v>
      </c>
      <c r="H3660" s="63" t="str">
        <f>IFERROR(__xludf.DUMMYFUNCTION("VLOOKUP(F3660, IMPORTRANGE(""https://docs.google.com/spreadsheets/d/1Lhp9OU0JdFf_VYSMzH5lBcEaU4o8teT1piV-SNzShjg/edit?gid=554141278#gid=554141278"", ""'Char Def. - Attributes'!C20:C2242""), 1,false)"),"SINGLE_VARIAN")</f>
        <v>SINGLE_VARIAN</v>
      </c>
      <c r="I3660" s="136"/>
    </row>
    <row r="3661" ht="15.75" customHeight="1">
      <c r="B3661" s="63">
        <f t="shared" si="1"/>
        <v>8</v>
      </c>
      <c r="C3661" s="146" t="s">
        <v>244</v>
      </c>
      <c r="D3661" s="147" t="s">
        <v>74</v>
      </c>
      <c r="E3661" s="135">
        <f t="shared" si="59"/>
        <v>10</v>
      </c>
      <c r="F3661" s="153" t="s">
        <v>3607</v>
      </c>
      <c r="G3661" s="63" t="str">
        <f>VLOOKUP(C3661, 'Class Def. - General Data'!$C$20:$C$1000,1,false)</f>
        <v>ZPM1_Box</v>
      </c>
      <c r="H3661" s="63" t="str">
        <f>IFERROR(__xludf.DUMMYFUNCTION("VLOOKUP(F3661, IMPORTRANGE(""https://docs.google.com/spreadsheets/d/1Lhp9OU0JdFf_VYSMzH5lBcEaU4o8teT1piV-SNzShjg/edit?gid=554141278#gid=554141278"", ""'Char Def. - Attributes'!C20:C2242""), 1,false)"),"VARIAN")</f>
        <v>VARIAN</v>
      </c>
      <c r="I3661" s="136"/>
    </row>
    <row r="3662" ht="15.75" customHeight="1">
      <c r="B3662" s="63">
        <f t="shared" si="1"/>
        <v>8</v>
      </c>
      <c r="C3662" s="146" t="s">
        <v>244</v>
      </c>
      <c r="D3662" s="147" t="s">
        <v>74</v>
      </c>
      <c r="E3662" s="135">
        <f t="shared" si="59"/>
        <v>11</v>
      </c>
      <c r="F3662" s="134" t="s">
        <v>3859</v>
      </c>
      <c r="G3662" s="63" t="str">
        <f>VLOOKUP(C3662, 'Class Def. - General Data'!$C$20:$C$1000,1,false)</f>
        <v>ZPM1_Box</v>
      </c>
      <c r="H3662" s="63" t="str">
        <f>IFERROR(__xludf.DUMMYFUNCTION("VLOOKUP(F3662, IMPORTRANGE(""https://docs.google.com/spreadsheets/d/1Lhp9OU0JdFf_VYSMzH5lBcEaU4o8teT1piV-SNzShjg/edit?gid=554141278#gid=554141278"", ""'Char Def. - Attributes'!C20:C2242""), 1,false)"),"ADA_ADDITIONAL_PROMO")</f>
        <v>ADA_ADDITIONAL_PROMO</v>
      </c>
      <c r="I3662" s="136"/>
    </row>
    <row r="3663" ht="15.75" customHeight="1">
      <c r="B3663" s="63">
        <f t="shared" si="1"/>
        <v>8</v>
      </c>
      <c r="C3663" s="146" t="s">
        <v>244</v>
      </c>
      <c r="D3663" s="147" t="s">
        <v>74</v>
      </c>
      <c r="E3663" s="135">
        <f t="shared" si="59"/>
        <v>12</v>
      </c>
      <c r="F3663" s="153" t="s">
        <v>3609</v>
      </c>
      <c r="G3663" s="63" t="str">
        <f>VLOOKUP(C3663, 'Class Def. - General Data'!$C$20:$C$1000,1,false)</f>
        <v>ZPM1_Box</v>
      </c>
      <c r="H3663" s="63" t="str">
        <f>IFERROR(__xludf.DUMMYFUNCTION("VLOOKUP(F3663, IMPORTRANGE(""https://docs.google.com/spreadsheets/d/1Lhp9OU0JdFf_VYSMzH5lBcEaU4o8teT1piV-SNzShjg/edit?gid=554141278#gid=554141278"", ""'Char Def. - Attributes'!C20:C2242""), 1,false)"),"ADDITIONAL_PROMO")</f>
        <v>ADDITIONAL_PROMO</v>
      </c>
      <c r="I3663" s="136"/>
    </row>
    <row r="3664" ht="15.75" customHeight="1">
      <c r="B3664" s="63">
        <f t="shared" si="1"/>
        <v>8</v>
      </c>
      <c r="C3664" s="146" t="s">
        <v>244</v>
      </c>
      <c r="D3664" s="147" t="s">
        <v>74</v>
      </c>
      <c r="E3664" s="135">
        <f t="shared" si="59"/>
        <v>13</v>
      </c>
      <c r="F3664" s="134" t="s">
        <v>3860</v>
      </c>
      <c r="G3664" s="63" t="str">
        <f>VLOOKUP(C3664, 'Class Def. - General Data'!$C$20:$C$1000,1,false)</f>
        <v>ZPM1_Box</v>
      </c>
      <c r="H3664" s="63" t="str">
        <f>IFERROR(__xludf.DUMMYFUNCTION("VLOOKUP(F3664, IMPORTRANGE(""https://docs.google.com/spreadsheets/d/1Lhp9OU0JdFf_VYSMzH5lBcEaU4o8teT1piV-SNzShjg/edit?gid=554141278#gid=554141278"", ""'Char Def. - Attributes'!C20:C2242""), 1,false)"),"ADA_BANDED_PROMO")</f>
        <v>ADA_BANDED_PROMO</v>
      </c>
      <c r="I3664" s="136"/>
    </row>
    <row r="3665" ht="15.75" customHeight="1">
      <c r="B3665" s="63">
        <f t="shared" si="1"/>
        <v>8</v>
      </c>
      <c r="C3665" s="146" t="s">
        <v>244</v>
      </c>
      <c r="D3665" s="147" t="s">
        <v>74</v>
      </c>
      <c r="E3665" s="135">
        <f t="shared" si="59"/>
        <v>14</v>
      </c>
      <c r="F3665" s="153" t="s">
        <v>3610</v>
      </c>
      <c r="G3665" s="63" t="str">
        <f>VLOOKUP(C3665, 'Class Def. - General Data'!$C$20:$C$1000,1,false)</f>
        <v>ZPM1_Box</v>
      </c>
      <c r="H3665" s="63" t="str">
        <f>IFERROR(__xludf.DUMMYFUNCTION("VLOOKUP(F3665, IMPORTRANGE(""https://docs.google.com/spreadsheets/d/1Lhp9OU0JdFf_VYSMzH5lBcEaU4o8teT1piV-SNzShjg/edit?gid=554141278#gid=554141278"", ""'Char Def. - Attributes'!C20:C2242""), 1,false)"),"BANDED_PROMO")</f>
        <v>BANDED_PROMO</v>
      </c>
      <c r="I3665" s="136"/>
    </row>
    <row r="3666" ht="15.75" customHeight="1">
      <c r="B3666" s="63">
        <f t="shared" si="1"/>
        <v>8</v>
      </c>
      <c r="C3666" s="146" t="s">
        <v>244</v>
      </c>
      <c r="D3666" s="147" t="s">
        <v>74</v>
      </c>
      <c r="E3666" s="135">
        <f t="shared" si="59"/>
        <v>15</v>
      </c>
      <c r="F3666" s="134" t="s">
        <v>1292</v>
      </c>
      <c r="G3666" s="63" t="str">
        <f>VLOOKUP(C3666, 'Class Def. - General Data'!$C$20:$C$1000,1,false)</f>
        <v>ZPM1_Box</v>
      </c>
      <c r="H3666" s="63" t="str">
        <f>IFERROR(__xludf.DUMMYFUNCTION("VLOOKUP(F3666, IMPORTRANGE(""https://docs.google.com/spreadsheets/d/1Lhp9OU0JdFf_VYSMzH5lBcEaU4o8teT1piV-SNzShjg/edit?gid=554141278#gid=554141278"", ""'Char Def. - Attributes'!C20:C2242""), 1,false)"),"EXPORT")</f>
        <v>EXPORT</v>
      </c>
      <c r="I3666" s="136"/>
    </row>
    <row r="3667" ht="15.75" customHeight="1">
      <c r="B3667" s="63">
        <f t="shared" si="1"/>
        <v>8</v>
      </c>
      <c r="C3667" s="146" t="s">
        <v>244</v>
      </c>
      <c r="D3667" s="147" t="s">
        <v>74</v>
      </c>
      <c r="E3667" s="135">
        <f t="shared" si="59"/>
        <v>16</v>
      </c>
      <c r="F3667" s="153" t="s">
        <v>3612</v>
      </c>
      <c r="G3667" s="63" t="str">
        <f>VLOOKUP(C3667, 'Class Def. - General Data'!$C$20:$C$1000,1,false)</f>
        <v>ZPM1_Box</v>
      </c>
      <c r="H3667" s="63" t="str">
        <f>IFERROR(__xludf.DUMMYFUNCTION("VLOOKUP(F3667, IMPORTRANGE(""https://docs.google.com/spreadsheets/d/1Lhp9OU0JdFf_VYSMzH5lBcEaU4o8teT1piV-SNzShjg/edit?gid=554141278#gid=554141278"", ""'Char Def. - Attributes'!C20:C2242""), 1,false)"),"COUNTRY_EKSPOR")</f>
        <v>COUNTRY_EKSPOR</v>
      </c>
      <c r="I3667" s="136"/>
    </row>
    <row r="3668" ht="15.75" customHeight="1">
      <c r="B3668" s="63">
        <f t="shared" si="1"/>
        <v>8</v>
      </c>
      <c r="C3668" s="146" t="s">
        <v>244</v>
      </c>
      <c r="D3668" s="147" t="s">
        <v>74</v>
      </c>
      <c r="E3668" s="135">
        <f t="shared" si="59"/>
        <v>17</v>
      </c>
      <c r="F3668" s="152" t="s">
        <v>3861</v>
      </c>
      <c r="G3668" s="63" t="str">
        <f>VLOOKUP(C3668, 'Class Def. - General Data'!$C$20:$C$1000,1,false)</f>
        <v>ZPM1_Box</v>
      </c>
      <c r="H3668" s="63" t="str">
        <f>IFERROR(__xludf.DUMMYFUNCTION("VLOOKUP(F3668, IMPORTRANGE(""https://docs.google.com/spreadsheets/d/1Lhp9OU0JdFf_VYSMzH5lBcEaU4o8teT1piV-SNzShjg/edit?gid=554141278#gid=554141278"", ""'Char Def. - Attributes'!C20:C2242""), 1,false)"),"PEMBATAS")</f>
        <v>PEMBATAS</v>
      </c>
      <c r="I3668" s="136"/>
    </row>
    <row r="3669" ht="15.75" customHeight="1">
      <c r="B3669" s="63">
        <f t="shared" si="1"/>
        <v>8</v>
      </c>
      <c r="C3669" s="146" t="s">
        <v>244</v>
      </c>
      <c r="D3669" s="147" t="s">
        <v>74</v>
      </c>
      <c r="E3669" s="135">
        <f t="shared" si="59"/>
        <v>18</v>
      </c>
      <c r="F3669" s="154" t="s">
        <v>3885</v>
      </c>
      <c r="G3669" s="63" t="str">
        <f>VLOOKUP(C3669, 'Class Def. - General Data'!$C$20:$C$1000,1,false)</f>
        <v>ZPM1_Box</v>
      </c>
      <c r="H3669" s="63" t="str">
        <f>IFERROR(__xludf.DUMMYFUNCTION("VLOOKUP(F3669, IMPORTRANGE(""https://docs.google.com/spreadsheets/d/1Lhp9OU0JdFf_VYSMzH5lBcEaU4o8teT1piV-SNzShjg/edit?gid=554141278#gid=554141278"", ""'Char Def. - Attributes'!C20:C2242""), 1,false)"),"PACK_CODE")</f>
        <v>PACK_CODE</v>
      </c>
      <c r="I3669" s="136"/>
    </row>
    <row r="3670" ht="15.75" customHeight="1">
      <c r="B3670" s="63">
        <f t="shared" si="1"/>
        <v>8</v>
      </c>
      <c r="C3670" s="146" t="s">
        <v>244</v>
      </c>
      <c r="D3670" s="147" t="s">
        <v>74</v>
      </c>
      <c r="E3670" s="135">
        <f t="shared" si="59"/>
        <v>19</v>
      </c>
      <c r="F3670" s="154" t="s">
        <v>3913</v>
      </c>
      <c r="G3670" s="63" t="str">
        <f>VLOOKUP(C3670, 'Class Def. - General Data'!$C$20:$C$1000,1,false)</f>
        <v>ZPM1_Box</v>
      </c>
      <c r="H3670" s="63" t="str">
        <f>IFERROR(__xludf.DUMMYFUNCTION("VLOOKUP(F3670, IMPORTRANGE(""https://docs.google.com/spreadsheets/d/1Lhp9OU0JdFf_VYSMzH5lBcEaU4o8teT1piV-SNzShjg/edit?gid=554141278#gid=554141278"", ""'Char Def. - Attributes'!C20:C2242""), 1,false)"),"PACK_CONTENT_AMOUNT_2")</f>
        <v>PACK_CONTENT_AMOUNT_2</v>
      </c>
      <c r="I3670" s="136"/>
    </row>
    <row r="3671" ht="15.75" customHeight="1">
      <c r="B3671" s="63">
        <f t="shared" si="1"/>
        <v>8</v>
      </c>
      <c r="C3671" s="146" t="s">
        <v>244</v>
      </c>
      <c r="D3671" s="147" t="s">
        <v>74</v>
      </c>
      <c r="E3671" s="135">
        <f t="shared" si="59"/>
        <v>20</v>
      </c>
      <c r="F3671" s="154" t="s">
        <v>3862</v>
      </c>
      <c r="G3671" s="63" t="str">
        <f>VLOOKUP(C3671, 'Class Def. - General Data'!$C$20:$C$1000,1,false)</f>
        <v>ZPM1_Box</v>
      </c>
      <c r="H3671" s="63" t="str">
        <f>IFERROR(__xludf.DUMMYFUNCTION("VLOOKUP(F3671, IMPORTRANGE(""https://docs.google.com/spreadsheets/d/1Lhp9OU0JdFf_VYSMzH5lBcEaU4o8teT1piV-SNzShjg/edit?gid=554141278#gid=554141278"", ""'Char Def. - Attributes'!C20:C2242""), 1,false)"),"MONTH")</f>
        <v>MONTH</v>
      </c>
      <c r="I3671" s="136"/>
    </row>
    <row r="3672" ht="15.75" customHeight="1">
      <c r="B3672" s="63">
        <f t="shared" si="1"/>
        <v>8</v>
      </c>
      <c r="C3672" s="146" t="s">
        <v>244</v>
      </c>
      <c r="D3672" s="147" t="s">
        <v>74</v>
      </c>
      <c r="E3672" s="135">
        <f t="shared" si="59"/>
        <v>21</v>
      </c>
      <c r="F3672" s="154" t="s">
        <v>3863</v>
      </c>
      <c r="G3672" s="63" t="str">
        <f>VLOOKUP(C3672, 'Class Def. - General Data'!$C$20:$C$1000,1,false)</f>
        <v>ZPM1_Box</v>
      </c>
      <c r="H3672" s="63" t="str">
        <f>IFERROR(__xludf.DUMMYFUNCTION("VLOOKUP(F3672, IMPORTRANGE(""https://docs.google.com/spreadsheets/d/1Lhp9OU0JdFf_VYSMzH5lBcEaU4o8teT1piV-SNzShjg/edit?gid=554141278#gid=554141278"", ""'Char Def. - Attributes'!C20:C2242""), 1,false)"),"YEAR")</f>
        <v>YEAR</v>
      </c>
      <c r="I3672" s="136"/>
    </row>
    <row r="3673" ht="15.75" customHeight="1">
      <c r="B3673" s="63">
        <f t="shared" si="1"/>
        <v>8</v>
      </c>
      <c r="C3673" s="146" t="s">
        <v>244</v>
      </c>
      <c r="D3673" s="147" t="s">
        <v>74</v>
      </c>
      <c r="E3673" s="135">
        <f t="shared" si="59"/>
        <v>22</v>
      </c>
      <c r="F3673" s="143" t="s">
        <v>3890</v>
      </c>
      <c r="G3673" s="63" t="str">
        <f>VLOOKUP(C3673, 'Class Def. - General Data'!$C$20:$C$1000,1,false)</f>
        <v>ZPM1_Box</v>
      </c>
      <c r="H3673" s="63" t="str">
        <f>IFERROR(__xludf.DUMMYFUNCTION("VLOOKUP(F3673, IMPORTRANGE(""https://docs.google.com/spreadsheets/d/1Lhp9OU0JdFf_VYSMzH5lBcEaU4o8teT1piV-SNzShjg/edit?gid=554141278#gid=554141278"", ""'Char Def. - Attributes'!C20:C2242""), 1,false)"),"EXT_MAT_GRP")</f>
        <v>EXT_MAT_GRP</v>
      </c>
      <c r="I3673" s="136"/>
    </row>
    <row r="3674" ht="15.75" customHeight="1">
      <c r="B3674" s="63">
        <f t="shared" si="1"/>
        <v>8</v>
      </c>
      <c r="C3674" s="146" t="s">
        <v>244</v>
      </c>
      <c r="D3674" s="147" t="s">
        <v>74</v>
      </c>
      <c r="E3674" s="135">
        <f t="shared" si="59"/>
        <v>23</v>
      </c>
      <c r="F3674" s="143" t="s">
        <v>3905</v>
      </c>
      <c r="G3674" s="63" t="str">
        <f>VLOOKUP(C3674, 'Class Def. - General Data'!$C$20:$C$1000,1,false)</f>
        <v>ZPM1_Box</v>
      </c>
      <c r="H3674" s="63" t="str">
        <f>IFERROR(__xludf.DUMMYFUNCTION("VLOOKUP(F3674, IMPORTRANGE(""https://docs.google.com/spreadsheets/d/1Lhp9OU0JdFf_VYSMzH5lBcEaU4o8teT1piV-SNzShjg/edit?gid=554141278#gid=554141278"", ""'Char Def. - Attributes'!C20:C2242""), 1,false)"),"SPEC_CODE")</f>
        <v>SPEC_CODE</v>
      </c>
      <c r="I3674" s="136"/>
    </row>
    <row r="3675" ht="15.75" customHeight="1">
      <c r="B3675" s="63">
        <f t="shared" si="1"/>
        <v>8</v>
      </c>
      <c r="C3675" s="146" t="s">
        <v>244</v>
      </c>
      <c r="D3675" s="147" t="s">
        <v>74</v>
      </c>
      <c r="E3675" s="135">
        <f t="shared" si="59"/>
        <v>24</v>
      </c>
      <c r="F3675" s="143" t="s">
        <v>3914</v>
      </c>
      <c r="G3675" s="63" t="str">
        <f>VLOOKUP(C3675, 'Class Def. - General Data'!$C$20:$C$1000,1,false)</f>
        <v>ZPM1_Box</v>
      </c>
      <c r="H3675" s="63" t="str">
        <f>IFERROR(__xludf.DUMMYFUNCTION("VLOOKUP(F3675, IMPORTRANGE(""https://docs.google.com/spreadsheets/d/1Lhp9OU0JdFf_VYSMzH5lBcEaU4o8teT1piV-SNzShjg/edit?gid=554141278#gid=554141278"", ""'Char Def. - Attributes'!C20:C2242""), 1,false)"),"FLUTE")</f>
        <v>FLUTE</v>
      </c>
      <c r="I3675" s="136"/>
    </row>
    <row r="3676" ht="15.75" customHeight="1">
      <c r="B3676" s="63">
        <f t="shared" si="1"/>
        <v>8</v>
      </c>
      <c r="C3676" s="146" t="s">
        <v>244</v>
      </c>
      <c r="D3676" s="147" t="s">
        <v>74</v>
      </c>
      <c r="E3676" s="135">
        <f t="shared" si="59"/>
        <v>25</v>
      </c>
      <c r="F3676" s="143" t="s">
        <v>3915</v>
      </c>
      <c r="G3676" s="63" t="str">
        <f>VLOOKUP(C3676, 'Class Def. - General Data'!$C$20:$C$1000,1,false)</f>
        <v>ZPM1_Box</v>
      </c>
      <c r="H3676" s="63" t="str">
        <f>IFERROR(__xludf.DUMMYFUNCTION("VLOOKUP(F3676, IMPORTRANGE(""https://docs.google.com/spreadsheets/d/1Lhp9OU0JdFf_VYSMzH5lBcEaU4o8teT1piV-SNzShjg/edit?gid=554141278#gid=554141278"", ""'Char Def. - Attributes'!C20:C2242""), 1,false)"),"FINISHING")</f>
        <v>FINISHING</v>
      </c>
      <c r="I3676" s="136"/>
    </row>
    <row r="3677" ht="15.75" customHeight="1">
      <c r="B3677" s="63">
        <f t="shared" si="1"/>
        <v>8</v>
      </c>
      <c r="C3677" s="146" t="s">
        <v>244</v>
      </c>
      <c r="D3677" s="147" t="s">
        <v>74</v>
      </c>
      <c r="E3677" s="135">
        <f t="shared" si="59"/>
        <v>26</v>
      </c>
      <c r="F3677" s="143" t="s">
        <v>3892</v>
      </c>
      <c r="G3677" s="63" t="str">
        <f>VLOOKUP(C3677, 'Class Def. - General Data'!$C$20:$C$1000,1,false)</f>
        <v>ZPM1_Box</v>
      </c>
      <c r="H3677" s="63" t="str">
        <f>IFERROR(__xludf.DUMMYFUNCTION("VLOOKUP(F3677, IMPORTRANGE(""https://docs.google.com/spreadsheets/d/1Lhp9OU0JdFf_VYSMzH5lBcEaU4o8teT1piV-SNzShjg/edit?gid=554141278#gid=554141278"", ""'Char Def. - Attributes'!C20:C2242""), 1,false)"),"COLOR_COUNT")</f>
        <v>COLOR_COUNT</v>
      </c>
      <c r="I3677" s="136"/>
    </row>
    <row r="3678" ht="15.75" customHeight="1">
      <c r="B3678" s="63">
        <f t="shared" si="1"/>
        <v>8</v>
      </c>
      <c r="C3678" s="146" t="s">
        <v>244</v>
      </c>
      <c r="D3678" s="147" t="s">
        <v>74</v>
      </c>
      <c r="E3678" s="135">
        <f t="shared" si="59"/>
        <v>27</v>
      </c>
      <c r="F3678" s="143" t="s">
        <v>3916</v>
      </c>
      <c r="G3678" s="63" t="str">
        <f>VLOOKUP(C3678, 'Class Def. - General Data'!$C$20:$C$1000,1,false)</f>
        <v>ZPM1_Box</v>
      </c>
      <c r="H3678" s="63" t="str">
        <f>IFERROR(__xludf.DUMMYFUNCTION("VLOOKUP(F3678, IMPORTRANGE(""https://docs.google.com/spreadsheets/d/1Lhp9OU0JdFf_VYSMzH5lBcEaU4o8teT1piV-SNzShjg/edit?gid=554141278#gid=554141278"", ""'Char Def. - Attributes'!C20:C2242""), 1,false)"),"SUBSTANCE")</f>
        <v>SUBSTANCE</v>
      </c>
      <c r="I3678" s="136"/>
    </row>
    <row r="3679" ht="15.75" customHeight="1">
      <c r="B3679" s="63">
        <f t="shared" si="1"/>
        <v>8</v>
      </c>
      <c r="C3679" s="146" t="s">
        <v>244</v>
      </c>
      <c r="D3679" s="147" t="s">
        <v>74</v>
      </c>
      <c r="E3679" s="135">
        <f t="shared" si="59"/>
        <v>28</v>
      </c>
      <c r="F3679" s="143" t="s">
        <v>3917</v>
      </c>
      <c r="G3679" s="63" t="str">
        <f>VLOOKUP(C3679, 'Class Def. - General Data'!$C$20:$C$1000,1,false)</f>
        <v>ZPM1_Box</v>
      </c>
      <c r="H3679" s="63" t="str">
        <f>IFERROR(__xludf.DUMMYFUNCTION("VLOOKUP(F3679, IMPORTRANGE(""https://docs.google.com/spreadsheets/d/1Lhp9OU0JdFf_VYSMzH5lBcEaU4o8teT1piV-SNzShjg/edit?gid=554141278#gid=554141278"", ""'Char Def. - Attributes'!C20:C2242""), 1,false)"),"LENGTH_MM")</f>
        <v>LENGTH_MM</v>
      </c>
      <c r="I3679" s="136"/>
    </row>
    <row r="3680" ht="15.75" customHeight="1">
      <c r="B3680" s="63">
        <f t="shared" si="1"/>
        <v>8</v>
      </c>
      <c r="C3680" s="146" t="s">
        <v>244</v>
      </c>
      <c r="D3680" s="147" t="s">
        <v>74</v>
      </c>
      <c r="E3680" s="135">
        <f t="shared" si="59"/>
        <v>29</v>
      </c>
      <c r="F3680" s="146" t="s">
        <v>3918</v>
      </c>
      <c r="G3680" s="63" t="str">
        <f>VLOOKUP(C3680, 'Class Def. - General Data'!$C$20:$C$1000,1,false)</f>
        <v>ZPM1_Box</v>
      </c>
      <c r="H3680" s="63" t="str">
        <f>IFERROR(__xludf.DUMMYFUNCTION("VLOOKUP(F3680, IMPORTRANGE(""https://docs.google.com/spreadsheets/d/1Lhp9OU0JdFf_VYSMzH5lBcEaU4o8teT1piV-SNzShjg/edit?gid=554141278#gid=554141278"", ""'Char Def. - Attributes'!C20:C2242""), 1,false)"),"WIDTH_MM_3")</f>
        <v>WIDTH_MM_3</v>
      </c>
      <c r="I3680" s="136"/>
    </row>
    <row r="3681" ht="15.75" customHeight="1">
      <c r="B3681" s="63">
        <f t="shared" si="1"/>
        <v>8</v>
      </c>
      <c r="C3681" s="146" t="s">
        <v>244</v>
      </c>
      <c r="D3681" s="147" t="s">
        <v>74</v>
      </c>
      <c r="E3681" s="135">
        <f t="shared" si="59"/>
        <v>30</v>
      </c>
      <c r="F3681" s="143" t="s">
        <v>3899</v>
      </c>
      <c r="G3681" s="63" t="str">
        <f>VLOOKUP(C3681, 'Class Def. - General Data'!$C$20:$C$1000,1,false)</f>
        <v>ZPM1_Box</v>
      </c>
      <c r="H3681" s="63" t="str">
        <f>IFERROR(__xludf.DUMMYFUNCTION("VLOOKUP(F3681, IMPORTRANGE(""https://docs.google.com/spreadsheets/d/1Lhp9OU0JdFf_VYSMzH5lBcEaU4o8teT1piV-SNzShjg/edit?gid=554141278#gid=554141278"", ""'Char Def. - Attributes'!C20:C2242""), 1,false)"),"HEIGHT_MM")</f>
        <v>HEIGHT_MM</v>
      </c>
      <c r="I3681" s="136"/>
    </row>
    <row r="3682" ht="15.75" customHeight="1">
      <c r="B3682" s="63">
        <f t="shared" si="1"/>
        <v>8</v>
      </c>
      <c r="C3682" s="146" t="s">
        <v>244</v>
      </c>
      <c r="D3682" s="147" t="s">
        <v>74</v>
      </c>
      <c r="E3682" s="135">
        <f t="shared" si="59"/>
        <v>31</v>
      </c>
      <c r="F3682" s="155" t="s">
        <v>3587</v>
      </c>
      <c r="G3682" s="63" t="str">
        <f>VLOOKUP(C3682, 'Class Def. - General Data'!$C$20:$C$1000,1,false)</f>
        <v>ZPM1_Box</v>
      </c>
      <c r="H3682" s="63" t="str">
        <f>IFERROR(__xludf.DUMMYFUNCTION("VLOOKUP(F3682, IMPORTRANGE(""https://docs.google.com/spreadsheets/d/1Lhp9OU0JdFf_VYSMzH5lBcEaU4o8teT1piV-SNzShjg/edit?gid=554141278#gid=554141278"", ""'Char Def. - Attributes'!C20:C2242""), 1,false)"),"PLANT_BUY")</f>
        <v>PLANT_BUY</v>
      </c>
      <c r="I3682" s="136"/>
    </row>
    <row r="3683" ht="15.75" customHeight="1">
      <c r="B3683" s="63">
        <f t="shared" si="1"/>
        <v>8</v>
      </c>
      <c r="C3683" s="146" t="s">
        <v>244</v>
      </c>
      <c r="D3683" s="147" t="s">
        <v>74</v>
      </c>
      <c r="E3683" s="135">
        <f t="shared" si="59"/>
        <v>32</v>
      </c>
      <c r="F3683" s="156" t="s">
        <v>3865</v>
      </c>
      <c r="G3683" s="63" t="str">
        <f>VLOOKUP(C3683, 'Class Def. - General Data'!$C$20:$C$1000,1,false)</f>
        <v>ZPM1_Box</v>
      </c>
      <c r="H3683" s="63" t="str">
        <f>IFERROR(__xludf.DUMMYFUNCTION("VLOOKUP(F3683, IMPORTRANGE(""https://docs.google.com/spreadsheets/d/1Lhp9OU0JdFf_VYSMzH5lBcEaU4o8teT1piV-SNzShjg/edit?gid=554141278#gid=554141278"", ""'Char Def. - Attributes'!C20:C2242""), 1,false)"),"PLANT_PROD_OPT")</f>
        <v>PLANT_PROD_OPT</v>
      </c>
      <c r="I3683" s="136"/>
    </row>
    <row r="3684" ht="15.75" customHeight="1">
      <c r="B3684" s="63">
        <f t="shared" si="1"/>
        <v>8</v>
      </c>
      <c r="C3684" s="146" t="s">
        <v>244</v>
      </c>
      <c r="D3684" s="147" t="s">
        <v>74</v>
      </c>
      <c r="E3684" s="135">
        <f t="shared" si="59"/>
        <v>33</v>
      </c>
      <c r="F3684" s="146" t="s">
        <v>3866</v>
      </c>
      <c r="G3684" s="63" t="str">
        <f>VLOOKUP(C3684, 'Class Def. - General Data'!$C$20:$C$1000,1,false)</f>
        <v>ZPM1_Box</v>
      </c>
      <c r="H3684" s="63" t="str">
        <f>IFERROR(__xludf.DUMMYFUNCTION("VLOOKUP(F3684, IMPORTRANGE(""https://docs.google.com/spreadsheets/d/1Lhp9OU0JdFf_VYSMzH5lBcEaU4o8teT1piV-SNzShjg/edit?gid=554141278#gid=554141278"", ""'Char Def. - Attributes'!C20:C2242""), 1,false)"),"PM_SUPPLY_JKT")</f>
        <v>PM_SUPPLY_JKT</v>
      </c>
      <c r="I3684" s="136"/>
    </row>
    <row r="3685" ht="15.75" customHeight="1">
      <c r="B3685" s="63">
        <f t="shared" si="1"/>
        <v>8</v>
      </c>
      <c r="C3685" s="146" t="s">
        <v>244</v>
      </c>
      <c r="D3685" s="147" t="s">
        <v>74</v>
      </c>
      <c r="E3685" s="135">
        <f t="shared" si="59"/>
        <v>34</v>
      </c>
      <c r="F3685" s="146" t="s">
        <v>3867</v>
      </c>
      <c r="G3685" s="63" t="str">
        <f>VLOOKUP(C3685, 'Class Def. - General Data'!$C$20:$C$1000,1,false)</f>
        <v>ZPM1_Box</v>
      </c>
      <c r="H3685" s="63" t="str">
        <f>IFERROR(__xludf.DUMMYFUNCTION("VLOOKUP(F3685, IMPORTRANGE(""https://docs.google.com/spreadsheets/d/1Lhp9OU0JdFf_VYSMzH5lBcEaU4o8teT1piV-SNzShjg/edit?gid=554141278#gid=554141278"", ""'Char Def. - Attributes'!C20:C2242""), 1,false)"),"PM_SUPPLY_SBY")</f>
        <v>PM_SUPPLY_SBY</v>
      </c>
      <c r="I3685" s="136"/>
    </row>
    <row r="3686" ht="15.75" customHeight="1">
      <c r="B3686" s="63">
        <f t="shared" si="1"/>
        <v>8</v>
      </c>
      <c r="C3686" s="146" t="s">
        <v>244</v>
      </c>
      <c r="D3686" s="147" t="s">
        <v>74</v>
      </c>
      <c r="E3686" s="135">
        <f t="shared" si="59"/>
        <v>35</v>
      </c>
      <c r="F3686" s="157" t="s">
        <v>3868</v>
      </c>
      <c r="G3686" s="63" t="str">
        <f>VLOOKUP(C3686, 'Class Def. - General Data'!$C$20:$C$1000,1,false)</f>
        <v>ZPM1_Box</v>
      </c>
      <c r="H3686" s="63" t="str">
        <f>IFERROR(__xludf.DUMMYFUNCTION("VLOOKUP(F3686, IMPORTRANGE(""https://docs.google.com/spreadsheets/d/1Lhp9OU0JdFf_VYSMzH5lBcEaU4o8teT1piV-SNzShjg/edit?gid=554141278#gid=554141278"", ""'Char Def. - Attributes'!C20:C2242""), 1,false)"),"BASIC_UOM_RMPM")</f>
        <v>BASIC_UOM_RMPM</v>
      </c>
      <c r="I3686" s="136"/>
    </row>
    <row r="3687" ht="15.75" customHeight="1">
      <c r="B3687" s="63">
        <f t="shared" si="1"/>
        <v>8</v>
      </c>
      <c r="C3687" s="146" t="s">
        <v>244</v>
      </c>
      <c r="D3687" s="147" t="s">
        <v>74</v>
      </c>
      <c r="E3687" s="135">
        <f t="shared" si="59"/>
        <v>36</v>
      </c>
      <c r="F3687" s="154" t="s">
        <v>3869</v>
      </c>
      <c r="G3687" s="63" t="str">
        <f>VLOOKUP(C3687, 'Class Def. - General Data'!$C$20:$C$1000,1,false)</f>
        <v>ZPM1_Box</v>
      </c>
      <c r="H3687" s="63" t="str">
        <f>IFERROR(__xludf.DUMMYFUNCTION("VLOOKUP(F3687, IMPORTRANGE(""https://docs.google.com/spreadsheets/d/1Lhp9OU0JdFf_VYSMzH5lBcEaU4o8teT1piV-SNzShjg/edit?gid=554141278#gid=554141278"", ""'Char Def. - Attributes'!C20:C2242""), 1,false)"),"ALT_UOM1_RMPM")</f>
        <v>ALT_UOM1_RMPM</v>
      </c>
      <c r="I3687" s="136"/>
    </row>
    <row r="3688" ht="15.75" customHeight="1">
      <c r="B3688" s="63">
        <f t="shared" si="1"/>
        <v>8</v>
      </c>
      <c r="C3688" s="146" t="s">
        <v>244</v>
      </c>
      <c r="D3688" s="147" t="s">
        <v>74</v>
      </c>
      <c r="E3688" s="135">
        <f t="shared" si="59"/>
        <v>37</v>
      </c>
      <c r="F3688" s="154" t="s">
        <v>3805</v>
      </c>
      <c r="G3688" s="63" t="str">
        <f>VLOOKUP(C3688, 'Class Def. - General Data'!$C$20:$C$1000,1,false)</f>
        <v>ZPM1_Box</v>
      </c>
      <c r="H3688" s="63" t="str">
        <f>IFERROR(__xludf.DUMMYFUNCTION("VLOOKUP(F3688, IMPORTRANGE(""https://docs.google.com/spreadsheets/d/1Lhp9OU0JdFf_VYSMzH5lBcEaU4o8teT1piV-SNzShjg/edit?gid=554141278#gid=554141278"", ""'Char Def. - Attributes'!C20:C2242""), 1,false)"),"ALT_DENUM_UOM1")</f>
        <v>ALT_DENUM_UOM1</v>
      </c>
      <c r="I3688" s="136"/>
    </row>
    <row r="3689" ht="15.75" customHeight="1">
      <c r="B3689" s="63">
        <f t="shared" si="1"/>
        <v>8</v>
      </c>
      <c r="C3689" s="146" t="s">
        <v>244</v>
      </c>
      <c r="D3689" s="147" t="s">
        <v>74</v>
      </c>
      <c r="E3689" s="135">
        <f t="shared" si="59"/>
        <v>38</v>
      </c>
      <c r="F3689" s="154" t="s">
        <v>3806</v>
      </c>
      <c r="G3689" s="63" t="str">
        <f>VLOOKUP(C3689, 'Class Def. - General Data'!$C$20:$C$1000,1,false)</f>
        <v>ZPM1_Box</v>
      </c>
      <c r="H3689" s="63" t="str">
        <f>IFERROR(__xludf.DUMMYFUNCTION("VLOOKUP(F3689, IMPORTRANGE(""https://docs.google.com/spreadsheets/d/1Lhp9OU0JdFf_VYSMzH5lBcEaU4o8teT1piV-SNzShjg/edit?gid=554141278#gid=554141278"", ""'Char Def. - Attributes'!C20:C2242""), 1,false)"),"ALT_NUM_UOM1")</f>
        <v>ALT_NUM_UOM1</v>
      </c>
      <c r="I3689" s="136"/>
    </row>
    <row r="3690" ht="15.75" customHeight="1">
      <c r="B3690" s="63">
        <f t="shared" si="1"/>
        <v>8</v>
      </c>
      <c r="C3690" s="146" t="s">
        <v>244</v>
      </c>
      <c r="D3690" s="147" t="s">
        <v>74</v>
      </c>
      <c r="E3690" s="135">
        <f t="shared" si="59"/>
        <v>39</v>
      </c>
      <c r="F3690" s="154" t="s">
        <v>3870</v>
      </c>
      <c r="G3690" s="63" t="str">
        <f>VLOOKUP(C3690, 'Class Def. - General Data'!$C$20:$C$1000,1,false)</f>
        <v>ZPM1_Box</v>
      </c>
      <c r="H3690" s="63" t="str">
        <f>IFERROR(__xludf.DUMMYFUNCTION("VLOOKUP(F3690, IMPORTRANGE(""https://docs.google.com/spreadsheets/d/1Lhp9OU0JdFf_VYSMzH5lBcEaU4o8teT1piV-SNzShjg/edit?gid=554141278#gid=554141278"", ""'Char Def. - Attributes'!C20:C2242""), 1,false)"),"ALT_UOM2_RMPM")</f>
        <v>ALT_UOM2_RMPM</v>
      </c>
      <c r="I3690" s="136"/>
    </row>
    <row r="3691" ht="15.75" customHeight="1">
      <c r="B3691" s="63">
        <f t="shared" si="1"/>
        <v>8</v>
      </c>
      <c r="C3691" s="146" t="s">
        <v>244</v>
      </c>
      <c r="D3691" s="147" t="s">
        <v>74</v>
      </c>
      <c r="E3691" s="135">
        <f t="shared" si="59"/>
        <v>40</v>
      </c>
      <c r="F3691" s="154" t="s">
        <v>3808</v>
      </c>
      <c r="G3691" s="63" t="str">
        <f>VLOOKUP(C3691, 'Class Def. - General Data'!$C$20:$C$1000,1,false)</f>
        <v>ZPM1_Box</v>
      </c>
      <c r="H3691" s="63" t="str">
        <f>IFERROR(__xludf.DUMMYFUNCTION("VLOOKUP(F3691, IMPORTRANGE(""https://docs.google.com/spreadsheets/d/1Lhp9OU0JdFf_VYSMzH5lBcEaU4o8teT1piV-SNzShjg/edit?gid=554141278#gid=554141278"", ""'Char Def. - Attributes'!C20:C2242""), 1,false)"),"ALT_DENUM_UOM2")</f>
        <v>ALT_DENUM_UOM2</v>
      </c>
      <c r="I3691" s="136"/>
    </row>
    <row r="3692" ht="15.75" customHeight="1">
      <c r="B3692" s="63">
        <f t="shared" si="1"/>
        <v>8</v>
      </c>
      <c r="C3692" s="146" t="s">
        <v>244</v>
      </c>
      <c r="D3692" s="147" t="s">
        <v>74</v>
      </c>
      <c r="E3692" s="135">
        <f t="shared" si="59"/>
        <v>41</v>
      </c>
      <c r="F3692" s="154" t="s">
        <v>3809</v>
      </c>
      <c r="G3692" s="63" t="str">
        <f>VLOOKUP(C3692, 'Class Def. - General Data'!$C$20:$C$1000,1,false)</f>
        <v>ZPM1_Box</v>
      </c>
      <c r="H3692" s="63" t="str">
        <f>IFERROR(__xludf.DUMMYFUNCTION("VLOOKUP(F3692, IMPORTRANGE(""https://docs.google.com/spreadsheets/d/1Lhp9OU0JdFf_VYSMzH5lBcEaU4o8teT1piV-SNzShjg/edit?gid=554141278#gid=554141278"", ""'Char Def. - Attributes'!C20:C2242""), 1,false)"),"ALT_NUM_UOM2")</f>
        <v>ALT_NUM_UOM2</v>
      </c>
      <c r="I3692" s="136"/>
    </row>
    <row r="3693" ht="15.75" customHeight="1">
      <c r="B3693" s="63">
        <f t="shared" si="1"/>
        <v>8</v>
      </c>
      <c r="C3693" s="146" t="s">
        <v>244</v>
      </c>
      <c r="D3693" s="147" t="s">
        <v>74</v>
      </c>
      <c r="E3693" s="135">
        <f t="shared" si="59"/>
        <v>42</v>
      </c>
      <c r="F3693" s="154" t="s">
        <v>3871</v>
      </c>
      <c r="G3693" s="63" t="str">
        <f>VLOOKUP(C3693, 'Class Def. - General Data'!$C$20:$C$1000,1,false)</f>
        <v>ZPM1_Box</v>
      </c>
      <c r="H3693" s="63" t="str">
        <f>IFERROR(__xludf.DUMMYFUNCTION("VLOOKUP(F3693, IMPORTRANGE(""https://docs.google.com/spreadsheets/d/1Lhp9OU0JdFf_VYSMzH5lBcEaU4o8teT1piV-SNzShjg/edit?gid=554141278#gid=554141278"", ""'Char Def. - Attributes'!C20:C2242""), 1,false)"),"ALT_UOM3_RMPM")</f>
        <v>ALT_UOM3_RMPM</v>
      </c>
      <c r="I3693" s="136"/>
    </row>
    <row r="3694" ht="15.75" customHeight="1">
      <c r="B3694" s="63">
        <f t="shared" si="1"/>
        <v>8</v>
      </c>
      <c r="C3694" s="146" t="s">
        <v>244</v>
      </c>
      <c r="D3694" s="147" t="s">
        <v>74</v>
      </c>
      <c r="E3694" s="135">
        <f t="shared" si="59"/>
        <v>43</v>
      </c>
      <c r="F3694" s="154" t="s">
        <v>3811</v>
      </c>
      <c r="G3694" s="63" t="str">
        <f>VLOOKUP(C3694, 'Class Def. - General Data'!$C$20:$C$1000,1,false)</f>
        <v>ZPM1_Box</v>
      </c>
      <c r="H3694" s="63" t="str">
        <f>IFERROR(__xludf.DUMMYFUNCTION("VLOOKUP(F3694, IMPORTRANGE(""https://docs.google.com/spreadsheets/d/1Lhp9OU0JdFf_VYSMzH5lBcEaU4o8teT1piV-SNzShjg/edit?gid=554141278#gid=554141278"", ""'Char Def. - Attributes'!C20:C2242""), 1,false)"),"ALT_DENUM_UOM3")</f>
        <v>ALT_DENUM_UOM3</v>
      </c>
      <c r="I3694" s="136"/>
    </row>
    <row r="3695" ht="15.75" customHeight="1">
      <c r="B3695" s="63">
        <f t="shared" si="1"/>
        <v>8</v>
      </c>
      <c r="C3695" s="146" t="s">
        <v>244</v>
      </c>
      <c r="D3695" s="147" t="s">
        <v>74</v>
      </c>
      <c r="E3695" s="135">
        <f t="shared" si="59"/>
        <v>44</v>
      </c>
      <c r="F3695" s="154" t="s">
        <v>3812</v>
      </c>
      <c r="G3695" s="63" t="str">
        <f>VLOOKUP(C3695, 'Class Def. - General Data'!$C$20:$C$1000,1,false)</f>
        <v>ZPM1_Box</v>
      </c>
      <c r="H3695" s="63" t="str">
        <f>IFERROR(__xludf.DUMMYFUNCTION("VLOOKUP(F3695, IMPORTRANGE(""https://docs.google.com/spreadsheets/d/1Lhp9OU0JdFf_VYSMzH5lBcEaU4o8teT1piV-SNzShjg/edit?gid=554141278#gid=554141278"", ""'Char Def. - Attributes'!C20:C2242""), 1,false)"),"ALT_NUM_UOM3")</f>
        <v>ALT_NUM_UOM3</v>
      </c>
      <c r="I3695" s="136"/>
    </row>
    <row r="3696" ht="15.75" customHeight="1">
      <c r="B3696" s="63">
        <f t="shared" si="1"/>
        <v>8</v>
      </c>
      <c r="C3696" s="146" t="s">
        <v>244</v>
      </c>
      <c r="D3696" s="147" t="s">
        <v>74</v>
      </c>
      <c r="E3696" s="135">
        <f t="shared" si="59"/>
        <v>45</v>
      </c>
      <c r="F3696" s="154" t="s">
        <v>3872</v>
      </c>
      <c r="G3696" s="63" t="str">
        <f>VLOOKUP(C3696, 'Class Def. - General Data'!$C$20:$C$1000,1,false)</f>
        <v>ZPM1_Box</v>
      </c>
      <c r="H3696" s="63" t="str">
        <f>IFERROR(__xludf.DUMMYFUNCTION("VLOOKUP(F3696, IMPORTRANGE(""https://docs.google.com/spreadsheets/d/1Lhp9OU0JdFf_VYSMzH5lBcEaU4o8teT1piV-SNzShjg/edit?gid=554141278#gid=554141278"", ""'Char Def. - Attributes'!C20:C2242""), 1,false)"),"ALT_UOM4_RMPM")</f>
        <v>ALT_UOM4_RMPM</v>
      </c>
      <c r="I3696" s="136"/>
    </row>
    <row r="3697" ht="15.75" customHeight="1">
      <c r="B3697" s="63">
        <f t="shared" si="1"/>
        <v>8</v>
      </c>
      <c r="C3697" s="146" t="s">
        <v>244</v>
      </c>
      <c r="D3697" s="147" t="s">
        <v>74</v>
      </c>
      <c r="E3697" s="135">
        <f t="shared" si="59"/>
        <v>46</v>
      </c>
      <c r="F3697" s="146" t="s">
        <v>3814</v>
      </c>
      <c r="G3697" s="63" t="str">
        <f>VLOOKUP(C3697, 'Class Def. - General Data'!$C$20:$C$1000,1,false)</f>
        <v>ZPM1_Box</v>
      </c>
      <c r="H3697" s="63" t="str">
        <f>IFERROR(__xludf.DUMMYFUNCTION("VLOOKUP(F3697, IMPORTRANGE(""https://docs.google.com/spreadsheets/d/1Lhp9OU0JdFf_VYSMzH5lBcEaU4o8teT1piV-SNzShjg/edit?gid=554141278#gid=554141278"", ""'Char Def. - Attributes'!C20:C2242""), 1,false)"),"ALT_DENUM_UOM4")</f>
        <v>ALT_DENUM_UOM4</v>
      </c>
      <c r="I3697" s="136"/>
    </row>
    <row r="3698" ht="15.75" customHeight="1">
      <c r="B3698" s="63">
        <f t="shared" si="1"/>
        <v>8</v>
      </c>
      <c r="C3698" s="146" t="s">
        <v>244</v>
      </c>
      <c r="D3698" s="147" t="s">
        <v>74</v>
      </c>
      <c r="E3698" s="135">
        <f t="shared" si="59"/>
        <v>47</v>
      </c>
      <c r="F3698" s="154" t="s">
        <v>3815</v>
      </c>
      <c r="G3698" s="63" t="str">
        <f>VLOOKUP(C3698, 'Class Def. - General Data'!$C$20:$C$1000,1,false)</f>
        <v>ZPM1_Box</v>
      </c>
      <c r="H3698" s="63" t="str">
        <f>IFERROR(__xludf.DUMMYFUNCTION("VLOOKUP(F3698, IMPORTRANGE(""https://docs.google.com/spreadsheets/d/1Lhp9OU0JdFf_VYSMzH5lBcEaU4o8teT1piV-SNzShjg/edit?gid=554141278#gid=554141278"", ""'Char Def. - Attributes'!C20:C2242""), 1,false)"),"ALT_NUM_UOM4")</f>
        <v>ALT_NUM_UOM4</v>
      </c>
      <c r="I3698" s="136"/>
    </row>
    <row r="3699" ht="15.75" customHeight="1">
      <c r="B3699" s="63">
        <f t="shared" si="1"/>
        <v>8</v>
      </c>
      <c r="C3699" s="146" t="s">
        <v>244</v>
      </c>
      <c r="D3699" s="147" t="s">
        <v>74</v>
      </c>
      <c r="E3699" s="135">
        <f t="shared" si="59"/>
        <v>48</v>
      </c>
      <c r="F3699" s="154" t="s">
        <v>3873</v>
      </c>
      <c r="G3699" s="63" t="str">
        <f>VLOOKUP(C3699, 'Class Def. - General Data'!$C$20:$C$1000,1,false)</f>
        <v>ZPM1_Box</v>
      </c>
      <c r="H3699" s="63" t="str">
        <f>IFERROR(__xludf.DUMMYFUNCTION("VLOOKUP(F3699, IMPORTRANGE(""https://docs.google.com/spreadsheets/d/1Lhp9OU0JdFf_VYSMzH5lBcEaU4o8teT1piV-SNzShjg/edit?gid=554141278#gid=554141278"", ""'Char Def. - Attributes'!C20:C2242""), 1,false)"),"ALT_UOM5_RMPM")</f>
        <v>ALT_UOM5_RMPM</v>
      </c>
      <c r="I3699" s="136"/>
    </row>
    <row r="3700" ht="15.75" customHeight="1">
      <c r="B3700" s="63">
        <f t="shared" si="1"/>
        <v>8</v>
      </c>
      <c r="C3700" s="146" t="s">
        <v>244</v>
      </c>
      <c r="D3700" s="147" t="s">
        <v>74</v>
      </c>
      <c r="E3700" s="135">
        <f t="shared" si="59"/>
        <v>49</v>
      </c>
      <c r="F3700" s="154" t="s">
        <v>3817</v>
      </c>
      <c r="G3700" s="63" t="str">
        <f>VLOOKUP(C3700, 'Class Def. - General Data'!$C$20:$C$1000,1,false)</f>
        <v>ZPM1_Box</v>
      </c>
      <c r="H3700" s="63" t="str">
        <f>IFERROR(__xludf.DUMMYFUNCTION("VLOOKUP(F3700, IMPORTRANGE(""https://docs.google.com/spreadsheets/d/1Lhp9OU0JdFf_VYSMzH5lBcEaU4o8teT1piV-SNzShjg/edit?gid=554141278#gid=554141278"", ""'Char Def. - Attributes'!C20:C2242""), 1,false)"),"ALT_DENUM_UOM5")</f>
        <v>ALT_DENUM_UOM5</v>
      </c>
      <c r="I3700" s="136"/>
    </row>
    <row r="3701" ht="15.75" customHeight="1">
      <c r="B3701" s="63">
        <f t="shared" si="1"/>
        <v>8</v>
      </c>
      <c r="C3701" s="146" t="s">
        <v>244</v>
      </c>
      <c r="D3701" s="147" t="s">
        <v>74</v>
      </c>
      <c r="E3701" s="135">
        <f t="shared" si="59"/>
        <v>50</v>
      </c>
      <c r="F3701" s="154" t="s">
        <v>3818</v>
      </c>
      <c r="G3701" s="63" t="str">
        <f>VLOOKUP(C3701, 'Class Def. - General Data'!$C$20:$C$1000,1,false)</f>
        <v>ZPM1_Box</v>
      </c>
      <c r="H3701" s="63" t="str">
        <f>IFERROR(__xludf.DUMMYFUNCTION("VLOOKUP(F3701, IMPORTRANGE(""https://docs.google.com/spreadsheets/d/1Lhp9OU0JdFf_VYSMzH5lBcEaU4o8teT1piV-SNzShjg/edit?gid=554141278#gid=554141278"", ""'Char Def. - Attributes'!C20:C2242""), 1,false)"),"ALT_NUM_UOM5")</f>
        <v>ALT_NUM_UOM5</v>
      </c>
      <c r="I3701" s="136"/>
    </row>
    <row r="3702" ht="15.75" customHeight="1">
      <c r="B3702" s="63">
        <f t="shared" si="1"/>
        <v>8</v>
      </c>
      <c r="C3702" s="146" t="s">
        <v>244</v>
      </c>
      <c r="D3702" s="147" t="s">
        <v>74</v>
      </c>
      <c r="E3702" s="135">
        <f t="shared" si="59"/>
        <v>51</v>
      </c>
      <c r="F3702" s="154" t="s">
        <v>3874</v>
      </c>
      <c r="G3702" s="63" t="str">
        <f>VLOOKUP(C3702, 'Class Def. - General Data'!$C$20:$C$1000,1,false)</f>
        <v>ZPM1_Box</v>
      </c>
      <c r="H3702" s="63" t="str">
        <f>IFERROR(__xludf.DUMMYFUNCTION("VLOOKUP(F3702, IMPORTRANGE(""https://docs.google.com/spreadsheets/d/1Lhp9OU0JdFf_VYSMzH5lBcEaU4o8teT1piV-SNzShjg/edit?gid=554141278#gid=554141278"", ""'Char Def. - Attributes'!C20:C2242""), 1,false)"),"VALUATION_CATEGORY")</f>
        <v>VALUATION_CATEGORY</v>
      </c>
      <c r="I3702" s="136"/>
    </row>
    <row r="3703" ht="15.75" customHeight="1">
      <c r="B3703" s="63">
        <f t="shared" si="1"/>
        <v>8</v>
      </c>
      <c r="C3703" s="146" t="s">
        <v>244</v>
      </c>
      <c r="D3703" s="147" t="s">
        <v>74</v>
      </c>
      <c r="E3703" s="135">
        <f t="shared" si="59"/>
        <v>52</v>
      </c>
      <c r="F3703" s="154" t="s">
        <v>3800</v>
      </c>
      <c r="G3703" s="63" t="str">
        <f>VLOOKUP(C3703, 'Class Def. - General Data'!$C$20:$C$1000,1,false)</f>
        <v>ZPM1_Box</v>
      </c>
      <c r="H3703" s="63" t="str">
        <f>IFERROR(__xludf.DUMMYFUNCTION("VLOOKUP(F3703, IMPORTRANGE(""https://docs.google.com/spreadsheets/d/1Lhp9OU0JdFf_VYSMzH5lBcEaU4o8teT1piV-SNzShjg/edit?gid=554141278#gid=554141278"", ""'Char Def. - Attributes'!C20:C2242""), 1,false)"),"ORDER_UNIT_DIFF_FROM_BASIC_UOM")</f>
        <v>ORDER_UNIT_DIFF_FROM_BASIC_UOM</v>
      </c>
      <c r="I3703" s="136"/>
    </row>
    <row r="3704" ht="15.75" customHeight="1">
      <c r="B3704" s="63">
        <f t="shared" si="1"/>
        <v>8</v>
      </c>
      <c r="C3704" s="146" t="s">
        <v>244</v>
      </c>
      <c r="D3704" s="147" t="s">
        <v>74</v>
      </c>
      <c r="E3704" s="135">
        <f t="shared" si="59"/>
        <v>53</v>
      </c>
      <c r="F3704" s="154" t="s">
        <v>3875</v>
      </c>
      <c r="G3704" s="63" t="str">
        <f>VLOOKUP(C3704, 'Class Def. - General Data'!$C$20:$C$1000,1,false)</f>
        <v>ZPM1_Box</v>
      </c>
      <c r="H3704" s="63" t="str">
        <f>IFERROR(__xludf.DUMMYFUNCTION("VLOOKUP(F3704, IMPORTRANGE(""https://docs.google.com/spreadsheets/d/1Lhp9OU0JdFf_VYSMzH5lBcEaU4o8teT1piV-SNzShjg/edit?gid=554141278#gid=554141278"", ""'Char Def. - Attributes'!C20:C2242""), 1,false)"),"ORDER_UNIT_RMPM")</f>
        <v>ORDER_UNIT_RMPM</v>
      </c>
      <c r="I3704" s="136"/>
    </row>
    <row r="3705" ht="15.75" customHeight="1">
      <c r="B3705" s="63">
        <f t="shared" si="1"/>
        <v>8</v>
      </c>
      <c r="C3705" s="146" t="s">
        <v>244</v>
      </c>
      <c r="D3705" s="147" t="s">
        <v>74</v>
      </c>
      <c r="E3705" s="135">
        <f t="shared" si="59"/>
        <v>54</v>
      </c>
      <c r="F3705" s="157" t="s">
        <v>3602</v>
      </c>
      <c r="G3705" s="63" t="str">
        <f>VLOOKUP(C3705, 'Class Def. - General Data'!$C$20:$C$1000,1,false)</f>
        <v>ZPM1_Box</v>
      </c>
      <c r="H3705" s="63" t="str">
        <f>IFERROR(__xludf.DUMMYFUNCTION("VLOOKUP(F3705, IMPORTRANGE(""https://docs.google.com/spreadsheets/d/1Lhp9OU0JdFf_VYSMzH5lBcEaU4o8teT1piV-SNzShjg/edit?gid=554141278#gid=554141278"", ""'Char Def. - Attributes'!C20:C2242""), 1,false)"),"NET_WEIGHT")</f>
        <v>NET_WEIGHT</v>
      </c>
      <c r="I3705" s="136"/>
    </row>
    <row r="3706" ht="15.75" customHeight="1">
      <c r="B3706" s="63">
        <f t="shared" si="1"/>
        <v>8</v>
      </c>
      <c r="C3706" s="146" t="s">
        <v>244</v>
      </c>
      <c r="D3706" s="147" t="s">
        <v>74</v>
      </c>
      <c r="E3706" s="135">
        <f t="shared" si="59"/>
        <v>55</v>
      </c>
      <c r="F3706" s="157" t="s">
        <v>3601</v>
      </c>
      <c r="G3706" s="63" t="str">
        <f>VLOOKUP(C3706, 'Class Def. - General Data'!$C$20:$C$1000,1,false)</f>
        <v>ZPM1_Box</v>
      </c>
      <c r="H3706" s="63" t="str">
        <f>IFERROR(__xludf.DUMMYFUNCTION("VLOOKUP(F3706, IMPORTRANGE(""https://docs.google.com/spreadsheets/d/1Lhp9OU0JdFf_VYSMzH5lBcEaU4o8teT1piV-SNzShjg/edit?gid=554141278#gid=554141278"", ""'Char Def. - Attributes'!C20:C2242""), 1,false)"),"GROSS_WEIGHT")</f>
        <v>GROSS_WEIGHT</v>
      </c>
      <c r="I3706" s="136"/>
    </row>
    <row r="3707" ht="15.75" customHeight="1">
      <c r="B3707" s="63">
        <f t="shared" si="1"/>
        <v>8</v>
      </c>
      <c r="C3707" s="146" t="s">
        <v>244</v>
      </c>
      <c r="D3707" s="147" t="s">
        <v>74</v>
      </c>
      <c r="E3707" s="135">
        <f t="shared" si="59"/>
        <v>56</v>
      </c>
      <c r="F3707" s="143" t="s">
        <v>3876</v>
      </c>
      <c r="G3707" s="63" t="str">
        <f>VLOOKUP(C3707, 'Class Def. - General Data'!$C$20:$C$1000,1,false)</f>
        <v>ZPM1_Box</v>
      </c>
      <c r="H3707" s="63" t="str">
        <f>IFERROR(__xludf.DUMMYFUNCTION("VLOOKUP(F3707, IMPORTRANGE(""https://docs.google.com/spreadsheets/d/1Lhp9OU0JdFf_VYSMzH5lBcEaU4o8teT1piV-SNzShjg/edit?gid=554141278#gid=554141278"", ""'Char Def. - Attributes'!C20:C2242""), 1,false)"),"WEIGHT_UNIT_PM")</f>
        <v>WEIGHT_UNIT_PM</v>
      </c>
      <c r="I3707" s="136"/>
    </row>
    <row r="3708" ht="15.75" customHeight="1">
      <c r="B3708" s="63">
        <f t="shared" si="1"/>
        <v>8</v>
      </c>
      <c r="C3708" s="146" t="s">
        <v>244</v>
      </c>
      <c r="D3708" s="147" t="s">
        <v>74</v>
      </c>
      <c r="E3708" s="135">
        <f t="shared" si="59"/>
        <v>57</v>
      </c>
      <c r="F3708" s="157" t="s">
        <v>3877</v>
      </c>
      <c r="G3708" s="63" t="str">
        <f>VLOOKUP(C3708, 'Class Def. - General Data'!$C$20:$C$1000,1,false)</f>
        <v>ZPM1_Box</v>
      </c>
      <c r="H3708" s="63" t="str">
        <f>IFERROR(__xludf.DUMMYFUNCTION("VLOOKUP(F3708, IMPORTRANGE(""https://docs.google.com/spreadsheets/d/1Lhp9OU0JdFf_VYSMzH5lBcEaU4o8teT1piV-SNzShjg/edit?gid=554141278#gid=554141278"", ""'Char Def. - Attributes'!C20:C2242""), 1,false)"),"VOLUME_OPT")</f>
        <v>VOLUME_OPT</v>
      </c>
      <c r="I3708" s="136"/>
    </row>
    <row r="3709" ht="15.75" customHeight="1">
      <c r="B3709" s="63">
        <f t="shared" si="1"/>
        <v>8</v>
      </c>
      <c r="C3709" s="146" t="s">
        <v>244</v>
      </c>
      <c r="D3709" s="147" t="s">
        <v>74</v>
      </c>
      <c r="E3709" s="135">
        <f t="shared" si="59"/>
        <v>58</v>
      </c>
      <c r="F3709" s="154" t="s">
        <v>3878</v>
      </c>
      <c r="G3709" s="63" t="str">
        <f>VLOOKUP(C3709, 'Class Def. - General Data'!$C$20:$C$1000,1,false)</f>
        <v>ZPM1_Box</v>
      </c>
      <c r="H3709" s="63" t="str">
        <f>IFERROR(__xludf.DUMMYFUNCTION("VLOOKUP(F3709, IMPORTRANGE(""https://docs.google.com/spreadsheets/d/1Lhp9OU0JdFf_VYSMzH5lBcEaU4o8teT1piV-SNzShjg/edit?gid=554141278#gid=554141278"", ""'Char Def. - Attributes'!C20:C2242""), 1,false)"),"VOLUME_UNIT")</f>
        <v>VOLUME_UNIT</v>
      </c>
      <c r="I3709" s="136"/>
    </row>
    <row r="3710" ht="15.75" customHeight="1">
      <c r="B3710" s="63">
        <f t="shared" si="1"/>
        <v>8</v>
      </c>
      <c r="C3710" s="146" t="s">
        <v>244</v>
      </c>
      <c r="D3710" s="147" t="s">
        <v>74</v>
      </c>
      <c r="E3710" s="135">
        <f t="shared" si="59"/>
        <v>59</v>
      </c>
      <c r="F3710" s="156" t="s">
        <v>3879</v>
      </c>
      <c r="G3710" s="63" t="str">
        <f>VLOOKUP(C3710, 'Class Def. - General Data'!$C$20:$C$1000,1,false)</f>
        <v>ZPM1_Box</v>
      </c>
      <c r="H3710" s="63" t="str">
        <f>IFERROR(__xludf.DUMMYFUNCTION("VLOOKUP(F3710, IMPORTRANGE(""https://docs.google.com/spreadsheets/d/1Lhp9OU0JdFf_VYSMzH5lBcEaU4o8teT1piV-SNzShjg/edit?gid=554141278#gid=554141278"", ""'Char Def. - Attributes'!C20:C2242""), 1,false)"),"OLD_MAT_NO_RMPM")</f>
        <v>OLD_MAT_NO_RMPM</v>
      </c>
      <c r="I3710" s="136"/>
    </row>
    <row r="3711" ht="15.75" customHeight="1">
      <c r="B3711" s="63">
        <f t="shared" si="1"/>
        <v>8</v>
      </c>
      <c r="C3711" s="146" t="s">
        <v>244</v>
      </c>
      <c r="D3711" s="147" t="s">
        <v>74</v>
      </c>
      <c r="E3711" s="135">
        <f t="shared" si="59"/>
        <v>60</v>
      </c>
      <c r="F3711" s="146" t="s">
        <v>3880</v>
      </c>
      <c r="G3711" s="63" t="str">
        <f>VLOOKUP(C3711, 'Class Def. - General Data'!$C$20:$C$1000,1,false)</f>
        <v>ZPM1_Box</v>
      </c>
      <c r="H3711" s="63" t="str">
        <f>IFERROR(__xludf.DUMMYFUNCTION("VLOOKUP(F3711, IMPORTRANGE(""https://docs.google.com/spreadsheets/d/1Lhp9OU0JdFf_VYSMzH5lBcEaU4o8teT1piV-SNzShjg/edit?gid=554141278#gid=554141278"", ""'Char Def. - Attributes'!C20:C2242""), 1,false)"),"NOTE_PM")</f>
        <v>NOTE_PM</v>
      </c>
      <c r="I3711" s="136"/>
    </row>
    <row r="3712" ht="15.75" customHeight="1">
      <c r="B3712" s="63">
        <f t="shared" si="1"/>
        <v>8</v>
      </c>
      <c r="C3712" s="146" t="s">
        <v>244</v>
      </c>
      <c r="D3712" s="147" t="s">
        <v>74</v>
      </c>
      <c r="E3712" s="135">
        <f t="shared" si="59"/>
        <v>61</v>
      </c>
      <c r="F3712" s="146" t="s">
        <v>3881</v>
      </c>
      <c r="G3712" s="63" t="str">
        <f>VLOOKUP(C3712, 'Class Def. - General Data'!$C$20:$C$1000,1,false)</f>
        <v>ZPM1_Box</v>
      </c>
      <c r="H3712" s="63" t="str">
        <f>IFERROR(__xludf.DUMMYFUNCTION("VLOOKUP(F3712, IMPORTRANGE(""https://docs.google.com/spreadsheets/d/1Lhp9OU0JdFf_VYSMzH5lBcEaU4o8teT1piV-SNzShjg/edit?gid=554141278#gid=554141278"", ""'Char Def. - Attributes'!C20:C2242""), 1,false)"),"BS_BERSIH")</f>
        <v>BS_BERSIH</v>
      </c>
      <c r="I3712" s="136"/>
    </row>
    <row r="3713" ht="15.75" customHeight="1">
      <c r="B3713" s="63">
        <f t="shared" si="1"/>
        <v>8</v>
      </c>
      <c r="C3713" s="146" t="s">
        <v>244</v>
      </c>
      <c r="D3713" s="147" t="s">
        <v>74</v>
      </c>
      <c r="E3713" s="135">
        <f t="shared" si="59"/>
        <v>62</v>
      </c>
      <c r="F3713" s="146" t="s">
        <v>3882</v>
      </c>
      <c r="G3713" s="63" t="str">
        <f>VLOOKUP(C3713, 'Class Def. - General Data'!$C$20:$C$1000,1,false)</f>
        <v>ZPM1_Box</v>
      </c>
      <c r="H3713" s="63" t="str">
        <f>IFERROR(__xludf.DUMMYFUNCTION("VLOOKUP(F3713, IMPORTRANGE(""https://docs.google.com/spreadsheets/d/1Lhp9OU0JdFf_VYSMzH5lBcEaU4o8teT1piV-SNzShjg/edit?gid=554141278#gid=554141278"", ""'Char Def. - Attributes'!C20:C2242""), 1,false)"),"BS_KOTOR")</f>
        <v>BS_KOTOR</v>
      </c>
      <c r="I3713" s="136"/>
    </row>
    <row r="3714" ht="15.75" customHeight="1">
      <c r="B3714" s="63">
        <f t="shared" si="1"/>
        <v>8</v>
      </c>
      <c r="C3714" s="146" t="s">
        <v>244</v>
      </c>
      <c r="D3714" s="147" t="s">
        <v>74</v>
      </c>
      <c r="E3714" s="135">
        <f t="shared" si="59"/>
        <v>63</v>
      </c>
      <c r="F3714" s="146" t="s">
        <v>3883</v>
      </c>
      <c r="G3714" s="63" t="str">
        <f>VLOOKUP(C3714, 'Class Def. - General Data'!$C$20:$C$1000,1,false)</f>
        <v>ZPM1_Box</v>
      </c>
      <c r="H3714" s="63" t="str">
        <f>IFERROR(__xludf.DUMMYFUNCTION("VLOOKUP(F3714, IMPORTRANGE(""https://docs.google.com/spreadsheets/d/1Lhp9OU0JdFf_VYSMzH5lBcEaU4o8teT1piV-SNzShjg/edit?gid=554141278#gid=554141278"", ""'Char Def. - Attributes'!C20:C2242""), 1,false)"),"BS_SCRAP")</f>
        <v>BS_SCRAP</v>
      </c>
      <c r="I3714" s="136"/>
    </row>
    <row r="3715" ht="15.75" customHeight="1">
      <c r="B3715" s="63">
        <f t="shared" si="1"/>
        <v>11</v>
      </c>
      <c r="C3715" s="154" t="s">
        <v>285</v>
      </c>
      <c r="D3715" s="147" t="s">
        <v>74</v>
      </c>
      <c r="E3715" s="135">
        <f t="shared" si="59"/>
        <v>1</v>
      </c>
      <c r="F3715" s="146" t="s">
        <v>3912</v>
      </c>
      <c r="G3715" s="63" t="str">
        <f>VLOOKUP(C3715, 'Class Def. - General Data'!$C$20:$C$1000,1,false)</f>
        <v>ZPM1_BOX_PP</v>
      </c>
      <c r="H3715" s="63" t="str">
        <f>IFERROR(__xludf.DUMMYFUNCTION("VLOOKUP(F3715, IMPORTRANGE(""https://docs.google.com/spreadsheets/d/1Lhp9OU0JdFf_VYSMzH5lBcEaU4o8teT1piV-SNzShjg/edit?gid=554141278#gid=554141278"", ""'Char Def. - Attributes'!C20:C2242""), 1,false)"),"MATERIAL_CODE_BOX")</f>
        <v>MATERIAL_CODE_BOX</v>
      </c>
      <c r="I3715" s="136"/>
    </row>
    <row r="3716" ht="15.75" customHeight="1">
      <c r="B3716" s="63">
        <f t="shared" si="1"/>
        <v>11</v>
      </c>
      <c r="C3716" s="154" t="s">
        <v>285</v>
      </c>
      <c r="D3716" s="147" t="s">
        <v>74</v>
      </c>
      <c r="E3716" s="135">
        <f t="shared" si="59"/>
        <v>2</v>
      </c>
      <c r="F3716" s="143" t="s">
        <v>3919</v>
      </c>
      <c r="G3716" s="63" t="str">
        <f>VLOOKUP(C3716, 'Class Def. - General Data'!$C$20:$C$1000,1,false)</f>
        <v>ZPM1_BOX_PP</v>
      </c>
      <c r="H3716" s="63" t="str">
        <f>IFERROR(__xludf.DUMMYFUNCTION("VLOOKUP(F3716, IMPORTRANGE(""https://docs.google.com/spreadsheets/d/1Lhp9OU0JdFf_VYSMzH5lBcEaU4o8teT1piV-SNzShjg/edit?gid=554141278#gid=554141278"", ""'Char Def. - Attributes'!C20:C2242""), 1,false)"),"PICK_PACK")</f>
        <v>PICK_PACK</v>
      </c>
      <c r="I3716" s="136"/>
    </row>
    <row r="3717" ht="15.75" customHeight="1">
      <c r="B3717" s="63">
        <f t="shared" si="1"/>
        <v>11</v>
      </c>
      <c r="C3717" s="154" t="s">
        <v>285</v>
      </c>
      <c r="D3717" s="147" t="s">
        <v>74</v>
      </c>
      <c r="E3717" s="135">
        <f t="shared" si="59"/>
        <v>3</v>
      </c>
      <c r="F3717" s="143" t="s">
        <v>3920</v>
      </c>
      <c r="G3717" s="63" t="str">
        <f>VLOOKUP(C3717, 'Class Def. - General Data'!$C$20:$C$1000,1,false)</f>
        <v>ZPM1_BOX_PP</v>
      </c>
      <c r="H3717" s="63" t="str">
        <f>IFERROR(__xludf.DUMMYFUNCTION("VLOOKUP(F3717, IMPORTRANGE(""https://docs.google.com/spreadsheets/d/1Lhp9OU0JdFf_VYSMzH5lBcEaU4o8teT1piV-SNzShjg/edit?gid=554141278#gid=554141278"", ""'Char Def. - Attributes'!C20:C2242""), 1,false)"),"SIZE_CHART")</f>
        <v>SIZE_CHART</v>
      </c>
      <c r="I3717" s="136"/>
    </row>
    <row r="3718" ht="15.75" customHeight="1">
      <c r="B3718" s="63">
        <f t="shared" si="1"/>
        <v>11</v>
      </c>
      <c r="C3718" s="154" t="s">
        <v>285</v>
      </c>
      <c r="D3718" s="147" t="s">
        <v>74</v>
      </c>
      <c r="E3718" s="135">
        <f t="shared" si="59"/>
        <v>4</v>
      </c>
      <c r="F3718" s="143" t="s">
        <v>3917</v>
      </c>
      <c r="G3718" s="63" t="str">
        <f>VLOOKUP(C3718, 'Class Def. - General Data'!$C$20:$C$1000,1,false)</f>
        <v>ZPM1_BOX_PP</v>
      </c>
      <c r="H3718" s="63" t="str">
        <f>IFERROR(__xludf.DUMMYFUNCTION("VLOOKUP(F3718, IMPORTRANGE(""https://docs.google.com/spreadsheets/d/1Lhp9OU0JdFf_VYSMzH5lBcEaU4o8teT1piV-SNzShjg/edit?gid=554141278#gid=554141278"", ""'Char Def. - Attributes'!C20:C2242""), 1,false)"),"LENGTH_MM")</f>
        <v>LENGTH_MM</v>
      </c>
      <c r="I3718" s="136"/>
    </row>
    <row r="3719" ht="15.75" customHeight="1">
      <c r="B3719" s="63">
        <f t="shared" si="1"/>
        <v>11</v>
      </c>
      <c r="C3719" s="154" t="s">
        <v>285</v>
      </c>
      <c r="D3719" s="147" t="s">
        <v>74</v>
      </c>
      <c r="E3719" s="135">
        <f t="shared" si="59"/>
        <v>5</v>
      </c>
      <c r="F3719" s="146" t="s">
        <v>3918</v>
      </c>
      <c r="G3719" s="63" t="str">
        <f>VLOOKUP(C3719, 'Class Def. - General Data'!$C$20:$C$1000,1,false)</f>
        <v>ZPM1_BOX_PP</v>
      </c>
      <c r="H3719" s="63" t="str">
        <f>IFERROR(__xludf.DUMMYFUNCTION("VLOOKUP(F3719, IMPORTRANGE(""https://docs.google.com/spreadsheets/d/1Lhp9OU0JdFf_VYSMzH5lBcEaU4o8teT1piV-SNzShjg/edit?gid=554141278#gid=554141278"", ""'Char Def. - Attributes'!C20:C2242""), 1,false)"),"WIDTH_MM_3")</f>
        <v>WIDTH_MM_3</v>
      </c>
      <c r="I3719" s="136"/>
    </row>
    <row r="3720" ht="15.75" customHeight="1">
      <c r="B3720" s="63">
        <f t="shared" si="1"/>
        <v>11</v>
      </c>
      <c r="C3720" s="154" t="s">
        <v>285</v>
      </c>
      <c r="D3720" s="147" t="s">
        <v>74</v>
      </c>
      <c r="E3720" s="135">
        <f t="shared" si="59"/>
        <v>6</v>
      </c>
      <c r="F3720" s="143" t="s">
        <v>3899</v>
      </c>
      <c r="G3720" s="63" t="str">
        <f>VLOOKUP(C3720, 'Class Def. - General Data'!$C$20:$C$1000,1,false)</f>
        <v>ZPM1_BOX_PP</v>
      </c>
      <c r="H3720" s="63" t="str">
        <f>IFERROR(__xludf.DUMMYFUNCTION("VLOOKUP(F3720, IMPORTRANGE(""https://docs.google.com/spreadsheets/d/1Lhp9OU0JdFf_VYSMzH5lBcEaU4o8teT1piV-SNzShjg/edit?gid=554141278#gid=554141278"", ""'Char Def. - Attributes'!C20:C2242""), 1,false)"),"HEIGHT_MM")</f>
        <v>HEIGHT_MM</v>
      </c>
      <c r="I3720" s="136"/>
    </row>
    <row r="3721" ht="15.75" customHeight="1">
      <c r="B3721" s="63">
        <f t="shared" si="1"/>
        <v>11</v>
      </c>
      <c r="C3721" s="154" t="s">
        <v>285</v>
      </c>
      <c r="D3721" s="147" t="s">
        <v>74</v>
      </c>
      <c r="E3721" s="135">
        <f t="shared" si="59"/>
        <v>7</v>
      </c>
      <c r="F3721" s="154" t="s">
        <v>3913</v>
      </c>
      <c r="G3721" s="63" t="str">
        <f>VLOOKUP(C3721, 'Class Def. - General Data'!$C$20:$C$1000,1,false)</f>
        <v>ZPM1_BOX_PP</v>
      </c>
      <c r="H3721" s="63" t="str">
        <f>IFERROR(__xludf.DUMMYFUNCTION("VLOOKUP(F3721, IMPORTRANGE(""https://docs.google.com/spreadsheets/d/1Lhp9OU0JdFf_VYSMzH5lBcEaU4o8teT1piV-SNzShjg/edit?gid=554141278#gid=554141278"", ""'Char Def. - Attributes'!C20:C2242""), 1,false)"),"PACK_CONTENT_AMOUNT_2")</f>
        <v>PACK_CONTENT_AMOUNT_2</v>
      </c>
      <c r="I3721" s="136"/>
    </row>
    <row r="3722" ht="15.75" customHeight="1">
      <c r="B3722" s="63">
        <f t="shared" si="1"/>
        <v>11</v>
      </c>
      <c r="C3722" s="154" t="s">
        <v>285</v>
      </c>
      <c r="D3722" s="147" t="s">
        <v>74</v>
      </c>
      <c r="E3722" s="135">
        <f t="shared" si="59"/>
        <v>8</v>
      </c>
      <c r="F3722" s="154" t="s">
        <v>3862</v>
      </c>
      <c r="G3722" s="63" t="str">
        <f>VLOOKUP(C3722, 'Class Def. - General Data'!$C$20:$C$1000,1,false)</f>
        <v>ZPM1_BOX_PP</v>
      </c>
      <c r="H3722" s="63" t="str">
        <f>IFERROR(__xludf.DUMMYFUNCTION("VLOOKUP(F3722, IMPORTRANGE(""https://docs.google.com/spreadsheets/d/1Lhp9OU0JdFf_VYSMzH5lBcEaU4o8teT1piV-SNzShjg/edit?gid=554141278#gid=554141278"", ""'Char Def. - Attributes'!C20:C2242""), 1,false)"),"MONTH")</f>
        <v>MONTH</v>
      </c>
      <c r="I3722" s="136"/>
    </row>
    <row r="3723" ht="15.75" customHeight="1">
      <c r="B3723" s="63">
        <f t="shared" si="1"/>
        <v>11</v>
      </c>
      <c r="C3723" s="154" t="s">
        <v>285</v>
      </c>
      <c r="D3723" s="147" t="s">
        <v>74</v>
      </c>
      <c r="E3723" s="135">
        <f t="shared" si="59"/>
        <v>9</v>
      </c>
      <c r="F3723" s="154" t="s">
        <v>3863</v>
      </c>
      <c r="G3723" s="63" t="str">
        <f>VLOOKUP(C3723, 'Class Def. - General Data'!$C$20:$C$1000,1,false)</f>
        <v>ZPM1_BOX_PP</v>
      </c>
      <c r="H3723" s="63" t="str">
        <f>IFERROR(__xludf.DUMMYFUNCTION("VLOOKUP(F3723, IMPORTRANGE(""https://docs.google.com/spreadsheets/d/1Lhp9OU0JdFf_VYSMzH5lBcEaU4o8teT1piV-SNzShjg/edit?gid=554141278#gid=554141278"", ""'Char Def. - Attributes'!C20:C2242""), 1,false)"),"YEAR")</f>
        <v>YEAR</v>
      </c>
      <c r="I3723" s="136"/>
    </row>
    <row r="3724" ht="15.75" customHeight="1">
      <c r="B3724" s="63">
        <f t="shared" si="1"/>
        <v>11</v>
      </c>
      <c r="C3724" s="154" t="s">
        <v>285</v>
      </c>
      <c r="D3724" s="147" t="s">
        <v>74</v>
      </c>
      <c r="E3724" s="135">
        <f t="shared" si="59"/>
        <v>10</v>
      </c>
      <c r="F3724" s="143" t="s">
        <v>3890</v>
      </c>
      <c r="G3724" s="63" t="str">
        <f>VLOOKUP(C3724, 'Class Def. - General Data'!$C$20:$C$1000,1,false)</f>
        <v>ZPM1_BOX_PP</v>
      </c>
      <c r="H3724" s="63" t="str">
        <f>IFERROR(__xludf.DUMMYFUNCTION("VLOOKUP(F3724, IMPORTRANGE(""https://docs.google.com/spreadsheets/d/1Lhp9OU0JdFf_VYSMzH5lBcEaU4o8teT1piV-SNzShjg/edit?gid=554141278#gid=554141278"", ""'Char Def. - Attributes'!C20:C2242""), 1,false)"),"EXT_MAT_GRP")</f>
        <v>EXT_MAT_GRP</v>
      </c>
      <c r="I3724" s="136"/>
    </row>
    <row r="3725" ht="15.75" customHeight="1">
      <c r="B3725" s="63">
        <f t="shared" si="1"/>
        <v>11</v>
      </c>
      <c r="C3725" s="154" t="s">
        <v>285</v>
      </c>
      <c r="D3725" s="147" t="s">
        <v>74</v>
      </c>
      <c r="E3725" s="135">
        <f t="shared" si="59"/>
        <v>11</v>
      </c>
      <c r="F3725" s="143" t="s">
        <v>3905</v>
      </c>
      <c r="G3725" s="63" t="str">
        <f>VLOOKUP(C3725, 'Class Def. - General Data'!$C$20:$C$1000,1,false)</f>
        <v>ZPM1_BOX_PP</v>
      </c>
      <c r="H3725" s="63" t="str">
        <f>IFERROR(__xludf.DUMMYFUNCTION("VLOOKUP(F3725, IMPORTRANGE(""https://docs.google.com/spreadsheets/d/1Lhp9OU0JdFf_VYSMzH5lBcEaU4o8teT1piV-SNzShjg/edit?gid=554141278#gid=554141278"", ""'Char Def. - Attributes'!C20:C2242""), 1,false)"),"SPEC_CODE")</f>
        <v>SPEC_CODE</v>
      </c>
      <c r="I3725" s="136"/>
    </row>
    <row r="3726" ht="15.75" customHeight="1">
      <c r="B3726" s="63">
        <f t="shared" si="1"/>
        <v>11</v>
      </c>
      <c r="C3726" s="154" t="s">
        <v>285</v>
      </c>
      <c r="D3726" s="147" t="s">
        <v>74</v>
      </c>
      <c r="E3726" s="135">
        <f t="shared" si="59"/>
        <v>12</v>
      </c>
      <c r="F3726" s="143" t="s">
        <v>3914</v>
      </c>
      <c r="G3726" s="63" t="str">
        <f>VLOOKUP(C3726, 'Class Def. - General Data'!$C$20:$C$1000,1,false)</f>
        <v>ZPM1_BOX_PP</v>
      </c>
      <c r="H3726" s="63" t="str">
        <f>IFERROR(__xludf.DUMMYFUNCTION("VLOOKUP(F3726, IMPORTRANGE(""https://docs.google.com/spreadsheets/d/1Lhp9OU0JdFf_VYSMzH5lBcEaU4o8teT1piV-SNzShjg/edit?gid=554141278#gid=554141278"", ""'Char Def. - Attributes'!C20:C2242""), 1,false)"),"FLUTE")</f>
        <v>FLUTE</v>
      </c>
      <c r="I3726" s="136"/>
    </row>
    <row r="3727" ht="15.75" customHeight="1">
      <c r="B3727" s="63">
        <f t="shared" si="1"/>
        <v>11</v>
      </c>
      <c r="C3727" s="154" t="s">
        <v>285</v>
      </c>
      <c r="D3727" s="147" t="s">
        <v>74</v>
      </c>
      <c r="E3727" s="135">
        <f t="shared" si="59"/>
        <v>13</v>
      </c>
      <c r="F3727" s="143" t="s">
        <v>3915</v>
      </c>
      <c r="G3727" s="63" t="str">
        <f>VLOOKUP(C3727, 'Class Def. - General Data'!$C$20:$C$1000,1,false)</f>
        <v>ZPM1_BOX_PP</v>
      </c>
      <c r="H3727" s="63" t="str">
        <f>IFERROR(__xludf.DUMMYFUNCTION("VLOOKUP(F3727, IMPORTRANGE(""https://docs.google.com/spreadsheets/d/1Lhp9OU0JdFf_VYSMzH5lBcEaU4o8teT1piV-SNzShjg/edit?gid=554141278#gid=554141278"", ""'Char Def. - Attributes'!C20:C2242""), 1,false)"),"FINISHING")</f>
        <v>FINISHING</v>
      </c>
      <c r="I3727" s="136"/>
    </row>
    <row r="3728" ht="15.75" customHeight="1">
      <c r="B3728" s="63">
        <f t="shared" si="1"/>
        <v>11</v>
      </c>
      <c r="C3728" s="154" t="s">
        <v>285</v>
      </c>
      <c r="D3728" s="147" t="s">
        <v>74</v>
      </c>
      <c r="E3728" s="135">
        <f t="shared" si="59"/>
        <v>14</v>
      </c>
      <c r="F3728" s="143" t="s">
        <v>3892</v>
      </c>
      <c r="G3728" s="63" t="str">
        <f>VLOOKUP(C3728, 'Class Def. - General Data'!$C$20:$C$1000,1,false)</f>
        <v>ZPM1_BOX_PP</v>
      </c>
      <c r="H3728" s="63" t="str">
        <f>IFERROR(__xludf.DUMMYFUNCTION("VLOOKUP(F3728, IMPORTRANGE(""https://docs.google.com/spreadsheets/d/1Lhp9OU0JdFf_VYSMzH5lBcEaU4o8teT1piV-SNzShjg/edit?gid=554141278#gid=554141278"", ""'Char Def. - Attributes'!C20:C2242""), 1,false)"),"COLOR_COUNT")</f>
        <v>COLOR_COUNT</v>
      </c>
      <c r="I3728" s="136"/>
    </row>
    <row r="3729" ht="15.75" customHeight="1">
      <c r="B3729" s="63">
        <f t="shared" si="1"/>
        <v>11</v>
      </c>
      <c r="C3729" s="154" t="s">
        <v>285</v>
      </c>
      <c r="D3729" s="147" t="s">
        <v>74</v>
      </c>
      <c r="E3729" s="135">
        <f t="shared" si="59"/>
        <v>15</v>
      </c>
      <c r="F3729" s="143" t="s">
        <v>3916</v>
      </c>
      <c r="G3729" s="63" t="str">
        <f>VLOOKUP(C3729, 'Class Def. - General Data'!$C$20:$C$1000,1,false)</f>
        <v>ZPM1_BOX_PP</v>
      </c>
      <c r="H3729" s="63" t="str">
        <f>IFERROR(__xludf.DUMMYFUNCTION("VLOOKUP(F3729, IMPORTRANGE(""https://docs.google.com/spreadsheets/d/1Lhp9OU0JdFf_VYSMzH5lBcEaU4o8teT1piV-SNzShjg/edit?gid=554141278#gid=554141278"", ""'Char Def. - Attributes'!C20:C2242""), 1,false)"),"SUBSTANCE")</f>
        <v>SUBSTANCE</v>
      </c>
      <c r="I3729" s="136"/>
    </row>
    <row r="3730" ht="15.75" customHeight="1">
      <c r="B3730" s="63">
        <f t="shared" si="1"/>
        <v>11</v>
      </c>
      <c r="C3730" s="154" t="s">
        <v>285</v>
      </c>
      <c r="D3730" s="147" t="s">
        <v>74</v>
      </c>
      <c r="E3730" s="135">
        <f t="shared" si="59"/>
        <v>16</v>
      </c>
      <c r="F3730" s="155" t="s">
        <v>3587</v>
      </c>
      <c r="G3730" s="63" t="str">
        <f>VLOOKUP(C3730, 'Class Def. - General Data'!$C$20:$C$1000,1,false)</f>
        <v>ZPM1_BOX_PP</v>
      </c>
      <c r="H3730" s="63" t="str">
        <f>IFERROR(__xludf.DUMMYFUNCTION("VLOOKUP(F3730, IMPORTRANGE(""https://docs.google.com/spreadsheets/d/1Lhp9OU0JdFf_VYSMzH5lBcEaU4o8teT1piV-SNzShjg/edit?gid=554141278#gid=554141278"", ""'Char Def. - Attributes'!C20:C2242""), 1,false)"),"PLANT_BUY")</f>
        <v>PLANT_BUY</v>
      </c>
      <c r="I3730" s="136"/>
    </row>
    <row r="3731" ht="15.75" customHeight="1">
      <c r="B3731" s="63">
        <f t="shared" si="1"/>
        <v>11</v>
      </c>
      <c r="C3731" s="154" t="s">
        <v>285</v>
      </c>
      <c r="D3731" s="147" t="s">
        <v>74</v>
      </c>
      <c r="E3731" s="135">
        <f t="shared" si="59"/>
        <v>17</v>
      </c>
      <c r="F3731" s="156" t="s">
        <v>3865</v>
      </c>
      <c r="G3731" s="63" t="str">
        <f>VLOOKUP(C3731, 'Class Def. - General Data'!$C$20:$C$1000,1,false)</f>
        <v>ZPM1_BOX_PP</v>
      </c>
      <c r="H3731" s="63" t="str">
        <f>IFERROR(__xludf.DUMMYFUNCTION("VLOOKUP(F3731, IMPORTRANGE(""https://docs.google.com/spreadsheets/d/1Lhp9OU0JdFf_VYSMzH5lBcEaU4o8teT1piV-SNzShjg/edit?gid=554141278#gid=554141278"", ""'Char Def. - Attributes'!C20:C2242""), 1,false)"),"PLANT_PROD_OPT")</f>
        <v>PLANT_PROD_OPT</v>
      </c>
      <c r="I3731" s="136"/>
    </row>
    <row r="3732" ht="15.75" customHeight="1">
      <c r="B3732" s="63">
        <f t="shared" si="1"/>
        <v>11</v>
      </c>
      <c r="C3732" s="154" t="s">
        <v>285</v>
      </c>
      <c r="D3732" s="147" t="s">
        <v>74</v>
      </c>
      <c r="E3732" s="135">
        <f t="shared" si="59"/>
        <v>18</v>
      </c>
      <c r="F3732" s="146" t="s">
        <v>3866</v>
      </c>
      <c r="G3732" s="63" t="str">
        <f>VLOOKUP(C3732, 'Class Def. - General Data'!$C$20:$C$1000,1,false)</f>
        <v>ZPM1_BOX_PP</v>
      </c>
      <c r="H3732" s="63" t="str">
        <f>IFERROR(__xludf.DUMMYFUNCTION("VLOOKUP(F3732, IMPORTRANGE(""https://docs.google.com/spreadsheets/d/1Lhp9OU0JdFf_VYSMzH5lBcEaU4o8teT1piV-SNzShjg/edit?gid=554141278#gid=554141278"", ""'Char Def. - Attributes'!C20:C2242""), 1,false)"),"PM_SUPPLY_JKT")</f>
        <v>PM_SUPPLY_JKT</v>
      </c>
      <c r="I3732" s="136"/>
    </row>
    <row r="3733" ht="15.75" customHeight="1">
      <c r="B3733" s="63">
        <f t="shared" si="1"/>
        <v>11</v>
      </c>
      <c r="C3733" s="154" t="s">
        <v>285</v>
      </c>
      <c r="D3733" s="147" t="s">
        <v>74</v>
      </c>
      <c r="E3733" s="135">
        <f t="shared" si="59"/>
        <v>19</v>
      </c>
      <c r="F3733" s="146" t="s">
        <v>3867</v>
      </c>
      <c r="G3733" s="63" t="str">
        <f>VLOOKUP(C3733, 'Class Def. - General Data'!$C$20:$C$1000,1,false)</f>
        <v>ZPM1_BOX_PP</v>
      </c>
      <c r="H3733" s="63" t="str">
        <f>IFERROR(__xludf.DUMMYFUNCTION("VLOOKUP(F3733, IMPORTRANGE(""https://docs.google.com/spreadsheets/d/1Lhp9OU0JdFf_VYSMzH5lBcEaU4o8teT1piV-SNzShjg/edit?gid=554141278#gid=554141278"", ""'Char Def. - Attributes'!C20:C2242""), 1,false)"),"PM_SUPPLY_SBY")</f>
        <v>PM_SUPPLY_SBY</v>
      </c>
      <c r="I3733" s="136"/>
    </row>
    <row r="3734" ht="15.75" customHeight="1">
      <c r="B3734" s="63">
        <f t="shared" si="1"/>
        <v>11</v>
      </c>
      <c r="C3734" s="154" t="s">
        <v>285</v>
      </c>
      <c r="D3734" s="147" t="s">
        <v>74</v>
      </c>
      <c r="E3734" s="135">
        <f t="shared" si="59"/>
        <v>20</v>
      </c>
      <c r="F3734" s="157" t="s">
        <v>3868</v>
      </c>
      <c r="G3734" s="63" t="str">
        <f>VLOOKUP(C3734, 'Class Def. - General Data'!$C$20:$C$1000,1,false)</f>
        <v>ZPM1_BOX_PP</v>
      </c>
      <c r="H3734" s="63" t="str">
        <f>IFERROR(__xludf.DUMMYFUNCTION("VLOOKUP(F3734, IMPORTRANGE(""https://docs.google.com/spreadsheets/d/1Lhp9OU0JdFf_VYSMzH5lBcEaU4o8teT1piV-SNzShjg/edit?gid=554141278#gid=554141278"", ""'Char Def. - Attributes'!C20:C2242""), 1,false)"),"BASIC_UOM_RMPM")</f>
        <v>BASIC_UOM_RMPM</v>
      </c>
      <c r="I3734" s="136"/>
    </row>
    <row r="3735" ht="15.75" customHeight="1">
      <c r="B3735" s="63">
        <f t="shared" si="1"/>
        <v>11</v>
      </c>
      <c r="C3735" s="154" t="s">
        <v>285</v>
      </c>
      <c r="D3735" s="147" t="s">
        <v>74</v>
      </c>
      <c r="E3735" s="135">
        <f t="shared" si="59"/>
        <v>21</v>
      </c>
      <c r="F3735" s="154" t="s">
        <v>3869</v>
      </c>
      <c r="G3735" s="63" t="str">
        <f>VLOOKUP(C3735, 'Class Def. - General Data'!$C$20:$C$1000,1,false)</f>
        <v>ZPM1_BOX_PP</v>
      </c>
      <c r="H3735" s="63" t="str">
        <f>IFERROR(__xludf.DUMMYFUNCTION("VLOOKUP(F3735, IMPORTRANGE(""https://docs.google.com/spreadsheets/d/1Lhp9OU0JdFf_VYSMzH5lBcEaU4o8teT1piV-SNzShjg/edit?gid=554141278#gid=554141278"", ""'Char Def. - Attributes'!C20:C2242""), 1,false)"),"ALT_UOM1_RMPM")</f>
        <v>ALT_UOM1_RMPM</v>
      </c>
      <c r="I3735" s="136"/>
    </row>
    <row r="3736" ht="15.75" customHeight="1">
      <c r="B3736" s="63">
        <f t="shared" si="1"/>
        <v>11</v>
      </c>
      <c r="C3736" s="154" t="s">
        <v>285</v>
      </c>
      <c r="D3736" s="147" t="s">
        <v>74</v>
      </c>
      <c r="E3736" s="135">
        <f t="shared" si="59"/>
        <v>22</v>
      </c>
      <c r="F3736" s="154" t="s">
        <v>3805</v>
      </c>
      <c r="G3736" s="63" t="str">
        <f>VLOOKUP(C3736, 'Class Def. - General Data'!$C$20:$C$1000,1,false)</f>
        <v>ZPM1_BOX_PP</v>
      </c>
      <c r="H3736" s="63" t="str">
        <f>IFERROR(__xludf.DUMMYFUNCTION("VLOOKUP(F3736, IMPORTRANGE(""https://docs.google.com/spreadsheets/d/1Lhp9OU0JdFf_VYSMzH5lBcEaU4o8teT1piV-SNzShjg/edit?gid=554141278#gid=554141278"", ""'Char Def. - Attributes'!C20:C2242""), 1,false)"),"ALT_DENUM_UOM1")</f>
        <v>ALT_DENUM_UOM1</v>
      </c>
      <c r="I3736" s="136"/>
    </row>
    <row r="3737" ht="15.75" customHeight="1">
      <c r="B3737" s="63">
        <f t="shared" si="1"/>
        <v>11</v>
      </c>
      <c r="C3737" s="154" t="s">
        <v>285</v>
      </c>
      <c r="D3737" s="147" t="s">
        <v>74</v>
      </c>
      <c r="E3737" s="135">
        <f t="shared" si="59"/>
        <v>23</v>
      </c>
      <c r="F3737" s="154" t="s">
        <v>3806</v>
      </c>
      <c r="G3737" s="63" t="str">
        <f>VLOOKUP(C3737, 'Class Def. - General Data'!$C$20:$C$1000,1,false)</f>
        <v>ZPM1_BOX_PP</v>
      </c>
      <c r="H3737" s="63" t="str">
        <f>IFERROR(__xludf.DUMMYFUNCTION("VLOOKUP(F3737, IMPORTRANGE(""https://docs.google.com/spreadsheets/d/1Lhp9OU0JdFf_VYSMzH5lBcEaU4o8teT1piV-SNzShjg/edit?gid=554141278#gid=554141278"", ""'Char Def. - Attributes'!C20:C2242""), 1,false)"),"ALT_NUM_UOM1")</f>
        <v>ALT_NUM_UOM1</v>
      </c>
      <c r="I3737" s="136"/>
    </row>
    <row r="3738" ht="15.75" customHeight="1">
      <c r="B3738" s="63">
        <f t="shared" si="1"/>
        <v>11</v>
      </c>
      <c r="C3738" s="154" t="s">
        <v>285</v>
      </c>
      <c r="D3738" s="147" t="s">
        <v>74</v>
      </c>
      <c r="E3738" s="135">
        <f t="shared" si="59"/>
        <v>24</v>
      </c>
      <c r="F3738" s="154" t="s">
        <v>3870</v>
      </c>
      <c r="G3738" s="63" t="str">
        <f>VLOOKUP(C3738, 'Class Def. - General Data'!$C$20:$C$1000,1,false)</f>
        <v>ZPM1_BOX_PP</v>
      </c>
      <c r="H3738" s="63" t="str">
        <f>IFERROR(__xludf.DUMMYFUNCTION("VLOOKUP(F3738, IMPORTRANGE(""https://docs.google.com/spreadsheets/d/1Lhp9OU0JdFf_VYSMzH5lBcEaU4o8teT1piV-SNzShjg/edit?gid=554141278#gid=554141278"", ""'Char Def. - Attributes'!C20:C2242""), 1,false)"),"ALT_UOM2_RMPM")</f>
        <v>ALT_UOM2_RMPM</v>
      </c>
      <c r="I3738" s="136"/>
    </row>
    <row r="3739" ht="15.75" customHeight="1">
      <c r="B3739" s="63">
        <f t="shared" si="1"/>
        <v>11</v>
      </c>
      <c r="C3739" s="154" t="s">
        <v>285</v>
      </c>
      <c r="D3739" s="147" t="s">
        <v>74</v>
      </c>
      <c r="E3739" s="135">
        <f t="shared" si="59"/>
        <v>25</v>
      </c>
      <c r="F3739" s="154" t="s">
        <v>3808</v>
      </c>
      <c r="G3739" s="63" t="str">
        <f>VLOOKUP(C3739, 'Class Def. - General Data'!$C$20:$C$1000,1,false)</f>
        <v>ZPM1_BOX_PP</v>
      </c>
      <c r="H3739" s="63" t="str">
        <f>IFERROR(__xludf.DUMMYFUNCTION("VLOOKUP(F3739, IMPORTRANGE(""https://docs.google.com/spreadsheets/d/1Lhp9OU0JdFf_VYSMzH5lBcEaU4o8teT1piV-SNzShjg/edit?gid=554141278#gid=554141278"", ""'Char Def. - Attributes'!C20:C2242""), 1,false)"),"ALT_DENUM_UOM2")</f>
        <v>ALT_DENUM_UOM2</v>
      </c>
      <c r="I3739" s="136"/>
    </row>
    <row r="3740" ht="15.75" customHeight="1">
      <c r="B3740" s="63">
        <f t="shared" si="1"/>
        <v>11</v>
      </c>
      <c r="C3740" s="154" t="s">
        <v>285</v>
      </c>
      <c r="D3740" s="147" t="s">
        <v>74</v>
      </c>
      <c r="E3740" s="135">
        <f t="shared" si="59"/>
        <v>26</v>
      </c>
      <c r="F3740" s="154" t="s">
        <v>3809</v>
      </c>
      <c r="G3740" s="63" t="str">
        <f>VLOOKUP(C3740, 'Class Def. - General Data'!$C$20:$C$1000,1,false)</f>
        <v>ZPM1_BOX_PP</v>
      </c>
      <c r="H3740" s="63" t="str">
        <f>IFERROR(__xludf.DUMMYFUNCTION("VLOOKUP(F3740, IMPORTRANGE(""https://docs.google.com/spreadsheets/d/1Lhp9OU0JdFf_VYSMzH5lBcEaU4o8teT1piV-SNzShjg/edit?gid=554141278#gid=554141278"", ""'Char Def. - Attributes'!C20:C2242""), 1,false)"),"ALT_NUM_UOM2")</f>
        <v>ALT_NUM_UOM2</v>
      </c>
      <c r="I3740" s="136"/>
    </row>
    <row r="3741" ht="15.75" customHeight="1">
      <c r="B3741" s="63">
        <f t="shared" si="1"/>
        <v>11</v>
      </c>
      <c r="C3741" s="154" t="s">
        <v>285</v>
      </c>
      <c r="D3741" s="147" t="s">
        <v>74</v>
      </c>
      <c r="E3741" s="135">
        <f t="shared" si="59"/>
        <v>27</v>
      </c>
      <c r="F3741" s="154" t="s">
        <v>3871</v>
      </c>
      <c r="G3741" s="63" t="str">
        <f>VLOOKUP(C3741, 'Class Def. - General Data'!$C$20:$C$1000,1,false)</f>
        <v>ZPM1_BOX_PP</v>
      </c>
      <c r="H3741" s="63" t="str">
        <f>IFERROR(__xludf.DUMMYFUNCTION("VLOOKUP(F3741, IMPORTRANGE(""https://docs.google.com/spreadsheets/d/1Lhp9OU0JdFf_VYSMzH5lBcEaU4o8teT1piV-SNzShjg/edit?gid=554141278#gid=554141278"", ""'Char Def. - Attributes'!C20:C2242""), 1,false)"),"ALT_UOM3_RMPM")</f>
        <v>ALT_UOM3_RMPM</v>
      </c>
      <c r="I3741" s="136"/>
    </row>
    <row r="3742" ht="15.75" customHeight="1">
      <c r="B3742" s="63">
        <f t="shared" si="1"/>
        <v>11</v>
      </c>
      <c r="C3742" s="154" t="s">
        <v>285</v>
      </c>
      <c r="D3742" s="147" t="s">
        <v>74</v>
      </c>
      <c r="E3742" s="135">
        <f t="shared" si="59"/>
        <v>28</v>
      </c>
      <c r="F3742" s="154" t="s">
        <v>3811</v>
      </c>
      <c r="G3742" s="63" t="str">
        <f>VLOOKUP(C3742, 'Class Def. - General Data'!$C$20:$C$1000,1,false)</f>
        <v>ZPM1_BOX_PP</v>
      </c>
      <c r="H3742" s="63" t="str">
        <f>IFERROR(__xludf.DUMMYFUNCTION("VLOOKUP(F3742, IMPORTRANGE(""https://docs.google.com/spreadsheets/d/1Lhp9OU0JdFf_VYSMzH5lBcEaU4o8teT1piV-SNzShjg/edit?gid=554141278#gid=554141278"", ""'Char Def. - Attributes'!C20:C2242""), 1,false)"),"ALT_DENUM_UOM3")</f>
        <v>ALT_DENUM_UOM3</v>
      </c>
      <c r="I3742" s="136"/>
    </row>
    <row r="3743" ht="15.75" customHeight="1">
      <c r="B3743" s="63">
        <f t="shared" si="1"/>
        <v>11</v>
      </c>
      <c r="C3743" s="154" t="s">
        <v>285</v>
      </c>
      <c r="D3743" s="147" t="s">
        <v>74</v>
      </c>
      <c r="E3743" s="135">
        <f t="shared" si="59"/>
        <v>29</v>
      </c>
      <c r="F3743" s="154" t="s">
        <v>3812</v>
      </c>
      <c r="G3743" s="63" t="str">
        <f>VLOOKUP(C3743, 'Class Def. - General Data'!$C$20:$C$1000,1,false)</f>
        <v>ZPM1_BOX_PP</v>
      </c>
      <c r="H3743" s="63" t="str">
        <f>IFERROR(__xludf.DUMMYFUNCTION("VLOOKUP(F3743, IMPORTRANGE(""https://docs.google.com/spreadsheets/d/1Lhp9OU0JdFf_VYSMzH5lBcEaU4o8teT1piV-SNzShjg/edit?gid=554141278#gid=554141278"", ""'Char Def. - Attributes'!C20:C2242""), 1,false)"),"ALT_NUM_UOM3")</f>
        <v>ALT_NUM_UOM3</v>
      </c>
      <c r="I3743" s="136"/>
    </row>
    <row r="3744" ht="15.75" customHeight="1">
      <c r="B3744" s="63">
        <f t="shared" si="1"/>
        <v>11</v>
      </c>
      <c r="C3744" s="154" t="s">
        <v>285</v>
      </c>
      <c r="D3744" s="147" t="s">
        <v>74</v>
      </c>
      <c r="E3744" s="135">
        <f t="shared" si="59"/>
        <v>30</v>
      </c>
      <c r="F3744" s="154" t="s">
        <v>3872</v>
      </c>
      <c r="G3744" s="63" t="str">
        <f>VLOOKUP(C3744, 'Class Def. - General Data'!$C$20:$C$1000,1,false)</f>
        <v>ZPM1_BOX_PP</v>
      </c>
      <c r="H3744" s="63" t="str">
        <f>IFERROR(__xludf.DUMMYFUNCTION("VLOOKUP(F3744, IMPORTRANGE(""https://docs.google.com/spreadsheets/d/1Lhp9OU0JdFf_VYSMzH5lBcEaU4o8teT1piV-SNzShjg/edit?gid=554141278#gid=554141278"", ""'Char Def. - Attributes'!C20:C2242""), 1,false)"),"ALT_UOM4_RMPM")</f>
        <v>ALT_UOM4_RMPM</v>
      </c>
      <c r="I3744" s="136"/>
    </row>
    <row r="3745" ht="15.75" customHeight="1">
      <c r="B3745" s="63">
        <f t="shared" si="1"/>
        <v>11</v>
      </c>
      <c r="C3745" s="154" t="s">
        <v>285</v>
      </c>
      <c r="D3745" s="147" t="s">
        <v>74</v>
      </c>
      <c r="E3745" s="135">
        <f t="shared" si="59"/>
        <v>31</v>
      </c>
      <c r="F3745" s="146" t="s">
        <v>3814</v>
      </c>
      <c r="G3745" s="63" t="str">
        <f>VLOOKUP(C3745, 'Class Def. - General Data'!$C$20:$C$1000,1,false)</f>
        <v>ZPM1_BOX_PP</v>
      </c>
      <c r="H3745" s="63" t="str">
        <f>IFERROR(__xludf.DUMMYFUNCTION("VLOOKUP(F3745, IMPORTRANGE(""https://docs.google.com/spreadsheets/d/1Lhp9OU0JdFf_VYSMzH5lBcEaU4o8teT1piV-SNzShjg/edit?gid=554141278#gid=554141278"", ""'Char Def. - Attributes'!C20:C2242""), 1,false)"),"ALT_DENUM_UOM4")</f>
        <v>ALT_DENUM_UOM4</v>
      </c>
      <c r="I3745" s="136"/>
    </row>
    <row r="3746" ht="15.75" customHeight="1">
      <c r="B3746" s="63">
        <f t="shared" si="1"/>
        <v>11</v>
      </c>
      <c r="C3746" s="154" t="s">
        <v>285</v>
      </c>
      <c r="D3746" s="147" t="s">
        <v>74</v>
      </c>
      <c r="E3746" s="135">
        <f t="shared" si="59"/>
        <v>32</v>
      </c>
      <c r="F3746" s="154" t="s">
        <v>3815</v>
      </c>
      <c r="G3746" s="63" t="str">
        <f>VLOOKUP(C3746, 'Class Def. - General Data'!$C$20:$C$1000,1,false)</f>
        <v>ZPM1_BOX_PP</v>
      </c>
      <c r="H3746" s="63" t="str">
        <f>IFERROR(__xludf.DUMMYFUNCTION("VLOOKUP(F3746, IMPORTRANGE(""https://docs.google.com/spreadsheets/d/1Lhp9OU0JdFf_VYSMzH5lBcEaU4o8teT1piV-SNzShjg/edit?gid=554141278#gid=554141278"", ""'Char Def. - Attributes'!C20:C2242""), 1,false)"),"ALT_NUM_UOM4")</f>
        <v>ALT_NUM_UOM4</v>
      </c>
      <c r="I3746" s="136"/>
    </row>
    <row r="3747" ht="15.75" customHeight="1">
      <c r="B3747" s="63">
        <f t="shared" si="1"/>
        <v>11</v>
      </c>
      <c r="C3747" s="154" t="s">
        <v>285</v>
      </c>
      <c r="D3747" s="147" t="s">
        <v>74</v>
      </c>
      <c r="E3747" s="135">
        <f t="shared" si="59"/>
        <v>33</v>
      </c>
      <c r="F3747" s="154" t="s">
        <v>3873</v>
      </c>
      <c r="G3747" s="63" t="str">
        <f>VLOOKUP(C3747, 'Class Def. - General Data'!$C$20:$C$1000,1,false)</f>
        <v>ZPM1_BOX_PP</v>
      </c>
      <c r="H3747" s="63" t="str">
        <f>IFERROR(__xludf.DUMMYFUNCTION("VLOOKUP(F3747, IMPORTRANGE(""https://docs.google.com/spreadsheets/d/1Lhp9OU0JdFf_VYSMzH5lBcEaU4o8teT1piV-SNzShjg/edit?gid=554141278#gid=554141278"", ""'Char Def. - Attributes'!C20:C2242""), 1,false)"),"ALT_UOM5_RMPM")</f>
        <v>ALT_UOM5_RMPM</v>
      </c>
      <c r="I3747" s="136"/>
    </row>
    <row r="3748" ht="15.75" customHeight="1">
      <c r="B3748" s="63">
        <f t="shared" si="1"/>
        <v>11</v>
      </c>
      <c r="C3748" s="154" t="s">
        <v>285</v>
      </c>
      <c r="D3748" s="147" t="s">
        <v>74</v>
      </c>
      <c r="E3748" s="135">
        <f t="shared" si="59"/>
        <v>34</v>
      </c>
      <c r="F3748" s="154" t="s">
        <v>3817</v>
      </c>
      <c r="G3748" s="63" t="str">
        <f>VLOOKUP(C3748, 'Class Def. - General Data'!$C$20:$C$1000,1,false)</f>
        <v>ZPM1_BOX_PP</v>
      </c>
      <c r="H3748" s="63" t="str">
        <f>IFERROR(__xludf.DUMMYFUNCTION("VLOOKUP(F3748, IMPORTRANGE(""https://docs.google.com/spreadsheets/d/1Lhp9OU0JdFf_VYSMzH5lBcEaU4o8teT1piV-SNzShjg/edit?gid=554141278#gid=554141278"", ""'Char Def. - Attributes'!C20:C2242""), 1,false)"),"ALT_DENUM_UOM5")</f>
        <v>ALT_DENUM_UOM5</v>
      </c>
      <c r="I3748" s="136"/>
    </row>
    <row r="3749" ht="15.75" customHeight="1">
      <c r="B3749" s="63">
        <f t="shared" si="1"/>
        <v>11</v>
      </c>
      <c r="C3749" s="154" t="s">
        <v>285</v>
      </c>
      <c r="D3749" s="147" t="s">
        <v>74</v>
      </c>
      <c r="E3749" s="135">
        <f t="shared" si="59"/>
        <v>35</v>
      </c>
      <c r="F3749" s="154" t="s">
        <v>3818</v>
      </c>
      <c r="G3749" s="63" t="str">
        <f>VLOOKUP(C3749, 'Class Def. - General Data'!$C$20:$C$1000,1,false)</f>
        <v>ZPM1_BOX_PP</v>
      </c>
      <c r="H3749" s="63" t="str">
        <f>IFERROR(__xludf.DUMMYFUNCTION("VLOOKUP(F3749, IMPORTRANGE(""https://docs.google.com/spreadsheets/d/1Lhp9OU0JdFf_VYSMzH5lBcEaU4o8teT1piV-SNzShjg/edit?gid=554141278#gid=554141278"", ""'Char Def. - Attributes'!C20:C2242""), 1,false)"),"ALT_NUM_UOM5")</f>
        <v>ALT_NUM_UOM5</v>
      </c>
      <c r="I3749" s="136"/>
    </row>
    <row r="3750" ht="15.75" customHeight="1">
      <c r="B3750" s="63">
        <f t="shared" si="1"/>
        <v>11</v>
      </c>
      <c r="C3750" s="154" t="s">
        <v>285</v>
      </c>
      <c r="D3750" s="147" t="s">
        <v>74</v>
      </c>
      <c r="E3750" s="135">
        <f t="shared" si="59"/>
        <v>36</v>
      </c>
      <c r="F3750" s="154" t="s">
        <v>3874</v>
      </c>
      <c r="G3750" s="63" t="str">
        <f>VLOOKUP(C3750, 'Class Def. - General Data'!$C$20:$C$1000,1,false)</f>
        <v>ZPM1_BOX_PP</v>
      </c>
      <c r="H3750" s="63" t="str">
        <f>IFERROR(__xludf.DUMMYFUNCTION("VLOOKUP(F3750, IMPORTRANGE(""https://docs.google.com/spreadsheets/d/1Lhp9OU0JdFf_VYSMzH5lBcEaU4o8teT1piV-SNzShjg/edit?gid=554141278#gid=554141278"", ""'Char Def. - Attributes'!C20:C2242""), 1,false)"),"VALUATION_CATEGORY")</f>
        <v>VALUATION_CATEGORY</v>
      </c>
      <c r="I3750" s="136"/>
    </row>
    <row r="3751" ht="15.75" customHeight="1">
      <c r="B3751" s="63">
        <f t="shared" si="1"/>
        <v>11</v>
      </c>
      <c r="C3751" s="154" t="s">
        <v>285</v>
      </c>
      <c r="D3751" s="147" t="s">
        <v>74</v>
      </c>
      <c r="E3751" s="135">
        <f t="shared" si="59"/>
        <v>37</v>
      </c>
      <c r="F3751" s="154" t="s">
        <v>3800</v>
      </c>
      <c r="G3751" s="63" t="str">
        <f>VLOOKUP(C3751, 'Class Def. - General Data'!$C$20:$C$1000,1,false)</f>
        <v>ZPM1_BOX_PP</v>
      </c>
      <c r="H3751" s="63" t="str">
        <f>IFERROR(__xludf.DUMMYFUNCTION("VLOOKUP(F3751, IMPORTRANGE(""https://docs.google.com/spreadsheets/d/1Lhp9OU0JdFf_VYSMzH5lBcEaU4o8teT1piV-SNzShjg/edit?gid=554141278#gid=554141278"", ""'Char Def. - Attributes'!C20:C2242""), 1,false)"),"ORDER_UNIT_DIFF_FROM_BASIC_UOM")</f>
        <v>ORDER_UNIT_DIFF_FROM_BASIC_UOM</v>
      </c>
      <c r="I3751" s="136"/>
    </row>
    <row r="3752" ht="15.75" customHeight="1">
      <c r="B3752" s="63">
        <f t="shared" si="1"/>
        <v>11</v>
      </c>
      <c r="C3752" s="154" t="s">
        <v>285</v>
      </c>
      <c r="D3752" s="147" t="s">
        <v>74</v>
      </c>
      <c r="E3752" s="135">
        <f t="shared" si="59"/>
        <v>38</v>
      </c>
      <c r="F3752" s="154" t="s">
        <v>3875</v>
      </c>
      <c r="G3752" s="63" t="str">
        <f>VLOOKUP(C3752, 'Class Def. - General Data'!$C$20:$C$1000,1,false)</f>
        <v>ZPM1_BOX_PP</v>
      </c>
      <c r="H3752" s="63" t="str">
        <f>IFERROR(__xludf.DUMMYFUNCTION("VLOOKUP(F3752, IMPORTRANGE(""https://docs.google.com/spreadsheets/d/1Lhp9OU0JdFf_VYSMzH5lBcEaU4o8teT1piV-SNzShjg/edit?gid=554141278#gid=554141278"", ""'Char Def. - Attributes'!C20:C2242""), 1,false)"),"ORDER_UNIT_RMPM")</f>
        <v>ORDER_UNIT_RMPM</v>
      </c>
      <c r="I3752" s="136"/>
    </row>
    <row r="3753" ht="15.75" customHeight="1">
      <c r="B3753" s="63">
        <f t="shared" si="1"/>
        <v>11</v>
      </c>
      <c r="C3753" s="154" t="s">
        <v>285</v>
      </c>
      <c r="D3753" s="147" t="s">
        <v>74</v>
      </c>
      <c r="E3753" s="135">
        <f t="shared" si="59"/>
        <v>39</v>
      </c>
      <c r="F3753" s="157" t="s">
        <v>3602</v>
      </c>
      <c r="G3753" s="63" t="str">
        <f>VLOOKUP(C3753, 'Class Def. - General Data'!$C$20:$C$1000,1,false)</f>
        <v>ZPM1_BOX_PP</v>
      </c>
      <c r="H3753" s="63" t="str">
        <f>IFERROR(__xludf.DUMMYFUNCTION("VLOOKUP(F3753, IMPORTRANGE(""https://docs.google.com/spreadsheets/d/1Lhp9OU0JdFf_VYSMzH5lBcEaU4o8teT1piV-SNzShjg/edit?gid=554141278#gid=554141278"", ""'Char Def. - Attributes'!C20:C2242""), 1,false)"),"NET_WEIGHT")</f>
        <v>NET_WEIGHT</v>
      </c>
      <c r="I3753" s="136"/>
    </row>
    <row r="3754" ht="15.75" customHeight="1">
      <c r="B3754" s="63">
        <f t="shared" si="1"/>
        <v>11</v>
      </c>
      <c r="C3754" s="154" t="s">
        <v>285</v>
      </c>
      <c r="D3754" s="147" t="s">
        <v>74</v>
      </c>
      <c r="E3754" s="135">
        <f t="shared" si="59"/>
        <v>40</v>
      </c>
      <c r="F3754" s="157" t="s">
        <v>3601</v>
      </c>
      <c r="G3754" s="63" t="str">
        <f>VLOOKUP(C3754, 'Class Def. - General Data'!$C$20:$C$1000,1,false)</f>
        <v>ZPM1_BOX_PP</v>
      </c>
      <c r="H3754" s="63" t="str">
        <f>IFERROR(__xludf.DUMMYFUNCTION("VLOOKUP(F3754, IMPORTRANGE(""https://docs.google.com/spreadsheets/d/1Lhp9OU0JdFf_VYSMzH5lBcEaU4o8teT1piV-SNzShjg/edit?gid=554141278#gid=554141278"", ""'Char Def. - Attributes'!C20:C2242""), 1,false)"),"GROSS_WEIGHT")</f>
        <v>GROSS_WEIGHT</v>
      </c>
      <c r="I3754" s="136"/>
    </row>
    <row r="3755" ht="15.75" customHeight="1">
      <c r="B3755" s="63">
        <f t="shared" si="1"/>
        <v>11</v>
      </c>
      <c r="C3755" s="154" t="s">
        <v>285</v>
      </c>
      <c r="D3755" s="147" t="s">
        <v>74</v>
      </c>
      <c r="E3755" s="135">
        <f t="shared" si="59"/>
        <v>41</v>
      </c>
      <c r="F3755" s="143" t="s">
        <v>3876</v>
      </c>
      <c r="G3755" s="63" t="str">
        <f>VLOOKUP(C3755, 'Class Def. - General Data'!$C$20:$C$1000,1,false)</f>
        <v>ZPM1_BOX_PP</v>
      </c>
      <c r="H3755" s="63" t="str">
        <f>IFERROR(__xludf.DUMMYFUNCTION("VLOOKUP(F3755, IMPORTRANGE(""https://docs.google.com/spreadsheets/d/1Lhp9OU0JdFf_VYSMzH5lBcEaU4o8teT1piV-SNzShjg/edit?gid=554141278#gid=554141278"", ""'Char Def. - Attributes'!C20:C2242""), 1,false)"),"WEIGHT_UNIT_PM")</f>
        <v>WEIGHT_UNIT_PM</v>
      </c>
      <c r="I3755" s="136"/>
    </row>
    <row r="3756" ht="15.75" customHeight="1">
      <c r="B3756" s="63">
        <f t="shared" si="1"/>
        <v>11</v>
      </c>
      <c r="C3756" s="154" t="s">
        <v>285</v>
      </c>
      <c r="D3756" s="147" t="s">
        <v>74</v>
      </c>
      <c r="E3756" s="135">
        <f t="shared" si="59"/>
        <v>42</v>
      </c>
      <c r="F3756" s="157" t="s">
        <v>3877</v>
      </c>
      <c r="G3756" s="63" t="str">
        <f>VLOOKUP(C3756, 'Class Def. - General Data'!$C$20:$C$1000,1,false)</f>
        <v>ZPM1_BOX_PP</v>
      </c>
      <c r="H3756" s="63" t="str">
        <f>IFERROR(__xludf.DUMMYFUNCTION("VLOOKUP(F3756, IMPORTRANGE(""https://docs.google.com/spreadsheets/d/1Lhp9OU0JdFf_VYSMzH5lBcEaU4o8teT1piV-SNzShjg/edit?gid=554141278#gid=554141278"", ""'Char Def. - Attributes'!C20:C2242""), 1,false)"),"VOLUME_OPT")</f>
        <v>VOLUME_OPT</v>
      </c>
      <c r="I3756" s="136"/>
    </row>
    <row r="3757" ht="15.75" customHeight="1">
      <c r="B3757" s="63">
        <f t="shared" si="1"/>
        <v>11</v>
      </c>
      <c r="C3757" s="154" t="s">
        <v>285</v>
      </c>
      <c r="D3757" s="147" t="s">
        <v>74</v>
      </c>
      <c r="E3757" s="135">
        <f t="shared" si="59"/>
        <v>43</v>
      </c>
      <c r="F3757" s="154" t="s">
        <v>3878</v>
      </c>
      <c r="G3757" s="63" t="str">
        <f>VLOOKUP(C3757, 'Class Def. - General Data'!$C$20:$C$1000,1,false)</f>
        <v>ZPM1_BOX_PP</v>
      </c>
      <c r="H3757" s="63" t="str">
        <f>IFERROR(__xludf.DUMMYFUNCTION("VLOOKUP(F3757, IMPORTRANGE(""https://docs.google.com/spreadsheets/d/1Lhp9OU0JdFf_VYSMzH5lBcEaU4o8teT1piV-SNzShjg/edit?gid=554141278#gid=554141278"", ""'Char Def. - Attributes'!C20:C2242""), 1,false)"),"VOLUME_UNIT")</f>
        <v>VOLUME_UNIT</v>
      </c>
      <c r="I3757" s="136"/>
    </row>
    <row r="3758" ht="15.75" customHeight="1">
      <c r="B3758" s="63">
        <f t="shared" si="1"/>
        <v>11</v>
      </c>
      <c r="C3758" s="154" t="s">
        <v>285</v>
      </c>
      <c r="D3758" s="147" t="s">
        <v>74</v>
      </c>
      <c r="E3758" s="135">
        <f t="shared" si="59"/>
        <v>44</v>
      </c>
      <c r="F3758" s="156" t="s">
        <v>3879</v>
      </c>
      <c r="G3758" s="63" t="str">
        <f>VLOOKUP(C3758, 'Class Def. - General Data'!$C$20:$C$1000,1,false)</f>
        <v>ZPM1_BOX_PP</v>
      </c>
      <c r="H3758" s="63" t="str">
        <f>IFERROR(__xludf.DUMMYFUNCTION("VLOOKUP(F3758, IMPORTRANGE(""https://docs.google.com/spreadsheets/d/1Lhp9OU0JdFf_VYSMzH5lBcEaU4o8teT1piV-SNzShjg/edit?gid=554141278#gid=554141278"", ""'Char Def. - Attributes'!C20:C2242""), 1,false)"),"OLD_MAT_NO_RMPM")</f>
        <v>OLD_MAT_NO_RMPM</v>
      </c>
      <c r="I3758" s="136"/>
    </row>
    <row r="3759" ht="15.75" customHeight="1">
      <c r="B3759" s="63">
        <f t="shared" si="1"/>
        <v>11</v>
      </c>
      <c r="C3759" s="154" t="s">
        <v>285</v>
      </c>
      <c r="D3759" s="147" t="s">
        <v>74</v>
      </c>
      <c r="E3759" s="135">
        <f t="shared" si="59"/>
        <v>45</v>
      </c>
      <c r="F3759" s="146" t="s">
        <v>3880</v>
      </c>
      <c r="G3759" s="63" t="str">
        <f>VLOOKUP(C3759, 'Class Def. - General Data'!$C$20:$C$1000,1,false)</f>
        <v>ZPM1_BOX_PP</v>
      </c>
      <c r="H3759" s="63" t="str">
        <f>IFERROR(__xludf.DUMMYFUNCTION("VLOOKUP(F3759, IMPORTRANGE(""https://docs.google.com/spreadsheets/d/1Lhp9OU0JdFf_VYSMzH5lBcEaU4o8teT1piV-SNzShjg/edit?gid=554141278#gid=554141278"", ""'Char Def. - Attributes'!C20:C2242""), 1,false)"),"NOTE_PM")</f>
        <v>NOTE_PM</v>
      </c>
      <c r="I3759" s="136"/>
    </row>
    <row r="3760" ht="15.75" customHeight="1">
      <c r="B3760" s="63">
        <f t="shared" si="1"/>
        <v>11</v>
      </c>
      <c r="C3760" s="154" t="s">
        <v>285</v>
      </c>
      <c r="D3760" s="147" t="s">
        <v>74</v>
      </c>
      <c r="E3760" s="135">
        <f t="shared" si="59"/>
        <v>46</v>
      </c>
      <c r="F3760" s="146" t="s">
        <v>3881</v>
      </c>
      <c r="G3760" s="63" t="str">
        <f>VLOOKUP(C3760, 'Class Def. - General Data'!$C$20:$C$1000,1,false)</f>
        <v>ZPM1_BOX_PP</v>
      </c>
      <c r="H3760" s="63" t="str">
        <f>IFERROR(__xludf.DUMMYFUNCTION("VLOOKUP(F3760, IMPORTRANGE(""https://docs.google.com/spreadsheets/d/1Lhp9OU0JdFf_VYSMzH5lBcEaU4o8teT1piV-SNzShjg/edit?gid=554141278#gid=554141278"", ""'Char Def. - Attributes'!C20:C2242""), 1,false)"),"BS_BERSIH")</f>
        <v>BS_BERSIH</v>
      </c>
      <c r="I3760" s="136"/>
    </row>
    <row r="3761" ht="15.75" customHeight="1">
      <c r="B3761" s="63">
        <f t="shared" si="1"/>
        <v>11</v>
      </c>
      <c r="C3761" s="154" t="s">
        <v>285</v>
      </c>
      <c r="D3761" s="147" t="s">
        <v>74</v>
      </c>
      <c r="E3761" s="135">
        <f t="shared" si="59"/>
        <v>47</v>
      </c>
      <c r="F3761" s="146" t="s">
        <v>3882</v>
      </c>
      <c r="G3761" s="63" t="str">
        <f>VLOOKUP(C3761, 'Class Def. - General Data'!$C$20:$C$1000,1,false)</f>
        <v>ZPM1_BOX_PP</v>
      </c>
      <c r="H3761" s="63" t="str">
        <f>IFERROR(__xludf.DUMMYFUNCTION("VLOOKUP(F3761, IMPORTRANGE(""https://docs.google.com/spreadsheets/d/1Lhp9OU0JdFf_VYSMzH5lBcEaU4o8teT1piV-SNzShjg/edit?gid=554141278#gid=554141278"", ""'Char Def. - Attributes'!C20:C2242""), 1,false)"),"BS_KOTOR")</f>
        <v>BS_KOTOR</v>
      </c>
      <c r="I3761" s="136"/>
    </row>
    <row r="3762" ht="15.75" customHeight="1">
      <c r="B3762" s="63">
        <f t="shared" si="1"/>
        <v>11</v>
      </c>
      <c r="C3762" s="154" t="s">
        <v>285</v>
      </c>
      <c r="D3762" s="147" t="s">
        <v>74</v>
      </c>
      <c r="E3762" s="135">
        <f t="shared" si="59"/>
        <v>48</v>
      </c>
      <c r="F3762" s="146" t="s">
        <v>3883</v>
      </c>
      <c r="G3762" s="63" t="str">
        <f>VLOOKUP(C3762, 'Class Def. - General Data'!$C$20:$C$1000,1,false)</f>
        <v>ZPM1_BOX_PP</v>
      </c>
      <c r="H3762" s="63" t="str">
        <f>IFERROR(__xludf.DUMMYFUNCTION("VLOOKUP(F3762, IMPORTRANGE(""https://docs.google.com/spreadsheets/d/1Lhp9OU0JdFf_VYSMzH5lBcEaU4o8teT1piV-SNzShjg/edit?gid=554141278#gid=554141278"", ""'Char Def. - Attributes'!C20:C2242""), 1,false)"),"BS_SCRAP")</f>
        <v>BS_SCRAP</v>
      </c>
      <c r="I3762" s="136"/>
    </row>
    <row r="3763" ht="15.75" customHeight="1">
      <c r="B3763" s="63">
        <f t="shared" si="1"/>
        <v>7</v>
      </c>
      <c r="C3763" s="146" t="s">
        <v>272</v>
      </c>
      <c r="D3763" s="147" t="s">
        <v>74</v>
      </c>
      <c r="E3763" s="135">
        <f t="shared" si="59"/>
        <v>1</v>
      </c>
      <c r="F3763" s="146" t="s">
        <v>3921</v>
      </c>
      <c r="G3763" s="63" t="str">
        <f>VLOOKUP(C3763, 'Class Def. - General Data'!$C$20:$C$1000,1,false)</f>
        <v>ZPM1_CB</v>
      </c>
      <c r="H3763" s="63" t="str">
        <f>IFERROR(__xludf.DUMMYFUNCTION("VLOOKUP(F3763, IMPORTRANGE(""https://docs.google.com/spreadsheets/d/1Lhp9OU0JdFf_VYSMzH5lBcEaU4o8teT1piV-SNzShjg/edit?gid=554141278#gid=554141278"", ""'Char Def. - Attributes'!C20:C2242""), 1,false)"),"MATERIAL_CODE_CB")</f>
        <v>MATERIAL_CODE_CB</v>
      </c>
      <c r="I3763" s="136"/>
    </row>
    <row r="3764" ht="15.75" customHeight="1">
      <c r="B3764" s="63">
        <f t="shared" si="1"/>
        <v>7</v>
      </c>
      <c r="C3764" s="146" t="s">
        <v>272</v>
      </c>
      <c r="D3764" s="147" t="s">
        <v>74</v>
      </c>
      <c r="E3764" s="135">
        <f t="shared" si="59"/>
        <v>2</v>
      </c>
      <c r="F3764" s="146" t="s">
        <v>3918</v>
      </c>
      <c r="G3764" s="63" t="str">
        <f>VLOOKUP(C3764, 'Class Def. - General Data'!$C$20:$C$1000,1,false)</f>
        <v>ZPM1_CB</v>
      </c>
      <c r="H3764" s="63" t="str">
        <f>IFERROR(__xludf.DUMMYFUNCTION("VLOOKUP(F3764, IMPORTRANGE(""https://docs.google.com/spreadsheets/d/1Lhp9OU0JdFf_VYSMzH5lBcEaU4o8teT1piV-SNzShjg/edit?gid=554141278#gid=554141278"", ""'Char Def. - Attributes'!C20:C2242""), 1,false)"),"WIDTH_MM_3")</f>
        <v>WIDTH_MM_3</v>
      </c>
      <c r="I3764" s="136"/>
    </row>
    <row r="3765" ht="15.75" customHeight="1">
      <c r="B3765" s="63">
        <f t="shared" si="1"/>
        <v>7</v>
      </c>
      <c r="C3765" s="146" t="s">
        <v>272</v>
      </c>
      <c r="D3765" s="147" t="s">
        <v>74</v>
      </c>
      <c r="E3765" s="135">
        <f t="shared" si="59"/>
        <v>3</v>
      </c>
      <c r="F3765" s="143" t="s">
        <v>3899</v>
      </c>
      <c r="G3765" s="63" t="str">
        <f>VLOOKUP(C3765, 'Class Def. - General Data'!$C$20:$C$1000,1,false)</f>
        <v>ZPM1_CB</v>
      </c>
      <c r="H3765" s="63" t="str">
        <f>IFERROR(__xludf.DUMMYFUNCTION("VLOOKUP(F3765, IMPORTRANGE(""https://docs.google.com/spreadsheets/d/1Lhp9OU0JdFf_VYSMzH5lBcEaU4o8teT1piV-SNzShjg/edit?gid=554141278#gid=554141278"", ""'Char Def. - Attributes'!C20:C2242""), 1,false)"),"HEIGHT_MM")</f>
        <v>HEIGHT_MM</v>
      </c>
      <c r="I3765" s="136"/>
    </row>
    <row r="3766" ht="15.75" customHeight="1">
      <c r="B3766" s="63">
        <f t="shared" si="1"/>
        <v>7</v>
      </c>
      <c r="C3766" s="146" t="s">
        <v>272</v>
      </c>
      <c r="D3766" s="147" t="s">
        <v>74</v>
      </c>
      <c r="E3766" s="135">
        <f t="shared" si="59"/>
        <v>4</v>
      </c>
      <c r="F3766" s="146" t="s">
        <v>3922</v>
      </c>
      <c r="G3766" s="63" t="str">
        <f>VLOOKUP(C3766, 'Class Def. - General Data'!$C$20:$C$1000,1,false)</f>
        <v>ZPM1_CB</v>
      </c>
      <c r="H3766" s="63" t="str">
        <f>IFERROR(__xludf.DUMMYFUNCTION("VLOOKUP(F3766, IMPORTRANGE(""https://docs.google.com/spreadsheets/d/1Lhp9OU0JdFf_VYSMzH5lBcEaU4o8teT1piV-SNzShjg/edit?gid=554141278#gid=554141278"", ""'Char Def. - Attributes'!C20:C2242""), 1,false)"),"THICKNESS_GSM")</f>
        <v>THICKNESS_GSM</v>
      </c>
      <c r="I3766" s="136"/>
    </row>
    <row r="3767" ht="15.75" customHeight="1">
      <c r="B3767" s="63">
        <f t="shared" si="1"/>
        <v>7</v>
      </c>
      <c r="C3767" s="146" t="s">
        <v>272</v>
      </c>
      <c r="D3767" s="147" t="s">
        <v>74</v>
      </c>
      <c r="E3767" s="135">
        <f t="shared" si="59"/>
        <v>5</v>
      </c>
      <c r="F3767" s="143" t="s">
        <v>3890</v>
      </c>
      <c r="G3767" s="63" t="str">
        <f>VLOOKUP(C3767, 'Class Def. - General Data'!$C$20:$C$1000,1,false)</f>
        <v>ZPM1_CB</v>
      </c>
      <c r="H3767" s="63" t="str">
        <f>IFERROR(__xludf.DUMMYFUNCTION("VLOOKUP(F3767, IMPORTRANGE(""https://docs.google.com/spreadsheets/d/1Lhp9OU0JdFf_VYSMzH5lBcEaU4o8teT1piV-SNzShjg/edit?gid=554141278#gid=554141278"", ""'Char Def. - Attributes'!C20:C2242""), 1,false)"),"EXT_MAT_GRP")</f>
        <v>EXT_MAT_GRP</v>
      </c>
      <c r="I3767" s="136"/>
    </row>
    <row r="3768" ht="15.75" customHeight="1">
      <c r="B3768" s="63">
        <f t="shared" si="1"/>
        <v>7</v>
      </c>
      <c r="C3768" s="146" t="s">
        <v>272</v>
      </c>
      <c r="D3768" s="147" t="s">
        <v>74</v>
      </c>
      <c r="E3768" s="135">
        <f t="shared" si="59"/>
        <v>6</v>
      </c>
      <c r="F3768" s="143" t="s">
        <v>3905</v>
      </c>
      <c r="G3768" s="63" t="str">
        <f>VLOOKUP(C3768, 'Class Def. - General Data'!$C$20:$C$1000,1,false)</f>
        <v>ZPM1_CB</v>
      </c>
      <c r="H3768" s="63" t="str">
        <f>IFERROR(__xludf.DUMMYFUNCTION("VLOOKUP(F3768, IMPORTRANGE(""https://docs.google.com/spreadsheets/d/1Lhp9OU0JdFf_VYSMzH5lBcEaU4o8teT1piV-SNzShjg/edit?gid=554141278#gid=554141278"", ""'Char Def. - Attributes'!C20:C2242""), 1,false)"),"SPEC_CODE")</f>
        <v>SPEC_CODE</v>
      </c>
      <c r="I3768" s="136"/>
    </row>
    <row r="3769" ht="15.75" customHeight="1">
      <c r="B3769" s="63">
        <f t="shared" si="1"/>
        <v>7</v>
      </c>
      <c r="C3769" s="146" t="s">
        <v>272</v>
      </c>
      <c r="D3769" s="147" t="s">
        <v>74</v>
      </c>
      <c r="E3769" s="135">
        <f t="shared" si="59"/>
        <v>7</v>
      </c>
      <c r="F3769" s="155" t="s">
        <v>3587</v>
      </c>
      <c r="G3769" s="63" t="str">
        <f>VLOOKUP(C3769, 'Class Def. - General Data'!$C$20:$C$1000,1,false)</f>
        <v>ZPM1_CB</v>
      </c>
      <c r="H3769" s="63" t="str">
        <f>IFERROR(__xludf.DUMMYFUNCTION("VLOOKUP(F3769, IMPORTRANGE(""https://docs.google.com/spreadsheets/d/1Lhp9OU0JdFf_VYSMzH5lBcEaU4o8teT1piV-SNzShjg/edit?gid=554141278#gid=554141278"", ""'Char Def. - Attributes'!C20:C2242""), 1,false)"),"PLANT_BUY")</f>
        <v>PLANT_BUY</v>
      </c>
      <c r="I3769" s="136"/>
    </row>
    <row r="3770" ht="15.75" customHeight="1">
      <c r="B3770" s="63">
        <f t="shared" si="1"/>
        <v>7</v>
      </c>
      <c r="C3770" s="146" t="s">
        <v>272</v>
      </c>
      <c r="D3770" s="147" t="s">
        <v>74</v>
      </c>
      <c r="E3770" s="135">
        <f t="shared" si="59"/>
        <v>8</v>
      </c>
      <c r="F3770" s="156" t="s">
        <v>3865</v>
      </c>
      <c r="G3770" s="63" t="str">
        <f>VLOOKUP(C3770, 'Class Def. - General Data'!$C$20:$C$1000,1,false)</f>
        <v>ZPM1_CB</v>
      </c>
      <c r="H3770" s="63" t="str">
        <f>IFERROR(__xludf.DUMMYFUNCTION("VLOOKUP(F3770, IMPORTRANGE(""https://docs.google.com/spreadsheets/d/1Lhp9OU0JdFf_VYSMzH5lBcEaU4o8teT1piV-SNzShjg/edit?gid=554141278#gid=554141278"", ""'Char Def. - Attributes'!C20:C2242""), 1,false)"),"PLANT_PROD_OPT")</f>
        <v>PLANT_PROD_OPT</v>
      </c>
      <c r="I3770" s="136"/>
    </row>
    <row r="3771" ht="15.75" customHeight="1">
      <c r="B3771" s="63">
        <f t="shared" si="1"/>
        <v>7</v>
      </c>
      <c r="C3771" s="146" t="s">
        <v>272</v>
      </c>
      <c r="D3771" s="147" t="s">
        <v>74</v>
      </c>
      <c r="E3771" s="135">
        <f t="shared" si="59"/>
        <v>9</v>
      </c>
      <c r="F3771" s="146" t="s">
        <v>3866</v>
      </c>
      <c r="G3771" s="63" t="str">
        <f>VLOOKUP(C3771, 'Class Def. - General Data'!$C$20:$C$1000,1,false)</f>
        <v>ZPM1_CB</v>
      </c>
      <c r="H3771" s="63" t="str">
        <f>IFERROR(__xludf.DUMMYFUNCTION("VLOOKUP(F3771, IMPORTRANGE(""https://docs.google.com/spreadsheets/d/1Lhp9OU0JdFf_VYSMzH5lBcEaU4o8teT1piV-SNzShjg/edit?gid=554141278#gid=554141278"", ""'Char Def. - Attributes'!C20:C2242""), 1,false)"),"PM_SUPPLY_JKT")</f>
        <v>PM_SUPPLY_JKT</v>
      </c>
      <c r="I3771" s="136"/>
    </row>
    <row r="3772" ht="15.75" customHeight="1">
      <c r="B3772" s="63">
        <f t="shared" si="1"/>
        <v>7</v>
      </c>
      <c r="C3772" s="146" t="s">
        <v>272</v>
      </c>
      <c r="D3772" s="147" t="s">
        <v>74</v>
      </c>
      <c r="E3772" s="135">
        <f t="shared" si="59"/>
        <v>10</v>
      </c>
      <c r="F3772" s="146" t="s">
        <v>3867</v>
      </c>
      <c r="G3772" s="63" t="str">
        <f>VLOOKUP(C3772, 'Class Def. - General Data'!$C$20:$C$1000,1,false)</f>
        <v>ZPM1_CB</v>
      </c>
      <c r="H3772" s="63" t="str">
        <f>IFERROR(__xludf.DUMMYFUNCTION("VLOOKUP(F3772, IMPORTRANGE(""https://docs.google.com/spreadsheets/d/1Lhp9OU0JdFf_VYSMzH5lBcEaU4o8teT1piV-SNzShjg/edit?gid=554141278#gid=554141278"", ""'Char Def. - Attributes'!C20:C2242""), 1,false)"),"PM_SUPPLY_SBY")</f>
        <v>PM_SUPPLY_SBY</v>
      </c>
      <c r="I3772" s="136"/>
    </row>
    <row r="3773" ht="15.75" customHeight="1">
      <c r="B3773" s="63">
        <f t="shared" si="1"/>
        <v>7</v>
      </c>
      <c r="C3773" s="146" t="s">
        <v>272</v>
      </c>
      <c r="D3773" s="147" t="s">
        <v>74</v>
      </c>
      <c r="E3773" s="135">
        <f t="shared" si="59"/>
        <v>11</v>
      </c>
      <c r="F3773" s="157" t="s">
        <v>3868</v>
      </c>
      <c r="G3773" s="63" t="str">
        <f>VLOOKUP(C3773, 'Class Def. - General Data'!$C$20:$C$1000,1,false)</f>
        <v>ZPM1_CB</v>
      </c>
      <c r="H3773" s="63" t="str">
        <f>IFERROR(__xludf.DUMMYFUNCTION("VLOOKUP(F3773, IMPORTRANGE(""https://docs.google.com/spreadsheets/d/1Lhp9OU0JdFf_VYSMzH5lBcEaU4o8teT1piV-SNzShjg/edit?gid=554141278#gid=554141278"", ""'Char Def. - Attributes'!C20:C2242""), 1,false)"),"BASIC_UOM_RMPM")</f>
        <v>BASIC_UOM_RMPM</v>
      </c>
      <c r="I3773" s="136"/>
    </row>
    <row r="3774" ht="15.75" customHeight="1">
      <c r="B3774" s="63">
        <f t="shared" si="1"/>
        <v>7</v>
      </c>
      <c r="C3774" s="146" t="s">
        <v>272</v>
      </c>
      <c r="D3774" s="147" t="s">
        <v>74</v>
      </c>
      <c r="E3774" s="135">
        <f t="shared" si="59"/>
        <v>12</v>
      </c>
      <c r="F3774" s="154" t="s">
        <v>3869</v>
      </c>
      <c r="G3774" s="63" t="str">
        <f>VLOOKUP(C3774, 'Class Def. - General Data'!$C$20:$C$1000,1,false)</f>
        <v>ZPM1_CB</v>
      </c>
      <c r="H3774" s="63" t="str">
        <f>IFERROR(__xludf.DUMMYFUNCTION("VLOOKUP(F3774, IMPORTRANGE(""https://docs.google.com/spreadsheets/d/1Lhp9OU0JdFf_VYSMzH5lBcEaU4o8teT1piV-SNzShjg/edit?gid=554141278#gid=554141278"", ""'Char Def. - Attributes'!C20:C2242""), 1,false)"),"ALT_UOM1_RMPM")</f>
        <v>ALT_UOM1_RMPM</v>
      </c>
      <c r="I3774" s="136"/>
    </row>
    <row r="3775" ht="15.75" customHeight="1">
      <c r="B3775" s="63">
        <f t="shared" si="1"/>
        <v>7</v>
      </c>
      <c r="C3775" s="146" t="s">
        <v>272</v>
      </c>
      <c r="D3775" s="147" t="s">
        <v>74</v>
      </c>
      <c r="E3775" s="135">
        <f t="shared" si="59"/>
        <v>13</v>
      </c>
      <c r="F3775" s="154" t="s">
        <v>3805</v>
      </c>
      <c r="G3775" s="63" t="str">
        <f>VLOOKUP(C3775, 'Class Def. - General Data'!$C$20:$C$1000,1,false)</f>
        <v>ZPM1_CB</v>
      </c>
      <c r="H3775" s="63" t="str">
        <f>IFERROR(__xludf.DUMMYFUNCTION("VLOOKUP(F3775, IMPORTRANGE(""https://docs.google.com/spreadsheets/d/1Lhp9OU0JdFf_VYSMzH5lBcEaU4o8teT1piV-SNzShjg/edit?gid=554141278#gid=554141278"", ""'Char Def. - Attributes'!C20:C2242""), 1,false)"),"ALT_DENUM_UOM1")</f>
        <v>ALT_DENUM_UOM1</v>
      </c>
      <c r="I3775" s="136"/>
    </row>
    <row r="3776" ht="15.75" customHeight="1">
      <c r="B3776" s="63">
        <f t="shared" si="1"/>
        <v>7</v>
      </c>
      <c r="C3776" s="146" t="s">
        <v>272</v>
      </c>
      <c r="D3776" s="147" t="s">
        <v>74</v>
      </c>
      <c r="E3776" s="135">
        <f t="shared" si="59"/>
        <v>14</v>
      </c>
      <c r="F3776" s="154" t="s">
        <v>3806</v>
      </c>
      <c r="G3776" s="63" t="str">
        <f>VLOOKUP(C3776, 'Class Def. - General Data'!$C$20:$C$1000,1,false)</f>
        <v>ZPM1_CB</v>
      </c>
      <c r="H3776" s="63" t="str">
        <f>IFERROR(__xludf.DUMMYFUNCTION("VLOOKUP(F3776, IMPORTRANGE(""https://docs.google.com/spreadsheets/d/1Lhp9OU0JdFf_VYSMzH5lBcEaU4o8teT1piV-SNzShjg/edit?gid=554141278#gid=554141278"", ""'Char Def. - Attributes'!C20:C2242""), 1,false)"),"ALT_NUM_UOM1")</f>
        <v>ALT_NUM_UOM1</v>
      </c>
      <c r="I3776" s="136"/>
    </row>
    <row r="3777" ht="15.75" customHeight="1">
      <c r="B3777" s="63">
        <f t="shared" si="1"/>
        <v>7</v>
      </c>
      <c r="C3777" s="146" t="s">
        <v>272</v>
      </c>
      <c r="D3777" s="147" t="s">
        <v>74</v>
      </c>
      <c r="E3777" s="135">
        <f t="shared" si="59"/>
        <v>15</v>
      </c>
      <c r="F3777" s="154" t="s">
        <v>3870</v>
      </c>
      <c r="G3777" s="63" t="str">
        <f>VLOOKUP(C3777, 'Class Def. - General Data'!$C$20:$C$1000,1,false)</f>
        <v>ZPM1_CB</v>
      </c>
      <c r="H3777" s="63" t="str">
        <f>IFERROR(__xludf.DUMMYFUNCTION("VLOOKUP(F3777, IMPORTRANGE(""https://docs.google.com/spreadsheets/d/1Lhp9OU0JdFf_VYSMzH5lBcEaU4o8teT1piV-SNzShjg/edit?gid=554141278#gid=554141278"", ""'Char Def. - Attributes'!C20:C2242""), 1,false)"),"ALT_UOM2_RMPM")</f>
        <v>ALT_UOM2_RMPM</v>
      </c>
      <c r="I3777" s="136"/>
    </row>
    <row r="3778" ht="15.75" customHeight="1">
      <c r="B3778" s="63">
        <f t="shared" si="1"/>
        <v>7</v>
      </c>
      <c r="C3778" s="146" t="s">
        <v>272</v>
      </c>
      <c r="D3778" s="147" t="s">
        <v>74</v>
      </c>
      <c r="E3778" s="135">
        <f t="shared" si="59"/>
        <v>16</v>
      </c>
      <c r="F3778" s="154" t="s">
        <v>3808</v>
      </c>
      <c r="G3778" s="63" t="str">
        <f>VLOOKUP(C3778, 'Class Def. - General Data'!$C$20:$C$1000,1,false)</f>
        <v>ZPM1_CB</v>
      </c>
      <c r="H3778" s="63" t="str">
        <f>IFERROR(__xludf.DUMMYFUNCTION("VLOOKUP(F3778, IMPORTRANGE(""https://docs.google.com/spreadsheets/d/1Lhp9OU0JdFf_VYSMzH5lBcEaU4o8teT1piV-SNzShjg/edit?gid=554141278#gid=554141278"", ""'Char Def. - Attributes'!C20:C2242""), 1,false)"),"ALT_DENUM_UOM2")</f>
        <v>ALT_DENUM_UOM2</v>
      </c>
      <c r="I3778" s="136"/>
    </row>
    <row r="3779" ht="15.75" customHeight="1">
      <c r="B3779" s="63">
        <f t="shared" si="1"/>
        <v>7</v>
      </c>
      <c r="C3779" s="146" t="s">
        <v>272</v>
      </c>
      <c r="D3779" s="147" t="s">
        <v>74</v>
      </c>
      <c r="E3779" s="135">
        <f t="shared" si="59"/>
        <v>17</v>
      </c>
      <c r="F3779" s="154" t="s">
        <v>3809</v>
      </c>
      <c r="G3779" s="63" t="str">
        <f>VLOOKUP(C3779, 'Class Def. - General Data'!$C$20:$C$1000,1,false)</f>
        <v>ZPM1_CB</v>
      </c>
      <c r="H3779" s="63" t="str">
        <f>IFERROR(__xludf.DUMMYFUNCTION("VLOOKUP(F3779, IMPORTRANGE(""https://docs.google.com/spreadsheets/d/1Lhp9OU0JdFf_VYSMzH5lBcEaU4o8teT1piV-SNzShjg/edit?gid=554141278#gid=554141278"", ""'Char Def. - Attributes'!C20:C2242""), 1,false)"),"ALT_NUM_UOM2")</f>
        <v>ALT_NUM_UOM2</v>
      </c>
      <c r="I3779" s="136"/>
    </row>
    <row r="3780" ht="15.75" customHeight="1">
      <c r="B3780" s="63">
        <f t="shared" si="1"/>
        <v>7</v>
      </c>
      <c r="C3780" s="146" t="s">
        <v>272</v>
      </c>
      <c r="D3780" s="147" t="s">
        <v>74</v>
      </c>
      <c r="E3780" s="135">
        <f t="shared" si="59"/>
        <v>18</v>
      </c>
      <c r="F3780" s="154" t="s">
        <v>3871</v>
      </c>
      <c r="G3780" s="63" t="str">
        <f>VLOOKUP(C3780, 'Class Def. - General Data'!$C$20:$C$1000,1,false)</f>
        <v>ZPM1_CB</v>
      </c>
      <c r="H3780" s="63" t="str">
        <f>IFERROR(__xludf.DUMMYFUNCTION("VLOOKUP(F3780, IMPORTRANGE(""https://docs.google.com/spreadsheets/d/1Lhp9OU0JdFf_VYSMzH5lBcEaU4o8teT1piV-SNzShjg/edit?gid=554141278#gid=554141278"", ""'Char Def. - Attributes'!C20:C2242""), 1,false)"),"ALT_UOM3_RMPM")</f>
        <v>ALT_UOM3_RMPM</v>
      </c>
      <c r="I3780" s="136"/>
    </row>
    <row r="3781" ht="15.75" customHeight="1">
      <c r="B3781" s="63">
        <f t="shared" si="1"/>
        <v>7</v>
      </c>
      <c r="C3781" s="146" t="s">
        <v>272</v>
      </c>
      <c r="D3781" s="147" t="s">
        <v>74</v>
      </c>
      <c r="E3781" s="135">
        <f t="shared" si="59"/>
        <v>19</v>
      </c>
      <c r="F3781" s="154" t="s">
        <v>3811</v>
      </c>
      <c r="G3781" s="63" t="str">
        <f>VLOOKUP(C3781, 'Class Def. - General Data'!$C$20:$C$1000,1,false)</f>
        <v>ZPM1_CB</v>
      </c>
      <c r="H3781" s="63" t="str">
        <f>IFERROR(__xludf.DUMMYFUNCTION("VLOOKUP(F3781, IMPORTRANGE(""https://docs.google.com/spreadsheets/d/1Lhp9OU0JdFf_VYSMzH5lBcEaU4o8teT1piV-SNzShjg/edit?gid=554141278#gid=554141278"", ""'Char Def. - Attributes'!C20:C2242""), 1,false)"),"ALT_DENUM_UOM3")</f>
        <v>ALT_DENUM_UOM3</v>
      </c>
      <c r="I3781" s="136"/>
    </row>
    <row r="3782" ht="15.75" customHeight="1">
      <c r="B3782" s="63">
        <f t="shared" si="1"/>
        <v>7</v>
      </c>
      <c r="C3782" s="146" t="s">
        <v>272</v>
      </c>
      <c r="D3782" s="147" t="s">
        <v>74</v>
      </c>
      <c r="E3782" s="135">
        <f t="shared" si="59"/>
        <v>20</v>
      </c>
      <c r="F3782" s="154" t="s">
        <v>3812</v>
      </c>
      <c r="G3782" s="63" t="str">
        <f>VLOOKUP(C3782, 'Class Def. - General Data'!$C$20:$C$1000,1,false)</f>
        <v>ZPM1_CB</v>
      </c>
      <c r="H3782" s="63" t="str">
        <f>IFERROR(__xludf.DUMMYFUNCTION("VLOOKUP(F3782, IMPORTRANGE(""https://docs.google.com/spreadsheets/d/1Lhp9OU0JdFf_VYSMzH5lBcEaU4o8teT1piV-SNzShjg/edit?gid=554141278#gid=554141278"", ""'Char Def. - Attributes'!C20:C2242""), 1,false)"),"ALT_NUM_UOM3")</f>
        <v>ALT_NUM_UOM3</v>
      </c>
      <c r="I3782" s="136"/>
    </row>
    <row r="3783" ht="15.75" customHeight="1">
      <c r="B3783" s="63">
        <f t="shared" si="1"/>
        <v>7</v>
      </c>
      <c r="C3783" s="146" t="s">
        <v>272</v>
      </c>
      <c r="D3783" s="147" t="s">
        <v>74</v>
      </c>
      <c r="E3783" s="135">
        <f t="shared" si="59"/>
        <v>21</v>
      </c>
      <c r="F3783" s="154" t="s">
        <v>3872</v>
      </c>
      <c r="G3783" s="63" t="str">
        <f>VLOOKUP(C3783, 'Class Def. - General Data'!$C$20:$C$1000,1,false)</f>
        <v>ZPM1_CB</v>
      </c>
      <c r="H3783" s="63" t="str">
        <f>IFERROR(__xludf.DUMMYFUNCTION("VLOOKUP(F3783, IMPORTRANGE(""https://docs.google.com/spreadsheets/d/1Lhp9OU0JdFf_VYSMzH5lBcEaU4o8teT1piV-SNzShjg/edit?gid=554141278#gid=554141278"", ""'Char Def. - Attributes'!C20:C2242""), 1,false)"),"ALT_UOM4_RMPM")</f>
        <v>ALT_UOM4_RMPM</v>
      </c>
      <c r="I3783" s="136"/>
    </row>
    <row r="3784" ht="15.75" customHeight="1">
      <c r="B3784" s="63">
        <f t="shared" si="1"/>
        <v>7</v>
      </c>
      <c r="C3784" s="146" t="s">
        <v>272</v>
      </c>
      <c r="D3784" s="147" t="s">
        <v>74</v>
      </c>
      <c r="E3784" s="135">
        <f t="shared" si="59"/>
        <v>22</v>
      </c>
      <c r="F3784" s="146" t="s">
        <v>3814</v>
      </c>
      <c r="G3784" s="63" t="str">
        <f>VLOOKUP(C3784, 'Class Def. - General Data'!$C$20:$C$1000,1,false)</f>
        <v>ZPM1_CB</v>
      </c>
      <c r="H3784" s="63" t="str">
        <f>IFERROR(__xludf.DUMMYFUNCTION("VLOOKUP(F3784, IMPORTRANGE(""https://docs.google.com/spreadsheets/d/1Lhp9OU0JdFf_VYSMzH5lBcEaU4o8teT1piV-SNzShjg/edit?gid=554141278#gid=554141278"", ""'Char Def. - Attributes'!C20:C2242""), 1,false)"),"ALT_DENUM_UOM4")</f>
        <v>ALT_DENUM_UOM4</v>
      </c>
      <c r="I3784" s="136"/>
    </row>
    <row r="3785" ht="15.75" customHeight="1">
      <c r="B3785" s="63">
        <f t="shared" si="1"/>
        <v>7</v>
      </c>
      <c r="C3785" s="146" t="s">
        <v>272</v>
      </c>
      <c r="D3785" s="147" t="s">
        <v>74</v>
      </c>
      <c r="E3785" s="135">
        <f t="shared" si="59"/>
        <v>23</v>
      </c>
      <c r="F3785" s="154" t="s">
        <v>3815</v>
      </c>
      <c r="G3785" s="63" t="str">
        <f>VLOOKUP(C3785, 'Class Def. - General Data'!$C$20:$C$1000,1,false)</f>
        <v>ZPM1_CB</v>
      </c>
      <c r="H3785" s="63" t="str">
        <f>IFERROR(__xludf.DUMMYFUNCTION("VLOOKUP(F3785, IMPORTRANGE(""https://docs.google.com/spreadsheets/d/1Lhp9OU0JdFf_VYSMzH5lBcEaU4o8teT1piV-SNzShjg/edit?gid=554141278#gid=554141278"", ""'Char Def. - Attributes'!C20:C2242""), 1,false)"),"ALT_NUM_UOM4")</f>
        <v>ALT_NUM_UOM4</v>
      </c>
      <c r="I3785" s="136"/>
    </row>
    <row r="3786" ht="15.75" customHeight="1">
      <c r="B3786" s="63">
        <f t="shared" si="1"/>
        <v>7</v>
      </c>
      <c r="C3786" s="146" t="s">
        <v>272</v>
      </c>
      <c r="D3786" s="147" t="s">
        <v>74</v>
      </c>
      <c r="E3786" s="135">
        <f t="shared" si="59"/>
        <v>24</v>
      </c>
      <c r="F3786" s="154" t="s">
        <v>3873</v>
      </c>
      <c r="G3786" s="63" t="str">
        <f>VLOOKUP(C3786, 'Class Def. - General Data'!$C$20:$C$1000,1,false)</f>
        <v>ZPM1_CB</v>
      </c>
      <c r="H3786" s="63" t="str">
        <f>IFERROR(__xludf.DUMMYFUNCTION("VLOOKUP(F3786, IMPORTRANGE(""https://docs.google.com/spreadsheets/d/1Lhp9OU0JdFf_VYSMzH5lBcEaU4o8teT1piV-SNzShjg/edit?gid=554141278#gid=554141278"", ""'Char Def. - Attributes'!C20:C2242""), 1,false)"),"ALT_UOM5_RMPM")</f>
        <v>ALT_UOM5_RMPM</v>
      </c>
      <c r="I3786" s="136"/>
    </row>
    <row r="3787" ht="15.75" customHeight="1">
      <c r="B3787" s="63">
        <f t="shared" si="1"/>
        <v>7</v>
      </c>
      <c r="C3787" s="146" t="s">
        <v>272</v>
      </c>
      <c r="D3787" s="147" t="s">
        <v>74</v>
      </c>
      <c r="E3787" s="135">
        <f t="shared" si="59"/>
        <v>25</v>
      </c>
      <c r="F3787" s="154" t="s">
        <v>3817</v>
      </c>
      <c r="G3787" s="63" t="str">
        <f>VLOOKUP(C3787, 'Class Def. - General Data'!$C$20:$C$1000,1,false)</f>
        <v>ZPM1_CB</v>
      </c>
      <c r="H3787" s="63" t="str">
        <f>IFERROR(__xludf.DUMMYFUNCTION("VLOOKUP(F3787, IMPORTRANGE(""https://docs.google.com/spreadsheets/d/1Lhp9OU0JdFf_VYSMzH5lBcEaU4o8teT1piV-SNzShjg/edit?gid=554141278#gid=554141278"", ""'Char Def. - Attributes'!C20:C2242""), 1,false)"),"ALT_DENUM_UOM5")</f>
        <v>ALT_DENUM_UOM5</v>
      </c>
      <c r="I3787" s="136"/>
    </row>
    <row r="3788" ht="15.75" customHeight="1">
      <c r="B3788" s="63">
        <f t="shared" si="1"/>
        <v>7</v>
      </c>
      <c r="C3788" s="146" t="s">
        <v>272</v>
      </c>
      <c r="D3788" s="147" t="s">
        <v>74</v>
      </c>
      <c r="E3788" s="135">
        <f t="shared" si="59"/>
        <v>26</v>
      </c>
      <c r="F3788" s="154" t="s">
        <v>3818</v>
      </c>
      <c r="G3788" s="63" t="str">
        <f>VLOOKUP(C3788, 'Class Def. - General Data'!$C$20:$C$1000,1,false)</f>
        <v>ZPM1_CB</v>
      </c>
      <c r="H3788" s="63" t="str">
        <f>IFERROR(__xludf.DUMMYFUNCTION("VLOOKUP(F3788, IMPORTRANGE(""https://docs.google.com/spreadsheets/d/1Lhp9OU0JdFf_VYSMzH5lBcEaU4o8teT1piV-SNzShjg/edit?gid=554141278#gid=554141278"", ""'Char Def. - Attributes'!C20:C2242""), 1,false)"),"ALT_NUM_UOM5")</f>
        <v>ALT_NUM_UOM5</v>
      </c>
      <c r="I3788" s="136"/>
    </row>
    <row r="3789" ht="15.75" customHeight="1">
      <c r="B3789" s="63">
        <f t="shared" si="1"/>
        <v>7</v>
      </c>
      <c r="C3789" s="146" t="s">
        <v>272</v>
      </c>
      <c r="D3789" s="147" t="s">
        <v>74</v>
      </c>
      <c r="E3789" s="135">
        <f t="shared" si="59"/>
        <v>27</v>
      </c>
      <c r="F3789" s="154" t="s">
        <v>3874</v>
      </c>
      <c r="G3789" s="63" t="str">
        <f>VLOOKUP(C3789, 'Class Def. - General Data'!$C$20:$C$1000,1,false)</f>
        <v>ZPM1_CB</v>
      </c>
      <c r="H3789" s="63" t="str">
        <f>IFERROR(__xludf.DUMMYFUNCTION("VLOOKUP(F3789, IMPORTRANGE(""https://docs.google.com/spreadsheets/d/1Lhp9OU0JdFf_VYSMzH5lBcEaU4o8teT1piV-SNzShjg/edit?gid=554141278#gid=554141278"", ""'Char Def. - Attributes'!C20:C2242""), 1,false)"),"VALUATION_CATEGORY")</f>
        <v>VALUATION_CATEGORY</v>
      </c>
      <c r="I3789" s="136"/>
    </row>
    <row r="3790" ht="15.75" customHeight="1">
      <c r="B3790" s="63">
        <f t="shared" si="1"/>
        <v>7</v>
      </c>
      <c r="C3790" s="146" t="s">
        <v>272</v>
      </c>
      <c r="D3790" s="147" t="s">
        <v>74</v>
      </c>
      <c r="E3790" s="135">
        <f t="shared" si="59"/>
        <v>28</v>
      </c>
      <c r="F3790" s="154" t="s">
        <v>3800</v>
      </c>
      <c r="G3790" s="63" t="str">
        <f>VLOOKUP(C3790, 'Class Def. - General Data'!$C$20:$C$1000,1,false)</f>
        <v>ZPM1_CB</v>
      </c>
      <c r="H3790" s="63" t="str">
        <f>IFERROR(__xludf.DUMMYFUNCTION("VLOOKUP(F3790, IMPORTRANGE(""https://docs.google.com/spreadsheets/d/1Lhp9OU0JdFf_VYSMzH5lBcEaU4o8teT1piV-SNzShjg/edit?gid=554141278#gid=554141278"", ""'Char Def. - Attributes'!C20:C2242""), 1,false)"),"ORDER_UNIT_DIFF_FROM_BASIC_UOM")</f>
        <v>ORDER_UNIT_DIFF_FROM_BASIC_UOM</v>
      </c>
      <c r="I3790" s="136"/>
    </row>
    <row r="3791" ht="15.75" customHeight="1">
      <c r="B3791" s="63">
        <f t="shared" si="1"/>
        <v>7</v>
      </c>
      <c r="C3791" s="146" t="s">
        <v>272</v>
      </c>
      <c r="D3791" s="147" t="s">
        <v>74</v>
      </c>
      <c r="E3791" s="135">
        <f t="shared" si="59"/>
        <v>29</v>
      </c>
      <c r="F3791" s="154" t="s">
        <v>3875</v>
      </c>
      <c r="G3791" s="63" t="str">
        <f>VLOOKUP(C3791, 'Class Def. - General Data'!$C$20:$C$1000,1,false)</f>
        <v>ZPM1_CB</v>
      </c>
      <c r="H3791" s="63" t="str">
        <f>IFERROR(__xludf.DUMMYFUNCTION("VLOOKUP(F3791, IMPORTRANGE(""https://docs.google.com/spreadsheets/d/1Lhp9OU0JdFf_VYSMzH5lBcEaU4o8teT1piV-SNzShjg/edit?gid=554141278#gid=554141278"", ""'Char Def. - Attributes'!C20:C2242""), 1,false)"),"ORDER_UNIT_RMPM")</f>
        <v>ORDER_UNIT_RMPM</v>
      </c>
      <c r="I3791" s="136"/>
    </row>
    <row r="3792" ht="15.75" customHeight="1">
      <c r="B3792" s="63">
        <f t="shared" si="1"/>
        <v>7</v>
      </c>
      <c r="C3792" s="146" t="s">
        <v>272</v>
      </c>
      <c r="D3792" s="147" t="s">
        <v>74</v>
      </c>
      <c r="E3792" s="135">
        <f t="shared" si="59"/>
        <v>30</v>
      </c>
      <c r="F3792" s="157" t="s">
        <v>3602</v>
      </c>
      <c r="G3792" s="63" t="str">
        <f>VLOOKUP(C3792, 'Class Def. - General Data'!$C$20:$C$1000,1,false)</f>
        <v>ZPM1_CB</v>
      </c>
      <c r="H3792" s="63" t="str">
        <f>IFERROR(__xludf.DUMMYFUNCTION("VLOOKUP(F3792, IMPORTRANGE(""https://docs.google.com/spreadsheets/d/1Lhp9OU0JdFf_VYSMzH5lBcEaU4o8teT1piV-SNzShjg/edit?gid=554141278#gid=554141278"", ""'Char Def. - Attributes'!C20:C2242""), 1,false)"),"NET_WEIGHT")</f>
        <v>NET_WEIGHT</v>
      </c>
      <c r="I3792" s="136"/>
    </row>
    <row r="3793" ht="15.75" customHeight="1">
      <c r="B3793" s="63">
        <f t="shared" si="1"/>
        <v>7</v>
      </c>
      <c r="C3793" s="146" t="s">
        <v>272</v>
      </c>
      <c r="D3793" s="147" t="s">
        <v>74</v>
      </c>
      <c r="E3793" s="135">
        <f t="shared" si="59"/>
        <v>31</v>
      </c>
      <c r="F3793" s="157" t="s">
        <v>3601</v>
      </c>
      <c r="G3793" s="63" t="str">
        <f>VLOOKUP(C3793, 'Class Def. - General Data'!$C$20:$C$1000,1,false)</f>
        <v>ZPM1_CB</v>
      </c>
      <c r="H3793" s="63" t="str">
        <f>IFERROR(__xludf.DUMMYFUNCTION("VLOOKUP(F3793, IMPORTRANGE(""https://docs.google.com/spreadsheets/d/1Lhp9OU0JdFf_VYSMzH5lBcEaU4o8teT1piV-SNzShjg/edit?gid=554141278#gid=554141278"", ""'Char Def. - Attributes'!C20:C2242""), 1,false)"),"GROSS_WEIGHT")</f>
        <v>GROSS_WEIGHT</v>
      </c>
      <c r="I3793" s="136"/>
    </row>
    <row r="3794" ht="15.75" customHeight="1">
      <c r="B3794" s="63">
        <f t="shared" si="1"/>
        <v>7</v>
      </c>
      <c r="C3794" s="146" t="s">
        <v>272</v>
      </c>
      <c r="D3794" s="147" t="s">
        <v>74</v>
      </c>
      <c r="E3794" s="135">
        <f t="shared" si="59"/>
        <v>32</v>
      </c>
      <c r="F3794" s="143" t="s">
        <v>3876</v>
      </c>
      <c r="G3794" s="63" t="str">
        <f>VLOOKUP(C3794, 'Class Def. - General Data'!$C$20:$C$1000,1,false)</f>
        <v>ZPM1_CB</v>
      </c>
      <c r="H3794" s="63" t="str">
        <f>IFERROR(__xludf.DUMMYFUNCTION("VLOOKUP(F3794, IMPORTRANGE(""https://docs.google.com/spreadsheets/d/1Lhp9OU0JdFf_VYSMzH5lBcEaU4o8teT1piV-SNzShjg/edit?gid=554141278#gid=554141278"", ""'Char Def. - Attributes'!C20:C2242""), 1,false)"),"WEIGHT_UNIT_PM")</f>
        <v>WEIGHT_UNIT_PM</v>
      </c>
      <c r="I3794" s="136"/>
    </row>
    <row r="3795" ht="15.75" customHeight="1">
      <c r="B3795" s="63">
        <f t="shared" si="1"/>
        <v>7</v>
      </c>
      <c r="C3795" s="146" t="s">
        <v>272</v>
      </c>
      <c r="D3795" s="147" t="s">
        <v>74</v>
      </c>
      <c r="E3795" s="135">
        <f t="shared" si="59"/>
        <v>33</v>
      </c>
      <c r="F3795" s="157" t="s">
        <v>3877</v>
      </c>
      <c r="G3795" s="63" t="str">
        <f>VLOOKUP(C3795, 'Class Def. - General Data'!$C$20:$C$1000,1,false)</f>
        <v>ZPM1_CB</v>
      </c>
      <c r="H3795" s="63" t="str">
        <f>IFERROR(__xludf.DUMMYFUNCTION("VLOOKUP(F3795, IMPORTRANGE(""https://docs.google.com/spreadsheets/d/1Lhp9OU0JdFf_VYSMzH5lBcEaU4o8teT1piV-SNzShjg/edit?gid=554141278#gid=554141278"", ""'Char Def. - Attributes'!C20:C2242""), 1,false)"),"VOLUME_OPT")</f>
        <v>VOLUME_OPT</v>
      </c>
      <c r="I3795" s="136"/>
    </row>
    <row r="3796" ht="15.75" customHeight="1">
      <c r="B3796" s="63">
        <f t="shared" si="1"/>
        <v>7</v>
      </c>
      <c r="C3796" s="146" t="s">
        <v>272</v>
      </c>
      <c r="D3796" s="147" t="s">
        <v>74</v>
      </c>
      <c r="E3796" s="135">
        <f t="shared" si="59"/>
        <v>34</v>
      </c>
      <c r="F3796" s="154" t="s">
        <v>3878</v>
      </c>
      <c r="G3796" s="63" t="str">
        <f>VLOOKUP(C3796, 'Class Def. - General Data'!$C$20:$C$1000,1,false)</f>
        <v>ZPM1_CB</v>
      </c>
      <c r="H3796" s="63" t="str">
        <f>IFERROR(__xludf.DUMMYFUNCTION("VLOOKUP(F3796, IMPORTRANGE(""https://docs.google.com/spreadsheets/d/1Lhp9OU0JdFf_VYSMzH5lBcEaU4o8teT1piV-SNzShjg/edit?gid=554141278#gid=554141278"", ""'Char Def. - Attributes'!C20:C2242""), 1,false)"),"VOLUME_UNIT")</f>
        <v>VOLUME_UNIT</v>
      </c>
      <c r="I3796" s="136"/>
    </row>
    <row r="3797" ht="15.75" customHeight="1">
      <c r="B3797" s="63">
        <f t="shared" si="1"/>
        <v>7</v>
      </c>
      <c r="C3797" s="146" t="s">
        <v>272</v>
      </c>
      <c r="D3797" s="147" t="s">
        <v>74</v>
      </c>
      <c r="E3797" s="135">
        <f t="shared" si="59"/>
        <v>35</v>
      </c>
      <c r="F3797" s="156" t="s">
        <v>3879</v>
      </c>
      <c r="G3797" s="63" t="str">
        <f>VLOOKUP(C3797, 'Class Def. - General Data'!$C$20:$C$1000,1,false)</f>
        <v>ZPM1_CB</v>
      </c>
      <c r="H3797" s="63" t="str">
        <f>IFERROR(__xludf.DUMMYFUNCTION("VLOOKUP(F3797, IMPORTRANGE(""https://docs.google.com/spreadsheets/d/1Lhp9OU0JdFf_VYSMzH5lBcEaU4o8teT1piV-SNzShjg/edit?gid=554141278#gid=554141278"", ""'Char Def. - Attributes'!C20:C2242""), 1,false)"),"OLD_MAT_NO_RMPM")</f>
        <v>OLD_MAT_NO_RMPM</v>
      </c>
      <c r="I3797" s="136"/>
    </row>
    <row r="3798" ht="15.75" customHeight="1">
      <c r="B3798" s="63">
        <f t="shared" si="1"/>
        <v>7</v>
      </c>
      <c r="C3798" s="146" t="s">
        <v>272</v>
      </c>
      <c r="D3798" s="147" t="s">
        <v>74</v>
      </c>
      <c r="E3798" s="135">
        <f t="shared" si="59"/>
        <v>36</v>
      </c>
      <c r="F3798" s="146" t="s">
        <v>3880</v>
      </c>
      <c r="G3798" s="63" t="str">
        <f>VLOOKUP(C3798, 'Class Def. - General Data'!$C$20:$C$1000,1,false)</f>
        <v>ZPM1_CB</v>
      </c>
      <c r="H3798" s="63" t="str">
        <f>IFERROR(__xludf.DUMMYFUNCTION("VLOOKUP(F3798, IMPORTRANGE(""https://docs.google.com/spreadsheets/d/1Lhp9OU0JdFf_VYSMzH5lBcEaU4o8teT1piV-SNzShjg/edit?gid=554141278#gid=554141278"", ""'Char Def. - Attributes'!C20:C2242""), 1,false)"),"NOTE_PM")</f>
        <v>NOTE_PM</v>
      </c>
      <c r="I3798" s="136"/>
    </row>
    <row r="3799" ht="15.75" customHeight="1">
      <c r="B3799" s="63">
        <f t="shared" si="1"/>
        <v>7</v>
      </c>
      <c r="C3799" s="146" t="s">
        <v>272</v>
      </c>
      <c r="D3799" s="147" t="s">
        <v>74</v>
      </c>
      <c r="E3799" s="135">
        <f t="shared" si="59"/>
        <v>37</v>
      </c>
      <c r="F3799" s="146" t="s">
        <v>3881</v>
      </c>
      <c r="G3799" s="63" t="str">
        <f>VLOOKUP(C3799, 'Class Def. - General Data'!$C$20:$C$1000,1,false)</f>
        <v>ZPM1_CB</v>
      </c>
      <c r="H3799" s="63" t="str">
        <f>IFERROR(__xludf.DUMMYFUNCTION("VLOOKUP(F3799, IMPORTRANGE(""https://docs.google.com/spreadsheets/d/1Lhp9OU0JdFf_VYSMzH5lBcEaU4o8teT1piV-SNzShjg/edit?gid=554141278#gid=554141278"", ""'Char Def. - Attributes'!C20:C2242""), 1,false)"),"BS_BERSIH")</f>
        <v>BS_BERSIH</v>
      </c>
      <c r="I3799" s="136"/>
    </row>
    <row r="3800" ht="15.75" customHeight="1">
      <c r="B3800" s="63">
        <f t="shared" si="1"/>
        <v>7</v>
      </c>
      <c r="C3800" s="146" t="s">
        <v>272</v>
      </c>
      <c r="D3800" s="147" t="s">
        <v>74</v>
      </c>
      <c r="E3800" s="135">
        <f t="shared" si="59"/>
        <v>38</v>
      </c>
      <c r="F3800" s="146" t="s">
        <v>3882</v>
      </c>
      <c r="G3800" s="63" t="str">
        <f>VLOOKUP(C3800, 'Class Def. - General Data'!$C$20:$C$1000,1,false)</f>
        <v>ZPM1_CB</v>
      </c>
      <c r="H3800" s="63" t="str">
        <f>IFERROR(__xludf.DUMMYFUNCTION("VLOOKUP(F3800, IMPORTRANGE(""https://docs.google.com/spreadsheets/d/1Lhp9OU0JdFf_VYSMzH5lBcEaU4o8teT1piV-SNzShjg/edit?gid=554141278#gid=554141278"", ""'Char Def. - Attributes'!C20:C2242""), 1,false)"),"BS_KOTOR")</f>
        <v>BS_KOTOR</v>
      </c>
      <c r="I3800" s="136"/>
    </row>
    <row r="3801" ht="15.75" customHeight="1">
      <c r="B3801" s="63">
        <f t="shared" si="1"/>
        <v>7</v>
      </c>
      <c r="C3801" s="146" t="s">
        <v>272</v>
      </c>
      <c r="D3801" s="147" t="s">
        <v>74</v>
      </c>
      <c r="E3801" s="135">
        <f t="shared" si="59"/>
        <v>39</v>
      </c>
      <c r="F3801" s="146" t="s">
        <v>3883</v>
      </c>
      <c r="G3801" s="63" t="str">
        <f>VLOOKUP(C3801, 'Class Def. - General Data'!$C$20:$C$1000,1,false)</f>
        <v>ZPM1_CB</v>
      </c>
      <c r="H3801" s="63" t="str">
        <f>IFERROR(__xludf.DUMMYFUNCTION("VLOOKUP(F3801, IMPORTRANGE(""https://docs.google.com/spreadsheets/d/1Lhp9OU0JdFf_VYSMzH5lBcEaU4o8teT1piV-SNzShjg/edit?gid=554141278#gid=554141278"", ""'Char Def. - Attributes'!C20:C2242""), 1,false)"),"BS_SCRAP")</f>
        <v>BS_SCRAP</v>
      </c>
      <c r="I3801" s="136"/>
    </row>
    <row r="3802" ht="15.75" customHeight="1">
      <c r="B3802" s="63">
        <f t="shared" si="1"/>
        <v>14</v>
      </c>
      <c r="C3802" s="146" t="s">
        <v>245</v>
      </c>
      <c r="D3802" s="147" t="s">
        <v>74</v>
      </c>
      <c r="E3802" s="135">
        <f t="shared" si="59"/>
        <v>1</v>
      </c>
      <c r="F3802" s="143" t="s">
        <v>3923</v>
      </c>
      <c r="G3802" s="63" t="str">
        <f>VLOOKUP(C3802, 'Class Def. - General Data'!$C$20:$C$1000,1,false)</f>
        <v>ZPM1_Cup_Paper</v>
      </c>
      <c r="H3802" s="63" t="str">
        <f>IFERROR(__xludf.DUMMYFUNCTION("VLOOKUP(F3802, IMPORTRANGE(""https://docs.google.com/spreadsheets/d/1Lhp9OU0JdFf_VYSMzH5lBcEaU4o8teT1piV-SNzShjg/edit?gid=554141278#gid=554141278"", ""'Char Def. - Attributes'!C20:C2242""), 1,false)"),"MATERIAL_CODE_CUP_PAPER")</f>
        <v>MATERIAL_CODE_CUP_PAPER</v>
      </c>
      <c r="I3802" s="136"/>
    </row>
    <row r="3803" ht="15.75" customHeight="1">
      <c r="B3803" s="63">
        <f t="shared" si="1"/>
        <v>14</v>
      </c>
      <c r="C3803" s="146" t="s">
        <v>245</v>
      </c>
      <c r="D3803" s="147" t="s">
        <v>74</v>
      </c>
      <c r="E3803" s="135">
        <f t="shared" si="59"/>
        <v>2</v>
      </c>
      <c r="F3803" s="143" t="s">
        <v>3852</v>
      </c>
      <c r="G3803" s="63" t="str">
        <f>VLOOKUP(C3803, 'Class Def. - General Data'!$C$20:$C$1000,1,false)</f>
        <v>ZPM1_Cup_Paper</v>
      </c>
      <c r="H3803" s="63" t="str">
        <f>IFERROR(__xludf.DUMMYFUNCTION("VLOOKUP(F3803, IMPORTRANGE(""https://docs.google.com/spreadsheets/d/1Lhp9OU0JdFf_VYSMzH5lBcEaU4o8teT1piV-SNzShjg/edit?gid=554141278#gid=554141278"", ""'Char Def. - Attributes'!C20:C2242""), 1,false)"),"SINGLE_BRAND")</f>
        <v>SINGLE_BRAND</v>
      </c>
      <c r="I3803" s="136"/>
    </row>
    <row r="3804" ht="15.75" customHeight="1">
      <c r="B3804" s="63">
        <f t="shared" si="1"/>
        <v>14</v>
      </c>
      <c r="C3804" s="146" t="s">
        <v>245</v>
      </c>
      <c r="D3804" s="147" t="s">
        <v>74</v>
      </c>
      <c r="E3804" s="135">
        <f t="shared" si="59"/>
        <v>3</v>
      </c>
      <c r="F3804" s="143" t="s">
        <v>3853</v>
      </c>
      <c r="G3804" s="63" t="str">
        <f>VLOOKUP(C3804, 'Class Def. - General Data'!$C$20:$C$1000,1,false)</f>
        <v>ZPM1_Cup_Paper</v>
      </c>
      <c r="H3804" s="63" t="str">
        <f>IFERROR(__xludf.DUMMYFUNCTION("VLOOKUP(F3804, IMPORTRANGE(""https://docs.google.com/spreadsheets/d/1Lhp9OU0JdFf_VYSMzH5lBcEaU4o8teT1piV-SNzShjg/edit?gid=554141278#gid=554141278"", ""'Char Def. - Attributes'!C20:C2242""), 1,false)"),"BRAND_WINGS")</f>
        <v>BRAND_WINGS</v>
      </c>
      <c r="I3804" s="136"/>
    </row>
    <row r="3805" ht="15.75" customHeight="1">
      <c r="B3805" s="63">
        <f t="shared" si="1"/>
        <v>14</v>
      </c>
      <c r="C3805" s="146" t="s">
        <v>245</v>
      </c>
      <c r="D3805" s="147" t="s">
        <v>74</v>
      </c>
      <c r="E3805" s="135">
        <f t="shared" si="59"/>
        <v>4</v>
      </c>
      <c r="F3805" s="143" t="s">
        <v>3854</v>
      </c>
      <c r="G3805" s="63" t="str">
        <f>VLOOKUP(C3805, 'Class Def. - General Data'!$C$20:$C$1000,1,false)</f>
        <v>ZPM1_Cup_Paper</v>
      </c>
      <c r="H3805" s="63" t="str">
        <f>IFERROR(__xludf.DUMMYFUNCTION("VLOOKUP(F3805, IMPORTRANGE(""https://docs.google.com/spreadsheets/d/1Lhp9OU0JdFf_VYSMzH5lBcEaU4o8teT1piV-SNzShjg/edit?gid=554141278#gid=554141278"", ""'Char Def. - Attributes'!C20:C2242""), 1,false)"),"SINGLE_PACK_SHAPE")</f>
        <v>SINGLE_PACK_SHAPE</v>
      </c>
      <c r="I3805" s="136"/>
    </row>
    <row r="3806" ht="15.75" customHeight="1">
      <c r="B3806" s="63">
        <f t="shared" si="1"/>
        <v>14</v>
      </c>
      <c r="C3806" s="146" t="s">
        <v>245</v>
      </c>
      <c r="D3806" s="147" t="s">
        <v>74</v>
      </c>
      <c r="E3806" s="135">
        <f t="shared" si="59"/>
        <v>5</v>
      </c>
      <c r="F3806" s="143" t="s">
        <v>3855</v>
      </c>
      <c r="G3806" s="63" t="str">
        <f>VLOOKUP(C3806, 'Class Def. - General Data'!$C$20:$C$1000,1,false)</f>
        <v>ZPM1_Cup_Paper</v>
      </c>
      <c r="H3806" s="63" t="str">
        <f>IFERROR(__xludf.DUMMYFUNCTION("VLOOKUP(F3806, IMPORTRANGE(""https://docs.google.com/spreadsheets/d/1Lhp9OU0JdFf_VYSMzH5lBcEaU4o8teT1piV-SNzShjg/edit?gid=554141278#gid=554141278"", ""'Char Def. - Attributes'!C20:C2242""), 1,false)"),"PACK_SHAPE")</f>
        <v>PACK_SHAPE</v>
      </c>
      <c r="I3806" s="136"/>
    </row>
    <row r="3807" ht="15.75" customHeight="1">
      <c r="B3807" s="63">
        <f t="shared" si="1"/>
        <v>14</v>
      </c>
      <c r="C3807" s="146" t="s">
        <v>245</v>
      </c>
      <c r="D3807" s="147" t="s">
        <v>74</v>
      </c>
      <c r="E3807" s="135">
        <f t="shared" si="59"/>
        <v>6</v>
      </c>
      <c r="F3807" s="143" t="s">
        <v>3857</v>
      </c>
      <c r="G3807" s="63" t="str">
        <f>VLOOKUP(C3807, 'Class Def. - General Data'!$C$20:$C$1000,1,false)</f>
        <v>ZPM1_Cup_Paper</v>
      </c>
      <c r="H3807" s="63" t="str">
        <f>IFERROR(__xludf.DUMMYFUNCTION("VLOOKUP(F3807, IMPORTRANGE(""https://docs.google.com/spreadsheets/d/1Lhp9OU0JdFf_VYSMzH5lBcEaU4o8teT1piV-SNzShjg/edit?gid=554141278#gid=554141278"", ""'Char Def. - Attributes'!C20:C2242""), 1,false)"),"PACK_UOM")</f>
        <v>PACK_UOM</v>
      </c>
      <c r="I3807" s="136"/>
    </row>
    <row r="3808" ht="15.75" customHeight="1">
      <c r="B3808" s="63">
        <f t="shared" si="1"/>
        <v>14</v>
      </c>
      <c r="C3808" s="146" t="s">
        <v>245</v>
      </c>
      <c r="D3808" s="147" t="s">
        <v>74</v>
      </c>
      <c r="E3808" s="135">
        <f t="shared" si="59"/>
        <v>7</v>
      </c>
      <c r="F3808" s="143" t="s">
        <v>3856</v>
      </c>
      <c r="G3808" s="63" t="str">
        <f>VLOOKUP(C3808, 'Class Def. - General Data'!$C$20:$C$1000,1,false)</f>
        <v>ZPM1_Cup_Paper</v>
      </c>
      <c r="H3808" s="63" t="str">
        <f>IFERROR(__xludf.DUMMYFUNCTION("VLOOKUP(F3808, IMPORTRANGE(""https://docs.google.com/spreadsheets/d/1Lhp9OU0JdFf_VYSMzH5lBcEaU4o8teT1piV-SNzShjg/edit?gid=554141278#gid=554141278"", ""'Char Def. - Attributes'!C20:C2242""), 1,false)"),"SINGLE_PACK_NETTO")</f>
        <v>SINGLE_PACK_NETTO</v>
      </c>
      <c r="I3808" s="136"/>
    </row>
    <row r="3809" ht="15.75" customHeight="1">
      <c r="B3809" s="63">
        <f t="shared" si="1"/>
        <v>14</v>
      </c>
      <c r="C3809" s="146" t="s">
        <v>245</v>
      </c>
      <c r="D3809" s="147" t="s">
        <v>74</v>
      </c>
      <c r="E3809" s="135">
        <f t="shared" si="59"/>
        <v>8</v>
      </c>
      <c r="F3809" s="143" t="s">
        <v>3605</v>
      </c>
      <c r="G3809" s="63" t="str">
        <f>VLOOKUP(C3809, 'Class Def. - General Data'!$C$20:$C$1000,1,false)</f>
        <v>ZPM1_Cup_Paper</v>
      </c>
      <c r="H3809" s="63" t="str">
        <f>IFERROR(__xludf.DUMMYFUNCTION("VLOOKUP(F3809, IMPORTRANGE(""https://docs.google.com/spreadsheets/d/1Lhp9OU0JdFf_VYSMzH5lBcEaU4o8teT1piV-SNzShjg/edit?gid=554141278#gid=554141278"", ""'Char Def. - Attributes'!C20:C2242""), 1,false)"),"PACK_NETTO")</f>
        <v>PACK_NETTO</v>
      </c>
      <c r="I3809" s="136"/>
    </row>
    <row r="3810" ht="15.75" customHeight="1">
      <c r="B3810" s="63">
        <f t="shared" si="1"/>
        <v>14</v>
      </c>
      <c r="C3810" s="146" t="s">
        <v>245</v>
      </c>
      <c r="D3810" s="147" t="s">
        <v>74</v>
      </c>
      <c r="E3810" s="135">
        <f t="shared" si="59"/>
        <v>9</v>
      </c>
      <c r="F3810" s="143" t="s">
        <v>3858</v>
      </c>
      <c r="G3810" s="63" t="str">
        <f>VLOOKUP(C3810, 'Class Def. - General Data'!$C$20:$C$1000,1,false)</f>
        <v>ZPM1_Cup_Paper</v>
      </c>
      <c r="H3810" s="63" t="str">
        <f>IFERROR(__xludf.DUMMYFUNCTION("VLOOKUP(F3810, IMPORTRANGE(""https://docs.google.com/spreadsheets/d/1Lhp9OU0JdFf_VYSMzH5lBcEaU4o8teT1piV-SNzShjg/edit?gid=554141278#gid=554141278"", ""'Char Def. - Attributes'!C20:C2242""), 1,false)"),"SINGLE_VARIAN")</f>
        <v>SINGLE_VARIAN</v>
      </c>
      <c r="I3810" s="136"/>
    </row>
    <row r="3811" ht="15.75" customHeight="1">
      <c r="B3811" s="63">
        <f t="shared" si="1"/>
        <v>14</v>
      </c>
      <c r="C3811" s="146" t="s">
        <v>245</v>
      </c>
      <c r="D3811" s="147" t="s">
        <v>74</v>
      </c>
      <c r="E3811" s="135">
        <f t="shared" si="59"/>
        <v>10</v>
      </c>
      <c r="F3811" s="143" t="s">
        <v>3607</v>
      </c>
      <c r="G3811" s="63" t="str">
        <f>VLOOKUP(C3811, 'Class Def. - General Data'!$C$20:$C$1000,1,false)</f>
        <v>ZPM1_Cup_Paper</v>
      </c>
      <c r="H3811" s="63" t="str">
        <f>IFERROR(__xludf.DUMMYFUNCTION("VLOOKUP(F3811, IMPORTRANGE(""https://docs.google.com/spreadsheets/d/1Lhp9OU0JdFf_VYSMzH5lBcEaU4o8teT1piV-SNzShjg/edit?gid=554141278#gid=554141278"", ""'Char Def. - Attributes'!C20:C2242""), 1,false)"),"VARIAN")</f>
        <v>VARIAN</v>
      </c>
      <c r="I3811" s="136"/>
    </row>
    <row r="3812" ht="15.75" customHeight="1">
      <c r="B3812" s="63">
        <f t="shared" si="1"/>
        <v>14</v>
      </c>
      <c r="C3812" s="146" t="s">
        <v>245</v>
      </c>
      <c r="D3812" s="147" t="s">
        <v>74</v>
      </c>
      <c r="E3812" s="135">
        <f t="shared" si="59"/>
        <v>11</v>
      </c>
      <c r="F3812" s="143" t="s">
        <v>3859</v>
      </c>
      <c r="G3812" s="63" t="str">
        <f>VLOOKUP(C3812, 'Class Def. - General Data'!$C$20:$C$1000,1,false)</f>
        <v>ZPM1_Cup_Paper</v>
      </c>
      <c r="H3812" s="63" t="str">
        <f>IFERROR(__xludf.DUMMYFUNCTION("VLOOKUP(F3812, IMPORTRANGE(""https://docs.google.com/spreadsheets/d/1Lhp9OU0JdFf_VYSMzH5lBcEaU4o8teT1piV-SNzShjg/edit?gid=554141278#gid=554141278"", ""'Char Def. - Attributes'!C20:C2242""), 1,false)"),"ADA_ADDITIONAL_PROMO")</f>
        <v>ADA_ADDITIONAL_PROMO</v>
      </c>
      <c r="I3812" s="136"/>
    </row>
    <row r="3813" ht="15.75" customHeight="1">
      <c r="B3813" s="63">
        <f t="shared" si="1"/>
        <v>14</v>
      </c>
      <c r="C3813" s="146" t="s">
        <v>245</v>
      </c>
      <c r="D3813" s="147" t="s">
        <v>74</v>
      </c>
      <c r="E3813" s="135">
        <f t="shared" si="59"/>
        <v>12</v>
      </c>
      <c r="F3813" s="143" t="s">
        <v>3609</v>
      </c>
      <c r="G3813" s="63" t="str">
        <f>VLOOKUP(C3813, 'Class Def. - General Data'!$C$20:$C$1000,1,false)</f>
        <v>ZPM1_Cup_Paper</v>
      </c>
      <c r="H3813" s="63" t="str">
        <f>IFERROR(__xludf.DUMMYFUNCTION("VLOOKUP(F3813, IMPORTRANGE(""https://docs.google.com/spreadsheets/d/1Lhp9OU0JdFf_VYSMzH5lBcEaU4o8teT1piV-SNzShjg/edit?gid=554141278#gid=554141278"", ""'Char Def. - Attributes'!C20:C2242""), 1,false)"),"ADDITIONAL_PROMO")</f>
        <v>ADDITIONAL_PROMO</v>
      </c>
      <c r="I3813" s="136"/>
    </row>
    <row r="3814" ht="15.75" customHeight="1">
      <c r="B3814" s="63">
        <f t="shared" si="1"/>
        <v>14</v>
      </c>
      <c r="C3814" s="146" t="s">
        <v>245</v>
      </c>
      <c r="D3814" s="147" t="s">
        <v>74</v>
      </c>
      <c r="E3814" s="135">
        <f t="shared" si="59"/>
        <v>13</v>
      </c>
      <c r="F3814" s="143" t="s">
        <v>3860</v>
      </c>
      <c r="G3814" s="63" t="str">
        <f>VLOOKUP(C3814, 'Class Def. - General Data'!$C$20:$C$1000,1,false)</f>
        <v>ZPM1_Cup_Paper</v>
      </c>
      <c r="H3814" s="63" t="str">
        <f>IFERROR(__xludf.DUMMYFUNCTION("VLOOKUP(F3814, IMPORTRANGE(""https://docs.google.com/spreadsheets/d/1Lhp9OU0JdFf_VYSMzH5lBcEaU4o8teT1piV-SNzShjg/edit?gid=554141278#gid=554141278"", ""'Char Def. - Attributes'!C20:C2242""), 1,false)"),"ADA_BANDED_PROMO")</f>
        <v>ADA_BANDED_PROMO</v>
      </c>
      <c r="I3814" s="136"/>
    </row>
    <row r="3815" ht="15.75" customHeight="1">
      <c r="B3815" s="63">
        <f t="shared" si="1"/>
        <v>14</v>
      </c>
      <c r="C3815" s="146" t="s">
        <v>245</v>
      </c>
      <c r="D3815" s="147" t="s">
        <v>74</v>
      </c>
      <c r="E3815" s="135">
        <f t="shared" si="59"/>
        <v>14</v>
      </c>
      <c r="F3815" s="143" t="s">
        <v>3610</v>
      </c>
      <c r="G3815" s="63" t="str">
        <f>VLOOKUP(C3815, 'Class Def. - General Data'!$C$20:$C$1000,1,false)</f>
        <v>ZPM1_Cup_Paper</v>
      </c>
      <c r="H3815" s="63" t="str">
        <f>IFERROR(__xludf.DUMMYFUNCTION("VLOOKUP(F3815, IMPORTRANGE(""https://docs.google.com/spreadsheets/d/1Lhp9OU0JdFf_VYSMzH5lBcEaU4o8teT1piV-SNzShjg/edit?gid=554141278#gid=554141278"", ""'Char Def. - Attributes'!C20:C2242""), 1,false)"),"BANDED_PROMO")</f>
        <v>BANDED_PROMO</v>
      </c>
      <c r="I3815" s="136"/>
    </row>
    <row r="3816" ht="15.75" customHeight="1">
      <c r="B3816" s="63">
        <f t="shared" si="1"/>
        <v>14</v>
      </c>
      <c r="C3816" s="146" t="s">
        <v>245</v>
      </c>
      <c r="D3816" s="147" t="s">
        <v>74</v>
      </c>
      <c r="E3816" s="135">
        <f t="shared" si="59"/>
        <v>15</v>
      </c>
      <c r="F3816" s="143" t="s">
        <v>1292</v>
      </c>
      <c r="G3816" s="63" t="str">
        <f>VLOOKUP(C3816, 'Class Def. - General Data'!$C$20:$C$1000,1,false)</f>
        <v>ZPM1_Cup_Paper</v>
      </c>
      <c r="H3816" s="63" t="str">
        <f>IFERROR(__xludf.DUMMYFUNCTION("VLOOKUP(F3816, IMPORTRANGE(""https://docs.google.com/spreadsheets/d/1Lhp9OU0JdFf_VYSMzH5lBcEaU4o8teT1piV-SNzShjg/edit?gid=554141278#gid=554141278"", ""'Char Def. - Attributes'!C20:C2242""), 1,false)"),"EXPORT")</f>
        <v>EXPORT</v>
      </c>
      <c r="I3816" s="136"/>
    </row>
    <row r="3817" ht="15.75" customHeight="1">
      <c r="B3817" s="63">
        <f t="shared" si="1"/>
        <v>14</v>
      </c>
      <c r="C3817" s="146" t="s">
        <v>245</v>
      </c>
      <c r="D3817" s="147" t="s">
        <v>74</v>
      </c>
      <c r="E3817" s="135">
        <f t="shared" si="59"/>
        <v>16</v>
      </c>
      <c r="F3817" s="143" t="s">
        <v>3612</v>
      </c>
      <c r="G3817" s="63" t="str">
        <f>VLOOKUP(C3817, 'Class Def. - General Data'!$C$20:$C$1000,1,false)</f>
        <v>ZPM1_Cup_Paper</v>
      </c>
      <c r="H3817" s="63" t="str">
        <f>IFERROR(__xludf.DUMMYFUNCTION("VLOOKUP(F3817, IMPORTRANGE(""https://docs.google.com/spreadsheets/d/1Lhp9OU0JdFf_VYSMzH5lBcEaU4o8teT1piV-SNzShjg/edit?gid=554141278#gid=554141278"", ""'Char Def. - Attributes'!C20:C2242""), 1,false)"),"COUNTRY_EKSPOR")</f>
        <v>COUNTRY_EKSPOR</v>
      </c>
      <c r="I3817" s="136"/>
    </row>
    <row r="3818" ht="15.75" customHeight="1">
      <c r="B3818" s="63">
        <f t="shared" si="1"/>
        <v>14</v>
      </c>
      <c r="C3818" s="146" t="s">
        <v>245</v>
      </c>
      <c r="D3818" s="147" t="s">
        <v>74</v>
      </c>
      <c r="E3818" s="135">
        <f t="shared" si="59"/>
        <v>17</v>
      </c>
      <c r="F3818" s="143" t="s">
        <v>3861</v>
      </c>
      <c r="G3818" s="63" t="str">
        <f>VLOOKUP(C3818, 'Class Def. - General Data'!$C$20:$C$1000,1,false)</f>
        <v>ZPM1_Cup_Paper</v>
      </c>
      <c r="H3818" s="63" t="str">
        <f>IFERROR(__xludf.DUMMYFUNCTION("VLOOKUP(F3818, IMPORTRANGE(""https://docs.google.com/spreadsheets/d/1Lhp9OU0JdFf_VYSMzH5lBcEaU4o8teT1piV-SNzShjg/edit?gid=554141278#gid=554141278"", ""'Char Def. - Attributes'!C20:C2242""), 1,false)"),"PEMBATAS")</f>
        <v>PEMBATAS</v>
      </c>
      <c r="I3818" s="136"/>
    </row>
    <row r="3819" ht="15.75" customHeight="1">
      <c r="B3819" s="63">
        <f t="shared" si="1"/>
        <v>14</v>
      </c>
      <c r="C3819" s="146" t="s">
        <v>245</v>
      </c>
      <c r="D3819" s="147" t="s">
        <v>74</v>
      </c>
      <c r="E3819" s="135">
        <f t="shared" si="59"/>
        <v>18</v>
      </c>
      <c r="F3819" s="143" t="s">
        <v>3888</v>
      </c>
      <c r="G3819" s="63" t="str">
        <f>VLOOKUP(C3819, 'Class Def. - General Data'!$C$20:$C$1000,1,false)</f>
        <v>ZPM1_Cup_Paper</v>
      </c>
      <c r="H3819" s="63" t="str">
        <f>IFERROR(__xludf.DUMMYFUNCTION("VLOOKUP(F3819, IMPORTRANGE(""https://docs.google.com/spreadsheets/d/1Lhp9OU0JdFf_VYSMzH5lBcEaU4o8teT1piV-SNzShjg/edit?gid=554141278#gid=554141278"", ""'Char Def. - Attributes'!C20:C2242""), 1,false)"),"PACK_CODE_OPT")</f>
        <v>PACK_CODE_OPT</v>
      </c>
      <c r="I3819" s="136"/>
    </row>
    <row r="3820" ht="15.75" customHeight="1">
      <c r="B3820" s="63">
        <f t="shared" si="1"/>
        <v>14</v>
      </c>
      <c r="C3820" s="146" t="s">
        <v>245</v>
      </c>
      <c r="D3820" s="147" t="s">
        <v>74</v>
      </c>
      <c r="E3820" s="135">
        <f t="shared" si="59"/>
        <v>19</v>
      </c>
      <c r="F3820" s="143" t="s">
        <v>3862</v>
      </c>
      <c r="G3820" s="63" t="str">
        <f>VLOOKUP(C3820, 'Class Def. - General Data'!$C$20:$C$1000,1,false)</f>
        <v>ZPM1_Cup_Paper</v>
      </c>
      <c r="H3820" s="63" t="str">
        <f>IFERROR(__xludf.DUMMYFUNCTION("VLOOKUP(F3820, IMPORTRANGE(""https://docs.google.com/spreadsheets/d/1Lhp9OU0JdFf_VYSMzH5lBcEaU4o8teT1piV-SNzShjg/edit?gid=554141278#gid=554141278"", ""'Char Def. - Attributes'!C20:C2242""), 1,false)"),"MONTH")</f>
        <v>MONTH</v>
      </c>
      <c r="I3820" s="136"/>
    </row>
    <row r="3821" ht="15.75" customHeight="1">
      <c r="B3821" s="63">
        <f t="shared" si="1"/>
        <v>14</v>
      </c>
      <c r="C3821" s="146" t="s">
        <v>245</v>
      </c>
      <c r="D3821" s="147" t="s">
        <v>74</v>
      </c>
      <c r="E3821" s="135">
        <f t="shared" si="59"/>
        <v>20</v>
      </c>
      <c r="F3821" s="143" t="s">
        <v>3863</v>
      </c>
      <c r="G3821" s="63" t="str">
        <f>VLOOKUP(C3821, 'Class Def. - General Data'!$C$20:$C$1000,1,false)</f>
        <v>ZPM1_Cup_Paper</v>
      </c>
      <c r="H3821" s="63" t="str">
        <f>IFERROR(__xludf.DUMMYFUNCTION("VLOOKUP(F3821, IMPORTRANGE(""https://docs.google.com/spreadsheets/d/1Lhp9OU0JdFf_VYSMzH5lBcEaU4o8teT1piV-SNzShjg/edit?gid=554141278#gid=554141278"", ""'Char Def. - Attributes'!C20:C2242""), 1,false)"),"YEAR")</f>
        <v>YEAR</v>
      </c>
      <c r="I3821" s="136"/>
    </row>
    <row r="3822" ht="15.75" customHeight="1">
      <c r="B3822" s="63">
        <f t="shared" si="1"/>
        <v>14</v>
      </c>
      <c r="C3822" s="146" t="s">
        <v>245</v>
      </c>
      <c r="D3822" s="147" t="s">
        <v>74</v>
      </c>
      <c r="E3822" s="135">
        <f t="shared" si="59"/>
        <v>21</v>
      </c>
      <c r="F3822" s="143" t="s">
        <v>3864</v>
      </c>
      <c r="G3822" s="63" t="str">
        <f>VLOOKUP(C3822, 'Class Def. - General Data'!$C$20:$C$1000,1,false)</f>
        <v>ZPM1_Cup_Paper</v>
      </c>
      <c r="H3822" s="63" t="str">
        <f>IFERROR(__xludf.DUMMYFUNCTION("VLOOKUP(F3822, IMPORTRANGE(""https://docs.google.com/spreadsheets/d/1Lhp9OU0JdFf_VYSMzH5lBcEaU4o8teT1piV-SNzShjg/edit?gid=554141278#gid=554141278"", ""'Char Def. - Attributes'!C20:C2242""), 1,false)"),"DIMENSION_OPT")</f>
        <v>DIMENSION_OPT</v>
      </c>
      <c r="I3822" s="136"/>
    </row>
    <row r="3823" ht="15.75" customHeight="1">
      <c r="B3823" s="63">
        <f t="shared" si="1"/>
        <v>14</v>
      </c>
      <c r="C3823" s="146" t="s">
        <v>245</v>
      </c>
      <c r="D3823" s="147" t="s">
        <v>74</v>
      </c>
      <c r="E3823" s="135">
        <f t="shared" si="59"/>
        <v>22</v>
      </c>
      <c r="F3823" s="134" t="s">
        <v>3911</v>
      </c>
      <c r="G3823" s="63" t="str">
        <f>VLOOKUP(C3823, 'Class Def. - General Data'!$C$20:$C$1000,1,false)</f>
        <v>ZPM1_Cup_Paper</v>
      </c>
      <c r="H3823" s="63" t="str">
        <f>IFERROR(__xludf.DUMMYFUNCTION("VLOOKUP(F3823, IMPORTRANGE(""https://docs.google.com/spreadsheets/d/1Lhp9OU0JdFf_VYSMzH5lBcEaU4o8teT1piV-SNzShjg/edit?gid=554141278#gid=554141278"", ""'Char Def. - Attributes'!C20:C2242""), 1,false)"),"PLANT_BUY_OPT")</f>
        <v>PLANT_BUY_OPT</v>
      </c>
      <c r="I3823" s="136"/>
    </row>
    <row r="3824" ht="15.75" customHeight="1">
      <c r="B3824" s="63">
        <f t="shared" si="1"/>
        <v>14</v>
      </c>
      <c r="C3824" s="146" t="s">
        <v>245</v>
      </c>
      <c r="D3824" s="147" t="s">
        <v>74</v>
      </c>
      <c r="E3824" s="135">
        <f t="shared" si="59"/>
        <v>23</v>
      </c>
      <c r="F3824" s="134" t="s">
        <v>3865</v>
      </c>
      <c r="G3824" s="63" t="str">
        <f>VLOOKUP(C3824, 'Class Def. - General Data'!$C$20:$C$1000,1,false)</f>
        <v>ZPM1_Cup_Paper</v>
      </c>
      <c r="H3824" s="63" t="str">
        <f>IFERROR(__xludf.DUMMYFUNCTION("VLOOKUP(F3824, IMPORTRANGE(""https://docs.google.com/spreadsheets/d/1Lhp9OU0JdFf_VYSMzH5lBcEaU4o8teT1piV-SNzShjg/edit?gid=554141278#gid=554141278"", ""'Char Def. - Attributes'!C20:C2242""), 1,false)"),"PLANT_PROD_OPT")</f>
        <v>PLANT_PROD_OPT</v>
      </c>
      <c r="I3824" s="136"/>
    </row>
    <row r="3825" ht="15.75" customHeight="1">
      <c r="B3825" s="63">
        <f t="shared" si="1"/>
        <v>14</v>
      </c>
      <c r="C3825" s="146" t="s">
        <v>245</v>
      </c>
      <c r="D3825" s="147" t="s">
        <v>74</v>
      </c>
      <c r="E3825" s="135">
        <f t="shared" si="59"/>
        <v>24</v>
      </c>
      <c r="F3825" s="134" t="s">
        <v>3866</v>
      </c>
      <c r="G3825" s="63" t="str">
        <f>VLOOKUP(C3825, 'Class Def. - General Data'!$C$20:$C$1000,1,false)</f>
        <v>ZPM1_Cup_Paper</v>
      </c>
      <c r="H3825" s="63" t="str">
        <f>IFERROR(__xludf.DUMMYFUNCTION("VLOOKUP(F3825, IMPORTRANGE(""https://docs.google.com/spreadsheets/d/1Lhp9OU0JdFf_VYSMzH5lBcEaU4o8teT1piV-SNzShjg/edit?gid=554141278#gid=554141278"", ""'Char Def. - Attributes'!C20:C2242""), 1,false)"),"PM_SUPPLY_JKT")</f>
        <v>PM_SUPPLY_JKT</v>
      </c>
      <c r="I3825" s="136"/>
    </row>
    <row r="3826" ht="15.75" customHeight="1">
      <c r="B3826" s="63">
        <f t="shared" si="1"/>
        <v>14</v>
      </c>
      <c r="C3826" s="146" t="s">
        <v>245</v>
      </c>
      <c r="D3826" s="147" t="s">
        <v>74</v>
      </c>
      <c r="E3826" s="135">
        <f t="shared" si="59"/>
        <v>25</v>
      </c>
      <c r="F3826" s="134" t="s">
        <v>3867</v>
      </c>
      <c r="G3826" s="63" t="str">
        <f>VLOOKUP(C3826, 'Class Def. - General Data'!$C$20:$C$1000,1,false)</f>
        <v>ZPM1_Cup_Paper</v>
      </c>
      <c r="H3826" s="63" t="str">
        <f>IFERROR(__xludf.DUMMYFUNCTION("VLOOKUP(F3826, IMPORTRANGE(""https://docs.google.com/spreadsheets/d/1Lhp9OU0JdFf_VYSMzH5lBcEaU4o8teT1piV-SNzShjg/edit?gid=554141278#gid=554141278"", ""'Char Def. - Attributes'!C20:C2242""), 1,false)"),"PM_SUPPLY_SBY")</f>
        <v>PM_SUPPLY_SBY</v>
      </c>
      <c r="I3826" s="136"/>
    </row>
    <row r="3827" ht="15.75" customHeight="1">
      <c r="B3827" s="63">
        <f t="shared" si="1"/>
        <v>14</v>
      </c>
      <c r="C3827" s="146" t="s">
        <v>245</v>
      </c>
      <c r="D3827" s="147" t="s">
        <v>74</v>
      </c>
      <c r="E3827" s="135">
        <f t="shared" si="59"/>
        <v>26</v>
      </c>
      <c r="F3827" s="134" t="s">
        <v>3868</v>
      </c>
      <c r="G3827" s="63" t="str">
        <f>VLOOKUP(C3827, 'Class Def. - General Data'!$C$20:$C$1000,1,false)</f>
        <v>ZPM1_Cup_Paper</v>
      </c>
      <c r="H3827" s="63" t="str">
        <f>IFERROR(__xludf.DUMMYFUNCTION("VLOOKUP(F3827, IMPORTRANGE(""https://docs.google.com/spreadsheets/d/1Lhp9OU0JdFf_VYSMzH5lBcEaU4o8teT1piV-SNzShjg/edit?gid=554141278#gid=554141278"", ""'Char Def. - Attributes'!C20:C2242""), 1,false)"),"BASIC_UOM_RMPM")</f>
        <v>BASIC_UOM_RMPM</v>
      </c>
      <c r="I3827" s="136"/>
    </row>
    <row r="3828" ht="15.75" customHeight="1">
      <c r="B3828" s="63">
        <f t="shared" si="1"/>
        <v>14</v>
      </c>
      <c r="C3828" s="146" t="s">
        <v>245</v>
      </c>
      <c r="D3828" s="147" t="s">
        <v>74</v>
      </c>
      <c r="E3828" s="135">
        <f t="shared" si="59"/>
        <v>27</v>
      </c>
      <c r="F3828" s="134" t="s">
        <v>3869</v>
      </c>
      <c r="G3828" s="63" t="str">
        <f>VLOOKUP(C3828, 'Class Def. - General Data'!$C$20:$C$1000,1,false)</f>
        <v>ZPM1_Cup_Paper</v>
      </c>
      <c r="H3828" s="63" t="str">
        <f>IFERROR(__xludf.DUMMYFUNCTION("VLOOKUP(F3828, IMPORTRANGE(""https://docs.google.com/spreadsheets/d/1Lhp9OU0JdFf_VYSMzH5lBcEaU4o8teT1piV-SNzShjg/edit?gid=554141278#gid=554141278"", ""'Char Def. - Attributes'!C20:C2242""), 1,false)"),"ALT_UOM1_RMPM")</f>
        <v>ALT_UOM1_RMPM</v>
      </c>
      <c r="I3828" s="136"/>
    </row>
    <row r="3829" ht="15.75" customHeight="1">
      <c r="B3829" s="63">
        <f t="shared" si="1"/>
        <v>14</v>
      </c>
      <c r="C3829" s="146" t="s">
        <v>245</v>
      </c>
      <c r="D3829" s="147" t="s">
        <v>74</v>
      </c>
      <c r="E3829" s="135">
        <f t="shared" si="59"/>
        <v>28</v>
      </c>
      <c r="F3829" s="134" t="s">
        <v>3805</v>
      </c>
      <c r="G3829" s="63" t="str">
        <f>VLOOKUP(C3829, 'Class Def. - General Data'!$C$20:$C$1000,1,false)</f>
        <v>ZPM1_Cup_Paper</v>
      </c>
      <c r="H3829" s="63" t="str">
        <f>IFERROR(__xludf.DUMMYFUNCTION("VLOOKUP(F3829, IMPORTRANGE(""https://docs.google.com/spreadsheets/d/1Lhp9OU0JdFf_VYSMzH5lBcEaU4o8teT1piV-SNzShjg/edit?gid=554141278#gid=554141278"", ""'Char Def. - Attributes'!C20:C2242""), 1,false)"),"ALT_DENUM_UOM1")</f>
        <v>ALT_DENUM_UOM1</v>
      </c>
      <c r="I3829" s="136"/>
    </row>
    <row r="3830" ht="15.75" customHeight="1">
      <c r="B3830" s="63">
        <f t="shared" si="1"/>
        <v>14</v>
      </c>
      <c r="C3830" s="146" t="s">
        <v>245</v>
      </c>
      <c r="D3830" s="147" t="s">
        <v>74</v>
      </c>
      <c r="E3830" s="135">
        <f t="shared" si="59"/>
        <v>29</v>
      </c>
      <c r="F3830" s="134" t="s">
        <v>3806</v>
      </c>
      <c r="G3830" s="63" t="str">
        <f>VLOOKUP(C3830, 'Class Def. - General Data'!$C$20:$C$1000,1,false)</f>
        <v>ZPM1_Cup_Paper</v>
      </c>
      <c r="H3830" s="63" t="str">
        <f>IFERROR(__xludf.DUMMYFUNCTION("VLOOKUP(F3830, IMPORTRANGE(""https://docs.google.com/spreadsheets/d/1Lhp9OU0JdFf_VYSMzH5lBcEaU4o8teT1piV-SNzShjg/edit?gid=554141278#gid=554141278"", ""'Char Def. - Attributes'!C20:C2242""), 1,false)"),"ALT_NUM_UOM1")</f>
        <v>ALT_NUM_UOM1</v>
      </c>
      <c r="I3830" s="136"/>
    </row>
    <row r="3831" ht="15.75" customHeight="1">
      <c r="B3831" s="63">
        <f t="shared" si="1"/>
        <v>14</v>
      </c>
      <c r="C3831" s="146" t="s">
        <v>245</v>
      </c>
      <c r="D3831" s="147" t="s">
        <v>74</v>
      </c>
      <c r="E3831" s="135">
        <f t="shared" si="59"/>
        <v>30</v>
      </c>
      <c r="F3831" s="134" t="s">
        <v>3870</v>
      </c>
      <c r="G3831" s="63" t="str">
        <f>VLOOKUP(C3831, 'Class Def. - General Data'!$C$20:$C$1000,1,false)</f>
        <v>ZPM1_Cup_Paper</v>
      </c>
      <c r="H3831" s="63" t="str">
        <f>IFERROR(__xludf.DUMMYFUNCTION("VLOOKUP(F3831, IMPORTRANGE(""https://docs.google.com/spreadsheets/d/1Lhp9OU0JdFf_VYSMzH5lBcEaU4o8teT1piV-SNzShjg/edit?gid=554141278#gid=554141278"", ""'Char Def. - Attributes'!C20:C2242""), 1,false)"),"ALT_UOM2_RMPM")</f>
        <v>ALT_UOM2_RMPM</v>
      </c>
      <c r="I3831" s="136"/>
    </row>
    <row r="3832" ht="15.75" customHeight="1">
      <c r="B3832" s="63">
        <f t="shared" si="1"/>
        <v>14</v>
      </c>
      <c r="C3832" s="146" t="s">
        <v>245</v>
      </c>
      <c r="D3832" s="147" t="s">
        <v>74</v>
      </c>
      <c r="E3832" s="135">
        <f t="shared" si="59"/>
        <v>31</v>
      </c>
      <c r="F3832" s="134" t="s">
        <v>3808</v>
      </c>
      <c r="G3832" s="63" t="str">
        <f>VLOOKUP(C3832, 'Class Def. - General Data'!$C$20:$C$1000,1,false)</f>
        <v>ZPM1_Cup_Paper</v>
      </c>
      <c r="H3832" s="63" t="str">
        <f>IFERROR(__xludf.DUMMYFUNCTION("VLOOKUP(F3832, IMPORTRANGE(""https://docs.google.com/spreadsheets/d/1Lhp9OU0JdFf_VYSMzH5lBcEaU4o8teT1piV-SNzShjg/edit?gid=554141278#gid=554141278"", ""'Char Def. - Attributes'!C20:C2242""), 1,false)"),"ALT_DENUM_UOM2")</f>
        <v>ALT_DENUM_UOM2</v>
      </c>
      <c r="I3832" s="136"/>
    </row>
    <row r="3833" ht="15.75" customHeight="1">
      <c r="B3833" s="63">
        <f t="shared" si="1"/>
        <v>14</v>
      </c>
      <c r="C3833" s="146" t="s">
        <v>245</v>
      </c>
      <c r="D3833" s="147" t="s">
        <v>74</v>
      </c>
      <c r="E3833" s="135">
        <f t="shared" si="59"/>
        <v>32</v>
      </c>
      <c r="F3833" s="134" t="s">
        <v>3809</v>
      </c>
      <c r="G3833" s="63" t="str">
        <f>VLOOKUP(C3833, 'Class Def. - General Data'!$C$20:$C$1000,1,false)</f>
        <v>ZPM1_Cup_Paper</v>
      </c>
      <c r="H3833" s="63" t="str">
        <f>IFERROR(__xludf.DUMMYFUNCTION("VLOOKUP(F3833, IMPORTRANGE(""https://docs.google.com/spreadsheets/d/1Lhp9OU0JdFf_VYSMzH5lBcEaU4o8teT1piV-SNzShjg/edit?gid=554141278#gid=554141278"", ""'Char Def. - Attributes'!C20:C2242""), 1,false)"),"ALT_NUM_UOM2")</f>
        <v>ALT_NUM_UOM2</v>
      </c>
      <c r="I3833" s="136"/>
    </row>
    <row r="3834" ht="15.75" customHeight="1">
      <c r="B3834" s="63">
        <f t="shared" si="1"/>
        <v>14</v>
      </c>
      <c r="C3834" s="146" t="s">
        <v>245</v>
      </c>
      <c r="D3834" s="147" t="s">
        <v>74</v>
      </c>
      <c r="E3834" s="135">
        <f t="shared" si="59"/>
        <v>33</v>
      </c>
      <c r="F3834" s="134" t="s">
        <v>3871</v>
      </c>
      <c r="G3834" s="63" t="str">
        <f>VLOOKUP(C3834, 'Class Def. - General Data'!$C$20:$C$1000,1,false)</f>
        <v>ZPM1_Cup_Paper</v>
      </c>
      <c r="H3834" s="63" t="str">
        <f>IFERROR(__xludf.DUMMYFUNCTION("VLOOKUP(F3834, IMPORTRANGE(""https://docs.google.com/spreadsheets/d/1Lhp9OU0JdFf_VYSMzH5lBcEaU4o8teT1piV-SNzShjg/edit?gid=554141278#gid=554141278"", ""'Char Def. - Attributes'!C20:C2242""), 1,false)"),"ALT_UOM3_RMPM")</f>
        <v>ALT_UOM3_RMPM</v>
      </c>
      <c r="I3834" s="136"/>
    </row>
    <row r="3835" ht="15.75" customHeight="1">
      <c r="B3835" s="63">
        <f t="shared" si="1"/>
        <v>14</v>
      </c>
      <c r="C3835" s="146" t="s">
        <v>245</v>
      </c>
      <c r="D3835" s="147" t="s">
        <v>74</v>
      </c>
      <c r="E3835" s="135">
        <f t="shared" si="59"/>
        <v>34</v>
      </c>
      <c r="F3835" s="134" t="s">
        <v>3811</v>
      </c>
      <c r="G3835" s="63" t="str">
        <f>VLOOKUP(C3835, 'Class Def. - General Data'!$C$20:$C$1000,1,false)</f>
        <v>ZPM1_Cup_Paper</v>
      </c>
      <c r="H3835" s="63" t="str">
        <f>IFERROR(__xludf.DUMMYFUNCTION("VLOOKUP(F3835, IMPORTRANGE(""https://docs.google.com/spreadsheets/d/1Lhp9OU0JdFf_VYSMzH5lBcEaU4o8teT1piV-SNzShjg/edit?gid=554141278#gid=554141278"", ""'Char Def. - Attributes'!C20:C2242""), 1,false)"),"ALT_DENUM_UOM3")</f>
        <v>ALT_DENUM_UOM3</v>
      </c>
      <c r="I3835" s="136"/>
    </row>
    <row r="3836" ht="15.75" customHeight="1">
      <c r="B3836" s="63">
        <f t="shared" si="1"/>
        <v>14</v>
      </c>
      <c r="C3836" s="146" t="s">
        <v>245</v>
      </c>
      <c r="D3836" s="147" t="s">
        <v>74</v>
      </c>
      <c r="E3836" s="135">
        <f t="shared" si="59"/>
        <v>35</v>
      </c>
      <c r="F3836" s="134" t="s">
        <v>3812</v>
      </c>
      <c r="G3836" s="63" t="str">
        <f>VLOOKUP(C3836, 'Class Def. - General Data'!$C$20:$C$1000,1,false)</f>
        <v>ZPM1_Cup_Paper</v>
      </c>
      <c r="H3836" s="63" t="str">
        <f>IFERROR(__xludf.DUMMYFUNCTION("VLOOKUP(F3836, IMPORTRANGE(""https://docs.google.com/spreadsheets/d/1Lhp9OU0JdFf_VYSMzH5lBcEaU4o8teT1piV-SNzShjg/edit?gid=554141278#gid=554141278"", ""'Char Def. - Attributes'!C20:C2242""), 1,false)"),"ALT_NUM_UOM3")</f>
        <v>ALT_NUM_UOM3</v>
      </c>
      <c r="I3836" s="136"/>
    </row>
    <row r="3837" ht="15.75" customHeight="1">
      <c r="B3837" s="63">
        <f t="shared" si="1"/>
        <v>14</v>
      </c>
      <c r="C3837" s="146" t="s">
        <v>245</v>
      </c>
      <c r="D3837" s="147" t="s">
        <v>74</v>
      </c>
      <c r="E3837" s="135">
        <f t="shared" si="59"/>
        <v>36</v>
      </c>
      <c r="F3837" s="134" t="s">
        <v>3872</v>
      </c>
      <c r="G3837" s="63" t="str">
        <f>VLOOKUP(C3837, 'Class Def. - General Data'!$C$20:$C$1000,1,false)</f>
        <v>ZPM1_Cup_Paper</v>
      </c>
      <c r="H3837" s="63" t="str">
        <f>IFERROR(__xludf.DUMMYFUNCTION("VLOOKUP(F3837, IMPORTRANGE(""https://docs.google.com/spreadsheets/d/1Lhp9OU0JdFf_VYSMzH5lBcEaU4o8teT1piV-SNzShjg/edit?gid=554141278#gid=554141278"", ""'Char Def. - Attributes'!C20:C2242""), 1,false)"),"ALT_UOM4_RMPM")</f>
        <v>ALT_UOM4_RMPM</v>
      </c>
      <c r="I3837" s="136"/>
    </row>
    <row r="3838" ht="15.75" customHeight="1">
      <c r="B3838" s="63">
        <f t="shared" si="1"/>
        <v>14</v>
      </c>
      <c r="C3838" s="146" t="s">
        <v>245</v>
      </c>
      <c r="D3838" s="147" t="s">
        <v>74</v>
      </c>
      <c r="E3838" s="135">
        <f t="shared" si="59"/>
        <v>37</v>
      </c>
      <c r="F3838" s="134" t="s">
        <v>3814</v>
      </c>
      <c r="G3838" s="63" t="str">
        <f>VLOOKUP(C3838, 'Class Def. - General Data'!$C$20:$C$1000,1,false)</f>
        <v>ZPM1_Cup_Paper</v>
      </c>
      <c r="H3838" s="63" t="str">
        <f>IFERROR(__xludf.DUMMYFUNCTION("VLOOKUP(F3838, IMPORTRANGE(""https://docs.google.com/spreadsheets/d/1Lhp9OU0JdFf_VYSMzH5lBcEaU4o8teT1piV-SNzShjg/edit?gid=554141278#gid=554141278"", ""'Char Def. - Attributes'!C20:C2242""), 1,false)"),"ALT_DENUM_UOM4")</f>
        <v>ALT_DENUM_UOM4</v>
      </c>
      <c r="I3838" s="136"/>
    </row>
    <row r="3839" ht="15.75" customHeight="1">
      <c r="B3839" s="63">
        <f t="shared" si="1"/>
        <v>14</v>
      </c>
      <c r="C3839" s="146" t="s">
        <v>245</v>
      </c>
      <c r="D3839" s="147" t="s">
        <v>74</v>
      </c>
      <c r="E3839" s="135">
        <f t="shared" si="59"/>
        <v>38</v>
      </c>
      <c r="F3839" s="134" t="s">
        <v>3815</v>
      </c>
      <c r="G3839" s="63" t="str">
        <f>VLOOKUP(C3839, 'Class Def. - General Data'!$C$20:$C$1000,1,false)</f>
        <v>ZPM1_Cup_Paper</v>
      </c>
      <c r="H3839" s="63" t="str">
        <f>IFERROR(__xludf.DUMMYFUNCTION("VLOOKUP(F3839, IMPORTRANGE(""https://docs.google.com/spreadsheets/d/1Lhp9OU0JdFf_VYSMzH5lBcEaU4o8teT1piV-SNzShjg/edit?gid=554141278#gid=554141278"", ""'Char Def. - Attributes'!C20:C2242""), 1,false)"),"ALT_NUM_UOM4")</f>
        <v>ALT_NUM_UOM4</v>
      </c>
      <c r="I3839" s="136"/>
    </row>
    <row r="3840" ht="15.75" customHeight="1">
      <c r="B3840" s="63">
        <f t="shared" si="1"/>
        <v>14</v>
      </c>
      <c r="C3840" s="146" t="s">
        <v>245</v>
      </c>
      <c r="D3840" s="147" t="s">
        <v>74</v>
      </c>
      <c r="E3840" s="135">
        <f t="shared" si="59"/>
        <v>39</v>
      </c>
      <c r="F3840" s="134" t="s">
        <v>3873</v>
      </c>
      <c r="G3840" s="63" t="str">
        <f>VLOOKUP(C3840, 'Class Def. - General Data'!$C$20:$C$1000,1,false)</f>
        <v>ZPM1_Cup_Paper</v>
      </c>
      <c r="H3840" s="63" t="str">
        <f>IFERROR(__xludf.DUMMYFUNCTION("VLOOKUP(F3840, IMPORTRANGE(""https://docs.google.com/spreadsheets/d/1Lhp9OU0JdFf_VYSMzH5lBcEaU4o8teT1piV-SNzShjg/edit?gid=554141278#gid=554141278"", ""'Char Def. - Attributes'!C20:C2242""), 1,false)"),"ALT_UOM5_RMPM")</f>
        <v>ALT_UOM5_RMPM</v>
      </c>
      <c r="I3840" s="136"/>
    </row>
    <row r="3841" ht="15.75" customHeight="1">
      <c r="B3841" s="63">
        <f t="shared" si="1"/>
        <v>14</v>
      </c>
      <c r="C3841" s="146" t="s">
        <v>245</v>
      </c>
      <c r="D3841" s="147" t="s">
        <v>74</v>
      </c>
      <c r="E3841" s="135">
        <f t="shared" si="59"/>
        <v>40</v>
      </c>
      <c r="F3841" s="134" t="s">
        <v>3817</v>
      </c>
      <c r="G3841" s="63" t="str">
        <f>VLOOKUP(C3841, 'Class Def. - General Data'!$C$20:$C$1000,1,false)</f>
        <v>ZPM1_Cup_Paper</v>
      </c>
      <c r="H3841" s="63" t="str">
        <f>IFERROR(__xludf.DUMMYFUNCTION("VLOOKUP(F3841, IMPORTRANGE(""https://docs.google.com/spreadsheets/d/1Lhp9OU0JdFf_VYSMzH5lBcEaU4o8teT1piV-SNzShjg/edit?gid=554141278#gid=554141278"", ""'Char Def. - Attributes'!C20:C2242""), 1,false)"),"ALT_DENUM_UOM5")</f>
        <v>ALT_DENUM_UOM5</v>
      </c>
      <c r="I3841" s="136"/>
    </row>
    <row r="3842" ht="15.75" customHeight="1">
      <c r="B3842" s="63">
        <f t="shared" si="1"/>
        <v>14</v>
      </c>
      <c r="C3842" s="146" t="s">
        <v>245</v>
      </c>
      <c r="D3842" s="147" t="s">
        <v>74</v>
      </c>
      <c r="E3842" s="135">
        <f t="shared" si="59"/>
        <v>41</v>
      </c>
      <c r="F3842" s="134" t="s">
        <v>3818</v>
      </c>
      <c r="G3842" s="63" t="str">
        <f>VLOOKUP(C3842, 'Class Def. - General Data'!$C$20:$C$1000,1,false)</f>
        <v>ZPM1_Cup_Paper</v>
      </c>
      <c r="H3842" s="63" t="str">
        <f>IFERROR(__xludf.DUMMYFUNCTION("VLOOKUP(F3842, IMPORTRANGE(""https://docs.google.com/spreadsheets/d/1Lhp9OU0JdFf_VYSMzH5lBcEaU4o8teT1piV-SNzShjg/edit?gid=554141278#gid=554141278"", ""'Char Def. - Attributes'!C20:C2242""), 1,false)"),"ALT_NUM_UOM5")</f>
        <v>ALT_NUM_UOM5</v>
      </c>
      <c r="I3842" s="136"/>
    </row>
    <row r="3843" ht="15.75" customHeight="1">
      <c r="B3843" s="63">
        <f t="shared" si="1"/>
        <v>14</v>
      </c>
      <c r="C3843" s="146" t="s">
        <v>245</v>
      </c>
      <c r="D3843" s="147" t="s">
        <v>74</v>
      </c>
      <c r="E3843" s="135">
        <f t="shared" si="59"/>
        <v>42</v>
      </c>
      <c r="F3843" s="134" t="s">
        <v>3874</v>
      </c>
      <c r="G3843" s="63" t="str">
        <f>VLOOKUP(C3843, 'Class Def. - General Data'!$C$20:$C$1000,1,false)</f>
        <v>ZPM1_Cup_Paper</v>
      </c>
      <c r="H3843" s="63" t="str">
        <f>IFERROR(__xludf.DUMMYFUNCTION("VLOOKUP(F3843, IMPORTRANGE(""https://docs.google.com/spreadsheets/d/1Lhp9OU0JdFf_VYSMzH5lBcEaU4o8teT1piV-SNzShjg/edit?gid=554141278#gid=554141278"", ""'Char Def. - Attributes'!C20:C2242""), 1,false)"),"VALUATION_CATEGORY")</f>
        <v>VALUATION_CATEGORY</v>
      </c>
      <c r="I3843" s="136"/>
    </row>
    <row r="3844" ht="15.75" customHeight="1">
      <c r="B3844" s="63">
        <f t="shared" si="1"/>
        <v>14</v>
      </c>
      <c r="C3844" s="146" t="s">
        <v>245</v>
      </c>
      <c r="D3844" s="147" t="s">
        <v>74</v>
      </c>
      <c r="E3844" s="135">
        <f t="shared" si="59"/>
        <v>43</v>
      </c>
      <c r="F3844" s="134" t="s">
        <v>3800</v>
      </c>
      <c r="G3844" s="63" t="str">
        <f>VLOOKUP(C3844, 'Class Def. - General Data'!$C$20:$C$1000,1,false)</f>
        <v>ZPM1_Cup_Paper</v>
      </c>
      <c r="H3844" s="63" t="str">
        <f>IFERROR(__xludf.DUMMYFUNCTION("VLOOKUP(F3844, IMPORTRANGE(""https://docs.google.com/spreadsheets/d/1Lhp9OU0JdFf_VYSMzH5lBcEaU4o8teT1piV-SNzShjg/edit?gid=554141278#gid=554141278"", ""'Char Def. - Attributes'!C20:C2242""), 1,false)"),"ORDER_UNIT_DIFF_FROM_BASIC_UOM")</f>
        <v>ORDER_UNIT_DIFF_FROM_BASIC_UOM</v>
      </c>
      <c r="I3844" s="136"/>
    </row>
    <row r="3845" ht="15.75" customHeight="1">
      <c r="B3845" s="63">
        <f t="shared" si="1"/>
        <v>14</v>
      </c>
      <c r="C3845" s="146" t="s">
        <v>245</v>
      </c>
      <c r="D3845" s="147" t="s">
        <v>74</v>
      </c>
      <c r="E3845" s="135">
        <f t="shared" si="59"/>
        <v>44</v>
      </c>
      <c r="F3845" s="134" t="s">
        <v>3875</v>
      </c>
      <c r="G3845" s="63" t="str">
        <f>VLOOKUP(C3845, 'Class Def. - General Data'!$C$20:$C$1000,1,false)</f>
        <v>ZPM1_Cup_Paper</v>
      </c>
      <c r="H3845" s="63" t="str">
        <f>IFERROR(__xludf.DUMMYFUNCTION("VLOOKUP(F3845, IMPORTRANGE(""https://docs.google.com/spreadsheets/d/1Lhp9OU0JdFf_VYSMzH5lBcEaU4o8teT1piV-SNzShjg/edit?gid=554141278#gid=554141278"", ""'Char Def. - Attributes'!C20:C2242""), 1,false)"),"ORDER_UNIT_RMPM")</f>
        <v>ORDER_UNIT_RMPM</v>
      </c>
      <c r="I3845" s="136"/>
    </row>
    <row r="3846" ht="15.75" customHeight="1">
      <c r="B3846" s="63">
        <f t="shared" si="1"/>
        <v>14</v>
      </c>
      <c r="C3846" s="146" t="s">
        <v>245</v>
      </c>
      <c r="D3846" s="147" t="s">
        <v>74</v>
      </c>
      <c r="E3846" s="135">
        <f t="shared" si="59"/>
        <v>45</v>
      </c>
      <c r="F3846" s="134" t="s">
        <v>3602</v>
      </c>
      <c r="G3846" s="63" t="str">
        <f>VLOOKUP(C3846, 'Class Def. - General Data'!$C$20:$C$1000,1,false)</f>
        <v>ZPM1_Cup_Paper</v>
      </c>
      <c r="H3846" s="63" t="str">
        <f>IFERROR(__xludf.DUMMYFUNCTION("VLOOKUP(F3846, IMPORTRANGE(""https://docs.google.com/spreadsheets/d/1Lhp9OU0JdFf_VYSMzH5lBcEaU4o8teT1piV-SNzShjg/edit?gid=554141278#gid=554141278"", ""'Char Def. - Attributes'!C20:C2242""), 1,false)"),"NET_WEIGHT")</f>
        <v>NET_WEIGHT</v>
      </c>
      <c r="I3846" s="136"/>
    </row>
    <row r="3847" ht="15.75" customHeight="1">
      <c r="B3847" s="63">
        <f t="shared" si="1"/>
        <v>14</v>
      </c>
      <c r="C3847" s="146" t="s">
        <v>245</v>
      </c>
      <c r="D3847" s="147" t="s">
        <v>74</v>
      </c>
      <c r="E3847" s="135">
        <f t="shared" si="59"/>
        <v>46</v>
      </c>
      <c r="F3847" s="134" t="s">
        <v>3601</v>
      </c>
      <c r="G3847" s="63" t="str">
        <f>VLOOKUP(C3847, 'Class Def. - General Data'!$C$20:$C$1000,1,false)</f>
        <v>ZPM1_Cup_Paper</v>
      </c>
      <c r="H3847" s="63" t="str">
        <f>IFERROR(__xludf.DUMMYFUNCTION("VLOOKUP(F3847, IMPORTRANGE(""https://docs.google.com/spreadsheets/d/1Lhp9OU0JdFf_VYSMzH5lBcEaU4o8teT1piV-SNzShjg/edit?gid=554141278#gid=554141278"", ""'Char Def. - Attributes'!C20:C2242""), 1,false)"),"GROSS_WEIGHT")</f>
        <v>GROSS_WEIGHT</v>
      </c>
      <c r="I3847" s="136"/>
    </row>
    <row r="3848" ht="15.75" customHeight="1">
      <c r="B3848" s="63">
        <f t="shared" si="1"/>
        <v>14</v>
      </c>
      <c r="C3848" s="146" t="s">
        <v>245</v>
      </c>
      <c r="D3848" s="147" t="s">
        <v>74</v>
      </c>
      <c r="E3848" s="135">
        <f t="shared" si="59"/>
        <v>47</v>
      </c>
      <c r="F3848" s="134" t="s">
        <v>3876</v>
      </c>
      <c r="G3848" s="63" t="str">
        <f>VLOOKUP(C3848, 'Class Def. - General Data'!$C$20:$C$1000,1,false)</f>
        <v>ZPM1_Cup_Paper</v>
      </c>
      <c r="H3848" s="63" t="str">
        <f>IFERROR(__xludf.DUMMYFUNCTION("VLOOKUP(F3848, IMPORTRANGE(""https://docs.google.com/spreadsheets/d/1Lhp9OU0JdFf_VYSMzH5lBcEaU4o8teT1piV-SNzShjg/edit?gid=554141278#gid=554141278"", ""'Char Def. - Attributes'!C20:C2242""), 1,false)"),"WEIGHT_UNIT_PM")</f>
        <v>WEIGHT_UNIT_PM</v>
      </c>
      <c r="I3848" s="136"/>
    </row>
    <row r="3849" ht="15.75" customHeight="1">
      <c r="B3849" s="63">
        <f t="shared" si="1"/>
        <v>14</v>
      </c>
      <c r="C3849" s="146" t="s">
        <v>245</v>
      </c>
      <c r="D3849" s="147" t="s">
        <v>74</v>
      </c>
      <c r="E3849" s="135">
        <f t="shared" si="59"/>
        <v>48</v>
      </c>
      <c r="F3849" s="134" t="s">
        <v>3877</v>
      </c>
      <c r="G3849" s="63" t="str">
        <f>VLOOKUP(C3849, 'Class Def. - General Data'!$C$20:$C$1000,1,false)</f>
        <v>ZPM1_Cup_Paper</v>
      </c>
      <c r="H3849" s="63" t="str">
        <f>IFERROR(__xludf.DUMMYFUNCTION("VLOOKUP(F3849, IMPORTRANGE(""https://docs.google.com/spreadsheets/d/1Lhp9OU0JdFf_VYSMzH5lBcEaU4o8teT1piV-SNzShjg/edit?gid=554141278#gid=554141278"", ""'Char Def. - Attributes'!C20:C2242""), 1,false)"),"VOLUME_OPT")</f>
        <v>VOLUME_OPT</v>
      </c>
      <c r="I3849" s="136"/>
    </row>
    <row r="3850" ht="15.75" customHeight="1">
      <c r="B3850" s="63">
        <f t="shared" si="1"/>
        <v>14</v>
      </c>
      <c r="C3850" s="146" t="s">
        <v>245</v>
      </c>
      <c r="D3850" s="147" t="s">
        <v>74</v>
      </c>
      <c r="E3850" s="135">
        <f t="shared" si="59"/>
        <v>49</v>
      </c>
      <c r="F3850" s="134" t="s">
        <v>3878</v>
      </c>
      <c r="G3850" s="63" t="str">
        <f>VLOOKUP(C3850, 'Class Def. - General Data'!$C$20:$C$1000,1,false)</f>
        <v>ZPM1_Cup_Paper</v>
      </c>
      <c r="H3850" s="63" t="str">
        <f>IFERROR(__xludf.DUMMYFUNCTION("VLOOKUP(F3850, IMPORTRANGE(""https://docs.google.com/spreadsheets/d/1Lhp9OU0JdFf_VYSMzH5lBcEaU4o8teT1piV-SNzShjg/edit?gid=554141278#gid=554141278"", ""'Char Def. - Attributes'!C20:C2242""), 1,false)"),"VOLUME_UNIT")</f>
        <v>VOLUME_UNIT</v>
      </c>
      <c r="I3850" s="136"/>
    </row>
    <row r="3851" ht="15.75" customHeight="1">
      <c r="B3851" s="63">
        <f t="shared" si="1"/>
        <v>14</v>
      </c>
      <c r="C3851" s="146" t="s">
        <v>245</v>
      </c>
      <c r="D3851" s="147" t="s">
        <v>74</v>
      </c>
      <c r="E3851" s="135">
        <f t="shared" si="59"/>
        <v>50</v>
      </c>
      <c r="F3851" s="134" t="s">
        <v>3879</v>
      </c>
      <c r="G3851" s="63" t="str">
        <f>VLOOKUP(C3851, 'Class Def. - General Data'!$C$20:$C$1000,1,false)</f>
        <v>ZPM1_Cup_Paper</v>
      </c>
      <c r="H3851" s="63" t="str">
        <f>IFERROR(__xludf.DUMMYFUNCTION("VLOOKUP(F3851, IMPORTRANGE(""https://docs.google.com/spreadsheets/d/1Lhp9OU0JdFf_VYSMzH5lBcEaU4o8teT1piV-SNzShjg/edit?gid=554141278#gid=554141278"", ""'Char Def. - Attributes'!C20:C2242""), 1,false)"),"OLD_MAT_NO_RMPM")</f>
        <v>OLD_MAT_NO_RMPM</v>
      </c>
      <c r="I3851" s="136"/>
    </row>
    <row r="3852" ht="15.75" customHeight="1">
      <c r="B3852" s="63">
        <f t="shared" si="1"/>
        <v>14</v>
      </c>
      <c r="C3852" s="146" t="s">
        <v>245</v>
      </c>
      <c r="D3852" s="147" t="s">
        <v>74</v>
      </c>
      <c r="E3852" s="135">
        <f t="shared" si="59"/>
        <v>51</v>
      </c>
      <c r="F3852" s="134" t="s">
        <v>3880</v>
      </c>
      <c r="G3852" s="63" t="str">
        <f>VLOOKUP(C3852, 'Class Def. - General Data'!$C$20:$C$1000,1,false)</f>
        <v>ZPM1_Cup_Paper</v>
      </c>
      <c r="H3852" s="63" t="str">
        <f>IFERROR(__xludf.DUMMYFUNCTION("VLOOKUP(F3852, IMPORTRANGE(""https://docs.google.com/spreadsheets/d/1Lhp9OU0JdFf_VYSMzH5lBcEaU4o8teT1piV-SNzShjg/edit?gid=554141278#gid=554141278"", ""'Char Def. - Attributes'!C20:C2242""), 1,false)"),"NOTE_PM")</f>
        <v>NOTE_PM</v>
      </c>
      <c r="I3852" s="136"/>
    </row>
    <row r="3853" ht="15.75" customHeight="1">
      <c r="B3853" s="63">
        <f t="shared" si="1"/>
        <v>14</v>
      </c>
      <c r="C3853" s="146" t="s">
        <v>245</v>
      </c>
      <c r="D3853" s="147" t="s">
        <v>74</v>
      </c>
      <c r="E3853" s="135">
        <f t="shared" si="59"/>
        <v>52</v>
      </c>
      <c r="F3853" s="134" t="s">
        <v>3881</v>
      </c>
      <c r="G3853" s="63" t="str">
        <f>VLOOKUP(C3853, 'Class Def. - General Data'!$C$20:$C$1000,1,false)</f>
        <v>ZPM1_Cup_Paper</v>
      </c>
      <c r="H3853" s="63" t="str">
        <f>IFERROR(__xludf.DUMMYFUNCTION("VLOOKUP(F3853, IMPORTRANGE(""https://docs.google.com/spreadsheets/d/1Lhp9OU0JdFf_VYSMzH5lBcEaU4o8teT1piV-SNzShjg/edit?gid=554141278#gid=554141278"", ""'Char Def. - Attributes'!C20:C2242""), 1,false)"),"BS_BERSIH")</f>
        <v>BS_BERSIH</v>
      </c>
      <c r="I3853" s="136"/>
    </row>
    <row r="3854" ht="15.75" customHeight="1">
      <c r="B3854" s="63">
        <f t="shared" si="1"/>
        <v>14</v>
      </c>
      <c r="C3854" s="146" t="s">
        <v>245</v>
      </c>
      <c r="D3854" s="147" t="s">
        <v>74</v>
      </c>
      <c r="E3854" s="135">
        <f t="shared" si="59"/>
        <v>53</v>
      </c>
      <c r="F3854" s="134" t="s">
        <v>3882</v>
      </c>
      <c r="G3854" s="63" t="str">
        <f>VLOOKUP(C3854, 'Class Def. - General Data'!$C$20:$C$1000,1,false)</f>
        <v>ZPM1_Cup_Paper</v>
      </c>
      <c r="H3854" s="63" t="str">
        <f>IFERROR(__xludf.DUMMYFUNCTION("VLOOKUP(F3854, IMPORTRANGE(""https://docs.google.com/spreadsheets/d/1Lhp9OU0JdFf_VYSMzH5lBcEaU4o8teT1piV-SNzShjg/edit?gid=554141278#gid=554141278"", ""'Char Def. - Attributes'!C20:C2242""), 1,false)"),"BS_KOTOR")</f>
        <v>BS_KOTOR</v>
      </c>
      <c r="I3854" s="136"/>
    </row>
    <row r="3855" ht="15.75" customHeight="1">
      <c r="B3855" s="63">
        <f t="shared" si="1"/>
        <v>14</v>
      </c>
      <c r="C3855" s="146" t="s">
        <v>245</v>
      </c>
      <c r="D3855" s="147" t="s">
        <v>74</v>
      </c>
      <c r="E3855" s="135">
        <f t="shared" si="59"/>
        <v>54</v>
      </c>
      <c r="F3855" s="134" t="s">
        <v>3883</v>
      </c>
      <c r="G3855" s="63" t="str">
        <f>VLOOKUP(C3855, 'Class Def. - General Data'!$C$20:$C$1000,1,false)</f>
        <v>ZPM1_Cup_Paper</v>
      </c>
      <c r="H3855" s="63" t="str">
        <f>IFERROR(__xludf.DUMMYFUNCTION("VLOOKUP(F3855, IMPORTRANGE(""https://docs.google.com/spreadsheets/d/1Lhp9OU0JdFf_VYSMzH5lBcEaU4o8teT1piV-SNzShjg/edit?gid=554141278#gid=554141278"", ""'Char Def. - Attributes'!C20:C2242""), 1,false)"),"BS_SCRAP")</f>
        <v>BS_SCRAP</v>
      </c>
      <c r="I3855" s="136"/>
    </row>
    <row r="3856" ht="15.75" customHeight="1">
      <c r="B3856" s="63">
        <f t="shared" si="1"/>
        <v>16</v>
      </c>
      <c r="C3856" s="146" t="s">
        <v>246</v>
      </c>
      <c r="D3856" s="147" t="s">
        <v>74</v>
      </c>
      <c r="E3856" s="135">
        <f t="shared" si="59"/>
        <v>1</v>
      </c>
      <c r="F3856" s="134" t="s">
        <v>3924</v>
      </c>
      <c r="G3856" s="63" t="str">
        <f>VLOOKUP(C3856, 'Class Def. - General Data'!$C$20:$C$1000,1,false)</f>
        <v>ZPM1_Cup_Plastic</v>
      </c>
      <c r="H3856" s="63" t="str">
        <f>IFERROR(__xludf.DUMMYFUNCTION("VLOOKUP(F3856, IMPORTRANGE(""https://docs.google.com/spreadsheets/d/1Lhp9OU0JdFf_VYSMzH5lBcEaU4o8teT1piV-SNzShjg/edit?gid=554141278#gid=554141278"", ""'Char Def. - Attributes'!C20:C2242""), 1,false)"),"MATERIAL_CODE_CUP_PLASTIC")</f>
        <v>MATERIAL_CODE_CUP_PLASTIC</v>
      </c>
      <c r="I3856" s="136"/>
    </row>
    <row r="3857" ht="15.75" customHeight="1">
      <c r="B3857" s="63">
        <f t="shared" si="1"/>
        <v>16</v>
      </c>
      <c r="C3857" s="146" t="s">
        <v>246</v>
      </c>
      <c r="D3857" s="147" t="s">
        <v>74</v>
      </c>
      <c r="E3857" s="135">
        <f t="shared" si="59"/>
        <v>2</v>
      </c>
      <c r="F3857" s="134" t="s">
        <v>3852</v>
      </c>
      <c r="G3857" s="63" t="str">
        <f>VLOOKUP(C3857, 'Class Def. - General Data'!$C$20:$C$1000,1,false)</f>
        <v>ZPM1_Cup_Plastic</v>
      </c>
      <c r="H3857" s="63" t="str">
        <f>IFERROR(__xludf.DUMMYFUNCTION("VLOOKUP(F3857, IMPORTRANGE(""https://docs.google.com/spreadsheets/d/1Lhp9OU0JdFf_VYSMzH5lBcEaU4o8teT1piV-SNzShjg/edit?gid=554141278#gid=554141278"", ""'Char Def. - Attributes'!C20:C2242""), 1,false)"),"SINGLE_BRAND")</f>
        <v>SINGLE_BRAND</v>
      </c>
      <c r="I3857" s="136"/>
    </row>
    <row r="3858" ht="15.75" customHeight="1">
      <c r="B3858" s="63">
        <f t="shared" si="1"/>
        <v>16</v>
      </c>
      <c r="C3858" s="146" t="s">
        <v>246</v>
      </c>
      <c r="D3858" s="147" t="s">
        <v>74</v>
      </c>
      <c r="E3858" s="135">
        <f t="shared" si="59"/>
        <v>3</v>
      </c>
      <c r="F3858" s="134" t="s">
        <v>3853</v>
      </c>
      <c r="G3858" s="63" t="str">
        <f>VLOOKUP(C3858, 'Class Def. - General Data'!$C$20:$C$1000,1,false)</f>
        <v>ZPM1_Cup_Plastic</v>
      </c>
      <c r="H3858" s="63" t="str">
        <f>IFERROR(__xludf.DUMMYFUNCTION("VLOOKUP(F3858, IMPORTRANGE(""https://docs.google.com/spreadsheets/d/1Lhp9OU0JdFf_VYSMzH5lBcEaU4o8teT1piV-SNzShjg/edit?gid=554141278#gid=554141278"", ""'Char Def. - Attributes'!C20:C2242""), 1,false)"),"BRAND_WINGS")</f>
        <v>BRAND_WINGS</v>
      </c>
      <c r="I3858" s="136"/>
    </row>
    <row r="3859" ht="15.75" customHeight="1">
      <c r="B3859" s="63">
        <f t="shared" si="1"/>
        <v>16</v>
      </c>
      <c r="C3859" s="146" t="s">
        <v>246</v>
      </c>
      <c r="D3859" s="147" t="s">
        <v>74</v>
      </c>
      <c r="E3859" s="135">
        <f t="shared" si="59"/>
        <v>4</v>
      </c>
      <c r="F3859" s="134" t="s">
        <v>3854</v>
      </c>
      <c r="G3859" s="63" t="str">
        <f>VLOOKUP(C3859, 'Class Def. - General Data'!$C$20:$C$1000,1,false)</f>
        <v>ZPM1_Cup_Plastic</v>
      </c>
      <c r="H3859" s="63" t="str">
        <f>IFERROR(__xludf.DUMMYFUNCTION("VLOOKUP(F3859, IMPORTRANGE(""https://docs.google.com/spreadsheets/d/1Lhp9OU0JdFf_VYSMzH5lBcEaU4o8teT1piV-SNzShjg/edit?gid=554141278#gid=554141278"", ""'Char Def. - Attributes'!C20:C2242""), 1,false)"),"SINGLE_PACK_SHAPE")</f>
        <v>SINGLE_PACK_SHAPE</v>
      </c>
      <c r="I3859" s="136"/>
    </row>
    <row r="3860" ht="15.75" customHeight="1">
      <c r="B3860" s="63">
        <f t="shared" si="1"/>
        <v>16</v>
      </c>
      <c r="C3860" s="146" t="s">
        <v>246</v>
      </c>
      <c r="D3860" s="147" t="s">
        <v>74</v>
      </c>
      <c r="E3860" s="135">
        <f t="shared" si="59"/>
        <v>5</v>
      </c>
      <c r="F3860" s="134" t="s">
        <v>3855</v>
      </c>
      <c r="G3860" s="63" t="str">
        <f>VLOOKUP(C3860, 'Class Def. - General Data'!$C$20:$C$1000,1,false)</f>
        <v>ZPM1_Cup_Plastic</v>
      </c>
      <c r="H3860" s="63" t="str">
        <f>IFERROR(__xludf.DUMMYFUNCTION("VLOOKUP(F3860, IMPORTRANGE(""https://docs.google.com/spreadsheets/d/1Lhp9OU0JdFf_VYSMzH5lBcEaU4o8teT1piV-SNzShjg/edit?gid=554141278#gid=554141278"", ""'Char Def. - Attributes'!C20:C2242""), 1,false)"),"PACK_SHAPE")</f>
        <v>PACK_SHAPE</v>
      </c>
      <c r="I3860" s="136"/>
    </row>
    <row r="3861" ht="15.75" customHeight="1">
      <c r="B3861" s="63">
        <f t="shared" si="1"/>
        <v>16</v>
      </c>
      <c r="C3861" s="146" t="s">
        <v>246</v>
      </c>
      <c r="D3861" s="147" t="s">
        <v>74</v>
      </c>
      <c r="E3861" s="135">
        <f t="shared" si="59"/>
        <v>6</v>
      </c>
      <c r="F3861" s="134" t="s">
        <v>3856</v>
      </c>
      <c r="G3861" s="63" t="str">
        <f>VLOOKUP(C3861, 'Class Def. - General Data'!$C$20:$C$1000,1,false)</f>
        <v>ZPM1_Cup_Plastic</v>
      </c>
      <c r="H3861" s="63" t="str">
        <f>IFERROR(__xludf.DUMMYFUNCTION("VLOOKUP(F3861, IMPORTRANGE(""https://docs.google.com/spreadsheets/d/1Lhp9OU0JdFf_VYSMzH5lBcEaU4o8teT1piV-SNzShjg/edit?gid=554141278#gid=554141278"", ""'Char Def. - Attributes'!C20:C2242""), 1,false)"),"SINGLE_PACK_NETTO")</f>
        <v>SINGLE_PACK_NETTO</v>
      </c>
      <c r="I3861" s="136"/>
    </row>
    <row r="3862" ht="15.75" customHeight="1">
      <c r="B3862" s="63">
        <f t="shared" si="1"/>
        <v>16</v>
      </c>
      <c r="C3862" s="146" t="s">
        <v>246</v>
      </c>
      <c r="D3862" s="147" t="s">
        <v>74</v>
      </c>
      <c r="E3862" s="135">
        <f t="shared" si="59"/>
        <v>7</v>
      </c>
      <c r="F3862" s="134" t="s">
        <v>3605</v>
      </c>
      <c r="G3862" s="63" t="str">
        <f>VLOOKUP(C3862, 'Class Def. - General Data'!$C$20:$C$1000,1,false)</f>
        <v>ZPM1_Cup_Plastic</v>
      </c>
      <c r="H3862" s="63" t="str">
        <f>IFERROR(__xludf.DUMMYFUNCTION("VLOOKUP(F3862, IMPORTRANGE(""https://docs.google.com/spreadsheets/d/1Lhp9OU0JdFf_VYSMzH5lBcEaU4o8teT1piV-SNzShjg/edit?gid=554141278#gid=554141278"", ""'Char Def. - Attributes'!C20:C2242""), 1,false)"),"PACK_NETTO")</f>
        <v>PACK_NETTO</v>
      </c>
      <c r="I3862" s="136"/>
    </row>
    <row r="3863" ht="15.75" customHeight="1">
      <c r="B3863" s="63">
        <f t="shared" si="1"/>
        <v>16</v>
      </c>
      <c r="C3863" s="146" t="s">
        <v>246</v>
      </c>
      <c r="D3863" s="147" t="s">
        <v>74</v>
      </c>
      <c r="E3863" s="135">
        <f t="shared" si="59"/>
        <v>8</v>
      </c>
      <c r="F3863" s="134" t="s">
        <v>3857</v>
      </c>
      <c r="G3863" s="63" t="str">
        <f>VLOOKUP(C3863, 'Class Def. - General Data'!$C$20:$C$1000,1,false)</f>
        <v>ZPM1_Cup_Plastic</v>
      </c>
      <c r="H3863" s="63" t="str">
        <f>IFERROR(__xludf.DUMMYFUNCTION("VLOOKUP(F3863, IMPORTRANGE(""https://docs.google.com/spreadsheets/d/1Lhp9OU0JdFf_VYSMzH5lBcEaU4o8teT1piV-SNzShjg/edit?gid=554141278#gid=554141278"", ""'Char Def. - Attributes'!C20:C2242""), 1,false)"),"PACK_UOM")</f>
        <v>PACK_UOM</v>
      </c>
      <c r="I3863" s="136"/>
    </row>
    <row r="3864" ht="15.75" customHeight="1">
      <c r="B3864" s="63">
        <f t="shared" si="1"/>
        <v>16</v>
      </c>
      <c r="C3864" s="146" t="s">
        <v>246</v>
      </c>
      <c r="D3864" s="147" t="s">
        <v>74</v>
      </c>
      <c r="E3864" s="135">
        <f t="shared" si="59"/>
        <v>9</v>
      </c>
      <c r="F3864" s="134" t="s">
        <v>3858</v>
      </c>
      <c r="G3864" s="63" t="str">
        <f>VLOOKUP(C3864, 'Class Def. - General Data'!$C$20:$C$1000,1,false)</f>
        <v>ZPM1_Cup_Plastic</v>
      </c>
      <c r="H3864" s="63" t="str">
        <f>IFERROR(__xludf.DUMMYFUNCTION("VLOOKUP(F3864, IMPORTRANGE(""https://docs.google.com/spreadsheets/d/1Lhp9OU0JdFf_VYSMzH5lBcEaU4o8teT1piV-SNzShjg/edit?gid=554141278#gid=554141278"", ""'Char Def. - Attributes'!C20:C2242""), 1,false)"),"SINGLE_VARIAN")</f>
        <v>SINGLE_VARIAN</v>
      </c>
      <c r="I3864" s="136"/>
    </row>
    <row r="3865" ht="15.75" customHeight="1">
      <c r="B3865" s="63">
        <f t="shared" si="1"/>
        <v>16</v>
      </c>
      <c r="C3865" s="146" t="s">
        <v>246</v>
      </c>
      <c r="D3865" s="147" t="s">
        <v>74</v>
      </c>
      <c r="E3865" s="135">
        <f t="shared" si="59"/>
        <v>10</v>
      </c>
      <c r="F3865" s="134" t="s">
        <v>3607</v>
      </c>
      <c r="G3865" s="63" t="str">
        <f>VLOOKUP(C3865, 'Class Def. - General Data'!$C$20:$C$1000,1,false)</f>
        <v>ZPM1_Cup_Plastic</v>
      </c>
      <c r="H3865" s="63" t="str">
        <f>IFERROR(__xludf.DUMMYFUNCTION("VLOOKUP(F3865, IMPORTRANGE(""https://docs.google.com/spreadsheets/d/1Lhp9OU0JdFf_VYSMzH5lBcEaU4o8teT1piV-SNzShjg/edit?gid=554141278#gid=554141278"", ""'Char Def. - Attributes'!C20:C2242""), 1,false)"),"VARIAN")</f>
        <v>VARIAN</v>
      </c>
      <c r="I3865" s="136"/>
    </row>
    <row r="3866" ht="15.75" customHeight="1">
      <c r="B3866" s="63">
        <f t="shared" si="1"/>
        <v>16</v>
      </c>
      <c r="C3866" s="146" t="s">
        <v>246</v>
      </c>
      <c r="D3866" s="147" t="s">
        <v>74</v>
      </c>
      <c r="E3866" s="135">
        <f t="shared" si="59"/>
        <v>11</v>
      </c>
      <c r="F3866" s="134" t="s">
        <v>3859</v>
      </c>
      <c r="G3866" s="63" t="str">
        <f>VLOOKUP(C3866, 'Class Def. - General Data'!$C$20:$C$1000,1,false)</f>
        <v>ZPM1_Cup_Plastic</v>
      </c>
      <c r="H3866" s="63" t="str">
        <f>IFERROR(__xludf.DUMMYFUNCTION("VLOOKUP(F3866, IMPORTRANGE(""https://docs.google.com/spreadsheets/d/1Lhp9OU0JdFf_VYSMzH5lBcEaU4o8teT1piV-SNzShjg/edit?gid=554141278#gid=554141278"", ""'Char Def. - Attributes'!C20:C2242""), 1,false)"),"ADA_ADDITIONAL_PROMO")</f>
        <v>ADA_ADDITIONAL_PROMO</v>
      </c>
      <c r="I3866" s="136"/>
    </row>
    <row r="3867" ht="15.75" customHeight="1">
      <c r="B3867" s="63">
        <f t="shared" si="1"/>
        <v>16</v>
      </c>
      <c r="C3867" s="146" t="s">
        <v>246</v>
      </c>
      <c r="D3867" s="147" t="s">
        <v>74</v>
      </c>
      <c r="E3867" s="135">
        <f t="shared" si="59"/>
        <v>12</v>
      </c>
      <c r="F3867" s="134" t="s">
        <v>3609</v>
      </c>
      <c r="G3867" s="63" t="str">
        <f>VLOOKUP(C3867, 'Class Def. - General Data'!$C$20:$C$1000,1,false)</f>
        <v>ZPM1_Cup_Plastic</v>
      </c>
      <c r="H3867" s="63" t="str">
        <f>IFERROR(__xludf.DUMMYFUNCTION("VLOOKUP(F3867, IMPORTRANGE(""https://docs.google.com/spreadsheets/d/1Lhp9OU0JdFf_VYSMzH5lBcEaU4o8teT1piV-SNzShjg/edit?gid=554141278#gid=554141278"", ""'Char Def. - Attributes'!C20:C2242""), 1,false)"),"ADDITIONAL_PROMO")</f>
        <v>ADDITIONAL_PROMO</v>
      </c>
      <c r="I3867" s="136"/>
    </row>
    <row r="3868" ht="15.75" customHeight="1">
      <c r="B3868" s="63">
        <f t="shared" si="1"/>
        <v>16</v>
      </c>
      <c r="C3868" s="146" t="s">
        <v>246</v>
      </c>
      <c r="D3868" s="147" t="s">
        <v>74</v>
      </c>
      <c r="E3868" s="135">
        <f t="shared" si="59"/>
        <v>13</v>
      </c>
      <c r="F3868" s="134" t="s">
        <v>3860</v>
      </c>
      <c r="G3868" s="63" t="str">
        <f>VLOOKUP(C3868, 'Class Def. - General Data'!$C$20:$C$1000,1,false)</f>
        <v>ZPM1_Cup_Plastic</v>
      </c>
      <c r="H3868" s="63" t="str">
        <f>IFERROR(__xludf.DUMMYFUNCTION("VLOOKUP(F3868, IMPORTRANGE(""https://docs.google.com/spreadsheets/d/1Lhp9OU0JdFf_VYSMzH5lBcEaU4o8teT1piV-SNzShjg/edit?gid=554141278#gid=554141278"", ""'Char Def. - Attributes'!C20:C2242""), 1,false)"),"ADA_BANDED_PROMO")</f>
        <v>ADA_BANDED_PROMO</v>
      </c>
      <c r="I3868" s="136"/>
    </row>
    <row r="3869" ht="15.75" customHeight="1">
      <c r="B3869" s="63">
        <f t="shared" si="1"/>
        <v>16</v>
      </c>
      <c r="C3869" s="146" t="s">
        <v>246</v>
      </c>
      <c r="D3869" s="147" t="s">
        <v>74</v>
      </c>
      <c r="E3869" s="135">
        <f t="shared" si="59"/>
        <v>14</v>
      </c>
      <c r="F3869" s="134" t="s">
        <v>3610</v>
      </c>
      <c r="G3869" s="63" t="str">
        <f>VLOOKUP(C3869, 'Class Def. - General Data'!$C$20:$C$1000,1,false)</f>
        <v>ZPM1_Cup_Plastic</v>
      </c>
      <c r="H3869" s="63" t="str">
        <f>IFERROR(__xludf.DUMMYFUNCTION("VLOOKUP(F3869, IMPORTRANGE(""https://docs.google.com/spreadsheets/d/1Lhp9OU0JdFf_VYSMzH5lBcEaU4o8teT1piV-SNzShjg/edit?gid=554141278#gid=554141278"", ""'Char Def. - Attributes'!C20:C2242""), 1,false)"),"BANDED_PROMO")</f>
        <v>BANDED_PROMO</v>
      </c>
      <c r="I3869" s="136"/>
    </row>
    <row r="3870" ht="15.75" customHeight="1">
      <c r="B3870" s="63">
        <f t="shared" si="1"/>
        <v>16</v>
      </c>
      <c r="C3870" s="146" t="s">
        <v>246</v>
      </c>
      <c r="D3870" s="147" t="s">
        <v>74</v>
      </c>
      <c r="E3870" s="135">
        <f t="shared" si="59"/>
        <v>15</v>
      </c>
      <c r="F3870" s="134" t="s">
        <v>1292</v>
      </c>
      <c r="G3870" s="63" t="str">
        <f>VLOOKUP(C3870, 'Class Def. - General Data'!$C$20:$C$1000,1,false)</f>
        <v>ZPM1_Cup_Plastic</v>
      </c>
      <c r="H3870" s="63" t="str">
        <f>IFERROR(__xludf.DUMMYFUNCTION("VLOOKUP(F3870, IMPORTRANGE(""https://docs.google.com/spreadsheets/d/1Lhp9OU0JdFf_VYSMzH5lBcEaU4o8teT1piV-SNzShjg/edit?gid=554141278#gid=554141278"", ""'Char Def. - Attributes'!C20:C2242""), 1,false)"),"EXPORT")</f>
        <v>EXPORT</v>
      </c>
      <c r="I3870" s="136"/>
    </row>
    <row r="3871" ht="15.75" customHeight="1">
      <c r="B3871" s="63">
        <f t="shared" si="1"/>
        <v>16</v>
      </c>
      <c r="C3871" s="146" t="s">
        <v>246</v>
      </c>
      <c r="D3871" s="147" t="s">
        <v>74</v>
      </c>
      <c r="E3871" s="135">
        <f t="shared" si="59"/>
        <v>16</v>
      </c>
      <c r="F3871" s="134" t="s">
        <v>3612</v>
      </c>
      <c r="G3871" s="63" t="str">
        <f>VLOOKUP(C3871, 'Class Def. - General Data'!$C$20:$C$1000,1,false)</f>
        <v>ZPM1_Cup_Plastic</v>
      </c>
      <c r="H3871" s="63" t="str">
        <f>IFERROR(__xludf.DUMMYFUNCTION("VLOOKUP(F3871, IMPORTRANGE(""https://docs.google.com/spreadsheets/d/1Lhp9OU0JdFf_VYSMzH5lBcEaU4o8teT1piV-SNzShjg/edit?gid=554141278#gid=554141278"", ""'Char Def. - Attributes'!C20:C2242""), 1,false)"),"COUNTRY_EKSPOR")</f>
        <v>COUNTRY_EKSPOR</v>
      </c>
      <c r="I3871" s="136"/>
    </row>
    <row r="3872" ht="15.75" customHeight="1">
      <c r="B3872" s="63">
        <f t="shared" si="1"/>
        <v>16</v>
      </c>
      <c r="C3872" s="146" t="s">
        <v>246</v>
      </c>
      <c r="D3872" s="147" t="s">
        <v>74</v>
      </c>
      <c r="E3872" s="135">
        <f t="shared" si="59"/>
        <v>17</v>
      </c>
      <c r="F3872" s="134" t="s">
        <v>3861</v>
      </c>
      <c r="G3872" s="63" t="str">
        <f>VLOOKUP(C3872, 'Class Def. - General Data'!$C$20:$C$1000,1,false)</f>
        <v>ZPM1_Cup_Plastic</v>
      </c>
      <c r="H3872" s="63" t="str">
        <f>IFERROR(__xludf.DUMMYFUNCTION("VLOOKUP(F3872, IMPORTRANGE(""https://docs.google.com/spreadsheets/d/1Lhp9OU0JdFf_VYSMzH5lBcEaU4o8teT1piV-SNzShjg/edit?gid=554141278#gid=554141278"", ""'Char Def. - Attributes'!C20:C2242""), 1,false)"),"PEMBATAS")</f>
        <v>PEMBATAS</v>
      </c>
      <c r="I3872" s="136"/>
    </row>
    <row r="3873" ht="15.75" customHeight="1">
      <c r="B3873" s="63">
        <f t="shared" si="1"/>
        <v>16</v>
      </c>
      <c r="C3873" s="146" t="s">
        <v>246</v>
      </c>
      <c r="D3873" s="147" t="s">
        <v>74</v>
      </c>
      <c r="E3873" s="135">
        <f t="shared" si="59"/>
        <v>18</v>
      </c>
      <c r="F3873" s="134" t="s">
        <v>3885</v>
      </c>
      <c r="G3873" s="63" t="str">
        <f>VLOOKUP(C3873, 'Class Def. - General Data'!$C$20:$C$1000,1,false)</f>
        <v>ZPM1_Cup_Plastic</v>
      </c>
      <c r="H3873" s="63" t="str">
        <f>IFERROR(__xludf.DUMMYFUNCTION("VLOOKUP(F3873, IMPORTRANGE(""https://docs.google.com/spreadsheets/d/1Lhp9OU0JdFf_VYSMzH5lBcEaU4o8teT1piV-SNzShjg/edit?gid=554141278#gid=554141278"", ""'Char Def. - Attributes'!C20:C2242""), 1,false)"),"PACK_CODE")</f>
        <v>PACK_CODE</v>
      </c>
      <c r="I3873" s="136"/>
    </row>
    <row r="3874" ht="15.75" customHeight="1">
      <c r="B3874" s="63">
        <f t="shared" si="1"/>
        <v>16</v>
      </c>
      <c r="C3874" s="146" t="s">
        <v>246</v>
      </c>
      <c r="D3874" s="147" t="s">
        <v>74</v>
      </c>
      <c r="E3874" s="135">
        <f t="shared" si="59"/>
        <v>19</v>
      </c>
      <c r="F3874" s="134" t="s">
        <v>3925</v>
      </c>
      <c r="G3874" s="63" t="str">
        <f>VLOOKUP(C3874, 'Class Def. - General Data'!$C$20:$C$1000,1,false)</f>
        <v>ZPM1_Cup_Plastic</v>
      </c>
      <c r="H3874" s="63" t="str">
        <f>IFERROR(__xludf.DUMMYFUNCTION("VLOOKUP(F3874, IMPORTRANGE(""https://docs.google.com/spreadsheets/d/1Lhp9OU0JdFf_VYSMzH5lBcEaU4o8teT1piV-SNzShjg/edit?gid=554141278#gid=554141278"", ""'Char Def. - Attributes'!C20:C2242""), 1,false)"),"PACK_CONTENT_AMOUNT_3_OPT")</f>
        <v>PACK_CONTENT_AMOUNT_3_OPT</v>
      </c>
      <c r="I3874" s="136"/>
    </row>
    <row r="3875" ht="15.75" customHeight="1">
      <c r="B3875" s="63">
        <f t="shared" si="1"/>
        <v>16</v>
      </c>
      <c r="C3875" s="146" t="s">
        <v>246</v>
      </c>
      <c r="D3875" s="147" t="s">
        <v>74</v>
      </c>
      <c r="E3875" s="135">
        <f t="shared" si="59"/>
        <v>20</v>
      </c>
      <c r="F3875" s="134" t="s">
        <v>3862</v>
      </c>
      <c r="G3875" s="63" t="str">
        <f>VLOOKUP(C3875, 'Class Def. - General Data'!$C$20:$C$1000,1,false)</f>
        <v>ZPM1_Cup_Plastic</v>
      </c>
      <c r="H3875" s="63" t="str">
        <f>IFERROR(__xludf.DUMMYFUNCTION("VLOOKUP(F3875, IMPORTRANGE(""https://docs.google.com/spreadsheets/d/1Lhp9OU0JdFf_VYSMzH5lBcEaU4o8teT1piV-SNzShjg/edit?gid=554141278#gid=554141278"", ""'Char Def. - Attributes'!C20:C2242""), 1,false)"),"MONTH")</f>
        <v>MONTH</v>
      </c>
      <c r="I3875" s="136"/>
    </row>
    <row r="3876" ht="15.75" customHeight="1">
      <c r="B3876" s="63">
        <f t="shared" si="1"/>
        <v>16</v>
      </c>
      <c r="C3876" s="146" t="s">
        <v>246</v>
      </c>
      <c r="D3876" s="147" t="s">
        <v>74</v>
      </c>
      <c r="E3876" s="135">
        <f t="shared" si="59"/>
        <v>21</v>
      </c>
      <c r="F3876" s="134" t="s">
        <v>3863</v>
      </c>
      <c r="G3876" s="63" t="str">
        <f>VLOOKUP(C3876, 'Class Def. - General Data'!$C$20:$C$1000,1,false)</f>
        <v>ZPM1_Cup_Plastic</v>
      </c>
      <c r="H3876" s="63" t="str">
        <f>IFERROR(__xludf.DUMMYFUNCTION("VLOOKUP(F3876, IMPORTRANGE(""https://docs.google.com/spreadsheets/d/1Lhp9OU0JdFf_VYSMzH5lBcEaU4o8teT1piV-SNzShjg/edit?gid=554141278#gid=554141278"", ""'Char Def. - Attributes'!C20:C2242""), 1,false)"),"YEAR")</f>
        <v>YEAR</v>
      </c>
      <c r="I3876" s="136"/>
    </row>
    <row r="3877" ht="15.75" customHeight="1">
      <c r="B3877" s="63">
        <f t="shared" si="1"/>
        <v>16</v>
      </c>
      <c r="C3877" s="146" t="s">
        <v>246</v>
      </c>
      <c r="D3877" s="147" t="s">
        <v>74</v>
      </c>
      <c r="E3877" s="135">
        <f t="shared" si="59"/>
        <v>22</v>
      </c>
      <c r="F3877" s="134" t="s">
        <v>3900</v>
      </c>
      <c r="G3877" s="63" t="str">
        <f>VLOOKUP(C3877, 'Class Def. - General Data'!$C$20:$C$1000,1,false)</f>
        <v>ZPM1_Cup_Plastic</v>
      </c>
      <c r="H3877" s="63" t="str">
        <f>IFERROR(__xludf.DUMMYFUNCTION("VLOOKUP(F3877, IMPORTRANGE(""https://docs.google.com/spreadsheets/d/1Lhp9OU0JdFf_VYSMzH5lBcEaU4o8teT1piV-SNzShjg/edit?gid=554141278#gid=554141278"", ""'Char Def. - Attributes'!C20:C2242""), 1,false)"),"PLASTIC_TYPE_OPT")</f>
        <v>PLASTIC_TYPE_OPT</v>
      </c>
      <c r="I3877" s="136"/>
    </row>
    <row r="3878" ht="15.75" customHeight="1">
      <c r="B3878" s="63">
        <f t="shared" si="1"/>
        <v>16</v>
      </c>
      <c r="C3878" s="146" t="s">
        <v>246</v>
      </c>
      <c r="D3878" s="147" t="s">
        <v>74</v>
      </c>
      <c r="E3878" s="135">
        <f t="shared" si="59"/>
        <v>23</v>
      </c>
      <c r="F3878" s="134" t="s">
        <v>3864</v>
      </c>
      <c r="G3878" s="63" t="str">
        <f>VLOOKUP(C3878, 'Class Def. - General Data'!$C$20:$C$1000,1,false)</f>
        <v>ZPM1_Cup_Plastic</v>
      </c>
      <c r="H3878" s="63" t="str">
        <f>IFERROR(__xludf.DUMMYFUNCTION("VLOOKUP(F3878, IMPORTRANGE(""https://docs.google.com/spreadsheets/d/1Lhp9OU0JdFf_VYSMzH5lBcEaU4o8teT1piV-SNzShjg/edit?gid=554141278#gid=554141278"", ""'Char Def. - Attributes'!C20:C2242""), 1,false)"),"DIMENSION_OPT")</f>
        <v>DIMENSION_OPT</v>
      </c>
      <c r="I3878" s="136"/>
    </row>
    <row r="3879" ht="15.75" customHeight="1">
      <c r="B3879" s="63">
        <f t="shared" si="1"/>
        <v>16</v>
      </c>
      <c r="C3879" s="146" t="s">
        <v>246</v>
      </c>
      <c r="D3879" s="147" t="s">
        <v>74</v>
      </c>
      <c r="E3879" s="135">
        <f t="shared" si="59"/>
        <v>24</v>
      </c>
      <c r="F3879" s="134" t="s">
        <v>3890</v>
      </c>
      <c r="G3879" s="63" t="str">
        <f>VLOOKUP(C3879, 'Class Def. - General Data'!$C$20:$C$1000,1,false)</f>
        <v>ZPM1_Cup_Plastic</v>
      </c>
      <c r="H3879" s="63" t="str">
        <f>IFERROR(__xludf.DUMMYFUNCTION("VLOOKUP(F3879, IMPORTRANGE(""https://docs.google.com/spreadsheets/d/1Lhp9OU0JdFf_VYSMzH5lBcEaU4o8teT1piV-SNzShjg/edit?gid=554141278#gid=554141278"", ""'Char Def. - Attributes'!C20:C2242""), 1,false)"),"EXT_MAT_GRP")</f>
        <v>EXT_MAT_GRP</v>
      </c>
      <c r="I3879" s="136"/>
    </row>
    <row r="3880" ht="15.75" customHeight="1">
      <c r="B3880" s="63">
        <f t="shared" si="1"/>
        <v>16</v>
      </c>
      <c r="C3880" s="146" t="s">
        <v>246</v>
      </c>
      <c r="D3880" s="147" t="s">
        <v>74</v>
      </c>
      <c r="E3880" s="135">
        <f t="shared" si="59"/>
        <v>25</v>
      </c>
      <c r="F3880" s="134" t="s">
        <v>3892</v>
      </c>
      <c r="G3880" s="63" t="str">
        <f>VLOOKUP(C3880, 'Class Def. - General Data'!$C$20:$C$1000,1,false)</f>
        <v>ZPM1_Cup_Plastic</v>
      </c>
      <c r="H3880" s="63" t="str">
        <f>IFERROR(__xludf.DUMMYFUNCTION("VLOOKUP(F3880, IMPORTRANGE(""https://docs.google.com/spreadsheets/d/1Lhp9OU0JdFf_VYSMzH5lBcEaU4o8teT1piV-SNzShjg/edit?gid=554141278#gid=554141278"", ""'Char Def. - Attributes'!C20:C2242""), 1,false)"),"COLOR_COUNT")</f>
        <v>COLOR_COUNT</v>
      </c>
      <c r="I3880" s="136"/>
    </row>
    <row r="3881" ht="15.75" customHeight="1">
      <c r="B3881" s="63">
        <f t="shared" si="1"/>
        <v>16</v>
      </c>
      <c r="C3881" s="146" t="s">
        <v>246</v>
      </c>
      <c r="D3881" s="147" t="s">
        <v>74</v>
      </c>
      <c r="E3881" s="135">
        <f t="shared" si="59"/>
        <v>26</v>
      </c>
      <c r="F3881" s="134" t="s">
        <v>3926</v>
      </c>
      <c r="G3881" s="63" t="str">
        <f>VLOOKUP(C3881, 'Class Def. - General Data'!$C$20:$C$1000,1,false)</f>
        <v>ZPM1_Cup_Plastic</v>
      </c>
      <c r="H3881" s="63" t="str">
        <f>IFERROR(__xludf.DUMMYFUNCTION("VLOOKUP(F3881, IMPORTRANGE(""https://docs.google.com/spreadsheets/d/1Lhp9OU0JdFf_VYSMzH5lBcEaU4o8teT1piV-SNzShjg/edit?gid=554141278#gid=554141278"", ""'Char Def. - Attributes'!C20:C2242""), 1,false)"),"FLEX_UOM_OPT")</f>
        <v>FLEX_UOM_OPT</v>
      </c>
      <c r="I3881" s="136"/>
    </row>
    <row r="3882" ht="15.75" customHeight="1">
      <c r="B3882" s="63">
        <f t="shared" si="1"/>
        <v>16</v>
      </c>
      <c r="C3882" s="146" t="s">
        <v>246</v>
      </c>
      <c r="D3882" s="147" t="s">
        <v>74</v>
      </c>
      <c r="E3882" s="135">
        <f t="shared" si="59"/>
        <v>27</v>
      </c>
      <c r="F3882" s="134" t="s">
        <v>3927</v>
      </c>
      <c r="G3882" s="63" t="str">
        <f>VLOOKUP(C3882, 'Class Def. - General Data'!$C$20:$C$1000,1,false)</f>
        <v>ZPM1_Cup_Plastic</v>
      </c>
      <c r="H3882" s="63" t="str">
        <f>IFERROR(__xludf.DUMMYFUNCTION("VLOOKUP(F3882, IMPORTRANGE(""https://docs.google.com/spreadsheets/d/1Lhp9OU0JdFf_VYSMzH5lBcEaU4o8teT1piV-SNzShjg/edit?gid=554141278#gid=554141278"", ""'Char Def. - Attributes'!C20:C2242""), 1,false)"),"FLEX_COMPLEXITY_OPT")</f>
        <v>FLEX_COMPLEXITY_OPT</v>
      </c>
      <c r="I3882" s="136"/>
    </row>
    <row r="3883" ht="15.75" customHeight="1">
      <c r="B3883" s="63">
        <f t="shared" si="1"/>
        <v>16</v>
      </c>
      <c r="C3883" s="146" t="s">
        <v>246</v>
      </c>
      <c r="D3883" s="147" t="s">
        <v>74</v>
      </c>
      <c r="E3883" s="135">
        <f t="shared" si="59"/>
        <v>28</v>
      </c>
      <c r="F3883" s="134" t="s">
        <v>3911</v>
      </c>
      <c r="G3883" s="63" t="str">
        <f>VLOOKUP(C3883, 'Class Def. - General Data'!$C$20:$C$1000,1,false)</f>
        <v>ZPM1_Cup_Plastic</v>
      </c>
      <c r="H3883" s="63" t="str">
        <f>IFERROR(__xludf.DUMMYFUNCTION("VLOOKUP(F3883, IMPORTRANGE(""https://docs.google.com/spreadsheets/d/1Lhp9OU0JdFf_VYSMzH5lBcEaU4o8teT1piV-SNzShjg/edit?gid=554141278#gid=554141278"", ""'Char Def. - Attributes'!C20:C2242""), 1,false)"),"PLANT_BUY_OPT")</f>
        <v>PLANT_BUY_OPT</v>
      </c>
      <c r="I3883" s="136"/>
    </row>
    <row r="3884" ht="15.75" customHeight="1">
      <c r="B3884" s="63">
        <f t="shared" si="1"/>
        <v>16</v>
      </c>
      <c r="C3884" s="146" t="s">
        <v>246</v>
      </c>
      <c r="D3884" s="147" t="s">
        <v>74</v>
      </c>
      <c r="E3884" s="135">
        <f t="shared" si="59"/>
        <v>29</v>
      </c>
      <c r="F3884" s="134" t="s">
        <v>3865</v>
      </c>
      <c r="G3884" s="63" t="str">
        <f>VLOOKUP(C3884, 'Class Def. - General Data'!$C$20:$C$1000,1,false)</f>
        <v>ZPM1_Cup_Plastic</v>
      </c>
      <c r="H3884" s="63" t="str">
        <f>IFERROR(__xludf.DUMMYFUNCTION("VLOOKUP(F3884, IMPORTRANGE(""https://docs.google.com/spreadsheets/d/1Lhp9OU0JdFf_VYSMzH5lBcEaU4o8teT1piV-SNzShjg/edit?gid=554141278#gid=554141278"", ""'Char Def. - Attributes'!C20:C2242""), 1,false)"),"PLANT_PROD_OPT")</f>
        <v>PLANT_PROD_OPT</v>
      </c>
      <c r="I3884" s="136"/>
    </row>
    <row r="3885" ht="15.75" customHeight="1">
      <c r="B3885" s="63">
        <f t="shared" si="1"/>
        <v>16</v>
      </c>
      <c r="C3885" s="146" t="s">
        <v>246</v>
      </c>
      <c r="D3885" s="147" t="s">
        <v>74</v>
      </c>
      <c r="E3885" s="135">
        <f t="shared" si="59"/>
        <v>30</v>
      </c>
      <c r="F3885" s="134" t="s">
        <v>3866</v>
      </c>
      <c r="G3885" s="63" t="str">
        <f>VLOOKUP(C3885, 'Class Def. - General Data'!$C$20:$C$1000,1,false)</f>
        <v>ZPM1_Cup_Plastic</v>
      </c>
      <c r="H3885" s="63" t="str">
        <f>IFERROR(__xludf.DUMMYFUNCTION("VLOOKUP(F3885, IMPORTRANGE(""https://docs.google.com/spreadsheets/d/1Lhp9OU0JdFf_VYSMzH5lBcEaU4o8teT1piV-SNzShjg/edit?gid=554141278#gid=554141278"", ""'Char Def. - Attributes'!C20:C2242""), 1,false)"),"PM_SUPPLY_JKT")</f>
        <v>PM_SUPPLY_JKT</v>
      </c>
      <c r="I3885" s="136"/>
    </row>
    <row r="3886" ht="15.75" customHeight="1">
      <c r="B3886" s="63">
        <f t="shared" si="1"/>
        <v>16</v>
      </c>
      <c r="C3886" s="146" t="s">
        <v>246</v>
      </c>
      <c r="D3886" s="147" t="s">
        <v>74</v>
      </c>
      <c r="E3886" s="135">
        <f t="shared" si="59"/>
        <v>31</v>
      </c>
      <c r="F3886" s="134" t="s">
        <v>3867</v>
      </c>
      <c r="G3886" s="63" t="str">
        <f>VLOOKUP(C3886, 'Class Def. - General Data'!$C$20:$C$1000,1,false)</f>
        <v>ZPM1_Cup_Plastic</v>
      </c>
      <c r="H3886" s="63" t="str">
        <f>IFERROR(__xludf.DUMMYFUNCTION("VLOOKUP(F3886, IMPORTRANGE(""https://docs.google.com/spreadsheets/d/1Lhp9OU0JdFf_VYSMzH5lBcEaU4o8teT1piV-SNzShjg/edit?gid=554141278#gid=554141278"", ""'Char Def. - Attributes'!C20:C2242""), 1,false)"),"PM_SUPPLY_SBY")</f>
        <v>PM_SUPPLY_SBY</v>
      </c>
      <c r="I3886" s="136"/>
    </row>
    <row r="3887" ht="15.75" customHeight="1">
      <c r="B3887" s="63">
        <f t="shared" si="1"/>
        <v>16</v>
      </c>
      <c r="C3887" s="146" t="s">
        <v>246</v>
      </c>
      <c r="D3887" s="147" t="s">
        <v>74</v>
      </c>
      <c r="E3887" s="135">
        <f t="shared" si="59"/>
        <v>32</v>
      </c>
      <c r="F3887" s="134" t="s">
        <v>3868</v>
      </c>
      <c r="G3887" s="63" t="str">
        <f>VLOOKUP(C3887, 'Class Def. - General Data'!$C$20:$C$1000,1,false)</f>
        <v>ZPM1_Cup_Plastic</v>
      </c>
      <c r="H3887" s="63" t="str">
        <f>IFERROR(__xludf.DUMMYFUNCTION("VLOOKUP(F3887, IMPORTRANGE(""https://docs.google.com/spreadsheets/d/1Lhp9OU0JdFf_VYSMzH5lBcEaU4o8teT1piV-SNzShjg/edit?gid=554141278#gid=554141278"", ""'Char Def. - Attributes'!C20:C2242""), 1,false)"),"BASIC_UOM_RMPM")</f>
        <v>BASIC_UOM_RMPM</v>
      </c>
      <c r="I3887" s="136"/>
    </row>
    <row r="3888" ht="15.75" customHeight="1">
      <c r="B3888" s="63">
        <f t="shared" si="1"/>
        <v>16</v>
      </c>
      <c r="C3888" s="146" t="s">
        <v>246</v>
      </c>
      <c r="D3888" s="147" t="s">
        <v>74</v>
      </c>
      <c r="E3888" s="135">
        <f t="shared" si="59"/>
        <v>33</v>
      </c>
      <c r="F3888" s="134" t="s">
        <v>3869</v>
      </c>
      <c r="G3888" s="63" t="str">
        <f>VLOOKUP(C3888, 'Class Def. - General Data'!$C$20:$C$1000,1,false)</f>
        <v>ZPM1_Cup_Plastic</v>
      </c>
      <c r="H3888" s="63" t="str">
        <f>IFERROR(__xludf.DUMMYFUNCTION("VLOOKUP(F3888, IMPORTRANGE(""https://docs.google.com/spreadsheets/d/1Lhp9OU0JdFf_VYSMzH5lBcEaU4o8teT1piV-SNzShjg/edit?gid=554141278#gid=554141278"", ""'Char Def. - Attributes'!C20:C2242""), 1,false)"),"ALT_UOM1_RMPM")</f>
        <v>ALT_UOM1_RMPM</v>
      </c>
      <c r="I3888" s="136"/>
    </row>
    <row r="3889" ht="15.75" customHeight="1">
      <c r="B3889" s="63">
        <f t="shared" si="1"/>
        <v>16</v>
      </c>
      <c r="C3889" s="146" t="s">
        <v>246</v>
      </c>
      <c r="D3889" s="147" t="s">
        <v>74</v>
      </c>
      <c r="E3889" s="135">
        <f t="shared" si="59"/>
        <v>34</v>
      </c>
      <c r="F3889" s="134" t="s">
        <v>3805</v>
      </c>
      <c r="G3889" s="63" t="str">
        <f>VLOOKUP(C3889, 'Class Def. - General Data'!$C$20:$C$1000,1,false)</f>
        <v>ZPM1_Cup_Plastic</v>
      </c>
      <c r="H3889" s="63" t="str">
        <f>IFERROR(__xludf.DUMMYFUNCTION("VLOOKUP(F3889, IMPORTRANGE(""https://docs.google.com/spreadsheets/d/1Lhp9OU0JdFf_VYSMzH5lBcEaU4o8teT1piV-SNzShjg/edit?gid=554141278#gid=554141278"", ""'Char Def. - Attributes'!C20:C2242""), 1,false)"),"ALT_DENUM_UOM1")</f>
        <v>ALT_DENUM_UOM1</v>
      </c>
      <c r="I3889" s="136"/>
    </row>
    <row r="3890" ht="15.75" customHeight="1">
      <c r="B3890" s="63">
        <f t="shared" si="1"/>
        <v>16</v>
      </c>
      <c r="C3890" s="146" t="s">
        <v>246</v>
      </c>
      <c r="D3890" s="147" t="s">
        <v>74</v>
      </c>
      <c r="E3890" s="135">
        <f t="shared" si="59"/>
        <v>35</v>
      </c>
      <c r="F3890" s="134" t="s">
        <v>3806</v>
      </c>
      <c r="G3890" s="63" t="str">
        <f>VLOOKUP(C3890, 'Class Def. - General Data'!$C$20:$C$1000,1,false)</f>
        <v>ZPM1_Cup_Plastic</v>
      </c>
      <c r="H3890" s="63" t="str">
        <f>IFERROR(__xludf.DUMMYFUNCTION("VLOOKUP(F3890, IMPORTRANGE(""https://docs.google.com/spreadsheets/d/1Lhp9OU0JdFf_VYSMzH5lBcEaU4o8teT1piV-SNzShjg/edit?gid=554141278#gid=554141278"", ""'Char Def. - Attributes'!C20:C2242""), 1,false)"),"ALT_NUM_UOM1")</f>
        <v>ALT_NUM_UOM1</v>
      </c>
      <c r="I3890" s="136"/>
    </row>
    <row r="3891" ht="15.75" customHeight="1">
      <c r="B3891" s="63">
        <f t="shared" si="1"/>
        <v>16</v>
      </c>
      <c r="C3891" s="146" t="s">
        <v>246</v>
      </c>
      <c r="D3891" s="147" t="s">
        <v>74</v>
      </c>
      <c r="E3891" s="135">
        <f t="shared" si="59"/>
        <v>36</v>
      </c>
      <c r="F3891" s="134" t="s">
        <v>3870</v>
      </c>
      <c r="G3891" s="63" t="str">
        <f>VLOOKUP(C3891, 'Class Def. - General Data'!$C$20:$C$1000,1,false)</f>
        <v>ZPM1_Cup_Plastic</v>
      </c>
      <c r="H3891" s="63" t="str">
        <f>IFERROR(__xludf.DUMMYFUNCTION("VLOOKUP(F3891, IMPORTRANGE(""https://docs.google.com/spreadsheets/d/1Lhp9OU0JdFf_VYSMzH5lBcEaU4o8teT1piV-SNzShjg/edit?gid=554141278#gid=554141278"", ""'Char Def. - Attributes'!C20:C2242""), 1,false)"),"ALT_UOM2_RMPM")</f>
        <v>ALT_UOM2_RMPM</v>
      </c>
      <c r="I3891" s="136"/>
    </row>
    <row r="3892" ht="15.75" customHeight="1">
      <c r="B3892" s="63">
        <f t="shared" si="1"/>
        <v>16</v>
      </c>
      <c r="C3892" s="146" t="s">
        <v>246</v>
      </c>
      <c r="D3892" s="147" t="s">
        <v>74</v>
      </c>
      <c r="E3892" s="135">
        <f t="shared" si="59"/>
        <v>37</v>
      </c>
      <c r="F3892" s="134" t="s">
        <v>3808</v>
      </c>
      <c r="G3892" s="63" t="str">
        <f>VLOOKUP(C3892, 'Class Def. - General Data'!$C$20:$C$1000,1,false)</f>
        <v>ZPM1_Cup_Plastic</v>
      </c>
      <c r="H3892" s="63" t="str">
        <f>IFERROR(__xludf.DUMMYFUNCTION("VLOOKUP(F3892, IMPORTRANGE(""https://docs.google.com/spreadsheets/d/1Lhp9OU0JdFf_VYSMzH5lBcEaU4o8teT1piV-SNzShjg/edit?gid=554141278#gid=554141278"", ""'Char Def. - Attributes'!C20:C2242""), 1,false)"),"ALT_DENUM_UOM2")</f>
        <v>ALT_DENUM_UOM2</v>
      </c>
      <c r="I3892" s="136"/>
    </row>
    <row r="3893" ht="15.75" customHeight="1">
      <c r="B3893" s="63">
        <f t="shared" si="1"/>
        <v>16</v>
      </c>
      <c r="C3893" s="146" t="s">
        <v>246</v>
      </c>
      <c r="D3893" s="147" t="s">
        <v>74</v>
      </c>
      <c r="E3893" s="135">
        <f t="shared" si="59"/>
        <v>38</v>
      </c>
      <c r="F3893" s="134" t="s">
        <v>3809</v>
      </c>
      <c r="G3893" s="63" t="str">
        <f>VLOOKUP(C3893, 'Class Def. - General Data'!$C$20:$C$1000,1,false)</f>
        <v>ZPM1_Cup_Plastic</v>
      </c>
      <c r="H3893" s="63" t="str">
        <f>IFERROR(__xludf.DUMMYFUNCTION("VLOOKUP(F3893, IMPORTRANGE(""https://docs.google.com/spreadsheets/d/1Lhp9OU0JdFf_VYSMzH5lBcEaU4o8teT1piV-SNzShjg/edit?gid=554141278#gid=554141278"", ""'Char Def. - Attributes'!C20:C2242""), 1,false)"),"ALT_NUM_UOM2")</f>
        <v>ALT_NUM_UOM2</v>
      </c>
      <c r="I3893" s="136"/>
    </row>
    <row r="3894" ht="15.75" customHeight="1">
      <c r="B3894" s="63">
        <f t="shared" si="1"/>
        <v>16</v>
      </c>
      <c r="C3894" s="146" t="s">
        <v>246</v>
      </c>
      <c r="D3894" s="147" t="s">
        <v>74</v>
      </c>
      <c r="E3894" s="135">
        <f t="shared" si="59"/>
        <v>39</v>
      </c>
      <c r="F3894" s="134" t="s">
        <v>3871</v>
      </c>
      <c r="G3894" s="63" t="str">
        <f>VLOOKUP(C3894, 'Class Def. - General Data'!$C$20:$C$1000,1,false)</f>
        <v>ZPM1_Cup_Plastic</v>
      </c>
      <c r="H3894" s="63" t="str">
        <f>IFERROR(__xludf.DUMMYFUNCTION("VLOOKUP(F3894, IMPORTRANGE(""https://docs.google.com/spreadsheets/d/1Lhp9OU0JdFf_VYSMzH5lBcEaU4o8teT1piV-SNzShjg/edit?gid=554141278#gid=554141278"", ""'Char Def. - Attributes'!C20:C2242""), 1,false)"),"ALT_UOM3_RMPM")</f>
        <v>ALT_UOM3_RMPM</v>
      </c>
      <c r="I3894" s="136"/>
    </row>
    <row r="3895" ht="15.75" customHeight="1">
      <c r="B3895" s="63">
        <f t="shared" si="1"/>
        <v>16</v>
      </c>
      <c r="C3895" s="146" t="s">
        <v>246</v>
      </c>
      <c r="D3895" s="147" t="s">
        <v>74</v>
      </c>
      <c r="E3895" s="135">
        <f t="shared" si="59"/>
        <v>40</v>
      </c>
      <c r="F3895" s="134" t="s">
        <v>3811</v>
      </c>
      <c r="G3895" s="63" t="str">
        <f>VLOOKUP(C3895, 'Class Def. - General Data'!$C$20:$C$1000,1,false)</f>
        <v>ZPM1_Cup_Plastic</v>
      </c>
      <c r="H3895" s="63" t="str">
        <f>IFERROR(__xludf.DUMMYFUNCTION("VLOOKUP(F3895, IMPORTRANGE(""https://docs.google.com/spreadsheets/d/1Lhp9OU0JdFf_VYSMzH5lBcEaU4o8teT1piV-SNzShjg/edit?gid=554141278#gid=554141278"", ""'Char Def. - Attributes'!C20:C2242""), 1,false)"),"ALT_DENUM_UOM3")</f>
        <v>ALT_DENUM_UOM3</v>
      </c>
      <c r="I3895" s="136"/>
    </row>
    <row r="3896" ht="15.75" customHeight="1">
      <c r="B3896" s="63">
        <f t="shared" si="1"/>
        <v>16</v>
      </c>
      <c r="C3896" s="146" t="s">
        <v>246</v>
      </c>
      <c r="D3896" s="147" t="s">
        <v>74</v>
      </c>
      <c r="E3896" s="135">
        <f t="shared" si="59"/>
        <v>41</v>
      </c>
      <c r="F3896" s="134" t="s">
        <v>3812</v>
      </c>
      <c r="G3896" s="63" t="str">
        <f>VLOOKUP(C3896, 'Class Def. - General Data'!$C$20:$C$1000,1,false)</f>
        <v>ZPM1_Cup_Plastic</v>
      </c>
      <c r="H3896" s="63" t="str">
        <f>IFERROR(__xludf.DUMMYFUNCTION("VLOOKUP(F3896, IMPORTRANGE(""https://docs.google.com/spreadsheets/d/1Lhp9OU0JdFf_VYSMzH5lBcEaU4o8teT1piV-SNzShjg/edit?gid=554141278#gid=554141278"", ""'Char Def. - Attributes'!C20:C2242""), 1,false)"),"ALT_NUM_UOM3")</f>
        <v>ALT_NUM_UOM3</v>
      </c>
      <c r="I3896" s="136"/>
    </row>
    <row r="3897" ht="15.75" customHeight="1">
      <c r="B3897" s="63">
        <f t="shared" si="1"/>
        <v>16</v>
      </c>
      <c r="C3897" s="146" t="s">
        <v>246</v>
      </c>
      <c r="D3897" s="147" t="s">
        <v>74</v>
      </c>
      <c r="E3897" s="135">
        <f t="shared" si="59"/>
        <v>42</v>
      </c>
      <c r="F3897" s="134" t="s">
        <v>3872</v>
      </c>
      <c r="G3897" s="63" t="str">
        <f>VLOOKUP(C3897, 'Class Def. - General Data'!$C$20:$C$1000,1,false)</f>
        <v>ZPM1_Cup_Plastic</v>
      </c>
      <c r="H3897" s="63" t="str">
        <f>IFERROR(__xludf.DUMMYFUNCTION("VLOOKUP(F3897, IMPORTRANGE(""https://docs.google.com/spreadsheets/d/1Lhp9OU0JdFf_VYSMzH5lBcEaU4o8teT1piV-SNzShjg/edit?gid=554141278#gid=554141278"", ""'Char Def. - Attributes'!C20:C2242""), 1,false)"),"ALT_UOM4_RMPM")</f>
        <v>ALT_UOM4_RMPM</v>
      </c>
      <c r="I3897" s="136"/>
    </row>
    <row r="3898" ht="15.75" customHeight="1">
      <c r="B3898" s="63">
        <f t="shared" si="1"/>
        <v>16</v>
      </c>
      <c r="C3898" s="146" t="s">
        <v>246</v>
      </c>
      <c r="D3898" s="147" t="s">
        <v>74</v>
      </c>
      <c r="E3898" s="135">
        <f t="shared" si="59"/>
        <v>43</v>
      </c>
      <c r="F3898" s="134" t="s">
        <v>3814</v>
      </c>
      <c r="G3898" s="63" t="str">
        <f>VLOOKUP(C3898, 'Class Def. - General Data'!$C$20:$C$1000,1,false)</f>
        <v>ZPM1_Cup_Plastic</v>
      </c>
      <c r="H3898" s="63" t="str">
        <f>IFERROR(__xludf.DUMMYFUNCTION("VLOOKUP(F3898, IMPORTRANGE(""https://docs.google.com/spreadsheets/d/1Lhp9OU0JdFf_VYSMzH5lBcEaU4o8teT1piV-SNzShjg/edit?gid=554141278#gid=554141278"", ""'Char Def. - Attributes'!C20:C2242""), 1,false)"),"ALT_DENUM_UOM4")</f>
        <v>ALT_DENUM_UOM4</v>
      </c>
      <c r="I3898" s="136"/>
    </row>
    <row r="3899" ht="15.75" customHeight="1">
      <c r="B3899" s="63">
        <f t="shared" si="1"/>
        <v>16</v>
      </c>
      <c r="C3899" s="146" t="s">
        <v>246</v>
      </c>
      <c r="D3899" s="147" t="s">
        <v>74</v>
      </c>
      <c r="E3899" s="135">
        <f t="shared" si="59"/>
        <v>44</v>
      </c>
      <c r="F3899" s="134" t="s">
        <v>3815</v>
      </c>
      <c r="G3899" s="63" t="str">
        <f>VLOOKUP(C3899, 'Class Def. - General Data'!$C$20:$C$1000,1,false)</f>
        <v>ZPM1_Cup_Plastic</v>
      </c>
      <c r="H3899" s="63" t="str">
        <f>IFERROR(__xludf.DUMMYFUNCTION("VLOOKUP(F3899, IMPORTRANGE(""https://docs.google.com/spreadsheets/d/1Lhp9OU0JdFf_VYSMzH5lBcEaU4o8teT1piV-SNzShjg/edit?gid=554141278#gid=554141278"", ""'Char Def. - Attributes'!C20:C2242""), 1,false)"),"ALT_NUM_UOM4")</f>
        <v>ALT_NUM_UOM4</v>
      </c>
      <c r="I3899" s="136"/>
    </row>
    <row r="3900" ht="15.75" customHeight="1">
      <c r="B3900" s="63">
        <f t="shared" si="1"/>
        <v>16</v>
      </c>
      <c r="C3900" s="146" t="s">
        <v>246</v>
      </c>
      <c r="D3900" s="147" t="s">
        <v>74</v>
      </c>
      <c r="E3900" s="135">
        <f t="shared" si="59"/>
        <v>45</v>
      </c>
      <c r="F3900" s="134" t="s">
        <v>3873</v>
      </c>
      <c r="G3900" s="63" t="str">
        <f>VLOOKUP(C3900, 'Class Def. - General Data'!$C$20:$C$1000,1,false)</f>
        <v>ZPM1_Cup_Plastic</v>
      </c>
      <c r="H3900" s="63" t="str">
        <f>IFERROR(__xludf.DUMMYFUNCTION("VLOOKUP(F3900, IMPORTRANGE(""https://docs.google.com/spreadsheets/d/1Lhp9OU0JdFf_VYSMzH5lBcEaU4o8teT1piV-SNzShjg/edit?gid=554141278#gid=554141278"", ""'Char Def. - Attributes'!C20:C2242""), 1,false)"),"ALT_UOM5_RMPM")</f>
        <v>ALT_UOM5_RMPM</v>
      </c>
      <c r="I3900" s="136"/>
    </row>
    <row r="3901" ht="15.75" customHeight="1">
      <c r="B3901" s="63">
        <f t="shared" si="1"/>
        <v>16</v>
      </c>
      <c r="C3901" s="146" t="s">
        <v>246</v>
      </c>
      <c r="D3901" s="147" t="s">
        <v>74</v>
      </c>
      <c r="E3901" s="135">
        <f t="shared" si="59"/>
        <v>46</v>
      </c>
      <c r="F3901" s="134" t="s">
        <v>3817</v>
      </c>
      <c r="G3901" s="63" t="str">
        <f>VLOOKUP(C3901, 'Class Def. - General Data'!$C$20:$C$1000,1,false)</f>
        <v>ZPM1_Cup_Plastic</v>
      </c>
      <c r="H3901" s="63" t="str">
        <f>IFERROR(__xludf.DUMMYFUNCTION("VLOOKUP(F3901, IMPORTRANGE(""https://docs.google.com/spreadsheets/d/1Lhp9OU0JdFf_VYSMzH5lBcEaU4o8teT1piV-SNzShjg/edit?gid=554141278#gid=554141278"", ""'Char Def. - Attributes'!C20:C2242""), 1,false)"),"ALT_DENUM_UOM5")</f>
        <v>ALT_DENUM_UOM5</v>
      </c>
      <c r="I3901" s="136"/>
    </row>
    <row r="3902" ht="15.75" customHeight="1">
      <c r="B3902" s="63">
        <f t="shared" si="1"/>
        <v>16</v>
      </c>
      <c r="C3902" s="146" t="s">
        <v>246</v>
      </c>
      <c r="D3902" s="147" t="s">
        <v>74</v>
      </c>
      <c r="E3902" s="135">
        <f t="shared" si="59"/>
        <v>47</v>
      </c>
      <c r="F3902" s="134" t="s">
        <v>3818</v>
      </c>
      <c r="G3902" s="63" t="str">
        <f>VLOOKUP(C3902, 'Class Def. - General Data'!$C$20:$C$1000,1,false)</f>
        <v>ZPM1_Cup_Plastic</v>
      </c>
      <c r="H3902" s="63" t="str">
        <f>IFERROR(__xludf.DUMMYFUNCTION("VLOOKUP(F3902, IMPORTRANGE(""https://docs.google.com/spreadsheets/d/1Lhp9OU0JdFf_VYSMzH5lBcEaU4o8teT1piV-SNzShjg/edit?gid=554141278#gid=554141278"", ""'Char Def. - Attributes'!C20:C2242""), 1,false)"),"ALT_NUM_UOM5")</f>
        <v>ALT_NUM_UOM5</v>
      </c>
      <c r="I3902" s="136"/>
    </row>
    <row r="3903" ht="15.75" customHeight="1">
      <c r="B3903" s="63">
        <f t="shared" si="1"/>
        <v>16</v>
      </c>
      <c r="C3903" s="146" t="s">
        <v>246</v>
      </c>
      <c r="D3903" s="147" t="s">
        <v>74</v>
      </c>
      <c r="E3903" s="135">
        <f t="shared" si="59"/>
        <v>48</v>
      </c>
      <c r="F3903" s="134" t="s">
        <v>3874</v>
      </c>
      <c r="G3903" s="63" t="str">
        <f>VLOOKUP(C3903, 'Class Def. - General Data'!$C$20:$C$1000,1,false)</f>
        <v>ZPM1_Cup_Plastic</v>
      </c>
      <c r="H3903" s="63" t="str">
        <f>IFERROR(__xludf.DUMMYFUNCTION("VLOOKUP(F3903, IMPORTRANGE(""https://docs.google.com/spreadsheets/d/1Lhp9OU0JdFf_VYSMzH5lBcEaU4o8teT1piV-SNzShjg/edit?gid=554141278#gid=554141278"", ""'Char Def. - Attributes'!C20:C2242""), 1,false)"),"VALUATION_CATEGORY")</f>
        <v>VALUATION_CATEGORY</v>
      </c>
      <c r="I3903" s="136"/>
    </row>
    <row r="3904" ht="15.75" customHeight="1">
      <c r="B3904" s="63">
        <f t="shared" si="1"/>
        <v>16</v>
      </c>
      <c r="C3904" s="146" t="s">
        <v>246</v>
      </c>
      <c r="D3904" s="147" t="s">
        <v>74</v>
      </c>
      <c r="E3904" s="135">
        <f t="shared" si="59"/>
        <v>49</v>
      </c>
      <c r="F3904" s="134" t="s">
        <v>3800</v>
      </c>
      <c r="G3904" s="63" t="str">
        <f>VLOOKUP(C3904, 'Class Def. - General Data'!$C$20:$C$1000,1,false)</f>
        <v>ZPM1_Cup_Plastic</v>
      </c>
      <c r="H3904" s="63" t="str">
        <f>IFERROR(__xludf.DUMMYFUNCTION("VLOOKUP(F3904, IMPORTRANGE(""https://docs.google.com/spreadsheets/d/1Lhp9OU0JdFf_VYSMzH5lBcEaU4o8teT1piV-SNzShjg/edit?gid=554141278#gid=554141278"", ""'Char Def. - Attributes'!C20:C2242""), 1,false)"),"ORDER_UNIT_DIFF_FROM_BASIC_UOM")</f>
        <v>ORDER_UNIT_DIFF_FROM_BASIC_UOM</v>
      </c>
      <c r="I3904" s="136"/>
    </row>
    <row r="3905" ht="15.75" customHeight="1">
      <c r="B3905" s="63">
        <f t="shared" si="1"/>
        <v>16</v>
      </c>
      <c r="C3905" s="146" t="s">
        <v>246</v>
      </c>
      <c r="D3905" s="147" t="s">
        <v>74</v>
      </c>
      <c r="E3905" s="135">
        <f t="shared" si="59"/>
        <v>50</v>
      </c>
      <c r="F3905" s="134" t="s">
        <v>3875</v>
      </c>
      <c r="G3905" s="63" t="str">
        <f>VLOOKUP(C3905, 'Class Def. - General Data'!$C$20:$C$1000,1,false)</f>
        <v>ZPM1_Cup_Plastic</v>
      </c>
      <c r="H3905" s="63" t="str">
        <f>IFERROR(__xludf.DUMMYFUNCTION("VLOOKUP(F3905, IMPORTRANGE(""https://docs.google.com/spreadsheets/d/1Lhp9OU0JdFf_VYSMzH5lBcEaU4o8teT1piV-SNzShjg/edit?gid=554141278#gid=554141278"", ""'Char Def. - Attributes'!C20:C2242""), 1,false)"),"ORDER_UNIT_RMPM")</f>
        <v>ORDER_UNIT_RMPM</v>
      </c>
      <c r="I3905" s="136"/>
    </row>
    <row r="3906" ht="15.75" customHeight="1">
      <c r="B3906" s="63">
        <f t="shared" si="1"/>
        <v>16</v>
      </c>
      <c r="C3906" s="146" t="s">
        <v>246</v>
      </c>
      <c r="D3906" s="147" t="s">
        <v>74</v>
      </c>
      <c r="E3906" s="135">
        <f t="shared" si="59"/>
        <v>51</v>
      </c>
      <c r="F3906" s="134" t="s">
        <v>3602</v>
      </c>
      <c r="G3906" s="63" t="str">
        <f>VLOOKUP(C3906, 'Class Def. - General Data'!$C$20:$C$1000,1,false)</f>
        <v>ZPM1_Cup_Plastic</v>
      </c>
      <c r="H3906" s="63" t="str">
        <f>IFERROR(__xludf.DUMMYFUNCTION("VLOOKUP(F3906, IMPORTRANGE(""https://docs.google.com/spreadsheets/d/1Lhp9OU0JdFf_VYSMzH5lBcEaU4o8teT1piV-SNzShjg/edit?gid=554141278#gid=554141278"", ""'Char Def. - Attributes'!C20:C2242""), 1,false)"),"NET_WEIGHT")</f>
        <v>NET_WEIGHT</v>
      </c>
      <c r="I3906" s="136"/>
    </row>
    <row r="3907" ht="15.75" customHeight="1">
      <c r="B3907" s="63">
        <f t="shared" si="1"/>
        <v>16</v>
      </c>
      <c r="C3907" s="146" t="s">
        <v>246</v>
      </c>
      <c r="D3907" s="147" t="s">
        <v>74</v>
      </c>
      <c r="E3907" s="135">
        <f t="shared" si="59"/>
        <v>52</v>
      </c>
      <c r="F3907" s="134" t="s">
        <v>3601</v>
      </c>
      <c r="G3907" s="63" t="str">
        <f>VLOOKUP(C3907, 'Class Def. - General Data'!$C$20:$C$1000,1,false)</f>
        <v>ZPM1_Cup_Plastic</v>
      </c>
      <c r="H3907" s="63" t="str">
        <f>IFERROR(__xludf.DUMMYFUNCTION("VLOOKUP(F3907, IMPORTRANGE(""https://docs.google.com/spreadsheets/d/1Lhp9OU0JdFf_VYSMzH5lBcEaU4o8teT1piV-SNzShjg/edit?gid=554141278#gid=554141278"", ""'Char Def. - Attributes'!C20:C2242""), 1,false)"),"GROSS_WEIGHT")</f>
        <v>GROSS_WEIGHT</v>
      </c>
      <c r="I3907" s="136"/>
    </row>
    <row r="3908" ht="15.75" customHeight="1">
      <c r="B3908" s="63">
        <f t="shared" si="1"/>
        <v>16</v>
      </c>
      <c r="C3908" s="146" t="s">
        <v>246</v>
      </c>
      <c r="D3908" s="147" t="s">
        <v>74</v>
      </c>
      <c r="E3908" s="135">
        <f t="shared" si="59"/>
        <v>53</v>
      </c>
      <c r="F3908" s="134" t="s">
        <v>3876</v>
      </c>
      <c r="G3908" s="63" t="str">
        <f>VLOOKUP(C3908, 'Class Def. - General Data'!$C$20:$C$1000,1,false)</f>
        <v>ZPM1_Cup_Plastic</v>
      </c>
      <c r="H3908" s="63" t="str">
        <f>IFERROR(__xludf.DUMMYFUNCTION("VLOOKUP(F3908, IMPORTRANGE(""https://docs.google.com/spreadsheets/d/1Lhp9OU0JdFf_VYSMzH5lBcEaU4o8teT1piV-SNzShjg/edit?gid=554141278#gid=554141278"", ""'Char Def. - Attributes'!C20:C2242""), 1,false)"),"WEIGHT_UNIT_PM")</f>
        <v>WEIGHT_UNIT_PM</v>
      </c>
      <c r="I3908" s="136"/>
    </row>
    <row r="3909" ht="15.75" customHeight="1">
      <c r="B3909" s="63">
        <f t="shared" si="1"/>
        <v>16</v>
      </c>
      <c r="C3909" s="146" t="s">
        <v>246</v>
      </c>
      <c r="D3909" s="147" t="s">
        <v>74</v>
      </c>
      <c r="E3909" s="135">
        <f t="shared" si="59"/>
        <v>54</v>
      </c>
      <c r="F3909" s="134" t="s">
        <v>3877</v>
      </c>
      <c r="G3909" s="63" t="str">
        <f>VLOOKUP(C3909, 'Class Def. - General Data'!$C$20:$C$1000,1,false)</f>
        <v>ZPM1_Cup_Plastic</v>
      </c>
      <c r="H3909" s="63" t="str">
        <f>IFERROR(__xludf.DUMMYFUNCTION("VLOOKUP(F3909, IMPORTRANGE(""https://docs.google.com/spreadsheets/d/1Lhp9OU0JdFf_VYSMzH5lBcEaU4o8teT1piV-SNzShjg/edit?gid=554141278#gid=554141278"", ""'Char Def. - Attributes'!C20:C2242""), 1,false)"),"VOLUME_OPT")</f>
        <v>VOLUME_OPT</v>
      </c>
      <c r="I3909" s="136"/>
    </row>
    <row r="3910" ht="15.75" customHeight="1">
      <c r="B3910" s="63">
        <f t="shared" si="1"/>
        <v>16</v>
      </c>
      <c r="C3910" s="146" t="s">
        <v>246</v>
      </c>
      <c r="D3910" s="147" t="s">
        <v>74</v>
      </c>
      <c r="E3910" s="135">
        <f t="shared" si="59"/>
        <v>55</v>
      </c>
      <c r="F3910" s="134" t="s">
        <v>3878</v>
      </c>
      <c r="G3910" s="63" t="str">
        <f>VLOOKUP(C3910, 'Class Def. - General Data'!$C$20:$C$1000,1,false)</f>
        <v>ZPM1_Cup_Plastic</v>
      </c>
      <c r="H3910" s="63" t="str">
        <f>IFERROR(__xludf.DUMMYFUNCTION("VLOOKUP(F3910, IMPORTRANGE(""https://docs.google.com/spreadsheets/d/1Lhp9OU0JdFf_VYSMzH5lBcEaU4o8teT1piV-SNzShjg/edit?gid=554141278#gid=554141278"", ""'Char Def. - Attributes'!C20:C2242""), 1,false)"),"VOLUME_UNIT")</f>
        <v>VOLUME_UNIT</v>
      </c>
      <c r="I3910" s="136"/>
    </row>
    <row r="3911" ht="15.75" customHeight="1">
      <c r="B3911" s="63">
        <f t="shared" si="1"/>
        <v>16</v>
      </c>
      <c r="C3911" s="146" t="s">
        <v>246</v>
      </c>
      <c r="D3911" s="147" t="s">
        <v>74</v>
      </c>
      <c r="E3911" s="135">
        <f t="shared" si="59"/>
        <v>56</v>
      </c>
      <c r="F3911" s="134" t="s">
        <v>3879</v>
      </c>
      <c r="G3911" s="63" t="str">
        <f>VLOOKUP(C3911, 'Class Def. - General Data'!$C$20:$C$1000,1,false)</f>
        <v>ZPM1_Cup_Plastic</v>
      </c>
      <c r="H3911" s="63" t="str">
        <f>IFERROR(__xludf.DUMMYFUNCTION("VLOOKUP(F3911, IMPORTRANGE(""https://docs.google.com/spreadsheets/d/1Lhp9OU0JdFf_VYSMzH5lBcEaU4o8teT1piV-SNzShjg/edit?gid=554141278#gid=554141278"", ""'Char Def. - Attributes'!C20:C2242""), 1,false)"),"OLD_MAT_NO_RMPM")</f>
        <v>OLD_MAT_NO_RMPM</v>
      </c>
      <c r="I3911" s="136"/>
    </row>
    <row r="3912" ht="15.75" customHeight="1">
      <c r="B3912" s="63">
        <f t="shared" si="1"/>
        <v>16</v>
      </c>
      <c r="C3912" s="146" t="s">
        <v>246</v>
      </c>
      <c r="D3912" s="147" t="s">
        <v>74</v>
      </c>
      <c r="E3912" s="135">
        <f t="shared" si="59"/>
        <v>57</v>
      </c>
      <c r="F3912" s="134" t="s">
        <v>3880</v>
      </c>
      <c r="G3912" s="63" t="str">
        <f>VLOOKUP(C3912, 'Class Def. - General Data'!$C$20:$C$1000,1,false)</f>
        <v>ZPM1_Cup_Plastic</v>
      </c>
      <c r="H3912" s="63" t="str">
        <f>IFERROR(__xludf.DUMMYFUNCTION("VLOOKUP(F3912, IMPORTRANGE(""https://docs.google.com/spreadsheets/d/1Lhp9OU0JdFf_VYSMzH5lBcEaU4o8teT1piV-SNzShjg/edit?gid=554141278#gid=554141278"", ""'Char Def. - Attributes'!C20:C2242""), 1,false)"),"NOTE_PM")</f>
        <v>NOTE_PM</v>
      </c>
      <c r="I3912" s="136"/>
    </row>
    <row r="3913" ht="15.75" customHeight="1">
      <c r="B3913" s="63">
        <f t="shared" si="1"/>
        <v>16</v>
      </c>
      <c r="C3913" s="146" t="s">
        <v>246</v>
      </c>
      <c r="D3913" s="147" t="s">
        <v>74</v>
      </c>
      <c r="E3913" s="135">
        <f t="shared" si="59"/>
        <v>58</v>
      </c>
      <c r="F3913" s="134" t="s">
        <v>3881</v>
      </c>
      <c r="G3913" s="63" t="str">
        <f>VLOOKUP(C3913, 'Class Def. - General Data'!$C$20:$C$1000,1,false)</f>
        <v>ZPM1_Cup_Plastic</v>
      </c>
      <c r="H3913" s="63" t="str">
        <f>IFERROR(__xludf.DUMMYFUNCTION("VLOOKUP(F3913, IMPORTRANGE(""https://docs.google.com/spreadsheets/d/1Lhp9OU0JdFf_VYSMzH5lBcEaU4o8teT1piV-SNzShjg/edit?gid=554141278#gid=554141278"", ""'Char Def. - Attributes'!C20:C2242""), 1,false)"),"BS_BERSIH")</f>
        <v>BS_BERSIH</v>
      </c>
      <c r="I3913" s="136"/>
    </row>
    <row r="3914" ht="15.75" customHeight="1">
      <c r="B3914" s="63">
        <f t="shared" si="1"/>
        <v>16</v>
      </c>
      <c r="C3914" s="146" t="s">
        <v>246</v>
      </c>
      <c r="D3914" s="147" t="s">
        <v>74</v>
      </c>
      <c r="E3914" s="135">
        <f t="shared" si="59"/>
        <v>59</v>
      </c>
      <c r="F3914" s="134" t="s">
        <v>3882</v>
      </c>
      <c r="G3914" s="63" t="str">
        <f>VLOOKUP(C3914, 'Class Def. - General Data'!$C$20:$C$1000,1,false)</f>
        <v>ZPM1_Cup_Plastic</v>
      </c>
      <c r="H3914" s="63" t="str">
        <f>IFERROR(__xludf.DUMMYFUNCTION("VLOOKUP(F3914, IMPORTRANGE(""https://docs.google.com/spreadsheets/d/1Lhp9OU0JdFf_VYSMzH5lBcEaU4o8teT1piV-SNzShjg/edit?gid=554141278#gid=554141278"", ""'Char Def. - Attributes'!C20:C2242""), 1,false)"),"BS_KOTOR")</f>
        <v>BS_KOTOR</v>
      </c>
      <c r="I3914" s="136"/>
    </row>
    <row r="3915" ht="15.75" customHeight="1">
      <c r="B3915" s="63">
        <f t="shared" si="1"/>
        <v>16</v>
      </c>
      <c r="C3915" s="146" t="s">
        <v>246</v>
      </c>
      <c r="D3915" s="147" t="s">
        <v>74</v>
      </c>
      <c r="E3915" s="135">
        <f t="shared" si="59"/>
        <v>60</v>
      </c>
      <c r="F3915" s="134" t="s">
        <v>3883</v>
      </c>
      <c r="G3915" s="63" t="str">
        <f>VLOOKUP(C3915, 'Class Def. - General Data'!$C$20:$C$1000,1,false)</f>
        <v>ZPM1_Cup_Plastic</v>
      </c>
      <c r="H3915" s="63" t="str">
        <f>IFERROR(__xludf.DUMMYFUNCTION("VLOOKUP(F3915, IMPORTRANGE(""https://docs.google.com/spreadsheets/d/1Lhp9OU0JdFf_VYSMzH5lBcEaU4o8teT1piV-SNzShjg/edit?gid=554141278#gid=554141278"", ""'Char Def. - Attributes'!C20:C2242""), 1,false)"),"BS_SCRAP")</f>
        <v>BS_SCRAP</v>
      </c>
      <c r="I3915" s="136"/>
    </row>
    <row r="3916" ht="15.75" customHeight="1">
      <c r="B3916" s="63">
        <f t="shared" si="1"/>
        <v>9</v>
      </c>
      <c r="C3916" s="146" t="s">
        <v>247</v>
      </c>
      <c r="D3916" s="147" t="s">
        <v>74</v>
      </c>
      <c r="E3916" s="135">
        <f t="shared" si="59"/>
        <v>1</v>
      </c>
      <c r="F3916" s="134" t="s">
        <v>3928</v>
      </c>
      <c r="G3916" s="63" t="str">
        <f>VLOOKUP(C3916, 'Class Def. - General Data'!$C$20:$C$1000,1,false)</f>
        <v>ZPM1_Drum</v>
      </c>
      <c r="H3916" s="63" t="str">
        <f>IFERROR(__xludf.DUMMYFUNCTION("VLOOKUP(F3916, IMPORTRANGE(""https://docs.google.com/spreadsheets/d/1Lhp9OU0JdFf_VYSMzH5lBcEaU4o8teT1piV-SNzShjg/edit?gid=554141278#gid=554141278"", ""'Char Def. - Attributes'!C20:C2242""), 1,false)"),"MATERIAL_CODE_DRUM")</f>
        <v>MATERIAL_CODE_DRUM</v>
      </c>
      <c r="I3916" s="136"/>
    </row>
    <row r="3917" ht="15.75" customHeight="1">
      <c r="B3917" s="63">
        <f t="shared" si="1"/>
        <v>9</v>
      </c>
      <c r="C3917" s="146" t="s">
        <v>247</v>
      </c>
      <c r="D3917" s="147" t="s">
        <v>74</v>
      </c>
      <c r="E3917" s="135">
        <f t="shared" si="59"/>
        <v>2</v>
      </c>
      <c r="F3917" s="134" t="s">
        <v>3909</v>
      </c>
      <c r="G3917" s="63" t="str">
        <f>VLOOKUP(C3917, 'Class Def. - General Data'!$C$20:$C$1000,1,false)</f>
        <v>ZPM1_Drum</v>
      </c>
      <c r="H3917" s="63" t="str">
        <f>IFERROR(__xludf.DUMMYFUNCTION("VLOOKUP(F3917, IMPORTRANGE(""https://docs.google.com/spreadsheets/d/1Lhp9OU0JdFf_VYSMzH5lBcEaU4o8teT1piV-SNzShjg/edit?gid=554141278#gid=554141278"", ""'Char Def. - Attributes'!C20:C2242""), 1,false)"),"COLOR_A_OPT")</f>
        <v>COLOR_A_OPT</v>
      </c>
      <c r="I3917" s="136"/>
    </row>
    <row r="3918" ht="15.75" customHeight="1">
      <c r="B3918" s="63">
        <f t="shared" si="1"/>
        <v>9</v>
      </c>
      <c r="C3918" s="146" t="s">
        <v>247</v>
      </c>
      <c r="D3918" s="147" t="s">
        <v>74</v>
      </c>
      <c r="E3918" s="135">
        <f t="shared" si="59"/>
        <v>3</v>
      </c>
      <c r="F3918" s="134" t="s">
        <v>3929</v>
      </c>
      <c r="G3918" s="63" t="str">
        <f>VLOOKUP(C3918, 'Class Def. - General Data'!$C$20:$C$1000,1,false)</f>
        <v>ZPM1_Drum</v>
      </c>
      <c r="H3918" s="63" t="str">
        <f>IFERROR(__xludf.DUMMYFUNCTION("VLOOKUP(F3918, IMPORTRANGE(""https://docs.google.com/spreadsheets/d/1Lhp9OU0JdFf_VYSMzH5lBcEaU4o8teT1piV-SNzShjg/edit?gid=554141278#gid=554141278"", ""'Char Def. - Attributes'!C20:C2242""), 1,false)"),"VOLUME_L")</f>
        <v>VOLUME_L</v>
      </c>
      <c r="I3918" s="136"/>
    </row>
    <row r="3919" ht="15.75" customHeight="1">
      <c r="B3919" s="63">
        <f t="shared" si="1"/>
        <v>9</v>
      </c>
      <c r="C3919" s="146" t="s">
        <v>247</v>
      </c>
      <c r="D3919" s="147" t="s">
        <v>74</v>
      </c>
      <c r="E3919" s="135">
        <f t="shared" si="59"/>
        <v>4</v>
      </c>
      <c r="F3919" s="143" t="s">
        <v>3900</v>
      </c>
      <c r="G3919" s="63" t="str">
        <f>VLOOKUP(C3919, 'Class Def. - General Data'!$C$20:$C$1000,1,false)</f>
        <v>ZPM1_Drum</v>
      </c>
      <c r="H3919" s="63" t="str">
        <f>IFERROR(__xludf.DUMMYFUNCTION("VLOOKUP(F3919, IMPORTRANGE(""https://docs.google.com/spreadsheets/d/1Lhp9OU0JdFf_VYSMzH5lBcEaU4o8teT1piV-SNzShjg/edit?gid=554141278#gid=554141278"", ""'Char Def. - Attributes'!C20:C2242""), 1,false)"),"PLASTIC_TYPE_OPT")</f>
        <v>PLASTIC_TYPE_OPT</v>
      </c>
      <c r="I3919" s="136"/>
    </row>
    <row r="3920" ht="15.75" customHeight="1">
      <c r="B3920" s="63">
        <f t="shared" si="1"/>
        <v>9</v>
      </c>
      <c r="C3920" s="146" t="s">
        <v>247</v>
      </c>
      <c r="D3920" s="147" t="s">
        <v>74</v>
      </c>
      <c r="E3920" s="135">
        <f t="shared" si="59"/>
        <v>5</v>
      </c>
      <c r="F3920" s="143" t="s">
        <v>3864</v>
      </c>
      <c r="G3920" s="63" t="str">
        <f>VLOOKUP(C3920, 'Class Def. - General Data'!$C$20:$C$1000,1,false)</f>
        <v>ZPM1_Drum</v>
      </c>
      <c r="H3920" s="63" t="str">
        <f>IFERROR(__xludf.DUMMYFUNCTION("VLOOKUP(F3920, IMPORTRANGE(""https://docs.google.com/spreadsheets/d/1Lhp9OU0JdFf_VYSMzH5lBcEaU4o8teT1piV-SNzShjg/edit?gid=554141278#gid=554141278"", ""'Char Def. - Attributes'!C20:C2242""), 1,false)"),"DIMENSION_OPT")</f>
        <v>DIMENSION_OPT</v>
      </c>
      <c r="I3920" s="136"/>
    </row>
    <row r="3921" ht="15.75" customHeight="1">
      <c r="B3921" s="63">
        <f t="shared" si="1"/>
        <v>9</v>
      </c>
      <c r="C3921" s="146" t="s">
        <v>247</v>
      </c>
      <c r="D3921" s="147" t="s">
        <v>74</v>
      </c>
      <c r="E3921" s="135">
        <f t="shared" si="59"/>
        <v>6</v>
      </c>
      <c r="F3921" s="143" t="s">
        <v>3911</v>
      </c>
      <c r="G3921" s="63" t="str">
        <f>VLOOKUP(C3921, 'Class Def. - General Data'!$C$20:$C$1000,1,false)</f>
        <v>ZPM1_Drum</v>
      </c>
      <c r="H3921" s="63" t="str">
        <f>IFERROR(__xludf.DUMMYFUNCTION("VLOOKUP(F3921, IMPORTRANGE(""https://docs.google.com/spreadsheets/d/1Lhp9OU0JdFf_VYSMzH5lBcEaU4o8teT1piV-SNzShjg/edit?gid=554141278#gid=554141278"", ""'Char Def. - Attributes'!C20:C2242""), 1,false)"),"PLANT_BUY_OPT")</f>
        <v>PLANT_BUY_OPT</v>
      </c>
      <c r="I3921" s="136"/>
    </row>
    <row r="3922" ht="15.75" customHeight="1">
      <c r="B3922" s="63">
        <f t="shared" si="1"/>
        <v>9</v>
      </c>
      <c r="C3922" s="146" t="s">
        <v>247</v>
      </c>
      <c r="D3922" s="147" t="s">
        <v>74</v>
      </c>
      <c r="E3922" s="135">
        <f t="shared" si="59"/>
        <v>7</v>
      </c>
      <c r="F3922" s="143" t="s">
        <v>3865</v>
      </c>
      <c r="G3922" s="63" t="str">
        <f>VLOOKUP(C3922, 'Class Def. - General Data'!$C$20:$C$1000,1,false)</f>
        <v>ZPM1_Drum</v>
      </c>
      <c r="H3922" s="63" t="str">
        <f>IFERROR(__xludf.DUMMYFUNCTION("VLOOKUP(F3922, IMPORTRANGE(""https://docs.google.com/spreadsheets/d/1Lhp9OU0JdFf_VYSMzH5lBcEaU4o8teT1piV-SNzShjg/edit?gid=554141278#gid=554141278"", ""'Char Def. - Attributes'!C20:C2242""), 1,false)"),"PLANT_PROD_OPT")</f>
        <v>PLANT_PROD_OPT</v>
      </c>
      <c r="I3922" s="136"/>
    </row>
    <row r="3923" ht="15.75" customHeight="1">
      <c r="B3923" s="63">
        <f t="shared" si="1"/>
        <v>9</v>
      </c>
      <c r="C3923" s="146" t="s">
        <v>247</v>
      </c>
      <c r="D3923" s="147" t="s">
        <v>74</v>
      </c>
      <c r="E3923" s="135">
        <f t="shared" si="59"/>
        <v>8</v>
      </c>
      <c r="F3923" s="143" t="s">
        <v>3866</v>
      </c>
      <c r="G3923" s="63" t="str">
        <f>VLOOKUP(C3923, 'Class Def. - General Data'!$C$20:$C$1000,1,false)</f>
        <v>ZPM1_Drum</v>
      </c>
      <c r="H3923" s="63" t="str">
        <f>IFERROR(__xludf.DUMMYFUNCTION("VLOOKUP(F3923, IMPORTRANGE(""https://docs.google.com/spreadsheets/d/1Lhp9OU0JdFf_VYSMzH5lBcEaU4o8teT1piV-SNzShjg/edit?gid=554141278#gid=554141278"", ""'Char Def. - Attributes'!C20:C2242""), 1,false)"),"PM_SUPPLY_JKT")</f>
        <v>PM_SUPPLY_JKT</v>
      </c>
      <c r="I3923" s="136"/>
    </row>
    <row r="3924" ht="15.75" customHeight="1">
      <c r="B3924" s="63">
        <f t="shared" si="1"/>
        <v>9</v>
      </c>
      <c r="C3924" s="146" t="s">
        <v>247</v>
      </c>
      <c r="D3924" s="147" t="s">
        <v>74</v>
      </c>
      <c r="E3924" s="135">
        <f t="shared" si="59"/>
        <v>9</v>
      </c>
      <c r="F3924" s="143" t="s">
        <v>3867</v>
      </c>
      <c r="G3924" s="63" t="str">
        <f>VLOOKUP(C3924, 'Class Def. - General Data'!$C$20:$C$1000,1,false)</f>
        <v>ZPM1_Drum</v>
      </c>
      <c r="H3924" s="63" t="str">
        <f>IFERROR(__xludf.DUMMYFUNCTION("VLOOKUP(F3924, IMPORTRANGE(""https://docs.google.com/spreadsheets/d/1Lhp9OU0JdFf_VYSMzH5lBcEaU4o8teT1piV-SNzShjg/edit?gid=554141278#gid=554141278"", ""'Char Def. - Attributes'!C20:C2242""), 1,false)"),"PM_SUPPLY_SBY")</f>
        <v>PM_SUPPLY_SBY</v>
      </c>
      <c r="I3924" s="136"/>
    </row>
    <row r="3925" ht="15.75" customHeight="1">
      <c r="B3925" s="63">
        <f t="shared" si="1"/>
        <v>9</v>
      </c>
      <c r="C3925" s="146" t="s">
        <v>247</v>
      </c>
      <c r="D3925" s="147" t="s">
        <v>74</v>
      </c>
      <c r="E3925" s="135">
        <f t="shared" si="59"/>
        <v>10</v>
      </c>
      <c r="F3925" s="143" t="s">
        <v>3868</v>
      </c>
      <c r="G3925" s="63" t="str">
        <f>VLOOKUP(C3925, 'Class Def. - General Data'!$C$20:$C$1000,1,false)</f>
        <v>ZPM1_Drum</v>
      </c>
      <c r="H3925" s="63" t="str">
        <f>IFERROR(__xludf.DUMMYFUNCTION("VLOOKUP(F3925, IMPORTRANGE(""https://docs.google.com/spreadsheets/d/1Lhp9OU0JdFf_VYSMzH5lBcEaU4o8teT1piV-SNzShjg/edit?gid=554141278#gid=554141278"", ""'Char Def. - Attributes'!C20:C2242""), 1,false)"),"BASIC_UOM_RMPM")</f>
        <v>BASIC_UOM_RMPM</v>
      </c>
      <c r="I3925" s="136"/>
    </row>
    <row r="3926" ht="15.75" customHeight="1">
      <c r="B3926" s="63">
        <f t="shared" si="1"/>
        <v>9</v>
      </c>
      <c r="C3926" s="146" t="s">
        <v>247</v>
      </c>
      <c r="D3926" s="147" t="s">
        <v>74</v>
      </c>
      <c r="E3926" s="135">
        <f t="shared" si="59"/>
        <v>11</v>
      </c>
      <c r="F3926" s="143" t="s">
        <v>3869</v>
      </c>
      <c r="G3926" s="63" t="str">
        <f>VLOOKUP(C3926, 'Class Def. - General Data'!$C$20:$C$1000,1,false)</f>
        <v>ZPM1_Drum</v>
      </c>
      <c r="H3926" s="63" t="str">
        <f>IFERROR(__xludf.DUMMYFUNCTION("VLOOKUP(F3926, IMPORTRANGE(""https://docs.google.com/spreadsheets/d/1Lhp9OU0JdFf_VYSMzH5lBcEaU4o8teT1piV-SNzShjg/edit?gid=554141278#gid=554141278"", ""'Char Def. - Attributes'!C20:C2242""), 1,false)"),"ALT_UOM1_RMPM")</f>
        <v>ALT_UOM1_RMPM</v>
      </c>
      <c r="I3926" s="136"/>
    </row>
    <row r="3927" ht="15.75" customHeight="1">
      <c r="B3927" s="63">
        <f t="shared" si="1"/>
        <v>9</v>
      </c>
      <c r="C3927" s="146" t="s">
        <v>247</v>
      </c>
      <c r="D3927" s="147" t="s">
        <v>74</v>
      </c>
      <c r="E3927" s="135">
        <f t="shared" si="59"/>
        <v>12</v>
      </c>
      <c r="F3927" s="143" t="s">
        <v>3805</v>
      </c>
      <c r="G3927" s="63" t="str">
        <f>VLOOKUP(C3927, 'Class Def. - General Data'!$C$20:$C$1000,1,false)</f>
        <v>ZPM1_Drum</v>
      </c>
      <c r="H3927" s="63" t="str">
        <f>IFERROR(__xludf.DUMMYFUNCTION("VLOOKUP(F3927, IMPORTRANGE(""https://docs.google.com/spreadsheets/d/1Lhp9OU0JdFf_VYSMzH5lBcEaU4o8teT1piV-SNzShjg/edit?gid=554141278#gid=554141278"", ""'Char Def. - Attributes'!C20:C2242""), 1,false)"),"ALT_DENUM_UOM1")</f>
        <v>ALT_DENUM_UOM1</v>
      </c>
      <c r="I3927" s="136"/>
    </row>
    <row r="3928" ht="15.75" customHeight="1">
      <c r="B3928" s="63">
        <f t="shared" si="1"/>
        <v>9</v>
      </c>
      <c r="C3928" s="146" t="s">
        <v>247</v>
      </c>
      <c r="D3928" s="147" t="s">
        <v>74</v>
      </c>
      <c r="E3928" s="135">
        <f t="shared" si="59"/>
        <v>13</v>
      </c>
      <c r="F3928" s="143" t="s">
        <v>3806</v>
      </c>
      <c r="G3928" s="63" t="str">
        <f>VLOOKUP(C3928, 'Class Def. - General Data'!$C$20:$C$1000,1,false)</f>
        <v>ZPM1_Drum</v>
      </c>
      <c r="H3928" s="63" t="str">
        <f>IFERROR(__xludf.DUMMYFUNCTION("VLOOKUP(F3928, IMPORTRANGE(""https://docs.google.com/spreadsheets/d/1Lhp9OU0JdFf_VYSMzH5lBcEaU4o8teT1piV-SNzShjg/edit?gid=554141278#gid=554141278"", ""'Char Def. - Attributes'!C20:C2242""), 1,false)"),"ALT_NUM_UOM1")</f>
        <v>ALT_NUM_UOM1</v>
      </c>
      <c r="I3928" s="136"/>
    </row>
    <row r="3929" ht="15.75" customHeight="1">
      <c r="B3929" s="63">
        <f t="shared" si="1"/>
        <v>9</v>
      </c>
      <c r="C3929" s="146" t="s">
        <v>247</v>
      </c>
      <c r="D3929" s="147" t="s">
        <v>74</v>
      </c>
      <c r="E3929" s="135">
        <f t="shared" si="59"/>
        <v>14</v>
      </c>
      <c r="F3929" s="143" t="s">
        <v>3870</v>
      </c>
      <c r="G3929" s="63" t="str">
        <f>VLOOKUP(C3929, 'Class Def. - General Data'!$C$20:$C$1000,1,false)</f>
        <v>ZPM1_Drum</v>
      </c>
      <c r="H3929" s="63" t="str">
        <f>IFERROR(__xludf.DUMMYFUNCTION("VLOOKUP(F3929, IMPORTRANGE(""https://docs.google.com/spreadsheets/d/1Lhp9OU0JdFf_VYSMzH5lBcEaU4o8teT1piV-SNzShjg/edit?gid=554141278#gid=554141278"", ""'Char Def. - Attributes'!C20:C2242""), 1,false)"),"ALT_UOM2_RMPM")</f>
        <v>ALT_UOM2_RMPM</v>
      </c>
      <c r="I3929" s="136"/>
    </row>
    <row r="3930" ht="15.75" customHeight="1">
      <c r="B3930" s="63">
        <f t="shared" si="1"/>
        <v>9</v>
      </c>
      <c r="C3930" s="146" t="s">
        <v>247</v>
      </c>
      <c r="D3930" s="147" t="s">
        <v>74</v>
      </c>
      <c r="E3930" s="135">
        <f t="shared" si="59"/>
        <v>15</v>
      </c>
      <c r="F3930" s="143" t="s">
        <v>3808</v>
      </c>
      <c r="G3930" s="63" t="str">
        <f>VLOOKUP(C3930, 'Class Def. - General Data'!$C$20:$C$1000,1,false)</f>
        <v>ZPM1_Drum</v>
      </c>
      <c r="H3930" s="63" t="str">
        <f>IFERROR(__xludf.DUMMYFUNCTION("VLOOKUP(F3930, IMPORTRANGE(""https://docs.google.com/spreadsheets/d/1Lhp9OU0JdFf_VYSMzH5lBcEaU4o8teT1piV-SNzShjg/edit?gid=554141278#gid=554141278"", ""'Char Def. - Attributes'!C20:C2242""), 1,false)"),"ALT_DENUM_UOM2")</f>
        <v>ALT_DENUM_UOM2</v>
      </c>
      <c r="I3930" s="136"/>
    </row>
    <row r="3931" ht="15.75" customHeight="1">
      <c r="B3931" s="63">
        <f t="shared" si="1"/>
        <v>9</v>
      </c>
      <c r="C3931" s="146" t="s">
        <v>247</v>
      </c>
      <c r="D3931" s="147" t="s">
        <v>74</v>
      </c>
      <c r="E3931" s="135">
        <f t="shared" si="59"/>
        <v>16</v>
      </c>
      <c r="F3931" s="143" t="s">
        <v>3809</v>
      </c>
      <c r="G3931" s="63" t="str">
        <f>VLOOKUP(C3931, 'Class Def. - General Data'!$C$20:$C$1000,1,false)</f>
        <v>ZPM1_Drum</v>
      </c>
      <c r="H3931" s="63" t="str">
        <f>IFERROR(__xludf.DUMMYFUNCTION("VLOOKUP(F3931, IMPORTRANGE(""https://docs.google.com/spreadsheets/d/1Lhp9OU0JdFf_VYSMzH5lBcEaU4o8teT1piV-SNzShjg/edit?gid=554141278#gid=554141278"", ""'Char Def. - Attributes'!C20:C2242""), 1,false)"),"ALT_NUM_UOM2")</f>
        <v>ALT_NUM_UOM2</v>
      </c>
      <c r="I3931" s="136"/>
    </row>
    <row r="3932" ht="15.75" customHeight="1">
      <c r="B3932" s="63">
        <f t="shared" si="1"/>
        <v>9</v>
      </c>
      <c r="C3932" s="146" t="s">
        <v>247</v>
      </c>
      <c r="D3932" s="147" t="s">
        <v>74</v>
      </c>
      <c r="E3932" s="135">
        <f t="shared" si="59"/>
        <v>17</v>
      </c>
      <c r="F3932" s="143" t="s">
        <v>3871</v>
      </c>
      <c r="G3932" s="63" t="str">
        <f>VLOOKUP(C3932, 'Class Def. - General Data'!$C$20:$C$1000,1,false)</f>
        <v>ZPM1_Drum</v>
      </c>
      <c r="H3932" s="63" t="str">
        <f>IFERROR(__xludf.DUMMYFUNCTION("VLOOKUP(F3932, IMPORTRANGE(""https://docs.google.com/spreadsheets/d/1Lhp9OU0JdFf_VYSMzH5lBcEaU4o8teT1piV-SNzShjg/edit?gid=554141278#gid=554141278"", ""'Char Def. - Attributes'!C20:C2242""), 1,false)"),"ALT_UOM3_RMPM")</f>
        <v>ALT_UOM3_RMPM</v>
      </c>
      <c r="I3932" s="136"/>
    </row>
    <row r="3933" ht="15.75" customHeight="1">
      <c r="B3933" s="63">
        <f t="shared" si="1"/>
        <v>9</v>
      </c>
      <c r="C3933" s="146" t="s">
        <v>247</v>
      </c>
      <c r="D3933" s="147" t="s">
        <v>74</v>
      </c>
      <c r="E3933" s="135">
        <f t="shared" si="59"/>
        <v>18</v>
      </c>
      <c r="F3933" s="143" t="s">
        <v>3811</v>
      </c>
      <c r="G3933" s="63" t="str">
        <f>VLOOKUP(C3933, 'Class Def. - General Data'!$C$20:$C$1000,1,false)</f>
        <v>ZPM1_Drum</v>
      </c>
      <c r="H3933" s="63" t="str">
        <f>IFERROR(__xludf.DUMMYFUNCTION("VLOOKUP(F3933, IMPORTRANGE(""https://docs.google.com/spreadsheets/d/1Lhp9OU0JdFf_VYSMzH5lBcEaU4o8teT1piV-SNzShjg/edit?gid=554141278#gid=554141278"", ""'Char Def. - Attributes'!C20:C2242""), 1,false)"),"ALT_DENUM_UOM3")</f>
        <v>ALT_DENUM_UOM3</v>
      </c>
      <c r="I3933" s="136"/>
    </row>
    <row r="3934" ht="15.75" customHeight="1">
      <c r="B3934" s="63">
        <f t="shared" si="1"/>
        <v>9</v>
      </c>
      <c r="C3934" s="146" t="s">
        <v>247</v>
      </c>
      <c r="D3934" s="147" t="s">
        <v>74</v>
      </c>
      <c r="E3934" s="135">
        <f t="shared" si="59"/>
        <v>19</v>
      </c>
      <c r="F3934" s="143" t="s">
        <v>3812</v>
      </c>
      <c r="G3934" s="63" t="str">
        <f>VLOOKUP(C3934, 'Class Def. - General Data'!$C$20:$C$1000,1,false)</f>
        <v>ZPM1_Drum</v>
      </c>
      <c r="H3934" s="63" t="str">
        <f>IFERROR(__xludf.DUMMYFUNCTION("VLOOKUP(F3934, IMPORTRANGE(""https://docs.google.com/spreadsheets/d/1Lhp9OU0JdFf_VYSMzH5lBcEaU4o8teT1piV-SNzShjg/edit?gid=554141278#gid=554141278"", ""'Char Def. - Attributes'!C20:C2242""), 1,false)"),"ALT_NUM_UOM3")</f>
        <v>ALT_NUM_UOM3</v>
      </c>
      <c r="I3934" s="136"/>
    </row>
    <row r="3935" ht="15.75" customHeight="1">
      <c r="B3935" s="63">
        <f t="shared" si="1"/>
        <v>9</v>
      </c>
      <c r="C3935" s="146" t="s">
        <v>247</v>
      </c>
      <c r="D3935" s="147" t="s">
        <v>74</v>
      </c>
      <c r="E3935" s="135">
        <f t="shared" si="59"/>
        <v>20</v>
      </c>
      <c r="F3935" s="143" t="s">
        <v>3872</v>
      </c>
      <c r="G3935" s="63" t="str">
        <f>VLOOKUP(C3935, 'Class Def. - General Data'!$C$20:$C$1000,1,false)</f>
        <v>ZPM1_Drum</v>
      </c>
      <c r="H3935" s="63" t="str">
        <f>IFERROR(__xludf.DUMMYFUNCTION("VLOOKUP(F3935, IMPORTRANGE(""https://docs.google.com/spreadsheets/d/1Lhp9OU0JdFf_VYSMzH5lBcEaU4o8teT1piV-SNzShjg/edit?gid=554141278#gid=554141278"", ""'Char Def. - Attributes'!C20:C2242""), 1,false)"),"ALT_UOM4_RMPM")</f>
        <v>ALT_UOM4_RMPM</v>
      </c>
      <c r="I3935" s="136"/>
    </row>
    <row r="3936" ht="15.75" customHeight="1">
      <c r="B3936" s="63">
        <f t="shared" si="1"/>
        <v>9</v>
      </c>
      <c r="C3936" s="146" t="s">
        <v>247</v>
      </c>
      <c r="D3936" s="147" t="s">
        <v>74</v>
      </c>
      <c r="E3936" s="135">
        <f t="shared" si="59"/>
        <v>21</v>
      </c>
      <c r="F3936" s="143" t="s">
        <v>3814</v>
      </c>
      <c r="G3936" s="63" t="str">
        <f>VLOOKUP(C3936, 'Class Def. - General Data'!$C$20:$C$1000,1,false)</f>
        <v>ZPM1_Drum</v>
      </c>
      <c r="H3936" s="63" t="str">
        <f>IFERROR(__xludf.DUMMYFUNCTION("VLOOKUP(F3936, IMPORTRANGE(""https://docs.google.com/spreadsheets/d/1Lhp9OU0JdFf_VYSMzH5lBcEaU4o8teT1piV-SNzShjg/edit?gid=554141278#gid=554141278"", ""'Char Def. - Attributes'!C20:C2242""), 1,false)"),"ALT_DENUM_UOM4")</f>
        <v>ALT_DENUM_UOM4</v>
      </c>
      <c r="I3936" s="136"/>
    </row>
    <row r="3937" ht="15.75" customHeight="1">
      <c r="B3937" s="63">
        <f t="shared" si="1"/>
        <v>9</v>
      </c>
      <c r="C3937" s="146" t="s">
        <v>247</v>
      </c>
      <c r="D3937" s="147" t="s">
        <v>74</v>
      </c>
      <c r="E3937" s="135">
        <f t="shared" si="59"/>
        <v>22</v>
      </c>
      <c r="F3937" s="143" t="s">
        <v>3815</v>
      </c>
      <c r="G3937" s="63" t="str">
        <f>VLOOKUP(C3937, 'Class Def. - General Data'!$C$20:$C$1000,1,false)</f>
        <v>ZPM1_Drum</v>
      </c>
      <c r="H3937" s="63" t="str">
        <f>IFERROR(__xludf.DUMMYFUNCTION("VLOOKUP(F3937, IMPORTRANGE(""https://docs.google.com/spreadsheets/d/1Lhp9OU0JdFf_VYSMzH5lBcEaU4o8teT1piV-SNzShjg/edit?gid=554141278#gid=554141278"", ""'Char Def. - Attributes'!C20:C2242""), 1,false)"),"ALT_NUM_UOM4")</f>
        <v>ALT_NUM_UOM4</v>
      </c>
      <c r="I3937" s="136"/>
    </row>
    <row r="3938" ht="15.75" customHeight="1">
      <c r="B3938" s="63">
        <f t="shared" si="1"/>
        <v>9</v>
      </c>
      <c r="C3938" s="146" t="s">
        <v>247</v>
      </c>
      <c r="D3938" s="147" t="s">
        <v>74</v>
      </c>
      <c r="E3938" s="135">
        <f t="shared" si="59"/>
        <v>23</v>
      </c>
      <c r="F3938" s="143" t="s">
        <v>3873</v>
      </c>
      <c r="G3938" s="63" t="str">
        <f>VLOOKUP(C3938, 'Class Def. - General Data'!$C$20:$C$1000,1,false)</f>
        <v>ZPM1_Drum</v>
      </c>
      <c r="H3938" s="63" t="str">
        <f>IFERROR(__xludf.DUMMYFUNCTION("VLOOKUP(F3938, IMPORTRANGE(""https://docs.google.com/spreadsheets/d/1Lhp9OU0JdFf_VYSMzH5lBcEaU4o8teT1piV-SNzShjg/edit?gid=554141278#gid=554141278"", ""'Char Def. - Attributes'!C20:C2242""), 1,false)"),"ALT_UOM5_RMPM")</f>
        <v>ALT_UOM5_RMPM</v>
      </c>
      <c r="I3938" s="136"/>
    </row>
    <row r="3939" ht="15.75" customHeight="1">
      <c r="B3939" s="63">
        <f t="shared" si="1"/>
        <v>9</v>
      </c>
      <c r="C3939" s="146" t="s">
        <v>247</v>
      </c>
      <c r="D3939" s="147" t="s">
        <v>74</v>
      </c>
      <c r="E3939" s="135">
        <f t="shared" si="59"/>
        <v>24</v>
      </c>
      <c r="F3939" s="143" t="s">
        <v>3817</v>
      </c>
      <c r="G3939" s="63" t="str">
        <f>VLOOKUP(C3939, 'Class Def. - General Data'!$C$20:$C$1000,1,false)</f>
        <v>ZPM1_Drum</v>
      </c>
      <c r="H3939" s="63" t="str">
        <f>IFERROR(__xludf.DUMMYFUNCTION("VLOOKUP(F3939, IMPORTRANGE(""https://docs.google.com/spreadsheets/d/1Lhp9OU0JdFf_VYSMzH5lBcEaU4o8teT1piV-SNzShjg/edit?gid=554141278#gid=554141278"", ""'Char Def. - Attributes'!C20:C2242""), 1,false)"),"ALT_DENUM_UOM5")</f>
        <v>ALT_DENUM_UOM5</v>
      </c>
      <c r="I3939" s="136"/>
    </row>
    <row r="3940" ht="15.75" customHeight="1">
      <c r="B3940" s="63">
        <f t="shared" si="1"/>
        <v>9</v>
      </c>
      <c r="C3940" s="146" t="s">
        <v>247</v>
      </c>
      <c r="D3940" s="147" t="s">
        <v>74</v>
      </c>
      <c r="E3940" s="135">
        <f t="shared" si="59"/>
        <v>25</v>
      </c>
      <c r="F3940" s="143" t="s">
        <v>3818</v>
      </c>
      <c r="G3940" s="63" t="str">
        <f>VLOOKUP(C3940, 'Class Def. - General Data'!$C$20:$C$1000,1,false)</f>
        <v>ZPM1_Drum</v>
      </c>
      <c r="H3940" s="63" t="str">
        <f>IFERROR(__xludf.DUMMYFUNCTION("VLOOKUP(F3940, IMPORTRANGE(""https://docs.google.com/spreadsheets/d/1Lhp9OU0JdFf_VYSMzH5lBcEaU4o8teT1piV-SNzShjg/edit?gid=554141278#gid=554141278"", ""'Char Def. - Attributes'!C20:C2242""), 1,false)"),"ALT_NUM_UOM5")</f>
        <v>ALT_NUM_UOM5</v>
      </c>
      <c r="I3940" s="136"/>
    </row>
    <row r="3941" ht="15.75" customHeight="1">
      <c r="B3941" s="63">
        <f t="shared" si="1"/>
        <v>9</v>
      </c>
      <c r="C3941" s="146" t="s">
        <v>247</v>
      </c>
      <c r="D3941" s="147" t="s">
        <v>74</v>
      </c>
      <c r="E3941" s="135">
        <f t="shared" si="59"/>
        <v>26</v>
      </c>
      <c r="F3941" s="143" t="s">
        <v>3874</v>
      </c>
      <c r="G3941" s="63" t="str">
        <f>VLOOKUP(C3941, 'Class Def. - General Data'!$C$20:$C$1000,1,false)</f>
        <v>ZPM1_Drum</v>
      </c>
      <c r="H3941" s="63" t="str">
        <f>IFERROR(__xludf.DUMMYFUNCTION("VLOOKUP(F3941, IMPORTRANGE(""https://docs.google.com/spreadsheets/d/1Lhp9OU0JdFf_VYSMzH5lBcEaU4o8teT1piV-SNzShjg/edit?gid=554141278#gid=554141278"", ""'Char Def. - Attributes'!C20:C2242""), 1,false)"),"VALUATION_CATEGORY")</f>
        <v>VALUATION_CATEGORY</v>
      </c>
      <c r="I3941" s="136"/>
    </row>
    <row r="3942" ht="15.75" customHeight="1">
      <c r="B3942" s="63">
        <f t="shared" si="1"/>
        <v>9</v>
      </c>
      <c r="C3942" s="146" t="s">
        <v>247</v>
      </c>
      <c r="D3942" s="147" t="s">
        <v>74</v>
      </c>
      <c r="E3942" s="135">
        <f t="shared" si="59"/>
        <v>27</v>
      </c>
      <c r="F3942" s="143" t="s">
        <v>3800</v>
      </c>
      <c r="G3942" s="63" t="str">
        <f>VLOOKUP(C3942, 'Class Def. - General Data'!$C$20:$C$1000,1,false)</f>
        <v>ZPM1_Drum</v>
      </c>
      <c r="H3942" s="63" t="str">
        <f>IFERROR(__xludf.DUMMYFUNCTION("VLOOKUP(F3942, IMPORTRANGE(""https://docs.google.com/spreadsheets/d/1Lhp9OU0JdFf_VYSMzH5lBcEaU4o8teT1piV-SNzShjg/edit?gid=554141278#gid=554141278"", ""'Char Def. - Attributes'!C20:C2242""), 1,false)"),"ORDER_UNIT_DIFF_FROM_BASIC_UOM")</f>
        <v>ORDER_UNIT_DIFF_FROM_BASIC_UOM</v>
      </c>
      <c r="I3942" s="136"/>
    </row>
    <row r="3943" ht="15.75" customHeight="1">
      <c r="B3943" s="63">
        <f t="shared" si="1"/>
        <v>9</v>
      </c>
      <c r="C3943" s="146" t="s">
        <v>247</v>
      </c>
      <c r="D3943" s="147" t="s">
        <v>74</v>
      </c>
      <c r="E3943" s="135">
        <f t="shared" si="59"/>
        <v>28</v>
      </c>
      <c r="F3943" s="143" t="s">
        <v>3875</v>
      </c>
      <c r="G3943" s="63" t="str">
        <f>VLOOKUP(C3943, 'Class Def. - General Data'!$C$20:$C$1000,1,false)</f>
        <v>ZPM1_Drum</v>
      </c>
      <c r="H3943" s="63" t="str">
        <f>IFERROR(__xludf.DUMMYFUNCTION("VLOOKUP(F3943, IMPORTRANGE(""https://docs.google.com/spreadsheets/d/1Lhp9OU0JdFf_VYSMzH5lBcEaU4o8teT1piV-SNzShjg/edit?gid=554141278#gid=554141278"", ""'Char Def. - Attributes'!C20:C2242""), 1,false)"),"ORDER_UNIT_RMPM")</f>
        <v>ORDER_UNIT_RMPM</v>
      </c>
      <c r="I3943" s="136"/>
    </row>
    <row r="3944" ht="15.75" customHeight="1">
      <c r="B3944" s="63">
        <f t="shared" si="1"/>
        <v>9</v>
      </c>
      <c r="C3944" s="146" t="s">
        <v>247</v>
      </c>
      <c r="D3944" s="147" t="s">
        <v>74</v>
      </c>
      <c r="E3944" s="135">
        <f t="shared" si="59"/>
        <v>29</v>
      </c>
      <c r="F3944" s="143" t="s">
        <v>3602</v>
      </c>
      <c r="G3944" s="63" t="str">
        <f>VLOOKUP(C3944, 'Class Def. - General Data'!$C$20:$C$1000,1,false)</f>
        <v>ZPM1_Drum</v>
      </c>
      <c r="H3944" s="63" t="str">
        <f>IFERROR(__xludf.DUMMYFUNCTION("VLOOKUP(F3944, IMPORTRANGE(""https://docs.google.com/spreadsheets/d/1Lhp9OU0JdFf_VYSMzH5lBcEaU4o8teT1piV-SNzShjg/edit?gid=554141278#gid=554141278"", ""'Char Def. - Attributes'!C20:C2242""), 1,false)"),"NET_WEIGHT")</f>
        <v>NET_WEIGHT</v>
      </c>
      <c r="I3944" s="136"/>
    </row>
    <row r="3945" ht="15.75" customHeight="1">
      <c r="B3945" s="63">
        <f t="shared" si="1"/>
        <v>9</v>
      </c>
      <c r="C3945" s="146" t="s">
        <v>247</v>
      </c>
      <c r="D3945" s="147" t="s">
        <v>74</v>
      </c>
      <c r="E3945" s="135">
        <f t="shared" si="59"/>
        <v>30</v>
      </c>
      <c r="F3945" s="143" t="s">
        <v>3601</v>
      </c>
      <c r="G3945" s="63" t="str">
        <f>VLOOKUP(C3945, 'Class Def. - General Data'!$C$20:$C$1000,1,false)</f>
        <v>ZPM1_Drum</v>
      </c>
      <c r="H3945" s="63" t="str">
        <f>IFERROR(__xludf.DUMMYFUNCTION("VLOOKUP(F3945, IMPORTRANGE(""https://docs.google.com/spreadsheets/d/1Lhp9OU0JdFf_VYSMzH5lBcEaU4o8teT1piV-SNzShjg/edit?gid=554141278#gid=554141278"", ""'Char Def. - Attributes'!C20:C2242""), 1,false)"),"GROSS_WEIGHT")</f>
        <v>GROSS_WEIGHT</v>
      </c>
      <c r="I3945" s="136"/>
    </row>
    <row r="3946" ht="15.75" customHeight="1">
      <c r="B3946" s="63">
        <f t="shared" si="1"/>
        <v>9</v>
      </c>
      <c r="C3946" s="146" t="s">
        <v>247</v>
      </c>
      <c r="D3946" s="147" t="s">
        <v>74</v>
      </c>
      <c r="E3946" s="135">
        <f t="shared" si="59"/>
        <v>31</v>
      </c>
      <c r="F3946" s="143" t="s">
        <v>3876</v>
      </c>
      <c r="G3946" s="63" t="str">
        <f>VLOOKUP(C3946, 'Class Def. - General Data'!$C$20:$C$1000,1,false)</f>
        <v>ZPM1_Drum</v>
      </c>
      <c r="H3946" s="63" t="str">
        <f>IFERROR(__xludf.DUMMYFUNCTION("VLOOKUP(F3946, IMPORTRANGE(""https://docs.google.com/spreadsheets/d/1Lhp9OU0JdFf_VYSMzH5lBcEaU4o8teT1piV-SNzShjg/edit?gid=554141278#gid=554141278"", ""'Char Def. - Attributes'!C20:C2242""), 1,false)"),"WEIGHT_UNIT_PM")</f>
        <v>WEIGHT_UNIT_PM</v>
      </c>
      <c r="I3946" s="136"/>
    </row>
    <row r="3947" ht="15.75" customHeight="1">
      <c r="B3947" s="63">
        <f t="shared" si="1"/>
        <v>9</v>
      </c>
      <c r="C3947" s="146" t="s">
        <v>247</v>
      </c>
      <c r="D3947" s="147" t="s">
        <v>74</v>
      </c>
      <c r="E3947" s="135">
        <f t="shared" si="59"/>
        <v>32</v>
      </c>
      <c r="F3947" s="143" t="s">
        <v>3877</v>
      </c>
      <c r="G3947" s="63" t="str">
        <f>VLOOKUP(C3947, 'Class Def. - General Data'!$C$20:$C$1000,1,false)</f>
        <v>ZPM1_Drum</v>
      </c>
      <c r="H3947" s="63" t="str">
        <f>IFERROR(__xludf.DUMMYFUNCTION("VLOOKUP(F3947, IMPORTRANGE(""https://docs.google.com/spreadsheets/d/1Lhp9OU0JdFf_VYSMzH5lBcEaU4o8teT1piV-SNzShjg/edit?gid=554141278#gid=554141278"", ""'Char Def. - Attributes'!C20:C2242""), 1,false)"),"VOLUME_OPT")</f>
        <v>VOLUME_OPT</v>
      </c>
      <c r="I3947" s="136"/>
    </row>
    <row r="3948" ht="15.75" customHeight="1">
      <c r="B3948" s="63">
        <f t="shared" si="1"/>
        <v>9</v>
      </c>
      <c r="C3948" s="146" t="s">
        <v>247</v>
      </c>
      <c r="D3948" s="147" t="s">
        <v>74</v>
      </c>
      <c r="E3948" s="135">
        <f t="shared" si="59"/>
        <v>33</v>
      </c>
      <c r="F3948" s="143" t="s">
        <v>3878</v>
      </c>
      <c r="G3948" s="63" t="str">
        <f>VLOOKUP(C3948, 'Class Def. - General Data'!$C$20:$C$1000,1,false)</f>
        <v>ZPM1_Drum</v>
      </c>
      <c r="H3948" s="63" t="str">
        <f>IFERROR(__xludf.DUMMYFUNCTION("VLOOKUP(F3948, IMPORTRANGE(""https://docs.google.com/spreadsheets/d/1Lhp9OU0JdFf_VYSMzH5lBcEaU4o8teT1piV-SNzShjg/edit?gid=554141278#gid=554141278"", ""'Char Def. - Attributes'!C20:C2242""), 1,false)"),"VOLUME_UNIT")</f>
        <v>VOLUME_UNIT</v>
      </c>
      <c r="I3948" s="136"/>
    </row>
    <row r="3949" ht="15.75" customHeight="1">
      <c r="B3949" s="63">
        <f t="shared" si="1"/>
        <v>9</v>
      </c>
      <c r="C3949" s="146" t="s">
        <v>247</v>
      </c>
      <c r="D3949" s="147" t="s">
        <v>74</v>
      </c>
      <c r="E3949" s="135">
        <f t="shared" si="59"/>
        <v>34</v>
      </c>
      <c r="F3949" s="143" t="s">
        <v>3879</v>
      </c>
      <c r="G3949" s="63" t="str">
        <f>VLOOKUP(C3949, 'Class Def. - General Data'!$C$20:$C$1000,1,false)</f>
        <v>ZPM1_Drum</v>
      </c>
      <c r="H3949" s="63" t="str">
        <f>IFERROR(__xludf.DUMMYFUNCTION("VLOOKUP(F3949, IMPORTRANGE(""https://docs.google.com/spreadsheets/d/1Lhp9OU0JdFf_VYSMzH5lBcEaU4o8teT1piV-SNzShjg/edit?gid=554141278#gid=554141278"", ""'Char Def. - Attributes'!C20:C2242""), 1,false)"),"OLD_MAT_NO_RMPM")</f>
        <v>OLD_MAT_NO_RMPM</v>
      </c>
      <c r="I3949" s="136"/>
    </row>
    <row r="3950" ht="15.75" customHeight="1">
      <c r="B3950" s="63">
        <f t="shared" si="1"/>
        <v>9</v>
      </c>
      <c r="C3950" s="146" t="s">
        <v>247</v>
      </c>
      <c r="D3950" s="147" t="s">
        <v>74</v>
      </c>
      <c r="E3950" s="135">
        <f t="shared" si="59"/>
        <v>35</v>
      </c>
      <c r="F3950" s="143" t="s">
        <v>3880</v>
      </c>
      <c r="G3950" s="63" t="str">
        <f>VLOOKUP(C3950, 'Class Def. - General Data'!$C$20:$C$1000,1,false)</f>
        <v>ZPM1_Drum</v>
      </c>
      <c r="H3950" s="63" t="str">
        <f>IFERROR(__xludf.DUMMYFUNCTION("VLOOKUP(F3950, IMPORTRANGE(""https://docs.google.com/spreadsheets/d/1Lhp9OU0JdFf_VYSMzH5lBcEaU4o8teT1piV-SNzShjg/edit?gid=554141278#gid=554141278"", ""'Char Def. - Attributes'!C20:C2242""), 1,false)"),"NOTE_PM")</f>
        <v>NOTE_PM</v>
      </c>
      <c r="I3950" s="136"/>
    </row>
    <row r="3951" ht="15.75" customHeight="1">
      <c r="B3951" s="63">
        <f t="shared" si="1"/>
        <v>9</v>
      </c>
      <c r="C3951" s="146" t="s">
        <v>247</v>
      </c>
      <c r="D3951" s="147" t="s">
        <v>74</v>
      </c>
      <c r="E3951" s="135">
        <f t="shared" si="59"/>
        <v>36</v>
      </c>
      <c r="F3951" s="143" t="s">
        <v>3881</v>
      </c>
      <c r="G3951" s="63" t="str">
        <f>VLOOKUP(C3951, 'Class Def. - General Data'!$C$20:$C$1000,1,false)</f>
        <v>ZPM1_Drum</v>
      </c>
      <c r="H3951" s="63" t="str">
        <f>IFERROR(__xludf.DUMMYFUNCTION("VLOOKUP(F3951, IMPORTRANGE(""https://docs.google.com/spreadsheets/d/1Lhp9OU0JdFf_VYSMzH5lBcEaU4o8teT1piV-SNzShjg/edit?gid=554141278#gid=554141278"", ""'Char Def. - Attributes'!C20:C2242""), 1,false)"),"BS_BERSIH")</f>
        <v>BS_BERSIH</v>
      </c>
      <c r="I3951" s="136"/>
    </row>
    <row r="3952" ht="15.75" customHeight="1">
      <c r="B3952" s="63">
        <f t="shared" si="1"/>
        <v>9</v>
      </c>
      <c r="C3952" s="146" t="s">
        <v>247</v>
      </c>
      <c r="D3952" s="147" t="s">
        <v>74</v>
      </c>
      <c r="E3952" s="135">
        <f t="shared" si="59"/>
        <v>37</v>
      </c>
      <c r="F3952" s="143" t="s">
        <v>3882</v>
      </c>
      <c r="G3952" s="63" t="str">
        <f>VLOOKUP(C3952, 'Class Def. - General Data'!$C$20:$C$1000,1,false)</f>
        <v>ZPM1_Drum</v>
      </c>
      <c r="H3952" s="63" t="str">
        <f>IFERROR(__xludf.DUMMYFUNCTION("VLOOKUP(F3952, IMPORTRANGE(""https://docs.google.com/spreadsheets/d/1Lhp9OU0JdFf_VYSMzH5lBcEaU4o8teT1piV-SNzShjg/edit?gid=554141278#gid=554141278"", ""'Char Def. - Attributes'!C20:C2242""), 1,false)"),"BS_KOTOR")</f>
        <v>BS_KOTOR</v>
      </c>
      <c r="I3952" s="136"/>
    </row>
    <row r="3953" ht="15.75" customHeight="1">
      <c r="B3953" s="63">
        <f t="shared" si="1"/>
        <v>9</v>
      </c>
      <c r="C3953" s="146" t="s">
        <v>247</v>
      </c>
      <c r="D3953" s="147" t="s">
        <v>74</v>
      </c>
      <c r="E3953" s="135">
        <f t="shared" si="59"/>
        <v>38</v>
      </c>
      <c r="F3953" s="143" t="s">
        <v>3883</v>
      </c>
      <c r="G3953" s="63" t="str">
        <f>VLOOKUP(C3953, 'Class Def. - General Data'!$C$20:$C$1000,1,false)</f>
        <v>ZPM1_Drum</v>
      </c>
      <c r="H3953" s="63" t="str">
        <f>IFERROR(__xludf.DUMMYFUNCTION("VLOOKUP(F3953, IMPORTRANGE(""https://docs.google.com/spreadsheets/d/1Lhp9OU0JdFf_VYSMzH5lBcEaU4o8teT1piV-SNzShjg/edit?gid=554141278#gid=554141278"", ""'Char Def. - Attributes'!C20:C2242""), 1,false)"),"BS_SCRAP")</f>
        <v>BS_SCRAP</v>
      </c>
      <c r="I3953" s="136"/>
    </row>
    <row r="3954" ht="15.75" customHeight="1">
      <c r="B3954" s="63">
        <f t="shared" si="1"/>
        <v>11</v>
      </c>
      <c r="C3954" s="146" t="s">
        <v>273</v>
      </c>
      <c r="D3954" s="147" t="s">
        <v>74</v>
      </c>
      <c r="E3954" s="135">
        <f t="shared" si="59"/>
        <v>1</v>
      </c>
      <c r="F3954" s="146" t="s">
        <v>3930</v>
      </c>
      <c r="G3954" s="63" t="str">
        <f>VLOOKUP(C3954, 'Class Def. - General Data'!$C$20:$C$1000,1,false)</f>
        <v>ZPM1_Duplex</v>
      </c>
      <c r="H3954" s="63" t="str">
        <f>IFERROR(__xludf.DUMMYFUNCTION("VLOOKUP(F3954, IMPORTRANGE(""https://docs.google.com/spreadsheets/d/1Lhp9OU0JdFf_VYSMzH5lBcEaU4o8teT1piV-SNzShjg/edit?gid=554141278#gid=554141278"", ""'Char Def. - Attributes'!C20:C2242""), 1,false)"),"MATERIAL_CODE_DUPLEX")</f>
        <v>MATERIAL_CODE_DUPLEX</v>
      </c>
      <c r="I3954" s="136"/>
    </row>
    <row r="3955" ht="15.75" customHeight="1">
      <c r="B3955" s="63">
        <f t="shared" si="1"/>
        <v>11</v>
      </c>
      <c r="C3955" s="146" t="s">
        <v>273</v>
      </c>
      <c r="D3955" s="147" t="s">
        <v>74</v>
      </c>
      <c r="E3955" s="135">
        <f t="shared" si="59"/>
        <v>2</v>
      </c>
      <c r="F3955" s="146" t="s">
        <v>3917</v>
      </c>
      <c r="G3955" s="63" t="str">
        <f>VLOOKUP(C3955, 'Class Def. - General Data'!$C$20:$C$1000,1,false)</f>
        <v>ZPM1_Duplex</v>
      </c>
      <c r="H3955" s="63" t="str">
        <f>IFERROR(__xludf.DUMMYFUNCTION("VLOOKUP(F3955, IMPORTRANGE(""https://docs.google.com/spreadsheets/d/1Lhp9OU0JdFf_VYSMzH5lBcEaU4o8teT1piV-SNzShjg/edit?gid=554141278#gid=554141278"", ""'Char Def. - Attributes'!C20:C2242""), 1,false)"),"LENGTH_MM")</f>
        <v>LENGTH_MM</v>
      </c>
      <c r="I3955" s="136"/>
    </row>
    <row r="3956" ht="15.75" customHeight="1">
      <c r="B3956" s="63">
        <f t="shared" si="1"/>
        <v>11</v>
      </c>
      <c r="C3956" s="146" t="s">
        <v>273</v>
      </c>
      <c r="D3956" s="147" t="s">
        <v>74</v>
      </c>
      <c r="E3956" s="135">
        <f t="shared" si="59"/>
        <v>3</v>
      </c>
      <c r="F3956" s="146" t="s">
        <v>3918</v>
      </c>
      <c r="G3956" s="63" t="str">
        <f>VLOOKUP(C3956, 'Class Def. - General Data'!$C$20:$C$1000,1,false)</f>
        <v>ZPM1_Duplex</v>
      </c>
      <c r="H3956" s="63" t="str">
        <f>IFERROR(__xludf.DUMMYFUNCTION("VLOOKUP(F3956, IMPORTRANGE(""https://docs.google.com/spreadsheets/d/1Lhp9OU0JdFf_VYSMzH5lBcEaU4o8teT1piV-SNzShjg/edit?gid=554141278#gid=554141278"", ""'Char Def. - Attributes'!C20:C2242""), 1,false)"),"WIDTH_MM_3")</f>
        <v>WIDTH_MM_3</v>
      </c>
      <c r="I3956" s="136"/>
    </row>
    <row r="3957" ht="15.75" customHeight="1">
      <c r="B3957" s="63">
        <f t="shared" si="1"/>
        <v>11</v>
      </c>
      <c r="C3957" s="146" t="s">
        <v>273</v>
      </c>
      <c r="D3957" s="147" t="s">
        <v>74</v>
      </c>
      <c r="E3957" s="135">
        <f t="shared" si="59"/>
        <v>4</v>
      </c>
      <c r="F3957" s="146" t="s">
        <v>3922</v>
      </c>
      <c r="G3957" s="63" t="str">
        <f>VLOOKUP(C3957, 'Class Def. - General Data'!$C$20:$C$1000,1,false)</f>
        <v>ZPM1_Duplex</v>
      </c>
      <c r="H3957" s="63" t="str">
        <f>IFERROR(__xludf.DUMMYFUNCTION("VLOOKUP(F3957, IMPORTRANGE(""https://docs.google.com/spreadsheets/d/1Lhp9OU0JdFf_VYSMzH5lBcEaU4o8teT1piV-SNzShjg/edit?gid=554141278#gid=554141278"", ""'Char Def. - Attributes'!C20:C2242""), 1,false)"),"THICKNESS_GSM")</f>
        <v>THICKNESS_GSM</v>
      </c>
      <c r="I3957" s="136"/>
    </row>
    <row r="3958" ht="15.75" customHeight="1">
      <c r="B3958" s="63">
        <f t="shared" si="1"/>
        <v>11</v>
      </c>
      <c r="C3958" s="146" t="s">
        <v>273</v>
      </c>
      <c r="D3958" s="147" t="s">
        <v>74</v>
      </c>
      <c r="E3958" s="135">
        <f t="shared" si="59"/>
        <v>5</v>
      </c>
      <c r="F3958" s="143" t="s">
        <v>3890</v>
      </c>
      <c r="G3958" s="63" t="str">
        <f>VLOOKUP(C3958, 'Class Def. - General Data'!$C$20:$C$1000,1,false)</f>
        <v>ZPM1_Duplex</v>
      </c>
      <c r="H3958" s="63" t="str">
        <f>IFERROR(__xludf.DUMMYFUNCTION("VLOOKUP(F3958, IMPORTRANGE(""https://docs.google.com/spreadsheets/d/1Lhp9OU0JdFf_VYSMzH5lBcEaU4o8teT1piV-SNzShjg/edit?gid=554141278#gid=554141278"", ""'Char Def. - Attributes'!C20:C2242""), 1,false)"),"EXT_MAT_GRP")</f>
        <v>EXT_MAT_GRP</v>
      </c>
      <c r="I3958" s="136"/>
    </row>
    <row r="3959" ht="15.75" customHeight="1">
      <c r="B3959" s="63">
        <f t="shared" si="1"/>
        <v>11</v>
      </c>
      <c r="C3959" s="146" t="s">
        <v>273</v>
      </c>
      <c r="D3959" s="147" t="s">
        <v>74</v>
      </c>
      <c r="E3959" s="135">
        <f t="shared" si="59"/>
        <v>6</v>
      </c>
      <c r="F3959" s="143" t="s">
        <v>3905</v>
      </c>
      <c r="G3959" s="63" t="str">
        <f>VLOOKUP(C3959, 'Class Def. - General Data'!$C$20:$C$1000,1,false)</f>
        <v>ZPM1_Duplex</v>
      </c>
      <c r="H3959" s="63" t="str">
        <f>IFERROR(__xludf.DUMMYFUNCTION("VLOOKUP(F3959, IMPORTRANGE(""https://docs.google.com/spreadsheets/d/1Lhp9OU0JdFf_VYSMzH5lBcEaU4o8teT1piV-SNzShjg/edit?gid=554141278#gid=554141278"", ""'Char Def. - Attributes'!C20:C2242""), 1,false)"),"SPEC_CODE")</f>
        <v>SPEC_CODE</v>
      </c>
      <c r="I3959" s="136"/>
    </row>
    <row r="3960" ht="15.75" customHeight="1">
      <c r="B3960" s="63">
        <f t="shared" si="1"/>
        <v>11</v>
      </c>
      <c r="C3960" s="146" t="s">
        <v>273</v>
      </c>
      <c r="D3960" s="147" t="s">
        <v>74</v>
      </c>
      <c r="E3960" s="135">
        <f t="shared" si="59"/>
        <v>7</v>
      </c>
      <c r="F3960" s="155" t="s">
        <v>3587</v>
      </c>
      <c r="G3960" s="63" t="str">
        <f>VLOOKUP(C3960, 'Class Def. - General Data'!$C$20:$C$1000,1,false)</f>
        <v>ZPM1_Duplex</v>
      </c>
      <c r="H3960" s="63" t="str">
        <f>IFERROR(__xludf.DUMMYFUNCTION("VLOOKUP(F3960, IMPORTRANGE(""https://docs.google.com/spreadsheets/d/1Lhp9OU0JdFf_VYSMzH5lBcEaU4o8teT1piV-SNzShjg/edit?gid=554141278#gid=554141278"", ""'Char Def. - Attributes'!C20:C2242""), 1,false)"),"PLANT_BUY")</f>
        <v>PLANT_BUY</v>
      </c>
      <c r="I3960" s="136"/>
    </row>
    <row r="3961" ht="15.75" customHeight="1">
      <c r="B3961" s="63">
        <f t="shared" si="1"/>
        <v>11</v>
      </c>
      <c r="C3961" s="146" t="s">
        <v>273</v>
      </c>
      <c r="D3961" s="147" t="s">
        <v>74</v>
      </c>
      <c r="E3961" s="135">
        <f t="shared" si="59"/>
        <v>8</v>
      </c>
      <c r="F3961" s="156" t="s">
        <v>3865</v>
      </c>
      <c r="G3961" s="63" t="str">
        <f>VLOOKUP(C3961, 'Class Def. - General Data'!$C$20:$C$1000,1,false)</f>
        <v>ZPM1_Duplex</v>
      </c>
      <c r="H3961" s="63" t="str">
        <f>IFERROR(__xludf.DUMMYFUNCTION("VLOOKUP(F3961, IMPORTRANGE(""https://docs.google.com/spreadsheets/d/1Lhp9OU0JdFf_VYSMzH5lBcEaU4o8teT1piV-SNzShjg/edit?gid=554141278#gid=554141278"", ""'Char Def. - Attributes'!C20:C2242""), 1,false)"),"PLANT_PROD_OPT")</f>
        <v>PLANT_PROD_OPT</v>
      </c>
      <c r="I3961" s="136"/>
    </row>
    <row r="3962" ht="15.75" customHeight="1">
      <c r="B3962" s="63">
        <f t="shared" si="1"/>
        <v>11</v>
      </c>
      <c r="C3962" s="146" t="s">
        <v>273</v>
      </c>
      <c r="D3962" s="147" t="s">
        <v>74</v>
      </c>
      <c r="E3962" s="135">
        <f t="shared" si="59"/>
        <v>9</v>
      </c>
      <c r="F3962" s="146" t="s">
        <v>3866</v>
      </c>
      <c r="G3962" s="63" t="str">
        <f>VLOOKUP(C3962, 'Class Def. - General Data'!$C$20:$C$1000,1,false)</f>
        <v>ZPM1_Duplex</v>
      </c>
      <c r="H3962" s="63" t="str">
        <f>IFERROR(__xludf.DUMMYFUNCTION("VLOOKUP(F3962, IMPORTRANGE(""https://docs.google.com/spreadsheets/d/1Lhp9OU0JdFf_VYSMzH5lBcEaU4o8teT1piV-SNzShjg/edit?gid=554141278#gid=554141278"", ""'Char Def. - Attributes'!C20:C2242""), 1,false)"),"PM_SUPPLY_JKT")</f>
        <v>PM_SUPPLY_JKT</v>
      </c>
      <c r="I3962" s="136"/>
    </row>
    <row r="3963" ht="15.75" customHeight="1">
      <c r="B3963" s="63">
        <f t="shared" si="1"/>
        <v>11</v>
      </c>
      <c r="C3963" s="146" t="s">
        <v>273</v>
      </c>
      <c r="D3963" s="147" t="s">
        <v>74</v>
      </c>
      <c r="E3963" s="135">
        <f t="shared" si="59"/>
        <v>10</v>
      </c>
      <c r="F3963" s="146" t="s">
        <v>3867</v>
      </c>
      <c r="G3963" s="63" t="str">
        <f>VLOOKUP(C3963, 'Class Def. - General Data'!$C$20:$C$1000,1,false)</f>
        <v>ZPM1_Duplex</v>
      </c>
      <c r="H3963" s="63" t="str">
        <f>IFERROR(__xludf.DUMMYFUNCTION("VLOOKUP(F3963, IMPORTRANGE(""https://docs.google.com/spreadsheets/d/1Lhp9OU0JdFf_VYSMzH5lBcEaU4o8teT1piV-SNzShjg/edit?gid=554141278#gid=554141278"", ""'Char Def. - Attributes'!C20:C2242""), 1,false)"),"PM_SUPPLY_SBY")</f>
        <v>PM_SUPPLY_SBY</v>
      </c>
      <c r="I3963" s="136"/>
    </row>
    <row r="3964" ht="15.75" customHeight="1">
      <c r="B3964" s="63">
        <f t="shared" si="1"/>
        <v>11</v>
      </c>
      <c r="C3964" s="146" t="s">
        <v>273</v>
      </c>
      <c r="D3964" s="147" t="s">
        <v>74</v>
      </c>
      <c r="E3964" s="135">
        <f t="shared" si="59"/>
        <v>11</v>
      </c>
      <c r="F3964" s="157" t="s">
        <v>3868</v>
      </c>
      <c r="G3964" s="63" t="str">
        <f>VLOOKUP(C3964, 'Class Def. - General Data'!$C$20:$C$1000,1,false)</f>
        <v>ZPM1_Duplex</v>
      </c>
      <c r="H3964" s="63" t="str">
        <f>IFERROR(__xludf.DUMMYFUNCTION("VLOOKUP(F3964, IMPORTRANGE(""https://docs.google.com/spreadsheets/d/1Lhp9OU0JdFf_VYSMzH5lBcEaU4o8teT1piV-SNzShjg/edit?gid=554141278#gid=554141278"", ""'Char Def. - Attributes'!C20:C2242""), 1,false)"),"BASIC_UOM_RMPM")</f>
        <v>BASIC_UOM_RMPM</v>
      </c>
      <c r="I3964" s="136"/>
    </row>
    <row r="3965" ht="15.75" customHeight="1">
      <c r="B3965" s="63">
        <f t="shared" si="1"/>
        <v>11</v>
      </c>
      <c r="C3965" s="146" t="s">
        <v>273</v>
      </c>
      <c r="D3965" s="147" t="s">
        <v>74</v>
      </c>
      <c r="E3965" s="135">
        <f t="shared" si="59"/>
        <v>12</v>
      </c>
      <c r="F3965" s="154" t="s">
        <v>3869</v>
      </c>
      <c r="G3965" s="63" t="str">
        <f>VLOOKUP(C3965, 'Class Def. - General Data'!$C$20:$C$1000,1,false)</f>
        <v>ZPM1_Duplex</v>
      </c>
      <c r="H3965" s="63" t="str">
        <f>IFERROR(__xludf.DUMMYFUNCTION("VLOOKUP(F3965, IMPORTRANGE(""https://docs.google.com/spreadsheets/d/1Lhp9OU0JdFf_VYSMzH5lBcEaU4o8teT1piV-SNzShjg/edit?gid=554141278#gid=554141278"", ""'Char Def. - Attributes'!C20:C2242""), 1,false)"),"ALT_UOM1_RMPM")</f>
        <v>ALT_UOM1_RMPM</v>
      </c>
      <c r="I3965" s="136"/>
    </row>
    <row r="3966" ht="15.75" customHeight="1">
      <c r="B3966" s="63">
        <f t="shared" si="1"/>
        <v>11</v>
      </c>
      <c r="C3966" s="146" t="s">
        <v>273</v>
      </c>
      <c r="D3966" s="147" t="s">
        <v>74</v>
      </c>
      <c r="E3966" s="135">
        <f t="shared" si="59"/>
        <v>13</v>
      </c>
      <c r="F3966" s="154" t="s">
        <v>3805</v>
      </c>
      <c r="G3966" s="63" t="str">
        <f>VLOOKUP(C3966, 'Class Def. - General Data'!$C$20:$C$1000,1,false)</f>
        <v>ZPM1_Duplex</v>
      </c>
      <c r="H3966" s="63" t="str">
        <f>IFERROR(__xludf.DUMMYFUNCTION("VLOOKUP(F3966, IMPORTRANGE(""https://docs.google.com/spreadsheets/d/1Lhp9OU0JdFf_VYSMzH5lBcEaU4o8teT1piV-SNzShjg/edit?gid=554141278#gid=554141278"", ""'Char Def. - Attributes'!C20:C2242""), 1,false)"),"ALT_DENUM_UOM1")</f>
        <v>ALT_DENUM_UOM1</v>
      </c>
      <c r="I3966" s="136"/>
    </row>
    <row r="3967" ht="15.75" customHeight="1">
      <c r="B3967" s="63">
        <f t="shared" si="1"/>
        <v>11</v>
      </c>
      <c r="C3967" s="146" t="s">
        <v>273</v>
      </c>
      <c r="D3967" s="147" t="s">
        <v>74</v>
      </c>
      <c r="E3967" s="135">
        <f t="shared" si="59"/>
        <v>14</v>
      </c>
      <c r="F3967" s="154" t="s">
        <v>3806</v>
      </c>
      <c r="G3967" s="63" t="str">
        <f>VLOOKUP(C3967, 'Class Def. - General Data'!$C$20:$C$1000,1,false)</f>
        <v>ZPM1_Duplex</v>
      </c>
      <c r="H3967" s="63" t="str">
        <f>IFERROR(__xludf.DUMMYFUNCTION("VLOOKUP(F3967, IMPORTRANGE(""https://docs.google.com/spreadsheets/d/1Lhp9OU0JdFf_VYSMzH5lBcEaU4o8teT1piV-SNzShjg/edit?gid=554141278#gid=554141278"", ""'Char Def. - Attributes'!C20:C2242""), 1,false)"),"ALT_NUM_UOM1")</f>
        <v>ALT_NUM_UOM1</v>
      </c>
      <c r="I3967" s="136"/>
    </row>
    <row r="3968" ht="15.75" customHeight="1">
      <c r="B3968" s="63">
        <f t="shared" si="1"/>
        <v>11</v>
      </c>
      <c r="C3968" s="146" t="s">
        <v>273</v>
      </c>
      <c r="D3968" s="147" t="s">
        <v>74</v>
      </c>
      <c r="E3968" s="135">
        <f t="shared" si="59"/>
        <v>15</v>
      </c>
      <c r="F3968" s="154" t="s">
        <v>3870</v>
      </c>
      <c r="G3968" s="63" t="str">
        <f>VLOOKUP(C3968, 'Class Def. - General Data'!$C$20:$C$1000,1,false)</f>
        <v>ZPM1_Duplex</v>
      </c>
      <c r="H3968" s="63" t="str">
        <f>IFERROR(__xludf.DUMMYFUNCTION("VLOOKUP(F3968, IMPORTRANGE(""https://docs.google.com/spreadsheets/d/1Lhp9OU0JdFf_VYSMzH5lBcEaU4o8teT1piV-SNzShjg/edit?gid=554141278#gid=554141278"", ""'Char Def. - Attributes'!C20:C2242""), 1,false)"),"ALT_UOM2_RMPM")</f>
        <v>ALT_UOM2_RMPM</v>
      </c>
      <c r="I3968" s="136"/>
    </row>
    <row r="3969" ht="15.75" customHeight="1">
      <c r="B3969" s="63">
        <f t="shared" si="1"/>
        <v>11</v>
      </c>
      <c r="C3969" s="146" t="s">
        <v>273</v>
      </c>
      <c r="D3969" s="147" t="s">
        <v>74</v>
      </c>
      <c r="E3969" s="135">
        <f t="shared" si="59"/>
        <v>16</v>
      </c>
      <c r="F3969" s="154" t="s">
        <v>3808</v>
      </c>
      <c r="G3969" s="63" t="str">
        <f>VLOOKUP(C3969, 'Class Def. - General Data'!$C$20:$C$1000,1,false)</f>
        <v>ZPM1_Duplex</v>
      </c>
      <c r="H3969" s="63" t="str">
        <f>IFERROR(__xludf.DUMMYFUNCTION("VLOOKUP(F3969, IMPORTRANGE(""https://docs.google.com/spreadsheets/d/1Lhp9OU0JdFf_VYSMzH5lBcEaU4o8teT1piV-SNzShjg/edit?gid=554141278#gid=554141278"", ""'Char Def. - Attributes'!C20:C2242""), 1,false)"),"ALT_DENUM_UOM2")</f>
        <v>ALT_DENUM_UOM2</v>
      </c>
      <c r="I3969" s="136"/>
    </row>
    <row r="3970" ht="15.75" customHeight="1">
      <c r="B3970" s="63">
        <f t="shared" si="1"/>
        <v>11</v>
      </c>
      <c r="C3970" s="146" t="s">
        <v>273</v>
      </c>
      <c r="D3970" s="147" t="s">
        <v>74</v>
      </c>
      <c r="E3970" s="135">
        <f t="shared" si="59"/>
        <v>17</v>
      </c>
      <c r="F3970" s="154" t="s">
        <v>3809</v>
      </c>
      <c r="G3970" s="63" t="str">
        <f>VLOOKUP(C3970, 'Class Def. - General Data'!$C$20:$C$1000,1,false)</f>
        <v>ZPM1_Duplex</v>
      </c>
      <c r="H3970" s="63" t="str">
        <f>IFERROR(__xludf.DUMMYFUNCTION("VLOOKUP(F3970, IMPORTRANGE(""https://docs.google.com/spreadsheets/d/1Lhp9OU0JdFf_VYSMzH5lBcEaU4o8teT1piV-SNzShjg/edit?gid=554141278#gid=554141278"", ""'Char Def. - Attributes'!C20:C2242""), 1,false)"),"ALT_NUM_UOM2")</f>
        <v>ALT_NUM_UOM2</v>
      </c>
      <c r="I3970" s="136"/>
    </row>
    <row r="3971" ht="15.75" customHeight="1">
      <c r="B3971" s="63">
        <f t="shared" si="1"/>
        <v>11</v>
      </c>
      <c r="C3971" s="146" t="s">
        <v>273</v>
      </c>
      <c r="D3971" s="147" t="s">
        <v>74</v>
      </c>
      <c r="E3971" s="135">
        <f t="shared" si="59"/>
        <v>18</v>
      </c>
      <c r="F3971" s="154" t="s">
        <v>3871</v>
      </c>
      <c r="G3971" s="63" t="str">
        <f>VLOOKUP(C3971, 'Class Def. - General Data'!$C$20:$C$1000,1,false)</f>
        <v>ZPM1_Duplex</v>
      </c>
      <c r="H3971" s="63" t="str">
        <f>IFERROR(__xludf.DUMMYFUNCTION("VLOOKUP(F3971, IMPORTRANGE(""https://docs.google.com/spreadsheets/d/1Lhp9OU0JdFf_VYSMzH5lBcEaU4o8teT1piV-SNzShjg/edit?gid=554141278#gid=554141278"", ""'Char Def. - Attributes'!C20:C2242""), 1,false)"),"ALT_UOM3_RMPM")</f>
        <v>ALT_UOM3_RMPM</v>
      </c>
      <c r="I3971" s="136"/>
    </row>
    <row r="3972" ht="15.75" customHeight="1">
      <c r="B3972" s="63">
        <f t="shared" si="1"/>
        <v>11</v>
      </c>
      <c r="C3972" s="146" t="s">
        <v>273</v>
      </c>
      <c r="D3972" s="147" t="s">
        <v>74</v>
      </c>
      <c r="E3972" s="135">
        <f t="shared" si="59"/>
        <v>19</v>
      </c>
      <c r="F3972" s="154" t="s">
        <v>3811</v>
      </c>
      <c r="G3972" s="63" t="str">
        <f>VLOOKUP(C3972, 'Class Def. - General Data'!$C$20:$C$1000,1,false)</f>
        <v>ZPM1_Duplex</v>
      </c>
      <c r="H3972" s="63" t="str">
        <f>IFERROR(__xludf.DUMMYFUNCTION("VLOOKUP(F3972, IMPORTRANGE(""https://docs.google.com/spreadsheets/d/1Lhp9OU0JdFf_VYSMzH5lBcEaU4o8teT1piV-SNzShjg/edit?gid=554141278#gid=554141278"", ""'Char Def. - Attributes'!C20:C2242""), 1,false)"),"ALT_DENUM_UOM3")</f>
        <v>ALT_DENUM_UOM3</v>
      </c>
      <c r="I3972" s="136"/>
    </row>
    <row r="3973" ht="15.75" customHeight="1">
      <c r="B3973" s="63">
        <f t="shared" si="1"/>
        <v>11</v>
      </c>
      <c r="C3973" s="146" t="s">
        <v>273</v>
      </c>
      <c r="D3973" s="147" t="s">
        <v>74</v>
      </c>
      <c r="E3973" s="135">
        <f t="shared" si="59"/>
        <v>20</v>
      </c>
      <c r="F3973" s="154" t="s">
        <v>3812</v>
      </c>
      <c r="G3973" s="63" t="str">
        <f>VLOOKUP(C3973, 'Class Def. - General Data'!$C$20:$C$1000,1,false)</f>
        <v>ZPM1_Duplex</v>
      </c>
      <c r="H3973" s="63" t="str">
        <f>IFERROR(__xludf.DUMMYFUNCTION("VLOOKUP(F3973, IMPORTRANGE(""https://docs.google.com/spreadsheets/d/1Lhp9OU0JdFf_VYSMzH5lBcEaU4o8teT1piV-SNzShjg/edit?gid=554141278#gid=554141278"", ""'Char Def. - Attributes'!C20:C2242""), 1,false)"),"ALT_NUM_UOM3")</f>
        <v>ALT_NUM_UOM3</v>
      </c>
      <c r="I3973" s="136"/>
    </row>
    <row r="3974" ht="15.75" customHeight="1">
      <c r="B3974" s="63">
        <f t="shared" si="1"/>
        <v>11</v>
      </c>
      <c r="C3974" s="146" t="s">
        <v>273</v>
      </c>
      <c r="D3974" s="147" t="s">
        <v>74</v>
      </c>
      <c r="E3974" s="135">
        <f t="shared" si="59"/>
        <v>21</v>
      </c>
      <c r="F3974" s="154" t="s">
        <v>3872</v>
      </c>
      <c r="G3974" s="63" t="str">
        <f>VLOOKUP(C3974, 'Class Def. - General Data'!$C$20:$C$1000,1,false)</f>
        <v>ZPM1_Duplex</v>
      </c>
      <c r="H3974" s="63" t="str">
        <f>IFERROR(__xludf.DUMMYFUNCTION("VLOOKUP(F3974, IMPORTRANGE(""https://docs.google.com/spreadsheets/d/1Lhp9OU0JdFf_VYSMzH5lBcEaU4o8teT1piV-SNzShjg/edit?gid=554141278#gid=554141278"", ""'Char Def. - Attributes'!C20:C2242""), 1,false)"),"ALT_UOM4_RMPM")</f>
        <v>ALT_UOM4_RMPM</v>
      </c>
      <c r="I3974" s="136"/>
    </row>
    <row r="3975" ht="15.75" customHeight="1">
      <c r="B3975" s="63">
        <f t="shared" si="1"/>
        <v>11</v>
      </c>
      <c r="C3975" s="146" t="s">
        <v>273</v>
      </c>
      <c r="D3975" s="147" t="s">
        <v>74</v>
      </c>
      <c r="E3975" s="135">
        <f t="shared" si="59"/>
        <v>22</v>
      </c>
      <c r="F3975" s="148" t="s">
        <v>3814</v>
      </c>
      <c r="G3975" s="63" t="str">
        <f>VLOOKUP(C3975, 'Class Def. - General Data'!$C$20:$C$1000,1,false)</f>
        <v>ZPM1_Duplex</v>
      </c>
      <c r="H3975" s="63" t="str">
        <f>IFERROR(__xludf.DUMMYFUNCTION("VLOOKUP(F3975, IMPORTRANGE(""https://docs.google.com/spreadsheets/d/1Lhp9OU0JdFf_VYSMzH5lBcEaU4o8teT1piV-SNzShjg/edit?gid=554141278#gid=554141278"", ""'Char Def. - Attributes'!C20:C2242""), 1,false)"),"ALT_DENUM_UOM4")</f>
        <v>ALT_DENUM_UOM4</v>
      </c>
      <c r="I3975" s="136"/>
    </row>
    <row r="3976" ht="15.75" customHeight="1">
      <c r="B3976" s="63">
        <f t="shared" si="1"/>
        <v>11</v>
      </c>
      <c r="C3976" s="146" t="s">
        <v>273</v>
      </c>
      <c r="D3976" s="147" t="s">
        <v>74</v>
      </c>
      <c r="E3976" s="135">
        <f t="shared" si="59"/>
        <v>23</v>
      </c>
      <c r="F3976" s="152" t="s">
        <v>3815</v>
      </c>
      <c r="G3976" s="63" t="str">
        <f>VLOOKUP(C3976, 'Class Def. - General Data'!$C$20:$C$1000,1,false)</f>
        <v>ZPM1_Duplex</v>
      </c>
      <c r="H3976" s="63" t="str">
        <f>IFERROR(__xludf.DUMMYFUNCTION("VLOOKUP(F3976, IMPORTRANGE(""https://docs.google.com/spreadsheets/d/1Lhp9OU0JdFf_VYSMzH5lBcEaU4o8teT1piV-SNzShjg/edit?gid=554141278#gid=554141278"", ""'Char Def. - Attributes'!C20:C2242""), 1,false)"),"ALT_NUM_UOM4")</f>
        <v>ALT_NUM_UOM4</v>
      </c>
      <c r="I3976" s="136"/>
    </row>
    <row r="3977" ht="15.75" customHeight="1">
      <c r="B3977" s="63">
        <f t="shared" si="1"/>
        <v>11</v>
      </c>
      <c r="C3977" s="146" t="s">
        <v>273</v>
      </c>
      <c r="D3977" s="147" t="s">
        <v>74</v>
      </c>
      <c r="E3977" s="135">
        <f t="shared" si="59"/>
        <v>24</v>
      </c>
      <c r="F3977" s="152" t="s">
        <v>3873</v>
      </c>
      <c r="G3977" s="63" t="str">
        <f>VLOOKUP(C3977, 'Class Def. - General Data'!$C$20:$C$1000,1,false)</f>
        <v>ZPM1_Duplex</v>
      </c>
      <c r="H3977" s="63" t="str">
        <f>IFERROR(__xludf.DUMMYFUNCTION("VLOOKUP(F3977, IMPORTRANGE(""https://docs.google.com/spreadsheets/d/1Lhp9OU0JdFf_VYSMzH5lBcEaU4o8teT1piV-SNzShjg/edit?gid=554141278#gid=554141278"", ""'Char Def. - Attributes'!C20:C2242""), 1,false)"),"ALT_UOM5_RMPM")</f>
        <v>ALT_UOM5_RMPM</v>
      </c>
      <c r="I3977" s="136"/>
    </row>
    <row r="3978" ht="15.75" customHeight="1">
      <c r="B3978" s="63">
        <f t="shared" si="1"/>
        <v>11</v>
      </c>
      <c r="C3978" s="146" t="s">
        <v>273</v>
      </c>
      <c r="D3978" s="147" t="s">
        <v>74</v>
      </c>
      <c r="E3978" s="135">
        <f t="shared" si="59"/>
        <v>25</v>
      </c>
      <c r="F3978" s="152" t="s">
        <v>3817</v>
      </c>
      <c r="G3978" s="63" t="str">
        <f>VLOOKUP(C3978, 'Class Def. - General Data'!$C$20:$C$1000,1,false)</f>
        <v>ZPM1_Duplex</v>
      </c>
      <c r="H3978" s="63" t="str">
        <f>IFERROR(__xludf.DUMMYFUNCTION("VLOOKUP(F3978, IMPORTRANGE(""https://docs.google.com/spreadsheets/d/1Lhp9OU0JdFf_VYSMzH5lBcEaU4o8teT1piV-SNzShjg/edit?gid=554141278#gid=554141278"", ""'Char Def. - Attributes'!C20:C2242""), 1,false)"),"ALT_DENUM_UOM5")</f>
        <v>ALT_DENUM_UOM5</v>
      </c>
      <c r="I3978" s="136"/>
    </row>
    <row r="3979" ht="15.75" customHeight="1">
      <c r="B3979" s="63">
        <f t="shared" si="1"/>
        <v>11</v>
      </c>
      <c r="C3979" s="146" t="s">
        <v>273</v>
      </c>
      <c r="D3979" s="147" t="s">
        <v>74</v>
      </c>
      <c r="E3979" s="135">
        <f t="shared" si="59"/>
        <v>26</v>
      </c>
      <c r="F3979" s="152" t="s">
        <v>3818</v>
      </c>
      <c r="G3979" s="63" t="str">
        <f>VLOOKUP(C3979, 'Class Def. - General Data'!$C$20:$C$1000,1,false)</f>
        <v>ZPM1_Duplex</v>
      </c>
      <c r="H3979" s="63" t="str">
        <f>IFERROR(__xludf.DUMMYFUNCTION("VLOOKUP(F3979, IMPORTRANGE(""https://docs.google.com/spreadsheets/d/1Lhp9OU0JdFf_VYSMzH5lBcEaU4o8teT1piV-SNzShjg/edit?gid=554141278#gid=554141278"", ""'Char Def. - Attributes'!C20:C2242""), 1,false)"),"ALT_NUM_UOM5")</f>
        <v>ALT_NUM_UOM5</v>
      </c>
      <c r="I3979" s="136"/>
    </row>
    <row r="3980" ht="15.75" customHeight="1">
      <c r="B3980" s="63">
        <f t="shared" si="1"/>
        <v>11</v>
      </c>
      <c r="C3980" s="146" t="s">
        <v>273</v>
      </c>
      <c r="D3980" s="147" t="s">
        <v>74</v>
      </c>
      <c r="E3980" s="135">
        <f t="shared" si="59"/>
        <v>27</v>
      </c>
      <c r="F3980" s="152" t="s">
        <v>3874</v>
      </c>
      <c r="G3980" s="63" t="str">
        <f>VLOOKUP(C3980, 'Class Def. - General Data'!$C$20:$C$1000,1,false)</f>
        <v>ZPM1_Duplex</v>
      </c>
      <c r="H3980" s="63" t="str">
        <f>IFERROR(__xludf.DUMMYFUNCTION("VLOOKUP(F3980, IMPORTRANGE(""https://docs.google.com/spreadsheets/d/1Lhp9OU0JdFf_VYSMzH5lBcEaU4o8teT1piV-SNzShjg/edit?gid=554141278#gid=554141278"", ""'Char Def. - Attributes'!C20:C2242""), 1,false)"),"VALUATION_CATEGORY")</f>
        <v>VALUATION_CATEGORY</v>
      </c>
      <c r="I3980" s="136"/>
    </row>
    <row r="3981" ht="15.75" customHeight="1">
      <c r="B3981" s="63">
        <f t="shared" si="1"/>
        <v>11</v>
      </c>
      <c r="C3981" s="146" t="s">
        <v>273</v>
      </c>
      <c r="D3981" s="147" t="s">
        <v>74</v>
      </c>
      <c r="E3981" s="135">
        <f t="shared" si="59"/>
        <v>28</v>
      </c>
      <c r="F3981" s="152" t="s">
        <v>3800</v>
      </c>
      <c r="G3981" s="63" t="str">
        <f>VLOOKUP(C3981, 'Class Def. - General Data'!$C$20:$C$1000,1,false)</f>
        <v>ZPM1_Duplex</v>
      </c>
      <c r="H3981" s="63" t="str">
        <f>IFERROR(__xludf.DUMMYFUNCTION("VLOOKUP(F3981, IMPORTRANGE(""https://docs.google.com/spreadsheets/d/1Lhp9OU0JdFf_VYSMzH5lBcEaU4o8teT1piV-SNzShjg/edit?gid=554141278#gid=554141278"", ""'Char Def. - Attributes'!C20:C2242""), 1,false)"),"ORDER_UNIT_DIFF_FROM_BASIC_UOM")</f>
        <v>ORDER_UNIT_DIFF_FROM_BASIC_UOM</v>
      </c>
      <c r="I3981" s="136"/>
    </row>
    <row r="3982" ht="15.75" customHeight="1">
      <c r="B3982" s="63">
        <f t="shared" si="1"/>
        <v>11</v>
      </c>
      <c r="C3982" s="146" t="s">
        <v>273</v>
      </c>
      <c r="D3982" s="147" t="s">
        <v>74</v>
      </c>
      <c r="E3982" s="135">
        <f t="shared" si="59"/>
        <v>29</v>
      </c>
      <c r="F3982" s="152" t="s">
        <v>3875</v>
      </c>
      <c r="G3982" s="63" t="str">
        <f>VLOOKUP(C3982, 'Class Def. - General Data'!$C$20:$C$1000,1,false)</f>
        <v>ZPM1_Duplex</v>
      </c>
      <c r="H3982" s="63" t="str">
        <f>IFERROR(__xludf.DUMMYFUNCTION("VLOOKUP(F3982, IMPORTRANGE(""https://docs.google.com/spreadsheets/d/1Lhp9OU0JdFf_VYSMzH5lBcEaU4o8teT1piV-SNzShjg/edit?gid=554141278#gid=554141278"", ""'Char Def. - Attributes'!C20:C2242""), 1,false)"),"ORDER_UNIT_RMPM")</f>
        <v>ORDER_UNIT_RMPM</v>
      </c>
      <c r="I3982" s="136"/>
    </row>
    <row r="3983" ht="15.75" customHeight="1">
      <c r="B3983" s="63">
        <f t="shared" si="1"/>
        <v>11</v>
      </c>
      <c r="C3983" s="146" t="s">
        <v>273</v>
      </c>
      <c r="D3983" s="147" t="s">
        <v>74</v>
      </c>
      <c r="E3983" s="135">
        <f t="shared" si="59"/>
        <v>30</v>
      </c>
      <c r="F3983" s="151" t="s">
        <v>3602</v>
      </c>
      <c r="G3983" s="63" t="str">
        <f>VLOOKUP(C3983, 'Class Def. - General Data'!$C$20:$C$1000,1,false)</f>
        <v>ZPM1_Duplex</v>
      </c>
      <c r="H3983" s="63" t="str">
        <f>IFERROR(__xludf.DUMMYFUNCTION("VLOOKUP(F3983, IMPORTRANGE(""https://docs.google.com/spreadsheets/d/1Lhp9OU0JdFf_VYSMzH5lBcEaU4o8teT1piV-SNzShjg/edit?gid=554141278#gid=554141278"", ""'Char Def. - Attributes'!C20:C2242""), 1,false)"),"NET_WEIGHT")</f>
        <v>NET_WEIGHT</v>
      </c>
      <c r="I3983" s="136"/>
    </row>
    <row r="3984" ht="15.75" customHeight="1">
      <c r="B3984" s="63">
        <f t="shared" si="1"/>
        <v>11</v>
      </c>
      <c r="C3984" s="146" t="s">
        <v>273</v>
      </c>
      <c r="D3984" s="147" t="s">
        <v>74</v>
      </c>
      <c r="E3984" s="135">
        <f t="shared" si="59"/>
        <v>31</v>
      </c>
      <c r="F3984" s="151" t="s">
        <v>3601</v>
      </c>
      <c r="G3984" s="63" t="str">
        <f>VLOOKUP(C3984, 'Class Def. - General Data'!$C$20:$C$1000,1,false)</f>
        <v>ZPM1_Duplex</v>
      </c>
      <c r="H3984" s="63" t="str">
        <f>IFERROR(__xludf.DUMMYFUNCTION("VLOOKUP(F3984, IMPORTRANGE(""https://docs.google.com/spreadsheets/d/1Lhp9OU0JdFf_VYSMzH5lBcEaU4o8teT1piV-SNzShjg/edit?gid=554141278#gid=554141278"", ""'Char Def. - Attributes'!C20:C2242""), 1,false)"),"GROSS_WEIGHT")</f>
        <v>GROSS_WEIGHT</v>
      </c>
      <c r="I3984" s="136"/>
    </row>
    <row r="3985" ht="15.75" customHeight="1">
      <c r="B3985" s="63">
        <f t="shared" si="1"/>
        <v>11</v>
      </c>
      <c r="C3985" s="146" t="s">
        <v>273</v>
      </c>
      <c r="D3985" s="147" t="s">
        <v>74</v>
      </c>
      <c r="E3985" s="135">
        <f t="shared" si="59"/>
        <v>32</v>
      </c>
      <c r="F3985" s="134" t="s">
        <v>3876</v>
      </c>
      <c r="G3985" s="63" t="str">
        <f>VLOOKUP(C3985, 'Class Def. - General Data'!$C$20:$C$1000,1,false)</f>
        <v>ZPM1_Duplex</v>
      </c>
      <c r="H3985" s="63" t="str">
        <f>IFERROR(__xludf.DUMMYFUNCTION("VLOOKUP(F3985, IMPORTRANGE(""https://docs.google.com/spreadsheets/d/1Lhp9OU0JdFf_VYSMzH5lBcEaU4o8teT1piV-SNzShjg/edit?gid=554141278#gid=554141278"", ""'Char Def. - Attributes'!C20:C2242""), 1,false)"),"WEIGHT_UNIT_PM")</f>
        <v>WEIGHT_UNIT_PM</v>
      </c>
      <c r="I3985" s="136"/>
    </row>
    <row r="3986" ht="15.75" customHeight="1">
      <c r="B3986" s="63">
        <f t="shared" si="1"/>
        <v>11</v>
      </c>
      <c r="C3986" s="146" t="s">
        <v>273</v>
      </c>
      <c r="D3986" s="147" t="s">
        <v>74</v>
      </c>
      <c r="E3986" s="135">
        <f t="shared" si="59"/>
        <v>33</v>
      </c>
      <c r="F3986" s="151" t="s">
        <v>3877</v>
      </c>
      <c r="G3986" s="63" t="str">
        <f>VLOOKUP(C3986, 'Class Def. - General Data'!$C$20:$C$1000,1,false)</f>
        <v>ZPM1_Duplex</v>
      </c>
      <c r="H3986" s="63" t="str">
        <f>IFERROR(__xludf.DUMMYFUNCTION("VLOOKUP(F3986, IMPORTRANGE(""https://docs.google.com/spreadsheets/d/1Lhp9OU0JdFf_VYSMzH5lBcEaU4o8teT1piV-SNzShjg/edit?gid=554141278#gid=554141278"", ""'Char Def. - Attributes'!C20:C2242""), 1,false)"),"VOLUME_OPT")</f>
        <v>VOLUME_OPT</v>
      </c>
      <c r="I3986" s="136"/>
    </row>
    <row r="3987" ht="15.75" customHeight="1">
      <c r="B3987" s="63">
        <f t="shared" si="1"/>
        <v>11</v>
      </c>
      <c r="C3987" s="146" t="s">
        <v>273</v>
      </c>
      <c r="D3987" s="147" t="s">
        <v>74</v>
      </c>
      <c r="E3987" s="135">
        <f t="shared" si="59"/>
        <v>34</v>
      </c>
      <c r="F3987" s="152" t="s">
        <v>3878</v>
      </c>
      <c r="G3987" s="63" t="str">
        <f>VLOOKUP(C3987, 'Class Def. - General Data'!$C$20:$C$1000,1,false)</f>
        <v>ZPM1_Duplex</v>
      </c>
      <c r="H3987" s="63" t="str">
        <f>IFERROR(__xludf.DUMMYFUNCTION("VLOOKUP(F3987, IMPORTRANGE(""https://docs.google.com/spreadsheets/d/1Lhp9OU0JdFf_VYSMzH5lBcEaU4o8teT1piV-SNzShjg/edit?gid=554141278#gid=554141278"", ""'Char Def. - Attributes'!C20:C2242""), 1,false)"),"VOLUME_UNIT")</f>
        <v>VOLUME_UNIT</v>
      </c>
      <c r="I3987" s="136"/>
    </row>
    <row r="3988" ht="15.75" customHeight="1">
      <c r="B3988" s="63">
        <f t="shared" si="1"/>
        <v>11</v>
      </c>
      <c r="C3988" s="146" t="s">
        <v>273</v>
      </c>
      <c r="D3988" s="147" t="s">
        <v>74</v>
      </c>
      <c r="E3988" s="135">
        <f t="shared" si="59"/>
        <v>35</v>
      </c>
      <c r="F3988" s="149" t="s">
        <v>3879</v>
      </c>
      <c r="G3988" s="63" t="str">
        <f>VLOOKUP(C3988, 'Class Def. - General Data'!$C$20:$C$1000,1,false)</f>
        <v>ZPM1_Duplex</v>
      </c>
      <c r="H3988" s="63" t="str">
        <f>IFERROR(__xludf.DUMMYFUNCTION("VLOOKUP(F3988, IMPORTRANGE(""https://docs.google.com/spreadsheets/d/1Lhp9OU0JdFf_VYSMzH5lBcEaU4o8teT1piV-SNzShjg/edit?gid=554141278#gid=554141278"", ""'Char Def. - Attributes'!C20:C2242""), 1,false)"),"OLD_MAT_NO_RMPM")</f>
        <v>OLD_MAT_NO_RMPM</v>
      </c>
      <c r="I3988" s="136"/>
    </row>
    <row r="3989" ht="15.75" customHeight="1">
      <c r="B3989" s="63">
        <f t="shared" si="1"/>
        <v>11</v>
      </c>
      <c r="C3989" s="146" t="s">
        <v>273</v>
      </c>
      <c r="D3989" s="147" t="s">
        <v>74</v>
      </c>
      <c r="E3989" s="135">
        <f t="shared" si="59"/>
        <v>36</v>
      </c>
      <c r="F3989" s="148" t="s">
        <v>3880</v>
      </c>
      <c r="G3989" s="63" t="str">
        <f>VLOOKUP(C3989, 'Class Def. - General Data'!$C$20:$C$1000,1,false)</f>
        <v>ZPM1_Duplex</v>
      </c>
      <c r="H3989" s="63" t="str">
        <f>IFERROR(__xludf.DUMMYFUNCTION("VLOOKUP(F3989, IMPORTRANGE(""https://docs.google.com/spreadsheets/d/1Lhp9OU0JdFf_VYSMzH5lBcEaU4o8teT1piV-SNzShjg/edit?gid=554141278#gid=554141278"", ""'Char Def. - Attributes'!C20:C2242""), 1,false)"),"NOTE_PM")</f>
        <v>NOTE_PM</v>
      </c>
      <c r="I3989" s="136"/>
    </row>
    <row r="3990" ht="15.75" customHeight="1">
      <c r="B3990" s="63">
        <f t="shared" si="1"/>
        <v>11</v>
      </c>
      <c r="C3990" s="146" t="s">
        <v>273</v>
      </c>
      <c r="D3990" s="147" t="s">
        <v>74</v>
      </c>
      <c r="E3990" s="135">
        <f t="shared" si="59"/>
        <v>37</v>
      </c>
      <c r="F3990" s="148" t="s">
        <v>3881</v>
      </c>
      <c r="G3990" s="63" t="str">
        <f>VLOOKUP(C3990, 'Class Def. - General Data'!$C$20:$C$1000,1,false)</f>
        <v>ZPM1_Duplex</v>
      </c>
      <c r="H3990" s="63" t="str">
        <f>IFERROR(__xludf.DUMMYFUNCTION("VLOOKUP(F3990, IMPORTRANGE(""https://docs.google.com/spreadsheets/d/1Lhp9OU0JdFf_VYSMzH5lBcEaU4o8teT1piV-SNzShjg/edit?gid=554141278#gid=554141278"", ""'Char Def. - Attributes'!C20:C2242""), 1,false)"),"BS_BERSIH")</f>
        <v>BS_BERSIH</v>
      </c>
      <c r="I3990" s="136"/>
    </row>
    <row r="3991" ht="15.75" customHeight="1">
      <c r="B3991" s="63">
        <f t="shared" si="1"/>
        <v>11</v>
      </c>
      <c r="C3991" s="146" t="s">
        <v>273</v>
      </c>
      <c r="D3991" s="147" t="s">
        <v>74</v>
      </c>
      <c r="E3991" s="135">
        <f t="shared" si="59"/>
        <v>38</v>
      </c>
      <c r="F3991" s="148" t="s">
        <v>3882</v>
      </c>
      <c r="G3991" s="63" t="str">
        <f>VLOOKUP(C3991, 'Class Def. - General Data'!$C$20:$C$1000,1,false)</f>
        <v>ZPM1_Duplex</v>
      </c>
      <c r="H3991" s="63" t="str">
        <f>IFERROR(__xludf.DUMMYFUNCTION("VLOOKUP(F3991, IMPORTRANGE(""https://docs.google.com/spreadsheets/d/1Lhp9OU0JdFf_VYSMzH5lBcEaU4o8teT1piV-SNzShjg/edit?gid=554141278#gid=554141278"", ""'Char Def. - Attributes'!C20:C2242""), 1,false)"),"BS_KOTOR")</f>
        <v>BS_KOTOR</v>
      </c>
      <c r="I3991" s="136"/>
    </row>
    <row r="3992" ht="15.75" customHeight="1">
      <c r="B3992" s="63">
        <f t="shared" si="1"/>
        <v>11</v>
      </c>
      <c r="C3992" s="146" t="s">
        <v>273</v>
      </c>
      <c r="D3992" s="147" t="s">
        <v>74</v>
      </c>
      <c r="E3992" s="135">
        <f t="shared" si="59"/>
        <v>39</v>
      </c>
      <c r="F3992" s="148" t="s">
        <v>3883</v>
      </c>
      <c r="G3992" s="63" t="str">
        <f>VLOOKUP(C3992, 'Class Def. - General Data'!$C$20:$C$1000,1,false)</f>
        <v>ZPM1_Duplex</v>
      </c>
      <c r="H3992" s="63" t="str">
        <f>IFERROR(__xludf.DUMMYFUNCTION("VLOOKUP(F3992, IMPORTRANGE(""https://docs.google.com/spreadsheets/d/1Lhp9OU0JdFf_VYSMzH5lBcEaU4o8teT1piV-SNzShjg/edit?gid=554141278#gid=554141278"", ""'Char Def. - Attributes'!C20:C2242""), 1,false)"),"BS_SCRAP")</f>
        <v>BS_SCRAP</v>
      </c>
      <c r="I3992" s="136"/>
    </row>
    <row r="3993" ht="15.75" customHeight="1">
      <c r="B3993" s="63">
        <f t="shared" si="1"/>
        <v>14</v>
      </c>
      <c r="C3993" s="146" t="s">
        <v>275</v>
      </c>
      <c r="D3993" s="147" t="s">
        <v>74</v>
      </c>
      <c r="E3993" s="135">
        <f t="shared" si="59"/>
        <v>1</v>
      </c>
      <c r="F3993" s="134" t="s">
        <v>3931</v>
      </c>
      <c r="G3993" s="63" t="str">
        <f>VLOOKUP(C3993, 'Class Def. - General Data'!$C$20:$C$1000,1,false)</f>
        <v>ZPM1_ETK_INBOX</v>
      </c>
      <c r="H3993" s="63" t="str">
        <f>IFERROR(__xludf.DUMMYFUNCTION("VLOOKUP(F3993, IMPORTRANGE(""https://docs.google.com/spreadsheets/d/1Lhp9OU0JdFf_VYSMzH5lBcEaU4o8teT1piV-SNzShjg/edit?gid=554141278#gid=554141278"", ""'Char Def. - Attributes'!C20:C2242""), 1,false)"),"MATERIAL_CODE_ETK_INBOX")</f>
        <v>MATERIAL_CODE_ETK_INBOX</v>
      </c>
      <c r="I3993" s="136"/>
    </row>
    <row r="3994" ht="15.75" customHeight="1">
      <c r="B3994" s="63">
        <f t="shared" si="1"/>
        <v>14</v>
      </c>
      <c r="C3994" s="146" t="s">
        <v>275</v>
      </c>
      <c r="D3994" s="147" t="s">
        <v>74</v>
      </c>
      <c r="E3994" s="135">
        <f t="shared" si="59"/>
        <v>2</v>
      </c>
      <c r="F3994" s="134" t="s">
        <v>3852</v>
      </c>
      <c r="G3994" s="63" t="str">
        <f>VLOOKUP(C3994, 'Class Def. - General Data'!$C$20:$C$1000,1,false)</f>
        <v>ZPM1_ETK_INBOX</v>
      </c>
      <c r="H3994" s="63" t="str">
        <f>IFERROR(__xludf.DUMMYFUNCTION("VLOOKUP(F3994, IMPORTRANGE(""https://docs.google.com/spreadsheets/d/1Lhp9OU0JdFf_VYSMzH5lBcEaU4o8teT1piV-SNzShjg/edit?gid=554141278#gid=554141278"", ""'Char Def. - Attributes'!C20:C2242""), 1,false)"),"SINGLE_BRAND")</f>
        <v>SINGLE_BRAND</v>
      </c>
      <c r="I3994" s="136"/>
    </row>
    <row r="3995" ht="15.75" customHeight="1">
      <c r="B3995" s="63">
        <f t="shared" si="1"/>
        <v>14</v>
      </c>
      <c r="C3995" s="146" t="s">
        <v>275</v>
      </c>
      <c r="D3995" s="147" t="s">
        <v>74</v>
      </c>
      <c r="E3995" s="135">
        <f t="shared" si="59"/>
        <v>3</v>
      </c>
      <c r="F3995" s="134" t="s">
        <v>3853</v>
      </c>
      <c r="G3995" s="63" t="str">
        <f>VLOOKUP(C3995, 'Class Def. - General Data'!$C$20:$C$1000,1,false)</f>
        <v>ZPM1_ETK_INBOX</v>
      </c>
      <c r="H3995" s="63" t="str">
        <f>IFERROR(__xludf.DUMMYFUNCTION("VLOOKUP(F3995, IMPORTRANGE(""https://docs.google.com/spreadsheets/d/1Lhp9OU0JdFf_VYSMzH5lBcEaU4o8teT1piV-SNzShjg/edit?gid=554141278#gid=554141278"", ""'Char Def. - Attributes'!C20:C2242""), 1,false)"),"BRAND_WINGS")</f>
        <v>BRAND_WINGS</v>
      </c>
      <c r="I3995" s="136"/>
    </row>
    <row r="3996" ht="15.75" customHeight="1">
      <c r="B3996" s="63">
        <f t="shared" si="1"/>
        <v>14</v>
      </c>
      <c r="C3996" s="146" t="s">
        <v>275</v>
      </c>
      <c r="D3996" s="147" t="s">
        <v>74</v>
      </c>
      <c r="E3996" s="135">
        <f t="shared" si="59"/>
        <v>4</v>
      </c>
      <c r="F3996" s="134" t="s">
        <v>3854</v>
      </c>
      <c r="G3996" s="63" t="str">
        <f>VLOOKUP(C3996, 'Class Def. - General Data'!$C$20:$C$1000,1,false)</f>
        <v>ZPM1_ETK_INBOX</v>
      </c>
      <c r="H3996" s="63" t="str">
        <f>IFERROR(__xludf.DUMMYFUNCTION("VLOOKUP(F3996, IMPORTRANGE(""https://docs.google.com/spreadsheets/d/1Lhp9OU0JdFf_VYSMzH5lBcEaU4o8teT1piV-SNzShjg/edit?gid=554141278#gid=554141278"", ""'Char Def. - Attributes'!C20:C2242""), 1,false)"),"SINGLE_PACK_SHAPE")</f>
        <v>SINGLE_PACK_SHAPE</v>
      </c>
      <c r="I3996" s="136"/>
    </row>
    <row r="3997" ht="15.75" customHeight="1">
      <c r="B3997" s="63">
        <f t="shared" si="1"/>
        <v>14</v>
      </c>
      <c r="C3997" s="146" t="s">
        <v>275</v>
      </c>
      <c r="D3997" s="147" t="s">
        <v>74</v>
      </c>
      <c r="E3997" s="135">
        <f t="shared" si="59"/>
        <v>5</v>
      </c>
      <c r="F3997" s="134" t="s">
        <v>3855</v>
      </c>
      <c r="G3997" s="63" t="str">
        <f>VLOOKUP(C3997, 'Class Def. - General Data'!$C$20:$C$1000,1,false)</f>
        <v>ZPM1_ETK_INBOX</v>
      </c>
      <c r="H3997" s="63" t="str">
        <f>IFERROR(__xludf.DUMMYFUNCTION("VLOOKUP(F3997, IMPORTRANGE(""https://docs.google.com/spreadsheets/d/1Lhp9OU0JdFf_VYSMzH5lBcEaU4o8teT1piV-SNzShjg/edit?gid=554141278#gid=554141278"", ""'Char Def. - Attributes'!C20:C2242""), 1,false)"),"PACK_SHAPE")</f>
        <v>PACK_SHAPE</v>
      </c>
      <c r="I3997" s="136"/>
    </row>
    <row r="3998" ht="15.75" customHeight="1">
      <c r="B3998" s="63">
        <f t="shared" si="1"/>
        <v>14</v>
      </c>
      <c r="C3998" s="146" t="s">
        <v>275</v>
      </c>
      <c r="D3998" s="147" t="s">
        <v>74</v>
      </c>
      <c r="E3998" s="135">
        <f t="shared" si="59"/>
        <v>6</v>
      </c>
      <c r="F3998" s="134" t="s">
        <v>3856</v>
      </c>
      <c r="G3998" s="63" t="str">
        <f>VLOOKUP(C3998, 'Class Def. - General Data'!$C$20:$C$1000,1,false)</f>
        <v>ZPM1_ETK_INBOX</v>
      </c>
      <c r="H3998" s="63" t="str">
        <f>IFERROR(__xludf.DUMMYFUNCTION("VLOOKUP(F3998, IMPORTRANGE(""https://docs.google.com/spreadsheets/d/1Lhp9OU0JdFf_VYSMzH5lBcEaU4o8teT1piV-SNzShjg/edit?gid=554141278#gid=554141278"", ""'Char Def. - Attributes'!C20:C2242""), 1,false)"),"SINGLE_PACK_NETTO")</f>
        <v>SINGLE_PACK_NETTO</v>
      </c>
      <c r="I3998" s="136"/>
    </row>
    <row r="3999" ht="15.75" customHeight="1">
      <c r="B3999" s="63">
        <f t="shared" si="1"/>
        <v>14</v>
      </c>
      <c r="C3999" s="146" t="s">
        <v>275</v>
      </c>
      <c r="D3999" s="147" t="s">
        <v>74</v>
      </c>
      <c r="E3999" s="135">
        <f t="shared" si="59"/>
        <v>7</v>
      </c>
      <c r="F3999" s="134" t="s">
        <v>3605</v>
      </c>
      <c r="G3999" s="63" t="str">
        <f>VLOOKUP(C3999, 'Class Def. - General Data'!$C$20:$C$1000,1,false)</f>
        <v>ZPM1_ETK_INBOX</v>
      </c>
      <c r="H3999" s="63" t="str">
        <f>IFERROR(__xludf.DUMMYFUNCTION("VLOOKUP(F3999, IMPORTRANGE(""https://docs.google.com/spreadsheets/d/1Lhp9OU0JdFf_VYSMzH5lBcEaU4o8teT1piV-SNzShjg/edit?gid=554141278#gid=554141278"", ""'Char Def. - Attributes'!C20:C2242""), 1,false)"),"PACK_NETTO")</f>
        <v>PACK_NETTO</v>
      </c>
      <c r="I3999" s="136"/>
    </row>
    <row r="4000" ht="15.75" customHeight="1">
      <c r="B4000" s="63">
        <f t="shared" si="1"/>
        <v>14</v>
      </c>
      <c r="C4000" s="146" t="s">
        <v>275</v>
      </c>
      <c r="D4000" s="147" t="s">
        <v>74</v>
      </c>
      <c r="E4000" s="135">
        <f t="shared" si="59"/>
        <v>8</v>
      </c>
      <c r="F4000" s="134" t="s">
        <v>3857</v>
      </c>
      <c r="G4000" s="63" t="str">
        <f>VLOOKUP(C4000, 'Class Def. - General Data'!$C$20:$C$1000,1,false)</f>
        <v>ZPM1_ETK_INBOX</v>
      </c>
      <c r="H4000" s="63" t="str">
        <f>IFERROR(__xludf.DUMMYFUNCTION("VLOOKUP(F4000, IMPORTRANGE(""https://docs.google.com/spreadsheets/d/1Lhp9OU0JdFf_VYSMzH5lBcEaU4o8teT1piV-SNzShjg/edit?gid=554141278#gid=554141278"", ""'Char Def. - Attributes'!C20:C2242""), 1,false)"),"PACK_UOM")</f>
        <v>PACK_UOM</v>
      </c>
      <c r="I4000" s="136"/>
    </row>
    <row r="4001" ht="15.75" customHeight="1">
      <c r="B4001" s="63">
        <f t="shared" si="1"/>
        <v>14</v>
      </c>
      <c r="C4001" s="146" t="s">
        <v>275</v>
      </c>
      <c r="D4001" s="147" t="s">
        <v>74</v>
      </c>
      <c r="E4001" s="135">
        <f t="shared" si="59"/>
        <v>9</v>
      </c>
      <c r="F4001" s="134" t="s">
        <v>3858</v>
      </c>
      <c r="G4001" s="63" t="str">
        <f>VLOOKUP(C4001, 'Class Def. - General Data'!$C$20:$C$1000,1,false)</f>
        <v>ZPM1_ETK_INBOX</v>
      </c>
      <c r="H4001" s="63" t="str">
        <f>IFERROR(__xludf.DUMMYFUNCTION("VLOOKUP(F4001, IMPORTRANGE(""https://docs.google.com/spreadsheets/d/1Lhp9OU0JdFf_VYSMzH5lBcEaU4o8teT1piV-SNzShjg/edit?gid=554141278#gid=554141278"", ""'Char Def. - Attributes'!C20:C2242""), 1,false)"),"SINGLE_VARIAN")</f>
        <v>SINGLE_VARIAN</v>
      </c>
      <c r="I4001" s="136"/>
    </row>
    <row r="4002" ht="15.75" customHeight="1">
      <c r="B4002" s="63">
        <f t="shared" si="1"/>
        <v>14</v>
      </c>
      <c r="C4002" s="146" t="s">
        <v>275</v>
      </c>
      <c r="D4002" s="147" t="s">
        <v>74</v>
      </c>
      <c r="E4002" s="135">
        <f t="shared" si="59"/>
        <v>10</v>
      </c>
      <c r="F4002" s="134" t="s">
        <v>3607</v>
      </c>
      <c r="G4002" s="63" t="str">
        <f>VLOOKUP(C4002, 'Class Def. - General Data'!$C$20:$C$1000,1,false)</f>
        <v>ZPM1_ETK_INBOX</v>
      </c>
      <c r="H4002" s="63" t="str">
        <f>IFERROR(__xludf.DUMMYFUNCTION("VLOOKUP(F4002, IMPORTRANGE(""https://docs.google.com/spreadsheets/d/1Lhp9OU0JdFf_VYSMzH5lBcEaU4o8teT1piV-SNzShjg/edit?gid=554141278#gid=554141278"", ""'Char Def. - Attributes'!C20:C2242""), 1,false)"),"VARIAN")</f>
        <v>VARIAN</v>
      </c>
      <c r="I4002" s="136"/>
    </row>
    <row r="4003" ht="15.75" customHeight="1">
      <c r="B4003" s="63">
        <f t="shared" si="1"/>
        <v>14</v>
      </c>
      <c r="C4003" s="146" t="s">
        <v>275</v>
      </c>
      <c r="D4003" s="147" t="s">
        <v>74</v>
      </c>
      <c r="E4003" s="135">
        <f t="shared" si="59"/>
        <v>11</v>
      </c>
      <c r="F4003" s="134" t="s">
        <v>3859</v>
      </c>
      <c r="G4003" s="63" t="str">
        <f>VLOOKUP(C4003, 'Class Def. - General Data'!$C$20:$C$1000,1,false)</f>
        <v>ZPM1_ETK_INBOX</v>
      </c>
      <c r="H4003" s="63" t="str">
        <f>IFERROR(__xludf.DUMMYFUNCTION("VLOOKUP(F4003, IMPORTRANGE(""https://docs.google.com/spreadsheets/d/1Lhp9OU0JdFf_VYSMzH5lBcEaU4o8teT1piV-SNzShjg/edit?gid=554141278#gid=554141278"", ""'Char Def. - Attributes'!C20:C2242""), 1,false)"),"ADA_ADDITIONAL_PROMO")</f>
        <v>ADA_ADDITIONAL_PROMO</v>
      </c>
      <c r="I4003" s="136"/>
    </row>
    <row r="4004" ht="15.75" customHeight="1">
      <c r="B4004" s="63">
        <f t="shared" si="1"/>
        <v>14</v>
      </c>
      <c r="C4004" s="146" t="s">
        <v>275</v>
      </c>
      <c r="D4004" s="147" t="s">
        <v>74</v>
      </c>
      <c r="E4004" s="135">
        <f t="shared" si="59"/>
        <v>12</v>
      </c>
      <c r="F4004" s="134" t="s">
        <v>3609</v>
      </c>
      <c r="G4004" s="63" t="str">
        <f>VLOOKUP(C4004, 'Class Def. - General Data'!$C$20:$C$1000,1,false)</f>
        <v>ZPM1_ETK_INBOX</v>
      </c>
      <c r="H4004" s="63" t="str">
        <f>IFERROR(__xludf.DUMMYFUNCTION("VLOOKUP(F4004, IMPORTRANGE(""https://docs.google.com/spreadsheets/d/1Lhp9OU0JdFf_VYSMzH5lBcEaU4o8teT1piV-SNzShjg/edit?gid=554141278#gid=554141278"", ""'Char Def. - Attributes'!C20:C2242""), 1,false)"),"ADDITIONAL_PROMO")</f>
        <v>ADDITIONAL_PROMO</v>
      </c>
      <c r="I4004" s="136"/>
    </row>
    <row r="4005" ht="15.75" customHeight="1">
      <c r="B4005" s="63">
        <f t="shared" si="1"/>
        <v>14</v>
      </c>
      <c r="C4005" s="146" t="s">
        <v>275</v>
      </c>
      <c r="D4005" s="147" t="s">
        <v>74</v>
      </c>
      <c r="E4005" s="135">
        <f t="shared" si="59"/>
        <v>13</v>
      </c>
      <c r="F4005" s="134" t="s">
        <v>3860</v>
      </c>
      <c r="G4005" s="63" t="str">
        <f>VLOOKUP(C4005, 'Class Def. - General Data'!$C$20:$C$1000,1,false)</f>
        <v>ZPM1_ETK_INBOX</v>
      </c>
      <c r="H4005" s="63" t="str">
        <f>IFERROR(__xludf.DUMMYFUNCTION("VLOOKUP(F4005, IMPORTRANGE(""https://docs.google.com/spreadsheets/d/1Lhp9OU0JdFf_VYSMzH5lBcEaU4o8teT1piV-SNzShjg/edit?gid=554141278#gid=554141278"", ""'Char Def. - Attributes'!C20:C2242""), 1,false)"),"ADA_BANDED_PROMO")</f>
        <v>ADA_BANDED_PROMO</v>
      </c>
      <c r="I4005" s="136"/>
    </row>
    <row r="4006" ht="15.75" customHeight="1">
      <c r="B4006" s="63">
        <f t="shared" si="1"/>
        <v>14</v>
      </c>
      <c r="C4006" s="146" t="s">
        <v>275</v>
      </c>
      <c r="D4006" s="147" t="s">
        <v>74</v>
      </c>
      <c r="E4006" s="135">
        <f t="shared" si="59"/>
        <v>14</v>
      </c>
      <c r="F4006" s="134" t="s">
        <v>3610</v>
      </c>
      <c r="G4006" s="63" t="str">
        <f>VLOOKUP(C4006, 'Class Def. - General Data'!$C$20:$C$1000,1,false)</f>
        <v>ZPM1_ETK_INBOX</v>
      </c>
      <c r="H4006" s="63" t="str">
        <f>IFERROR(__xludf.DUMMYFUNCTION("VLOOKUP(F4006, IMPORTRANGE(""https://docs.google.com/spreadsheets/d/1Lhp9OU0JdFf_VYSMzH5lBcEaU4o8teT1piV-SNzShjg/edit?gid=554141278#gid=554141278"", ""'Char Def. - Attributes'!C20:C2242""), 1,false)"),"BANDED_PROMO")</f>
        <v>BANDED_PROMO</v>
      </c>
      <c r="I4006" s="136"/>
    </row>
    <row r="4007" ht="15.75" customHeight="1">
      <c r="B4007" s="63">
        <f t="shared" si="1"/>
        <v>14</v>
      </c>
      <c r="C4007" s="146" t="s">
        <v>275</v>
      </c>
      <c r="D4007" s="147" t="s">
        <v>74</v>
      </c>
      <c r="E4007" s="135">
        <f t="shared" si="59"/>
        <v>15</v>
      </c>
      <c r="F4007" s="134" t="s">
        <v>1292</v>
      </c>
      <c r="G4007" s="63" t="str">
        <f>VLOOKUP(C4007, 'Class Def. - General Data'!$C$20:$C$1000,1,false)</f>
        <v>ZPM1_ETK_INBOX</v>
      </c>
      <c r="H4007" s="63" t="str">
        <f>IFERROR(__xludf.DUMMYFUNCTION("VLOOKUP(F4007, IMPORTRANGE(""https://docs.google.com/spreadsheets/d/1Lhp9OU0JdFf_VYSMzH5lBcEaU4o8teT1piV-SNzShjg/edit?gid=554141278#gid=554141278"", ""'Char Def. - Attributes'!C20:C2242""), 1,false)"),"EXPORT")</f>
        <v>EXPORT</v>
      </c>
      <c r="I4007" s="136"/>
    </row>
    <row r="4008" ht="15.75" customHeight="1">
      <c r="B4008" s="63">
        <f t="shared" si="1"/>
        <v>14</v>
      </c>
      <c r="C4008" s="146" t="s">
        <v>275</v>
      </c>
      <c r="D4008" s="147" t="s">
        <v>74</v>
      </c>
      <c r="E4008" s="135">
        <f t="shared" si="59"/>
        <v>16</v>
      </c>
      <c r="F4008" s="134" t="s">
        <v>3612</v>
      </c>
      <c r="G4008" s="63" t="str">
        <f>VLOOKUP(C4008, 'Class Def. - General Data'!$C$20:$C$1000,1,false)</f>
        <v>ZPM1_ETK_INBOX</v>
      </c>
      <c r="H4008" s="63" t="str">
        <f>IFERROR(__xludf.DUMMYFUNCTION("VLOOKUP(F4008, IMPORTRANGE(""https://docs.google.com/spreadsheets/d/1Lhp9OU0JdFf_VYSMzH5lBcEaU4o8teT1piV-SNzShjg/edit?gid=554141278#gid=554141278"", ""'Char Def. - Attributes'!C20:C2242""), 1,false)"),"COUNTRY_EKSPOR")</f>
        <v>COUNTRY_EKSPOR</v>
      </c>
      <c r="I4008" s="136"/>
    </row>
    <row r="4009" ht="15.75" customHeight="1">
      <c r="B4009" s="63">
        <f t="shared" si="1"/>
        <v>14</v>
      </c>
      <c r="C4009" s="146" t="s">
        <v>275</v>
      </c>
      <c r="D4009" s="147" t="s">
        <v>74</v>
      </c>
      <c r="E4009" s="135">
        <f t="shared" si="59"/>
        <v>17</v>
      </c>
      <c r="F4009" s="134" t="s">
        <v>3861</v>
      </c>
      <c r="G4009" s="63" t="str">
        <f>VLOOKUP(C4009, 'Class Def. - General Data'!$C$20:$C$1000,1,false)</f>
        <v>ZPM1_ETK_INBOX</v>
      </c>
      <c r="H4009" s="63" t="str">
        <f>IFERROR(__xludf.DUMMYFUNCTION("VLOOKUP(F4009, IMPORTRANGE(""https://docs.google.com/spreadsheets/d/1Lhp9OU0JdFf_VYSMzH5lBcEaU4o8teT1piV-SNzShjg/edit?gid=554141278#gid=554141278"", ""'Char Def. - Attributes'!C20:C2242""), 1,false)"),"PEMBATAS")</f>
        <v>PEMBATAS</v>
      </c>
      <c r="I4009" s="136"/>
    </row>
    <row r="4010" ht="15.75" customHeight="1">
      <c r="B4010" s="63">
        <f t="shared" si="1"/>
        <v>14</v>
      </c>
      <c r="C4010" s="146" t="s">
        <v>275</v>
      </c>
      <c r="D4010" s="147" t="s">
        <v>74</v>
      </c>
      <c r="E4010" s="135">
        <f t="shared" si="59"/>
        <v>18</v>
      </c>
      <c r="F4010" s="134" t="s">
        <v>3888</v>
      </c>
      <c r="G4010" s="63" t="str">
        <f>VLOOKUP(C4010, 'Class Def. - General Data'!$C$20:$C$1000,1,false)</f>
        <v>ZPM1_ETK_INBOX</v>
      </c>
      <c r="H4010" s="63" t="str">
        <f>IFERROR(__xludf.DUMMYFUNCTION("VLOOKUP(F4010, IMPORTRANGE(""https://docs.google.com/spreadsheets/d/1Lhp9OU0JdFf_VYSMzH5lBcEaU4o8teT1piV-SNzShjg/edit?gid=554141278#gid=554141278"", ""'Char Def. - Attributes'!C20:C2242""), 1,false)"),"PACK_CODE_OPT")</f>
        <v>PACK_CODE_OPT</v>
      </c>
      <c r="I4010" s="136"/>
    </row>
    <row r="4011" ht="15.75" customHeight="1">
      <c r="B4011" s="63">
        <f t="shared" si="1"/>
        <v>14</v>
      </c>
      <c r="C4011" s="146" t="s">
        <v>275</v>
      </c>
      <c r="D4011" s="147" t="s">
        <v>74</v>
      </c>
      <c r="E4011" s="135">
        <f t="shared" si="59"/>
        <v>19</v>
      </c>
      <c r="F4011" s="134" t="s">
        <v>3889</v>
      </c>
      <c r="G4011" s="63" t="str">
        <f>VLOOKUP(C4011, 'Class Def. - General Data'!$C$20:$C$1000,1,false)</f>
        <v>ZPM1_ETK_INBOX</v>
      </c>
      <c r="H4011" s="63" t="str">
        <f>IFERROR(__xludf.DUMMYFUNCTION("VLOOKUP(F4011, IMPORTRANGE(""https://docs.google.com/spreadsheets/d/1Lhp9OU0JdFf_VYSMzH5lBcEaU4o8teT1piV-SNzShjg/edit?gid=554141278#gid=554141278"", ""'Char Def. - Attributes'!C20:C2242""), 1,false)"),"PACK_CONTENT_AMOUNT_4")</f>
        <v>PACK_CONTENT_AMOUNT_4</v>
      </c>
      <c r="I4011" s="136"/>
    </row>
    <row r="4012" ht="15.75" customHeight="1">
      <c r="B4012" s="63">
        <f t="shared" si="1"/>
        <v>14</v>
      </c>
      <c r="C4012" s="146" t="s">
        <v>275</v>
      </c>
      <c r="D4012" s="147" t="s">
        <v>74</v>
      </c>
      <c r="E4012" s="135">
        <f t="shared" si="59"/>
        <v>20</v>
      </c>
      <c r="F4012" s="134" t="s">
        <v>3862</v>
      </c>
      <c r="G4012" s="63" t="str">
        <f>VLOOKUP(C4012, 'Class Def. - General Data'!$C$20:$C$1000,1,false)</f>
        <v>ZPM1_ETK_INBOX</v>
      </c>
      <c r="H4012" s="63" t="str">
        <f>IFERROR(__xludf.DUMMYFUNCTION("VLOOKUP(F4012, IMPORTRANGE(""https://docs.google.com/spreadsheets/d/1Lhp9OU0JdFf_VYSMzH5lBcEaU4o8teT1piV-SNzShjg/edit?gid=554141278#gid=554141278"", ""'Char Def. - Attributes'!C20:C2242""), 1,false)"),"MONTH")</f>
        <v>MONTH</v>
      </c>
      <c r="I4012" s="136"/>
    </row>
    <row r="4013" ht="15.75" customHeight="1">
      <c r="B4013" s="63">
        <f t="shared" si="1"/>
        <v>14</v>
      </c>
      <c r="C4013" s="146" t="s">
        <v>275</v>
      </c>
      <c r="D4013" s="147" t="s">
        <v>74</v>
      </c>
      <c r="E4013" s="135">
        <f t="shared" si="59"/>
        <v>21</v>
      </c>
      <c r="F4013" s="134" t="s">
        <v>3863</v>
      </c>
      <c r="G4013" s="63" t="str">
        <f>VLOOKUP(C4013, 'Class Def. - General Data'!$C$20:$C$1000,1,false)</f>
        <v>ZPM1_ETK_INBOX</v>
      </c>
      <c r="H4013" s="63" t="str">
        <f>IFERROR(__xludf.DUMMYFUNCTION("VLOOKUP(F4013, IMPORTRANGE(""https://docs.google.com/spreadsheets/d/1Lhp9OU0JdFf_VYSMzH5lBcEaU4o8teT1piV-SNzShjg/edit?gid=554141278#gid=554141278"", ""'Char Def. - Attributes'!C20:C2242""), 1,false)"),"YEAR")</f>
        <v>YEAR</v>
      </c>
      <c r="I4013" s="136"/>
    </row>
    <row r="4014" ht="15.75" customHeight="1">
      <c r="B4014" s="63">
        <f t="shared" si="1"/>
        <v>14</v>
      </c>
      <c r="C4014" s="146" t="s">
        <v>275</v>
      </c>
      <c r="D4014" s="147" t="s">
        <v>74</v>
      </c>
      <c r="E4014" s="135">
        <f t="shared" si="59"/>
        <v>22</v>
      </c>
      <c r="F4014" s="134" t="s">
        <v>3890</v>
      </c>
      <c r="G4014" s="63" t="str">
        <f>VLOOKUP(C4014, 'Class Def. - General Data'!$C$20:$C$1000,1,false)</f>
        <v>ZPM1_ETK_INBOX</v>
      </c>
      <c r="H4014" s="63" t="str">
        <f>IFERROR(__xludf.DUMMYFUNCTION("VLOOKUP(F4014, IMPORTRANGE(""https://docs.google.com/spreadsheets/d/1Lhp9OU0JdFf_VYSMzH5lBcEaU4o8teT1piV-SNzShjg/edit?gid=554141278#gid=554141278"", ""'Char Def. - Attributes'!C20:C2242""), 1,false)"),"EXT_MAT_GRP")</f>
        <v>EXT_MAT_GRP</v>
      </c>
      <c r="I4014" s="136"/>
    </row>
    <row r="4015" ht="15.75" customHeight="1">
      <c r="B4015" s="63">
        <f t="shared" si="1"/>
        <v>14</v>
      </c>
      <c r="C4015" s="146" t="s">
        <v>275</v>
      </c>
      <c r="D4015" s="147" t="s">
        <v>74</v>
      </c>
      <c r="E4015" s="135">
        <f t="shared" si="59"/>
        <v>23</v>
      </c>
      <c r="F4015" s="134" t="s">
        <v>3587</v>
      </c>
      <c r="G4015" s="63" t="str">
        <f>VLOOKUP(C4015, 'Class Def. - General Data'!$C$20:$C$1000,1,false)</f>
        <v>ZPM1_ETK_INBOX</v>
      </c>
      <c r="H4015" s="63" t="str">
        <f>IFERROR(__xludf.DUMMYFUNCTION("VLOOKUP(F4015, IMPORTRANGE(""https://docs.google.com/spreadsheets/d/1Lhp9OU0JdFf_VYSMzH5lBcEaU4o8teT1piV-SNzShjg/edit?gid=554141278#gid=554141278"", ""'Char Def. - Attributes'!C20:C2242""), 1,false)"),"PLANT_BUY")</f>
        <v>PLANT_BUY</v>
      </c>
      <c r="I4015" s="136"/>
    </row>
    <row r="4016" ht="15.75" customHeight="1">
      <c r="B4016" s="63">
        <f t="shared" si="1"/>
        <v>14</v>
      </c>
      <c r="C4016" s="146" t="s">
        <v>275</v>
      </c>
      <c r="D4016" s="147" t="s">
        <v>74</v>
      </c>
      <c r="E4016" s="135">
        <f t="shared" si="59"/>
        <v>24</v>
      </c>
      <c r="F4016" s="134" t="s">
        <v>3865</v>
      </c>
      <c r="G4016" s="63" t="str">
        <f>VLOOKUP(C4016, 'Class Def. - General Data'!$C$20:$C$1000,1,false)</f>
        <v>ZPM1_ETK_INBOX</v>
      </c>
      <c r="H4016" s="63" t="str">
        <f>IFERROR(__xludf.DUMMYFUNCTION("VLOOKUP(F4016, IMPORTRANGE(""https://docs.google.com/spreadsheets/d/1Lhp9OU0JdFf_VYSMzH5lBcEaU4o8teT1piV-SNzShjg/edit?gid=554141278#gid=554141278"", ""'Char Def. - Attributes'!C20:C2242""), 1,false)"),"PLANT_PROD_OPT")</f>
        <v>PLANT_PROD_OPT</v>
      </c>
      <c r="I4016" s="136"/>
    </row>
    <row r="4017" ht="15.75" customHeight="1">
      <c r="B4017" s="63">
        <f t="shared" si="1"/>
        <v>14</v>
      </c>
      <c r="C4017" s="146" t="s">
        <v>275</v>
      </c>
      <c r="D4017" s="147" t="s">
        <v>74</v>
      </c>
      <c r="E4017" s="135">
        <f t="shared" si="59"/>
        <v>25</v>
      </c>
      <c r="F4017" s="134" t="s">
        <v>3866</v>
      </c>
      <c r="G4017" s="63" t="str">
        <f>VLOOKUP(C4017, 'Class Def. - General Data'!$C$20:$C$1000,1,false)</f>
        <v>ZPM1_ETK_INBOX</v>
      </c>
      <c r="H4017" s="63" t="str">
        <f>IFERROR(__xludf.DUMMYFUNCTION("VLOOKUP(F4017, IMPORTRANGE(""https://docs.google.com/spreadsheets/d/1Lhp9OU0JdFf_VYSMzH5lBcEaU4o8teT1piV-SNzShjg/edit?gid=554141278#gid=554141278"", ""'Char Def. - Attributes'!C20:C2242""), 1,false)"),"PM_SUPPLY_JKT")</f>
        <v>PM_SUPPLY_JKT</v>
      </c>
      <c r="I4017" s="136"/>
    </row>
    <row r="4018" ht="15.75" customHeight="1">
      <c r="B4018" s="63">
        <f t="shared" si="1"/>
        <v>14</v>
      </c>
      <c r="C4018" s="146" t="s">
        <v>275</v>
      </c>
      <c r="D4018" s="147" t="s">
        <v>74</v>
      </c>
      <c r="E4018" s="135">
        <f t="shared" si="59"/>
        <v>26</v>
      </c>
      <c r="F4018" s="134" t="s">
        <v>3867</v>
      </c>
      <c r="G4018" s="63" t="str">
        <f>VLOOKUP(C4018, 'Class Def. - General Data'!$C$20:$C$1000,1,false)</f>
        <v>ZPM1_ETK_INBOX</v>
      </c>
      <c r="H4018" s="63" t="str">
        <f>IFERROR(__xludf.DUMMYFUNCTION("VLOOKUP(F4018, IMPORTRANGE(""https://docs.google.com/spreadsheets/d/1Lhp9OU0JdFf_VYSMzH5lBcEaU4o8teT1piV-SNzShjg/edit?gid=554141278#gid=554141278"", ""'Char Def. - Attributes'!C20:C2242""), 1,false)"),"PM_SUPPLY_SBY")</f>
        <v>PM_SUPPLY_SBY</v>
      </c>
      <c r="I4018" s="136"/>
    </row>
    <row r="4019" ht="15.75" customHeight="1">
      <c r="B4019" s="63">
        <f t="shared" si="1"/>
        <v>14</v>
      </c>
      <c r="C4019" s="146" t="s">
        <v>275</v>
      </c>
      <c r="D4019" s="147" t="s">
        <v>74</v>
      </c>
      <c r="E4019" s="135">
        <f t="shared" si="59"/>
        <v>27</v>
      </c>
      <c r="F4019" s="134" t="s">
        <v>3868</v>
      </c>
      <c r="G4019" s="63" t="str">
        <f>VLOOKUP(C4019, 'Class Def. - General Data'!$C$20:$C$1000,1,false)</f>
        <v>ZPM1_ETK_INBOX</v>
      </c>
      <c r="H4019" s="63" t="str">
        <f>IFERROR(__xludf.DUMMYFUNCTION("VLOOKUP(F4019, IMPORTRANGE(""https://docs.google.com/spreadsheets/d/1Lhp9OU0JdFf_VYSMzH5lBcEaU4o8teT1piV-SNzShjg/edit?gid=554141278#gid=554141278"", ""'Char Def. - Attributes'!C20:C2242""), 1,false)"),"BASIC_UOM_RMPM")</f>
        <v>BASIC_UOM_RMPM</v>
      </c>
      <c r="I4019" s="136"/>
    </row>
    <row r="4020" ht="15.75" customHeight="1">
      <c r="B4020" s="63">
        <f t="shared" si="1"/>
        <v>14</v>
      </c>
      <c r="C4020" s="146" t="s">
        <v>275</v>
      </c>
      <c r="D4020" s="147" t="s">
        <v>74</v>
      </c>
      <c r="E4020" s="135">
        <f t="shared" si="59"/>
        <v>28</v>
      </c>
      <c r="F4020" s="134" t="s">
        <v>3869</v>
      </c>
      <c r="G4020" s="63" t="str">
        <f>VLOOKUP(C4020, 'Class Def. - General Data'!$C$20:$C$1000,1,false)</f>
        <v>ZPM1_ETK_INBOX</v>
      </c>
      <c r="H4020" s="63" t="str">
        <f>IFERROR(__xludf.DUMMYFUNCTION("VLOOKUP(F4020, IMPORTRANGE(""https://docs.google.com/spreadsheets/d/1Lhp9OU0JdFf_VYSMzH5lBcEaU4o8teT1piV-SNzShjg/edit?gid=554141278#gid=554141278"", ""'Char Def. - Attributes'!C20:C2242""), 1,false)"),"ALT_UOM1_RMPM")</f>
        <v>ALT_UOM1_RMPM</v>
      </c>
      <c r="I4020" s="136"/>
    </row>
    <row r="4021" ht="15.75" customHeight="1">
      <c r="B4021" s="63">
        <f t="shared" si="1"/>
        <v>14</v>
      </c>
      <c r="C4021" s="146" t="s">
        <v>275</v>
      </c>
      <c r="D4021" s="147" t="s">
        <v>74</v>
      </c>
      <c r="E4021" s="135">
        <f t="shared" si="59"/>
        <v>29</v>
      </c>
      <c r="F4021" s="134" t="s">
        <v>3805</v>
      </c>
      <c r="G4021" s="63" t="str">
        <f>VLOOKUP(C4021, 'Class Def. - General Data'!$C$20:$C$1000,1,false)</f>
        <v>ZPM1_ETK_INBOX</v>
      </c>
      <c r="H4021" s="63" t="str">
        <f>IFERROR(__xludf.DUMMYFUNCTION("VLOOKUP(F4021, IMPORTRANGE(""https://docs.google.com/spreadsheets/d/1Lhp9OU0JdFf_VYSMzH5lBcEaU4o8teT1piV-SNzShjg/edit?gid=554141278#gid=554141278"", ""'Char Def. - Attributes'!C20:C2242""), 1,false)"),"ALT_DENUM_UOM1")</f>
        <v>ALT_DENUM_UOM1</v>
      </c>
      <c r="I4021" s="136"/>
    </row>
    <row r="4022" ht="15.75" customHeight="1">
      <c r="B4022" s="63">
        <f t="shared" si="1"/>
        <v>14</v>
      </c>
      <c r="C4022" s="146" t="s">
        <v>275</v>
      </c>
      <c r="D4022" s="147" t="s">
        <v>74</v>
      </c>
      <c r="E4022" s="135">
        <f t="shared" si="59"/>
        <v>30</v>
      </c>
      <c r="F4022" s="134" t="s">
        <v>3806</v>
      </c>
      <c r="G4022" s="63" t="str">
        <f>VLOOKUP(C4022, 'Class Def. - General Data'!$C$20:$C$1000,1,false)</f>
        <v>ZPM1_ETK_INBOX</v>
      </c>
      <c r="H4022" s="63" t="str">
        <f>IFERROR(__xludf.DUMMYFUNCTION("VLOOKUP(F4022, IMPORTRANGE(""https://docs.google.com/spreadsheets/d/1Lhp9OU0JdFf_VYSMzH5lBcEaU4o8teT1piV-SNzShjg/edit?gid=554141278#gid=554141278"", ""'Char Def. - Attributes'!C20:C2242""), 1,false)"),"ALT_NUM_UOM1")</f>
        <v>ALT_NUM_UOM1</v>
      </c>
      <c r="I4022" s="136"/>
    </row>
    <row r="4023" ht="15.75" customHeight="1">
      <c r="B4023" s="63">
        <f t="shared" si="1"/>
        <v>14</v>
      </c>
      <c r="C4023" s="146" t="s">
        <v>275</v>
      </c>
      <c r="D4023" s="147" t="s">
        <v>74</v>
      </c>
      <c r="E4023" s="135">
        <f t="shared" si="59"/>
        <v>31</v>
      </c>
      <c r="F4023" s="134" t="s">
        <v>3870</v>
      </c>
      <c r="G4023" s="63" t="str">
        <f>VLOOKUP(C4023, 'Class Def. - General Data'!$C$20:$C$1000,1,false)</f>
        <v>ZPM1_ETK_INBOX</v>
      </c>
      <c r="H4023" s="63" t="str">
        <f>IFERROR(__xludf.DUMMYFUNCTION("VLOOKUP(F4023, IMPORTRANGE(""https://docs.google.com/spreadsheets/d/1Lhp9OU0JdFf_VYSMzH5lBcEaU4o8teT1piV-SNzShjg/edit?gid=554141278#gid=554141278"", ""'Char Def. - Attributes'!C20:C2242""), 1,false)"),"ALT_UOM2_RMPM")</f>
        <v>ALT_UOM2_RMPM</v>
      </c>
      <c r="I4023" s="136"/>
    </row>
    <row r="4024" ht="15.75" customHeight="1">
      <c r="B4024" s="63">
        <f t="shared" si="1"/>
        <v>14</v>
      </c>
      <c r="C4024" s="146" t="s">
        <v>275</v>
      </c>
      <c r="D4024" s="147" t="s">
        <v>74</v>
      </c>
      <c r="E4024" s="135">
        <f t="shared" si="59"/>
        <v>32</v>
      </c>
      <c r="F4024" s="134" t="s">
        <v>3808</v>
      </c>
      <c r="G4024" s="63" t="str">
        <f>VLOOKUP(C4024, 'Class Def. - General Data'!$C$20:$C$1000,1,false)</f>
        <v>ZPM1_ETK_INBOX</v>
      </c>
      <c r="H4024" s="63" t="str">
        <f>IFERROR(__xludf.DUMMYFUNCTION("VLOOKUP(F4024, IMPORTRANGE(""https://docs.google.com/spreadsheets/d/1Lhp9OU0JdFf_VYSMzH5lBcEaU4o8teT1piV-SNzShjg/edit?gid=554141278#gid=554141278"", ""'Char Def. - Attributes'!C20:C2242""), 1,false)"),"ALT_DENUM_UOM2")</f>
        <v>ALT_DENUM_UOM2</v>
      </c>
      <c r="I4024" s="136"/>
    </row>
    <row r="4025" ht="15.75" customHeight="1">
      <c r="B4025" s="63">
        <f t="shared" si="1"/>
        <v>14</v>
      </c>
      <c r="C4025" s="146" t="s">
        <v>275</v>
      </c>
      <c r="D4025" s="147" t="s">
        <v>74</v>
      </c>
      <c r="E4025" s="135">
        <f t="shared" si="59"/>
        <v>33</v>
      </c>
      <c r="F4025" s="134" t="s">
        <v>3809</v>
      </c>
      <c r="G4025" s="63" t="str">
        <f>VLOOKUP(C4025, 'Class Def. - General Data'!$C$20:$C$1000,1,false)</f>
        <v>ZPM1_ETK_INBOX</v>
      </c>
      <c r="H4025" s="63" t="str">
        <f>IFERROR(__xludf.DUMMYFUNCTION("VLOOKUP(F4025, IMPORTRANGE(""https://docs.google.com/spreadsheets/d/1Lhp9OU0JdFf_VYSMzH5lBcEaU4o8teT1piV-SNzShjg/edit?gid=554141278#gid=554141278"", ""'Char Def. - Attributes'!C20:C2242""), 1,false)"),"ALT_NUM_UOM2")</f>
        <v>ALT_NUM_UOM2</v>
      </c>
      <c r="I4025" s="136"/>
    </row>
    <row r="4026" ht="15.75" customHeight="1">
      <c r="B4026" s="63">
        <f t="shared" si="1"/>
        <v>14</v>
      </c>
      <c r="C4026" s="146" t="s">
        <v>275</v>
      </c>
      <c r="D4026" s="147" t="s">
        <v>74</v>
      </c>
      <c r="E4026" s="135">
        <f t="shared" si="59"/>
        <v>34</v>
      </c>
      <c r="F4026" s="134" t="s">
        <v>3871</v>
      </c>
      <c r="G4026" s="63" t="str">
        <f>VLOOKUP(C4026, 'Class Def. - General Data'!$C$20:$C$1000,1,false)</f>
        <v>ZPM1_ETK_INBOX</v>
      </c>
      <c r="H4026" s="63" t="str">
        <f>IFERROR(__xludf.DUMMYFUNCTION("VLOOKUP(F4026, IMPORTRANGE(""https://docs.google.com/spreadsheets/d/1Lhp9OU0JdFf_VYSMzH5lBcEaU4o8teT1piV-SNzShjg/edit?gid=554141278#gid=554141278"", ""'Char Def. - Attributes'!C20:C2242""), 1,false)"),"ALT_UOM3_RMPM")</f>
        <v>ALT_UOM3_RMPM</v>
      </c>
      <c r="I4026" s="136"/>
    </row>
    <row r="4027" ht="15.75" customHeight="1">
      <c r="B4027" s="63">
        <f t="shared" si="1"/>
        <v>14</v>
      </c>
      <c r="C4027" s="146" t="s">
        <v>275</v>
      </c>
      <c r="D4027" s="147" t="s">
        <v>74</v>
      </c>
      <c r="E4027" s="135">
        <f t="shared" si="59"/>
        <v>35</v>
      </c>
      <c r="F4027" s="134" t="s">
        <v>3811</v>
      </c>
      <c r="G4027" s="63" t="str">
        <f>VLOOKUP(C4027, 'Class Def. - General Data'!$C$20:$C$1000,1,false)</f>
        <v>ZPM1_ETK_INBOX</v>
      </c>
      <c r="H4027" s="63" t="str">
        <f>IFERROR(__xludf.DUMMYFUNCTION("VLOOKUP(F4027, IMPORTRANGE(""https://docs.google.com/spreadsheets/d/1Lhp9OU0JdFf_VYSMzH5lBcEaU4o8teT1piV-SNzShjg/edit?gid=554141278#gid=554141278"", ""'Char Def. - Attributes'!C20:C2242""), 1,false)"),"ALT_DENUM_UOM3")</f>
        <v>ALT_DENUM_UOM3</v>
      </c>
      <c r="I4027" s="136"/>
    </row>
    <row r="4028" ht="15.75" customHeight="1">
      <c r="B4028" s="63">
        <f t="shared" si="1"/>
        <v>14</v>
      </c>
      <c r="C4028" s="146" t="s">
        <v>275</v>
      </c>
      <c r="D4028" s="147" t="s">
        <v>74</v>
      </c>
      <c r="E4028" s="135">
        <f t="shared" si="59"/>
        <v>36</v>
      </c>
      <c r="F4028" s="134" t="s">
        <v>3812</v>
      </c>
      <c r="G4028" s="63" t="str">
        <f>VLOOKUP(C4028, 'Class Def. - General Data'!$C$20:$C$1000,1,false)</f>
        <v>ZPM1_ETK_INBOX</v>
      </c>
      <c r="H4028" s="63" t="str">
        <f>IFERROR(__xludf.DUMMYFUNCTION("VLOOKUP(F4028, IMPORTRANGE(""https://docs.google.com/spreadsheets/d/1Lhp9OU0JdFf_VYSMzH5lBcEaU4o8teT1piV-SNzShjg/edit?gid=554141278#gid=554141278"", ""'Char Def. - Attributes'!C20:C2242""), 1,false)"),"ALT_NUM_UOM3")</f>
        <v>ALT_NUM_UOM3</v>
      </c>
      <c r="I4028" s="136"/>
    </row>
    <row r="4029" ht="15.75" customHeight="1">
      <c r="B4029" s="63">
        <f t="shared" si="1"/>
        <v>14</v>
      </c>
      <c r="C4029" s="146" t="s">
        <v>275</v>
      </c>
      <c r="D4029" s="147" t="s">
        <v>74</v>
      </c>
      <c r="E4029" s="135">
        <f t="shared" si="59"/>
        <v>37</v>
      </c>
      <c r="F4029" s="134" t="s">
        <v>3872</v>
      </c>
      <c r="G4029" s="63" t="str">
        <f>VLOOKUP(C4029, 'Class Def. - General Data'!$C$20:$C$1000,1,false)</f>
        <v>ZPM1_ETK_INBOX</v>
      </c>
      <c r="H4029" s="63" t="str">
        <f>IFERROR(__xludf.DUMMYFUNCTION("VLOOKUP(F4029, IMPORTRANGE(""https://docs.google.com/spreadsheets/d/1Lhp9OU0JdFf_VYSMzH5lBcEaU4o8teT1piV-SNzShjg/edit?gid=554141278#gid=554141278"", ""'Char Def. - Attributes'!C20:C2242""), 1,false)"),"ALT_UOM4_RMPM")</f>
        <v>ALT_UOM4_RMPM</v>
      </c>
      <c r="I4029" s="136"/>
    </row>
    <row r="4030" ht="15.75" customHeight="1">
      <c r="B4030" s="63">
        <f t="shared" si="1"/>
        <v>14</v>
      </c>
      <c r="C4030" s="146" t="s">
        <v>275</v>
      </c>
      <c r="D4030" s="147" t="s">
        <v>74</v>
      </c>
      <c r="E4030" s="135">
        <f t="shared" si="59"/>
        <v>38</v>
      </c>
      <c r="F4030" s="134" t="s">
        <v>3814</v>
      </c>
      <c r="G4030" s="63" t="str">
        <f>VLOOKUP(C4030, 'Class Def. - General Data'!$C$20:$C$1000,1,false)</f>
        <v>ZPM1_ETK_INBOX</v>
      </c>
      <c r="H4030" s="63" t="str">
        <f>IFERROR(__xludf.DUMMYFUNCTION("VLOOKUP(F4030, IMPORTRANGE(""https://docs.google.com/spreadsheets/d/1Lhp9OU0JdFf_VYSMzH5lBcEaU4o8teT1piV-SNzShjg/edit?gid=554141278#gid=554141278"", ""'Char Def. - Attributes'!C20:C2242""), 1,false)"),"ALT_DENUM_UOM4")</f>
        <v>ALT_DENUM_UOM4</v>
      </c>
      <c r="I4030" s="136"/>
    </row>
    <row r="4031" ht="15.75" customHeight="1">
      <c r="B4031" s="63">
        <f t="shared" si="1"/>
        <v>14</v>
      </c>
      <c r="C4031" s="146" t="s">
        <v>275</v>
      </c>
      <c r="D4031" s="147" t="s">
        <v>74</v>
      </c>
      <c r="E4031" s="135">
        <f t="shared" si="59"/>
        <v>39</v>
      </c>
      <c r="F4031" s="134" t="s">
        <v>3815</v>
      </c>
      <c r="G4031" s="63" t="str">
        <f>VLOOKUP(C4031, 'Class Def. - General Data'!$C$20:$C$1000,1,false)</f>
        <v>ZPM1_ETK_INBOX</v>
      </c>
      <c r="H4031" s="63" t="str">
        <f>IFERROR(__xludf.DUMMYFUNCTION("VLOOKUP(F4031, IMPORTRANGE(""https://docs.google.com/spreadsheets/d/1Lhp9OU0JdFf_VYSMzH5lBcEaU4o8teT1piV-SNzShjg/edit?gid=554141278#gid=554141278"", ""'Char Def. - Attributes'!C20:C2242""), 1,false)"),"ALT_NUM_UOM4")</f>
        <v>ALT_NUM_UOM4</v>
      </c>
      <c r="I4031" s="136"/>
    </row>
    <row r="4032" ht="15.75" customHeight="1">
      <c r="B4032" s="63">
        <f t="shared" si="1"/>
        <v>14</v>
      </c>
      <c r="C4032" s="146" t="s">
        <v>275</v>
      </c>
      <c r="D4032" s="147" t="s">
        <v>74</v>
      </c>
      <c r="E4032" s="135">
        <f t="shared" si="59"/>
        <v>40</v>
      </c>
      <c r="F4032" s="134" t="s">
        <v>3873</v>
      </c>
      <c r="G4032" s="63" t="str">
        <f>VLOOKUP(C4032, 'Class Def. - General Data'!$C$20:$C$1000,1,false)</f>
        <v>ZPM1_ETK_INBOX</v>
      </c>
      <c r="H4032" s="63" t="str">
        <f>IFERROR(__xludf.DUMMYFUNCTION("VLOOKUP(F4032, IMPORTRANGE(""https://docs.google.com/spreadsheets/d/1Lhp9OU0JdFf_VYSMzH5lBcEaU4o8teT1piV-SNzShjg/edit?gid=554141278#gid=554141278"", ""'Char Def. - Attributes'!C20:C2242""), 1,false)"),"ALT_UOM5_RMPM")</f>
        <v>ALT_UOM5_RMPM</v>
      </c>
      <c r="I4032" s="136"/>
    </row>
    <row r="4033" ht="15.75" customHeight="1">
      <c r="B4033" s="63">
        <f t="shared" si="1"/>
        <v>14</v>
      </c>
      <c r="C4033" s="146" t="s">
        <v>275</v>
      </c>
      <c r="D4033" s="147" t="s">
        <v>74</v>
      </c>
      <c r="E4033" s="135">
        <f t="shared" si="59"/>
        <v>41</v>
      </c>
      <c r="F4033" s="134" t="s">
        <v>3817</v>
      </c>
      <c r="G4033" s="63" t="str">
        <f>VLOOKUP(C4033, 'Class Def. - General Data'!$C$20:$C$1000,1,false)</f>
        <v>ZPM1_ETK_INBOX</v>
      </c>
      <c r="H4033" s="63" t="str">
        <f>IFERROR(__xludf.DUMMYFUNCTION("VLOOKUP(F4033, IMPORTRANGE(""https://docs.google.com/spreadsheets/d/1Lhp9OU0JdFf_VYSMzH5lBcEaU4o8teT1piV-SNzShjg/edit?gid=554141278#gid=554141278"", ""'Char Def. - Attributes'!C20:C2242""), 1,false)"),"ALT_DENUM_UOM5")</f>
        <v>ALT_DENUM_UOM5</v>
      </c>
      <c r="I4033" s="136"/>
    </row>
    <row r="4034" ht="15.75" customHeight="1">
      <c r="B4034" s="63">
        <f t="shared" si="1"/>
        <v>14</v>
      </c>
      <c r="C4034" s="146" t="s">
        <v>275</v>
      </c>
      <c r="D4034" s="147" t="s">
        <v>74</v>
      </c>
      <c r="E4034" s="135">
        <f t="shared" si="59"/>
        <v>42</v>
      </c>
      <c r="F4034" s="134" t="s">
        <v>3818</v>
      </c>
      <c r="G4034" s="63" t="str">
        <f>VLOOKUP(C4034, 'Class Def. - General Data'!$C$20:$C$1000,1,false)</f>
        <v>ZPM1_ETK_INBOX</v>
      </c>
      <c r="H4034" s="63" t="str">
        <f>IFERROR(__xludf.DUMMYFUNCTION("VLOOKUP(F4034, IMPORTRANGE(""https://docs.google.com/spreadsheets/d/1Lhp9OU0JdFf_VYSMzH5lBcEaU4o8teT1piV-SNzShjg/edit?gid=554141278#gid=554141278"", ""'Char Def. - Attributes'!C20:C2242""), 1,false)"),"ALT_NUM_UOM5")</f>
        <v>ALT_NUM_UOM5</v>
      </c>
      <c r="I4034" s="136"/>
    </row>
    <row r="4035" ht="15.75" customHeight="1">
      <c r="B4035" s="63">
        <f t="shared" si="1"/>
        <v>14</v>
      </c>
      <c r="C4035" s="146" t="s">
        <v>275</v>
      </c>
      <c r="D4035" s="147" t="s">
        <v>74</v>
      </c>
      <c r="E4035" s="135">
        <f t="shared" si="59"/>
        <v>43</v>
      </c>
      <c r="F4035" s="134" t="s">
        <v>3874</v>
      </c>
      <c r="G4035" s="63" t="str">
        <f>VLOOKUP(C4035, 'Class Def. - General Data'!$C$20:$C$1000,1,false)</f>
        <v>ZPM1_ETK_INBOX</v>
      </c>
      <c r="H4035" s="63" t="str">
        <f>IFERROR(__xludf.DUMMYFUNCTION("VLOOKUP(F4035, IMPORTRANGE(""https://docs.google.com/spreadsheets/d/1Lhp9OU0JdFf_VYSMzH5lBcEaU4o8teT1piV-SNzShjg/edit?gid=554141278#gid=554141278"", ""'Char Def. - Attributes'!C20:C2242""), 1,false)"),"VALUATION_CATEGORY")</f>
        <v>VALUATION_CATEGORY</v>
      </c>
      <c r="I4035" s="136"/>
    </row>
    <row r="4036" ht="15.75" customHeight="1">
      <c r="B4036" s="63">
        <f t="shared" si="1"/>
        <v>14</v>
      </c>
      <c r="C4036" s="146" t="s">
        <v>275</v>
      </c>
      <c r="D4036" s="147" t="s">
        <v>74</v>
      </c>
      <c r="E4036" s="135">
        <f t="shared" si="59"/>
        <v>44</v>
      </c>
      <c r="F4036" s="134" t="s">
        <v>3800</v>
      </c>
      <c r="G4036" s="63" t="str">
        <f>VLOOKUP(C4036, 'Class Def. - General Data'!$C$20:$C$1000,1,false)</f>
        <v>ZPM1_ETK_INBOX</v>
      </c>
      <c r="H4036" s="63" t="str">
        <f>IFERROR(__xludf.DUMMYFUNCTION("VLOOKUP(F4036, IMPORTRANGE(""https://docs.google.com/spreadsheets/d/1Lhp9OU0JdFf_VYSMzH5lBcEaU4o8teT1piV-SNzShjg/edit?gid=554141278#gid=554141278"", ""'Char Def. - Attributes'!C20:C2242""), 1,false)"),"ORDER_UNIT_DIFF_FROM_BASIC_UOM")</f>
        <v>ORDER_UNIT_DIFF_FROM_BASIC_UOM</v>
      </c>
      <c r="I4036" s="136"/>
    </row>
    <row r="4037" ht="15.75" customHeight="1">
      <c r="B4037" s="63">
        <f t="shared" si="1"/>
        <v>14</v>
      </c>
      <c r="C4037" s="146" t="s">
        <v>275</v>
      </c>
      <c r="D4037" s="147" t="s">
        <v>74</v>
      </c>
      <c r="E4037" s="135">
        <f t="shared" si="59"/>
        <v>45</v>
      </c>
      <c r="F4037" s="134" t="s">
        <v>3875</v>
      </c>
      <c r="G4037" s="63" t="str">
        <f>VLOOKUP(C4037, 'Class Def. - General Data'!$C$20:$C$1000,1,false)</f>
        <v>ZPM1_ETK_INBOX</v>
      </c>
      <c r="H4037" s="63" t="str">
        <f>IFERROR(__xludf.DUMMYFUNCTION("VLOOKUP(F4037, IMPORTRANGE(""https://docs.google.com/spreadsheets/d/1Lhp9OU0JdFf_VYSMzH5lBcEaU4o8teT1piV-SNzShjg/edit?gid=554141278#gid=554141278"", ""'Char Def. - Attributes'!C20:C2242""), 1,false)"),"ORDER_UNIT_RMPM")</f>
        <v>ORDER_UNIT_RMPM</v>
      </c>
      <c r="I4037" s="136"/>
    </row>
    <row r="4038" ht="15.75" customHeight="1">
      <c r="B4038" s="63">
        <f t="shared" si="1"/>
        <v>14</v>
      </c>
      <c r="C4038" s="146" t="s">
        <v>275</v>
      </c>
      <c r="D4038" s="147" t="s">
        <v>74</v>
      </c>
      <c r="E4038" s="135">
        <f t="shared" si="59"/>
        <v>46</v>
      </c>
      <c r="F4038" s="134" t="s">
        <v>3602</v>
      </c>
      <c r="G4038" s="63" t="str">
        <f>VLOOKUP(C4038, 'Class Def. - General Data'!$C$20:$C$1000,1,false)</f>
        <v>ZPM1_ETK_INBOX</v>
      </c>
      <c r="H4038" s="63" t="str">
        <f>IFERROR(__xludf.DUMMYFUNCTION("VLOOKUP(F4038, IMPORTRANGE(""https://docs.google.com/spreadsheets/d/1Lhp9OU0JdFf_VYSMzH5lBcEaU4o8teT1piV-SNzShjg/edit?gid=554141278#gid=554141278"", ""'Char Def. - Attributes'!C20:C2242""), 1,false)"),"NET_WEIGHT")</f>
        <v>NET_WEIGHT</v>
      </c>
      <c r="I4038" s="136"/>
    </row>
    <row r="4039" ht="15.75" customHeight="1">
      <c r="B4039" s="63">
        <f t="shared" si="1"/>
        <v>14</v>
      </c>
      <c r="C4039" s="146" t="s">
        <v>275</v>
      </c>
      <c r="D4039" s="147" t="s">
        <v>74</v>
      </c>
      <c r="E4039" s="135">
        <f t="shared" si="59"/>
        <v>47</v>
      </c>
      <c r="F4039" s="134" t="s">
        <v>3601</v>
      </c>
      <c r="G4039" s="63" t="str">
        <f>VLOOKUP(C4039, 'Class Def. - General Data'!$C$20:$C$1000,1,false)</f>
        <v>ZPM1_ETK_INBOX</v>
      </c>
      <c r="H4039" s="63" t="str">
        <f>IFERROR(__xludf.DUMMYFUNCTION("VLOOKUP(F4039, IMPORTRANGE(""https://docs.google.com/spreadsheets/d/1Lhp9OU0JdFf_VYSMzH5lBcEaU4o8teT1piV-SNzShjg/edit?gid=554141278#gid=554141278"", ""'Char Def. - Attributes'!C20:C2242""), 1,false)"),"GROSS_WEIGHT")</f>
        <v>GROSS_WEIGHT</v>
      </c>
      <c r="I4039" s="136"/>
    </row>
    <row r="4040" ht="15.75" customHeight="1">
      <c r="B4040" s="63">
        <f t="shared" si="1"/>
        <v>14</v>
      </c>
      <c r="C4040" s="146" t="s">
        <v>275</v>
      </c>
      <c r="D4040" s="147" t="s">
        <v>74</v>
      </c>
      <c r="E4040" s="135">
        <f t="shared" si="59"/>
        <v>48</v>
      </c>
      <c r="F4040" s="134" t="s">
        <v>3876</v>
      </c>
      <c r="G4040" s="63" t="str">
        <f>VLOOKUP(C4040, 'Class Def. - General Data'!$C$20:$C$1000,1,false)</f>
        <v>ZPM1_ETK_INBOX</v>
      </c>
      <c r="H4040" s="63" t="str">
        <f>IFERROR(__xludf.DUMMYFUNCTION("VLOOKUP(F4040, IMPORTRANGE(""https://docs.google.com/spreadsheets/d/1Lhp9OU0JdFf_VYSMzH5lBcEaU4o8teT1piV-SNzShjg/edit?gid=554141278#gid=554141278"", ""'Char Def. - Attributes'!C20:C2242""), 1,false)"),"WEIGHT_UNIT_PM")</f>
        <v>WEIGHT_UNIT_PM</v>
      </c>
      <c r="I4040" s="136"/>
    </row>
    <row r="4041" ht="15.75" customHeight="1">
      <c r="B4041" s="63">
        <f t="shared" si="1"/>
        <v>14</v>
      </c>
      <c r="C4041" s="146" t="s">
        <v>275</v>
      </c>
      <c r="D4041" s="147" t="s">
        <v>74</v>
      </c>
      <c r="E4041" s="135">
        <f t="shared" si="59"/>
        <v>49</v>
      </c>
      <c r="F4041" s="134" t="s">
        <v>3877</v>
      </c>
      <c r="G4041" s="63" t="str">
        <f>VLOOKUP(C4041, 'Class Def. - General Data'!$C$20:$C$1000,1,false)</f>
        <v>ZPM1_ETK_INBOX</v>
      </c>
      <c r="H4041" s="63" t="str">
        <f>IFERROR(__xludf.DUMMYFUNCTION("VLOOKUP(F4041, IMPORTRANGE(""https://docs.google.com/spreadsheets/d/1Lhp9OU0JdFf_VYSMzH5lBcEaU4o8teT1piV-SNzShjg/edit?gid=554141278#gid=554141278"", ""'Char Def. - Attributes'!C20:C2242""), 1,false)"),"VOLUME_OPT")</f>
        <v>VOLUME_OPT</v>
      </c>
      <c r="I4041" s="136"/>
    </row>
    <row r="4042" ht="15.75" customHeight="1">
      <c r="B4042" s="63">
        <f t="shared" si="1"/>
        <v>14</v>
      </c>
      <c r="C4042" s="146" t="s">
        <v>275</v>
      </c>
      <c r="D4042" s="147" t="s">
        <v>74</v>
      </c>
      <c r="E4042" s="135">
        <f t="shared" si="59"/>
        <v>50</v>
      </c>
      <c r="F4042" s="134" t="s">
        <v>3878</v>
      </c>
      <c r="G4042" s="63" t="str">
        <f>VLOOKUP(C4042, 'Class Def. - General Data'!$C$20:$C$1000,1,false)</f>
        <v>ZPM1_ETK_INBOX</v>
      </c>
      <c r="H4042" s="63" t="str">
        <f>IFERROR(__xludf.DUMMYFUNCTION("VLOOKUP(F4042, IMPORTRANGE(""https://docs.google.com/spreadsheets/d/1Lhp9OU0JdFf_VYSMzH5lBcEaU4o8teT1piV-SNzShjg/edit?gid=554141278#gid=554141278"", ""'Char Def. - Attributes'!C20:C2242""), 1,false)"),"VOLUME_UNIT")</f>
        <v>VOLUME_UNIT</v>
      </c>
      <c r="I4042" s="136"/>
    </row>
    <row r="4043" ht="15.75" customHeight="1">
      <c r="B4043" s="63">
        <f t="shared" si="1"/>
        <v>14</v>
      </c>
      <c r="C4043" s="146" t="s">
        <v>275</v>
      </c>
      <c r="D4043" s="147" t="s">
        <v>74</v>
      </c>
      <c r="E4043" s="135">
        <f t="shared" si="59"/>
        <v>51</v>
      </c>
      <c r="F4043" s="134" t="s">
        <v>3879</v>
      </c>
      <c r="G4043" s="63" t="str">
        <f>VLOOKUP(C4043, 'Class Def. - General Data'!$C$20:$C$1000,1,false)</f>
        <v>ZPM1_ETK_INBOX</v>
      </c>
      <c r="H4043" s="63" t="str">
        <f>IFERROR(__xludf.DUMMYFUNCTION("VLOOKUP(F4043, IMPORTRANGE(""https://docs.google.com/spreadsheets/d/1Lhp9OU0JdFf_VYSMzH5lBcEaU4o8teT1piV-SNzShjg/edit?gid=554141278#gid=554141278"", ""'Char Def. - Attributes'!C20:C2242""), 1,false)"),"OLD_MAT_NO_RMPM")</f>
        <v>OLD_MAT_NO_RMPM</v>
      </c>
      <c r="I4043" s="136"/>
    </row>
    <row r="4044" ht="15.75" customHeight="1">
      <c r="B4044" s="63">
        <f t="shared" si="1"/>
        <v>14</v>
      </c>
      <c r="C4044" s="146" t="s">
        <v>275</v>
      </c>
      <c r="D4044" s="147" t="s">
        <v>74</v>
      </c>
      <c r="E4044" s="135">
        <f t="shared" si="59"/>
        <v>52</v>
      </c>
      <c r="F4044" s="134" t="s">
        <v>3880</v>
      </c>
      <c r="G4044" s="63" t="str">
        <f>VLOOKUP(C4044, 'Class Def. - General Data'!$C$20:$C$1000,1,false)</f>
        <v>ZPM1_ETK_INBOX</v>
      </c>
      <c r="H4044" s="63" t="str">
        <f>IFERROR(__xludf.DUMMYFUNCTION("VLOOKUP(F4044, IMPORTRANGE(""https://docs.google.com/spreadsheets/d/1Lhp9OU0JdFf_VYSMzH5lBcEaU4o8teT1piV-SNzShjg/edit?gid=554141278#gid=554141278"", ""'Char Def. - Attributes'!C20:C2242""), 1,false)"),"NOTE_PM")</f>
        <v>NOTE_PM</v>
      </c>
      <c r="I4044" s="136"/>
    </row>
    <row r="4045" ht="15.75" customHeight="1">
      <c r="B4045" s="63">
        <f t="shared" si="1"/>
        <v>14</v>
      </c>
      <c r="C4045" s="146" t="s">
        <v>275</v>
      </c>
      <c r="D4045" s="147" t="s">
        <v>74</v>
      </c>
      <c r="E4045" s="135">
        <f t="shared" si="59"/>
        <v>53</v>
      </c>
      <c r="F4045" s="134" t="s">
        <v>3881</v>
      </c>
      <c r="G4045" s="63" t="str">
        <f>VLOOKUP(C4045, 'Class Def. - General Data'!$C$20:$C$1000,1,false)</f>
        <v>ZPM1_ETK_INBOX</v>
      </c>
      <c r="H4045" s="63" t="str">
        <f>IFERROR(__xludf.DUMMYFUNCTION("VLOOKUP(F4045, IMPORTRANGE(""https://docs.google.com/spreadsheets/d/1Lhp9OU0JdFf_VYSMzH5lBcEaU4o8teT1piV-SNzShjg/edit?gid=554141278#gid=554141278"", ""'Char Def. - Attributes'!C20:C2242""), 1,false)"),"BS_BERSIH")</f>
        <v>BS_BERSIH</v>
      </c>
      <c r="I4045" s="136"/>
    </row>
    <row r="4046" ht="15.75" customHeight="1">
      <c r="B4046" s="63">
        <f t="shared" si="1"/>
        <v>14</v>
      </c>
      <c r="C4046" s="146" t="s">
        <v>275</v>
      </c>
      <c r="D4046" s="147" t="s">
        <v>74</v>
      </c>
      <c r="E4046" s="135">
        <f t="shared" si="59"/>
        <v>54</v>
      </c>
      <c r="F4046" s="134" t="s">
        <v>3882</v>
      </c>
      <c r="G4046" s="63" t="str">
        <f>VLOOKUP(C4046, 'Class Def. - General Data'!$C$20:$C$1000,1,false)</f>
        <v>ZPM1_ETK_INBOX</v>
      </c>
      <c r="H4046" s="63" t="str">
        <f>IFERROR(__xludf.DUMMYFUNCTION("VLOOKUP(F4046, IMPORTRANGE(""https://docs.google.com/spreadsheets/d/1Lhp9OU0JdFf_VYSMzH5lBcEaU4o8teT1piV-SNzShjg/edit?gid=554141278#gid=554141278"", ""'Char Def. - Attributes'!C20:C2242""), 1,false)"),"BS_KOTOR")</f>
        <v>BS_KOTOR</v>
      </c>
      <c r="I4046" s="136"/>
    </row>
    <row r="4047" ht="15.75" customHeight="1">
      <c r="B4047" s="63">
        <f t="shared" si="1"/>
        <v>14</v>
      </c>
      <c r="C4047" s="146" t="s">
        <v>275</v>
      </c>
      <c r="D4047" s="147" t="s">
        <v>74</v>
      </c>
      <c r="E4047" s="135">
        <f t="shared" si="59"/>
        <v>55</v>
      </c>
      <c r="F4047" s="134" t="s">
        <v>3883</v>
      </c>
      <c r="G4047" s="63" t="str">
        <f>VLOOKUP(C4047, 'Class Def. - General Data'!$C$20:$C$1000,1,false)</f>
        <v>ZPM1_ETK_INBOX</v>
      </c>
      <c r="H4047" s="63" t="str">
        <f>IFERROR(__xludf.DUMMYFUNCTION("VLOOKUP(F4047, IMPORTRANGE(""https://docs.google.com/spreadsheets/d/1Lhp9OU0JdFf_VYSMzH5lBcEaU4o8teT1piV-SNzShjg/edit?gid=554141278#gid=554141278"", ""'Char Def. - Attributes'!C20:C2242""), 1,false)"),"BS_SCRAP")</f>
        <v>BS_SCRAP</v>
      </c>
      <c r="I4047" s="136"/>
    </row>
    <row r="4048" ht="15.75" customHeight="1">
      <c r="B4048" s="63">
        <f t="shared" si="1"/>
        <v>15</v>
      </c>
      <c r="C4048" s="146" t="s">
        <v>255</v>
      </c>
      <c r="D4048" s="147" t="s">
        <v>74</v>
      </c>
      <c r="E4048" s="135">
        <f t="shared" si="59"/>
        <v>1</v>
      </c>
      <c r="F4048" s="134" t="s">
        <v>3932</v>
      </c>
      <c r="G4048" s="63" t="str">
        <f>VLOOKUP(C4048, 'Class Def. - General Data'!$C$20:$C$1000,1,false)</f>
        <v>ZPM1_GLSPLS_Jar</v>
      </c>
      <c r="H4048" s="63" t="str">
        <f>IFERROR(__xludf.DUMMYFUNCTION("VLOOKUP(F4048, IMPORTRANGE(""https://docs.google.com/spreadsheets/d/1Lhp9OU0JdFf_VYSMzH5lBcEaU4o8teT1piV-SNzShjg/edit?gid=554141278#gid=554141278"", ""'Char Def. - Attributes'!C20:C2242""), 1,false)"),"MATERIAL_CODE_GLSPLS_JAR")</f>
        <v>MATERIAL_CODE_GLSPLS_JAR</v>
      </c>
      <c r="I4048" s="136"/>
    </row>
    <row r="4049" ht="15.75" customHeight="1">
      <c r="B4049" s="63">
        <f t="shared" si="1"/>
        <v>15</v>
      </c>
      <c r="C4049" s="146" t="s">
        <v>255</v>
      </c>
      <c r="D4049" s="147" t="s">
        <v>74</v>
      </c>
      <c r="E4049" s="135">
        <f t="shared" si="59"/>
        <v>2</v>
      </c>
      <c r="F4049" s="134" t="s">
        <v>3852</v>
      </c>
      <c r="G4049" s="63" t="str">
        <f>VLOOKUP(C4049, 'Class Def. - General Data'!$C$20:$C$1000,1,false)</f>
        <v>ZPM1_GLSPLS_Jar</v>
      </c>
      <c r="H4049" s="63" t="str">
        <f>IFERROR(__xludf.DUMMYFUNCTION("VLOOKUP(F4049, IMPORTRANGE(""https://docs.google.com/spreadsheets/d/1Lhp9OU0JdFf_VYSMzH5lBcEaU4o8teT1piV-SNzShjg/edit?gid=554141278#gid=554141278"", ""'Char Def. - Attributes'!C20:C2242""), 1,false)"),"SINGLE_BRAND")</f>
        <v>SINGLE_BRAND</v>
      </c>
      <c r="I4049" s="136"/>
    </row>
    <row r="4050" ht="15.75" customHeight="1">
      <c r="B4050" s="63">
        <f t="shared" si="1"/>
        <v>15</v>
      </c>
      <c r="C4050" s="146" t="s">
        <v>255</v>
      </c>
      <c r="D4050" s="147" t="s">
        <v>74</v>
      </c>
      <c r="E4050" s="135">
        <f t="shared" si="59"/>
        <v>3</v>
      </c>
      <c r="F4050" s="134" t="s">
        <v>3853</v>
      </c>
      <c r="G4050" s="63" t="str">
        <f>VLOOKUP(C4050, 'Class Def. - General Data'!$C$20:$C$1000,1,false)</f>
        <v>ZPM1_GLSPLS_Jar</v>
      </c>
      <c r="H4050" s="63" t="str">
        <f>IFERROR(__xludf.DUMMYFUNCTION("VLOOKUP(F4050, IMPORTRANGE(""https://docs.google.com/spreadsheets/d/1Lhp9OU0JdFf_VYSMzH5lBcEaU4o8teT1piV-SNzShjg/edit?gid=554141278#gid=554141278"", ""'Char Def. - Attributes'!C20:C2242""), 1,false)"),"BRAND_WINGS")</f>
        <v>BRAND_WINGS</v>
      </c>
      <c r="I4050" s="136"/>
    </row>
    <row r="4051" ht="15.75" customHeight="1">
      <c r="B4051" s="63">
        <f t="shared" si="1"/>
        <v>15</v>
      </c>
      <c r="C4051" s="146" t="s">
        <v>255</v>
      </c>
      <c r="D4051" s="147" t="s">
        <v>74</v>
      </c>
      <c r="E4051" s="135">
        <f t="shared" si="59"/>
        <v>4</v>
      </c>
      <c r="F4051" s="134" t="s">
        <v>3854</v>
      </c>
      <c r="G4051" s="63" t="str">
        <f>VLOOKUP(C4051, 'Class Def. - General Data'!$C$20:$C$1000,1,false)</f>
        <v>ZPM1_GLSPLS_Jar</v>
      </c>
      <c r="H4051" s="63" t="str">
        <f>IFERROR(__xludf.DUMMYFUNCTION("VLOOKUP(F4051, IMPORTRANGE(""https://docs.google.com/spreadsheets/d/1Lhp9OU0JdFf_VYSMzH5lBcEaU4o8teT1piV-SNzShjg/edit?gid=554141278#gid=554141278"", ""'Char Def. - Attributes'!C20:C2242""), 1,false)"),"SINGLE_PACK_SHAPE")</f>
        <v>SINGLE_PACK_SHAPE</v>
      </c>
      <c r="I4051" s="136"/>
    </row>
    <row r="4052" ht="15.75" customHeight="1">
      <c r="B4052" s="63">
        <f t="shared" si="1"/>
        <v>15</v>
      </c>
      <c r="C4052" s="146" t="s">
        <v>255</v>
      </c>
      <c r="D4052" s="147" t="s">
        <v>74</v>
      </c>
      <c r="E4052" s="135">
        <f t="shared" si="59"/>
        <v>5</v>
      </c>
      <c r="F4052" s="134" t="s">
        <v>3855</v>
      </c>
      <c r="G4052" s="63" t="str">
        <f>VLOOKUP(C4052, 'Class Def. - General Data'!$C$20:$C$1000,1,false)</f>
        <v>ZPM1_GLSPLS_Jar</v>
      </c>
      <c r="H4052" s="63" t="str">
        <f>IFERROR(__xludf.DUMMYFUNCTION("VLOOKUP(F4052, IMPORTRANGE(""https://docs.google.com/spreadsheets/d/1Lhp9OU0JdFf_VYSMzH5lBcEaU4o8teT1piV-SNzShjg/edit?gid=554141278#gid=554141278"", ""'Char Def. - Attributes'!C20:C2242""), 1,false)"),"PACK_SHAPE")</f>
        <v>PACK_SHAPE</v>
      </c>
      <c r="I4052" s="136"/>
    </row>
    <row r="4053" ht="15.75" customHeight="1">
      <c r="B4053" s="63">
        <f t="shared" si="1"/>
        <v>15</v>
      </c>
      <c r="C4053" s="146" t="s">
        <v>255</v>
      </c>
      <c r="D4053" s="147" t="s">
        <v>74</v>
      </c>
      <c r="E4053" s="135">
        <f t="shared" si="59"/>
        <v>6</v>
      </c>
      <c r="F4053" s="134" t="s">
        <v>3856</v>
      </c>
      <c r="G4053" s="63" t="str">
        <f>VLOOKUP(C4053, 'Class Def. - General Data'!$C$20:$C$1000,1,false)</f>
        <v>ZPM1_GLSPLS_Jar</v>
      </c>
      <c r="H4053" s="63" t="str">
        <f>IFERROR(__xludf.DUMMYFUNCTION("VLOOKUP(F4053, IMPORTRANGE(""https://docs.google.com/spreadsheets/d/1Lhp9OU0JdFf_VYSMzH5lBcEaU4o8teT1piV-SNzShjg/edit?gid=554141278#gid=554141278"", ""'Char Def. - Attributes'!C20:C2242""), 1,false)"),"SINGLE_PACK_NETTO")</f>
        <v>SINGLE_PACK_NETTO</v>
      </c>
      <c r="I4053" s="136"/>
    </row>
    <row r="4054" ht="15.75" customHeight="1">
      <c r="B4054" s="63">
        <f t="shared" si="1"/>
        <v>15</v>
      </c>
      <c r="C4054" s="146" t="s">
        <v>255</v>
      </c>
      <c r="D4054" s="147" t="s">
        <v>74</v>
      </c>
      <c r="E4054" s="135">
        <f t="shared" si="59"/>
        <v>7</v>
      </c>
      <c r="F4054" s="134" t="s">
        <v>3605</v>
      </c>
      <c r="G4054" s="63" t="str">
        <f>VLOOKUP(C4054, 'Class Def. - General Data'!$C$20:$C$1000,1,false)</f>
        <v>ZPM1_GLSPLS_Jar</v>
      </c>
      <c r="H4054" s="63" t="str">
        <f>IFERROR(__xludf.DUMMYFUNCTION("VLOOKUP(F4054, IMPORTRANGE(""https://docs.google.com/spreadsheets/d/1Lhp9OU0JdFf_VYSMzH5lBcEaU4o8teT1piV-SNzShjg/edit?gid=554141278#gid=554141278"", ""'Char Def. - Attributes'!C20:C2242""), 1,false)"),"PACK_NETTO")</f>
        <v>PACK_NETTO</v>
      </c>
      <c r="I4054" s="136"/>
    </row>
    <row r="4055" ht="15.75" customHeight="1">
      <c r="B4055" s="63">
        <f t="shared" si="1"/>
        <v>15</v>
      </c>
      <c r="C4055" s="146" t="s">
        <v>255</v>
      </c>
      <c r="D4055" s="147" t="s">
        <v>74</v>
      </c>
      <c r="E4055" s="135">
        <f t="shared" si="59"/>
        <v>8</v>
      </c>
      <c r="F4055" s="134" t="s">
        <v>3857</v>
      </c>
      <c r="G4055" s="63" t="str">
        <f>VLOOKUP(C4055, 'Class Def. - General Data'!$C$20:$C$1000,1,false)</f>
        <v>ZPM1_GLSPLS_Jar</v>
      </c>
      <c r="H4055" s="63" t="str">
        <f>IFERROR(__xludf.DUMMYFUNCTION("VLOOKUP(F4055, IMPORTRANGE(""https://docs.google.com/spreadsheets/d/1Lhp9OU0JdFf_VYSMzH5lBcEaU4o8teT1piV-SNzShjg/edit?gid=554141278#gid=554141278"", ""'Char Def. - Attributes'!C20:C2242""), 1,false)"),"PACK_UOM")</f>
        <v>PACK_UOM</v>
      </c>
      <c r="I4055" s="136"/>
    </row>
    <row r="4056" ht="15.75" customHeight="1">
      <c r="B4056" s="63">
        <f t="shared" si="1"/>
        <v>15</v>
      </c>
      <c r="C4056" s="146" t="s">
        <v>255</v>
      </c>
      <c r="D4056" s="147" t="s">
        <v>74</v>
      </c>
      <c r="E4056" s="135">
        <f t="shared" si="59"/>
        <v>9</v>
      </c>
      <c r="F4056" s="134" t="s">
        <v>3858</v>
      </c>
      <c r="G4056" s="63" t="str">
        <f>VLOOKUP(C4056, 'Class Def. - General Data'!$C$20:$C$1000,1,false)</f>
        <v>ZPM1_GLSPLS_Jar</v>
      </c>
      <c r="H4056" s="63" t="str">
        <f>IFERROR(__xludf.DUMMYFUNCTION("VLOOKUP(F4056, IMPORTRANGE(""https://docs.google.com/spreadsheets/d/1Lhp9OU0JdFf_VYSMzH5lBcEaU4o8teT1piV-SNzShjg/edit?gid=554141278#gid=554141278"", ""'Char Def. - Attributes'!C20:C2242""), 1,false)"),"SINGLE_VARIAN")</f>
        <v>SINGLE_VARIAN</v>
      </c>
      <c r="I4056" s="136"/>
    </row>
    <row r="4057" ht="15.75" customHeight="1">
      <c r="B4057" s="63">
        <f t="shared" si="1"/>
        <v>15</v>
      </c>
      <c r="C4057" s="146" t="s">
        <v>255</v>
      </c>
      <c r="D4057" s="147" t="s">
        <v>74</v>
      </c>
      <c r="E4057" s="135">
        <f t="shared" si="59"/>
        <v>10</v>
      </c>
      <c r="F4057" s="134" t="s">
        <v>3607</v>
      </c>
      <c r="G4057" s="63" t="str">
        <f>VLOOKUP(C4057, 'Class Def. - General Data'!$C$20:$C$1000,1,false)</f>
        <v>ZPM1_GLSPLS_Jar</v>
      </c>
      <c r="H4057" s="63" t="str">
        <f>IFERROR(__xludf.DUMMYFUNCTION("VLOOKUP(F4057, IMPORTRANGE(""https://docs.google.com/spreadsheets/d/1Lhp9OU0JdFf_VYSMzH5lBcEaU4o8teT1piV-SNzShjg/edit?gid=554141278#gid=554141278"", ""'Char Def. - Attributes'!C20:C2242""), 1,false)"),"VARIAN")</f>
        <v>VARIAN</v>
      </c>
      <c r="I4057" s="136"/>
    </row>
    <row r="4058" ht="15.75" customHeight="1">
      <c r="B4058" s="63">
        <f t="shared" si="1"/>
        <v>15</v>
      </c>
      <c r="C4058" s="146" t="s">
        <v>255</v>
      </c>
      <c r="D4058" s="147" t="s">
        <v>74</v>
      </c>
      <c r="E4058" s="135">
        <f t="shared" si="59"/>
        <v>11</v>
      </c>
      <c r="F4058" s="134" t="s">
        <v>3859</v>
      </c>
      <c r="G4058" s="63" t="str">
        <f>VLOOKUP(C4058, 'Class Def. - General Data'!$C$20:$C$1000,1,false)</f>
        <v>ZPM1_GLSPLS_Jar</v>
      </c>
      <c r="H4058" s="63" t="str">
        <f>IFERROR(__xludf.DUMMYFUNCTION("VLOOKUP(F4058, IMPORTRANGE(""https://docs.google.com/spreadsheets/d/1Lhp9OU0JdFf_VYSMzH5lBcEaU4o8teT1piV-SNzShjg/edit?gid=554141278#gid=554141278"", ""'Char Def. - Attributes'!C20:C2242""), 1,false)"),"ADA_ADDITIONAL_PROMO")</f>
        <v>ADA_ADDITIONAL_PROMO</v>
      </c>
      <c r="I4058" s="136"/>
    </row>
    <row r="4059" ht="15.75" customHeight="1">
      <c r="B4059" s="63">
        <f t="shared" si="1"/>
        <v>15</v>
      </c>
      <c r="C4059" s="146" t="s">
        <v>255</v>
      </c>
      <c r="D4059" s="147" t="s">
        <v>74</v>
      </c>
      <c r="E4059" s="135">
        <f t="shared" si="59"/>
        <v>12</v>
      </c>
      <c r="F4059" s="134" t="s">
        <v>3609</v>
      </c>
      <c r="G4059" s="63" t="str">
        <f>VLOOKUP(C4059, 'Class Def. - General Data'!$C$20:$C$1000,1,false)</f>
        <v>ZPM1_GLSPLS_Jar</v>
      </c>
      <c r="H4059" s="63" t="str">
        <f>IFERROR(__xludf.DUMMYFUNCTION("VLOOKUP(F4059, IMPORTRANGE(""https://docs.google.com/spreadsheets/d/1Lhp9OU0JdFf_VYSMzH5lBcEaU4o8teT1piV-SNzShjg/edit?gid=554141278#gid=554141278"", ""'Char Def. - Attributes'!C20:C2242""), 1,false)"),"ADDITIONAL_PROMO")</f>
        <v>ADDITIONAL_PROMO</v>
      </c>
      <c r="I4059" s="136"/>
    </row>
    <row r="4060" ht="15.75" customHeight="1">
      <c r="B4060" s="63">
        <f t="shared" si="1"/>
        <v>15</v>
      </c>
      <c r="C4060" s="146" t="s">
        <v>255</v>
      </c>
      <c r="D4060" s="147" t="s">
        <v>74</v>
      </c>
      <c r="E4060" s="135">
        <f t="shared" si="59"/>
        <v>13</v>
      </c>
      <c r="F4060" s="134" t="s">
        <v>3860</v>
      </c>
      <c r="G4060" s="63" t="str">
        <f>VLOOKUP(C4060, 'Class Def. - General Data'!$C$20:$C$1000,1,false)</f>
        <v>ZPM1_GLSPLS_Jar</v>
      </c>
      <c r="H4060" s="63" t="str">
        <f>IFERROR(__xludf.DUMMYFUNCTION("VLOOKUP(F4060, IMPORTRANGE(""https://docs.google.com/spreadsheets/d/1Lhp9OU0JdFf_VYSMzH5lBcEaU4o8teT1piV-SNzShjg/edit?gid=554141278#gid=554141278"", ""'Char Def. - Attributes'!C20:C2242""), 1,false)"),"ADA_BANDED_PROMO")</f>
        <v>ADA_BANDED_PROMO</v>
      </c>
      <c r="I4060" s="136"/>
    </row>
    <row r="4061" ht="15.75" customHeight="1">
      <c r="B4061" s="63">
        <f t="shared" si="1"/>
        <v>15</v>
      </c>
      <c r="C4061" s="146" t="s">
        <v>255</v>
      </c>
      <c r="D4061" s="147" t="s">
        <v>74</v>
      </c>
      <c r="E4061" s="135">
        <f t="shared" si="59"/>
        <v>14</v>
      </c>
      <c r="F4061" s="134" t="s">
        <v>3610</v>
      </c>
      <c r="G4061" s="63" t="str">
        <f>VLOOKUP(C4061, 'Class Def. - General Data'!$C$20:$C$1000,1,false)</f>
        <v>ZPM1_GLSPLS_Jar</v>
      </c>
      <c r="H4061" s="63" t="str">
        <f>IFERROR(__xludf.DUMMYFUNCTION("VLOOKUP(F4061, IMPORTRANGE(""https://docs.google.com/spreadsheets/d/1Lhp9OU0JdFf_VYSMzH5lBcEaU4o8teT1piV-SNzShjg/edit?gid=554141278#gid=554141278"", ""'Char Def. - Attributes'!C20:C2242""), 1,false)"),"BANDED_PROMO")</f>
        <v>BANDED_PROMO</v>
      </c>
      <c r="I4061" s="136"/>
    </row>
    <row r="4062" ht="15.75" customHeight="1">
      <c r="B4062" s="63">
        <f t="shared" si="1"/>
        <v>15</v>
      </c>
      <c r="C4062" s="146" t="s">
        <v>255</v>
      </c>
      <c r="D4062" s="147" t="s">
        <v>74</v>
      </c>
      <c r="E4062" s="135">
        <f t="shared" si="59"/>
        <v>15</v>
      </c>
      <c r="F4062" s="134" t="s">
        <v>1292</v>
      </c>
      <c r="G4062" s="63" t="str">
        <f>VLOOKUP(C4062, 'Class Def. - General Data'!$C$20:$C$1000,1,false)</f>
        <v>ZPM1_GLSPLS_Jar</v>
      </c>
      <c r="H4062" s="63" t="str">
        <f>IFERROR(__xludf.DUMMYFUNCTION("VLOOKUP(F4062, IMPORTRANGE(""https://docs.google.com/spreadsheets/d/1Lhp9OU0JdFf_VYSMzH5lBcEaU4o8teT1piV-SNzShjg/edit?gid=554141278#gid=554141278"", ""'Char Def. - Attributes'!C20:C2242""), 1,false)"),"EXPORT")</f>
        <v>EXPORT</v>
      </c>
      <c r="I4062" s="136"/>
    </row>
    <row r="4063" ht="15.75" customHeight="1">
      <c r="B4063" s="63">
        <f t="shared" si="1"/>
        <v>15</v>
      </c>
      <c r="C4063" s="146" t="s">
        <v>255</v>
      </c>
      <c r="D4063" s="147" t="s">
        <v>74</v>
      </c>
      <c r="E4063" s="135">
        <f t="shared" si="59"/>
        <v>16</v>
      </c>
      <c r="F4063" s="134" t="s">
        <v>3612</v>
      </c>
      <c r="G4063" s="63" t="str">
        <f>VLOOKUP(C4063, 'Class Def. - General Data'!$C$20:$C$1000,1,false)</f>
        <v>ZPM1_GLSPLS_Jar</v>
      </c>
      <c r="H4063" s="63" t="str">
        <f>IFERROR(__xludf.DUMMYFUNCTION("VLOOKUP(F4063, IMPORTRANGE(""https://docs.google.com/spreadsheets/d/1Lhp9OU0JdFf_VYSMzH5lBcEaU4o8teT1piV-SNzShjg/edit?gid=554141278#gid=554141278"", ""'Char Def. - Attributes'!C20:C2242""), 1,false)"),"COUNTRY_EKSPOR")</f>
        <v>COUNTRY_EKSPOR</v>
      </c>
      <c r="I4063" s="136"/>
    </row>
    <row r="4064" ht="15.75" customHeight="1">
      <c r="B4064" s="63">
        <f t="shared" si="1"/>
        <v>15</v>
      </c>
      <c r="C4064" s="146" t="s">
        <v>255</v>
      </c>
      <c r="D4064" s="147" t="s">
        <v>74</v>
      </c>
      <c r="E4064" s="135">
        <f t="shared" si="59"/>
        <v>17</v>
      </c>
      <c r="F4064" s="134" t="s">
        <v>3861</v>
      </c>
      <c r="G4064" s="63" t="str">
        <f>VLOOKUP(C4064, 'Class Def. - General Data'!$C$20:$C$1000,1,false)</f>
        <v>ZPM1_GLSPLS_Jar</v>
      </c>
      <c r="H4064" s="63" t="str">
        <f>IFERROR(__xludf.DUMMYFUNCTION("VLOOKUP(F4064, IMPORTRANGE(""https://docs.google.com/spreadsheets/d/1Lhp9OU0JdFf_VYSMzH5lBcEaU4o8teT1piV-SNzShjg/edit?gid=554141278#gid=554141278"", ""'Char Def. - Attributes'!C20:C2242""), 1,false)"),"PEMBATAS")</f>
        <v>PEMBATAS</v>
      </c>
      <c r="I4064" s="136"/>
    </row>
    <row r="4065" ht="15.75" customHeight="1">
      <c r="B4065" s="63">
        <f t="shared" si="1"/>
        <v>15</v>
      </c>
      <c r="C4065" s="146" t="s">
        <v>255</v>
      </c>
      <c r="D4065" s="147" t="s">
        <v>74</v>
      </c>
      <c r="E4065" s="135">
        <f t="shared" si="59"/>
        <v>18</v>
      </c>
      <c r="F4065" s="134" t="s">
        <v>3909</v>
      </c>
      <c r="G4065" s="63" t="str">
        <f>VLOOKUP(C4065, 'Class Def. - General Data'!$C$20:$C$1000,1,false)</f>
        <v>ZPM1_GLSPLS_Jar</v>
      </c>
      <c r="H4065" s="63" t="str">
        <f>IFERROR(__xludf.DUMMYFUNCTION("VLOOKUP(F4065, IMPORTRANGE(""https://docs.google.com/spreadsheets/d/1Lhp9OU0JdFf_VYSMzH5lBcEaU4o8teT1piV-SNzShjg/edit?gid=554141278#gid=554141278"", ""'Char Def. - Attributes'!C20:C2242""), 1,false)"),"COLOR_A_OPT")</f>
        <v>COLOR_A_OPT</v>
      </c>
      <c r="I4065" s="136"/>
    </row>
    <row r="4066" ht="15.75" customHeight="1">
      <c r="B4066" s="63">
        <f t="shared" si="1"/>
        <v>15</v>
      </c>
      <c r="C4066" s="146" t="s">
        <v>255</v>
      </c>
      <c r="D4066" s="147" t="s">
        <v>74</v>
      </c>
      <c r="E4066" s="135">
        <f t="shared" si="59"/>
        <v>19</v>
      </c>
      <c r="F4066" s="134" t="s">
        <v>3925</v>
      </c>
      <c r="G4066" s="63" t="str">
        <f>VLOOKUP(C4066, 'Class Def. - General Data'!$C$20:$C$1000,1,false)</f>
        <v>ZPM1_GLSPLS_Jar</v>
      </c>
      <c r="H4066" s="63" t="str">
        <f>IFERROR(__xludf.DUMMYFUNCTION("VLOOKUP(F4066, IMPORTRANGE(""https://docs.google.com/spreadsheets/d/1Lhp9OU0JdFf_VYSMzH5lBcEaU4o8teT1piV-SNzShjg/edit?gid=554141278#gid=554141278"", ""'Char Def. - Attributes'!C20:C2242""), 1,false)"),"PACK_CONTENT_AMOUNT_3_OPT")</f>
        <v>PACK_CONTENT_AMOUNT_3_OPT</v>
      </c>
      <c r="I4066" s="136"/>
    </row>
    <row r="4067" ht="15.75" customHeight="1">
      <c r="B4067" s="63">
        <f t="shared" si="1"/>
        <v>15</v>
      </c>
      <c r="C4067" s="146" t="s">
        <v>255</v>
      </c>
      <c r="D4067" s="147" t="s">
        <v>74</v>
      </c>
      <c r="E4067" s="135">
        <f t="shared" si="59"/>
        <v>20</v>
      </c>
      <c r="F4067" s="134" t="s">
        <v>3862</v>
      </c>
      <c r="G4067" s="63" t="str">
        <f>VLOOKUP(C4067, 'Class Def. - General Data'!$C$20:$C$1000,1,false)</f>
        <v>ZPM1_GLSPLS_Jar</v>
      </c>
      <c r="H4067" s="63" t="str">
        <f>IFERROR(__xludf.DUMMYFUNCTION("VLOOKUP(F4067, IMPORTRANGE(""https://docs.google.com/spreadsheets/d/1Lhp9OU0JdFf_VYSMzH5lBcEaU4o8teT1piV-SNzShjg/edit?gid=554141278#gid=554141278"", ""'Char Def. - Attributes'!C20:C2242""), 1,false)"),"MONTH")</f>
        <v>MONTH</v>
      </c>
      <c r="I4067" s="136"/>
    </row>
    <row r="4068" ht="15.75" customHeight="1">
      <c r="B4068" s="63">
        <f t="shared" si="1"/>
        <v>15</v>
      </c>
      <c r="C4068" s="146" t="s">
        <v>255</v>
      </c>
      <c r="D4068" s="147" t="s">
        <v>74</v>
      </c>
      <c r="E4068" s="135">
        <f t="shared" si="59"/>
        <v>21</v>
      </c>
      <c r="F4068" s="134" t="s">
        <v>3863</v>
      </c>
      <c r="G4068" s="63" t="str">
        <f>VLOOKUP(C4068, 'Class Def. - General Data'!$C$20:$C$1000,1,false)</f>
        <v>ZPM1_GLSPLS_Jar</v>
      </c>
      <c r="H4068" s="63" t="str">
        <f>IFERROR(__xludf.DUMMYFUNCTION("VLOOKUP(F4068, IMPORTRANGE(""https://docs.google.com/spreadsheets/d/1Lhp9OU0JdFf_VYSMzH5lBcEaU4o8teT1piV-SNzShjg/edit?gid=554141278#gid=554141278"", ""'Char Def. - Attributes'!C20:C2242""), 1,false)"),"YEAR")</f>
        <v>YEAR</v>
      </c>
      <c r="I4068" s="136"/>
    </row>
    <row r="4069" ht="15.75" customHeight="1">
      <c r="B4069" s="63">
        <f t="shared" si="1"/>
        <v>15</v>
      </c>
      <c r="C4069" s="146" t="s">
        <v>255</v>
      </c>
      <c r="D4069" s="147" t="s">
        <v>74</v>
      </c>
      <c r="E4069" s="135">
        <f t="shared" si="59"/>
        <v>22</v>
      </c>
      <c r="F4069" s="134" t="s">
        <v>3864</v>
      </c>
      <c r="G4069" s="63" t="str">
        <f>VLOOKUP(C4069, 'Class Def. - General Data'!$C$20:$C$1000,1,false)</f>
        <v>ZPM1_GLSPLS_Jar</v>
      </c>
      <c r="H4069" s="63" t="str">
        <f>IFERROR(__xludf.DUMMYFUNCTION("VLOOKUP(F4069, IMPORTRANGE(""https://docs.google.com/spreadsheets/d/1Lhp9OU0JdFf_VYSMzH5lBcEaU4o8teT1piV-SNzShjg/edit?gid=554141278#gid=554141278"", ""'Char Def. - Attributes'!C20:C2242""), 1,false)"),"DIMENSION_OPT")</f>
        <v>DIMENSION_OPT</v>
      </c>
      <c r="I4069" s="136"/>
    </row>
    <row r="4070" ht="15.75" customHeight="1">
      <c r="B4070" s="63">
        <f t="shared" si="1"/>
        <v>15</v>
      </c>
      <c r="C4070" s="146" t="s">
        <v>255</v>
      </c>
      <c r="D4070" s="147" t="s">
        <v>74</v>
      </c>
      <c r="E4070" s="135">
        <f t="shared" si="59"/>
        <v>23</v>
      </c>
      <c r="F4070" s="134" t="s">
        <v>3911</v>
      </c>
      <c r="G4070" s="63" t="str">
        <f>VLOOKUP(C4070, 'Class Def. - General Data'!$C$20:$C$1000,1,false)</f>
        <v>ZPM1_GLSPLS_Jar</v>
      </c>
      <c r="H4070" s="63" t="str">
        <f>IFERROR(__xludf.DUMMYFUNCTION("VLOOKUP(F4070, IMPORTRANGE(""https://docs.google.com/spreadsheets/d/1Lhp9OU0JdFf_VYSMzH5lBcEaU4o8teT1piV-SNzShjg/edit?gid=554141278#gid=554141278"", ""'Char Def. - Attributes'!C20:C2242""), 1,false)"),"PLANT_BUY_OPT")</f>
        <v>PLANT_BUY_OPT</v>
      </c>
      <c r="I4070" s="136"/>
    </row>
    <row r="4071" ht="15.75" customHeight="1">
      <c r="B4071" s="63">
        <f t="shared" si="1"/>
        <v>15</v>
      </c>
      <c r="C4071" s="146" t="s">
        <v>255</v>
      </c>
      <c r="D4071" s="147" t="s">
        <v>74</v>
      </c>
      <c r="E4071" s="135">
        <f t="shared" si="59"/>
        <v>24</v>
      </c>
      <c r="F4071" s="134" t="s">
        <v>3865</v>
      </c>
      <c r="G4071" s="63" t="str">
        <f>VLOOKUP(C4071, 'Class Def. - General Data'!$C$20:$C$1000,1,false)</f>
        <v>ZPM1_GLSPLS_Jar</v>
      </c>
      <c r="H4071" s="63" t="str">
        <f>IFERROR(__xludf.DUMMYFUNCTION("VLOOKUP(F4071, IMPORTRANGE(""https://docs.google.com/spreadsheets/d/1Lhp9OU0JdFf_VYSMzH5lBcEaU4o8teT1piV-SNzShjg/edit?gid=554141278#gid=554141278"", ""'Char Def. - Attributes'!C20:C2242""), 1,false)"),"PLANT_PROD_OPT")</f>
        <v>PLANT_PROD_OPT</v>
      </c>
      <c r="I4071" s="136"/>
    </row>
    <row r="4072" ht="15.75" customHeight="1">
      <c r="B4072" s="63">
        <f t="shared" si="1"/>
        <v>15</v>
      </c>
      <c r="C4072" s="146" t="s">
        <v>255</v>
      </c>
      <c r="D4072" s="147" t="s">
        <v>74</v>
      </c>
      <c r="E4072" s="135">
        <f t="shared" si="59"/>
        <v>25</v>
      </c>
      <c r="F4072" s="134" t="s">
        <v>3866</v>
      </c>
      <c r="G4072" s="63" t="str">
        <f>VLOOKUP(C4072, 'Class Def. - General Data'!$C$20:$C$1000,1,false)</f>
        <v>ZPM1_GLSPLS_Jar</v>
      </c>
      <c r="H4072" s="63" t="str">
        <f>IFERROR(__xludf.DUMMYFUNCTION("VLOOKUP(F4072, IMPORTRANGE(""https://docs.google.com/spreadsheets/d/1Lhp9OU0JdFf_VYSMzH5lBcEaU4o8teT1piV-SNzShjg/edit?gid=554141278#gid=554141278"", ""'Char Def. - Attributes'!C20:C2242""), 1,false)"),"PM_SUPPLY_JKT")</f>
        <v>PM_SUPPLY_JKT</v>
      </c>
      <c r="I4072" s="136"/>
    </row>
    <row r="4073" ht="15.75" customHeight="1">
      <c r="B4073" s="63">
        <f t="shared" si="1"/>
        <v>15</v>
      </c>
      <c r="C4073" s="146" t="s">
        <v>255</v>
      </c>
      <c r="D4073" s="147" t="s">
        <v>74</v>
      </c>
      <c r="E4073" s="135">
        <f t="shared" si="59"/>
        <v>26</v>
      </c>
      <c r="F4073" s="134" t="s">
        <v>3867</v>
      </c>
      <c r="G4073" s="63" t="str">
        <f>VLOOKUP(C4073, 'Class Def. - General Data'!$C$20:$C$1000,1,false)</f>
        <v>ZPM1_GLSPLS_Jar</v>
      </c>
      <c r="H4073" s="63" t="str">
        <f>IFERROR(__xludf.DUMMYFUNCTION("VLOOKUP(F4073, IMPORTRANGE(""https://docs.google.com/spreadsheets/d/1Lhp9OU0JdFf_VYSMzH5lBcEaU4o8teT1piV-SNzShjg/edit?gid=554141278#gid=554141278"", ""'Char Def. - Attributes'!C20:C2242""), 1,false)"),"PM_SUPPLY_SBY")</f>
        <v>PM_SUPPLY_SBY</v>
      </c>
      <c r="I4073" s="136"/>
    </row>
    <row r="4074" ht="15.75" customHeight="1">
      <c r="B4074" s="63">
        <f t="shared" si="1"/>
        <v>15</v>
      </c>
      <c r="C4074" s="146" t="s">
        <v>255</v>
      </c>
      <c r="D4074" s="147" t="s">
        <v>74</v>
      </c>
      <c r="E4074" s="135">
        <f t="shared" si="59"/>
        <v>27</v>
      </c>
      <c r="F4074" s="134" t="s">
        <v>3868</v>
      </c>
      <c r="G4074" s="63" t="str">
        <f>VLOOKUP(C4074, 'Class Def. - General Data'!$C$20:$C$1000,1,false)</f>
        <v>ZPM1_GLSPLS_Jar</v>
      </c>
      <c r="H4074" s="63" t="str">
        <f>IFERROR(__xludf.DUMMYFUNCTION("VLOOKUP(F4074, IMPORTRANGE(""https://docs.google.com/spreadsheets/d/1Lhp9OU0JdFf_VYSMzH5lBcEaU4o8teT1piV-SNzShjg/edit?gid=554141278#gid=554141278"", ""'Char Def. - Attributes'!C20:C2242""), 1,false)"),"BASIC_UOM_RMPM")</f>
        <v>BASIC_UOM_RMPM</v>
      </c>
      <c r="I4074" s="136"/>
    </row>
    <row r="4075" ht="15.75" customHeight="1">
      <c r="B4075" s="63">
        <f t="shared" si="1"/>
        <v>15</v>
      </c>
      <c r="C4075" s="146" t="s">
        <v>255</v>
      </c>
      <c r="D4075" s="147" t="s">
        <v>74</v>
      </c>
      <c r="E4075" s="135">
        <f t="shared" si="59"/>
        <v>28</v>
      </c>
      <c r="F4075" s="134" t="s">
        <v>3869</v>
      </c>
      <c r="G4075" s="63" t="str">
        <f>VLOOKUP(C4075, 'Class Def. - General Data'!$C$20:$C$1000,1,false)</f>
        <v>ZPM1_GLSPLS_Jar</v>
      </c>
      <c r="H4075" s="63" t="str">
        <f>IFERROR(__xludf.DUMMYFUNCTION("VLOOKUP(F4075, IMPORTRANGE(""https://docs.google.com/spreadsheets/d/1Lhp9OU0JdFf_VYSMzH5lBcEaU4o8teT1piV-SNzShjg/edit?gid=554141278#gid=554141278"", ""'Char Def. - Attributes'!C20:C2242""), 1,false)"),"ALT_UOM1_RMPM")</f>
        <v>ALT_UOM1_RMPM</v>
      </c>
      <c r="I4075" s="136"/>
    </row>
    <row r="4076" ht="15.75" customHeight="1">
      <c r="B4076" s="63">
        <f t="shared" si="1"/>
        <v>15</v>
      </c>
      <c r="C4076" s="146" t="s">
        <v>255</v>
      </c>
      <c r="D4076" s="147" t="s">
        <v>74</v>
      </c>
      <c r="E4076" s="135">
        <f t="shared" si="59"/>
        <v>29</v>
      </c>
      <c r="F4076" s="134" t="s">
        <v>3805</v>
      </c>
      <c r="G4076" s="63" t="str">
        <f>VLOOKUP(C4076, 'Class Def. - General Data'!$C$20:$C$1000,1,false)</f>
        <v>ZPM1_GLSPLS_Jar</v>
      </c>
      <c r="H4076" s="63" t="str">
        <f>IFERROR(__xludf.DUMMYFUNCTION("VLOOKUP(F4076, IMPORTRANGE(""https://docs.google.com/spreadsheets/d/1Lhp9OU0JdFf_VYSMzH5lBcEaU4o8teT1piV-SNzShjg/edit?gid=554141278#gid=554141278"", ""'Char Def. - Attributes'!C20:C2242""), 1,false)"),"ALT_DENUM_UOM1")</f>
        <v>ALT_DENUM_UOM1</v>
      </c>
      <c r="I4076" s="136"/>
    </row>
    <row r="4077" ht="15.75" customHeight="1">
      <c r="B4077" s="63">
        <f t="shared" si="1"/>
        <v>15</v>
      </c>
      <c r="C4077" s="146" t="s">
        <v>255</v>
      </c>
      <c r="D4077" s="147" t="s">
        <v>74</v>
      </c>
      <c r="E4077" s="135">
        <f t="shared" si="59"/>
        <v>30</v>
      </c>
      <c r="F4077" s="134" t="s">
        <v>3806</v>
      </c>
      <c r="G4077" s="63" t="str">
        <f>VLOOKUP(C4077, 'Class Def. - General Data'!$C$20:$C$1000,1,false)</f>
        <v>ZPM1_GLSPLS_Jar</v>
      </c>
      <c r="H4077" s="63" t="str">
        <f>IFERROR(__xludf.DUMMYFUNCTION("VLOOKUP(F4077, IMPORTRANGE(""https://docs.google.com/spreadsheets/d/1Lhp9OU0JdFf_VYSMzH5lBcEaU4o8teT1piV-SNzShjg/edit?gid=554141278#gid=554141278"", ""'Char Def. - Attributes'!C20:C2242""), 1,false)"),"ALT_NUM_UOM1")</f>
        <v>ALT_NUM_UOM1</v>
      </c>
      <c r="I4077" s="136"/>
    </row>
    <row r="4078" ht="15.75" customHeight="1">
      <c r="B4078" s="63">
        <f t="shared" si="1"/>
        <v>15</v>
      </c>
      <c r="C4078" s="146" t="s">
        <v>255</v>
      </c>
      <c r="D4078" s="147" t="s">
        <v>74</v>
      </c>
      <c r="E4078" s="135">
        <f t="shared" si="59"/>
        <v>31</v>
      </c>
      <c r="F4078" s="134" t="s">
        <v>3870</v>
      </c>
      <c r="G4078" s="63" t="str">
        <f>VLOOKUP(C4078, 'Class Def. - General Data'!$C$20:$C$1000,1,false)</f>
        <v>ZPM1_GLSPLS_Jar</v>
      </c>
      <c r="H4078" s="63" t="str">
        <f>IFERROR(__xludf.DUMMYFUNCTION("VLOOKUP(F4078, IMPORTRANGE(""https://docs.google.com/spreadsheets/d/1Lhp9OU0JdFf_VYSMzH5lBcEaU4o8teT1piV-SNzShjg/edit?gid=554141278#gid=554141278"", ""'Char Def. - Attributes'!C20:C2242""), 1,false)"),"ALT_UOM2_RMPM")</f>
        <v>ALT_UOM2_RMPM</v>
      </c>
      <c r="I4078" s="136"/>
    </row>
    <row r="4079" ht="15.75" customHeight="1">
      <c r="B4079" s="63">
        <f t="shared" si="1"/>
        <v>15</v>
      </c>
      <c r="C4079" s="146" t="s">
        <v>255</v>
      </c>
      <c r="D4079" s="147" t="s">
        <v>74</v>
      </c>
      <c r="E4079" s="135">
        <f t="shared" si="59"/>
        <v>32</v>
      </c>
      <c r="F4079" s="134" t="s">
        <v>3808</v>
      </c>
      <c r="G4079" s="63" t="str">
        <f>VLOOKUP(C4079, 'Class Def. - General Data'!$C$20:$C$1000,1,false)</f>
        <v>ZPM1_GLSPLS_Jar</v>
      </c>
      <c r="H4079" s="63" t="str">
        <f>IFERROR(__xludf.DUMMYFUNCTION("VLOOKUP(F4079, IMPORTRANGE(""https://docs.google.com/spreadsheets/d/1Lhp9OU0JdFf_VYSMzH5lBcEaU4o8teT1piV-SNzShjg/edit?gid=554141278#gid=554141278"", ""'Char Def. - Attributes'!C20:C2242""), 1,false)"),"ALT_DENUM_UOM2")</f>
        <v>ALT_DENUM_UOM2</v>
      </c>
      <c r="I4079" s="136"/>
    </row>
    <row r="4080" ht="15.75" customHeight="1">
      <c r="B4080" s="63">
        <f t="shared" si="1"/>
        <v>15</v>
      </c>
      <c r="C4080" s="146" t="s">
        <v>255</v>
      </c>
      <c r="D4080" s="147" t="s">
        <v>74</v>
      </c>
      <c r="E4080" s="135">
        <f t="shared" si="59"/>
        <v>33</v>
      </c>
      <c r="F4080" s="134" t="s">
        <v>3809</v>
      </c>
      <c r="G4080" s="63" t="str">
        <f>VLOOKUP(C4080, 'Class Def. - General Data'!$C$20:$C$1000,1,false)</f>
        <v>ZPM1_GLSPLS_Jar</v>
      </c>
      <c r="H4080" s="63" t="str">
        <f>IFERROR(__xludf.DUMMYFUNCTION("VLOOKUP(F4080, IMPORTRANGE(""https://docs.google.com/spreadsheets/d/1Lhp9OU0JdFf_VYSMzH5lBcEaU4o8teT1piV-SNzShjg/edit?gid=554141278#gid=554141278"", ""'Char Def. - Attributes'!C20:C2242""), 1,false)"),"ALT_NUM_UOM2")</f>
        <v>ALT_NUM_UOM2</v>
      </c>
      <c r="I4080" s="136"/>
    </row>
    <row r="4081" ht="15.75" customHeight="1">
      <c r="B4081" s="63">
        <f t="shared" si="1"/>
        <v>15</v>
      </c>
      <c r="C4081" s="146" t="s">
        <v>255</v>
      </c>
      <c r="D4081" s="147" t="s">
        <v>74</v>
      </c>
      <c r="E4081" s="135">
        <f t="shared" si="59"/>
        <v>34</v>
      </c>
      <c r="F4081" s="134" t="s">
        <v>3871</v>
      </c>
      <c r="G4081" s="63" t="str">
        <f>VLOOKUP(C4081, 'Class Def. - General Data'!$C$20:$C$1000,1,false)</f>
        <v>ZPM1_GLSPLS_Jar</v>
      </c>
      <c r="H4081" s="63" t="str">
        <f>IFERROR(__xludf.DUMMYFUNCTION("VLOOKUP(F4081, IMPORTRANGE(""https://docs.google.com/spreadsheets/d/1Lhp9OU0JdFf_VYSMzH5lBcEaU4o8teT1piV-SNzShjg/edit?gid=554141278#gid=554141278"", ""'Char Def. - Attributes'!C20:C2242""), 1,false)"),"ALT_UOM3_RMPM")</f>
        <v>ALT_UOM3_RMPM</v>
      </c>
      <c r="I4081" s="136"/>
    </row>
    <row r="4082" ht="15.75" customHeight="1">
      <c r="B4082" s="63">
        <f t="shared" si="1"/>
        <v>15</v>
      </c>
      <c r="C4082" s="146" t="s">
        <v>255</v>
      </c>
      <c r="D4082" s="147" t="s">
        <v>74</v>
      </c>
      <c r="E4082" s="135">
        <f t="shared" si="59"/>
        <v>35</v>
      </c>
      <c r="F4082" s="134" t="s">
        <v>3811</v>
      </c>
      <c r="G4082" s="63" t="str">
        <f>VLOOKUP(C4082, 'Class Def. - General Data'!$C$20:$C$1000,1,false)</f>
        <v>ZPM1_GLSPLS_Jar</v>
      </c>
      <c r="H4082" s="63" t="str">
        <f>IFERROR(__xludf.DUMMYFUNCTION("VLOOKUP(F4082, IMPORTRANGE(""https://docs.google.com/spreadsheets/d/1Lhp9OU0JdFf_VYSMzH5lBcEaU4o8teT1piV-SNzShjg/edit?gid=554141278#gid=554141278"", ""'Char Def. - Attributes'!C20:C2242""), 1,false)"),"ALT_DENUM_UOM3")</f>
        <v>ALT_DENUM_UOM3</v>
      </c>
      <c r="I4082" s="136"/>
    </row>
    <row r="4083" ht="15.75" customHeight="1">
      <c r="B4083" s="63">
        <f t="shared" si="1"/>
        <v>15</v>
      </c>
      <c r="C4083" s="146" t="s">
        <v>255</v>
      </c>
      <c r="D4083" s="147" t="s">
        <v>74</v>
      </c>
      <c r="E4083" s="135">
        <f t="shared" si="59"/>
        <v>36</v>
      </c>
      <c r="F4083" s="134" t="s">
        <v>3812</v>
      </c>
      <c r="G4083" s="63" t="str">
        <f>VLOOKUP(C4083, 'Class Def. - General Data'!$C$20:$C$1000,1,false)</f>
        <v>ZPM1_GLSPLS_Jar</v>
      </c>
      <c r="H4083" s="63" t="str">
        <f>IFERROR(__xludf.DUMMYFUNCTION("VLOOKUP(F4083, IMPORTRANGE(""https://docs.google.com/spreadsheets/d/1Lhp9OU0JdFf_VYSMzH5lBcEaU4o8teT1piV-SNzShjg/edit?gid=554141278#gid=554141278"", ""'Char Def. - Attributes'!C20:C2242""), 1,false)"),"ALT_NUM_UOM3")</f>
        <v>ALT_NUM_UOM3</v>
      </c>
      <c r="I4083" s="136"/>
    </row>
    <row r="4084" ht="15.75" customHeight="1">
      <c r="B4084" s="63">
        <f t="shared" si="1"/>
        <v>15</v>
      </c>
      <c r="C4084" s="146" t="s">
        <v>255</v>
      </c>
      <c r="D4084" s="147" t="s">
        <v>74</v>
      </c>
      <c r="E4084" s="135">
        <f t="shared" si="59"/>
        <v>37</v>
      </c>
      <c r="F4084" s="134" t="s">
        <v>3872</v>
      </c>
      <c r="G4084" s="63" t="str">
        <f>VLOOKUP(C4084, 'Class Def. - General Data'!$C$20:$C$1000,1,false)</f>
        <v>ZPM1_GLSPLS_Jar</v>
      </c>
      <c r="H4084" s="63" t="str">
        <f>IFERROR(__xludf.DUMMYFUNCTION("VLOOKUP(F4084, IMPORTRANGE(""https://docs.google.com/spreadsheets/d/1Lhp9OU0JdFf_VYSMzH5lBcEaU4o8teT1piV-SNzShjg/edit?gid=554141278#gid=554141278"", ""'Char Def. - Attributes'!C20:C2242""), 1,false)"),"ALT_UOM4_RMPM")</f>
        <v>ALT_UOM4_RMPM</v>
      </c>
      <c r="I4084" s="136"/>
    </row>
    <row r="4085" ht="15.75" customHeight="1">
      <c r="B4085" s="63">
        <f t="shared" si="1"/>
        <v>15</v>
      </c>
      <c r="C4085" s="146" t="s">
        <v>255</v>
      </c>
      <c r="D4085" s="147" t="s">
        <v>74</v>
      </c>
      <c r="E4085" s="135">
        <f t="shared" si="59"/>
        <v>38</v>
      </c>
      <c r="F4085" s="134" t="s">
        <v>3814</v>
      </c>
      <c r="G4085" s="63" t="str">
        <f>VLOOKUP(C4085, 'Class Def. - General Data'!$C$20:$C$1000,1,false)</f>
        <v>ZPM1_GLSPLS_Jar</v>
      </c>
      <c r="H4085" s="63" t="str">
        <f>IFERROR(__xludf.DUMMYFUNCTION("VLOOKUP(F4085, IMPORTRANGE(""https://docs.google.com/spreadsheets/d/1Lhp9OU0JdFf_VYSMzH5lBcEaU4o8teT1piV-SNzShjg/edit?gid=554141278#gid=554141278"", ""'Char Def. - Attributes'!C20:C2242""), 1,false)"),"ALT_DENUM_UOM4")</f>
        <v>ALT_DENUM_UOM4</v>
      </c>
      <c r="I4085" s="136"/>
    </row>
    <row r="4086" ht="15.75" customHeight="1">
      <c r="B4086" s="63">
        <f t="shared" si="1"/>
        <v>15</v>
      </c>
      <c r="C4086" s="146" t="s">
        <v>255</v>
      </c>
      <c r="D4086" s="147" t="s">
        <v>74</v>
      </c>
      <c r="E4086" s="135">
        <f t="shared" si="59"/>
        <v>39</v>
      </c>
      <c r="F4086" s="134" t="s">
        <v>3815</v>
      </c>
      <c r="G4086" s="63" t="str">
        <f>VLOOKUP(C4086, 'Class Def. - General Data'!$C$20:$C$1000,1,false)</f>
        <v>ZPM1_GLSPLS_Jar</v>
      </c>
      <c r="H4086" s="63" t="str">
        <f>IFERROR(__xludf.DUMMYFUNCTION("VLOOKUP(F4086, IMPORTRANGE(""https://docs.google.com/spreadsheets/d/1Lhp9OU0JdFf_VYSMzH5lBcEaU4o8teT1piV-SNzShjg/edit?gid=554141278#gid=554141278"", ""'Char Def. - Attributes'!C20:C2242""), 1,false)"),"ALT_NUM_UOM4")</f>
        <v>ALT_NUM_UOM4</v>
      </c>
      <c r="I4086" s="136"/>
    </row>
    <row r="4087" ht="15.75" customHeight="1">
      <c r="B4087" s="63">
        <f t="shared" si="1"/>
        <v>15</v>
      </c>
      <c r="C4087" s="146" t="s">
        <v>255</v>
      </c>
      <c r="D4087" s="147" t="s">
        <v>74</v>
      </c>
      <c r="E4087" s="135">
        <f t="shared" si="59"/>
        <v>40</v>
      </c>
      <c r="F4087" s="134" t="s">
        <v>3873</v>
      </c>
      <c r="G4087" s="63" t="str">
        <f>VLOOKUP(C4087, 'Class Def. - General Data'!$C$20:$C$1000,1,false)</f>
        <v>ZPM1_GLSPLS_Jar</v>
      </c>
      <c r="H4087" s="63" t="str">
        <f>IFERROR(__xludf.DUMMYFUNCTION("VLOOKUP(F4087, IMPORTRANGE(""https://docs.google.com/spreadsheets/d/1Lhp9OU0JdFf_VYSMzH5lBcEaU4o8teT1piV-SNzShjg/edit?gid=554141278#gid=554141278"", ""'Char Def. - Attributes'!C20:C2242""), 1,false)"),"ALT_UOM5_RMPM")</f>
        <v>ALT_UOM5_RMPM</v>
      </c>
      <c r="I4087" s="136"/>
    </row>
    <row r="4088" ht="15.75" customHeight="1">
      <c r="B4088" s="63">
        <f t="shared" si="1"/>
        <v>15</v>
      </c>
      <c r="C4088" s="146" t="s">
        <v>255</v>
      </c>
      <c r="D4088" s="147" t="s">
        <v>74</v>
      </c>
      <c r="E4088" s="135">
        <f t="shared" si="59"/>
        <v>41</v>
      </c>
      <c r="F4088" s="134" t="s">
        <v>3817</v>
      </c>
      <c r="G4088" s="63" t="str">
        <f>VLOOKUP(C4088, 'Class Def. - General Data'!$C$20:$C$1000,1,false)</f>
        <v>ZPM1_GLSPLS_Jar</v>
      </c>
      <c r="H4088" s="63" t="str">
        <f>IFERROR(__xludf.DUMMYFUNCTION("VLOOKUP(F4088, IMPORTRANGE(""https://docs.google.com/spreadsheets/d/1Lhp9OU0JdFf_VYSMzH5lBcEaU4o8teT1piV-SNzShjg/edit?gid=554141278#gid=554141278"", ""'Char Def. - Attributes'!C20:C2242""), 1,false)"),"ALT_DENUM_UOM5")</f>
        <v>ALT_DENUM_UOM5</v>
      </c>
      <c r="I4088" s="136"/>
    </row>
    <row r="4089" ht="15.75" customHeight="1">
      <c r="B4089" s="63">
        <f t="shared" si="1"/>
        <v>15</v>
      </c>
      <c r="C4089" s="146" t="s">
        <v>255</v>
      </c>
      <c r="D4089" s="147" t="s">
        <v>74</v>
      </c>
      <c r="E4089" s="135">
        <f t="shared" si="59"/>
        <v>42</v>
      </c>
      <c r="F4089" s="134" t="s">
        <v>3818</v>
      </c>
      <c r="G4089" s="63" t="str">
        <f>VLOOKUP(C4089, 'Class Def. - General Data'!$C$20:$C$1000,1,false)</f>
        <v>ZPM1_GLSPLS_Jar</v>
      </c>
      <c r="H4089" s="63" t="str">
        <f>IFERROR(__xludf.DUMMYFUNCTION("VLOOKUP(F4089, IMPORTRANGE(""https://docs.google.com/spreadsheets/d/1Lhp9OU0JdFf_VYSMzH5lBcEaU4o8teT1piV-SNzShjg/edit?gid=554141278#gid=554141278"", ""'Char Def. - Attributes'!C20:C2242""), 1,false)"),"ALT_NUM_UOM5")</f>
        <v>ALT_NUM_UOM5</v>
      </c>
      <c r="I4089" s="136"/>
    </row>
    <row r="4090" ht="15.75" customHeight="1">
      <c r="B4090" s="63">
        <f t="shared" si="1"/>
        <v>15</v>
      </c>
      <c r="C4090" s="146" t="s">
        <v>255</v>
      </c>
      <c r="D4090" s="147" t="s">
        <v>74</v>
      </c>
      <c r="E4090" s="135">
        <f t="shared" si="59"/>
        <v>43</v>
      </c>
      <c r="F4090" s="134" t="s">
        <v>3874</v>
      </c>
      <c r="G4090" s="63" t="str">
        <f>VLOOKUP(C4090, 'Class Def. - General Data'!$C$20:$C$1000,1,false)</f>
        <v>ZPM1_GLSPLS_Jar</v>
      </c>
      <c r="H4090" s="63" t="str">
        <f>IFERROR(__xludf.DUMMYFUNCTION("VLOOKUP(F4090, IMPORTRANGE(""https://docs.google.com/spreadsheets/d/1Lhp9OU0JdFf_VYSMzH5lBcEaU4o8teT1piV-SNzShjg/edit?gid=554141278#gid=554141278"", ""'Char Def. - Attributes'!C20:C2242""), 1,false)"),"VALUATION_CATEGORY")</f>
        <v>VALUATION_CATEGORY</v>
      </c>
      <c r="I4090" s="136"/>
    </row>
    <row r="4091" ht="15.75" customHeight="1">
      <c r="B4091" s="63">
        <f t="shared" si="1"/>
        <v>15</v>
      </c>
      <c r="C4091" s="146" t="s">
        <v>255</v>
      </c>
      <c r="D4091" s="147" t="s">
        <v>74</v>
      </c>
      <c r="E4091" s="135">
        <f t="shared" si="59"/>
        <v>44</v>
      </c>
      <c r="F4091" s="134" t="s">
        <v>3800</v>
      </c>
      <c r="G4091" s="63" t="str">
        <f>VLOOKUP(C4091, 'Class Def. - General Data'!$C$20:$C$1000,1,false)</f>
        <v>ZPM1_GLSPLS_Jar</v>
      </c>
      <c r="H4091" s="63" t="str">
        <f>IFERROR(__xludf.DUMMYFUNCTION("VLOOKUP(F4091, IMPORTRANGE(""https://docs.google.com/spreadsheets/d/1Lhp9OU0JdFf_VYSMzH5lBcEaU4o8teT1piV-SNzShjg/edit?gid=554141278#gid=554141278"", ""'Char Def. - Attributes'!C20:C2242""), 1,false)"),"ORDER_UNIT_DIFF_FROM_BASIC_UOM")</f>
        <v>ORDER_UNIT_DIFF_FROM_BASIC_UOM</v>
      </c>
      <c r="I4091" s="136"/>
    </row>
    <row r="4092" ht="15.75" customHeight="1">
      <c r="B4092" s="63">
        <f t="shared" si="1"/>
        <v>15</v>
      </c>
      <c r="C4092" s="146" t="s">
        <v>255</v>
      </c>
      <c r="D4092" s="147" t="s">
        <v>74</v>
      </c>
      <c r="E4092" s="135">
        <f t="shared" si="59"/>
        <v>45</v>
      </c>
      <c r="F4092" s="134" t="s">
        <v>3875</v>
      </c>
      <c r="G4092" s="63" t="str">
        <f>VLOOKUP(C4092, 'Class Def. - General Data'!$C$20:$C$1000,1,false)</f>
        <v>ZPM1_GLSPLS_Jar</v>
      </c>
      <c r="H4092" s="63" t="str">
        <f>IFERROR(__xludf.DUMMYFUNCTION("VLOOKUP(F4092, IMPORTRANGE(""https://docs.google.com/spreadsheets/d/1Lhp9OU0JdFf_VYSMzH5lBcEaU4o8teT1piV-SNzShjg/edit?gid=554141278#gid=554141278"", ""'Char Def. - Attributes'!C20:C2242""), 1,false)"),"ORDER_UNIT_RMPM")</f>
        <v>ORDER_UNIT_RMPM</v>
      </c>
      <c r="I4092" s="136"/>
    </row>
    <row r="4093" ht="15.75" customHeight="1">
      <c r="B4093" s="63">
        <f t="shared" si="1"/>
        <v>15</v>
      </c>
      <c r="C4093" s="146" t="s">
        <v>255</v>
      </c>
      <c r="D4093" s="147" t="s">
        <v>74</v>
      </c>
      <c r="E4093" s="135">
        <f t="shared" si="59"/>
        <v>46</v>
      </c>
      <c r="F4093" s="134" t="s">
        <v>3602</v>
      </c>
      <c r="G4093" s="63" t="str">
        <f>VLOOKUP(C4093, 'Class Def. - General Data'!$C$20:$C$1000,1,false)</f>
        <v>ZPM1_GLSPLS_Jar</v>
      </c>
      <c r="H4093" s="63" t="str">
        <f>IFERROR(__xludf.DUMMYFUNCTION("VLOOKUP(F4093, IMPORTRANGE(""https://docs.google.com/spreadsheets/d/1Lhp9OU0JdFf_VYSMzH5lBcEaU4o8teT1piV-SNzShjg/edit?gid=554141278#gid=554141278"", ""'Char Def. - Attributes'!C20:C2242""), 1,false)"),"NET_WEIGHT")</f>
        <v>NET_WEIGHT</v>
      </c>
      <c r="I4093" s="136"/>
    </row>
    <row r="4094" ht="15.75" customHeight="1">
      <c r="B4094" s="63">
        <f t="shared" si="1"/>
        <v>15</v>
      </c>
      <c r="C4094" s="146" t="s">
        <v>255</v>
      </c>
      <c r="D4094" s="147" t="s">
        <v>74</v>
      </c>
      <c r="E4094" s="135">
        <f t="shared" si="59"/>
        <v>47</v>
      </c>
      <c r="F4094" s="134" t="s">
        <v>3601</v>
      </c>
      <c r="G4094" s="63" t="str">
        <f>VLOOKUP(C4094, 'Class Def. - General Data'!$C$20:$C$1000,1,false)</f>
        <v>ZPM1_GLSPLS_Jar</v>
      </c>
      <c r="H4094" s="63" t="str">
        <f>IFERROR(__xludf.DUMMYFUNCTION("VLOOKUP(F4094, IMPORTRANGE(""https://docs.google.com/spreadsheets/d/1Lhp9OU0JdFf_VYSMzH5lBcEaU4o8teT1piV-SNzShjg/edit?gid=554141278#gid=554141278"", ""'Char Def. - Attributes'!C20:C2242""), 1,false)"),"GROSS_WEIGHT")</f>
        <v>GROSS_WEIGHT</v>
      </c>
      <c r="I4094" s="136"/>
    </row>
    <row r="4095" ht="15.75" customHeight="1">
      <c r="B4095" s="63">
        <f t="shared" si="1"/>
        <v>15</v>
      </c>
      <c r="C4095" s="146" t="s">
        <v>255</v>
      </c>
      <c r="D4095" s="147" t="s">
        <v>74</v>
      </c>
      <c r="E4095" s="135">
        <f t="shared" si="59"/>
        <v>48</v>
      </c>
      <c r="F4095" s="134" t="s">
        <v>3876</v>
      </c>
      <c r="G4095" s="63" t="str">
        <f>VLOOKUP(C4095, 'Class Def. - General Data'!$C$20:$C$1000,1,false)</f>
        <v>ZPM1_GLSPLS_Jar</v>
      </c>
      <c r="H4095" s="63" t="str">
        <f>IFERROR(__xludf.DUMMYFUNCTION("VLOOKUP(F4095, IMPORTRANGE(""https://docs.google.com/spreadsheets/d/1Lhp9OU0JdFf_VYSMzH5lBcEaU4o8teT1piV-SNzShjg/edit?gid=554141278#gid=554141278"", ""'Char Def. - Attributes'!C20:C2242""), 1,false)"),"WEIGHT_UNIT_PM")</f>
        <v>WEIGHT_UNIT_PM</v>
      </c>
      <c r="I4095" s="136"/>
    </row>
    <row r="4096" ht="15.75" customHeight="1">
      <c r="B4096" s="63">
        <f t="shared" si="1"/>
        <v>15</v>
      </c>
      <c r="C4096" s="146" t="s">
        <v>255</v>
      </c>
      <c r="D4096" s="147" t="s">
        <v>74</v>
      </c>
      <c r="E4096" s="135">
        <f t="shared" si="59"/>
        <v>49</v>
      </c>
      <c r="F4096" s="134" t="s">
        <v>3877</v>
      </c>
      <c r="G4096" s="63" t="str">
        <f>VLOOKUP(C4096, 'Class Def. - General Data'!$C$20:$C$1000,1,false)</f>
        <v>ZPM1_GLSPLS_Jar</v>
      </c>
      <c r="H4096" s="63" t="str">
        <f>IFERROR(__xludf.DUMMYFUNCTION("VLOOKUP(F4096, IMPORTRANGE(""https://docs.google.com/spreadsheets/d/1Lhp9OU0JdFf_VYSMzH5lBcEaU4o8teT1piV-SNzShjg/edit?gid=554141278#gid=554141278"", ""'Char Def. - Attributes'!C20:C2242""), 1,false)"),"VOLUME_OPT")</f>
        <v>VOLUME_OPT</v>
      </c>
      <c r="I4096" s="136"/>
    </row>
    <row r="4097" ht="15.75" customHeight="1">
      <c r="B4097" s="63">
        <f t="shared" si="1"/>
        <v>15</v>
      </c>
      <c r="C4097" s="146" t="s">
        <v>255</v>
      </c>
      <c r="D4097" s="147" t="s">
        <v>74</v>
      </c>
      <c r="E4097" s="135">
        <f t="shared" si="59"/>
        <v>50</v>
      </c>
      <c r="F4097" s="134" t="s">
        <v>3878</v>
      </c>
      <c r="G4097" s="63" t="str">
        <f>VLOOKUP(C4097, 'Class Def. - General Data'!$C$20:$C$1000,1,false)</f>
        <v>ZPM1_GLSPLS_Jar</v>
      </c>
      <c r="H4097" s="63" t="str">
        <f>IFERROR(__xludf.DUMMYFUNCTION("VLOOKUP(F4097, IMPORTRANGE(""https://docs.google.com/spreadsheets/d/1Lhp9OU0JdFf_VYSMzH5lBcEaU4o8teT1piV-SNzShjg/edit?gid=554141278#gid=554141278"", ""'Char Def. - Attributes'!C20:C2242""), 1,false)"),"VOLUME_UNIT")</f>
        <v>VOLUME_UNIT</v>
      </c>
      <c r="I4097" s="136"/>
    </row>
    <row r="4098" ht="15.75" customHeight="1">
      <c r="B4098" s="63">
        <f t="shared" si="1"/>
        <v>15</v>
      </c>
      <c r="C4098" s="146" t="s">
        <v>255</v>
      </c>
      <c r="D4098" s="147" t="s">
        <v>74</v>
      </c>
      <c r="E4098" s="135">
        <f t="shared" si="59"/>
        <v>51</v>
      </c>
      <c r="F4098" s="134" t="s">
        <v>3879</v>
      </c>
      <c r="G4098" s="63" t="str">
        <f>VLOOKUP(C4098, 'Class Def. - General Data'!$C$20:$C$1000,1,false)</f>
        <v>ZPM1_GLSPLS_Jar</v>
      </c>
      <c r="H4098" s="63" t="str">
        <f>IFERROR(__xludf.DUMMYFUNCTION("VLOOKUP(F4098, IMPORTRANGE(""https://docs.google.com/spreadsheets/d/1Lhp9OU0JdFf_VYSMzH5lBcEaU4o8teT1piV-SNzShjg/edit?gid=554141278#gid=554141278"", ""'Char Def. - Attributes'!C20:C2242""), 1,false)"),"OLD_MAT_NO_RMPM")</f>
        <v>OLD_MAT_NO_RMPM</v>
      </c>
      <c r="I4098" s="136"/>
    </row>
    <row r="4099" ht="15.75" customHeight="1">
      <c r="B4099" s="63">
        <f t="shared" si="1"/>
        <v>15</v>
      </c>
      <c r="C4099" s="146" t="s">
        <v>255</v>
      </c>
      <c r="D4099" s="147" t="s">
        <v>74</v>
      </c>
      <c r="E4099" s="135">
        <f t="shared" si="59"/>
        <v>52</v>
      </c>
      <c r="F4099" s="134" t="s">
        <v>3880</v>
      </c>
      <c r="G4099" s="63" t="str">
        <f>VLOOKUP(C4099, 'Class Def. - General Data'!$C$20:$C$1000,1,false)</f>
        <v>ZPM1_GLSPLS_Jar</v>
      </c>
      <c r="H4099" s="63" t="str">
        <f>IFERROR(__xludf.DUMMYFUNCTION("VLOOKUP(F4099, IMPORTRANGE(""https://docs.google.com/spreadsheets/d/1Lhp9OU0JdFf_VYSMzH5lBcEaU4o8teT1piV-SNzShjg/edit?gid=554141278#gid=554141278"", ""'Char Def. - Attributes'!C20:C2242""), 1,false)"),"NOTE_PM")</f>
        <v>NOTE_PM</v>
      </c>
      <c r="I4099" s="136"/>
    </row>
    <row r="4100" ht="15.75" customHeight="1">
      <c r="B4100" s="63">
        <f t="shared" si="1"/>
        <v>15</v>
      </c>
      <c r="C4100" s="146" t="s">
        <v>255</v>
      </c>
      <c r="D4100" s="147" t="s">
        <v>74</v>
      </c>
      <c r="E4100" s="135">
        <f t="shared" si="59"/>
        <v>53</v>
      </c>
      <c r="F4100" s="134" t="s">
        <v>3881</v>
      </c>
      <c r="G4100" s="63" t="str">
        <f>VLOOKUP(C4100, 'Class Def. - General Data'!$C$20:$C$1000,1,false)</f>
        <v>ZPM1_GLSPLS_Jar</v>
      </c>
      <c r="H4100" s="63" t="str">
        <f>IFERROR(__xludf.DUMMYFUNCTION("VLOOKUP(F4100, IMPORTRANGE(""https://docs.google.com/spreadsheets/d/1Lhp9OU0JdFf_VYSMzH5lBcEaU4o8teT1piV-SNzShjg/edit?gid=554141278#gid=554141278"", ""'Char Def. - Attributes'!C20:C2242""), 1,false)"),"BS_BERSIH")</f>
        <v>BS_BERSIH</v>
      </c>
      <c r="I4100" s="136"/>
    </row>
    <row r="4101" ht="15.75" customHeight="1">
      <c r="B4101" s="63">
        <f t="shared" si="1"/>
        <v>15</v>
      </c>
      <c r="C4101" s="146" t="s">
        <v>255</v>
      </c>
      <c r="D4101" s="147" t="s">
        <v>74</v>
      </c>
      <c r="E4101" s="135">
        <f t="shared" si="59"/>
        <v>54</v>
      </c>
      <c r="F4101" s="134" t="s">
        <v>3882</v>
      </c>
      <c r="G4101" s="63" t="str">
        <f>VLOOKUP(C4101, 'Class Def. - General Data'!$C$20:$C$1000,1,false)</f>
        <v>ZPM1_GLSPLS_Jar</v>
      </c>
      <c r="H4101" s="63" t="str">
        <f>IFERROR(__xludf.DUMMYFUNCTION("VLOOKUP(F4101, IMPORTRANGE(""https://docs.google.com/spreadsheets/d/1Lhp9OU0JdFf_VYSMzH5lBcEaU4o8teT1piV-SNzShjg/edit?gid=554141278#gid=554141278"", ""'Char Def. - Attributes'!C20:C2242""), 1,false)"),"BS_KOTOR")</f>
        <v>BS_KOTOR</v>
      </c>
      <c r="I4101" s="136"/>
    </row>
    <row r="4102" ht="15.75" customHeight="1">
      <c r="B4102" s="63">
        <f t="shared" si="1"/>
        <v>15</v>
      </c>
      <c r="C4102" s="146" t="s">
        <v>255</v>
      </c>
      <c r="D4102" s="147" t="s">
        <v>74</v>
      </c>
      <c r="E4102" s="135">
        <f t="shared" si="59"/>
        <v>55</v>
      </c>
      <c r="F4102" s="134" t="s">
        <v>3883</v>
      </c>
      <c r="G4102" s="63" t="str">
        <f>VLOOKUP(C4102, 'Class Def. - General Data'!$C$20:$C$1000,1,false)</f>
        <v>ZPM1_GLSPLS_Jar</v>
      </c>
      <c r="H4102" s="63" t="str">
        <f>IFERROR(__xludf.DUMMYFUNCTION("VLOOKUP(F4102, IMPORTRANGE(""https://docs.google.com/spreadsheets/d/1Lhp9OU0JdFf_VYSMzH5lBcEaU4o8teT1piV-SNzShjg/edit?gid=554141278#gid=554141278"", ""'Char Def. - Attributes'!C20:C2242""), 1,false)"),"BS_SCRAP")</f>
        <v>BS_SCRAP</v>
      </c>
      <c r="I4102" s="136"/>
    </row>
    <row r="4103" ht="15.75" customHeight="1">
      <c r="B4103" s="63">
        <f t="shared" si="1"/>
        <v>13</v>
      </c>
      <c r="C4103" s="146" t="s">
        <v>259</v>
      </c>
      <c r="D4103" s="147" t="s">
        <v>74</v>
      </c>
      <c r="E4103" s="135">
        <f t="shared" si="59"/>
        <v>1</v>
      </c>
      <c r="F4103" s="134" t="s">
        <v>3933</v>
      </c>
      <c r="G4103" s="63" t="str">
        <f>VLOOKUP(C4103, 'Class Def. - General Data'!$C$20:$C$1000,1,false)</f>
        <v>ZPM1_Glue_Ink</v>
      </c>
      <c r="H4103" s="63" t="str">
        <f>IFERROR(__xludf.DUMMYFUNCTION("VLOOKUP(F4103, IMPORTRANGE(""https://docs.google.com/spreadsheets/d/1Lhp9OU0JdFf_VYSMzH5lBcEaU4o8teT1piV-SNzShjg/edit?gid=554141278#gid=554141278"", ""'Char Def. - Attributes'!C20:C2242""), 1,false)"),"MATERIAL_CODE_GLUE_INK")</f>
        <v>MATERIAL_CODE_GLUE_INK</v>
      </c>
      <c r="I4103" s="136"/>
    </row>
    <row r="4104" ht="15.75" customHeight="1">
      <c r="B4104" s="63">
        <f t="shared" si="1"/>
        <v>13</v>
      </c>
      <c r="C4104" s="146" t="s">
        <v>259</v>
      </c>
      <c r="D4104" s="147" t="s">
        <v>74</v>
      </c>
      <c r="E4104" s="135">
        <f t="shared" si="59"/>
        <v>2</v>
      </c>
      <c r="F4104" s="134" t="s">
        <v>3934</v>
      </c>
      <c r="G4104" s="63" t="str">
        <f>VLOOKUP(C4104, 'Class Def. - General Data'!$C$20:$C$1000,1,false)</f>
        <v>ZPM1_Glue_Ink</v>
      </c>
      <c r="H4104" s="63" t="str">
        <f>IFERROR(__xludf.DUMMYFUNCTION("VLOOKUP(F4104, IMPORTRANGE(""https://docs.google.com/spreadsheets/d/1Lhp9OU0JdFf_VYSMzH5lBcEaU4o8teT1piV-SNzShjg/edit?gid=554141278#gid=554141278"", ""'Char Def. - Attributes'!C20:C2242""), 1,false)"),"DETAILS_A")</f>
        <v>DETAILS_A</v>
      </c>
      <c r="I4104" s="136"/>
    </row>
    <row r="4105" ht="15.75" customHeight="1">
      <c r="B4105" s="63">
        <f t="shared" si="1"/>
        <v>13</v>
      </c>
      <c r="C4105" s="146" t="s">
        <v>259</v>
      </c>
      <c r="D4105" s="147" t="s">
        <v>74</v>
      </c>
      <c r="E4105" s="135">
        <f t="shared" si="59"/>
        <v>3</v>
      </c>
      <c r="F4105" s="134" t="s">
        <v>3935</v>
      </c>
      <c r="G4105" s="63" t="str">
        <f>VLOOKUP(C4105, 'Class Def. - General Data'!$C$20:$C$1000,1,false)</f>
        <v>ZPM1_Glue_Ink</v>
      </c>
      <c r="H4105" s="63" t="str">
        <f>IFERROR(__xludf.DUMMYFUNCTION("VLOOKUP(F4105, IMPORTRANGE(""https://docs.google.com/spreadsheets/d/1Lhp9OU0JdFf_VYSMzH5lBcEaU4o8teT1piV-SNzShjg/edit?gid=554141278#gid=554141278"", ""'Char Def. - Attributes'!C20:C2242""), 1,false)"),"COLOR_INK")</f>
        <v>COLOR_INK</v>
      </c>
      <c r="I4105" s="136"/>
    </row>
    <row r="4106" ht="15.75" customHeight="1">
      <c r="B4106" s="63">
        <f t="shared" si="1"/>
        <v>13</v>
      </c>
      <c r="C4106" s="146" t="s">
        <v>259</v>
      </c>
      <c r="D4106" s="147" t="s">
        <v>74</v>
      </c>
      <c r="E4106" s="135">
        <f t="shared" si="59"/>
        <v>4</v>
      </c>
      <c r="F4106" s="134" t="s">
        <v>3587</v>
      </c>
      <c r="G4106" s="63" t="str">
        <f>VLOOKUP(C4106, 'Class Def. - General Data'!$C$20:$C$1000,1,false)</f>
        <v>ZPM1_Glue_Ink</v>
      </c>
      <c r="H4106" s="63" t="str">
        <f>IFERROR(__xludf.DUMMYFUNCTION("VLOOKUP(F4106, IMPORTRANGE(""https://docs.google.com/spreadsheets/d/1Lhp9OU0JdFf_VYSMzH5lBcEaU4o8teT1piV-SNzShjg/edit?gid=554141278#gid=554141278"", ""'Char Def. - Attributes'!C20:C2242""), 1,false)"),"PLANT_BUY")</f>
        <v>PLANT_BUY</v>
      </c>
      <c r="I4106" s="136"/>
    </row>
    <row r="4107" ht="15.75" customHeight="1">
      <c r="B4107" s="63">
        <f t="shared" si="1"/>
        <v>13</v>
      </c>
      <c r="C4107" s="146" t="s">
        <v>259</v>
      </c>
      <c r="D4107" s="147" t="s">
        <v>74</v>
      </c>
      <c r="E4107" s="135">
        <f t="shared" si="59"/>
        <v>5</v>
      </c>
      <c r="F4107" s="134" t="s">
        <v>3865</v>
      </c>
      <c r="G4107" s="63" t="str">
        <f>VLOOKUP(C4107, 'Class Def. - General Data'!$C$20:$C$1000,1,false)</f>
        <v>ZPM1_Glue_Ink</v>
      </c>
      <c r="H4107" s="63" t="str">
        <f>IFERROR(__xludf.DUMMYFUNCTION("VLOOKUP(F4107, IMPORTRANGE(""https://docs.google.com/spreadsheets/d/1Lhp9OU0JdFf_VYSMzH5lBcEaU4o8teT1piV-SNzShjg/edit?gid=554141278#gid=554141278"", ""'Char Def. - Attributes'!C20:C2242""), 1,false)"),"PLANT_PROD_OPT")</f>
        <v>PLANT_PROD_OPT</v>
      </c>
      <c r="I4107" s="136"/>
    </row>
    <row r="4108" ht="15.75" customHeight="1">
      <c r="B4108" s="63">
        <f t="shared" si="1"/>
        <v>13</v>
      </c>
      <c r="C4108" s="146" t="s">
        <v>259</v>
      </c>
      <c r="D4108" s="147" t="s">
        <v>74</v>
      </c>
      <c r="E4108" s="135">
        <f t="shared" si="59"/>
        <v>6</v>
      </c>
      <c r="F4108" s="134" t="s">
        <v>3866</v>
      </c>
      <c r="G4108" s="63" t="str">
        <f>VLOOKUP(C4108, 'Class Def. - General Data'!$C$20:$C$1000,1,false)</f>
        <v>ZPM1_Glue_Ink</v>
      </c>
      <c r="H4108" s="63" t="str">
        <f>IFERROR(__xludf.DUMMYFUNCTION("VLOOKUP(F4108, IMPORTRANGE(""https://docs.google.com/spreadsheets/d/1Lhp9OU0JdFf_VYSMzH5lBcEaU4o8teT1piV-SNzShjg/edit?gid=554141278#gid=554141278"", ""'Char Def. - Attributes'!C20:C2242""), 1,false)"),"PM_SUPPLY_JKT")</f>
        <v>PM_SUPPLY_JKT</v>
      </c>
      <c r="I4108" s="136"/>
    </row>
    <row r="4109" ht="15.75" customHeight="1">
      <c r="B4109" s="63">
        <f t="shared" si="1"/>
        <v>13</v>
      </c>
      <c r="C4109" s="146" t="s">
        <v>259</v>
      </c>
      <c r="D4109" s="147" t="s">
        <v>74</v>
      </c>
      <c r="E4109" s="135">
        <f t="shared" si="59"/>
        <v>7</v>
      </c>
      <c r="F4109" s="134" t="s">
        <v>3867</v>
      </c>
      <c r="G4109" s="63" t="str">
        <f>VLOOKUP(C4109, 'Class Def. - General Data'!$C$20:$C$1000,1,false)</f>
        <v>ZPM1_Glue_Ink</v>
      </c>
      <c r="H4109" s="63" t="str">
        <f>IFERROR(__xludf.DUMMYFUNCTION("VLOOKUP(F4109, IMPORTRANGE(""https://docs.google.com/spreadsheets/d/1Lhp9OU0JdFf_VYSMzH5lBcEaU4o8teT1piV-SNzShjg/edit?gid=554141278#gid=554141278"", ""'Char Def. - Attributes'!C20:C2242""), 1,false)"),"PM_SUPPLY_SBY")</f>
        <v>PM_SUPPLY_SBY</v>
      </c>
      <c r="I4109" s="136"/>
    </row>
    <row r="4110" ht="15.75" customHeight="1">
      <c r="B4110" s="63">
        <f t="shared" si="1"/>
        <v>13</v>
      </c>
      <c r="C4110" s="146" t="s">
        <v>259</v>
      </c>
      <c r="D4110" s="147" t="s">
        <v>74</v>
      </c>
      <c r="E4110" s="135">
        <f t="shared" si="59"/>
        <v>8</v>
      </c>
      <c r="F4110" s="134" t="s">
        <v>3868</v>
      </c>
      <c r="G4110" s="63" t="str">
        <f>VLOOKUP(C4110, 'Class Def. - General Data'!$C$20:$C$1000,1,false)</f>
        <v>ZPM1_Glue_Ink</v>
      </c>
      <c r="H4110" s="63" t="str">
        <f>IFERROR(__xludf.DUMMYFUNCTION("VLOOKUP(F4110, IMPORTRANGE(""https://docs.google.com/spreadsheets/d/1Lhp9OU0JdFf_VYSMzH5lBcEaU4o8teT1piV-SNzShjg/edit?gid=554141278#gid=554141278"", ""'Char Def. - Attributes'!C20:C2242""), 1,false)"),"BASIC_UOM_RMPM")</f>
        <v>BASIC_UOM_RMPM</v>
      </c>
      <c r="I4110" s="136"/>
    </row>
    <row r="4111" ht="15.75" customHeight="1">
      <c r="B4111" s="63">
        <f t="shared" si="1"/>
        <v>13</v>
      </c>
      <c r="C4111" s="146" t="s">
        <v>259</v>
      </c>
      <c r="D4111" s="147" t="s">
        <v>74</v>
      </c>
      <c r="E4111" s="135">
        <f t="shared" si="59"/>
        <v>9</v>
      </c>
      <c r="F4111" s="134" t="s">
        <v>3869</v>
      </c>
      <c r="G4111" s="63" t="str">
        <f>VLOOKUP(C4111, 'Class Def. - General Data'!$C$20:$C$1000,1,false)</f>
        <v>ZPM1_Glue_Ink</v>
      </c>
      <c r="H4111" s="63" t="str">
        <f>IFERROR(__xludf.DUMMYFUNCTION("VLOOKUP(F4111, IMPORTRANGE(""https://docs.google.com/spreadsheets/d/1Lhp9OU0JdFf_VYSMzH5lBcEaU4o8teT1piV-SNzShjg/edit?gid=554141278#gid=554141278"", ""'Char Def. - Attributes'!C20:C2242""), 1,false)"),"ALT_UOM1_RMPM")</f>
        <v>ALT_UOM1_RMPM</v>
      </c>
      <c r="I4111" s="136"/>
    </row>
    <row r="4112" ht="15.75" customHeight="1">
      <c r="B4112" s="63">
        <f t="shared" si="1"/>
        <v>13</v>
      </c>
      <c r="C4112" s="146" t="s">
        <v>259</v>
      </c>
      <c r="D4112" s="147" t="s">
        <v>74</v>
      </c>
      <c r="E4112" s="135">
        <f t="shared" si="59"/>
        <v>10</v>
      </c>
      <c r="F4112" s="134" t="s">
        <v>3805</v>
      </c>
      <c r="G4112" s="63" t="str">
        <f>VLOOKUP(C4112, 'Class Def. - General Data'!$C$20:$C$1000,1,false)</f>
        <v>ZPM1_Glue_Ink</v>
      </c>
      <c r="H4112" s="63" t="str">
        <f>IFERROR(__xludf.DUMMYFUNCTION("VLOOKUP(F4112, IMPORTRANGE(""https://docs.google.com/spreadsheets/d/1Lhp9OU0JdFf_VYSMzH5lBcEaU4o8teT1piV-SNzShjg/edit?gid=554141278#gid=554141278"", ""'Char Def. - Attributes'!C20:C2242""), 1,false)"),"ALT_DENUM_UOM1")</f>
        <v>ALT_DENUM_UOM1</v>
      </c>
      <c r="I4112" s="136"/>
    </row>
    <row r="4113" ht="15.75" customHeight="1">
      <c r="B4113" s="63">
        <f t="shared" si="1"/>
        <v>13</v>
      </c>
      <c r="C4113" s="146" t="s">
        <v>259</v>
      </c>
      <c r="D4113" s="147" t="s">
        <v>74</v>
      </c>
      <c r="E4113" s="135">
        <f t="shared" si="59"/>
        <v>11</v>
      </c>
      <c r="F4113" s="134" t="s">
        <v>3806</v>
      </c>
      <c r="G4113" s="63" t="str">
        <f>VLOOKUP(C4113, 'Class Def. - General Data'!$C$20:$C$1000,1,false)</f>
        <v>ZPM1_Glue_Ink</v>
      </c>
      <c r="H4113" s="63" t="str">
        <f>IFERROR(__xludf.DUMMYFUNCTION("VLOOKUP(F4113, IMPORTRANGE(""https://docs.google.com/spreadsheets/d/1Lhp9OU0JdFf_VYSMzH5lBcEaU4o8teT1piV-SNzShjg/edit?gid=554141278#gid=554141278"", ""'Char Def. - Attributes'!C20:C2242""), 1,false)"),"ALT_NUM_UOM1")</f>
        <v>ALT_NUM_UOM1</v>
      </c>
      <c r="I4113" s="136"/>
    </row>
    <row r="4114" ht="15.75" customHeight="1">
      <c r="B4114" s="63">
        <f t="shared" si="1"/>
        <v>13</v>
      </c>
      <c r="C4114" s="146" t="s">
        <v>259</v>
      </c>
      <c r="D4114" s="147" t="s">
        <v>74</v>
      </c>
      <c r="E4114" s="135">
        <f t="shared" si="59"/>
        <v>12</v>
      </c>
      <c r="F4114" s="134" t="s">
        <v>3870</v>
      </c>
      <c r="G4114" s="63" t="str">
        <f>VLOOKUP(C4114, 'Class Def. - General Data'!$C$20:$C$1000,1,false)</f>
        <v>ZPM1_Glue_Ink</v>
      </c>
      <c r="H4114" s="63" t="str">
        <f>IFERROR(__xludf.DUMMYFUNCTION("VLOOKUP(F4114, IMPORTRANGE(""https://docs.google.com/spreadsheets/d/1Lhp9OU0JdFf_VYSMzH5lBcEaU4o8teT1piV-SNzShjg/edit?gid=554141278#gid=554141278"", ""'Char Def. - Attributes'!C20:C2242""), 1,false)"),"ALT_UOM2_RMPM")</f>
        <v>ALT_UOM2_RMPM</v>
      </c>
      <c r="I4114" s="136"/>
    </row>
    <row r="4115" ht="15.75" customHeight="1">
      <c r="B4115" s="63">
        <f t="shared" si="1"/>
        <v>13</v>
      </c>
      <c r="C4115" s="146" t="s">
        <v>259</v>
      </c>
      <c r="D4115" s="147" t="s">
        <v>74</v>
      </c>
      <c r="E4115" s="135">
        <f t="shared" si="59"/>
        <v>13</v>
      </c>
      <c r="F4115" s="134" t="s">
        <v>3808</v>
      </c>
      <c r="G4115" s="63" t="str">
        <f>VLOOKUP(C4115, 'Class Def. - General Data'!$C$20:$C$1000,1,false)</f>
        <v>ZPM1_Glue_Ink</v>
      </c>
      <c r="H4115" s="63" t="str">
        <f>IFERROR(__xludf.DUMMYFUNCTION("VLOOKUP(F4115, IMPORTRANGE(""https://docs.google.com/spreadsheets/d/1Lhp9OU0JdFf_VYSMzH5lBcEaU4o8teT1piV-SNzShjg/edit?gid=554141278#gid=554141278"", ""'Char Def. - Attributes'!C20:C2242""), 1,false)"),"ALT_DENUM_UOM2")</f>
        <v>ALT_DENUM_UOM2</v>
      </c>
      <c r="I4115" s="136"/>
    </row>
    <row r="4116" ht="15.75" customHeight="1">
      <c r="B4116" s="63">
        <f t="shared" si="1"/>
        <v>13</v>
      </c>
      <c r="C4116" s="146" t="s">
        <v>259</v>
      </c>
      <c r="D4116" s="147" t="s">
        <v>74</v>
      </c>
      <c r="E4116" s="135">
        <f t="shared" si="59"/>
        <v>14</v>
      </c>
      <c r="F4116" s="134" t="s">
        <v>3809</v>
      </c>
      <c r="G4116" s="63" t="str">
        <f>VLOOKUP(C4116, 'Class Def. - General Data'!$C$20:$C$1000,1,false)</f>
        <v>ZPM1_Glue_Ink</v>
      </c>
      <c r="H4116" s="63" t="str">
        <f>IFERROR(__xludf.DUMMYFUNCTION("VLOOKUP(F4116, IMPORTRANGE(""https://docs.google.com/spreadsheets/d/1Lhp9OU0JdFf_VYSMzH5lBcEaU4o8teT1piV-SNzShjg/edit?gid=554141278#gid=554141278"", ""'Char Def. - Attributes'!C20:C2242""), 1,false)"),"ALT_NUM_UOM2")</f>
        <v>ALT_NUM_UOM2</v>
      </c>
      <c r="I4116" s="136"/>
    </row>
    <row r="4117" ht="15.75" customHeight="1">
      <c r="B4117" s="63">
        <f t="shared" si="1"/>
        <v>13</v>
      </c>
      <c r="C4117" s="146" t="s">
        <v>259</v>
      </c>
      <c r="D4117" s="147" t="s">
        <v>74</v>
      </c>
      <c r="E4117" s="135">
        <f t="shared" si="59"/>
        <v>15</v>
      </c>
      <c r="F4117" s="134" t="s">
        <v>3871</v>
      </c>
      <c r="G4117" s="63" t="str">
        <f>VLOOKUP(C4117, 'Class Def. - General Data'!$C$20:$C$1000,1,false)</f>
        <v>ZPM1_Glue_Ink</v>
      </c>
      <c r="H4117" s="63" t="str">
        <f>IFERROR(__xludf.DUMMYFUNCTION("VLOOKUP(F4117, IMPORTRANGE(""https://docs.google.com/spreadsheets/d/1Lhp9OU0JdFf_VYSMzH5lBcEaU4o8teT1piV-SNzShjg/edit?gid=554141278#gid=554141278"", ""'Char Def. - Attributes'!C20:C2242""), 1,false)"),"ALT_UOM3_RMPM")</f>
        <v>ALT_UOM3_RMPM</v>
      </c>
      <c r="I4117" s="136"/>
    </row>
    <row r="4118" ht="15.75" customHeight="1">
      <c r="B4118" s="63">
        <f t="shared" si="1"/>
        <v>13</v>
      </c>
      <c r="C4118" s="146" t="s">
        <v>259</v>
      </c>
      <c r="D4118" s="147" t="s">
        <v>74</v>
      </c>
      <c r="E4118" s="135">
        <f t="shared" si="59"/>
        <v>16</v>
      </c>
      <c r="F4118" s="134" t="s">
        <v>3811</v>
      </c>
      <c r="G4118" s="63" t="str">
        <f>VLOOKUP(C4118, 'Class Def. - General Data'!$C$20:$C$1000,1,false)</f>
        <v>ZPM1_Glue_Ink</v>
      </c>
      <c r="H4118" s="63" t="str">
        <f>IFERROR(__xludf.DUMMYFUNCTION("VLOOKUP(F4118, IMPORTRANGE(""https://docs.google.com/spreadsheets/d/1Lhp9OU0JdFf_VYSMzH5lBcEaU4o8teT1piV-SNzShjg/edit?gid=554141278#gid=554141278"", ""'Char Def. - Attributes'!C20:C2242""), 1,false)"),"ALT_DENUM_UOM3")</f>
        <v>ALT_DENUM_UOM3</v>
      </c>
      <c r="I4118" s="136"/>
    </row>
    <row r="4119" ht="15.75" customHeight="1">
      <c r="B4119" s="63">
        <f t="shared" si="1"/>
        <v>13</v>
      </c>
      <c r="C4119" s="146" t="s">
        <v>259</v>
      </c>
      <c r="D4119" s="147" t="s">
        <v>74</v>
      </c>
      <c r="E4119" s="135">
        <f t="shared" si="59"/>
        <v>17</v>
      </c>
      <c r="F4119" s="134" t="s">
        <v>3812</v>
      </c>
      <c r="G4119" s="63" t="str">
        <f>VLOOKUP(C4119, 'Class Def. - General Data'!$C$20:$C$1000,1,false)</f>
        <v>ZPM1_Glue_Ink</v>
      </c>
      <c r="H4119" s="63" t="str">
        <f>IFERROR(__xludf.DUMMYFUNCTION("VLOOKUP(F4119, IMPORTRANGE(""https://docs.google.com/spreadsheets/d/1Lhp9OU0JdFf_VYSMzH5lBcEaU4o8teT1piV-SNzShjg/edit?gid=554141278#gid=554141278"", ""'Char Def. - Attributes'!C20:C2242""), 1,false)"),"ALT_NUM_UOM3")</f>
        <v>ALT_NUM_UOM3</v>
      </c>
      <c r="I4119" s="136"/>
    </row>
    <row r="4120" ht="15.75" customHeight="1">
      <c r="B4120" s="63">
        <f t="shared" si="1"/>
        <v>13</v>
      </c>
      <c r="C4120" s="146" t="s">
        <v>259</v>
      </c>
      <c r="D4120" s="147" t="s">
        <v>74</v>
      </c>
      <c r="E4120" s="135">
        <f t="shared" si="59"/>
        <v>18</v>
      </c>
      <c r="F4120" s="134" t="s">
        <v>3872</v>
      </c>
      <c r="G4120" s="63" t="str">
        <f>VLOOKUP(C4120, 'Class Def. - General Data'!$C$20:$C$1000,1,false)</f>
        <v>ZPM1_Glue_Ink</v>
      </c>
      <c r="H4120" s="63" t="str">
        <f>IFERROR(__xludf.DUMMYFUNCTION("VLOOKUP(F4120, IMPORTRANGE(""https://docs.google.com/spreadsheets/d/1Lhp9OU0JdFf_VYSMzH5lBcEaU4o8teT1piV-SNzShjg/edit?gid=554141278#gid=554141278"", ""'Char Def. - Attributes'!C20:C2242""), 1,false)"),"ALT_UOM4_RMPM")</f>
        <v>ALT_UOM4_RMPM</v>
      </c>
      <c r="I4120" s="136"/>
    </row>
    <row r="4121" ht="15.75" customHeight="1">
      <c r="B4121" s="63">
        <f t="shared" si="1"/>
        <v>13</v>
      </c>
      <c r="C4121" s="146" t="s">
        <v>259</v>
      </c>
      <c r="D4121" s="147" t="s">
        <v>74</v>
      </c>
      <c r="E4121" s="135">
        <f t="shared" si="59"/>
        <v>19</v>
      </c>
      <c r="F4121" s="134" t="s">
        <v>3814</v>
      </c>
      <c r="G4121" s="63" t="str">
        <f>VLOOKUP(C4121, 'Class Def. - General Data'!$C$20:$C$1000,1,false)</f>
        <v>ZPM1_Glue_Ink</v>
      </c>
      <c r="H4121" s="63" t="str">
        <f>IFERROR(__xludf.DUMMYFUNCTION("VLOOKUP(F4121, IMPORTRANGE(""https://docs.google.com/spreadsheets/d/1Lhp9OU0JdFf_VYSMzH5lBcEaU4o8teT1piV-SNzShjg/edit?gid=554141278#gid=554141278"", ""'Char Def. - Attributes'!C20:C2242""), 1,false)"),"ALT_DENUM_UOM4")</f>
        <v>ALT_DENUM_UOM4</v>
      </c>
      <c r="I4121" s="136"/>
    </row>
    <row r="4122" ht="15.75" customHeight="1">
      <c r="B4122" s="63">
        <f t="shared" si="1"/>
        <v>13</v>
      </c>
      <c r="C4122" s="146" t="s">
        <v>259</v>
      </c>
      <c r="D4122" s="147" t="s">
        <v>74</v>
      </c>
      <c r="E4122" s="135">
        <f t="shared" si="59"/>
        <v>20</v>
      </c>
      <c r="F4122" s="134" t="s">
        <v>3815</v>
      </c>
      <c r="G4122" s="63" t="str">
        <f>VLOOKUP(C4122, 'Class Def. - General Data'!$C$20:$C$1000,1,false)</f>
        <v>ZPM1_Glue_Ink</v>
      </c>
      <c r="H4122" s="63" t="str">
        <f>IFERROR(__xludf.DUMMYFUNCTION("VLOOKUP(F4122, IMPORTRANGE(""https://docs.google.com/spreadsheets/d/1Lhp9OU0JdFf_VYSMzH5lBcEaU4o8teT1piV-SNzShjg/edit?gid=554141278#gid=554141278"", ""'Char Def. - Attributes'!C20:C2242""), 1,false)"),"ALT_NUM_UOM4")</f>
        <v>ALT_NUM_UOM4</v>
      </c>
      <c r="I4122" s="136"/>
    </row>
    <row r="4123" ht="15.75" customHeight="1">
      <c r="B4123" s="63">
        <f t="shared" si="1"/>
        <v>13</v>
      </c>
      <c r="C4123" s="146" t="s">
        <v>259</v>
      </c>
      <c r="D4123" s="147" t="s">
        <v>74</v>
      </c>
      <c r="E4123" s="135">
        <f t="shared" si="59"/>
        <v>21</v>
      </c>
      <c r="F4123" s="134" t="s">
        <v>3873</v>
      </c>
      <c r="G4123" s="63" t="str">
        <f>VLOOKUP(C4123, 'Class Def. - General Data'!$C$20:$C$1000,1,false)</f>
        <v>ZPM1_Glue_Ink</v>
      </c>
      <c r="H4123" s="63" t="str">
        <f>IFERROR(__xludf.DUMMYFUNCTION("VLOOKUP(F4123, IMPORTRANGE(""https://docs.google.com/spreadsheets/d/1Lhp9OU0JdFf_VYSMzH5lBcEaU4o8teT1piV-SNzShjg/edit?gid=554141278#gid=554141278"", ""'Char Def. - Attributes'!C20:C2242""), 1,false)"),"ALT_UOM5_RMPM")</f>
        <v>ALT_UOM5_RMPM</v>
      </c>
      <c r="I4123" s="136"/>
    </row>
    <row r="4124" ht="15.75" customHeight="1">
      <c r="B4124" s="63">
        <f t="shared" si="1"/>
        <v>13</v>
      </c>
      <c r="C4124" s="146" t="s">
        <v>259</v>
      </c>
      <c r="D4124" s="147" t="s">
        <v>74</v>
      </c>
      <c r="E4124" s="135">
        <f t="shared" si="59"/>
        <v>22</v>
      </c>
      <c r="F4124" s="134" t="s">
        <v>3817</v>
      </c>
      <c r="G4124" s="63" t="str">
        <f>VLOOKUP(C4124, 'Class Def. - General Data'!$C$20:$C$1000,1,false)</f>
        <v>ZPM1_Glue_Ink</v>
      </c>
      <c r="H4124" s="63" t="str">
        <f>IFERROR(__xludf.DUMMYFUNCTION("VLOOKUP(F4124, IMPORTRANGE(""https://docs.google.com/spreadsheets/d/1Lhp9OU0JdFf_VYSMzH5lBcEaU4o8teT1piV-SNzShjg/edit?gid=554141278#gid=554141278"", ""'Char Def. - Attributes'!C20:C2242""), 1,false)"),"ALT_DENUM_UOM5")</f>
        <v>ALT_DENUM_UOM5</v>
      </c>
      <c r="I4124" s="136"/>
    </row>
    <row r="4125" ht="15.75" customHeight="1">
      <c r="B4125" s="63">
        <f t="shared" si="1"/>
        <v>13</v>
      </c>
      <c r="C4125" s="146" t="s">
        <v>259</v>
      </c>
      <c r="D4125" s="147" t="s">
        <v>74</v>
      </c>
      <c r="E4125" s="135">
        <f t="shared" si="59"/>
        <v>23</v>
      </c>
      <c r="F4125" s="134" t="s">
        <v>3818</v>
      </c>
      <c r="G4125" s="63" t="str">
        <f>VLOOKUP(C4125, 'Class Def. - General Data'!$C$20:$C$1000,1,false)</f>
        <v>ZPM1_Glue_Ink</v>
      </c>
      <c r="H4125" s="63" t="str">
        <f>IFERROR(__xludf.DUMMYFUNCTION("VLOOKUP(F4125, IMPORTRANGE(""https://docs.google.com/spreadsheets/d/1Lhp9OU0JdFf_VYSMzH5lBcEaU4o8teT1piV-SNzShjg/edit?gid=554141278#gid=554141278"", ""'Char Def. - Attributes'!C20:C2242""), 1,false)"),"ALT_NUM_UOM5")</f>
        <v>ALT_NUM_UOM5</v>
      </c>
      <c r="I4125" s="136"/>
    </row>
    <row r="4126" ht="15.75" customHeight="1">
      <c r="B4126" s="63">
        <f t="shared" si="1"/>
        <v>13</v>
      </c>
      <c r="C4126" s="146" t="s">
        <v>259</v>
      </c>
      <c r="D4126" s="147" t="s">
        <v>74</v>
      </c>
      <c r="E4126" s="135">
        <f t="shared" si="59"/>
        <v>24</v>
      </c>
      <c r="F4126" s="134" t="s">
        <v>3874</v>
      </c>
      <c r="G4126" s="63" t="str">
        <f>VLOOKUP(C4126, 'Class Def. - General Data'!$C$20:$C$1000,1,false)</f>
        <v>ZPM1_Glue_Ink</v>
      </c>
      <c r="H4126" s="63" t="str">
        <f>IFERROR(__xludf.DUMMYFUNCTION("VLOOKUP(F4126, IMPORTRANGE(""https://docs.google.com/spreadsheets/d/1Lhp9OU0JdFf_VYSMzH5lBcEaU4o8teT1piV-SNzShjg/edit?gid=554141278#gid=554141278"", ""'Char Def. - Attributes'!C20:C2242""), 1,false)"),"VALUATION_CATEGORY")</f>
        <v>VALUATION_CATEGORY</v>
      </c>
      <c r="I4126" s="136"/>
    </row>
    <row r="4127" ht="15.75" customHeight="1">
      <c r="B4127" s="63">
        <f t="shared" si="1"/>
        <v>13</v>
      </c>
      <c r="C4127" s="146" t="s">
        <v>259</v>
      </c>
      <c r="D4127" s="147" t="s">
        <v>74</v>
      </c>
      <c r="E4127" s="135">
        <f t="shared" si="59"/>
        <v>25</v>
      </c>
      <c r="F4127" s="134" t="s">
        <v>3800</v>
      </c>
      <c r="G4127" s="63" t="str">
        <f>VLOOKUP(C4127, 'Class Def. - General Data'!$C$20:$C$1000,1,false)</f>
        <v>ZPM1_Glue_Ink</v>
      </c>
      <c r="H4127" s="63" t="str">
        <f>IFERROR(__xludf.DUMMYFUNCTION("VLOOKUP(F4127, IMPORTRANGE(""https://docs.google.com/spreadsheets/d/1Lhp9OU0JdFf_VYSMzH5lBcEaU4o8teT1piV-SNzShjg/edit?gid=554141278#gid=554141278"", ""'Char Def. - Attributes'!C20:C2242""), 1,false)"),"ORDER_UNIT_DIFF_FROM_BASIC_UOM")</f>
        <v>ORDER_UNIT_DIFF_FROM_BASIC_UOM</v>
      </c>
      <c r="I4127" s="136"/>
    </row>
    <row r="4128" ht="15.75" customHeight="1">
      <c r="B4128" s="63">
        <f t="shared" si="1"/>
        <v>13</v>
      </c>
      <c r="C4128" s="146" t="s">
        <v>259</v>
      </c>
      <c r="D4128" s="147" t="s">
        <v>74</v>
      </c>
      <c r="E4128" s="135">
        <f t="shared" si="59"/>
        <v>26</v>
      </c>
      <c r="F4128" s="134" t="s">
        <v>3875</v>
      </c>
      <c r="G4128" s="63" t="str">
        <f>VLOOKUP(C4128, 'Class Def. - General Data'!$C$20:$C$1000,1,false)</f>
        <v>ZPM1_Glue_Ink</v>
      </c>
      <c r="H4128" s="63" t="str">
        <f>IFERROR(__xludf.DUMMYFUNCTION("VLOOKUP(F4128, IMPORTRANGE(""https://docs.google.com/spreadsheets/d/1Lhp9OU0JdFf_VYSMzH5lBcEaU4o8teT1piV-SNzShjg/edit?gid=554141278#gid=554141278"", ""'Char Def. - Attributes'!C20:C2242""), 1,false)"),"ORDER_UNIT_RMPM")</f>
        <v>ORDER_UNIT_RMPM</v>
      </c>
      <c r="I4128" s="136"/>
    </row>
    <row r="4129" ht="15.75" customHeight="1">
      <c r="B4129" s="63">
        <f t="shared" si="1"/>
        <v>13</v>
      </c>
      <c r="C4129" s="146" t="s">
        <v>259</v>
      </c>
      <c r="D4129" s="147" t="s">
        <v>74</v>
      </c>
      <c r="E4129" s="135">
        <f t="shared" si="59"/>
        <v>27</v>
      </c>
      <c r="F4129" s="134" t="s">
        <v>3602</v>
      </c>
      <c r="G4129" s="63" t="str">
        <f>VLOOKUP(C4129, 'Class Def. - General Data'!$C$20:$C$1000,1,false)</f>
        <v>ZPM1_Glue_Ink</v>
      </c>
      <c r="H4129" s="63" t="str">
        <f>IFERROR(__xludf.DUMMYFUNCTION("VLOOKUP(F4129, IMPORTRANGE(""https://docs.google.com/spreadsheets/d/1Lhp9OU0JdFf_VYSMzH5lBcEaU4o8teT1piV-SNzShjg/edit?gid=554141278#gid=554141278"", ""'Char Def. - Attributes'!C20:C2242""), 1,false)"),"NET_WEIGHT")</f>
        <v>NET_WEIGHT</v>
      </c>
      <c r="I4129" s="136"/>
    </row>
    <row r="4130" ht="15.75" customHeight="1">
      <c r="B4130" s="63">
        <f t="shared" si="1"/>
        <v>13</v>
      </c>
      <c r="C4130" s="146" t="s">
        <v>259</v>
      </c>
      <c r="D4130" s="147" t="s">
        <v>74</v>
      </c>
      <c r="E4130" s="135">
        <f t="shared" si="59"/>
        <v>28</v>
      </c>
      <c r="F4130" s="134" t="s">
        <v>3601</v>
      </c>
      <c r="G4130" s="63" t="str">
        <f>VLOOKUP(C4130, 'Class Def. - General Data'!$C$20:$C$1000,1,false)</f>
        <v>ZPM1_Glue_Ink</v>
      </c>
      <c r="H4130" s="63" t="str">
        <f>IFERROR(__xludf.DUMMYFUNCTION("VLOOKUP(F4130, IMPORTRANGE(""https://docs.google.com/spreadsheets/d/1Lhp9OU0JdFf_VYSMzH5lBcEaU4o8teT1piV-SNzShjg/edit?gid=554141278#gid=554141278"", ""'Char Def. - Attributes'!C20:C2242""), 1,false)"),"GROSS_WEIGHT")</f>
        <v>GROSS_WEIGHT</v>
      </c>
      <c r="I4130" s="136"/>
    </row>
    <row r="4131" ht="15.75" customHeight="1">
      <c r="B4131" s="63">
        <f t="shared" si="1"/>
        <v>13</v>
      </c>
      <c r="C4131" s="146" t="s">
        <v>259</v>
      </c>
      <c r="D4131" s="147" t="s">
        <v>74</v>
      </c>
      <c r="E4131" s="135">
        <f t="shared" si="59"/>
        <v>29</v>
      </c>
      <c r="F4131" s="134" t="s">
        <v>3876</v>
      </c>
      <c r="G4131" s="63" t="str">
        <f>VLOOKUP(C4131, 'Class Def. - General Data'!$C$20:$C$1000,1,false)</f>
        <v>ZPM1_Glue_Ink</v>
      </c>
      <c r="H4131" s="63" t="str">
        <f>IFERROR(__xludf.DUMMYFUNCTION("VLOOKUP(F4131, IMPORTRANGE(""https://docs.google.com/spreadsheets/d/1Lhp9OU0JdFf_VYSMzH5lBcEaU4o8teT1piV-SNzShjg/edit?gid=554141278#gid=554141278"", ""'Char Def. - Attributes'!C20:C2242""), 1,false)"),"WEIGHT_UNIT_PM")</f>
        <v>WEIGHT_UNIT_PM</v>
      </c>
      <c r="I4131" s="136"/>
    </row>
    <row r="4132" ht="15.75" customHeight="1">
      <c r="B4132" s="63">
        <f t="shared" si="1"/>
        <v>13</v>
      </c>
      <c r="C4132" s="146" t="s">
        <v>259</v>
      </c>
      <c r="D4132" s="147" t="s">
        <v>74</v>
      </c>
      <c r="E4132" s="135">
        <f t="shared" si="59"/>
        <v>30</v>
      </c>
      <c r="F4132" s="134" t="s">
        <v>3877</v>
      </c>
      <c r="G4132" s="63" t="str">
        <f>VLOOKUP(C4132, 'Class Def. - General Data'!$C$20:$C$1000,1,false)</f>
        <v>ZPM1_Glue_Ink</v>
      </c>
      <c r="H4132" s="63" t="str">
        <f>IFERROR(__xludf.DUMMYFUNCTION("VLOOKUP(F4132, IMPORTRANGE(""https://docs.google.com/spreadsheets/d/1Lhp9OU0JdFf_VYSMzH5lBcEaU4o8teT1piV-SNzShjg/edit?gid=554141278#gid=554141278"", ""'Char Def. - Attributes'!C20:C2242""), 1,false)"),"VOLUME_OPT")</f>
        <v>VOLUME_OPT</v>
      </c>
      <c r="I4132" s="136"/>
    </row>
    <row r="4133" ht="15.75" customHeight="1">
      <c r="B4133" s="63">
        <f t="shared" si="1"/>
        <v>13</v>
      </c>
      <c r="C4133" s="146" t="s">
        <v>259</v>
      </c>
      <c r="D4133" s="147" t="s">
        <v>74</v>
      </c>
      <c r="E4133" s="135">
        <f t="shared" si="59"/>
        <v>31</v>
      </c>
      <c r="F4133" s="134" t="s">
        <v>3878</v>
      </c>
      <c r="G4133" s="63" t="str">
        <f>VLOOKUP(C4133, 'Class Def. - General Data'!$C$20:$C$1000,1,false)</f>
        <v>ZPM1_Glue_Ink</v>
      </c>
      <c r="H4133" s="63" t="str">
        <f>IFERROR(__xludf.DUMMYFUNCTION("VLOOKUP(F4133, IMPORTRANGE(""https://docs.google.com/spreadsheets/d/1Lhp9OU0JdFf_VYSMzH5lBcEaU4o8teT1piV-SNzShjg/edit?gid=554141278#gid=554141278"", ""'Char Def. - Attributes'!C20:C2242""), 1,false)"),"VOLUME_UNIT")</f>
        <v>VOLUME_UNIT</v>
      </c>
      <c r="I4133" s="136"/>
    </row>
    <row r="4134" ht="15.75" customHeight="1">
      <c r="B4134" s="63">
        <f t="shared" si="1"/>
        <v>13</v>
      </c>
      <c r="C4134" s="146" t="s">
        <v>259</v>
      </c>
      <c r="D4134" s="147" t="s">
        <v>74</v>
      </c>
      <c r="E4134" s="135">
        <f t="shared" si="59"/>
        <v>32</v>
      </c>
      <c r="F4134" s="134" t="s">
        <v>3879</v>
      </c>
      <c r="G4134" s="63" t="str">
        <f>VLOOKUP(C4134, 'Class Def. - General Data'!$C$20:$C$1000,1,false)</f>
        <v>ZPM1_Glue_Ink</v>
      </c>
      <c r="H4134" s="63" t="str">
        <f>IFERROR(__xludf.DUMMYFUNCTION("VLOOKUP(F4134, IMPORTRANGE(""https://docs.google.com/spreadsheets/d/1Lhp9OU0JdFf_VYSMzH5lBcEaU4o8teT1piV-SNzShjg/edit?gid=554141278#gid=554141278"", ""'Char Def. - Attributes'!C20:C2242""), 1,false)"),"OLD_MAT_NO_RMPM")</f>
        <v>OLD_MAT_NO_RMPM</v>
      </c>
      <c r="I4134" s="136"/>
    </row>
    <row r="4135" ht="15.75" customHeight="1">
      <c r="B4135" s="63">
        <f t="shared" si="1"/>
        <v>13</v>
      </c>
      <c r="C4135" s="146" t="s">
        <v>259</v>
      </c>
      <c r="D4135" s="147" t="s">
        <v>74</v>
      </c>
      <c r="E4135" s="135">
        <f t="shared" si="59"/>
        <v>33</v>
      </c>
      <c r="F4135" s="134" t="s">
        <v>3880</v>
      </c>
      <c r="G4135" s="63" t="str">
        <f>VLOOKUP(C4135, 'Class Def. - General Data'!$C$20:$C$1000,1,false)</f>
        <v>ZPM1_Glue_Ink</v>
      </c>
      <c r="H4135" s="63" t="str">
        <f>IFERROR(__xludf.DUMMYFUNCTION("VLOOKUP(F4135, IMPORTRANGE(""https://docs.google.com/spreadsheets/d/1Lhp9OU0JdFf_VYSMzH5lBcEaU4o8teT1piV-SNzShjg/edit?gid=554141278#gid=554141278"", ""'Char Def. - Attributes'!C20:C2242""), 1,false)"),"NOTE_PM")</f>
        <v>NOTE_PM</v>
      </c>
      <c r="I4135" s="136"/>
    </row>
    <row r="4136" ht="15.75" customHeight="1">
      <c r="B4136" s="63">
        <f t="shared" si="1"/>
        <v>13</v>
      </c>
      <c r="C4136" s="146" t="s">
        <v>259</v>
      </c>
      <c r="D4136" s="147" t="s">
        <v>74</v>
      </c>
      <c r="E4136" s="135">
        <f t="shared" si="59"/>
        <v>34</v>
      </c>
      <c r="F4136" s="134" t="s">
        <v>3881</v>
      </c>
      <c r="G4136" s="63" t="str">
        <f>VLOOKUP(C4136, 'Class Def. - General Data'!$C$20:$C$1000,1,false)</f>
        <v>ZPM1_Glue_Ink</v>
      </c>
      <c r="H4136" s="63" t="str">
        <f>IFERROR(__xludf.DUMMYFUNCTION("VLOOKUP(F4136, IMPORTRANGE(""https://docs.google.com/spreadsheets/d/1Lhp9OU0JdFf_VYSMzH5lBcEaU4o8teT1piV-SNzShjg/edit?gid=554141278#gid=554141278"", ""'Char Def. - Attributes'!C20:C2242""), 1,false)"),"BS_BERSIH")</f>
        <v>BS_BERSIH</v>
      </c>
      <c r="I4136" s="136"/>
    </row>
    <row r="4137" ht="15.75" customHeight="1">
      <c r="B4137" s="63">
        <f t="shared" si="1"/>
        <v>13</v>
      </c>
      <c r="C4137" s="146" t="s">
        <v>259</v>
      </c>
      <c r="D4137" s="147" t="s">
        <v>74</v>
      </c>
      <c r="E4137" s="135">
        <f t="shared" si="59"/>
        <v>35</v>
      </c>
      <c r="F4137" s="134" t="s">
        <v>3882</v>
      </c>
      <c r="G4137" s="63" t="str">
        <f>VLOOKUP(C4137, 'Class Def. - General Data'!$C$20:$C$1000,1,false)</f>
        <v>ZPM1_Glue_Ink</v>
      </c>
      <c r="H4137" s="63" t="str">
        <f>IFERROR(__xludf.DUMMYFUNCTION("VLOOKUP(F4137, IMPORTRANGE(""https://docs.google.com/spreadsheets/d/1Lhp9OU0JdFf_VYSMzH5lBcEaU4o8teT1piV-SNzShjg/edit?gid=554141278#gid=554141278"", ""'Char Def. - Attributes'!C20:C2242""), 1,false)"),"BS_KOTOR")</f>
        <v>BS_KOTOR</v>
      </c>
      <c r="I4137" s="136"/>
    </row>
    <row r="4138" ht="15.75" customHeight="1">
      <c r="B4138" s="63">
        <f t="shared" si="1"/>
        <v>13</v>
      </c>
      <c r="C4138" s="146" t="s">
        <v>259</v>
      </c>
      <c r="D4138" s="147" t="s">
        <v>74</v>
      </c>
      <c r="E4138" s="135">
        <f t="shared" si="59"/>
        <v>36</v>
      </c>
      <c r="F4138" s="134" t="s">
        <v>3883</v>
      </c>
      <c r="G4138" s="63" t="str">
        <f>VLOOKUP(C4138, 'Class Def. - General Data'!$C$20:$C$1000,1,false)</f>
        <v>ZPM1_Glue_Ink</v>
      </c>
      <c r="H4138" s="63" t="str">
        <f>IFERROR(__xludf.DUMMYFUNCTION("VLOOKUP(F4138, IMPORTRANGE(""https://docs.google.com/spreadsheets/d/1Lhp9OU0JdFf_VYSMzH5lBcEaU4o8teT1piV-SNzShjg/edit?gid=554141278#gid=554141278"", ""'Char Def. - Attributes'!C20:C2242""), 1,false)"),"BS_SCRAP")</f>
        <v>BS_SCRAP</v>
      </c>
      <c r="I4138" s="136"/>
    </row>
    <row r="4139" ht="15.75" customHeight="1">
      <c r="B4139" s="63">
        <f t="shared" si="1"/>
        <v>8</v>
      </c>
      <c r="C4139" s="146" t="s">
        <v>276</v>
      </c>
      <c r="D4139" s="147" t="s">
        <v>74</v>
      </c>
      <c r="E4139" s="135">
        <f t="shared" si="59"/>
        <v>1</v>
      </c>
      <c r="F4139" s="148" t="s">
        <v>3936</v>
      </c>
      <c r="G4139" s="63" t="str">
        <f>VLOOKUP(C4139, 'Class Def. - General Data'!$C$20:$C$1000,1,false)</f>
        <v>ZPM1_HGR</v>
      </c>
      <c r="H4139" s="63" t="str">
        <f>IFERROR(__xludf.DUMMYFUNCTION("VLOOKUP(F4139, IMPORTRANGE(""https://docs.google.com/spreadsheets/d/1Lhp9OU0JdFf_VYSMzH5lBcEaU4o8teT1piV-SNzShjg/edit?gid=554141278#gid=554141278"", ""'Char Def. - Attributes'!C20:C2242""), 1,false)"),"MATERIAL_CODE_HGR")</f>
        <v>MATERIAL_CODE_HGR</v>
      </c>
      <c r="I4139" s="136"/>
    </row>
    <row r="4140" ht="15.75" customHeight="1">
      <c r="B4140" s="63">
        <f t="shared" si="1"/>
        <v>8</v>
      </c>
      <c r="C4140" s="146" t="s">
        <v>276</v>
      </c>
      <c r="D4140" s="147" t="s">
        <v>74</v>
      </c>
      <c r="E4140" s="135">
        <f t="shared" si="59"/>
        <v>2</v>
      </c>
      <c r="F4140" s="134" t="s">
        <v>3852</v>
      </c>
      <c r="G4140" s="63" t="str">
        <f>VLOOKUP(C4140, 'Class Def. - General Data'!$C$20:$C$1000,1,false)</f>
        <v>ZPM1_HGR</v>
      </c>
      <c r="H4140" s="63" t="str">
        <f>IFERROR(__xludf.DUMMYFUNCTION("VLOOKUP(F4140, IMPORTRANGE(""https://docs.google.com/spreadsheets/d/1Lhp9OU0JdFf_VYSMzH5lBcEaU4o8teT1piV-SNzShjg/edit?gid=554141278#gid=554141278"", ""'Char Def. - Attributes'!C20:C2242""), 1,false)"),"SINGLE_BRAND")</f>
        <v>SINGLE_BRAND</v>
      </c>
      <c r="I4140" s="136"/>
    </row>
    <row r="4141" ht="15.75" customHeight="1">
      <c r="B4141" s="63">
        <f t="shared" si="1"/>
        <v>8</v>
      </c>
      <c r="C4141" s="146" t="s">
        <v>276</v>
      </c>
      <c r="D4141" s="147" t="s">
        <v>74</v>
      </c>
      <c r="E4141" s="135">
        <f t="shared" si="59"/>
        <v>3</v>
      </c>
      <c r="F4141" s="153" t="s">
        <v>3853</v>
      </c>
      <c r="G4141" s="63" t="str">
        <f>VLOOKUP(C4141, 'Class Def. - General Data'!$C$20:$C$1000,1,false)</f>
        <v>ZPM1_HGR</v>
      </c>
      <c r="H4141" s="63" t="str">
        <f>IFERROR(__xludf.DUMMYFUNCTION("VLOOKUP(F4141, IMPORTRANGE(""https://docs.google.com/spreadsheets/d/1Lhp9OU0JdFf_VYSMzH5lBcEaU4o8teT1piV-SNzShjg/edit?gid=554141278#gid=554141278"", ""'Char Def. - Attributes'!C20:C2242""), 1,false)"),"BRAND_WINGS")</f>
        <v>BRAND_WINGS</v>
      </c>
      <c r="I4141" s="136"/>
    </row>
    <row r="4142" ht="15.75" customHeight="1">
      <c r="B4142" s="63">
        <f t="shared" si="1"/>
        <v>8</v>
      </c>
      <c r="C4142" s="146" t="s">
        <v>276</v>
      </c>
      <c r="D4142" s="147" t="s">
        <v>74</v>
      </c>
      <c r="E4142" s="135">
        <f t="shared" si="59"/>
        <v>4</v>
      </c>
      <c r="F4142" s="134" t="s">
        <v>3854</v>
      </c>
      <c r="G4142" s="63" t="str">
        <f>VLOOKUP(C4142, 'Class Def. - General Data'!$C$20:$C$1000,1,false)</f>
        <v>ZPM1_HGR</v>
      </c>
      <c r="H4142" s="63" t="str">
        <f>IFERROR(__xludf.DUMMYFUNCTION("VLOOKUP(F4142, IMPORTRANGE(""https://docs.google.com/spreadsheets/d/1Lhp9OU0JdFf_VYSMzH5lBcEaU4o8teT1piV-SNzShjg/edit?gid=554141278#gid=554141278"", ""'Char Def. - Attributes'!C20:C2242""), 1,false)"),"SINGLE_PACK_SHAPE")</f>
        <v>SINGLE_PACK_SHAPE</v>
      </c>
      <c r="I4142" s="136"/>
    </row>
    <row r="4143" ht="15.75" customHeight="1">
      <c r="B4143" s="63">
        <f t="shared" si="1"/>
        <v>8</v>
      </c>
      <c r="C4143" s="146" t="s">
        <v>276</v>
      </c>
      <c r="D4143" s="147" t="s">
        <v>74</v>
      </c>
      <c r="E4143" s="135">
        <f t="shared" si="59"/>
        <v>5</v>
      </c>
      <c r="F4143" s="153" t="s">
        <v>3855</v>
      </c>
      <c r="G4143" s="63" t="str">
        <f>VLOOKUP(C4143, 'Class Def. - General Data'!$C$20:$C$1000,1,false)</f>
        <v>ZPM1_HGR</v>
      </c>
      <c r="H4143" s="63" t="str">
        <f>IFERROR(__xludf.DUMMYFUNCTION("VLOOKUP(F4143, IMPORTRANGE(""https://docs.google.com/spreadsheets/d/1Lhp9OU0JdFf_VYSMzH5lBcEaU4o8teT1piV-SNzShjg/edit?gid=554141278#gid=554141278"", ""'Char Def. - Attributes'!C20:C2242""), 1,false)"),"PACK_SHAPE")</f>
        <v>PACK_SHAPE</v>
      </c>
      <c r="I4143" s="136"/>
    </row>
    <row r="4144" ht="15.75" customHeight="1">
      <c r="B4144" s="63">
        <f t="shared" si="1"/>
        <v>8</v>
      </c>
      <c r="C4144" s="146" t="s">
        <v>276</v>
      </c>
      <c r="D4144" s="147" t="s">
        <v>74</v>
      </c>
      <c r="E4144" s="135">
        <f t="shared" si="59"/>
        <v>6</v>
      </c>
      <c r="F4144" s="134" t="s">
        <v>3856</v>
      </c>
      <c r="G4144" s="63" t="str">
        <f>VLOOKUP(C4144, 'Class Def. - General Data'!$C$20:$C$1000,1,false)</f>
        <v>ZPM1_HGR</v>
      </c>
      <c r="H4144" s="63" t="str">
        <f>IFERROR(__xludf.DUMMYFUNCTION("VLOOKUP(F4144, IMPORTRANGE(""https://docs.google.com/spreadsheets/d/1Lhp9OU0JdFf_VYSMzH5lBcEaU4o8teT1piV-SNzShjg/edit?gid=554141278#gid=554141278"", ""'Char Def. - Attributes'!C20:C2242""), 1,false)"),"SINGLE_PACK_NETTO")</f>
        <v>SINGLE_PACK_NETTO</v>
      </c>
      <c r="I4144" s="136"/>
    </row>
    <row r="4145" ht="15.75" customHeight="1">
      <c r="B4145" s="63">
        <f t="shared" si="1"/>
        <v>8</v>
      </c>
      <c r="C4145" s="146" t="s">
        <v>276</v>
      </c>
      <c r="D4145" s="147" t="s">
        <v>74</v>
      </c>
      <c r="E4145" s="135">
        <f t="shared" si="59"/>
        <v>7</v>
      </c>
      <c r="F4145" s="153" t="s">
        <v>3605</v>
      </c>
      <c r="G4145" s="63" t="str">
        <f>VLOOKUP(C4145, 'Class Def. - General Data'!$C$20:$C$1000,1,false)</f>
        <v>ZPM1_HGR</v>
      </c>
      <c r="H4145" s="63" t="str">
        <f>IFERROR(__xludf.DUMMYFUNCTION("VLOOKUP(F4145, IMPORTRANGE(""https://docs.google.com/spreadsheets/d/1Lhp9OU0JdFf_VYSMzH5lBcEaU4o8teT1piV-SNzShjg/edit?gid=554141278#gid=554141278"", ""'Char Def. - Attributes'!C20:C2242""), 1,false)"),"PACK_NETTO")</f>
        <v>PACK_NETTO</v>
      </c>
      <c r="I4145" s="136"/>
    </row>
    <row r="4146" ht="15.75" customHeight="1">
      <c r="B4146" s="63">
        <f t="shared" si="1"/>
        <v>8</v>
      </c>
      <c r="C4146" s="146" t="s">
        <v>276</v>
      </c>
      <c r="D4146" s="147" t="s">
        <v>74</v>
      </c>
      <c r="E4146" s="135">
        <f t="shared" si="59"/>
        <v>8</v>
      </c>
      <c r="F4146" s="153" t="s">
        <v>3857</v>
      </c>
      <c r="G4146" s="63" t="str">
        <f>VLOOKUP(C4146, 'Class Def. - General Data'!$C$20:$C$1000,1,false)</f>
        <v>ZPM1_HGR</v>
      </c>
      <c r="H4146" s="63" t="str">
        <f>IFERROR(__xludf.DUMMYFUNCTION("VLOOKUP(F4146, IMPORTRANGE(""https://docs.google.com/spreadsheets/d/1Lhp9OU0JdFf_VYSMzH5lBcEaU4o8teT1piV-SNzShjg/edit?gid=554141278#gid=554141278"", ""'Char Def. - Attributes'!C20:C2242""), 1,false)"),"PACK_UOM")</f>
        <v>PACK_UOM</v>
      </c>
      <c r="I4146" s="136"/>
    </row>
    <row r="4147" ht="15.75" customHeight="1">
      <c r="B4147" s="63">
        <f t="shared" si="1"/>
        <v>8</v>
      </c>
      <c r="C4147" s="146" t="s">
        <v>276</v>
      </c>
      <c r="D4147" s="147" t="s">
        <v>74</v>
      </c>
      <c r="E4147" s="135">
        <f t="shared" si="59"/>
        <v>9</v>
      </c>
      <c r="F4147" s="134" t="s">
        <v>3858</v>
      </c>
      <c r="G4147" s="63" t="str">
        <f>VLOOKUP(C4147, 'Class Def. - General Data'!$C$20:$C$1000,1,false)</f>
        <v>ZPM1_HGR</v>
      </c>
      <c r="H4147" s="63" t="str">
        <f>IFERROR(__xludf.DUMMYFUNCTION("VLOOKUP(F4147, IMPORTRANGE(""https://docs.google.com/spreadsheets/d/1Lhp9OU0JdFf_VYSMzH5lBcEaU4o8teT1piV-SNzShjg/edit?gid=554141278#gid=554141278"", ""'Char Def. - Attributes'!C20:C2242""), 1,false)"),"SINGLE_VARIAN")</f>
        <v>SINGLE_VARIAN</v>
      </c>
      <c r="I4147" s="136"/>
    </row>
    <row r="4148" ht="15.75" customHeight="1">
      <c r="B4148" s="63">
        <f t="shared" si="1"/>
        <v>8</v>
      </c>
      <c r="C4148" s="146" t="s">
        <v>276</v>
      </c>
      <c r="D4148" s="147" t="s">
        <v>74</v>
      </c>
      <c r="E4148" s="135">
        <f t="shared" si="59"/>
        <v>10</v>
      </c>
      <c r="F4148" s="153" t="s">
        <v>3607</v>
      </c>
      <c r="G4148" s="63" t="str">
        <f>VLOOKUP(C4148, 'Class Def. - General Data'!$C$20:$C$1000,1,false)</f>
        <v>ZPM1_HGR</v>
      </c>
      <c r="H4148" s="63" t="str">
        <f>IFERROR(__xludf.DUMMYFUNCTION("VLOOKUP(F4148, IMPORTRANGE(""https://docs.google.com/spreadsheets/d/1Lhp9OU0JdFf_VYSMzH5lBcEaU4o8teT1piV-SNzShjg/edit?gid=554141278#gid=554141278"", ""'Char Def. - Attributes'!C20:C2242""), 1,false)"),"VARIAN")</f>
        <v>VARIAN</v>
      </c>
      <c r="I4148" s="136"/>
    </row>
    <row r="4149" ht="15.75" customHeight="1">
      <c r="B4149" s="63">
        <f t="shared" si="1"/>
        <v>8</v>
      </c>
      <c r="C4149" s="146" t="s">
        <v>276</v>
      </c>
      <c r="D4149" s="147" t="s">
        <v>74</v>
      </c>
      <c r="E4149" s="135">
        <f t="shared" si="59"/>
        <v>11</v>
      </c>
      <c r="F4149" s="134" t="s">
        <v>3859</v>
      </c>
      <c r="G4149" s="63" t="str">
        <f>VLOOKUP(C4149, 'Class Def. - General Data'!$C$20:$C$1000,1,false)</f>
        <v>ZPM1_HGR</v>
      </c>
      <c r="H4149" s="63" t="str">
        <f>IFERROR(__xludf.DUMMYFUNCTION("VLOOKUP(F4149, IMPORTRANGE(""https://docs.google.com/spreadsheets/d/1Lhp9OU0JdFf_VYSMzH5lBcEaU4o8teT1piV-SNzShjg/edit?gid=554141278#gid=554141278"", ""'Char Def. - Attributes'!C20:C2242""), 1,false)"),"ADA_ADDITIONAL_PROMO")</f>
        <v>ADA_ADDITIONAL_PROMO</v>
      </c>
      <c r="I4149" s="136"/>
    </row>
    <row r="4150" ht="15.75" customHeight="1">
      <c r="B4150" s="63">
        <f t="shared" si="1"/>
        <v>8</v>
      </c>
      <c r="C4150" s="146" t="s">
        <v>276</v>
      </c>
      <c r="D4150" s="147" t="s">
        <v>74</v>
      </c>
      <c r="E4150" s="135">
        <f t="shared" si="59"/>
        <v>12</v>
      </c>
      <c r="F4150" s="153" t="s">
        <v>3609</v>
      </c>
      <c r="G4150" s="63" t="str">
        <f>VLOOKUP(C4150, 'Class Def. - General Data'!$C$20:$C$1000,1,false)</f>
        <v>ZPM1_HGR</v>
      </c>
      <c r="H4150" s="63" t="str">
        <f>IFERROR(__xludf.DUMMYFUNCTION("VLOOKUP(F4150, IMPORTRANGE(""https://docs.google.com/spreadsheets/d/1Lhp9OU0JdFf_VYSMzH5lBcEaU4o8teT1piV-SNzShjg/edit?gid=554141278#gid=554141278"", ""'Char Def. - Attributes'!C20:C2242""), 1,false)"),"ADDITIONAL_PROMO")</f>
        <v>ADDITIONAL_PROMO</v>
      </c>
      <c r="I4150" s="136"/>
    </row>
    <row r="4151" ht="15.75" customHeight="1">
      <c r="B4151" s="63">
        <f t="shared" si="1"/>
        <v>8</v>
      </c>
      <c r="C4151" s="146" t="s">
        <v>276</v>
      </c>
      <c r="D4151" s="147" t="s">
        <v>74</v>
      </c>
      <c r="E4151" s="135">
        <f t="shared" si="59"/>
        <v>13</v>
      </c>
      <c r="F4151" s="134" t="s">
        <v>3860</v>
      </c>
      <c r="G4151" s="63" t="str">
        <f>VLOOKUP(C4151, 'Class Def. - General Data'!$C$20:$C$1000,1,false)</f>
        <v>ZPM1_HGR</v>
      </c>
      <c r="H4151" s="63" t="str">
        <f>IFERROR(__xludf.DUMMYFUNCTION("VLOOKUP(F4151, IMPORTRANGE(""https://docs.google.com/spreadsheets/d/1Lhp9OU0JdFf_VYSMzH5lBcEaU4o8teT1piV-SNzShjg/edit?gid=554141278#gid=554141278"", ""'Char Def. - Attributes'!C20:C2242""), 1,false)"),"ADA_BANDED_PROMO")</f>
        <v>ADA_BANDED_PROMO</v>
      </c>
      <c r="I4151" s="136"/>
    </row>
    <row r="4152" ht="15.75" customHeight="1">
      <c r="B4152" s="63">
        <f t="shared" si="1"/>
        <v>8</v>
      </c>
      <c r="C4152" s="146" t="s">
        <v>276</v>
      </c>
      <c r="D4152" s="147" t="s">
        <v>74</v>
      </c>
      <c r="E4152" s="135">
        <f t="shared" si="59"/>
        <v>14</v>
      </c>
      <c r="F4152" s="153" t="s">
        <v>3610</v>
      </c>
      <c r="G4152" s="63" t="str">
        <f>VLOOKUP(C4152, 'Class Def. - General Data'!$C$20:$C$1000,1,false)</f>
        <v>ZPM1_HGR</v>
      </c>
      <c r="H4152" s="63" t="str">
        <f>IFERROR(__xludf.DUMMYFUNCTION("VLOOKUP(F4152, IMPORTRANGE(""https://docs.google.com/spreadsheets/d/1Lhp9OU0JdFf_VYSMzH5lBcEaU4o8teT1piV-SNzShjg/edit?gid=554141278#gid=554141278"", ""'Char Def. - Attributes'!C20:C2242""), 1,false)"),"BANDED_PROMO")</f>
        <v>BANDED_PROMO</v>
      </c>
      <c r="I4152" s="136"/>
    </row>
    <row r="4153" ht="15.75" customHeight="1">
      <c r="B4153" s="63">
        <f t="shared" si="1"/>
        <v>8</v>
      </c>
      <c r="C4153" s="146" t="s">
        <v>276</v>
      </c>
      <c r="D4153" s="147" t="s">
        <v>74</v>
      </c>
      <c r="E4153" s="135">
        <f t="shared" si="59"/>
        <v>15</v>
      </c>
      <c r="F4153" s="134" t="s">
        <v>1292</v>
      </c>
      <c r="G4153" s="63" t="str">
        <f>VLOOKUP(C4153, 'Class Def. - General Data'!$C$20:$C$1000,1,false)</f>
        <v>ZPM1_HGR</v>
      </c>
      <c r="H4153" s="63" t="str">
        <f>IFERROR(__xludf.DUMMYFUNCTION("VLOOKUP(F4153, IMPORTRANGE(""https://docs.google.com/spreadsheets/d/1Lhp9OU0JdFf_VYSMzH5lBcEaU4o8teT1piV-SNzShjg/edit?gid=554141278#gid=554141278"", ""'Char Def. - Attributes'!C20:C2242""), 1,false)"),"EXPORT")</f>
        <v>EXPORT</v>
      </c>
      <c r="I4153" s="136"/>
    </row>
    <row r="4154" ht="15.75" customHeight="1">
      <c r="B4154" s="63">
        <f t="shared" si="1"/>
        <v>8</v>
      </c>
      <c r="C4154" s="146" t="s">
        <v>276</v>
      </c>
      <c r="D4154" s="147" t="s">
        <v>74</v>
      </c>
      <c r="E4154" s="135">
        <f t="shared" si="59"/>
        <v>16</v>
      </c>
      <c r="F4154" s="153" t="s">
        <v>3612</v>
      </c>
      <c r="G4154" s="63" t="str">
        <f>VLOOKUP(C4154, 'Class Def. - General Data'!$C$20:$C$1000,1,false)</f>
        <v>ZPM1_HGR</v>
      </c>
      <c r="H4154" s="63" t="str">
        <f>IFERROR(__xludf.DUMMYFUNCTION("VLOOKUP(F4154, IMPORTRANGE(""https://docs.google.com/spreadsheets/d/1Lhp9OU0JdFf_VYSMzH5lBcEaU4o8teT1piV-SNzShjg/edit?gid=554141278#gid=554141278"", ""'Char Def. - Attributes'!C20:C2242""), 1,false)"),"COUNTRY_EKSPOR")</f>
        <v>COUNTRY_EKSPOR</v>
      </c>
      <c r="I4154" s="136"/>
    </row>
    <row r="4155" ht="15.75" customHeight="1">
      <c r="B4155" s="63">
        <f t="shared" si="1"/>
        <v>8</v>
      </c>
      <c r="C4155" s="146" t="s">
        <v>276</v>
      </c>
      <c r="D4155" s="147" t="s">
        <v>74</v>
      </c>
      <c r="E4155" s="135">
        <f t="shared" si="59"/>
        <v>17</v>
      </c>
      <c r="F4155" s="152" t="s">
        <v>3861</v>
      </c>
      <c r="G4155" s="63" t="str">
        <f>VLOOKUP(C4155, 'Class Def. - General Data'!$C$20:$C$1000,1,false)</f>
        <v>ZPM1_HGR</v>
      </c>
      <c r="H4155" s="63" t="str">
        <f>IFERROR(__xludf.DUMMYFUNCTION("VLOOKUP(F4155, IMPORTRANGE(""https://docs.google.com/spreadsheets/d/1Lhp9OU0JdFf_VYSMzH5lBcEaU4o8teT1piV-SNzShjg/edit?gid=554141278#gid=554141278"", ""'Char Def. - Attributes'!C20:C2242""), 1,false)"),"PEMBATAS")</f>
        <v>PEMBATAS</v>
      </c>
      <c r="I4155" s="136"/>
    </row>
    <row r="4156" ht="15.75" customHeight="1">
      <c r="B4156" s="63">
        <f t="shared" si="1"/>
        <v>8</v>
      </c>
      <c r="C4156" s="146" t="s">
        <v>276</v>
      </c>
      <c r="D4156" s="147" t="s">
        <v>74</v>
      </c>
      <c r="E4156" s="135">
        <f t="shared" si="59"/>
        <v>18</v>
      </c>
      <c r="F4156" s="152" t="s">
        <v>3907</v>
      </c>
      <c r="G4156" s="63" t="str">
        <f>VLOOKUP(C4156, 'Class Def. - General Data'!$C$20:$C$1000,1,false)</f>
        <v>ZPM1_HGR</v>
      </c>
      <c r="H4156" s="63" t="str">
        <f>IFERROR(__xludf.DUMMYFUNCTION("VLOOKUP(F4156, IMPORTRANGE(""https://docs.google.com/spreadsheets/d/1Lhp9OU0JdFf_VYSMzH5lBcEaU4o8teT1piV-SNzShjg/edit?gid=554141278#gid=554141278"", ""'Char Def. - Attributes'!C20:C2242""), 1,false)"),"FG_AMOUNT_INPACK_B")</f>
        <v>FG_AMOUNT_INPACK_B</v>
      </c>
      <c r="I4156" s="136"/>
    </row>
    <row r="4157" ht="15.75" customHeight="1">
      <c r="B4157" s="63">
        <f t="shared" si="1"/>
        <v>8</v>
      </c>
      <c r="C4157" s="146" t="s">
        <v>276</v>
      </c>
      <c r="D4157" s="147" t="s">
        <v>74</v>
      </c>
      <c r="E4157" s="135">
        <f t="shared" si="59"/>
        <v>19</v>
      </c>
      <c r="F4157" s="152" t="s">
        <v>3888</v>
      </c>
      <c r="G4157" s="63" t="str">
        <f>VLOOKUP(C4157, 'Class Def. - General Data'!$C$20:$C$1000,1,false)</f>
        <v>ZPM1_HGR</v>
      </c>
      <c r="H4157" s="63" t="str">
        <f>IFERROR(__xludf.DUMMYFUNCTION("VLOOKUP(F4157, IMPORTRANGE(""https://docs.google.com/spreadsheets/d/1Lhp9OU0JdFf_VYSMzH5lBcEaU4o8teT1piV-SNzShjg/edit?gid=554141278#gid=554141278"", ""'Char Def. - Attributes'!C20:C2242""), 1,false)"),"PACK_CODE_OPT")</f>
        <v>PACK_CODE_OPT</v>
      </c>
      <c r="I4157" s="136"/>
    </row>
    <row r="4158" ht="15.75" customHeight="1">
      <c r="B4158" s="63">
        <f t="shared" si="1"/>
        <v>8</v>
      </c>
      <c r="C4158" s="146" t="s">
        <v>276</v>
      </c>
      <c r="D4158" s="147" t="s">
        <v>74</v>
      </c>
      <c r="E4158" s="135">
        <f t="shared" si="59"/>
        <v>20</v>
      </c>
      <c r="F4158" s="148" t="s">
        <v>3889</v>
      </c>
      <c r="G4158" s="63" t="str">
        <f>VLOOKUP(C4158, 'Class Def. - General Data'!$C$20:$C$1000,1,false)</f>
        <v>ZPM1_HGR</v>
      </c>
      <c r="H4158" s="63" t="str">
        <f>IFERROR(__xludf.DUMMYFUNCTION("VLOOKUP(F4158, IMPORTRANGE(""https://docs.google.com/spreadsheets/d/1Lhp9OU0JdFf_VYSMzH5lBcEaU4o8teT1piV-SNzShjg/edit?gid=554141278#gid=554141278"", ""'Char Def. - Attributes'!C20:C2242""), 1,false)"),"PACK_CONTENT_AMOUNT_4")</f>
        <v>PACK_CONTENT_AMOUNT_4</v>
      </c>
      <c r="I4158" s="136"/>
    </row>
    <row r="4159" ht="15.75" customHeight="1">
      <c r="B4159" s="63">
        <f t="shared" si="1"/>
        <v>8</v>
      </c>
      <c r="C4159" s="146" t="s">
        <v>276</v>
      </c>
      <c r="D4159" s="147" t="s">
        <v>74</v>
      </c>
      <c r="E4159" s="135">
        <f t="shared" si="59"/>
        <v>21</v>
      </c>
      <c r="F4159" s="152" t="s">
        <v>3862</v>
      </c>
      <c r="G4159" s="63" t="str">
        <f>VLOOKUP(C4159, 'Class Def. - General Data'!$C$20:$C$1000,1,false)</f>
        <v>ZPM1_HGR</v>
      </c>
      <c r="H4159" s="63" t="str">
        <f>IFERROR(__xludf.DUMMYFUNCTION("VLOOKUP(F4159, IMPORTRANGE(""https://docs.google.com/spreadsheets/d/1Lhp9OU0JdFf_VYSMzH5lBcEaU4o8teT1piV-SNzShjg/edit?gid=554141278#gid=554141278"", ""'Char Def. - Attributes'!C20:C2242""), 1,false)"),"MONTH")</f>
        <v>MONTH</v>
      </c>
      <c r="I4159" s="136"/>
    </row>
    <row r="4160" ht="15.75" customHeight="1">
      <c r="B4160" s="63">
        <f t="shared" si="1"/>
        <v>8</v>
      </c>
      <c r="C4160" s="146" t="s">
        <v>276</v>
      </c>
      <c r="D4160" s="147" t="s">
        <v>74</v>
      </c>
      <c r="E4160" s="135">
        <f t="shared" si="59"/>
        <v>22</v>
      </c>
      <c r="F4160" s="152" t="s">
        <v>3863</v>
      </c>
      <c r="G4160" s="63" t="str">
        <f>VLOOKUP(C4160, 'Class Def. - General Data'!$C$20:$C$1000,1,false)</f>
        <v>ZPM1_HGR</v>
      </c>
      <c r="H4160" s="63" t="str">
        <f>IFERROR(__xludf.DUMMYFUNCTION("VLOOKUP(F4160, IMPORTRANGE(""https://docs.google.com/spreadsheets/d/1Lhp9OU0JdFf_VYSMzH5lBcEaU4o8teT1piV-SNzShjg/edit?gid=554141278#gid=554141278"", ""'Char Def. - Attributes'!C20:C2242""), 1,false)"),"YEAR")</f>
        <v>YEAR</v>
      </c>
      <c r="I4160" s="136"/>
    </row>
    <row r="4161" ht="15.75" customHeight="1">
      <c r="B4161" s="63">
        <f t="shared" si="1"/>
        <v>8</v>
      </c>
      <c r="C4161" s="146" t="s">
        <v>276</v>
      </c>
      <c r="D4161" s="147" t="s">
        <v>74</v>
      </c>
      <c r="E4161" s="135">
        <f t="shared" si="59"/>
        <v>23</v>
      </c>
      <c r="F4161" s="149" t="s">
        <v>3890</v>
      </c>
      <c r="G4161" s="63" t="str">
        <f>VLOOKUP(C4161, 'Class Def. - General Data'!$C$20:$C$1000,1,false)</f>
        <v>ZPM1_HGR</v>
      </c>
      <c r="H4161" s="63" t="str">
        <f>IFERROR(__xludf.DUMMYFUNCTION("VLOOKUP(F4161, IMPORTRANGE(""https://docs.google.com/spreadsheets/d/1Lhp9OU0JdFf_VYSMzH5lBcEaU4o8teT1piV-SNzShjg/edit?gid=554141278#gid=554141278"", ""'Char Def. - Attributes'!C20:C2242""), 1,false)"),"EXT_MAT_GRP")</f>
        <v>EXT_MAT_GRP</v>
      </c>
      <c r="I4161" s="136"/>
    </row>
    <row r="4162" ht="15.75" customHeight="1">
      <c r="B4162" s="63">
        <f t="shared" si="1"/>
        <v>8</v>
      </c>
      <c r="C4162" s="146" t="s">
        <v>276</v>
      </c>
      <c r="D4162" s="147" t="s">
        <v>74</v>
      </c>
      <c r="E4162" s="135">
        <f t="shared" si="59"/>
        <v>24</v>
      </c>
      <c r="F4162" s="149" t="s">
        <v>3905</v>
      </c>
      <c r="G4162" s="63" t="str">
        <f>VLOOKUP(C4162, 'Class Def. - General Data'!$C$20:$C$1000,1,false)</f>
        <v>ZPM1_HGR</v>
      </c>
      <c r="H4162" s="63" t="str">
        <f>IFERROR(__xludf.DUMMYFUNCTION("VLOOKUP(F4162, IMPORTRANGE(""https://docs.google.com/spreadsheets/d/1Lhp9OU0JdFf_VYSMzH5lBcEaU4o8teT1piV-SNzShjg/edit?gid=554141278#gid=554141278"", ""'Char Def. - Attributes'!C20:C2242""), 1,false)"),"SPEC_CODE")</f>
        <v>SPEC_CODE</v>
      </c>
      <c r="I4162" s="136"/>
    </row>
    <row r="4163" ht="15.75" customHeight="1">
      <c r="B4163" s="63">
        <f t="shared" si="1"/>
        <v>8</v>
      </c>
      <c r="C4163" s="146" t="s">
        <v>276</v>
      </c>
      <c r="D4163" s="147" t="s">
        <v>74</v>
      </c>
      <c r="E4163" s="135">
        <f t="shared" si="59"/>
        <v>25</v>
      </c>
      <c r="F4163" s="149" t="s">
        <v>3914</v>
      </c>
      <c r="G4163" s="63" t="str">
        <f>VLOOKUP(C4163, 'Class Def. - General Data'!$C$20:$C$1000,1,false)</f>
        <v>ZPM1_HGR</v>
      </c>
      <c r="H4163" s="63" t="str">
        <f>IFERROR(__xludf.DUMMYFUNCTION("VLOOKUP(F4163, IMPORTRANGE(""https://docs.google.com/spreadsheets/d/1Lhp9OU0JdFf_VYSMzH5lBcEaU4o8teT1piV-SNzShjg/edit?gid=554141278#gid=554141278"", ""'Char Def. - Attributes'!C20:C2242""), 1,false)"),"FLUTE")</f>
        <v>FLUTE</v>
      </c>
      <c r="I4163" s="136"/>
    </row>
    <row r="4164" ht="15.75" customHeight="1">
      <c r="B4164" s="63">
        <f t="shared" si="1"/>
        <v>8</v>
      </c>
      <c r="C4164" s="146" t="s">
        <v>276</v>
      </c>
      <c r="D4164" s="147" t="s">
        <v>74</v>
      </c>
      <c r="E4164" s="135">
        <f t="shared" si="59"/>
        <v>26</v>
      </c>
      <c r="F4164" s="149" t="s">
        <v>3916</v>
      </c>
      <c r="G4164" s="63" t="str">
        <f>VLOOKUP(C4164, 'Class Def. - General Data'!$C$20:$C$1000,1,false)</f>
        <v>ZPM1_HGR</v>
      </c>
      <c r="H4164" s="63" t="str">
        <f>IFERROR(__xludf.DUMMYFUNCTION("VLOOKUP(F4164, IMPORTRANGE(""https://docs.google.com/spreadsheets/d/1Lhp9OU0JdFf_VYSMzH5lBcEaU4o8teT1piV-SNzShjg/edit?gid=554141278#gid=554141278"", ""'Char Def. - Attributes'!C20:C2242""), 1,false)"),"SUBSTANCE")</f>
        <v>SUBSTANCE</v>
      </c>
      <c r="I4164" s="136"/>
    </row>
    <row r="4165" ht="15.75" customHeight="1">
      <c r="B4165" s="63">
        <f t="shared" si="1"/>
        <v>8</v>
      </c>
      <c r="C4165" s="146" t="s">
        <v>276</v>
      </c>
      <c r="D4165" s="147" t="s">
        <v>74</v>
      </c>
      <c r="E4165" s="135">
        <f t="shared" si="59"/>
        <v>27</v>
      </c>
      <c r="F4165" s="150" t="s">
        <v>3587</v>
      </c>
      <c r="G4165" s="63" t="str">
        <f>VLOOKUP(C4165, 'Class Def. - General Data'!$C$20:$C$1000,1,false)</f>
        <v>ZPM1_HGR</v>
      </c>
      <c r="H4165" s="63" t="str">
        <f>IFERROR(__xludf.DUMMYFUNCTION("VLOOKUP(F4165, IMPORTRANGE(""https://docs.google.com/spreadsheets/d/1Lhp9OU0JdFf_VYSMzH5lBcEaU4o8teT1piV-SNzShjg/edit?gid=554141278#gid=554141278"", ""'Char Def. - Attributes'!C20:C2242""), 1,false)"),"PLANT_BUY")</f>
        <v>PLANT_BUY</v>
      </c>
      <c r="I4165" s="136"/>
    </row>
    <row r="4166" ht="15.75" customHeight="1">
      <c r="B4166" s="63">
        <f t="shared" si="1"/>
        <v>8</v>
      </c>
      <c r="C4166" s="146" t="s">
        <v>276</v>
      </c>
      <c r="D4166" s="147" t="s">
        <v>74</v>
      </c>
      <c r="E4166" s="135">
        <f t="shared" si="59"/>
        <v>28</v>
      </c>
      <c r="F4166" s="149" t="s">
        <v>3865</v>
      </c>
      <c r="G4166" s="63" t="str">
        <f>VLOOKUP(C4166, 'Class Def. - General Data'!$C$20:$C$1000,1,false)</f>
        <v>ZPM1_HGR</v>
      </c>
      <c r="H4166" s="63" t="str">
        <f>IFERROR(__xludf.DUMMYFUNCTION("VLOOKUP(F4166, IMPORTRANGE(""https://docs.google.com/spreadsheets/d/1Lhp9OU0JdFf_VYSMzH5lBcEaU4o8teT1piV-SNzShjg/edit?gid=554141278#gid=554141278"", ""'Char Def. - Attributes'!C20:C2242""), 1,false)"),"PLANT_PROD_OPT")</f>
        <v>PLANT_PROD_OPT</v>
      </c>
      <c r="I4166" s="136"/>
    </row>
    <row r="4167" ht="15.75" customHeight="1">
      <c r="B4167" s="63">
        <f t="shared" si="1"/>
        <v>8</v>
      </c>
      <c r="C4167" s="146" t="s">
        <v>276</v>
      </c>
      <c r="D4167" s="147" t="s">
        <v>74</v>
      </c>
      <c r="E4167" s="135">
        <f t="shared" si="59"/>
        <v>29</v>
      </c>
      <c r="F4167" s="152" t="s">
        <v>3866</v>
      </c>
      <c r="G4167" s="63" t="str">
        <f>VLOOKUP(C4167, 'Class Def. - General Data'!$C$20:$C$1000,1,false)</f>
        <v>ZPM1_HGR</v>
      </c>
      <c r="H4167" s="63" t="str">
        <f>IFERROR(__xludf.DUMMYFUNCTION("VLOOKUP(F4167, IMPORTRANGE(""https://docs.google.com/spreadsheets/d/1Lhp9OU0JdFf_VYSMzH5lBcEaU4o8teT1piV-SNzShjg/edit?gid=554141278#gid=554141278"", ""'Char Def. - Attributes'!C20:C2242""), 1,false)"),"PM_SUPPLY_JKT")</f>
        <v>PM_SUPPLY_JKT</v>
      </c>
      <c r="I4167" s="136"/>
    </row>
    <row r="4168" ht="15.75" customHeight="1">
      <c r="B4168" s="63">
        <f t="shared" si="1"/>
        <v>8</v>
      </c>
      <c r="C4168" s="146" t="s">
        <v>276</v>
      </c>
      <c r="D4168" s="147" t="s">
        <v>74</v>
      </c>
      <c r="E4168" s="135">
        <f t="shared" si="59"/>
        <v>30</v>
      </c>
      <c r="F4168" s="152" t="s">
        <v>3867</v>
      </c>
      <c r="G4168" s="63" t="str">
        <f>VLOOKUP(C4168, 'Class Def. - General Data'!$C$20:$C$1000,1,false)</f>
        <v>ZPM1_HGR</v>
      </c>
      <c r="H4168" s="63" t="str">
        <f>IFERROR(__xludf.DUMMYFUNCTION("VLOOKUP(F4168, IMPORTRANGE(""https://docs.google.com/spreadsheets/d/1Lhp9OU0JdFf_VYSMzH5lBcEaU4o8teT1piV-SNzShjg/edit?gid=554141278#gid=554141278"", ""'Char Def. - Attributes'!C20:C2242""), 1,false)"),"PM_SUPPLY_SBY")</f>
        <v>PM_SUPPLY_SBY</v>
      </c>
      <c r="I4168" s="136"/>
    </row>
    <row r="4169" ht="15.75" customHeight="1">
      <c r="B4169" s="63">
        <f t="shared" si="1"/>
        <v>8</v>
      </c>
      <c r="C4169" s="146" t="s">
        <v>276</v>
      </c>
      <c r="D4169" s="147" t="s">
        <v>74</v>
      </c>
      <c r="E4169" s="135">
        <f t="shared" si="59"/>
        <v>31</v>
      </c>
      <c r="F4169" s="151" t="s">
        <v>3868</v>
      </c>
      <c r="G4169" s="63" t="str">
        <f>VLOOKUP(C4169, 'Class Def. - General Data'!$C$20:$C$1000,1,false)</f>
        <v>ZPM1_HGR</v>
      </c>
      <c r="H4169" s="63" t="str">
        <f>IFERROR(__xludf.DUMMYFUNCTION("VLOOKUP(F4169, IMPORTRANGE(""https://docs.google.com/spreadsheets/d/1Lhp9OU0JdFf_VYSMzH5lBcEaU4o8teT1piV-SNzShjg/edit?gid=554141278#gid=554141278"", ""'Char Def. - Attributes'!C20:C2242""), 1,false)"),"BASIC_UOM_RMPM")</f>
        <v>BASIC_UOM_RMPM</v>
      </c>
      <c r="I4169" s="136"/>
    </row>
    <row r="4170" ht="15.75" customHeight="1">
      <c r="B4170" s="63">
        <f t="shared" si="1"/>
        <v>8</v>
      </c>
      <c r="C4170" s="146" t="s">
        <v>276</v>
      </c>
      <c r="D4170" s="147" t="s">
        <v>74</v>
      </c>
      <c r="E4170" s="135">
        <f t="shared" si="59"/>
        <v>32</v>
      </c>
      <c r="F4170" s="152" t="s">
        <v>3869</v>
      </c>
      <c r="G4170" s="63" t="str">
        <f>VLOOKUP(C4170, 'Class Def. - General Data'!$C$20:$C$1000,1,false)</f>
        <v>ZPM1_HGR</v>
      </c>
      <c r="H4170" s="63" t="str">
        <f>IFERROR(__xludf.DUMMYFUNCTION("VLOOKUP(F4170, IMPORTRANGE(""https://docs.google.com/spreadsheets/d/1Lhp9OU0JdFf_VYSMzH5lBcEaU4o8teT1piV-SNzShjg/edit?gid=554141278#gid=554141278"", ""'Char Def. - Attributes'!C20:C2242""), 1,false)"),"ALT_UOM1_RMPM")</f>
        <v>ALT_UOM1_RMPM</v>
      </c>
      <c r="I4170" s="136"/>
    </row>
    <row r="4171" ht="15.75" customHeight="1">
      <c r="B4171" s="63">
        <f t="shared" si="1"/>
        <v>8</v>
      </c>
      <c r="C4171" s="146" t="s">
        <v>276</v>
      </c>
      <c r="D4171" s="147" t="s">
        <v>74</v>
      </c>
      <c r="E4171" s="135">
        <f t="shared" si="59"/>
        <v>33</v>
      </c>
      <c r="F4171" s="152" t="s">
        <v>3805</v>
      </c>
      <c r="G4171" s="63" t="str">
        <f>VLOOKUP(C4171, 'Class Def. - General Data'!$C$20:$C$1000,1,false)</f>
        <v>ZPM1_HGR</v>
      </c>
      <c r="H4171" s="63" t="str">
        <f>IFERROR(__xludf.DUMMYFUNCTION("VLOOKUP(F4171, IMPORTRANGE(""https://docs.google.com/spreadsheets/d/1Lhp9OU0JdFf_VYSMzH5lBcEaU4o8teT1piV-SNzShjg/edit?gid=554141278#gid=554141278"", ""'Char Def. - Attributes'!C20:C2242""), 1,false)"),"ALT_DENUM_UOM1")</f>
        <v>ALT_DENUM_UOM1</v>
      </c>
      <c r="I4171" s="136"/>
    </row>
    <row r="4172" ht="15.75" customHeight="1">
      <c r="B4172" s="63">
        <f t="shared" si="1"/>
        <v>8</v>
      </c>
      <c r="C4172" s="146" t="s">
        <v>276</v>
      </c>
      <c r="D4172" s="147" t="s">
        <v>74</v>
      </c>
      <c r="E4172" s="135">
        <f t="shared" si="59"/>
        <v>34</v>
      </c>
      <c r="F4172" s="152" t="s">
        <v>3806</v>
      </c>
      <c r="G4172" s="63" t="str">
        <f>VLOOKUP(C4172, 'Class Def. - General Data'!$C$20:$C$1000,1,false)</f>
        <v>ZPM1_HGR</v>
      </c>
      <c r="H4172" s="63" t="str">
        <f>IFERROR(__xludf.DUMMYFUNCTION("VLOOKUP(F4172, IMPORTRANGE(""https://docs.google.com/spreadsheets/d/1Lhp9OU0JdFf_VYSMzH5lBcEaU4o8teT1piV-SNzShjg/edit?gid=554141278#gid=554141278"", ""'Char Def. - Attributes'!C20:C2242""), 1,false)"),"ALT_NUM_UOM1")</f>
        <v>ALT_NUM_UOM1</v>
      </c>
      <c r="I4172" s="136"/>
    </row>
    <row r="4173" ht="15.75" customHeight="1">
      <c r="B4173" s="63">
        <f t="shared" si="1"/>
        <v>8</v>
      </c>
      <c r="C4173" s="146" t="s">
        <v>276</v>
      </c>
      <c r="D4173" s="147" t="s">
        <v>74</v>
      </c>
      <c r="E4173" s="135">
        <f t="shared" si="59"/>
        <v>35</v>
      </c>
      <c r="F4173" s="152" t="s">
        <v>3870</v>
      </c>
      <c r="G4173" s="63" t="str">
        <f>VLOOKUP(C4173, 'Class Def. - General Data'!$C$20:$C$1000,1,false)</f>
        <v>ZPM1_HGR</v>
      </c>
      <c r="H4173" s="63" t="str">
        <f>IFERROR(__xludf.DUMMYFUNCTION("VLOOKUP(F4173, IMPORTRANGE(""https://docs.google.com/spreadsheets/d/1Lhp9OU0JdFf_VYSMzH5lBcEaU4o8teT1piV-SNzShjg/edit?gid=554141278#gid=554141278"", ""'Char Def. - Attributes'!C20:C2242""), 1,false)"),"ALT_UOM2_RMPM")</f>
        <v>ALT_UOM2_RMPM</v>
      </c>
      <c r="I4173" s="136"/>
    </row>
    <row r="4174" ht="15.75" customHeight="1">
      <c r="B4174" s="63">
        <f t="shared" si="1"/>
        <v>8</v>
      </c>
      <c r="C4174" s="146" t="s">
        <v>276</v>
      </c>
      <c r="D4174" s="147" t="s">
        <v>74</v>
      </c>
      <c r="E4174" s="135">
        <f t="shared" si="59"/>
        <v>36</v>
      </c>
      <c r="F4174" s="152" t="s">
        <v>3808</v>
      </c>
      <c r="G4174" s="63" t="str">
        <f>VLOOKUP(C4174, 'Class Def. - General Data'!$C$20:$C$1000,1,false)</f>
        <v>ZPM1_HGR</v>
      </c>
      <c r="H4174" s="63" t="str">
        <f>IFERROR(__xludf.DUMMYFUNCTION("VLOOKUP(F4174, IMPORTRANGE(""https://docs.google.com/spreadsheets/d/1Lhp9OU0JdFf_VYSMzH5lBcEaU4o8teT1piV-SNzShjg/edit?gid=554141278#gid=554141278"", ""'Char Def. - Attributes'!C20:C2242""), 1,false)"),"ALT_DENUM_UOM2")</f>
        <v>ALT_DENUM_UOM2</v>
      </c>
      <c r="I4174" s="136"/>
    </row>
    <row r="4175" ht="15.75" customHeight="1">
      <c r="B4175" s="63">
        <f t="shared" si="1"/>
        <v>8</v>
      </c>
      <c r="C4175" s="146" t="s">
        <v>276</v>
      </c>
      <c r="D4175" s="147" t="s">
        <v>74</v>
      </c>
      <c r="E4175" s="135">
        <f t="shared" si="59"/>
        <v>37</v>
      </c>
      <c r="F4175" s="152" t="s">
        <v>3809</v>
      </c>
      <c r="G4175" s="63" t="str">
        <f>VLOOKUP(C4175, 'Class Def. - General Data'!$C$20:$C$1000,1,false)</f>
        <v>ZPM1_HGR</v>
      </c>
      <c r="H4175" s="63" t="str">
        <f>IFERROR(__xludf.DUMMYFUNCTION("VLOOKUP(F4175, IMPORTRANGE(""https://docs.google.com/spreadsheets/d/1Lhp9OU0JdFf_VYSMzH5lBcEaU4o8teT1piV-SNzShjg/edit?gid=554141278#gid=554141278"", ""'Char Def. - Attributes'!C20:C2242""), 1,false)"),"ALT_NUM_UOM2")</f>
        <v>ALT_NUM_UOM2</v>
      </c>
      <c r="I4175" s="136"/>
    </row>
    <row r="4176" ht="15.75" customHeight="1">
      <c r="B4176" s="63">
        <f t="shared" si="1"/>
        <v>8</v>
      </c>
      <c r="C4176" s="146" t="s">
        <v>276</v>
      </c>
      <c r="D4176" s="147" t="s">
        <v>74</v>
      </c>
      <c r="E4176" s="135">
        <f t="shared" si="59"/>
        <v>38</v>
      </c>
      <c r="F4176" s="152" t="s">
        <v>3871</v>
      </c>
      <c r="G4176" s="63" t="str">
        <f>VLOOKUP(C4176, 'Class Def. - General Data'!$C$20:$C$1000,1,false)</f>
        <v>ZPM1_HGR</v>
      </c>
      <c r="H4176" s="63" t="str">
        <f>IFERROR(__xludf.DUMMYFUNCTION("VLOOKUP(F4176, IMPORTRANGE(""https://docs.google.com/spreadsheets/d/1Lhp9OU0JdFf_VYSMzH5lBcEaU4o8teT1piV-SNzShjg/edit?gid=554141278#gid=554141278"", ""'Char Def. - Attributes'!C20:C2242""), 1,false)"),"ALT_UOM3_RMPM")</f>
        <v>ALT_UOM3_RMPM</v>
      </c>
      <c r="I4176" s="136"/>
    </row>
    <row r="4177" ht="15.75" customHeight="1">
      <c r="B4177" s="63">
        <f t="shared" si="1"/>
        <v>8</v>
      </c>
      <c r="C4177" s="146" t="s">
        <v>276</v>
      </c>
      <c r="D4177" s="147" t="s">
        <v>74</v>
      </c>
      <c r="E4177" s="135">
        <f t="shared" si="59"/>
        <v>39</v>
      </c>
      <c r="F4177" s="152" t="s">
        <v>3811</v>
      </c>
      <c r="G4177" s="63" t="str">
        <f>VLOOKUP(C4177, 'Class Def. - General Data'!$C$20:$C$1000,1,false)</f>
        <v>ZPM1_HGR</v>
      </c>
      <c r="H4177" s="63" t="str">
        <f>IFERROR(__xludf.DUMMYFUNCTION("VLOOKUP(F4177, IMPORTRANGE(""https://docs.google.com/spreadsheets/d/1Lhp9OU0JdFf_VYSMzH5lBcEaU4o8teT1piV-SNzShjg/edit?gid=554141278#gid=554141278"", ""'Char Def. - Attributes'!C20:C2242""), 1,false)"),"ALT_DENUM_UOM3")</f>
        <v>ALT_DENUM_UOM3</v>
      </c>
      <c r="I4177" s="136"/>
    </row>
    <row r="4178" ht="15.75" customHeight="1">
      <c r="B4178" s="63">
        <f t="shared" si="1"/>
        <v>8</v>
      </c>
      <c r="C4178" s="146" t="s">
        <v>276</v>
      </c>
      <c r="D4178" s="147" t="s">
        <v>74</v>
      </c>
      <c r="E4178" s="135">
        <f t="shared" si="59"/>
        <v>40</v>
      </c>
      <c r="F4178" s="152" t="s">
        <v>3812</v>
      </c>
      <c r="G4178" s="63" t="str">
        <f>VLOOKUP(C4178, 'Class Def. - General Data'!$C$20:$C$1000,1,false)</f>
        <v>ZPM1_HGR</v>
      </c>
      <c r="H4178" s="63" t="str">
        <f>IFERROR(__xludf.DUMMYFUNCTION("VLOOKUP(F4178, IMPORTRANGE(""https://docs.google.com/spreadsheets/d/1Lhp9OU0JdFf_VYSMzH5lBcEaU4o8teT1piV-SNzShjg/edit?gid=554141278#gid=554141278"", ""'Char Def. - Attributes'!C20:C2242""), 1,false)"),"ALT_NUM_UOM3")</f>
        <v>ALT_NUM_UOM3</v>
      </c>
      <c r="I4178" s="136"/>
    </row>
    <row r="4179" ht="15.75" customHeight="1">
      <c r="B4179" s="63">
        <f t="shared" si="1"/>
        <v>8</v>
      </c>
      <c r="C4179" s="146" t="s">
        <v>276</v>
      </c>
      <c r="D4179" s="147" t="s">
        <v>74</v>
      </c>
      <c r="E4179" s="135">
        <f t="shared" si="59"/>
        <v>41</v>
      </c>
      <c r="F4179" s="152" t="s">
        <v>3872</v>
      </c>
      <c r="G4179" s="63" t="str">
        <f>VLOOKUP(C4179, 'Class Def. - General Data'!$C$20:$C$1000,1,false)</f>
        <v>ZPM1_HGR</v>
      </c>
      <c r="H4179" s="63" t="str">
        <f>IFERROR(__xludf.DUMMYFUNCTION("VLOOKUP(F4179, IMPORTRANGE(""https://docs.google.com/spreadsheets/d/1Lhp9OU0JdFf_VYSMzH5lBcEaU4o8teT1piV-SNzShjg/edit?gid=554141278#gid=554141278"", ""'Char Def. - Attributes'!C20:C2242""), 1,false)"),"ALT_UOM4_RMPM")</f>
        <v>ALT_UOM4_RMPM</v>
      </c>
      <c r="I4179" s="136"/>
    </row>
    <row r="4180" ht="15.75" customHeight="1">
      <c r="B4180" s="63">
        <f t="shared" si="1"/>
        <v>8</v>
      </c>
      <c r="C4180" s="146" t="s">
        <v>276</v>
      </c>
      <c r="D4180" s="147" t="s">
        <v>74</v>
      </c>
      <c r="E4180" s="135">
        <f t="shared" si="59"/>
        <v>42</v>
      </c>
      <c r="F4180" s="152" t="s">
        <v>3814</v>
      </c>
      <c r="G4180" s="63" t="str">
        <f>VLOOKUP(C4180, 'Class Def. - General Data'!$C$20:$C$1000,1,false)</f>
        <v>ZPM1_HGR</v>
      </c>
      <c r="H4180" s="63" t="str">
        <f>IFERROR(__xludf.DUMMYFUNCTION("VLOOKUP(F4180, IMPORTRANGE(""https://docs.google.com/spreadsheets/d/1Lhp9OU0JdFf_VYSMzH5lBcEaU4o8teT1piV-SNzShjg/edit?gid=554141278#gid=554141278"", ""'Char Def. - Attributes'!C20:C2242""), 1,false)"),"ALT_DENUM_UOM4")</f>
        <v>ALT_DENUM_UOM4</v>
      </c>
      <c r="I4180" s="136"/>
    </row>
    <row r="4181" ht="15.75" customHeight="1">
      <c r="B4181" s="63">
        <f t="shared" si="1"/>
        <v>8</v>
      </c>
      <c r="C4181" s="146" t="s">
        <v>276</v>
      </c>
      <c r="D4181" s="147" t="s">
        <v>74</v>
      </c>
      <c r="E4181" s="135">
        <f t="shared" si="59"/>
        <v>43</v>
      </c>
      <c r="F4181" s="152" t="s">
        <v>3815</v>
      </c>
      <c r="G4181" s="63" t="str">
        <f>VLOOKUP(C4181, 'Class Def. - General Data'!$C$20:$C$1000,1,false)</f>
        <v>ZPM1_HGR</v>
      </c>
      <c r="H4181" s="63" t="str">
        <f>IFERROR(__xludf.DUMMYFUNCTION("VLOOKUP(F4181, IMPORTRANGE(""https://docs.google.com/spreadsheets/d/1Lhp9OU0JdFf_VYSMzH5lBcEaU4o8teT1piV-SNzShjg/edit?gid=554141278#gid=554141278"", ""'Char Def. - Attributes'!C20:C2242""), 1,false)"),"ALT_NUM_UOM4")</f>
        <v>ALT_NUM_UOM4</v>
      </c>
      <c r="I4181" s="136"/>
    </row>
    <row r="4182" ht="15.75" customHeight="1">
      <c r="B4182" s="63">
        <f t="shared" si="1"/>
        <v>8</v>
      </c>
      <c r="C4182" s="146" t="s">
        <v>276</v>
      </c>
      <c r="D4182" s="147" t="s">
        <v>74</v>
      </c>
      <c r="E4182" s="135">
        <f t="shared" si="59"/>
        <v>44</v>
      </c>
      <c r="F4182" s="152" t="s">
        <v>3873</v>
      </c>
      <c r="G4182" s="63" t="str">
        <f>VLOOKUP(C4182, 'Class Def. - General Data'!$C$20:$C$1000,1,false)</f>
        <v>ZPM1_HGR</v>
      </c>
      <c r="H4182" s="63" t="str">
        <f>IFERROR(__xludf.DUMMYFUNCTION("VLOOKUP(F4182, IMPORTRANGE(""https://docs.google.com/spreadsheets/d/1Lhp9OU0JdFf_VYSMzH5lBcEaU4o8teT1piV-SNzShjg/edit?gid=554141278#gid=554141278"", ""'Char Def. - Attributes'!C20:C2242""), 1,false)"),"ALT_UOM5_RMPM")</f>
        <v>ALT_UOM5_RMPM</v>
      </c>
      <c r="I4182" s="136"/>
    </row>
    <row r="4183" ht="15.75" customHeight="1">
      <c r="B4183" s="63">
        <f t="shared" si="1"/>
        <v>8</v>
      </c>
      <c r="C4183" s="146" t="s">
        <v>276</v>
      </c>
      <c r="D4183" s="147" t="s">
        <v>74</v>
      </c>
      <c r="E4183" s="135">
        <f t="shared" si="59"/>
        <v>45</v>
      </c>
      <c r="F4183" s="152" t="s">
        <v>3817</v>
      </c>
      <c r="G4183" s="63" t="str">
        <f>VLOOKUP(C4183, 'Class Def. - General Data'!$C$20:$C$1000,1,false)</f>
        <v>ZPM1_HGR</v>
      </c>
      <c r="H4183" s="63" t="str">
        <f>IFERROR(__xludf.DUMMYFUNCTION("VLOOKUP(F4183, IMPORTRANGE(""https://docs.google.com/spreadsheets/d/1Lhp9OU0JdFf_VYSMzH5lBcEaU4o8teT1piV-SNzShjg/edit?gid=554141278#gid=554141278"", ""'Char Def. - Attributes'!C20:C2242""), 1,false)"),"ALT_DENUM_UOM5")</f>
        <v>ALT_DENUM_UOM5</v>
      </c>
      <c r="I4183" s="136"/>
    </row>
    <row r="4184" ht="15.75" customHeight="1">
      <c r="B4184" s="63">
        <f t="shared" si="1"/>
        <v>8</v>
      </c>
      <c r="C4184" s="146" t="s">
        <v>276</v>
      </c>
      <c r="D4184" s="147" t="s">
        <v>74</v>
      </c>
      <c r="E4184" s="135">
        <f t="shared" si="59"/>
        <v>46</v>
      </c>
      <c r="F4184" s="152" t="s">
        <v>3818</v>
      </c>
      <c r="G4184" s="63" t="str">
        <f>VLOOKUP(C4184, 'Class Def. - General Data'!$C$20:$C$1000,1,false)</f>
        <v>ZPM1_HGR</v>
      </c>
      <c r="H4184" s="63" t="str">
        <f>IFERROR(__xludf.DUMMYFUNCTION("VLOOKUP(F4184, IMPORTRANGE(""https://docs.google.com/spreadsheets/d/1Lhp9OU0JdFf_VYSMzH5lBcEaU4o8teT1piV-SNzShjg/edit?gid=554141278#gid=554141278"", ""'Char Def. - Attributes'!C20:C2242""), 1,false)"),"ALT_NUM_UOM5")</f>
        <v>ALT_NUM_UOM5</v>
      </c>
      <c r="I4184" s="136"/>
    </row>
    <row r="4185" ht="15.75" customHeight="1">
      <c r="B4185" s="63">
        <f t="shared" si="1"/>
        <v>8</v>
      </c>
      <c r="C4185" s="146" t="s">
        <v>276</v>
      </c>
      <c r="D4185" s="147" t="s">
        <v>74</v>
      </c>
      <c r="E4185" s="135">
        <f t="shared" si="59"/>
        <v>47</v>
      </c>
      <c r="F4185" s="152" t="s">
        <v>3874</v>
      </c>
      <c r="G4185" s="63" t="str">
        <f>VLOOKUP(C4185, 'Class Def. - General Data'!$C$20:$C$1000,1,false)</f>
        <v>ZPM1_HGR</v>
      </c>
      <c r="H4185" s="63" t="str">
        <f>IFERROR(__xludf.DUMMYFUNCTION("VLOOKUP(F4185, IMPORTRANGE(""https://docs.google.com/spreadsheets/d/1Lhp9OU0JdFf_VYSMzH5lBcEaU4o8teT1piV-SNzShjg/edit?gid=554141278#gid=554141278"", ""'Char Def. - Attributes'!C20:C2242""), 1,false)"),"VALUATION_CATEGORY")</f>
        <v>VALUATION_CATEGORY</v>
      </c>
      <c r="I4185" s="136"/>
    </row>
    <row r="4186" ht="15.75" customHeight="1">
      <c r="B4186" s="63">
        <f t="shared" si="1"/>
        <v>8</v>
      </c>
      <c r="C4186" s="146" t="s">
        <v>276</v>
      </c>
      <c r="D4186" s="147" t="s">
        <v>74</v>
      </c>
      <c r="E4186" s="135">
        <f t="shared" si="59"/>
        <v>48</v>
      </c>
      <c r="F4186" s="152" t="s">
        <v>3800</v>
      </c>
      <c r="G4186" s="63" t="str">
        <f>VLOOKUP(C4186, 'Class Def. - General Data'!$C$20:$C$1000,1,false)</f>
        <v>ZPM1_HGR</v>
      </c>
      <c r="H4186" s="63" t="str">
        <f>IFERROR(__xludf.DUMMYFUNCTION("VLOOKUP(F4186, IMPORTRANGE(""https://docs.google.com/spreadsheets/d/1Lhp9OU0JdFf_VYSMzH5lBcEaU4o8teT1piV-SNzShjg/edit?gid=554141278#gid=554141278"", ""'Char Def. - Attributes'!C20:C2242""), 1,false)"),"ORDER_UNIT_DIFF_FROM_BASIC_UOM")</f>
        <v>ORDER_UNIT_DIFF_FROM_BASIC_UOM</v>
      </c>
      <c r="I4186" s="136"/>
    </row>
    <row r="4187" ht="15.75" customHeight="1">
      <c r="B4187" s="63">
        <f t="shared" si="1"/>
        <v>8</v>
      </c>
      <c r="C4187" s="146" t="s">
        <v>276</v>
      </c>
      <c r="D4187" s="147" t="s">
        <v>74</v>
      </c>
      <c r="E4187" s="135">
        <f t="shared" si="59"/>
        <v>49</v>
      </c>
      <c r="F4187" s="152" t="s">
        <v>3875</v>
      </c>
      <c r="G4187" s="63" t="str">
        <f>VLOOKUP(C4187, 'Class Def. - General Data'!$C$20:$C$1000,1,false)</f>
        <v>ZPM1_HGR</v>
      </c>
      <c r="H4187" s="63" t="str">
        <f>IFERROR(__xludf.DUMMYFUNCTION("VLOOKUP(F4187, IMPORTRANGE(""https://docs.google.com/spreadsheets/d/1Lhp9OU0JdFf_VYSMzH5lBcEaU4o8teT1piV-SNzShjg/edit?gid=554141278#gid=554141278"", ""'Char Def. - Attributes'!C20:C2242""), 1,false)"),"ORDER_UNIT_RMPM")</f>
        <v>ORDER_UNIT_RMPM</v>
      </c>
      <c r="I4187" s="136"/>
    </row>
    <row r="4188" ht="15.75" customHeight="1">
      <c r="B4188" s="63">
        <f t="shared" si="1"/>
        <v>8</v>
      </c>
      <c r="C4188" s="146" t="s">
        <v>276</v>
      </c>
      <c r="D4188" s="147" t="s">
        <v>74</v>
      </c>
      <c r="E4188" s="135">
        <f t="shared" si="59"/>
        <v>50</v>
      </c>
      <c r="F4188" s="151" t="s">
        <v>3602</v>
      </c>
      <c r="G4188" s="63" t="str">
        <f>VLOOKUP(C4188, 'Class Def. - General Data'!$C$20:$C$1000,1,false)</f>
        <v>ZPM1_HGR</v>
      </c>
      <c r="H4188" s="63" t="str">
        <f>IFERROR(__xludf.DUMMYFUNCTION("VLOOKUP(F4188, IMPORTRANGE(""https://docs.google.com/spreadsheets/d/1Lhp9OU0JdFf_VYSMzH5lBcEaU4o8teT1piV-SNzShjg/edit?gid=554141278#gid=554141278"", ""'Char Def. - Attributes'!C20:C2242""), 1,false)"),"NET_WEIGHT")</f>
        <v>NET_WEIGHT</v>
      </c>
      <c r="I4188" s="136"/>
    </row>
    <row r="4189" ht="15.75" customHeight="1">
      <c r="B4189" s="63">
        <f t="shared" si="1"/>
        <v>8</v>
      </c>
      <c r="C4189" s="146" t="s">
        <v>276</v>
      </c>
      <c r="D4189" s="147" t="s">
        <v>74</v>
      </c>
      <c r="E4189" s="135">
        <f t="shared" si="59"/>
        <v>51</v>
      </c>
      <c r="F4189" s="151" t="s">
        <v>3601</v>
      </c>
      <c r="G4189" s="63" t="str">
        <f>VLOOKUP(C4189, 'Class Def. - General Data'!$C$20:$C$1000,1,false)</f>
        <v>ZPM1_HGR</v>
      </c>
      <c r="H4189" s="63" t="str">
        <f>IFERROR(__xludf.DUMMYFUNCTION("VLOOKUP(F4189, IMPORTRANGE(""https://docs.google.com/spreadsheets/d/1Lhp9OU0JdFf_VYSMzH5lBcEaU4o8teT1piV-SNzShjg/edit?gid=554141278#gid=554141278"", ""'Char Def. - Attributes'!C20:C2242""), 1,false)"),"GROSS_WEIGHT")</f>
        <v>GROSS_WEIGHT</v>
      </c>
      <c r="I4189" s="136"/>
    </row>
    <row r="4190" ht="15.75" customHeight="1">
      <c r="B4190" s="63">
        <f t="shared" si="1"/>
        <v>8</v>
      </c>
      <c r="C4190" s="146" t="s">
        <v>276</v>
      </c>
      <c r="D4190" s="147" t="s">
        <v>74</v>
      </c>
      <c r="E4190" s="135">
        <f t="shared" si="59"/>
        <v>52</v>
      </c>
      <c r="F4190" s="134" t="s">
        <v>3876</v>
      </c>
      <c r="G4190" s="63" t="str">
        <f>VLOOKUP(C4190, 'Class Def. - General Data'!$C$20:$C$1000,1,false)</f>
        <v>ZPM1_HGR</v>
      </c>
      <c r="H4190" s="63" t="str">
        <f>IFERROR(__xludf.DUMMYFUNCTION("VLOOKUP(F4190, IMPORTRANGE(""https://docs.google.com/spreadsheets/d/1Lhp9OU0JdFf_VYSMzH5lBcEaU4o8teT1piV-SNzShjg/edit?gid=554141278#gid=554141278"", ""'Char Def. - Attributes'!C20:C2242""), 1,false)"),"WEIGHT_UNIT_PM")</f>
        <v>WEIGHT_UNIT_PM</v>
      </c>
      <c r="I4190" s="136"/>
    </row>
    <row r="4191" ht="15.75" customHeight="1">
      <c r="B4191" s="63">
        <f t="shared" si="1"/>
        <v>8</v>
      </c>
      <c r="C4191" s="146" t="s">
        <v>276</v>
      </c>
      <c r="D4191" s="147" t="s">
        <v>74</v>
      </c>
      <c r="E4191" s="135">
        <f t="shared" si="59"/>
        <v>53</v>
      </c>
      <c r="F4191" s="151" t="s">
        <v>3877</v>
      </c>
      <c r="G4191" s="63" t="str">
        <f>VLOOKUP(C4191, 'Class Def. - General Data'!$C$20:$C$1000,1,false)</f>
        <v>ZPM1_HGR</v>
      </c>
      <c r="H4191" s="63" t="str">
        <f>IFERROR(__xludf.DUMMYFUNCTION("VLOOKUP(F4191, IMPORTRANGE(""https://docs.google.com/spreadsheets/d/1Lhp9OU0JdFf_VYSMzH5lBcEaU4o8teT1piV-SNzShjg/edit?gid=554141278#gid=554141278"", ""'Char Def. - Attributes'!C20:C2242""), 1,false)"),"VOLUME_OPT")</f>
        <v>VOLUME_OPT</v>
      </c>
      <c r="I4191" s="136"/>
    </row>
    <row r="4192" ht="15.75" customHeight="1">
      <c r="B4192" s="63">
        <f t="shared" si="1"/>
        <v>8</v>
      </c>
      <c r="C4192" s="146" t="s">
        <v>276</v>
      </c>
      <c r="D4192" s="147" t="s">
        <v>74</v>
      </c>
      <c r="E4192" s="135">
        <f t="shared" si="59"/>
        <v>54</v>
      </c>
      <c r="F4192" s="152" t="s">
        <v>3878</v>
      </c>
      <c r="G4192" s="63" t="str">
        <f>VLOOKUP(C4192, 'Class Def. - General Data'!$C$20:$C$1000,1,false)</f>
        <v>ZPM1_HGR</v>
      </c>
      <c r="H4192" s="63" t="str">
        <f>IFERROR(__xludf.DUMMYFUNCTION("VLOOKUP(F4192, IMPORTRANGE(""https://docs.google.com/spreadsheets/d/1Lhp9OU0JdFf_VYSMzH5lBcEaU4o8teT1piV-SNzShjg/edit?gid=554141278#gid=554141278"", ""'Char Def. - Attributes'!C20:C2242""), 1,false)"),"VOLUME_UNIT")</f>
        <v>VOLUME_UNIT</v>
      </c>
      <c r="I4192" s="136"/>
    </row>
    <row r="4193" ht="15.75" customHeight="1">
      <c r="B4193" s="63">
        <f t="shared" si="1"/>
        <v>8</v>
      </c>
      <c r="C4193" s="146" t="s">
        <v>276</v>
      </c>
      <c r="D4193" s="147" t="s">
        <v>74</v>
      </c>
      <c r="E4193" s="135">
        <f t="shared" si="59"/>
        <v>55</v>
      </c>
      <c r="F4193" s="149" t="s">
        <v>3879</v>
      </c>
      <c r="G4193" s="63" t="str">
        <f>VLOOKUP(C4193, 'Class Def. - General Data'!$C$20:$C$1000,1,false)</f>
        <v>ZPM1_HGR</v>
      </c>
      <c r="H4193" s="63" t="str">
        <f>IFERROR(__xludf.DUMMYFUNCTION("VLOOKUP(F4193, IMPORTRANGE(""https://docs.google.com/spreadsheets/d/1Lhp9OU0JdFf_VYSMzH5lBcEaU4o8teT1piV-SNzShjg/edit?gid=554141278#gid=554141278"", ""'Char Def. - Attributes'!C20:C2242""), 1,false)"),"OLD_MAT_NO_RMPM")</f>
        <v>OLD_MAT_NO_RMPM</v>
      </c>
      <c r="I4193" s="136"/>
    </row>
    <row r="4194" ht="15.75" customHeight="1">
      <c r="B4194" s="63">
        <f t="shared" si="1"/>
        <v>8</v>
      </c>
      <c r="C4194" s="146" t="s">
        <v>276</v>
      </c>
      <c r="D4194" s="147" t="s">
        <v>74</v>
      </c>
      <c r="E4194" s="135">
        <f t="shared" si="59"/>
        <v>56</v>
      </c>
      <c r="F4194" s="148" t="s">
        <v>3880</v>
      </c>
      <c r="G4194" s="63" t="str">
        <f>VLOOKUP(C4194, 'Class Def. - General Data'!$C$20:$C$1000,1,false)</f>
        <v>ZPM1_HGR</v>
      </c>
      <c r="H4194" s="63" t="str">
        <f>IFERROR(__xludf.DUMMYFUNCTION("VLOOKUP(F4194, IMPORTRANGE(""https://docs.google.com/spreadsheets/d/1Lhp9OU0JdFf_VYSMzH5lBcEaU4o8teT1piV-SNzShjg/edit?gid=554141278#gid=554141278"", ""'Char Def. - Attributes'!C20:C2242""), 1,false)"),"NOTE_PM")</f>
        <v>NOTE_PM</v>
      </c>
      <c r="I4194" s="136"/>
    </row>
    <row r="4195" ht="15.75" customHeight="1">
      <c r="B4195" s="63">
        <f t="shared" si="1"/>
        <v>8</v>
      </c>
      <c r="C4195" s="146" t="s">
        <v>276</v>
      </c>
      <c r="D4195" s="147" t="s">
        <v>74</v>
      </c>
      <c r="E4195" s="135">
        <f t="shared" si="59"/>
        <v>57</v>
      </c>
      <c r="F4195" s="148" t="s">
        <v>3881</v>
      </c>
      <c r="G4195" s="63" t="str">
        <f>VLOOKUP(C4195, 'Class Def. - General Data'!$C$20:$C$1000,1,false)</f>
        <v>ZPM1_HGR</v>
      </c>
      <c r="H4195" s="63" t="str">
        <f>IFERROR(__xludf.DUMMYFUNCTION("VLOOKUP(F4195, IMPORTRANGE(""https://docs.google.com/spreadsheets/d/1Lhp9OU0JdFf_VYSMzH5lBcEaU4o8teT1piV-SNzShjg/edit?gid=554141278#gid=554141278"", ""'Char Def. - Attributes'!C20:C2242""), 1,false)"),"BS_BERSIH")</f>
        <v>BS_BERSIH</v>
      </c>
      <c r="I4195" s="136"/>
    </row>
    <row r="4196" ht="15.75" customHeight="1">
      <c r="B4196" s="63">
        <f t="shared" si="1"/>
        <v>8</v>
      </c>
      <c r="C4196" s="146" t="s">
        <v>276</v>
      </c>
      <c r="D4196" s="147" t="s">
        <v>74</v>
      </c>
      <c r="E4196" s="135">
        <f t="shared" si="59"/>
        <v>58</v>
      </c>
      <c r="F4196" s="148" t="s">
        <v>3882</v>
      </c>
      <c r="G4196" s="63" t="str">
        <f>VLOOKUP(C4196, 'Class Def. - General Data'!$C$20:$C$1000,1,false)</f>
        <v>ZPM1_HGR</v>
      </c>
      <c r="H4196" s="63" t="str">
        <f>IFERROR(__xludf.DUMMYFUNCTION("VLOOKUP(F4196, IMPORTRANGE(""https://docs.google.com/spreadsheets/d/1Lhp9OU0JdFf_VYSMzH5lBcEaU4o8teT1piV-SNzShjg/edit?gid=554141278#gid=554141278"", ""'Char Def. - Attributes'!C20:C2242""), 1,false)"),"BS_KOTOR")</f>
        <v>BS_KOTOR</v>
      </c>
      <c r="I4196" s="136"/>
    </row>
    <row r="4197" ht="15.75" customHeight="1">
      <c r="B4197" s="63">
        <f t="shared" si="1"/>
        <v>8</v>
      </c>
      <c r="C4197" s="146" t="s">
        <v>276</v>
      </c>
      <c r="D4197" s="147" t="s">
        <v>74</v>
      </c>
      <c r="E4197" s="135">
        <f t="shared" si="59"/>
        <v>59</v>
      </c>
      <c r="F4197" s="148" t="s">
        <v>3883</v>
      </c>
      <c r="G4197" s="63" t="str">
        <f>VLOOKUP(C4197, 'Class Def. - General Data'!$C$20:$C$1000,1,false)</f>
        <v>ZPM1_HGR</v>
      </c>
      <c r="H4197" s="63" t="str">
        <f>IFERROR(__xludf.DUMMYFUNCTION("VLOOKUP(F4197, IMPORTRANGE(""https://docs.google.com/spreadsheets/d/1Lhp9OU0JdFf_VYSMzH5lBcEaU4o8teT1piV-SNzShjg/edit?gid=554141278#gid=554141278"", ""'Char Def. - Attributes'!C20:C2242""), 1,false)"),"BS_SCRAP")</f>
        <v>BS_SCRAP</v>
      </c>
      <c r="I4197" s="136"/>
    </row>
    <row r="4198" ht="15.75" customHeight="1">
      <c r="B4198" s="63">
        <f t="shared" si="1"/>
        <v>12</v>
      </c>
      <c r="C4198" s="156" t="s">
        <v>290</v>
      </c>
      <c r="D4198" s="147" t="s">
        <v>74</v>
      </c>
      <c r="E4198" s="135">
        <f t="shared" si="59"/>
        <v>1</v>
      </c>
      <c r="F4198" s="134" t="s">
        <v>3937</v>
      </c>
      <c r="G4198" s="63" t="str">
        <f>VLOOKUP(C4198, 'Class Def. - General Data'!$C$20:$C$1000,1,false)</f>
        <v>ZPM1_IBCTank</v>
      </c>
      <c r="H4198" s="63" t="str">
        <f>IFERROR(__xludf.DUMMYFUNCTION("VLOOKUP(F4198, IMPORTRANGE(""https://docs.google.com/spreadsheets/d/1Lhp9OU0JdFf_VYSMzH5lBcEaU4o8teT1piV-SNzShjg/edit?gid=554141278#gid=554141278"", ""'Char Def. - Attributes'!C20:C2242""), 1,false)"),"MATERIAL_CODE_IBCTANK")</f>
        <v>MATERIAL_CODE_IBCTANK</v>
      </c>
      <c r="I4198" s="136"/>
    </row>
    <row r="4199" ht="15.75" customHeight="1">
      <c r="B4199" s="63">
        <f t="shared" si="1"/>
        <v>12</v>
      </c>
      <c r="C4199" s="156" t="s">
        <v>290</v>
      </c>
      <c r="D4199" s="147" t="s">
        <v>74</v>
      </c>
      <c r="E4199" s="135">
        <f t="shared" si="59"/>
        <v>2</v>
      </c>
      <c r="F4199" s="134" t="s">
        <v>3902</v>
      </c>
      <c r="G4199" s="63" t="str">
        <f>VLOOKUP(C4199, 'Class Def. - General Data'!$C$20:$C$1000,1,false)</f>
        <v>ZPM1_IBCTank</v>
      </c>
      <c r="H4199" s="63" t="str">
        <f>IFERROR(__xludf.DUMMYFUNCTION("VLOOKUP(F4199, IMPORTRANGE(""https://docs.google.com/spreadsheets/d/1Lhp9OU0JdFf_VYSMzH5lBcEaU4o8teT1piV-SNzShjg/edit?gid=554141278#gid=554141278"", ""'Char Def. - Attributes'!C20:C2242""), 1,false)"),"BRAND_WINGS_OPT")</f>
        <v>BRAND_WINGS_OPT</v>
      </c>
      <c r="I4199" s="136"/>
    </row>
    <row r="4200" ht="15.75" customHeight="1">
      <c r="B4200" s="63">
        <f t="shared" si="1"/>
        <v>12</v>
      </c>
      <c r="C4200" s="156" t="s">
        <v>290</v>
      </c>
      <c r="D4200" s="147" t="s">
        <v>74</v>
      </c>
      <c r="E4200" s="135">
        <f t="shared" si="59"/>
        <v>3</v>
      </c>
      <c r="F4200" s="134" t="s">
        <v>3938</v>
      </c>
      <c r="G4200" s="63" t="str">
        <f>VLOOKUP(C4200, 'Class Def. - General Data'!$C$20:$C$1000,1,false)</f>
        <v>ZPM1_IBCTank</v>
      </c>
      <c r="H4200" s="63" t="str">
        <f>IFERROR(__xludf.DUMMYFUNCTION("VLOOKUP(F4200, IMPORTRANGE(""https://docs.google.com/spreadsheets/d/1Lhp9OU0JdFf_VYSMzH5lBcEaU4o8teT1piV-SNzShjg/edit?gid=554141278#gid=554141278"", ""'Char Def. - Attributes'!C20:C2242""), 1,false)"),"WEIGHT_MT")</f>
        <v>WEIGHT_MT</v>
      </c>
      <c r="I4200" s="136"/>
    </row>
    <row r="4201" ht="15.75" customHeight="1">
      <c r="B4201" s="63">
        <f t="shared" si="1"/>
        <v>12</v>
      </c>
      <c r="C4201" s="156" t="s">
        <v>290</v>
      </c>
      <c r="D4201" s="147" t="s">
        <v>74</v>
      </c>
      <c r="E4201" s="135">
        <f t="shared" si="59"/>
        <v>4</v>
      </c>
      <c r="F4201" s="134" t="s">
        <v>3900</v>
      </c>
      <c r="G4201" s="63" t="str">
        <f>VLOOKUP(C4201, 'Class Def. - General Data'!$C$20:$C$1000,1,false)</f>
        <v>ZPM1_IBCTank</v>
      </c>
      <c r="H4201" s="63" t="str">
        <f>IFERROR(__xludf.DUMMYFUNCTION("VLOOKUP(F4201, IMPORTRANGE(""https://docs.google.com/spreadsheets/d/1Lhp9OU0JdFf_VYSMzH5lBcEaU4o8teT1piV-SNzShjg/edit?gid=554141278#gid=554141278"", ""'Char Def. - Attributes'!C20:C2242""), 1,false)"),"PLASTIC_TYPE_OPT")</f>
        <v>PLASTIC_TYPE_OPT</v>
      </c>
      <c r="I4201" s="136"/>
    </row>
    <row r="4202" ht="15.75" customHeight="1">
      <c r="B4202" s="63">
        <f t="shared" si="1"/>
        <v>12</v>
      </c>
      <c r="C4202" s="156" t="s">
        <v>290</v>
      </c>
      <c r="D4202" s="147" t="s">
        <v>74</v>
      </c>
      <c r="E4202" s="135">
        <f t="shared" si="59"/>
        <v>5</v>
      </c>
      <c r="F4202" s="134" t="s">
        <v>3864</v>
      </c>
      <c r="G4202" s="63" t="str">
        <f>VLOOKUP(C4202, 'Class Def. - General Data'!$C$20:$C$1000,1,false)</f>
        <v>ZPM1_IBCTank</v>
      </c>
      <c r="H4202" s="63" t="str">
        <f>IFERROR(__xludf.DUMMYFUNCTION("VLOOKUP(F4202, IMPORTRANGE(""https://docs.google.com/spreadsheets/d/1Lhp9OU0JdFf_VYSMzH5lBcEaU4o8teT1piV-SNzShjg/edit?gid=554141278#gid=554141278"", ""'Char Def. - Attributes'!C20:C2242""), 1,false)"),"DIMENSION_OPT")</f>
        <v>DIMENSION_OPT</v>
      </c>
      <c r="I4202" s="136"/>
    </row>
    <row r="4203" ht="15.75" customHeight="1">
      <c r="B4203" s="63">
        <f t="shared" si="1"/>
        <v>12</v>
      </c>
      <c r="C4203" s="156" t="s">
        <v>290</v>
      </c>
      <c r="D4203" s="147" t="s">
        <v>74</v>
      </c>
      <c r="E4203" s="135">
        <f t="shared" si="59"/>
        <v>6</v>
      </c>
      <c r="F4203" s="134" t="s">
        <v>3911</v>
      </c>
      <c r="G4203" s="63" t="str">
        <f>VLOOKUP(C4203, 'Class Def. - General Data'!$C$20:$C$1000,1,false)</f>
        <v>ZPM1_IBCTank</v>
      </c>
      <c r="H4203" s="63" t="str">
        <f>IFERROR(__xludf.DUMMYFUNCTION("VLOOKUP(F4203, IMPORTRANGE(""https://docs.google.com/spreadsheets/d/1Lhp9OU0JdFf_VYSMzH5lBcEaU4o8teT1piV-SNzShjg/edit?gid=554141278#gid=554141278"", ""'Char Def. - Attributes'!C20:C2242""), 1,false)"),"PLANT_BUY_OPT")</f>
        <v>PLANT_BUY_OPT</v>
      </c>
      <c r="I4203" s="136"/>
    </row>
    <row r="4204" ht="15.75" customHeight="1">
      <c r="B4204" s="63">
        <f t="shared" si="1"/>
        <v>12</v>
      </c>
      <c r="C4204" s="156" t="s">
        <v>290</v>
      </c>
      <c r="D4204" s="147" t="s">
        <v>74</v>
      </c>
      <c r="E4204" s="135">
        <f t="shared" si="59"/>
        <v>7</v>
      </c>
      <c r="F4204" s="134" t="s">
        <v>3865</v>
      </c>
      <c r="G4204" s="63" t="str">
        <f>VLOOKUP(C4204, 'Class Def. - General Data'!$C$20:$C$1000,1,false)</f>
        <v>ZPM1_IBCTank</v>
      </c>
      <c r="H4204" s="63" t="str">
        <f>IFERROR(__xludf.DUMMYFUNCTION("VLOOKUP(F4204, IMPORTRANGE(""https://docs.google.com/spreadsheets/d/1Lhp9OU0JdFf_VYSMzH5lBcEaU4o8teT1piV-SNzShjg/edit?gid=554141278#gid=554141278"", ""'Char Def. - Attributes'!C20:C2242""), 1,false)"),"PLANT_PROD_OPT")</f>
        <v>PLANT_PROD_OPT</v>
      </c>
      <c r="I4204" s="136"/>
    </row>
    <row r="4205" ht="15.75" customHeight="1">
      <c r="B4205" s="63">
        <f t="shared" si="1"/>
        <v>12</v>
      </c>
      <c r="C4205" s="156" t="s">
        <v>290</v>
      </c>
      <c r="D4205" s="147" t="s">
        <v>74</v>
      </c>
      <c r="E4205" s="135">
        <f t="shared" si="59"/>
        <v>8</v>
      </c>
      <c r="F4205" s="134" t="s">
        <v>3866</v>
      </c>
      <c r="G4205" s="63" t="str">
        <f>VLOOKUP(C4205, 'Class Def. - General Data'!$C$20:$C$1000,1,false)</f>
        <v>ZPM1_IBCTank</v>
      </c>
      <c r="H4205" s="63" t="str">
        <f>IFERROR(__xludf.DUMMYFUNCTION("VLOOKUP(F4205, IMPORTRANGE(""https://docs.google.com/spreadsheets/d/1Lhp9OU0JdFf_VYSMzH5lBcEaU4o8teT1piV-SNzShjg/edit?gid=554141278#gid=554141278"", ""'Char Def. - Attributes'!C20:C2242""), 1,false)"),"PM_SUPPLY_JKT")</f>
        <v>PM_SUPPLY_JKT</v>
      </c>
      <c r="I4205" s="136"/>
    </row>
    <row r="4206" ht="15.75" customHeight="1">
      <c r="B4206" s="63">
        <f t="shared" si="1"/>
        <v>12</v>
      </c>
      <c r="C4206" s="156" t="s">
        <v>290</v>
      </c>
      <c r="D4206" s="147" t="s">
        <v>74</v>
      </c>
      <c r="E4206" s="135">
        <f t="shared" si="59"/>
        <v>9</v>
      </c>
      <c r="F4206" s="134" t="s">
        <v>3867</v>
      </c>
      <c r="G4206" s="63" t="str">
        <f>VLOOKUP(C4206, 'Class Def. - General Data'!$C$20:$C$1000,1,false)</f>
        <v>ZPM1_IBCTank</v>
      </c>
      <c r="H4206" s="63" t="str">
        <f>IFERROR(__xludf.DUMMYFUNCTION("VLOOKUP(F4206, IMPORTRANGE(""https://docs.google.com/spreadsheets/d/1Lhp9OU0JdFf_VYSMzH5lBcEaU4o8teT1piV-SNzShjg/edit?gid=554141278#gid=554141278"", ""'Char Def. - Attributes'!C20:C2242""), 1,false)"),"PM_SUPPLY_SBY")</f>
        <v>PM_SUPPLY_SBY</v>
      </c>
      <c r="I4206" s="136"/>
    </row>
    <row r="4207" ht="15.75" customHeight="1">
      <c r="B4207" s="63">
        <f t="shared" si="1"/>
        <v>12</v>
      </c>
      <c r="C4207" s="156" t="s">
        <v>290</v>
      </c>
      <c r="D4207" s="147" t="s">
        <v>74</v>
      </c>
      <c r="E4207" s="135">
        <f t="shared" si="59"/>
        <v>10</v>
      </c>
      <c r="F4207" s="134" t="s">
        <v>3868</v>
      </c>
      <c r="G4207" s="63" t="str">
        <f>VLOOKUP(C4207, 'Class Def. - General Data'!$C$20:$C$1000,1,false)</f>
        <v>ZPM1_IBCTank</v>
      </c>
      <c r="H4207" s="63" t="str">
        <f>IFERROR(__xludf.DUMMYFUNCTION("VLOOKUP(F4207, IMPORTRANGE(""https://docs.google.com/spreadsheets/d/1Lhp9OU0JdFf_VYSMzH5lBcEaU4o8teT1piV-SNzShjg/edit?gid=554141278#gid=554141278"", ""'Char Def. - Attributes'!C20:C2242""), 1,false)"),"BASIC_UOM_RMPM")</f>
        <v>BASIC_UOM_RMPM</v>
      </c>
      <c r="I4207" s="136"/>
    </row>
    <row r="4208" ht="15.75" customHeight="1">
      <c r="B4208" s="63">
        <f t="shared" si="1"/>
        <v>12</v>
      </c>
      <c r="C4208" s="156" t="s">
        <v>290</v>
      </c>
      <c r="D4208" s="147" t="s">
        <v>74</v>
      </c>
      <c r="E4208" s="135">
        <f t="shared" si="59"/>
        <v>11</v>
      </c>
      <c r="F4208" s="134" t="s">
        <v>3869</v>
      </c>
      <c r="G4208" s="63" t="str">
        <f>VLOOKUP(C4208, 'Class Def. - General Data'!$C$20:$C$1000,1,false)</f>
        <v>ZPM1_IBCTank</v>
      </c>
      <c r="H4208" s="63" t="str">
        <f>IFERROR(__xludf.DUMMYFUNCTION("VLOOKUP(F4208, IMPORTRANGE(""https://docs.google.com/spreadsheets/d/1Lhp9OU0JdFf_VYSMzH5lBcEaU4o8teT1piV-SNzShjg/edit?gid=554141278#gid=554141278"", ""'Char Def. - Attributes'!C20:C2242""), 1,false)"),"ALT_UOM1_RMPM")</f>
        <v>ALT_UOM1_RMPM</v>
      </c>
      <c r="I4208" s="136"/>
    </row>
    <row r="4209" ht="15.75" customHeight="1">
      <c r="B4209" s="63">
        <f t="shared" si="1"/>
        <v>12</v>
      </c>
      <c r="C4209" s="156" t="s">
        <v>290</v>
      </c>
      <c r="D4209" s="147" t="s">
        <v>74</v>
      </c>
      <c r="E4209" s="135">
        <f t="shared" si="59"/>
        <v>12</v>
      </c>
      <c r="F4209" s="134" t="s">
        <v>3805</v>
      </c>
      <c r="G4209" s="63" t="str">
        <f>VLOOKUP(C4209, 'Class Def. - General Data'!$C$20:$C$1000,1,false)</f>
        <v>ZPM1_IBCTank</v>
      </c>
      <c r="H4209" s="63" t="str">
        <f>IFERROR(__xludf.DUMMYFUNCTION("VLOOKUP(F4209, IMPORTRANGE(""https://docs.google.com/spreadsheets/d/1Lhp9OU0JdFf_VYSMzH5lBcEaU4o8teT1piV-SNzShjg/edit?gid=554141278#gid=554141278"", ""'Char Def. - Attributes'!C20:C2242""), 1,false)"),"ALT_DENUM_UOM1")</f>
        <v>ALT_DENUM_UOM1</v>
      </c>
      <c r="I4209" s="136"/>
    </row>
    <row r="4210" ht="15.75" customHeight="1">
      <c r="B4210" s="63">
        <f t="shared" si="1"/>
        <v>12</v>
      </c>
      <c r="C4210" s="156" t="s">
        <v>290</v>
      </c>
      <c r="D4210" s="147" t="s">
        <v>74</v>
      </c>
      <c r="E4210" s="135">
        <f t="shared" si="59"/>
        <v>13</v>
      </c>
      <c r="F4210" s="134" t="s">
        <v>3806</v>
      </c>
      <c r="G4210" s="63" t="str">
        <f>VLOOKUP(C4210, 'Class Def. - General Data'!$C$20:$C$1000,1,false)</f>
        <v>ZPM1_IBCTank</v>
      </c>
      <c r="H4210" s="63" t="str">
        <f>IFERROR(__xludf.DUMMYFUNCTION("VLOOKUP(F4210, IMPORTRANGE(""https://docs.google.com/spreadsheets/d/1Lhp9OU0JdFf_VYSMzH5lBcEaU4o8teT1piV-SNzShjg/edit?gid=554141278#gid=554141278"", ""'Char Def. - Attributes'!C20:C2242""), 1,false)"),"ALT_NUM_UOM1")</f>
        <v>ALT_NUM_UOM1</v>
      </c>
      <c r="I4210" s="136"/>
    </row>
    <row r="4211" ht="15.75" customHeight="1">
      <c r="B4211" s="63">
        <f t="shared" si="1"/>
        <v>12</v>
      </c>
      <c r="C4211" s="156" t="s">
        <v>290</v>
      </c>
      <c r="D4211" s="147" t="s">
        <v>74</v>
      </c>
      <c r="E4211" s="135">
        <f t="shared" si="59"/>
        <v>14</v>
      </c>
      <c r="F4211" s="134" t="s">
        <v>3870</v>
      </c>
      <c r="G4211" s="63" t="str">
        <f>VLOOKUP(C4211, 'Class Def. - General Data'!$C$20:$C$1000,1,false)</f>
        <v>ZPM1_IBCTank</v>
      </c>
      <c r="H4211" s="63" t="str">
        <f>IFERROR(__xludf.DUMMYFUNCTION("VLOOKUP(F4211, IMPORTRANGE(""https://docs.google.com/spreadsheets/d/1Lhp9OU0JdFf_VYSMzH5lBcEaU4o8teT1piV-SNzShjg/edit?gid=554141278#gid=554141278"", ""'Char Def. - Attributes'!C20:C2242""), 1,false)"),"ALT_UOM2_RMPM")</f>
        <v>ALT_UOM2_RMPM</v>
      </c>
      <c r="I4211" s="136"/>
    </row>
    <row r="4212" ht="15.75" customHeight="1">
      <c r="B4212" s="63">
        <f t="shared" si="1"/>
        <v>12</v>
      </c>
      <c r="C4212" s="156" t="s">
        <v>290</v>
      </c>
      <c r="D4212" s="147" t="s">
        <v>74</v>
      </c>
      <c r="E4212" s="135">
        <f t="shared" si="59"/>
        <v>15</v>
      </c>
      <c r="F4212" s="134" t="s">
        <v>3808</v>
      </c>
      <c r="G4212" s="63" t="str">
        <f>VLOOKUP(C4212, 'Class Def. - General Data'!$C$20:$C$1000,1,false)</f>
        <v>ZPM1_IBCTank</v>
      </c>
      <c r="H4212" s="63" t="str">
        <f>IFERROR(__xludf.DUMMYFUNCTION("VLOOKUP(F4212, IMPORTRANGE(""https://docs.google.com/spreadsheets/d/1Lhp9OU0JdFf_VYSMzH5lBcEaU4o8teT1piV-SNzShjg/edit?gid=554141278#gid=554141278"", ""'Char Def. - Attributes'!C20:C2242""), 1,false)"),"ALT_DENUM_UOM2")</f>
        <v>ALT_DENUM_UOM2</v>
      </c>
      <c r="I4212" s="136"/>
    </row>
    <row r="4213" ht="15.75" customHeight="1">
      <c r="B4213" s="63">
        <f t="shared" si="1"/>
        <v>12</v>
      </c>
      <c r="C4213" s="156" t="s">
        <v>290</v>
      </c>
      <c r="D4213" s="147" t="s">
        <v>74</v>
      </c>
      <c r="E4213" s="135">
        <f t="shared" si="59"/>
        <v>16</v>
      </c>
      <c r="F4213" s="134" t="s">
        <v>3809</v>
      </c>
      <c r="G4213" s="63" t="str">
        <f>VLOOKUP(C4213, 'Class Def. - General Data'!$C$20:$C$1000,1,false)</f>
        <v>ZPM1_IBCTank</v>
      </c>
      <c r="H4213" s="63" t="str">
        <f>IFERROR(__xludf.DUMMYFUNCTION("VLOOKUP(F4213, IMPORTRANGE(""https://docs.google.com/spreadsheets/d/1Lhp9OU0JdFf_VYSMzH5lBcEaU4o8teT1piV-SNzShjg/edit?gid=554141278#gid=554141278"", ""'Char Def. - Attributes'!C20:C2242""), 1,false)"),"ALT_NUM_UOM2")</f>
        <v>ALT_NUM_UOM2</v>
      </c>
      <c r="I4213" s="136"/>
    </row>
    <row r="4214" ht="15.75" customHeight="1">
      <c r="B4214" s="63">
        <f t="shared" si="1"/>
        <v>12</v>
      </c>
      <c r="C4214" s="156" t="s">
        <v>290</v>
      </c>
      <c r="D4214" s="147" t="s">
        <v>74</v>
      </c>
      <c r="E4214" s="135">
        <f t="shared" si="59"/>
        <v>17</v>
      </c>
      <c r="F4214" s="134" t="s">
        <v>3871</v>
      </c>
      <c r="G4214" s="63" t="str">
        <f>VLOOKUP(C4214, 'Class Def. - General Data'!$C$20:$C$1000,1,false)</f>
        <v>ZPM1_IBCTank</v>
      </c>
      <c r="H4214" s="63" t="str">
        <f>IFERROR(__xludf.DUMMYFUNCTION("VLOOKUP(F4214, IMPORTRANGE(""https://docs.google.com/spreadsheets/d/1Lhp9OU0JdFf_VYSMzH5lBcEaU4o8teT1piV-SNzShjg/edit?gid=554141278#gid=554141278"", ""'Char Def. - Attributes'!C20:C2242""), 1,false)"),"ALT_UOM3_RMPM")</f>
        <v>ALT_UOM3_RMPM</v>
      </c>
      <c r="I4214" s="136"/>
    </row>
    <row r="4215" ht="15.75" customHeight="1">
      <c r="B4215" s="63">
        <f t="shared" si="1"/>
        <v>12</v>
      </c>
      <c r="C4215" s="156" t="s">
        <v>290</v>
      </c>
      <c r="D4215" s="147" t="s">
        <v>74</v>
      </c>
      <c r="E4215" s="135">
        <f t="shared" si="59"/>
        <v>18</v>
      </c>
      <c r="F4215" s="134" t="s">
        <v>3811</v>
      </c>
      <c r="G4215" s="63" t="str">
        <f>VLOOKUP(C4215, 'Class Def. - General Data'!$C$20:$C$1000,1,false)</f>
        <v>ZPM1_IBCTank</v>
      </c>
      <c r="H4215" s="63" t="str">
        <f>IFERROR(__xludf.DUMMYFUNCTION("VLOOKUP(F4215, IMPORTRANGE(""https://docs.google.com/spreadsheets/d/1Lhp9OU0JdFf_VYSMzH5lBcEaU4o8teT1piV-SNzShjg/edit?gid=554141278#gid=554141278"", ""'Char Def. - Attributes'!C20:C2242""), 1,false)"),"ALT_DENUM_UOM3")</f>
        <v>ALT_DENUM_UOM3</v>
      </c>
      <c r="I4215" s="136"/>
    </row>
    <row r="4216" ht="15.75" customHeight="1">
      <c r="B4216" s="63">
        <f t="shared" si="1"/>
        <v>12</v>
      </c>
      <c r="C4216" s="156" t="s">
        <v>290</v>
      </c>
      <c r="D4216" s="147" t="s">
        <v>74</v>
      </c>
      <c r="E4216" s="135">
        <f t="shared" si="59"/>
        <v>19</v>
      </c>
      <c r="F4216" s="134" t="s">
        <v>3812</v>
      </c>
      <c r="G4216" s="63" t="str">
        <f>VLOOKUP(C4216, 'Class Def. - General Data'!$C$20:$C$1000,1,false)</f>
        <v>ZPM1_IBCTank</v>
      </c>
      <c r="H4216" s="63" t="str">
        <f>IFERROR(__xludf.DUMMYFUNCTION("VLOOKUP(F4216, IMPORTRANGE(""https://docs.google.com/spreadsheets/d/1Lhp9OU0JdFf_VYSMzH5lBcEaU4o8teT1piV-SNzShjg/edit?gid=554141278#gid=554141278"", ""'Char Def. - Attributes'!C20:C2242""), 1,false)"),"ALT_NUM_UOM3")</f>
        <v>ALT_NUM_UOM3</v>
      </c>
      <c r="I4216" s="136"/>
    </row>
    <row r="4217" ht="15.75" customHeight="1">
      <c r="B4217" s="63">
        <f t="shared" si="1"/>
        <v>12</v>
      </c>
      <c r="C4217" s="156" t="s">
        <v>290</v>
      </c>
      <c r="D4217" s="147" t="s">
        <v>74</v>
      </c>
      <c r="E4217" s="135">
        <f t="shared" si="59"/>
        <v>20</v>
      </c>
      <c r="F4217" s="134" t="s">
        <v>3872</v>
      </c>
      <c r="G4217" s="63" t="str">
        <f>VLOOKUP(C4217, 'Class Def. - General Data'!$C$20:$C$1000,1,false)</f>
        <v>ZPM1_IBCTank</v>
      </c>
      <c r="H4217" s="63" t="str">
        <f>IFERROR(__xludf.DUMMYFUNCTION("VLOOKUP(F4217, IMPORTRANGE(""https://docs.google.com/spreadsheets/d/1Lhp9OU0JdFf_VYSMzH5lBcEaU4o8teT1piV-SNzShjg/edit?gid=554141278#gid=554141278"", ""'Char Def. - Attributes'!C20:C2242""), 1,false)"),"ALT_UOM4_RMPM")</f>
        <v>ALT_UOM4_RMPM</v>
      </c>
      <c r="I4217" s="136"/>
    </row>
    <row r="4218" ht="15.75" customHeight="1">
      <c r="B4218" s="63">
        <f t="shared" si="1"/>
        <v>12</v>
      </c>
      <c r="C4218" s="156" t="s">
        <v>290</v>
      </c>
      <c r="D4218" s="147" t="s">
        <v>74</v>
      </c>
      <c r="E4218" s="135">
        <f t="shared" si="59"/>
        <v>21</v>
      </c>
      <c r="F4218" s="134" t="s">
        <v>3814</v>
      </c>
      <c r="G4218" s="63" t="str">
        <f>VLOOKUP(C4218, 'Class Def. - General Data'!$C$20:$C$1000,1,false)</f>
        <v>ZPM1_IBCTank</v>
      </c>
      <c r="H4218" s="63" t="str">
        <f>IFERROR(__xludf.DUMMYFUNCTION("VLOOKUP(F4218, IMPORTRANGE(""https://docs.google.com/spreadsheets/d/1Lhp9OU0JdFf_VYSMzH5lBcEaU4o8teT1piV-SNzShjg/edit?gid=554141278#gid=554141278"", ""'Char Def. - Attributes'!C20:C2242""), 1,false)"),"ALT_DENUM_UOM4")</f>
        <v>ALT_DENUM_UOM4</v>
      </c>
      <c r="I4218" s="136"/>
    </row>
    <row r="4219" ht="15.75" customHeight="1">
      <c r="B4219" s="63">
        <f t="shared" si="1"/>
        <v>12</v>
      </c>
      <c r="C4219" s="156" t="s">
        <v>290</v>
      </c>
      <c r="D4219" s="147" t="s">
        <v>74</v>
      </c>
      <c r="E4219" s="135">
        <f t="shared" si="59"/>
        <v>22</v>
      </c>
      <c r="F4219" s="134" t="s">
        <v>3815</v>
      </c>
      <c r="G4219" s="63" t="str">
        <f>VLOOKUP(C4219, 'Class Def. - General Data'!$C$20:$C$1000,1,false)</f>
        <v>ZPM1_IBCTank</v>
      </c>
      <c r="H4219" s="63" t="str">
        <f>IFERROR(__xludf.DUMMYFUNCTION("VLOOKUP(F4219, IMPORTRANGE(""https://docs.google.com/spreadsheets/d/1Lhp9OU0JdFf_VYSMzH5lBcEaU4o8teT1piV-SNzShjg/edit?gid=554141278#gid=554141278"", ""'Char Def. - Attributes'!C20:C2242""), 1,false)"),"ALT_NUM_UOM4")</f>
        <v>ALT_NUM_UOM4</v>
      </c>
      <c r="I4219" s="136"/>
    </row>
    <row r="4220" ht="15.75" customHeight="1">
      <c r="B4220" s="63">
        <f t="shared" si="1"/>
        <v>12</v>
      </c>
      <c r="C4220" s="156" t="s">
        <v>290</v>
      </c>
      <c r="D4220" s="147" t="s">
        <v>74</v>
      </c>
      <c r="E4220" s="135">
        <f t="shared" si="59"/>
        <v>23</v>
      </c>
      <c r="F4220" s="134" t="s">
        <v>3873</v>
      </c>
      <c r="G4220" s="63" t="str">
        <f>VLOOKUP(C4220, 'Class Def. - General Data'!$C$20:$C$1000,1,false)</f>
        <v>ZPM1_IBCTank</v>
      </c>
      <c r="H4220" s="63" t="str">
        <f>IFERROR(__xludf.DUMMYFUNCTION("VLOOKUP(F4220, IMPORTRANGE(""https://docs.google.com/spreadsheets/d/1Lhp9OU0JdFf_VYSMzH5lBcEaU4o8teT1piV-SNzShjg/edit?gid=554141278#gid=554141278"", ""'Char Def. - Attributes'!C20:C2242""), 1,false)"),"ALT_UOM5_RMPM")</f>
        <v>ALT_UOM5_RMPM</v>
      </c>
      <c r="I4220" s="136"/>
    </row>
    <row r="4221" ht="15.75" customHeight="1">
      <c r="B4221" s="63">
        <f t="shared" si="1"/>
        <v>12</v>
      </c>
      <c r="C4221" s="156" t="s">
        <v>290</v>
      </c>
      <c r="D4221" s="147" t="s">
        <v>74</v>
      </c>
      <c r="E4221" s="135">
        <f t="shared" si="59"/>
        <v>24</v>
      </c>
      <c r="F4221" s="134" t="s">
        <v>3817</v>
      </c>
      <c r="G4221" s="63" t="str">
        <f>VLOOKUP(C4221, 'Class Def. - General Data'!$C$20:$C$1000,1,false)</f>
        <v>ZPM1_IBCTank</v>
      </c>
      <c r="H4221" s="63" t="str">
        <f>IFERROR(__xludf.DUMMYFUNCTION("VLOOKUP(F4221, IMPORTRANGE(""https://docs.google.com/spreadsheets/d/1Lhp9OU0JdFf_VYSMzH5lBcEaU4o8teT1piV-SNzShjg/edit?gid=554141278#gid=554141278"", ""'Char Def. - Attributes'!C20:C2242""), 1,false)"),"ALT_DENUM_UOM5")</f>
        <v>ALT_DENUM_UOM5</v>
      </c>
      <c r="I4221" s="136"/>
    </row>
    <row r="4222" ht="15.75" customHeight="1">
      <c r="B4222" s="63">
        <f t="shared" si="1"/>
        <v>12</v>
      </c>
      <c r="C4222" s="156" t="s">
        <v>290</v>
      </c>
      <c r="D4222" s="147" t="s">
        <v>74</v>
      </c>
      <c r="E4222" s="135">
        <f t="shared" si="59"/>
        <v>25</v>
      </c>
      <c r="F4222" s="134" t="s">
        <v>3818</v>
      </c>
      <c r="G4222" s="63" t="str">
        <f>VLOOKUP(C4222, 'Class Def. - General Data'!$C$20:$C$1000,1,false)</f>
        <v>ZPM1_IBCTank</v>
      </c>
      <c r="H4222" s="63" t="str">
        <f>IFERROR(__xludf.DUMMYFUNCTION("VLOOKUP(F4222, IMPORTRANGE(""https://docs.google.com/spreadsheets/d/1Lhp9OU0JdFf_VYSMzH5lBcEaU4o8teT1piV-SNzShjg/edit?gid=554141278#gid=554141278"", ""'Char Def. - Attributes'!C20:C2242""), 1,false)"),"ALT_NUM_UOM5")</f>
        <v>ALT_NUM_UOM5</v>
      </c>
      <c r="I4222" s="136"/>
    </row>
    <row r="4223" ht="15.75" customHeight="1">
      <c r="B4223" s="63">
        <f t="shared" si="1"/>
        <v>12</v>
      </c>
      <c r="C4223" s="156" t="s">
        <v>290</v>
      </c>
      <c r="D4223" s="147" t="s">
        <v>74</v>
      </c>
      <c r="E4223" s="135">
        <f t="shared" si="59"/>
        <v>26</v>
      </c>
      <c r="F4223" s="134" t="s">
        <v>3874</v>
      </c>
      <c r="G4223" s="63" t="str">
        <f>VLOOKUP(C4223, 'Class Def. - General Data'!$C$20:$C$1000,1,false)</f>
        <v>ZPM1_IBCTank</v>
      </c>
      <c r="H4223" s="63" t="str">
        <f>IFERROR(__xludf.DUMMYFUNCTION("VLOOKUP(F4223, IMPORTRANGE(""https://docs.google.com/spreadsheets/d/1Lhp9OU0JdFf_VYSMzH5lBcEaU4o8teT1piV-SNzShjg/edit?gid=554141278#gid=554141278"", ""'Char Def. - Attributes'!C20:C2242""), 1,false)"),"VALUATION_CATEGORY")</f>
        <v>VALUATION_CATEGORY</v>
      </c>
      <c r="I4223" s="136"/>
    </row>
    <row r="4224" ht="15.75" customHeight="1">
      <c r="B4224" s="63">
        <f t="shared" si="1"/>
        <v>12</v>
      </c>
      <c r="C4224" s="156" t="s">
        <v>290</v>
      </c>
      <c r="D4224" s="147" t="s">
        <v>74</v>
      </c>
      <c r="E4224" s="135">
        <f t="shared" si="59"/>
        <v>27</v>
      </c>
      <c r="F4224" s="134" t="s">
        <v>3800</v>
      </c>
      <c r="G4224" s="63" t="str">
        <f>VLOOKUP(C4224, 'Class Def. - General Data'!$C$20:$C$1000,1,false)</f>
        <v>ZPM1_IBCTank</v>
      </c>
      <c r="H4224" s="63" t="str">
        <f>IFERROR(__xludf.DUMMYFUNCTION("VLOOKUP(F4224, IMPORTRANGE(""https://docs.google.com/spreadsheets/d/1Lhp9OU0JdFf_VYSMzH5lBcEaU4o8teT1piV-SNzShjg/edit?gid=554141278#gid=554141278"", ""'Char Def. - Attributes'!C20:C2242""), 1,false)"),"ORDER_UNIT_DIFF_FROM_BASIC_UOM")</f>
        <v>ORDER_UNIT_DIFF_FROM_BASIC_UOM</v>
      </c>
      <c r="I4224" s="136"/>
    </row>
    <row r="4225" ht="15.75" customHeight="1">
      <c r="B4225" s="63">
        <f t="shared" si="1"/>
        <v>12</v>
      </c>
      <c r="C4225" s="156" t="s">
        <v>290</v>
      </c>
      <c r="D4225" s="147" t="s">
        <v>74</v>
      </c>
      <c r="E4225" s="135">
        <f t="shared" si="59"/>
        <v>28</v>
      </c>
      <c r="F4225" s="134" t="s">
        <v>3875</v>
      </c>
      <c r="G4225" s="63" t="str">
        <f>VLOOKUP(C4225, 'Class Def. - General Data'!$C$20:$C$1000,1,false)</f>
        <v>ZPM1_IBCTank</v>
      </c>
      <c r="H4225" s="63" t="str">
        <f>IFERROR(__xludf.DUMMYFUNCTION("VLOOKUP(F4225, IMPORTRANGE(""https://docs.google.com/spreadsheets/d/1Lhp9OU0JdFf_VYSMzH5lBcEaU4o8teT1piV-SNzShjg/edit?gid=554141278#gid=554141278"", ""'Char Def. - Attributes'!C20:C2242""), 1,false)"),"ORDER_UNIT_RMPM")</f>
        <v>ORDER_UNIT_RMPM</v>
      </c>
      <c r="I4225" s="136"/>
    </row>
    <row r="4226" ht="15.75" customHeight="1">
      <c r="B4226" s="63">
        <f t="shared" si="1"/>
        <v>12</v>
      </c>
      <c r="C4226" s="156" t="s">
        <v>290</v>
      </c>
      <c r="D4226" s="147" t="s">
        <v>74</v>
      </c>
      <c r="E4226" s="135">
        <f t="shared" si="59"/>
        <v>29</v>
      </c>
      <c r="F4226" s="134" t="s">
        <v>3602</v>
      </c>
      <c r="G4226" s="63" t="str">
        <f>VLOOKUP(C4226, 'Class Def. - General Data'!$C$20:$C$1000,1,false)</f>
        <v>ZPM1_IBCTank</v>
      </c>
      <c r="H4226" s="63" t="str">
        <f>IFERROR(__xludf.DUMMYFUNCTION("VLOOKUP(F4226, IMPORTRANGE(""https://docs.google.com/spreadsheets/d/1Lhp9OU0JdFf_VYSMzH5lBcEaU4o8teT1piV-SNzShjg/edit?gid=554141278#gid=554141278"", ""'Char Def. - Attributes'!C20:C2242""), 1,false)"),"NET_WEIGHT")</f>
        <v>NET_WEIGHT</v>
      </c>
      <c r="I4226" s="136"/>
    </row>
    <row r="4227" ht="15.75" customHeight="1">
      <c r="B4227" s="63">
        <f t="shared" si="1"/>
        <v>12</v>
      </c>
      <c r="C4227" s="156" t="s">
        <v>290</v>
      </c>
      <c r="D4227" s="147" t="s">
        <v>74</v>
      </c>
      <c r="E4227" s="135">
        <f t="shared" si="59"/>
        <v>30</v>
      </c>
      <c r="F4227" s="134" t="s">
        <v>3601</v>
      </c>
      <c r="G4227" s="63" t="str">
        <f>VLOOKUP(C4227, 'Class Def. - General Data'!$C$20:$C$1000,1,false)</f>
        <v>ZPM1_IBCTank</v>
      </c>
      <c r="H4227" s="63" t="str">
        <f>IFERROR(__xludf.DUMMYFUNCTION("VLOOKUP(F4227, IMPORTRANGE(""https://docs.google.com/spreadsheets/d/1Lhp9OU0JdFf_VYSMzH5lBcEaU4o8teT1piV-SNzShjg/edit?gid=554141278#gid=554141278"", ""'Char Def. - Attributes'!C20:C2242""), 1,false)"),"GROSS_WEIGHT")</f>
        <v>GROSS_WEIGHT</v>
      </c>
      <c r="I4227" s="136"/>
    </row>
    <row r="4228" ht="15.75" customHeight="1">
      <c r="B4228" s="63">
        <f t="shared" si="1"/>
        <v>12</v>
      </c>
      <c r="C4228" s="156" t="s">
        <v>290</v>
      </c>
      <c r="D4228" s="147" t="s">
        <v>74</v>
      </c>
      <c r="E4228" s="135">
        <f t="shared" si="59"/>
        <v>31</v>
      </c>
      <c r="F4228" s="134" t="s">
        <v>3876</v>
      </c>
      <c r="G4228" s="63" t="str">
        <f>VLOOKUP(C4228, 'Class Def. - General Data'!$C$20:$C$1000,1,false)</f>
        <v>ZPM1_IBCTank</v>
      </c>
      <c r="H4228" s="63" t="str">
        <f>IFERROR(__xludf.DUMMYFUNCTION("VLOOKUP(F4228, IMPORTRANGE(""https://docs.google.com/spreadsheets/d/1Lhp9OU0JdFf_VYSMzH5lBcEaU4o8teT1piV-SNzShjg/edit?gid=554141278#gid=554141278"", ""'Char Def. - Attributes'!C20:C2242""), 1,false)"),"WEIGHT_UNIT_PM")</f>
        <v>WEIGHT_UNIT_PM</v>
      </c>
      <c r="I4228" s="136"/>
    </row>
    <row r="4229" ht="15.75" customHeight="1">
      <c r="B4229" s="63">
        <f t="shared" si="1"/>
        <v>12</v>
      </c>
      <c r="C4229" s="156" t="s">
        <v>290</v>
      </c>
      <c r="D4229" s="147" t="s">
        <v>74</v>
      </c>
      <c r="E4229" s="135">
        <f t="shared" si="59"/>
        <v>32</v>
      </c>
      <c r="F4229" s="134" t="s">
        <v>3877</v>
      </c>
      <c r="G4229" s="63" t="str">
        <f>VLOOKUP(C4229, 'Class Def. - General Data'!$C$20:$C$1000,1,false)</f>
        <v>ZPM1_IBCTank</v>
      </c>
      <c r="H4229" s="63" t="str">
        <f>IFERROR(__xludf.DUMMYFUNCTION("VLOOKUP(F4229, IMPORTRANGE(""https://docs.google.com/spreadsheets/d/1Lhp9OU0JdFf_VYSMzH5lBcEaU4o8teT1piV-SNzShjg/edit?gid=554141278#gid=554141278"", ""'Char Def. - Attributes'!C20:C2242""), 1,false)"),"VOLUME_OPT")</f>
        <v>VOLUME_OPT</v>
      </c>
      <c r="I4229" s="136"/>
    </row>
    <row r="4230" ht="15.75" customHeight="1">
      <c r="B4230" s="63">
        <f t="shared" si="1"/>
        <v>12</v>
      </c>
      <c r="C4230" s="156" t="s">
        <v>290</v>
      </c>
      <c r="D4230" s="147" t="s">
        <v>74</v>
      </c>
      <c r="E4230" s="135">
        <f t="shared" si="59"/>
        <v>33</v>
      </c>
      <c r="F4230" s="134" t="s">
        <v>3878</v>
      </c>
      <c r="G4230" s="63" t="str">
        <f>VLOOKUP(C4230, 'Class Def. - General Data'!$C$20:$C$1000,1,false)</f>
        <v>ZPM1_IBCTank</v>
      </c>
      <c r="H4230" s="63" t="str">
        <f>IFERROR(__xludf.DUMMYFUNCTION("VLOOKUP(F4230, IMPORTRANGE(""https://docs.google.com/spreadsheets/d/1Lhp9OU0JdFf_VYSMzH5lBcEaU4o8teT1piV-SNzShjg/edit?gid=554141278#gid=554141278"", ""'Char Def. - Attributes'!C20:C2242""), 1,false)"),"VOLUME_UNIT")</f>
        <v>VOLUME_UNIT</v>
      </c>
      <c r="I4230" s="136"/>
    </row>
    <row r="4231" ht="15.75" customHeight="1">
      <c r="B4231" s="63">
        <f t="shared" si="1"/>
        <v>12</v>
      </c>
      <c r="C4231" s="156" t="s">
        <v>290</v>
      </c>
      <c r="D4231" s="147" t="s">
        <v>74</v>
      </c>
      <c r="E4231" s="135">
        <f t="shared" si="59"/>
        <v>34</v>
      </c>
      <c r="F4231" s="134" t="s">
        <v>3879</v>
      </c>
      <c r="G4231" s="63" t="str">
        <f>VLOOKUP(C4231, 'Class Def. - General Data'!$C$20:$C$1000,1,false)</f>
        <v>ZPM1_IBCTank</v>
      </c>
      <c r="H4231" s="63" t="str">
        <f>IFERROR(__xludf.DUMMYFUNCTION("VLOOKUP(F4231, IMPORTRANGE(""https://docs.google.com/spreadsheets/d/1Lhp9OU0JdFf_VYSMzH5lBcEaU4o8teT1piV-SNzShjg/edit?gid=554141278#gid=554141278"", ""'Char Def. - Attributes'!C20:C2242""), 1,false)"),"OLD_MAT_NO_RMPM")</f>
        <v>OLD_MAT_NO_RMPM</v>
      </c>
      <c r="I4231" s="136"/>
    </row>
    <row r="4232" ht="15.75" customHeight="1">
      <c r="B4232" s="63">
        <f t="shared" si="1"/>
        <v>12</v>
      </c>
      <c r="C4232" s="156" t="s">
        <v>290</v>
      </c>
      <c r="D4232" s="147" t="s">
        <v>74</v>
      </c>
      <c r="E4232" s="135">
        <f t="shared" si="59"/>
        <v>35</v>
      </c>
      <c r="F4232" s="134" t="s">
        <v>3880</v>
      </c>
      <c r="G4232" s="63" t="str">
        <f>VLOOKUP(C4232, 'Class Def. - General Data'!$C$20:$C$1000,1,false)</f>
        <v>ZPM1_IBCTank</v>
      </c>
      <c r="H4232" s="63" t="str">
        <f>IFERROR(__xludf.DUMMYFUNCTION("VLOOKUP(F4232, IMPORTRANGE(""https://docs.google.com/spreadsheets/d/1Lhp9OU0JdFf_VYSMzH5lBcEaU4o8teT1piV-SNzShjg/edit?gid=554141278#gid=554141278"", ""'Char Def. - Attributes'!C20:C2242""), 1,false)"),"NOTE_PM")</f>
        <v>NOTE_PM</v>
      </c>
      <c r="I4232" s="136"/>
    </row>
    <row r="4233" ht="15.75" customHeight="1">
      <c r="B4233" s="63">
        <f t="shared" si="1"/>
        <v>12</v>
      </c>
      <c r="C4233" s="156" t="s">
        <v>290</v>
      </c>
      <c r="D4233" s="147" t="s">
        <v>74</v>
      </c>
      <c r="E4233" s="135">
        <f t="shared" si="59"/>
        <v>36</v>
      </c>
      <c r="F4233" s="134" t="s">
        <v>3881</v>
      </c>
      <c r="G4233" s="63" t="str">
        <f>VLOOKUP(C4233, 'Class Def. - General Data'!$C$20:$C$1000,1,false)</f>
        <v>ZPM1_IBCTank</v>
      </c>
      <c r="H4233" s="63" t="str">
        <f>IFERROR(__xludf.DUMMYFUNCTION("VLOOKUP(F4233, IMPORTRANGE(""https://docs.google.com/spreadsheets/d/1Lhp9OU0JdFf_VYSMzH5lBcEaU4o8teT1piV-SNzShjg/edit?gid=554141278#gid=554141278"", ""'Char Def. - Attributes'!C20:C2242""), 1,false)"),"BS_BERSIH")</f>
        <v>BS_BERSIH</v>
      </c>
      <c r="I4233" s="136"/>
    </row>
    <row r="4234" ht="15.75" customHeight="1">
      <c r="B4234" s="63">
        <f t="shared" si="1"/>
        <v>12</v>
      </c>
      <c r="C4234" s="156" t="s">
        <v>290</v>
      </c>
      <c r="D4234" s="147" t="s">
        <v>74</v>
      </c>
      <c r="E4234" s="135">
        <f t="shared" si="59"/>
        <v>37</v>
      </c>
      <c r="F4234" s="134" t="s">
        <v>3882</v>
      </c>
      <c r="G4234" s="63" t="str">
        <f>VLOOKUP(C4234, 'Class Def. - General Data'!$C$20:$C$1000,1,false)</f>
        <v>ZPM1_IBCTank</v>
      </c>
      <c r="H4234" s="63" t="str">
        <f>IFERROR(__xludf.DUMMYFUNCTION("VLOOKUP(F4234, IMPORTRANGE(""https://docs.google.com/spreadsheets/d/1Lhp9OU0JdFf_VYSMzH5lBcEaU4o8teT1piV-SNzShjg/edit?gid=554141278#gid=554141278"", ""'Char Def. - Attributes'!C20:C2242""), 1,false)"),"BS_KOTOR")</f>
        <v>BS_KOTOR</v>
      </c>
      <c r="I4234" s="136"/>
    </row>
    <row r="4235" ht="15.75" customHeight="1">
      <c r="B4235" s="63">
        <f t="shared" si="1"/>
        <v>12</v>
      </c>
      <c r="C4235" s="156" t="s">
        <v>290</v>
      </c>
      <c r="D4235" s="147" t="s">
        <v>74</v>
      </c>
      <c r="E4235" s="135">
        <f t="shared" si="59"/>
        <v>38</v>
      </c>
      <c r="F4235" s="134" t="s">
        <v>3883</v>
      </c>
      <c r="G4235" s="63" t="str">
        <f>VLOOKUP(C4235, 'Class Def. - General Data'!$C$20:$C$1000,1,false)</f>
        <v>ZPM1_IBCTank</v>
      </c>
      <c r="H4235" s="63" t="str">
        <f>IFERROR(__xludf.DUMMYFUNCTION("VLOOKUP(F4235, IMPORTRANGE(""https://docs.google.com/spreadsheets/d/1Lhp9OU0JdFf_VYSMzH5lBcEaU4o8teT1piV-SNzShjg/edit?gid=554141278#gid=554141278"", ""'Char Def. - Attributes'!C20:C2242""), 1,false)"),"BS_SCRAP")</f>
        <v>BS_SCRAP</v>
      </c>
      <c r="I4235" s="136"/>
    </row>
    <row r="4236" ht="15.75" customHeight="1">
      <c r="B4236" s="63">
        <f t="shared" si="1"/>
        <v>11</v>
      </c>
      <c r="C4236" s="146" t="s">
        <v>278</v>
      </c>
      <c r="D4236" s="147" t="s">
        <v>74</v>
      </c>
      <c r="E4236" s="135">
        <f t="shared" si="59"/>
        <v>1</v>
      </c>
      <c r="F4236" s="134" t="s">
        <v>3939</v>
      </c>
      <c r="G4236" s="63" t="str">
        <f>VLOOKUP(C4236, 'Class Def. - General Data'!$C$20:$C$1000,1,false)</f>
        <v>ZPM1_Isl_DT</v>
      </c>
      <c r="H4236" s="63" t="str">
        <f>IFERROR(__xludf.DUMMYFUNCTION("VLOOKUP(F4236, IMPORTRANGE(""https://docs.google.com/spreadsheets/d/1Lhp9OU0JdFf_VYSMzH5lBcEaU4o8teT1piV-SNzShjg/edit?gid=554141278#gid=554141278"", ""'Char Def. - Attributes'!C20:C2242""), 1,false)"),"MATERIAL_CODE_ISL_DT")</f>
        <v>MATERIAL_CODE_ISL_DT</v>
      </c>
      <c r="I4236" s="136"/>
    </row>
    <row r="4237" ht="15.75" customHeight="1">
      <c r="B4237" s="63">
        <f t="shared" si="1"/>
        <v>11</v>
      </c>
      <c r="C4237" s="146" t="s">
        <v>278</v>
      </c>
      <c r="D4237" s="147" t="s">
        <v>74</v>
      </c>
      <c r="E4237" s="135">
        <f t="shared" si="59"/>
        <v>2</v>
      </c>
      <c r="F4237" s="134" t="s">
        <v>3909</v>
      </c>
      <c r="G4237" s="63" t="str">
        <f>VLOOKUP(C4237, 'Class Def. - General Data'!$C$20:$C$1000,1,false)</f>
        <v>ZPM1_Isl_DT</v>
      </c>
      <c r="H4237" s="63" t="str">
        <f>IFERROR(__xludf.DUMMYFUNCTION("VLOOKUP(F4237, IMPORTRANGE(""https://docs.google.com/spreadsheets/d/1Lhp9OU0JdFf_VYSMzH5lBcEaU4o8teT1piV-SNzShjg/edit?gid=554141278#gid=554141278"", ""'Char Def. - Attributes'!C20:C2242""), 1,false)"),"COLOR_A_OPT")</f>
        <v>COLOR_A_OPT</v>
      </c>
      <c r="I4237" s="136"/>
    </row>
    <row r="4238" ht="15.75" customHeight="1">
      <c r="B4238" s="63">
        <f t="shared" si="1"/>
        <v>11</v>
      </c>
      <c r="C4238" s="146" t="s">
        <v>278</v>
      </c>
      <c r="D4238" s="147" t="s">
        <v>74</v>
      </c>
      <c r="E4238" s="135">
        <f t="shared" si="59"/>
        <v>3</v>
      </c>
      <c r="F4238" s="134" t="s">
        <v>3940</v>
      </c>
      <c r="G4238" s="63" t="str">
        <f>VLOOKUP(C4238, 'Class Def. - General Data'!$C$20:$C$1000,1,false)</f>
        <v>ZPM1_Isl_DT</v>
      </c>
      <c r="H4238" s="63" t="str">
        <f>IFERROR(__xludf.DUMMYFUNCTION("VLOOKUP(F4238, IMPORTRANGE(""https://docs.google.com/spreadsheets/d/1Lhp9OU0JdFf_VYSMzH5lBcEaU4o8teT1piV-SNzShjg/edit?gid=554141278#gid=554141278"", ""'Char Def. - Attributes'!C20:C2242""), 1,false)"),"WIDTH_MM_2")</f>
        <v>WIDTH_MM_2</v>
      </c>
      <c r="I4238" s="136"/>
    </row>
    <row r="4239" ht="15.75" customHeight="1">
      <c r="B4239" s="63">
        <f t="shared" si="1"/>
        <v>11</v>
      </c>
      <c r="C4239" s="146" t="s">
        <v>278</v>
      </c>
      <c r="D4239" s="147" t="s">
        <v>74</v>
      </c>
      <c r="E4239" s="135">
        <f t="shared" si="59"/>
        <v>4</v>
      </c>
      <c r="F4239" s="134" t="s">
        <v>3941</v>
      </c>
      <c r="G4239" s="63" t="str">
        <f>VLOOKUP(C4239, 'Class Def. - General Data'!$C$20:$C$1000,1,false)</f>
        <v>ZPM1_Isl_DT</v>
      </c>
      <c r="H4239" s="63" t="str">
        <f>IFERROR(__xludf.DUMMYFUNCTION("VLOOKUP(F4239, IMPORTRANGE(""https://docs.google.com/spreadsheets/d/1Lhp9OU0JdFf_VYSMzH5lBcEaU4o8teT1piV-SNzShjg/edit?gid=554141278#gid=554141278"", ""'Char Def. - Attributes'!C20:C2242""), 1,false)"),"LENGTH_M")</f>
        <v>LENGTH_M</v>
      </c>
      <c r="I4239" s="136"/>
    </row>
    <row r="4240" ht="15.75" customHeight="1">
      <c r="B4240" s="63">
        <f t="shared" si="1"/>
        <v>11</v>
      </c>
      <c r="C4240" s="146" t="s">
        <v>278</v>
      </c>
      <c r="D4240" s="147" t="s">
        <v>74</v>
      </c>
      <c r="E4240" s="135">
        <f t="shared" si="59"/>
        <v>5</v>
      </c>
      <c r="F4240" s="134" t="s">
        <v>3942</v>
      </c>
      <c r="G4240" s="63" t="str">
        <f>VLOOKUP(C4240, 'Class Def. - General Data'!$C$20:$C$1000,1,false)</f>
        <v>ZPM1_Isl_DT</v>
      </c>
      <c r="H4240" s="63" t="str">
        <f>IFERROR(__xludf.DUMMYFUNCTION("VLOOKUP(F4240, IMPORTRANGE(""https://docs.google.com/spreadsheets/d/1Lhp9OU0JdFf_VYSMzH5lBcEaU4o8teT1piV-SNzShjg/edit?gid=554141278#gid=554141278"", ""'Char Def. - Attributes'!C20:C2242""), 1,false)"),"THICKNESS_MIC_OPT")</f>
        <v>THICKNESS_MIC_OPT</v>
      </c>
      <c r="I4240" s="136"/>
    </row>
    <row r="4241" ht="15.75" customHeight="1">
      <c r="B4241" s="63">
        <f t="shared" si="1"/>
        <v>11</v>
      </c>
      <c r="C4241" s="146" t="s">
        <v>278</v>
      </c>
      <c r="D4241" s="147" t="s">
        <v>74</v>
      </c>
      <c r="E4241" s="135">
        <f t="shared" si="59"/>
        <v>6</v>
      </c>
      <c r="F4241" s="134" t="s">
        <v>3925</v>
      </c>
      <c r="G4241" s="63" t="str">
        <f>VLOOKUP(C4241, 'Class Def. - General Data'!$C$20:$C$1000,1,false)</f>
        <v>ZPM1_Isl_DT</v>
      </c>
      <c r="H4241" s="63" t="str">
        <f>IFERROR(__xludf.DUMMYFUNCTION("VLOOKUP(F4241, IMPORTRANGE(""https://docs.google.com/spreadsheets/d/1Lhp9OU0JdFf_VYSMzH5lBcEaU4o8teT1piV-SNzShjg/edit?gid=554141278#gid=554141278"", ""'Char Def. - Attributes'!C20:C2242""), 1,false)"),"PACK_CONTENT_AMOUNT_3_OPT")</f>
        <v>PACK_CONTENT_AMOUNT_3_OPT</v>
      </c>
      <c r="I4241" s="136"/>
    </row>
    <row r="4242" ht="15.75" customHeight="1">
      <c r="B4242" s="63">
        <f t="shared" si="1"/>
        <v>11</v>
      </c>
      <c r="C4242" s="146" t="s">
        <v>278</v>
      </c>
      <c r="D4242" s="147" t="s">
        <v>74</v>
      </c>
      <c r="E4242" s="135">
        <f t="shared" si="59"/>
        <v>7</v>
      </c>
      <c r="F4242" s="134" t="s">
        <v>3890</v>
      </c>
      <c r="G4242" s="63" t="str">
        <f>VLOOKUP(C4242, 'Class Def. - General Data'!$C$20:$C$1000,1,false)</f>
        <v>ZPM1_Isl_DT</v>
      </c>
      <c r="H4242" s="63" t="str">
        <f>IFERROR(__xludf.DUMMYFUNCTION("VLOOKUP(F4242, IMPORTRANGE(""https://docs.google.com/spreadsheets/d/1Lhp9OU0JdFf_VYSMzH5lBcEaU4o8teT1piV-SNzShjg/edit?gid=554141278#gid=554141278"", ""'Char Def. - Attributes'!C20:C2242""), 1,false)"),"EXT_MAT_GRP")</f>
        <v>EXT_MAT_GRP</v>
      </c>
      <c r="I4242" s="136"/>
    </row>
    <row r="4243" ht="15.75" customHeight="1">
      <c r="B4243" s="63">
        <f t="shared" si="1"/>
        <v>11</v>
      </c>
      <c r="C4243" s="146" t="s">
        <v>278</v>
      </c>
      <c r="D4243" s="147" t="s">
        <v>74</v>
      </c>
      <c r="E4243" s="135">
        <f t="shared" si="59"/>
        <v>8</v>
      </c>
      <c r="F4243" s="134" t="s">
        <v>3891</v>
      </c>
      <c r="G4243" s="63" t="str">
        <f>VLOOKUP(C4243, 'Class Def. - General Data'!$C$20:$C$1000,1,false)</f>
        <v>ZPM1_Isl_DT</v>
      </c>
      <c r="H4243" s="63" t="str">
        <f>IFERROR(__xludf.DUMMYFUNCTION("VLOOKUP(F4243, IMPORTRANGE(""https://docs.google.com/spreadsheets/d/1Lhp9OU0JdFf_VYSMzH5lBcEaU4o8teT1piV-SNzShjg/edit?gid=554141278#gid=554141278"", ""'Char Def. - Attributes'!C20:C2242""), 1,false)"),"GENERAL_SPEC")</f>
        <v>GENERAL_SPEC</v>
      </c>
      <c r="I4243" s="136"/>
    </row>
    <row r="4244" ht="15.75" customHeight="1">
      <c r="B4244" s="63">
        <f t="shared" si="1"/>
        <v>11</v>
      </c>
      <c r="C4244" s="146" t="s">
        <v>278</v>
      </c>
      <c r="D4244" s="147" t="s">
        <v>74</v>
      </c>
      <c r="E4244" s="135">
        <f t="shared" si="59"/>
        <v>9</v>
      </c>
      <c r="F4244" s="134" t="s">
        <v>3893</v>
      </c>
      <c r="G4244" s="63" t="str">
        <f>VLOOKUP(C4244, 'Class Def. - General Data'!$C$20:$C$1000,1,false)</f>
        <v>ZPM1_Isl_DT</v>
      </c>
      <c r="H4244" s="63" t="str">
        <f>IFERROR(__xludf.DUMMYFUNCTION("VLOOKUP(F4244, IMPORTRANGE(""https://docs.google.com/spreadsheets/d/1Lhp9OU0JdFf_VYSMzH5lBcEaU4o8teT1piV-SNzShjg/edit?gid=554141278#gid=554141278"", ""'Char Def. - Attributes'!C20:C2242""), 1,false)"),"FLEX_UOM")</f>
        <v>FLEX_UOM</v>
      </c>
      <c r="I4244" s="136"/>
    </row>
    <row r="4245" ht="15.75" customHeight="1">
      <c r="B4245" s="63">
        <f t="shared" si="1"/>
        <v>11</v>
      </c>
      <c r="C4245" s="146" t="s">
        <v>278</v>
      </c>
      <c r="D4245" s="147" t="s">
        <v>74</v>
      </c>
      <c r="E4245" s="135">
        <f t="shared" si="59"/>
        <v>10</v>
      </c>
      <c r="F4245" s="134" t="s">
        <v>3894</v>
      </c>
      <c r="G4245" s="63" t="str">
        <f>VLOOKUP(C4245, 'Class Def. - General Data'!$C$20:$C$1000,1,false)</f>
        <v>ZPM1_Isl_DT</v>
      </c>
      <c r="H4245" s="63" t="str">
        <f>IFERROR(__xludf.DUMMYFUNCTION("VLOOKUP(F4245, IMPORTRANGE(""https://docs.google.com/spreadsheets/d/1Lhp9OU0JdFf_VYSMzH5lBcEaU4o8teT1piV-SNzShjg/edit?gid=554141278#gid=554141278"", ""'Char Def. - Attributes'!C20:C2242""), 1,false)"),"FLEX_COMPLEXITY")</f>
        <v>FLEX_COMPLEXITY</v>
      </c>
      <c r="I4245" s="136"/>
    </row>
    <row r="4246" ht="15.75" customHeight="1">
      <c r="B4246" s="63">
        <f t="shared" si="1"/>
        <v>11</v>
      </c>
      <c r="C4246" s="146" t="s">
        <v>278</v>
      </c>
      <c r="D4246" s="147" t="s">
        <v>74</v>
      </c>
      <c r="E4246" s="135">
        <f t="shared" si="59"/>
        <v>11</v>
      </c>
      <c r="F4246" s="134" t="s">
        <v>3587</v>
      </c>
      <c r="G4246" s="63" t="str">
        <f>VLOOKUP(C4246, 'Class Def. - General Data'!$C$20:$C$1000,1,false)</f>
        <v>ZPM1_Isl_DT</v>
      </c>
      <c r="H4246" s="63" t="str">
        <f>IFERROR(__xludf.DUMMYFUNCTION("VLOOKUP(F4246, IMPORTRANGE(""https://docs.google.com/spreadsheets/d/1Lhp9OU0JdFf_VYSMzH5lBcEaU4o8teT1piV-SNzShjg/edit?gid=554141278#gid=554141278"", ""'Char Def. - Attributes'!C20:C2242""), 1,false)"),"PLANT_BUY")</f>
        <v>PLANT_BUY</v>
      </c>
      <c r="I4246" s="136"/>
    </row>
    <row r="4247" ht="15.75" customHeight="1">
      <c r="B4247" s="63">
        <f t="shared" si="1"/>
        <v>11</v>
      </c>
      <c r="C4247" s="146" t="s">
        <v>278</v>
      </c>
      <c r="D4247" s="147" t="s">
        <v>74</v>
      </c>
      <c r="E4247" s="135">
        <f t="shared" si="59"/>
        <v>12</v>
      </c>
      <c r="F4247" s="134" t="s">
        <v>3865</v>
      </c>
      <c r="G4247" s="63" t="str">
        <f>VLOOKUP(C4247, 'Class Def. - General Data'!$C$20:$C$1000,1,false)</f>
        <v>ZPM1_Isl_DT</v>
      </c>
      <c r="H4247" s="63" t="str">
        <f>IFERROR(__xludf.DUMMYFUNCTION("VLOOKUP(F4247, IMPORTRANGE(""https://docs.google.com/spreadsheets/d/1Lhp9OU0JdFf_VYSMzH5lBcEaU4o8teT1piV-SNzShjg/edit?gid=554141278#gid=554141278"", ""'Char Def. - Attributes'!C20:C2242""), 1,false)"),"PLANT_PROD_OPT")</f>
        <v>PLANT_PROD_OPT</v>
      </c>
      <c r="I4247" s="136"/>
    </row>
    <row r="4248" ht="15.75" customHeight="1">
      <c r="B4248" s="63">
        <f t="shared" si="1"/>
        <v>11</v>
      </c>
      <c r="C4248" s="146" t="s">
        <v>278</v>
      </c>
      <c r="D4248" s="147" t="s">
        <v>74</v>
      </c>
      <c r="E4248" s="135">
        <f t="shared" si="59"/>
        <v>13</v>
      </c>
      <c r="F4248" s="134" t="s">
        <v>3866</v>
      </c>
      <c r="G4248" s="63" t="str">
        <f>VLOOKUP(C4248, 'Class Def. - General Data'!$C$20:$C$1000,1,false)</f>
        <v>ZPM1_Isl_DT</v>
      </c>
      <c r="H4248" s="63" t="str">
        <f>IFERROR(__xludf.DUMMYFUNCTION("VLOOKUP(F4248, IMPORTRANGE(""https://docs.google.com/spreadsheets/d/1Lhp9OU0JdFf_VYSMzH5lBcEaU4o8teT1piV-SNzShjg/edit?gid=554141278#gid=554141278"", ""'Char Def. - Attributes'!C20:C2242""), 1,false)"),"PM_SUPPLY_JKT")</f>
        <v>PM_SUPPLY_JKT</v>
      </c>
      <c r="I4248" s="136"/>
    </row>
    <row r="4249" ht="15.75" customHeight="1">
      <c r="B4249" s="63">
        <f t="shared" si="1"/>
        <v>11</v>
      </c>
      <c r="C4249" s="146" t="s">
        <v>278</v>
      </c>
      <c r="D4249" s="147" t="s">
        <v>74</v>
      </c>
      <c r="E4249" s="135">
        <f t="shared" si="59"/>
        <v>14</v>
      </c>
      <c r="F4249" s="134" t="s">
        <v>3867</v>
      </c>
      <c r="G4249" s="63" t="str">
        <f>VLOOKUP(C4249, 'Class Def. - General Data'!$C$20:$C$1000,1,false)</f>
        <v>ZPM1_Isl_DT</v>
      </c>
      <c r="H4249" s="63" t="str">
        <f>IFERROR(__xludf.DUMMYFUNCTION("VLOOKUP(F4249, IMPORTRANGE(""https://docs.google.com/spreadsheets/d/1Lhp9OU0JdFf_VYSMzH5lBcEaU4o8teT1piV-SNzShjg/edit?gid=554141278#gid=554141278"", ""'Char Def. - Attributes'!C20:C2242""), 1,false)"),"PM_SUPPLY_SBY")</f>
        <v>PM_SUPPLY_SBY</v>
      </c>
      <c r="I4249" s="136"/>
    </row>
    <row r="4250" ht="15.75" customHeight="1">
      <c r="B4250" s="63">
        <f t="shared" si="1"/>
        <v>11</v>
      </c>
      <c r="C4250" s="146" t="s">
        <v>278</v>
      </c>
      <c r="D4250" s="147" t="s">
        <v>74</v>
      </c>
      <c r="E4250" s="135">
        <f t="shared" si="59"/>
        <v>15</v>
      </c>
      <c r="F4250" s="134" t="s">
        <v>3868</v>
      </c>
      <c r="G4250" s="63" t="str">
        <f>VLOOKUP(C4250, 'Class Def. - General Data'!$C$20:$C$1000,1,false)</f>
        <v>ZPM1_Isl_DT</v>
      </c>
      <c r="H4250" s="63" t="str">
        <f>IFERROR(__xludf.DUMMYFUNCTION("VLOOKUP(F4250, IMPORTRANGE(""https://docs.google.com/spreadsheets/d/1Lhp9OU0JdFf_VYSMzH5lBcEaU4o8teT1piV-SNzShjg/edit?gid=554141278#gid=554141278"", ""'Char Def. - Attributes'!C20:C2242""), 1,false)"),"BASIC_UOM_RMPM")</f>
        <v>BASIC_UOM_RMPM</v>
      </c>
      <c r="I4250" s="136"/>
    </row>
    <row r="4251" ht="15.75" customHeight="1">
      <c r="B4251" s="63">
        <f t="shared" si="1"/>
        <v>11</v>
      </c>
      <c r="C4251" s="146" t="s">
        <v>278</v>
      </c>
      <c r="D4251" s="147" t="s">
        <v>74</v>
      </c>
      <c r="E4251" s="135">
        <f t="shared" si="59"/>
        <v>16</v>
      </c>
      <c r="F4251" s="134" t="s">
        <v>3869</v>
      </c>
      <c r="G4251" s="63" t="str">
        <f>VLOOKUP(C4251, 'Class Def. - General Data'!$C$20:$C$1000,1,false)</f>
        <v>ZPM1_Isl_DT</v>
      </c>
      <c r="H4251" s="63" t="str">
        <f>IFERROR(__xludf.DUMMYFUNCTION("VLOOKUP(F4251, IMPORTRANGE(""https://docs.google.com/spreadsheets/d/1Lhp9OU0JdFf_VYSMzH5lBcEaU4o8teT1piV-SNzShjg/edit?gid=554141278#gid=554141278"", ""'Char Def. - Attributes'!C20:C2242""), 1,false)"),"ALT_UOM1_RMPM")</f>
        <v>ALT_UOM1_RMPM</v>
      </c>
      <c r="I4251" s="136"/>
    </row>
    <row r="4252" ht="15.75" customHeight="1">
      <c r="B4252" s="63">
        <f t="shared" si="1"/>
        <v>11</v>
      </c>
      <c r="C4252" s="146" t="s">
        <v>278</v>
      </c>
      <c r="D4252" s="147" t="s">
        <v>74</v>
      </c>
      <c r="E4252" s="135">
        <f t="shared" si="59"/>
        <v>17</v>
      </c>
      <c r="F4252" s="134" t="s">
        <v>3805</v>
      </c>
      <c r="G4252" s="63" t="str">
        <f>VLOOKUP(C4252, 'Class Def. - General Data'!$C$20:$C$1000,1,false)</f>
        <v>ZPM1_Isl_DT</v>
      </c>
      <c r="H4252" s="63" t="str">
        <f>IFERROR(__xludf.DUMMYFUNCTION("VLOOKUP(F4252, IMPORTRANGE(""https://docs.google.com/spreadsheets/d/1Lhp9OU0JdFf_VYSMzH5lBcEaU4o8teT1piV-SNzShjg/edit?gid=554141278#gid=554141278"", ""'Char Def. - Attributes'!C20:C2242""), 1,false)"),"ALT_DENUM_UOM1")</f>
        <v>ALT_DENUM_UOM1</v>
      </c>
      <c r="I4252" s="136"/>
    </row>
    <row r="4253" ht="15.75" customHeight="1">
      <c r="B4253" s="63">
        <f t="shared" si="1"/>
        <v>11</v>
      </c>
      <c r="C4253" s="146" t="s">
        <v>278</v>
      </c>
      <c r="D4253" s="147" t="s">
        <v>74</v>
      </c>
      <c r="E4253" s="135">
        <f t="shared" si="59"/>
        <v>18</v>
      </c>
      <c r="F4253" s="134" t="s">
        <v>3806</v>
      </c>
      <c r="G4253" s="63" t="str">
        <f>VLOOKUP(C4253, 'Class Def. - General Data'!$C$20:$C$1000,1,false)</f>
        <v>ZPM1_Isl_DT</v>
      </c>
      <c r="H4253" s="63" t="str">
        <f>IFERROR(__xludf.DUMMYFUNCTION("VLOOKUP(F4253, IMPORTRANGE(""https://docs.google.com/spreadsheets/d/1Lhp9OU0JdFf_VYSMzH5lBcEaU4o8teT1piV-SNzShjg/edit?gid=554141278#gid=554141278"", ""'Char Def. - Attributes'!C20:C2242""), 1,false)"),"ALT_NUM_UOM1")</f>
        <v>ALT_NUM_UOM1</v>
      </c>
      <c r="I4253" s="136"/>
    </row>
    <row r="4254" ht="15.75" customHeight="1">
      <c r="B4254" s="63">
        <f t="shared" si="1"/>
        <v>11</v>
      </c>
      <c r="C4254" s="146" t="s">
        <v>278</v>
      </c>
      <c r="D4254" s="147" t="s">
        <v>74</v>
      </c>
      <c r="E4254" s="135">
        <f t="shared" si="59"/>
        <v>19</v>
      </c>
      <c r="F4254" s="134" t="s">
        <v>3870</v>
      </c>
      <c r="G4254" s="63" t="str">
        <f>VLOOKUP(C4254, 'Class Def. - General Data'!$C$20:$C$1000,1,false)</f>
        <v>ZPM1_Isl_DT</v>
      </c>
      <c r="H4254" s="63" t="str">
        <f>IFERROR(__xludf.DUMMYFUNCTION("VLOOKUP(F4254, IMPORTRANGE(""https://docs.google.com/spreadsheets/d/1Lhp9OU0JdFf_VYSMzH5lBcEaU4o8teT1piV-SNzShjg/edit?gid=554141278#gid=554141278"", ""'Char Def. - Attributes'!C20:C2242""), 1,false)"),"ALT_UOM2_RMPM")</f>
        <v>ALT_UOM2_RMPM</v>
      </c>
      <c r="I4254" s="136"/>
    </row>
    <row r="4255" ht="15.75" customHeight="1">
      <c r="B4255" s="63">
        <f t="shared" si="1"/>
        <v>11</v>
      </c>
      <c r="C4255" s="146" t="s">
        <v>278</v>
      </c>
      <c r="D4255" s="147" t="s">
        <v>74</v>
      </c>
      <c r="E4255" s="135">
        <f t="shared" si="59"/>
        <v>20</v>
      </c>
      <c r="F4255" s="134" t="s">
        <v>3808</v>
      </c>
      <c r="G4255" s="63" t="str">
        <f>VLOOKUP(C4255, 'Class Def. - General Data'!$C$20:$C$1000,1,false)</f>
        <v>ZPM1_Isl_DT</v>
      </c>
      <c r="H4255" s="63" t="str">
        <f>IFERROR(__xludf.DUMMYFUNCTION("VLOOKUP(F4255, IMPORTRANGE(""https://docs.google.com/spreadsheets/d/1Lhp9OU0JdFf_VYSMzH5lBcEaU4o8teT1piV-SNzShjg/edit?gid=554141278#gid=554141278"", ""'Char Def. - Attributes'!C20:C2242""), 1,false)"),"ALT_DENUM_UOM2")</f>
        <v>ALT_DENUM_UOM2</v>
      </c>
      <c r="I4255" s="136"/>
    </row>
    <row r="4256" ht="15.75" customHeight="1">
      <c r="B4256" s="63">
        <f t="shared" si="1"/>
        <v>11</v>
      </c>
      <c r="C4256" s="146" t="s">
        <v>278</v>
      </c>
      <c r="D4256" s="147" t="s">
        <v>74</v>
      </c>
      <c r="E4256" s="135">
        <f t="shared" si="59"/>
        <v>21</v>
      </c>
      <c r="F4256" s="134" t="s">
        <v>3809</v>
      </c>
      <c r="G4256" s="63" t="str">
        <f>VLOOKUP(C4256, 'Class Def. - General Data'!$C$20:$C$1000,1,false)</f>
        <v>ZPM1_Isl_DT</v>
      </c>
      <c r="H4256" s="63" t="str">
        <f>IFERROR(__xludf.DUMMYFUNCTION("VLOOKUP(F4256, IMPORTRANGE(""https://docs.google.com/spreadsheets/d/1Lhp9OU0JdFf_VYSMzH5lBcEaU4o8teT1piV-SNzShjg/edit?gid=554141278#gid=554141278"", ""'Char Def. - Attributes'!C20:C2242""), 1,false)"),"ALT_NUM_UOM2")</f>
        <v>ALT_NUM_UOM2</v>
      </c>
      <c r="I4256" s="136"/>
    </row>
    <row r="4257" ht="15.75" customHeight="1">
      <c r="B4257" s="63">
        <f t="shared" si="1"/>
        <v>11</v>
      </c>
      <c r="C4257" s="146" t="s">
        <v>278</v>
      </c>
      <c r="D4257" s="147" t="s">
        <v>74</v>
      </c>
      <c r="E4257" s="135">
        <f t="shared" si="59"/>
        <v>22</v>
      </c>
      <c r="F4257" s="134" t="s">
        <v>3871</v>
      </c>
      <c r="G4257" s="63" t="str">
        <f>VLOOKUP(C4257, 'Class Def. - General Data'!$C$20:$C$1000,1,false)</f>
        <v>ZPM1_Isl_DT</v>
      </c>
      <c r="H4257" s="63" t="str">
        <f>IFERROR(__xludf.DUMMYFUNCTION("VLOOKUP(F4257, IMPORTRANGE(""https://docs.google.com/spreadsheets/d/1Lhp9OU0JdFf_VYSMzH5lBcEaU4o8teT1piV-SNzShjg/edit?gid=554141278#gid=554141278"", ""'Char Def. - Attributes'!C20:C2242""), 1,false)"),"ALT_UOM3_RMPM")</f>
        <v>ALT_UOM3_RMPM</v>
      </c>
      <c r="I4257" s="136"/>
    </row>
    <row r="4258" ht="15.75" customHeight="1">
      <c r="B4258" s="63">
        <f t="shared" si="1"/>
        <v>11</v>
      </c>
      <c r="C4258" s="146" t="s">
        <v>278</v>
      </c>
      <c r="D4258" s="147" t="s">
        <v>74</v>
      </c>
      <c r="E4258" s="135">
        <f t="shared" si="59"/>
        <v>23</v>
      </c>
      <c r="F4258" s="134" t="s">
        <v>3811</v>
      </c>
      <c r="G4258" s="63" t="str">
        <f>VLOOKUP(C4258, 'Class Def. - General Data'!$C$20:$C$1000,1,false)</f>
        <v>ZPM1_Isl_DT</v>
      </c>
      <c r="H4258" s="63" t="str">
        <f>IFERROR(__xludf.DUMMYFUNCTION("VLOOKUP(F4258, IMPORTRANGE(""https://docs.google.com/spreadsheets/d/1Lhp9OU0JdFf_VYSMzH5lBcEaU4o8teT1piV-SNzShjg/edit?gid=554141278#gid=554141278"", ""'Char Def. - Attributes'!C20:C2242""), 1,false)"),"ALT_DENUM_UOM3")</f>
        <v>ALT_DENUM_UOM3</v>
      </c>
      <c r="I4258" s="136"/>
    </row>
    <row r="4259" ht="15.75" customHeight="1">
      <c r="B4259" s="63">
        <f t="shared" si="1"/>
        <v>11</v>
      </c>
      <c r="C4259" s="146" t="s">
        <v>278</v>
      </c>
      <c r="D4259" s="147" t="s">
        <v>74</v>
      </c>
      <c r="E4259" s="135">
        <f t="shared" si="59"/>
        <v>24</v>
      </c>
      <c r="F4259" s="134" t="s">
        <v>3812</v>
      </c>
      <c r="G4259" s="63" t="str">
        <f>VLOOKUP(C4259, 'Class Def. - General Data'!$C$20:$C$1000,1,false)</f>
        <v>ZPM1_Isl_DT</v>
      </c>
      <c r="H4259" s="63" t="str">
        <f>IFERROR(__xludf.DUMMYFUNCTION("VLOOKUP(F4259, IMPORTRANGE(""https://docs.google.com/spreadsheets/d/1Lhp9OU0JdFf_VYSMzH5lBcEaU4o8teT1piV-SNzShjg/edit?gid=554141278#gid=554141278"", ""'Char Def. - Attributes'!C20:C2242""), 1,false)"),"ALT_NUM_UOM3")</f>
        <v>ALT_NUM_UOM3</v>
      </c>
      <c r="I4259" s="136"/>
    </row>
    <row r="4260" ht="15.75" customHeight="1">
      <c r="B4260" s="63">
        <f t="shared" si="1"/>
        <v>11</v>
      </c>
      <c r="C4260" s="146" t="s">
        <v>278</v>
      </c>
      <c r="D4260" s="147" t="s">
        <v>74</v>
      </c>
      <c r="E4260" s="135">
        <f t="shared" si="59"/>
        <v>25</v>
      </c>
      <c r="F4260" s="134" t="s">
        <v>3872</v>
      </c>
      <c r="G4260" s="63" t="str">
        <f>VLOOKUP(C4260, 'Class Def. - General Data'!$C$20:$C$1000,1,false)</f>
        <v>ZPM1_Isl_DT</v>
      </c>
      <c r="H4260" s="63" t="str">
        <f>IFERROR(__xludf.DUMMYFUNCTION("VLOOKUP(F4260, IMPORTRANGE(""https://docs.google.com/spreadsheets/d/1Lhp9OU0JdFf_VYSMzH5lBcEaU4o8teT1piV-SNzShjg/edit?gid=554141278#gid=554141278"", ""'Char Def. - Attributes'!C20:C2242""), 1,false)"),"ALT_UOM4_RMPM")</f>
        <v>ALT_UOM4_RMPM</v>
      </c>
      <c r="I4260" s="136"/>
    </row>
    <row r="4261" ht="15.75" customHeight="1">
      <c r="B4261" s="63">
        <f t="shared" si="1"/>
        <v>11</v>
      </c>
      <c r="C4261" s="146" t="s">
        <v>278</v>
      </c>
      <c r="D4261" s="147" t="s">
        <v>74</v>
      </c>
      <c r="E4261" s="135">
        <f t="shared" si="59"/>
        <v>26</v>
      </c>
      <c r="F4261" s="134" t="s">
        <v>3814</v>
      </c>
      <c r="G4261" s="63" t="str">
        <f>VLOOKUP(C4261, 'Class Def. - General Data'!$C$20:$C$1000,1,false)</f>
        <v>ZPM1_Isl_DT</v>
      </c>
      <c r="H4261" s="63" t="str">
        <f>IFERROR(__xludf.DUMMYFUNCTION("VLOOKUP(F4261, IMPORTRANGE(""https://docs.google.com/spreadsheets/d/1Lhp9OU0JdFf_VYSMzH5lBcEaU4o8teT1piV-SNzShjg/edit?gid=554141278#gid=554141278"", ""'Char Def. - Attributes'!C20:C2242""), 1,false)"),"ALT_DENUM_UOM4")</f>
        <v>ALT_DENUM_UOM4</v>
      </c>
      <c r="I4261" s="136"/>
    </row>
    <row r="4262" ht="15.75" customHeight="1">
      <c r="B4262" s="63">
        <f t="shared" si="1"/>
        <v>11</v>
      </c>
      <c r="C4262" s="146" t="s">
        <v>278</v>
      </c>
      <c r="D4262" s="147" t="s">
        <v>74</v>
      </c>
      <c r="E4262" s="135">
        <f t="shared" si="59"/>
        <v>27</v>
      </c>
      <c r="F4262" s="134" t="s">
        <v>3815</v>
      </c>
      <c r="G4262" s="63" t="str">
        <f>VLOOKUP(C4262, 'Class Def. - General Data'!$C$20:$C$1000,1,false)</f>
        <v>ZPM1_Isl_DT</v>
      </c>
      <c r="H4262" s="63" t="str">
        <f>IFERROR(__xludf.DUMMYFUNCTION("VLOOKUP(F4262, IMPORTRANGE(""https://docs.google.com/spreadsheets/d/1Lhp9OU0JdFf_VYSMzH5lBcEaU4o8teT1piV-SNzShjg/edit?gid=554141278#gid=554141278"", ""'Char Def. - Attributes'!C20:C2242""), 1,false)"),"ALT_NUM_UOM4")</f>
        <v>ALT_NUM_UOM4</v>
      </c>
      <c r="I4262" s="136"/>
    </row>
    <row r="4263" ht="15.75" customHeight="1">
      <c r="B4263" s="63">
        <f t="shared" si="1"/>
        <v>11</v>
      </c>
      <c r="C4263" s="146" t="s">
        <v>278</v>
      </c>
      <c r="D4263" s="147" t="s">
        <v>74</v>
      </c>
      <c r="E4263" s="135">
        <f t="shared" si="59"/>
        <v>28</v>
      </c>
      <c r="F4263" s="134" t="s">
        <v>3873</v>
      </c>
      <c r="G4263" s="63" t="str">
        <f>VLOOKUP(C4263, 'Class Def. - General Data'!$C$20:$C$1000,1,false)</f>
        <v>ZPM1_Isl_DT</v>
      </c>
      <c r="H4263" s="63" t="str">
        <f>IFERROR(__xludf.DUMMYFUNCTION("VLOOKUP(F4263, IMPORTRANGE(""https://docs.google.com/spreadsheets/d/1Lhp9OU0JdFf_VYSMzH5lBcEaU4o8teT1piV-SNzShjg/edit?gid=554141278#gid=554141278"", ""'Char Def. - Attributes'!C20:C2242""), 1,false)"),"ALT_UOM5_RMPM")</f>
        <v>ALT_UOM5_RMPM</v>
      </c>
      <c r="I4263" s="136"/>
    </row>
    <row r="4264" ht="15.75" customHeight="1">
      <c r="B4264" s="63">
        <f t="shared" si="1"/>
        <v>11</v>
      </c>
      <c r="C4264" s="146" t="s">
        <v>278</v>
      </c>
      <c r="D4264" s="147" t="s">
        <v>74</v>
      </c>
      <c r="E4264" s="135">
        <f t="shared" si="59"/>
        <v>29</v>
      </c>
      <c r="F4264" s="134" t="s">
        <v>3817</v>
      </c>
      <c r="G4264" s="63" t="str">
        <f>VLOOKUP(C4264, 'Class Def. - General Data'!$C$20:$C$1000,1,false)</f>
        <v>ZPM1_Isl_DT</v>
      </c>
      <c r="H4264" s="63" t="str">
        <f>IFERROR(__xludf.DUMMYFUNCTION("VLOOKUP(F4264, IMPORTRANGE(""https://docs.google.com/spreadsheets/d/1Lhp9OU0JdFf_VYSMzH5lBcEaU4o8teT1piV-SNzShjg/edit?gid=554141278#gid=554141278"", ""'Char Def. - Attributes'!C20:C2242""), 1,false)"),"ALT_DENUM_UOM5")</f>
        <v>ALT_DENUM_UOM5</v>
      </c>
      <c r="I4264" s="136"/>
    </row>
    <row r="4265" ht="15.75" customHeight="1">
      <c r="B4265" s="63">
        <f t="shared" si="1"/>
        <v>11</v>
      </c>
      <c r="C4265" s="146" t="s">
        <v>278</v>
      </c>
      <c r="D4265" s="147" t="s">
        <v>74</v>
      </c>
      <c r="E4265" s="135">
        <f t="shared" si="59"/>
        <v>30</v>
      </c>
      <c r="F4265" s="134" t="s">
        <v>3818</v>
      </c>
      <c r="G4265" s="63" t="str">
        <f>VLOOKUP(C4265, 'Class Def. - General Data'!$C$20:$C$1000,1,false)</f>
        <v>ZPM1_Isl_DT</v>
      </c>
      <c r="H4265" s="63" t="str">
        <f>IFERROR(__xludf.DUMMYFUNCTION("VLOOKUP(F4265, IMPORTRANGE(""https://docs.google.com/spreadsheets/d/1Lhp9OU0JdFf_VYSMzH5lBcEaU4o8teT1piV-SNzShjg/edit?gid=554141278#gid=554141278"", ""'Char Def. - Attributes'!C20:C2242""), 1,false)"),"ALT_NUM_UOM5")</f>
        <v>ALT_NUM_UOM5</v>
      </c>
      <c r="I4265" s="136"/>
    </row>
    <row r="4266" ht="15.75" customHeight="1">
      <c r="B4266" s="63">
        <f t="shared" si="1"/>
        <v>11</v>
      </c>
      <c r="C4266" s="146" t="s">
        <v>278</v>
      </c>
      <c r="D4266" s="147" t="s">
        <v>74</v>
      </c>
      <c r="E4266" s="135">
        <f t="shared" si="59"/>
        <v>31</v>
      </c>
      <c r="F4266" s="134" t="s">
        <v>3874</v>
      </c>
      <c r="G4266" s="63" t="str">
        <f>VLOOKUP(C4266, 'Class Def. - General Data'!$C$20:$C$1000,1,false)</f>
        <v>ZPM1_Isl_DT</v>
      </c>
      <c r="H4266" s="63" t="str">
        <f>IFERROR(__xludf.DUMMYFUNCTION("VLOOKUP(F4266, IMPORTRANGE(""https://docs.google.com/spreadsheets/d/1Lhp9OU0JdFf_VYSMzH5lBcEaU4o8teT1piV-SNzShjg/edit?gid=554141278#gid=554141278"", ""'Char Def. - Attributes'!C20:C2242""), 1,false)"),"VALUATION_CATEGORY")</f>
        <v>VALUATION_CATEGORY</v>
      </c>
      <c r="I4266" s="136"/>
    </row>
    <row r="4267" ht="15.75" customHeight="1">
      <c r="B4267" s="63">
        <f t="shared" si="1"/>
        <v>11</v>
      </c>
      <c r="C4267" s="146" t="s">
        <v>278</v>
      </c>
      <c r="D4267" s="147" t="s">
        <v>74</v>
      </c>
      <c r="E4267" s="135">
        <f t="shared" si="59"/>
        <v>32</v>
      </c>
      <c r="F4267" s="134" t="s">
        <v>3800</v>
      </c>
      <c r="G4267" s="63" t="str">
        <f>VLOOKUP(C4267, 'Class Def. - General Data'!$C$20:$C$1000,1,false)</f>
        <v>ZPM1_Isl_DT</v>
      </c>
      <c r="H4267" s="63" t="str">
        <f>IFERROR(__xludf.DUMMYFUNCTION("VLOOKUP(F4267, IMPORTRANGE(""https://docs.google.com/spreadsheets/d/1Lhp9OU0JdFf_VYSMzH5lBcEaU4o8teT1piV-SNzShjg/edit?gid=554141278#gid=554141278"", ""'Char Def. - Attributes'!C20:C2242""), 1,false)"),"ORDER_UNIT_DIFF_FROM_BASIC_UOM")</f>
        <v>ORDER_UNIT_DIFF_FROM_BASIC_UOM</v>
      </c>
      <c r="I4267" s="136"/>
    </row>
    <row r="4268" ht="15.75" customHeight="1">
      <c r="B4268" s="63">
        <f t="shared" si="1"/>
        <v>11</v>
      </c>
      <c r="C4268" s="146" t="s">
        <v>278</v>
      </c>
      <c r="D4268" s="147" t="s">
        <v>74</v>
      </c>
      <c r="E4268" s="135">
        <f t="shared" si="59"/>
        <v>33</v>
      </c>
      <c r="F4268" s="134" t="s">
        <v>3875</v>
      </c>
      <c r="G4268" s="63" t="str">
        <f>VLOOKUP(C4268, 'Class Def. - General Data'!$C$20:$C$1000,1,false)</f>
        <v>ZPM1_Isl_DT</v>
      </c>
      <c r="H4268" s="63" t="str">
        <f>IFERROR(__xludf.DUMMYFUNCTION("VLOOKUP(F4268, IMPORTRANGE(""https://docs.google.com/spreadsheets/d/1Lhp9OU0JdFf_VYSMzH5lBcEaU4o8teT1piV-SNzShjg/edit?gid=554141278#gid=554141278"", ""'Char Def. - Attributes'!C20:C2242""), 1,false)"),"ORDER_UNIT_RMPM")</f>
        <v>ORDER_UNIT_RMPM</v>
      </c>
      <c r="I4268" s="136"/>
    </row>
    <row r="4269" ht="15.75" customHeight="1">
      <c r="B4269" s="63">
        <f t="shared" si="1"/>
        <v>11</v>
      </c>
      <c r="C4269" s="146" t="s">
        <v>278</v>
      </c>
      <c r="D4269" s="147" t="s">
        <v>74</v>
      </c>
      <c r="E4269" s="135">
        <f t="shared" si="59"/>
        <v>34</v>
      </c>
      <c r="F4269" s="134" t="s">
        <v>3602</v>
      </c>
      <c r="G4269" s="63" t="str">
        <f>VLOOKUP(C4269, 'Class Def. - General Data'!$C$20:$C$1000,1,false)</f>
        <v>ZPM1_Isl_DT</v>
      </c>
      <c r="H4269" s="63" t="str">
        <f>IFERROR(__xludf.DUMMYFUNCTION("VLOOKUP(F4269, IMPORTRANGE(""https://docs.google.com/spreadsheets/d/1Lhp9OU0JdFf_VYSMzH5lBcEaU4o8teT1piV-SNzShjg/edit?gid=554141278#gid=554141278"", ""'Char Def. - Attributes'!C20:C2242""), 1,false)"),"NET_WEIGHT")</f>
        <v>NET_WEIGHT</v>
      </c>
      <c r="I4269" s="136"/>
    </row>
    <row r="4270" ht="15.75" customHeight="1">
      <c r="B4270" s="63">
        <f t="shared" si="1"/>
        <v>11</v>
      </c>
      <c r="C4270" s="146" t="s">
        <v>278</v>
      </c>
      <c r="D4270" s="147" t="s">
        <v>74</v>
      </c>
      <c r="E4270" s="135">
        <f t="shared" si="59"/>
        <v>35</v>
      </c>
      <c r="F4270" s="134" t="s">
        <v>3601</v>
      </c>
      <c r="G4270" s="63" t="str">
        <f>VLOOKUP(C4270, 'Class Def. - General Data'!$C$20:$C$1000,1,false)</f>
        <v>ZPM1_Isl_DT</v>
      </c>
      <c r="H4270" s="63" t="str">
        <f>IFERROR(__xludf.DUMMYFUNCTION("VLOOKUP(F4270, IMPORTRANGE(""https://docs.google.com/spreadsheets/d/1Lhp9OU0JdFf_VYSMzH5lBcEaU4o8teT1piV-SNzShjg/edit?gid=554141278#gid=554141278"", ""'Char Def. - Attributes'!C20:C2242""), 1,false)"),"GROSS_WEIGHT")</f>
        <v>GROSS_WEIGHT</v>
      </c>
      <c r="I4270" s="136"/>
    </row>
    <row r="4271" ht="15.75" customHeight="1">
      <c r="B4271" s="63">
        <f t="shared" si="1"/>
        <v>11</v>
      </c>
      <c r="C4271" s="146" t="s">
        <v>278</v>
      </c>
      <c r="D4271" s="147" t="s">
        <v>74</v>
      </c>
      <c r="E4271" s="135">
        <f t="shared" si="59"/>
        <v>36</v>
      </c>
      <c r="F4271" s="134" t="s">
        <v>3876</v>
      </c>
      <c r="G4271" s="63" t="str">
        <f>VLOOKUP(C4271, 'Class Def. - General Data'!$C$20:$C$1000,1,false)</f>
        <v>ZPM1_Isl_DT</v>
      </c>
      <c r="H4271" s="63" t="str">
        <f>IFERROR(__xludf.DUMMYFUNCTION("VLOOKUP(F4271, IMPORTRANGE(""https://docs.google.com/spreadsheets/d/1Lhp9OU0JdFf_VYSMzH5lBcEaU4o8teT1piV-SNzShjg/edit?gid=554141278#gid=554141278"", ""'Char Def. - Attributes'!C20:C2242""), 1,false)"),"WEIGHT_UNIT_PM")</f>
        <v>WEIGHT_UNIT_PM</v>
      </c>
      <c r="I4271" s="136"/>
    </row>
    <row r="4272" ht="15.75" customHeight="1">
      <c r="B4272" s="63">
        <f t="shared" si="1"/>
        <v>11</v>
      </c>
      <c r="C4272" s="146" t="s">
        <v>278</v>
      </c>
      <c r="D4272" s="147" t="s">
        <v>74</v>
      </c>
      <c r="E4272" s="135">
        <f t="shared" si="59"/>
        <v>37</v>
      </c>
      <c r="F4272" s="134" t="s">
        <v>3877</v>
      </c>
      <c r="G4272" s="63" t="str">
        <f>VLOOKUP(C4272, 'Class Def. - General Data'!$C$20:$C$1000,1,false)</f>
        <v>ZPM1_Isl_DT</v>
      </c>
      <c r="H4272" s="63" t="str">
        <f>IFERROR(__xludf.DUMMYFUNCTION("VLOOKUP(F4272, IMPORTRANGE(""https://docs.google.com/spreadsheets/d/1Lhp9OU0JdFf_VYSMzH5lBcEaU4o8teT1piV-SNzShjg/edit?gid=554141278#gid=554141278"", ""'Char Def. - Attributes'!C20:C2242""), 1,false)"),"VOLUME_OPT")</f>
        <v>VOLUME_OPT</v>
      </c>
      <c r="I4272" s="136"/>
    </row>
    <row r="4273" ht="15.75" customHeight="1">
      <c r="B4273" s="63">
        <f t="shared" si="1"/>
        <v>11</v>
      </c>
      <c r="C4273" s="146" t="s">
        <v>278</v>
      </c>
      <c r="D4273" s="147" t="s">
        <v>74</v>
      </c>
      <c r="E4273" s="135">
        <f t="shared" si="59"/>
        <v>38</v>
      </c>
      <c r="F4273" s="134" t="s">
        <v>3878</v>
      </c>
      <c r="G4273" s="63" t="str">
        <f>VLOOKUP(C4273, 'Class Def. - General Data'!$C$20:$C$1000,1,false)</f>
        <v>ZPM1_Isl_DT</v>
      </c>
      <c r="H4273" s="63" t="str">
        <f>IFERROR(__xludf.DUMMYFUNCTION("VLOOKUP(F4273, IMPORTRANGE(""https://docs.google.com/spreadsheets/d/1Lhp9OU0JdFf_VYSMzH5lBcEaU4o8teT1piV-SNzShjg/edit?gid=554141278#gid=554141278"", ""'Char Def. - Attributes'!C20:C2242""), 1,false)"),"VOLUME_UNIT")</f>
        <v>VOLUME_UNIT</v>
      </c>
      <c r="I4273" s="136"/>
    </row>
    <row r="4274" ht="15.75" customHeight="1">
      <c r="B4274" s="63">
        <f t="shared" si="1"/>
        <v>11</v>
      </c>
      <c r="C4274" s="146" t="s">
        <v>278</v>
      </c>
      <c r="D4274" s="147" t="s">
        <v>74</v>
      </c>
      <c r="E4274" s="135">
        <f t="shared" si="59"/>
        <v>39</v>
      </c>
      <c r="F4274" s="134" t="s">
        <v>3879</v>
      </c>
      <c r="G4274" s="63" t="str">
        <f>VLOOKUP(C4274, 'Class Def. - General Data'!$C$20:$C$1000,1,false)</f>
        <v>ZPM1_Isl_DT</v>
      </c>
      <c r="H4274" s="63" t="str">
        <f>IFERROR(__xludf.DUMMYFUNCTION("VLOOKUP(F4274, IMPORTRANGE(""https://docs.google.com/spreadsheets/d/1Lhp9OU0JdFf_VYSMzH5lBcEaU4o8teT1piV-SNzShjg/edit?gid=554141278#gid=554141278"", ""'Char Def. - Attributes'!C20:C2242""), 1,false)"),"OLD_MAT_NO_RMPM")</f>
        <v>OLD_MAT_NO_RMPM</v>
      </c>
      <c r="I4274" s="136"/>
    </row>
    <row r="4275" ht="15.75" customHeight="1">
      <c r="B4275" s="63">
        <f t="shared" si="1"/>
        <v>11</v>
      </c>
      <c r="C4275" s="146" t="s">
        <v>278</v>
      </c>
      <c r="D4275" s="147" t="s">
        <v>74</v>
      </c>
      <c r="E4275" s="135">
        <f t="shared" si="59"/>
        <v>40</v>
      </c>
      <c r="F4275" s="134" t="s">
        <v>3880</v>
      </c>
      <c r="G4275" s="63" t="str">
        <f>VLOOKUP(C4275, 'Class Def. - General Data'!$C$20:$C$1000,1,false)</f>
        <v>ZPM1_Isl_DT</v>
      </c>
      <c r="H4275" s="63" t="str">
        <f>IFERROR(__xludf.DUMMYFUNCTION("VLOOKUP(F4275, IMPORTRANGE(""https://docs.google.com/spreadsheets/d/1Lhp9OU0JdFf_VYSMzH5lBcEaU4o8teT1piV-SNzShjg/edit?gid=554141278#gid=554141278"", ""'Char Def. - Attributes'!C20:C2242""), 1,false)"),"NOTE_PM")</f>
        <v>NOTE_PM</v>
      </c>
      <c r="I4275" s="136"/>
    </row>
    <row r="4276" ht="15.75" customHeight="1">
      <c r="B4276" s="63">
        <f t="shared" si="1"/>
        <v>11</v>
      </c>
      <c r="C4276" s="146" t="s">
        <v>278</v>
      </c>
      <c r="D4276" s="147" t="s">
        <v>74</v>
      </c>
      <c r="E4276" s="135">
        <f t="shared" si="59"/>
        <v>41</v>
      </c>
      <c r="F4276" s="134" t="s">
        <v>3881</v>
      </c>
      <c r="G4276" s="63" t="str">
        <f>VLOOKUP(C4276, 'Class Def. - General Data'!$C$20:$C$1000,1,false)</f>
        <v>ZPM1_Isl_DT</v>
      </c>
      <c r="H4276" s="63" t="str">
        <f>IFERROR(__xludf.DUMMYFUNCTION("VLOOKUP(F4276, IMPORTRANGE(""https://docs.google.com/spreadsheets/d/1Lhp9OU0JdFf_VYSMzH5lBcEaU4o8teT1piV-SNzShjg/edit?gid=554141278#gid=554141278"", ""'Char Def. - Attributes'!C20:C2242""), 1,false)"),"BS_BERSIH")</f>
        <v>BS_BERSIH</v>
      </c>
      <c r="I4276" s="136"/>
    </row>
    <row r="4277" ht="15.75" customHeight="1">
      <c r="B4277" s="63">
        <f t="shared" si="1"/>
        <v>11</v>
      </c>
      <c r="C4277" s="146" t="s">
        <v>278</v>
      </c>
      <c r="D4277" s="147" t="s">
        <v>74</v>
      </c>
      <c r="E4277" s="135">
        <f t="shared" si="59"/>
        <v>42</v>
      </c>
      <c r="F4277" s="134" t="s">
        <v>3882</v>
      </c>
      <c r="G4277" s="63" t="str">
        <f>VLOOKUP(C4277, 'Class Def. - General Data'!$C$20:$C$1000,1,false)</f>
        <v>ZPM1_Isl_DT</v>
      </c>
      <c r="H4277" s="63" t="str">
        <f>IFERROR(__xludf.DUMMYFUNCTION("VLOOKUP(F4277, IMPORTRANGE(""https://docs.google.com/spreadsheets/d/1Lhp9OU0JdFf_VYSMzH5lBcEaU4o8teT1piV-SNzShjg/edit?gid=554141278#gid=554141278"", ""'Char Def. - Attributes'!C20:C2242""), 1,false)"),"BS_KOTOR")</f>
        <v>BS_KOTOR</v>
      </c>
      <c r="I4277" s="136"/>
    </row>
    <row r="4278" ht="15.75" customHeight="1">
      <c r="B4278" s="63">
        <f t="shared" si="1"/>
        <v>11</v>
      </c>
      <c r="C4278" s="146" t="s">
        <v>278</v>
      </c>
      <c r="D4278" s="147" t="s">
        <v>74</v>
      </c>
      <c r="E4278" s="135">
        <f t="shared" si="59"/>
        <v>43</v>
      </c>
      <c r="F4278" s="134" t="s">
        <v>3883</v>
      </c>
      <c r="G4278" s="63" t="str">
        <f>VLOOKUP(C4278, 'Class Def. - General Data'!$C$20:$C$1000,1,false)</f>
        <v>ZPM1_Isl_DT</v>
      </c>
      <c r="H4278" s="63" t="str">
        <f>IFERROR(__xludf.DUMMYFUNCTION("VLOOKUP(F4278, IMPORTRANGE(""https://docs.google.com/spreadsheets/d/1Lhp9OU0JdFf_VYSMzH5lBcEaU4o8teT1piV-SNzShjg/edit?gid=554141278#gid=554141278"", ""'Char Def. - Attributes'!C20:C2242""), 1,false)"),"BS_SCRAP")</f>
        <v>BS_SCRAP</v>
      </c>
      <c r="I4278" s="136"/>
    </row>
    <row r="4279" ht="15.75" customHeight="1">
      <c r="B4279" s="63">
        <f t="shared" si="1"/>
        <v>13</v>
      </c>
      <c r="C4279" s="146" t="s">
        <v>240</v>
      </c>
      <c r="D4279" s="147" t="s">
        <v>74</v>
      </c>
      <c r="E4279" s="135">
        <f t="shared" si="59"/>
        <v>1</v>
      </c>
      <c r="F4279" s="134" t="s">
        <v>3943</v>
      </c>
      <c r="G4279" s="63" t="str">
        <f>VLOOKUP(C4279, 'Class Def. - General Data'!$C$20:$C$1000,1,false)</f>
        <v>ZPM1_Isl_Tape</v>
      </c>
      <c r="H4279" s="63" t="str">
        <f>IFERROR(__xludf.DUMMYFUNCTION("VLOOKUP(F4279, IMPORTRANGE(""https://docs.google.com/spreadsheets/d/1Lhp9OU0JdFf_VYSMzH5lBcEaU4o8teT1piV-SNzShjg/edit?gid=554141278#gid=554141278"", ""'Char Def. - Attributes'!C20:C2242""), 1,false)"),"MATERIAL_CODE_ISL_TAPE")</f>
        <v>MATERIAL_CODE_ISL_TAPE</v>
      </c>
      <c r="I4279" s="136"/>
    </row>
    <row r="4280" ht="15.75" customHeight="1">
      <c r="B4280" s="63">
        <f t="shared" si="1"/>
        <v>13</v>
      </c>
      <c r="C4280" s="146" t="s">
        <v>240</v>
      </c>
      <c r="D4280" s="147" t="s">
        <v>74</v>
      </c>
      <c r="E4280" s="135">
        <f t="shared" si="59"/>
        <v>2</v>
      </c>
      <c r="F4280" s="134" t="s">
        <v>3944</v>
      </c>
      <c r="G4280" s="63" t="str">
        <f>VLOOKUP(C4280, 'Class Def. - General Data'!$C$20:$C$1000,1,false)</f>
        <v>ZPM1_Isl_Tape</v>
      </c>
      <c r="H4280" s="63" t="str">
        <f>IFERROR(__xludf.DUMMYFUNCTION("VLOOKUP(F4280, IMPORTRANGE(""https://docs.google.com/spreadsheets/d/1Lhp9OU0JdFf_VYSMzH5lBcEaU4o8teT1piV-SNzShjg/edit?gid=554141278#gid=554141278"", ""'Char Def. - Attributes'!C20:C2242""), 1,false)"),"DESIGN")</f>
        <v>DESIGN</v>
      </c>
      <c r="I4280" s="136"/>
    </row>
    <row r="4281" ht="15.75" customHeight="1">
      <c r="B4281" s="63">
        <f t="shared" si="1"/>
        <v>13</v>
      </c>
      <c r="C4281" s="146" t="s">
        <v>240</v>
      </c>
      <c r="D4281" s="147" t="s">
        <v>74</v>
      </c>
      <c r="E4281" s="135">
        <f t="shared" si="59"/>
        <v>3</v>
      </c>
      <c r="F4281" s="134" t="s">
        <v>3909</v>
      </c>
      <c r="G4281" s="63" t="str">
        <f>VLOOKUP(C4281, 'Class Def. - General Data'!$C$20:$C$1000,1,false)</f>
        <v>ZPM1_Isl_Tape</v>
      </c>
      <c r="H4281" s="63" t="str">
        <f>IFERROR(__xludf.DUMMYFUNCTION("VLOOKUP(F4281, IMPORTRANGE(""https://docs.google.com/spreadsheets/d/1Lhp9OU0JdFf_VYSMzH5lBcEaU4o8teT1piV-SNzShjg/edit?gid=554141278#gid=554141278"", ""'Char Def. - Attributes'!C20:C2242""), 1,false)"),"COLOR_A_OPT")</f>
        <v>COLOR_A_OPT</v>
      </c>
      <c r="I4281" s="136"/>
    </row>
    <row r="4282" ht="15.75" customHeight="1">
      <c r="B4282" s="63">
        <f t="shared" si="1"/>
        <v>13</v>
      </c>
      <c r="C4282" s="146" t="s">
        <v>240</v>
      </c>
      <c r="D4282" s="147" t="s">
        <v>74</v>
      </c>
      <c r="E4282" s="135">
        <f t="shared" si="59"/>
        <v>4</v>
      </c>
      <c r="F4282" s="134" t="s">
        <v>3940</v>
      </c>
      <c r="G4282" s="63" t="str">
        <f>VLOOKUP(C4282, 'Class Def. - General Data'!$C$20:$C$1000,1,false)</f>
        <v>ZPM1_Isl_Tape</v>
      </c>
      <c r="H4282" s="63" t="str">
        <f>IFERROR(__xludf.DUMMYFUNCTION("VLOOKUP(F4282, IMPORTRANGE(""https://docs.google.com/spreadsheets/d/1Lhp9OU0JdFf_VYSMzH5lBcEaU4o8teT1piV-SNzShjg/edit?gid=554141278#gid=554141278"", ""'Char Def. - Attributes'!C20:C2242""), 1,false)"),"WIDTH_MM_2")</f>
        <v>WIDTH_MM_2</v>
      </c>
      <c r="I4282" s="136"/>
    </row>
    <row r="4283" ht="15.75" customHeight="1">
      <c r="B4283" s="63">
        <f t="shared" si="1"/>
        <v>13</v>
      </c>
      <c r="C4283" s="146" t="s">
        <v>240</v>
      </c>
      <c r="D4283" s="147" t="s">
        <v>74</v>
      </c>
      <c r="E4283" s="135">
        <f t="shared" si="59"/>
        <v>5</v>
      </c>
      <c r="F4283" s="134" t="s">
        <v>3941</v>
      </c>
      <c r="G4283" s="63" t="str">
        <f>VLOOKUP(C4283, 'Class Def. - General Data'!$C$20:$C$1000,1,false)</f>
        <v>ZPM1_Isl_Tape</v>
      </c>
      <c r="H4283" s="63" t="str">
        <f>IFERROR(__xludf.DUMMYFUNCTION("VLOOKUP(F4283, IMPORTRANGE(""https://docs.google.com/spreadsheets/d/1Lhp9OU0JdFf_VYSMzH5lBcEaU4o8teT1piV-SNzShjg/edit?gid=554141278#gid=554141278"", ""'Char Def. - Attributes'!C20:C2242""), 1,false)"),"LENGTH_M")</f>
        <v>LENGTH_M</v>
      </c>
      <c r="I4283" s="136"/>
    </row>
    <row r="4284" ht="15.75" customHeight="1">
      <c r="B4284" s="63">
        <f t="shared" si="1"/>
        <v>13</v>
      </c>
      <c r="C4284" s="146" t="s">
        <v>240</v>
      </c>
      <c r="D4284" s="147" t="s">
        <v>74</v>
      </c>
      <c r="E4284" s="135">
        <f t="shared" si="59"/>
        <v>6</v>
      </c>
      <c r="F4284" s="134" t="s">
        <v>3945</v>
      </c>
      <c r="G4284" s="63" t="str">
        <f>VLOOKUP(C4284, 'Class Def. - General Data'!$C$20:$C$1000,1,false)</f>
        <v>ZPM1_Isl_Tape</v>
      </c>
      <c r="H4284" s="63" t="str">
        <f>IFERROR(__xludf.DUMMYFUNCTION("VLOOKUP(F4284, IMPORTRANGE(""https://docs.google.com/spreadsheets/d/1Lhp9OU0JdFf_VYSMzH5lBcEaU4o8teT1piV-SNzShjg/edit?gid=554141278#gid=554141278"", ""'Char Def. - Attributes'!C20:C2242""), 1,false)"),"THICKNESS_MIC")</f>
        <v>THICKNESS_MIC</v>
      </c>
      <c r="I4284" s="136"/>
    </row>
    <row r="4285" ht="15.75" customHeight="1">
      <c r="B4285" s="63">
        <f t="shared" si="1"/>
        <v>13</v>
      </c>
      <c r="C4285" s="146" t="s">
        <v>240</v>
      </c>
      <c r="D4285" s="147" t="s">
        <v>74</v>
      </c>
      <c r="E4285" s="135">
        <f t="shared" si="59"/>
        <v>7</v>
      </c>
      <c r="F4285" s="134" t="s">
        <v>3925</v>
      </c>
      <c r="G4285" s="63" t="str">
        <f>VLOOKUP(C4285, 'Class Def. - General Data'!$C$20:$C$1000,1,false)</f>
        <v>ZPM1_Isl_Tape</v>
      </c>
      <c r="H4285" s="63" t="str">
        <f>IFERROR(__xludf.DUMMYFUNCTION("VLOOKUP(F4285, IMPORTRANGE(""https://docs.google.com/spreadsheets/d/1Lhp9OU0JdFf_VYSMzH5lBcEaU4o8teT1piV-SNzShjg/edit?gid=554141278#gid=554141278"", ""'Char Def. - Attributes'!C20:C2242""), 1,false)"),"PACK_CONTENT_AMOUNT_3_OPT")</f>
        <v>PACK_CONTENT_AMOUNT_3_OPT</v>
      </c>
      <c r="I4285" s="136"/>
    </row>
    <row r="4286" ht="15.75" customHeight="1">
      <c r="B4286" s="63">
        <f t="shared" si="1"/>
        <v>13</v>
      </c>
      <c r="C4286" s="146" t="s">
        <v>240</v>
      </c>
      <c r="D4286" s="147" t="s">
        <v>74</v>
      </c>
      <c r="E4286" s="135">
        <f t="shared" si="59"/>
        <v>8</v>
      </c>
      <c r="F4286" s="134" t="s">
        <v>3890</v>
      </c>
      <c r="G4286" s="63" t="str">
        <f>VLOOKUP(C4286, 'Class Def. - General Data'!$C$20:$C$1000,1,false)</f>
        <v>ZPM1_Isl_Tape</v>
      </c>
      <c r="H4286" s="63" t="str">
        <f>IFERROR(__xludf.DUMMYFUNCTION("VLOOKUP(F4286, IMPORTRANGE(""https://docs.google.com/spreadsheets/d/1Lhp9OU0JdFf_VYSMzH5lBcEaU4o8teT1piV-SNzShjg/edit?gid=554141278#gid=554141278"", ""'Char Def. - Attributes'!C20:C2242""), 1,false)"),"EXT_MAT_GRP")</f>
        <v>EXT_MAT_GRP</v>
      </c>
      <c r="I4286" s="136"/>
    </row>
    <row r="4287" ht="15.75" customHeight="1">
      <c r="B4287" s="63">
        <f t="shared" si="1"/>
        <v>13</v>
      </c>
      <c r="C4287" s="146" t="s">
        <v>240</v>
      </c>
      <c r="D4287" s="147" t="s">
        <v>74</v>
      </c>
      <c r="E4287" s="135">
        <f t="shared" si="59"/>
        <v>9</v>
      </c>
      <c r="F4287" s="134" t="s">
        <v>3891</v>
      </c>
      <c r="G4287" s="63" t="str">
        <f>VLOOKUP(C4287, 'Class Def. - General Data'!$C$20:$C$1000,1,false)</f>
        <v>ZPM1_Isl_Tape</v>
      </c>
      <c r="H4287" s="63" t="str">
        <f>IFERROR(__xludf.DUMMYFUNCTION("VLOOKUP(F4287, IMPORTRANGE(""https://docs.google.com/spreadsheets/d/1Lhp9OU0JdFf_VYSMzH5lBcEaU4o8teT1piV-SNzShjg/edit?gid=554141278#gid=554141278"", ""'Char Def. - Attributes'!C20:C2242""), 1,false)"),"GENERAL_SPEC")</f>
        <v>GENERAL_SPEC</v>
      </c>
      <c r="I4287" s="136"/>
    </row>
    <row r="4288" ht="15.75" customHeight="1">
      <c r="B4288" s="63">
        <f t="shared" si="1"/>
        <v>13</v>
      </c>
      <c r="C4288" s="146" t="s">
        <v>240</v>
      </c>
      <c r="D4288" s="147" t="s">
        <v>74</v>
      </c>
      <c r="E4288" s="135">
        <f t="shared" si="59"/>
        <v>10</v>
      </c>
      <c r="F4288" s="134" t="s">
        <v>3892</v>
      </c>
      <c r="G4288" s="63" t="str">
        <f>VLOOKUP(C4288, 'Class Def. - General Data'!$C$20:$C$1000,1,false)</f>
        <v>ZPM1_Isl_Tape</v>
      </c>
      <c r="H4288" s="63" t="str">
        <f>IFERROR(__xludf.DUMMYFUNCTION("VLOOKUP(F4288, IMPORTRANGE(""https://docs.google.com/spreadsheets/d/1Lhp9OU0JdFf_VYSMzH5lBcEaU4o8teT1piV-SNzShjg/edit?gid=554141278#gid=554141278"", ""'Char Def. - Attributes'!C20:C2242""), 1,false)"),"COLOR_COUNT")</f>
        <v>COLOR_COUNT</v>
      </c>
      <c r="I4288" s="136"/>
    </row>
    <row r="4289" ht="15.75" customHeight="1">
      <c r="B4289" s="63">
        <f t="shared" si="1"/>
        <v>13</v>
      </c>
      <c r="C4289" s="146" t="s">
        <v>240</v>
      </c>
      <c r="D4289" s="147" t="s">
        <v>74</v>
      </c>
      <c r="E4289" s="135">
        <f t="shared" si="59"/>
        <v>11</v>
      </c>
      <c r="F4289" s="134" t="s">
        <v>3893</v>
      </c>
      <c r="G4289" s="63" t="str">
        <f>VLOOKUP(C4289, 'Class Def. - General Data'!$C$20:$C$1000,1,false)</f>
        <v>ZPM1_Isl_Tape</v>
      </c>
      <c r="H4289" s="63" t="str">
        <f>IFERROR(__xludf.DUMMYFUNCTION("VLOOKUP(F4289, IMPORTRANGE(""https://docs.google.com/spreadsheets/d/1Lhp9OU0JdFf_VYSMzH5lBcEaU4o8teT1piV-SNzShjg/edit?gid=554141278#gid=554141278"", ""'Char Def. - Attributes'!C20:C2242""), 1,false)"),"FLEX_UOM")</f>
        <v>FLEX_UOM</v>
      </c>
      <c r="I4289" s="136"/>
    </row>
    <row r="4290" ht="15.75" customHeight="1">
      <c r="B4290" s="63">
        <f t="shared" si="1"/>
        <v>13</v>
      </c>
      <c r="C4290" s="146" t="s">
        <v>240</v>
      </c>
      <c r="D4290" s="147" t="s">
        <v>74</v>
      </c>
      <c r="E4290" s="135">
        <f t="shared" si="59"/>
        <v>12</v>
      </c>
      <c r="F4290" s="134" t="s">
        <v>3894</v>
      </c>
      <c r="G4290" s="63" t="str">
        <f>VLOOKUP(C4290, 'Class Def. - General Data'!$C$20:$C$1000,1,false)</f>
        <v>ZPM1_Isl_Tape</v>
      </c>
      <c r="H4290" s="63" t="str">
        <f>IFERROR(__xludf.DUMMYFUNCTION("VLOOKUP(F4290, IMPORTRANGE(""https://docs.google.com/spreadsheets/d/1Lhp9OU0JdFf_VYSMzH5lBcEaU4o8teT1piV-SNzShjg/edit?gid=554141278#gid=554141278"", ""'Char Def. - Attributes'!C20:C2242""), 1,false)"),"FLEX_COMPLEXITY")</f>
        <v>FLEX_COMPLEXITY</v>
      </c>
      <c r="I4290" s="136"/>
    </row>
    <row r="4291" ht="15.75" customHeight="1">
      <c r="B4291" s="63">
        <f t="shared" si="1"/>
        <v>13</v>
      </c>
      <c r="C4291" s="146" t="s">
        <v>240</v>
      </c>
      <c r="D4291" s="147" t="s">
        <v>74</v>
      </c>
      <c r="E4291" s="135">
        <f t="shared" si="59"/>
        <v>13</v>
      </c>
      <c r="F4291" s="134" t="s">
        <v>3587</v>
      </c>
      <c r="G4291" s="63" t="str">
        <f>VLOOKUP(C4291, 'Class Def. - General Data'!$C$20:$C$1000,1,false)</f>
        <v>ZPM1_Isl_Tape</v>
      </c>
      <c r="H4291" s="63" t="str">
        <f>IFERROR(__xludf.DUMMYFUNCTION("VLOOKUP(F4291, IMPORTRANGE(""https://docs.google.com/spreadsheets/d/1Lhp9OU0JdFf_VYSMzH5lBcEaU4o8teT1piV-SNzShjg/edit?gid=554141278#gid=554141278"", ""'Char Def. - Attributes'!C20:C2242""), 1,false)"),"PLANT_BUY")</f>
        <v>PLANT_BUY</v>
      </c>
      <c r="I4291" s="136"/>
    </row>
    <row r="4292" ht="15.75" customHeight="1">
      <c r="B4292" s="63">
        <f t="shared" si="1"/>
        <v>13</v>
      </c>
      <c r="C4292" s="146" t="s">
        <v>240</v>
      </c>
      <c r="D4292" s="147" t="s">
        <v>74</v>
      </c>
      <c r="E4292" s="135">
        <f t="shared" si="59"/>
        <v>14</v>
      </c>
      <c r="F4292" s="134" t="s">
        <v>3865</v>
      </c>
      <c r="G4292" s="63" t="str">
        <f>VLOOKUP(C4292, 'Class Def. - General Data'!$C$20:$C$1000,1,false)</f>
        <v>ZPM1_Isl_Tape</v>
      </c>
      <c r="H4292" s="63" t="str">
        <f>IFERROR(__xludf.DUMMYFUNCTION("VLOOKUP(F4292, IMPORTRANGE(""https://docs.google.com/spreadsheets/d/1Lhp9OU0JdFf_VYSMzH5lBcEaU4o8teT1piV-SNzShjg/edit?gid=554141278#gid=554141278"", ""'Char Def. - Attributes'!C20:C2242""), 1,false)"),"PLANT_PROD_OPT")</f>
        <v>PLANT_PROD_OPT</v>
      </c>
      <c r="I4292" s="136"/>
    </row>
    <row r="4293" ht="15.75" customHeight="1">
      <c r="B4293" s="63">
        <f t="shared" si="1"/>
        <v>13</v>
      </c>
      <c r="C4293" s="146" t="s">
        <v>240</v>
      </c>
      <c r="D4293" s="147" t="s">
        <v>74</v>
      </c>
      <c r="E4293" s="135">
        <f t="shared" si="59"/>
        <v>15</v>
      </c>
      <c r="F4293" s="134" t="s">
        <v>3866</v>
      </c>
      <c r="G4293" s="63" t="str">
        <f>VLOOKUP(C4293, 'Class Def. - General Data'!$C$20:$C$1000,1,false)</f>
        <v>ZPM1_Isl_Tape</v>
      </c>
      <c r="H4293" s="63" t="str">
        <f>IFERROR(__xludf.DUMMYFUNCTION("VLOOKUP(F4293, IMPORTRANGE(""https://docs.google.com/spreadsheets/d/1Lhp9OU0JdFf_VYSMzH5lBcEaU4o8teT1piV-SNzShjg/edit?gid=554141278#gid=554141278"", ""'Char Def. - Attributes'!C20:C2242""), 1,false)"),"PM_SUPPLY_JKT")</f>
        <v>PM_SUPPLY_JKT</v>
      </c>
      <c r="I4293" s="136"/>
    </row>
    <row r="4294" ht="15.75" customHeight="1">
      <c r="B4294" s="63">
        <f t="shared" si="1"/>
        <v>13</v>
      </c>
      <c r="C4294" s="146" t="s">
        <v>240</v>
      </c>
      <c r="D4294" s="147" t="s">
        <v>74</v>
      </c>
      <c r="E4294" s="135">
        <f t="shared" si="59"/>
        <v>16</v>
      </c>
      <c r="F4294" s="134" t="s">
        <v>3867</v>
      </c>
      <c r="G4294" s="63" t="str">
        <f>VLOOKUP(C4294, 'Class Def. - General Data'!$C$20:$C$1000,1,false)</f>
        <v>ZPM1_Isl_Tape</v>
      </c>
      <c r="H4294" s="63" t="str">
        <f>IFERROR(__xludf.DUMMYFUNCTION("VLOOKUP(F4294, IMPORTRANGE(""https://docs.google.com/spreadsheets/d/1Lhp9OU0JdFf_VYSMzH5lBcEaU4o8teT1piV-SNzShjg/edit?gid=554141278#gid=554141278"", ""'Char Def. - Attributes'!C20:C2242""), 1,false)"),"PM_SUPPLY_SBY")</f>
        <v>PM_SUPPLY_SBY</v>
      </c>
      <c r="I4294" s="136"/>
    </row>
    <row r="4295" ht="15.75" customHeight="1">
      <c r="B4295" s="63">
        <f t="shared" si="1"/>
        <v>13</v>
      </c>
      <c r="C4295" s="146" t="s">
        <v>240</v>
      </c>
      <c r="D4295" s="147" t="s">
        <v>74</v>
      </c>
      <c r="E4295" s="135">
        <f t="shared" si="59"/>
        <v>17</v>
      </c>
      <c r="F4295" s="134" t="s">
        <v>3868</v>
      </c>
      <c r="G4295" s="63" t="str">
        <f>VLOOKUP(C4295, 'Class Def. - General Data'!$C$20:$C$1000,1,false)</f>
        <v>ZPM1_Isl_Tape</v>
      </c>
      <c r="H4295" s="63" t="str">
        <f>IFERROR(__xludf.DUMMYFUNCTION("VLOOKUP(F4295, IMPORTRANGE(""https://docs.google.com/spreadsheets/d/1Lhp9OU0JdFf_VYSMzH5lBcEaU4o8teT1piV-SNzShjg/edit?gid=554141278#gid=554141278"", ""'Char Def. - Attributes'!C20:C2242""), 1,false)"),"BASIC_UOM_RMPM")</f>
        <v>BASIC_UOM_RMPM</v>
      </c>
      <c r="I4295" s="136"/>
    </row>
    <row r="4296" ht="15.75" customHeight="1">
      <c r="B4296" s="63">
        <f t="shared" si="1"/>
        <v>13</v>
      </c>
      <c r="C4296" s="146" t="s">
        <v>240</v>
      </c>
      <c r="D4296" s="147" t="s">
        <v>74</v>
      </c>
      <c r="E4296" s="135">
        <f t="shared" si="59"/>
        <v>18</v>
      </c>
      <c r="F4296" s="134" t="s">
        <v>3869</v>
      </c>
      <c r="G4296" s="63" t="str">
        <f>VLOOKUP(C4296, 'Class Def. - General Data'!$C$20:$C$1000,1,false)</f>
        <v>ZPM1_Isl_Tape</v>
      </c>
      <c r="H4296" s="63" t="str">
        <f>IFERROR(__xludf.DUMMYFUNCTION("VLOOKUP(F4296, IMPORTRANGE(""https://docs.google.com/spreadsheets/d/1Lhp9OU0JdFf_VYSMzH5lBcEaU4o8teT1piV-SNzShjg/edit?gid=554141278#gid=554141278"", ""'Char Def. - Attributes'!C20:C2242""), 1,false)"),"ALT_UOM1_RMPM")</f>
        <v>ALT_UOM1_RMPM</v>
      </c>
      <c r="I4296" s="136"/>
    </row>
    <row r="4297" ht="15.75" customHeight="1">
      <c r="B4297" s="63">
        <f t="shared" si="1"/>
        <v>13</v>
      </c>
      <c r="C4297" s="146" t="s">
        <v>240</v>
      </c>
      <c r="D4297" s="147" t="s">
        <v>74</v>
      </c>
      <c r="E4297" s="135">
        <f t="shared" si="59"/>
        <v>19</v>
      </c>
      <c r="F4297" s="134" t="s">
        <v>3805</v>
      </c>
      <c r="G4297" s="63" t="str">
        <f>VLOOKUP(C4297, 'Class Def. - General Data'!$C$20:$C$1000,1,false)</f>
        <v>ZPM1_Isl_Tape</v>
      </c>
      <c r="H4297" s="63" t="str">
        <f>IFERROR(__xludf.DUMMYFUNCTION("VLOOKUP(F4297, IMPORTRANGE(""https://docs.google.com/spreadsheets/d/1Lhp9OU0JdFf_VYSMzH5lBcEaU4o8teT1piV-SNzShjg/edit?gid=554141278#gid=554141278"", ""'Char Def. - Attributes'!C20:C2242""), 1,false)"),"ALT_DENUM_UOM1")</f>
        <v>ALT_DENUM_UOM1</v>
      </c>
      <c r="I4297" s="136"/>
    </row>
    <row r="4298" ht="15.75" customHeight="1">
      <c r="B4298" s="63">
        <f t="shared" si="1"/>
        <v>13</v>
      </c>
      <c r="C4298" s="146" t="s">
        <v>240</v>
      </c>
      <c r="D4298" s="147" t="s">
        <v>74</v>
      </c>
      <c r="E4298" s="135">
        <f t="shared" si="59"/>
        <v>20</v>
      </c>
      <c r="F4298" s="134" t="s">
        <v>3806</v>
      </c>
      <c r="G4298" s="63" t="str">
        <f>VLOOKUP(C4298, 'Class Def. - General Data'!$C$20:$C$1000,1,false)</f>
        <v>ZPM1_Isl_Tape</v>
      </c>
      <c r="H4298" s="63" t="str">
        <f>IFERROR(__xludf.DUMMYFUNCTION("VLOOKUP(F4298, IMPORTRANGE(""https://docs.google.com/spreadsheets/d/1Lhp9OU0JdFf_VYSMzH5lBcEaU4o8teT1piV-SNzShjg/edit?gid=554141278#gid=554141278"", ""'Char Def. - Attributes'!C20:C2242""), 1,false)"),"ALT_NUM_UOM1")</f>
        <v>ALT_NUM_UOM1</v>
      </c>
      <c r="I4298" s="136"/>
    </row>
    <row r="4299" ht="15.75" customHeight="1">
      <c r="B4299" s="63">
        <f t="shared" si="1"/>
        <v>13</v>
      </c>
      <c r="C4299" s="146" t="s">
        <v>240</v>
      </c>
      <c r="D4299" s="147" t="s">
        <v>74</v>
      </c>
      <c r="E4299" s="135">
        <f t="shared" si="59"/>
        <v>21</v>
      </c>
      <c r="F4299" s="134" t="s">
        <v>3870</v>
      </c>
      <c r="G4299" s="63" t="str">
        <f>VLOOKUP(C4299, 'Class Def. - General Data'!$C$20:$C$1000,1,false)</f>
        <v>ZPM1_Isl_Tape</v>
      </c>
      <c r="H4299" s="63" t="str">
        <f>IFERROR(__xludf.DUMMYFUNCTION("VLOOKUP(F4299, IMPORTRANGE(""https://docs.google.com/spreadsheets/d/1Lhp9OU0JdFf_VYSMzH5lBcEaU4o8teT1piV-SNzShjg/edit?gid=554141278#gid=554141278"", ""'Char Def. - Attributes'!C20:C2242""), 1,false)"),"ALT_UOM2_RMPM")</f>
        <v>ALT_UOM2_RMPM</v>
      </c>
      <c r="I4299" s="136"/>
    </row>
    <row r="4300" ht="15.75" customHeight="1">
      <c r="B4300" s="63">
        <f t="shared" si="1"/>
        <v>13</v>
      </c>
      <c r="C4300" s="146" t="s">
        <v>240</v>
      </c>
      <c r="D4300" s="147" t="s">
        <v>74</v>
      </c>
      <c r="E4300" s="135">
        <f t="shared" si="59"/>
        <v>22</v>
      </c>
      <c r="F4300" s="134" t="s">
        <v>3808</v>
      </c>
      <c r="G4300" s="63" t="str">
        <f>VLOOKUP(C4300, 'Class Def. - General Data'!$C$20:$C$1000,1,false)</f>
        <v>ZPM1_Isl_Tape</v>
      </c>
      <c r="H4300" s="63" t="str">
        <f>IFERROR(__xludf.DUMMYFUNCTION("VLOOKUP(F4300, IMPORTRANGE(""https://docs.google.com/spreadsheets/d/1Lhp9OU0JdFf_VYSMzH5lBcEaU4o8teT1piV-SNzShjg/edit?gid=554141278#gid=554141278"", ""'Char Def. - Attributes'!C20:C2242""), 1,false)"),"ALT_DENUM_UOM2")</f>
        <v>ALT_DENUM_UOM2</v>
      </c>
      <c r="I4300" s="136"/>
    </row>
    <row r="4301" ht="15.75" customHeight="1">
      <c r="B4301" s="63">
        <f t="shared" si="1"/>
        <v>13</v>
      </c>
      <c r="C4301" s="146" t="s">
        <v>240</v>
      </c>
      <c r="D4301" s="147" t="s">
        <v>74</v>
      </c>
      <c r="E4301" s="135">
        <f t="shared" si="59"/>
        <v>23</v>
      </c>
      <c r="F4301" s="134" t="s">
        <v>3809</v>
      </c>
      <c r="G4301" s="63" t="str">
        <f>VLOOKUP(C4301, 'Class Def. - General Data'!$C$20:$C$1000,1,false)</f>
        <v>ZPM1_Isl_Tape</v>
      </c>
      <c r="H4301" s="63" t="str">
        <f>IFERROR(__xludf.DUMMYFUNCTION("VLOOKUP(F4301, IMPORTRANGE(""https://docs.google.com/spreadsheets/d/1Lhp9OU0JdFf_VYSMzH5lBcEaU4o8teT1piV-SNzShjg/edit?gid=554141278#gid=554141278"", ""'Char Def. - Attributes'!C20:C2242""), 1,false)"),"ALT_NUM_UOM2")</f>
        <v>ALT_NUM_UOM2</v>
      </c>
      <c r="I4301" s="136"/>
    </row>
    <row r="4302" ht="15.75" customHeight="1">
      <c r="B4302" s="63">
        <f t="shared" si="1"/>
        <v>13</v>
      </c>
      <c r="C4302" s="146" t="s">
        <v>240</v>
      </c>
      <c r="D4302" s="147" t="s">
        <v>74</v>
      </c>
      <c r="E4302" s="135">
        <f t="shared" si="59"/>
        <v>24</v>
      </c>
      <c r="F4302" s="134" t="s">
        <v>3871</v>
      </c>
      <c r="G4302" s="63" t="str">
        <f>VLOOKUP(C4302, 'Class Def. - General Data'!$C$20:$C$1000,1,false)</f>
        <v>ZPM1_Isl_Tape</v>
      </c>
      <c r="H4302" s="63" t="str">
        <f>IFERROR(__xludf.DUMMYFUNCTION("VLOOKUP(F4302, IMPORTRANGE(""https://docs.google.com/spreadsheets/d/1Lhp9OU0JdFf_VYSMzH5lBcEaU4o8teT1piV-SNzShjg/edit?gid=554141278#gid=554141278"", ""'Char Def. - Attributes'!C20:C2242""), 1,false)"),"ALT_UOM3_RMPM")</f>
        <v>ALT_UOM3_RMPM</v>
      </c>
      <c r="I4302" s="136"/>
    </row>
    <row r="4303" ht="15.75" customHeight="1">
      <c r="B4303" s="63">
        <f t="shared" si="1"/>
        <v>13</v>
      </c>
      <c r="C4303" s="146" t="s">
        <v>240</v>
      </c>
      <c r="D4303" s="147" t="s">
        <v>74</v>
      </c>
      <c r="E4303" s="135">
        <f t="shared" si="59"/>
        <v>25</v>
      </c>
      <c r="F4303" s="134" t="s">
        <v>3811</v>
      </c>
      <c r="G4303" s="63" t="str">
        <f>VLOOKUP(C4303, 'Class Def. - General Data'!$C$20:$C$1000,1,false)</f>
        <v>ZPM1_Isl_Tape</v>
      </c>
      <c r="H4303" s="63" t="str">
        <f>IFERROR(__xludf.DUMMYFUNCTION("VLOOKUP(F4303, IMPORTRANGE(""https://docs.google.com/spreadsheets/d/1Lhp9OU0JdFf_VYSMzH5lBcEaU4o8teT1piV-SNzShjg/edit?gid=554141278#gid=554141278"", ""'Char Def. - Attributes'!C20:C2242""), 1,false)"),"ALT_DENUM_UOM3")</f>
        <v>ALT_DENUM_UOM3</v>
      </c>
      <c r="I4303" s="136"/>
    </row>
    <row r="4304" ht="15.75" customHeight="1">
      <c r="B4304" s="63">
        <f t="shared" si="1"/>
        <v>13</v>
      </c>
      <c r="C4304" s="146" t="s">
        <v>240</v>
      </c>
      <c r="D4304" s="147" t="s">
        <v>74</v>
      </c>
      <c r="E4304" s="135">
        <f t="shared" si="59"/>
        <v>26</v>
      </c>
      <c r="F4304" s="134" t="s">
        <v>3812</v>
      </c>
      <c r="G4304" s="63" t="str">
        <f>VLOOKUP(C4304, 'Class Def. - General Data'!$C$20:$C$1000,1,false)</f>
        <v>ZPM1_Isl_Tape</v>
      </c>
      <c r="H4304" s="63" t="str">
        <f>IFERROR(__xludf.DUMMYFUNCTION("VLOOKUP(F4304, IMPORTRANGE(""https://docs.google.com/spreadsheets/d/1Lhp9OU0JdFf_VYSMzH5lBcEaU4o8teT1piV-SNzShjg/edit?gid=554141278#gid=554141278"", ""'Char Def. - Attributes'!C20:C2242""), 1,false)"),"ALT_NUM_UOM3")</f>
        <v>ALT_NUM_UOM3</v>
      </c>
      <c r="I4304" s="136"/>
    </row>
    <row r="4305" ht="15.75" customHeight="1">
      <c r="B4305" s="63">
        <f t="shared" si="1"/>
        <v>13</v>
      </c>
      <c r="C4305" s="146" t="s">
        <v>240</v>
      </c>
      <c r="D4305" s="147" t="s">
        <v>74</v>
      </c>
      <c r="E4305" s="135">
        <f t="shared" si="59"/>
        <v>27</v>
      </c>
      <c r="F4305" s="134" t="s">
        <v>3872</v>
      </c>
      <c r="G4305" s="63" t="str">
        <f>VLOOKUP(C4305, 'Class Def. - General Data'!$C$20:$C$1000,1,false)</f>
        <v>ZPM1_Isl_Tape</v>
      </c>
      <c r="H4305" s="63" t="str">
        <f>IFERROR(__xludf.DUMMYFUNCTION("VLOOKUP(F4305, IMPORTRANGE(""https://docs.google.com/spreadsheets/d/1Lhp9OU0JdFf_VYSMzH5lBcEaU4o8teT1piV-SNzShjg/edit?gid=554141278#gid=554141278"", ""'Char Def. - Attributes'!C20:C2242""), 1,false)"),"ALT_UOM4_RMPM")</f>
        <v>ALT_UOM4_RMPM</v>
      </c>
      <c r="I4305" s="136"/>
    </row>
    <row r="4306" ht="15.75" customHeight="1">
      <c r="B4306" s="63">
        <f t="shared" si="1"/>
        <v>13</v>
      </c>
      <c r="C4306" s="146" t="s">
        <v>240</v>
      </c>
      <c r="D4306" s="147" t="s">
        <v>74</v>
      </c>
      <c r="E4306" s="135">
        <f t="shared" si="59"/>
        <v>28</v>
      </c>
      <c r="F4306" s="134" t="s">
        <v>3814</v>
      </c>
      <c r="G4306" s="63" t="str">
        <f>VLOOKUP(C4306, 'Class Def. - General Data'!$C$20:$C$1000,1,false)</f>
        <v>ZPM1_Isl_Tape</v>
      </c>
      <c r="H4306" s="63" t="str">
        <f>IFERROR(__xludf.DUMMYFUNCTION("VLOOKUP(F4306, IMPORTRANGE(""https://docs.google.com/spreadsheets/d/1Lhp9OU0JdFf_VYSMzH5lBcEaU4o8teT1piV-SNzShjg/edit?gid=554141278#gid=554141278"", ""'Char Def. - Attributes'!C20:C2242""), 1,false)"),"ALT_DENUM_UOM4")</f>
        <v>ALT_DENUM_UOM4</v>
      </c>
      <c r="I4306" s="136"/>
    </row>
    <row r="4307" ht="15.75" customHeight="1">
      <c r="B4307" s="63">
        <f t="shared" si="1"/>
        <v>13</v>
      </c>
      <c r="C4307" s="146" t="s">
        <v>240</v>
      </c>
      <c r="D4307" s="147" t="s">
        <v>74</v>
      </c>
      <c r="E4307" s="135">
        <f t="shared" si="59"/>
        <v>29</v>
      </c>
      <c r="F4307" s="134" t="s">
        <v>3815</v>
      </c>
      <c r="G4307" s="63" t="str">
        <f>VLOOKUP(C4307, 'Class Def. - General Data'!$C$20:$C$1000,1,false)</f>
        <v>ZPM1_Isl_Tape</v>
      </c>
      <c r="H4307" s="63" t="str">
        <f>IFERROR(__xludf.DUMMYFUNCTION("VLOOKUP(F4307, IMPORTRANGE(""https://docs.google.com/spreadsheets/d/1Lhp9OU0JdFf_VYSMzH5lBcEaU4o8teT1piV-SNzShjg/edit?gid=554141278#gid=554141278"", ""'Char Def. - Attributes'!C20:C2242""), 1,false)"),"ALT_NUM_UOM4")</f>
        <v>ALT_NUM_UOM4</v>
      </c>
      <c r="I4307" s="136"/>
    </row>
    <row r="4308" ht="15.75" customHeight="1">
      <c r="B4308" s="63">
        <f t="shared" si="1"/>
        <v>13</v>
      </c>
      <c r="C4308" s="146" t="s">
        <v>240</v>
      </c>
      <c r="D4308" s="147" t="s">
        <v>74</v>
      </c>
      <c r="E4308" s="135">
        <f t="shared" si="59"/>
        <v>30</v>
      </c>
      <c r="F4308" s="134" t="s">
        <v>3873</v>
      </c>
      <c r="G4308" s="63" t="str">
        <f>VLOOKUP(C4308, 'Class Def. - General Data'!$C$20:$C$1000,1,false)</f>
        <v>ZPM1_Isl_Tape</v>
      </c>
      <c r="H4308" s="63" t="str">
        <f>IFERROR(__xludf.DUMMYFUNCTION("VLOOKUP(F4308, IMPORTRANGE(""https://docs.google.com/spreadsheets/d/1Lhp9OU0JdFf_VYSMzH5lBcEaU4o8teT1piV-SNzShjg/edit?gid=554141278#gid=554141278"", ""'Char Def. - Attributes'!C20:C2242""), 1,false)"),"ALT_UOM5_RMPM")</f>
        <v>ALT_UOM5_RMPM</v>
      </c>
      <c r="I4308" s="136"/>
    </row>
    <row r="4309" ht="15.75" customHeight="1">
      <c r="B4309" s="63">
        <f t="shared" si="1"/>
        <v>13</v>
      </c>
      <c r="C4309" s="146" t="s">
        <v>240</v>
      </c>
      <c r="D4309" s="147" t="s">
        <v>74</v>
      </c>
      <c r="E4309" s="135">
        <f t="shared" si="59"/>
        <v>31</v>
      </c>
      <c r="F4309" s="134" t="s">
        <v>3817</v>
      </c>
      <c r="G4309" s="63" t="str">
        <f>VLOOKUP(C4309, 'Class Def. - General Data'!$C$20:$C$1000,1,false)</f>
        <v>ZPM1_Isl_Tape</v>
      </c>
      <c r="H4309" s="63" t="str">
        <f>IFERROR(__xludf.DUMMYFUNCTION("VLOOKUP(F4309, IMPORTRANGE(""https://docs.google.com/spreadsheets/d/1Lhp9OU0JdFf_VYSMzH5lBcEaU4o8teT1piV-SNzShjg/edit?gid=554141278#gid=554141278"", ""'Char Def. - Attributes'!C20:C2242""), 1,false)"),"ALT_DENUM_UOM5")</f>
        <v>ALT_DENUM_UOM5</v>
      </c>
      <c r="I4309" s="136"/>
    </row>
    <row r="4310" ht="15.75" customHeight="1">
      <c r="B4310" s="63">
        <f t="shared" si="1"/>
        <v>13</v>
      </c>
      <c r="C4310" s="146" t="s">
        <v>240</v>
      </c>
      <c r="D4310" s="147" t="s">
        <v>74</v>
      </c>
      <c r="E4310" s="135">
        <f t="shared" si="59"/>
        <v>32</v>
      </c>
      <c r="F4310" s="134" t="s">
        <v>3818</v>
      </c>
      <c r="G4310" s="63" t="str">
        <f>VLOOKUP(C4310, 'Class Def. - General Data'!$C$20:$C$1000,1,false)</f>
        <v>ZPM1_Isl_Tape</v>
      </c>
      <c r="H4310" s="63" t="str">
        <f>IFERROR(__xludf.DUMMYFUNCTION("VLOOKUP(F4310, IMPORTRANGE(""https://docs.google.com/spreadsheets/d/1Lhp9OU0JdFf_VYSMzH5lBcEaU4o8teT1piV-SNzShjg/edit?gid=554141278#gid=554141278"", ""'Char Def. - Attributes'!C20:C2242""), 1,false)"),"ALT_NUM_UOM5")</f>
        <v>ALT_NUM_UOM5</v>
      </c>
      <c r="I4310" s="136"/>
    </row>
    <row r="4311" ht="15.75" customHeight="1">
      <c r="B4311" s="63">
        <f t="shared" si="1"/>
        <v>13</v>
      </c>
      <c r="C4311" s="146" t="s">
        <v>240</v>
      </c>
      <c r="D4311" s="147" t="s">
        <v>74</v>
      </c>
      <c r="E4311" s="135">
        <f t="shared" si="59"/>
        <v>33</v>
      </c>
      <c r="F4311" s="134" t="s">
        <v>3874</v>
      </c>
      <c r="G4311" s="63" t="str">
        <f>VLOOKUP(C4311, 'Class Def. - General Data'!$C$20:$C$1000,1,false)</f>
        <v>ZPM1_Isl_Tape</v>
      </c>
      <c r="H4311" s="63" t="str">
        <f>IFERROR(__xludf.DUMMYFUNCTION("VLOOKUP(F4311, IMPORTRANGE(""https://docs.google.com/spreadsheets/d/1Lhp9OU0JdFf_VYSMzH5lBcEaU4o8teT1piV-SNzShjg/edit?gid=554141278#gid=554141278"", ""'Char Def. - Attributes'!C20:C2242""), 1,false)"),"VALUATION_CATEGORY")</f>
        <v>VALUATION_CATEGORY</v>
      </c>
      <c r="I4311" s="136"/>
    </row>
    <row r="4312" ht="15.75" customHeight="1">
      <c r="B4312" s="63">
        <f t="shared" si="1"/>
        <v>13</v>
      </c>
      <c r="C4312" s="146" t="s">
        <v>240</v>
      </c>
      <c r="D4312" s="147" t="s">
        <v>74</v>
      </c>
      <c r="E4312" s="135">
        <f t="shared" si="59"/>
        <v>34</v>
      </c>
      <c r="F4312" s="134" t="s">
        <v>3800</v>
      </c>
      <c r="G4312" s="63" t="str">
        <f>VLOOKUP(C4312, 'Class Def. - General Data'!$C$20:$C$1000,1,false)</f>
        <v>ZPM1_Isl_Tape</v>
      </c>
      <c r="H4312" s="63" t="str">
        <f>IFERROR(__xludf.DUMMYFUNCTION("VLOOKUP(F4312, IMPORTRANGE(""https://docs.google.com/spreadsheets/d/1Lhp9OU0JdFf_VYSMzH5lBcEaU4o8teT1piV-SNzShjg/edit?gid=554141278#gid=554141278"", ""'Char Def. - Attributes'!C20:C2242""), 1,false)"),"ORDER_UNIT_DIFF_FROM_BASIC_UOM")</f>
        <v>ORDER_UNIT_DIFF_FROM_BASIC_UOM</v>
      </c>
      <c r="I4312" s="136"/>
    </row>
    <row r="4313" ht="15.75" customHeight="1">
      <c r="B4313" s="63">
        <f t="shared" si="1"/>
        <v>13</v>
      </c>
      <c r="C4313" s="146" t="s">
        <v>240</v>
      </c>
      <c r="D4313" s="147" t="s">
        <v>74</v>
      </c>
      <c r="E4313" s="135">
        <f t="shared" si="59"/>
        <v>35</v>
      </c>
      <c r="F4313" s="134" t="s">
        <v>3875</v>
      </c>
      <c r="G4313" s="63" t="str">
        <f>VLOOKUP(C4313, 'Class Def. - General Data'!$C$20:$C$1000,1,false)</f>
        <v>ZPM1_Isl_Tape</v>
      </c>
      <c r="H4313" s="63" t="str">
        <f>IFERROR(__xludf.DUMMYFUNCTION("VLOOKUP(F4313, IMPORTRANGE(""https://docs.google.com/spreadsheets/d/1Lhp9OU0JdFf_VYSMzH5lBcEaU4o8teT1piV-SNzShjg/edit?gid=554141278#gid=554141278"", ""'Char Def. - Attributes'!C20:C2242""), 1,false)"),"ORDER_UNIT_RMPM")</f>
        <v>ORDER_UNIT_RMPM</v>
      </c>
      <c r="I4313" s="136"/>
    </row>
    <row r="4314" ht="15.75" customHeight="1">
      <c r="B4314" s="63">
        <f t="shared" si="1"/>
        <v>13</v>
      </c>
      <c r="C4314" s="146" t="s">
        <v>240</v>
      </c>
      <c r="D4314" s="147" t="s">
        <v>74</v>
      </c>
      <c r="E4314" s="135">
        <f t="shared" si="59"/>
        <v>36</v>
      </c>
      <c r="F4314" s="134" t="s">
        <v>3602</v>
      </c>
      <c r="G4314" s="63" t="str">
        <f>VLOOKUP(C4314, 'Class Def. - General Data'!$C$20:$C$1000,1,false)</f>
        <v>ZPM1_Isl_Tape</v>
      </c>
      <c r="H4314" s="63" t="str">
        <f>IFERROR(__xludf.DUMMYFUNCTION("VLOOKUP(F4314, IMPORTRANGE(""https://docs.google.com/spreadsheets/d/1Lhp9OU0JdFf_VYSMzH5lBcEaU4o8teT1piV-SNzShjg/edit?gid=554141278#gid=554141278"", ""'Char Def. - Attributes'!C20:C2242""), 1,false)"),"NET_WEIGHT")</f>
        <v>NET_WEIGHT</v>
      </c>
      <c r="I4314" s="136"/>
    </row>
    <row r="4315" ht="15.75" customHeight="1">
      <c r="B4315" s="63">
        <f t="shared" si="1"/>
        <v>13</v>
      </c>
      <c r="C4315" s="146" t="s">
        <v>240</v>
      </c>
      <c r="D4315" s="147" t="s">
        <v>74</v>
      </c>
      <c r="E4315" s="135">
        <f t="shared" si="59"/>
        <v>37</v>
      </c>
      <c r="F4315" s="134" t="s">
        <v>3601</v>
      </c>
      <c r="G4315" s="63" t="str">
        <f>VLOOKUP(C4315, 'Class Def. - General Data'!$C$20:$C$1000,1,false)</f>
        <v>ZPM1_Isl_Tape</v>
      </c>
      <c r="H4315" s="63" t="str">
        <f>IFERROR(__xludf.DUMMYFUNCTION("VLOOKUP(F4315, IMPORTRANGE(""https://docs.google.com/spreadsheets/d/1Lhp9OU0JdFf_VYSMzH5lBcEaU4o8teT1piV-SNzShjg/edit?gid=554141278#gid=554141278"", ""'Char Def. - Attributes'!C20:C2242""), 1,false)"),"GROSS_WEIGHT")</f>
        <v>GROSS_WEIGHT</v>
      </c>
      <c r="I4315" s="136"/>
    </row>
    <row r="4316" ht="15.75" customHeight="1">
      <c r="B4316" s="63">
        <f t="shared" si="1"/>
        <v>13</v>
      </c>
      <c r="C4316" s="146" t="s">
        <v>240</v>
      </c>
      <c r="D4316" s="147" t="s">
        <v>74</v>
      </c>
      <c r="E4316" s="135">
        <f t="shared" si="59"/>
        <v>38</v>
      </c>
      <c r="F4316" s="134" t="s">
        <v>3876</v>
      </c>
      <c r="G4316" s="63" t="str">
        <f>VLOOKUP(C4316, 'Class Def. - General Data'!$C$20:$C$1000,1,false)</f>
        <v>ZPM1_Isl_Tape</v>
      </c>
      <c r="H4316" s="63" t="str">
        <f>IFERROR(__xludf.DUMMYFUNCTION("VLOOKUP(F4316, IMPORTRANGE(""https://docs.google.com/spreadsheets/d/1Lhp9OU0JdFf_VYSMzH5lBcEaU4o8teT1piV-SNzShjg/edit?gid=554141278#gid=554141278"", ""'Char Def. - Attributes'!C20:C2242""), 1,false)"),"WEIGHT_UNIT_PM")</f>
        <v>WEIGHT_UNIT_PM</v>
      </c>
      <c r="I4316" s="136"/>
    </row>
    <row r="4317" ht="15.75" customHeight="1">
      <c r="B4317" s="63">
        <f t="shared" si="1"/>
        <v>13</v>
      </c>
      <c r="C4317" s="146" t="s">
        <v>240</v>
      </c>
      <c r="D4317" s="147" t="s">
        <v>74</v>
      </c>
      <c r="E4317" s="135">
        <f t="shared" si="59"/>
        <v>39</v>
      </c>
      <c r="F4317" s="134" t="s">
        <v>3877</v>
      </c>
      <c r="G4317" s="63" t="str">
        <f>VLOOKUP(C4317, 'Class Def. - General Data'!$C$20:$C$1000,1,false)</f>
        <v>ZPM1_Isl_Tape</v>
      </c>
      <c r="H4317" s="63" t="str">
        <f>IFERROR(__xludf.DUMMYFUNCTION("VLOOKUP(F4317, IMPORTRANGE(""https://docs.google.com/spreadsheets/d/1Lhp9OU0JdFf_VYSMzH5lBcEaU4o8teT1piV-SNzShjg/edit?gid=554141278#gid=554141278"", ""'Char Def. - Attributes'!C20:C2242""), 1,false)"),"VOLUME_OPT")</f>
        <v>VOLUME_OPT</v>
      </c>
      <c r="I4317" s="136"/>
    </row>
    <row r="4318" ht="15.75" customHeight="1">
      <c r="B4318" s="63">
        <f t="shared" si="1"/>
        <v>13</v>
      </c>
      <c r="C4318" s="146" t="s">
        <v>240</v>
      </c>
      <c r="D4318" s="147" t="s">
        <v>74</v>
      </c>
      <c r="E4318" s="135">
        <f t="shared" si="59"/>
        <v>40</v>
      </c>
      <c r="F4318" s="134" t="s">
        <v>3878</v>
      </c>
      <c r="G4318" s="63" t="str">
        <f>VLOOKUP(C4318, 'Class Def. - General Data'!$C$20:$C$1000,1,false)</f>
        <v>ZPM1_Isl_Tape</v>
      </c>
      <c r="H4318" s="63" t="str">
        <f>IFERROR(__xludf.DUMMYFUNCTION("VLOOKUP(F4318, IMPORTRANGE(""https://docs.google.com/spreadsheets/d/1Lhp9OU0JdFf_VYSMzH5lBcEaU4o8teT1piV-SNzShjg/edit?gid=554141278#gid=554141278"", ""'Char Def. - Attributes'!C20:C2242""), 1,false)"),"VOLUME_UNIT")</f>
        <v>VOLUME_UNIT</v>
      </c>
      <c r="I4318" s="136"/>
    </row>
    <row r="4319" ht="15.75" customHeight="1">
      <c r="B4319" s="63">
        <f t="shared" si="1"/>
        <v>13</v>
      </c>
      <c r="C4319" s="146" t="s">
        <v>240</v>
      </c>
      <c r="D4319" s="147" t="s">
        <v>74</v>
      </c>
      <c r="E4319" s="135">
        <f t="shared" si="59"/>
        <v>41</v>
      </c>
      <c r="F4319" s="134" t="s">
        <v>3879</v>
      </c>
      <c r="G4319" s="63" t="str">
        <f>VLOOKUP(C4319, 'Class Def. - General Data'!$C$20:$C$1000,1,false)</f>
        <v>ZPM1_Isl_Tape</v>
      </c>
      <c r="H4319" s="63" t="str">
        <f>IFERROR(__xludf.DUMMYFUNCTION("VLOOKUP(F4319, IMPORTRANGE(""https://docs.google.com/spreadsheets/d/1Lhp9OU0JdFf_VYSMzH5lBcEaU4o8teT1piV-SNzShjg/edit?gid=554141278#gid=554141278"", ""'Char Def. - Attributes'!C20:C2242""), 1,false)"),"OLD_MAT_NO_RMPM")</f>
        <v>OLD_MAT_NO_RMPM</v>
      </c>
      <c r="I4319" s="136"/>
    </row>
    <row r="4320" ht="15.75" customHeight="1">
      <c r="B4320" s="63">
        <f t="shared" si="1"/>
        <v>13</v>
      </c>
      <c r="C4320" s="146" t="s">
        <v>240</v>
      </c>
      <c r="D4320" s="147" t="s">
        <v>74</v>
      </c>
      <c r="E4320" s="135">
        <f t="shared" si="59"/>
        <v>42</v>
      </c>
      <c r="F4320" s="134" t="s">
        <v>3880</v>
      </c>
      <c r="G4320" s="63" t="str">
        <f>VLOOKUP(C4320, 'Class Def. - General Data'!$C$20:$C$1000,1,false)</f>
        <v>ZPM1_Isl_Tape</v>
      </c>
      <c r="H4320" s="63" t="str">
        <f>IFERROR(__xludf.DUMMYFUNCTION("VLOOKUP(F4320, IMPORTRANGE(""https://docs.google.com/spreadsheets/d/1Lhp9OU0JdFf_VYSMzH5lBcEaU4o8teT1piV-SNzShjg/edit?gid=554141278#gid=554141278"", ""'Char Def. - Attributes'!C20:C2242""), 1,false)"),"NOTE_PM")</f>
        <v>NOTE_PM</v>
      </c>
      <c r="I4320" s="136"/>
    </row>
    <row r="4321" ht="15.75" customHeight="1">
      <c r="B4321" s="63">
        <f t="shared" si="1"/>
        <v>13</v>
      </c>
      <c r="C4321" s="146" t="s">
        <v>240</v>
      </c>
      <c r="D4321" s="147" t="s">
        <v>74</v>
      </c>
      <c r="E4321" s="135">
        <f t="shared" si="59"/>
        <v>43</v>
      </c>
      <c r="F4321" s="134" t="s">
        <v>3881</v>
      </c>
      <c r="G4321" s="63" t="str">
        <f>VLOOKUP(C4321, 'Class Def. - General Data'!$C$20:$C$1000,1,false)</f>
        <v>ZPM1_Isl_Tape</v>
      </c>
      <c r="H4321" s="63" t="str">
        <f>IFERROR(__xludf.DUMMYFUNCTION("VLOOKUP(F4321, IMPORTRANGE(""https://docs.google.com/spreadsheets/d/1Lhp9OU0JdFf_VYSMzH5lBcEaU4o8teT1piV-SNzShjg/edit?gid=554141278#gid=554141278"", ""'Char Def. - Attributes'!C20:C2242""), 1,false)"),"BS_BERSIH")</f>
        <v>BS_BERSIH</v>
      </c>
      <c r="I4321" s="136"/>
    </row>
    <row r="4322" ht="15.75" customHeight="1">
      <c r="B4322" s="63">
        <f t="shared" si="1"/>
        <v>13</v>
      </c>
      <c r="C4322" s="146" t="s">
        <v>240</v>
      </c>
      <c r="D4322" s="147" t="s">
        <v>74</v>
      </c>
      <c r="E4322" s="135">
        <f t="shared" si="59"/>
        <v>44</v>
      </c>
      <c r="F4322" s="134" t="s">
        <v>3882</v>
      </c>
      <c r="G4322" s="63" t="str">
        <f>VLOOKUP(C4322, 'Class Def. - General Data'!$C$20:$C$1000,1,false)</f>
        <v>ZPM1_Isl_Tape</v>
      </c>
      <c r="H4322" s="63" t="str">
        <f>IFERROR(__xludf.DUMMYFUNCTION("VLOOKUP(F4322, IMPORTRANGE(""https://docs.google.com/spreadsheets/d/1Lhp9OU0JdFf_VYSMzH5lBcEaU4o8teT1piV-SNzShjg/edit?gid=554141278#gid=554141278"", ""'Char Def. - Attributes'!C20:C2242""), 1,false)"),"BS_KOTOR")</f>
        <v>BS_KOTOR</v>
      </c>
      <c r="I4322" s="136"/>
    </row>
    <row r="4323" ht="15.75" customHeight="1">
      <c r="B4323" s="63">
        <f t="shared" si="1"/>
        <v>13</v>
      </c>
      <c r="C4323" s="146" t="s">
        <v>240</v>
      </c>
      <c r="D4323" s="147" t="s">
        <v>74</v>
      </c>
      <c r="E4323" s="135">
        <f t="shared" si="59"/>
        <v>45</v>
      </c>
      <c r="F4323" s="134" t="s">
        <v>3883</v>
      </c>
      <c r="G4323" s="63" t="str">
        <f>VLOOKUP(C4323, 'Class Def. - General Data'!$C$20:$C$1000,1,false)</f>
        <v>ZPM1_Isl_Tape</v>
      </c>
      <c r="H4323" s="63" t="str">
        <f>IFERROR(__xludf.DUMMYFUNCTION("VLOOKUP(F4323, IMPORTRANGE(""https://docs.google.com/spreadsheets/d/1Lhp9OU0JdFf_VYSMzH5lBcEaU4o8teT1piV-SNzShjg/edit?gid=554141278#gid=554141278"", ""'Char Def. - Attributes'!C20:C2242""), 1,false)"),"BS_SCRAP")</f>
        <v>BS_SCRAP</v>
      </c>
      <c r="I4323" s="136"/>
    </row>
    <row r="4324" ht="15.75" customHeight="1">
      <c r="B4324" s="63">
        <f t="shared" si="1"/>
        <v>10</v>
      </c>
      <c r="C4324" s="146" t="s">
        <v>274</v>
      </c>
      <c r="D4324" s="147" t="s">
        <v>74</v>
      </c>
      <c r="E4324" s="135">
        <f t="shared" si="59"/>
        <v>1</v>
      </c>
      <c r="F4324" s="148" t="s">
        <v>3946</v>
      </c>
      <c r="G4324" s="63" t="str">
        <f>VLOOKUP(C4324, 'Class Def. - General Data'!$C$20:$C$1000,1,false)</f>
        <v>ZPM1_Ivory</v>
      </c>
      <c r="H4324" s="63" t="str">
        <f>IFERROR(__xludf.DUMMYFUNCTION("VLOOKUP(F4324, IMPORTRANGE(""https://docs.google.com/spreadsheets/d/1Lhp9OU0JdFf_VYSMzH5lBcEaU4o8teT1piV-SNzShjg/edit?gid=554141278#gid=554141278"", ""'Char Def. - Attributes'!C20:C2242""), 1,false)"),"MATERIAL_CODE_IVORY")</f>
        <v>MATERIAL_CODE_IVORY</v>
      </c>
      <c r="I4324" s="136"/>
    </row>
    <row r="4325" ht="15.75" customHeight="1">
      <c r="B4325" s="63">
        <f t="shared" si="1"/>
        <v>10</v>
      </c>
      <c r="C4325" s="146" t="s">
        <v>274</v>
      </c>
      <c r="D4325" s="147" t="s">
        <v>74</v>
      </c>
      <c r="E4325" s="135">
        <f t="shared" si="59"/>
        <v>2</v>
      </c>
      <c r="F4325" s="148" t="s">
        <v>3917</v>
      </c>
      <c r="G4325" s="63" t="str">
        <f>VLOOKUP(C4325, 'Class Def. - General Data'!$C$20:$C$1000,1,false)</f>
        <v>ZPM1_Ivory</v>
      </c>
      <c r="H4325" s="63" t="str">
        <f>IFERROR(__xludf.DUMMYFUNCTION("VLOOKUP(F4325, IMPORTRANGE(""https://docs.google.com/spreadsheets/d/1Lhp9OU0JdFf_VYSMzH5lBcEaU4o8teT1piV-SNzShjg/edit?gid=554141278#gid=554141278"", ""'Char Def. - Attributes'!C20:C2242""), 1,false)"),"LENGTH_MM")</f>
        <v>LENGTH_MM</v>
      </c>
      <c r="I4325" s="136"/>
    </row>
    <row r="4326" ht="15.75" customHeight="1">
      <c r="B4326" s="63">
        <f t="shared" si="1"/>
        <v>10</v>
      </c>
      <c r="C4326" s="146" t="s">
        <v>274</v>
      </c>
      <c r="D4326" s="147" t="s">
        <v>74</v>
      </c>
      <c r="E4326" s="135">
        <f t="shared" si="59"/>
        <v>3</v>
      </c>
      <c r="F4326" s="148" t="s">
        <v>3918</v>
      </c>
      <c r="G4326" s="63" t="str">
        <f>VLOOKUP(C4326, 'Class Def. - General Data'!$C$20:$C$1000,1,false)</f>
        <v>ZPM1_Ivory</v>
      </c>
      <c r="H4326" s="63" t="str">
        <f>IFERROR(__xludf.DUMMYFUNCTION("VLOOKUP(F4326, IMPORTRANGE(""https://docs.google.com/spreadsheets/d/1Lhp9OU0JdFf_VYSMzH5lBcEaU4o8teT1piV-SNzShjg/edit?gid=554141278#gid=554141278"", ""'Char Def. - Attributes'!C20:C2242""), 1,false)"),"WIDTH_MM_3")</f>
        <v>WIDTH_MM_3</v>
      </c>
      <c r="I4326" s="136"/>
    </row>
    <row r="4327" ht="15.75" customHeight="1">
      <c r="B4327" s="63">
        <f t="shared" si="1"/>
        <v>10</v>
      </c>
      <c r="C4327" s="146" t="s">
        <v>274</v>
      </c>
      <c r="D4327" s="147" t="s">
        <v>74</v>
      </c>
      <c r="E4327" s="135">
        <f t="shared" si="59"/>
        <v>4</v>
      </c>
      <c r="F4327" s="148" t="s">
        <v>3922</v>
      </c>
      <c r="G4327" s="63" t="str">
        <f>VLOOKUP(C4327, 'Class Def. - General Data'!$C$20:$C$1000,1,false)</f>
        <v>ZPM1_Ivory</v>
      </c>
      <c r="H4327" s="63" t="str">
        <f>IFERROR(__xludf.DUMMYFUNCTION("VLOOKUP(F4327, IMPORTRANGE(""https://docs.google.com/spreadsheets/d/1Lhp9OU0JdFf_VYSMzH5lBcEaU4o8teT1piV-SNzShjg/edit?gid=554141278#gid=554141278"", ""'Char Def. - Attributes'!C20:C2242""), 1,false)"),"THICKNESS_GSM")</f>
        <v>THICKNESS_GSM</v>
      </c>
      <c r="I4327" s="136"/>
    </row>
    <row r="4328" ht="15.75" customHeight="1">
      <c r="B4328" s="63">
        <f t="shared" si="1"/>
        <v>10</v>
      </c>
      <c r="C4328" s="146" t="s">
        <v>274</v>
      </c>
      <c r="D4328" s="147" t="s">
        <v>74</v>
      </c>
      <c r="E4328" s="135">
        <f t="shared" si="59"/>
        <v>5</v>
      </c>
      <c r="F4328" s="134" t="s">
        <v>3890</v>
      </c>
      <c r="G4328" s="63" t="str">
        <f>VLOOKUP(C4328, 'Class Def. - General Data'!$C$20:$C$1000,1,false)</f>
        <v>ZPM1_Ivory</v>
      </c>
      <c r="H4328" s="63" t="str">
        <f>IFERROR(__xludf.DUMMYFUNCTION("VLOOKUP(F4328, IMPORTRANGE(""https://docs.google.com/spreadsheets/d/1Lhp9OU0JdFf_VYSMzH5lBcEaU4o8teT1piV-SNzShjg/edit?gid=554141278#gid=554141278"", ""'Char Def. - Attributes'!C20:C2242""), 1,false)"),"EXT_MAT_GRP")</f>
        <v>EXT_MAT_GRP</v>
      </c>
      <c r="I4328" s="136"/>
    </row>
    <row r="4329" ht="15.75" customHeight="1">
      <c r="B4329" s="63">
        <f t="shared" si="1"/>
        <v>10</v>
      </c>
      <c r="C4329" s="146" t="s">
        <v>274</v>
      </c>
      <c r="D4329" s="147" t="s">
        <v>74</v>
      </c>
      <c r="E4329" s="135">
        <f t="shared" si="59"/>
        <v>6</v>
      </c>
      <c r="F4329" s="134" t="s">
        <v>3905</v>
      </c>
      <c r="G4329" s="63" t="str">
        <f>VLOOKUP(C4329, 'Class Def. - General Data'!$C$20:$C$1000,1,false)</f>
        <v>ZPM1_Ivory</v>
      </c>
      <c r="H4329" s="63" t="str">
        <f>IFERROR(__xludf.DUMMYFUNCTION("VLOOKUP(F4329, IMPORTRANGE(""https://docs.google.com/spreadsheets/d/1Lhp9OU0JdFf_VYSMzH5lBcEaU4o8teT1piV-SNzShjg/edit?gid=554141278#gid=554141278"", ""'Char Def. - Attributes'!C20:C2242""), 1,false)"),"SPEC_CODE")</f>
        <v>SPEC_CODE</v>
      </c>
      <c r="I4329" s="136"/>
    </row>
    <row r="4330" ht="15.75" customHeight="1">
      <c r="B4330" s="63">
        <f t="shared" si="1"/>
        <v>10</v>
      </c>
      <c r="C4330" s="146" t="s">
        <v>274</v>
      </c>
      <c r="D4330" s="147" t="s">
        <v>74</v>
      </c>
      <c r="E4330" s="135">
        <f t="shared" si="59"/>
        <v>7</v>
      </c>
      <c r="F4330" s="150" t="s">
        <v>3587</v>
      </c>
      <c r="G4330" s="63" t="str">
        <f>VLOOKUP(C4330, 'Class Def. - General Data'!$C$20:$C$1000,1,false)</f>
        <v>ZPM1_Ivory</v>
      </c>
      <c r="H4330" s="63" t="str">
        <f>IFERROR(__xludf.DUMMYFUNCTION("VLOOKUP(F4330, IMPORTRANGE(""https://docs.google.com/spreadsheets/d/1Lhp9OU0JdFf_VYSMzH5lBcEaU4o8teT1piV-SNzShjg/edit?gid=554141278#gid=554141278"", ""'Char Def. - Attributes'!C20:C2242""), 1,false)"),"PLANT_BUY")</f>
        <v>PLANT_BUY</v>
      </c>
      <c r="I4330" s="136"/>
    </row>
    <row r="4331" ht="15.75" customHeight="1">
      <c r="B4331" s="63">
        <f t="shared" si="1"/>
        <v>10</v>
      </c>
      <c r="C4331" s="146" t="s">
        <v>274</v>
      </c>
      <c r="D4331" s="147" t="s">
        <v>74</v>
      </c>
      <c r="E4331" s="135">
        <f t="shared" si="59"/>
        <v>8</v>
      </c>
      <c r="F4331" s="149" t="s">
        <v>3865</v>
      </c>
      <c r="G4331" s="63" t="str">
        <f>VLOOKUP(C4331, 'Class Def. - General Data'!$C$20:$C$1000,1,false)</f>
        <v>ZPM1_Ivory</v>
      </c>
      <c r="H4331" s="63" t="str">
        <f>IFERROR(__xludf.DUMMYFUNCTION("VLOOKUP(F4331, IMPORTRANGE(""https://docs.google.com/spreadsheets/d/1Lhp9OU0JdFf_VYSMzH5lBcEaU4o8teT1piV-SNzShjg/edit?gid=554141278#gid=554141278"", ""'Char Def. - Attributes'!C20:C2242""), 1,false)"),"PLANT_PROD_OPT")</f>
        <v>PLANT_PROD_OPT</v>
      </c>
      <c r="I4331" s="136"/>
    </row>
    <row r="4332" ht="15.75" customHeight="1">
      <c r="B4332" s="63">
        <f t="shared" si="1"/>
        <v>10</v>
      </c>
      <c r="C4332" s="146" t="s">
        <v>274</v>
      </c>
      <c r="D4332" s="147" t="s">
        <v>74</v>
      </c>
      <c r="E4332" s="135">
        <f t="shared" si="59"/>
        <v>9</v>
      </c>
      <c r="F4332" s="148" t="s">
        <v>3866</v>
      </c>
      <c r="G4332" s="63" t="str">
        <f>VLOOKUP(C4332, 'Class Def. - General Data'!$C$20:$C$1000,1,false)</f>
        <v>ZPM1_Ivory</v>
      </c>
      <c r="H4332" s="63" t="str">
        <f>IFERROR(__xludf.DUMMYFUNCTION("VLOOKUP(F4332, IMPORTRANGE(""https://docs.google.com/spreadsheets/d/1Lhp9OU0JdFf_VYSMzH5lBcEaU4o8teT1piV-SNzShjg/edit?gid=554141278#gid=554141278"", ""'Char Def. - Attributes'!C20:C2242""), 1,false)"),"PM_SUPPLY_JKT")</f>
        <v>PM_SUPPLY_JKT</v>
      </c>
      <c r="I4332" s="136"/>
    </row>
    <row r="4333" ht="15.75" customHeight="1">
      <c r="B4333" s="63">
        <f t="shared" si="1"/>
        <v>10</v>
      </c>
      <c r="C4333" s="146" t="s">
        <v>274</v>
      </c>
      <c r="D4333" s="147" t="s">
        <v>74</v>
      </c>
      <c r="E4333" s="135">
        <f t="shared" si="59"/>
        <v>10</v>
      </c>
      <c r="F4333" s="148" t="s">
        <v>3867</v>
      </c>
      <c r="G4333" s="63" t="str">
        <f>VLOOKUP(C4333, 'Class Def. - General Data'!$C$20:$C$1000,1,false)</f>
        <v>ZPM1_Ivory</v>
      </c>
      <c r="H4333" s="63" t="str">
        <f>IFERROR(__xludf.DUMMYFUNCTION("VLOOKUP(F4333, IMPORTRANGE(""https://docs.google.com/spreadsheets/d/1Lhp9OU0JdFf_VYSMzH5lBcEaU4o8teT1piV-SNzShjg/edit?gid=554141278#gid=554141278"", ""'Char Def. - Attributes'!C20:C2242""), 1,false)"),"PM_SUPPLY_SBY")</f>
        <v>PM_SUPPLY_SBY</v>
      </c>
      <c r="I4333" s="136"/>
    </row>
    <row r="4334" ht="15.75" customHeight="1">
      <c r="B4334" s="63">
        <f t="shared" si="1"/>
        <v>10</v>
      </c>
      <c r="C4334" s="146" t="s">
        <v>274</v>
      </c>
      <c r="D4334" s="147" t="s">
        <v>74</v>
      </c>
      <c r="E4334" s="135">
        <f t="shared" si="59"/>
        <v>11</v>
      </c>
      <c r="F4334" s="151" t="s">
        <v>3868</v>
      </c>
      <c r="G4334" s="63" t="str">
        <f>VLOOKUP(C4334, 'Class Def. - General Data'!$C$20:$C$1000,1,false)</f>
        <v>ZPM1_Ivory</v>
      </c>
      <c r="H4334" s="63" t="str">
        <f>IFERROR(__xludf.DUMMYFUNCTION("VLOOKUP(F4334, IMPORTRANGE(""https://docs.google.com/spreadsheets/d/1Lhp9OU0JdFf_VYSMzH5lBcEaU4o8teT1piV-SNzShjg/edit?gid=554141278#gid=554141278"", ""'Char Def. - Attributes'!C20:C2242""), 1,false)"),"BASIC_UOM_RMPM")</f>
        <v>BASIC_UOM_RMPM</v>
      </c>
      <c r="I4334" s="136"/>
    </row>
    <row r="4335" ht="15.75" customHeight="1">
      <c r="B4335" s="63">
        <f t="shared" si="1"/>
        <v>10</v>
      </c>
      <c r="C4335" s="146" t="s">
        <v>274</v>
      </c>
      <c r="D4335" s="147" t="s">
        <v>74</v>
      </c>
      <c r="E4335" s="135">
        <f t="shared" si="59"/>
        <v>12</v>
      </c>
      <c r="F4335" s="152" t="s">
        <v>3869</v>
      </c>
      <c r="G4335" s="63" t="str">
        <f>VLOOKUP(C4335, 'Class Def. - General Data'!$C$20:$C$1000,1,false)</f>
        <v>ZPM1_Ivory</v>
      </c>
      <c r="H4335" s="63" t="str">
        <f>IFERROR(__xludf.DUMMYFUNCTION("VLOOKUP(F4335, IMPORTRANGE(""https://docs.google.com/spreadsheets/d/1Lhp9OU0JdFf_VYSMzH5lBcEaU4o8teT1piV-SNzShjg/edit?gid=554141278#gid=554141278"", ""'Char Def. - Attributes'!C20:C2242""), 1,false)"),"ALT_UOM1_RMPM")</f>
        <v>ALT_UOM1_RMPM</v>
      </c>
      <c r="I4335" s="136"/>
    </row>
    <row r="4336" ht="15.75" customHeight="1">
      <c r="B4336" s="63">
        <f t="shared" si="1"/>
        <v>10</v>
      </c>
      <c r="C4336" s="146" t="s">
        <v>274</v>
      </c>
      <c r="D4336" s="147" t="s">
        <v>74</v>
      </c>
      <c r="E4336" s="135">
        <f t="shared" si="59"/>
        <v>13</v>
      </c>
      <c r="F4336" s="152" t="s">
        <v>3805</v>
      </c>
      <c r="G4336" s="63" t="str">
        <f>VLOOKUP(C4336, 'Class Def. - General Data'!$C$20:$C$1000,1,false)</f>
        <v>ZPM1_Ivory</v>
      </c>
      <c r="H4336" s="63" t="str">
        <f>IFERROR(__xludf.DUMMYFUNCTION("VLOOKUP(F4336, IMPORTRANGE(""https://docs.google.com/spreadsheets/d/1Lhp9OU0JdFf_VYSMzH5lBcEaU4o8teT1piV-SNzShjg/edit?gid=554141278#gid=554141278"", ""'Char Def. - Attributes'!C20:C2242""), 1,false)"),"ALT_DENUM_UOM1")</f>
        <v>ALT_DENUM_UOM1</v>
      </c>
      <c r="I4336" s="136"/>
    </row>
    <row r="4337" ht="15.75" customHeight="1">
      <c r="B4337" s="63">
        <f t="shared" si="1"/>
        <v>10</v>
      </c>
      <c r="C4337" s="146" t="s">
        <v>274</v>
      </c>
      <c r="D4337" s="147" t="s">
        <v>74</v>
      </c>
      <c r="E4337" s="135">
        <f t="shared" si="59"/>
        <v>14</v>
      </c>
      <c r="F4337" s="152" t="s">
        <v>3806</v>
      </c>
      <c r="G4337" s="63" t="str">
        <f>VLOOKUP(C4337, 'Class Def. - General Data'!$C$20:$C$1000,1,false)</f>
        <v>ZPM1_Ivory</v>
      </c>
      <c r="H4337" s="63" t="str">
        <f>IFERROR(__xludf.DUMMYFUNCTION("VLOOKUP(F4337, IMPORTRANGE(""https://docs.google.com/spreadsheets/d/1Lhp9OU0JdFf_VYSMzH5lBcEaU4o8teT1piV-SNzShjg/edit?gid=554141278#gid=554141278"", ""'Char Def. - Attributes'!C20:C2242""), 1,false)"),"ALT_NUM_UOM1")</f>
        <v>ALT_NUM_UOM1</v>
      </c>
      <c r="I4337" s="136"/>
    </row>
    <row r="4338" ht="15.75" customHeight="1">
      <c r="B4338" s="63">
        <f t="shared" si="1"/>
        <v>10</v>
      </c>
      <c r="C4338" s="146" t="s">
        <v>274</v>
      </c>
      <c r="D4338" s="147" t="s">
        <v>74</v>
      </c>
      <c r="E4338" s="135">
        <f t="shared" si="59"/>
        <v>15</v>
      </c>
      <c r="F4338" s="152" t="s">
        <v>3870</v>
      </c>
      <c r="G4338" s="63" t="str">
        <f>VLOOKUP(C4338, 'Class Def. - General Data'!$C$20:$C$1000,1,false)</f>
        <v>ZPM1_Ivory</v>
      </c>
      <c r="H4338" s="63" t="str">
        <f>IFERROR(__xludf.DUMMYFUNCTION("VLOOKUP(F4338, IMPORTRANGE(""https://docs.google.com/spreadsheets/d/1Lhp9OU0JdFf_VYSMzH5lBcEaU4o8teT1piV-SNzShjg/edit?gid=554141278#gid=554141278"", ""'Char Def. - Attributes'!C20:C2242""), 1,false)"),"ALT_UOM2_RMPM")</f>
        <v>ALT_UOM2_RMPM</v>
      </c>
      <c r="I4338" s="136"/>
    </row>
    <row r="4339" ht="15.75" customHeight="1">
      <c r="B4339" s="63">
        <f t="shared" si="1"/>
        <v>10</v>
      </c>
      <c r="C4339" s="146" t="s">
        <v>274</v>
      </c>
      <c r="D4339" s="147" t="s">
        <v>74</v>
      </c>
      <c r="E4339" s="135">
        <f t="shared" si="59"/>
        <v>16</v>
      </c>
      <c r="F4339" s="152" t="s">
        <v>3808</v>
      </c>
      <c r="G4339" s="63" t="str">
        <f>VLOOKUP(C4339, 'Class Def. - General Data'!$C$20:$C$1000,1,false)</f>
        <v>ZPM1_Ivory</v>
      </c>
      <c r="H4339" s="63" t="str">
        <f>IFERROR(__xludf.DUMMYFUNCTION("VLOOKUP(F4339, IMPORTRANGE(""https://docs.google.com/spreadsheets/d/1Lhp9OU0JdFf_VYSMzH5lBcEaU4o8teT1piV-SNzShjg/edit?gid=554141278#gid=554141278"", ""'Char Def. - Attributes'!C20:C2242""), 1,false)"),"ALT_DENUM_UOM2")</f>
        <v>ALT_DENUM_UOM2</v>
      </c>
      <c r="I4339" s="136"/>
    </row>
    <row r="4340" ht="15.75" customHeight="1">
      <c r="B4340" s="63">
        <f t="shared" si="1"/>
        <v>10</v>
      </c>
      <c r="C4340" s="146" t="s">
        <v>274</v>
      </c>
      <c r="D4340" s="147" t="s">
        <v>74</v>
      </c>
      <c r="E4340" s="135">
        <f t="shared" si="59"/>
        <v>17</v>
      </c>
      <c r="F4340" s="152" t="s">
        <v>3809</v>
      </c>
      <c r="G4340" s="63" t="str">
        <f>VLOOKUP(C4340, 'Class Def. - General Data'!$C$20:$C$1000,1,false)</f>
        <v>ZPM1_Ivory</v>
      </c>
      <c r="H4340" s="63" t="str">
        <f>IFERROR(__xludf.DUMMYFUNCTION("VLOOKUP(F4340, IMPORTRANGE(""https://docs.google.com/spreadsheets/d/1Lhp9OU0JdFf_VYSMzH5lBcEaU4o8teT1piV-SNzShjg/edit?gid=554141278#gid=554141278"", ""'Char Def. - Attributes'!C20:C2242""), 1,false)"),"ALT_NUM_UOM2")</f>
        <v>ALT_NUM_UOM2</v>
      </c>
      <c r="I4340" s="136"/>
    </row>
    <row r="4341" ht="15.75" customHeight="1">
      <c r="B4341" s="63">
        <f t="shared" si="1"/>
        <v>10</v>
      </c>
      <c r="C4341" s="146" t="s">
        <v>274</v>
      </c>
      <c r="D4341" s="147" t="s">
        <v>74</v>
      </c>
      <c r="E4341" s="135">
        <f t="shared" si="59"/>
        <v>18</v>
      </c>
      <c r="F4341" s="152" t="s">
        <v>3871</v>
      </c>
      <c r="G4341" s="63" t="str">
        <f>VLOOKUP(C4341, 'Class Def. - General Data'!$C$20:$C$1000,1,false)</f>
        <v>ZPM1_Ivory</v>
      </c>
      <c r="H4341" s="63" t="str">
        <f>IFERROR(__xludf.DUMMYFUNCTION("VLOOKUP(F4341, IMPORTRANGE(""https://docs.google.com/spreadsheets/d/1Lhp9OU0JdFf_VYSMzH5lBcEaU4o8teT1piV-SNzShjg/edit?gid=554141278#gid=554141278"", ""'Char Def. - Attributes'!C20:C2242""), 1,false)"),"ALT_UOM3_RMPM")</f>
        <v>ALT_UOM3_RMPM</v>
      </c>
      <c r="I4341" s="136"/>
    </row>
    <row r="4342" ht="15.75" customHeight="1">
      <c r="B4342" s="63">
        <f t="shared" si="1"/>
        <v>10</v>
      </c>
      <c r="C4342" s="146" t="s">
        <v>274</v>
      </c>
      <c r="D4342" s="147" t="s">
        <v>74</v>
      </c>
      <c r="E4342" s="135">
        <f t="shared" si="59"/>
        <v>19</v>
      </c>
      <c r="F4342" s="152" t="s">
        <v>3811</v>
      </c>
      <c r="G4342" s="63" t="str">
        <f>VLOOKUP(C4342, 'Class Def. - General Data'!$C$20:$C$1000,1,false)</f>
        <v>ZPM1_Ivory</v>
      </c>
      <c r="H4342" s="63" t="str">
        <f>IFERROR(__xludf.DUMMYFUNCTION("VLOOKUP(F4342, IMPORTRANGE(""https://docs.google.com/spreadsheets/d/1Lhp9OU0JdFf_VYSMzH5lBcEaU4o8teT1piV-SNzShjg/edit?gid=554141278#gid=554141278"", ""'Char Def. - Attributes'!C20:C2242""), 1,false)"),"ALT_DENUM_UOM3")</f>
        <v>ALT_DENUM_UOM3</v>
      </c>
      <c r="I4342" s="136"/>
    </row>
    <row r="4343" ht="15.75" customHeight="1">
      <c r="B4343" s="63">
        <f t="shared" si="1"/>
        <v>10</v>
      </c>
      <c r="C4343" s="146" t="s">
        <v>274</v>
      </c>
      <c r="D4343" s="147" t="s">
        <v>74</v>
      </c>
      <c r="E4343" s="135">
        <f t="shared" si="59"/>
        <v>20</v>
      </c>
      <c r="F4343" s="152" t="s">
        <v>3812</v>
      </c>
      <c r="G4343" s="63" t="str">
        <f>VLOOKUP(C4343, 'Class Def. - General Data'!$C$20:$C$1000,1,false)</f>
        <v>ZPM1_Ivory</v>
      </c>
      <c r="H4343" s="63" t="str">
        <f>IFERROR(__xludf.DUMMYFUNCTION("VLOOKUP(F4343, IMPORTRANGE(""https://docs.google.com/spreadsheets/d/1Lhp9OU0JdFf_VYSMzH5lBcEaU4o8teT1piV-SNzShjg/edit?gid=554141278#gid=554141278"", ""'Char Def. - Attributes'!C20:C2242""), 1,false)"),"ALT_NUM_UOM3")</f>
        <v>ALT_NUM_UOM3</v>
      </c>
      <c r="I4343" s="136"/>
    </row>
    <row r="4344" ht="15.75" customHeight="1">
      <c r="B4344" s="63">
        <f t="shared" si="1"/>
        <v>10</v>
      </c>
      <c r="C4344" s="146" t="s">
        <v>274</v>
      </c>
      <c r="D4344" s="147" t="s">
        <v>74</v>
      </c>
      <c r="E4344" s="135">
        <f t="shared" si="59"/>
        <v>21</v>
      </c>
      <c r="F4344" s="152" t="s">
        <v>3872</v>
      </c>
      <c r="G4344" s="63" t="str">
        <f>VLOOKUP(C4344, 'Class Def. - General Data'!$C$20:$C$1000,1,false)</f>
        <v>ZPM1_Ivory</v>
      </c>
      <c r="H4344" s="63" t="str">
        <f>IFERROR(__xludf.DUMMYFUNCTION("VLOOKUP(F4344, IMPORTRANGE(""https://docs.google.com/spreadsheets/d/1Lhp9OU0JdFf_VYSMzH5lBcEaU4o8teT1piV-SNzShjg/edit?gid=554141278#gid=554141278"", ""'Char Def. - Attributes'!C20:C2242""), 1,false)"),"ALT_UOM4_RMPM")</f>
        <v>ALT_UOM4_RMPM</v>
      </c>
      <c r="I4344" s="136"/>
    </row>
    <row r="4345" ht="15.75" customHeight="1">
      <c r="B4345" s="63">
        <f t="shared" si="1"/>
        <v>10</v>
      </c>
      <c r="C4345" s="146" t="s">
        <v>274</v>
      </c>
      <c r="D4345" s="147" t="s">
        <v>74</v>
      </c>
      <c r="E4345" s="135">
        <f t="shared" si="59"/>
        <v>22</v>
      </c>
      <c r="F4345" s="148" t="s">
        <v>3814</v>
      </c>
      <c r="G4345" s="63" t="str">
        <f>VLOOKUP(C4345, 'Class Def. - General Data'!$C$20:$C$1000,1,false)</f>
        <v>ZPM1_Ivory</v>
      </c>
      <c r="H4345" s="63" t="str">
        <f>IFERROR(__xludf.DUMMYFUNCTION("VLOOKUP(F4345, IMPORTRANGE(""https://docs.google.com/spreadsheets/d/1Lhp9OU0JdFf_VYSMzH5lBcEaU4o8teT1piV-SNzShjg/edit?gid=554141278#gid=554141278"", ""'Char Def. - Attributes'!C20:C2242""), 1,false)"),"ALT_DENUM_UOM4")</f>
        <v>ALT_DENUM_UOM4</v>
      </c>
      <c r="I4345" s="136"/>
    </row>
    <row r="4346" ht="15.75" customHeight="1">
      <c r="B4346" s="63">
        <f t="shared" si="1"/>
        <v>10</v>
      </c>
      <c r="C4346" s="146" t="s">
        <v>274</v>
      </c>
      <c r="D4346" s="147" t="s">
        <v>74</v>
      </c>
      <c r="E4346" s="135">
        <f t="shared" si="59"/>
        <v>23</v>
      </c>
      <c r="F4346" s="152" t="s">
        <v>3815</v>
      </c>
      <c r="G4346" s="63" t="str">
        <f>VLOOKUP(C4346, 'Class Def. - General Data'!$C$20:$C$1000,1,false)</f>
        <v>ZPM1_Ivory</v>
      </c>
      <c r="H4346" s="63" t="str">
        <f>IFERROR(__xludf.DUMMYFUNCTION("VLOOKUP(F4346, IMPORTRANGE(""https://docs.google.com/spreadsheets/d/1Lhp9OU0JdFf_VYSMzH5lBcEaU4o8teT1piV-SNzShjg/edit?gid=554141278#gid=554141278"", ""'Char Def. - Attributes'!C20:C2242""), 1,false)"),"ALT_NUM_UOM4")</f>
        <v>ALT_NUM_UOM4</v>
      </c>
      <c r="I4346" s="136"/>
    </row>
    <row r="4347" ht="15.75" customHeight="1">
      <c r="B4347" s="63">
        <f t="shared" si="1"/>
        <v>10</v>
      </c>
      <c r="C4347" s="146" t="s">
        <v>274</v>
      </c>
      <c r="D4347" s="147" t="s">
        <v>74</v>
      </c>
      <c r="E4347" s="135">
        <f t="shared" si="59"/>
        <v>24</v>
      </c>
      <c r="F4347" s="152" t="s">
        <v>3873</v>
      </c>
      <c r="G4347" s="63" t="str">
        <f>VLOOKUP(C4347, 'Class Def. - General Data'!$C$20:$C$1000,1,false)</f>
        <v>ZPM1_Ivory</v>
      </c>
      <c r="H4347" s="63" t="str">
        <f>IFERROR(__xludf.DUMMYFUNCTION("VLOOKUP(F4347, IMPORTRANGE(""https://docs.google.com/spreadsheets/d/1Lhp9OU0JdFf_VYSMzH5lBcEaU4o8teT1piV-SNzShjg/edit?gid=554141278#gid=554141278"", ""'Char Def. - Attributes'!C20:C2242""), 1,false)"),"ALT_UOM5_RMPM")</f>
        <v>ALT_UOM5_RMPM</v>
      </c>
      <c r="I4347" s="136"/>
    </row>
    <row r="4348" ht="15.75" customHeight="1">
      <c r="B4348" s="63">
        <f t="shared" si="1"/>
        <v>10</v>
      </c>
      <c r="C4348" s="146" t="s">
        <v>274</v>
      </c>
      <c r="D4348" s="147" t="s">
        <v>74</v>
      </c>
      <c r="E4348" s="135">
        <f t="shared" si="59"/>
        <v>25</v>
      </c>
      <c r="F4348" s="152" t="s">
        <v>3817</v>
      </c>
      <c r="G4348" s="63" t="str">
        <f>VLOOKUP(C4348, 'Class Def. - General Data'!$C$20:$C$1000,1,false)</f>
        <v>ZPM1_Ivory</v>
      </c>
      <c r="H4348" s="63" t="str">
        <f>IFERROR(__xludf.DUMMYFUNCTION("VLOOKUP(F4348, IMPORTRANGE(""https://docs.google.com/spreadsheets/d/1Lhp9OU0JdFf_VYSMzH5lBcEaU4o8teT1piV-SNzShjg/edit?gid=554141278#gid=554141278"", ""'Char Def. - Attributes'!C20:C2242""), 1,false)"),"ALT_DENUM_UOM5")</f>
        <v>ALT_DENUM_UOM5</v>
      </c>
      <c r="I4348" s="136"/>
    </row>
    <row r="4349" ht="15.75" customHeight="1">
      <c r="B4349" s="63">
        <f t="shared" si="1"/>
        <v>10</v>
      </c>
      <c r="C4349" s="146" t="s">
        <v>274</v>
      </c>
      <c r="D4349" s="147" t="s">
        <v>74</v>
      </c>
      <c r="E4349" s="135">
        <f t="shared" si="59"/>
        <v>26</v>
      </c>
      <c r="F4349" s="152" t="s">
        <v>3818</v>
      </c>
      <c r="G4349" s="63" t="str">
        <f>VLOOKUP(C4349, 'Class Def. - General Data'!$C$20:$C$1000,1,false)</f>
        <v>ZPM1_Ivory</v>
      </c>
      <c r="H4349" s="63" t="str">
        <f>IFERROR(__xludf.DUMMYFUNCTION("VLOOKUP(F4349, IMPORTRANGE(""https://docs.google.com/spreadsheets/d/1Lhp9OU0JdFf_VYSMzH5lBcEaU4o8teT1piV-SNzShjg/edit?gid=554141278#gid=554141278"", ""'Char Def. - Attributes'!C20:C2242""), 1,false)"),"ALT_NUM_UOM5")</f>
        <v>ALT_NUM_UOM5</v>
      </c>
      <c r="I4349" s="136"/>
    </row>
    <row r="4350" ht="15.75" customHeight="1">
      <c r="B4350" s="63">
        <f t="shared" si="1"/>
        <v>10</v>
      </c>
      <c r="C4350" s="146" t="s">
        <v>274</v>
      </c>
      <c r="D4350" s="147" t="s">
        <v>74</v>
      </c>
      <c r="E4350" s="135">
        <f t="shared" si="59"/>
        <v>27</v>
      </c>
      <c r="F4350" s="152" t="s">
        <v>3874</v>
      </c>
      <c r="G4350" s="63" t="str">
        <f>VLOOKUP(C4350, 'Class Def. - General Data'!$C$20:$C$1000,1,false)</f>
        <v>ZPM1_Ivory</v>
      </c>
      <c r="H4350" s="63" t="str">
        <f>IFERROR(__xludf.DUMMYFUNCTION("VLOOKUP(F4350, IMPORTRANGE(""https://docs.google.com/spreadsheets/d/1Lhp9OU0JdFf_VYSMzH5lBcEaU4o8teT1piV-SNzShjg/edit?gid=554141278#gid=554141278"", ""'Char Def. - Attributes'!C20:C2242""), 1,false)"),"VALUATION_CATEGORY")</f>
        <v>VALUATION_CATEGORY</v>
      </c>
      <c r="I4350" s="136"/>
    </row>
    <row r="4351" ht="15.75" customHeight="1">
      <c r="B4351" s="63">
        <f t="shared" si="1"/>
        <v>10</v>
      </c>
      <c r="C4351" s="146" t="s">
        <v>274</v>
      </c>
      <c r="D4351" s="147" t="s">
        <v>74</v>
      </c>
      <c r="E4351" s="135">
        <f t="shared" si="59"/>
        <v>28</v>
      </c>
      <c r="F4351" s="152" t="s">
        <v>3800</v>
      </c>
      <c r="G4351" s="63" t="str">
        <f>VLOOKUP(C4351, 'Class Def. - General Data'!$C$20:$C$1000,1,false)</f>
        <v>ZPM1_Ivory</v>
      </c>
      <c r="H4351" s="63" t="str">
        <f>IFERROR(__xludf.DUMMYFUNCTION("VLOOKUP(F4351, IMPORTRANGE(""https://docs.google.com/spreadsheets/d/1Lhp9OU0JdFf_VYSMzH5lBcEaU4o8teT1piV-SNzShjg/edit?gid=554141278#gid=554141278"", ""'Char Def. - Attributes'!C20:C2242""), 1,false)"),"ORDER_UNIT_DIFF_FROM_BASIC_UOM")</f>
        <v>ORDER_UNIT_DIFF_FROM_BASIC_UOM</v>
      </c>
      <c r="I4351" s="136"/>
    </row>
    <row r="4352" ht="15.75" customHeight="1">
      <c r="B4352" s="63">
        <f t="shared" si="1"/>
        <v>10</v>
      </c>
      <c r="C4352" s="146" t="s">
        <v>274</v>
      </c>
      <c r="D4352" s="147" t="s">
        <v>74</v>
      </c>
      <c r="E4352" s="135">
        <f t="shared" si="59"/>
        <v>29</v>
      </c>
      <c r="F4352" s="152" t="s">
        <v>3875</v>
      </c>
      <c r="G4352" s="63" t="str">
        <f>VLOOKUP(C4352, 'Class Def. - General Data'!$C$20:$C$1000,1,false)</f>
        <v>ZPM1_Ivory</v>
      </c>
      <c r="H4352" s="63" t="str">
        <f>IFERROR(__xludf.DUMMYFUNCTION("VLOOKUP(F4352, IMPORTRANGE(""https://docs.google.com/spreadsheets/d/1Lhp9OU0JdFf_VYSMzH5lBcEaU4o8teT1piV-SNzShjg/edit?gid=554141278#gid=554141278"", ""'Char Def. - Attributes'!C20:C2242""), 1,false)"),"ORDER_UNIT_RMPM")</f>
        <v>ORDER_UNIT_RMPM</v>
      </c>
      <c r="I4352" s="136"/>
    </row>
    <row r="4353" ht="15.75" customHeight="1">
      <c r="B4353" s="63">
        <f t="shared" si="1"/>
        <v>10</v>
      </c>
      <c r="C4353" s="146" t="s">
        <v>274</v>
      </c>
      <c r="D4353" s="147" t="s">
        <v>74</v>
      </c>
      <c r="E4353" s="135">
        <f t="shared" si="59"/>
        <v>30</v>
      </c>
      <c r="F4353" s="151" t="s">
        <v>3602</v>
      </c>
      <c r="G4353" s="63" t="str">
        <f>VLOOKUP(C4353, 'Class Def. - General Data'!$C$20:$C$1000,1,false)</f>
        <v>ZPM1_Ivory</v>
      </c>
      <c r="H4353" s="63" t="str">
        <f>IFERROR(__xludf.DUMMYFUNCTION("VLOOKUP(F4353, IMPORTRANGE(""https://docs.google.com/spreadsheets/d/1Lhp9OU0JdFf_VYSMzH5lBcEaU4o8teT1piV-SNzShjg/edit?gid=554141278#gid=554141278"", ""'Char Def. - Attributes'!C20:C2242""), 1,false)"),"NET_WEIGHT")</f>
        <v>NET_WEIGHT</v>
      </c>
      <c r="I4353" s="136"/>
    </row>
    <row r="4354" ht="15.75" customHeight="1">
      <c r="B4354" s="63">
        <f t="shared" si="1"/>
        <v>10</v>
      </c>
      <c r="C4354" s="146" t="s">
        <v>274</v>
      </c>
      <c r="D4354" s="147" t="s">
        <v>74</v>
      </c>
      <c r="E4354" s="135">
        <f t="shared" si="59"/>
        <v>31</v>
      </c>
      <c r="F4354" s="151" t="s">
        <v>3601</v>
      </c>
      <c r="G4354" s="63" t="str">
        <f>VLOOKUP(C4354, 'Class Def. - General Data'!$C$20:$C$1000,1,false)</f>
        <v>ZPM1_Ivory</v>
      </c>
      <c r="H4354" s="63" t="str">
        <f>IFERROR(__xludf.DUMMYFUNCTION("VLOOKUP(F4354, IMPORTRANGE(""https://docs.google.com/spreadsheets/d/1Lhp9OU0JdFf_VYSMzH5lBcEaU4o8teT1piV-SNzShjg/edit?gid=554141278#gid=554141278"", ""'Char Def. - Attributes'!C20:C2242""), 1,false)"),"GROSS_WEIGHT")</f>
        <v>GROSS_WEIGHT</v>
      </c>
      <c r="I4354" s="136"/>
    </row>
    <row r="4355" ht="15.75" customHeight="1">
      <c r="B4355" s="63">
        <f t="shared" si="1"/>
        <v>10</v>
      </c>
      <c r="C4355" s="146" t="s">
        <v>274</v>
      </c>
      <c r="D4355" s="147" t="s">
        <v>74</v>
      </c>
      <c r="E4355" s="135">
        <f t="shared" si="59"/>
        <v>32</v>
      </c>
      <c r="F4355" s="134" t="s">
        <v>3876</v>
      </c>
      <c r="G4355" s="63" t="str">
        <f>VLOOKUP(C4355, 'Class Def. - General Data'!$C$20:$C$1000,1,false)</f>
        <v>ZPM1_Ivory</v>
      </c>
      <c r="H4355" s="63" t="str">
        <f>IFERROR(__xludf.DUMMYFUNCTION("VLOOKUP(F4355, IMPORTRANGE(""https://docs.google.com/spreadsheets/d/1Lhp9OU0JdFf_VYSMzH5lBcEaU4o8teT1piV-SNzShjg/edit?gid=554141278#gid=554141278"", ""'Char Def. - Attributes'!C20:C2242""), 1,false)"),"WEIGHT_UNIT_PM")</f>
        <v>WEIGHT_UNIT_PM</v>
      </c>
      <c r="I4355" s="136"/>
    </row>
    <row r="4356" ht="15.75" customHeight="1">
      <c r="B4356" s="63">
        <f t="shared" si="1"/>
        <v>10</v>
      </c>
      <c r="C4356" s="146" t="s">
        <v>274</v>
      </c>
      <c r="D4356" s="147" t="s">
        <v>74</v>
      </c>
      <c r="E4356" s="135">
        <f t="shared" si="59"/>
        <v>33</v>
      </c>
      <c r="F4356" s="151" t="s">
        <v>3877</v>
      </c>
      <c r="G4356" s="63" t="str">
        <f>VLOOKUP(C4356, 'Class Def. - General Data'!$C$20:$C$1000,1,false)</f>
        <v>ZPM1_Ivory</v>
      </c>
      <c r="H4356" s="63" t="str">
        <f>IFERROR(__xludf.DUMMYFUNCTION("VLOOKUP(F4356, IMPORTRANGE(""https://docs.google.com/spreadsheets/d/1Lhp9OU0JdFf_VYSMzH5lBcEaU4o8teT1piV-SNzShjg/edit?gid=554141278#gid=554141278"", ""'Char Def. - Attributes'!C20:C2242""), 1,false)"),"VOLUME_OPT")</f>
        <v>VOLUME_OPT</v>
      </c>
      <c r="I4356" s="136"/>
    </row>
    <row r="4357" ht="15.75" customHeight="1">
      <c r="B4357" s="63">
        <f t="shared" si="1"/>
        <v>10</v>
      </c>
      <c r="C4357" s="146" t="s">
        <v>274</v>
      </c>
      <c r="D4357" s="147" t="s">
        <v>74</v>
      </c>
      <c r="E4357" s="135">
        <f t="shared" si="59"/>
        <v>34</v>
      </c>
      <c r="F4357" s="152" t="s">
        <v>3878</v>
      </c>
      <c r="G4357" s="63" t="str">
        <f>VLOOKUP(C4357, 'Class Def. - General Data'!$C$20:$C$1000,1,false)</f>
        <v>ZPM1_Ivory</v>
      </c>
      <c r="H4357" s="63" t="str">
        <f>IFERROR(__xludf.DUMMYFUNCTION("VLOOKUP(F4357, IMPORTRANGE(""https://docs.google.com/spreadsheets/d/1Lhp9OU0JdFf_VYSMzH5lBcEaU4o8teT1piV-SNzShjg/edit?gid=554141278#gid=554141278"", ""'Char Def. - Attributes'!C20:C2242""), 1,false)"),"VOLUME_UNIT")</f>
        <v>VOLUME_UNIT</v>
      </c>
      <c r="I4357" s="136"/>
    </row>
    <row r="4358" ht="15.75" customHeight="1">
      <c r="B4358" s="63">
        <f t="shared" si="1"/>
        <v>10</v>
      </c>
      <c r="C4358" s="146" t="s">
        <v>274</v>
      </c>
      <c r="D4358" s="147" t="s">
        <v>74</v>
      </c>
      <c r="E4358" s="135">
        <f t="shared" si="59"/>
        <v>35</v>
      </c>
      <c r="F4358" s="149" t="s">
        <v>3879</v>
      </c>
      <c r="G4358" s="63" t="str">
        <f>VLOOKUP(C4358, 'Class Def. - General Data'!$C$20:$C$1000,1,false)</f>
        <v>ZPM1_Ivory</v>
      </c>
      <c r="H4358" s="63" t="str">
        <f>IFERROR(__xludf.DUMMYFUNCTION("VLOOKUP(F4358, IMPORTRANGE(""https://docs.google.com/spreadsheets/d/1Lhp9OU0JdFf_VYSMzH5lBcEaU4o8teT1piV-SNzShjg/edit?gid=554141278#gid=554141278"", ""'Char Def. - Attributes'!C20:C2242""), 1,false)"),"OLD_MAT_NO_RMPM")</f>
        <v>OLD_MAT_NO_RMPM</v>
      </c>
      <c r="I4358" s="136"/>
    </row>
    <row r="4359" ht="15.75" customHeight="1">
      <c r="B4359" s="63">
        <f t="shared" si="1"/>
        <v>10</v>
      </c>
      <c r="C4359" s="146" t="s">
        <v>274</v>
      </c>
      <c r="D4359" s="147" t="s">
        <v>74</v>
      </c>
      <c r="E4359" s="135">
        <f t="shared" si="59"/>
        <v>36</v>
      </c>
      <c r="F4359" s="148" t="s">
        <v>3880</v>
      </c>
      <c r="G4359" s="63" t="str">
        <f>VLOOKUP(C4359, 'Class Def. - General Data'!$C$20:$C$1000,1,false)</f>
        <v>ZPM1_Ivory</v>
      </c>
      <c r="H4359" s="63" t="str">
        <f>IFERROR(__xludf.DUMMYFUNCTION("VLOOKUP(F4359, IMPORTRANGE(""https://docs.google.com/spreadsheets/d/1Lhp9OU0JdFf_VYSMzH5lBcEaU4o8teT1piV-SNzShjg/edit?gid=554141278#gid=554141278"", ""'Char Def. - Attributes'!C20:C2242""), 1,false)"),"NOTE_PM")</f>
        <v>NOTE_PM</v>
      </c>
      <c r="I4359" s="136"/>
    </row>
    <row r="4360" ht="15.75" customHeight="1">
      <c r="B4360" s="63">
        <f t="shared" si="1"/>
        <v>10</v>
      </c>
      <c r="C4360" s="146" t="s">
        <v>274</v>
      </c>
      <c r="D4360" s="147" t="s">
        <v>74</v>
      </c>
      <c r="E4360" s="135">
        <f t="shared" si="59"/>
        <v>37</v>
      </c>
      <c r="F4360" s="148" t="s">
        <v>3881</v>
      </c>
      <c r="G4360" s="63" t="str">
        <f>VLOOKUP(C4360, 'Class Def. - General Data'!$C$20:$C$1000,1,false)</f>
        <v>ZPM1_Ivory</v>
      </c>
      <c r="H4360" s="63" t="str">
        <f>IFERROR(__xludf.DUMMYFUNCTION("VLOOKUP(F4360, IMPORTRANGE(""https://docs.google.com/spreadsheets/d/1Lhp9OU0JdFf_VYSMzH5lBcEaU4o8teT1piV-SNzShjg/edit?gid=554141278#gid=554141278"", ""'Char Def. - Attributes'!C20:C2242""), 1,false)"),"BS_BERSIH")</f>
        <v>BS_BERSIH</v>
      </c>
      <c r="I4360" s="136"/>
    </row>
    <row r="4361" ht="15.75" customHeight="1">
      <c r="B4361" s="63">
        <f t="shared" si="1"/>
        <v>10</v>
      </c>
      <c r="C4361" s="146" t="s">
        <v>274</v>
      </c>
      <c r="D4361" s="147" t="s">
        <v>74</v>
      </c>
      <c r="E4361" s="135">
        <f t="shared" si="59"/>
        <v>38</v>
      </c>
      <c r="F4361" s="148" t="s">
        <v>3882</v>
      </c>
      <c r="G4361" s="63" t="str">
        <f>VLOOKUP(C4361, 'Class Def. - General Data'!$C$20:$C$1000,1,false)</f>
        <v>ZPM1_Ivory</v>
      </c>
      <c r="H4361" s="63" t="str">
        <f>IFERROR(__xludf.DUMMYFUNCTION("VLOOKUP(F4361, IMPORTRANGE(""https://docs.google.com/spreadsheets/d/1Lhp9OU0JdFf_VYSMzH5lBcEaU4o8teT1piV-SNzShjg/edit?gid=554141278#gid=554141278"", ""'Char Def. - Attributes'!C20:C2242""), 1,false)"),"BS_KOTOR")</f>
        <v>BS_KOTOR</v>
      </c>
      <c r="I4361" s="136"/>
    </row>
    <row r="4362" ht="15.75" customHeight="1">
      <c r="B4362" s="63">
        <f t="shared" si="1"/>
        <v>10</v>
      </c>
      <c r="C4362" s="146" t="s">
        <v>274</v>
      </c>
      <c r="D4362" s="147" t="s">
        <v>74</v>
      </c>
      <c r="E4362" s="135">
        <f t="shared" si="59"/>
        <v>39</v>
      </c>
      <c r="F4362" s="148" t="s">
        <v>3883</v>
      </c>
      <c r="G4362" s="63" t="str">
        <f>VLOOKUP(C4362, 'Class Def. - General Data'!$C$20:$C$1000,1,false)</f>
        <v>ZPM1_Ivory</v>
      </c>
      <c r="H4362" s="63" t="str">
        <f>IFERROR(__xludf.DUMMYFUNCTION("VLOOKUP(F4362, IMPORTRANGE(""https://docs.google.com/spreadsheets/d/1Lhp9OU0JdFf_VYSMzH5lBcEaU4o8teT1piV-SNzShjg/edit?gid=554141278#gid=554141278"", ""'Char Def. - Attributes'!C20:C2242""), 1,false)"),"BS_SCRAP")</f>
        <v>BS_SCRAP</v>
      </c>
      <c r="I4362" s="136"/>
    </row>
    <row r="4363" ht="15.75" customHeight="1">
      <c r="B4363" s="63">
        <f t="shared" si="1"/>
        <v>13</v>
      </c>
      <c r="C4363" s="146" t="s">
        <v>248</v>
      </c>
      <c r="D4363" s="147" t="s">
        <v>74</v>
      </c>
      <c r="E4363" s="135">
        <f t="shared" si="59"/>
        <v>1</v>
      </c>
      <c r="F4363" s="134" t="s">
        <v>3947</v>
      </c>
      <c r="G4363" s="63" t="str">
        <f>VLOOKUP(C4363, 'Class Def. - General Data'!$C$20:$C$1000,1,false)</f>
        <v>ZPM1_Jerrycan</v>
      </c>
      <c r="H4363" s="63" t="str">
        <f>IFERROR(__xludf.DUMMYFUNCTION("VLOOKUP(F4363, IMPORTRANGE(""https://docs.google.com/spreadsheets/d/1Lhp9OU0JdFf_VYSMzH5lBcEaU4o8teT1piV-SNzShjg/edit?gid=554141278#gid=554141278"", ""'Char Def. - Attributes'!C20:C2242""), 1,false)"),"MATERIAL_CODE_JERRYCAN")</f>
        <v>MATERIAL_CODE_JERRYCAN</v>
      </c>
      <c r="I4363" s="136"/>
    </row>
    <row r="4364" ht="15.75" customHeight="1">
      <c r="B4364" s="63">
        <f t="shared" si="1"/>
        <v>13</v>
      </c>
      <c r="C4364" s="146" t="s">
        <v>248</v>
      </c>
      <c r="D4364" s="147" t="s">
        <v>74</v>
      </c>
      <c r="E4364" s="135">
        <f t="shared" si="59"/>
        <v>2</v>
      </c>
      <c r="F4364" s="134" t="s">
        <v>3909</v>
      </c>
      <c r="G4364" s="63" t="str">
        <f>VLOOKUP(C4364, 'Class Def. - General Data'!$C$20:$C$1000,1,false)</f>
        <v>ZPM1_Jerrycan</v>
      </c>
      <c r="H4364" s="63" t="str">
        <f>IFERROR(__xludf.DUMMYFUNCTION("VLOOKUP(F4364, IMPORTRANGE(""https://docs.google.com/spreadsheets/d/1Lhp9OU0JdFf_VYSMzH5lBcEaU4o8teT1piV-SNzShjg/edit?gid=554141278#gid=554141278"", ""'Char Def. - Attributes'!C20:C2242""), 1,false)"),"COLOR_A_OPT")</f>
        <v>COLOR_A_OPT</v>
      </c>
      <c r="I4364" s="136"/>
    </row>
    <row r="4365" ht="15.75" customHeight="1">
      <c r="B4365" s="63">
        <f t="shared" si="1"/>
        <v>13</v>
      </c>
      <c r="C4365" s="146" t="s">
        <v>248</v>
      </c>
      <c r="D4365" s="147" t="s">
        <v>74</v>
      </c>
      <c r="E4365" s="135">
        <f t="shared" si="59"/>
        <v>3</v>
      </c>
      <c r="F4365" s="134" t="s">
        <v>3904</v>
      </c>
      <c r="G4365" s="63" t="str">
        <f>VLOOKUP(C4365, 'Class Def. - General Data'!$C$20:$C$1000,1,false)</f>
        <v>ZPM1_Jerrycan</v>
      </c>
      <c r="H4365" s="63" t="str">
        <f>IFERROR(__xludf.DUMMYFUNCTION("VLOOKUP(F4365, IMPORTRANGE(""https://docs.google.com/spreadsheets/d/1Lhp9OU0JdFf_VYSMzH5lBcEaU4o8teT1piV-SNzShjg/edit?gid=554141278#gid=554141278"", ""'Char Def. - Attributes'!C20:C2242""), 1,false)"),"VOLUME_L_OPT")</f>
        <v>VOLUME_L_OPT</v>
      </c>
      <c r="I4365" s="136"/>
    </row>
    <row r="4366" ht="15.75" customHeight="1">
      <c r="B4366" s="63">
        <f t="shared" si="1"/>
        <v>13</v>
      </c>
      <c r="C4366" s="146" t="s">
        <v>248</v>
      </c>
      <c r="D4366" s="147" t="s">
        <v>74</v>
      </c>
      <c r="E4366" s="135">
        <f t="shared" si="59"/>
        <v>4</v>
      </c>
      <c r="F4366" s="134" t="s">
        <v>3900</v>
      </c>
      <c r="G4366" s="63" t="str">
        <f>VLOOKUP(C4366, 'Class Def. - General Data'!$C$20:$C$1000,1,false)</f>
        <v>ZPM1_Jerrycan</v>
      </c>
      <c r="H4366" s="63" t="str">
        <f>IFERROR(__xludf.DUMMYFUNCTION("VLOOKUP(F4366, IMPORTRANGE(""https://docs.google.com/spreadsheets/d/1Lhp9OU0JdFf_VYSMzH5lBcEaU4o8teT1piV-SNzShjg/edit?gid=554141278#gid=554141278"", ""'Char Def. - Attributes'!C20:C2242""), 1,false)"),"PLASTIC_TYPE_OPT")</f>
        <v>PLASTIC_TYPE_OPT</v>
      </c>
      <c r="I4366" s="136"/>
    </row>
    <row r="4367" ht="15.75" customHeight="1">
      <c r="B4367" s="63">
        <f t="shared" si="1"/>
        <v>13</v>
      </c>
      <c r="C4367" s="146" t="s">
        <v>248</v>
      </c>
      <c r="D4367" s="147" t="s">
        <v>74</v>
      </c>
      <c r="E4367" s="135">
        <f t="shared" si="59"/>
        <v>5</v>
      </c>
      <c r="F4367" s="134" t="s">
        <v>3864</v>
      </c>
      <c r="G4367" s="63" t="str">
        <f>VLOOKUP(C4367, 'Class Def. - General Data'!$C$20:$C$1000,1,false)</f>
        <v>ZPM1_Jerrycan</v>
      </c>
      <c r="H4367" s="63" t="str">
        <f>IFERROR(__xludf.DUMMYFUNCTION("VLOOKUP(F4367, IMPORTRANGE(""https://docs.google.com/spreadsheets/d/1Lhp9OU0JdFf_VYSMzH5lBcEaU4o8teT1piV-SNzShjg/edit?gid=554141278#gid=554141278"", ""'Char Def. - Attributes'!C20:C2242""), 1,false)"),"DIMENSION_OPT")</f>
        <v>DIMENSION_OPT</v>
      </c>
      <c r="I4367" s="136"/>
    </row>
    <row r="4368" ht="15.75" customHeight="1">
      <c r="B4368" s="63">
        <f t="shared" si="1"/>
        <v>13</v>
      </c>
      <c r="C4368" s="146" t="s">
        <v>248</v>
      </c>
      <c r="D4368" s="147" t="s">
        <v>74</v>
      </c>
      <c r="E4368" s="135">
        <f t="shared" si="59"/>
        <v>6</v>
      </c>
      <c r="F4368" s="134" t="s">
        <v>3911</v>
      </c>
      <c r="G4368" s="63" t="str">
        <f>VLOOKUP(C4368, 'Class Def. - General Data'!$C$20:$C$1000,1,false)</f>
        <v>ZPM1_Jerrycan</v>
      </c>
      <c r="H4368" s="63" t="str">
        <f>IFERROR(__xludf.DUMMYFUNCTION("VLOOKUP(F4368, IMPORTRANGE(""https://docs.google.com/spreadsheets/d/1Lhp9OU0JdFf_VYSMzH5lBcEaU4o8teT1piV-SNzShjg/edit?gid=554141278#gid=554141278"", ""'Char Def. - Attributes'!C20:C2242""), 1,false)"),"PLANT_BUY_OPT")</f>
        <v>PLANT_BUY_OPT</v>
      </c>
      <c r="I4368" s="136"/>
    </row>
    <row r="4369" ht="15.75" customHeight="1">
      <c r="B4369" s="63">
        <f t="shared" si="1"/>
        <v>13</v>
      </c>
      <c r="C4369" s="146" t="s">
        <v>248</v>
      </c>
      <c r="D4369" s="147" t="s">
        <v>74</v>
      </c>
      <c r="E4369" s="135">
        <f t="shared" si="59"/>
        <v>7</v>
      </c>
      <c r="F4369" s="134" t="s">
        <v>3865</v>
      </c>
      <c r="G4369" s="63" t="str">
        <f>VLOOKUP(C4369, 'Class Def. - General Data'!$C$20:$C$1000,1,false)</f>
        <v>ZPM1_Jerrycan</v>
      </c>
      <c r="H4369" s="63" t="str">
        <f>IFERROR(__xludf.DUMMYFUNCTION("VLOOKUP(F4369, IMPORTRANGE(""https://docs.google.com/spreadsheets/d/1Lhp9OU0JdFf_VYSMzH5lBcEaU4o8teT1piV-SNzShjg/edit?gid=554141278#gid=554141278"", ""'Char Def. - Attributes'!C20:C2242""), 1,false)"),"PLANT_PROD_OPT")</f>
        <v>PLANT_PROD_OPT</v>
      </c>
      <c r="I4369" s="136"/>
    </row>
    <row r="4370" ht="15.75" customHeight="1">
      <c r="B4370" s="63">
        <f t="shared" si="1"/>
        <v>13</v>
      </c>
      <c r="C4370" s="146" t="s">
        <v>248</v>
      </c>
      <c r="D4370" s="147" t="s">
        <v>74</v>
      </c>
      <c r="E4370" s="135">
        <f t="shared" si="59"/>
        <v>8</v>
      </c>
      <c r="F4370" s="134" t="s">
        <v>3866</v>
      </c>
      <c r="G4370" s="63" t="str">
        <f>VLOOKUP(C4370, 'Class Def. - General Data'!$C$20:$C$1000,1,false)</f>
        <v>ZPM1_Jerrycan</v>
      </c>
      <c r="H4370" s="63" t="str">
        <f>IFERROR(__xludf.DUMMYFUNCTION("VLOOKUP(F4370, IMPORTRANGE(""https://docs.google.com/spreadsheets/d/1Lhp9OU0JdFf_VYSMzH5lBcEaU4o8teT1piV-SNzShjg/edit?gid=554141278#gid=554141278"", ""'Char Def. - Attributes'!C20:C2242""), 1,false)"),"PM_SUPPLY_JKT")</f>
        <v>PM_SUPPLY_JKT</v>
      </c>
      <c r="I4370" s="136"/>
    </row>
    <row r="4371" ht="15.75" customHeight="1">
      <c r="B4371" s="63">
        <f t="shared" si="1"/>
        <v>13</v>
      </c>
      <c r="C4371" s="146" t="s">
        <v>248</v>
      </c>
      <c r="D4371" s="147" t="s">
        <v>74</v>
      </c>
      <c r="E4371" s="135">
        <f t="shared" si="59"/>
        <v>9</v>
      </c>
      <c r="F4371" s="134" t="s">
        <v>3867</v>
      </c>
      <c r="G4371" s="63" t="str">
        <f>VLOOKUP(C4371, 'Class Def. - General Data'!$C$20:$C$1000,1,false)</f>
        <v>ZPM1_Jerrycan</v>
      </c>
      <c r="H4371" s="63" t="str">
        <f>IFERROR(__xludf.DUMMYFUNCTION("VLOOKUP(F4371, IMPORTRANGE(""https://docs.google.com/spreadsheets/d/1Lhp9OU0JdFf_VYSMzH5lBcEaU4o8teT1piV-SNzShjg/edit?gid=554141278#gid=554141278"", ""'Char Def. - Attributes'!C20:C2242""), 1,false)"),"PM_SUPPLY_SBY")</f>
        <v>PM_SUPPLY_SBY</v>
      </c>
      <c r="I4371" s="136"/>
    </row>
    <row r="4372" ht="15.75" customHeight="1">
      <c r="B4372" s="63">
        <f t="shared" si="1"/>
        <v>13</v>
      </c>
      <c r="C4372" s="146" t="s">
        <v>248</v>
      </c>
      <c r="D4372" s="147" t="s">
        <v>74</v>
      </c>
      <c r="E4372" s="135">
        <f t="shared" si="59"/>
        <v>10</v>
      </c>
      <c r="F4372" s="134" t="s">
        <v>3868</v>
      </c>
      <c r="G4372" s="63" t="str">
        <f>VLOOKUP(C4372, 'Class Def. - General Data'!$C$20:$C$1000,1,false)</f>
        <v>ZPM1_Jerrycan</v>
      </c>
      <c r="H4372" s="63" t="str">
        <f>IFERROR(__xludf.DUMMYFUNCTION("VLOOKUP(F4372, IMPORTRANGE(""https://docs.google.com/spreadsheets/d/1Lhp9OU0JdFf_VYSMzH5lBcEaU4o8teT1piV-SNzShjg/edit?gid=554141278#gid=554141278"", ""'Char Def. - Attributes'!C20:C2242""), 1,false)"),"BASIC_UOM_RMPM")</f>
        <v>BASIC_UOM_RMPM</v>
      </c>
      <c r="I4372" s="136"/>
    </row>
    <row r="4373" ht="15.75" customHeight="1">
      <c r="B4373" s="63">
        <f t="shared" si="1"/>
        <v>13</v>
      </c>
      <c r="C4373" s="146" t="s">
        <v>248</v>
      </c>
      <c r="D4373" s="147" t="s">
        <v>74</v>
      </c>
      <c r="E4373" s="135">
        <f t="shared" si="59"/>
        <v>11</v>
      </c>
      <c r="F4373" s="134" t="s">
        <v>3869</v>
      </c>
      <c r="G4373" s="63" t="str">
        <f>VLOOKUP(C4373, 'Class Def. - General Data'!$C$20:$C$1000,1,false)</f>
        <v>ZPM1_Jerrycan</v>
      </c>
      <c r="H4373" s="63" t="str">
        <f>IFERROR(__xludf.DUMMYFUNCTION("VLOOKUP(F4373, IMPORTRANGE(""https://docs.google.com/spreadsheets/d/1Lhp9OU0JdFf_VYSMzH5lBcEaU4o8teT1piV-SNzShjg/edit?gid=554141278#gid=554141278"", ""'Char Def. - Attributes'!C20:C2242""), 1,false)"),"ALT_UOM1_RMPM")</f>
        <v>ALT_UOM1_RMPM</v>
      </c>
      <c r="I4373" s="136"/>
    </row>
    <row r="4374" ht="15.75" customHeight="1">
      <c r="B4374" s="63">
        <f t="shared" si="1"/>
        <v>13</v>
      </c>
      <c r="C4374" s="146" t="s">
        <v>248</v>
      </c>
      <c r="D4374" s="147" t="s">
        <v>74</v>
      </c>
      <c r="E4374" s="135">
        <f t="shared" si="59"/>
        <v>12</v>
      </c>
      <c r="F4374" s="134" t="s">
        <v>3805</v>
      </c>
      <c r="G4374" s="63" t="str">
        <f>VLOOKUP(C4374, 'Class Def. - General Data'!$C$20:$C$1000,1,false)</f>
        <v>ZPM1_Jerrycan</v>
      </c>
      <c r="H4374" s="63" t="str">
        <f>IFERROR(__xludf.DUMMYFUNCTION("VLOOKUP(F4374, IMPORTRANGE(""https://docs.google.com/spreadsheets/d/1Lhp9OU0JdFf_VYSMzH5lBcEaU4o8teT1piV-SNzShjg/edit?gid=554141278#gid=554141278"", ""'Char Def. - Attributes'!C20:C2242""), 1,false)"),"ALT_DENUM_UOM1")</f>
        <v>ALT_DENUM_UOM1</v>
      </c>
      <c r="I4374" s="136"/>
    </row>
    <row r="4375" ht="15.75" customHeight="1">
      <c r="B4375" s="63">
        <f t="shared" si="1"/>
        <v>13</v>
      </c>
      <c r="C4375" s="146" t="s">
        <v>248</v>
      </c>
      <c r="D4375" s="147" t="s">
        <v>74</v>
      </c>
      <c r="E4375" s="135">
        <f t="shared" si="59"/>
        <v>13</v>
      </c>
      <c r="F4375" s="134" t="s">
        <v>3806</v>
      </c>
      <c r="G4375" s="63" t="str">
        <f>VLOOKUP(C4375, 'Class Def. - General Data'!$C$20:$C$1000,1,false)</f>
        <v>ZPM1_Jerrycan</v>
      </c>
      <c r="H4375" s="63" t="str">
        <f>IFERROR(__xludf.DUMMYFUNCTION("VLOOKUP(F4375, IMPORTRANGE(""https://docs.google.com/spreadsheets/d/1Lhp9OU0JdFf_VYSMzH5lBcEaU4o8teT1piV-SNzShjg/edit?gid=554141278#gid=554141278"", ""'Char Def. - Attributes'!C20:C2242""), 1,false)"),"ALT_NUM_UOM1")</f>
        <v>ALT_NUM_UOM1</v>
      </c>
      <c r="I4375" s="136"/>
    </row>
    <row r="4376" ht="15.75" customHeight="1">
      <c r="B4376" s="63">
        <f t="shared" si="1"/>
        <v>13</v>
      </c>
      <c r="C4376" s="146" t="s">
        <v>248</v>
      </c>
      <c r="D4376" s="147" t="s">
        <v>74</v>
      </c>
      <c r="E4376" s="135">
        <f t="shared" si="59"/>
        <v>14</v>
      </c>
      <c r="F4376" s="134" t="s">
        <v>3870</v>
      </c>
      <c r="G4376" s="63" t="str">
        <f>VLOOKUP(C4376, 'Class Def. - General Data'!$C$20:$C$1000,1,false)</f>
        <v>ZPM1_Jerrycan</v>
      </c>
      <c r="H4376" s="63" t="str">
        <f>IFERROR(__xludf.DUMMYFUNCTION("VLOOKUP(F4376, IMPORTRANGE(""https://docs.google.com/spreadsheets/d/1Lhp9OU0JdFf_VYSMzH5lBcEaU4o8teT1piV-SNzShjg/edit?gid=554141278#gid=554141278"", ""'Char Def. - Attributes'!C20:C2242""), 1,false)"),"ALT_UOM2_RMPM")</f>
        <v>ALT_UOM2_RMPM</v>
      </c>
      <c r="I4376" s="136"/>
    </row>
    <row r="4377" ht="15.75" customHeight="1">
      <c r="B4377" s="63">
        <f t="shared" si="1"/>
        <v>13</v>
      </c>
      <c r="C4377" s="146" t="s">
        <v>248</v>
      </c>
      <c r="D4377" s="147" t="s">
        <v>74</v>
      </c>
      <c r="E4377" s="135">
        <f t="shared" si="59"/>
        <v>15</v>
      </c>
      <c r="F4377" s="134" t="s">
        <v>3808</v>
      </c>
      <c r="G4377" s="63" t="str">
        <f>VLOOKUP(C4377, 'Class Def. - General Data'!$C$20:$C$1000,1,false)</f>
        <v>ZPM1_Jerrycan</v>
      </c>
      <c r="H4377" s="63" t="str">
        <f>IFERROR(__xludf.DUMMYFUNCTION("VLOOKUP(F4377, IMPORTRANGE(""https://docs.google.com/spreadsheets/d/1Lhp9OU0JdFf_VYSMzH5lBcEaU4o8teT1piV-SNzShjg/edit?gid=554141278#gid=554141278"", ""'Char Def. - Attributes'!C20:C2242""), 1,false)"),"ALT_DENUM_UOM2")</f>
        <v>ALT_DENUM_UOM2</v>
      </c>
      <c r="I4377" s="136"/>
    </row>
    <row r="4378" ht="15.75" customHeight="1">
      <c r="B4378" s="63">
        <f t="shared" si="1"/>
        <v>13</v>
      </c>
      <c r="C4378" s="146" t="s">
        <v>248</v>
      </c>
      <c r="D4378" s="147" t="s">
        <v>74</v>
      </c>
      <c r="E4378" s="135">
        <f t="shared" si="59"/>
        <v>16</v>
      </c>
      <c r="F4378" s="134" t="s">
        <v>3809</v>
      </c>
      <c r="G4378" s="63" t="str">
        <f>VLOOKUP(C4378, 'Class Def. - General Data'!$C$20:$C$1000,1,false)</f>
        <v>ZPM1_Jerrycan</v>
      </c>
      <c r="H4378" s="63" t="str">
        <f>IFERROR(__xludf.DUMMYFUNCTION("VLOOKUP(F4378, IMPORTRANGE(""https://docs.google.com/spreadsheets/d/1Lhp9OU0JdFf_VYSMzH5lBcEaU4o8teT1piV-SNzShjg/edit?gid=554141278#gid=554141278"", ""'Char Def. - Attributes'!C20:C2242""), 1,false)"),"ALT_NUM_UOM2")</f>
        <v>ALT_NUM_UOM2</v>
      </c>
      <c r="I4378" s="136"/>
    </row>
    <row r="4379" ht="15.75" customHeight="1">
      <c r="B4379" s="63">
        <f t="shared" si="1"/>
        <v>13</v>
      </c>
      <c r="C4379" s="146" t="s">
        <v>248</v>
      </c>
      <c r="D4379" s="147" t="s">
        <v>74</v>
      </c>
      <c r="E4379" s="135">
        <f t="shared" si="59"/>
        <v>17</v>
      </c>
      <c r="F4379" s="134" t="s">
        <v>3871</v>
      </c>
      <c r="G4379" s="63" t="str">
        <f>VLOOKUP(C4379, 'Class Def. - General Data'!$C$20:$C$1000,1,false)</f>
        <v>ZPM1_Jerrycan</v>
      </c>
      <c r="H4379" s="63" t="str">
        <f>IFERROR(__xludf.DUMMYFUNCTION("VLOOKUP(F4379, IMPORTRANGE(""https://docs.google.com/spreadsheets/d/1Lhp9OU0JdFf_VYSMzH5lBcEaU4o8teT1piV-SNzShjg/edit?gid=554141278#gid=554141278"", ""'Char Def. - Attributes'!C20:C2242""), 1,false)"),"ALT_UOM3_RMPM")</f>
        <v>ALT_UOM3_RMPM</v>
      </c>
      <c r="I4379" s="136"/>
    </row>
    <row r="4380" ht="15.75" customHeight="1">
      <c r="B4380" s="63">
        <f t="shared" si="1"/>
        <v>13</v>
      </c>
      <c r="C4380" s="146" t="s">
        <v>248</v>
      </c>
      <c r="D4380" s="147" t="s">
        <v>74</v>
      </c>
      <c r="E4380" s="135">
        <f t="shared" si="59"/>
        <v>18</v>
      </c>
      <c r="F4380" s="134" t="s">
        <v>3811</v>
      </c>
      <c r="G4380" s="63" t="str">
        <f>VLOOKUP(C4380, 'Class Def. - General Data'!$C$20:$C$1000,1,false)</f>
        <v>ZPM1_Jerrycan</v>
      </c>
      <c r="H4380" s="63" t="str">
        <f>IFERROR(__xludf.DUMMYFUNCTION("VLOOKUP(F4380, IMPORTRANGE(""https://docs.google.com/spreadsheets/d/1Lhp9OU0JdFf_VYSMzH5lBcEaU4o8teT1piV-SNzShjg/edit?gid=554141278#gid=554141278"", ""'Char Def. - Attributes'!C20:C2242""), 1,false)"),"ALT_DENUM_UOM3")</f>
        <v>ALT_DENUM_UOM3</v>
      </c>
      <c r="I4380" s="136"/>
    </row>
    <row r="4381" ht="15.75" customHeight="1">
      <c r="B4381" s="63">
        <f t="shared" si="1"/>
        <v>13</v>
      </c>
      <c r="C4381" s="146" t="s">
        <v>248</v>
      </c>
      <c r="D4381" s="147" t="s">
        <v>74</v>
      </c>
      <c r="E4381" s="135">
        <f t="shared" si="59"/>
        <v>19</v>
      </c>
      <c r="F4381" s="134" t="s">
        <v>3812</v>
      </c>
      <c r="G4381" s="63" t="str">
        <f>VLOOKUP(C4381, 'Class Def. - General Data'!$C$20:$C$1000,1,false)</f>
        <v>ZPM1_Jerrycan</v>
      </c>
      <c r="H4381" s="63" t="str">
        <f>IFERROR(__xludf.DUMMYFUNCTION("VLOOKUP(F4381, IMPORTRANGE(""https://docs.google.com/spreadsheets/d/1Lhp9OU0JdFf_VYSMzH5lBcEaU4o8teT1piV-SNzShjg/edit?gid=554141278#gid=554141278"", ""'Char Def. - Attributes'!C20:C2242""), 1,false)"),"ALT_NUM_UOM3")</f>
        <v>ALT_NUM_UOM3</v>
      </c>
      <c r="I4381" s="136"/>
    </row>
    <row r="4382" ht="15.75" customHeight="1">
      <c r="B4382" s="63">
        <f t="shared" si="1"/>
        <v>13</v>
      </c>
      <c r="C4382" s="146" t="s">
        <v>248</v>
      </c>
      <c r="D4382" s="147" t="s">
        <v>74</v>
      </c>
      <c r="E4382" s="135">
        <f t="shared" si="59"/>
        <v>20</v>
      </c>
      <c r="F4382" s="134" t="s">
        <v>3872</v>
      </c>
      <c r="G4382" s="63" t="str">
        <f>VLOOKUP(C4382, 'Class Def. - General Data'!$C$20:$C$1000,1,false)</f>
        <v>ZPM1_Jerrycan</v>
      </c>
      <c r="H4382" s="63" t="str">
        <f>IFERROR(__xludf.DUMMYFUNCTION("VLOOKUP(F4382, IMPORTRANGE(""https://docs.google.com/spreadsheets/d/1Lhp9OU0JdFf_VYSMzH5lBcEaU4o8teT1piV-SNzShjg/edit?gid=554141278#gid=554141278"", ""'Char Def. - Attributes'!C20:C2242""), 1,false)"),"ALT_UOM4_RMPM")</f>
        <v>ALT_UOM4_RMPM</v>
      </c>
      <c r="I4382" s="136"/>
    </row>
    <row r="4383" ht="15.75" customHeight="1">
      <c r="B4383" s="63">
        <f t="shared" si="1"/>
        <v>13</v>
      </c>
      <c r="C4383" s="146" t="s">
        <v>248</v>
      </c>
      <c r="D4383" s="147" t="s">
        <v>74</v>
      </c>
      <c r="E4383" s="135">
        <f t="shared" si="59"/>
        <v>21</v>
      </c>
      <c r="F4383" s="134" t="s">
        <v>3814</v>
      </c>
      <c r="G4383" s="63" t="str">
        <f>VLOOKUP(C4383, 'Class Def. - General Data'!$C$20:$C$1000,1,false)</f>
        <v>ZPM1_Jerrycan</v>
      </c>
      <c r="H4383" s="63" t="str">
        <f>IFERROR(__xludf.DUMMYFUNCTION("VLOOKUP(F4383, IMPORTRANGE(""https://docs.google.com/spreadsheets/d/1Lhp9OU0JdFf_VYSMzH5lBcEaU4o8teT1piV-SNzShjg/edit?gid=554141278#gid=554141278"", ""'Char Def. - Attributes'!C20:C2242""), 1,false)"),"ALT_DENUM_UOM4")</f>
        <v>ALT_DENUM_UOM4</v>
      </c>
      <c r="I4383" s="136"/>
    </row>
    <row r="4384" ht="15.75" customHeight="1">
      <c r="B4384" s="63">
        <f t="shared" si="1"/>
        <v>13</v>
      </c>
      <c r="C4384" s="146" t="s">
        <v>248</v>
      </c>
      <c r="D4384" s="147" t="s">
        <v>74</v>
      </c>
      <c r="E4384" s="135">
        <f t="shared" si="59"/>
        <v>22</v>
      </c>
      <c r="F4384" s="134" t="s">
        <v>3815</v>
      </c>
      <c r="G4384" s="63" t="str">
        <f>VLOOKUP(C4384, 'Class Def. - General Data'!$C$20:$C$1000,1,false)</f>
        <v>ZPM1_Jerrycan</v>
      </c>
      <c r="H4384" s="63" t="str">
        <f>IFERROR(__xludf.DUMMYFUNCTION("VLOOKUP(F4384, IMPORTRANGE(""https://docs.google.com/spreadsheets/d/1Lhp9OU0JdFf_VYSMzH5lBcEaU4o8teT1piV-SNzShjg/edit?gid=554141278#gid=554141278"", ""'Char Def. - Attributes'!C20:C2242""), 1,false)"),"ALT_NUM_UOM4")</f>
        <v>ALT_NUM_UOM4</v>
      </c>
      <c r="I4384" s="136"/>
    </row>
    <row r="4385" ht="15.75" customHeight="1">
      <c r="B4385" s="63">
        <f t="shared" si="1"/>
        <v>13</v>
      </c>
      <c r="C4385" s="146" t="s">
        <v>248</v>
      </c>
      <c r="D4385" s="147" t="s">
        <v>74</v>
      </c>
      <c r="E4385" s="135">
        <f t="shared" si="59"/>
        <v>23</v>
      </c>
      <c r="F4385" s="134" t="s">
        <v>3873</v>
      </c>
      <c r="G4385" s="63" t="str">
        <f>VLOOKUP(C4385, 'Class Def. - General Data'!$C$20:$C$1000,1,false)</f>
        <v>ZPM1_Jerrycan</v>
      </c>
      <c r="H4385" s="63" t="str">
        <f>IFERROR(__xludf.DUMMYFUNCTION("VLOOKUP(F4385, IMPORTRANGE(""https://docs.google.com/spreadsheets/d/1Lhp9OU0JdFf_VYSMzH5lBcEaU4o8teT1piV-SNzShjg/edit?gid=554141278#gid=554141278"", ""'Char Def. - Attributes'!C20:C2242""), 1,false)"),"ALT_UOM5_RMPM")</f>
        <v>ALT_UOM5_RMPM</v>
      </c>
      <c r="I4385" s="136"/>
    </row>
    <row r="4386" ht="15.75" customHeight="1">
      <c r="B4386" s="63">
        <f t="shared" si="1"/>
        <v>13</v>
      </c>
      <c r="C4386" s="146" t="s">
        <v>248</v>
      </c>
      <c r="D4386" s="147" t="s">
        <v>74</v>
      </c>
      <c r="E4386" s="135">
        <f t="shared" si="59"/>
        <v>24</v>
      </c>
      <c r="F4386" s="134" t="s">
        <v>3817</v>
      </c>
      <c r="G4386" s="63" t="str">
        <f>VLOOKUP(C4386, 'Class Def. - General Data'!$C$20:$C$1000,1,false)</f>
        <v>ZPM1_Jerrycan</v>
      </c>
      <c r="H4386" s="63" t="str">
        <f>IFERROR(__xludf.DUMMYFUNCTION("VLOOKUP(F4386, IMPORTRANGE(""https://docs.google.com/spreadsheets/d/1Lhp9OU0JdFf_VYSMzH5lBcEaU4o8teT1piV-SNzShjg/edit?gid=554141278#gid=554141278"", ""'Char Def. - Attributes'!C20:C2242""), 1,false)"),"ALT_DENUM_UOM5")</f>
        <v>ALT_DENUM_UOM5</v>
      </c>
      <c r="I4386" s="136"/>
    </row>
    <row r="4387" ht="15.75" customHeight="1">
      <c r="B4387" s="63">
        <f t="shared" si="1"/>
        <v>13</v>
      </c>
      <c r="C4387" s="146" t="s">
        <v>248</v>
      </c>
      <c r="D4387" s="147" t="s">
        <v>74</v>
      </c>
      <c r="E4387" s="135">
        <f t="shared" si="59"/>
        <v>25</v>
      </c>
      <c r="F4387" s="134" t="s">
        <v>3818</v>
      </c>
      <c r="G4387" s="63" t="str">
        <f>VLOOKUP(C4387, 'Class Def. - General Data'!$C$20:$C$1000,1,false)</f>
        <v>ZPM1_Jerrycan</v>
      </c>
      <c r="H4387" s="63" t="str">
        <f>IFERROR(__xludf.DUMMYFUNCTION("VLOOKUP(F4387, IMPORTRANGE(""https://docs.google.com/spreadsheets/d/1Lhp9OU0JdFf_VYSMzH5lBcEaU4o8teT1piV-SNzShjg/edit?gid=554141278#gid=554141278"", ""'Char Def. - Attributes'!C20:C2242""), 1,false)"),"ALT_NUM_UOM5")</f>
        <v>ALT_NUM_UOM5</v>
      </c>
      <c r="I4387" s="136"/>
    </row>
    <row r="4388" ht="15.75" customHeight="1">
      <c r="B4388" s="63">
        <f t="shared" si="1"/>
        <v>13</v>
      </c>
      <c r="C4388" s="146" t="s">
        <v>248</v>
      </c>
      <c r="D4388" s="147" t="s">
        <v>74</v>
      </c>
      <c r="E4388" s="135">
        <f t="shared" si="59"/>
        <v>26</v>
      </c>
      <c r="F4388" s="134" t="s">
        <v>3874</v>
      </c>
      <c r="G4388" s="63" t="str">
        <f>VLOOKUP(C4388, 'Class Def. - General Data'!$C$20:$C$1000,1,false)</f>
        <v>ZPM1_Jerrycan</v>
      </c>
      <c r="H4388" s="63" t="str">
        <f>IFERROR(__xludf.DUMMYFUNCTION("VLOOKUP(F4388, IMPORTRANGE(""https://docs.google.com/spreadsheets/d/1Lhp9OU0JdFf_VYSMzH5lBcEaU4o8teT1piV-SNzShjg/edit?gid=554141278#gid=554141278"", ""'Char Def. - Attributes'!C20:C2242""), 1,false)"),"VALUATION_CATEGORY")</f>
        <v>VALUATION_CATEGORY</v>
      </c>
      <c r="I4388" s="136"/>
    </row>
    <row r="4389" ht="15.75" customHeight="1">
      <c r="B4389" s="63">
        <f t="shared" si="1"/>
        <v>13</v>
      </c>
      <c r="C4389" s="146" t="s">
        <v>248</v>
      </c>
      <c r="D4389" s="147" t="s">
        <v>74</v>
      </c>
      <c r="E4389" s="135">
        <f t="shared" si="59"/>
        <v>27</v>
      </c>
      <c r="F4389" s="134" t="s">
        <v>3800</v>
      </c>
      <c r="G4389" s="63" t="str">
        <f>VLOOKUP(C4389, 'Class Def. - General Data'!$C$20:$C$1000,1,false)</f>
        <v>ZPM1_Jerrycan</v>
      </c>
      <c r="H4389" s="63" t="str">
        <f>IFERROR(__xludf.DUMMYFUNCTION("VLOOKUP(F4389, IMPORTRANGE(""https://docs.google.com/spreadsheets/d/1Lhp9OU0JdFf_VYSMzH5lBcEaU4o8teT1piV-SNzShjg/edit?gid=554141278#gid=554141278"", ""'Char Def. - Attributes'!C20:C2242""), 1,false)"),"ORDER_UNIT_DIFF_FROM_BASIC_UOM")</f>
        <v>ORDER_UNIT_DIFF_FROM_BASIC_UOM</v>
      </c>
      <c r="I4389" s="136"/>
    </row>
    <row r="4390" ht="15.75" customHeight="1">
      <c r="B4390" s="63">
        <f t="shared" si="1"/>
        <v>13</v>
      </c>
      <c r="C4390" s="146" t="s">
        <v>248</v>
      </c>
      <c r="D4390" s="147" t="s">
        <v>74</v>
      </c>
      <c r="E4390" s="135">
        <f t="shared" si="59"/>
        <v>28</v>
      </c>
      <c r="F4390" s="134" t="s">
        <v>3875</v>
      </c>
      <c r="G4390" s="63" t="str">
        <f>VLOOKUP(C4390, 'Class Def. - General Data'!$C$20:$C$1000,1,false)</f>
        <v>ZPM1_Jerrycan</v>
      </c>
      <c r="H4390" s="63" t="str">
        <f>IFERROR(__xludf.DUMMYFUNCTION("VLOOKUP(F4390, IMPORTRANGE(""https://docs.google.com/spreadsheets/d/1Lhp9OU0JdFf_VYSMzH5lBcEaU4o8teT1piV-SNzShjg/edit?gid=554141278#gid=554141278"", ""'Char Def. - Attributes'!C20:C2242""), 1,false)"),"ORDER_UNIT_RMPM")</f>
        <v>ORDER_UNIT_RMPM</v>
      </c>
      <c r="I4390" s="136"/>
    </row>
    <row r="4391" ht="15.75" customHeight="1">
      <c r="B4391" s="63">
        <f t="shared" si="1"/>
        <v>13</v>
      </c>
      <c r="C4391" s="146" t="s">
        <v>248</v>
      </c>
      <c r="D4391" s="147" t="s">
        <v>74</v>
      </c>
      <c r="E4391" s="135">
        <f t="shared" si="59"/>
        <v>29</v>
      </c>
      <c r="F4391" s="134" t="s">
        <v>3602</v>
      </c>
      <c r="G4391" s="63" t="str">
        <f>VLOOKUP(C4391, 'Class Def. - General Data'!$C$20:$C$1000,1,false)</f>
        <v>ZPM1_Jerrycan</v>
      </c>
      <c r="H4391" s="63" t="str">
        <f>IFERROR(__xludf.DUMMYFUNCTION("VLOOKUP(F4391, IMPORTRANGE(""https://docs.google.com/spreadsheets/d/1Lhp9OU0JdFf_VYSMzH5lBcEaU4o8teT1piV-SNzShjg/edit?gid=554141278#gid=554141278"", ""'Char Def. - Attributes'!C20:C2242""), 1,false)"),"NET_WEIGHT")</f>
        <v>NET_WEIGHT</v>
      </c>
      <c r="I4391" s="136"/>
    </row>
    <row r="4392" ht="15.75" customHeight="1">
      <c r="B4392" s="63">
        <f t="shared" si="1"/>
        <v>13</v>
      </c>
      <c r="C4392" s="146" t="s">
        <v>248</v>
      </c>
      <c r="D4392" s="147" t="s">
        <v>74</v>
      </c>
      <c r="E4392" s="135">
        <f t="shared" si="59"/>
        <v>30</v>
      </c>
      <c r="F4392" s="134" t="s">
        <v>3601</v>
      </c>
      <c r="G4392" s="63" t="str">
        <f>VLOOKUP(C4392, 'Class Def. - General Data'!$C$20:$C$1000,1,false)</f>
        <v>ZPM1_Jerrycan</v>
      </c>
      <c r="H4392" s="63" t="str">
        <f>IFERROR(__xludf.DUMMYFUNCTION("VLOOKUP(F4392, IMPORTRANGE(""https://docs.google.com/spreadsheets/d/1Lhp9OU0JdFf_VYSMzH5lBcEaU4o8teT1piV-SNzShjg/edit?gid=554141278#gid=554141278"", ""'Char Def. - Attributes'!C20:C2242""), 1,false)"),"GROSS_WEIGHT")</f>
        <v>GROSS_WEIGHT</v>
      </c>
      <c r="I4392" s="136"/>
    </row>
    <row r="4393" ht="15.75" customHeight="1">
      <c r="B4393" s="63">
        <f t="shared" si="1"/>
        <v>13</v>
      </c>
      <c r="C4393" s="146" t="s">
        <v>248</v>
      </c>
      <c r="D4393" s="147" t="s">
        <v>74</v>
      </c>
      <c r="E4393" s="135">
        <f t="shared" si="59"/>
        <v>31</v>
      </c>
      <c r="F4393" s="134" t="s">
        <v>3876</v>
      </c>
      <c r="G4393" s="63" t="str">
        <f>VLOOKUP(C4393, 'Class Def. - General Data'!$C$20:$C$1000,1,false)</f>
        <v>ZPM1_Jerrycan</v>
      </c>
      <c r="H4393" s="63" t="str">
        <f>IFERROR(__xludf.DUMMYFUNCTION("VLOOKUP(F4393, IMPORTRANGE(""https://docs.google.com/spreadsheets/d/1Lhp9OU0JdFf_VYSMzH5lBcEaU4o8teT1piV-SNzShjg/edit?gid=554141278#gid=554141278"", ""'Char Def. - Attributes'!C20:C2242""), 1,false)"),"WEIGHT_UNIT_PM")</f>
        <v>WEIGHT_UNIT_PM</v>
      </c>
      <c r="I4393" s="136"/>
    </row>
    <row r="4394" ht="15.75" customHeight="1">
      <c r="B4394" s="63">
        <f t="shared" si="1"/>
        <v>13</v>
      </c>
      <c r="C4394" s="146" t="s">
        <v>248</v>
      </c>
      <c r="D4394" s="147" t="s">
        <v>74</v>
      </c>
      <c r="E4394" s="135">
        <f t="shared" si="59"/>
        <v>32</v>
      </c>
      <c r="F4394" s="134" t="s">
        <v>3877</v>
      </c>
      <c r="G4394" s="63" t="str">
        <f>VLOOKUP(C4394, 'Class Def. - General Data'!$C$20:$C$1000,1,false)</f>
        <v>ZPM1_Jerrycan</v>
      </c>
      <c r="H4394" s="63" t="str">
        <f>IFERROR(__xludf.DUMMYFUNCTION("VLOOKUP(F4394, IMPORTRANGE(""https://docs.google.com/spreadsheets/d/1Lhp9OU0JdFf_VYSMzH5lBcEaU4o8teT1piV-SNzShjg/edit?gid=554141278#gid=554141278"", ""'Char Def. - Attributes'!C20:C2242""), 1,false)"),"VOLUME_OPT")</f>
        <v>VOLUME_OPT</v>
      </c>
      <c r="I4394" s="136"/>
    </row>
    <row r="4395" ht="15.75" customHeight="1">
      <c r="B4395" s="63">
        <f t="shared" si="1"/>
        <v>13</v>
      </c>
      <c r="C4395" s="146" t="s">
        <v>248</v>
      </c>
      <c r="D4395" s="147" t="s">
        <v>74</v>
      </c>
      <c r="E4395" s="135">
        <f t="shared" si="59"/>
        <v>33</v>
      </c>
      <c r="F4395" s="134" t="s">
        <v>3878</v>
      </c>
      <c r="G4395" s="63" t="str">
        <f>VLOOKUP(C4395, 'Class Def. - General Data'!$C$20:$C$1000,1,false)</f>
        <v>ZPM1_Jerrycan</v>
      </c>
      <c r="H4395" s="63" t="str">
        <f>IFERROR(__xludf.DUMMYFUNCTION("VLOOKUP(F4395, IMPORTRANGE(""https://docs.google.com/spreadsheets/d/1Lhp9OU0JdFf_VYSMzH5lBcEaU4o8teT1piV-SNzShjg/edit?gid=554141278#gid=554141278"", ""'Char Def. - Attributes'!C20:C2242""), 1,false)"),"VOLUME_UNIT")</f>
        <v>VOLUME_UNIT</v>
      </c>
      <c r="I4395" s="136"/>
    </row>
    <row r="4396" ht="15.75" customHeight="1">
      <c r="B4396" s="63">
        <f t="shared" si="1"/>
        <v>13</v>
      </c>
      <c r="C4396" s="146" t="s">
        <v>248</v>
      </c>
      <c r="D4396" s="147" t="s">
        <v>74</v>
      </c>
      <c r="E4396" s="135">
        <f t="shared" si="59"/>
        <v>34</v>
      </c>
      <c r="F4396" s="134" t="s">
        <v>3879</v>
      </c>
      <c r="G4396" s="63" t="str">
        <f>VLOOKUP(C4396, 'Class Def. - General Data'!$C$20:$C$1000,1,false)</f>
        <v>ZPM1_Jerrycan</v>
      </c>
      <c r="H4396" s="63" t="str">
        <f>IFERROR(__xludf.DUMMYFUNCTION("VLOOKUP(F4396, IMPORTRANGE(""https://docs.google.com/spreadsheets/d/1Lhp9OU0JdFf_VYSMzH5lBcEaU4o8teT1piV-SNzShjg/edit?gid=554141278#gid=554141278"", ""'Char Def. - Attributes'!C20:C2242""), 1,false)"),"OLD_MAT_NO_RMPM")</f>
        <v>OLD_MAT_NO_RMPM</v>
      </c>
      <c r="I4396" s="136"/>
    </row>
    <row r="4397" ht="15.75" customHeight="1">
      <c r="B4397" s="63">
        <f t="shared" si="1"/>
        <v>13</v>
      </c>
      <c r="C4397" s="146" t="s">
        <v>248</v>
      </c>
      <c r="D4397" s="147" t="s">
        <v>74</v>
      </c>
      <c r="E4397" s="135">
        <f t="shared" si="59"/>
        <v>35</v>
      </c>
      <c r="F4397" s="134" t="s">
        <v>3880</v>
      </c>
      <c r="G4397" s="63" t="str">
        <f>VLOOKUP(C4397, 'Class Def. - General Data'!$C$20:$C$1000,1,false)</f>
        <v>ZPM1_Jerrycan</v>
      </c>
      <c r="H4397" s="63" t="str">
        <f>IFERROR(__xludf.DUMMYFUNCTION("VLOOKUP(F4397, IMPORTRANGE(""https://docs.google.com/spreadsheets/d/1Lhp9OU0JdFf_VYSMzH5lBcEaU4o8teT1piV-SNzShjg/edit?gid=554141278#gid=554141278"", ""'Char Def. - Attributes'!C20:C2242""), 1,false)"),"NOTE_PM")</f>
        <v>NOTE_PM</v>
      </c>
      <c r="I4397" s="136"/>
    </row>
    <row r="4398" ht="15.75" customHeight="1">
      <c r="B4398" s="63">
        <f t="shared" si="1"/>
        <v>13</v>
      </c>
      <c r="C4398" s="146" t="s">
        <v>248</v>
      </c>
      <c r="D4398" s="147" t="s">
        <v>74</v>
      </c>
      <c r="E4398" s="135">
        <f t="shared" si="59"/>
        <v>36</v>
      </c>
      <c r="F4398" s="134" t="s">
        <v>3881</v>
      </c>
      <c r="G4398" s="63" t="str">
        <f>VLOOKUP(C4398, 'Class Def. - General Data'!$C$20:$C$1000,1,false)</f>
        <v>ZPM1_Jerrycan</v>
      </c>
      <c r="H4398" s="63" t="str">
        <f>IFERROR(__xludf.DUMMYFUNCTION("VLOOKUP(F4398, IMPORTRANGE(""https://docs.google.com/spreadsheets/d/1Lhp9OU0JdFf_VYSMzH5lBcEaU4o8teT1piV-SNzShjg/edit?gid=554141278#gid=554141278"", ""'Char Def. - Attributes'!C20:C2242""), 1,false)"),"BS_BERSIH")</f>
        <v>BS_BERSIH</v>
      </c>
      <c r="I4398" s="136"/>
    </row>
    <row r="4399" ht="15.75" customHeight="1">
      <c r="B4399" s="63">
        <f t="shared" si="1"/>
        <v>13</v>
      </c>
      <c r="C4399" s="146" t="s">
        <v>248</v>
      </c>
      <c r="D4399" s="147" t="s">
        <v>74</v>
      </c>
      <c r="E4399" s="135">
        <f t="shared" si="59"/>
        <v>37</v>
      </c>
      <c r="F4399" s="134" t="s">
        <v>3882</v>
      </c>
      <c r="G4399" s="63" t="str">
        <f>VLOOKUP(C4399, 'Class Def. - General Data'!$C$20:$C$1000,1,false)</f>
        <v>ZPM1_Jerrycan</v>
      </c>
      <c r="H4399" s="63" t="str">
        <f>IFERROR(__xludf.DUMMYFUNCTION("VLOOKUP(F4399, IMPORTRANGE(""https://docs.google.com/spreadsheets/d/1Lhp9OU0JdFf_VYSMzH5lBcEaU4o8teT1piV-SNzShjg/edit?gid=554141278#gid=554141278"", ""'Char Def. - Attributes'!C20:C2242""), 1,false)"),"BS_KOTOR")</f>
        <v>BS_KOTOR</v>
      </c>
      <c r="I4399" s="136"/>
    </row>
    <row r="4400" ht="15.75" customHeight="1">
      <c r="B4400" s="63">
        <f t="shared" si="1"/>
        <v>13</v>
      </c>
      <c r="C4400" s="146" t="s">
        <v>248</v>
      </c>
      <c r="D4400" s="147" t="s">
        <v>74</v>
      </c>
      <c r="E4400" s="135">
        <f t="shared" si="59"/>
        <v>38</v>
      </c>
      <c r="F4400" s="134" t="s">
        <v>3883</v>
      </c>
      <c r="G4400" s="63" t="str">
        <f>VLOOKUP(C4400, 'Class Def. - General Data'!$C$20:$C$1000,1,false)</f>
        <v>ZPM1_Jerrycan</v>
      </c>
      <c r="H4400" s="63" t="str">
        <f>IFERROR(__xludf.DUMMYFUNCTION("VLOOKUP(F4400, IMPORTRANGE(""https://docs.google.com/spreadsheets/d/1Lhp9OU0JdFf_VYSMzH5lBcEaU4o8teT1piV-SNzShjg/edit?gid=554141278#gid=554141278"", ""'Char Def. - Attributes'!C20:C2242""), 1,false)"),"BS_SCRAP")</f>
        <v>BS_SCRAP</v>
      </c>
      <c r="I4400" s="136"/>
    </row>
    <row r="4401" ht="15.75" customHeight="1">
      <c r="B4401" s="63">
        <f t="shared" si="1"/>
        <v>18</v>
      </c>
      <c r="C4401" s="146" t="s">
        <v>257</v>
      </c>
      <c r="D4401" s="147" t="s">
        <v>74</v>
      </c>
      <c r="E4401" s="135">
        <f t="shared" si="59"/>
        <v>1</v>
      </c>
      <c r="F4401" s="148" t="s">
        <v>3948</v>
      </c>
      <c r="G4401" s="63" t="str">
        <f>VLOOKUP(C4401, 'Class Def. - General Data'!$C$20:$C$1000,1,false)</f>
        <v>ZPM1_Label_Sticker</v>
      </c>
      <c r="H4401" s="63" t="str">
        <f>IFERROR(__xludf.DUMMYFUNCTION("VLOOKUP(F4401, IMPORTRANGE(""https://docs.google.com/spreadsheets/d/1Lhp9OU0JdFf_VYSMzH5lBcEaU4o8teT1piV-SNzShjg/edit?gid=554141278#gid=554141278"", ""'Char Def. - Attributes'!C20:C2242""), 1,false)"),"MATERIAL_CODE_LABEL_STICKER")</f>
        <v>MATERIAL_CODE_LABEL_STICKER</v>
      </c>
      <c r="I4401" s="136"/>
    </row>
    <row r="4402" ht="15.75" customHeight="1">
      <c r="B4402" s="63">
        <f t="shared" si="1"/>
        <v>18</v>
      </c>
      <c r="C4402" s="146" t="s">
        <v>257</v>
      </c>
      <c r="D4402" s="147" t="s">
        <v>74</v>
      </c>
      <c r="E4402" s="135">
        <f t="shared" si="59"/>
        <v>2</v>
      </c>
      <c r="F4402" s="134" t="s">
        <v>3852</v>
      </c>
      <c r="G4402" s="63" t="str">
        <f>VLOOKUP(C4402, 'Class Def. - General Data'!$C$20:$C$1000,1,false)</f>
        <v>ZPM1_Label_Sticker</v>
      </c>
      <c r="H4402" s="63" t="str">
        <f>IFERROR(__xludf.DUMMYFUNCTION("VLOOKUP(F4402, IMPORTRANGE(""https://docs.google.com/spreadsheets/d/1Lhp9OU0JdFf_VYSMzH5lBcEaU4o8teT1piV-SNzShjg/edit?gid=554141278#gid=554141278"", ""'Char Def. - Attributes'!C20:C2242""), 1,false)"),"SINGLE_BRAND")</f>
        <v>SINGLE_BRAND</v>
      </c>
      <c r="I4402" s="136"/>
    </row>
    <row r="4403" ht="15.75" customHeight="1">
      <c r="B4403" s="63">
        <f t="shared" si="1"/>
        <v>18</v>
      </c>
      <c r="C4403" s="146" t="s">
        <v>257</v>
      </c>
      <c r="D4403" s="147" t="s">
        <v>74</v>
      </c>
      <c r="E4403" s="135">
        <f t="shared" si="59"/>
        <v>3</v>
      </c>
      <c r="F4403" s="153" t="s">
        <v>3853</v>
      </c>
      <c r="G4403" s="63" t="str">
        <f>VLOOKUP(C4403, 'Class Def. - General Data'!$C$20:$C$1000,1,false)</f>
        <v>ZPM1_Label_Sticker</v>
      </c>
      <c r="H4403" s="63" t="str">
        <f>IFERROR(__xludf.DUMMYFUNCTION("VLOOKUP(F4403, IMPORTRANGE(""https://docs.google.com/spreadsheets/d/1Lhp9OU0JdFf_VYSMzH5lBcEaU4o8teT1piV-SNzShjg/edit?gid=554141278#gid=554141278"", ""'Char Def. - Attributes'!C20:C2242""), 1,false)"),"BRAND_WINGS")</f>
        <v>BRAND_WINGS</v>
      </c>
      <c r="I4403" s="136"/>
    </row>
    <row r="4404" ht="15.75" customHeight="1">
      <c r="B4404" s="63">
        <f t="shared" si="1"/>
        <v>18</v>
      </c>
      <c r="C4404" s="146" t="s">
        <v>257</v>
      </c>
      <c r="D4404" s="147" t="s">
        <v>74</v>
      </c>
      <c r="E4404" s="135">
        <f t="shared" si="59"/>
        <v>4</v>
      </c>
      <c r="F4404" s="134" t="s">
        <v>3854</v>
      </c>
      <c r="G4404" s="63" t="str">
        <f>VLOOKUP(C4404, 'Class Def. - General Data'!$C$20:$C$1000,1,false)</f>
        <v>ZPM1_Label_Sticker</v>
      </c>
      <c r="H4404" s="63" t="str">
        <f>IFERROR(__xludf.DUMMYFUNCTION("VLOOKUP(F4404, IMPORTRANGE(""https://docs.google.com/spreadsheets/d/1Lhp9OU0JdFf_VYSMzH5lBcEaU4o8teT1piV-SNzShjg/edit?gid=554141278#gid=554141278"", ""'Char Def. - Attributes'!C20:C2242""), 1,false)"),"SINGLE_PACK_SHAPE")</f>
        <v>SINGLE_PACK_SHAPE</v>
      </c>
      <c r="I4404" s="136"/>
    </row>
    <row r="4405" ht="15.75" customHeight="1">
      <c r="B4405" s="63">
        <f t="shared" si="1"/>
        <v>18</v>
      </c>
      <c r="C4405" s="146" t="s">
        <v>257</v>
      </c>
      <c r="D4405" s="147" t="s">
        <v>74</v>
      </c>
      <c r="E4405" s="135">
        <f t="shared" si="59"/>
        <v>5</v>
      </c>
      <c r="F4405" s="153" t="s">
        <v>3855</v>
      </c>
      <c r="G4405" s="63" t="str">
        <f>VLOOKUP(C4405, 'Class Def. - General Data'!$C$20:$C$1000,1,false)</f>
        <v>ZPM1_Label_Sticker</v>
      </c>
      <c r="H4405" s="63" t="str">
        <f>IFERROR(__xludf.DUMMYFUNCTION("VLOOKUP(F4405, IMPORTRANGE(""https://docs.google.com/spreadsheets/d/1Lhp9OU0JdFf_VYSMzH5lBcEaU4o8teT1piV-SNzShjg/edit?gid=554141278#gid=554141278"", ""'Char Def. - Attributes'!C20:C2242""), 1,false)"),"PACK_SHAPE")</f>
        <v>PACK_SHAPE</v>
      </c>
      <c r="I4405" s="136"/>
    </row>
    <row r="4406" ht="15.75" customHeight="1">
      <c r="B4406" s="63">
        <f t="shared" si="1"/>
        <v>18</v>
      </c>
      <c r="C4406" s="146" t="s">
        <v>257</v>
      </c>
      <c r="D4406" s="147" t="s">
        <v>74</v>
      </c>
      <c r="E4406" s="135">
        <f t="shared" si="59"/>
        <v>6</v>
      </c>
      <c r="F4406" s="134" t="s">
        <v>3856</v>
      </c>
      <c r="G4406" s="63" t="str">
        <f>VLOOKUP(C4406, 'Class Def. - General Data'!$C$20:$C$1000,1,false)</f>
        <v>ZPM1_Label_Sticker</v>
      </c>
      <c r="H4406" s="63" t="str">
        <f>IFERROR(__xludf.DUMMYFUNCTION("VLOOKUP(F4406, IMPORTRANGE(""https://docs.google.com/spreadsheets/d/1Lhp9OU0JdFf_VYSMzH5lBcEaU4o8teT1piV-SNzShjg/edit?gid=554141278#gid=554141278"", ""'Char Def. - Attributes'!C20:C2242""), 1,false)"),"SINGLE_PACK_NETTO")</f>
        <v>SINGLE_PACK_NETTO</v>
      </c>
      <c r="I4406" s="136"/>
    </row>
    <row r="4407" ht="15.75" customHeight="1">
      <c r="B4407" s="63">
        <f t="shared" si="1"/>
        <v>18</v>
      </c>
      <c r="C4407" s="146" t="s">
        <v>257</v>
      </c>
      <c r="D4407" s="147" t="s">
        <v>74</v>
      </c>
      <c r="E4407" s="135">
        <f t="shared" si="59"/>
        <v>7</v>
      </c>
      <c r="F4407" s="153" t="s">
        <v>3605</v>
      </c>
      <c r="G4407" s="63" t="str">
        <f>VLOOKUP(C4407, 'Class Def. - General Data'!$C$20:$C$1000,1,false)</f>
        <v>ZPM1_Label_Sticker</v>
      </c>
      <c r="H4407" s="63" t="str">
        <f>IFERROR(__xludf.DUMMYFUNCTION("VLOOKUP(F4407, IMPORTRANGE(""https://docs.google.com/spreadsheets/d/1Lhp9OU0JdFf_VYSMzH5lBcEaU4o8teT1piV-SNzShjg/edit?gid=554141278#gid=554141278"", ""'Char Def. - Attributes'!C20:C2242""), 1,false)"),"PACK_NETTO")</f>
        <v>PACK_NETTO</v>
      </c>
      <c r="I4407" s="136"/>
    </row>
    <row r="4408" ht="15.75" customHeight="1">
      <c r="B4408" s="63">
        <f t="shared" si="1"/>
        <v>18</v>
      </c>
      <c r="C4408" s="146" t="s">
        <v>257</v>
      </c>
      <c r="D4408" s="147" t="s">
        <v>74</v>
      </c>
      <c r="E4408" s="135">
        <f t="shared" si="59"/>
        <v>8</v>
      </c>
      <c r="F4408" s="153" t="s">
        <v>3857</v>
      </c>
      <c r="G4408" s="63" t="str">
        <f>VLOOKUP(C4408, 'Class Def. - General Data'!$C$20:$C$1000,1,false)</f>
        <v>ZPM1_Label_Sticker</v>
      </c>
      <c r="H4408" s="63" t="str">
        <f>IFERROR(__xludf.DUMMYFUNCTION("VLOOKUP(F4408, IMPORTRANGE(""https://docs.google.com/spreadsheets/d/1Lhp9OU0JdFf_VYSMzH5lBcEaU4o8teT1piV-SNzShjg/edit?gid=554141278#gid=554141278"", ""'Char Def. - Attributes'!C20:C2242""), 1,false)"),"PACK_UOM")</f>
        <v>PACK_UOM</v>
      </c>
      <c r="I4408" s="136"/>
    </row>
    <row r="4409" ht="15.75" customHeight="1">
      <c r="B4409" s="63">
        <f t="shared" si="1"/>
        <v>18</v>
      </c>
      <c r="C4409" s="146" t="s">
        <v>257</v>
      </c>
      <c r="D4409" s="147" t="s">
        <v>74</v>
      </c>
      <c r="E4409" s="135">
        <f t="shared" si="59"/>
        <v>9</v>
      </c>
      <c r="F4409" s="134" t="s">
        <v>3858</v>
      </c>
      <c r="G4409" s="63" t="str">
        <f>VLOOKUP(C4409, 'Class Def. - General Data'!$C$20:$C$1000,1,false)</f>
        <v>ZPM1_Label_Sticker</v>
      </c>
      <c r="H4409" s="63" t="str">
        <f>IFERROR(__xludf.DUMMYFUNCTION("VLOOKUP(F4409, IMPORTRANGE(""https://docs.google.com/spreadsheets/d/1Lhp9OU0JdFf_VYSMzH5lBcEaU4o8teT1piV-SNzShjg/edit?gid=554141278#gid=554141278"", ""'Char Def. - Attributes'!C20:C2242""), 1,false)"),"SINGLE_VARIAN")</f>
        <v>SINGLE_VARIAN</v>
      </c>
      <c r="I4409" s="136"/>
    </row>
    <row r="4410" ht="15.75" customHeight="1">
      <c r="B4410" s="63">
        <f t="shared" si="1"/>
        <v>18</v>
      </c>
      <c r="C4410" s="146" t="s">
        <v>257</v>
      </c>
      <c r="D4410" s="147" t="s">
        <v>74</v>
      </c>
      <c r="E4410" s="135">
        <f t="shared" si="59"/>
        <v>10</v>
      </c>
      <c r="F4410" s="153" t="s">
        <v>3607</v>
      </c>
      <c r="G4410" s="63" t="str">
        <f>VLOOKUP(C4410, 'Class Def. - General Data'!$C$20:$C$1000,1,false)</f>
        <v>ZPM1_Label_Sticker</v>
      </c>
      <c r="H4410" s="63" t="str">
        <f>IFERROR(__xludf.DUMMYFUNCTION("VLOOKUP(F4410, IMPORTRANGE(""https://docs.google.com/spreadsheets/d/1Lhp9OU0JdFf_VYSMzH5lBcEaU4o8teT1piV-SNzShjg/edit?gid=554141278#gid=554141278"", ""'Char Def. - Attributes'!C20:C2242""), 1,false)"),"VARIAN")</f>
        <v>VARIAN</v>
      </c>
      <c r="I4410" s="136"/>
    </row>
    <row r="4411" ht="15.75" customHeight="1">
      <c r="B4411" s="63">
        <f t="shared" si="1"/>
        <v>18</v>
      </c>
      <c r="C4411" s="146" t="s">
        <v>257</v>
      </c>
      <c r="D4411" s="147" t="s">
        <v>74</v>
      </c>
      <c r="E4411" s="135">
        <f t="shared" si="59"/>
        <v>11</v>
      </c>
      <c r="F4411" s="134" t="s">
        <v>3859</v>
      </c>
      <c r="G4411" s="63" t="str">
        <f>VLOOKUP(C4411, 'Class Def. - General Data'!$C$20:$C$1000,1,false)</f>
        <v>ZPM1_Label_Sticker</v>
      </c>
      <c r="H4411" s="63" t="str">
        <f>IFERROR(__xludf.DUMMYFUNCTION("VLOOKUP(F4411, IMPORTRANGE(""https://docs.google.com/spreadsheets/d/1Lhp9OU0JdFf_VYSMzH5lBcEaU4o8teT1piV-SNzShjg/edit?gid=554141278#gid=554141278"", ""'Char Def. - Attributes'!C20:C2242""), 1,false)"),"ADA_ADDITIONAL_PROMO")</f>
        <v>ADA_ADDITIONAL_PROMO</v>
      </c>
      <c r="I4411" s="136"/>
    </row>
    <row r="4412" ht="15.75" customHeight="1">
      <c r="B4412" s="63">
        <f t="shared" si="1"/>
        <v>18</v>
      </c>
      <c r="C4412" s="146" t="s">
        <v>257</v>
      </c>
      <c r="D4412" s="147" t="s">
        <v>74</v>
      </c>
      <c r="E4412" s="135">
        <f t="shared" si="59"/>
        <v>12</v>
      </c>
      <c r="F4412" s="153" t="s">
        <v>3609</v>
      </c>
      <c r="G4412" s="63" t="str">
        <f>VLOOKUP(C4412, 'Class Def. - General Data'!$C$20:$C$1000,1,false)</f>
        <v>ZPM1_Label_Sticker</v>
      </c>
      <c r="H4412" s="63" t="str">
        <f>IFERROR(__xludf.DUMMYFUNCTION("VLOOKUP(F4412, IMPORTRANGE(""https://docs.google.com/spreadsheets/d/1Lhp9OU0JdFf_VYSMzH5lBcEaU4o8teT1piV-SNzShjg/edit?gid=554141278#gid=554141278"", ""'Char Def. - Attributes'!C20:C2242""), 1,false)"),"ADDITIONAL_PROMO")</f>
        <v>ADDITIONAL_PROMO</v>
      </c>
      <c r="I4412" s="136"/>
    </row>
    <row r="4413" ht="15.75" customHeight="1">
      <c r="B4413" s="63">
        <f t="shared" si="1"/>
        <v>18</v>
      </c>
      <c r="C4413" s="146" t="s">
        <v>257</v>
      </c>
      <c r="D4413" s="147" t="s">
        <v>74</v>
      </c>
      <c r="E4413" s="135">
        <f t="shared" si="59"/>
        <v>13</v>
      </c>
      <c r="F4413" s="134" t="s">
        <v>3860</v>
      </c>
      <c r="G4413" s="63" t="str">
        <f>VLOOKUP(C4413, 'Class Def. - General Data'!$C$20:$C$1000,1,false)</f>
        <v>ZPM1_Label_Sticker</v>
      </c>
      <c r="H4413" s="63" t="str">
        <f>IFERROR(__xludf.DUMMYFUNCTION("VLOOKUP(F4413, IMPORTRANGE(""https://docs.google.com/spreadsheets/d/1Lhp9OU0JdFf_VYSMzH5lBcEaU4o8teT1piV-SNzShjg/edit?gid=554141278#gid=554141278"", ""'Char Def. - Attributes'!C20:C2242""), 1,false)"),"ADA_BANDED_PROMO")</f>
        <v>ADA_BANDED_PROMO</v>
      </c>
      <c r="I4413" s="136"/>
    </row>
    <row r="4414" ht="15.75" customHeight="1">
      <c r="B4414" s="63">
        <f t="shared" si="1"/>
        <v>18</v>
      </c>
      <c r="C4414" s="146" t="s">
        <v>257</v>
      </c>
      <c r="D4414" s="147" t="s">
        <v>74</v>
      </c>
      <c r="E4414" s="135">
        <f t="shared" si="59"/>
        <v>14</v>
      </c>
      <c r="F4414" s="153" t="s">
        <v>3610</v>
      </c>
      <c r="G4414" s="63" t="str">
        <f>VLOOKUP(C4414, 'Class Def. - General Data'!$C$20:$C$1000,1,false)</f>
        <v>ZPM1_Label_Sticker</v>
      </c>
      <c r="H4414" s="63" t="str">
        <f>IFERROR(__xludf.DUMMYFUNCTION("VLOOKUP(F4414, IMPORTRANGE(""https://docs.google.com/spreadsheets/d/1Lhp9OU0JdFf_VYSMzH5lBcEaU4o8teT1piV-SNzShjg/edit?gid=554141278#gid=554141278"", ""'Char Def. - Attributes'!C20:C2242""), 1,false)"),"BANDED_PROMO")</f>
        <v>BANDED_PROMO</v>
      </c>
      <c r="I4414" s="136"/>
    </row>
    <row r="4415" ht="15.75" customHeight="1">
      <c r="B4415" s="63">
        <f t="shared" si="1"/>
        <v>18</v>
      </c>
      <c r="C4415" s="146" t="s">
        <v>257</v>
      </c>
      <c r="D4415" s="147" t="s">
        <v>74</v>
      </c>
      <c r="E4415" s="135">
        <f t="shared" si="59"/>
        <v>15</v>
      </c>
      <c r="F4415" s="134" t="s">
        <v>1292</v>
      </c>
      <c r="G4415" s="63" t="str">
        <f>VLOOKUP(C4415, 'Class Def. - General Data'!$C$20:$C$1000,1,false)</f>
        <v>ZPM1_Label_Sticker</v>
      </c>
      <c r="H4415" s="63" t="str">
        <f>IFERROR(__xludf.DUMMYFUNCTION("VLOOKUP(F4415, IMPORTRANGE(""https://docs.google.com/spreadsheets/d/1Lhp9OU0JdFf_VYSMzH5lBcEaU4o8teT1piV-SNzShjg/edit?gid=554141278#gid=554141278"", ""'Char Def. - Attributes'!C20:C2242""), 1,false)"),"EXPORT")</f>
        <v>EXPORT</v>
      </c>
      <c r="I4415" s="136"/>
    </row>
    <row r="4416" ht="15.75" customHeight="1">
      <c r="B4416" s="63">
        <f t="shared" si="1"/>
        <v>18</v>
      </c>
      <c r="C4416" s="146" t="s">
        <v>257</v>
      </c>
      <c r="D4416" s="147" t="s">
        <v>74</v>
      </c>
      <c r="E4416" s="135">
        <f t="shared" si="59"/>
        <v>16</v>
      </c>
      <c r="F4416" s="153" t="s">
        <v>3612</v>
      </c>
      <c r="G4416" s="63" t="str">
        <f>VLOOKUP(C4416, 'Class Def. - General Data'!$C$20:$C$1000,1,false)</f>
        <v>ZPM1_Label_Sticker</v>
      </c>
      <c r="H4416" s="63" t="str">
        <f>IFERROR(__xludf.DUMMYFUNCTION("VLOOKUP(F4416, IMPORTRANGE(""https://docs.google.com/spreadsheets/d/1Lhp9OU0JdFf_VYSMzH5lBcEaU4o8teT1piV-SNzShjg/edit?gid=554141278#gid=554141278"", ""'Char Def. - Attributes'!C20:C2242""), 1,false)"),"COUNTRY_EKSPOR")</f>
        <v>COUNTRY_EKSPOR</v>
      </c>
      <c r="I4416" s="136"/>
    </row>
    <row r="4417" ht="15.75" customHeight="1">
      <c r="B4417" s="63">
        <f t="shared" si="1"/>
        <v>18</v>
      </c>
      <c r="C4417" s="146" t="s">
        <v>257</v>
      </c>
      <c r="D4417" s="147" t="s">
        <v>74</v>
      </c>
      <c r="E4417" s="135">
        <f t="shared" si="59"/>
        <v>17</v>
      </c>
      <c r="F4417" s="148" t="s">
        <v>3861</v>
      </c>
      <c r="G4417" s="63" t="str">
        <f>VLOOKUP(C4417, 'Class Def. - General Data'!$C$20:$C$1000,1,false)</f>
        <v>ZPM1_Label_Sticker</v>
      </c>
      <c r="H4417" s="63" t="str">
        <f>IFERROR(__xludf.DUMMYFUNCTION("VLOOKUP(F4417, IMPORTRANGE(""https://docs.google.com/spreadsheets/d/1Lhp9OU0JdFf_VYSMzH5lBcEaU4o8teT1piV-SNzShjg/edit?gid=554141278#gid=554141278"", ""'Char Def. - Attributes'!C20:C2242""), 1,false)"),"PEMBATAS")</f>
        <v>PEMBATAS</v>
      </c>
      <c r="I4417" s="136"/>
    </row>
    <row r="4418" ht="15.75" customHeight="1">
      <c r="B4418" s="63">
        <f t="shared" si="1"/>
        <v>18</v>
      </c>
      <c r="C4418" s="146" t="s">
        <v>257</v>
      </c>
      <c r="D4418" s="147" t="s">
        <v>74</v>
      </c>
      <c r="E4418" s="135">
        <f t="shared" si="59"/>
        <v>18</v>
      </c>
      <c r="F4418" s="148" t="s">
        <v>3888</v>
      </c>
      <c r="G4418" s="63" t="str">
        <f>VLOOKUP(C4418, 'Class Def. - General Data'!$C$20:$C$1000,1,false)</f>
        <v>ZPM1_Label_Sticker</v>
      </c>
      <c r="H4418" s="63" t="str">
        <f>IFERROR(__xludf.DUMMYFUNCTION("VLOOKUP(F4418, IMPORTRANGE(""https://docs.google.com/spreadsheets/d/1Lhp9OU0JdFf_VYSMzH5lBcEaU4o8teT1piV-SNzShjg/edit?gid=554141278#gid=554141278"", ""'Char Def. - Attributes'!C20:C2242""), 1,false)"),"PACK_CODE_OPT")</f>
        <v>PACK_CODE_OPT</v>
      </c>
      <c r="I4418" s="136"/>
    </row>
    <row r="4419" ht="15.75" customHeight="1">
      <c r="B4419" s="63">
        <f t="shared" si="1"/>
        <v>18</v>
      </c>
      <c r="C4419" s="146" t="s">
        <v>257</v>
      </c>
      <c r="D4419" s="147" t="s">
        <v>74</v>
      </c>
      <c r="E4419" s="135">
        <f t="shared" si="59"/>
        <v>19</v>
      </c>
      <c r="F4419" s="148" t="s">
        <v>3910</v>
      </c>
      <c r="G4419" s="63" t="str">
        <f>VLOOKUP(C4419, 'Class Def. - General Data'!$C$20:$C$1000,1,false)</f>
        <v>ZPM1_Label_Sticker</v>
      </c>
      <c r="H4419" s="63" t="str">
        <f>IFERROR(__xludf.DUMMYFUNCTION("VLOOKUP(F4419, IMPORTRANGE(""https://docs.google.com/spreadsheets/d/1Lhp9OU0JdFf_VYSMzH5lBcEaU4o8teT1piV-SNzShjg/edit?gid=554141278#gid=554141278"", ""'Char Def. - Attributes'!C20:C2242""), 1,false)"),"PACK_CONTENT_AMOUNT_4_OPT")</f>
        <v>PACK_CONTENT_AMOUNT_4_OPT</v>
      </c>
      <c r="I4419" s="136"/>
    </row>
    <row r="4420" ht="15.75" customHeight="1">
      <c r="B4420" s="63">
        <f t="shared" si="1"/>
        <v>18</v>
      </c>
      <c r="C4420" s="146" t="s">
        <v>257</v>
      </c>
      <c r="D4420" s="147" t="s">
        <v>74</v>
      </c>
      <c r="E4420" s="135">
        <f t="shared" si="59"/>
        <v>20</v>
      </c>
      <c r="F4420" s="152" t="s">
        <v>3862</v>
      </c>
      <c r="G4420" s="63" t="str">
        <f>VLOOKUP(C4420, 'Class Def. - General Data'!$C$20:$C$1000,1,false)</f>
        <v>ZPM1_Label_Sticker</v>
      </c>
      <c r="H4420" s="63" t="str">
        <f>IFERROR(__xludf.DUMMYFUNCTION("VLOOKUP(F4420, IMPORTRANGE(""https://docs.google.com/spreadsheets/d/1Lhp9OU0JdFf_VYSMzH5lBcEaU4o8teT1piV-SNzShjg/edit?gid=554141278#gid=554141278"", ""'Char Def. - Attributes'!C20:C2242""), 1,false)"),"MONTH")</f>
        <v>MONTH</v>
      </c>
      <c r="I4420" s="136"/>
    </row>
    <row r="4421" ht="15.75" customHeight="1">
      <c r="B4421" s="63">
        <f t="shared" si="1"/>
        <v>18</v>
      </c>
      <c r="C4421" s="146" t="s">
        <v>257</v>
      </c>
      <c r="D4421" s="147" t="s">
        <v>74</v>
      </c>
      <c r="E4421" s="135">
        <f t="shared" si="59"/>
        <v>21</v>
      </c>
      <c r="F4421" s="152" t="s">
        <v>3863</v>
      </c>
      <c r="G4421" s="63" t="str">
        <f>VLOOKUP(C4421, 'Class Def. - General Data'!$C$20:$C$1000,1,false)</f>
        <v>ZPM1_Label_Sticker</v>
      </c>
      <c r="H4421" s="63" t="str">
        <f>IFERROR(__xludf.DUMMYFUNCTION("VLOOKUP(F4421, IMPORTRANGE(""https://docs.google.com/spreadsheets/d/1Lhp9OU0JdFf_VYSMzH5lBcEaU4o8teT1piV-SNzShjg/edit?gid=554141278#gid=554141278"", ""'Char Def. - Attributes'!C20:C2242""), 1,false)"),"YEAR")</f>
        <v>YEAR</v>
      </c>
      <c r="I4421" s="136"/>
    </row>
    <row r="4422" ht="15.75" customHeight="1">
      <c r="B4422" s="63">
        <f t="shared" si="1"/>
        <v>18</v>
      </c>
      <c r="C4422" s="146" t="s">
        <v>257</v>
      </c>
      <c r="D4422" s="147" t="s">
        <v>74</v>
      </c>
      <c r="E4422" s="135">
        <f t="shared" si="59"/>
        <v>22</v>
      </c>
      <c r="F4422" s="149" t="s">
        <v>3890</v>
      </c>
      <c r="G4422" s="63" t="str">
        <f>VLOOKUP(C4422, 'Class Def. - General Data'!$C$20:$C$1000,1,false)</f>
        <v>ZPM1_Label_Sticker</v>
      </c>
      <c r="H4422" s="63" t="str">
        <f>IFERROR(__xludf.DUMMYFUNCTION("VLOOKUP(F4422, IMPORTRANGE(""https://docs.google.com/spreadsheets/d/1Lhp9OU0JdFf_VYSMzH5lBcEaU4o8teT1piV-SNzShjg/edit?gid=554141278#gid=554141278"", ""'Char Def. - Attributes'!C20:C2242""), 1,false)"),"EXT_MAT_GRP")</f>
        <v>EXT_MAT_GRP</v>
      </c>
      <c r="I4422" s="136"/>
    </row>
    <row r="4423" ht="15.75" customHeight="1">
      <c r="B4423" s="63">
        <f t="shared" si="1"/>
        <v>18</v>
      </c>
      <c r="C4423" s="146" t="s">
        <v>257</v>
      </c>
      <c r="D4423" s="147" t="s">
        <v>74</v>
      </c>
      <c r="E4423" s="135">
        <f t="shared" si="59"/>
        <v>23</v>
      </c>
      <c r="F4423" s="149" t="s">
        <v>3905</v>
      </c>
      <c r="G4423" s="63" t="str">
        <f>VLOOKUP(C4423, 'Class Def. - General Data'!$C$20:$C$1000,1,false)</f>
        <v>ZPM1_Label_Sticker</v>
      </c>
      <c r="H4423" s="63" t="str">
        <f>IFERROR(__xludf.DUMMYFUNCTION("VLOOKUP(F4423, IMPORTRANGE(""https://docs.google.com/spreadsheets/d/1Lhp9OU0JdFf_VYSMzH5lBcEaU4o8teT1piV-SNzShjg/edit?gid=554141278#gid=554141278"", ""'Char Def. - Attributes'!C20:C2242""), 1,false)"),"SPEC_CODE")</f>
        <v>SPEC_CODE</v>
      </c>
      <c r="I4423" s="136"/>
    </row>
    <row r="4424" ht="15.75" customHeight="1">
      <c r="B4424" s="63">
        <f t="shared" si="1"/>
        <v>18</v>
      </c>
      <c r="C4424" s="146" t="s">
        <v>257</v>
      </c>
      <c r="D4424" s="147" t="s">
        <v>74</v>
      </c>
      <c r="E4424" s="135">
        <f t="shared" si="59"/>
        <v>24</v>
      </c>
      <c r="F4424" s="150" t="s">
        <v>3587</v>
      </c>
      <c r="G4424" s="63" t="str">
        <f>VLOOKUP(C4424, 'Class Def. - General Data'!$C$20:$C$1000,1,false)</f>
        <v>ZPM1_Label_Sticker</v>
      </c>
      <c r="H4424" s="63" t="str">
        <f>IFERROR(__xludf.DUMMYFUNCTION("VLOOKUP(F4424, IMPORTRANGE(""https://docs.google.com/spreadsheets/d/1Lhp9OU0JdFf_VYSMzH5lBcEaU4o8teT1piV-SNzShjg/edit?gid=554141278#gid=554141278"", ""'Char Def. - Attributes'!C20:C2242""), 1,false)"),"PLANT_BUY")</f>
        <v>PLANT_BUY</v>
      </c>
      <c r="I4424" s="136"/>
    </row>
    <row r="4425" ht="15.75" customHeight="1">
      <c r="B4425" s="63">
        <f t="shared" si="1"/>
        <v>18</v>
      </c>
      <c r="C4425" s="146" t="s">
        <v>257</v>
      </c>
      <c r="D4425" s="147" t="s">
        <v>74</v>
      </c>
      <c r="E4425" s="135">
        <f t="shared" si="59"/>
        <v>25</v>
      </c>
      <c r="F4425" s="149" t="s">
        <v>3865</v>
      </c>
      <c r="G4425" s="63" t="str">
        <f>VLOOKUP(C4425, 'Class Def. - General Data'!$C$20:$C$1000,1,false)</f>
        <v>ZPM1_Label_Sticker</v>
      </c>
      <c r="H4425" s="63" t="str">
        <f>IFERROR(__xludf.DUMMYFUNCTION("VLOOKUP(F4425, IMPORTRANGE(""https://docs.google.com/spreadsheets/d/1Lhp9OU0JdFf_VYSMzH5lBcEaU4o8teT1piV-SNzShjg/edit?gid=554141278#gid=554141278"", ""'Char Def. - Attributes'!C20:C2242""), 1,false)"),"PLANT_PROD_OPT")</f>
        <v>PLANT_PROD_OPT</v>
      </c>
      <c r="I4425" s="136"/>
    </row>
    <row r="4426" ht="15.75" customHeight="1">
      <c r="B4426" s="63">
        <f t="shared" si="1"/>
        <v>18</v>
      </c>
      <c r="C4426" s="146" t="s">
        <v>257</v>
      </c>
      <c r="D4426" s="147" t="s">
        <v>74</v>
      </c>
      <c r="E4426" s="135">
        <f t="shared" si="59"/>
        <v>26</v>
      </c>
      <c r="F4426" s="148" t="s">
        <v>3866</v>
      </c>
      <c r="G4426" s="63" t="str">
        <f>VLOOKUP(C4426, 'Class Def. - General Data'!$C$20:$C$1000,1,false)</f>
        <v>ZPM1_Label_Sticker</v>
      </c>
      <c r="H4426" s="63" t="str">
        <f>IFERROR(__xludf.DUMMYFUNCTION("VLOOKUP(F4426, IMPORTRANGE(""https://docs.google.com/spreadsheets/d/1Lhp9OU0JdFf_VYSMzH5lBcEaU4o8teT1piV-SNzShjg/edit?gid=554141278#gid=554141278"", ""'Char Def. - Attributes'!C20:C2242""), 1,false)"),"PM_SUPPLY_JKT")</f>
        <v>PM_SUPPLY_JKT</v>
      </c>
      <c r="I4426" s="136"/>
    </row>
    <row r="4427" ht="15.75" customHeight="1">
      <c r="B4427" s="63">
        <f t="shared" si="1"/>
        <v>18</v>
      </c>
      <c r="C4427" s="146" t="s">
        <v>257</v>
      </c>
      <c r="D4427" s="147" t="s">
        <v>74</v>
      </c>
      <c r="E4427" s="135">
        <f t="shared" si="59"/>
        <v>27</v>
      </c>
      <c r="F4427" s="148" t="s">
        <v>3867</v>
      </c>
      <c r="G4427" s="63" t="str">
        <f>VLOOKUP(C4427, 'Class Def. - General Data'!$C$20:$C$1000,1,false)</f>
        <v>ZPM1_Label_Sticker</v>
      </c>
      <c r="H4427" s="63" t="str">
        <f>IFERROR(__xludf.DUMMYFUNCTION("VLOOKUP(F4427, IMPORTRANGE(""https://docs.google.com/spreadsheets/d/1Lhp9OU0JdFf_VYSMzH5lBcEaU4o8teT1piV-SNzShjg/edit?gid=554141278#gid=554141278"", ""'Char Def. - Attributes'!C20:C2242""), 1,false)"),"PM_SUPPLY_SBY")</f>
        <v>PM_SUPPLY_SBY</v>
      </c>
      <c r="I4427" s="136"/>
    </row>
    <row r="4428" ht="15.75" customHeight="1">
      <c r="B4428" s="63">
        <f t="shared" si="1"/>
        <v>18</v>
      </c>
      <c r="C4428" s="146" t="s">
        <v>257</v>
      </c>
      <c r="D4428" s="147" t="s">
        <v>74</v>
      </c>
      <c r="E4428" s="135">
        <f t="shared" si="59"/>
        <v>28</v>
      </c>
      <c r="F4428" s="151" t="s">
        <v>3868</v>
      </c>
      <c r="G4428" s="63" t="str">
        <f>VLOOKUP(C4428, 'Class Def. - General Data'!$C$20:$C$1000,1,false)</f>
        <v>ZPM1_Label_Sticker</v>
      </c>
      <c r="H4428" s="63" t="str">
        <f>IFERROR(__xludf.DUMMYFUNCTION("VLOOKUP(F4428, IMPORTRANGE(""https://docs.google.com/spreadsheets/d/1Lhp9OU0JdFf_VYSMzH5lBcEaU4o8teT1piV-SNzShjg/edit?gid=554141278#gid=554141278"", ""'Char Def. - Attributes'!C20:C2242""), 1,false)"),"BASIC_UOM_RMPM")</f>
        <v>BASIC_UOM_RMPM</v>
      </c>
      <c r="I4428" s="136"/>
    </row>
    <row r="4429" ht="15.75" customHeight="1">
      <c r="B4429" s="63">
        <f t="shared" si="1"/>
        <v>18</v>
      </c>
      <c r="C4429" s="146" t="s">
        <v>257</v>
      </c>
      <c r="D4429" s="147" t="s">
        <v>74</v>
      </c>
      <c r="E4429" s="135">
        <f t="shared" si="59"/>
        <v>29</v>
      </c>
      <c r="F4429" s="152" t="s">
        <v>3869</v>
      </c>
      <c r="G4429" s="63" t="str">
        <f>VLOOKUP(C4429, 'Class Def. - General Data'!$C$20:$C$1000,1,false)</f>
        <v>ZPM1_Label_Sticker</v>
      </c>
      <c r="H4429" s="63" t="str">
        <f>IFERROR(__xludf.DUMMYFUNCTION("VLOOKUP(F4429, IMPORTRANGE(""https://docs.google.com/spreadsheets/d/1Lhp9OU0JdFf_VYSMzH5lBcEaU4o8teT1piV-SNzShjg/edit?gid=554141278#gid=554141278"", ""'Char Def. - Attributes'!C20:C2242""), 1,false)"),"ALT_UOM1_RMPM")</f>
        <v>ALT_UOM1_RMPM</v>
      </c>
      <c r="I4429" s="136"/>
    </row>
    <row r="4430" ht="15.75" customHeight="1">
      <c r="B4430" s="63">
        <f t="shared" si="1"/>
        <v>18</v>
      </c>
      <c r="C4430" s="146" t="s">
        <v>257</v>
      </c>
      <c r="D4430" s="147" t="s">
        <v>74</v>
      </c>
      <c r="E4430" s="135">
        <f t="shared" si="59"/>
        <v>30</v>
      </c>
      <c r="F4430" s="152" t="s">
        <v>3805</v>
      </c>
      <c r="G4430" s="63" t="str">
        <f>VLOOKUP(C4430, 'Class Def. - General Data'!$C$20:$C$1000,1,false)</f>
        <v>ZPM1_Label_Sticker</v>
      </c>
      <c r="H4430" s="63" t="str">
        <f>IFERROR(__xludf.DUMMYFUNCTION("VLOOKUP(F4430, IMPORTRANGE(""https://docs.google.com/spreadsheets/d/1Lhp9OU0JdFf_VYSMzH5lBcEaU4o8teT1piV-SNzShjg/edit?gid=554141278#gid=554141278"", ""'Char Def. - Attributes'!C20:C2242""), 1,false)"),"ALT_DENUM_UOM1")</f>
        <v>ALT_DENUM_UOM1</v>
      </c>
      <c r="I4430" s="136"/>
    </row>
    <row r="4431" ht="15.75" customHeight="1">
      <c r="B4431" s="63">
        <f t="shared" si="1"/>
        <v>18</v>
      </c>
      <c r="C4431" s="146" t="s">
        <v>257</v>
      </c>
      <c r="D4431" s="147" t="s">
        <v>74</v>
      </c>
      <c r="E4431" s="135">
        <f t="shared" si="59"/>
        <v>31</v>
      </c>
      <c r="F4431" s="152" t="s">
        <v>3806</v>
      </c>
      <c r="G4431" s="63" t="str">
        <f>VLOOKUP(C4431, 'Class Def. - General Data'!$C$20:$C$1000,1,false)</f>
        <v>ZPM1_Label_Sticker</v>
      </c>
      <c r="H4431" s="63" t="str">
        <f>IFERROR(__xludf.DUMMYFUNCTION("VLOOKUP(F4431, IMPORTRANGE(""https://docs.google.com/spreadsheets/d/1Lhp9OU0JdFf_VYSMzH5lBcEaU4o8teT1piV-SNzShjg/edit?gid=554141278#gid=554141278"", ""'Char Def. - Attributes'!C20:C2242""), 1,false)"),"ALT_NUM_UOM1")</f>
        <v>ALT_NUM_UOM1</v>
      </c>
      <c r="I4431" s="136"/>
    </row>
    <row r="4432" ht="15.75" customHeight="1">
      <c r="B4432" s="63">
        <f t="shared" si="1"/>
        <v>18</v>
      </c>
      <c r="C4432" s="146" t="s">
        <v>257</v>
      </c>
      <c r="D4432" s="147" t="s">
        <v>74</v>
      </c>
      <c r="E4432" s="135">
        <f t="shared" si="59"/>
        <v>32</v>
      </c>
      <c r="F4432" s="152" t="s">
        <v>3870</v>
      </c>
      <c r="G4432" s="63" t="str">
        <f>VLOOKUP(C4432, 'Class Def. - General Data'!$C$20:$C$1000,1,false)</f>
        <v>ZPM1_Label_Sticker</v>
      </c>
      <c r="H4432" s="63" t="str">
        <f>IFERROR(__xludf.DUMMYFUNCTION("VLOOKUP(F4432, IMPORTRANGE(""https://docs.google.com/spreadsheets/d/1Lhp9OU0JdFf_VYSMzH5lBcEaU4o8teT1piV-SNzShjg/edit?gid=554141278#gid=554141278"", ""'Char Def. - Attributes'!C20:C2242""), 1,false)"),"ALT_UOM2_RMPM")</f>
        <v>ALT_UOM2_RMPM</v>
      </c>
      <c r="I4432" s="136"/>
    </row>
    <row r="4433" ht="15.75" customHeight="1">
      <c r="B4433" s="63">
        <f t="shared" si="1"/>
        <v>18</v>
      </c>
      <c r="C4433" s="146" t="s">
        <v>257</v>
      </c>
      <c r="D4433" s="147" t="s">
        <v>74</v>
      </c>
      <c r="E4433" s="135">
        <f t="shared" si="59"/>
        <v>33</v>
      </c>
      <c r="F4433" s="152" t="s">
        <v>3808</v>
      </c>
      <c r="G4433" s="63" t="str">
        <f>VLOOKUP(C4433, 'Class Def. - General Data'!$C$20:$C$1000,1,false)</f>
        <v>ZPM1_Label_Sticker</v>
      </c>
      <c r="H4433" s="63" t="str">
        <f>IFERROR(__xludf.DUMMYFUNCTION("VLOOKUP(F4433, IMPORTRANGE(""https://docs.google.com/spreadsheets/d/1Lhp9OU0JdFf_VYSMzH5lBcEaU4o8teT1piV-SNzShjg/edit?gid=554141278#gid=554141278"", ""'Char Def. - Attributes'!C20:C2242""), 1,false)"),"ALT_DENUM_UOM2")</f>
        <v>ALT_DENUM_UOM2</v>
      </c>
      <c r="I4433" s="136"/>
    </row>
    <row r="4434" ht="15.75" customHeight="1">
      <c r="B4434" s="63">
        <f t="shared" si="1"/>
        <v>18</v>
      </c>
      <c r="C4434" s="146" t="s">
        <v>257</v>
      </c>
      <c r="D4434" s="147" t="s">
        <v>74</v>
      </c>
      <c r="E4434" s="135">
        <f t="shared" si="59"/>
        <v>34</v>
      </c>
      <c r="F4434" s="152" t="s">
        <v>3809</v>
      </c>
      <c r="G4434" s="63" t="str">
        <f>VLOOKUP(C4434, 'Class Def. - General Data'!$C$20:$C$1000,1,false)</f>
        <v>ZPM1_Label_Sticker</v>
      </c>
      <c r="H4434" s="63" t="str">
        <f>IFERROR(__xludf.DUMMYFUNCTION("VLOOKUP(F4434, IMPORTRANGE(""https://docs.google.com/spreadsheets/d/1Lhp9OU0JdFf_VYSMzH5lBcEaU4o8teT1piV-SNzShjg/edit?gid=554141278#gid=554141278"", ""'Char Def. - Attributes'!C20:C2242""), 1,false)"),"ALT_NUM_UOM2")</f>
        <v>ALT_NUM_UOM2</v>
      </c>
      <c r="I4434" s="136"/>
    </row>
    <row r="4435" ht="15.75" customHeight="1">
      <c r="B4435" s="63">
        <f t="shared" si="1"/>
        <v>18</v>
      </c>
      <c r="C4435" s="146" t="s">
        <v>257</v>
      </c>
      <c r="D4435" s="147" t="s">
        <v>74</v>
      </c>
      <c r="E4435" s="135">
        <f t="shared" si="59"/>
        <v>35</v>
      </c>
      <c r="F4435" s="152" t="s">
        <v>3871</v>
      </c>
      <c r="G4435" s="63" t="str">
        <f>VLOOKUP(C4435, 'Class Def. - General Data'!$C$20:$C$1000,1,false)</f>
        <v>ZPM1_Label_Sticker</v>
      </c>
      <c r="H4435" s="63" t="str">
        <f>IFERROR(__xludf.DUMMYFUNCTION("VLOOKUP(F4435, IMPORTRANGE(""https://docs.google.com/spreadsheets/d/1Lhp9OU0JdFf_VYSMzH5lBcEaU4o8teT1piV-SNzShjg/edit?gid=554141278#gid=554141278"", ""'Char Def. - Attributes'!C20:C2242""), 1,false)"),"ALT_UOM3_RMPM")</f>
        <v>ALT_UOM3_RMPM</v>
      </c>
      <c r="I4435" s="136"/>
    </row>
    <row r="4436" ht="15.75" customHeight="1">
      <c r="B4436" s="63">
        <f t="shared" si="1"/>
        <v>18</v>
      </c>
      <c r="C4436" s="146" t="s">
        <v>257</v>
      </c>
      <c r="D4436" s="147" t="s">
        <v>74</v>
      </c>
      <c r="E4436" s="135">
        <f t="shared" si="59"/>
        <v>36</v>
      </c>
      <c r="F4436" s="152" t="s">
        <v>3811</v>
      </c>
      <c r="G4436" s="63" t="str">
        <f>VLOOKUP(C4436, 'Class Def. - General Data'!$C$20:$C$1000,1,false)</f>
        <v>ZPM1_Label_Sticker</v>
      </c>
      <c r="H4436" s="63" t="str">
        <f>IFERROR(__xludf.DUMMYFUNCTION("VLOOKUP(F4436, IMPORTRANGE(""https://docs.google.com/spreadsheets/d/1Lhp9OU0JdFf_VYSMzH5lBcEaU4o8teT1piV-SNzShjg/edit?gid=554141278#gid=554141278"", ""'Char Def. - Attributes'!C20:C2242""), 1,false)"),"ALT_DENUM_UOM3")</f>
        <v>ALT_DENUM_UOM3</v>
      </c>
      <c r="I4436" s="136"/>
    </row>
    <row r="4437" ht="15.75" customHeight="1">
      <c r="B4437" s="63">
        <f t="shared" si="1"/>
        <v>18</v>
      </c>
      <c r="C4437" s="146" t="s">
        <v>257</v>
      </c>
      <c r="D4437" s="147" t="s">
        <v>74</v>
      </c>
      <c r="E4437" s="135">
        <f t="shared" si="59"/>
        <v>37</v>
      </c>
      <c r="F4437" s="152" t="s">
        <v>3812</v>
      </c>
      <c r="G4437" s="63" t="str">
        <f>VLOOKUP(C4437, 'Class Def. - General Data'!$C$20:$C$1000,1,false)</f>
        <v>ZPM1_Label_Sticker</v>
      </c>
      <c r="H4437" s="63" t="str">
        <f>IFERROR(__xludf.DUMMYFUNCTION("VLOOKUP(F4437, IMPORTRANGE(""https://docs.google.com/spreadsheets/d/1Lhp9OU0JdFf_VYSMzH5lBcEaU4o8teT1piV-SNzShjg/edit?gid=554141278#gid=554141278"", ""'Char Def. - Attributes'!C20:C2242""), 1,false)"),"ALT_NUM_UOM3")</f>
        <v>ALT_NUM_UOM3</v>
      </c>
      <c r="I4437" s="136"/>
    </row>
    <row r="4438" ht="15.75" customHeight="1">
      <c r="B4438" s="63">
        <f t="shared" si="1"/>
        <v>18</v>
      </c>
      <c r="C4438" s="146" t="s">
        <v>257</v>
      </c>
      <c r="D4438" s="147" t="s">
        <v>74</v>
      </c>
      <c r="E4438" s="135">
        <f t="shared" si="59"/>
        <v>38</v>
      </c>
      <c r="F4438" s="152" t="s">
        <v>3872</v>
      </c>
      <c r="G4438" s="63" t="str">
        <f>VLOOKUP(C4438, 'Class Def. - General Data'!$C$20:$C$1000,1,false)</f>
        <v>ZPM1_Label_Sticker</v>
      </c>
      <c r="H4438" s="63" t="str">
        <f>IFERROR(__xludf.DUMMYFUNCTION("VLOOKUP(F4438, IMPORTRANGE(""https://docs.google.com/spreadsheets/d/1Lhp9OU0JdFf_VYSMzH5lBcEaU4o8teT1piV-SNzShjg/edit?gid=554141278#gid=554141278"", ""'Char Def. - Attributes'!C20:C2242""), 1,false)"),"ALT_UOM4_RMPM")</f>
        <v>ALT_UOM4_RMPM</v>
      </c>
      <c r="I4438" s="136"/>
    </row>
    <row r="4439" ht="15.75" customHeight="1">
      <c r="B4439" s="63">
        <f t="shared" si="1"/>
        <v>18</v>
      </c>
      <c r="C4439" s="146" t="s">
        <v>257</v>
      </c>
      <c r="D4439" s="147" t="s">
        <v>74</v>
      </c>
      <c r="E4439" s="135">
        <f t="shared" si="59"/>
        <v>39</v>
      </c>
      <c r="F4439" s="148" t="s">
        <v>3814</v>
      </c>
      <c r="G4439" s="63" t="str">
        <f>VLOOKUP(C4439, 'Class Def. - General Data'!$C$20:$C$1000,1,false)</f>
        <v>ZPM1_Label_Sticker</v>
      </c>
      <c r="H4439" s="63" t="str">
        <f>IFERROR(__xludf.DUMMYFUNCTION("VLOOKUP(F4439, IMPORTRANGE(""https://docs.google.com/spreadsheets/d/1Lhp9OU0JdFf_VYSMzH5lBcEaU4o8teT1piV-SNzShjg/edit?gid=554141278#gid=554141278"", ""'Char Def. - Attributes'!C20:C2242""), 1,false)"),"ALT_DENUM_UOM4")</f>
        <v>ALT_DENUM_UOM4</v>
      </c>
      <c r="I4439" s="136"/>
    </row>
    <row r="4440" ht="15.75" customHeight="1">
      <c r="B4440" s="63">
        <f t="shared" si="1"/>
        <v>18</v>
      </c>
      <c r="C4440" s="146" t="s">
        <v>257</v>
      </c>
      <c r="D4440" s="147" t="s">
        <v>74</v>
      </c>
      <c r="E4440" s="135">
        <f t="shared" si="59"/>
        <v>40</v>
      </c>
      <c r="F4440" s="152" t="s">
        <v>3815</v>
      </c>
      <c r="G4440" s="63" t="str">
        <f>VLOOKUP(C4440, 'Class Def. - General Data'!$C$20:$C$1000,1,false)</f>
        <v>ZPM1_Label_Sticker</v>
      </c>
      <c r="H4440" s="63" t="str">
        <f>IFERROR(__xludf.DUMMYFUNCTION("VLOOKUP(F4440, IMPORTRANGE(""https://docs.google.com/spreadsheets/d/1Lhp9OU0JdFf_VYSMzH5lBcEaU4o8teT1piV-SNzShjg/edit?gid=554141278#gid=554141278"", ""'Char Def. - Attributes'!C20:C2242""), 1,false)"),"ALT_NUM_UOM4")</f>
        <v>ALT_NUM_UOM4</v>
      </c>
      <c r="I4440" s="136"/>
    </row>
    <row r="4441" ht="15.75" customHeight="1">
      <c r="B4441" s="63">
        <f t="shared" si="1"/>
        <v>18</v>
      </c>
      <c r="C4441" s="146" t="s">
        <v>257</v>
      </c>
      <c r="D4441" s="147" t="s">
        <v>74</v>
      </c>
      <c r="E4441" s="135">
        <f t="shared" si="59"/>
        <v>41</v>
      </c>
      <c r="F4441" s="152" t="s">
        <v>3873</v>
      </c>
      <c r="G4441" s="63" t="str">
        <f>VLOOKUP(C4441, 'Class Def. - General Data'!$C$20:$C$1000,1,false)</f>
        <v>ZPM1_Label_Sticker</v>
      </c>
      <c r="H4441" s="63" t="str">
        <f>IFERROR(__xludf.DUMMYFUNCTION("VLOOKUP(F4441, IMPORTRANGE(""https://docs.google.com/spreadsheets/d/1Lhp9OU0JdFf_VYSMzH5lBcEaU4o8teT1piV-SNzShjg/edit?gid=554141278#gid=554141278"", ""'Char Def. - Attributes'!C20:C2242""), 1,false)"),"ALT_UOM5_RMPM")</f>
        <v>ALT_UOM5_RMPM</v>
      </c>
      <c r="I4441" s="136"/>
    </row>
    <row r="4442" ht="15.75" customHeight="1">
      <c r="B4442" s="63">
        <f t="shared" si="1"/>
        <v>18</v>
      </c>
      <c r="C4442" s="146" t="s">
        <v>257</v>
      </c>
      <c r="D4442" s="147" t="s">
        <v>74</v>
      </c>
      <c r="E4442" s="135">
        <f t="shared" si="59"/>
        <v>42</v>
      </c>
      <c r="F4442" s="152" t="s">
        <v>3817</v>
      </c>
      <c r="G4442" s="63" t="str">
        <f>VLOOKUP(C4442, 'Class Def. - General Data'!$C$20:$C$1000,1,false)</f>
        <v>ZPM1_Label_Sticker</v>
      </c>
      <c r="H4442" s="63" t="str">
        <f>IFERROR(__xludf.DUMMYFUNCTION("VLOOKUP(F4442, IMPORTRANGE(""https://docs.google.com/spreadsheets/d/1Lhp9OU0JdFf_VYSMzH5lBcEaU4o8teT1piV-SNzShjg/edit?gid=554141278#gid=554141278"", ""'Char Def. - Attributes'!C20:C2242""), 1,false)"),"ALT_DENUM_UOM5")</f>
        <v>ALT_DENUM_UOM5</v>
      </c>
      <c r="I4442" s="136"/>
    </row>
    <row r="4443" ht="15.75" customHeight="1">
      <c r="B4443" s="63">
        <f t="shared" si="1"/>
        <v>18</v>
      </c>
      <c r="C4443" s="146" t="s">
        <v>257</v>
      </c>
      <c r="D4443" s="147" t="s">
        <v>74</v>
      </c>
      <c r="E4443" s="135">
        <f t="shared" si="59"/>
        <v>43</v>
      </c>
      <c r="F4443" s="152" t="s">
        <v>3818</v>
      </c>
      <c r="G4443" s="63" t="str">
        <f>VLOOKUP(C4443, 'Class Def. - General Data'!$C$20:$C$1000,1,false)</f>
        <v>ZPM1_Label_Sticker</v>
      </c>
      <c r="H4443" s="63" t="str">
        <f>IFERROR(__xludf.DUMMYFUNCTION("VLOOKUP(F4443, IMPORTRANGE(""https://docs.google.com/spreadsheets/d/1Lhp9OU0JdFf_VYSMzH5lBcEaU4o8teT1piV-SNzShjg/edit?gid=554141278#gid=554141278"", ""'Char Def. - Attributes'!C20:C2242""), 1,false)"),"ALT_NUM_UOM5")</f>
        <v>ALT_NUM_UOM5</v>
      </c>
      <c r="I4443" s="136"/>
    </row>
    <row r="4444" ht="15.75" customHeight="1">
      <c r="B4444" s="63">
        <f t="shared" si="1"/>
        <v>18</v>
      </c>
      <c r="C4444" s="146" t="s">
        <v>257</v>
      </c>
      <c r="D4444" s="147" t="s">
        <v>74</v>
      </c>
      <c r="E4444" s="135">
        <f t="shared" si="59"/>
        <v>44</v>
      </c>
      <c r="F4444" s="152" t="s">
        <v>3874</v>
      </c>
      <c r="G4444" s="63" t="str">
        <f>VLOOKUP(C4444, 'Class Def. - General Data'!$C$20:$C$1000,1,false)</f>
        <v>ZPM1_Label_Sticker</v>
      </c>
      <c r="H4444" s="63" t="str">
        <f>IFERROR(__xludf.DUMMYFUNCTION("VLOOKUP(F4444, IMPORTRANGE(""https://docs.google.com/spreadsheets/d/1Lhp9OU0JdFf_VYSMzH5lBcEaU4o8teT1piV-SNzShjg/edit?gid=554141278#gid=554141278"", ""'Char Def. - Attributes'!C20:C2242""), 1,false)"),"VALUATION_CATEGORY")</f>
        <v>VALUATION_CATEGORY</v>
      </c>
      <c r="I4444" s="136"/>
    </row>
    <row r="4445" ht="15.75" customHeight="1">
      <c r="B4445" s="63">
        <f t="shared" si="1"/>
        <v>18</v>
      </c>
      <c r="C4445" s="146" t="s">
        <v>257</v>
      </c>
      <c r="D4445" s="147" t="s">
        <v>74</v>
      </c>
      <c r="E4445" s="135">
        <f t="shared" si="59"/>
        <v>45</v>
      </c>
      <c r="F4445" s="152" t="s">
        <v>3800</v>
      </c>
      <c r="G4445" s="63" t="str">
        <f>VLOOKUP(C4445, 'Class Def. - General Data'!$C$20:$C$1000,1,false)</f>
        <v>ZPM1_Label_Sticker</v>
      </c>
      <c r="H4445" s="63" t="str">
        <f>IFERROR(__xludf.DUMMYFUNCTION("VLOOKUP(F4445, IMPORTRANGE(""https://docs.google.com/spreadsheets/d/1Lhp9OU0JdFf_VYSMzH5lBcEaU4o8teT1piV-SNzShjg/edit?gid=554141278#gid=554141278"", ""'Char Def. - Attributes'!C20:C2242""), 1,false)"),"ORDER_UNIT_DIFF_FROM_BASIC_UOM")</f>
        <v>ORDER_UNIT_DIFF_FROM_BASIC_UOM</v>
      </c>
      <c r="I4445" s="136"/>
    </row>
    <row r="4446" ht="15.75" customHeight="1">
      <c r="B4446" s="63">
        <f t="shared" si="1"/>
        <v>18</v>
      </c>
      <c r="C4446" s="146" t="s">
        <v>257</v>
      </c>
      <c r="D4446" s="147" t="s">
        <v>74</v>
      </c>
      <c r="E4446" s="135">
        <f t="shared" si="59"/>
        <v>46</v>
      </c>
      <c r="F4446" s="152" t="s">
        <v>3875</v>
      </c>
      <c r="G4446" s="63" t="str">
        <f>VLOOKUP(C4446, 'Class Def. - General Data'!$C$20:$C$1000,1,false)</f>
        <v>ZPM1_Label_Sticker</v>
      </c>
      <c r="H4446" s="63" t="str">
        <f>IFERROR(__xludf.DUMMYFUNCTION("VLOOKUP(F4446, IMPORTRANGE(""https://docs.google.com/spreadsheets/d/1Lhp9OU0JdFf_VYSMzH5lBcEaU4o8teT1piV-SNzShjg/edit?gid=554141278#gid=554141278"", ""'Char Def. - Attributes'!C20:C2242""), 1,false)"),"ORDER_UNIT_RMPM")</f>
        <v>ORDER_UNIT_RMPM</v>
      </c>
      <c r="I4446" s="136"/>
    </row>
    <row r="4447" ht="15.75" customHeight="1">
      <c r="B4447" s="63">
        <f t="shared" si="1"/>
        <v>18</v>
      </c>
      <c r="C4447" s="146" t="s">
        <v>257</v>
      </c>
      <c r="D4447" s="147" t="s">
        <v>74</v>
      </c>
      <c r="E4447" s="135">
        <f t="shared" si="59"/>
        <v>47</v>
      </c>
      <c r="F4447" s="151" t="s">
        <v>3602</v>
      </c>
      <c r="G4447" s="63" t="str">
        <f>VLOOKUP(C4447, 'Class Def. - General Data'!$C$20:$C$1000,1,false)</f>
        <v>ZPM1_Label_Sticker</v>
      </c>
      <c r="H4447" s="63" t="str">
        <f>IFERROR(__xludf.DUMMYFUNCTION("VLOOKUP(F4447, IMPORTRANGE(""https://docs.google.com/spreadsheets/d/1Lhp9OU0JdFf_VYSMzH5lBcEaU4o8teT1piV-SNzShjg/edit?gid=554141278#gid=554141278"", ""'Char Def. - Attributes'!C20:C2242""), 1,false)"),"NET_WEIGHT")</f>
        <v>NET_WEIGHT</v>
      </c>
      <c r="I4447" s="136"/>
    </row>
    <row r="4448" ht="15.75" customHeight="1">
      <c r="B4448" s="63">
        <f t="shared" si="1"/>
        <v>18</v>
      </c>
      <c r="C4448" s="146" t="s">
        <v>257</v>
      </c>
      <c r="D4448" s="147" t="s">
        <v>74</v>
      </c>
      <c r="E4448" s="135">
        <f t="shared" si="59"/>
        <v>48</v>
      </c>
      <c r="F4448" s="151" t="s">
        <v>3601</v>
      </c>
      <c r="G4448" s="63" t="str">
        <f>VLOOKUP(C4448, 'Class Def. - General Data'!$C$20:$C$1000,1,false)</f>
        <v>ZPM1_Label_Sticker</v>
      </c>
      <c r="H4448" s="63" t="str">
        <f>IFERROR(__xludf.DUMMYFUNCTION("VLOOKUP(F4448, IMPORTRANGE(""https://docs.google.com/spreadsheets/d/1Lhp9OU0JdFf_VYSMzH5lBcEaU4o8teT1piV-SNzShjg/edit?gid=554141278#gid=554141278"", ""'Char Def. - Attributes'!C20:C2242""), 1,false)"),"GROSS_WEIGHT")</f>
        <v>GROSS_WEIGHT</v>
      </c>
      <c r="I4448" s="136"/>
    </row>
    <row r="4449" ht="15.75" customHeight="1">
      <c r="B4449" s="63">
        <f t="shared" si="1"/>
        <v>18</v>
      </c>
      <c r="C4449" s="146" t="s">
        <v>257</v>
      </c>
      <c r="D4449" s="147" t="s">
        <v>74</v>
      </c>
      <c r="E4449" s="135">
        <f t="shared" si="59"/>
        <v>49</v>
      </c>
      <c r="F4449" s="134" t="s">
        <v>3876</v>
      </c>
      <c r="G4449" s="63" t="str">
        <f>VLOOKUP(C4449, 'Class Def. - General Data'!$C$20:$C$1000,1,false)</f>
        <v>ZPM1_Label_Sticker</v>
      </c>
      <c r="H4449" s="63" t="str">
        <f>IFERROR(__xludf.DUMMYFUNCTION("VLOOKUP(F4449, IMPORTRANGE(""https://docs.google.com/spreadsheets/d/1Lhp9OU0JdFf_VYSMzH5lBcEaU4o8teT1piV-SNzShjg/edit?gid=554141278#gid=554141278"", ""'Char Def. - Attributes'!C20:C2242""), 1,false)"),"WEIGHT_UNIT_PM")</f>
        <v>WEIGHT_UNIT_PM</v>
      </c>
      <c r="I4449" s="136"/>
    </row>
    <row r="4450" ht="15.75" customHeight="1">
      <c r="B4450" s="63">
        <f t="shared" si="1"/>
        <v>18</v>
      </c>
      <c r="C4450" s="146" t="s">
        <v>257</v>
      </c>
      <c r="D4450" s="147" t="s">
        <v>74</v>
      </c>
      <c r="E4450" s="135">
        <f t="shared" si="59"/>
        <v>50</v>
      </c>
      <c r="F4450" s="151" t="s">
        <v>3877</v>
      </c>
      <c r="G4450" s="63" t="str">
        <f>VLOOKUP(C4450, 'Class Def. - General Data'!$C$20:$C$1000,1,false)</f>
        <v>ZPM1_Label_Sticker</v>
      </c>
      <c r="H4450" s="63" t="str">
        <f>IFERROR(__xludf.DUMMYFUNCTION("VLOOKUP(F4450, IMPORTRANGE(""https://docs.google.com/spreadsheets/d/1Lhp9OU0JdFf_VYSMzH5lBcEaU4o8teT1piV-SNzShjg/edit?gid=554141278#gid=554141278"", ""'Char Def. - Attributes'!C20:C2242""), 1,false)"),"VOLUME_OPT")</f>
        <v>VOLUME_OPT</v>
      </c>
      <c r="I4450" s="136"/>
    </row>
    <row r="4451" ht="15.75" customHeight="1">
      <c r="B4451" s="63">
        <f t="shared" si="1"/>
        <v>18</v>
      </c>
      <c r="C4451" s="146" t="s">
        <v>257</v>
      </c>
      <c r="D4451" s="147" t="s">
        <v>74</v>
      </c>
      <c r="E4451" s="135">
        <f t="shared" si="59"/>
        <v>51</v>
      </c>
      <c r="F4451" s="152" t="s">
        <v>3878</v>
      </c>
      <c r="G4451" s="63" t="str">
        <f>VLOOKUP(C4451, 'Class Def. - General Data'!$C$20:$C$1000,1,false)</f>
        <v>ZPM1_Label_Sticker</v>
      </c>
      <c r="H4451" s="63" t="str">
        <f>IFERROR(__xludf.DUMMYFUNCTION("VLOOKUP(F4451, IMPORTRANGE(""https://docs.google.com/spreadsheets/d/1Lhp9OU0JdFf_VYSMzH5lBcEaU4o8teT1piV-SNzShjg/edit?gid=554141278#gid=554141278"", ""'Char Def. - Attributes'!C20:C2242""), 1,false)"),"VOLUME_UNIT")</f>
        <v>VOLUME_UNIT</v>
      </c>
      <c r="I4451" s="136"/>
    </row>
    <row r="4452" ht="15.75" customHeight="1">
      <c r="B4452" s="63">
        <f t="shared" si="1"/>
        <v>18</v>
      </c>
      <c r="C4452" s="146" t="s">
        <v>257</v>
      </c>
      <c r="D4452" s="147" t="s">
        <v>74</v>
      </c>
      <c r="E4452" s="135">
        <f t="shared" si="59"/>
        <v>52</v>
      </c>
      <c r="F4452" s="149" t="s">
        <v>3879</v>
      </c>
      <c r="G4452" s="63" t="str">
        <f>VLOOKUP(C4452, 'Class Def. - General Data'!$C$20:$C$1000,1,false)</f>
        <v>ZPM1_Label_Sticker</v>
      </c>
      <c r="H4452" s="63" t="str">
        <f>IFERROR(__xludf.DUMMYFUNCTION("VLOOKUP(F4452, IMPORTRANGE(""https://docs.google.com/spreadsheets/d/1Lhp9OU0JdFf_VYSMzH5lBcEaU4o8teT1piV-SNzShjg/edit?gid=554141278#gid=554141278"", ""'Char Def. - Attributes'!C20:C2242""), 1,false)"),"OLD_MAT_NO_RMPM")</f>
        <v>OLD_MAT_NO_RMPM</v>
      </c>
      <c r="I4452" s="136"/>
    </row>
    <row r="4453" ht="15.75" customHeight="1">
      <c r="B4453" s="63">
        <f t="shared" si="1"/>
        <v>18</v>
      </c>
      <c r="C4453" s="146" t="s">
        <v>257</v>
      </c>
      <c r="D4453" s="147" t="s">
        <v>74</v>
      </c>
      <c r="E4453" s="135">
        <f t="shared" si="59"/>
        <v>53</v>
      </c>
      <c r="F4453" s="148" t="s">
        <v>3880</v>
      </c>
      <c r="G4453" s="63" t="str">
        <f>VLOOKUP(C4453, 'Class Def. - General Data'!$C$20:$C$1000,1,false)</f>
        <v>ZPM1_Label_Sticker</v>
      </c>
      <c r="H4453" s="63" t="str">
        <f>IFERROR(__xludf.DUMMYFUNCTION("VLOOKUP(F4453, IMPORTRANGE(""https://docs.google.com/spreadsheets/d/1Lhp9OU0JdFf_VYSMzH5lBcEaU4o8teT1piV-SNzShjg/edit?gid=554141278#gid=554141278"", ""'Char Def. - Attributes'!C20:C2242""), 1,false)"),"NOTE_PM")</f>
        <v>NOTE_PM</v>
      </c>
      <c r="I4453" s="136"/>
    </row>
    <row r="4454" ht="15.75" customHeight="1">
      <c r="B4454" s="63">
        <f t="shared" si="1"/>
        <v>18</v>
      </c>
      <c r="C4454" s="146" t="s">
        <v>257</v>
      </c>
      <c r="D4454" s="147" t="s">
        <v>74</v>
      </c>
      <c r="E4454" s="135">
        <f t="shared" si="59"/>
        <v>54</v>
      </c>
      <c r="F4454" s="148" t="s">
        <v>3881</v>
      </c>
      <c r="G4454" s="63" t="str">
        <f>VLOOKUP(C4454, 'Class Def. - General Data'!$C$20:$C$1000,1,false)</f>
        <v>ZPM1_Label_Sticker</v>
      </c>
      <c r="H4454" s="63" t="str">
        <f>IFERROR(__xludf.DUMMYFUNCTION("VLOOKUP(F4454, IMPORTRANGE(""https://docs.google.com/spreadsheets/d/1Lhp9OU0JdFf_VYSMzH5lBcEaU4o8teT1piV-SNzShjg/edit?gid=554141278#gid=554141278"", ""'Char Def. - Attributes'!C20:C2242""), 1,false)"),"BS_BERSIH")</f>
        <v>BS_BERSIH</v>
      </c>
      <c r="I4454" s="136"/>
    </row>
    <row r="4455" ht="15.75" customHeight="1">
      <c r="B4455" s="63">
        <f t="shared" si="1"/>
        <v>18</v>
      </c>
      <c r="C4455" s="146" t="s">
        <v>257</v>
      </c>
      <c r="D4455" s="147" t="s">
        <v>74</v>
      </c>
      <c r="E4455" s="135">
        <f t="shared" si="59"/>
        <v>55</v>
      </c>
      <c r="F4455" s="148" t="s">
        <v>3882</v>
      </c>
      <c r="G4455" s="63" t="str">
        <f>VLOOKUP(C4455, 'Class Def. - General Data'!$C$20:$C$1000,1,false)</f>
        <v>ZPM1_Label_Sticker</v>
      </c>
      <c r="H4455" s="63" t="str">
        <f>IFERROR(__xludf.DUMMYFUNCTION("VLOOKUP(F4455, IMPORTRANGE(""https://docs.google.com/spreadsheets/d/1Lhp9OU0JdFf_VYSMzH5lBcEaU4o8teT1piV-SNzShjg/edit?gid=554141278#gid=554141278"", ""'Char Def. - Attributes'!C20:C2242""), 1,false)"),"BS_KOTOR")</f>
        <v>BS_KOTOR</v>
      </c>
      <c r="I4455" s="136"/>
    </row>
    <row r="4456" ht="15.75" customHeight="1">
      <c r="B4456" s="63">
        <f t="shared" si="1"/>
        <v>18</v>
      </c>
      <c r="C4456" s="146" t="s">
        <v>257</v>
      </c>
      <c r="D4456" s="147" t="s">
        <v>74</v>
      </c>
      <c r="E4456" s="135">
        <f t="shared" si="59"/>
        <v>56</v>
      </c>
      <c r="F4456" s="148" t="s">
        <v>3883</v>
      </c>
      <c r="G4456" s="63" t="str">
        <f>VLOOKUP(C4456, 'Class Def. - General Data'!$C$20:$C$1000,1,false)</f>
        <v>ZPM1_Label_Sticker</v>
      </c>
      <c r="H4456" s="63" t="str">
        <f>IFERROR(__xludf.DUMMYFUNCTION("VLOOKUP(F4456, IMPORTRANGE(""https://docs.google.com/spreadsheets/d/1Lhp9OU0JdFf_VYSMzH5lBcEaU4o8teT1piV-SNzShjg/edit?gid=554141278#gid=554141278"", ""'Char Def. - Attributes'!C20:C2242""), 1,false)"),"BS_SCRAP")</f>
        <v>BS_SCRAP</v>
      </c>
      <c r="I4456" s="136"/>
    </row>
    <row r="4457" ht="15.75" customHeight="1">
      <c r="B4457" s="63">
        <f t="shared" si="1"/>
        <v>10</v>
      </c>
      <c r="C4457" s="146" t="s">
        <v>256</v>
      </c>
      <c r="D4457" s="147" t="s">
        <v>74</v>
      </c>
      <c r="E4457" s="135">
        <f t="shared" si="59"/>
        <v>1</v>
      </c>
      <c r="F4457" s="148" t="s">
        <v>3949</v>
      </c>
      <c r="G4457" s="63" t="str">
        <f>VLOOKUP(C4457, 'Class Def. - General Data'!$C$20:$C$1000,1,false)</f>
        <v>ZPM1_Layer</v>
      </c>
      <c r="H4457" s="63" t="str">
        <f>IFERROR(__xludf.DUMMYFUNCTION("VLOOKUP(F4457, IMPORTRANGE(""https://docs.google.com/spreadsheets/d/1Lhp9OU0JdFf_VYSMzH5lBcEaU4o8teT1piV-SNzShjg/edit?gid=554141278#gid=554141278"", ""'Char Def. - Attributes'!C20:C2242""), 1,false)"),"MATERIAL_CODE_LAYER")</f>
        <v>MATERIAL_CODE_LAYER</v>
      </c>
      <c r="I4457" s="136"/>
    </row>
    <row r="4458" ht="15.75" customHeight="1">
      <c r="B4458" s="63">
        <f t="shared" si="1"/>
        <v>10</v>
      </c>
      <c r="C4458" s="146" t="s">
        <v>256</v>
      </c>
      <c r="D4458" s="147" t="s">
        <v>74</v>
      </c>
      <c r="E4458" s="135">
        <f t="shared" si="59"/>
        <v>2</v>
      </c>
      <c r="F4458" s="148" t="s">
        <v>3950</v>
      </c>
      <c r="G4458" s="63" t="str">
        <f>VLOOKUP(C4458, 'Class Def. - General Data'!$C$20:$C$1000,1,false)</f>
        <v>ZPM1_Layer</v>
      </c>
      <c r="H4458" s="63" t="str">
        <f>IFERROR(__xludf.DUMMYFUNCTION("VLOOKUP(F4458, IMPORTRANGE(""https://docs.google.com/spreadsheets/d/1Lhp9OU0JdFf_VYSMzH5lBcEaU4o8teT1piV-SNzShjg/edit?gid=554141278#gid=554141278"", ""'Char Def. - Attributes'!C20:C2242""), 1,false)"),"LENGTH_MM_13")</f>
        <v>LENGTH_MM_13</v>
      </c>
      <c r="I4458" s="136"/>
    </row>
    <row r="4459" ht="15.75" customHeight="1">
      <c r="B4459" s="63">
        <f t="shared" si="1"/>
        <v>10</v>
      </c>
      <c r="C4459" s="146" t="s">
        <v>256</v>
      </c>
      <c r="D4459" s="147" t="s">
        <v>74</v>
      </c>
      <c r="E4459" s="135">
        <f t="shared" si="59"/>
        <v>3</v>
      </c>
      <c r="F4459" s="148" t="s">
        <v>3918</v>
      </c>
      <c r="G4459" s="63" t="str">
        <f>VLOOKUP(C4459, 'Class Def. - General Data'!$C$20:$C$1000,1,false)</f>
        <v>ZPM1_Layer</v>
      </c>
      <c r="H4459" s="63" t="str">
        <f>IFERROR(__xludf.DUMMYFUNCTION("VLOOKUP(F4459, IMPORTRANGE(""https://docs.google.com/spreadsheets/d/1Lhp9OU0JdFf_VYSMzH5lBcEaU4o8teT1piV-SNzShjg/edit?gid=554141278#gid=554141278"", ""'Char Def. - Attributes'!C20:C2242""), 1,false)"),"WIDTH_MM_3")</f>
        <v>WIDTH_MM_3</v>
      </c>
      <c r="I4459" s="136"/>
    </row>
    <row r="4460" ht="15.75" customHeight="1">
      <c r="B4460" s="63">
        <f t="shared" si="1"/>
        <v>10</v>
      </c>
      <c r="C4460" s="146" t="s">
        <v>256</v>
      </c>
      <c r="D4460" s="147" t="s">
        <v>74</v>
      </c>
      <c r="E4460" s="135">
        <f t="shared" si="59"/>
        <v>4</v>
      </c>
      <c r="F4460" s="148" t="s">
        <v>2276</v>
      </c>
      <c r="G4460" s="63" t="str">
        <f>VLOOKUP(C4460, 'Class Def. - General Data'!$C$20:$C$1000,1,false)</f>
        <v>ZPM1_Layer</v>
      </c>
      <c r="H4460" s="63" t="str">
        <f>IFERROR(__xludf.DUMMYFUNCTION("VLOOKUP(F4460, IMPORTRANGE(""https://docs.google.com/spreadsheets/d/1Lhp9OU0JdFf_VYSMzH5lBcEaU4o8teT1piV-SNzShjg/edit?gid=554141278#gid=554141278"", ""'Char Def. - Attributes'!C20:C2242""), 1,false)"),"SHEET")</f>
        <v>SHEET</v>
      </c>
      <c r="I4460" s="136"/>
    </row>
    <row r="4461" ht="15.75" customHeight="1">
      <c r="B4461" s="63">
        <f t="shared" si="1"/>
        <v>10</v>
      </c>
      <c r="C4461" s="146" t="s">
        <v>256</v>
      </c>
      <c r="D4461" s="147" t="s">
        <v>74</v>
      </c>
      <c r="E4461" s="135">
        <f t="shared" si="59"/>
        <v>5</v>
      </c>
      <c r="F4461" s="148" t="s">
        <v>3913</v>
      </c>
      <c r="G4461" s="63" t="str">
        <f>VLOOKUP(C4461, 'Class Def. - General Data'!$C$20:$C$1000,1,false)</f>
        <v>ZPM1_Layer</v>
      </c>
      <c r="H4461" s="63" t="str">
        <f>IFERROR(__xludf.DUMMYFUNCTION("VLOOKUP(F4461, IMPORTRANGE(""https://docs.google.com/spreadsheets/d/1Lhp9OU0JdFf_VYSMzH5lBcEaU4o8teT1piV-SNzShjg/edit?gid=554141278#gid=554141278"", ""'Char Def. - Attributes'!C20:C2242""), 1,false)"),"PACK_CONTENT_AMOUNT_2")</f>
        <v>PACK_CONTENT_AMOUNT_2</v>
      </c>
      <c r="I4461" s="136"/>
    </row>
    <row r="4462" ht="15.75" customHeight="1">
      <c r="B4462" s="63">
        <f t="shared" si="1"/>
        <v>10</v>
      </c>
      <c r="C4462" s="146" t="s">
        <v>256</v>
      </c>
      <c r="D4462" s="147" t="s">
        <v>74</v>
      </c>
      <c r="E4462" s="135">
        <f t="shared" si="59"/>
        <v>6</v>
      </c>
      <c r="F4462" s="134" t="s">
        <v>3890</v>
      </c>
      <c r="G4462" s="63" t="str">
        <f>VLOOKUP(C4462, 'Class Def. - General Data'!$C$20:$C$1000,1,false)</f>
        <v>ZPM1_Layer</v>
      </c>
      <c r="H4462" s="63" t="str">
        <f>IFERROR(__xludf.DUMMYFUNCTION("VLOOKUP(F4462, IMPORTRANGE(""https://docs.google.com/spreadsheets/d/1Lhp9OU0JdFf_VYSMzH5lBcEaU4o8teT1piV-SNzShjg/edit?gid=554141278#gid=554141278"", ""'Char Def. - Attributes'!C20:C2242""), 1,false)"),"EXT_MAT_GRP")</f>
        <v>EXT_MAT_GRP</v>
      </c>
      <c r="I4462" s="136"/>
    </row>
    <row r="4463" ht="15.75" customHeight="1">
      <c r="B4463" s="63">
        <f t="shared" si="1"/>
        <v>10</v>
      </c>
      <c r="C4463" s="146" t="s">
        <v>256</v>
      </c>
      <c r="D4463" s="147" t="s">
        <v>74</v>
      </c>
      <c r="E4463" s="135">
        <f t="shared" si="59"/>
        <v>7</v>
      </c>
      <c r="F4463" s="134" t="s">
        <v>3905</v>
      </c>
      <c r="G4463" s="63" t="str">
        <f>VLOOKUP(C4463, 'Class Def. - General Data'!$C$20:$C$1000,1,false)</f>
        <v>ZPM1_Layer</v>
      </c>
      <c r="H4463" s="63" t="str">
        <f>IFERROR(__xludf.DUMMYFUNCTION("VLOOKUP(F4463, IMPORTRANGE(""https://docs.google.com/spreadsheets/d/1Lhp9OU0JdFf_VYSMzH5lBcEaU4o8teT1piV-SNzShjg/edit?gid=554141278#gid=554141278"", ""'Char Def. - Attributes'!C20:C2242""), 1,false)"),"SPEC_CODE")</f>
        <v>SPEC_CODE</v>
      </c>
      <c r="I4463" s="136"/>
    </row>
    <row r="4464" ht="15.75" customHeight="1">
      <c r="B4464" s="63">
        <f t="shared" si="1"/>
        <v>10</v>
      </c>
      <c r="C4464" s="146" t="s">
        <v>256</v>
      </c>
      <c r="D4464" s="147" t="s">
        <v>74</v>
      </c>
      <c r="E4464" s="135">
        <f t="shared" si="59"/>
        <v>8</v>
      </c>
      <c r="F4464" s="134" t="s">
        <v>3914</v>
      </c>
      <c r="G4464" s="63" t="str">
        <f>VLOOKUP(C4464, 'Class Def. - General Data'!$C$20:$C$1000,1,false)</f>
        <v>ZPM1_Layer</v>
      </c>
      <c r="H4464" s="63" t="str">
        <f>IFERROR(__xludf.DUMMYFUNCTION("VLOOKUP(F4464, IMPORTRANGE(""https://docs.google.com/spreadsheets/d/1Lhp9OU0JdFf_VYSMzH5lBcEaU4o8teT1piV-SNzShjg/edit?gid=554141278#gid=554141278"", ""'Char Def. - Attributes'!C20:C2242""), 1,false)"),"FLUTE")</f>
        <v>FLUTE</v>
      </c>
      <c r="I4464" s="136"/>
    </row>
    <row r="4465" ht="15.75" customHeight="1">
      <c r="B4465" s="63">
        <f t="shared" si="1"/>
        <v>10</v>
      </c>
      <c r="C4465" s="146" t="s">
        <v>256</v>
      </c>
      <c r="D4465" s="147" t="s">
        <v>74</v>
      </c>
      <c r="E4465" s="135">
        <f t="shared" si="59"/>
        <v>9</v>
      </c>
      <c r="F4465" s="149" t="s">
        <v>3916</v>
      </c>
      <c r="G4465" s="63" t="str">
        <f>VLOOKUP(C4465, 'Class Def. - General Data'!$C$20:$C$1000,1,false)</f>
        <v>ZPM1_Layer</v>
      </c>
      <c r="H4465" s="63" t="str">
        <f>IFERROR(__xludf.DUMMYFUNCTION("VLOOKUP(F4465, IMPORTRANGE(""https://docs.google.com/spreadsheets/d/1Lhp9OU0JdFf_VYSMzH5lBcEaU4o8teT1piV-SNzShjg/edit?gid=554141278#gid=554141278"", ""'Char Def. - Attributes'!C20:C2242""), 1,false)"),"SUBSTANCE")</f>
        <v>SUBSTANCE</v>
      </c>
      <c r="I4465" s="136"/>
    </row>
    <row r="4466" ht="15.75" customHeight="1">
      <c r="B4466" s="63">
        <f t="shared" si="1"/>
        <v>10</v>
      </c>
      <c r="C4466" s="146" t="s">
        <v>256</v>
      </c>
      <c r="D4466" s="147" t="s">
        <v>74</v>
      </c>
      <c r="E4466" s="135">
        <f t="shared" si="59"/>
        <v>10</v>
      </c>
      <c r="F4466" s="150" t="s">
        <v>3587</v>
      </c>
      <c r="G4466" s="63" t="str">
        <f>VLOOKUP(C4466, 'Class Def. - General Data'!$C$20:$C$1000,1,false)</f>
        <v>ZPM1_Layer</v>
      </c>
      <c r="H4466" s="63" t="str">
        <f>IFERROR(__xludf.DUMMYFUNCTION("VLOOKUP(F4466, IMPORTRANGE(""https://docs.google.com/spreadsheets/d/1Lhp9OU0JdFf_VYSMzH5lBcEaU4o8teT1piV-SNzShjg/edit?gid=554141278#gid=554141278"", ""'Char Def. - Attributes'!C20:C2242""), 1,false)"),"PLANT_BUY")</f>
        <v>PLANT_BUY</v>
      </c>
      <c r="I4466" s="136"/>
    </row>
    <row r="4467" ht="15.75" customHeight="1">
      <c r="B4467" s="63">
        <f t="shared" si="1"/>
        <v>10</v>
      </c>
      <c r="C4467" s="146" t="s">
        <v>256</v>
      </c>
      <c r="D4467" s="147" t="s">
        <v>74</v>
      </c>
      <c r="E4467" s="135">
        <f t="shared" si="59"/>
        <v>11</v>
      </c>
      <c r="F4467" s="149" t="s">
        <v>3865</v>
      </c>
      <c r="G4467" s="63" t="str">
        <f>VLOOKUP(C4467, 'Class Def. - General Data'!$C$20:$C$1000,1,false)</f>
        <v>ZPM1_Layer</v>
      </c>
      <c r="H4467" s="63" t="str">
        <f>IFERROR(__xludf.DUMMYFUNCTION("VLOOKUP(F4467, IMPORTRANGE(""https://docs.google.com/spreadsheets/d/1Lhp9OU0JdFf_VYSMzH5lBcEaU4o8teT1piV-SNzShjg/edit?gid=554141278#gid=554141278"", ""'Char Def. - Attributes'!C20:C2242""), 1,false)"),"PLANT_PROD_OPT")</f>
        <v>PLANT_PROD_OPT</v>
      </c>
      <c r="I4467" s="136"/>
    </row>
    <row r="4468" ht="15.75" customHeight="1">
      <c r="B4468" s="63">
        <f t="shared" si="1"/>
        <v>10</v>
      </c>
      <c r="C4468" s="146" t="s">
        <v>256</v>
      </c>
      <c r="D4468" s="147" t="s">
        <v>74</v>
      </c>
      <c r="E4468" s="135">
        <f t="shared" si="59"/>
        <v>12</v>
      </c>
      <c r="F4468" s="148" t="s">
        <v>3866</v>
      </c>
      <c r="G4468" s="63" t="str">
        <f>VLOOKUP(C4468, 'Class Def. - General Data'!$C$20:$C$1000,1,false)</f>
        <v>ZPM1_Layer</v>
      </c>
      <c r="H4468" s="63" t="str">
        <f>IFERROR(__xludf.DUMMYFUNCTION("VLOOKUP(F4468, IMPORTRANGE(""https://docs.google.com/spreadsheets/d/1Lhp9OU0JdFf_VYSMzH5lBcEaU4o8teT1piV-SNzShjg/edit?gid=554141278#gid=554141278"", ""'Char Def. - Attributes'!C20:C2242""), 1,false)"),"PM_SUPPLY_JKT")</f>
        <v>PM_SUPPLY_JKT</v>
      </c>
      <c r="I4468" s="136"/>
    </row>
    <row r="4469" ht="15.75" customHeight="1">
      <c r="B4469" s="63">
        <f t="shared" si="1"/>
        <v>10</v>
      </c>
      <c r="C4469" s="146" t="s">
        <v>256</v>
      </c>
      <c r="D4469" s="147" t="s">
        <v>74</v>
      </c>
      <c r="E4469" s="135">
        <f t="shared" si="59"/>
        <v>13</v>
      </c>
      <c r="F4469" s="148" t="s">
        <v>3867</v>
      </c>
      <c r="G4469" s="63" t="str">
        <f>VLOOKUP(C4469, 'Class Def. - General Data'!$C$20:$C$1000,1,false)</f>
        <v>ZPM1_Layer</v>
      </c>
      <c r="H4469" s="63" t="str">
        <f>IFERROR(__xludf.DUMMYFUNCTION("VLOOKUP(F4469, IMPORTRANGE(""https://docs.google.com/spreadsheets/d/1Lhp9OU0JdFf_VYSMzH5lBcEaU4o8teT1piV-SNzShjg/edit?gid=554141278#gid=554141278"", ""'Char Def. - Attributes'!C20:C2242""), 1,false)"),"PM_SUPPLY_SBY")</f>
        <v>PM_SUPPLY_SBY</v>
      </c>
      <c r="I4469" s="136"/>
    </row>
    <row r="4470" ht="15.75" customHeight="1">
      <c r="B4470" s="63">
        <f t="shared" si="1"/>
        <v>10</v>
      </c>
      <c r="C4470" s="146" t="s">
        <v>256</v>
      </c>
      <c r="D4470" s="147" t="s">
        <v>74</v>
      </c>
      <c r="E4470" s="135">
        <f t="shared" si="59"/>
        <v>14</v>
      </c>
      <c r="F4470" s="151" t="s">
        <v>3868</v>
      </c>
      <c r="G4470" s="63" t="str">
        <f>VLOOKUP(C4470, 'Class Def. - General Data'!$C$20:$C$1000,1,false)</f>
        <v>ZPM1_Layer</v>
      </c>
      <c r="H4470" s="63" t="str">
        <f>IFERROR(__xludf.DUMMYFUNCTION("VLOOKUP(F4470, IMPORTRANGE(""https://docs.google.com/spreadsheets/d/1Lhp9OU0JdFf_VYSMzH5lBcEaU4o8teT1piV-SNzShjg/edit?gid=554141278#gid=554141278"", ""'Char Def. - Attributes'!C20:C2242""), 1,false)"),"BASIC_UOM_RMPM")</f>
        <v>BASIC_UOM_RMPM</v>
      </c>
      <c r="I4470" s="136"/>
    </row>
    <row r="4471" ht="15.75" customHeight="1">
      <c r="B4471" s="63">
        <f t="shared" si="1"/>
        <v>10</v>
      </c>
      <c r="C4471" s="146" t="s">
        <v>256</v>
      </c>
      <c r="D4471" s="147" t="s">
        <v>74</v>
      </c>
      <c r="E4471" s="135">
        <f t="shared" si="59"/>
        <v>15</v>
      </c>
      <c r="F4471" s="152" t="s">
        <v>3869</v>
      </c>
      <c r="G4471" s="63" t="str">
        <f>VLOOKUP(C4471, 'Class Def. - General Data'!$C$20:$C$1000,1,false)</f>
        <v>ZPM1_Layer</v>
      </c>
      <c r="H4471" s="63" t="str">
        <f>IFERROR(__xludf.DUMMYFUNCTION("VLOOKUP(F4471, IMPORTRANGE(""https://docs.google.com/spreadsheets/d/1Lhp9OU0JdFf_VYSMzH5lBcEaU4o8teT1piV-SNzShjg/edit?gid=554141278#gid=554141278"", ""'Char Def. - Attributes'!C20:C2242""), 1,false)"),"ALT_UOM1_RMPM")</f>
        <v>ALT_UOM1_RMPM</v>
      </c>
      <c r="I4471" s="136"/>
    </row>
    <row r="4472" ht="15.75" customHeight="1">
      <c r="B4472" s="63">
        <f t="shared" si="1"/>
        <v>10</v>
      </c>
      <c r="C4472" s="146" t="s">
        <v>256</v>
      </c>
      <c r="D4472" s="147" t="s">
        <v>74</v>
      </c>
      <c r="E4472" s="135">
        <f t="shared" si="59"/>
        <v>16</v>
      </c>
      <c r="F4472" s="152" t="s">
        <v>3805</v>
      </c>
      <c r="G4472" s="63" t="str">
        <f>VLOOKUP(C4472, 'Class Def. - General Data'!$C$20:$C$1000,1,false)</f>
        <v>ZPM1_Layer</v>
      </c>
      <c r="H4472" s="63" t="str">
        <f>IFERROR(__xludf.DUMMYFUNCTION("VLOOKUP(F4472, IMPORTRANGE(""https://docs.google.com/spreadsheets/d/1Lhp9OU0JdFf_VYSMzH5lBcEaU4o8teT1piV-SNzShjg/edit?gid=554141278#gid=554141278"", ""'Char Def. - Attributes'!C20:C2242""), 1,false)"),"ALT_DENUM_UOM1")</f>
        <v>ALT_DENUM_UOM1</v>
      </c>
      <c r="I4472" s="136"/>
    </row>
    <row r="4473" ht="15.75" customHeight="1">
      <c r="B4473" s="63">
        <f t="shared" si="1"/>
        <v>10</v>
      </c>
      <c r="C4473" s="146" t="s">
        <v>256</v>
      </c>
      <c r="D4473" s="147" t="s">
        <v>74</v>
      </c>
      <c r="E4473" s="135">
        <f t="shared" si="59"/>
        <v>17</v>
      </c>
      <c r="F4473" s="152" t="s">
        <v>3806</v>
      </c>
      <c r="G4473" s="63" t="str">
        <f>VLOOKUP(C4473, 'Class Def. - General Data'!$C$20:$C$1000,1,false)</f>
        <v>ZPM1_Layer</v>
      </c>
      <c r="H4473" s="63" t="str">
        <f>IFERROR(__xludf.DUMMYFUNCTION("VLOOKUP(F4473, IMPORTRANGE(""https://docs.google.com/spreadsheets/d/1Lhp9OU0JdFf_VYSMzH5lBcEaU4o8teT1piV-SNzShjg/edit?gid=554141278#gid=554141278"", ""'Char Def. - Attributes'!C20:C2242""), 1,false)"),"ALT_NUM_UOM1")</f>
        <v>ALT_NUM_UOM1</v>
      </c>
      <c r="I4473" s="136"/>
    </row>
    <row r="4474" ht="15.75" customHeight="1">
      <c r="B4474" s="63">
        <f t="shared" si="1"/>
        <v>10</v>
      </c>
      <c r="C4474" s="146" t="s">
        <v>256</v>
      </c>
      <c r="D4474" s="147" t="s">
        <v>74</v>
      </c>
      <c r="E4474" s="135">
        <f t="shared" si="59"/>
        <v>18</v>
      </c>
      <c r="F4474" s="152" t="s">
        <v>3870</v>
      </c>
      <c r="G4474" s="63" t="str">
        <f>VLOOKUP(C4474, 'Class Def. - General Data'!$C$20:$C$1000,1,false)</f>
        <v>ZPM1_Layer</v>
      </c>
      <c r="H4474" s="63" t="str">
        <f>IFERROR(__xludf.DUMMYFUNCTION("VLOOKUP(F4474, IMPORTRANGE(""https://docs.google.com/spreadsheets/d/1Lhp9OU0JdFf_VYSMzH5lBcEaU4o8teT1piV-SNzShjg/edit?gid=554141278#gid=554141278"", ""'Char Def. - Attributes'!C20:C2242""), 1,false)"),"ALT_UOM2_RMPM")</f>
        <v>ALT_UOM2_RMPM</v>
      </c>
      <c r="I4474" s="136"/>
    </row>
    <row r="4475" ht="15.75" customHeight="1">
      <c r="B4475" s="63">
        <f t="shared" si="1"/>
        <v>10</v>
      </c>
      <c r="C4475" s="146" t="s">
        <v>256</v>
      </c>
      <c r="D4475" s="147" t="s">
        <v>74</v>
      </c>
      <c r="E4475" s="135">
        <f t="shared" si="59"/>
        <v>19</v>
      </c>
      <c r="F4475" s="152" t="s">
        <v>3808</v>
      </c>
      <c r="G4475" s="63" t="str">
        <f>VLOOKUP(C4475, 'Class Def. - General Data'!$C$20:$C$1000,1,false)</f>
        <v>ZPM1_Layer</v>
      </c>
      <c r="H4475" s="63" t="str">
        <f>IFERROR(__xludf.DUMMYFUNCTION("VLOOKUP(F4475, IMPORTRANGE(""https://docs.google.com/spreadsheets/d/1Lhp9OU0JdFf_VYSMzH5lBcEaU4o8teT1piV-SNzShjg/edit?gid=554141278#gid=554141278"", ""'Char Def. - Attributes'!C20:C2242""), 1,false)"),"ALT_DENUM_UOM2")</f>
        <v>ALT_DENUM_UOM2</v>
      </c>
      <c r="I4475" s="136"/>
    </row>
    <row r="4476" ht="15.75" customHeight="1">
      <c r="B4476" s="63">
        <f t="shared" si="1"/>
        <v>10</v>
      </c>
      <c r="C4476" s="146" t="s">
        <v>256</v>
      </c>
      <c r="D4476" s="147" t="s">
        <v>74</v>
      </c>
      <c r="E4476" s="135">
        <f t="shared" si="59"/>
        <v>20</v>
      </c>
      <c r="F4476" s="152" t="s">
        <v>3809</v>
      </c>
      <c r="G4476" s="63" t="str">
        <f>VLOOKUP(C4476, 'Class Def. - General Data'!$C$20:$C$1000,1,false)</f>
        <v>ZPM1_Layer</v>
      </c>
      <c r="H4476" s="63" t="str">
        <f>IFERROR(__xludf.DUMMYFUNCTION("VLOOKUP(F4476, IMPORTRANGE(""https://docs.google.com/spreadsheets/d/1Lhp9OU0JdFf_VYSMzH5lBcEaU4o8teT1piV-SNzShjg/edit?gid=554141278#gid=554141278"", ""'Char Def. - Attributes'!C20:C2242""), 1,false)"),"ALT_NUM_UOM2")</f>
        <v>ALT_NUM_UOM2</v>
      </c>
      <c r="I4476" s="136"/>
    </row>
    <row r="4477" ht="15.75" customHeight="1">
      <c r="B4477" s="63">
        <f t="shared" si="1"/>
        <v>10</v>
      </c>
      <c r="C4477" s="146" t="s">
        <v>256</v>
      </c>
      <c r="D4477" s="147" t="s">
        <v>74</v>
      </c>
      <c r="E4477" s="135">
        <f t="shared" si="59"/>
        <v>21</v>
      </c>
      <c r="F4477" s="152" t="s">
        <v>3871</v>
      </c>
      <c r="G4477" s="63" t="str">
        <f>VLOOKUP(C4477, 'Class Def. - General Data'!$C$20:$C$1000,1,false)</f>
        <v>ZPM1_Layer</v>
      </c>
      <c r="H4477" s="63" t="str">
        <f>IFERROR(__xludf.DUMMYFUNCTION("VLOOKUP(F4477, IMPORTRANGE(""https://docs.google.com/spreadsheets/d/1Lhp9OU0JdFf_VYSMzH5lBcEaU4o8teT1piV-SNzShjg/edit?gid=554141278#gid=554141278"", ""'Char Def. - Attributes'!C20:C2242""), 1,false)"),"ALT_UOM3_RMPM")</f>
        <v>ALT_UOM3_RMPM</v>
      </c>
      <c r="I4477" s="136"/>
    </row>
    <row r="4478" ht="15.75" customHeight="1">
      <c r="B4478" s="63">
        <f t="shared" si="1"/>
        <v>10</v>
      </c>
      <c r="C4478" s="146" t="s">
        <v>256</v>
      </c>
      <c r="D4478" s="147" t="s">
        <v>74</v>
      </c>
      <c r="E4478" s="135">
        <f t="shared" si="59"/>
        <v>22</v>
      </c>
      <c r="F4478" s="152" t="s">
        <v>3811</v>
      </c>
      <c r="G4478" s="63" t="str">
        <f>VLOOKUP(C4478, 'Class Def. - General Data'!$C$20:$C$1000,1,false)</f>
        <v>ZPM1_Layer</v>
      </c>
      <c r="H4478" s="63" t="str">
        <f>IFERROR(__xludf.DUMMYFUNCTION("VLOOKUP(F4478, IMPORTRANGE(""https://docs.google.com/spreadsheets/d/1Lhp9OU0JdFf_VYSMzH5lBcEaU4o8teT1piV-SNzShjg/edit?gid=554141278#gid=554141278"", ""'Char Def. - Attributes'!C20:C2242""), 1,false)"),"ALT_DENUM_UOM3")</f>
        <v>ALT_DENUM_UOM3</v>
      </c>
      <c r="I4478" s="136"/>
    </row>
    <row r="4479" ht="15.75" customHeight="1">
      <c r="B4479" s="63">
        <f t="shared" si="1"/>
        <v>10</v>
      </c>
      <c r="C4479" s="146" t="s">
        <v>256</v>
      </c>
      <c r="D4479" s="147" t="s">
        <v>74</v>
      </c>
      <c r="E4479" s="135">
        <f t="shared" si="59"/>
        <v>23</v>
      </c>
      <c r="F4479" s="152" t="s">
        <v>3812</v>
      </c>
      <c r="G4479" s="63" t="str">
        <f>VLOOKUP(C4479, 'Class Def. - General Data'!$C$20:$C$1000,1,false)</f>
        <v>ZPM1_Layer</v>
      </c>
      <c r="H4479" s="63" t="str">
        <f>IFERROR(__xludf.DUMMYFUNCTION("VLOOKUP(F4479, IMPORTRANGE(""https://docs.google.com/spreadsheets/d/1Lhp9OU0JdFf_VYSMzH5lBcEaU4o8teT1piV-SNzShjg/edit?gid=554141278#gid=554141278"", ""'Char Def. - Attributes'!C20:C2242""), 1,false)"),"ALT_NUM_UOM3")</f>
        <v>ALT_NUM_UOM3</v>
      </c>
      <c r="I4479" s="136"/>
    </row>
    <row r="4480" ht="15.75" customHeight="1">
      <c r="B4480" s="63">
        <f t="shared" si="1"/>
        <v>10</v>
      </c>
      <c r="C4480" s="146" t="s">
        <v>256</v>
      </c>
      <c r="D4480" s="147" t="s">
        <v>74</v>
      </c>
      <c r="E4480" s="135">
        <f t="shared" si="59"/>
        <v>24</v>
      </c>
      <c r="F4480" s="152" t="s">
        <v>3872</v>
      </c>
      <c r="G4480" s="63" t="str">
        <f>VLOOKUP(C4480, 'Class Def. - General Data'!$C$20:$C$1000,1,false)</f>
        <v>ZPM1_Layer</v>
      </c>
      <c r="H4480" s="63" t="str">
        <f>IFERROR(__xludf.DUMMYFUNCTION("VLOOKUP(F4480, IMPORTRANGE(""https://docs.google.com/spreadsheets/d/1Lhp9OU0JdFf_VYSMzH5lBcEaU4o8teT1piV-SNzShjg/edit?gid=554141278#gid=554141278"", ""'Char Def. - Attributes'!C20:C2242""), 1,false)"),"ALT_UOM4_RMPM")</f>
        <v>ALT_UOM4_RMPM</v>
      </c>
      <c r="I4480" s="136"/>
    </row>
    <row r="4481" ht="15.75" customHeight="1">
      <c r="B4481" s="63">
        <f t="shared" si="1"/>
        <v>10</v>
      </c>
      <c r="C4481" s="146" t="s">
        <v>256</v>
      </c>
      <c r="D4481" s="147" t="s">
        <v>74</v>
      </c>
      <c r="E4481" s="135">
        <f t="shared" si="59"/>
        <v>25</v>
      </c>
      <c r="F4481" s="148" t="s">
        <v>3814</v>
      </c>
      <c r="G4481" s="63" t="str">
        <f>VLOOKUP(C4481, 'Class Def. - General Data'!$C$20:$C$1000,1,false)</f>
        <v>ZPM1_Layer</v>
      </c>
      <c r="H4481" s="63" t="str">
        <f>IFERROR(__xludf.DUMMYFUNCTION("VLOOKUP(F4481, IMPORTRANGE(""https://docs.google.com/spreadsheets/d/1Lhp9OU0JdFf_VYSMzH5lBcEaU4o8teT1piV-SNzShjg/edit?gid=554141278#gid=554141278"", ""'Char Def. - Attributes'!C20:C2242""), 1,false)"),"ALT_DENUM_UOM4")</f>
        <v>ALT_DENUM_UOM4</v>
      </c>
      <c r="I4481" s="136"/>
    </row>
    <row r="4482" ht="15.75" customHeight="1">
      <c r="B4482" s="63">
        <f t="shared" si="1"/>
        <v>10</v>
      </c>
      <c r="C4482" s="146" t="s">
        <v>256</v>
      </c>
      <c r="D4482" s="147" t="s">
        <v>74</v>
      </c>
      <c r="E4482" s="135">
        <f t="shared" si="59"/>
        <v>26</v>
      </c>
      <c r="F4482" s="152" t="s">
        <v>3815</v>
      </c>
      <c r="G4482" s="63" t="str">
        <f>VLOOKUP(C4482, 'Class Def. - General Data'!$C$20:$C$1000,1,false)</f>
        <v>ZPM1_Layer</v>
      </c>
      <c r="H4482" s="63" t="str">
        <f>IFERROR(__xludf.DUMMYFUNCTION("VLOOKUP(F4482, IMPORTRANGE(""https://docs.google.com/spreadsheets/d/1Lhp9OU0JdFf_VYSMzH5lBcEaU4o8teT1piV-SNzShjg/edit?gid=554141278#gid=554141278"", ""'Char Def. - Attributes'!C20:C2242""), 1,false)"),"ALT_NUM_UOM4")</f>
        <v>ALT_NUM_UOM4</v>
      </c>
      <c r="I4482" s="136"/>
    </row>
    <row r="4483" ht="15.75" customHeight="1">
      <c r="B4483" s="63">
        <f t="shared" si="1"/>
        <v>10</v>
      </c>
      <c r="C4483" s="146" t="s">
        <v>256</v>
      </c>
      <c r="D4483" s="147" t="s">
        <v>74</v>
      </c>
      <c r="E4483" s="135">
        <f t="shared" si="59"/>
        <v>27</v>
      </c>
      <c r="F4483" s="152" t="s">
        <v>3873</v>
      </c>
      <c r="G4483" s="63" t="str">
        <f>VLOOKUP(C4483, 'Class Def. - General Data'!$C$20:$C$1000,1,false)</f>
        <v>ZPM1_Layer</v>
      </c>
      <c r="H4483" s="63" t="str">
        <f>IFERROR(__xludf.DUMMYFUNCTION("VLOOKUP(F4483, IMPORTRANGE(""https://docs.google.com/spreadsheets/d/1Lhp9OU0JdFf_VYSMzH5lBcEaU4o8teT1piV-SNzShjg/edit?gid=554141278#gid=554141278"", ""'Char Def. - Attributes'!C20:C2242""), 1,false)"),"ALT_UOM5_RMPM")</f>
        <v>ALT_UOM5_RMPM</v>
      </c>
      <c r="I4483" s="136"/>
    </row>
    <row r="4484" ht="15.75" customHeight="1">
      <c r="B4484" s="63">
        <f t="shared" si="1"/>
        <v>10</v>
      </c>
      <c r="C4484" s="146" t="s">
        <v>256</v>
      </c>
      <c r="D4484" s="147" t="s">
        <v>74</v>
      </c>
      <c r="E4484" s="135">
        <f t="shared" si="59"/>
        <v>28</v>
      </c>
      <c r="F4484" s="152" t="s">
        <v>3817</v>
      </c>
      <c r="G4484" s="63" t="str">
        <f>VLOOKUP(C4484, 'Class Def. - General Data'!$C$20:$C$1000,1,false)</f>
        <v>ZPM1_Layer</v>
      </c>
      <c r="H4484" s="63" t="str">
        <f>IFERROR(__xludf.DUMMYFUNCTION("VLOOKUP(F4484, IMPORTRANGE(""https://docs.google.com/spreadsheets/d/1Lhp9OU0JdFf_VYSMzH5lBcEaU4o8teT1piV-SNzShjg/edit?gid=554141278#gid=554141278"", ""'Char Def. - Attributes'!C20:C2242""), 1,false)"),"ALT_DENUM_UOM5")</f>
        <v>ALT_DENUM_UOM5</v>
      </c>
      <c r="I4484" s="136"/>
    </row>
    <row r="4485" ht="15.75" customHeight="1">
      <c r="B4485" s="63">
        <f t="shared" si="1"/>
        <v>10</v>
      </c>
      <c r="C4485" s="146" t="s">
        <v>256</v>
      </c>
      <c r="D4485" s="147" t="s">
        <v>74</v>
      </c>
      <c r="E4485" s="135">
        <f t="shared" si="59"/>
        <v>29</v>
      </c>
      <c r="F4485" s="152" t="s">
        <v>3818</v>
      </c>
      <c r="G4485" s="63" t="str">
        <f>VLOOKUP(C4485, 'Class Def. - General Data'!$C$20:$C$1000,1,false)</f>
        <v>ZPM1_Layer</v>
      </c>
      <c r="H4485" s="63" t="str">
        <f>IFERROR(__xludf.DUMMYFUNCTION("VLOOKUP(F4485, IMPORTRANGE(""https://docs.google.com/spreadsheets/d/1Lhp9OU0JdFf_VYSMzH5lBcEaU4o8teT1piV-SNzShjg/edit?gid=554141278#gid=554141278"", ""'Char Def. - Attributes'!C20:C2242""), 1,false)"),"ALT_NUM_UOM5")</f>
        <v>ALT_NUM_UOM5</v>
      </c>
      <c r="I4485" s="136"/>
    </row>
    <row r="4486" ht="15.75" customHeight="1">
      <c r="B4486" s="63">
        <f t="shared" si="1"/>
        <v>10</v>
      </c>
      <c r="C4486" s="146" t="s">
        <v>256</v>
      </c>
      <c r="D4486" s="147" t="s">
        <v>74</v>
      </c>
      <c r="E4486" s="135">
        <f t="shared" si="59"/>
        <v>30</v>
      </c>
      <c r="F4486" s="152" t="s">
        <v>3874</v>
      </c>
      <c r="G4486" s="63" t="str">
        <f>VLOOKUP(C4486, 'Class Def. - General Data'!$C$20:$C$1000,1,false)</f>
        <v>ZPM1_Layer</v>
      </c>
      <c r="H4486" s="63" t="str">
        <f>IFERROR(__xludf.DUMMYFUNCTION("VLOOKUP(F4486, IMPORTRANGE(""https://docs.google.com/spreadsheets/d/1Lhp9OU0JdFf_VYSMzH5lBcEaU4o8teT1piV-SNzShjg/edit?gid=554141278#gid=554141278"", ""'Char Def. - Attributes'!C20:C2242""), 1,false)"),"VALUATION_CATEGORY")</f>
        <v>VALUATION_CATEGORY</v>
      </c>
      <c r="I4486" s="136"/>
    </row>
    <row r="4487" ht="15.75" customHeight="1">
      <c r="B4487" s="63">
        <f t="shared" si="1"/>
        <v>10</v>
      </c>
      <c r="C4487" s="146" t="s">
        <v>256</v>
      </c>
      <c r="D4487" s="147" t="s">
        <v>74</v>
      </c>
      <c r="E4487" s="135">
        <f t="shared" si="59"/>
        <v>31</v>
      </c>
      <c r="F4487" s="152" t="s">
        <v>3800</v>
      </c>
      <c r="G4487" s="63" t="str">
        <f>VLOOKUP(C4487, 'Class Def. - General Data'!$C$20:$C$1000,1,false)</f>
        <v>ZPM1_Layer</v>
      </c>
      <c r="H4487" s="63" t="str">
        <f>IFERROR(__xludf.DUMMYFUNCTION("VLOOKUP(F4487, IMPORTRANGE(""https://docs.google.com/spreadsheets/d/1Lhp9OU0JdFf_VYSMzH5lBcEaU4o8teT1piV-SNzShjg/edit?gid=554141278#gid=554141278"", ""'Char Def. - Attributes'!C20:C2242""), 1,false)"),"ORDER_UNIT_DIFF_FROM_BASIC_UOM")</f>
        <v>ORDER_UNIT_DIFF_FROM_BASIC_UOM</v>
      </c>
      <c r="I4487" s="136"/>
    </row>
    <row r="4488" ht="15.75" customHeight="1">
      <c r="B4488" s="63">
        <f t="shared" si="1"/>
        <v>10</v>
      </c>
      <c r="C4488" s="146" t="s">
        <v>256</v>
      </c>
      <c r="D4488" s="147" t="s">
        <v>74</v>
      </c>
      <c r="E4488" s="135">
        <f t="shared" si="59"/>
        <v>32</v>
      </c>
      <c r="F4488" s="152" t="s">
        <v>3875</v>
      </c>
      <c r="G4488" s="63" t="str">
        <f>VLOOKUP(C4488, 'Class Def. - General Data'!$C$20:$C$1000,1,false)</f>
        <v>ZPM1_Layer</v>
      </c>
      <c r="H4488" s="63" t="str">
        <f>IFERROR(__xludf.DUMMYFUNCTION("VLOOKUP(F4488, IMPORTRANGE(""https://docs.google.com/spreadsheets/d/1Lhp9OU0JdFf_VYSMzH5lBcEaU4o8teT1piV-SNzShjg/edit?gid=554141278#gid=554141278"", ""'Char Def. - Attributes'!C20:C2242""), 1,false)"),"ORDER_UNIT_RMPM")</f>
        <v>ORDER_UNIT_RMPM</v>
      </c>
      <c r="I4488" s="136"/>
    </row>
    <row r="4489" ht="15.75" customHeight="1">
      <c r="B4489" s="63">
        <f t="shared" si="1"/>
        <v>10</v>
      </c>
      <c r="C4489" s="146" t="s">
        <v>256</v>
      </c>
      <c r="D4489" s="147" t="s">
        <v>74</v>
      </c>
      <c r="E4489" s="135">
        <f t="shared" si="59"/>
        <v>33</v>
      </c>
      <c r="F4489" s="151" t="s">
        <v>3602</v>
      </c>
      <c r="G4489" s="63" t="str">
        <f>VLOOKUP(C4489, 'Class Def. - General Data'!$C$20:$C$1000,1,false)</f>
        <v>ZPM1_Layer</v>
      </c>
      <c r="H4489" s="63" t="str">
        <f>IFERROR(__xludf.DUMMYFUNCTION("VLOOKUP(F4489, IMPORTRANGE(""https://docs.google.com/spreadsheets/d/1Lhp9OU0JdFf_VYSMzH5lBcEaU4o8teT1piV-SNzShjg/edit?gid=554141278#gid=554141278"", ""'Char Def. - Attributes'!C20:C2242""), 1,false)"),"NET_WEIGHT")</f>
        <v>NET_WEIGHT</v>
      </c>
      <c r="I4489" s="136"/>
    </row>
    <row r="4490" ht="15.75" customHeight="1">
      <c r="B4490" s="63">
        <f t="shared" si="1"/>
        <v>10</v>
      </c>
      <c r="C4490" s="146" t="s">
        <v>256</v>
      </c>
      <c r="D4490" s="147" t="s">
        <v>74</v>
      </c>
      <c r="E4490" s="135">
        <f t="shared" si="59"/>
        <v>34</v>
      </c>
      <c r="F4490" s="151" t="s">
        <v>3601</v>
      </c>
      <c r="G4490" s="63" t="str">
        <f>VLOOKUP(C4490, 'Class Def. - General Data'!$C$20:$C$1000,1,false)</f>
        <v>ZPM1_Layer</v>
      </c>
      <c r="H4490" s="63" t="str">
        <f>IFERROR(__xludf.DUMMYFUNCTION("VLOOKUP(F4490, IMPORTRANGE(""https://docs.google.com/spreadsheets/d/1Lhp9OU0JdFf_VYSMzH5lBcEaU4o8teT1piV-SNzShjg/edit?gid=554141278#gid=554141278"", ""'Char Def. - Attributes'!C20:C2242""), 1,false)"),"GROSS_WEIGHT")</f>
        <v>GROSS_WEIGHT</v>
      </c>
      <c r="I4490" s="136"/>
    </row>
    <row r="4491" ht="15.75" customHeight="1">
      <c r="B4491" s="63">
        <f t="shared" si="1"/>
        <v>10</v>
      </c>
      <c r="C4491" s="146" t="s">
        <v>256</v>
      </c>
      <c r="D4491" s="147" t="s">
        <v>74</v>
      </c>
      <c r="E4491" s="135">
        <f t="shared" si="59"/>
        <v>35</v>
      </c>
      <c r="F4491" s="134" t="s">
        <v>3876</v>
      </c>
      <c r="G4491" s="63" t="str">
        <f>VLOOKUP(C4491, 'Class Def. - General Data'!$C$20:$C$1000,1,false)</f>
        <v>ZPM1_Layer</v>
      </c>
      <c r="H4491" s="63" t="str">
        <f>IFERROR(__xludf.DUMMYFUNCTION("VLOOKUP(F4491, IMPORTRANGE(""https://docs.google.com/spreadsheets/d/1Lhp9OU0JdFf_VYSMzH5lBcEaU4o8teT1piV-SNzShjg/edit?gid=554141278#gid=554141278"", ""'Char Def. - Attributes'!C20:C2242""), 1,false)"),"WEIGHT_UNIT_PM")</f>
        <v>WEIGHT_UNIT_PM</v>
      </c>
      <c r="I4491" s="136"/>
    </row>
    <row r="4492" ht="15.75" customHeight="1">
      <c r="B4492" s="63">
        <f t="shared" si="1"/>
        <v>10</v>
      </c>
      <c r="C4492" s="146" t="s">
        <v>256</v>
      </c>
      <c r="D4492" s="147" t="s">
        <v>74</v>
      </c>
      <c r="E4492" s="135">
        <f t="shared" si="59"/>
        <v>36</v>
      </c>
      <c r="F4492" s="151" t="s">
        <v>3877</v>
      </c>
      <c r="G4492" s="63" t="str">
        <f>VLOOKUP(C4492, 'Class Def. - General Data'!$C$20:$C$1000,1,false)</f>
        <v>ZPM1_Layer</v>
      </c>
      <c r="H4492" s="63" t="str">
        <f>IFERROR(__xludf.DUMMYFUNCTION("VLOOKUP(F4492, IMPORTRANGE(""https://docs.google.com/spreadsheets/d/1Lhp9OU0JdFf_VYSMzH5lBcEaU4o8teT1piV-SNzShjg/edit?gid=554141278#gid=554141278"", ""'Char Def. - Attributes'!C20:C2242""), 1,false)"),"VOLUME_OPT")</f>
        <v>VOLUME_OPT</v>
      </c>
      <c r="I4492" s="136"/>
    </row>
    <row r="4493" ht="15.75" customHeight="1">
      <c r="B4493" s="63">
        <f t="shared" si="1"/>
        <v>10</v>
      </c>
      <c r="C4493" s="146" t="s">
        <v>256</v>
      </c>
      <c r="D4493" s="147" t="s">
        <v>74</v>
      </c>
      <c r="E4493" s="135">
        <f t="shared" si="59"/>
        <v>37</v>
      </c>
      <c r="F4493" s="152" t="s">
        <v>3878</v>
      </c>
      <c r="G4493" s="63" t="str">
        <f>VLOOKUP(C4493, 'Class Def. - General Data'!$C$20:$C$1000,1,false)</f>
        <v>ZPM1_Layer</v>
      </c>
      <c r="H4493" s="63" t="str">
        <f>IFERROR(__xludf.DUMMYFUNCTION("VLOOKUP(F4493, IMPORTRANGE(""https://docs.google.com/spreadsheets/d/1Lhp9OU0JdFf_VYSMzH5lBcEaU4o8teT1piV-SNzShjg/edit?gid=554141278#gid=554141278"", ""'Char Def. - Attributes'!C20:C2242""), 1,false)"),"VOLUME_UNIT")</f>
        <v>VOLUME_UNIT</v>
      </c>
      <c r="I4493" s="136"/>
    </row>
    <row r="4494" ht="15.75" customHeight="1">
      <c r="B4494" s="63">
        <f t="shared" si="1"/>
        <v>10</v>
      </c>
      <c r="C4494" s="146" t="s">
        <v>256</v>
      </c>
      <c r="D4494" s="147" t="s">
        <v>74</v>
      </c>
      <c r="E4494" s="135">
        <f t="shared" si="59"/>
        <v>38</v>
      </c>
      <c r="F4494" s="149" t="s">
        <v>3879</v>
      </c>
      <c r="G4494" s="63" t="str">
        <f>VLOOKUP(C4494, 'Class Def. - General Data'!$C$20:$C$1000,1,false)</f>
        <v>ZPM1_Layer</v>
      </c>
      <c r="H4494" s="63" t="str">
        <f>IFERROR(__xludf.DUMMYFUNCTION("VLOOKUP(F4494, IMPORTRANGE(""https://docs.google.com/spreadsheets/d/1Lhp9OU0JdFf_VYSMzH5lBcEaU4o8teT1piV-SNzShjg/edit?gid=554141278#gid=554141278"", ""'Char Def. - Attributes'!C20:C2242""), 1,false)"),"OLD_MAT_NO_RMPM")</f>
        <v>OLD_MAT_NO_RMPM</v>
      </c>
      <c r="I4494" s="136"/>
    </row>
    <row r="4495" ht="15.75" customHeight="1">
      <c r="B4495" s="63">
        <f t="shared" si="1"/>
        <v>10</v>
      </c>
      <c r="C4495" s="146" t="s">
        <v>256</v>
      </c>
      <c r="D4495" s="147" t="s">
        <v>74</v>
      </c>
      <c r="E4495" s="135">
        <f t="shared" si="59"/>
        <v>39</v>
      </c>
      <c r="F4495" s="148" t="s">
        <v>3880</v>
      </c>
      <c r="G4495" s="63" t="str">
        <f>VLOOKUP(C4495, 'Class Def. - General Data'!$C$20:$C$1000,1,false)</f>
        <v>ZPM1_Layer</v>
      </c>
      <c r="H4495" s="63" t="str">
        <f>IFERROR(__xludf.DUMMYFUNCTION("VLOOKUP(F4495, IMPORTRANGE(""https://docs.google.com/spreadsheets/d/1Lhp9OU0JdFf_VYSMzH5lBcEaU4o8teT1piV-SNzShjg/edit?gid=554141278#gid=554141278"", ""'Char Def. - Attributes'!C20:C2242""), 1,false)"),"NOTE_PM")</f>
        <v>NOTE_PM</v>
      </c>
      <c r="I4495" s="136"/>
    </row>
    <row r="4496" ht="15.75" customHeight="1">
      <c r="B4496" s="63">
        <f t="shared" si="1"/>
        <v>10</v>
      </c>
      <c r="C4496" s="146" t="s">
        <v>256</v>
      </c>
      <c r="D4496" s="147" t="s">
        <v>74</v>
      </c>
      <c r="E4496" s="135">
        <f t="shared" si="59"/>
        <v>40</v>
      </c>
      <c r="F4496" s="148" t="s">
        <v>3881</v>
      </c>
      <c r="G4496" s="63" t="str">
        <f>VLOOKUP(C4496, 'Class Def. - General Data'!$C$20:$C$1000,1,false)</f>
        <v>ZPM1_Layer</v>
      </c>
      <c r="H4496" s="63" t="str">
        <f>IFERROR(__xludf.DUMMYFUNCTION("VLOOKUP(F4496, IMPORTRANGE(""https://docs.google.com/spreadsheets/d/1Lhp9OU0JdFf_VYSMzH5lBcEaU4o8teT1piV-SNzShjg/edit?gid=554141278#gid=554141278"", ""'Char Def. - Attributes'!C20:C2242""), 1,false)"),"BS_BERSIH")</f>
        <v>BS_BERSIH</v>
      </c>
      <c r="I4496" s="136"/>
    </row>
    <row r="4497" ht="15.75" customHeight="1">
      <c r="B4497" s="63">
        <f t="shared" si="1"/>
        <v>10</v>
      </c>
      <c r="C4497" s="146" t="s">
        <v>256</v>
      </c>
      <c r="D4497" s="147" t="s">
        <v>74</v>
      </c>
      <c r="E4497" s="135">
        <f t="shared" si="59"/>
        <v>41</v>
      </c>
      <c r="F4497" s="148" t="s">
        <v>3882</v>
      </c>
      <c r="G4497" s="63" t="str">
        <f>VLOOKUP(C4497, 'Class Def. - General Data'!$C$20:$C$1000,1,false)</f>
        <v>ZPM1_Layer</v>
      </c>
      <c r="H4497" s="63" t="str">
        <f>IFERROR(__xludf.DUMMYFUNCTION("VLOOKUP(F4497, IMPORTRANGE(""https://docs.google.com/spreadsheets/d/1Lhp9OU0JdFf_VYSMzH5lBcEaU4o8teT1piV-SNzShjg/edit?gid=554141278#gid=554141278"", ""'Char Def. - Attributes'!C20:C2242""), 1,false)"),"BS_KOTOR")</f>
        <v>BS_KOTOR</v>
      </c>
      <c r="I4497" s="136"/>
    </row>
    <row r="4498" ht="15.75" customHeight="1">
      <c r="B4498" s="63">
        <f t="shared" si="1"/>
        <v>10</v>
      </c>
      <c r="C4498" s="146" t="s">
        <v>256</v>
      </c>
      <c r="D4498" s="147" t="s">
        <v>74</v>
      </c>
      <c r="E4498" s="135">
        <f t="shared" si="59"/>
        <v>42</v>
      </c>
      <c r="F4498" s="148" t="s">
        <v>3883</v>
      </c>
      <c r="G4498" s="63" t="str">
        <f>VLOOKUP(C4498, 'Class Def. - General Data'!$C$20:$C$1000,1,false)</f>
        <v>ZPM1_Layer</v>
      </c>
      <c r="H4498" s="63" t="str">
        <f>IFERROR(__xludf.DUMMYFUNCTION("VLOOKUP(F4498, IMPORTRANGE(""https://docs.google.com/spreadsheets/d/1Lhp9OU0JdFf_VYSMzH5lBcEaU4o8teT1piV-SNzShjg/edit?gid=554141278#gid=554141278"", ""'Char Def. - Attributes'!C20:C2242""), 1,false)"),"BS_SCRAP")</f>
        <v>BS_SCRAP</v>
      </c>
      <c r="I4498" s="136"/>
    </row>
    <row r="4499" ht="15.75" customHeight="1">
      <c r="B4499" s="63">
        <f t="shared" si="1"/>
        <v>17</v>
      </c>
      <c r="C4499" s="146" t="s">
        <v>282</v>
      </c>
      <c r="D4499" s="147" t="s">
        <v>74</v>
      </c>
      <c r="E4499" s="135">
        <f t="shared" si="59"/>
        <v>1</v>
      </c>
      <c r="F4499" s="148" t="s">
        <v>3951</v>
      </c>
      <c r="G4499" s="63" t="str">
        <f>VLOOKUP(C4499, 'Class Def. - General Data'!$C$20:$C$1000,1,false)</f>
        <v>ZPM1_NCKTagOutSlv</v>
      </c>
      <c r="H4499" s="63" t="str">
        <f>IFERROR(__xludf.DUMMYFUNCTION("VLOOKUP(F4499, IMPORTRANGE(""https://docs.google.com/spreadsheets/d/1Lhp9OU0JdFf_VYSMzH5lBcEaU4o8teT1piV-SNzShjg/edit?gid=554141278#gid=554141278"", ""'Char Def. - Attributes'!C20:C2242""), 1,false)"),"MATERIAL_CODE_NCKTAGOUTSLV")</f>
        <v>MATERIAL_CODE_NCKTAGOUTSLV</v>
      </c>
      <c r="I4499" s="136"/>
    </row>
    <row r="4500" ht="15.75" customHeight="1">
      <c r="B4500" s="63">
        <f t="shared" si="1"/>
        <v>17</v>
      </c>
      <c r="C4500" s="146" t="s">
        <v>282</v>
      </c>
      <c r="D4500" s="147" t="s">
        <v>74</v>
      </c>
      <c r="E4500" s="135">
        <f t="shared" si="59"/>
        <v>2</v>
      </c>
      <c r="F4500" s="134" t="s">
        <v>3852</v>
      </c>
      <c r="G4500" s="63" t="str">
        <f>VLOOKUP(C4500, 'Class Def. - General Data'!$C$20:$C$1000,1,false)</f>
        <v>ZPM1_NCKTagOutSlv</v>
      </c>
      <c r="H4500" s="63" t="str">
        <f>IFERROR(__xludf.DUMMYFUNCTION("VLOOKUP(F4500, IMPORTRANGE(""https://docs.google.com/spreadsheets/d/1Lhp9OU0JdFf_VYSMzH5lBcEaU4o8teT1piV-SNzShjg/edit?gid=554141278#gid=554141278"", ""'Char Def. - Attributes'!C20:C2242""), 1,false)"),"SINGLE_BRAND")</f>
        <v>SINGLE_BRAND</v>
      </c>
      <c r="I4500" s="136"/>
    </row>
    <row r="4501" ht="15.75" customHeight="1">
      <c r="B4501" s="63">
        <f t="shared" si="1"/>
        <v>17</v>
      </c>
      <c r="C4501" s="146" t="s">
        <v>282</v>
      </c>
      <c r="D4501" s="147" t="s">
        <v>74</v>
      </c>
      <c r="E4501" s="135">
        <f t="shared" si="59"/>
        <v>3</v>
      </c>
      <c r="F4501" s="153" t="s">
        <v>3853</v>
      </c>
      <c r="G4501" s="63" t="str">
        <f>VLOOKUP(C4501, 'Class Def. - General Data'!$C$20:$C$1000,1,false)</f>
        <v>ZPM1_NCKTagOutSlv</v>
      </c>
      <c r="H4501" s="63" t="str">
        <f>IFERROR(__xludf.DUMMYFUNCTION("VLOOKUP(F4501, IMPORTRANGE(""https://docs.google.com/spreadsheets/d/1Lhp9OU0JdFf_VYSMzH5lBcEaU4o8teT1piV-SNzShjg/edit?gid=554141278#gid=554141278"", ""'Char Def. - Attributes'!C20:C2242""), 1,false)"),"BRAND_WINGS")</f>
        <v>BRAND_WINGS</v>
      </c>
      <c r="I4501" s="136"/>
    </row>
    <row r="4502" ht="15.75" customHeight="1">
      <c r="B4502" s="63">
        <f t="shared" si="1"/>
        <v>17</v>
      </c>
      <c r="C4502" s="146" t="s">
        <v>282</v>
      </c>
      <c r="D4502" s="147" t="s">
        <v>74</v>
      </c>
      <c r="E4502" s="135">
        <f t="shared" si="59"/>
        <v>4</v>
      </c>
      <c r="F4502" s="134" t="s">
        <v>3854</v>
      </c>
      <c r="G4502" s="63" t="str">
        <f>VLOOKUP(C4502, 'Class Def. - General Data'!$C$20:$C$1000,1,false)</f>
        <v>ZPM1_NCKTagOutSlv</v>
      </c>
      <c r="H4502" s="63" t="str">
        <f>IFERROR(__xludf.DUMMYFUNCTION("VLOOKUP(F4502, IMPORTRANGE(""https://docs.google.com/spreadsheets/d/1Lhp9OU0JdFf_VYSMzH5lBcEaU4o8teT1piV-SNzShjg/edit?gid=554141278#gid=554141278"", ""'Char Def. - Attributes'!C20:C2242""), 1,false)"),"SINGLE_PACK_SHAPE")</f>
        <v>SINGLE_PACK_SHAPE</v>
      </c>
      <c r="I4502" s="136"/>
    </row>
    <row r="4503" ht="15.75" customHeight="1">
      <c r="B4503" s="63">
        <f t="shared" si="1"/>
        <v>17</v>
      </c>
      <c r="C4503" s="146" t="s">
        <v>282</v>
      </c>
      <c r="D4503" s="147" t="s">
        <v>74</v>
      </c>
      <c r="E4503" s="135">
        <f t="shared" si="59"/>
        <v>5</v>
      </c>
      <c r="F4503" s="153" t="s">
        <v>3855</v>
      </c>
      <c r="G4503" s="63" t="str">
        <f>VLOOKUP(C4503, 'Class Def. - General Data'!$C$20:$C$1000,1,false)</f>
        <v>ZPM1_NCKTagOutSlv</v>
      </c>
      <c r="H4503" s="63" t="str">
        <f>IFERROR(__xludf.DUMMYFUNCTION("VLOOKUP(F4503, IMPORTRANGE(""https://docs.google.com/spreadsheets/d/1Lhp9OU0JdFf_VYSMzH5lBcEaU4o8teT1piV-SNzShjg/edit?gid=554141278#gid=554141278"", ""'Char Def. - Attributes'!C20:C2242""), 1,false)"),"PACK_SHAPE")</f>
        <v>PACK_SHAPE</v>
      </c>
      <c r="I4503" s="136"/>
    </row>
    <row r="4504" ht="15.75" customHeight="1">
      <c r="B4504" s="63">
        <f t="shared" si="1"/>
        <v>17</v>
      </c>
      <c r="C4504" s="146" t="s">
        <v>282</v>
      </c>
      <c r="D4504" s="147" t="s">
        <v>74</v>
      </c>
      <c r="E4504" s="135">
        <f t="shared" si="59"/>
        <v>6</v>
      </c>
      <c r="F4504" s="134" t="s">
        <v>3856</v>
      </c>
      <c r="G4504" s="63" t="str">
        <f>VLOOKUP(C4504, 'Class Def. - General Data'!$C$20:$C$1000,1,false)</f>
        <v>ZPM1_NCKTagOutSlv</v>
      </c>
      <c r="H4504" s="63" t="str">
        <f>IFERROR(__xludf.DUMMYFUNCTION("VLOOKUP(F4504, IMPORTRANGE(""https://docs.google.com/spreadsheets/d/1Lhp9OU0JdFf_VYSMzH5lBcEaU4o8teT1piV-SNzShjg/edit?gid=554141278#gid=554141278"", ""'Char Def. - Attributes'!C20:C2242""), 1,false)"),"SINGLE_PACK_NETTO")</f>
        <v>SINGLE_PACK_NETTO</v>
      </c>
      <c r="I4504" s="136"/>
    </row>
    <row r="4505" ht="15.75" customHeight="1">
      <c r="B4505" s="63">
        <f t="shared" si="1"/>
        <v>17</v>
      </c>
      <c r="C4505" s="146" t="s">
        <v>282</v>
      </c>
      <c r="D4505" s="147" t="s">
        <v>74</v>
      </c>
      <c r="E4505" s="135">
        <f t="shared" si="59"/>
        <v>7</v>
      </c>
      <c r="F4505" s="153" t="s">
        <v>3605</v>
      </c>
      <c r="G4505" s="63" t="str">
        <f>VLOOKUP(C4505, 'Class Def. - General Data'!$C$20:$C$1000,1,false)</f>
        <v>ZPM1_NCKTagOutSlv</v>
      </c>
      <c r="H4505" s="63" t="str">
        <f>IFERROR(__xludf.DUMMYFUNCTION("VLOOKUP(F4505, IMPORTRANGE(""https://docs.google.com/spreadsheets/d/1Lhp9OU0JdFf_VYSMzH5lBcEaU4o8teT1piV-SNzShjg/edit?gid=554141278#gid=554141278"", ""'Char Def. - Attributes'!C20:C2242""), 1,false)"),"PACK_NETTO")</f>
        <v>PACK_NETTO</v>
      </c>
      <c r="I4505" s="136"/>
    </row>
    <row r="4506" ht="15.75" customHeight="1">
      <c r="B4506" s="63">
        <f t="shared" si="1"/>
        <v>17</v>
      </c>
      <c r="C4506" s="146" t="s">
        <v>282</v>
      </c>
      <c r="D4506" s="147" t="s">
        <v>74</v>
      </c>
      <c r="E4506" s="135">
        <f t="shared" si="59"/>
        <v>8</v>
      </c>
      <c r="F4506" s="153" t="s">
        <v>3857</v>
      </c>
      <c r="G4506" s="63" t="str">
        <f>VLOOKUP(C4506, 'Class Def. - General Data'!$C$20:$C$1000,1,false)</f>
        <v>ZPM1_NCKTagOutSlv</v>
      </c>
      <c r="H4506" s="63" t="str">
        <f>IFERROR(__xludf.DUMMYFUNCTION("VLOOKUP(F4506, IMPORTRANGE(""https://docs.google.com/spreadsheets/d/1Lhp9OU0JdFf_VYSMzH5lBcEaU4o8teT1piV-SNzShjg/edit?gid=554141278#gid=554141278"", ""'Char Def. - Attributes'!C20:C2242""), 1,false)"),"PACK_UOM")</f>
        <v>PACK_UOM</v>
      </c>
      <c r="I4506" s="136"/>
    </row>
    <row r="4507" ht="15.75" customHeight="1">
      <c r="B4507" s="63">
        <f t="shared" si="1"/>
        <v>17</v>
      </c>
      <c r="C4507" s="146" t="s">
        <v>282</v>
      </c>
      <c r="D4507" s="147" t="s">
        <v>74</v>
      </c>
      <c r="E4507" s="135">
        <f t="shared" si="59"/>
        <v>9</v>
      </c>
      <c r="F4507" s="134" t="s">
        <v>3858</v>
      </c>
      <c r="G4507" s="63" t="str">
        <f>VLOOKUP(C4507, 'Class Def. - General Data'!$C$20:$C$1000,1,false)</f>
        <v>ZPM1_NCKTagOutSlv</v>
      </c>
      <c r="H4507" s="63" t="str">
        <f>IFERROR(__xludf.DUMMYFUNCTION("VLOOKUP(F4507, IMPORTRANGE(""https://docs.google.com/spreadsheets/d/1Lhp9OU0JdFf_VYSMzH5lBcEaU4o8teT1piV-SNzShjg/edit?gid=554141278#gid=554141278"", ""'Char Def. - Attributes'!C20:C2242""), 1,false)"),"SINGLE_VARIAN")</f>
        <v>SINGLE_VARIAN</v>
      </c>
      <c r="I4507" s="136"/>
    </row>
    <row r="4508" ht="15.75" customHeight="1">
      <c r="B4508" s="63">
        <f t="shared" si="1"/>
        <v>17</v>
      </c>
      <c r="C4508" s="146" t="s">
        <v>282</v>
      </c>
      <c r="D4508" s="147" t="s">
        <v>74</v>
      </c>
      <c r="E4508" s="135">
        <f t="shared" si="59"/>
        <v>10</v>
      </c>
      <c r="F4508" s="153" t="s">
        <v>3607</v>
      </c>
      <c r="G4508" s="63" t="str">
        <f>VLOOKUP(C4508, 'Class Def. - General Data'!$C$20:$C$1000,1,false)</f>
        <v>ZPM1_NCKTagOutSlv</v>
      </c>
      <c r="H4508" s="63" t="str">
        <f>IFERROR(__xludf.DUMMYFUNCTION("VLOOKUP(F4508, IMPORTRANGE(""https://docs.google.com/spreadsheets/d/1Lhp9OU0JdFf_VYSMzH5lBcEaU4o8teT1piV-SNzShjg/edit?gid=554141278#gid=554141278"", ""'Char Def. - Attributes'!C20:C2242""), 1,false)"),"VARIAN")</f>
        <v>VARIAN</v>
      </c>
      <c r="I4508" s="136"/>
    </row>
    <row r="4509" ht="15.75" customHeight="1">
      <c r="B4509" s="63">
        <f t="shared" si="1"/>
        <v>17</v>
      </c>
      <c r="C4509" s="146" t="s">
        <v>282</v>
      </c>
      <c r="D4509" s="147" t="s">
        <v>74</v>
      </c>
      <c r="E4509" s="135">
        <f t="shared" si="59"/>
        <v>11</v>
      </c>
      <c r="F4509" s="134" t="s">
        <v>3859</v>
      </c>
      <c r="G4509" s="63" t="str">
        <f>VLOOKUP(C4509, 'Class Def. - General Data'!$C$20:$C$1000,1,false)</f>
        <v>ZPM1_NCKTagOutSlv</v>
      </c>
      <c r="H4509" s="63" t="str">
        <f>IFERROR(__xludf.DUMMYFUNCTION("VLOOKUP(F4509, IMPORTRANGE(""https://docs.google.com/spreadsheets/d/1Lhp9OU0JdFf_VYSMzH5lBcEaU4o8teT1piV-SNzShjg/edit?gid=554141278#gid=554141278"", ""'Char Def. - Attributes'!C20:C2242""), 1,false)"),"ADA_ADDITIONAL_PROMO")</f>
        <v>ADA_ADDITIONAL_PROMO</v>
      </c>
      <c r="I4509" s="136"/>
    </row>
    <row r="4510" ht="15.75" customHeight="1">
      <c r="B4510" s="63">
        <f t="shared" si="1"/>
        <v>17</v>
      </c>
      <c r="C4510" s="146" t="s">
        <v>282</v>
      </c>
      <c r="D4510" s="147" t="s">
        <v>74</v>
      </c>
      <c r="E4510" s="135">
        <f t="shared" si="59"/>
        <v>12</v>
      </c>
      <c r="F4510" s="153" t="s">
        <v>3609</v>
      </c>
      <c r="G4510" s="63" t="str">
        <f>VLOOKUP(C4510, 'Class Def. - General Data'!$C$20:$C$1000,1,false)</f>
        <v>ZPM1_NCKTagOutSlv</v>
      </c>
      <c r="H4510" s="63" t="str">
        <f>IFERROR(__xludf.DUMMYFUNCTION("VLOOKUP(F4510, IMPORTRANGE(""https://docs.google.com/spreadsheets/d/1Lhp9OU0JdFf_VYSMzH5lBcEaU4o8teT1piV-SNzShjg/edit?gid=554141278#gid=554141278"", ""'Char Def. - Attributes'!C20:C2242""), 1,false)"),"ADDITIONAL_PROMO")</f>
        <v>ADDITIONAL_PROMO</v>
      </c>
      <c r="I4510" s="136"/>
    </row>
    <row r="4511" ht="15.75" customHeight="1">
      <c r="B4511" s="63">
        <f t="shared" si="1"/>
        <v>17</v>
      </c>
      <c r="C4511" s="146" t="s">
        <v>282</v>
      </c>
      <c r="D4511" s="147" t="s">
        <v>74</v>
      </c>
      <c r="E4511" s="135">
        <f t="shared" si="59"/>
        <v>13</v>
      </c>
      <c r="F4511" s="134" t="s">
        <v>3860</v>
      </c>
      <c r="G4511" s="63" t="str">
        <f>VLOOKUP(C4511, 'Class Def. - General Data'!$C$20:$C$1000,1,false)</f>
        <v>ZPM1_NCKTagOutSlv</v>
      </c>
      <c r="H4511" s="63" t="str">
        <f>IFERROR(__xludf.DUMMYFUNCTION("VLOOKUP(F4511, IMPORTRANGE(""https://docs.google.com/spreadsheets/d/1Lhp9OU0JdFf_VYSMzH5lBcEaU4o8teT1piV-SNzShjg/edit?gid=554141278#gid=554141278"", ""'Char Def. - Attributes'!C20:C2242""), 1,false)"),"ADA_BANDED_PROMO")</f>
        <v>ADA_BANDED_PROMO</v>
      </c>
      <c r="I4511" s="136"/>
    </row>
    <row r="4512" ht="15.75" customHeight="1">
      <c r="B4512" s="63">
        <f t="shared" si="1"/>
        <v>17</v>
      </c>
      <c r="C4512" s="146" t="s">
        <v>282</v>
      </c>
      <c r="D4512" s="147" t="s">
        <v>74</v>
      </c>
      <c r="E4512" s="135">
        <f t="shared" si="59"/>
        <v>14</v>
      </c>
      <c r="F4512" s="153" t="s">
        <v>3610</v>
      </c>
      <c r="G4512" s="63" t="str">
        <f>VLOOKUP(C4512, 'Class Def. - General Data'!$C$20:$C$1000,1,false)</f>
        <v>ZPM1_NCKTagOutSlv</v>
      </c>
      <c r="H4512" s="63" t="str">
        <f>IFERROR(__xludf.DUMMYFUNCTION("VLOOKUP(F4512, IMPORTRANGE(""https://docs.google.com/spreadsheets/d/1Lhp9OU0JdFf_VYSMzH5lBcEaU4o8teT1piV-SNzShjg/edit?gid=554141278#gid=554141278"", ""'Char Def. - Attributes'!C20:C2242""), 1,false)"),"BANDED_PROMO")</f>
        <v>BANDED_PROMO</v>
      </c>
      <c r="I4512" s="136"/>
    </row>
    <row r="4513" ht="15.75" customHeight="1">
      <c r="B4513" s="63">
        <f t="shared" si="1"/>
        <v>17</v>
      </c>
      <c r="C4513" s="146" t="s">
        <v>282</v>
      </c>
      <c r="D4513" s="147" t="s">
        <v>74</v>
      </c>
      <c r="E4513" s="135">
        <f t="shared" si="59"/>
        <v>15</v>
      </c>
      <c r="F4513" s="134" t="s">
        <v>1292</v>
      </c>
      <c r="G4513" s="63" t="str">
        <f>VLOOKUP(C4513, 'Class Def. - General Data'!$C$20:$C$1000,1,false)</f>
        <v>ZPM1_NCKTagOutSlv</v>
      </c>
      <c r="H4513" s="63" t="str">
        <f>IFERROR(__xludf.DUMMYFUNCTION("VLOOKUP(F4513, IMPORTRANGE(""https://docs.google.com/spreadsheets/d/1Lhp9OU0JdFf_VYSMzH5lBcEaU4o8teT1piV-SNzShjg/edit?gid=554141278#gid=554141278"", ""'Char Def. - Attributes'!C20:C2242""), 1,false)"),"EXPORT")</f>
        <v>EXPORT</v>
      </c>
      <c r="I4513" s="136"/>
    </row>
    <row r="4514" ht="15.75" customHeight="1">
      <c r="B4514" s="63">
        <f t="shared" si="1"/>
        <v>17</v>
      </c>
      <c r="C4514" s="146" t="s">
        <v>282</v>
      </c>
      <c r="D4514" s="147" t="s">
        <v>74</v>
      </c>
      <c r="E4514" s="135">
        <f t="shared" si="59"/>
        <v>16</v>
      </c>
      <c r="F4514" s="153" t="s">
        <v>3612</v>
      </c>
      <c r="G4514" s="63" t="str">
        <f>VLOOKUP(C4514, 'Class Def. - General Data'!$C$20:$C$1000,1,false)</f>
        <v>ZPM1_NCKTagOutSlv</v>
      </c>
      <c r="H4514" s="63" t="str">
        <f>IFERROR(__xludf.DUMMYFUNCTION("VLOOKUP(F4514, IMPORTRANGE(""https://docs.google.com/spreadsheets/d/1Lhp9OU0JdFf_VYSMzH5lBcEaU4o8teT1piV-SNzShjg/edit?gid=554141278#gid=554141278"", ""'Char Def. - Attributes'!C20:C2242""), 1,false)"),"COUNTRY_EKSPOR")</f>
        <v>COUNTRY_EKSPOR</v>
      </c>
      <c r="I4514" s="136"/>
    </row>
    <row r="4515" ht="15.75" customHeight="1">
      <c r="B4515" s="63">
        <f t="shared" si="1"/>
        <v>17</v>
      </c>
      <c r="C4515" s="146" t="s">
        <v>282</v>
      </c>
      <c r="D4515" s="147" t="s">
        <v>74</v>
      </c>
      <c r="E4515" s="135">
        <f t="shared" si="59"/>
        <v>17</v>
      </c>
      <c r="F4515" s="152" t="s">
        <v>3861</v>
      </c>
      <c r="G4515" s="63" t="str">
        <f>VLOOKUP(C4515, 'Class Def. - General Data'!$C$20:$C$1000,1,false)</f>
        <v>ZPM1_NCKTagOutSlv</v>
      </c>
      <c r="H4515" s="63" t="str">
        <f>IFERROR(__xludf.DUMMYFUNCTION("VLOOKUP(F4515, IMPORTRANGE(""https://docs.google.com/spreadsheets/d/1Lhp9OU0JdFf_VYSMzH5lBcEaU4o8teT1piV-SNzShjg/edit?gid=554141278#gid=554141278"", ""'Char Def. - Attributes'!C20:C2242""), 1,false)"),"PEMBATAS")</f>
        <v>PEMBATAS</v>
      </c>
      <c r="I4515" s="136"/>
    </row>
    <row r="4516" ht="15.75" customHeight="1">
      <c r="B4516" s="63">
        <f t="shared" si="1"/>
        <v>17</v>
      </c>
      <c r="C4516" s="146" t="s">
        <v>282</v>
      </c>
      <c r="D4516" s="147" t="s">
        <v>74</v>
      </c>
      <c r="E4516" s="135">
        <f t="shared" si="59"/>
        <v>18</v>
      </c>
      <c r="F4516" s="152" t="s">
        <v>3888</v>
      </c>
      <c r="G4516" s="63" t="str">
        <f>VLOOKUP(C4516, 'Class Def. - General Data'!$C$20:$C$1000,1,false)</f>
        <v>ZPM1_NCKTagOutSlv</v>
      </c>
      <c r="H4516" s="63" t="str">
        <f>IFERROR(__xludf.DUMMYFUNCTION("VLOOKUP(F4516, IMPORTRANGE(""https://docs.google.com/spreadsheets/d/1Lhp9OU0JdFf_VYSMzH5lBcEaU4o8teT1piV-SNzShjg/edit?gid=554141278#gid=554141278"", ""'Char Def. - Attributes'!C20:C2242""), 1,false)"),"PACK_CODE_OPT")</f>
        <v>PACK_CODE_OPT</v>
      </c>
      <c r="I4516" s="136"/>
    </row>
    <row r="4517" ht="15.75" customHeight="1">
      <c r="B4517" s="63">
        <f t="shared" si="1"/>
        <v>17</v>
      </c>
      <c r="C4517" s="146" t="s">
        <v>282</v>
      </c>
      <c r="D4517" s="147" t="s">
        <v>74</v>
      </c>
      <c r="E4517" s="135">
        <f t="shared" si="59"/>
        <v>19</v>
      </c>
      <c r="F4517" s="148" t="s">
        <v>3889</v>
      </c>
      <c r="G4517" s="63" t="str">
        <f>VLOOKUP(C4517, 'Class Def. - General Data'!$C$20:$C$1000,1,false)</f>
        <v>ZPM1_NCKTagOutSlv</v>
      </c>
      <c r="H4517" s="63" t="str">
        <f>IFERROR(__xludf.DUMMYFUNCTION("VLOOKUP(F4517, IMPORTRANGE(""https://docs.google.com/spreadsheets/d/1Lhp9OU0JdFf_VYSMzH5lBcEaU4o8teT1piV-SNzShjg/edit?gid=554141278#gid=554141278"", ""'Char Def. - Attributes'!C20:C2242""), 1,false)"),"PACK_CONTENT_AMOUNT_4")</f>
        <v>PACK_CONTENT_AMOUNT_4</v>
      </c>
      <c r="I4517" s="136"/>
    </row>
    <row r="4518" ht="15.75" customHeight="1">
      <c r="B4518" s="63">
        <f t="shared" si="1"/>
        <v>17</v>
      </c>
      <c r="C4518" s="146" t="s">
        <v>282</v>
      </c>
      <c r="D4518" s="147" t="s">
        <v>74</v>
      </c>
      <c r="E4518" s="135">
        <f t="shared" si="59"/>
        <v>20</v>
      </c>
      <c r="F4518" s="152" t="s">
        <v>3862</v>
      </c>
      <c r="G4518" s="63" t="str">
        <f>VLOOKUP(C4518, 'Class Def. - General Data'!$C$20:$C$1000,1,false)</f>
        <v>ZPM1_NCKTagOutSlv</v>
      </c>
      <c r="H4518" s="63" t="str">
        <f>IFERROR(__xludf.DUMMYFUNCTION("VLOOKUP(F4518, IMPORTRANGE(""https://docs.google.com/spreadsheets/d/1Lhp9OU0JdFf_VYSMzH5lBcEaU4o8teT1piV-SNzShjg/edit?gid=554141278#gid=554141278"", ""'Char Def. - Attributes'!C20:C2242""), 1,false)"),"MONTH")</f>
        <v>MONTH</v>
      </c>
      <c r="I4518" s="136"/>
    </row>
    <row r="4519" ht="15.75" customHeight="1">
      <c r="B4519" s="63">
        <f t="shared" si="1"/>
        <v>17</v>
      </c>
      <c r="C4519" s="146" t="s">
        <v>282</v>
      </c>
      <c r="D4519" s="147" t="s">
        <v>74</v>
      </c>
      <c r="E4519" s="135">
        <f t="shared" si="59"/>
        <v>21</v>
      </c>
      <c r="F4519" s="152" t="s">
        <v>3863</v>
      </c>
      <c r="G4519" s="63" t="str">
        <f>VLOOKUP(C4519, 'Class Def. - General Data'!$C$20:$C$1000,1,false)</f>
        <v>ZPM1_NCKTagOutSlv</v>
      </c>
      <c r="H4519" s="63" t="str">
        <f>IFERROR(__xludf.DUMMYFUNCTION("VLOOKUP(F4519, IMPORTRANGE(""https://docs.google.com/spreadsheets/d/1Lhp9OU0JdFf_VYSMzH5lBcEaU4o8teT1piV-SNzShjg/edit?gid=554141278#gid=554141278"", ""'Char Def. - Attributes'!C20:C2242""), 1,false)"),"YEAR")</f>
        <v>YEAR</v>
      </c>
      <c r="I4519" s="136"/>
    </row>
    <row r="4520" ht="15.75" customHeight="1">
      <c r="B4520" s="63">
        <f t="shared" si="1"/>
        <v>17</v>
      </c>
      <c r="C4520" s="146" t="s">
        <v>282</v>
      </c>
      <c r="D4520" s="147" t="s">
        <v>74</v>
      </c>
      <c r="E4520" s="135">
        <f t="shared" si="59"/>
        <v>22</v>
      </c>
      <c r="F4520" s="149" t="s">
        <v>3890</v>
      </c>
      <c r="G4520" s="63" t="str">
        <f>VLOOKUP(C4520, 'Class Def. - General Data'!$C$20:$C$1000,1,false)</f>
        <v>ZPM1_NCKTagOutSlv</v>
      </c>
      <c r="H4520" s="63" t="str">
        <f>IFERROR(__xludf.DUMMYFUNCTION("VLOOKUP(F4520, IMPORTRANGE(""https://docs.google.com/spreadsheets/d/1Lhp9OU0JdFf_VYSMzH5lBcEaU4o8teT1piV-SNzShjg/edit?gid=554141278#gid=554141278"", ""'Char Def. - Attributes'!C20:C2242""), 1,false)"),"EXT_MAT_GRP")</f>
        <v>EXT_MAT_GRP</v>
      </c>
      <c r="I4520" s="136"/>
    </row>
    <row r="4521" ht="15.75" customHeight="1">
      <c r="B4521" s="63">
        <f t="shared" si="1"/>
        <v>17</v>
      </c>
      <c r="C4521" s="146" t="s">
        <v>282</v>
      </c>
      <c r="D4521" s="147" t="s">
        <v>74</v>
      </c>
      <c r="E4521" s="135">
        <f t="shared" si="59"/>
        <v>23</v>
      </c>
      <c r="F4521" s="149" t="s">
        <v>3905</v>
      </c>
      <c r="G4521" s="63" t="str">
        <f>VLOOKUP(C4521, 'Class Def. - General Data'!$C$20:$C$1000,1,false)</f>
        <v>ZPM1_NCKTagOutSlv</v>
      </c>
      <c r="H4521" s="63" t="str">
        <f>IFERROR(__xludf.DUMMYFUNCTION("VLOOKUP(F4521, IMPORTRANGE(""https://docs.google.com/spreadsheets/d/1Lhp9OU0JdFf_VYSMzH5lBcEaU4o8teT1piV-SNzShjg/edit?gid=554141278#gid=554141278"", ""'Char Def. - Attributes'!C20:C2242""), 1,false)"),"SPEC_CODE")</f>
        <v>SPEC_CODE</v>
      </c>
      <c r="I4521" s="136"/>
    </row>
    <row r="4522" ht="15.75" customHeight="1">
      <c r="B4522" s="63">
        <f t="shared" si="1"/>
        <v>17</v>
      </c>
      <c r="C4522" s="146" t="s">
        <v>282</v>
      </c>
      <c r="D4522" s="147" t="s">
        <v>74</v>
      </c>
      <c r="E4522" s="135">
        <f t="shared" si="59"/>
        <v>24</v>
      </c>
      <c r="F4522" s="150" t="s">
        <v>3587</v>
      </c>
      <c r="G4522" s="63" t="str">
        <f>VLOOKUP(C4522, 'Class Def. - General Data'!$C$20:$C$1000,1,false)</f>
        <v>ZPM1_NCKTagOutSlv</v>
      </c>
      <c r="H4522" s="63" t="str">
        <f>IFERROR(__xludf.DUMMYFUNCTION("VLOOKUP(F4522, IMPORTRANGE(""https://docs.google.com/spreadsheets/d/1Lhp9OU0JdFf_VYSMzH5lBcEaU4o8teT1piV-SNzShjg/edit?gid=554141278#gid=554141278"", ""'Char Def. - Attributes'!C20:C2242""), 1,false)"),"PLANT_BUY")</f>
        <v>PLANT_BUY</v>
      </c>
      <c r="I4522" s="136"/>
    </row>
    <row r="4523" ht="15.75" customHeight="1">
      <c r="B4523" s="63">
        <f t="shared" si="1"/>
        <v>17</v>
      </c>
      <c r="C4523" s="146" t="s">
        <v>282</v>
      </c>
      <c r="D4523" s="147" t="s">
        <v>74</v>
      </c>
      <c r="E4523" s="135">
        <f t="shared" si="59"/>
        <v>25</v>
      </c>
      <c r="F4523" s="149" t="s">
        <v>3865</v>
      </c>
      <c r="G4523" s="63" t="str">
        <f>VLOOKUP(C4523, 'Class Def. - General Data'!$C$20:$C$1000,1,false)</f>
        <v>ZPM1_NCKTagOutSlv</v>
      </c>
      <c r="H4523" s="63" t="str">
        <f>IFERROR(__xludf.DUMMYFUNCTION("VLOOKUP(F4523, IMPORTRANGE(""https://docs.google.com/spreadsheets/d/1Lhp9OU0JdFf_VYSMzH5lBcEaU4o8teT1piV-SNzShjg/edit?gid=554141278#gid=554141278"", ""'Char Def. - Attributes'!C20:C2242""), 1,false)"),"PLANT_PROD_OPT")</f>
        <v>PLANT_PROD_OPT</v>
      </c>
      <c r="I4523" s="136"/>
    </row>
    <row r="4524" ht="15.75" customHeight="1">
      <c r="B4524" s="63">
        <f t="shared" si="1"/>
        <v>17</v>
      </c>
      <c r="C4524" s="146" t="s">
        <v>282</v>
      </c>
      <c r="D4524" s="147" t="s">
        <v>74</v>
      </c>
      <c r="E4524" s="135">
        <f t="shared" si="59"/>
        <v>26</v>
      </c>
      <c r="F4524" s="148" t="s">
        <v>3866</v>
      </c>
      <c r="G4524" s="63" t="str">
        <f>VLOOKUP(C4524, 'Class Def. - General Data'!$C$20:$C$1000,1,false)</f>
        <v>ZPM1_NCKTagOutSlv</v>
      </c>
      <c r="H4524" s="63" t="str">
        <f>IFERROR(__xludf.DUMMYFUNCTION("VLOOKUP(F4524, IMPORTRANGE(""https://docs.google.com/spreadsheets/d/1Lhp9OU0JdFf_VYSMzH5lBcEaU4o8teT1piV-SNzShjg/edit?gid=554141278#gid=554141278"", ""'Char Def. - Attributes'!C20:C2242""), 1,false)"),"PM_SUPPLY_JKT")</f>
        <v>PM_SUPPLY_JKT</v>
      </c>
      <c r="I4524" s="136"/>
    </row>
    <row r="4525" ht="15.75" customHeight="1">
      <c r="B4525" s="63">
        <f t="shared" si="1"/>
        <v>17</v>
      </c>
      <c r="C4525" s="146" t="s">
        <v>282</v>
      </c>
      <c r="D4525" s="147" t="s">
        <v>74</v>
      </c>
      <c r="E4525" s="135">
        <f t="shared" si="59"/>
        <v>27</v>
      </c>
      <c r="F4525" s="148" t="s">
        <v>3867</v>
      </c>
      <c r="G4525" s="63" t="str">
        <f>VLOOKUP(C4525, 'Class Def. - General Data'!$C$20:$C$1000,1,false)</f>
        <v>ZPM1_NCKTagOutSlv</v>
      </c>
      <c r="H4525" s="63" t="str">
        <f>IFERROR(__xludf.DUMMYFUNCTION("VLOOKUP(F4525, IMPORTRANGE(""https://docs.google.com/spreadsheets/d/1Lhp9OU0JdFf_VYSMzH5lBcEaU4o8teT1piV-SNzShjg/edit?gid=554141278#gid=554141278"", ""'Char Def. - Attributes'!C20:C2242""), 1,false)"),"PM_SUPPLY_SBY")</f>
        <v>PM_SUPPLY_SBY</v>
      </c>
      <c r="I4525" s="136"/>
    </row>
    <row r="4526" ht="15.75" customHeight="1">
      <c r="B4526" s="63">
        <f t="shared" si="1"/>
        <v>17</v>
      </c>
      <c r="C4526" s="146" t="s">
        <v>282</v>
      </c>
      <c r="D4526" s="147" t="s">
        <v>74</v>
      </c>
      <c r="E4526" s="135">
        <f t="shared" si="59"/>
        <v>28</v>
      </c>
      <c r="F4526" s="151" t="s">
        <v>3868</v>
      </c>
      <c r="G4526" s="63" t="str">
        <f>VLOOKUP(C4526, 'Class Def. - General Data'!$C$20:$C$1000,1,false)</f>
        <v>ZPM1_NCKTagOutSlv</v>
      </c>
      <c r="H4526" s="63" t="str">
        <f>IFERROR(__xludf.DUMMYFUNCTION("VLOOKUP(F4526, IMPORTRANGE(""https://docs.google.com/spreadsheets/d/1Lhp9OU0JdFf_VYSMzH5lBcEaU4o8teT1piV-SNzShjg/edit?gid=554141278#gid=554141278"", ""'Char Def. - Attributes'!C20:C2242""), 1,false)"),"BASIC_UOM_RMPM")</f>
        <v>BASIC_UOM_RMPM</v>
      </c>
      <c r="I4526" s="136"/>
    </row>
    <row r="4527" ht="15.75" customHeight="1">
      <c r="B4527" s="63">
        <f t="shared" si="1"/>
        <v>17</v>
      </c>
      <c r="C4527" s="146" t="s">
        <v>282</v>
      </c>
      <c r="D4527" s="147" t="s">
        <v>74</v>
      </c>
      <c r="E4527" s="135">
        <f t="shared" si="59"/>
        <v>29</v>
      </c>
      <c r="F4527" s="152" t="s">
        <v>3869</v>
      </c>
      <c r="G4527" s="63" t="str">
        <f>VLOOKUP(C4527, 'Class Def. - General Data'!$C$20:$C$1000,1,false)</f>
        <v>ZPM1_NCKTagOutSlv</v>
      </c>
      <c r="H4527" s="63" t="str">
        <f>IFERROR(__xludf.DUMMYFUNCTION("VLOOKUP(F4527, IMPORTRANGE(""https://docs.google.com/spreadsheets/d/1Lhp9OU0JdFf_VYSMzH5lBcEaU4o8teT1piV-SNzShjg/edit?gid=554141278#gid=554141278"", ""'Char Def. - Attributes'!C20:C2242""), 1,false)"),"ALT_UOM1_RMPM")</f>
        <v>ALT_UOM1_RMPM</v>
      </c>
      <c r="I4527" s="136"/>
    </row>
    <row r="4528" ht="15.75" customHeight="1">
      <c r="B4528" s="63">
        <f t="shared" si="1"/>
        <v>17</v>
      </c>
      <c r="C4528" s="146" t="s">
        <v>282</v>
      </c>
      <c r="D4528" s="147" t="s">
        <v>74</v>
      </c>
      <c r="E4528" s="135">
        <f t="shared" si="59"/>
        <v>30</v>
      </c>
      <c r="F4528" s="152" t="s">
        <v>3805</v>
      </c>
      <c r="G4528" s="63" t="str">
        <f>VLOOKUP(C4528, 'Class Def. - General Data'!$C$20:$C$1000,1,false)</f>
        <v>ZPM1_NCKTagOutSlv</v>
      </c>
      <c r="H4528" s="63" t="str">
        <f>IFERROR(__xludf.DUMMYFUNCTION("VLOOKUP(F4528, IMPORTRANGE(""https://docs.google.com/spreadsheets/d/1Lhp9OU0JdFf_VYSMzH5lBcEaU4o8teT1piV-SNzShjg/edit?gid=554141278#gid=554141278"", ""'Char Def. - Attributes'!C20:C2242""), 1,false)"),"ALT_DENUM_UOM1")</f>
        <v>ALT_DENUM_UOM1</v>
      </c>
      <c r="I4528" s="136"/>
    </row>
    <row r="4529" ht="15.75" customHeight="1">
      <c r="B4529" s="63">
        <f t="shared" si="1"/>
        <v>17</v>
      </c>
      <c r="C4529" s="146" t="s">
        <v>282</v>
      </c>
      <c r="D4529" s="147" t="s">
        <v>74</v>
      </c>
      <c r="E4529" s="135">
        <f t="shared" si="59"/>
        <v>31</v>
      </c>
      <c r="F4529" s="152" t="s">
        <v>3806</v>
      </c>
      <c r="G4529" s="63" t="str">
        <f>VLOOKUP(C4529, 'Class Def. - General Data'!$C$20:$C$1000,1,false)</f>
        <v>ZPM1_NCKTagOutSlv</v>
      </c>
      <c r="H4529" s="63" t="str">
        <f>IFERROR(__xludf.DUMMYFUNCTION("VLOOKUP(F4529, IMPORTRANGE(""https://docs.google.com/spreadsheets/d/1Lhp9OU0JdFf_VYSMzH5lBcEaU4o8teT1piV-SNzShjg/edit?gid=554141278#gid=554141278"", ""'Char Def. - Attributes'!C20:C2242""), 1,false)"),"ALT_NUM_UOM1")</f>
        <v>ALT_NUM_UOM1</v>
      </c>
      <c r="I4529" s="136"/>
    </row>
    <row r="4530" ht="15.75" customHeight="1">
      <c r="B4530" s="63">
        <f t="shared" si="1"/>
        <v>17</v>
      </c>
      <c r="C4530" s="146" t="s">
        <v>282</v>
      </c>
      <c r="D4530" s="147" t="s">
        <v>74</v>
      </c>
      <c r="E4530" s="135">
        <f t="shared" si="59"/>
        <v>32</v>
      </c>
      <c r="F4530" s="152" t="s">
        <v>3870</v>
      </c>
      <c r="G4530" s="63" t="str">
        <f>VLOOKUP(C4530, 'Class Def. - General Data'!$C$20:$C$1000,1,false)</f>
        <v>ZPM1_NCKTagOutSlv</v>
      </c>
      <c r="H4530" s="63" t="str">
        <f>IFERROR(__xludf.DUMMYFUNCTION("VLOOKUP(F4530, IMPORTRANGE(""https://docs.google.com/spreadsheets/d/1Lhp9OU0JdFf_VYSMzH5lBcEaU4o8teT1piV-SNzShjg/edit?gid=554141278#gid=554141278"", ""'Char Def. - Attributes'!C20:C2242""), 1,false)"),"ALT_UOM2_RMPM")</f>
        <v>ALT_UOM2_RMPM</v>
      </c>
      <c r="I4530" s="136"/>
    </row>
    <row r="4531" ht="15.75" customHeight="1">
      <c r="B4531" s="63">
        <f t="shared" si="1"/>
        <v>17</v>
      </c>
      <c r="C4531" s="146" t="s">
        <v>282</v>
      </c>
      <c r="D4531" s="147" t="s">
        <v>74</v>
      </c>
      <c r="E4531" s="135">
        <f t="shared" si="59"/>
        <v>33</v>
      </c>
      <c r="F4531" s="152" t="s">
        <v>3808</v>
      </c>
      <c r="G4531" s="63" t="str">
        <f>VLOOKUP(C4531, 'Class Def. - General Data'!$C$20:$C$1000,1,false)</f>
        <v>ZPM1_NCKTagOutSlv</v>
      </c>
      <c r="H4531" s="63" t="str">
        <f>IFERROR(__xludf.DUMMYFUNCTION("VLOOKUP(F4531, IMPORTRANGE(""https://docs.google.com/spreadsheets/d/1Lhp9OU0JdFf_VYSMzH5lBcEaU4o8teT1piV-SNzShjg/edit?gid=554141278#gid=554141278"", ""'Char Def. - Attributes'!C20:C2242""), 1,false)"),"ALT_DENUM_UOM2")</f>
        <v>ALT_DENUM_UOM2</v>
      </c>
      <c r="I4531" s="136"/>
    </row>
    <row r="4532" ht="15.75" customHeight="1">
      <c r="B4532" s="63">
        <f t="shared" si="1"/>
        <v>17</v>
      </c>
      <c r="C4532" s="146" t="s">
        <v>282</v>
      </c>
      <c r="D4532" s="147" t="s">
        <v>74</v>
      </c>
      <c r="E4532" s="135">
        <f t="shared" si="59"/>
        <v>34</v>
      </c>
      <c r="F4532" s="152" t="s">
        <v>3809</v>
      </c>
      <c r="G4532" s="63" t="str">
        <f>VLOOKUP(C4532, 'Class Def. - General Data'!$C$20:$C$1000,1,false)</f>
        <v>ZPM1_NCKTagOutSlv</v>
      </c>
      <c r="H4532" s="63" t="str">
        <f>IFERROR(__xludf.DUMMYFUNCTION("VLOOKUP(F4532, IMPORTRANGE(""https://docs.google.com/spreadsheets/d/1Lhp9OU0JdFf_VYSMzH5lBcEaU4o8teT1piV-SNzShjg/edit?gid=554141278#gid=554141278"", ""'Char Def. - Attributes'!C20:C2242""), 1,false)"),"ALT_NUM_UOM2")</f>
        <v>ALT_NUM_UOM2</v>
      </c>
      <c r="I4532" s="136"/>
    </row>
    <row r="4533" ht="15.75" customHeight="1">
      <c r="B4533" s="63">
        <f t="shared" si="1"/>
        <v>17</v>
      </c>
      <c r="C4533" s="146" t="s">
        <v>282</v>
      </c>
      <c r="D4533" s="147" t="s">
        <v>74</v>
      </c>
      <c r="E4533" s="135">
        <f t="shared" si="59"/>
        <v>35</v>
      </c>
      <c r="F4533" s="152" t="s">
        <v>3871</v>
      </c>
      <c r="G4533" s="63" t="str">
        <f>VLOOKUP(C4533, 'Class Def. - General Data'!$C$20:$C$1000,1,false)</f>
        <v>ZPM1_NCKTagOutSlv</v>
      </c>
      <c r="H4533" s="63" t="str">
        <f>IFERROR(__xludf.DUMMYFUNCTION("VLOOKUP(F4533, IMPORTRANGE(""https://docs.google.com/spreadsheets/d/1Lhp9OU0JdFf_VYSMzH5lBcEaU4o8teT1piV-SNzShjg/edit?gid=554141278#gid=554141278"", ""'Char Def. - Attributes'!C20:C2242""), 1,false)"),"ALT_UOM3_RMPM")</f>
        <v>ALT_UOM3_RMPM</v>
      </c>
      <c r="I4533" s="136"/>
    </row>
    <row r="4534" ht="15.75" customHeight="1">
      <c r="B4534" s="63">
        <f t="shared" si="1"/>
        <v>17</v>
      </c>
      <c r="C4534" s="146" t="s">
        <v>282</v>
      </c>
      <c r="D4534" s="147" t="s">
        <v>74</v>
      </c>
      <c r="E4534" s="135">
        <f t="shared" si="59"/>
        <v>36</v>
      </c>
      <c r="F4534" s="152" t="s">
        <v>3811</v>
      </c>
      <c r="G4534" s="63" t="str">
        <f>VLOOKUP(C4534, 'Class Def. - General Data'!$C$20:$C$1000,1,false)</f>
        <v>ZPM1_NCKTagOutSlv</v>
      </c>
      <c r="H4534" s="63" t="str">
        <f>IFERROR(__xludf.DUMMYFUNCTION("VLOOKUP(F4534, IMPORTRANGE(""https://docs.google.com/spreadsheets/d/1Lhp9OU0JdFf_VYSMzH5lBcEaU4o8teT1piV-SNzShjg/edit?gid=554141278#gid=554141278"", ""'Char Def. - Attributes'!C20:C2242""), 1,false)"),"ALT_DENUM_UOM3")</f>
        <v>ALT_DENUM_UOM3</v>
      </c>
      <c r="I4534" s="136"/>
    </row>
    <row r="4535" ht="15.75" customHeight="1">
      <c r="B4535" s="63">
        <f t="shared" si="1"/>
        <v>17</v>
      </c>
      <c r="C4535" s="146" t="s">
        <v>282</v>
      </c>
      <c r="D4535" s="147" t="s">
        <v>74</v>
      </c>
      <c r="E4535" s="135">
        <f t="shared" si="59"/>
        <v>37</v>
      </c>
      <c r="F4535" s="152" t="s">
        <v>3812</v>
      </c>
      <c r="G4535" s="63" t="str">
        <f>VLOOKUP(C4535, 'Class Def. - General Data'!$C$20:$C$1000,1,false)</f>
        <v>ZPM1_NCKTagOutSlv</v>
      </c>
      <c r="H4535" s="63" t="str">
        <f>IFERROR(__xludf.DUMMYFUNCTION("VLOOKUP(F4535, IMPORTRANGE(""https://docs.google.com/spreadsheets/d/1Lhp9OU0JdFf_VYSMzH5lBcEaU4o8teT1piV-SNzShjg/edit?gid=554141278#gid=554141278"", ""'Char Def. - Attributes'!C20:C2242""), 1,false)"),"ALT_NUM_UOM3")</f>
        <v>ALT_NUM_UOM3</v>
      </c>
      <c r="I4535" s="136"/>
    </row>
    <row r="4536" ht="15.75" customHeight="1">
      <c r="B4536" s="63">
        <f t="shared" si="1"/>
        <v>17</v>
      </c>
      <c r="C4536" s="146" t="s">
        <v>282</v>
      </c>
      <c r="D4536" s="147" t="s">
        <v>74</v>
      </c>
      <c r="E4536" s="135">
        <f t="shared" si="59"/>
        <v>38</v>
      </c>
      <c r="F4536" s="152" t="s">
        <v>3872</v>
      </c>
      <c r="G4536" s="63" t="str">
        <f>VLOOKUP(C4536, 'Class Def. - General Data'!$C$20:$C$1000,1,false)</f>
        <v>ZPM1_NCKTagOutSlv</v>
      </c>
      <c r="H4536" s="63" t="str">
        <f>IFERROR(__xludf.DUMMYFUNCTION("VLOOKUP(F4536, IMPORTRANGE(""https://docs.google.com/spreadsheets/d/1Lhp9OU0JdFf_VYSMzH5lBcEaU4o8teT1piV-SNzShjg/edit?gid=554141278#gid=554141278"", ""'Char Def. - Attributes'!C20:C2242""), 1,false)"),"ALT_UOM4_RMPM")</f>
        <v>ALT_UOM4_RMPM</v>
      </c>
      <c r="I4536" s="136"/>
    </row>
    <row r="4537" ht="15.75" customHeight="1">
      <c r="B4537" s="63">
        <f t="shared" si="1"/>
        <v>17</v>
      </c>
      <c r="C4537" s="146" t="s">
        <v>282</v>
      </c>
      <c r="D4537" s="147" t="s">
        <v>74</v>
      </c>
      <c r="E4537" s="135">
        <f t="shared" si="59"/>
        <v>39</v>
      </c>
      <c r="F4537" s="148" t="s">
        <v>3814</v>
      </c>
      <c r="G4537" s="63" t="str">
        <f>VLOOKUP(C4537, 'Class Def. - General Data'!$C$20:$C$1000,1,false)</f>
        <v>ZPM1_NCKTagOutSlv</v>
      </c>
      <c r="H4537" s="63" t="str">
        <f>IFERROR(__xludf.DUMMYFUNCTION("VLOOKUP(F4537, IMPORTRANGE(""https://docs.google.com/spreadsheets/d/1Lhp9OU0JdFf_VYSMzH5lBcEaU4o8teT1piV-SNzShjg/edit?gid=554141278#gid=554141278"", ""'Char Def. - Attributes'!C20:C2242""), 1,false)"),"ALT_DENUM_UOM4")</f>
        <v>ALT_DENUM_UOM4</v>
      </c>
      <c r="I4537" s="136"/>
    </row>
    <row r="4538" ht="15.75" customHeight="1">
      <c r="B4538" s="63">
        <f t="shared" si="1"/>
        <v>17</v>
      </c>
      <c r="C4538" s="146" t="s">
        <v>282</v>
      </c>
      <c r="D4538" s="147" t="s">
        <v>74</v>
      </c>
      <c r="E4538" s="135">
        <f t="shared" si="59"/>
        <v>40</v>
      </c>
      <c r="F4538" s="152" t="s">
        <v>3815</v>
      </c>
      <c r="G4538" s="63" t="str">
        <f>VLOOKUP(C4538, 'Class Def. - General Data'!$C$20:$C$1000,1,false)</f>
        <v>ZPM1_NCKTagOutSlv</v>
      </c>
      <c r="H4538" s="63" t="str">
        <f>IFERROR(__xludf.DUMMYFUNCTION("VLOOKUP(F4538, IMPORTRANGE(""https://docs.google.com/spreadsheets/d/1Lhp9OU0JdFf_VYSMzH5lBcEaU4o8teT1piV-SNzShjg/edit?gid=554141278#gid=554141278"", ""'Char Def. - Attributes'!C20:C2242""), 1,false)"),"ALT_NUM_UOM4")</f>
        <v>ALT_NUM_UOM4</v>
      </c>
      <c r="I4538" s="136"/>
    </row>
    <row r="4539" ht="15.75" customHeight="1">
      <c r="B4539" s="63">
        <f t="shared" si="1"/>
        <v>17</v>
      </c>
      <c r="C4539" s="146" t="s">
        <v>282</v>
      </c>
      <c r="D4539" s="147" t="s">
        <v>74</v>
      </c>
      <c r="E4539" s="135">
        <f t="shared" si="59"/>
        <v>41</v>
      </c>
      <c r="F4539" s="152" t="s">
        <v>3873</v>
      </c>
      <c r="G4539" s="63" t="str">
        <f>VLOOKUP(C4539, 'Class Def. - General Data'!$C$20:$C$1000,1,false)</f>
        <v>ZPM1_NCKTagOutSlv</v>
      </c>
      <c r="H4539" s="63" t="str">
        <f>IFERROR(__xludf.DUMMYFUNCTION("VLOOKUP(F4539, IMPORTRANGE(""https://docs.google.com/spreadsheets/d/1Lhp9OU0JdFf_VYSMzH5lBcEaU4o8teT1piV-SNzShjg/edit?gid=554141278#gid=554141278"", ""'Char Def. - Attributes'!C20:C2242""), 1,false)"),"ALT_UOM5_RMPM")</f>
        <v>ALT_UOM5_RMPM</v>
      </c>
      <c r="I4539" s="136"/>
    </row>
    <row r="4540" ht="15.75" customHeight="1">
      <c r="B4540" s="63">
        <f t="shared" si="1"/>
        <v>17</v>
      </c>
      <c r="C4540" s="146" t="s">
        <v>282</v>
      </c>
      <c r="D4540" s="147" t="s">
        <v>74</v>
      </c>
      <c r="E4540" s="135">
        <f t="shared" si="59"/>
        <v>42</v>
      </c>
      <c r="F4540" s="152" t="s">
        <v>3817</v>
      </c>
      <c r="G4540" s="63" t="str">
        <f>VLOOKUP(C4540, 'Class Def. - General Data'!$C$20:$C$1000,1,false)</f>
        <v>ZPM1_NCKTagOutSlv</v>
      </c>
      <c r="H4540" s="63" t="str">
        <f>IFERROR(__xludf.DUMMYFUNCTION("VLOOKUP(F4540, IMPORTRANGE(""https://docs.google.com/spreadsheets/d/1Lhp9OU0JdFf_VYSMzH5lBcEaU4o8teT1piV-SNzShjg/edit?gid=554141278#gid=554141278"", ""'Char Def. - Attributes'!C20:C2242""), 1,false)"),"ALT_DENUM_UOM5")</f>
        <v>ALT_DENUM_UOM5</v>
      </c>
      <c r="I4540" s="136"/>
    </row>
    <row r="4541" ht="15.75" customHeight="1">
      <c r="B4541" s="63">
        <f t="shared" si="1"/>
        <v>17</v>
      </c>
      <c r="C4541" s="146" t="s">
        <v>282</v>
      </c>
      <c r="D4541" s="147" t="s">
        <v>74</v>
      </c>
      <c r="E4541" s="135">
        <f t="shared" si="59"/>
        <v>43</v>
      </c>
      <c r="F4541" s="152" t="s">
        <v>3818</v>
      </c>
      <c r="G4541" s="63" t="str">
        <f>VLOOKUP(C4541, 'Class Def. - General Data'!$C$20:$C$1000,1,false)</f>
        <v>ZPM1_NCKTagOutSlv</v>
      </c>
      <c r="H4541" s="63" t="str">
        <f>IFERROR(__xludf.DUMMYFUNCTION("VLOOKUP(F4541, IMPORTRANGE(""https://docs.google.com/spreadsheets/d/1Lhp9OU0JdFf_VYSMzH5lBcEaU4o8teT1piV-SNzShjg/edit?gid=554141278#gid=554141278"", ""'Char Def. - Attributes'!C20:C2242""), 1,false)"),"ALT_NUM_UOM5")</f>
        <v>ALT_NUM_UOM5</v>
      </c>
      <c r="I4541" s="136"/>
    </row>
    <row r="4542" ht="15.75" customHeight="1">
      <c r="B4542" s="63">
        <f t="shared" si="1"/>
        <v>17</v>
      </c>
      <c r="C4542" s="146" t="s">
        <v>282</v>
      </c>
      <c r="D4542" s="147" t="s">
        <v>74</v>
      </c>
      <c r="E4542" s="135">
        <f t="shared" si="59"/>
        <v>44</v>
      </c>
      <c r="F4542" s="152" t="s">
        <v>3874</v>
      </c>
      <c r="G4542" s="63" t="str">
        <f>VLOOKUP(C4542, 'Class Def. - General Data'!$C$20:$C$1000,1,false)</f>
        <v>ZPM1_NCKTagOutSlv</v>
      </c>
      <c r="H4542" s="63" t="str">
        <f>IFERROR(__xludf.DUMMYFUNCTION("VLOOKUP(F4542, IMPORTRANGE(""https://docs.google.com/spreadsheets/d/1Lhp9OU0JdFf_VYSMzH5lBcEaU4o8teT1piV-SNzShjg/edit?gid=554141278#gid=554141278"", ""'Char Def. - Attributes'!C20:C2242""), 1,false)"),"VALUATION_CATEGORY")</f>
        <v>VALUATION_CATEGORY</v>
      </c>
      <c r="I4542" s="136"/>
    </row>
    <row r="4543" ht="15.75" customHeight="1">
      <c r="B4543" s="63">
        <f t="shared" si="1"/>
        <v>17</v>
      </c>
      <c r="C4543" s="146" t="s">
        <v>282</v>
      </c>
      <c r="D4543" s="147" t="s">
        <v>74</v>
      </c>
      <c r="E4543" s="135">
        <f t="shared" si="59"/>
        <v>45</v>
      </c>
      <c r="F4543" s="152" t="s">
        <v>3800</v>
      </c>
      <c r="G4543" s="63" t="str">
        <f>VLOOKUP(C4543, 'Class Def. - General Data'!$C$20:$C$1000,1,false)</f>
        <v>ZPM1_NCKTagOutSlv</v>
      </c>
      <c r="H4543" s="63" t="str">
        <f>IFERROR(__xludf.DUMMYFUNCTION("VLOOKUP(F4543, IMPORTRANGE(""https://docs.google.com/spreadsheets/d/1Lhp9OU0JdFf_VYSMzH5lBcEaU4o8teT1piV-SNzShjg/edit?gid=554141278#gid=554141278"", ""'Char Def. - Attributes'!C20:C2242""), 1,false)"),"ORDER_UNIT_DIFF_FROM_BASIC_UOM")</f>
        <v>ORDER_UNIT_DIFF_FROM_BASIC_UOM</v>
      </c>
      <c r="I4543" s="136"/>
    </row>
    <row r="4544" ht="15.75" customHeight="1">
      <c r="B4544" s="63">
        <f t="shared" si="1"/>
        <v>17</v>
      </c>
      <c r="C4544" s="146" t="s">
        <v>282</v>
      </c>
      <c r="D4544" s="147" t="s">
        <v>74</v>
      </c>
      <c r="E4544" s="135">
        <f t="shared" si="59"/>
        <v>46</v>
      </c>
      <c r="F4544" s="152" t="s">
        <v>3875</v>
      </c>
      <c r="G4544" s="63" t="str">
        <f>VLOOKUP(C4544, 'Class Def. - General Data'!$C$20:$C$1000,1,false)</f>
        <v>ZPM1_NCKTagOutSlv</v>
      </c>
      <c r="H4544" s="63" t="str">
        <f>IFERROR(__xludf.DUMMYFUNCTION("VLOOKUP(F4544, IMPORTRANGE(""https://docs.google.com/spreadsheets/d/1Lhp9OU0JdFf_VYSMzH5lBcEaU4o8teT1piV-SNzShjg/edit?gid=554141278#gid=554141278"", ""'Char Def. - Attributes'!C20:C2242""), 1,false)"),"ORDER_UNIT_RMPM")</f>
        <v>ORDER_UNIT_RMPM</v>
      </c>
      <c r="I4544" s="136"/>
    </row>
    <row r="4545" ht="15.75" customHeight="1">
      <c r="B4545" s="63">
        <f t="shared" si="1"/>
        <v>17</v>
      </c>
      <c r="C4545" s="146" t="s">
        <v>282</v>
      </c>
      <c r="D4545" s="147" t="s">
        <v>74</v>
      </c>
      <c r="E4545" s="135">
        <f t="shared" si="59"/>
        <v>47</v>
      </c>
      <c r="F4545" s="151" t="s">
        <v>3602</v>
      </c>
      <c r="G4545" s="63" t="str">
        <f>VLOOKUP(C4545, 'Class Def. - General Data'!$C$20:$C$1000,1,false)</f>
        <v>ZPM1_NCKTagOutSlv</v>
      </c>
      <c r="H4545" s="63" t="str">
        <f>IFERROR(__xludf.DUMMYFUNCTION("VLOOKUP(F4545, IMPORTRANGE(""https://docs.google.com/spreadsheets/d/1Lhp9OU0JdFf_VYSMzH5lBcEaU4o8teT1piV-SNzShjg/edit?gid=554141278#gid=554141278"", ""'Char Def. - Attributes'!C20:C2242""), 1,false)"),"NET_WEIGHT")</f>
        <v>NET_WEIGHT</v>
      </c>
      <c r="I4545" s="136"/>
    </row>
    <row r="4546" ht="15.75" customHeight="1">
      <c r="B4546" s="63">
        <f t="shared" si="1"/>
        <v>17</v>
      </c>
      <c r="C4546" s="146" t="s">
        <v>282</v>
      </c>
      <c r="D4546" s="147" t="s">
        <v>74</v>
      </c>
      <c r="E4546" s="135">
        <f t="shared" si="59"/>
        <v>48</v>
      </c>
      <c r="F4546" s="151" t="s">
        <v>3601</v>
      </c>
      <c r="G4546" s="63" t="str">
        <f>VLOOKUP(C4546, 'Class Def. - General Data'!$C$20:$C$1000,1,false)</f>
        <v>ZPM1_NCKTagOutSlv</v>
      </c>
      <c r="H4546" s="63" t="str">
        <f>IFERROR(__xludf.DUMMYFUNCTION("VLOOKUP(F4546, IMPORTRANGE(""https://docs.google.com/spreadsheets/d/1Lhp9OU0JdFf_VYSMzH5lBcEaU4o8teT1piV-SNzShjg/edit?gid=554141278#gid=554141278"", ""'Char Def. - Attributes'!C20:C2242""), 1,false)"),"GROSS_WEIGHT")</f>
        <v>GROSS_WEIGHT</v>
      </c>
      <c r="I4546" s="136"/>
    </row>
    <row r="4547" ht="15.75" customHeight="1">
      <c r="B4547" s="63">
        <f t="shared" si="1"/>
        <v>17</v>
      </c>
      <c r="C4547" s="146" t="s">
        <v>282</v>
      </c>
      <c r="D4547" s="147" t="s">
        <v>74</v>
      </c>
      <c r="E4547" s="135">
        <f t="shared" si="59"/>
        <v>49</v>
      </c>
      <c r="F4547" s="134" t="s">
        <v>3876</v>
      </c>
      <c r="G4547" s="63" t="str">
        <f>VLOOKUP(C4547, 'Class Def. - General Data'!$C$20:$C$1000,1,false)</f>
        <v>ZPM1_NCKTagOutSlv</v>
      </c>
      <c r="H4547" s="63" t="str">
        <f>IFERROR(__xludf.DUMMYFUNCTION("VLOOKUP(F4547, IMPORTRANGE(""https://docs.google.com/spreadsheets/d/1Lhp9OU0JdFf_VYSMzH5lBcEaU4o8teT1piV-SNzShjg/edit?gid=554141278#gid=554141278"", ""'Char Def. - Attributes'!C20:C2242""), 1,false)"),"WEIGHT_UNIT_PM")</f>
        <v>WEIGHT_UNIT_PM</v>
      </c>
      <c r="I4547" s="136"/>
    </row>
    <row r="4548" ht="15.75" customHeight="1">
      <c r="B4548" s="63">
        <f t="shared" si="1"/>
        <v>17</v>
      </c>
      <c r="C4548" s="146" t="s">
        <v>282</v>
      </c>
      <c r="D4548" s="147" t="s">
        <v>74</v>
      </c>
      <c r="E4548" s="135">
        <f t="shared" si="59"/>
        <v>50</v>
      </c>
      <c r="F4548" s="151" t="s">
        <v>3877</v>
      </c>
      <c r="G4548" s="63" t="str">
        <f>VLOOKUP(C4548, 'Class Def. - General Data'!$C$20:$C$1000,1,false)</f>
        <v>ZPM1_NCKTagOutSlv</v>
      </c>
      <c r="H4548" s="63" t="str">
        <f>IFERROR(__xludf.DUMMYFUNCTION("VLOOKUP(F4548, IMPORTRANGE(""https://docs.google.com/spreadsheets/d/1Lhp9OU0JdFf_VYSMzH5lBcEaU4o8teT1piV-SNzShjg/edit?gid=554141278#gid=554141278"", ""'Char Def. - Attributes'!C20:C2242""), 1,false)"),"VOLUME_OPT")</f>
        <v>VOLUME_OPT</v>
      </c>
      <c r="I4548" s="136"/>
    </row>
    <row r="4549" ht="15.75" customHeight="1">
      <c r="B4549" s="63">
        <f t="shared" si="1"/>
        <v>17</v>
      </c>
      <c r="C4549" s="146" t="s">
        <v>282</v>
      </c>
      <c r="D4549" s="147" t="s">
        <v>74</v>
      </c>
      <c r="E4549" s="135">
        <f t="shared" si="59"/>
        <v>51</v>
      </c>
      <c r="F4549" s="152" t="s">
        <v>3878</v>
      </c>
      <c r="G4549" s="63" t="str">
        <f>VLOOKUP(C4549, 'Class Def. - General Data'!$C$20:$C$1000,1,false)</f>
        <v>ZPM1_NCKTagOutSlv</v>
      </c>
      <c r="H4549" s="63" t="str">
        <f>IFERROR(__xludf.DUMMYFUNCTION("VLOOKUP(F4549, IMPORTRANGE(""https://docs.google.com/spreadsheets/d/1Lhp9OU0JdFf_VYSMzH5lBcEaU4o8teT1piV-SNzShjg/edit?gid=554141278#gid=554141278"", ""'Char Def. - Attributes'!C20:C2242""), 1,false)"),"VOLUME_UNIT")</f>
        <v>VOLUME_UNIT</v>
      </c>
      <c r="I4549" s="136"/>
    </row>
    <row r="4550" ht="15.75" customHeight="1">
      <c r="B4550" s="63">
        <f t="shared" si="1"/>
        <v>17</v>
      </c>
      <c r="C4550" s="146" t="s">
        <v>282</v>
      </c>
      <c r="D4550" s="147" t="s">
        <v>74</v>
      </c>
      <c r="E4550" s="135">
        <f t="shared" si="59"/>
        <v>52</v>
      </c>
      <c r="F4550" s="149" t="s">
        <v>3879</v>
      </c>
      <c r="G4550" s="63" t="str">
        <f>VLOOKUP(C4550, 'Class Def. - General Data'!$C$20:$C$1000,1,false)</f>
        <v>ZPM1_NCKTagOutSlv</v>
      </c>
      <c r="H4550" s="63" t="str">
        <f>IFERROR(__xludf.DUMMYFUNCTION("VLOOKUP(F4550, IMPORTRANGE(""https://docs.google.com/spreadsheets/d/1Lhp9OU0JdFf_VYSMzH5lBcEaU4o8teT1piV-SNzShjg/edit?gid=554141278#gid=554141278"", ""'Char Def. - Attributes'!C20:C2242""), 1,false)"),"OLD_MAT_NO_RMPM")</f>
        <v>OLD_MAT_NO_RMPM</v>
      </c>
      <c r="I4550" s="136"/>
    </row>
    <row r="4551" ht="15.75" customHeight="1">
      <c r="B4551" s="63">
        <f t="shared" si="1"/>
        <v>17</v>
      </c>
      <c r="C4551" s="146" t="s">
        <v>282</v>
      </c>
      <c r="D4551" s="147" t="s">
        <v>74</v>
      </c>
      <c r="E4551" s="135">
        <f t="shared" si="59"/>
        <v>53</v>
      </c>
      <c r="F4551" s="148" t="s">
        <v>3880</v>
      </c>
      <c r="G4551" s="63" t="str">
        <f>VLOOKUP(C4551, 'Class Def. - General Data'!$C$20:$C$1000,1,false)</f>
        <v>ZPM1_NCKTagOutSlv</v>
      </c>
      <c r="H4551" s="63" t="str">
        <f>IFERROR(__xludf.DUMMYFUNCTION("VLOOKUP(F4551, IMPORTRANGE(""https://docs.google.com/spreadsheets/d/1Lhp9OU0JdFf_VYSMzH5lBcEaU4o8teT1piV-SNzShjg/edit?gid=554141278#gid=554141278"", ""'Char Def. - Attributes'!C20:C2242""), 1,false)"),"NOTE_PM")</f>
        <v>NOTE_PM</v>
      </c>
      <c r="I4551" s="136"/>
    </row>
    <row r="4552" ht="15.75" customHeight="1">
      <c r="B4552" s="63">
        <f t="shared" si="1"/>
        <v>17</v>
      </c>
      <c r="C4552" s="146" t="s">
        <v>282</v>
      </c>
      <c r="D4552" s="147" t="s">
        <v>74</v>
      </c>
      <c r="E4552" s="135">
        <f t="shared" si="59"/>
        <v>54</v>
      </c>
      <c r="F4552" s="148" t="s">
        <v>3881</v>
      </c>
      <c r="G4552" s="63" t="str">
        <f>VLOOKUP(C4552, 'Class Def. - General Data'!$C$20:$C$1000,1,false)</f>
        <v>ZPM1_NCKTagOutSlv</v>
      </c>
      <c r="H4552" s="63" t="str">
        <f>IFERROR(__xludf.DUMMYFUNCTION("VLOOKUP(F4552, IMPORTRANGE(""https://docs.google.com/spreadsheets/d/1Lhp9OU0JdFf_VYSMzH5lBcEaU4o8teT1piV-SNzShjg/edit?gid=554141278#gid=554141278"", ""'Char Def. - Attributes'!C20:C2242""), 1,false)"),"BS_BERSIH")</f>
        <v>BS_BERSIH</v>
      </c>
      <c r="I4552" s="136"/>
    </row>
    <row r="4553" ht="15.75" customHeight="1">
      <c r="B4553" s="63">
        <f t="shared" si="1"/>
        <v>17</v>
      </c>
      <c r="C4553" s="146" t="s">
        <v>282</v>
      </c>
      <c r="D4553" s="147" t="s">
        <v>74</v>
      </c>
      <c r="E4553" s="135">
        <f t="shared" si="59"/>
        <v>55</v>
      </c>
      <c r="F4553" s="148" t="s">
        <v>3882</v>
      </c>
      <c r="G4553" s="63" t="str">
        <f>VLOOKUP(C4553, 'Class Def. - General Data'!$C$20:$C$1000,1,false)</f>
        <v>ZPM1_NCKTagOutSlv</v>
      </c>
      <c r="H4553" s="63" t="str">
        <f>IFERROR(__xludf.DUMMYFUNCTION("VLOOKUP(F4553, IMPORTRANGE(""https://docs.google.com/spreadsheets/d/1Lhp9OU0JdFf_VYSMzH5lBcEaU4o8teT1piV-SNzShjg/edit?gid=554141278#gid=554141278"", ""'Char Def. - Attributes'!C20:C2242""), 1,false)"),"BS_KOTOR")</f>
        <v>BS_KOTOR</v>
      </c>
      <c r="I4553" s="136"/>
    </row>
    <row r="4554" ht="15.75" customHeight="1">
      <c r="B4554" s="63">
        <f t="shared" si="1"/>
        <v>17</v>
      </c>
      <c r="C4554" s="146" t="s">
        <v>282</v>
      </c>
      <c r="D4554" s="147" t="s">
        <v>74</v>
      </c>
      <c r="E4554" s="135">
        <f t="shared" si="59"/>
        <v>56</v>
      </c>
      <c r="F4554" s="148" t="s">
        <v>3883</v>
      </c>
      <c r="G4554" s="63" t="str">
        <f>VLOOKUP(C4554, 'Class Def. - General Data'!$C$20:$C$1000,1,false)</f>
        <v>ZPM1_NCKTagOutSlv</v>
      </c>
      <c r="H4554" s="63" t="str">
        <f>IFERROR(__xludf.DUMMYFUNCTION("VLOOKUP(F4554, IMPORTRANGE(""https://docs.google.com/spreadsheets/d/1Lhp9OU0JdFf_VYSMzH5lBcEaU4o8teT1piV-SNzShjg/edit?gid=554141278#gid=554141278"", ""'Char Def. - Attributes'!C20:C2242""), 1,false)"),"BS_SCRAP")</f>
        <v>BS_SCRAP</v>
      </c>
      <c r="I4554" s="136"/>
    </row>
    <row r="4555" ht="15.75" customHeight="1">
      <c r="B4555" s="63">
        <f t="shared" si="1"/>
        <v>14</v>
      </c>
      <c r="C4555" s="146" t="s">
        <v>271</v>
      </c>
      <c r="D4555" s="147" t="s">
        <v>74</v>
      </c>
      <c r="E4555" s="135">
        <f t="shared" si="59"/>
        <v>1</v>
      </c>
      <c r="F4555" s="134" t="s">
        <v>3952</v>
      </c>
      <c r="G4555" s="63" t="str">
        <f>VLOOKUP(C4555, 'Class Def. - General Data'!$C$20:$C$1000,1,false)</f>
        <v>ZPM1_PackValve</v>
      </c>
      <c r="H4555" s="63" t="str">
        <f>IFERROR(__xludf.DUMMYFUNCTION("VLOOKUP(F4555, IMPORTRANGE(""https://docs.google.com/spreadsheets/d/1Lhp9OU0JdFf_VYSMzH5lBcEaU4o8teT1piV-SNzShjg/edit?gid=554141278#gid=554141278"", ""'Char Def. - Attributes'!C20:C2242""), 1,false)"),"MATERIAL_CODE_PACKVALVE")</f>
        <v>MATERIAL_CODE_PACKVALVE</v>
      </c>
      <c r="I4555" s="136"/>
    </row>
    <row r="4556" ht="15.75" customHeight="1">
      <c r="B4556" s="63">
        <f t="shared" si="1"/>
        <v>14</v>
      </c>
      <c r="C4556" s="146" t="s">
        <v>271</v>
      </c>
      <c r="D4556" s="147" t="s">
        <v>74</v>
      </c>
      <c r="E4556" s="135">
        <f t="shared" si="59"/>
        <v>2</v>
      </c>
      <c r="F4556" s="134" t="s">
        <v>3852</v>
      </c>
      <c r="G4556" s="63" t="str">
        <f>VLOOKUP(C4556, 'Class Def. - General Data'!$C$20:$C$1000,1,false)</f>
        <v>ZPM1_PackValve</v>
      </c>
      <c r="H4556" s="63" t="str">
        <f>IFERROR(__xludf.DUMMYFUNCTION("VLOOKUP(F4556, IMPORTRANGE(""https://docs.google.com/spreadsheets/d/1Lhp9OU0JdFf_VYSMzH5lBcEaU4o8teT1piV-SNzShjg/edit?gid=554141278#gid=554141278"", ""'Char Def. - Attributes'!C20:C2242""), 1,false)"),"SINGLE_BRAND")</f>
        <v>SINGLE_BRAND</v>
      </c>
      <c r="I4556" s="136"/>
    </row>
    <row r="4557" ht="15.75" customHeight="1">
      <c r="B4557" s="63">
        <f t="shared" si="1"/>
        <v>14</v>
      </c>
      <c r="C4557" s="146" t="s">
        <v>271</v>
      </c>
      <c r="D4557" s="147" t="s">
        <v>74</v>
      </c>
      <c r="E4557" s="135">
        <f t="shared" si="59"/>
        <v>3</v>
      </c>
      <c r="F4557" s="134" t="s">
        <v>3853</v>
      </c>
      <c r="G4557" s="63" t="str">
        <f>VLOOKUP(C4557, 'Class Def. - General Data'!$C$20:$C$1000,1,false)</f>
        <v>ZPM1_PackValve</v>
      </c>
      <c r="H4557" s="63" t="str">
        <f>IFERROR(__xludf.DUMMYFUNCTION("VLOOKUP(F4557, IMPORTRANGE(""https://docs.google.com/spreadsheets/d/1Lhp9OU0JdFf_VYSMzH5lBcEaU4o8teT1piV-SNzShjg/edit?gid=554141278#gid=554141278"", ""'Char Def. - Attributes'!C20:C2242""), 1,false)"),"BRAND_WINGS")</f>
        <v>BRAND_WINGS</v>
      </c>
      <c r="I4557" s="136"/>
    </row>
    <row r="4558" ht="15.75" customHeight="1">
      <c r="B4558" s="63">
        <f t="shared" si="1"/>
        <v>14</v>
      </c>
      <c r="C4558" s="146" t="s">
        <v>271</v>
      </c>
      <c r="D4558" s="147" t="s">
        <v>74</v>
      </c>
      <c r="E4558" s="135">
        <f t="shared" si="59"/>
        <v>4</v>
      </c>
      <c r="F4558" s="134" t="s">
        <v>3854</v>
      </c>
      <c r="G4558" s="63" t="str">
        <f>VLOOKUP(C4558, 'Class Def. - General Data'!$C$20:$C$1000,1,false)</f>
        <v>ZPM1_PackValve</v>
      </c>
      <c r="H4558" s="63" t="str">
        <f>IFERROR(__xludf.DUMMYFUNCTION("VLOOKUP(F4558, IMPORTRANGE(""https://docs.google.com/spreadsheets/d/1Lhp9OU0JdFf_VYSMzH5lBcEaU4o8teT1piV-SNzShjg/edit?gid=554141278#gid=554141278"", ""'Char Def. - Attributes'!C20:C2242""), 1,false)"),"SINGLE_PACK_SHAPE")</f>
        <v>SINGLE_PACK_SHAPE</v>
      </c>
      <c r="I4558" s="136"/>
    </row>
    <row r="4559" ht="15.75" customHeight="1">
      <c r="B4559" s="63">
        <f t="shared" si="1"/>
        <v>14</v>
      </c>
      <c r="C4559" s="146" t="s">
        <v>271</v>
      </c>
      <c r="D4559" s="147" t="s">
        <v>74</v>
      </c>
      <c r="E4559" s="135">
        <f t="shared" si="59"/>
        <v>5</v>
      </c>
      <c r="F4559" s="134" t="s">
        <v>3855</v>
      </c>
      <c r="G4559" s="63" t="str">
        <f>VLOOKUP(C4559, 'Class Def. - General Data'!$C$20:$C$1000,1,false)</f>
        <v>ZPM1_PackValve</v>
      </c>
      <c r="H4559" s="63" t="str">
        <f>IFERROR(__xludf.DUMMYFUNCTION("VLOOKUP(F4559, IMPORTRANGE(""https://docs.google.com/spreadsheets/d/1Lhp9OU0JdFf_VYSMzH5lBcEaU4o8teT1piV-SNzShjg/edit?gid=554141278#gid=554141278"", ""'Char Def. - Attributes'!C20:C2242""), 1,false)"),"PACK_SHAPE")</f>
        <v>PACK_SHAPE</v>
      </c>
      <c r="I4559" s="136"/>
    </row>
    <row r="4560" ht="15.75" customHeight="1">
      <c r="B4560" s="63">
        <f t="shared" si="1"/>
        <v>14</v>
      </c>
      <c r="C4560" s="146" t="s">
        <v>271</v>
      </c>
      <c r="D4560" s="147" t="s">
        <v>74</v>
      </c>
      <c r="E4560" s="135">
        <f t="shared" si="59"/>
        <v>6</v>
      </c>
      <c r="F4560" s="134" t="s">
        <v>3856</v>
      </c>
      <c r="G4560" s="63" t="str">
        <f>VLOOKUP(C4560, 'Class Def. - General Data'!$C$20:$C$1000,1,false)</f>
        <v>ZPM1_PackValve</v>
      </c>
      <c r="H4560" s="63" t="str">
        <f>IFERROR(__xludf.DUMMYFUNCTION("VLOOKUP(F4560, IMPORTRANGE(""https://docs.google.com/spreadsheets/d/1Lhp9OU0JdFf_VYSMzH5lBcEaU4o8teT1piV-SNzShjg/edit?gid=554141278#gid=554141278"", ""'Char Def. - Attributes'!C20:C2242""), 1,false)"),"SINGLE_PACK_NETTO")</f>
        <v>SINGLE_PACK_NETTO</v>
      </c>
      <c r="I4560" s="136"/>
    </row>
    <row r="4561" ht="15.75" customHeight="1">
      <c r="B4561" s="63">
        <f t="shared" si="1"/>
        <v>14</v>
      </c>
      <c r="C4561" s="146" t="s">
        <v>271</v>
      </c>
      <c r="D4561" s="147" t="s">
        <v>74</v>
      </c>
      <c r="E4561" s="135">
        <f t="shared" si="59"/>
        <v>7</v>
      </c>
      <c r="F4561" s="134" t="s">
        <v>3605</v>
      </c>
      <c r="G4561" s="63" t="str">
        <f>VLOOKUP(C4561, 'Class Def. - General Data'!$C$20:$C$1000,1,false)</f>
        <v>ZPM1_PackValve</v>
      </c>
      <c r="H4561" s="63" t="str">
        <f>IFERROR(__xludf.DUMMYFUNCTION("VLOOKUP(F4561, IMPORTRANGE(""https://docs.google.com/spreadsheets/d/1Lhp9OU0JdFf_VYSMzH5lBcEaU4o8teT1piV-SNzShjg/edit?gid=554141278#gid=554141278"", ""'Char Def. - Attributes'!C20:C2242""), 1,false)"),"PACK_NETTO")</f>
        <v>PACK_NETTO</v>
      </c>
      <c r="I4561" s="136"/>
    </row>
    <row r="4562" ht="15.75" customHeight="1">
      <c r="B4562" s="63">
        <f t="shared" si="1"/>
        <v>14</v>
      </c>
      <c r="C4562" s="146" t="s">
        <v>271</v>
      </c>
      <c r="D4562" s="147" t="s">
        <v>74</v>
      </c>
      <c r="E4562" s="135">
        <f t="shared" si="59"/>
        <v>8</v>
      </c>
      <c r="F4562" s="134" t="s">
        <v>3857</v>
      </c>
      <c r="G4562" s="63" t="str">
        <f>VLOOKUP(C4562, 'Class Def. - General Data'!$C$20:$C$1000,1,false)</f>
        <v>ZPM1_PackValve</v>
      </c>
      <c r="H4562" s="63" t="str">
        <f>IFERROR(__xludf.DUMMYFUNCTION("VLOOKUP(F4562, IMPORTRANGE(""https://docs.google.com/spreadsheets/d/1Lhp9OU0JdFf_VYSMzH5lBcEaU4o8teT1piV-SNzShjg/edit?gid=554141278#gid=554141278"", ""'Char Def. - Attributes'!C20:C2242""), 1,false)"),"PACK_UOM")</f>
        <v>PACK_UOM</v>
      </c>
      <c r="I4562" s="136"/>
    </row>
    <row r="4563" ht="15.75" customHeight="1">
      <c r="B4563" s="63">
        <f t="shared" si="1"/>
        <v>14</v>
      </c>
      <c r="C4563" s="146" t="s">
        <v>271</v>
      </c>
      <c r="D4563" s="147" t="s">
        <v>74</v>
      </c>
      <c r="E4563" s="135">
        <f t="shared" si="59"/>
        <v>9</v>
      </c>
      <c r="F4563" s="134" t="s">
        <v>3858</v>
      </c>
      <c r="G4563" s="63" t="str">
        <f>VLOOKUP(C4563, 'Class Def. - General Data'!$C$20:$C$1000,1,false)</f>
        <v>ZPM1_PackValve</v>
      </c>
      <c r="H4563" s="63" t="str">
        <f>IFERROR(__xludf.DUMMYFUNCTION("VLOOKUP(F4563, IMPORTRANGE(""https://docs.google.com/spreadsheets/d/1Lhp9OU0JdFf_VYSMzH5lBcEaU4o8teT1piV-SNzShjg/edit?gid=554141278#gid=554141278"", ""'Char Def. - Attributes'!C20:C2242""), 1,false)"),"SINGLE_VARIAN")</f>
        <v>SINGLE_VARIAN</v>
      </c>
      <c r="I4563" s="136"/>
    </row>
    <row r="4564" ht="15.75" customHeight="1">
      <c r="B4564" s="63">
        <f t="shared" si="1"/>
        <v>14</v>
      </c>
      <c r="C4564" s="146" t="s">
        <v>271</v>
      </c>
      <c r="D4564" s="147" t="s">
        <v>74</v>
      </c>
      <c r="E4564" s="135">
        <f t="shared" si="59"/>
        <v>10</v>
      </c>
      <c r="F4564" s="134" t="s">
        <v>3607</v>
      </c>
      <c r="G4564" s="63" t="str">
        <f>VLOOKUP(C4564, 'Class Def. - General Data'!$C$20:$C$1000,1,false)</f>
        <v>ZPM1_PackValve</v>
      </c>
      <c r="H4564" s="63" t="str">
        <f>IFERROR(__xludf.DUMMYFUNCTION("VLOOKUP(F4564, IMPORTRANGE(""https://docs.google.com/spreadsheets/d/1Lhp9OU0JdFf_VYSMzH5lBcEaU4o8teT1piV-SNzShjg/edit?gid=554141278#gid=554141278"", ""'Char Def. - Attributes'!C20:C2242""), 1,false)"),"VARIAN")</f>
        <v>VARIAN</v>
      </c>
      <c r="I4564" s="136"/>
    </row>
    <row r="4565" ht="15.75" customHeight="1">
      <c r="B4565" s="63">
        <f t="shared" si="1"/>
        <v>14</v>
      </c>
      <c r="C4565" s="146" t="s">
        <v>271</v>
      </c>
      <c r="D4565" s="147" t="s">
        <v>74</v>
      </c>
      <c r="E4565" s="135">
        <f t="shared" si="59"/>
        <v>11</v>
      </c>
      <c r="F4565" s="134" t="s">
        <v>3859</v>
      </c>
      <c r="G4565" s="63" t="str">
        <f>VLOOKUP(C4565, 'Class Def. - General Data'!$C$20:$C$1000,1,false)</f>
        <v>ZPM1_PackValve</v>
      </c>
      <c r="H4565" s="63" t="str">
        <f>IFERROR(__xludf.DUMMYFUNCTION("VLOOKUP(F4565, IMPORTRANGE(""https://docs.google.com/spreadsheets/d/1Lhp9OU0JdFf_VYSMzH5lBcEaU4o8teT1piV-SNzShjg/edit?gid=554141278#gid=554141278"", ""'Char Def. - Attributes'!C20:C2242""), 1,false)"),"ADA_ADDITIONAL_PROMO")</f>
        <v>ADA_ADDITIONAL_PROMO</v>
      </c>
      <c r="I4565" s="136"/>
    </row>
    <row r="4566" ht="15.75" customHeight="1">
      <c r="B4566" s="63">
        <f t="shared" si="1"/>
        <v>14</v>
      </c>
      <c r="C4566" s="146" t="s">
        <v>271</v>
      </c>
      <c r="D4566" s="147" t="s">
        <v>74</v>
      </c>
      <c r="E4566" s="135">
        <f t="shared" si="59"/>
        <v>12</v>
      </c>
      <c r="F4566" s="134" t="s">
        <v>3609</v>
      </c>
      <c r="G4566" s="63" t="str">
        <f>VLOOKUP(C4566, 'Class Def. - General Data'!$C$20:$C$1000,1,false)</f>
        <v>ZPM1_PackValve</v>
      </c>
      <c r="H4566" s="63" t="str">
        <f>IFERROR(__xludf.DUMMYFUNCTION("VLOOKUP(F4566, IMPORTRANGE(""https://docs.google.com/spreadsheets/d/1Lhp9OU0JdFf_VYSMzH5lBcEaU4o8teT1piV-SNzShjg/edit?gid=554141278#gid=554141278"", ""'Char Def. - Attributes'!C20:C2242""), 1,false)"),"ADDITIONAL_PROMO")</f>
        <v>ADDITIONAL_PROMO</v>
      </c>
      <c r="I4566" s="136"/>
    </row>
    <row r="4567" ht="15.75" customHeight="1">
      <c r="B4567" s="63">
        <f t="shared" si="1"/>
        <v>14</v>
      </c>
      <c r="C4567" s="146" t="s">
        <v>271</v>
      </c>
      <c r="D4567" s="147" t="s">
        <v>74</v>
      </c>
      <c r="E4567" s="135">
        <f t="shared" si="59"/>
        <v>13</v>
      </c>
      <c r="F4567" s="134" t="s">
        <v>3860</v>
      </c>
      <c r="G4567" s="63" t="str">
        <f>VLOOKUP(C4567, 'Class Def. - General Data'!$C$20:$C$1000,1,false)</f>
        <v>ZPM1_PackValve</v>
      </c>
      <c r="H4567" s="63" t="str">
        <f>IFERROR(__xludf.DUMMYFUNCTION("VLOOKUP(F4567, IMPORTRANGE(""https://docs.google.com/spreadsheets/d/1Lhp9OU0JdFf_VYSMzH5lBcEaU4o8teT1piV-SNzShjg/edit?gid=554141278#gid=554141278"", ""'Char Def. - Attributes'!C20:C2242""), 1,false)"),"ADA_BANDED_PROMO")</f>
        <v>ADA_BANDED_PROMO</v>
      </c>
      <c r="I4567" s="136"/>
    </row>
    <row r="4568" ht="15.75" customHeight="1">
      <c r="B4568" s="63">
        <f t="shared" si="1"/>
        <v>14</v>
      </c>
      <c r="C4568" s="146" t="s">
        <v>271</v>
      </c>
      <c r="D4568" s="147" t="s">
        <v>74</v>
      </c>
      <c r="E4568" s="135">
        <f t="shared" si="59"/>
        <v>14</v>
      </c>
      <c r="F4568" s="134" t="s">
        <v>3610</v>
      </c>
      <c r="G4568" s="63" t="str">
        <f>VLOOKUP(C4568, 'Class Def. - General Data'!$C$20:$C$1000,1,false)</f>
        <v>ZPM1_PackValve</v>
      </c>
      <c r="H4568" s="63" t="str">
        <f>IFERROR(__xludf.DUMMYFUNCTION("VLOOKUP(F4568, IMPORTRANGE(""https://docs.google.com/spreadsheets/d/1Lhp9OU0JdFf_VYSMzH5lBcEaU4o8teT1piV-SNzShjg/edit?gid=554141278#gid=554141278"", ""'Char Def. - Attributes'!C20:C2242""), 1,false)"),"BANDED_PROMO")</f>
        <v>BANDED_PROMO</v>
      </c>
      <c r="I4568" s="136"/>
    </row>
    <row r="4569" ht="15.75" customHeight="1">
      <c r="B4569" s="63">
        <f t="shared" si="1"/>
        <v>14</v>
      </c>
      <c r="C4569" s="146" t="s">
        <v>271</v>
      </c>
      <c r="D4569" s="147" t="s">
        <v>74</v>
      </c>
      <c r="E4569" s="135">
        <f t="shared" si="59"/>
        <v>15</v>
      </c>
      <c r="F4569" s="134" t="s">
        <v>1292</v>
      </c>
      <c r="G4569" s="63" t="str">
        <f>VLOOKUP(C4569, 'Class Def. - General Data'!$C$20:$C$1000,1,false)</f>
        <v>ZPM1_PackValve</v>
      </c>
      <c r="H4569" s="63" t="str">
        <f>IFERROR(__xludf.DUMMYFUNCTION("VLOOKUP(F4569, IMPORTRANGE(""https://docs.google.com/spreadsheets/d/1Lhp9OU0JdFf_VYSMzH5lBcEaU4o8teT1piV-SNzShjg/edit?gid=554141278#gid=554141278"", ""'Char Def. - Attributes'!C20:C2242""), 1,false)"),"EXPORT")</f>
        <v>EXPORT</v>
      </c>
      <c r="I4569" s="136"/>
    </row>
    <row r="4570" ht="15.75" customHeight="1">
      <c r="B4570" s="63">
        <f t="shared" si="1"/>
        <v>14</v>
      </c>
      <c r="C4570" s="146" t="s">
        <v>271</v>
      </c>
      <c r="D4570" s="147" t="s">
        <v>74</v>
      </c>
      <c r="E4570" s="135">
        <f t="shared" si="59"/>
        <v>16</v>
      </c>
      <c r="F4570" s="134" t="s">
        <v>3612</v>
      </c>
      <c r="G4570" s="63" t="str">
        <f>VLOOKUP(C4570, 'Class Def. - General Data'!$C$20:$C$1000,1,false)</f>
        <v>ZPM1_PackValve</v>
      </c>
      <c r="H4570" s="63" t="str">
        <f>IFERROR(__xludf.DUMMYFUNCTION("VLOOKUP(F4570, IMPORTRANGE(""https://docs.google.com/spreadsheets/d/1Lhp9OU0JdFf_VYSMzH5lBcEaU4o8teT1piV-SNzShjg/edit?gid=554141278#gid=554141278"", ""'Char Def. - Attributes'!C20:C2242""), 1,false)"),"COUNTRY_EKSPOR")</f>
        <v>COUNTRY_EKSPOR</v>
      </c>
      <c r="I4570" s="136"/>
    </row>
    <row r="4571" ht="15.75" customHeight="1">
      <c r="B4571" s="63">
        <f t="shared" si="1"/>
        <v>14</v>
      </c>
      <c r="C4571" s="146" t="s">
        <v>271</v>
      </c>
      <c r="D4571" s="147" t="s">
        <v>74</v>
      </c>
      <c r="E4571" s="135">
        <f t="shared" si="59"/>
        <v>17</v>
      </c>
      <c r="F4571" s="134" t="s">
        <v>3861</v>
      </c>
      <c r="G4571" s="63" t="str">
        <f>VLOOKUP(C4571, 'Class Def. - General Data'!$C$20:$C$1000,1,false)</f>
        <v>ZPM1_PackValve</v>
      </c>
      <c r="H4571" s="63" t="str">
        <f>IFERROR(__xludf.DUMMYFUNCTION("VLOOKUP(F4571, IMPORTRANGE(""https://docs.google.com/spreadsheets/d/1Lhp9OU0JdFf_VYSMzH5lBcEaU4o8teT1piV-SNzShjg/edit?gid=554141278#gid=554141278"", ""'Char Def. - Attributes'!C20:C2242""), 1,false)"),"PEMBATAS")</f>
        <v>PEMBATAS</v>
      </c>
      <c r="I4571" s="136"/>
    </row>
    <row r="4572" ht="15.75" customHeight="1">
      <c r="B4572" s="63">
        <f t="shared" si="1"/>
        <v>14</v>
      </c>
      <c r="C4572" s="146" t="s">
        <v>271</v>
      </c>
      <c r="D4572" s="147" t="s">
        <v>74</v>
      </c>
      <c r="E4572" s="135">
        <f t="shared" si="59"/>
        <v>18</v>
      </c>
      <c r="F4572" s="134" t="s">
        <v>3953</v>
      </c>
      <c r="G4572" s="63" t="str">
        <f>VLOOKUP(C4572, 'Class Def. - General Data'!$C$20:$C$1000,1,false)</f>
        <v>ZPM1_PackValve</v>
      </c>
      <c r="H4572" s="63" t="str">
        <f>IFERROR(__xludf.DUMMYFUNCTION("VLOOKUP(F4572, IMPORTRANGE(""https://docs.google.com/spreadsheets/d/1Lhp9OU0JdFf_VYSMzH5lBcEaU4o8teT1piV-SNzShjg/edit?gid=554141278#gid=554141278"", ""'Char Def. - Attributes'!C20:C2242""), 1,false)"),"PACK_CONTENT_AMOUNT_5_OPT")</f>
        <v>PACK_CONTENT_AMOUNT_5_OPT</v>
      </c>
      <c r="I4572" s="136"/>
    </row>
    <row r="4573" ht="15.75" customHeight="1">
      <c r="B4573" s="63">
        <f t="shared" si="1"/>
        <v>14</v>
      </c>
      <c r="C4573" s="146" t="s">
        <v>271</v>
      </c>
      <c r="D4573" s="147" t="s">
        <v>74</v>
      </c>
      <c r="E4573" s="135">
        <f t="shared" si="59"/>
        <v>19</v>
      </c>
      <c r="F4573" s="134" t="s">
        <v>3862</v>
      </c>
      <c r="G4573" s="63" t="str">
        <f>VLOOKUP(C4573, 'Class Def. - General Data'!$C$20:$C$1000,1,false)</f>
        <v>ZPM1_PackValve</v>
      </c>
      <c r="H4573" s="63" t="str">
        <f>IFERROR(__xludf.DUMMYFUNCTION("VLOOKUP(F4573, IMPORTRANGE(""https://docs.google.com/spreadsheets/d/1Lhp9OU0JdFf_VYSMzH5lBcEaU4o8teT1piV-SNzShjg/edit?gid=554141278#gid=554141278"", ""'Char Def. - Attributes'!C20:C2242""), 1,false)"),"MONTH")</f>
        <v>MONTH</v>
      </c>
      <c r="I4573" s="136"/>
    </row>
    <row r="4574" ht="15.75" customHeight="1">
      <c r="B4574" s="63">
        <f t="shared" si="1"/>
        <v>14</v>
      </c>
      <c r="C4574" s="146" t="s">
        <v>271</v>
      </c>
      <c r="D4574" s="147" t="s">
        <v>74</v>
      </c>
      <c r="E4574" s="135">
        <f t="shared" si="59"/>
        <v>20</v>
      </c>
      <c r="F4574" s="134" t="s">
        <v>3863</v>
      </c>
      <c r="G4574" s="63" t="str">
        <f>VLOOKUP(C4574, 'Class Def. - General Data'!$C$20:$C$1000,1,false)</f>
        <v>ZPM1_PackValve</v>
      </c>
      <c r="H4574" s="63" t="str">
        <f>IFERROR(__xludf.DUMMYFUNCTION("VLOOKUP(F4574, IMPORTRANGE(""https://docs.google.com/spreadsheets/d/1Lhp9OU0JdFf_VYSMzH5lBcEaU4o8teT1piV-SNzShjg/edit?gid=554141278#gid=554141278"", ""'Char Def. - Attributes'!C20:C2242""), 1,false)"),"YEAR")</f>
        <v>YEAR</v>
      </c>
      <c r="I4574" s="136"/>
    </row>
    <row r="4575" ht="15.75" customHeight="1">
      <c r="B4575" s="63">
        <f t="shared" si="1"/>
        <v>14</v>
      </c>
      <c r="C4575" s="146" t="s">
        <v>271</v>
      </c>
      <c r="D4575" s="147" t="s">
        <v>74</v>
      </c>
      <c r="E4575" s="135">
        <f t="shared" si="59"/>
        <v>21</v>
      </c>
      <c r="F4575" s="134" t="s">
        <v>3864</v>
      </c>
      <c r="G4575" s="63" t="str">
        <f>VLOOKUP(C4575, 'Class Def. - General Data'!$C$20:$C$1000,1,false)</f>
        <v>ZPM1_PackValve</v>
      </c>
      <c r="H4575" s="63" t="str">
        <f>IFERROR(__xludf.DUMMYFUNCTION("VLOOKUP(F4575, IMPORTRANGE(""https://docs.google.com/spreadsheets/d/1Lhp9OU0JdFf_VYSMzH5lBcEaU4o8teT1piV-SNzShjg/edit?gid=554141278#gid=554141278"", ""'Char Def. - Attributes'!C20:C2242""), 1,false)"),"DIMENSION_OPT")</f>
        <v>DIMENSION_OPT</v>
      </c>
      <c r="I4575" s="136"/>
    </row>
    <row r="4576" ht="15.75" customHeight="1">
      <c r="B4576" s="63">
        <f t="shared" si="1"/>
        <v>14</v>
      </c>
      <c r="C4576" s="146" t="s">
        <v>271</v>
      </c>
      <c r="D4576" s="147" t="s">
        <v>74</v>
      </c>
      <c r="E4576" s="135">
        <f t="shared" si="59"/>
        <v>22</v>
      </c>
      <c r="F4576" s="134" t="s">
        <v>3587</v>
      </c>
      <c r="G4576" s="63" t="str">
        <f>VLOOKUP(C4576, 'Class Def. - General Data'!$C$20:$C$1000,1,false)</f>
        <v>ZPM1_PackValve</v>
      </c>
      <c r="H4576" s="63" t="str">
        <f>IFERROR(__xludf.DUMMYFUNCTION("VLOOKUP(F4576, IMPORTRANGE(""https://docs.google.com/spreadsheets/d/1Lhp9OU0JdFf_VYSMzH5lBcEaU4o8teT1piV-SNzShjg/edit?gid=554141278#gid=554141278"", ""'Char Def. - Attributes'!C20:C2242""), 1,false)"),"PLANT_BUY")</f>
        <v>PLANT_BUY</v>
      </c>
      <c r="I4576" s="136"/>
    </row>
    <row r="4577" ht="15.75" customHeight="1">
      <c r="B4577" s="63">
        <f t="shared" si="1"/>
        <v>14</v>
      </c>
      <c r="C4577" s="146" t="s">
        <v>271</v>
      </c>
      <c r="D4577" s="147" t="s">
        <v>74</v>
      </c>
      <c r="E4577" s="135">
        <f t="shared" si="59"/>
        <v>23</v>
      </c>
      <c r="F4577" s="134" t="s">
        <v>3865</v>
      </c>
      <c r="G4577" s="63" t="str">
        <f>VLOOKUP(C4577, 'Class Def. - General Data'!$C$20:$C$1000,1,false)</f>
        <v>ZPM1_PackValve</v>
      </c>
      <c r="H4577" s="63" t="str">
        <f>IFERROR(__xludf.DUMMYFUNCTION("VLOOKUP(F4577, IMPORTRANGE(""https://docs.google.com/spreadsheets/d/1Lhp9OU0JdFf_VYSMzH5lBcEaU4o8teT1piV-SNzShjg/edit?gid=554141278#gid=554141278"", ""'Char Def. - Attributes'!C20:C2242""), 1,false)"),"PLANT_PROD_OPT")</f>
        <v>PLANT_PROD_OPT</v>
      </c>
      <c r="I4577" s="136"/>
    </row>
    <row r="4578" ht="15.75" customHeight="1">
      <c r="B4578" s="63">
        <f t="shared" si="1"/>
        <v>14</v>
      </c>
      <c r="C4578" s="146" t="s">
        <v>271</v>
      </c>
      <c r="D4578" s="147" t="s">
        <v>74</v>
      </c>
      <c r="E4578" s="135">
        <f t="shared" si="59"/>
        <v>24</v>
      </c>
      <c r="F4578" s="134" t="s">
        <v>3866</v>
      </c>
      <c r="G4578" s="63" t="str">
        <f>VLOOKUP(C4578, 'Class Def. - General Data'!$C$20:$C$1000,1,false)</f>
        <v>ZPM1_PackValve</v>
      </c>
      <c r="H4578" s="63" t="str">
        <f>IFERROR(__xludf.DUMMYFUNCTION("VLOOKUP(F4578, IMPORTRANGE(""https://docs.google.com/spreadsheets/d/1Lhp9OU0JdFf_VYSMzH5lBcEaU4o8teT1piV-SNzShjg/edit?gid=554141278#gid=554141278"", ""'Char Def. - Attributes'!C20:C2242""), 1,false)"),"PM_SUPPLY_JKT")</f>
        <v>PM_SUPPLY_JKT</v>
      </c>
      <c r="I4578" s="136"/>
    </row>
    <row r="4579" ht="15.75" customHeight="1">
      <c r="B4579" s="63">
        <f t="shared" si="1"/>
        <v>14</v>
      </c>
      <c r="C4579" s="146" t="s">
        <v>271</v>
      </c>
      <c r="D4579" s="147" t="s">
        <v>74</v>
      </c>
      <c r="E4579" s="135">
        <f t="shared" si="59"/>
        <v>25</v>
      </c>
      <c r="F4579" s="134" t="s">
        <v>3867</v>
      </c>
      <c r="G4579" s="63" t="str">
        <f>VLOOKUP(C4579, 'Class Def. - General Data'!$C$20:$C$1000,1,false)</f>
        <v>ZPM1_PackValve</v>
      </c>
      <c r="H4579" s="63" t="str">
        <f>IFERROR(__xludf.DUMMYFUNCTION("VLOOKUP(F4579, IMPORTRANGE(""https://docs.google.com/spreadsheets/d/1Lhp9OU0JdFf_VYSMzH5lBcEaU4o8teT1piV-SNzShjg/edit?gid=554141278#gid=554141278"", ""'Char Def. - Attributes'!C20:C2242""), 1,false)"),"PM_SUPPLY_SBY")</f>
        <v>PM_SUPPLY_SBY</v>
      </c>
      <c r="I4579" s="136"/>
    </row>
    <row r="4580" ht="15.75" customHeight="1">
      <c r="B4580" s="63">
        <f t="shared" si="1"/>
        <v>14</v>
      </c>
      <c r="C4580" s="146" t="s">
        <v>271</v>
      </c>
      <c r="D4580" s="147" t="s">
        <v>74</v>
      </c>
      <c r="E4580" s="135">
        <f t="shared" si="59"/>
        <v>26</v>
      </c>
      <c r="F4580" s="134" t="s">
        <v>3868</v>
      </c>
      <c r="G4580" s="63" t="str">
        <f>VLOOKUP(C4580, 'Class Def. - General Data'!$C$20:$C$1000,1,false)</f>
        <v>ZPM1_PackValve</v>
      </c>
      <c r="H4580" s="63" t="str">
        <f>IFERROR(__xludf.DUMMYFUNCTION("VLOOKUP(F4580, IMPORTRANGE(""https://docs.google.com/spreadsheets/d/1Lhp9OU0JdFf_VYSMzH5lBcEaU4o8teT1piV-SNzShjg/edit?gid=554141278#gid=554141278"", ""'Char Def. - Attributes'!C20:C2242""), 1,false)"),"BASIC_UOM_RMPM")</f>
        <v>BASIC_UOM_RMPM</v>
      </c>
      <c r="I4580" s="136"/>
    </row>
    <row r="4581" ht="15.75" customHeight="1">
      <c r="B4581" s="63">
        <f t="shared" si="1"/>
        <v>14</v>
      </c>
      <c r="C4581" s="146" t="s">
        <v>271</v>
      </c>
      <c r="D4581" s="147" t="s">
        <v>74</v>
      </c>
      <c r="E4581" s="135">
        <f t="shared" si="59"/>
        <v>27</v>
      </c>
      <c r="F4581" s="134" t="s">
        <v>3869</v>
      </c>
      <c r="G4581" s="63" t="str">
        <f>VLOOKUP(C4581, 'Class Def. - General Data'!$C$20:$C$1000,1,false)</f>
        <v>ZPM1_PackValve</v>
      </c>
      <c r="H4581" s="63" t="str">
        <f>IFERROR(__xludf.DUMMYFUNCTION("VLOOKUP(F4581, IMPORTRANGE(""https://docs.google.com/spreadsheets/d/1Lhp9OU0JdFf_VYSMzH5lBcEaU4o8teT1piV-SNzShjg/edit?gid=554141278#gid=554141278"", ""'Char Def. - Attributes'!C20:C2242""), 1,false)"),"ALT_UOM1_RMPM")</f>
        <v>ALT_UOM1_RMPM</v>
      </c>
      <c r="I4581" s="136"/>
    </row>
    <row r="4582" ht="15.75" customHeight="1">
      <c r="B4582" s="63">
        <f t="shared" si="1"/>
        <v>14</v>
      </c>
      <c r="C4582" s="146" t="s">
        <v>271</v>
      </c>
      <c r="D4582" s="147" t="s">
        <v>74</v>
      </c>
      <c r="E4582" s="135">
        <f t="shared" si="59"/>
        <v>28</v>
      </c>
      <c r="F4582" s="134" t="s">
        <v>3805</v>
      </c>
      <c r="G4582" s="63" t="str">
        <f>VLOOKUP(C4582, 'Class Def. - General Data'!$C$20:$C$1000,1,false)</f>
        <v>ZPM1_PackValve</v>
      </c>
      <c r="H4582" s="63" t="str">
        <f>IFERROR(__xludf.DUMMYFUNCTION("VLOOKUP(F4582, IMPORTRANGE(""https://docs.google.com/spreadsheets/d/1Lhp9OU0JdFf_VYSMzH5lBcEaU4o8teT1piV-SNzShjg/edit?gid=554141278#gid=554141278"", ""'Char Def. - Attributes'!C20:C2242""), 1,false)"),"ALT_DENUM_UOM1")</f>
        <v>ALT_DENUM_UOM1</v>
      </c>
      <c r="I4582" s="136"/>
    </row>
    <row r="4583" ht="15.75" customHeight="1">
      <c r="B4583" s="63">
        <f t="shared" si="1"/>
        <v>14</v>
      </c>
      <c r="C4583" s="146" t="s">
        <v>271</v>
      </c>
      <c r="D4583" s="147" t="s">
        <v>74</v>
      </c>
      <c r="E4583" s="135">
        <f t="shared" si="59"/>
        <v>29</v>
      </c>
      <c r="F4583" s="134" t="s">
        <v>3806</v>
      </c>
      <c r="G4583" s="63" t="str">
        <f>VLOOKUP(C4583, 'Class Def. - General Data'!$C$20:$C$1000,1,false)</f>
        <v>ZPM1_PackValve</v>
      </c>
      <c r="H4583" s="63" t="str">
        <f>IFERROR(__xludf.DUMMYFUNCTION("VLOOKUP(F4583, IMPORTRANGE(""https://docs.google.com/spreadsheets/d/1Lhp9OU0JdFf_VYSMzH5lBcEaU4o8teT1piV-SNzShjg/edit?gid=554141278#gid=554141278"", ""'Char Def. - Attributes'!C20:C2242""), 1,false)"),"ALT_NUM_UOM1")</f>
        <v>ALT_NUM_UOM1</v>
      </c>
      <c r="I4583" s="136"/>
    </row>
    <row r="4584" ht="15.75" customHeight="1">
      <c r="B4584" s="63">
        <f t="shared" si="1"/>
        <v>14</v>
      </c>
      <c r="C4584" s="146" t="s">
        <v>271</v>
      </c>
      <c r="D4584" s="147" t="s">
        <v>74</v>
      </c>
      <c r="E4584" s="135">
        <f t="shared" si="59"/>
        <v>30</v>
      </c>
      <c r="F4584" s="134" t="s">
        <v>3870</v>
      </c>
      <c r="G4584" s="63" t="str">
        <f>VLOOKUP(C4584, 'Class Def. - General Data'!$C$20:$C$1000,1,false)</f>
        <v>ZPM1_PackValve</v>
      </c>
      <c r="H4584" s="63" t="str">
        <f>IFERROR(__xludf.DUMMYFUNCTION("VLOOKUP(F4584, IMPORTRANGE(""https://docs.google.com/spreadsheets/d/1Lhp9OU0JdFf_VYSMzH5lBcEaU4o8teT1piV-SNzShjg/edit?gid=554141278#gid=554141278"", ""'Char Def. - Attributes'!C20:C2242""), 1,false)"),"ALT_UOM2_RMPM")</f>
        <v>ALT_UOM2_RMPM</v>
      </c>
      <c r="I4584" s="136"/>
    </row>
    <row r="4585" ht="15.75" customHeight="1">
      <c r="B4585" s="63">
        <f t="shared" si="1"/>
        <v>14</v>
      </c>
      <c r="C4585" s="146" t="s">
        <v>271</v>
      </c>
      <c r="D4585" s="147" t="s">
        <v>74</v>
      </c>
      <c r="E4585" s="135">
        <f t="shared" si="59"/>
        <v>31</v>
      </c>
      <c r="F4585" s="134" t="s">
        <v>3808</v>
      </c>
      <c r="G4585" s="63" t="str">
        <f>VLOOKUP(C4585, 'Class Def. - General Data'!$C$20:$C$1000,1,false)</f>
        <v>ZPM1_PackValve</v>
      </c>
      <c r="H4585" s="63" t="str">
        <f>IFERROR(__xludf.DUMMYFUNCTION("VLOOKUP(F4585, IMPORTRANGE(""https://docs.google.com/spreadsheets/d/1Lhp9OU0JdFf_VYSMzH5lBcEaU4o8teT1piV-SNzShjg/edit?gid=554141278#gid=554141278"", ""'Char Def. - Attributes'!C20:C2242""), 1,false)"),"ALT_DENUM_UOM2")</f>
        <v>ALT_DENUM_UOM2</v>
      </c>
      <c r="I4585" s="136"/>
    </row>
    <row r="4586" ht="15.75" customHeight="1">
      <c r="B4586" s="63">
        <f t="shared" si="1"/>
        <v>14</v>
      </c>
      <c r="C4586" s="146" t="s">
        <v>271</v>
      </c>
      <c r="D4586" s="147" t="s">
        <v>74</v>
      </c>
      <c r="E4586" s="135">
        <f t="shared" si="59"/>
        <v>32</v>
      </c>
      <c r="F4586" s="134" t="s">
        <v>3809</v>
      </c>
      <c r="G4586" s="63" t="str">
        <f>VLOOKUP(C4586, 'Class Def. - General Data'!$C$20:$C$1000,1,false)</f>
        <v>ZPM1_PackValve</v>
      </c>
      <c r="H4586" s="63" t="str">
        <f>IFERROR(__xludf.DUMMYFUNCTION("VLOOKUP(F4586, IMPORTRANGE(""https://docs.google.com/spreadsheets/d/1Lhp9OU0JdFf_VYSMzH5lBcEaU4o8teT1piV-SNzShjg/edit?gid=554141278#gid=554141278"", ""'Char Def. - Attributes'!C20:C2242""), 1,false)"),"ALT_NUM_UOM2")</f>
        <v>ALT_NUM_UOM2</v>
      </c>
      <c r="I4586" s="136"/>
    </row>
    <row r="4587" ht="15.75" customHeight="1">
      <c r="B4587" s="63">
        <f t="shared" si="1"/>
        <v>14</v>
      </c>
      <c r="C4587" s="146" t="s">
        <v>271</v>
      </c>
      <c r="D4587" s="147" t="s">
        <v>74</v>
      </c>
      <c r="E4587" s="135">
        <f t="shared" si="59"/>
        <v>33</v>
      </c>
      <c r="F4587" s="134" t="s">
        <v>3871</v>
      </c>
      <c r="G4587" s="63" t="str">
        <f>VLOOKUP(C4587, 'Class Def. - General Data'!$C$20:$C$1000,1,false)</f>
        <v>ZPM1_PackValve</v>
      </c>
      <c r="H4587" s="63" t="str">
        <f>IFERROR(__xludf.DUMMYFUNCTION("VLOOKUP(F4587, IMPORTRANGE(""https://docs.google.com/spreadsheets/d/1Lhp9OU0JdFf_VYSMzH5lBcEaU4o8teT1piV-SNzShjg/edit?gid=554141278#gid=554141278"", ""'Char Def. - Attributes'!C20:C2242""), 1,false)"),"ALT_UOM3_RMPM")</f>
        <v>ALT_UOM3_RMPM</v>
      </c>
      <c r="I4587" s="136"/>
    </row>
    <row r="4588" ht="15.75" customHeight="1">
      <c r="B4588" s="63">
        <f t="shared" si="1"/>
        <v>14</v>
      </c>
      <c r="C4588" s="146" t="s">
        <v>271</v>
      </c>
      <c r="D4588" s="147" t="s">
        <v>74</v>
      </c>
      <c r="E4588" s="135">
        <f t="shared" si="59"/>
        <v>34</v>
      </c>
      <c r="F4588" s="134" t="s">
        <v>3811</v>
      </c>
      <c r="G4588" s="63" t="str">
        <f>VLOOKUP(C4588, 'Class Def. - General Data'!$C$20:$C$1000,1,false)</f>
        <v>ZPM1_PackValve</v>
      </c>
      <c r="H4588" s="63" t="str">
        <f>IFERROR(__xludf.DUMMYFUNCTION("VLOOKUP(F4588, IMPORTRANGE(""https://docs.google.com/spreadsheets/d/1Lhp9OU0JdFf_VYSMzH5lBcEaU4o8teT1piV-SNzShjg/edit?gid=554141278#gid=554141278"", ""'Char Def. - Attributes'!C20:C2242""), 1,false)"),"ALT_DENUM_UOM3")</f>
        <v>ALT_DENUM_UOM3</v>
      </c>
      <c r="I4588" s="136"/>
    </row>
    <row r="4589" ht="15.75" customHeight="1">
      <c r="B4589" s="63">
        <f t="shared" si="1"/>
        <v>14</v>
      </c>
      <c r="C4589" s="146" t="s">
        <v>271</v>
      </c>
      <c r="D4589" s="147" t="s">
        <v>74</v>
      </c>
      <c r="E4589" s="135">
        <f t="shared" si="59"/>
        <v>35</v>
      </c>
      <c r="F4589" s="134" t="s">
        <v>3812</v>
      </c>
      <c r="G4589" s="63" t="str">
        <f>VLOOKUP(C4589, 'Class Def. - General Data'!$C$20:$C$1000,1,false)</f>
        <v>ZPM1_PackValve</v>
      </c>
      <c r="H4589" s="63" t="str">
        <f>IFERROR(__xludf.DUMMYFUNCTION("VLOOKUP(F4589, IMPORTRANGE(""https://docs.google.com/spreadsheets/d/1Lhp9OU0JdFf_VYSMzH5lBcEaU4o8teT1piV-SNzShjg/edit?gid=554141278#gid=554141278"", ""'Char Def. - Attributes'!C20:C2242""), 1,false)"),"ALT_NUM_UOM3")</f>
        <v>ALT_NUM_UOM3</v>
      </c>
      <c r="I4589" s="136"/>
    </row>
    <row r="4590" ht="15.75" customHeight="1">
      <c r="B4590" s="63">
        <f t="shared" si="1"/>
        <v>14</v>
      </c>
      <c r="C4590" s="146" t="s">
        <v>271</v>
      </c>
      <c r="D4590" s="147" t="s">
        <v>74</v>
      </c>
      <c r="E4590" s="135">
        <f t="shared" si="59"/>
        <v>36</v>
      </c>
      <c r="F4590" s="134" t="s">
        <v>3872</v>
      </c>
      <c r="G4590" s="63" t="str">
        <f>VLOOKUP(C4590, 'Class Def. - General Data'!$C$20:$C$1000,1,false)</f>
        <v>ZPM1_PackValve</v>
      </c>
      <c r="H4590" s="63" t="str">
        <f>IFERROR(__xludf.DUMMYFUNCTION("VLOOKUP(F4590, IMPORTRANGE(""https://docs.google.com/spreadsheets/d/1Lhp9OU0JdFf_VYSMzH5lBcEaU4o8teT1piV-SNzShjg/edit?gid=554141278#gid=554141278"", ""'Char Def. - Attributes'!C20:C2242""), 1,false)"),"ALT_UOM4_RMPM")</f>
        <v>ALT_UOM4_RMPM</v>
      </c>
      <c r="I4590" s="136"/>
    </row>
    <row r="4591" ht="15.75" customHeight="1">
      <c r="B4591" s="63">
        <f t="shared" si="1"/>
        <v>14</v>
      </c>
      <c r="C4591" s="146" t="s">
        <v>271</v>
      </c>
      <c r="D4591" s="147" t="s">
        <v>74</v>
      </c>
      <c r="E4591" s="135">
        <f t="shared" si="59"/>
        <v>37</v>
      </c>
      <c r="F4591" s="134" t="s">
        <v>3814</v>
      </c>
      <c r="G4591" s="63" t="str">
        <f>VLOOKUP(C4591, 'Class Def. - General Data'!$C$20:$C$1000,1,false)</f>
        <v>ZPM1_PackValve</v>
      </c>
      <c r="H4591" s="63" t="str">
        <f>IFERROR(__xludf.DUMMYFUNCTION("VLOOKUP(F4591, IMPORTRANGE(""https://docs.google.com/spreadsheets/d/1Lhp9OU0JdFf_VYSMzH5lBcEaU4o8teT1piV-SNzShjg/edit?gid=554141278#gid=554141278"", ""'Char Def. - Attributes'!C20:C2242""), 1,false)"),"ALT_DENUM_UOM4")</f>
        <v>ALT_DENUM_UOM4</v>
      </c>
      <c r="I4591" s="136"/>
    </row>
    <row r="4592" ht="15.75" customHeight="1">
      <c r="B4592" s="63">
        <f t="shared" si="1"/>
        <v>14</v>
      </c>
      <c r="C4592" s="146" t="s">
        <v>271</v>
      </c>
      <c r="D4592" s="147" t="s">
        <v>74</v>
      </c>
      <c r="E4592" s="135">
        <f t="shared" si="59"/>
        <v>38</v>
      </c>
      <c r="F4592" s="134" t="s">
        <v>3815</v>
      </c>
      <c r="G4592" s="63" t="str">
        <f>VLOOKUP(C4592, 'Class Def. - General Data'!$C$20:$C$1000,1,false)</f>
        <v>ZPM1_PackValve</v>
      </c>
      <c r="H4592" s="63" t="str">
        <f>IFERROR(__xludf.DUMMYFUNCTION("VLOOKUP(F4592, IMPORTRANGE(""https://docs.google.com/spreadsheets/d/1Lhp9OU0JdFf_VYSMzH5lBcEaU4o8teT1piV-SNzShjg/edit?gid=554141278#gid=554141278"", ""'Char Def. - Attributes'!C20:C2242""), 1,false)"),"ALT_NUM_UOM4")</f>
        <v>ALT_NUM_UOM4</v>
      </c>
      <c r="I4592" s="136"/>
    </row>
    <row r="4593" ht="15.75" customHeight="1">
      <c r="B4593" s="63">
        <f t="shared" si="1"/>
        <v>14</v>
      </c>
      <c r="C4593" s="146" t="s">
        <v>271</v>
      </c>
      <c r="D4593" s="147" t="s">
        <v>74</v>
      </c>
      <c r="E4593" s="135">
        <f t="shared" si="59"/>
        <v>39</v>
      </c>
      <c r="F4593" s="134" t="s">
        <v>3873</v>
      </c>
      <c r="G4593" s="63" t="str">
        <f>VLOOKUP(C4593, 'Class Def. - General Data'!$C$20:$C$1000,1,false)</f>
        <v>ZPM1_PackValve</v>
      </c>
      <c r="H4593" s="63" t="str">
        <f>IFERROR(__xludf.DUMMYFUNCTION("VLOOKUP(F4593, IMPORTRANGE(""https://docs.google.com/spreadsheets/d/1Lhp9OU0JdFf_VYSMzH5lBcEaU4o8teT1piV-SNzShjg/edit?gid=554141278#gid=554141278"", ""'Char Def. - Attributes'!C20:C2242""), 1,false)"),"ALT_UOM5_RMPM")</f>
        <v>ALT_UOM5_RMPM</v>
      </c>
      <c r="I4593" s="136"/>
    </row>
    <row r="4594" ht="15.75" customHeight="1">
      <c r="B4594" s="63">
        <f t="shared" si="1"/>
        <v>14</v>
      </c>
      <c r="C4594" s="146" t="s">
        <v>271</v>
      </c>
      <c r="D4594" s="147" t="s">
        <v>74</v>
      </c>
      <c r="E4594" s="135">
        <f t="shared" si="59"/>
        <v>40</v>
      </c>
      <c r="F4594" s="134" t="s">
        <v>3817</v>
      </c>
      <c r="G4594" s="63" t="str">
        <f>VLOOKUP(C4594, 'Class Def. - General Data'!$C$20:$C$1000,1,false)</f>
        <v>ZPM1_PackValve</v>
      </c>
      <c r="H4594" s="63" t="str">
        <f>IFERROR(__xludf.DUMMYFUNCTION("VLOOKUP(F4594, IMPORTRANGE(""https://docs.google.com/spreadsheets/d/1Lhp9OU0JdFf_VYSMzH5lBcEaU4o8teT1piV-SNzShjg/edit?gid=554141278#gid=554141278"", ""'Char Def. - Attributes'!C20:C2242""), 1,false)"),"ALT_DENUM_UOM5")</f>
        <v>ALT_DENUM_UOM5</v>
      </c>
      <c r="I4594" s="136"/>
    </row>
    <row r="4595" ht="15.75" customHeight="1">
      <c r="B4595" s="63">
        <f t="shared" si="1"/>
        <v>14</v>
      </c>
      <c r="C4595" s="146" t="s">
        <v>271</v>
      </c>
      <c r="D4595" s="147" t="s">
        <v>74</v>
      </c>
      <c r="E4595" s="135">
        <f t="shared" si="59"/>
        <v>41</v>
      </c>
      <c r="F4595" s="134" t="s">
        <v>3818</v>
      </c>
      <c r="G4595" s="63" t="str">
        <f>VLOOKUP(C4595, 'Class Def. - General Data'!$C$20:$C$1000,1,false)</f>
        <v>ZPM1_PackValve</v>
      </c>
      <c r="H4595" s="63" t="str">
        <f>IFERROR(__xludf.DUMMYFUNCTION("VLOOKUP(F4595, IMPORTRANGE(""https://docs.google.com/spreadsheets/d/1Lhp9OU0JdFf_VYSMzH5lBcEaU4o8teT1piV-SNzShjg/edit?gid=554141278#gid=554141278"", ""'Char Def. - Attributes'!C20:C2242""), 1,false)"),"ALT_NUM_UOM5")</f>
        <v>ALT_NUM_UOM5</v>
      </c>
      <c r="I4595" s="136"/>
    </row>
    <row r="4596" ht="15.75" customHeight="1">
      <c r="B4596" s="63">
        <f t="shared" si="1"/>
        <v>14</v>
      </c>
      <c r="C4596" s="146" t="s">
        <v>271</v>
      </c>
      <c r="D4596" s="147" t="s">
        <v>74</v>
      </c>
      <c r="E4596" s="135">
        <f t="shared" si="59"/>
        <v>42</v>
      </c>
      <c r="F4596" s="134" t="s">
        <v>3874</v>
      </c>
      <c r="G4596" s="63" t="str">
        <f>VLOOKUP(C4596, 'Class Def. - General Data'!$C$20:$C$1000,1,false)</f>
        <v>ZPM1_PackValve</v>
      </c>
      <c r="H4596" s="63" t="str">
        <f>IFERROR(__xludf.DUMMYFUNCTION("VLOOKUP(F4596, IMPORTRANGE(""https://docs.google.com/spreadsheets/d/1Lhp9OU0JdFf_VYSMzH5lBcEaU4o8teT1piV-SNzShjg/edit?gid=554141278#gid=554141278"", ""'Char Def. - Attributes'!C20:C2242""), 1,false)"),"VALUATION_CATEGORY")</f>
        <v>VALUATION_CATEGORY</v>
      </c>
      <c r="I4596" s="136"/>
    </row>
    <row r="4597" ht="15.75" customHeight="1">
      <c r="B4597" s="63">
        <f t="shared" si="1"/>
        <v>14</v>
      </c>
      <c r="C4597" s="146" t="s">
        <v>271</v>
      </c>
      <c r="D4597" s="147" t="s">
        <v>74</v>
      </c>
      <c r="E4597" s="135">
        <f t="shared" si="59"/>
        <v>43</v>
      </c>
      <c r="F4597" s="134" t="s">
        <v>3800</v>
      </c>
      <c r="G4597" s="63" t="str">
        <f>VLOOKUP(C4597, 'Class Def. - General Data'!$C$20:$C$1000,1,false)</f>
        <v>ZPM1_PackValve</v>
      </c>
      <c r="H4597" s="63" t="str">
        <f>IFERROR(__xludf.DUMMYFUNCTION("VLOOKUP(F4597, IMPORTRANGE(""https://docs.google.com/spreadsheets/d/1Lhp9OU0JdFf_VYSMzH5lBcEaU4o8teT1piV-SNzShjg/edit?gid=554141278#gid=554141278"", ""'Char Def. - Attributes'!C20:C2242""), 1,false)"),"ORDER_UNIT_DIFF_FROM_BASIC_UOM")</f>
        <v>ORDER_UNIT_DIFF_FROM_BASIC_UOM</v>
      </c>
      <c r="I4597" s="136"/>
    </row>
    <row r="4598" ht="15.75" customHeight="1">
      <c r="B4598" s="63">
        <f t="shared" si="1"/>
        <v>14</v>
      </c>
      <c r="C4598" s="146" t="s">
        <v>271</v>
      </c>
      <c r="D4598" s="147" t="s">
        <v>74</v>
      </c>
      <c r="E4598" s="135">
        <f t="shared" si="59"/>
        <v>44</v>
      </c>
      <c r="F4598" s="134" t="s">
        <v>3875</v>
      </c>
      <c r="G4598" s="63" t="str">
        <f>VLOOKUP(C4598, 'Class Def. - General Data'!$C$20:$C$1000,1,false)</f>
        <v>ZPM1_PackValve</v>
      </c>
      <c r="H4598" s="63" t="str">
        <f>IFERROR(__xludf.DUMMYFUNCTION("VLOOKUP(F4598, IMPORTRANGE(""https://docs.google.com/spreadsheets/d/1Lhp9OU0JdFf_VYSMzH5lBcEaU4o8teT1piV-SNzShjg/edit?gid=554141278#gid=554141278"", ""'Char Def. - Attributes'!C20:C2242""), 1,false)"),"ORDER_UNIT_RMPM")</f>
        <v>ORDER_UNIT_RMPM</v>
      </c>
      <c r="I4598" s="136"/>
    </row>
    <row r="4599" ht="15.75" customHeight="1">
      <c r="B4599" s="63">
        <f t="shared" si="1"/>
        <v>14</v>
      </c>
      <c r="C4599" s="146" t="s">
        <v>271</v>
      </c>
      <c r="D4599" s="147" t="s">
        <v>74</v>
      </c>
      <c r="E4599" s="135">
        <f t="shared" si="59"/>
        <v>45</v>
      </c>
      <c r="F4599" s="134" t="s">
        <v>3602</v>
      </c>
      <c r="G4599" s="63" t="str">
        <f>VLOOKUP(C4599, 'Class Def. - General Data'!$C$20:$C$1000,1,false)</f>
        <v>ZPM1_PackValve</v>
      </c>
      <c r="H4599" s="63" t="str">
        <f>IFERROR(__xludf.DUMMYFUNCTION("VLOOKUP(F4599, IMPORTRANGE(""https://docs.google.com/spreadsheets/d/1Lhp9OU0JdFf_VYSMzH5lBcEaU4o8teT1piV-SNzShjg/edit?gid=554141278#gid=554141278"", ""'Char Def. - Attributes'!C20:C2242""), 1,false)"),"NET_WEIGHT")</f>
        <v>NET_WEIGHT</v>
      </c>
      <c r="I4599" s="136"/>
    </row>
    <row r="4600" ht="15.75" customHeight="1">
      <c r="B4600" s="63">
        <f t="shared" si="1"/>
        <v>14</v>
      </c>
      <c r="C4600" s="146" t="s">
        <v>271</v>
      </c>
      <c r="D4600" s="147" t="s">
        <v>74</v>
      </c>
      <c r="E4600" s="135">
        <f t="shared" si="59"/>
        <v>46</v>
      </c>
      <c r="F4600" s="134" t="s">
        <v>3601</v>
      </c>
      <c r="G4600" s="63" t="str">
        <f>VLOOKUP(C4600, 'Class Def. - General Data'!$C$20:$C$1000,1,false)</f>
        <v>ZPM1_PackValve</v>
      </c>
      <c r="H4600" s="63" t="str">
        <f>IFERROR(__xludf.DUMMYFUNCTION("VLOOKUP(F4600, IMPORTRANGE(""https://docs.google.com/spreadsheets/d/1Lhp9OU0JdFf_VYSMzH5lBcEaU4o8teT1piV-SNzShjg/edit?gid=554141278#gid=554141278"", ""'Char Def. - Attributes'!C20:C2242""), 1,false)"),"GROSS_WEIGHT")</f>
        <v>GROSS_WEIGHT</v>
      </c>
      <c r="I4600" s="136"/>
    </row>
    <row r="4601" ht="15.75" customHeight="1">
      <c r="B4601" s="63">
        <f t="shared" si="1"/>
        <v>14</v>
      </c>
      <c r="C4601" s="146" t="s">
        <v>271</v>
      </c>
      <c r="D4601" s="147" t="s">
        <v>74</v>
      </c>
      <c r="E4601" s="135">
        <f t="shared" si="59"/>
        <v>47</v>
      </c>
      <c r="F4601" s="134" t="s">
        <v>3876</v>
      </c>
      <c r="G4601" s="63" t="str">
        <f>VLOOKUP(C4601, 'Class Def. - General Data'!$C$20:$C$1000,1,false)</f>
        <v>ZPM1_PackValve</v>
      </c>
      <c r="H4601" s="63" t="str">
        <f>IFERROR(__xludf.DUMMYFUNCTION("VLOOKUP(F4601, IMPORTRANGE(""https://docs.google.com/spreadsheets/d/1Lhp9OU0JdFf_VYSMzH5lBcEaU4o8teT1piV-SNzShjg/edit?gid=554141278#gid=554141278"", ""'Char Def. - Attributes'!C20:C2242""), 1,false)"),"WEIGHT_UNIT_PM")</f>
        <v>WEIGHT_UNIT_PM</v>
      </c>
      <c r="I4601" s="136"/>
    </row>
    <row r="4602" ht="15.75" customHeight="1">
      <c r="B4602" s="63">
        <f t="shared" si="1"/>
        <v>14</v>
      </c>
      <c r="C4602" s="146" t="s">
        <v>271</v>
      </c>
      <c r="D4602" s="147" t="s">
        <v>74</v>
      </c>
      <c r="E4602" s="135">
        <f t="shared" si="59"/>
        <v>48</v>
      </c>
      <c r="F4602" s="134" t="s">
        <v>3877</v>
      </c>
      <c r="G4602" s="63" t="str">
        <f>VLOOKUP(C4602, 'Class Def. - General Data'!$C$20:$C$1000,1,false)</f>
        <v>ZPM1_PackValve</v>
      </c>
      <c r="H4602" s="63" t="str">
        <f>IFERROR(__xludf.DUMMYFUNCTION("VLOOKUP(F4602, IMPORTRANGE(""https://docs.google.com/spreadsheets/d/1Lhp9OU0JdFf_VYSMzH5lBcEaU4o8teT1piV-SNzShjg/edit?gid=554141278#gid=554141278"", ""'Char Def. - Attributes'!C20:C2242""), 1,false)"),"VOLUME_OPT")</f>
        <v>VOLUME_OPT</v>
      </c>
      <c r="I4602" s="136"/>
    </row>
    <row r="4603" ht="15.75" customHeight="1">
      <c r="B4603" s="63">
        <f t="shared" si="1"/>
        <v>14</v>
      </c>
      <c r="C4603" s="146" t="s">
        <v>271</v>
      </c>
      <c r="D4603" s="147" t="s">
        <v>74</v>
      </c>
      <c r="E4603" s="135">
        <f t="shared" si="59"/>
        <v>49</v>
      </c>
      <c r="F4603" s="134" t="s">
        <v>3878</v>
      </c>
      <c r="G4603" s="63" t="str">
        <f>VLOOKUP(C4603, 'Class Def. - General Data'!$C$20:$C$1000,1,false)</f>
        <v>ZPM1_PackValve</v>
      </c>
      <c r="H4603" s="63" t="str">
        <f>IFERROR(__xludf.DUMMYFUNCTION("VLOOKUP(F4603, IMPORTRANGE(""https://docs.google.com/spreadsheets/d/1Lhp9OU0JdFf_VYSMzH5lBcEaU4o8teT1piV-SNzShjg/edit?gid=554141278#gid=554141278"", ""'Char Def. - Attributes'!C20:C2242""), 1,false)"),"VOLUME_UNIT")</f>
        <v>VOLUME_UNIT</v>
      </c>
      <c r="I4603" s="136"/>
    </row>
    <row r="4604" ht="15.75" customHeight="1">
      <c r="B4604" s="63">
        <f t="shared" si="1"/>
        <v>14</v>
      </c>
      <c r="C4604" s="146" t="s">
        <v>271</v>
      </c>
      <c r="D4604" s="147" t="s">
        <v>74</v>
      </c>
      <c r="E4604" s="135">
        <f t="shared" si="59"/>
        <v>50</v>
      </c>
      <c r="F4604" s="134" t="s">
        <v>3879</v>
      </c>
      <c r="G4604" s="63" t="str">
        <f>VLOOKUP(C4604, 'Class Def. - General Data'!$C$20:$C$1000,1,false)</f>
        <v>ZPM1_PackValve</v>
      </c>
      <c r="H4604" s="63" t="str">
        <f>IFERROR(__xludf.DUMMYFUNCTION("VLOOKUP(F4604, IMPORTRANGE(""https://docs.google.com/spreadsheets/d/1Lhp9OU0JdFf_VYSMzH5lBcEaU4o8teT1piV-SNzShjg/edit?gid=554141278#gid=554141278"", ""'Char Def. - Attributes'!C20:C2242""), 1,false)"),"OLD_MAT_NO_RMPM")</f>
        <v>OLD_MAT_NO_RMPM</v>
      </c>
      <c r="I4604" s="136"/>
    </row>
    <row r="4605" ht="15.75" customHeight="1">
      <c r="B4605" s="63">
        <f t="shared" si="1"/>
        <v>14</v>
      </c>
      <c r="C4605" s="146" t="s">
        <v>271</v>
      </c>
      <c r="D4605" s="147" t="s">
        <v>74</v>
      </c>
      <c r="E4605" s="135">
        <f t="shared" si="59"/>
        <v>51</v>
      </c>
      <c r="F4605" s="134" t="s">
        <v>3880</v>
      </c>
      <c r="G4605" s="63" t="str">
        <f>VLOOKUP(C4605, 'Class Def. - General Data'!$C$20:$C$1000,1,false)</f>
        <v>ZPM1_PackValve</v>
      </c>
      <c r="H4605" s="63" t="str">
        <f>IFERROR(__xludf.DUMMYFUNCTION("VLOOKUP(F4605, IMPORTRANGE(""https://docs.google.com/spreadsheets/d/1Lhp9OU0JdFf_VYSMzH5lBcEaU4o8teT1piV-SNzShjg/edit?gid=554141278#gid=554141278"", ""'Char Def. - Attributes'!C20:C2242""), 1,false)"),"NOTE_PM")</f>
        <v>NOTE_PM</v>
      </c>
      <c r="I4605" s="136"/>
    </row>
    <row r="4606" ht="15.75" customHeight="1">
      <c r="B4606" s="63">
        <f t="shared" si="1"/>
        <v>14</v>
      </c>
      <c r="C4606" s="146" t="s">
        <v>271</v>
      </c>
      <c r="D4606" s="147" t="s">
        <v>74</v>
      </c>
      <c r="E4606" s="135">
        <f t="shared" si="59"/>
        <v>52</v>
      </c>
      <c r="F4606" s="134" t="s">
        <v>3881</v>
      </c>
      <c r="G4606" s="63" t="str">
        <f>VLOOKUP(C4606, 'Class Def. - General Data'!$C$20:$C$1000,1,false)</f>
        <v>ZPM1_PackValve</v>
      </c>
      <c r="H4606" s="63" t="str">
        <f>IFERROR(__xludf.DUMMYFUNCTION("VLOOKUP(F4606, IMPORTRANGE(""https://docs.google.com/spreadsheets/d/1Lhp9OU0JdFf_VYSMzH5lBcEaU4o8teT1piV-SNzShjg/edit?gid=554141278#gid=554141278"", ""'Char Def. - Attributes'!C20:C2242""), 1,false)"),"BS_BERSIH")</f>
        <v>BS_BERSIH</v>
      </c>
      <c r="I4606" s="136"/>
    </row>
    <row r="4607" ht="15.75" customHeight="1">
      <c r="B4607" s="63">
        <f t="shared" si="1"/>
        <v>14</v>
      </c>
      <c r="C4607" s="146" t="s">
        <v>271</v>
      </c>
      <c r="D4607" s="147" t="s">
        <v>74</v>
      </c>
      <c r="E4607" s="135">
        <f t="shared" si="59"/>
        <v>53</v>
      </c>
      <c r="F4607" s="134" t="s">
        <v>3882</v>
      </c>
      <c r="G4607" s="63" t="str">
        <f>VLOOKUP(C4607, 'Class Def. - General Data'!$C$20:$C$1000,1,false)</f>
        <v>ZPM1_PackValve</v>
      </c>
      <c r="H4607" s="63" t="str">
        <f>IFERROR(__xludf.DUMMYFUNCTION("VLOOKUP(F4607, IMPORTRANGE(""https://docs.google.com/spreadsheets/d/1Lhp9OU0JdFf_VYSMzH5lBcEaU4o8teT1piV-SNzShjg/edit?gid=554141278#gid=554141278"", ""'Char Def. - Attributes'!C20:C2242""), 1,false)"),"BS_KOTOR")</f>
        <v>BS_KOTOR</v>
      </c>
      <c r="I4607" s="136"/>
    </row>
    <row r="4608" ht="15.75" customHeight="1">
      <c r="B4608" s="63">
        <f t="shared" si="1"/>
        <v>14</v>
      </c>
      <c r="C4608" s="146" t="s">
        <v>271</v>
      </c>
      <c r="D4608" s="147" t="s">
        <v>74</v>
      </c>
      <c r="E4608" s="135">
        <f t="shared" si="59"/>
        <v>54</v>
      </c>
      <c r="F4608" s="134" t="s">
        <v>3883</v>
      </c>
      <c r="G4608" s="63" t="str">
        <f>VLOOKUP(C4608, 'Class Def. - General Data'!$C$20:$C$1000,1,false)</f>
        <v>ZPM1_PackValve</v>
      </c>
      <c r="H4608" s="63" t="str">
        <f>IFERROR(__xludf.DUMMYFUNCTION("VLOOKUP(F4608, IMPORTRANGE(""https://docs.google.com/spreadsheets/d/1Lhp9OU0JdFf_VYSMzH5lBcEaU4o8teT1piV-SNzShjg/edit?gid=554141278#gid=554141278"", ""'Char Def. - Attributes'!C20:C2242""), 1,false)"),"BS_SCRAP")</f>
        <v>BS_SCRAP</v>
      </c>
      <c r="I4608" s="136"/>
    </row>
    <row r="4609" ht="15.75" customHeight="1">
      <c r="B4609" s="63">
        <f t="shared" si="1"/>
        <v>13</v>
      </c>
      <c r="C4609" s="146" t="s">
        <v>258</v>
      </c>
      <c r="D4609" s="147" t="s">
        <v>74</v>
      </c>
      <c r="E4609" s="135">
        <f t="shared" si="59"/>
        <v>1</v>
      </c>
      <c r="F4609" s="134" t="s">
        <v>3954</v>
      </c>
      <c r="G4609" s="63" t="str">
        <f>VLOOKUP(C4609, 'Class Def. - General Data'!$C$20:$C$1000,1,false)</f>
        <v>ZPM1_Paper_PE</v>
      </c>
      <c r="H4609" s="63" t="str">
        <f>IFERROR(__xludf.DUMMYFUNCTION("VLOOKUP(F4609, IMPORTRANGE(""https://docs.google.com/spreadsheets/d/1Lhp9OU0JdFf_VYSMzH5lBcEaU4o8teT1piV-SNzShjg/edit?gid=554141278#gid=554141278"", ""'Char Def. - Attributes'!C20:C2242""), 1,false)"),"MATERIAL_CODE_PAPER_PE")</f>
        <v>MATERIAL_CODE_PAPER_PE</v>
      </c>
      <c r="I4609" s="136"/>
    </row>
    <row r="4610" ht="15.75" customHeight="1">
      <c r="B4610" s="63">
        <f t="shared" si="1"/>
        <v>13</v>
      </c>
      <c r="C4610" s="146" t="s">
        <v>258</v>
      </c>
      <c r="D4610" s="147" t="s">
        <v>74</v>
      </c>
      <c r="E4610" s="135">
        <f t="shared" si="59"/>
        <v>2</v>
      </c>
      <c r="F4610" s="134" t="s">
        <v>3955</v>
      </c>
      <c r="G4610" s="63" t="str">
        <f>VLOOKUP(C4610, 'Class Def. - General Data'!$C$20:$C$1000,1,false)</f>
        <v>ZPM1_Paper_PE</v>
      </c>
      <c r="H4610" s="63" t="str">
        <f>IFERROR(__xludf.DUMMYFUNCTION("VLOOKUP(F4610, IMPORTRANGE(""https://docs.google.com/spreadsheets/d/1Lhp9OU0JdFf_VYSMzH5lBcEaU4o8teT1piV-SNzShjg/edit?gid=554141278#gid=554141278"", ""'Char Def. - Attributes'!C20:C2242""), 1,false)"),"SIDE_AMOUNT")</f>
        <v>SIDE_AMOUNT</v>
      </c>
      <c r="I4610" s="136"/>
    </row>
    <row r="4611" ht="15.75" customHeight="1">
      <c r="B4611" s="63">
        <f t="shared" si="1"/>
        <v>13</v>
      </c>
      <c r="C4611" s="146" t="s">
        <v>258</v>
      </c>
      <c r="D4611" s="147" t="s">
        <v>74</v>
      </c>
      <c r="E4611" s="135">
        <f t="shared" si="59"/>
        <v>3</v>
      </c>
      <c r="F4611" s="134" t="s">
        <v>3917</v>
      </c>
      <c r="G4611" s="63" t="str">
        <f>VLOOKUP(C4611, 'Class Def. - General Data'!$C$20:$C$1000,1,false)</f>
        <v>ZPM1_Paper_PE</v>
      </c>
      <c r="H4611" s="63" t="str">
        <f>IFERROR(__xludf.DUMMYFUNCTION("VLOOKUP(F4611, IMPORTRANGE(""https://docs.google.com/spreadsheets/d/1Lhp9OU0JdFf_VYSMzH5lBcEaU4o8teT1piV-SNzShjg/edit?gid=554141278#gid=554141278"", ""'Char Def. - Attributes'!C20:C2242""), 1,false)"),"LENGTH_MM")</f>
        <v>LENGTH_MM</v>
      </c>
      <c r="I4611" s="136"/>
    </row>
    <row r="4612" ht="15.75" customHeight="1">
      <c r="B4612" s="63">
        <f t="shared" si="1"/>
        <v>13</v>
      </c>
      <c r="C4612" s="146" t="s">
        <v>258</v>
      </c>
      <c r="D4612" s="147" t="s">
        <v>74</v>
      </c>
      <c r="E4612" s="135">
        <f t="shared" si="59"/>
        <v>4</v>
      </c>
      <c r="F4612" s="134" t="s">
        <v>3918</v>
      </c>
      <c r="G4612" s="63" t="str">
        <f>VLOOKUP(C4612, 'Class Def. - General Data'!$C$20:$C$1000,1,false)</f>
        <v>ZPM1_Paper_PE</v>
      </c>
      <c r="H4612" s="63" t="str">
        <f>IFERROR(__xludf.DUMMYFUNCTION("VLOOKUP(F4612, IMPORTRANGE(""https://docs.google.com/spreadsheets/d/1Lhp9OU0JdFf_VYSMzH5lBcEaU4o8teT1piV-SNzShjg/edit?gid=554141278#gid=554141278"", ""'Char Def. - Attributes'!C20:C2242""), 1,false)"),"WIDTH_MM_3")</f>
        <v>WIDTH_MM_3</v>
      </c>
      <c r="I4612" s="136"/>
    </row>
    <row r="4613" ht="15.75" customHeight="1">
      <c r="B4613" s="63">
        <f t="shared" si="1"/>
        <v>13</v>
      </c>
      <c r="C4613" s="146" t="s">
        <v>258</v>
      </c>
      <c r="D4613" s="147" t="s">
        <v>74</v>
      </c>
      <c r="E4613" s="135">
        <f t="shared" si="59"/>
        <v>5</v>
      </c>
      <c r="F4613" s="134" t="s">
        <v>3941</v>
      </c>
      <c r="G4613" s="63" t="str">
        <f>VLOOKUP(C4613, 'Class Def. - General Data'!$C$20:$C$1000,1,false)</f>
        <v>ZPM1_Paper_PE</v>
      </c>
      <c r="H4613" s="63" t="str">
        <f>IFERROR(__xludf.DUMMYFUNCTION("VLOOKUP(F4613, IMPORTRANGE(""https://docs.google.com/spreadsheets/d/1Lhp9OU0JdFf_VYSMzH5lBcEaU4o8teT1piV-SNzShjg/edit?gid=554141278#gid=554141278"", ""'Char Def. - Attributes'!C20:C2242""), 1,false)"),"LENGTH_M")</f>
        <v>LENGTH_M</v>
      </c>
      <c r="I4613" s="136"/>
    </row>
    <row r="4614" ht="15.75" customHeight="1">
      <c r="B4614" s="63">
        <f t="shared" si="1"/>
        <v>13</v>
      </c>
      <c r="C4614" s="146" t="s">
        <v>258</v>
      </c>
      <c r="D4614" s="147" t="s">
        <v>74</v>
      </c>
      <c r="E4614" s="135">
        <f t="shared" si="59"/>
        <v>6</v>
      </c>
      <c r="F4614" s="134" t="s">
        <v>3922</v>
      </c>
      <c r="G4614" s="63" t="str">
        <f>VLOOKUP(C4614, 'Class Def. - General Data'!$C$20:$C$1000,1,false)</f>
        <v>ZPM1_Paper_PE</v>
      </c>
      <c r="H4614" s="63" t="str">
        <f>IFERROR(__xludf.DUMMYFUNCTION("VLOOKUP(F4614, IMPORTRANGE(""https://docs.google.com/spreadsheets/d/1Lhp9OU0JdFf_VYSMzH5lBcEaU4o8teT1piV-SNzShjg/edit?gid=554141278#gid=554141278"", ""'Char Def. - Attributes'!C20:C2242""), 1,false)"),"THICKNESS_GSM")</f>
        <v>THICKNESS_GSM</v>
      </c>
      <c r="I4614" s="136"/>
    </row>
    <row r="4615" ht="15.75" customHeight="1">
      <c r="B4615" s="63">
        <f t="shared" si="1"/>
        <v>13</v>
      </c>
      <c r="C4615" s="146" t="s">
        <v>258</v>
      </c>
      <c r="D4615" s="147" t="s">
        <v>74</v>
      </c>
      <c r="E4615" s="135">
        <f t="shared" si="59"/>
        <v>7</v>
      </c>
      <c r="F4615" s="134" t="s">
        <v>3956</v>
      </c>
      <c r="G4615" s="63" t="str">
        <f>VLOOKUP(C4615, 'Class Def. - General Data'!$C$20:$C$1000,1,false)</f>
        <v>ZPM1_Paper_PE</v>
      </c>
      <c r="H4615" s="63" t="str">
        <f>IFERROR(__xludf.DUMMYFUNCTION("VLOOKUP(F4615, IMPORTRANGE(""https://docs.google.com/spreadsheets/d/1Lhp9OU0JdFf_VYSMzH5lBcEaU4o8teT1piV-SNzShjg/edit?gid=554141278#gid=554141278"", ""'Char Def. - Attributes'!C20:C2242""), 1,false)"),"THICKNESS_GSM_PE1")</f>
        <v>THICKNESS_GSM_PE1</v>
      </c>
      <c r="I4615" s="136"/>
    </row>
    <row r="4616" ht="15.75" customHeight="1">
      <c r="B4616" s="63">
        <f t="shared" si="1"/>
        <v>13</v>
      </c>
      <c r="C4616" s="146" t="s">
        <v>258</v>
      </c>
      <c r="D4616" s="147" t="s">
        <v>74</v>
      </c>
      <c r="E4616" s="135">
        <f t="shared" si="59"/>
        <v>8</v>
      </c>
      <c r="F4616" s="134" t="s">
        <v>3957</v>
      </c>
      <c r="G4616" s="63" t="str">
        <f>VLOOKUP(C4616, 'Class Def. - General Data'!$C$20:$C$1000,1,false)</f>
        <v>ZPM1_Paper_PE</v>
      </c>
      <c r="H4616" s="63" t="str">
        <f>IFERROR(__xludf.DUMMYFUNCTION("VLOOKUP(F4616, IMPORTRANGE(""https://docs.google.com/spreadsheets/d/1Lhp9OU0JdFf_VYSMzH5lBcEaU4o8teT1piV-SNzShjg/edit?gid=554141278#gid=554141278"", ""'Char Def. - Attributes'!C20:C2242""), 1,false)"),"THICKNESS_GSM_PE2")</f>
        <v>THICKNESS_GSM_PE2</v>
      </c>
      <c r="I4616" s="136"/>
    </row>
    <row r="4617" ht="15.75" customHeight="1">
      <c r="B4617" s="63">
        <f t="shared" si="1"/>
        <v>13</v>
      </c>
      <c r="C4617" s="146" t="s">
        <v>258</v>
      </c>
      <c r="D4617" s="147" t="s">
        <v>74</v>
      </c>
      <c r="E4617" s="135">
        <f t="shared" si="59"/>
        <v>9</v>
      </c>
      <c r="F4617" s="134" t="s">
        <v>3890</v>
      </c>
      <c r="G4617" s="63" t="str">
        <f>VLOOKUP(C4617, 'Class Def. - General Data'!$C$20:$C$1000,1,false)</f>
        <v>ZPM1_Paper_PE</v>
      </c>
      <c r="H4617" s="63" t="str">
        <f>IFERROR(__xludf.DUMMYFUNCTION("VLOOKUP(F4617, IMPORTRANGE(""https://docs.google.com/spreadsheets/d/1Lhp9OU0JdFf_VYSMzH5lBcEaU4o8teT1piV-SNzShjg/edit?gid=554141278#gid=554141278"", ""'Char Def. - Attributes'!C20:C2242""), 1,false)"),"EXT_MAT_GRP")</f>
        <v>EXT_MAT_GRP</v>
      </c>
      <c r="I4617" s="136"/>
    </row>
    <row r="4618" ht="15.75" customHeight="1">
      <c r="B4618" s="63">
        <f t="shared" si="1"/>
        <v>13</v>
      </c>
      <c r="C4618" s="146" t="s">
        <v>258</v>
      </c>
      <c r="D4618" s="147" t="s">
        <v>74</v>
      </c>
      <c r="E4618" s="135">
        <f t="shared" si="59"/>
        <v>10</v>
      </c>
      <c r="F4618" s="134" t="s">
        <v>3587</v>
      </c>
      <c r="G4618" s="63" t="str">
        <f>VLOOKUP(C4618, 'Class Def. - General Data'!$C$20:$C$1000,1,false)</f>
        <v>ZPM1_Paper_PE</v>
      </c>
      <c r="H4618" s="63" t="str">
        <f>IFERROR(__xludf.DUMMYFUNCTION("VLOOKUP(F4618, IMPORTRANGE(""https://docs.google.com/spreadsheets/d/1Lhp9OU0JdFf_VYSMzH5lBcEaU4o8teT1piV-SNzShjg/edit?gid=554141278#gid=554141278"", ""'Char Def. - Attributes'!C20:C2242""), 1,false)"),"PLANT_BUY")</f>
        <v>PLANT_BUY</v>
      </c>
      <c r="I4618" s="136"/>
    </row>
    <row r="4619" ht="15.75" customHeight="1">
      <c r="B4619" s="63">
        <f t="shared" si="1"/>
        <v>13</v>
      </c>
      <c r="C4619" s="146" t="s">
        <v>258</v>
      </c>
      <c r="D4619" s="147" t="s">
        <v>74</v>
      </c>
      <c r="E4619" s="135">
        <f t="shared" si="59"/>
        <v>11</v>
      </c>
      <c r="F4619" s="134" t="s">
        <v>3865</v>
      </c>
      <c r="G4619" s="63" t="str">
        <f>VLOOKUP(C4619, 'Class Def. - General Data'!$C$20:$C$1000,1,false)</f>
        <v>ZPM1_Paper_PE</v>
      </c>
      <c r="H4619" s="63" t="str">
        <f>IFERROR(__xludf.DUMMYFUNCTION("VLOOKUP(F4619, IMPORTRANGE(""https://docs.google.com/spreadsheets/d/1Lhp9OU0JdFf_VYSMzH5lBcEaU4o8teT1piV-SNzShjg/edit?gid=554141278#gid=554141278"", ""'Char Def. - Attributes'!C20:C2242""), 1,false)"),"PLANT_PROD_OPT")</f>
        <v>PLANT_PROD_OPT</v>
      </c>
      <c r="I4619" s="136"/>
    </row>
    <row r="4620" ht="15.75" customHeight="1">
      <c r="B4620" s="63">
        <f t="shared" si="1"/>
        <v>13</v>
      </c>
      <c r="C4620" s="146" t="s">
        <v>258</v>
      </c>
      <c r="D4620" s="147" t="s">
        <v>74</v>
      </c>
      <c r="E4620" s="135">
        <f t="shared" si="59"/>
        <v>12</v>
      </c>
      <c r="F4620" s="134" t="s">
        <v>3866</v>
      </c>
      <c r="G4620" s="63" t="str">
        <f>VLOOKUP(C4620, 'Class Def. - General Data'!$C$20:$C$1000,1,false)</f>
        <v>ZPM1_Paper_PE</v>
      </c>
      <c r="H4620" s="63" t="str">
        <f>IFERROR(__xludf.DUMMYFUNCTION("VLOOKUP(F4620, IMPORTRANGE(""https://docs.google.com/spreadsheets/d/1Lhp9OU0JdFf_VYSMzH5lBcEaU4o8teT1piV-SNzShjg/edit?gid=554141278#gid=554141278"", ""'Char Def. - Attributes'!C20:C2242""), 1,false)"),"PM_SUPPLY_JKT")</f>
        <v>PM_SUPPLY_JKT</v>
      </c>
      <c r="I4620" s="136"/>
    </row>
    <row r="4621" ht="15.75" customHeight="1">
      <c r="B4621" s="63">
        <f t="shared" si="1"/>
        <v>13</v>
      </c>
      <c r="C4621" s="146" t="s">
        <v>258</v>
      </c>
      <c r="D4621" s="147" t="s">
        <v>74</v>
      </c>
      <c r="E4621" s="135">
        <f t="shared" si="59"/>
        <v>13</v>
      </c>
      <c r="F4621" s="134" t="s">
        <v>3867</v>
      </c>
      <c r="G4621" s="63" t="str">
        <f>VLOOKUP(C4621, 'Class Def. - General Data'!$C$20:$C$1000,1,false)</f>
        <v>ZPM1_Paper_PE</v>
      </c>
      <c r="H4621" s="63" t="str">
        <f>IFERROR(__xludf.DUMMYFUNCTION("VLOOKUP(F4621, IMPORTRANGE(""https://docs.google.com/spreadsheets/d/1Lhp9OU0JdFf_VYSMzH5lBcEaU4o8teT1piV-SNzShjg/edit?gid=554141278#gid=554141278"", ""'Char Def. - Attributes'!C20:C2242""), 1,false)"),"PM_SUPPLY_SBY")</f>
        <v>PM_SUPPLY_SBY</v>
      </c>
      <c r="I4621" s="136"/>
    </row>
    <row r="4622" ht="15.75" customHeight="1">
      <c r="B4622" s="63">
        <f t="shared" si="1"/>
        <v>13</v>
      </c>
      <c r="C4622" s="146" t="s">
        <v>258</v>
      </c>
      <c r="D4622" s="147" t="s">
        <v>74</v>
      </c>
      <c r="E4622" s="135">
        <f t="shared" si="59"/>
        <v>14</v>
      </c>
      <c r="F4622" s="134" t="s">
        <v>3868</v>
      </c>
      <c r="G4622" s="63" t="str">
        <f>VLOOKUP(C4622, 'Class Def. - General Data'!$C$20:$C$1000,1,false)</f>
        <v>ZPM1_Paper_PE</v>
      </c>
      <c r="H4622" s="63" t="str">
        <f>IFERROR(__xludf.DUMMYFUNCTION("VLOOKUP(F4622, IMPORTRANGE(""https://docs.google.com/spreadsheets/d/1Lhp9OU0JdFf_VYSMzH5lBcEaU4o8teT1piV-SNzShjg/edit?gid=554141278#gid=554141278"", ""'Char Def. - Attributes'!C20:C2242""), 1,false)"),"BASIC_UOM_RMPM")</f>
        <v>BASIC_UOM_RMPM</v>
      </c>
      <c r="I4622" s="136"/>
    </row>
    <row r="4623" ht="15.75" customHeight="1">
      <c r="B4623" s="63">
        <f t="shared" si="1"/>
        <v>13</v>
      </c>
      <c r="C4623" s="146" t="s">
        <v>258</v>
      </c>
      <c r="D4623" s="147" t="s">
        <v>74</v>
      </c>
      <c r="E4623" s="135">
        <f t="shared" si="59"/>
        <v>15</v>
      </c>
      <c r="F4623" s="134" t="s">
        <v>3869</v>
      </c>
      <c r="G4623" s="63" t="str">
        <f>VLOOKUP(C4623, 'Class Def. - General Data'!$C$20:$C$1000,1,false)</f>
        <v>ZPM1_Paper_PE</v>
      </c>
      <c r="H4623" s="63" t="str">
        <f>IFERROR(__xludf.DUMMYFUNCTION("VLOOKUP(F4623, IMPORTRANGE(""https://docs.google.com/spreadsheets/d/1Lhp9OU0JdFf_VYSMzH5lBcEaU4o8teT1piV-SNzShjg/edit?gid=554141278#gid=554141278"", ""'Char Def. - Attributes'!C20:C2242""), 1,false)"),"ALT_UOM1_RMPM")</f>
        <v>ALT_UOM1_RMPM</v>
      </c>
      <c r="I4623" s="136"/>
    </row>
    <row r="4624" ht="15.75" customHeight="1">
      <c r="B4624" s="63">
        <f t="shared" si="1"/>
        <v>13</v>
      </c>
      <c r="C4624" s="146" t="s">
        <v>258</v>
      </c>
      <c r="D4624" s="147" t="s">
        <v>74</v>
      </c>
      <c r="E4624" s="135">
        <f t="shared" si="59"/>
        <v>16</v>
      </c>
      <c r="F4624" s="134" t="s">
        <v>3805</v>
      </c>
      <c r="G4624" s="63" t="str">
        <f>VLOOKUP(C4624, 'Class Def. - General Data'!$C$20:$C$1000,1,false)</f>
        <v>ZPM1_Paper_PE</v>
      </c>
      <c r="H4624" s="63" t="str">
        <f>IFERROR(__xludf.DUMMYFUNCTION("VLOOKUP(F4624, IMPORTRANGE(""https://docs.google.com/spreadsheets/d/1Lhp9OU0JdFf_VYSMzH5lBcEaU4o8teT1piV-SNzShjg/edit?gid=554141278#gid=554141278"", ""'Char Def. - Attributes'!C20:C2242""), 1,false)"),"ALT_DENUM_UOM1")</f>
        <v>ALT_DENUM_UOM1</v>
      </c>
      <c r="I4624" s="136"/>
    </row>
    <row r="4625" ht="15.75" customHeight="1">
      <c r="B4625" s="63">
        <f t="shared" si="1"/>
        <v>13</v>
      </c>
      <c r="C4625" s="146" t="s">
        <v>258</v>
      </c>
      <c r="D4625" s="147" t="s">
        <v>74</v>
      </c>
      <c r="E4625" s="135">
        <f t="shared" si="59"/>
        <v>17</v>
      </c>
      <c r="F4625" s="134" t="s">
        <v>3806</v>
      </c>
      <c r="G4625" s="63" t="str">
        <f>VLOOKUP(C4625, 'Class Def. - General Data'!$C$20:$C$1000,1,false)</f>
        <v>ZPM1_Paper_PE</v>
      </c>
      <c r="H4625" s="63" t="str">
        <f>IFERROR(__xludf.DUMMYFUNCTION("VLOOKUP(F4625, IMPORTRANGE(""https://docs.google.com/spreadsheets/d/1Lhp9OU0JdFf_VYSMzH5lBcEaU4o8teT1piV-SNzShjg/edit?gid=554141278#gid=554141278"", ""'Char Def. - Attributes'!C20:C2242""), 1,false)"),"ALT_NUM_UOM1")</f>
        <v>ALT_NUM_UOM1</v>
      </c>
      <c r="I4625" s="136"/>
    </row>
    <row r="4626" ht="15.75" customHeight="1">
      <c r="B4626" s="63">
        <f t="shared" si="1"/>
        <v>13</v>
      </c>
      <c r="C4626" s="146" t="s">
        <v>258</v>
      </c>
      <c r="D4626" s="147" t="s">
        <v>74</v>
      </c>
      <c r="E4626" s="135">
        <f t="shared" si="59"/>
        <v>18</v>
      </c>
      <c r="F4626" s="134" t="s">
        <v>3870</v>
      </c>
      <c r="G4626" s="63" t="str">
        <f>VLOOKUP(C4626, 'Class Def. - General Data'!$C$20:$C$1000,1,false)</f>
        <v>ZPM1_Paper_PE</v>
      </c>
      <c r="H4626" s="63" t="str">
        <f>IFERROR(__xludf.DUMMYFUNCTION("VLOOKUP(F4626, IMPORTRANGE(""https://docs.google.com/spreadsheets/d/1Lhp9OU0JdFf_VYSMzH5lBcEaU4o8teT1piV-SNzShjg/edit?gid=554141278#gid=554141278"", ""'Char Def. - Attributes'!C20:C2242""), 1,false)"),"ALT_UOM2_RMPM")</f>
        <v>ALT_UOM2_RMPM</v>
      </c>
      <c r="I4626" s="136"/>
    </row>
    <row r="4627" ht="15.75" customHeight="1">
      <c r="B4627" s="63">
        <f t="shared" si="1"/>
        <v>13</v>
      </c>
      <c r="C4627" s="146" t="s">
        <v>258</v>
      </c>
      <c r="D4627" s="147" t="s">
        <v>74</v>
      </c>
      <c r="E4627" s="135">
        <f t="shared" si="59"/>
        <v>19</v>
      </c>
      <c r="F4627" s="134" t="s">
        <v>3808</v>
      </c>
      <c r="G4627" s="63" t="str">
        <f>VLOOKUP(C4627, 'Class Def. - General Data'!$C$20:$C$1000,1,false)</f>
        <v>ZPM1_Paper_PE</v>
      </c>
      <c r="H4627" s="63" t="str">
        <f>IFERROR(__xludf.DUMMYFUNCTION("VLOOKUP(F4627, IMPORTRANGE(""https://docs.google.com/spreadsheets/d/1Lhp9OU0JdFf_VYSMzH5lBcEaU4o8teT1piV-SNzShjg/edit?gid=554141278#gid=554141278"", ""'Char Def. - Attributes'!C20:C2242""), 1,false)"),"ALT_DENUM_UOM2")</f>
        <v>ALT_DENUM_UOM2</v>
      </c>
      <c r="I4627" s="136"/>
    </row>
    <row r="4628" ht="15.75" customHeight="1">
      <c r="B4628" s="63">
        <f t="shared" si="1"/>
        <v>13</v>
      </c>
      <c r="C4628" s="146" t="s">
        <v>258</v>
      </c>
      <c r="D4628" s="147" t="s">
        <v>74</v>
      </c>
      <c r="E4628" s="135">
        <f t="shared" si="59"/>
        <v>20</v>
      </c>
      <c r="F4628" s="134" t="s">
        <v>3809</v>
      </c>
      <c r="G4628" s="63" t="str">
        <f>VLOOKUP(C4628, 'Class Def. - General Data'!$C$20:$C$1000,1,false)</f>
        <v>ZPM1_Paper_PE</v>
      </c>
      <c r="H4628" s="63" t="str">
        <f>IFERROR(__xludf.DUMMYFUNCTION("VLOOKUP(F4628, IMPORTRANGE(""https://docs.google.com/spreadsheets/d/1Lhp9OU0JdFf_VYSMzH5lBcEaU4o8teT1piV-SNzShjg/edit?gid=554141278#gid=554141278"", ""'Char Def. - Attributes'!C20:C2242""), 1,false)"),"ALT_NUM_UOM2")</f>
        <v>ALT_NUM_UOM2</v>
      </c>
      <c r="I4628" s="136"/>
    </row>
    <row r="4629" ht="15.75" customHeight="1">
      <c r="B4629" s="63">
        <f t="shared" si="1"/>
        <v>13</v>
      </c>
      <c r="C4629" s="146" t="s">
        <v>258</v>
      </c>
      <c r="D4629" s="147" t="s">
        <v>74</v>
      </c>
      <c r="E4629" s="135">
        <f t="shared" si="59"/>
        <v>21</v>
      </c>
      <c r="F4629" s="134" t="s">
        <v>3871</v>
      </c>
      <c r="G4629" s="63" t="str">
        <f>VLOOKUP(C4629, 'Class Def. - General Data'!$C$20:$C$1000,1,false)</f>
        <v>ZPM1_Paper_PE</v>
      </c>
      <c r="H4629" s="63" t="str">
        <f>IFERROR(__xludf.DUMMYFUNCTION("VLOOKUP(F4629, IMPORTRANGE(""https://docs.google.com/spreadsheets/d/1Lhp9OU0JdFf_VYSMzH5lBcEaU4o8teT1piV-SNzShjg/edit?gid=554141278#gid=554141278"", ""'Char Def. - Attributes'!C20:C2242""), 1,false)"),"ALT_UOM3_RMPM")</f>
        <v>ALT_UOM3_RMPM</v>
      </c>
      <c r="I4629" s="136"/>
    </row>
    <row r="4630" ht="15.75" customHeight="1">
      <c r="B4630" s="63">
        <f t="shared" si="1"/>
        <v>13</v>
      </c>
      <c r="C4630" s="146" t="s">
        <v>258</v>
      </c>
      <c r="D4630" s="147" t="s">
        <v>74</v>
      </c>
      <c r="E4630" s="135">
        <f t="shared" si="59"/>
        <v>22</v>
      </c>
      <c r="F4630" s="134" t="s">
        <v>3811</v>
      </c>
      <c r="G4630" s="63" t="str">
        <f>VLOOKUP(C4630, 'Class Def. - General Data'!$C$20:$C$1000,1,false)</f>
        <v>ZPM1_Paper_PE</v>
      </c>
      <c r="H4630" s="63" t="str">
        <f>IFERROR(__xludf.DUMMYFUNCTION("VLOOKUP(F4630, IMPORTRANGE(""https://docs.google.com/spreadsheets/d/1Lhp9OU0JdFf_VYSMzH5lBcEaU4o8teT1piV-SNzShjg/edit?gid=554141278#gid=554141278"", ""'Char Def. - Attributes'!C20:C2242""), 1,false)"),"ALT_DENUM_UOM3")</f>
        <v>ALT_DENUM_UOM3</v>
      </c>
      <c r="I4630" s="136"/>
    </row>
    <row r="4631" ht="15.75" customHeight="1">
      <c r="B4631" s="63">
        <f t="shared" si="1"/>
        <v>13</v>
      </c>
      <c r="C4631" s="146" t="s">
        <v>258</v>
      </c>
      <c r="D4631" s="147" t="s">
        <v>74</v>
      </c>
      <c r="E4631" s="135">
        <f t="shared" si="59"/>
        <v>23</v>
      </c>
      <c r="F4631" s="134" t="s">
        <v>3812</v>
      </c>
      <c r="G4631" s="63" t="str">
        <f>VLOOKUP(C4631, 'Class Def. - General Data'!$C$20:$C$1000,1,false)</f>
        <v>ZPM1_Paper_PE</v>
      </c>
      <c r="H4631" s="63" t="str">
        <f>IFERROR(__xludf.DUMMYFUNCTION("VLOOKUP(F4631, IMPORTRANGE(""https://docs.google.com/spreadsheets/d/1Lhp9OU0JdFf_VYSMzH5lBcEaU4o8teT1piV-SNzShjg/edit?gid=554141278#gid=554141278"", ""'Char Def. - Attributes'!C20:C2242""), 1,false)"),"ALT_NUM_UOM3")</f>
        <v>ALT_NUM_UOM3</v>
      </c>
      <c r="I4631" s="136"/>
    </row>
    <row r="4632" ht="15.75" customHeight="1">
      <c r="B4632" s="63">
        <f t="shared" si="1"/>
        <v>13</v>
      </c>
      <c r="C4632" s="146" t="s">
        <v>258</v>
      </c>
      <c r="D4632" s="147" t="s">
        <v>74</v>
      </c>
      <c r="E4632" s="135">
        <f t="shared" si="59"/>
        <v>24</v>
      </c>
      <c r="F4632" s="134" t="s">
        <v>3872</v>
      </c>
      <c r="G4632" s="63" t="str">
        <f>VLOOKUP(C4632, 'Class Def. - General Data'!$C$20:$C$1000,1,false)</f>
        <v>ZPM1_Paper_PE</v>
      </c>
      <c r="H4632" s="63" t="str">
        <f>IFERROR(__xludf.DUMMYFUNCTION("VLOOKUP(F4632, IMPORTRANGE(""https://docs.google.com/spreadsheets/d/1Lhp9OU0JdFf_VYSMzH5lBcEaU4o8teT1piV-SNzShjg/edit?gid=554141278#gid=554141278"", ""'Char Def. - Attributes'!C20:C2242""), 1,false)"),"ALT_UOM4_RMPM")</f>
        <v>ALT_UOM4_RMPM</v>
      </c>
      <c r="I4632" s="136"/>
    </row>
    <row r="4633" ht="15.75" customHeight="1">
      <c r="B4633" s="63">
        <f t="shared" si="1"/>
        <v>13</v>
      </c>
      <c r="C4633" s="146" t="s">
        <v>258</v>
      </c>
      <c r="D4633" s="147" t="s">
        <v>74</v>
      </c>
      <c r="E4633" s="135">
        <f t="shared" si="59"/>
        <v>25</v>
      </c>
      <c r="F4633" s="134" t="s">
        <v>3814</v>
      </c>
      <c r="G4633" s="63" t="str">
        <f>VLOOKUP(C4633, 'Class Def. - General Data'!$C$20:$C$1000,1,false)</f>
        <v>ZPM1_Paper_PE</v>
      </c>
      <c r="H4633" s="63" t="str">
        <f>IFERROR(__xludf.DUMMYFUNCTION("VLOOKUP(F4633, IMPORTRANGE(""https://docs.google.com/spreadsheets/d/1Lhp9OU0JdFf_VYSMzH5lBcEaU4o8teT1piV-SNzShjg/edit?gid=554141278#gid=554141278"", ""'Char Def. - Attributes'!C20:C2242""), 1,false)"),"ALT_DENUM_UOM4")</f>
        <v>ALT_DENUM_UOM4</v>
      </c>
      <c r="I4633" s="136"/>
    </row>
    <row r="4634" ht="15.75" customHeight="1">
      <c r="B4634" s="63">
        <f t="shared" si="1"/>
        <v>13</v>
      </c>
      <c r="C4634" s="146" t="s">
        <v>258</v>
      </c>
      <c r="D4634" s="147" t="s">
        <v>74</v>
      </c>
      <c r="E4634" s="135">
        <f t="shared" si="59"/>
        <v>26</v>
      </c>
      <c r="F4634" s="134" t="s">
        <v>3815</v>
      </c>
      <c r="G4634" s="63" t="str">
        <f>VLOOKUP(C4634, 'Class Def. - General Data'!$C$20:$C$1000,1,false)</f>
        <v>ZPM1_Paper_PE</v>
      </c>
      <c r="H4634" s="63" t="str">
        <f>IFERROR(__xludf.DUMMYFUNCTION("VLOOKUP(F4634, IMPORTRANGE(""https://docs.google.com/spreadsheets/d/1Lhp9OU0JdFf_VYSMzH5lBcEaU4o8teT1piV-SNzShjg/edit?gid=554141278#gid=554141278"", ""'Char Def. - Attributes'!C20:C2242""), 1,false)"),"ALT_NUM_UOM4")</f>
        <v>ALT_NUM_UOM4</v>
      </c>
      <c r="I4634" s="136"/>
    </row>
    <row r="4635" ht="15.75" customHeight="1">
      <c r="B4635" s="63">
        <f t="shared" si="1"/>
        <v>13</v>
      </c>
      <c r="C4635" s="146" t="s">
        <v>258</v>
      </c>
      <c r="D4635" s="147" t="s">
        <v>74</v>
      </c>
      <c r="E4635" s="135">
        <f t="shared" si="59"/>
        <v>27</v>
      </c>
      <c r="F4635" s="134" t="s">
        <v>3873</v>
      </c>
      <c r="G4635" s="63" t="str">
        <f>VLOOKUP(C4635, 'Class Def. - General Data'!$C$20:$C$1000,1,false)</f>
        <v>ZPM1_Paper_PE</v>
      </c>
      <c r="H4635" s="63" t="str">
        <f>IFERROR(__xludf.DUMMYFUNCTION("VLOOKUP(F4635, IMPORTRANGE(""https://docs.google.com/spreadsheets/d/1Lhp9OU0JdFf_VYSMzH5lBcEaU4o8teT1piV-SNzShjg/edit?gid=554141278#gid=554141278"", ""'Char Def. - Attributes'!C20:C2242""), 1,false)"),"ALT_UOM5_RMPM")</f>
        <v>ALT_UOM5_RMPM</v>
      </c>
      <c r="I4635" s="136"/>
    </row>
    <row r="4636" ht="15.75" customHeight="1">
      <c r="B4636" s="63">
        <f t="shared" si="1"/>
        <v>13</v>
      </c>
      <c r="C4636" s="146" t="s">
        <v>258</v>
      </c>
      <c r="D4636" s="147" t="s">
        <v>74</v>
      </c>
      <c r="E4636" s="135">
        <f t="shared" si="59"/>
        <v>28</v>
      </c>
      <c r="F4636" s="134" t="s">
        <v>3817</v>
      </c>
      <c r="G4636" s="63" t="str">
        <f>VLOOKUP(C4636, 'Class Def. - General Data'!$C$20:$C$1000,1,false)</f>
        <v>ZPM1_Paper_PE</v>
      </c>
      <c r="H4636" s="63" t="str">
        <f>IFERROR(__xludf.DUMMYFUNCTION("VLOOKUP(F4636, IMPORTRANGE(""https://docs.google.com/spreadsheets/d/1Lhp9OU0JdFf_VYSMzH5lBcEaU4o8teT1piV-SNzShjg/edit?gid=554141278#gid=554141278"", ""'Char Def. - Attributes'!C20:C2242""), 1,false)"),"ALT_DENUM_UOM5")</f>
        <v>ALT_DENUM_UOM5</v>
      </c>
      <c r="I4636" s="136"/>
    </row>
    <row r="4637" ht="15.75" customHeight="1">
      <c r="B4637" s="63">
        <f t="shared" si="1"/>
        <v>13</v>
      </c>
      <c r="C4637" s="146" t="s">
        <v>258</v>
      </c>
      <c r="D4637" s="147" t="s">
        <v>74</v>
      </c>
      <c r="E4637" s="135">
        <f t="shared" si="59"/>
        <v>29</v>
      </c>
      <c r="F4637" s="134" t="s">
        <v>3818</v>
      </c>
      <c r="G4637" s="63" t="str">
        <f>VLOOKUP(C4637, 'Class Def. - General Data'!$C$20:$C$1000,1,false)</f>
        <v>ZPM1_Paper_PE</v>
      </c>
      <c r="H4637" s="63" t="str">
        <f>IFERROR(__xludf.DUMMYFUNCTION("VLOOKUP(F4637, IMPORTRANGE(""https://docs.google.com/spreadsheets/d/1Lhp9OU0JdFf_VYSMzH5lBcEaU4o8teT1piV-SNzShjg/edit?gid=554141278#gid=554141278"", ""'Char Def. - Attributes'!C20:C2242""), 1,false)"),"ALT_NUM_UOM5")</f>
        <v>ALT_NUM_UOM5</v>
      </c>
      <c r="I4637" s="136"/>
    </row>
    <row r="4638" ht="15.75" customHeight="1">
      <c r="B4638" s="63">
        <f t="shared" si="1"/>
        <v>13</v>
      </c>
      <c r="C4638" s="146" t="s">
        <v>258</v>
      </c>
      <c r="D4638" s="147" t="s">
        <v>74</v>
      </c>
      <c r="E4638" s="135">
        <f t="shared" si="59"/>
        <v>30</v>
      </c>
      <c r="F4638" s="134" t="s">
        <v>3874</v>
      </c>
      <c r="G4638" s="63" t="str">
        <f>VLOOKUP(C4638, 'Class Def. - General Data'!$C$20:$C$1000,1,false)</f>
        <v>ZPM1_Paper_PE</v>
      </c>
      <c r="H4638" s="63" t="str">
        <f>IFERROR(__xludf.DUMMYFUNCTION("VLOOKUP(F4638, IMPORTRANGE(""https://docs.google.com/spreadsheets/d/1Lhp9OU0JdFf_VYSMzH5lBcEaU4o8teT1piV-SNzShjg/edit?gid=554141278#gid=554141278"", ""'Char Def. - Attributes'!C20:C2242""), 1,false)"),"VALUATION_CATEGORY")</f>
        <v>VALUATION_CATEGORY</v>
      </c>
      <c r="I4638" s="136"/>
    </row>
    <row r="4639" ht="15.75" customHeight="1">
      <c r="B4639" s="63">
        <f t="shared" si="1"/>
        <v>13</v>
      </c>
      <c r="C4639" s="146" t="s">
        <v>258</v>
      </c>
      <c r="D4639" s="147" t="s">
        <v>74</v>
      </c>
      <c r="E4639" s="135">
        <f t="shared" si="59"/>
        <v>31</v>
      </c>
      <c r="F4639" s="134" t="s">
        <v>3800</v>
      </c>
      <c r="G4639" s="63" t="str">
        <f>VLOOKUP(C4639, 'Class Def. - General Data'!$C$20:$C$1000,1,false)</f>
        <v>ZPM1_Paper_PE</v>
      </c>
      <c r="H4639" s="63" t="str">
        <f>IFERROR(__xludf.DUMMYFUNCTION("VLOOKUP(F4639, IMPORTRANGE(""https://docs.google.com/spreadsheets/d/1Lhp9OU0JdFf_VYSMzH5lBcEaU4o8teT1piV-SNzShjg/edit?gid=554141278#gid=554141278"", ""'Char Def. - Attributes'!C20:C2242""), 1,false)"),"ORDER_UNIT_DIFF_FROM_BASIC_UOM")</f>
        <v>ORDER_UNIT_DIFF_FROM_BASIC_UOM</v>
      </c>
      <c r="I4639" s="136"/>
    </row>
    <row r="4640" ht="15.75" customHeight="1">
      <c r="B4640" s="63">
        <f t="shared" si="1"/>
        <v>13</v>
      </c>
      <c r="C4640" s="146" t="s">
        <v>258</v>
      </c>
      <c r="D4640" s="147" t="s">
        <v>74</v>
      </c>
      <c r="E4640" s="135">
        <f t="shared" si="59"/>
        <v>32</v>
      </c>
      <c r="F4640" s="134" t="s">
        <v>3875</v>
      </c>
      <c r="G4640" s="63" t="str">
        <f>VLOOKUP(C4640, 'Class Def. - General Data'!$C$20:$C$1000,1,false)</f>
        <v>ZPM1_Paper_PE</v>
      </c>
      <c r="H4640" s="63" t="str">
        <f>IFERROR(__xludf.DUMMYFUNCTION("VLOOKUP(F4640, IMPORTRANGE(""https://docs.google.com/spreadsheets/d/1Lhp9OU0JdFf_VYSMzH5lBcEaU4o8teT1piV-SNzShjg/edit?gid=554141278#gid=554141278"", ""'Char Def. - Attributes'!C20:C2242""), 1,false)"),"ORDER_UNIT_RMPM")</f>
        <v>ORDER_UNIT_RMPM</v>
      </c>
      <c r="I4640" s="136"/>
    </row>
    <row r="4641" ht="15.75" customHeight="1">
      <c r="B4641" s="63">
        <f t="shared" si="1"/>
        <v>13</v>
      </c>
      <c r="C4641" s="146" t="s">
        <v>258</v>
      </c>
      <c r="D4641" s="147" t="s">
        <v>74</v>
      </c>
      <c r="E4641" s="135">
        <f t="shared" si="59"/>
        <v>33</v>
      </c>
      <c r="F4641" s="134" t="s">
        <v>3602</v>
      </c>
      <c r="G4641" s="63" t="str">
        <f>VLOOKUP(C4641, 'Class Def. - General Data'!$C$20:$C$1000,1,false)</f>
        <v>ZPM1_Paper_PE</v>
      </c>
      <c r="H4641" s="63" t="str">
        <f>IFERROR(__xludf.DUMMYFUNCTION("VLOOKUP(F4641, IMPORTRANGE(""https://docs.google.com/spreadsheets/d/1Lhp9OU0JdFf_VYSMzH5lBcEaU4o8teT1piV-SNzShjg/edit?gid=554141278#gid=554141278"", ""'Char Def. - Attributes'!C20:C2242""), 1,false)"),"NET_WEIGHT")</f>
        <v>NET_WEIGHT</v>
      </c>
      <c r="I4641" s="136"/>
    </row>
    <row r="4642" ht="15.75" customHeight="1">
      <c r="B4642" s="63">
        <f t="shared" si="1"/>
        <v>13</v>
      </c>
      <c r="C4642" s="146" t="s">
        <v>258</v>
      </c>
      <c r="D4642" s="147" t="s">
        <v>74</v>
      </c>
      <c r="E4642" s="135">
        <f t="shared" si="59"/>
        <v>34</v>
      </c>
      <c r="F4642" s="134" t="s">
        <v>3601</v>
      </c>
      <c r="G4642" s="63" t="str">
        <f>VLOOKUP(C4642, 'Class Def. - General Data'!$C$20:$C$1000,1,false)</f>
        <v>ZPM1_Paper_PE</v>
      </c>
      <c r="H4642" s="63" t="str">
        <f>IFERROR(__xludf.DUMMYFUNCTION("VLOOKUP(F4642, IMPORTRANGE(""https://docs.google.com/spreadsheets/d/1Lhp9OU0JdFf_VYSMzH5lBcEaU4o8teT1piV-SNzShjg/edit?gid=554141278#gid=554141278"", ""'Char Def. - Attributes'!C20:C2242""), 1,false)"),"GROSS_WEIGHT")</f>
        <v>GROSS_WEIGHT</v>
      </c>
      <c r="I4642" s="136"/>
    </row>
    <row r="4643" ht="15.75" customHeight="1">
      <c r="B4643" s="63">
        <f t="shared" si="1"/>
        <v>13</v>
      </c>
      <c r="C4643" s="146" t="s">
        <v>258</v>
      </c>
      <c r="D4643" s="147" t="s">
        <v>74</v>
      </c>
      <c r="E4643" s="135">
        <f t="shared" si="59"/>
        <v>35</v>
      </c>
      <c r="F4643" s="134" t="s">
        <v>3876</v>
      </c>
      <c r="G4643" s="63" t="str">
        <f>VLOOKUP(C4643, 'Class Def. - General Data'!$C$20:$C$1000,1,false)</f>
        <v>ZPM1_Paper_PE</v>
      </c>
      <c r="H4643" s="63" t="str">
        <f>IFERROR(__xludf.DUMMYFUNCTION("VLOOKUP(F4643, IMPORTRANGE(""https://docs.google.com/spreadsheets/d/1Lhp9OU0JdFf_VYSMzH5lBcEaU4o8teT1piV-SNzShjg/edit?gid=554141278#gid=554141278"", ""'Char Def. - Attributes'!C20:C2242""), 1,false)"),"WEIGHT_UNIT_PM")</f>
        <v>WEIGHT_UNIT_PM</v>
      </c>
      <c r="I4643" s="136"/>
    </row>
    <row r="4644" ht="15.75" customHeight="1">
      <c r="B4644" s="63">
        <f t="shared" si="1"/>
        <v>13</v>
      </c>
      <c r="C4644" s="146" t="s">
        <v>258</v>
      </c>
      <c r="D4644" s="147" t="s">
        <v>74</v>
      </c>
      <c r="E4644" s="135">
        <f t="shared" si="59"/>
        <v>36</v>
      </c>
      <c r="F4644" s="134" t="s">
        <v>3877</v>
      </c>
      <c r="G4644" s="63" t="str">
        <f>VLOOKUP(C4644, 'Class Def. - General Data'!$C$20:$C$1000,1,false)</f>
        <v>ZPM1_Paper_PE</v>
      </c>
      <c r="H4644" s="63" t="str">
        <f>IFERROR(__xludf.DUMMYFUNCTION("VLOOKUP(F4644, IMPORTRANGE(""https://docs.google.com/spreadsheets/d/1Lhp9OU0JdFf_VYSMzH5lBcEaU4o8teT1piV-SNzShjg/edit?gid=554141278#gid=554141278"", ""'Char Def. - Attributes'!C20:C2242""), 1,false)"),"VOLUME_OPT")</f>
        <v>VOLUME_OPT</v>
      </c>
      <c r="I4644" s="136"/>
    </row>
    <row r="4645" ht="15.75" customHeight="1">
      <c r="B4645" s="63">
        <f t="shared" si="1"/>
        <v>13</v>
      </c>
      <c r="C4645" s="146" t="s">
        <v>258</v>
      </c>
      <c r="D4645" s="147" t="s">
        <v>74</v>
      </c>
      <c r="E4645" s="135">
        <f t="shared" si="59"/>
        <v>37</v>
      </c>
      <c r="F4645" s="134" t="s">
        <v>3878</v>
      </c>
      <c r="G4645" s="63" t="str">
        <f>VLOOKUP(C4645, 'Class Def. - General Data'!$C$20:$C$1000,1,false)</f>
        <v>ZPM1_Paper_PE</v>
      </c>
      <c r="H4645" s="63" t="str">
        <f>IFERROR(__xludf.DUMMYFUNCTION("VLOOKUP(F4645, IMPORTRANGE(""https://docs.google.com/spreadsheets/d/1Lhp9OU0JdFf_VYSMzH5lBcEaU4o8teT1piV-SNzShjg/edit?gid=554141278#gid=554141278"", ""'Char Def. - Attributes'!C20:C2242""), 1,false)"),"VOLUME_UNIT")</f>
        <v>VOLUME_UNIT</v>
      </c>
      <c r="I4645" s="136"/>
    </row>
    <row r="4646" ht="15.75" customHeight="1">
      <c r="B4646" s="63">
        <f t="shared" si="1"/>
        <v>13</v>
      </c>
      <c r="C4646" s="146" t="s">
        <v>258</v>
      </c>
      <c r="D4646" s="147" t="s">
        <v>74</v>
      </c>
      <c r="E4646" s="135">
        <f t="shared" si="59"/>
        <v>38</v>
      </c>
      <c r="F4646" s="134" t="s">
        <v>3879</v>
      </c>
      <c r="G4646" s="63" t="str">
        <f>VLOOKUP(C4646, 'Class Def. - General Data'!$C$20:$C$1000,1,false)</f>
        <v>ZPM1_Paper_PE</v>
      </c>
      <c r="H4646" s="63" t="str">
        <f>IFERROR(__xludf.DUMMYFUNCTION("VLOOKUP(F4646, IMPORTRANGE(""https://docs.google.com/spreadsheets/d/1Lhp9OU0JdFf_VYSMzH5lBcEaU4o8teT1piV-SNzShjg/edit?gid=554141278#gid=554141278"", ""'Char Def. - Attributes'!C20:C2242""), 1,false)"),"OLD_MAT_NO_RMPM")</f>
        <v>OLD_MAT_NO_RMPM</v>
      </c>
      <c r="I4646" s="136"/>
    </row>
    <row r="4647" ht="15.75" customHeight="1">
      <c r="B4647" s="63">
        <f t="shared" si="1"/>
        <v>13</v>
      </c>
      <c r="C4647" s="146" t="s">
        <v>258</v>
      </c>
      <c r="D4647" s="147" t="s">
        <v>74</v>
      </c>
      <c r="E4647" s="135">
        <f t="shared" si="59"/>
        <v>39</v>
      </c>
      <c r="F4647" s="134" t="s">
        <v>3880</v>
      </c>
      <c r="G4647" s="63" t="str">
        <f>VLOOKUP(C4647, 'Class Def. - General Data'!$C$20:$C$1000,1,false)</f>
        <v>ZPM1_Paper_PE</v>
      </c>
      <c r="H4647" s="63" t="str">
        <f>IFERROR(__xludf.DUMMYFUNCTION("VLOOKUP(F4647, IMPORTRANGE(""https://docs.google.com/spreadsheets/d/1Lhp9OU0JdFf_VYSMzH5lBcEaU4o8teT1piV-SNzShjg/edit?gid=554141278#gid=554141278"", ""'Char Def. - Attributes'!C20:C2242""), 1,false)"),"NOTE_PM")</f>
        <v>NOTE_PM</v>
      </c>
      <c r="I4647" s="136"/>
    </row>
    <row r="4648" ht="15.75" customHeight="1">
      <c r="B4648" s="63">
        <f t="shared" si="1"/>
        <v>13</v>
      </c>
      <c r="C4648" s="146" t="s">
        <v>258</v>
      </c>
      <c r="D4648" s="147" t="s">
        <v>74</v>
      </c>
      <c r="E4648" s="135">
        <f t="shared" si="59"/>
        <v>40</v>
      </c>
      <c r="F4648" s="134" t="s">
        <v>3881</v>
      </c>
      <c r="G4648" s="63" t="str">
        <f>VLOOKUP(C4648, 'Class Def. - General Data'!$C$20:$C$1000,1,false)</f>
        <v>ZPM1_Paper_PE</v>
      </c>
      <c r="H4648" s="63" t="str">
        <f>IFERROR(__xludf.DUMMYFUNCTION("VLOOKUP(F4648, IMPORTRANGE(""https://docs.google.com/spreadsheets/d/1Lhp9OU0JdFf_VYSMzH5lBcEaU4o8teT1piV-SNzShjg/edit?gid=554141278#gid=554141278"", ""'Char Def. - Attributes'!C20:C2242""), 1,false)"),"BS_BERSIH")</f>
        <v>BS_BERSIH</v>
      </c>
      <c r="I4648" s="136"/>
    </row>
    <row r="4649" ht="15.75" customHeight="1">
      <c r="B4649" s="63">
        <f t="shared" si="1"/>
        <v>13</v>
      </c>
      <c r="C4649" s="146" t="s">
        <v>258</v>
      </c>
      <c r="D4649" s="147" t="s">
        <v>74</v>
      </c>
      <c r="E4649" s="135">
        <f t="shared" si="59"/>
        <v>41</v>
      </c>
      <c r="F4649" s="134" t="s">
        <v>3882</v>
      </c>
      <c r="G4649" s="63" t="str">
        <f>VLOOKUP(C4649, 'Class Def. - General Data'!$C$20:$C$1000,1,false)</f>
        <v>ZPM1_Paper_PE</v>
      </c>
      <c r="H4649" s="63" t="str">
        <f>IFERROR(__xludf.DUMMYFUNCTION("VLOOKUP(F4649, IMPORTRANGE(""https://docs.google.com/spreadsheets/d/1Lhp9OU0JdFf_VYSMzH5lBcEaU4o8teT1piV-SNzShjg/edit?gid=554141278#gid=554141278"", ""'Char Def. - Attributes'!C20:C2242""), 1,false)"),"BS_KOTOR")</f>
        <v>BS_KOTOR</v>
      </c>
      <c r="I4649" s="136"/>
    </row>
    <row r="4650" ht="15.75" customHeight="1">
      <c r="B4650" s="63">
        <f t="shared" si="1"/>
        <v>13</v>
      </c>
      <c r="C4650" s="146" t="s">
        <v>258</v>
      </c>
      <c r="D4650" s="147" t="s">
        <v>74</v>
      </c>
      <c r="E4650" s="135">
        <f t="shared" si="59"/>
        <v>42</v>
      </c>
      <c r="F4650" s="134" t="s">
        <v>3883</v>
      </c>
      <c r="G4650" s="63" t="str">
        <f>VLOOKUP(C4650, 'Class Def. - General Data'!$C$20:$C$1000,1,false)</f>
        <v>ZPM1_Paper_PE</v>
      </c>
      <c r="H4650" s="63" t="str">
        <f>IFERROR(__xludf.DUMMYFUNCTION("VLOOKUP(F4650, IMPORTRANGE(""https://docs.google.com/spreadsheets/d/1Lhp9OU0JdFf_VYSMzH5lBcEaU4o8teT1piV-SNzShjg/edit?gid=554141278#gid=554141278"", ""'Char Def. - Attributes'!C20:C2242""), 1,false)"),"BS_SCRAP")</f>
        <v>BS_SCRAP</v>
      </c>
      <c r="I4650" s="136"/>
    </row>
    <row r="4651" ht="15.75" customHeight="1">
      <c r="B4651" s="63">
        <f t="shared" si="1"/>
        <v>12</v>
      </c>
      <c r="C4651" s="146" t="s">
        <v>260</v>
      </c>
      <c r="D4651" s="147" t="s">
        <v>74</v>
      </c>
      <c r="E4651" s="135">
        <f t="shared" si="59"/>
        <v>1</v>
      </c>
      <c r="F4651" s="148" t="s">
        <v>3958</v>
      </c>
      <c r="G4651" s="63" t="str">
        <f>VLOOKUP(C4651, 'Class Def. - General Data'!$C$20:$C$1000,1,false)</f>
        <v>ZPM1_Partisi</v>
      </c>
      <c r="H4651" s="63" t="str">
        <f>IFERROR(__xludf.DUMMYFUNCTION("VLOOKUP(F4651, IMPORTRANGE(""https://docs.google.com/spreadsheets/d/1Lhp9OU0JdFf_VYSMzH5lBcEaU4o8teT1piV-SNzShjg/edit?gid=554141278#gid=554141278"", ""'Char Def. - Attributes'!C20:C2242""), 1,false)"),"MATERIAL_CODE_PARTISI")</f>
        <v>MATERIAL_CODE_PARTISI</v>
      </c>
      <c r="I4651" s="136"/>
    </row>
    <row r="4652" ht="15.75" customHeight="1">
      <c r="B4652" s="63">
        <f t="shared" si="1"/>
        <v>12</v>
      </c>
      <c r="C4652" s="146" t="s">
        <v>260</v>
      </c>
      <c r="D4652" s="147" t="s">
        <v>74</v>
      </c>
      <c r="E4652" s="135">
        <f t="shared" si="59"/>
        <v>2</v>
      </c>
      <c r="F4652" s="134" t="s">
        <v>3852</v>
      </c>
      <c r="G4652" s="63" t="str">
        <f>VLOOKUP(C4652, 'Class Def. - General Data'!$C$20:$C$1000,1,false)</f>
        <v>ZPM1_Partisi</v>
      </c>
      <c r="H4652" s="63" t="str">
        <f>IFERROR(__xludf.DUMMYFUNCTION("VLOOKUP(F4652, IMPORTRANGE(""https://docs.google.com/spreadsheets/d/1Lhp9OU0JdFf_VYSMzH5lBcEaU4o8teT1piV-SNzShjg/edit?gid=554141278#gid=554141278"", ""'Char Def. - Attributes'!C20:C2242""), 1,false)"),"SINGLE_BRAND")</f>
        <v>SINGLE_BRAND</v>
      </c>
      <c r="I4652" s="136"/>
    </row>
    <row r="4653" ht="15.75" customHeight="1">
      <c r="B4653" s="63">
        <f t="shared" si="1"/>
        <v>12</v>
      </c>
      <c r="C4653" s="146" t="s">
        <v>260</v>
      </c>
      <c r="D4653" s="147" t="s">
        <v>74</v>
      </c>
      <c r="E4653" s="135">
        <f t="shared" si="59"/>
        <v>3</v>
      </c>
      <c r="F4653" s="153" t="s">
        <v>3853</v>
      </c>
      <c r="G4653" s="63" t="str">
        <f>VLOOKUP(C4653, 'Class Def. - General Data'!$C$20:$C$1000,1,false)</f>
        <v>ZPM1_Partisi</v>
      </c>
      <c r="H4653" s="63" t="str">
        <f>IFERROR(__xludf.DUMMYFUNCTION("VLOOKUP(F4653, IMPORTRANGE(""https://docs.google.com/spreadsheets/d/1Lhp9OU0JdFf_VYSMzH5lBcEaU4o8teT1piV-SNzShjg/edit?gid=554141278#gid=554141278"", ""'Char Def. - Attributes'!C20:C2242""), 1,false)"),"BRAND_WINGS")</f>
        <v>BRAND_WINGS</v>
      </c>
      <c r="I4653" s="136"/>
    </row>
    <row r="4654" ht="15.75" customHeight="1">
      <c r="B4654" s="63">
        <f t="shared" si="1"/>
        <v>12</v>
      </c>
      <c r="C4654" s="146" t="s">
        <v>260</v>
      </c>
      <c r="D4654" s="147" t="s">
        <v>74</v>
      </c>
      <c r="E4654" s="135">
        <f t="shared" si="59"/>
        <v>4</v>
      </c>
      <c r="F4654" s="134" t="s">
        <v>3854</v>
      </c>
      <c r="G4654" s="63" t="str">
        <f>VLOOKUP(C4654, 'Class Def. - General Data'!$C$20:$C$1000,1,false)</f>
        <v>ZPM1_Partisi</v>
      </c>
      <c r="H4654" s="63" t="str">
        <f>IFERROR(__xludf.DUMMYFUNCTION("VLOOKUP(F4654, IMPORTRANGE(""https://docs.google.com/spreadsheets/d/1Lhp9OU0JdFf_VYSMzH5lBcEaU4o8teT1piV-SNzShjg/edit?gid=554141278#gid=554141278"", ""'Char Def. - Attributes'!C20:C2242""), 1,false)"),"SINGLE_PACK_SHAPE")</f>
        <v>SINGLE_PACK_SHAPE</v>
      </c>
      <c r="I4654" s="136"/>
    </row>
    <row r="4655" ht="15.75" customHeight="1">
      <c r="B4655" s="63">
        <f t="shared" si="1"/>
        <v>12</v>
      </c>
      <c r="C4655" s="146" t="s">
        <v>260</v>
      </c>
      <c r="D4655" s="147" t="s">
        <v>74</v>
      </c>
      <c r="E4655" s="135">
        <f t="shared" si="59"/>
        <v>5</v>
      </c>
      <c r="F4655" s="153" t="s">
        <v>3855</v>
      </c>
      <c r="G4655" s="63" t="str">
        <f>VLOOKUP(C4655, 'Class Def. - General Data'!$C$20:$C$1000,1,false)</f>
        <v>ZPM1_Partisi</v>
      </c>
      <c r="H4655" s="63" t="str">
        <f>IFERROR(__xludf.DUMMYFUNCTION("VLOOKUP(F4655, IMPORTRANGE(""https://docs.google.com/spreadsheets/d/1Lhp9OU0JdFf_VYSMzH5lBcEaU4o8teT1piV-SNzShjg/edit?gid=554141278#gid=554141278"", ""'Char Def. - Attributes'!C20:C2242""), 1,false)"),"PACK_SHAPE")</f>
        <v>PACK_SHAPE</v>
      </c>
      <c r="I4655" s="136"/>
    </row>
    <row r="4656" ht="15.75" customHeight="1">
      <c r="B4656" s="63">
        <f t="shared" si="1"/>
        <v>12</v>
      </c>
      <c r="C4656" s="146" t="s">
        <v>260</v>
      </c>
      <c r="D4656" s="147" t="s">
        <v>74</v>
      </c>
      <c r="E4656" s="135">
        <f t="shared" si="59"/>
        <v>6</v>
      </c>
      <c r="F4656" s="134" t="s">
        <v>3856</v>
      </c>
      <c r="G4656" s="63" t="str">
        <f>VLOOKUP(C4656, 'Class Def. - General Data'!$C$20:$C$1000,1,false)</f>
        <v>ZPM1_Partisi</v>
      </c>
      <c r="H4656" s="63" t="str">
        <f>IFERROR(__xludf.DUMMYFUNCTION("VLOOKUP(F4656, IMPORTRANGE(""https://docs.google.com/spreadsheets/d/1Lhp9OU0JdFf_VYSMzH5lBcEaU4o8teT1piV-SNzShjg/edit?gid=554141278#gid=554141278"", ""'Char Def. - Attributes'!C20:C2242""), 1,false)"),"SINGLE_PACK_NETTO")</f>
        <v>SINGLE_PACK_NETTO</v>
      </c>
      <c r="I4656" s="136"/>
    </row>
    <row r="4657" ht="15.75" customHeight="1">
      <c r="B4657" s="63">
        <f t="shared" si="1"/>
        <v>12</v>
      </c>
      <c r="C4657" s="146" t="s">
        <v>260</v>
      </c>
      <c r="D4657" s="147" t="s">
        <v>74</v>
      </c>
      <c r="E4657" s="135">
        <f t="shared" si="59"/>
        <v>7</v>
      </c>
      <c r="F4657" s="153" t="s">
        <v>3605</v>
      </c>
      <c r="G4657" s="63" t="str">
        <f>VLOOKUP(C4657, 'Class Def. - General Data'!$C$20:$C$1000,1,false)</f>
        <v>ZPM1_Partisi</v>
      </c>
      <c r="H4657" s="63" t="str">
        <f>IFERROR(__xludf.DUMMYFUNCTION("VLOOKUP(F4657, IMPORTRANGE(""https://docs.google.com/spreadsheets/d/1Lhp9OU0JdFf_VYSMzH5lBcEaU4o8teT1piV-SNzShjg/edit?gid=554141278#gid=554141278"", ""'Char Def. - Attributes'!C20:C2242""), 1,false)"),"PACK_NETTO")</f>
        <v>PACK_NETTO</v>
      </c>
      <c r="I4657" s="136"/>
    </row>
    <row r="4658" ht="15.75" customHeight="1">
      <c r="B4658" s="63">
        <f t="shared" si="1"/>
        <v>12</v>
      </c>
      <c r="C4658" s="146" t="s">
        <v>260</v>
      </c>
      <c r="D4658" s="147" t="s">
        <v>74</v>
      </c>
      <c r="E4658" s="135">
        <f t="shared" si="59"/>
        <v>8</v>
      </c>
      <c r="F4658" s="153" t="s">
        <v>3857</v>
      </c>
      <c r="G4658" s="63" t="str">
        <f>VLOOKUP(C4658, 'Class Def. - General Data'!$C$20:$C$1000,1,false)</f>
        <v>ZPM1_Partisi</v>
      </c>
      <c r="H4658" s="63" t="str">
        <f>IFERROR(__xludf.DUMMYFUNCTION("VLOOKUP(F4658, IMPORTRANGE(""https://docs.google.com/spreadsheets/d/1Lhp9OU0JdFf_VYSMzH5lBcEaU4o8teT1piV-SNzShjg/edit?gid=554141278#gid=554141278"", ""'Char Def. - Attributes'!C20:C2242""), 1,false)"),"PACK_UOM")</f>
        <v>PACK_UOM</v>
      </c>
      <c r="I4658" s="136"/>
    </row>
    <row r="4659" ht="15.75" customHeight="1">
      <c r="B4659" s="63">
        <f t="shared" si="1"/>
        <v>12</v>
      </c>
      <c r="C4659" s="146" t="s">
        <v>260</v>
      </c>
      <c r="D4659" s="147" t="s">
        <v>74</v>
      </c>
      <c r="E4659" s="135">
        <f t="shared" si="59"/>
        <v>9</v>
      </c>
      <c r="F4659" s="134" t="s">
        <v>3858</v>
      </c>
      <c r="G4659" s="63" t="str">
        <f>VLOOKUP(C4659, 'Class Def. - General Data'!$C$20:$C$1000,1,false)</f>
        <v>ZPM1_Partisi</v>
      </c>
      <c r="H4659" s="63" t="str">
        <f>IFERROR(__xludf.DUMMYFUNCTION("VLOOKUP(F4659, IMPORTRANGE(""https://docs.google.com/spreadsheets/d/1Lhp9OU0JdFf_VYSMzH5lBcEaU4o8teT1piV-SNzShjg/edit?gid=554141278#gid=554141278"", ""'Char Def. - Attributes'!C20:C2242""), 1,false)"),"SINGLE_VARIAN")</f>
        <v>SINGLE_VARIAN</v>
      </c>
      <c r="I4659" s="136"/>
    </row>
    <row r="4660" ht="15.75" customHeight="1">
      <c r="B4660" s="63">
        <f t="shared" si="1"/>
        <v>12</v>
      </c>
      <c r="C4660" s="146" t="s">
        <v>260</v>
      </c>
      <c r="D4660" s="147" t="s">
        <v>74</v>
      </c>
      <c r="E4660" s="135">
        <f t="shared" si="59"/>
        <v>10</v>
      </c>
      <c r="F4660" s="153" t="s">
        <v>3607</v>
      </c>
      <c r="G4660" s="63" t="str">
        <f>VLOOKUP(C4660, 'Class Def. - General Data'!$C$20:$C$1000,1,false)</f>
        <v>ZPM1_Partisi</v>
      </c>
      <c r="H4660" s="63" t="str">
        <f>IFERROR(__xludf.DUMMYFUNCTION("VLOOKUP(F4660, IMPORTRANGE(""https://docs.google.com/spreadsheets/d/1Lhp9OU0JdFf_VYSMzH5lBcEaU4o8teT1piV-SNzShjg/edit?gid=554141278#gid=554141278"", ""'Char Def. - Attributes'!C20:C2242""), 1,false)"),"VARIAN")</f>
        <v>VARIAN</v>
      </c>
      <c r="I4660" s="136"/>
    </row>
    <row r="4661" ht="15.75" customHeight="1">
      <c r="B4661" s="63">
        <f t="shared" si="1"/>
        <v>12</v>
      </c>
      <c r="C4661" s="146" t="s">
        <v>260</v>
      </c>
      <c r="D4661" s="147" t="s">
        <v>74</v>
      </c>
      <c r="E4661" s="135">
        <f t="shared" si="59"/>
        <v>11</v>
      </c>
      <c r="F4661" s="134" t="s">
        <v>3859</v>
      </c>
      <c r="G4661" s="63" t="str">
        <f>VLOOKUP(C4661, 'Class Def. - General Data'!$C$20:$C$1000,1,false)</f>
        <v>ZPM1_Partisi</v>
      </c>
      <c r="H4661" s="63" t="str">
        <f>IFERROR(__xludf.DUMMYFUNCTION("VLOOKUP(F4661, IMPORTRANGE(""https://docs.google.com/spreadsheets/d/1Lhp9OU0JdFf_VYSMzH5lBcEaU4o8teT1piV-SNzShjg/edit?gid=554141278#gid=554141278"", ""'Char Def. - Attributes'!C20:C2242""), 1,false)"),"ADA_ADDITIONAL_PROMO")</f>
        <v>ADA_ADDITIONAL_PROMO</v>
      </c>
      <c r="I4661" s="136"/>
    </row>
    <row r="4662" ht="15.75" customHeight="1">
      <c r="B4662" s="63">
        <f t="shared" si="1"/>
        <v>12</v>
      </c>
      <c r="C4662" s="146" t="s">
        <v>260</v>
      </c>
      <c r="D4662" s="147" t="s">
        <v>74</v>
      </c>
      <c r="E4662" s="135">
        <f t="shared" si="59"/>
        <v>12</v>
      </c>
      <c r="F4662" s="153" t="s">
        <v>3609</v>
      </c>
      <c r="G4662" s="63" t="str">
        <f>VLOOKUP(C4662, 'Class Def. - General Data'!$C$20:$C$1000,1,false)</f>
        <v>ZPM1_Partisi</v>
      </c>
      <c r="H4662" s="63" t="str">
        <f>IFERROR(__xludf.DUMMYFUNCTION("VLOOKUP(F4662, IMPORTRANGE(""https://docs.google.com/spreadsheets/d/1Lhp9OU0JdFf_VYSMzH5lBcEaU4o8teT1piV-SNzShjg/edit?gid=554141278#gid=554141278"", ""'Char Def. - Attributes'!C20:C2242""), 1,false)"),"ADDITIONAL_PROMO")</f>
        <v>ADDITIONAL_PROMO</v>
      </c>
      <c r="I4662" s="136"/>
    </row>
    <row r="4663" ht="15.75" customHeight="1">
      <c r="B4663" s="63">
        <f t="shared" si="1"/>
        <v>12</v>
      </c>
      <c r="C4663" s="146" t="s">
        <v>260</v>
      </c>
      <c r="D4663" s="147" t="s">
        <v>74</v>
      </c>
      <c r="E4663" s="135">
        <f t="shared" si="59"/>
        <v>13</v>
      </c>
      <c r="F4663" s="134" t="s">
        <v>3860</v>
      </c>
      <c r="G4663" s="63" t="str">
        <f>VLOOKUP(C4663, 'Class Def. - General Data'!$C$20:$C$1000,1,false)</f>
        <v>ZPM1_Partisi</v>
      </c>
      <c r="H4663" s="63" t="str">
        <f>IFERROR(__xludf.DUMMYFUNCTION("VLOOKUP(F4663, IMPORTRANGE(""https://docs.google.com/spreadsheets/d/1Lhp9OU0JdFf_VYSMzH5lBcEaU4o8teT1piV-SNzShjg/edit?gid=554141278#gid=554141278"", ""'Char Def. - Attributes'!C20:C2242""), 1,false)"),"ADA_BANDED_PROMO")</f>
        <v>ADA_BANDED_PROMO</v>
      </c>
      <c r="I4663" s="136"/>
    </row>
    <row r="4664" ht="15.75" customHeight="1">
      <c r="B4664" s="63">
        <f t="shared" si="1"/>
        <v>12</v>
      </c>
      <c r="C4664" s="146" t="s">
        <v>260</v>
      </c>
      <c r="D4664" s="147" t="s">
        <v>74</v>
      </c>
      <c r="E4664" s="135">
        <f t="shared" si="59"/>
        <v>14</v>
      </c>
      <c r="F4664" s="153" t="s">
        <v>3610</v>
      </c>
      <c r="G4664" s="63" t="str">
        <f>VLOOKUP(C4664, 'Class Def. - General Data'!$C$20:$C$1000,1,false)</f>
        <v>ZPM1_Partisi</v>
      </c>
      <c r="H4664" s="63" t="str">
        <f>IFERROR(__xludf.DUMMYFUNCTION("VLOOKUP(F4664, IMPORTRANGE(""https://docs.google.com/spreadsheets/d/1Lhp9OU0JdFf_VYSMzH5lBcEaU4o8teT1piV-SNzShjg/edit?gid=554141278#gid=554141278"", ""'Char Def. - Attributes'!C20:C2242""), 1,false)"),"BANDED_PROMO")</f>
        <v>BANDED_PROMO</v>
      </c>
      <c r="I4664" s="136"/>
    </row>
    <row r="4665" ht="15.75" customHeight="1">
      <c r="B4665" s="63">
        <f t="shared" si="1"/>
        <v>12</v>
      </c>
      <c r="C4665" s="146" t="s">
        <v>260</v>
      </c>
      <c r="D4665" s="147" t="s">
        <v>74</v>
      </c>
      <c r="E4665" s="135">
        <f t="shared" si="59"/>
        <v>15</v>
      </c>
      <c r="F4665" s="134" t="s">
        <v>1292</v>
      </c>
      <c r="G4665" s="63" t="str">
        <f>VLOOKUP(C4665, 'Class Def. - General Data'!$C$20:$C$1000,1,false)</f>
        <v>ZPM1_Partisi</v>
      </c>
      <c r="H4665" s="63" t="str">
        <f>IFERROR(__xludf.DUMMYFUNCTION("VLOOKUP(F4665, IMPORTRANGE(""https://docs.google.com/spreadsheets/d/1Lhp9OU0JdFf_VYSMzH5lBcEaU4o8teT1piV-SNzShjg/edit?gid=554141278#gid=554141278"", ""'Char Def. - Attributes'!C20:C2242""), 1,false)"),"EXPORT")</f>
        <v>EXPORT</v>
      </c>
      <c r="I4665" s="136"/>
    </row>
    <row r="4666" ht="15.75" customHeight="1">
      <c r="B4666" s="63">
        <f t="shared" si="1"/>
        <v>12</v>
      </c>
      <c r="C4666" s="146" t="s">
        <v>260</v>
      </c>
      <c r="D4666" s="147" t="s">
        <v>74</v>
      </c>
      <c r="E4666" s="135">
        <f t="shared" si="59"/>
        <v>16</v>
      </c>
      <c r="F4666" s="153" t="s">
        <v>3612</v>
      </c>
      <c r="G4666" s="63" t="str">
        <f>VLOOKUP(C4666, 'Class Def. - General Data'!$C$20:$C$1000,1,false)</f>
        <v>ZPM1_Partisi</v>
      </c>
      <c r="H4666" s="63" t="str">
        <f>IFERROR(__xludf.DUMMYFUNCTION("VLOOKUP(F4666, IMPORTRANGE(""https://docs.google.com/spreadsheets/d/1Lhp9OU0JdFf_VYSMzH5lBcEaU4o8teT1piV-SNzShjg/edit?gid=554141278#gid=554141278"", ""'Char Def. - Attributes'!C20:C2242""), 1,false)"),"COUNTRY_EKSPOR")</f>
        <v>COUNTRY_EKSPOR</v>
      </c>
      <c r="I4666" s="136"/>
    </row>
    <row r="4667" ht="15.75" customHeight="1">
      <c r="B4667" s="63">
        <f t="shared" si="1"/>
        <v>12</v>
      </c>
      <c r="C4667" s="146" t="s">
        <v>260</v>
      </c>
      <c r="D4667" s="147" t="s">
        <v>74</v>
      </c>
      <c r="E4667" s="135">
        <f t="shared" si="59"/>
        <v>17</v>
      </c>
      <c r="F4667" s="148" t="s">
        <v>3861</v>
      </c>
      <c r="G4667" s="63" t="str">
        <f>VLOOKUP(C4667, 'Class Def. - General Data'!$C$20:$C$1000,1,false)</f>
        <v>ZPM1_Partisi</v>
      </c>
      <c r="H4667" s="63" t="str">
        <f>IFERROR(__xludf.DUMMYFUNCTION("VLOOKUP(F4667, IMPORTRANGE(""https://docs.google.com/spreadsheets/d/1Lhp9OU0JdFf_VYSMzH5lBcEaU4o8teT1piV-SNzShjg/edit?gid=554141278#gid=554141278"", ""'Char Def. - Attributes'!C20:C2242""), 1,false)"),"PEMBATAS")</f>
        <v>PEMBATAS</v>
      </c>
      <c r="I4667" s="136"/>
    </row>
    <row r="4668" ht="15.75" customHeight="1">
      <c r="B4668" s="63">
        <f t="shared" si="1"/>
        <v>12</v>
      </c>
      <c r="C4668" s="146" t="s">
        <v>260</v>
      </c>
      <c r="D4668" s="147" t="s">
        <v>74</v>
      </c>
      <c r="E4668" s="135">
        <f t="shared" si="59"/>
        <v>18</v>
      </c>
      <c r="F4668" s="148" t="s">
        <v>3888</v>
      </c>
      <c r="G4668" s="63" t="str">
        <f>VLOOKUP(C4668, 'Class Def. - General Data'!$C$20:$C$1000,1,false)</f>
        <v>ZPM1_Partisi</v>
      </c>
      <c r="H4668" s="63" t="str">
        <f>IFERROR(__xludf.DUMMYFUNCTION("VLOOKUP(F4668, IMPORTRANGE(""https://docs.google.com/spreadsheets/d/1Lhp9OU0JdFf_VYSMzH5lBcEaU4o8teT1piV-SNzShjg/edit?gid=554141278#gid=554141278"", ""'Char Def. - Attributes'!C20:C2242""), 1,false)"),"PACK_CODE_OPT")</f>
        <v>PACK_CODE_OPT</v>
      </c>
      <c r="I4668" s="136"/>
    </row>
    <row r="4669" ht="15.75" customHeight="1">
      <c r="B4669" s="63">
        <f t="shared" si="1"/>
        <v>12</v>
      </c>
      <c r="C4669" s="146" t="s">
        <v>260</v>
      </c>
      <c r="D4669" s="147" t="s">
        <v>74</v>
      </c>
      <c r="E4669" s="135">
        <f t="shared" si="59"/>
        <v>19</v>
      </c>
      <c r="F4669" s="148" t="s">
        <v>3959</v>
      </c>
      <c r="G4669" s="63" t="str">
        <f>VLOOKUP(C4669, 'Class Def. - General Data'!$C$20:$C$1000,1,false)</f>
        <v>ZPM1_Partisi</v>
      </c>
      <c r="H4669" s="63" t="str">
        <f>IFERROR(__xludf.DUMMYFUNCTION("VLOOKUP(F4669, IMPORTRANGE(""https://docs.google.com/spreadsheets/d/1Lhp9OU0JdFf_VYSMzH5lBcEaU4o8teT1piV-SNzShjg/edit?gid=554141278#gid=554141278"", ""'Char Def. - Attributes'!C20:C2242""), 1,false)"),"DIMENSION")</f>
        <v>DIMENSION</v>
      </c>
      <c r="I4669" s="136"/>
    </row>
    <row r="4670" ht="15.75" customHeight="1">
      <c r="B4670" s="63">
        <f t="shared" si="1"/>
        <v>12</v>
      </c>
      <c r="C4670" s="146" t="s">
        <v>260</v>
      </c>
      <c r="D4670" s="147" t="s">
        <v>74</v>
      </c>
      <c r="E4670" s="135">
        <f t="shared" si="59"/>
        <v>20</v>
      </c>
      <c r="F4670" s="134" t="s">
        <v>3890</v>
      </c>
      <c r="G4670" s="63" t="str">
        <f>VLOOKUP(C4670, 'Class Def. - General Data'!$C$20:$C$1000,1,false)</f>
        <v>ZPM1_Partisi</v>
      </c>
      <c r="H4670" s="63" t="str">
        <f>IFERROR(__xludf.DUMMYFUNCTION("VLOOKUP(F4670, IMPORTRANGE(""https://docs.google.com/spreadsheets/d/1Lhp9OU0JdFf_VYSMzH5lBcEaU4o8teT1piV-SNzShjg/edit?gid=554141278#gid=554141278"", ""'Char Def. - Attributes'!C20:C2242""), 1,false)"),"EXT_MAT_GRP")</f>
        <v>EXT_MAT_GRP</v>
      </c>
      <c r="I4670" s="136"/>
    </row>
    <row r="4671" ht="15.75" customHeight="1">
      <c r="B4671" s="63">
        <f t="shared" si="1"/>
        <v>12</v>
      </c>
      <c r="C4671" s="146" t="s">
        <v>260</v>
      </c>
      <c r="D4671" s="147" t="s">
        <v>74</v>
      </c>
      <c r="E4671" s="135">
        <f t="shared" si="59"/>
        <v>21</v>
      </c>
      <c r="F4671" s="134" t="s">
        <v>3905</v>
      </c>
      <c r="G4671" s="63" t="str">
        <f>VLOOKUP(C4671, 'Class Def. - General Data'!$C$20:$C$1000,1,false)</f>
        <v>ZPM1_Partisi</v>
      </c>
      <c r="H4671" s="63" t="str">
        <f>IFERROR(__xludf.DUMMYFUNCTION("VLOOKUP(F4671, IMPORTRANGE(""https://docs.google.com/spreadsheets/d/1Lhp9OU0JdFf_VYSMzH5lBcEaU4o8teT1piV-SNzShjg/edit?gid=554141278#gid=554141278"", ""'Char Def. - Attributes'!C20:C2242""), 1,false)"),"SPEC_CODE")</f>
        <v>SPEC_CODE</v>
      </c>
      <c r="I4671" s="136"/>
    </row>
    <row r="4672" ht="15.75" customHeight="1">
      <c r="B4672" s="63">
        <f t="shared" si="1"/>
        <v>12</v>
      </c>
      <c r="C4672" s="146" t="s">
        <v>260</v>
      </c>
      <c r="D4672" s="147" t="s">
        <v>74</v>
      </c>
      <c r="E4672" s="135">
        <f t="shared" si="59"/>
        <v>22</v>
      </c>
      <c r="F4672" s="134" t="s">
        <v>3914</v>
      </c>
      <c r="G4672" s="63" t="str">
        <f>VLOOKUP(C4672, 'Class Def. - General Data'!$C$20:$C$1000,1,false)</f>
        <v>ZPM1_Partisi</v>
      </c>
      <c r="H4672" s="63" t="str">
        <f>IFERROR(__xludf.DUMMYFUNCTION("VLOOKUP(F4672, IMPORTRANGE(""https://docs.google.com/spreadsheets/d/1Lhp9OU0JdFf_VYSMzH5lBcEaU4o8teT1piV-SNzShjg/edit?gid=554141278#gid=554141278"", ""'Char Def. - Attributes'!C20:C2242""), 1,false)"),"FLUTE")</f>
        <v>FLUTE</v>
      </c>
      <c r="I4672" s="136"/>
    </row>
    <row r="4673" ht="15.75" customHeight="1">
      <c r="B4673" s="63">
        <f t="shared" si="1"/>
        <v>12</v>
      </c>
      <c r="C4673" s="146" t="s">
        <v>260</v>
      </c>
      <c r="D4673" s="147" t="s">
        <v>74</v>
      </c>
      <c r="E4673" s="135">
        <f t="shared" si="59"/>
        <v>23</v>
      </c>
      <c r="F4673" s="134" t="s">
        <v>3916</v>
      </c>
      <c r="G4673" s="63" t="str">
        <f>VLOOKUP(C4673, 'Class Def. - General Data'!$C$20:$C$1000,1,false)</f>
        <v>ZPM1_Partisi</v>
      </c>
      <c r="H4673" s="63" t="str">
        <f>IFERROR(__xludf.DUMMYFUNCTION("VLOOKUP(F4673, IMPORTRANGE(""https://docs.google.com/spreadsheets/d/1Lhp9OU0JdFf_VYSMzH5lBcEaU4o8teT1piV-SNzShjg/edit?gid=554141278#gid=554141278"", ""'Char Def. - Attributes'!C20:C2242""), 1,false)"),"SUBSTANCE")</f>
        <v>SUBSTANCE</v>
      </c>
      <c r="I4673" s="136"/>
    </row>
    <row r="4674" ht="15.75" customHeight="1">
      <c r="B4674" s="63">
        <f t="shared" si="1"/>
        <v>12</v>
      </c>
      <c r="C4674" s="146" t="s">
        <v>260</v>
      </c>
      <c r="D4674" s="147" t="s">
        <v>74</v>
      </c>
      <c r="E4674" s="135">
        <f t="shared" si="59"/>
        <v>24</v>
      </c>
      <c r="F4674" s="150" t="s">
        <v>3587</v>
      </c>
      <c r="G4674" s="63" t="str">
        <f>VLOOKUP(C4674, 'Class Def. - General Data'!$C$20:$C$1000,1,false)</f>
        <v>ZPM1_Partisi</v>
      </c>
      <c r="H4674" s="63" t="str">
        <f>IFERROR(__xludf.DUMMYFUNCTION("VLOOKUP(F4674, IMPORTRANGE(""https://docs.google.com/spreadsheets/d/1Lhp9OU0JdFf_VYSMzH5lBcEaU4o8teT1piV-SNzShjg/edit?gid=554141278#gid=554141278"", ""'Char Def. - Attributes'!C20:C2242""), 1,false)"),"PLANT_BUY")</f>
        <v>PLANT_BUY</v>
      </c>
      <c r="I4674" s="136"/>
    </row>
    <row r="4675" ht="15.75" customHeight="1">
      <c r="B4675" s="63">
        <f t="shared" si="1"/>
        <v>12</v>
      </c>
      <c r="C4675" s="146" t="s">
        <v>260</v>
      </c>
      <c r="D4675" s="147" t="s">
        <v>74</v>
      </c>
      <c r="E4675" s="135">
        <f t="shared" si="59"/>
        <v>25</v>
      </c>
      <c r="F4675" s="149" t="s">
        <v>3865</v>
      </c>
      <c r="G4675" s="63" t="str">
        <f>VLOOKUP(C4675, 'Class Def. - General Data'!$C$20:$C$1000,1,false)</f>
        <v>ZPM1_Partisi</v>
      </c>
      <c r="H4675" s="63" t="str">
        <f>IFERROR(__xludf.DUMMYFUNCTION("VLOOKUP(F4675, IMPORTRANGE(""https://docs.google.com/spreadsheets/d/1Lhp9OU0JdFf_VYSMzH5lBcEaU4o8teT1piV-SNzShjg/edit?gid=554141278#gid=554141278"", ""'Char Def. - Attributes'!C20:C2242""), 1,false)"),"PLANT_PROD_OPT")</f>
        <v>PLANT_PROD_OPT</v>
      </c>
      <c r="I4675" s="136"/>
    </row>
    <row r="4676" ht="15.75" customHeight="1">
      <c r="B4676" s="63">
        <f t="shared" si="1"/>
        <v>12</v>
      </c>
      <c r="C4676" s="146" t="s">
        <v>260</v>
      </c>
      <c r="D4676" s="147" t="s">
        <v>74</v>
      </c>
      <c r="E4676" s="135">
        <f t="shared" si="59"/>
        <v>26</v>
      </c>
      <c r="F4676" s="148" t="s">
        <v>3866</v>
      </c>
      <c r="G4676" s="63" t="str">
        <f>VLOOKUP(C4676, 'Class Def. - General Data'!$C$20:$C$1000,1,false)</f>
        <v>ZPM1_Partisi</v>
      </c>
      <c r="H4676" s="63" t="str">
        <f>IFERROR(__xludf.DUMMYFUNCTION("VLOOKUP(F4676, IMPORTRANGE(""https://docs.google.com/spreadsheets/d/1Lhp9OU0JdFf_VYSMzH5lBcEaU4o8teT1piV-SNzShjg/edit?gid=554141278#gid=554141278"", ""'Char Def. - Attributes'!C20:C2242""), 1,false)"),"PM_SUPPLY_JKT")</f>
        <v>PM_SUPPLY_JKT</v>
      </c>
      <c r="I4676" s="136"/>
    </row>
    <row r="4677" ht="15.75" customHeight="1">
      <c r="B4677" s="63">
        <f t="shared" si="1"/>
        <v>12</v>
      </c>
      <c r="C4677" s="146" t="s">
        <v>260</v>
      </c>
      <c r="D4677" s="147" t="s">
        <v>74</v>
      </c>
      <c r="E4677" s="135">
        <f t="shared" si="59"/>
        <v>27</v>
      </c>
      <c r="F4677" s="148" t="s">
        <v>3867</v>
      </c>
      <c r="G4677" s="63" t="str">
        <f>VLOOKUP(C4677, 'Class Def. - General Data'!$C$20:$C$1000,1,false)</f>
        <v>ZPM1_Partisi</v>
      </c>
      <c r="H4677" s="63" t="str">
        <f>IFERROR(__xludf.DUMMYFUNCTION("VLOOKUP(F4677, IMPORTRANGE(""https://docs.google.com/spreadsheets/d/1Lhp9OU0JdFf_VYSMzH5lBcEaU4o8teT1piV-SNzShjg/edit?gid=554141278#gid=554141278"", ""'Char Def. - Attributes'!C20:C2242""), 1,false)"),"PM_SUPPLY_SBY")</f>
        <v>PM_SUPPLY_SBY</v>
      </c>
      <c r="I4677" s="136"/>
    </row>
    <row r="4678" ht="15.75" customHeight="1">
      <c r="B4678" s="63">
        <f t="shared" si="1"/>
        <v>12</v>
      </c>
      <c r="C4678" s="146" t="s">
        <v>260</v>
      </c>
      <c r="D4678" s="147" t="s">
        <v>74</v>
      </c>
      <c r="E4678" s="135">
        <f t="shared" si="59"/>
        <v>28</v>
      </c>
      <c r="F4678" s="151" t="s">
        <v>3868</v>
      </c>
      <c r="G4678" s="63" t="str">
        <f>VLOOKUP(C4678, 'Class Def. - General Data'!$C$20:$C$1000,1,false)</f>
        <v>ZPM1_Partisi</v>
      </c>
      <c r="H4678" s="63" t="str">
        <f>IFERROR(__xludf.DUMMYFUNCTION("VLOOKUP(F4678, IMPORTRANGE(""https://docs.google.com/spreadsheets/d/1Lhp9OU0JdFf_VYSMzH5lBcEaU4o8teT1piV-SNzShjg/edit?gid=554141278#gid=554141278"", ""'Char Def. - Attributes'!C20:C2242""), 1,false)"),"BASIC_UOM_RMPM")</f>
        <v>BASIC_UOM_RMPM</v>
      </c>
      <c r="I4678" s="136"/>
    </row>
    <row r="4679" ht="15.75" customHeight="1">
      <c r="B4679" s="63">
        <f t="shared" si="1"/>
        <v>12</v>
      </c>
      <c r="C4679" s="146" t="s">
        <v>260</v>
      </c>
      <c r="D4679" s="147" t="s">
        <v>74</v>
      </c>
      <c r="E4679" s="135">
        <f t="shared" si="59"/>
        <v>29</v>
      </c>
      <c r="F4679" s="152" t="s">
        <v>3869</v>
      </c>
      <c r="G4679" s="63" t="str">
        <f>VLOOKUP(C4679, 'Class Def. - General Data'!$C$20:$C$1000,1,false)</f>
        <v>ZPM1_Partisi</v>
      </c>
      <c r="H4679" s="63" t="str">
        <f>IFERROR(__xludf.DUMMYFUNCTION("VLOOKUP(F4679, IMPORTRANGE(""https://docs.google.com/spreadsheets/d/1Lhp9OU0JdFf_VYSMzH5lBcEaU4o8teT1piV-SNzShjg/edit?gid=554141278#gid=554141278"", ""'Char Def. - Attributes'!C20:C2242""), 1,false)"),"ALT_UOM1_RMPM")</f>
        <v>ALT_UOM1_RMPM</v>
      </c>
      <c r="I4679" s="136"/>
    </row>
    <row r="4680" ht="15.75" customHeight="1">
      <c r="B4680" s="63">
        <f t="shared" si="1"/>
        <v>12</v>
      </c>
      <c r="C4680" s="146" t="s">
        <v>260</v>
      </c>
      <c r="D4680" s="147" t="s">
        <v>74</v>
      </c>
      <c r="E4680" s="135">
        <f t="shared" si="59"/>
        <v>30</v>
      </c>
      <c r="F4680" s="152" t="s">
        <v>3805</v>
      </c>
      <c r="G4680" s="63" t="str">
        <f>VLOOKUP(C4680, 'Class Def. - General Data'!$C$20:$C$1000,1,false)</f>
        <v>ZPM1_Partisi</v>
      </c>
      <c r="H4680" s="63" t="str">
        <f>IFERROR(__xludf.DUMMYFUNCTION("VLOOKUP(F4680, IMPORTRANGE(""https://docs.google.com/spreadsheets/d/1Lhp9OU0JdFf_VYSMzH5lBcEaU4o8teT1piV-SNzShjg/edit?gid=554141278#gid=554141278"", ""'Char Def. - Attributes'!C20:C2242""), 1,false)"),"ALT_DENUM_UOM1")</f>
        <v>ALT_DENUM_UOM1</v>
      </c>
      <c r="I4680" s="136"/>
    </row>
    <row r="4681" ht="15.75" customHeight="1">
      <c r="B4681" s="63">
        <f t="shared" si="1"/>
        <v>12</v>
      </c>
      <c r="C4681" s="146" t="s">
        <v>260</v>
      </c>
      <c r="D4681" s="147" t="s">
        <v>74</v>
      </c>
      <c r="E4681" s="135">
        <f t="shared" si="59"/>
        <v>31</v>
      </c>
      <c r="F4681" s="152" t="s">
        <v>3806</v>
      </c>
      <c r="G4681" s="63" t="str">
        <f>VLOOKUP(C4681, 'Class Def. - General Data'!$C$20:$C$1000,1,false)</f>
        <v>ZPM1_Partisi</v>
      </c>
      <c r="H4681" s="63" t="str">
        <f>IFERROR(__xludf.DUMMYFUNCTION("VLOOKUP(F4681, IMPORTRANGE(""https://docs.google.com/spreadsheets/d/1Lhp9OU0JdFf_VYSMzH5lBcEaU4o8teT1piV-SNzShjg/edit?gid=554141278#gid=554141278"", ""'Char Def. - Attributes'!C20:C2242""), 1,false)"),"ALT_NUM_UOM1")</f>
        <v>ALT_NUM_UOM1</v>
      </c>
      <c r="I4681" s="136"/>
    </row>
    <row r="4682" ht="15.75" customHeight="1">
      <c r="B4682" s="63">
        <f t="shared" si="1"/>
        <v>12</v>
      </c>
      <c r="C4682" s="146" t="s">
        <v>260</v>
      </c>
      <c r="D4682" s="147" t="s">
        <v>74</v>
      </c>
      <c r="E4682" s="135">
        <f t="shared" si="59"/>
        <v>32</v>
      </c>
      <c r="F4682" s="152" t="s">
        <v>3870</v>
      </c>
      <c r="G4682" s="63" t="str">
        <f>VLOOKUP(C4682, 'Class Def. - General Data'!$C$20:$C$1000,1,false)</f>
        <v>ZPM1_Partisi</v>
      </c>
      <c r="H4682" s="63" t="str">
        <f>IFERROR(__xludf.DUMMYFUNCTION("VLOOKUP(F4682, IMPORTRANGE(""https://docs.google.com/spreadsheets/d/1Lhp9OU0JdFf_VYSMzH5lBcEaU4o8teT1piV-SNzShjg/edit?gid=554141278#gid=554141278"", ""'Char Def. - Attributes'!C20:C2242""), 1,false)"),"ALT_UOM2_RMPM")</f>
        <v>ALT_UOM2_RMPM</v>
      </c>
      <c r="I4682" s="136"/>
    </row>
    <row r="4683" ht="15.75" customHeight="1">
      <c r="B4683" s="63">
        <f t="shared" si="1"/>
        <v>12</v>
      </c>
      <c r="C4683" s="146" t="s">
        <v>260</v>
      </c>
      <c r="D4683" s="147" t="s">
        <v>74</v>
      </c>
      <c r="E4683" s="135">
        <f t="shared" si="59"/>
        <v>33</v>
      </c>
      <c r="F4683" s="152" t="s">
        <v>3808</v>
      </c>
      <c r="G4683" s="63" t="str">
        <f>VLOOKUP(C4683, 'Class Def. - General Data'!$C$20:$C$1000,1,false)</f>
        <v>ZPM1_Partisi</v>
      </c>
      <c r="H4683" s="63" t="str">
        <f>IFERROR(__xludf.DUMMYFUNCTION("VLOOKUP(F4683, IMPORTRANGE(""https://docs.google.com/spreadsheets/d/1Lhp9OU0JdFf_VYSMzH5lBcEaU4o8teT1piV-SNzShjg/edit?gid=554141278#gid=554141278"", ""'Char Def. - Attributes'!C20:C2242""), 1,false)"),"ALT_DENUM_UOM2")</f>
        <v>ALT_DENUM_UOM2</v>
      </c>
      <c r="I4683" s="136"/>
    </row>
    <row r="4684" ht="15.75" customHeight="1">
      <c r="B4684" s="63">
        <f t="shared" si="1"/>
        <v>12</v>
      </c>
      <c r="C4684" s="146" t="s">
        <v>260</v>
      </c>
      <c r="D4684" s="147" t="s">
        <v>74</v>
      </c>
      <c r="E4684" s="135">
        <f t="shared" si="59"/>
        <v>34</v>
      </c>
      <c r="F4684" s="152" t="s">
        <v>3809</v>
      </c>
      <c r="G4684" s="63" t="str">
        <f>VLOOKUP(C4684, 'Class Def. - General Data'!$C$20:$C$1000,1,false)</f>
        <v>ZPM1_Partisi</v>
      </c>
      <c r="H4684" s="63" t="str">
        <f>IFERROR(__xludf.DUMMYFUNCTION("VLOOKUP(F4684, IMPORTRANGE(""https://docs.google.com/spreadsheets/d/1Lhp9OU0JdFf_VYSMzH5lBcEaU4o8teT1piV-SNzShjg/edit?gid=554141278#gid=554141278"", ""'Char Def. - Attributes'!C20:C2242""), 1,false)"),"ALT_NUM_UOM2")</f>
        <v>ALT_NUM_UOM2</v>
      </c>
      <c r="I4684" s="136"/>
    </row>
    <row r="4685" ht="15.75" customHeight="1">
      <c r="B4685" s="63">
        <f t="shared" si="1"/>
        <v>12</v>
      </c>
      <c r="C4685" s="146" t="s">
        <v>260</v>
      </c>
      <c r="D4685" s="147" t="s">
        <v>74</v>
      </c>
      <c r="E4685" s="135">
        <f t="shared" si="59"/>
        <v>35</v>
      </c>
      <c r="F4685" s="152" t="s">
        <v>3871</v>
      </c>
      <c r="G4685" s="63" t="str">
        <f>VLOOKUP(C4685, 'Class Def. - General Data'!$C$20:$C$1000,1,false)</f>
        <v>ZPM1_Partisi</v>
      </c>
      <c r="H4685" s="63" t="str">
        <f>IFERROR(__xludf.DUMMYFUNCTION("VLOOKUP(F4685, IMPORTRANGE(""https://docs.google.com/spreadsheets/d/1Lhp9OU0JdFf_VYSMzH5lBcEaU4o8teT1piV-SNzShjg/edit?gid=554141278#gid=554141278"", ""'Char Def. - Attributes'!C20:C2242""), 1,false)"),"ALT_UOM3_RMPM")</f>
        <v>ALT_UOM3_RMPM</v>
      </c>
      <c r="I4685" s="136"/>
    </row>
    <row r="4686" ht="15.75" customHeight="1">
      <c r="B4686" s="63">
        <f t="shared" si="1"/>
        <v>12</v>
      </c>
      <c r="C4686" s="146" t="s">
        <v>260</v>
      </c>
      <c r="D4686" s="147" t="s">
        <v>74</v>
      </c>
      <c r="E4686" s="135">
        <f t="shared" si="59"/>
        <v>36</v>
      </c>
      <c r="F4686" s="152" t="s">
        <v>3811</v>
      </c>
      <c r="G4686" s="63" t="str">
        <f>VLOOKUP(C4686, 'Class Def. - General Data'!$C$20:$C$1000,1,false)</f>
        <v>ZPM1_Partisi</v>
      </c>
      <c r="H4686" s="63" t="str">
        <f>IFERROR(__xludf.DUMMYFUNCTION("VLOOKUP(F4686, IMPORTRANGE(""https://docs.google.com/spreadsheets/d/1Lhp9OU0JdFf_VYSMzH5lBcEaU4o8teT1piV-SNzShjg/edit?gid=554141278#gid=554141278"", ""'Char Def. - Attributes'!C20:C2242""), 1,false)"),"ALT_DENUM_UOM3")</f>
        <v>ALT_DENUM_UOM3</v>
      </c>
      <c r="I4686" s="136"/>
    </row>
    <row r="4687" ht="15.75" customHeight="1">
      <c r="B4687" s="63">
        <f t="shared" si="1"/>
        <v>12</v>
      </c>
      <c r="C4687" s="146" t="s">
        <v>260</v>
      </c>
      <c r="D4687" s="147" t="s">
        <v>74</v>
      </c>
      <c r="E4687" s="135">
        <f t="shared" si="59"/>
        <v>37</v>
      </c>
      <c r="F4687" s="152" t="s">
        <v>3812</v>
      </c>
      <c r="G4687" s="63" t="str">
        <f>VLOOKUP(C4687, 'Class Def. - General Data'!$C$20:$C$1000,1,false)</f>
        <v>ZPM1_Partisi</v>
      </c>
      <c r="H4687" s="63" t="str">
        <f>IFERROR(__xludf.DUMMYFUNCTION("VLOOKUP(F4687, IMPORTRANGE(""https://docs.google.com/spreadsheets/d/1Lhp9OU0JdFf_VYSMzH5lBcEaU4o8teT1piV-SNzShjg/edit?gid=554141278#gid=554141278"", ""'Char Def. - Attributes'!C20:C2242""), 1,false)"),"ALT_NUM_UOM3")</f>
        <v>ALT_NUM_UOM3</v>
      </c>
      <c r="I4687" s="136"/>
    </row>
    <row r="4688" ht="15.75" customHeight="1">
      <c r="B4688" s="63">
        <f t="shared" si="1"/>
        <v>12</v>
      </c>
      <c r="C4688" s="146" t="s">
        <v>260</v>
      </c>
      <c r="D4688" s="147" t="s">
        <v>74</v>
      </c>
      <c r="E4688" s="135">
        <f t="shared" si="59"/>
        <v>38</v>
      </c>
      <c r="F4688" s="152" t="s">
        <v>3872</v>
      </c>
      <c r="G4688" s="63" t="str">
        <f>VLOOKUP(C4688, 'Class Def. - General Data'!$C$20:$C$1000,1,false)</f>
        <v>ZPM1_Partisi</v>
      </c>
      <c r="H4688" s="63" t="str">
        <f>IFERROR(__xludf.DUMMYFUNCTION("VLOOKUP(F4688, IMPORTRANGE(""https://docs.google.com/spreadsheets/d/1Lhp9OU0JdFf_VYSMzH5lBcEaU4o8teT1piV-SNzShjg/edit?gid=554141278#gid=554141278"", ""'Char Def. - Attributes'!C20:C2242""), 1,false)"),"ALT_UOM4_RMPM")</f>
        <v>ALT_UOM4_RMPM</v>
      </c>
      <c r="I4688" s="136"/>
    </row>
    <row r="4689" ht="15.75" customHeight="1">
      <c r="B4689" s="63">
        <f t="shared" si="1"/>
        <v>12</v>
      </c>
      <c r="C4689" s="146" t="s">
        <v>260</v>
      </c>
      <c r="D4689" s="147" t="s">
        <v>74</v>
      </c>
      <c r="E4689" s="135">
        <f t="shared" si="59"/>
        <v>39</v>
      </c>
      <c r="F4689" s="148" t="s">
        <v>3814</v>
      </c>
      <c r="G4689" s="63" t="str">
        <f>VLOOKUP(C4689, 'Class Def. - General Data'!$C$20:$C$1000,1,false)</f>
        <v>ZPM1_Partisi</v>
      </c>
      <c r="H4689" s="63" t="str">
        <f>IFERROR(__xludf.DUMMYFUNCTION("VLOOKUP(F4689, IMPORTRANGE(""https://docs.google.com/spreadsheets/d/1Lhp9OU0JdFf_VYSMzH5lBcEaU4o8teT1piV-SNzShjg/edit?gid=554141278#gid=554141278"", ""'Char Def. - Attributes'!C20:C2242""), 1,false)"),"ALT_DENUM_UOM4")</f>
        <v>ALT_DENUM_UOM4</v>
      </c>
      <c r="I4689" s="136"/>
    </row>
    <row r="4690" ht="15.75" customHeight="1">
      <c r="B4690" s="63">
        <f t="shared" si="1"/>
        <v>12</v>
      </c>
      <c r="C4690" s="146" t="s">
        <v>260</v>
      </c>
      <c r="D4690" s="147" t="s">
        <v>74</v>
      </c>
      <c r="E4690" s="135">
        <f t="shared" si="59"/>
        <v>40</v>
      </c>
      <c r="F4690" s="152" t="s">
        <v>3815</v>
      </c>
      <c r="G4690" s="63" t="str">
        <f>VLOOKUP(C4690, 'Class Def. - General Data'!$C$20:$C$1000,1,false)</f>
        <v>ZPM1_Partisi</v>
      </c>
      <c r="H4690" s="63" t="str">
        <f>IFERROR(__xludf.DUMMYFUNCTION("VLOOKUP(F4690, IMPORTRANGE(""https://docs.google.com/spreadsheets/d/1Lhp9OU0JdFf_VYSMzH5lBcEaU4o8teT1piV-SNzShjg/edit?gid=554141278#gid=554141278"", ""'Char Def. - Attributes'!C20:C2242""), 1,false)"),"ALT_NUM_UOM4")</f>
        <v>ALT_NUM_UOM4</v>
      </c>
      <c r="I4690" s="136"/>
    </row>
    <row r="4691" ht="15.75" customHeight="1">
      <c r="B4691" s="63">
        <f t="shared" si="1"/>
        <v>12</v>
      </c>
      <c r="C4691" s="146" t="s">
        <v>260</v>
      </c>
      <c r="D4691" s="147" t="s">
        <v>74</v>
      </c>
      <c r="E4691" s="135">
        <f t="shared" si="59"/>
        <v>41</v>
      </c>
      <c r="F4691" s="152" t="s">
        <v>3873</v>
      </c>
      <c r="G4691" s="63" t="str">
        <f>VLOOKUP(C4691, 'Class Def. - General Data'!$C$20:$C$1000,1,false)</f>
        <v>ZPM1_Partisi</v>
      </c>
      <c r="H4691" s="63" t="str">
        <f>IFERROR(__xludf.DUMMYFUNCTION("VLOOKUP(F4691, IMPORTRANGE(""https://docs.google.com/spreadsheets/d/1Lhp9OU0JdFf_VYSMzH5lBcEaU4o8teT1piV-SNzShjg/edit?gid=554141278#gid=554141278"", ""'Char Def. - Attributes'!C20:C2242""), 1,false)"),"ALT_UOM5_RMPM")</f>
        <v>ALT_UOM5_RMPM</v>
      </c>
      <c r="I4691" s="136"/>
    </row>
    <row r="4692" ht="15.75" customHeight="1">
      <c r="B4692" s="63">
        <f t="shared" si="1"/>
        <v>12</v>
      </c>
      <c r="C4692" s="146" t="s">
        <v>260</v>
      </c>
      <c r="D4692" s="147" t="s">
        <v>74</v>
      </c>
      <c r="E4692" s="135">
        <f t="shared" si="59"/>
        <v>42</v>
      </c>
      <c r="F4692" s="152" t="s">
        <v>3817</v>
      </c>
      <c r="G4692" s="63" t="str">
        <f>VLOOKUP(C4692, 'Class Def. - General Data'!$C$20:$C$1000,1,false)</f>
        <v>ZPM1_Partisi</v>
      </c>
      <c r="H4692" s="63" t="str">
        <f>IFERROR(__xludf.DUMMYFUNCTION("VLOOKUP(F4692, IMPORTRANGE(""https://docs.google.com/spreadsheets/d/1Lhp9OU0JdFf_VYSMzH5lBcEaU4o8teT1piV-SNzShjg/edit?gid=554141278#gid=554141278"", ""'Char Def. - Attributes'!C20:C2242""), 1,false)"),"ALT_DENUM_UOM5")</f>
        <v>ALT_DENUM_UOM5</v>
      </c>
      <c r="I4692" s="136"/>
    </row>
    <row r="4693" ht="15.75" customHeight="1">
      <c r="B4693" s="63">
        <f t="shared" si="1"/>
        <v>12</v>
      </c>
      <c r="C4693" s="146" t="s">
        <v>260</v>
      </c>
      <c r="D4693" s="147" t="s">
        <v>74</v>
      </c>
      <c r="E4693" s="135">
        <f t="shared" si="59"/>
        <v>43</v>
      </c>
      <c r="F4693" s="152" t="s">
        <v>3818</v>
      </c>
      <c r="G4693" s="63" t="str">
        <f>VLOOKUP(C4693, 'Class Def. - General Data'!$C$20:$C$1000,1,false)</f>
        <v>ZPM1_Partisi</v>
      </c>
      <c r="H4693" s="63" t="str">
        <f>IFERROR(__xludf.DUMMYFUNCTION("VLOOKUP(F4693, IMPORTRANGE(""https://docs.google.com/spreadsheets/d/1Lhp9OU0JdFf_VYSMzH5lBcEaU4o8teT1piV-SNzShjg/edit?gid=554141278#gid=554141278"", ""'Char Def. - Attributes'!C20:C2242""), 1,false)"),"ALT_NUM_UOM5")</f>
        <v>ALT_NUM_UOM5</v>
      </c>
      <c r="I4693" s="136"/>
    </row>
    <row r="4694" ht="15.75" customHeight="1">
      <c r="B4694" s="63">
        <f t="shared" si="1"/>
        <v>12</v>
      </c>
      <c r="C4694" s="146" t="s">
        <v>260</v>
      </c>
      <c r="D4694" s="147" t="s">
        <v>74</v>
      </c>
      <c r="E4694" s="135">
        <f t="shared" si="59"/>
        <v>44</v>
      </c>
      <c r="F4694" s="152" t="s">
        <v>3874</v>
      </c>
      <c r="G4694" s="63" t="str">
        <f>VLOOKUP(C4694, 'Class Def. - General Data'!$C$20:$C$1000,1,false)</f>
        <v>ZPM1_Partisi</v>
      </c>
      <c r="H4694" s="63" t="str">
        <f>IFERROR(__xludf.DUMMYFUNCTION("VLOOKUP(F4694, IMPORTRANGE(""https://docs.google.com/spreadsheets/d/1Lhp9OU0JdFf_VYSMzH5lBcEaU4o8teT1piV-SNzShjg/edit?gid=554141278#gid=554141278"", ""'Char Def. - Attributes'!C20:C2242""), 1,false)"),"VALUATION_CATEGORY")</f>
        <v>VALUATION_CATEGORY</v>
      </c>
      <c r="I4694" s="136"/>
    </row>
    <row r="4695" ht="15.75" customHeight="1">
      <c r="B4695" s="63">
        <f t="shared" si="1"/>
        <v>12</v>
      </c>
      <c r="C4695" s="146" t="s">
        <v>260</v>
      </c>
      <c r="D4695" s="147" t="s">
        <v>74</v>
      </c>
      <c r="E4695" s="135">
        <f t="shared" si="59"/>
        <v>45</v>
      </c>
      <c r="F4695" s="152" t="s">
        <v>3800</v>
      </c>
      <c r="G4695" s="63" t="str">
        <f>VLOOKUP(C4695, 'Class Def. - General Data'!$C$20:$C$1000,1,false)</f>
        <v>ZPM1_Partisi</v>
      </c>
      <c r="H4695" s="63" t="str">
        <f>IFERROR(__xludf.DUMMYFUNCTION("VLOOKUP(F4695, IMPORTRANGE(""https://docs.google.com/spreadsheets/d/1Lhp9OU0JdFf_VYSMzH5lBcEaU4o8teT1piV-SNzShjg/edit?gid=554141278#gid=554141278"", ""'Char Def. - Attributes'!C20:C2242""), 1,false)"),"ORDER_UNIT_DIFF_FROM_BASIC_UOM")</f>
        <v>ORDER_UNIT_DIFF_FROM_BASIC_UOM</v>
      </c>
      <c r="I4695" s="136"/>
    </row>
    <row r="4696" ht="15.75" customHeight="1">
      <c r="B4696" s="63">
        <f t="shared" si="1"/>
        <v>12</v>
      </c>
      <c r="C4696" s="146" t="s">
        <v>260</v>
      </c>
      <c r="D4696" s="147" t="s">
        <v>74</v>
      </c>
      <c r="E4696" s="135">
        <f t="shared" si="59"/>
        <v>46</v>
      </c>
      <c r="F4696" s="152" t="s">
        <v>3875</v>
      </c>
      <c r="G4696" s="63" t="str">
        <f>VLOOKUP(C4696, 'Class Def. - General Data'!$C$20:$C$1000,1,false)</f>
        <v>ZPM1_Partisi</v>
      </c>
      <c r="H4696" s="63" t="str">
        <f>IFERROR(__xludf.DUMMYFUNCTION("VLOOKUP(F4696, IMPORTRANGE(""https://docs.google.com/spreadsheets/d/1Lhp9OU0JdFf_VYSMzH5lBcEaU4o8teT1piV-SNzShjg/edit?gid=554141278#gid=554141278"", ""'Char Def. - Attributes'!C20:C2242""), 1,false)"),"ORDER_UNIT_RMPM")</f>
        <v>ORDER_UNIT_RMPM</v>
      </c>
      <c r="I4696" s="136"/>
    </row>
    <row r="4697" ht="15.75" customHeight="1">
      <c r="B4697" s="63">
        <f t="shared" si="1"/>
        <v>12</v>
      </c>
      <c r="C4697" s="146" t="s">
        <v>260</v>
      </c>
      <c r="D4697" s="147" t="s">
        <v>74</v>
      </c>
      <c r="E4697" s="135">
        <f t="shared" si="59"/>
        <v>47</v>
      </c>
      <c r="F4697" s="151" t="s">
        <v>3602</v>
      </c>
      <c r="G4697" s="63" t="str">
        <f>VLOOKUP(C4697, 'Class Def. - General Data'!$C$20:$C$1000,1,false)</f>
        <v>ZPM1_Partisi</v>
      </c>
      <c r="H4697" s="63" t="str">
        <f>IFERROR(__xludf.DUMMYFUNCTION("VLOOKUP(F4697, IMPORTRANGE(""https://docs.google.com/spreadsheets/d/1Lhp9OU0JdFf_VYSMzH5lBcEaU4o8teT1piV-SNzShjg/edit?gid=554141278#gid=554141278"", ""'Char Def. - Attributes'!C20:C2242""), 1,false)"),"NET_WEIGHT")</f>
        <v>NET_WEIGHT</v>
      </c>
      <c r="I4697" s="136"/>
    </row>
    <row r="4698" ht="15.75" customHeight="1">
      <c r="B4698" s="63">
        <f t="shared" si="1"/>
        <v>12</v>
      </c>
      <c r="C4698" s="146" t="s">
        <v>260</v>
      </c>
      <c r="D4698" s="147" t="s">
        <v>74</v>
      </c>
      <c r="E4698" s="135">
        <f t="shared" si="59"/>
        <v>48</v>
      </c>
      <c r="F4698" s="151" t="s">
        <v>3601</v>
      </c>
      <c r="G4698" s="63" t="str">
        <f>VLOOKUP(C4698, 'Class Def. - General Data'!$C$20:$C$1000,1,false)</f>
        <v>ZPM1_Partisi</v>
      </c>
      <c r="H4698" s="63" t="str">
        <f>IFERROR(__xludf.DUMMYFUNCTION("VLOOKUP(F4698, IMPORTRANGE(""https://docs.google.com/spreadsheets/d/1Lhp9OU0JdFf_VYSMzH5lBcEaU4o8teT1piV-SNzShjg/edit?gid=554141278#gid=554141278"", ""'Char Def. - Attributes'!C20:C2242""), 1,false)"),"GROSS_WEIGHT")</f>
        <v>GROSS_WEIGHT</v>
      </c>
      <c r="I4698" s="136"/>
    </row>
    <row r="4699" ht="15.75" customHeight="1">
      <c r="B4699" s="63">
        <f t="shared" si="1"/>
        <v>12</v>
      </c>
      <c r="C4699" s="146" t="s">
        <v>260</v>
      </c>
      <c r="D4699" s="147" t="s">
        <v>74</v>
      </c>
      <c r="E4699" s="135">
        <f t="shared" si="59"/>
        <v>49</v>
      </c>
      <c r="F4699" s="134" t="s">
        <v>3876</v>
      </c>
      <c r="G4699" s="63" t="str">
        <f>VLOOKUP(C4699, 'Class Def. - General Data'!$C$20:$C$1000,1,false)</f>
        <v>ZPM1_Partisi</v>
      </c>
      <c r="H4699" s="63" t="str">
        <f>IFERROR(__xludf.DUMMYFUNCTION("VLOOKUP(F4699, IMPORTRANGE(""https://docs.google.com/spreadsheets/d/1Lhp9OU0JdFf_VYSMzH5lBcEaU4o8teT1piV-SNzShjg/edit?gid=554141278#gid=554141278"", ""'Char Def. - Attributes'!C20:C2242""), 1,false)"),"WEIGHT_UNIT_PM")</f>
        <v>WEIGHT_UNIT_PM</v>
      </c>
      <c r="I4699" s="136"/>
    </row>
    <row r="4700" ht="15.75" customHeight="1">
      <c r="B4700" s="63">
        <f t="shared" si="1"/>
        <v>12</v>
      </c>
      <c r="C4700" s="146" t="s">
        <v>260</v>
      </c>
      <c r="D4700" s="147" t="s">
        <v>74</v>
      </c>
      <c r="E4700" s="135">
        <f t="shared" si="59"/>
        <v>50</v>
      </c>
      <c r="F4700" s="151" t="s">
        <v>3877</v>
      </c>
      <c r="G4700" s="63" t="str">
        <f>VLOOKUP(C4700, 'Class Def. - General Data'!$C$20:$C$1000,1,false)</f>
        <v>ZPM1_Partisi</v>
      </c>
      <c r="H4700" s="63" t="str">
        <f>IFERROR(__xludf.DUMMYFUNCTION("VLOOKUP(F4700, IMPORTRANGE(""https://docs.google.com/spreadsheets/d/1Lhp9OU0JdFf_VYSMzH5lBcEaU4o8teT1piV-SNzShjg/edit?gid=554141278#gid=554141278"", ""'Char Def. - Attributes'!C20:C2242""), 1,false)"),"VOLUME_OPT")</f>
        <v>VOLUME_OPT</v>
      </c>
      <c r="I4700" s="136"/>
    </row>
    <row r="4701" ht="15.75" customHeight="1">
      <c r="B4701" s="63">
        <f t="shared" si="1"/>
        <v>12</v>
      </c>
      <c r="C4701" s="146" t="s">
        <v>260</v>
      </c>
      <c r="D4701" s="147" t="s">
        <v>74</v>
      </c>
      <c r="E4701" s="135">
        <f t="shared" si="59"/>
        <v>51</v>
      </c>
      <c r="F4701" s="152" t="s">
        <v>3878</v>
      </c>
      <c r="G4701" s="63" t="str">
        <f>VLOOKUP(C4701, 'Class Def. - General Data'!$C$20:$C$1000,1,false)</f>
        <v>ZPM1_Partisi</v>
      </c>
      <c r="H4701" s="63" t="str">
        <f>IFERROR(__xludf.DUMMYFUNCTION("VLOOKUP(F4701, IMPORTRANGE(""https://docs.google.com/spreadsheets/d/1Lhp9OU0JdFf_VYSMzH5lBcEaU4o8teT1piV-SNzShjg/edit?gid=554141278#gid=554141278"", ""'Char Def. - Attributes'!C20:C2242""), 1,false)"),"VOLUME_UNIT")</f>
        <v>VOLUME_UNIT</v>
      </c>
      <c r="I4701" s="136"/>
    </row>
    <row r="4702" ht="15.75" customHeight="1">
      <c r="B4702" s="63">
        <f t="shared" si="1"/>
        <v>12</v>
      </c>
      <c r="C4702" s="146" t="s">
        <v>260</v>
      </c>
      <c r="D4702" s="147" t="s">
        <v>74</v>
      </c>
      <c r="E4702" s="135">
        <f t="shared" si="59"/>
        <v>52</v>
      </c>
      <c r="F4702" s="149" t="s">
        <v>3879</v>
      </c>
      <c r="G4702" s="63" t="str">
        <f>VLOOKUP(C4702, 'Class Def. - General Data'!$C$20:$C$1000,1,false)</f>
        <v>ZPM1_Partisi</v>
      </c>
      <c r="H4702" s="63" t="str">
        <f>IFERROR(__xludf.DUMMYFUNCTION("VLOOKUP(F4702, IMPORTRANGE(""https://docs.google.com/spreadsheets/d/1Lhp9OU0JdFf_VYSMzH5lBcEaU4o8teT1piV-SNzShjg/edit?gid=554141278#gid=554141278"", ""'Char Def. - Attributes'!C20:C2242""), 1,false)"),"OLD_MAT_NO_RMPM")</f>
        <v>OLD_MAT_NO_RMPM</v>
      </c>
      <c r="I4702" s="136"/>
    </row>
    <row r="4703" ht="15.75" customHeight="1">
      <c r="B4703" s="63">
        <f t="shared" si="1"/>
        <v>12</v>
      </c>
      <c r="C4703" s="146" t="s">
        <v>260</v>
      </c>
      <c r="D4703" s="147" t="s">
        <v>74</v>
      </c>
      <c r="E4703" s="135">
        <f t="shared" si="59"/>
        <v>53</v>
      </c>
      <c r="F4703" s="148" t="s">
        <v>3880</v>
      </c>
      <c r="G4703" s="63" t="str">
        <f>VLOOKUP(C4703, 'Class Def. - General Data'!$C$20:$C$1000,1,false)</f>
        <v>ZPM1_Partisi</v>
      </c>
      <c r="H4703" s="63" t="str">
        <f>IFERROR(__xludf.DUMMYFUNCTION("VLOOKUP(F4703, IMPORTRANGE(""https://docs.google.com/spreadsheets/d/1Lhp9OU0JdFf_VYSMzH5lBcEaU4o8teT1piV-SNzShjg/edit?gid=554141278#gid=554141278"", ""'Char Def. - Attributes'!C20:C2242""), 1,false)"),"NOTE_PM")</f>
        <v>NOTE_PM</v>
      </c>
      <c r="I4703" s="136"/>
    </row>
    <row r="4704" ht="15.75" customHeight="1">
      <c r="B4704" s="63">
        <f t="shared" si="1"/>
        <v>12</v>
      </c>
      <c r="C4704" s="146" t="s">
        <v>260</v>
      </c>
      <c r="D4704" s="147" t="s">
        <v>74</v>
      </c>
      <c r="E4704" s="135">
        <f t="shared" si="59"/>
        <v>54</v>
      </c>
      <c r="F4704" s="148" t="s">
        <v>3881</v>
      </c>
      <c r="G4704" s="63" t="str">
        <f>VLOOKUP(C4704, 'Class Def. - General Data'!$C$20:$C$1000,1,false)</f>
        <v>ZPM1_Partisi</v>
      </c>
      <c r="H4704" s="63" t="str">
        <f>IFERROR(__xludf.DUMMYFUNCTION("VLOOKUP(F4704, IMPORTRANGE(""https://docs.google.com/spreadsheets/d/1Lhp9OU0JdFf_VYSMzH5lBcEaU4o8teT1piV-SNzShjg/edit?gid=554141278#gid=554141278"", ""'Char Def. - Attributes'!C20:C2242""), 1,false)"),"BS_BERSIH")</f>
        <v>BS_BERSIH</v>
      </c>
      <c r="I4704" s="136"/>
    </row>
    <row r="4705" ht="15.75" customHeight="1">
      <c r="B4705" s="63">
        <f t="shared" si="1"/>
        <v>12</v>
      </c>
      <c r="C4705" s="146" t="s">
        <v>260</v>
      </c>
      <c r="D4705" s="147" t="s">
        <v>74</v>
      </c>
      <c r="E4705" s="135">
        <f t="shared" si="59"/>
        <v>55</v>
      </c>
      <c r="F4705" s="148" t="s">
        <v>3882</v>
      </c>
      <c r="G4705" s="63" t="str">
        <f>VLOOKUP(C4705, 'Class Def. - General Data'!$C$20:$C$1000,1,false)</f>
        <v>ZPM1_Partisi</v>
      </c>
      <c r="H4705" s="63" t="str">
        <f>IFERROR(__xludf.DUMMYFUNCTION("VLOOKUP(F4705, IMPORTRANGE(""https://docs.google.com/spreadsheets/d/1Lhp9OU0JdFf_VYSMzH5lBcEaU4o8teT1piV-SNzShjg/edit?gid=554141278#gid=554141278"", ""'Char Def. - Attributes'!C20:C2242""), 1,false)"),"BS_KOTOR")</f>
        <v>BS_KOTOR</v>
      </c>
      <c r="I4705" s="136"/>
    </row>
    <row r="4706" ht="15.75" customHeight="1">
      <c r="B4706" s="63">
        <f t="shared" si="1"/>
        <v>12</v>
      </c>
      <c r="C4706" s="146" t="s">
        <v>260</v>
      </c>
      <c r="D4706" s="147" t="s">
        <v>74</v>
      </c>
      <c r="E4706" s="135">
        <f t="shared" si="59"/>
        <v>56</v>
      </c>
      <c r="F4706" s="148" t="s">
        <v>3883</v>
      </c>
      <c r="G4706" s="63" t="str">
        <f>VLOOKUP(C4706, 'Class Def. - General Data'!$C$20:$C$1000,1,false)</f>
        <v>ZPM1_Partisi</v>
      </c>
      <c r="H4706" s="63" t="str">
        <f>IFERROR(__xludf.DUMMYFUNCTION("VLOOKUP(F4706, IMPORTRANGE(""https://docs.google.com/spreadsheets/d/1Lhp9OU0JdFf_VYSMzH5lBcEaU4o8teT1piV-SNzShjg/edit?gid=554141278#gid=554141278"", ""'Char Def. - Attributes'!C20:C2242""), 1,false)"),"BS_SCRAP")</f>
        <v>BS_SCRAP</v>
      </c>
      <c r="I4706" s="136"/>
    </row>
    <row r="4707" ht="15.75" customHeight="1">
      <c r="B4707" s="63">
        <f t="shared" si="1"/>
        <v>15</v>
      </c>
      <c r="C4707" s="146" t="s">
        <v>261</v>
      </c>
      <c r="D4707" s="147" t="s">
        <v>74</v>
      </c>
      <c r="E4707" s="135">
        <f t="shared" si="59"/>
        <v>1</v>
      </c>
      <c r="F4707" s="134" t="s">
        <v>3960</v>
      </c>
      <c r="G4707" s="63" t="str">
        <f>VLOOKUP(C4707, 'Class Def. - General Data'!$C$20:$C$1000,1,false)</f>
        <v>ZPM1_PotPlastic</v>
      </c>
      <c r="H4707" s="63" t="str">
        <f>IFERROR(__xludf.DUMMYFUNCTION("VLOOKUP(F4707, IMPORTRANGE(""https://docs.google.com/spreadsheets/d/1Lhp9OU0JdFf_VYSMzH5lBcEaU4o8teT1piV-SNzShjg/edit?gid=554141278#gid=554141278"", ""'Char Def. - Attributes'!C20:C2242""), 1,false)"),"MATERIAL_CODE_POTPLASTIC")</f>
        <v>MATERIAL_CODE_POTPLASTIC</v>
      </c>
      <c r="I4707" s="136"/>
    </row>
    <row r="4708" ht="15.75" customHeight="1">
      <c r="B4708" s="63">
        <f t="shared" si="1"/>
        <v>15</v>
      </c>
      <c r="C4708" s="146" t="s">
        <v>261</v>
      </c>
      <c r="D4708" s="147" t="s">
        <v>74</v>
      </c>
      <c r="E4708" s="135">
        <f t="shared" si="59"/>
        <v>2</v>
      </c>
      <c r="F4708" s="134" t="s">
        <v>3902</v>
      </c>
      <c r="G4708" s="63" t="str">
        <f>VLOOKUP(C4708, 'Class Def. - General Data'!$C$20:$C$1000,1,false)</f>
        <v>ZPM1_PotPlastic</v>
      </c>
      <c r="H4708" s="63" t="str">
        <f>IFERROR(__xludf.DUMMYFUNCTION("VLOOKUP(F4708, IMPORTRANGE(""https://docs.google.com/spreadsheets/d/1Lhp9OU0JdFf_VYSMzH5lBcEaU4o8teT1piV-SNzShjg/edit?gid=554141278#gid=554141278"", ""'Char Def. - Attributes'!C20:C2242""), 1,false)"),"BRAND_WINGS_OPT")</f>
        <v>BRAND_WINGS_OPT</v>
      </c>
      <c r="I4708" s="136"/>
    </row>
    <row r="4709" ht="15.75" customHeight="1">
      <c r="B4709" s="63">
        <f t="shared" si="1"/>
        <v>15</v>
      </c>
      <c r="C4709" s="146" t="s">
        <v>261</v>
      </c>
      <c r="D4709" s="147" t="s">
        <v>74</v>
      </c>
      <c r="E4709" s="135">
        <f t="shared" si="59"/>
        <v>3</v>
      </c>
      <c r="F4709" s="134" t="s">
        <v>3961</v>
      </c>
      <c r="G4709" s="63" t="str">
        <f>VLOOKUP(C4709, 'Class Def. - General Data'!$C$20:$C$1000,1,false)</f>
        <v>ZPM1_PotPlastic</v>
      </c>
      <c r="H4709" s="63" t="str">
        <f>IFERROR(__xludf.DUMMYFUNCTION("VLOOKUP(F4709, IMPORTRANGE(""https://docs.google.com/spreadsheets/d/1Lhp9OU0JdFf_VYSMzH5lBcEaU4o8teT1piV-SNzShjg/edit?gid=554141278#gid=554141278"", ""'Char Def. - Attributes'!C20:C2242""), 1,false)"),"COLOR_B_OPT")</f>
        <v>COLOR_B_OPT</v>
      </c>
      <c r="I4709" s="136"/>
    </row>
    <row r="4710" ht="15.75" customHeight="1">
      <c r="B4710" s="63">
        <f t="shared" si="1"/>
        <v>15</v>
      </c>
      <c r="C4710" s="146" t="s">
        <v>261</v>
      </c>
      <c r="D4710" s="147" t="s">
        <v>74</v>
      </c>
      <c r="E4710" s="135">
        <f t="shared" si="59"/>
        <v>4</v>
      </c>
      <c r="F4710" s="134" t="s">
        <v>3929</v>
      </c>
      <c r="G4710" s="63" t="str">
        <f>VLOOKUP(C4710, 'Class Def. - General Data'!$C$20:$C$1000,1,false)</f>
        <v>ZPM1_PotPlastic</v>
      </c>
      <c r="H4710" s="63" t="str">
        <f>IFERROR(__xludf.DUMMYFUNCTION("VLOOKUP(F4710, IMPORTRANGE(""https://docs.google.com/spreadsheets/d/1Lhp9OU0JdFf_VYSMzH5lBcEaU4o8teT1piV-SNzShjg/edit?gid=554141278#gid=554141278"", ""'Char Def. - Attributes'!C20:C2242""), 1,false)"),"VOLUME_L")</f>
        <v>VOLUME_L</v>
      </c>
      <c r="I4710" s="136"/>
    </row>
    <row r="4711" ht="15.75" customHeight="1">
      <c r="B4711" s="63">
        <f t="shared" si="1"/>
        <v>15</v>
      </c>
      <c r="C4711" s="146" t="s">
        <v>261</v>
      </c>
      <c r="D4711" s="147" t="s">
        <v>74</v>
      </c>
      <c r="E4711" s="135">
        <f t="shared" si="59"/>
        <v>5</v>
      </c>
      <c r="F4711" s="134" t="s">
        <v>3862</v>
      </c>
      <c r="G4711" s="63" t="str">
        <f>VLOOKUP(C4711, 'Class Def. - General Data'!$C$20:$C$1000,1,false)</f>
        <v>ZPM1_PotPlastic</v>
      </c>
      <c r="H4711" s="63" t="str">
        <f>IFERROR(__xludf.DUMMYFUNCTION("VLOOKUP(F4711, IMPORTRANGE(""https://docs.google.com/spreadsheets/d/1Lhp9OU0JdFf_VYSMzH5lBcEaU4o8teT1piV-SNzShjg/edit?gid=554141278#gid=554141278"", ""'Char Def. - Attributes'!C20:C2242""), 1,false)"),"MONTH")</f>
        <v>MONTH</v>
      </c>
      <c r="I4711" s="136"/>
    </row>
    <row r="4712" ht="15.75" customHeight="1">
      <c r="B4712" s="63">
        <f t="shared" si="1"/>
        <v>15</v>
      </c>
      <c r="C4712" s="146" t="s">
        <v>261</v>
      </c>
      <c r="D4712" s="147" t="s">
        <v>74</v>
      </c>
      <c r="E4712" s="135">
        <f t="shared" si="59"/>
        <v>6</v>
      </c>
      <c r="F4712" s="134" t="s">
        <v>3863</v>
      </c>
      <c r="G4712" s="63" t="str">
        <f>VLOOKUP(C4712, 'Class Def. - General Data'!$C$20:$C$1000,1,false)</f>
        <v>ZPM1_PotPlastic</v>
      </c>
      <c r="H4712" s="63" t="str">
        <f>IFERROR(__xludf.DUMMYFUNCTION("VLOOKUP(F4712, IMPORTRANGE(""https://docs.google.com/spreadsheets/d/1Lhp9OU0JdFf_VYSMzH5lBcEaU4o8teT1piV-SNzShjg/edit?gid=554141278#gid=554141278"", ""'Char Def. - Attributes'!C20:C2242""), 1,false)"),"YEAR")</f>
        <v>YEAR</v>
      </c>
      <c r="I4712" s="136"/>
    </row>
    <row r="4713" ht="15.75" customHeight="1">
      <c r="B4713" s="63">
        <f t="shared" si="1"/>
        <v>15</v>
      </c>
      <c r="C4713" s="146" t="s">
        <v>261</v>
      </c>
      <c r="D4713" s="147" t="s">
        <v>74</v>
      </c>
      <c r="E4713" s="135">
        <f t="shared" si="59"/>
        <v>7</v>
      </c>
      <c r="F4713" s="134" t="s">
        <v>3962</v>
      </c>
      <c r="G4713" s="63" t="str">
        <f>VLOOKUP(C4713, 'Class Def. - General Data'!$C$20:$C$1000,1,false)</f>
        <v>ZPM1_PotPlastic</v>
      </c>
      <c r="H4713" s="63" t="str">
        <f>IFERROR(__xludf.DUMMYFUNCTION("VLOOKUP(F4713, IMPORTRANGE(""https://docs.google.com/spreadsheets/d/1Lhp9OU0JdFf_VYSMzH5lBcEaU4o8teT1piV-SNzShjg/edit?gid=554141278#gid=554141278"", ""'Char Def. - Attributes'!C20:C2242""), 1,false)"),"PLASTIC_TYPE")</f>
        <v>PLASTIC_TYPE</v>
      </c>
      <c r="I4713" s="136"/>
    </row>
    <row r="4714" ht="15.75" customHeight="1">
      <c r="B4714" s="63">
        <f t="shared" si="1"/>
        <v>15</v>
      </c>
      <c r="C4714" s="146" t="s">
        <v>261</v>
      </c>
      <c r="D4714" s="147" t="s">
        <v>74</v>
      </c>
      <c r="E4714" s="135">
        <f t="shared" si="59"/>
        <v>8</v>
      </c>
      <c r="F4714" s="134" t="s">
        <v>3864</v>
      </c>
      <c r="G4714" s="63" t="str">
        <f>VLOOKUP(C4714, 'Class Def. - General Data'!$C$20:$C$1000,1,false)</f>
        <v>ZPM1_PotPlastic</v>
      </c>
      <c r="H4714" s="63" t="str">
        <f>IFERROR(__xludf.DUMMYFUNCTION("VLOOKUP(F4714, IMPORTRANGE(""https://docs.google.com/spreadsheets/d/1Lhp9OU0JdFf_VYSMzH5lBcEaU4o8teT1piV-SNzShjg/edit?gid=554141278#gid=554141278"", ""'Char Def. - Attributes'!C20:C2242""), 1,false)"),"DIMENSION_OPT")</f>
        <v>DIMENSION_OPT</v>
      </c>
      <c r="I4714" s="136"/>
    </row>
    <row r="4715" ht="15.75" customHeight="1">
      <c r="B4715" s="63">
        <f t="shared" si="1"/>
        <v>15</v>
      </c>
      <c r="C4715" s="146" t="s">
        <v>261</v>
      </c>
      <c r="D4715" s="147" t="s">
        <v>74</v>
      </c>
      <c r="E4715" s="135">
        <f t="shared" si="59"/>
        <v>9</v>
      </c>
      <c r="F4715" s="134" t="s">
        <v>3911</v>
      </c>
      <c r="G4715" s="63" t="str">
        <f>VLOOKUP(C4715, 'Class Def. - General Data'!$C$20:$C$1000,1,false)</f>
        <v>ZPM1_PotPlastic</v>
      </c>
      <c r="H4715" s="63" t="str">
        <f>IFERROR(__xludf.DUMMYFUNCTION("VLOOKUP(F4715, IMPORTRANGE(""https://docs.google.com/spreadsheets/d/1Lhp9OU0JdFf_VYSMzH5lBcEaU4o8teT1piV-SNzShjg/edit?gid=554141278#gid=554141278"", ""'Char Def. - Attributes'!C20:C2242""), 1,false)"),"PLANT_BUY_OPT")</f>
        <v>PLANT_BUY_OPT</v>
      </c>
      <c r="I4715" s="136"/>
    </row>
    <row r="4716" ht="15.75" customHeight="1">
      <c r="B4716" s="63">
        <f t="shared" si="1"/>
        <v>15</v>
      </c>
      <c r="C4716" s="146" t="s">
        <v>261</v>
      </c>
      <c r="D4716" s="147" t="s">
        <v>74</v>
      </c>
      <c r="E4716" s="135">
        <f t="shared" si="59"/>
        <v>10</v>
      </c>
      <c r="F4716" s="134" t="s">
        <v>3865</v>
      </c>
      <c r="G4716" s="63" t="str">
        <f>VLOOKUP(C4716, 'Class Def. - General Data'!$C$20:$C$1000,1,false)</f>
        <v>ZPM1_PotPlastic</v>
      </c>
      <c r="H4716" s="63" t="str">
        <f>IFERROR(__xludf.DUMMYFUNCTION("VLOOKUP(F4716, IMPORTRANGE(""https://docs.google.com/spreadsheets/d/1Lhp9OU0JdFf_VYSMzH5lBcEaU4o8teT1piV-SNzShjg/edit?gid=554141278#gid=554141278"", ""'Char Def. - Attributes'!C20:C2242""), 1,false)"),"PLANT_PROD_OPT")</f>
        <v>PLANT_PROD_OPT</v>
      </c>
      <c r="I4716" s="136"/>
    </row>
    <row r="4717" ht="15.75" customHeight="1">
      <c r="B4717" s="63">
        <f t="shared" si="1"/>
        <v>15</v>
      </c>
      <c r="C4717" s="146" t="s">
        <v>261</v>
      </c>
      <c r="D4717" s="147" t="s">
        <v>74</v>
      </c>
      <c r="E4717" s="135">
        <f t="shared" si="59"/>
        <v>11</v>
      </c>
      <c r="F4717" s="134" t="s">
        <v>3866</v>
      </c>
      <c r="G4717" s="63" t="str">
        <f>VLOOKUP(C4717, 'Class Def. - General Data'!$C$20:$C$1000,1,false)</f>
        <v>ZPM1_PotPlastic</v>
      </c>
      <c r="H4717" s="63" t="str">
        <f>IFERROR(__xludf.DUMMYFUNCTION("VLOOKUP(F4717, IMPORTRANGE(""https://docs.google.com/spreadsheets/d/1Lhp9OU0JdFf_VYSMzH5lBcEaU4o8teT1piV-SNzShjg/edit?gid=554141278#gid=554141278"", ""'Char Def. - Attributes'!C20:C2242""), 1,false)"),"PM_SUPPLY_JKT")</f>
        <v>PM_SUPPLY_JKT</v>
      </c>
      <c r="I4717" s="136"/>
    </row>
    <row r="4718" ht="15.75" customHeight="1">
      <c r="B4718" s="63">
        <f t="shared" si="1"/>
        <v>15</v>
      </c>
      <c r="C4718" s="146" t="s">
        <v>261</v>
      </c>
      <c r="D4718" s="147" t="s">
        <v>74</v>
      </c>
      <c r="E4718" s="135">
        <f t="shared" si="59"/>
        <v>12</v>
      </c>
      <c r="F4718" s="134" t="s">
        <v>3867</v>
      </c>
      <c r="G4718" s="63" t="str">
        <f>VLOOKUP(C4718, 'Class Def. - General Data'!$C$20:$C$1000,1,false)</f>
        <v>ZPM1_PotPlastic</v>
      </c>
      <c r="H4718" s="63" t="str">
        <f>IFERROR(__xludf.DUMMYFUNCTION("VLOOKUP(F4718, IMPORTRANGE(""https://docs.google.com/spreadsheets/d/1Lhp9OU0JdFf_VYSMzH5lBcEaU4o8teT1piV-SNzShjg/edit?gid=554141278#gid=554141278"", ""'Char Def. - Attributes'!C20:C2242""), 1,false)"),"PM_SUPPLY_SBY")</f>
        <v>PM_SUPPLY_SBY</v>
      </c>
      <c r="I4718" s="136"/>
    </row>
    <row r="4719" ht="15.75" customHeight="1">
      <c r="B4719" s="63">
        <f t="shared" si="1"/>
        <v>15</v>
      </c>
      <c r="C4719" s="146" t="s">
        <v>261</v>
      </c>
      <c r="D4719" s="147" t="s">
        <v>74</v>
      </c>
      <c r="E4719" s="135">
        <f t="shared" si="59"/>
        <v>13</v>
      </c>
      <c r="F4719" s="134" t="s">
        <v>3868</v>
      </c>
      <c r="G4719" s="63" t="str">
        <f>VLOOKUP(C4719, 'Class Def. - General Data'!$C$20:$C$1000,1,false)</f>
        <v>ZPM1_PotPlastic</v>
      </c>
      <c r="H4719" s="63" t="str">
        <f>IFERROR(__xludf.DUMMYFUNCTION("VLOOKUP(F4719, IMPORTRANGE(""https://docs.google.com/spreadsheets/d/1Lhp9OU0JdFf_VYSMzH5lBcEaU4o8teT1piV-SNzShjg/edit?gid=554141278#gid=554141278"", ""'Char Def. - Attributes'!C20:C2242""), 1,false)"),"BASIC_UOM_RMPM")</f>
        <v>BASIC_UOM_RMPM</v>
      </c>
      <c r="I4719" s="136"/>
    </row>
    <row r="4720" ht="15.75" customHeight="1">
      <c r="B4720" s="63">
        <f t="shared" si="1"/>
        <v>15</v>
      </c>
      <c r="C4720" s="146" t="s">
        <v>261</v>
      </c>
      <c r="D4720" s="147" t="s">
        <v>74</v>
      </c>
      <c r="E4720" s="135">
        <f t="shared" si="59"/>
        <v>14</v>
      </c>
      <c r="F4720" s="134" t="s">
        <v>3869</v>
      </c>
      <c r="G4720" s="63" t="str">
        <f>VLOOKUP(C4720, 'Class Def. - General Data'!$C$20:$C$1000,1,false)</f>
        <v>ZPM1_PotPlastic</v>
      </c>
      <c r="H4720" s="63" t="str">
        <f>IFERROR(__xludf.DUMMYFUNCTION("VLOOKUP(F4720, IMPORTRANGE(""https://docs.google.com/spreadsheets/d/1Lhp9OU0JdFf_VYSMzH5lBcEaU4o8teT1piV-SNzShjg/edit?gid=554141278#gid=554141278"", ""'Char Def. - Attributes'!C20:C2242""), 1,false)"),"ALT_UOM1_RMPM")</f>
        <v>ALT_UOM1_RMPM</v>
      </c>
      <c r="I4720" s="136"/>
    </row>
    <row r="4721" ht="15.75" customHeight="1">
      <c r="B4721" s="63">
        <f t="shared" si="1"/>
        <v>15</v>
      </c>
      <c r="C4721" s="146" t="s">
        <v>261</v>
      </c>
      <c r="D4721" s="147" t="s">
        <v>74</v>
      </c>
      <c r="E4721" s="135">
        <f t="shared" si="59"/>
        <v>15</v>
      </c>
      <c r="F4721" s="134" t="s">
        <v>3805</v>
      </c>
      <c r="G4721" s="63" t="str">
        <f>VLOOKUP(C4721, 'Class Def. - General Data'!$C$20:$C$1000,1,false)</f>
        <v>ZPM1_PotPlastic</v>
      </c>
      <c r="H4721" s="63" t="str">
        <f>IFERROR(__xludf.DUMMYFUNCTION("VLOOKUP(F4721, IMPORTRANGE(""https://docs.google.com/spreadsheets/d/1Lhp9OU0JdFf_VYSMzH5lBcEaU4o8teT1piV-SNzShjg/edit?gid=554141278#gid=554141278"", ""'Char Def. - Attributes'!C20:C2242""), 1,false)"),"ALT_DENUM_UOM1")</f>
        <v>ALT_DENUM_UOM1</v>
      </c>
      <c r="I4721" s="136"/>
    </row>
    <row r="4722" ht="15.75" customHeight="1">
      <c r="B4722" s="63">
        <f t="shared" si="1"/>
        <v>15</v>
      </c>
      <c r="C4722" s="146" t="s">
        <v>261</v>
      </c>
      <c r="D4722" s="147" t="s">
        <v>74</v>
      </c>
      <c r="E4722" s="135">
        <f t="shared" si="59"/>
        <v>16</v>
      </c>
      <c r="F4722" s="134" t="s">
        <v>3806</v>
      </c>
      <c r="G4722" s="63" t="str">
        <f>VLOOKUP(C4722, 'Class Def. - General Data'!$C$20:$C$1000,1,false)</f>
        <v>ZPM1_PotPlastic</v>
      </c>
      <c r="H4722" s="63" t="str">
        <f>IFERROR(__xludf.DUMMYFUNCTION("VLOOKUP(F4722, IMPORTRANGE(""https://docs.google.com/spreadsheets/d/1Lhp9OU0JdFf_VYSMzH5lBcEaU4o8teT1piV-SNzShjg/edit?gid=554141278#gid=554141278"", ""'Char Def. - Attributes'!C20:C2242""), 1,false)"),"ALT_NUM_UOM1")</f>
        <v>ALT_NUM_UOM1</v>
      </c>
      <c r="I4722" s="136"/>
    </row>
    <row r="4723" ht="15.75" customHeight="1">
      <c r="B4723" s="63">
        <f t="shared" si="1"/>
        <v>15</v>
      </c>
      <c r="C4723" s="146" t="s">
        <v>261</v>
      </c>
      <c r="D4723" s="147" t="s">
        <v>74</v>
      </c>
      <c r="E4723" s="135">
        <f t="shared" si="59"/>
        <v>17</v>
      </c>
      <c r="F4723" s="134" t="s">
        <v>3870</v>
      </c>
      <c r="G4723" s="63" t="str">
        <f>VLOOKUP(C4723, 'Class Def. - General Data'!$C$20:$C$1000,1,false)</f>
        <v>ZPM1_PotPlastic</v>
      </c>
      <c r="H4723" s="63" t="str">
        <f>IFERROR(__xludf.DUMMYFUNCTION("VLOOKUP(F4723, IMPORTRANGE(""https://docs.google.com/spreadsheets/d/1Lhp9OU0JdFf_VYSMzH5lBcEaU4o8teT1piV-SNzShjg/edit?gid=554141278#gid=554141278"", ""'Char Def. - Attributes'!C20:C2242""), 1,false)"),"ALT_UOM2_RMPM")</f>
        <v>ALT_UOM2_RMPM</v>
      </c>
      <c r="I4723" s="136"/>
    </row>
    <row r="4724" ht="15.75" customHeight="1">
      <c r="B4724" s="63">
        <f t="shared" si="1"/>
        <v>15</v>
      </c>
      <c r="C4724" s="146" t="s">
        <v>261</v>
      </c>
      <c r="D4724" s="147" t="s">
        <v>74</v>
      </c>
      <c r="E4724" s="135">
        <f t="shared" si="59"/>
        <v>18</v>
      </c>
      <c r="F4724" s="134" t="s">
        <v>3808</v>
      </c>
      <c r="G4724" s="63" t="str">
        <f>VLOOKUP(C4724, 'Class Def. - General Data'!$C$20:$C$1000,1,false)</f>
        <v>ZPM1_PotPlastic</v>
      </c>
      <c r="H4724" s="63" t="str">
        <f>IFERROR(__xludf.DUMMYFUNCTION("VLOOKUP(F4724, IMPORTRANGE(""https://docs.google.com/spreadsheets/d/1Lhp9OU0JdFf_VYSMzH5lBcEaU4o8teT1piV-SNzShjg/edit?gid=554141278#gid=554141278"", ""'Char Def. - Attributes'!C20:C2242""), 1,false)"),"ALT_DENUM_UOM2")</f>
        <v>ALT_DENUM_UOM2</v>
      </c>
      <c r="I4724" s="136"/>
    </row>
    <row r="4725" ht="15.75" customHeight="1">
      <c r="B4725" s="63">
        <f t="shared" si="1"/>
        <v>15</v>
      </c>
      <c r="C4725" s="146" t="s">
        <v>261</v>
      </c>
      <c r="D4725" s="147" t="s">
        <v>74</v>
      </c>
      <c r="E4725" s="135">
        <f t="shared" si="59"/>
        <v>19</v>
      </c>
      <c r="F4725" s="134" t="s">
        <v>3809</v>
      </c>
      <c r="G4725" s="63" t="str">
        <f>VLOOKUP(C4725, 'Class Def. - General Data'!$C$20:$C$1000,1,false)</f>
        <v>ZPM1_PotPlastic</v>
      </c>
      <c r="H4725" s="63" t="str">
        <f>IFERROR(__xludf.DUMMYFUNCTION("VLOOKUP(F4725, IMPORTRANGE(""https://docs.google.com/spreadsheets/d/1Lhp9OU0JdFf_VYSMzH5lBcEaU4o8teT1piV-SNzShjg/edit?gid=554141278#gid=554141278"", ""'Char Def. - Attributes'!C20:C2242""), 1,false)"),"ALT_NUM_UOM2")</f>
        <v>ALT_NUM_UOM2</v>
      </c>
      <c r="I4725" s="136"/>
    </row>
    <row r="4726" ht="15.75" customHeight="1">
      <c r="B4726" s="63">
        <f t="shared" si="1"/>
        <v>15</v>
      </c>
      <c r="C4726" s="146" t="s">
        <v>261</v>
      </c>
      <c r="D4726" s="147" t="s">
        <v>74</v>
      </c>
      <c r="E4726" s="135">
        <f t="shared" si="59"/>
        <v>20</v>
      </c>
      <c r="F4726" s="134" t="s">
        <v>3871</v>
      </c>
      <c r="G4726" s="63" t="str">
        <f>VLOOKUP(C4726, 'Class Def. - General Data'!$C$20:$C$1000,1,false)</f>
        <v>ZPM1_PotPlastic</v>
      </c>
      <c r="H4726" s="63" t="str">
        <f>IFERROR(__xludf.DUMMYFUNCTION("VLOOKUP(F4726, IMPORTRANGE(""https://docs.google.com/spreadsheets/d/1Lhp9OU0JdFf_VYSMzH5lBcEaU4o8teT1piV-SNzShjg/edit?gid=554141278#gid=554141278"", ""'Char Def. - Attributes'!C20:C2242""), 1,false)"),"ALT_UOM3_RMPM")</f>
        <v>ALT_UOM3_RMPM</v>
      </c>
      <c r="I4726" s="136"/>
    </row>
    <row r="4727" ht="15.75" customHeight="1">
      <c r="B4727" s="63">
        <f t="shared" si="1"/>
        <v>15</v>
      </c>
      <c r="C4727" s="146" t="s">
        <v>261</v>
      </c>
      <c r="D4727" s="147" t="s">
        <v>74</v>
      </c>
      <c r="E4727" s="135">
        <f t="shared" si="59"/>
        <v>21</v>
      </c>
      <c r="F4727" s="134" t="s">
        <v>3811</v>
      </c>
      <c r="G4727" s="63" t="str">
        <f>VLOOKUP(C4727, 'Class Def. - General Data'!$C$20:$C$1000,1,false)</f>
        <v>ZPM1_PotPlastic</v>
      </c>
      <c r="H4727" s="63" t="str">
        <f>IFERROR(__xludf.DUMMYFUNCTION("VLOOKUP(F4727, IMPORTRANGE(""https://docs.google.com/spreadsheets/d/1Lhp9OU0JdFf_VYSMzH5lBcEaU4o8teT1piV-SNzShjg/edit?gid=554141278#gid=554141278"", ""'Char Def. - Attributes'!C20:C2242""), 1,false)"),"ALT_DENUM_UOM3")</f>
        <v>ALT_DENUM_UOM3</v>
      </c>
      <c r="I4727" s="136"/>
    </row>
    <row r="4728" ht="15.75" customHeight="1">
      <c r="B4728" s="63">
        <f t="shared" si="1"/>
        <v>15</v>
      </c>
      <c r="C4728" s="146" t="s">
        <v>261</v>
      </c>
      <c r="D4728" s="147" t="s">
        <v>74</v>
      </c>
      <c r="E4728" s="135">
        <f t="shared" si="59"/>
        <v>22</v>
      </c>
      <c r="F4728" s="134" t="s">
        <v>3812</v>
      </c>
      <c r="G4728" s="63" t="str">
        <f>VLOOKUP(C4728, 'Class Def. - General Data'!$C$20:$C$1000,1,false)</f>
        <v>ZPM1_PotPlastic</v>
      </c>
      <c r="H4728" s="63" t="str">
        <f>IFERROR(__xludf.DUMMYFUNCTION("VLOOKUP(F4728, IMPORTRANGE(""https://docs.google.com/spreadsheets/d/1Lhp9OU0JdFf_VYSMzH5lBcEaU4o8teT1piV-SNzShjg/edit?gid=554141278#gid=554141278"", ""'Char Def. - Attributes'!C20:C2242""), 1,false)"),"ALT_NUM_UOM3")</f>
        <v>ALT_NUM_UOM3</v>
      </c>
      <c r="I4728" s="136"/>
    </row>
    <row r="4729" ht="15.75" customHeight="1">
      <c r="B4729" s="63">
        <f t="shared" si="1"/>
        <v>15</v>
      </c>
      <c r="C4729" s="146" t="s">
        <v>261</v>
      </c>
      <c r="D4729" s="147" t="s">
        <v>74</v>
      </c>
      <c r="E4729" s="135">
        <f t="shared" si="59"/>
        <v>23</v>
      </c>
      <c r="F4729" s="134" t="s">
        <v>3872</v>
      </c>
      <c r="G4729" s="63" t="str">
        <f>VLOOKUP(C4729, 'Class Def. - General Data'!$C$20:$C$1000,1,false)</f>
        <v>ZPM1_PotPlastic</v>
      </c>
      <c r="H4729" s="63" t="str">
        <f>IFERROR(__xludf.DUMMYFUNCTION("VLOOKUP(F4729, IMPORTRANGE(""https://docs.google.com/spreadsheets/d/1Lhp9OU0JdFf_VYSMzH5lBcEaU4o8teT1piV-SNzShjg/edit?gid=554141278#gid=554141278"", ""'Char Def. - Attributes'!C20:C2242""), 1,false)"),"ALT_UOM4_RMPM")</f>
        <v>ALT_UOM4_RMPM</v>
      </c>
      <c r="I4729" s="136"/>
    </row>
    <row r="4730" ht="15.75" customHeight="1">
      <c r="B4730" s="63">
        <f t="shared" si="1"/>
        <v>15</v>
      </c>
      <c r="C4730" s="146" t="s">
        <v>261</v>
      </c>
      <c r="D4730" s="147" t="s">
        <v>74</v>
      </c>
      <c r="E4730" s="135">
        <f t="shared" si="59"/>
        <v>24</v>
      </c>
      <c r="F4730" s="134" t="s">
        <v>3814</v>
      </c>
      <c r="G4730" s="63" t="str">
        <f>VLOOKUP(C4730, 'Class Def. - General Data'!$C$20:$C$1000,1,false)</f>
        <v>ZPM1_PotPlastic</v>
      </c>
      <c r="H4730" s="63" t="str">
        <f>IFERROR(__xludf.DUMMYFUNCTION("VLOOKUP(F4730, IMPORTRANGE(""https://docs.google.com/spreadsheets/d/1Lhp9OU0JdFf_VYSMzH5lBcEaU4o8teT1piV-SNzShjg/edit?gid=554141278#gid=554141278"", ""'Char Def. - Attributes'!C20:C2242""), 1,false)"),"ALT_DENUM_UOM4")</f>
        <v>ALT_DENUM_UOM4</v>
      </c>
      <c r="I4730" s="136"/>
    </row>
    <row r="4731" ht="15.75" customHeight="1">
      <c r="B4731" s="63">
        <f t="shared" si="1"/>
        <v>15</v>
      </c>
      <c r="C4731" s="146" t="s">
        <v>261</v>
      </c>
      <c r="D4731" s="147" t="s">
        <v>74</v>
      </c>
      <c r="E4731" s="135">
        <f t="shared" si="59"/>
        <v>25</v>
      </c>
      <c r="F4731" s="134" t="s">
        <v>3815</v>
      </c>
      <c r="G4731" s="63" t="str">
        <f>VLOOKUP(C4731, 'Class Def. - General Data'!$C$20:$C$1000,1,false)</f>
        <v>ZPM1_PotPlastic</v>
      </c>
      <c r="H4731" s="63" t="str">
        <f>IFERROR(__xludf.DUMMYFUNCTION("VLOOKUP(F4731, IMPORTRANGE(""https://docs.google.com/spreadsheets/d/1Lhp9OU0JdFf_VYSMzH5lBcEaU4o8teT1piV-SNzShjg/edit?gid=554141278#gid=554141278"", ""'Char Def. - Attributes'!C20:C2242""), 1,false)"),"ALT_NUM_UOM4")</f>
        <v>ALT_NUM_UOM4</v>
      </c>
      <c r="I4731" s="136"/>
    </row>
    <row r="4732" ht="15.75" customHeight="1">
      <c r="B4732" s="63">
        <f t="shared" si="1"/>
        <v>15</v>
      </c>
      <c r="C4732" s="146" t="s">
        <v>261</v>
      </c>
      <c r="D4732" s="147" t="s">
        <v>74</v>
      </c>
      <c r="E4732" s="135">
        <f t="shared" si="59"/>
        <v>26</v>
      </c>
      <c r="F4732" s="134" t="s">
        <v>3873</v>
      </c>
      <c r="G4732" s="63" t="str">
        <f>VLOOKUP(C4732, 'Class Def. - General Data'!$C$20:$C$1000,1,false)</f>
        <v>ZPM1_PotPlastic</v>
      </c>
      <c r="H4732" s="63" t="str">
        <f>IFERROR(__xludf.DUMMYFUNCTION("VLOOKUP(F4732, IMPORTRANGE(""https://docs.google.com/spreadsheets/d/1Lhp9OU0JdFf_VYSMzH5lBcEaU4o8teT1piV-SNzShjg/edit?gid=554141278#gid=554141278"", ""'Char Def. - Attributes'!C20:C2242""), 1,false)"),"ALT_UOM5_RMPM")</f>
        <v>ALT_UOM5_RMPM</v>
      </c>
      <c r="I4732" s="136"/>
    </row>
    <row r="4733" ht="15.75" customHeight="1">
      <c r="B4733" s="63">
        <f t="shared" si="1"/>
        <v>15</v>
      </c>
      <c r="C4733" s="146" t="s">
        <v>261</v>
      </c>
      <c r="D4733" s="147" t="s">
        <v>74</v>
      </c>
      <c r="E4733" s="135">
        <f t="shared" si="59"/>
        <v>27</v>
      </c>
      <c r="F4733" s="134" t="s">
        <v>3817</v>
      </c>
      <c r="G4733" s="63" t="str">
        <f>VLOOKUP(C4733, 'Class Def. - General Data'!$C$20:$C$1000,1,false)</f>
        <v>ZPM1_PotPlastic</v>
      </c>
      <c r="H4733" s="63" t="str">
        <f>IFERROR(__xludf.DUMMYFUNCTION("VLOOKUP(F4733, IMPORTRANGE(""https://docs.google.com/spreadsheets/d/1Lhp9OU0JdFf_VYSMzH5lBcEaU4o8teT1piV-SNzShjg/edit?gid=554141278#gid=554141278"", ""'Char Def. - Attributes'!C20:C2242""), 1,false)"),"ALT_DENUM_UOM5")</f>
        <v>ALT_DENUM_UOM5</v>
      </c>
      <c r="I4733" s="136"/>
    </row>
    <row r="4734" ht="15.75" customHeight="1">
      <c r="B4734" s="63">
        <f t="shared" si="1"/>
        <v>15</v>
      </c>
      <c r="C4734" s="146" t="s">
        <v>261</v>
      </c>
      <c r="D4734" s="147" t="s">
        <v>74</v>
      </c>
      <c r="E4734" s="135">
        <f t="shared" si="59"/>
        <v>28</v>
      </c>
      <c r="F4734" s="134" t="s">
        <v>3818</v>
      </c>
      <c r="G4734" s="63" t="str">
        <f>VLOOKUP(C4734, 'Class Def. - General Data'!$C$20:$C$1000,1,false)</f>
        <v>ZPM1_PotPlastic</v>
      </c>
      <c r="H4734" s="63" t="str">
        <f>IFERROR(__xludf.DUMMYFUNCTION("VLOOKUP(F4734, IMPORTRANGE(""https://docs.google.com/spreadsheets/d/1Lhp9OU0JdFf_VYSMzH5lBcEaU4o8teT1piV-SNzShjg/edit?gid=554141278#gid=554141278"", ""'Char Def. - Attributes'!C20:C2242""), 1,false)"),"ALT_NUM_UOM5")</f>
        <v>ALT_NUM_UOM5</v>
      </c>
      <c r="I4734" s="136"/>
    </row>
    <row r="4735" ht="15.75" customHeight="1">
      <c r="B4735" s="63">
        <f t="shared" si="1"/>
        <v>15</v>
      </c>
      <c r="C4735" s="146" t="s">
        <v>261</v>
      </c>
      <c r="D4735" s="147" t="s">
        <v>74</v>
      </c>
      <c r="E4735" s="135">
        <f t="shared" si="59"/>
        <v>29</v>
      </c>
      <c r="F4735" s="134" t="s">
        <v>3874</v>
      </c>
      <c r="G4735" s="63" t="str">
        <f>VLOOKUP(C4735, 'Class Def. - General Data'!$C$20:$C$1000,1,false)</f>
        <v>ZPM1_PotPlastic</v>
      </c>
      <c r="H4735" s="63" t="str">
        <f>IFERROR(__xludf.DUMMYFUNCTION("VLOOKUP(F4735, IMPORTRANGE(""https://docs.google.com/spreadsheets/d/1Lhp9OU0JdFf_VYSMzH5lBcEaU4o8teT1piV-SNzShjg/edit?gid=554141278#gid=554141278"", ""'Char Def. - Attributes'!C20:C2242""), 1,false)"),"VALUATION_CATEGORY")</f>
        <v>VALUATION_CATEGORY</v>
      </c>
      <c r="I4735" s="136"/>
    </row>
    <row r="4736" ht="15.75" customHeight="1">
      <c r="B4736" s="63">
        <f t="shared" si="1"/>
        <v>15</v>
      </c>
      <c r="C4736" s="146" t="s">
        <v>261</v>
      </c>
      <c r="D4736" s="147" t="s">
        <v>74</v>
      </c>
      <c r="E4736" s="135">
        <f t="shared" si="59"/>
        <v>30</v>
      </c>
      <c r="F4736" s="134" t="s">
        <v>3800</v>
      </c>
      <c r="G4736" s="63" t="str">
        <f>VLOOKUP(C4736, 'Class Def. - General Data'!$C$20:$C$1000,1,false)</f>
        <v>ZPM1_PotPlastic</v>
      </c>
      <c r="H4736" s="63" t="str">
        <f>IFERROR(__xludf.DUMMYFUNCTION("VLOOKUP(F4736, IMPORTRANGE(""https://docs.google.com/spreadsheets/d/1Lhp9OU0JdFf_VYSMzH5lBcEaU4o8teT1piV-SNzShjg/edit?gid=554141278#gid=554141278"", ""'Char Def. - Attributes'!C20:C2242""), 1,false)"),"ORDER_UNIT_DIFF_FROM_BASIC_UOM")</f>
        <v>ORDER_UNIT_DIFF_FROM_BASIC_UOM</v>
      </c>
      <c r="I4736" s="136"/>
    </row>
    <row r="4737" ht="15.75" customHeight="1">
      <c r="B4737" s="63">
        <f t="shared" si="1"/>
        <v>15</v>
      </c>
      <c r="C4737" s="146" t="s">
        <v>261</v>
      </c>
      <c r="D4737" s="147" t="s">
        <v>74</v>
      </c>
      <c r="E4737" s="135">
        <f t="shared" si="59"/>
        <v>31</v>
      </c>
      <c r="F4737" s="134" t="s">
        <v>3875</v>
      </c>
      <c r="G4737" s="63" t="str">
        <f>VLOOKUP(C4737, 'Class Def. - General Data'!$C$20:$C$1000,1,false)</f>
        <v>ZPM1_PotPlastic</v>
      </c>
      <c r="H4737" s="63" t="str">
        <f>IFERROR(__xludf.DUMMYFUNCTION("VLOOKUP(F4737, IMPORTRANGE(""https://docs.google.com/spreadsheets/d/1Lhp9OU0JdFf_VYSMzH5lBcEaU4o8teT1piV-SNzShjg/edit?gid=554141278#gid=554141278"", ""'Char Def. - Attributes'!C20:C2242""), 1,false)"),"ORDER_UNIT_RMPM")</f>
        <v>ORDER_UNIT_RMPM</v>
      </c>
      <c r="I4737" s="136"/>
    </row>
    <row r="4738" ht="15.75" customHeight="1">
      <c r="B4738" s="63">
        <f t="shared" si="1"/>
        <v>15</v>
      </c>
      <c r="C4738" s="146" t="s">
        <v>261</v>
      </c>
      <c r="D4738" s="147" t="s">
        <v>74</v>
      </c>
      <c r="E4738" s="135">
        <f t="shared" si="59"/>
        <v>32</v>
      </c>
      <c r="F4738" s="134" t="s">
        <v>3602</v>
      </c>
      <c r="G4738" s="63" t="str">
        <f>VLOOKUP(C4738, 'Class Def. - General Data'!$C$20:$C$1000,1,false)</f>
        <v>ZPM1_PotPlastic</v>
      </c>
      <c r="H4738" s="63" t="str">
        <f>IFERROR(__xludf.DUMMYFUNCTION("VLOOKUP(F4738, IMPORTRANGE(""https://docs.google.com/spreadsheets/d/1Lhp9OU0JdFf_VYSMzH5lBcEaU4o8teT1piV-SNzShjg/edit?gid=554141278#gid=554141278"", ""'Char Def. - Attributes'!C20:C2242""), 1,false)"),"NET_WEIGHT")</f>
        <v>NET_WEIGHT</v>
      </c>
      <c r="I4738" s="136"/>
    </row>
    <row r="4739" ht="15.75" customHeight="1">
      <c r="B4739" s="63">
        <f t="shared" si="1"/>
        <v>15</v>
      </c>
      <c r="C4739" s="146" t="s">
        <v>261</v>
      </c>
      <c r="D4739" s="147" t="s">
        <v>74</v>
      </c>
      <c r="E4739" s="135">
        <f t="shared" si="59"/>
        <v>33</v>
      </c>
      <c r="F4739" s="134" t="s">
        <v>3601</v>
      </c>
      <c r="G4739" s="63" t="str">
        <f>VLOOKUP(C4739, 'Class Def. - General Data'!$C$20:$C$1000,1,false)</f>
        <v>ZPM1_PotPlastic</v>
      </c>
      <c r="H4739" s="63" t="str">
        <f>IFERROR(__xludf.DUMMYFUNCTION("VLOOKUP(F4739, IMPORTRANGE(""https://docs.google.com/spreadsheets/d/1Lhp9OU0JdFf_VYSMzH5lBcEaU4o8teT1piV-SNzShjg/edit?gid=554141278#gid=554141278"", ""'Char Def. - Attributes'!C20:C2242""), 1,false)"),"GROSS_WEIGHT")</f>
        <v>GROSS_WEIGHT</v>
      </c>
      <c r="I4739" s="136"/>
    </row>
    <row r="4740" ht="15.75" customHeight="1">
      <c r="B4740" s="63">
        <f t="shared" si="1"/>
        <v>15</v>
      </c>
      <c r="C4740" s="146" t="s">
        <v>261</v>
      </c>
      <c r="D4740" s="147" t="s">
        <v>74</v>
      </c>
      <c r="E4740" s="135">
        <f t="shared" si="59"/>
        <v>34</v>
      </c>
      <c r="F4740" s="134" t="s">
        <v>3876</v>
      </c>
      <c r="G4740" s="63" t="str">
        <f>VLOOKUP(C4740, 'Class Def. - General Data'!$C$20:$C$1000,1,false)</f>
        <v>ZPM1_PotPlastic</v>
      </c>
      <c r="H4740" s="63" t="str">
        <f>IFERROR(__xludf.DUMMYFUNCTION("VLOOKUP(F4740, IMPORTRANGE(""https://docs.google.com/spreadsheets/d/1Lhp9OU0JdFf_VYSMzH5lBcEaU4o8teT1piV-SNzShjg/edit?gid=554141278#gid=554141278"", ""'Char Def. - Attributes'!C20:C2242""), 1,false)"),"WEIGHT_UNIT_PM")</f>
        <v>WEIGHT_UNIT_PM</v>
      </c>
      <c r="I4740" s="136"/>
    </row>
    <row r="4741" ht="15.75" customHeight="1">
      <c r="B4741" s="63">
        <f t="shared" si="1"/>
        <v>15</v>
      </c>
      <c r="C4741" s="146" t="s">
        <v>261</v>
      </c>
      <c r="D4741" s="147" t="s">
        <v>74</v>
      </c>
      <c r="E4741" s="135">
        <f t="shared" si="59"/>
        <v>35</v>
      </c>
      <c r="F4741" s="134" t="s">
        <v>3877</v>
      </c>
      <c r="G4741" s="63" t="str">
        <f>VLOOKUP(C4741, 'Class Def. - General Data'!$C$20:$C$1000,1,false)</f>
        <v>ZPM1_PotPlastic</v>
      </c>
      <c r="H4741" s="63" t="str">
        <f>IFERROR(__xludf.DUMMYFUNCTION("VLOOKUP(F4741, IMPORTRANGE(""https://docs.google.com/spreadsheets/d/1Lhp9OU0JdFf_VYSMzH5lBcEaU4o8teT1piV-SNzShjg/edit?gid=554141278#gid=554141278"", ""'Char Def. - Attributes'!C20:C2242""), 1,false)"),"VOLUME_OPT")</f>
        <v>VOLUME_OPT</v>
      </c>
      <c r="I4741" s="136"/>
    </row>
    <row r="4742" ht="15.75" customHeight="1">
      <c r="B4742" s="63">
        <f t="shared" si="1"/>
        <v>15</v>
      </c>
      <c r="C4742" s="146" t="s">
        <v>261</v>
      </c>
      <c r="D4742" s="147" t="s">
        <v>74</v>
      </c>
      <c r="E4742" s="135">
        <f t="shared" si="59"/>
        <v>36</v>
      </c>
      <c r="F4742" s="134" t="s">
        <v>3878</v>
      </c>
      <c r="G4742" s="63" t="str">
        <f>VLOOKUP(C4742, 'Class Def. - General Data'!$C$20:$C$1000,1,false)</f>
        <v>ZPM1_PotPlastic</v>
      </c>
      <c r="H4742" s="63" t="str">
        <f>IFERROR(__xludf.DUMMYFUNCTION("VLOOKUP(F4742, IMPORTRANGE(""https://docs.google.com/spreadsheets/d/1Lhp9OU0JdFf_VYSMzH5lBcEaU4o8teT1piV-SNzShjg/edit?gid=554141278#gid=554141278"", ""'Char Def. - Attributes'!C20:C2242""), 1,false)"),"VOLUME_UNIT")</f>
        <v>VOLUME_UNIT</v>
      </c>
      <c r="I4742" s="136"/>
    </row>
    <row r="4743" ht="15.75" customHeight="1">
      <c r="B4743" s="63">
        <f t="shared" si="1"/>
        <v>15</v>
      </c>
      <c r="C4743" s="146" t="s">
        <v>261</v>
      </c>
      <c r="D4743" s="147" t="s">
        <v>74</v>
      </c>
      <c r="E4743" s="135">
        <f t="shared" si="59"/>
        <v>37</v>
      </c>
      <c r="F4743" s="134" t="s">
        <v>3879</v>
      </c>
      <c r="G4743" s="63" t="str">
        <f>VLOOKUP(C4743, 'Class Def. - General Data'!$C$20:$C$1000,1,false)</f>
        <v>ZPM1_PotPlastic</v>
      </c>
      <c r="H4743" s="63" t="str">
        <f>IFERROR(__xludf.DUMMYFUNCTION("VLOOKUP(F4743, IMPORTRANGE(""https://docs.google.com/spreadsheets/d/1Lhp9OU0JdFf_VYSMzH5lBcEaU4o8teT1piV-SNzShjg/edit?gid=554141278#gid=554141278"", ""'Char Def. - Attributes'!C20:C2242""), 1,false)"),"OLD_MAT_NO_RMPM")</f>
        <v>OLD_MAT_NO_RMPM</v>
      </c>
      <c r="I4743" s="136"/>
    </row>
    <row r="4744" ht="15.75" customHeight="1">
      <c r="B4744" s="63">
        <f t="shared" si="1"/>
        <v>15</v>
      </c>
      <c r="C4744" s="146" t="s">
        <v>261</v>
      </c>
      <c r="D4744" s="147" t="s">
        <v>74</v>
      </c>
      <c r="E4744" s="135">
        <f t="shared" si="59"/>
        <v>38</v>
      </c>
      <c r="F4744" s="134" t="s">
        <v>3880</v>
      </c>
      <c r="G4744" s="63" t="str">
        <f>VLOOKUP(C4744, 'Class Def. - General Data'!$C$20:$C$1000,1,false)</f>
        <v>ZPM1_PotPlastic</v>
      </c>
      <c r="H4744" s="63" t="str">
        <f>IFERROR(__xludf.DUMMYFUNCTION("VLOOKUP(F4744, IMPORTRANGE(""https://docs.google.com/spreadsheets/d/1Lhp9OU0JdFf_VYSMzH5lBcEaU4o8teT1piV-SNzShjg/edit?gid=554141278#gid=554141278"", ""'Char Def. - Attributes'!C20:C2242""), 1,false)"),"NOTE_PM")</f>
        <v>NOTE_PM</v>
      </c>
      <c r="I4744" s="136"/>
    </row>
    <row r="4745" ht="15.75" customHeight="1">
      <c r="B4745" s="63">
        <f t="shared" si="1"/>
        <v>15</v>
      </c>
      <c r="C4745" s="146" t="s">
        <v>261</v>
      </c>
      <c r="D4745" s="147" t="s">
        <v>74</v>
      </c>
      <c r="E4745" s="135">
        <f t="shared" si="59"/>
        <v>39</v>
      </c>
      <c r="F4745" s="134" t="s">
        <v>3881</v>
      </c>
      <c r="G4745" s="63" t="str">
        <f>VLOOKUP(C4745, 'Class Def. - General Data'!$C$20:$C$1000,1,false)</f>
        <v>ZPM1_PotPlastic</v>
      </c>
      <c r="H4745" s="63" t="str">
        <f>IFERROR(__xludf.DUMMYFUNCTION("VLOOKUP(F4745, IMPORTRANGE(""https://docs.google.com/spreadsheets/d/1Lhp9OU0JdFf_VYSMzH5lBcEaU4o8teT1piV-SNzShjg/edit?gid=554141278#gid=554141278"", ""'Char Def. - Attributes'!C20:C2242""), 1,false)"),"BS_BERSIH")</f>
        <v>BS_BERSIH</v>
      </c>
      <c r="I4745" s="136"/>
    </row>
    <row r="4746" ht="15.75" customHeight="1">
      <c r="B4746" s="63">
        <f t="shared" si="1"/>
        <v>15</v>
      </c>
      <c r="C4746" s="146" t="s">
        <v>261</v>
      </c>
      <c r="D4746" s="147" t="s">
        <v>74</v>
      </c>
      <c r="E4746" s="135">
        <f t="shared" si="59"/>
        <v>40</v>
      </c>
      <c r="F4746" s="134" t="s">
        <v>3882</v>
      </c>
      <c r="G4746" s="63" t="str">
        <f>VLOOKUP(C4746, 'Class Def. - General Data'!$C$20:$C$1000,1,false)</f>
        <v>ZPM1_PotPlastic</v>
      </c>
      <c r="H4746" s="63" t="str">
        <f>IFERROR(__xludf.DUMMYFUNCTION("VLOOKUP(F4746, IMPORTRANGE(""https://docs.google.com/spreadsheets/d/1Lhp9OU0JdFf_VYSMzH5lBcEaU4o8teT1piV-SNzShjg/edit?gid=554141278#gid=554141278"", ""'Char Def. - Attributes'!C20:C2242""), 1,false)"),"BS_KOTOR")</f>
        <v>BS_KOTOR</v>
      </c>
      <c r="I4746" s="136"/>
    </row>
    <row r="4747" ht="15.75" customHeight="1">
      <c r="B4747" s="63">
        <f t="shared" si="1"/>
        <v>15</v>
      </c>
      <c r="C4747" s="146" t="s">
        <v>261</v>
      </c>
      <c r="D4747" s="147" t="s">
        <v>74</v>
      </c>
      <c r="E4747" s="135">
        <f t="shared" si="59"/>
        <v>41</v>
      </c>
      <c r="F4747" s="134" t="s">
        <v>3883</v>
      </c>
      <c r="G4747" s="63" t="str">
        <f>VLOOKUP(C4747, 'Class Def. - General Data'!$C$20:$C$1000,1,false)</f>
        <v>ZPM1_PotPlastic</v>
      </c>
      <c r="H4747" s="63" t="str">
        <f>IFERROR(__xludf.DUMMYFUNCTION("VLOOKUP(F4747, IMPORTRANGE(""https://docs.google.com/spreadsheets/d/1Lhp9OU0JdFf_VYSMzH5lBcEaU4o8teT1piV-SNzShjg/edit?gid=554141278#gid=554141278"", ""'Char Def. - Attributes'!C20:C2242""), 1,false)"),"BS_SCRAP")</f>
        <v>BS_SCRAP</v>
      </c>
      <c r="I4747" s="136"/>
    </row>
    <row r="4748" ht="15.75" customHeight="1">
      <c r="B4748" s="63">
        <f t="shared" si="1"/>
        <v>13</v>
      </c>
      <c r="C4748" s="146" t="s">
        <v>252</v>
      </c>
      <c r="D4748" s="147" t="s">
        <v>74</v>
      </c>
      <c r="E4748" s="135">
        <f t="shared" si="59"/>
        <v>1</v>
      </c>
      <c r="F4748" s="134" t="s">
        <v>3963</v>
      </c>
      <c r="G4748" s="63" t="str">
        <f>VLOOKUP(C4748, 'Class Def. - General Data'!$C$20:$C$1000,1,false)</f>
        <v>ZPM1_PTP_Foil</v>
      </c>
      <c r="H4748" s="63" t="str">
        <f>IFERROR(__xludf.DUMMYFUNCTION("VLOOKUP(F4748, IMPORTRANGE(""https://docs.google.com/spreadsheets/d/1Lhp9OU0JdFf_VYSMzH5lBcEaU4o8teT1piV-SNzShjg/edit?gid=554141278#gid=554141278"", ""'Char Def. - Attributes'!C20:C2242""), 1,false)"),"MATERIAL_CODE_PTP_FOIL")</f>
        <v>MATERIAL_CODE_PTP_FOIL</v>
      </c>
      <c r="I4748" s="136"/>
    </row>
    <row r="4749" ht="15.75" customHeight="1">
      <c r="B4749" s="63">
        <f t="shared" si="1"/>
        <v>13</v>
      </c>
      <c r="C4749" s="146" t="s">
        <v>252</v>
      </c>
      <c r="D4749" s="147" t="s">
        <v>74</v>
      </c>
      <c r="E4749" s="135">
        <f t="shared" si="59"/>
        <v>2</v>
      </c>
      <c r="F4749" s="134" t="s">
        <v>3852</v>
      </c>
      <c r="G4749" s="63" t="str">
        <f>VLOOKUP(C4749, 'Class Def. - General Data'!$C$20:$C$1000,1,false)</f>
        <v>ZPM1_PTP_Foil</v>
      </c>
      <c r="H4749" s="63" t="str">
        <f>IFERROR(__xludf.DUMMYFUNCTION("VLOOKUP(F4749, IMPORTRANGE(""https://docs.google.com/spreadsheets/d/1Lhp9OU0JdFf_VYSMzH5lBcEaU4o8teT1piV-SNzShjg/edit?gid=554141278#gid=554141278"", ""'Char Def. - Attributes'!C20:C2242""), 1,false)"),"SINGLE_BRAND")</f>
        <v>SINGLE_BRAND</v>
      </c>
      <c r="I4749" s="136"/>
    </row>
    <row r="4750" ht="15.75" customHeight="1">
      <c r="B4750" s="63">
        <f t="shared" si="1"/>
        <v>13</v>
      </c>
      <c r="C4750" s="146" t="s">
        <v>252</v>
      </c>
      <c r="D4750" s="147" t="s">
        <v>74</v>
      </c>
      <c r="E4750" s="135">
        <f t="shared" si="59"/>
        <v>3</v>
      </c>
      <c r="F4750" s="134" t="s">
        <v>3853</v>
      </c>
      <c r="G4750" s="63" t="str">
        <f>VLOOKUP(C4750, 'Class Def. - General Data'!$C$20:$C$1000,1,false)</f>
        <v>ZPM1_PTP_Foil</v>
      </c>
      <c r="H4750" s="63" t="str">
        <f>IFERROR(__xludf.DUMMYFUNCTION("VLOOKUP(F4750, IMPORTRANGE(""https://docs.google.com/spreadsheets/d/1Lhp9OU0JdFf_VYSMzH5lBcEaU4o8teT1piV-SNzShjg/edit?gid=554141278#gid=554141278"", ""'Char Def. - Attributes'!C20:C2242""), 1,false)"),"BRAND_WINGS")</f>
        <v>BRAND_WINGS</v>
      </c>
      <c r="I4750" s="136"/>
    </row>
    <row r="4751" ht="15.75" customHeight="1">
      <c r="B4751" s="63">
        <f t="shared" si="1"/>
        <v>13</v>
      </c>
      <c r="C4751" s="146" t="s">
        <v>252</v>
      </c>
      <c r="D4751" s="147" t="s">
        <v>74</v>
      </c>
      <c r="E4751" s="135">
        <f t="shared" si="59"/>
        <v>4</v>
      </c>
      <c r="F4751" s="134" t="s">
        <v>3854</v>
      </c>
      <c r="G4751" s="63" t="str">
        <f>VLOOKUP(C4751, 'Class Def. - General Data'!$C$20:$C$1000,1,false)</f>
        <v>ZPM1_PTP_Foil</v>
      </c>
      <c r="H4751" s="63" t="str">
        <f>IFERROR(__xludf.DUMMYFUNCTION("VLOOKUP(F4751, IMPORTRANGE(""https://docs.google.com/spreadsheets/d/1Lhp9OU0JdFf_VYSMzH5lBcEaU4o8teT1piV-SNzShjg/edit?gid=554141278#gid=554141278"", ""'Char Def. - Attributes'!C20:C2242""), 1,false)"),"SINGLE_PACK_SHAPE")</f>
        <v>SINGLE_PACK_SHAPE</v>
      </c>
      <c r="I4751" s="136"/>
    </row>
    <row r="4752" ht="15.75" customHeight="1">
      <c r="B4752" s="63">
        <f t="shared" si="1"/>
        <v>13</v>
      </c>
      <c r="C4752" s="146" t="s">
        <v>252</v>
      </c>
      <c r="D4752" s="147" t="s">
        <v>74</v>
      </c>
      <c r="E4752" s="135">
        <f t="shared" si="59"/>
        <v>5</v>
      </c>
      <c r="F4752" s="134" t="s">
        <v>3855</v>
      </c>
      <c r="G4752" s="63" t="str">
        <f>VLOOKUP(C4752, 'Class Def. - General Data'!$C$20:$C$1000,1,false)</f>
        <v>ZPM1_PTP_Foil</v>
      </c>
      <c r="H4752" s="63" t="str">
        <f>IFERROR(__xludf.DUMMYFUNCTION("VLOOKUP(F4752, IMPORTRANGE(""https://docs.google.com/spreadsheets/d/1Lhp9OU0JdFf_VYSMzH5lBcEaU4o8teT1piV-SNzShjg/edit?gid=554141278#gid=554141278"", ""'Char Def. - Attributes'!C20:C2242""), 1,false)"),"PACK_SHAPE")</f>
        <v>PACK_SHAPE</v>
      </c>
      <c r="I4752" s="136"/>
    </row>
    <row r="4753" ht="15.75" customHeight="1">
      <c r="B4753" s="63">
        <f t="shared" si="1"/>
        <v>13</v>
      </c>
      <c r="C4753" s="146" t="s">
        <v>252</v>
      </c>
      <c r="D4753" s="147" t="s">
        <v>74</v>
      </c>
      <c r="E4753" s="135">
        <f t="shared" si="59"/>
        <v>6</v>
      </c>
      <c r="F4753" s="134" t="s">
        <v>3856</v>
      </c>
      <c r="G4753" s="63" t="str">
        <f>VLOOKUP(C4753, 'Class Def. - General Data'!$C$20:$C$1000,1,false)</f>
        <v>ZPM1_PTP_Foil</v>
      </c>
      <c r="H4753" s="63" t="str">
        <f>IFERROR(__xludf.DUMMYFUNCTION("VLOOKUP(F4753, IMPORTRANGE(""https://docs.google.com/spreadsheets/d/1Lhp9OU0JdFf_VYSMzH5lBcEaU4o8teT1piV-SNzShjg/edit?gid=554141278#gid=554141278"", ""'Char Def. - Attributes'!C20:C2242""), 1,false)"),"SINGLE_PACK_NETTO")</f>
        <v>SINGLE_PACK_NETTO</v>
      </c>
      <c r="I4753" s="136"/>
    </row>
    <row r="4754" ht="15.75" customHeight="1">
      <c r="B4754" s="63">
        <f t="shared" si="1"/>
        <v>13</v>
      </c>
      <c r="C4754" s="146" t="s">
        <v>252</v>
      </c>
      <c r="D4754" s="147" t="s">
        <v>74</v>
      </c>
      <c r="E4754" s="135">
        <f t="shared" si="59"/>
        <v>7</v>
      </c>
      <c r="F4754" s="134" t="s">
        <v>3605</v>
      </c>
      <c r="G4754" s="63" t="str">
        <f>VLOOKUP(C4754, 'Class Def. - General Data'!$C$20:$C$1000,1,false)</f>
        <v>ZPM1_PTP_Foil</v>
      </c>
      <c r="H4754" s="63" t="str">
        <f>IFERROR(__xludf.DUMMYFUNCTION("VLOOKUP(F4754, IMPORTRANGE(""https://docs.google.com/spreadsheets/d/1Lhp9OU0JdFf_VYSMzH5lBcEaU4o8teT1piV-SNzShjg/edit?gid=554141278#gid=554141278"", ""'Char Def. - Attributes'!C20:C2242""), 1,false)"),"PACK_NETTO")</f>
        <v>PACK_NETTO</v>
      </c>
      <c r="I4754" s="136"/>
    </row>
    <row r="4755" ht="15.75" customHeight="1">
      <c r="B4755" s="63">
        <f t="shared" si="1"/>
        <v>13</v>
      </c>
      <c r="C4755" s="146" t="s">
        <v>252</v>
      </c>
      <c r="D4755" s="147" t="s">
        <v>74</v>
      </c>
      <c r="E4755" s="135">
        <f t="shared" si="59"/>
        <v>8</v>
      </c>
      <c r="F4755" s="134" t="s">
        <v>3857</v>
      </c>
      <c r="G4755" s="63" t="str">
        <f>VLOOKUP(C4755, 'Class Def. - General Data'!$C$20:$C$1000,1,false)</f>
        <v>ZPM1_PTP_Foil</v>
      </c>
      <c r="H4755" s="63" t="str">
        <f>IFERROR(__xludf.DUMMYFUNCTION("VLOOKUP(F4755, IMPORTRANGE(""https://docs.google.com/spreadsheets/d/1Lhp9OU0JdFf_VYSMzH5lBcEaU4o8teT1piV-SNzShjg/edit?gid=554141278#gid=554141278"", ""'Char Def. - Attributes'!C20:C2242""), 1,false)"),"PACK_UOM")</f>
        <v>PACK_UOM</v>
      </c>
      <c r="I4755" s="136"/>
    </row>
    <row r="4756" ht="15.75" customHeight="1">
      <c r="B4756" s="63">
        <f t="shared" si="1"/>
        <v>13</v>
      </c>
      <c r="C4756" s="146" t="s">
        <v>252</v>
      </c>
      <c r="D4756" s="147" t="s">
        <v>74</v>
      </c>
      <c r="E4756" s="135">
        <f t="shared" si="59"/>
        <v>9</v>
      </c>
      <c r="F4756" s="134" t="s">
        <v>3858</v>
      </c>
      <c r="G4756" s="63" t="str">
        <f>VLOOKUP(C4756, 'Class Def. - General Data'!$C$20:$C$1000,1,false)</f>
        <v>ZPM1_PTP_Foil</v>
      </c>
      <c r="H4756" s="63" t="str">
        <f>IFERROR(__xludf.DUMMYFUNCTION("VLOOKUP(F4756, IMPORTRANGE(""https://docs.google.com/spreadsheets/d/1Lhp9OU0JdFf_VYSMzH5lBcEaU4o8teT1piV-SNzShjg/edit?gid=554141278#gid=554141278"", ""'Char Def. - Attributes'!C20:C2242""), 1,false)"),"SINGLE_VARIAN")</f>
        <v>SINGLE_VARIAN</v>
      </c>
      <c r="I4756" s="136"/>
    </row>
    <row r="4757" ht="15.75" customHeight="1">
      <c r="B4757" s="63">
        <f t="shared" si="1"/>
        <v>13</v>
      </c>
      <c r="C4757" s="146" t="s">
        <v>252</v>
      </c>
      <c r="D4757" s="147" t="s">
        <v>74</v>
      </c>
      <c r="E4757" s="135">
        <f t="shared" si="59"/>
        <v>10</v>
      </c>
      <c r="F4757" s="134" t="s">
        <v>3607</v>
      </c>
      <c r="G4757" s="63" t="str">
        <f>VLOOKUP(C4757, 'Class Def. - General Data'!$C$20:$C$1000,1,false)</f>
        <v>ZPM1_PTP_Foil</v>
      </c>
      <c r="H4757" s="63" t="str">
        <f>IFERROR(__xludf.DUMMYFUNCTION("VLOOKUP(F4757, IMPORTRANGE(""https://docs.google.com/spreadsheets/d/1Lhp9OU0JdFf_VYSMzH5lBcEaU4o8teT1piV-SNzShjg/edit?gid=554141278#gid=554141278"", ""'Char Def. - Attributes'!C20:C2242""), 1,false)"),"VARIAN")</f>
        <v>VARIAN</v>
      </c>
      <c r="I4757" s="136"/>
    </row>
    <row r="4758" ht="15.75" customHeight="1">
      <c r="B4758" s="63">
        <f t="shared" si="1"/>
        <v>13</v>
      </c>
      <c r="C4758" s="146" t="s">
        <v>252</v>
      </c>
      <c r="D4758" s="147" t="s">
        <v>74</v>
      </c>
      <c r="E4758" s="135">
        <f t="shared" si="59"/>
        <v>11</v>
      </c>
      <c r="F4758" s="134" t="s">
        <v>3859</v>
      </c>
      <c r="G4758" s="63" t="str">
        <f>VLOOKUP(C4758, 'Class Def. - General Data'!$C$20:$C$1000,1,false)</f>
        <v>ZPM1_PTP_Foil</v>
      </c>
      <c r="H4758" s="63" t="str">
        <f>IFERROR(__xludf.DUMMYFUNCTION("VLOOKUP(F4758, IMPORTRANGE(""https://docs.google.com/spreadsheets/d/1Lhp9OU0JdFf_VYSMzH5lBcEaU4o8teT1piV-SNzShjg/edit?gid=554141278#gid=554141278"", ""'Char Def. - Attributes'!C20:C2242""), 1,false)"),"ADA_ADDITIONAL_PROMO")</f>
        <v>ADA_ADDITIONAL_PROMO</v>
      </c>
      <c r="I4758" s="136"/>
    </row>
    <row r="4759" ht="15.75" customHeight="1">
      <c r="B4759" s="63">
        <f t="shared" si="1"/>
        <v>13</v>
      </c>
      <c r="C4759" s="146" t="s">
        <v>252</v>
      </c>
      <c r="D4759" s="147" t="s">
        <v>74</v>
      </c>
      <c r="E4759" s="135">
        <f t="shared" si="59"/>
        <v>12</v>
      </c>
      <c r="F4759" s="134" t="s">
        <v>3609</v>
      </c>
      <c r="G4759" s="63" t="str">
        <f>VLOOKUP(C4759, 'Class Def. - General Data'!$C$20:$C$1000,1,false)</f>
        <v>ZPM1_PTP_Foil</v>
      </c>
      <c r="H4759" s="63" t="str">
        <f>IFERROR(__xludf.DUMMYFUNCTION("VLOOKUP(F4759, IMPORTRANGE(""https://docs.google.com/spreadsheets/d/1Lhp9OU0JdFf_VYSMzH5lBcEaU4o8teT1piV-SNzShjg/edit?gid=554141278#gid=554141278"", ""'Char Def. - Attributes'!C20:C2242""), 1,false)"),"ADDITIONAL_PROMO")</f>
        <v>ADDITIONAL_PROMO</v>
      </c>
      <c r="I4759" s="136"/>
    </row>
    <row r="4760" ht="15.75" customHeight="1">
      <c r="B4760" s="63">
        <f t="shared" si="1"/>
        <v>13</v>
      </c>
      <c r="C4760" s="146" t="s">
        <v>252</v>
      </c>
      <c r="D4760" s="147" t="s">
        <v>74</v>
      </c>
      <c r="E4760" s="135">
        <f t="shared" si="59"/>
        <v>13</v>
      </c>
      <c r="F4760" s="134" t="s">
        <v>3860</v>
      </c>
      <c r="G4760" s="63" t="str">
        <f>VLOOKUP(C4760, 'Class Def. - General Data'!$C$20:$C$1000,1,false)</f>
        <v>ZPM1_PTP_Foil</v>
      </c>
      <c r="H4760" s="63" t="str">
        <f>IFERROR(__xludf.DUMMYFUNCTION("VLOOKUP(F4760, IMPORTRANGE(""https://docs.google.com/spreadsheets/d/1Lhp9OU0JdFf_VYSMzH5lBcEaU4o8teT1piV-SNzShjg/edit?gid=554141278#gid=554141278"", ""'Char Def. - Attributes'!C20:C2242""), 1,false)"),"ADA_BANDED_PROMO")</f>
        <v>ADA_BANDED_PROMO</v>
      </c>
      <c r="I4760" s="136"/>
    </row>
    <row r="4761" ht="15.75" customHeight="1">
      <c r="B4761" s="63">
        <f t="shared" si="1"/>
        <v>13</v>
      </c>
      <c r="C4761" s="146" t="s">
        <v>252</v>
      </c>
      <c r="D4761" s="147" t="s">
        <v>74</v>
      </c>
      <c r="E4761" s="135">
        <f t="shared" si="59"/>
        <v>14</v>
      </c>
      <c r="F4761" s="134" t="s">
        <v>3610</v>
      </c>
      <c r="G4761" s="63" t="str">
        <f>VLOOKUP(C4761, 'Class Def. - General Data'!$C$20:$C$1000,1,false)</f>
        <v>ZPM1_PTP_Foil</v>
      </c>
      <c r="H4761" s="63" t="str">
        <f>IFERROR(__xludf.DUMMYFUNCTION("VLOOKUP(F4761, IMPORTRANGE(""https://docs.google.com/spreadsheets/d/1Lhp9OU0JdFf_VYSMzH5lBcEaU4o8teT1piV-SNzShjg/edit?gid=554141278#gid=554141278"", ""'Char Def. - Attributes'!C20:C2242""), 1,false)"),"BANDED_PROMO")</f>
        <v>BANDED_PROMO</v>
      </c>
      <c r="I4761" s="136"/>
    </row>
    <row r="4762" ht="15.75" customHeight="1">
      <c r="B4762" s="63">
        <f t="shared" si="1"/>
        <v>13</v>
      </c>
      <c r="C4762" s="146" t="s">
        <v>252</v>
      </c>
      <c r="D4762" s="147" t="s">
        <v>74</v>
      </c>
      <c r="E4762" s="135">
        <f t="shared" si="59"/>
        <v>15</v>
      </c>
      <c r="F4762" s="134" t="s">
        <v>1292</v>
      </c>
      <c r="G4762" s="63" t="str">
        <f>VLOOKUP(C4762, 'Class Def. - General Data'!$C$20:$C$1000,1,false)</f>
        <v>ZPM1_PTP_Foil</v>
      </c>
      <c r="H4762" s="63" t="str">
        <f>IFERROR(__xludf.DUMMYFUNCTION("VLOOKUP(F4762, IMPORTRANGE(""https://docs.google.com/spreadsheets/d/1Lhp9OU0JdFf_VYSMzH5lBcEaU4o8teT1piV-SNzShjg/edit?gid=554141278#gid=554141278"", ""'Char Def. - Attributes'!C20:C2242""), 1,false)"),"EXPORT")</f>
        <v>EXPORT</v>
      </c>
      <c r="I4762" s="136"/>
    </row>
    <row r="4763" ht="15.75" customHeight="1">
      <c r="B4763" s="63">
        <f t="shared" si="1"/>
        <v>13</v>
      </c>
      <c r="C4763" s="146" t="s">
        <v>252</v>
      </c>
      <c r="D4763" s="147" t="s">
        <v>74</v>
      </c>
      <c r="E4763" s="135">
        <f t="shared" si="59"/>
        <v>16</v>
      </c>
      <c r="F4763" s="134" t="s">
        <v>3612</v>
      </c>
      <c r="G4763" s="63" t="str">
        <f>VLOOKUP(C4763, 'Class Def. - General Data'!$C$20:$C$1000,1,false)</f>
        <v>ZPM1_PTP_Foil</v>
      </c>
      <c r="H4763" s="63" t="str">
        <f>IFERROR(__xludf.DUMMYFUNCTION("VLOOKUP(F4763, IMPORTRANGE(""https://docs.google.com/spreadsheets/d/1Lhp9OU0JdFf_VYSMzH5lBcEaU4o8teT1piV-SNzShjg/edit?gid=554141278#gid=554141278"", ""'Char Def. - Attributes'!C20:C2242""), 1,false)"),"COUNTRY_EKSPOR")</f>
        <v>COUNTRY_EKSPOR</v>
      </c>
      <c r="I4763" s="136"/>
    </row>
    <row r="4764" ht="15.75" customHeight="1">
      <c r="B4764" s="63">
        <f t="shared" si="1"/>
        <v>13</v>
      </c>
      <c r="C4764" s="146" t="s">
        <v>252</v>
      </c>
      <c r="D4764" s="147" t="s">
        <v>74</v>
      </c>
      <c r="E4764" s="135">
        <f t="shared" si="59"/>
        <v>17</v>
      </c>
      <c r="F4764" s="134" t="s">
        <v>3861</v>
      </c>
      <c r="G4764" s="63" t="str">
        <f>VLOOKUP(C4764, 'Class Def. - General Data'!$C$20:$C$1000,1,false)</f>
        <v>ZPM1_PTP_Foil</v>
      </c>
      <c r="H4764" s="63" t="str">
        <f>IFERROR(__xludf.DUMMYFUNCTION("VLOOKUP(F4764, IMPORTRANGE(""https://docs.google.com/spreadsheets/d/1Lhp9OU0JdFf_VYSMzH5lBcEaU4o8teT1piV-SNzShjg/edit?gid=554141278#gid=554141278"", ""'Char Def. - Attributes'!C20:C2242""), 1,false)"),"PEMBATAS")</f>
        <v>PEMBATAS</v>
      </c>
      <c r="I4764" s="136"/>
    </row>
    <row r="4765" ht="15.75" customHeight="1">
      <c r="B4765" s="63">
        <f t="shared" si="1"/>
        <v>13</v>
      </c>
      <c r="C4765" s="146" t="s">
        <v>252</v>
      </c>
      <c r="D4765" s="147" t="s">
        <v>74</v>
      </c>
      <c r="E4765" s="135">
        <f t="shared" si="59"/>
        <v>18</v>
      </c>
      <c r="F4765" s="134" t="s">
        <v>3885</v>
      </c>
      <c r="G4765" s="63" t="str">
        <f>VLOOKUP(C4765, 'Class Def. - General Data'!$C$20:$C$1000,1,false)</f>
        <v>ZPM1_PTP_Foil</v>
      </c>
      <c r="H4765" s="63" t="str">
        <f>IFERROR(__xludf.DUMMYFUNCTION("VLOOKUP(F4765, IMPORTRANGE(""https://docs.google.com/spreadsheets/d/1Lhp9OU0JdFf_VYSMzH5lBcEaU4o8teT1piV-SNzShjg/edit?gid=554141278#gid=554141278"", ""'Char Def. - Attributes'!C20:C2242""), 1,false)"),"PACK_CODE")</f>
        <v>PACK_CODE</v>
      </c>
      <c r="I4765" s="136"/>
    </row>
    <row r="4766" ht="15.75" customHeight="1">
      <c r="B4766" s="63">
        <f t="shared" si="1"/>
        <v>13</v>
      </c>
      <c r="C4766" s="146" t="s">
        <v>252</v>
      </c>
      <c r="D4766" s="147" t="s">
        <v>74</v>
      </c>
      <c r="E4766" s="135">
        <f t="shared" si="59"/>
        <v>19</v>
      </c>
      <c r="F4766" s="134" t="s">
        <v>3941</v>
      </c>
      <c r="G4766" s="63" t="str">
        <f>VLOOKUP(C4766, 'Class Def. - General Data'!$C$20:$C$1000,1,false)</f>
        <v>ZPM1_PTP_Foil</v>
      </c>
      <c r="H4766" s="63" t="str">
        <f>IFERROR(__xludf.DUMMYFUNCTION("VLOOKUP(F4766, IMPORTRANGE(""https://docs.google.com/spreadsheets/d/1Lhp9OU0JdFf_VYSMzH5lBcEaU4o8teT1piV-SNzShjg/edit?gid=554141278#gid=554141278"", ""'Char Def. - Attributes'!C20:C2242""), 1,false)"),"LENGTH_M")</f>
        <v>LENGTH_M</v>
      </c>
      <c r="I4766" s="136"/>
    </row>
    <row r="4767" ht="15.75" customHeight="1">
      <c r="B4767" s="63">
        <f t="shared" si="1"/>
        <v>13</v>
      </c>
      <c r="C4767" s="146" t="s">
        <v>252</v>
      </c>
      <c r="D4767" s="147" t="s">
        <v>74</v>
      </c>
      <c r="E4767" s="135">
        <f t="shared" si="59"/>
        <v>20</v>
      </c>
      <c r="F4767" s="134" t="s">
        <v>3862</v>
      </c>
      <c r="G4767" s="63" t="str">
        <f>VLOOKUP(C4767, 'Class Def. - General Data'!$C$20:$C$1000,1,false)</f>
        <v>ZPM1_PTP_Foil</v>
      </c>
      <c r="H4767" s="63" t="str">
        <f>IFERROR(__xludf.DUMMYFUNCTION("VLOOKUP(F4767, IMPORTRANGE(""https://docs.google.com/spreadsheets/d/1Lhp9OU0JdFf_VYSMzH5lBcEaU4o8teT1piV-SNzShjg/edit?gid=554141278#gid=554141278"", ""'Char Def. - Attributes'!C20:C2242""), 1,false)"),"MONTH")</f>
        <v>MONTH</v>
      </c>
      <c r="I4767" s="136"/>
    </row>
    <row r="4768" ht="15.75" customHeight="1">
      <c r="B4768" s="63">
        <f t="shared" si="1"/>
        <v>13</v>
      </c>
      <c r="C4768" s="146" t="s">
        <v>252</v>
      </c>
      <c r="D4768" s="147" t="s">
        <v>74</v>
      </c>
      <c r="E4768" s="135">
        <f t="shared" si="59"/>
        <v>21</v>
      </c>
      <c r="F4768" s="134" t="s">
        <v>3863</v>
      </c>
      <c r="G4768" s="63" t="str">
        <f>VLOOKUP(C4768, 'Class Def. - General Data'!$C$20:$C$1000,1,false)</f>
        <v>ZPM1_PTP_Foil</v>
      </c>
      <c r="H4768" s="63" t="str">
        <f>IFERROR(__xludf.DUMMYFUNCTION("VLOOKUP(F4768, IMPORTRANGE(""https://docs.google.com/spreadsheets/d/1Lhp9OU0JdFf_VYSMzH5lBcEaU4o8teT1piV-SNzShjg/edit?gid=554141278#gid=554141278"", ""'Char Def. - Attributes'!C20:C2242""), 1,false)"),"YEAR")</f>
        <v>YEAR</v>
      </c>
      <c r="I4768" s="136"/>
    </row>
    <row r="4769" ht="15.75" customHeight="1">
      <c r="B4769" s="63">
        <f t="shared" si="1"/>
        <v>13</v>
      </c>
      <c r="C4769" s="146" t="s">
        <v>252</v>
      </c>
      <c r="D4769" s="147" t="s">
        <v>74</v>
      </c>
      <c r="E4769" s="135">
        <f t="shared" si="59"/>
        <v>22</v>
      </c>
      <c r="F4769" s="134" t="s">
        <v>3890</v>
      </c>
      <c r="G4769" s="63" t="str">
        <f>VLOOKUP(C4769, 'Class Def. - General Data'!$C$20:$C$1000,1,false)</f>
        <v>ZPM1_PTP_Foil</v>
      </c>
      <c r="H4769" s="63" t="str">
        <f>IFERROR(__xludf.DUMMYFUNCTION("VLOOKUP(F4769, IMPORTRANGE(""https://docs.google.com/spreadsheets/d/1Lhp9OU0JdFf_VYSMzH5lBcEaU4o8teT1piV-SNzShjg/edit?gid=554141278#gid=554141278"", ""'Char Def. - Attributes'!C20:C2242""), 1,false)"),"EXT_MAT_GRP")</f>
        <v>EXT_MAT_GRP</v>
      </c>
      <c r="I4769" s="136"/>
    </row>
    <row r="4770" ht="15.75" customHeight="1">
      <c r="B4770" s="63">
        <f t="shared" si="1"/>
        <v>13</v>
      </c>
      <c r="C4770" s="146" t="s">
        <v>252</v>
      </c>
      <c r="D4770" s="147" t="s">
        <v>74</v>
      </c>
      <c r="E4770" s="135">
        <f t="shared" si="59"/>
        <v>23</v>
      </c>
      <c r="F4770" s="134" t="s">
        <v>3891</v>
      </c>
      <c r="G4770" s="63" t="str">
        <f>VLOOKUP(C4770, 'Class Def. - General Data'!$C$20:$C$1000,1,false)</f>
        <v>ZPM1_PTP_Foil</v>
      </c>
      <c r="H4770" s="63" t="str">
        <f>IFERROR(__xludf.DUMMYFUNCTION("VLOOKUP(F4770, IMPORTRANGE(""https://docs.google.com/spreadsheets/d/1Lhp9OU0JdFf_VYSMzH5lBcEaU4o8teT1piV-SNzShjg/edit?gid=554141278#gid=554141278"", ""'Char Def. - Attributes'!C20:C2242""), 1,false)"),"GENERAL_SPEC")</f>
        <v>GENERAL_SPEC</v>
      </c>
      <c r="I4770" s="136"/>
    </row>
    <row r="4771" ht="15.75" customHeight="1">
      <c r="B4771" s="63">
        <f t="shared" si="1"/>
        <v>13</v>
      </c>
      <c r="C4771" s="146" t="s">
        <v>252</v>
      </c>
      <c r="D4771" s="147" t="s">
        <v>74</v>
      </c>
      <c r="E4771" s="135">
        <f t="shared" si="59"/>
        <v>24</v>
      </c>
      <c r="F4771" s="134" t="s">
        <v>3892</v>
      </c>
      <c r="G4771" s="63" t="str">
        <f>VLOOKUP(C4771, 'Class Def. - General Data'!$C$20:$C$1000,1,false)</f>
        <v>ZPM1_PTP_Foil</v>
      </c>
      <c r="H4771" s="63" t="str">
        <f>IFERROR(__xludf.DUMMYFUNCTION("VLOOKUP(F4771, IMPORTRANGE(""https://docs.google.com/spreadsheets/d/1Lhp9OU0JdFf_VYSMzH5lBcEaU4o8teT1piV-SNzShjg/edit?gid=554141278#gid=554141278"", ""'Char Def. - Attributes'!C20:C2242""), 1,false)"),"COLOR_COUNT")</f>
        <v>COLOR_COUNT</v>
      </c>
      <c r="I4771" s="136"/>
    </row>
    <row r="4772" ht="15.75" customHeight="1">
      <c r="B4772" s="63">
        <f t="shared" si="1"/>
        <v>13</v>
      </c>
      <c r="C4772" s="146" t="s">
        <v>252</v>
      </c>
      <c r="D4772" s="147" t="s">
        <v>74</v>
      </c>
      <c r="E4772" s="135">
        <f t="shared" si="59"/>
        <v>25</v>
      </c>
      <c r="F4772" s="134" t="s">
        <v>3893</v>
      </c>
      <c r="G4772" s="63" t="str">
        <f>VLOOKUP(C4772, 'Class Def. - General Data'!$C$20:$C$1000,1,false)</f>
        <v>ZPM1_PTP_Foil</v>
      </c>
      <c r="H4772" s="63" t="str">
        <f>IFERROR(__xludf.DUMMYFUNCTION("VLOOKUP(F4772, IMPORTRANGE(""https://docs.google.com/spreadsheets/d/1Lhp9OU0JdFf_VYSMzH5lBcEaU4o8teT1piV-SNzShjg/edit?gid=554141278#gid=554141278"", ""'Char Def. - Attributes'!C20:C2242""), 1,false)"),"FLEX_UOM")</f>
        <v>FLEX_UOM</v>
      </c>
      <c r="I4772" s="136"/>
    </row>
    <row r="4773" ht="15.75" customHeight="1">
      <c r="B4773" s="63">
        <f t="shared" si="1"/>
        <v>13</v>
      </c>
      <c r="C4773" s="146" t="s">
        <v>252</v>
      </c>
      <c r="D4773" s="147" t="s">
        <v>74</v>
      </c>
      <c r="E4773" s="135">
        <f t="shared" si="59"/>
        <v>26</v>
      </c>
      <c r="F4773" s="134" t="s">
        <v>3894</v>
      </c>
      <c r="G4773" s="63" t="str">
        <f>VLOOKUP(C4773, 'Class Def. - General Data'!$C$20:$C$1000,1,false)</f>
        <v>ZPM1_PTP_Foil</v>
      </c>
      <c r="H4773" s="63" t="str">
        <f>IFERROR(__xludf.DUMMYFUNCTION("VLOOKUP(F4773, IMPORTRANGE(""https://docs.google.com/spreadsheets/d/1Lhp9OU0JdFf_VYSMzH5lBcEaU4o8teT1piV-SNzShjg/edit?gid=554141278#gid=554141278"", ""'Char Def. - Attributes'!C20:C2242""), 1,false)"),"FLEX_COMPLEXITY")</f>
        <v>FLEX_COMPLEXITY</v>
      </c>
      <c r="I4773" s="136"/>
    </row>
    <row r="4774" ht="15.75" customHeight="1">
      <c r="B4774" s="63">
        <f t="shared" si="1"/>
        <v>13</v>
      </c>
      <c r="C4774" s="146" t="s">
        <v>252</v>
      </c>
      <c r="D4774" s="147" t="s">
        <v>74</v>
      </c>
      <c r="E4774" s="135">
        <f t="shared" si="59"/>
        <v>27</v>
      </c>
      <c r="F4774" s="134" t="s">
        <v>3587</v>
      </c>
      <c r="G4774" s="63" t="str">
        <f>VLOOKUP(C4774, 'Class Def. - General Data'!$C$20:$C$1000,1,false)</f>
        <v>ZPM1_PTP_Foil</v>
      </c>
      <c r="H4774" s="63" t="str">
        <f>IFERROR(__xludf.DUMMYFUNCTION("VLOOKUP(F4774, IMPORTRANGE(""https://docs.google.com/spreadsheets/d/1Lhp9OU0JdFf_VYSMzH5lBcEaU4o8teT1piV-SNzShjg/edit?gid=554141278#gid=554141278"", ""'Char Def. - Attributes'!C20:C2242""), 1,false)"),"PLANT_BUY")</f>
        <v>PLANT_BUY</v>
      </c>
      <c r="I4774" s="136"/>
    </row>
    <row r="4775" ht="15.75" customHeight="1">
      <c r="B4775" s="63">
        <f t="shared" si="1"/>
        <v>13</v>
      </c>
      <c r="C4775" s="146" t="s">
        <v>252</v>
      </c>
      <c r="D4775" s="147" t="s">
        <v>74</v>
      </c>
      <c r="E4775" s="135">
        <f t="shared" si="59"/>
        <v>28</v>
      </c>
      <c r="F4775" s="134" t="s">
        <v>3865</v>
      </c>
      <c r="G4775" s="63" t="str">
        <f>VLOOKUP(C4775, 'Class Def. - General Data'!$C$20:$C$1000,1,false)</f>
        <v>ZPM1_PTP_Foil</v>
      </c>
      <c r="H4775" s="63" t="str">
        <f>IFERROR(__xludf.DUMMYFUNCTION("VLOOKUP(F4775, IMPORTRANGE(""https://docs.google.com/spreadsheets/d/1Lhp9OU0JdFf_VYSMzH5lBcEaU4o8teT1piV-SNzShjg/edit?gid=554141278#gid=554141278"", ""'Char Def. - Attributes'!C20:C2242""), 1,false)"),"PLANT_PROD_OPT")</f>
        <v>PLANT_PROD_OPT</v>
      </c>
      <c r="I4775" s="136"/>
    </row>
    <row r="4776" ht="15.75" customHeight="1">
      <c r="B4776" s="63">
        <f t="shared" si="1"/>
        <v>13</v>
      </c>
      <c r="C4776" s="146" t="s">
        <v>252</v>
      </c>
      <c r="D4776" s="147" t="s">
        <v>74</v>
      </c>
      <c r="E4776" s="135">
        <f t="shared" si="59"/>
        <v>29</v>
      </c>
      <c r="F4776" s="134" t="s">
        <v>3866</v>
      </c>
      <c r="G4776" s="63" t="str">
        <f>VLOOKUP(C4776, 'Class Def. - General Data'!$C$20:$C$1000,1,false)</f>
        <v>ZPM1_PTP_Foil</v>
      </c>
      <c r="H4776" s="63" t="str">
        <f>IFERROR(__xludf.DUMMYFUNCTION("VLOOKUP(F4776, IMPORTRANGE(""https://docs.google.com/spreadsheets/d/1Lhp9OU0JdFf_VYSMzH5lBcEaU4o8teT1piV-SNzShjg/edit?gid=554141278#gid=554141278"", ""'Char Def. - Attributes'!C20:C2242""), 1,false)"),"PM_SUPPLY_JKT")</f>
        <v>PM_SUPPLY_JKT</v>
      </c>
      <c r="I4776" s="136"/>
    </row>
    <row r="4777" ht="15.75" customHeight="1">
      <c r="B4777" s="63">
        <f t="shared" si="1"/>
        <v>13</v>
      </c>
      <c r="C4777" s="146" t="s">
        <v>252</v>
      </c>
      <c r="D4777" s="147" t="s">
        <v>74</v>
      </c>
      <c r="E4777" s="135">
        <f t="shared" si="59"/>
        <v>30</v>
      </c>
      <c r="F4777" s="134" t="s">
        <v>3867</v>
      </c>
      <c r="G4777" s="63" t="str">
        <f>VLOOKUP(C4777, 'Class Def. - General Data'!$C$20:$C$1000,1,false)</f>
        <v>ZPM1_PTP_Foil</v>
      </c>
      <c r="H4777" s="63" t="str">
        <f>IFERROR(__xludf.DUMMYFUNCTION("VLOOKUP(F4777, IMPORTRANGE(""https://docs.google.com/spreadsheets/d/1Lhp9OU0JdFf_VYSMzH5lBcEaU4o8teT1piV-SNzShjg/edit?gid=554141278#gid=554141278"", ""'Char Def. - Attributes'!C20:C2242""), 1,false)"),"PM_SUPPLY_SBY")</f>
        <v>PM_SUPPLY_SBY</v>
      </c>
      <c r="I4777" s="136"/>
    </row>
    <row r="4778" ht="15.75" customHeight="1">
      <c r="B4778" s="63">
        <f t="shared" si="1"/>
        <v>13</v>
      </c>
      <c r="C4778" s="146" t="s">
        <v>252</v>
      </c>
      <c r="D4778" s="147" t="s">
        <v>74</v>
      </c>
      <c r="E4778" s="135">
        <f t="shared" si="59"/>
        <v>31</v>
      </c>
      <c r="F4778" s="134" t="s">
        <v>3868</v>
      </c>
      <c r="G4778" s="63" t="str">
        <f>VLOOKUP(C4778, 'Class Def. - General Data'!$C$20:$C$1000,1,false)</f>
        <v>ZPM1_PTP_Foil</v>
      </c>
      <c r="H4778" s="63" t="str">
        <f>IFERROR(__xludf.DUMMYFUNCTION("VLOOKUP(F4778, IMPORTRANGE(""https://docs.google.com/spreadsheets/d/1Lhp9OU0JdFf_VYSMzH5lBcEaU4o8teT1piV-SNzShjg/edit?gid=554141278#gid=554141278"", ""'Char Def. - Attributes'!C20:C2242""), 1,false)"),"BASIC_UOM_RMPM")</f>
        <v>BASIC_UOM_RMPM</v>
      </c>
      <c r="I4778" s="136"/>
    </row>
    <row r="4779" ht="15.75" customHeight="1">
      <c r="B4779" s="63">
        <f t="shared" si="1"/>
        <v>13</v>
      </c>
      <c r="C4779" s="146" t="s">
        <v>252</v>
      </c>
      <c r="D4779" s="147" t="s">
        <v>74</v>
      </c>
      <c r="E4779" s="135">
        <f t="shared" si="59"/>
        <v>32</v>
      </c>
      <c r="F4779" s="134" t="s">
        <v>3869</v>
      </c>
      <c r="G4779" s="63" t="str">
        <f>VLOOKUP(C4779, 'Class Def. - General Data'!$C$20:$C$1000,1,false)</f>
        <v>ZPM1_PTP_Foil</v>
      </c>
      <c r="H4779" s="63" t="str">
        <f>IFERROR(__xludf.DUMMYFUNCTION("VLOOKUP(F4779, IMPORTRANGE(""https://docs.google.com/spreadsheets/d/1Lhp9OU0JdFf_VYSMzH5lBcEaU4o8teT1piV-SNzShjg/edit?gid=554141278#gid=554141278"", ""'Char Def. - Attributes'!C20:C2242""), 1,false)"),"ALT_UOM1_RMPM")</f>
        <v>ALT_UOM1_RMPM</v>
      </c>
      <c r="I4779" s="136"/>
    </row>
    <row r="4780" ht="15.75" customHeight="1">
      <c r="B4780" s="63">
        <f t="shared" si="1"/>
        <v>13</v>
      </c>
      <c r="C4780" s="146" t="s">
        <v>252</v>
      </c>
      <c r="D4780" s="147" t="s">
        <v>74</v>
      </c>
      <c r="E4780" s="135">
        <f t="shared" si="59"/>
        <v>33</v>
      </c>
      <c r="F4780" s="134" t="s">
        <v>3805</v>
      </c>
      <c r="G4780" s="63" t="str">
        <f>VLOOKUP(C4780, 'Class Def. - General Data'!$C$20:$C$1000,1,false)</f>
        <v>ZPM1_PTP_Foil</v>
      </c>
      <c r="H4780" s="63" t="str">
        <f>IFERROR(__xludf.DUMMYFUNCTION("VLOOKUP(F4780, IMPORTRANGE(""https://docs.google.com/spreadsheets/d/1Lhp9OU0JdFf_VYSMzH5lBcEaU4o8teT1piV-SNzShjg/edit?gid=554141278#gid=554141278"", ""'Char Def. - Attributes'!C20:C2242""), 1,false)"),"ALT_DENUM_UOM1")</f>
        <v>ALT_DENUM_UOM1</v>
      </c>
      <c r="I4780" s="136"/>
    </row>
    <row r="4781" ht="15.75" customHeight="1">
      <c r="B4781" s="63">
        <f t="shared" si="1"/>
        <v>13</v>
      </c>
      <c r="C4781" s="146" t="s">
        <v>252</v>
      </c>
      <c r="D4781" s="147" t="s">
        <v>74</v>
      </c>
      <c r="E4781" s="135">
        <f t="shared" si="59"/>
        <v>34</v>
      </c>
      <c r="F4781" s="134" t="s">
        <v>3806</v>
      </c>
      <c r="G4781" s="63" t="str">
        <f>VLOOKUP(C4781, 'Class Def. - General Data'!$C$20:$C$1000,1,false)</f>
        <v>ZPM1_PTP_Foil</v>
      </c>
      <c r="H4781" s="63" t="str">
        <f>IFERROR(__xludf.DUMMYFUNCTION("VLOOKUP(F4781, IMPORTRANGE(""https://docs.google.com/spreadsheets/d/1Lhp9OU0JdFf_VYSMzH5lBcEaU4o8teT1piV-SNzShjg/edit?gid=554141278#gid=554141278"", ""'Char Def. - Attributes'!C20:C2242""), 1,false)"),"ALT_NUM_UOM1")</f>
        <v>ALT_NUM_UOM1</v>
      </c>
      <c r="I4781" s="136"/>
    </row>
    <row r="4782" ht="15.75" customHeight="1">
      <c r="B4782" s="63">
        <f t="shared" si="1"/>
        <v>13</v>
      </c>
      <c r="C4782" s="146" t="s">
        <v>252</v>
      </c>
      <c r="D4782" s="147" t="s">
        <v>74</v>
      </c>
      <c r="E4782" s="135">
        <f t="shared" si="59"/>
        <v>35</v>
      </c>
      <c r="F4782" s="134" t="s">
        <v>3870</v>
      </c>
      <c r="G4782" s="63" t="str">
        <f>VLOOKUP(C4782, 'Class Def. - General Data'!$C$20:$C$1000,1,false)</f>
        <v>ZPM1_PTP_Foil</v>
      </c>
      <c r="H4782" s="63" t="str">
        <f>IFERROR(__xludf.DUMMYFUNCTION("VLOOKUP(F4782, IMPORTRANGE(""https://docs.google.com/spreadsheets/d/1Lhp9OU0JdFf_VYSMzH5lBcEaU4o8teT1piV-SNzShjg/edit?gid=554141278#gid=554141278"", ""'Char Def. - Attributes'!C20:C2242""), 1,false)"),"ALT_UOM2_RMPM")</f>
        <v>ALT_UOM2_RMPM</v>
      </c>
      <c r="I4782" s="136"/>
    </row>
    <row r="4783" ht="15.75" customHeight="1">
      <c r="B4783" s="63">
        <f t="shared" si="1"/>
        <v>13</v>
      </c>
      <c r="C4783" s="146" t="s">
        <v>252</v>
      </c>
      <c r="D4783" s="147" t="s">
        <v>74</v>
      </c>
      <c r="E4783" s="135">
        <f t="shared" si="59"/>
        <v>36</v>
      </c>
      <c r="F4783" s="134" t="s">
        <v>3808</v>
      </c>
      <c r="G4783" s="63" t="str">
        <f>VLOOKUP(C4783, 'Class Def. - General Data'!$C$20:$C$1000,1,false)</f>
        <v>ZPM1_PTP_Foil</v>
      </c>
      <c r="H4783" s="63" t="str">
        <f>IFERROR(__xludf.DUMMYFUNCTION("VLOOKUP(F4783, IMPORTRANGE(""https://docs.google.com/spreadsheets/d/1Lhp9OU0JdFf_VYSMzH5lBcEaU4o8teT1piV-SNzShjg/edit?gid=554141278#gid=554141278"", ""'Char Def. - Attributes'!C20:C2242""), 1,false)"),"ALT_DENUM_UOM2")</f>
        <v>ALT_DENUM_UOM2</v>
      </c>
      <c r="I4783" s="136"/>
    </row>
    <row r="4784" ht="15.75" customHeight="1">
      <c r="B4784" s="63">
        <f t="shared" si="1"/>
        <v>13</v>
      </c>
      <c r="C4784" s="146" t="s">
        <v>252</v>
      </c>
      <c r="D4784" s="147" t="s">
        <v>74</v>
      </c>
      <c r="E4784" s="135">
        <f t="shared" si="59"/>
        <v>37</v>
      </c>
      <c r="F4784" s="134" t="s">
        <v>3809</v>
      </c>
      <c r="G4784" s="63" t="str">
        <f>VLOOKUP(C4784, 'Class Def. - General Data'!$C$20:$C$1000,1,false)</f>
        <v>ZPM1_PTP_Foil</v>
      </c>
      <c r="H4784" s="63" t="str">
        <f>IFERROR(__xludf.DUMMYFUNCTION("VLOOKUP(F4784, IMPORTRANGE(""https://docs.google.com/spreadsheets/d/1Lhp9OU0JdFf_VYSMzH5lBcEaU4o8teT1piV-SNzShjg/edit?gid=554141278#gid=554141278"", ""'Char Def. - Attributes'!C20:C2242""), 1,false)"),"ALT_NUM_UOM2")</f>
        <v>ALT_NUM_UOM2</v>
      </c>
      <c r="I4784" s="136"/>
    </row>
    <row r="4785" ht="15.75" customHeight="1">
      <c r="B4785" s="63">
        <f t="shared" si="1"/>
        <v>13</v>
      </c>
      <c r="C4785" s="146" t="s">
        <v>252</v>
      </c>
      <c r="D4785" s="147" t="s">
        <v>74</v>
      </c>
      <c r="E4785" s="135">
        <f t="shared" si="59"/>
        <v>38</v>
      </c>
      <c r="F4785" s="134" t="s">
        <v>3871</v>
      </c>
      <c r="G4785" s="63" t="str">
        <f>VLOOKUP(C4785, 'Class Def. - General Data'!$C$20:$C$1000,1,false)</f>
        <v>ZPM1_PTP_Foil</v>
      </c>
      <c r="H4785" s="63" t="str">
        <f>IFERROR(__xludf.DUMMYFUNCTION("VLOOKUP(F4785, IMPORTRANGE(""https://docs.google.com/spreadsheets/d/1Lhp9OU0JdFf_VYSMzH5lBcEaU4o8teT1piV-SNzShjg/edit?gid=554141278#gid=554141278"", ""'Char Def. - Attributes'!C20:C2242""), 1,false)"),"ALT_UOM3_RMPM")</f>
        <v>ALT_UOM3_RMPM</v>
      </c>
      <c r="I4785" s="136"/>
    </row>
    <row r="4786" ht="15.75" customHeight="1">
      <c r="B4786" s="63">
        <f t="shared" si="1"/>
        <v>13</v>
      </c>
      <c r="C4786" s="146" t="s">
        <v>252</v>
      </c>
      <c r="D4786" s="147" t="s">
        <v>74</v>
      </c>
      <c r="E4786" s="135">
        <f t="shared" si="59"/>
        <v>39</v>
      </c>
      <c r="F4786" s="134" t="s">
        <v>3811</v>
      </c>
      <c r="G4786" s="63" t="str">
        <f>VLOOKUP(C4786, 'Class Def. - General Data'!$C$20:$C$1000,1,false)</f>
        <v>ZPM1_PTP_Foil</v>
      </c>
      <c r="H4786" s="63" t="str">
        <f>IFERROR(__xludf.DUMMYFUNCTION("VLOOKUP(F4786, IMPORTRANGE(""https://docs.google.com/spreadsheets/d/1Lhp9OU0JdFf_VYSMzH5lBcEaU4o8teT1piV-SNzShjg/edit?gid=554141278#gid=554141278"", ""'Char Def. - Attributes'!C20:C2242""), 1,false)"),"ALT_DENUM_UOM3")</f>
        <v>ALT_DENUM_UOM3</v>
      </c>
      <c r="I4786" s="136"/>
    </row>
    <row r="4787" ht="15.75" customHeight="1">
      <c r="B4787" s="63">
        <f t="shared" si="1"/>
        <v>13</v>
      </c>
      <c r="C4787" s="146" t="s">
        <v>252</v>
      </c>
      <c r="D4787" s="147" t="s">
        <v>74</v>
      </c>
      <c r="E4787" s="135">
        <f t="shared" si="59"/>
        <v>40</v>
      </c>
      <c r="F4787" s="134" t="s">
        <v>3812</v>
      </c>
      <c r="G4787" s="63" t="str">
        <f>VLOOKUP(C4787, 'Class Def. - General Data'!$C$20:$C$1000,1,false)</f>
        <v>ZPM1_PTP_Foil</v>
      </c>
      <c r="H4787" s="63" t="str">
        <f>IFERROR(__xludf.DUMMYFUNCTION("VLOOKUP(F4787, IMPORTRANGE(""https://docs.google.com/spreadsheets/d/1Lhp9OU0JdFf_VYSMzH5lBcEaU4o8teT1piV-SNzShjg/edit?gid=554141278#gid=554141278"", ""'Char Def. - Attributes'!C20:C2242""), 1,false)"),"ALT_NUM_UOM3")</f>
        <v>ALT_NUM_UOM3</v>
      </c>
      <c r="I4787" s="136"/>
    </row>
    <row r="4788" ht="15.75" customHeight="1">
      <c r="B4788" s="63">
        <f t="shared" si="1"/>
        <v>13</v>
      </c>
      <c r="C4788" s="146" t="s">
        <v>252</v>
      </c>
      <c r="D4788" s="147" t="s">
        <v>74</v>
      </c>
      <c r="E4788" s="135">
        <f t="shared" si="59"/>
        <v>41</v>
      </c>
      <c r="F4788" s="134" t="s">
        <v>3872</v>
      </c>
      <c r="G4788" s="63" t="str">
        <f>VLOOKUP(C4788, 'Class Def. - General Data'!$C$20:$C$1000,1,false)</f>
        <v>ZPM1_PTP_Foil</v>
      </c>
      <c r="H4788" s="63" t="str">
        <f>IFERROR(__xludf.DUMMYFUNCTION("VLOOKUP(F4788, IMPORTRANGE(""https://docs.google.com/spreadsheets/d/1Lhp9OU0JdFf_VYSMzH5lBcEaU4o8teT1piV-SNzShjg/edit?gid=554141278#gid=554141278"", ""'Char Def. - Attributes'!C20:C2242""), 1,false)"),"ALT_UOM4_RMPM")</f>
        <v>ALT_UOM4_RMPM</v>
      </c>
      <c r="I4788" s="136"/>
    </row>
    <row r="4789" ht="15.75" customHeight="1">
      <c r="B4789" s="63">
        <f t="shared" si="1"/>
        <v>13</v>
      </c>
      <c r="C4789" s="146" t="s">
        <v>252</v>
      </c>
      <c r="D4789" s="147" t="s">
        <v>74</v>
      </c>
      <c r="E4789" s="135">
        <f t="shared" si="59"/>
        <v>42</v>
      </c>
      <c r="F4789" s="134" t="s">
        <v>3814</v>
      </c>
      <c r="G4789" s="63" t="str">
        <f>VLOOKUP(C4789, 'Class Def. - General Data'!$C$20:$C$1000,1,false)</f>
        <v>ZPM1_PTP_Foil</v>
      </c>
      <c r="H4789" s="63" t="str">
        <f>IFERROR(__xludf.DUMMYFUNCTION("VLOOKUP(F4789, IMPORTRANGE(""https://docs.google.com/spreadsheets/d/1Lhp9OU0JdFf_VYSMzH5lBcEaU4o8teT1piV-SNzShjg/edit?gid=554141278#gid=554141278"", ""'Char Def. - Attributes'!C20:C2242""), 1,false)"),"ALT_DENUM_UOM4")</f>
        <v>ALT_DENUM_UOM4</v>
      </c>
      <c r="I4789" s="136"/>
    </row>
    <row r="4790" ht="15.75" customHeight="1">
      <c r="B4790" s="63">
        <f t="shared" si="1"/>
        <v>13</v>
      </c>
      <c r="C4790" s="146" t="s">
        <v>252</v>
      </c>
      <c r="D4790" s="147" t="s">
        <v>74</v>
      </c>
      <c r="E4790" s="135">
        <f t="shared" si="59"/>
        <v>43</v>
      </c>
      <c r="F4790" s="134" t="s">
        <v>3815</v>
      </c>
      <c r="G4790" s="63" t="str">
        <f>VLOOKUP(C4790, 'Class Def. - General Data'!$C$20:$C$1000,1,false)</f>
        <v>ZPM1_PTP_Foil</v>
      </c>
      <c r="H4790" s="63" t="str">
        <f>IFERROR(__xludf.DUMMYFUNCTION("VLOOKUP(F4790, IMPORTRANGE(""https://docs.google.com/spreadsheets/d/1Lhp9OU0JdFf_VYSMzH5lBcEaU4o8teT1piV-SNzShjg/edit?gid=554141278#gid=554141278"", ""'Char Def. - Attributes'!C20:C2242""), 1,false)"),"ALT_NUM_UOM4")</f>
        <v>ALT_NUM_UOM4</v>
      </c>
      <c r="I4790" s="136"/>
    </row>
    <row r="4791" ht="15.75" customHeight="1">
      <c r="B4791" s="63">
        <f t="shared" si="1"/>
        <v>13</v>
      </c>
      <c r="C4791" s="146" t="s">
        <v>252</v>
      </c>
      <c r="D4791" s="147" t="s">
        <v>74</v>
      </c>
      <c r="E4791" s="135">
        <f t="shared" si="59"/>
        <v>44</v>
      </c>
      <c r="F4791" s="134" t="s">
        <v>3873</v>
      </c>
      <c r="G4791" s="63" t="str">
        <f>VLOOKUP(C4791, 'Class Def. - General Data'!$C$20:$C$1000,1,false)</f>
        <v>ZPM1_PTP_Foil</v>
      </c>
      <c r="H4791" s="63" t="str">
        <f>IFERROR(__xludf.DUMMYFUNCTION("VLOOKUP(F4791, IMPORTRANGE(""https://docs.google.com/spreadsheets/d/1Lhp9OU0JdFf_VYSMzH5lBcEaU4o8teT1piV-SNzShjg/edit?gid=554141278#gid=554141278"", ""'Char Def. - Attributes'!C20:C2242""), 1,false)"),"ALT_UOM5_RMPM")</f>
        <v>ALT_UOM5_RMPM</v>
      </c>
      <c r="I4791" s="136"/>
    </row>
    <row r="4792" ht="15.75" customHeight="1">
      <c r="B4792" s="63">
        <f t="shared" si="1"/>
        <v>13</v>
      </c>
      <c r="C4792" s="146" t="s">
        <v>252</v>
      </c>
      <c r="D4792" s="147" t="s">
        <v>74</v>
      </c>
      <c r="E4792" s="135">
        <f t="shared" si="59"/>
        <v>45</v>
      </c>
      <c r="F4792" s="134" t="s">
        <v>3817</v>
      </c>
      <c r="G4792" s="63" t="str">
        <f>VLOOKUP(C4792, 'Class Def. - General Data'!$C$20:$C$1000,1,false)</f>
        <v>ZPM1_PTP_Foil</v>
      </c>
      <c r="H4792" s="63" t="str">
        <f>IFERROR(__xludf.DUMMYFUNCTION("VLOOKUP(F4792, IMPORTRANGE(""https://docs.google.com/spreadsheets/d/1Lhp9OU0JdFf_VYSMzH5lBcEaU4o8teT1piV-SNzShjg/edit?gid=554141278#gid=554141278"", ""'Char Def. - Attributes'!C20:C2242""), 1,false)"),"ALT_DENUM_UOM5")</f>
        <v>ALT_DENUM_UOM5</v>
      </c>
      <c r="I4792" s="136"/>
    </row>
    <row r="4793" ht="15.75" customHeight="1">
      <c r="B4793" s="63">
        <f t="shared" si="1"/>
        <v>13</v>
      </c>
      <c r="C4793" s="146" t="s">
        <v>252</v>
      </c>
      <c r="D4793" s="147" t="s">
        <v>74</v>
      </c>
      <c r="E4793" s="135">
        <f t="shared" si="59"/>
        <v>46</v>
      </c>
      <c r="F4793" s="134" t="s">
        <v>3818</v>
      </c>
      <c r="G4793" s="63" t="str">
        <f>VLOOKUP(C4793, 'Class Def. - General Data'!$C$20:$C$1000,1,false)</f>
        <v>ZPM1_PTP_Foil</v>
      </c>
      <c r="H4793" s="63" t="str">
        <f>IFERROR(__xludf.DUMMYFUNCTION("VLOOKUP(F4793, IMPORTRANGE(""https://docs.google.com/spreadsheets/d/1Lhp9OU0JdFf_VYSMzH5lBcEaU4o8teT1piV-SNzShjg/edit?gid=554141278#gid=554141278"", ""'Char Def. - Attributes'!C20:C2242""), 1,false)"),"ALT_NUM_UOM5")</f>
        <v>ALT_NUM_UOM5</v>
      </c>
      <c r="I4793" s="136"/>
    </row>
    <row r="4794" ht="15.75" customHeight="1">
      <c r="B4794" s="63">
        <f t="shared" si="1"/>
        <v>13</v>
      </c>
      <c r="C4794" s="146" t="s">
        <v>252</v>
      </c>
      <c r="D4794" s="147" t="s">
        <v>74</v>
      </c>
      <c r="E4794" s="135">
        <f t="shared" si="59"/>
        <v>47</v>
      </c>
      <c r="F4794" s="134" t="s">
        <v>3874</v>
      </c>
      <c r="G4794" s="63" t="str">
        <f>VLOOKUP(C4794, 'Class Def. - General Data'!$C$20:$C$1000,1,false)</f>
        <v>ZPM1_PTP_Foil</v>
      </c>
      <c r="H4794" s="63" t="str">
        <f>IFERROR(__xludf.DUMMYFUNCTION("VLOOKUP(F4794, IMPORTRANGE(""https://docs.google.com/spreadsheets/d/1Lhp9OU0JdFf_VYSMzH5lBcEaU4o8teT1piV-SNzShjg/edit?gid=554141278#gid=554141278"", ""'Char Def. - Attributes'!C20:C2242""), 1,false)"),"VALUATION_CATEGORY")</f>
        <v>VALUATION_CATEGORY</v>
      </c>
      <c r="I4794" s="136"/>
    </row>
    <row r="4795" ht="15.75" customHeight="1">
      <c r="B4795" s="63">
        <f t="shared" si="1"/>
        <v>13</v>
      </c>
      <c r="C4795" s="146" t="s">
        <v>252</v>
      </c>
      <c r="D4795" s="147" t="s">
        <v>74</v>
      </c>
      <c r="E4795" s="135">
        <f t="shared" si="59"/>
        <v>48</v>
      </c>
      <c r="F4795" s="134" t="s">
        <v>3800</v>
      </c>
      <c r="G4795" s="63" t="str">
        <f>VLOOKUP(C4795, 'Class Def. - General Data'!$C$20:$C$1000,1,false)</f>
        <v>ZPM1_PTP_Foil</v>
      </c>
      <c r="H4795" s="63" t="str">
        <f>IFERROR(__xludf.DUMMYFUNCTION("VLOOKUP(F4795, IMPORTRANGE(""https://docs.google.com/spreadsheets/d/1Lhp9OU0JdFf_VYSMzH5lBcEaU4o8teT1piV-SNzShjg/edit?gid=554141278#gid=554141278"", ""'Char Def. - Attributes'!C20:C2242""), 1,false)"),"ORDER_UNIT_DIFF_FROM_BASIC_UOM")</f>
        <v>ORDER_UNIT_DIFF_FROM_BASIC_UOM</v>
      </c>
      <c r="I4795" s="136"/>
    </row>
    <row r="4796" ht="15.75" customHeight="1">
      <c r="B4796" s="63">
        <f t="shared" si="1"/>
        <v>13</v>
      </c>
      <c r="C4796" s="146" t="s">
        <v>252</v>
      </c>
      <c r="D4796" s="147" t="s">
        <v>74</v>
      </c>
      <c r="E4796" s="135">
        <f t="shared" si="59"/>
        <v>49</v>
      </c>
      <c r="F4796" s="134" t="s">
        <v>3875</v>
      </c>
      <c r="G4796" s="63" t="str">
        <f>VLOOKUP(C4796, 'Class Def. - General Data'!$C$20:$C$1000,1,false)</f>
        <v>ZPM1_PTP_Foil</v>
      </c>
      <c r="H4796" s="63" t="str">
        <f>IFERROR(__xludf.DUMMYFUNCTION("VLOOKUP(F4796, IMPORTRANGE(""https://docs.google.com/spreadsheets/d/1Lhp9OU0JdFf_VYSMzH5lBcEaU4o8teT1piV-SNzShjg/edit?gid=554141278#gid=554141278"", ""'Char Def. - Attributes'!C20:C2242""), 1,false)"),"ORDER_UNIT_RMPM")</f>
        <v>ORDER_UNIT_RMPM</v>
      </c>
      <c r="I4796" s="136"/>
    </row>
    <row r="4797" ht="15.75" customHeight="1">
      <c r="B4797" s="63">
        <f t="shared" si="1"/>
        <v>13</v>
      </c>
      <c r="C4797" s="146" t="s">
        <v>252</v>
      </c>
      <c r="D4797" s="147" t="s">
        <v>74</v>
      </c>
      <c r="E4797" s="135">
        <f t="shared" si="59"/>
        <v>50</v>
      </c>
      <c r="F4797" s="134" t="s">
        <v>3602</v>
      </c>
      <c r="G4797" s="63" t="str">
        <f>VLOOKUP(C4797, 'Class Def. - General Data'!$C$20:$C$1000,1,false)</f>
        <v>ZPM1_PTP_Foil</v>
      </c>
      <c r="H4797" s="63" t="str">
        <f>IFERROR(__xludf.DUMMYFUNCTION("VLOOKUP(F4797, IMPORTRANGE(""https://docs.google.com/spreadsheets/d/1Lhp9OU0JdFf_VYSMzH5lBcEaU4o8teT1piV-SNzShjg/edit?gid=554141278#gid=554141278"", ""'Char Def. - Attributes'!C20:C2242""), 1,false)"),"NET_WEIGHT")</f>
        <v>NET_WEIGHT</v>
      </c>
      <c r="I4797" s="136"/>
    </row>
    <row r="4798" ht="15.75" customHeight="1">
      <c r="B4798" s="63">
        <f t="shared" si="1"/>
        <v>13</v>
      </c>
      <c r="C4798" s="146" t="s">
        <v>252</v>
      </c>
      <c r="D4798" s="147" t="s">
        <v>74</v>
      </c>
      <c r="E4798" s="135">
        <f t="shared" si="59"/>
        <v>51</v>
      </c>
      <c r="F4798" s="134" t="s">
        <v>3601</v>
      </c>
      <c r="G4798" s="63" t="str">
        <f>VLOOKUP(C4798, 'Class Def. - General Data'!$C$20:$C$1000,1,false)</f>
        <v>ZPM1_PTP_Foil</v>
      </c>
      <c r="H4798" s="63" t="str">
        <f>IFERROR(__xludf.DUMMYFUNCTION("VLOOKUP(F4798, IMPORTRANGE(""https://docs.google.com/spreadsheets/d/1Lhp9OU0JdFf_VYSMzH5lBcEaU4o8teT1piV-SNzShjg/edit?gid=554141278#gid=554141278"", ""'Char Def. - Attributes'!C20:C2242""), 1,false)"),"GROSS_WEIGHT")</f>
        <v>GROSS_WEIGHT</v>
      </c>
      <c r="I4798" s="136"/>
    </row>
    <row r="4799" ht="15.75" customHeight="1">
      <c r="B4799" s="63">
        <f t="shared" si="1"/>
        <v>13</v>
      </c>
      <c r="C4799" s="146" t="s">
        <v>252</v>
      </c>
      <c r="D4799" s="147" t="s">
        <v>74</v>
      </c>
      <c r="E4799" s="135">
        <f t="shared" si="59"/>
        <v>52</v>
      </c>
      <c r="F4799" s="134" t="s">
        <v>3876</v>
      </c>
      <c r="G4799" s="63" t="str">
        <f>VLOOKUP(C4799, 'Class Def. - General Data'!$C$20:$C$1000,1,false)</f>
        <v>ZPM1_PTP_Foil</v>
      </c>
      <c r="H4799" s="63" t="str">
        <f>IFERROR(__xludf.DUMMYFUNCTION("VLOOKUP(F4799, IMPORTRANGE(""https://docs.google.com/spreadsheets/d/1Lhp9OU0JdFf_VYSMzH5lBcEaU4o8teT1piV-SNzShjg/edit?gid=554141278#gid=554141278"", ""'Char Def. - Attributes'!C20:C2242""), 1,false)"),"WEIGHT_UNIT_PM")</f>
        <v>WEIGHT_UNIT_PM</v>
      </c>
      <c r="I4799" s="136"/>
    </row>
    <row r="4800" ht="15.75" customHeight="1">
      <c r="B4800" s="63">
        <f t="shared" si="1"/>
        <v>13</v>
      </c>
      <c r="C4800" s="146" t="s">
        <v>252</v>
      </c>
      <c r="D4800" s="147" t="s">
        <v>74</v>
      </c>
      <c r="E4800" s="135">
        <f t="shared" si="59"/>
        <v>53</v>
      </c>
      <c r="F4800" s="134" t="s">
        <v>3877</v>
      </c>
      <c r="G4800" s="63" t="str">
        <f>VLOOKUP(C4800, 'Class Def. - General Data'!$C$20:$C$1000,1,false)</f>
        <v>ZPM1_PTP_Foil</v>
      </c>
      <c r="H4800" s="63" t="str">
        <f>IFERROR(__xludf.DUMMYFUNCTION("VLOOKUP(F4800, IMPORTRANGE(""https://docs.google.com/spreadsheets/d/1Lhp9OU0JdFf_VYSMzH5lBcEaU4o8teT1piV-SNzShjg/edit?gid=554141278#gid=554141278"", ""'Char Def. - Attributes'!C20:C2242""), 1,false)"),"VOLUME_OPT")</f>
        <v>VOLUME_OPT</v>
      </c>
      <c r="I4800" s="136"/>
    </row>
    <row r="4801" ht="15.75" customHeight="1">
      <c r="B4801" s="63">
        <f t="shared" si="1"/>
        <v>13</v>
      </c>
      <c r="C4801" s="146" t="s">
        <v>252</v>
      </c>
      <c r="D4801" s="147" t="s">
        <v>74</v>
      </c>
      <c r="E4801" s="135">
        <f t="shared" si="59"/>
        <v>54</v>
      </c>
      <c r="F4801" s="134" t="s">
        <v>3878</v>
      </c>
      <c r="G4801" s="63" t="str">
        <f>VLOOKUP(C4801, 'Class Def. - General Data'!$C$20:$C$1000,1,false)</f>
        <v>ZPM1_PTP_Foil</v>
      </c>
      <c r="H4801" s="63" t="str">
        <f>IFERROR(__xludf.DUMMYFUNCTION("VLOOKUP(F4801, IMPORTRANGE(""https://docs.google.com/spreadsheets/d/1Lhp9OU0JdFf_VYSMzH5lBcEaU4o8teT1piV-SNzShjg/edit?gid=554141278#gid=554141278"", ""'Char Def. - Attributes'!C20:C2242""), 1,false)"),"VOLUME_UNIT")</f>
        <v>VOLUME_UNIT</v>
      </c>
      <c r="I4801" s="136"/>
    </row>
    <row r="4802" ht="15.75" customHeight="1">
      <c r="B4802" s="63">
        <f t="shared" si="1"/>
        <v>13</v>
      </c>
      <c r="C4802" s="146" t="s">
        <v>252</v>
      </c>
      <c r="D4802" s="147" t="s">
        <v>74</v>
      </c>
      <c r="E4802" s="135">
        <f t="shared" si="59"/>
        <v>55</v>
      </c>
      <c r="F4802" s="134" t="s">
        <v>3879</v>
      </c>
      <c r="G4802" s="63" t="str">
        <f>VLOOKUP(C4802, 'Class Def. - General Data'!$C$20:$C$1000,1,false)</f>
        <v>ZPM1_PTP_Foil</v>
      </c>
      <c r="H4802" s="63" t="str">
        <f>IFERROR(__xludf.DUMMYFUNCTION("VLOOKUP(F4802, IMPORTRANGE(""https://docs.google.com/spreadsheets/d/1Lhp9OU0JdFf_VYSMzH5lBcEaU4o8teT1piV-SNzShjg/edit?gid=554141278#gid=554141278"", ""'Char Def. - Attributes'!C20:C2242""), 1,false)"),"OLD_MAT_NO_RMPM")</f>
        <v>OLD_MAT_NO_RMPM</v>
      </c>
      <c r="I4802" s="136"/>
    </row>
    <row r="4803" ht="15.75" customHeight="1">
      <c r="B4803" s="63">
        <f t="shared" si="1"/>
        <v>13</v>
      </c>
      <c r="C4803" s="146" t="s">
        <v>252</v>
      </c>
      <c r="D4803" s="147" t="s">
        <v>74</v>
      </c>
      <c r="E4803" s="135">
        <f t="shared" si="59"/>
        <v>56</v>
      </c>
      <c r="F4803" s="134" t="s">
        <v>3880</v>
      </c>
      <c r="G4803" s="63" t="str">
        <f>VLOOKUP(C4803, 'Class Def. - General Data'!$C$20:$C$1000,1,false)</f>
        <v>ZPM1_PTP_Foil</v>
      </c>
      <c r="H4803" s="63" t="str">
        <f>IFERROR(__xludf.DUMMYFUNCTION("VLOOKUP(F4803, IMPORTRANGE(""https://docs.google.com/spreadsheets/d/1Lhp9OU0JdFf_VYSMzH5lBcEaU4o8teT1piV-SNzShjg/edit?gid=554141278#gid=554141278"", ""'Char Def. - Attributes'!C20:C2242""), 1,false)"),"NOTE_PM")</f>
        <v>NOTE_PM</v>
      </c>
      <c r="I4803" s="136"/>
    </row>
    <row r="4804" ht="15.75" customHeight="1">
      <c r="B4804" s="63">
        <f t="shared" si="1"/>
        <v>13</v>
      </c>
      <c r="C4804" s="146" t="s">
        <v>252</v>
      </c>
      <c r="D4804" s="147" t="s">
        <v>74</v>
      </c>
      <c r="E4804" s="135">
        <f t="shared" si="59"/>
        <v>57</v>
      </c>
      <c r="F4804" s="134" t="s">
        <v>3881</v>
      </c>
      <c r="G4804" s="63" t="str">
        <f>VLOOKUP(C4804, 'Class Def. - General Data'!$C$20:$C$1000,1,false)</f>
        <v>ZPM1_PTP_Foil</v>
      </c>
      <c r="H4804" s="63" t="str">
        <f>IFERROR(__xludf.DUMMYFUNCTION("VLOOKUP(F4804, IMPORTRANGE(""https://docs.google.com/spreadsheets/d/1Lhp9OU0JdFf_VYSMzH5lBcEaU4o8teT1piV-SNzShjg/edit?gid=554141278#gid=554141278"", ""'Char Def. - Attributes'!C20:C2242""), 1,false)"),"BS_BERSIH")</f>
        <v>BS_BERSIH</v>
      </c>
      <c r="I4804" s="136"/>
    </row>
    <row r="4805" ht="15.75" customHeight="1">
      <c r="B4805" s="63">
        <f t="shared" si="1"/>
        <v>13</v>
      </c>
      <c r="C4805" s="146" t="s">
        <v>252</v>
      </c>
      <c r="D4805" s="147" t="s">
        <v>74</v>
      </c>
      <c r="E4805" s="135">
        <f t="shared" si="59"/>
        <v>58</v>
      </c>
      <c r="F4805" s="134" t="s">
        <v>3882</v>
      </c>
      <c r="G4805" s="63" t="str">
        <f>VLOOKUP(C4805, 'Class Def. - General Data'!$C$20:$C$1000,1,false)</f>
        <v>ZPM1_PTP_Foil</v>
      </c>
      <c r="H4805" s="63" t="str">
        <f>IFERROR(__xludf.DUMMYFUNCTION("VLOOKUP(F4805, IMPORTRANGE(""https://docs.google.com/spreadsheets/d/1Lhp9OU0JdFf_VYSMzH5lBcEaU4o8teT1piV-SNzShjg/edit?gid=554141278#gid=554141278"", ""'Char Def. - Attributes'!C20:C2242""), 1,false)"),"BS_KOTOR")</f>
        <v>BS_KOTOR</v>
      </c>
      <c r="I4805" s="136"/>
    </row>
    <row r="4806" ht="15.75" customHeight="1">
      <c r="B4806" s="63">
        <f t="shared" si="1"/>
        <v>13</v>
      </c>
      <c r="C4806" s="146" t="s">
        <v>252</v>
      </c>
      <c r="D4806" s="147" t="s">
        <v>74</v>
      </c>
      <c r="E4806" s="135">
        <f t="shared" si="59"/>
        <v>59</v>
      </c>
      <c r="F4806" s="134" t="s">
        <v>3883</v>
      </c>
      <c r="G4806" s="63" t="str">
        <f>VLOOKUP(C4806, 'Class Def. - General Data'!$C$20:$C$1000,1,false)</f>
        <v>ZPM1_PTP_Foil</v>
      </c>
      <c r="H4806" s="63" t="str">
        <f>IFERROR(__xludf.DUMMYFUNCTION("VLOOKUP(F4806, IMPORTRANGE(""https://docs.google.com/spreadsheets/d/1Lhp9OU0JdFf_VYSMzH5lBcEaU4o8teT1piV-SNzShjg/edit?gid=554141278#gid=554141278"", ""'Char Def. - Attributes'!C20:C2242""), 1,false)"),"BS_SCRAP")</f>
        <v>BS_SCRAP</v>
      </c>
      <c r="I4806" s="136"/>
    </row>
    <row r="4807" ht="15.75" customHeight="1">
      <c r="B4807" s="63">
        <f t="shared" si="1"/>
        <v>18</v>
      </c>
      <c r="C4807" s="146" t="s">
        <v>266</v>
      </c>
      <c r="D4807" s="147" t="s">
        <v>74</v>
      </c>
      <c r="E4807" s="135">
        <f t="shared" si="59"/>
        <v>1</v>
      </c>
      <c r="F4807" s="134" t="s">
        <v>3964</v>
      </c>
      <c r="G4807" s="63" t="str">
        <f>VLOOKUP(C4807, 'Class Def. - General Data'!$C$20:$C$1000,1,false)</f>
        <v>ZPM1_RibbonBarcode</v>
      </c>
      <c r="H4807" s="63" t="str">
        <f>IFERROR(__xludf.DUMMYFUNCTION("VLOOKUP(F4807, IMPORTRANGE(""https://docs.google.com/spreadsheets/d/1Lhp9OU0JdFf_VYSMzH5lBcEaU4o8teT1piV-SNzShjg/edit?gid=554141278#gid=554141278"", ""'Char Def. - Attributes'!C20:C2242""), 1,false)"),"MATERIAL_CODE_RIBBONBARCODE")</f>
        <v>MATERIAL_CODE_RIBBONBARCODE</v>
      </c>
      <c r="I4807" s="136"/>
    </row>
    <row r="4808" ht="15.75" customHeight="1">
      <c r="B4808" s="63">
        <f t="shared" si="1"/>
        <v>18</v>
      </c>
      <c r="C4808" s="146" t="s">
        <v>266</v>
      </c>
      <c r="D4808" s="147" t="s">
        <v>74</v>
      </c>
      <c r="E4808" s="135">
        <f t="shared" si="59"/>
        <v>2</v>
      </c>
      <c r="F4808" s="134" t="s">
        <v>3965</v>
      </c>
      <c r="G4808" s="63" t="str">
        <f>VLOOKUP(C4808, 'Class Def. - General Data'!$C$20:$C$1000,1,false)</f>
        <v>ZPM1_RibbonBarcode</v>
      </c>
      <c r="H4808" s="63" t="str">
        <f>IFERROR(__xludf.DUMMYFUNCTION("VLOOKUP(F4808, IMPORTRANGE(""https://docs.google.com/spreadsheets/d/1Lhp9OU0JdFf_VYSMzH5lBcEaU4o8teT1piV-SNzShjg/edit?gid=554141278#gid=554141278"", ""'Char Def. - Attributes'!C20:C2242""), 1,false)"),"DETAILS_B_OPT")</f>
        <v>DETAILS_B_OPT</v>
      </c>
      <c r="I4808" s="136"/>
    </row>
    <row r="4809" ht="15.75" customHeight="1">
      <c r="B4809" s="63">
        <f t="shared" si="1"/>
        <v>18</v>
      </c>
      <c r="C4809" s="146" t="s">
        <v>266</v>
      </c>
      <c r="D4809" s="147" t="s">
        <v>74</v>
      </c>
      <c r="E4809" s="135">
        <f t="shared" si="59"/>
        <v>3</v>
      </c>
      <c r="F4809" s="134" t="s">
        <v>3918</v>
      </c>
      <c r="G4809" s="63" t="str">
        <f>VLOOKUP(C4809, 'Class Def. - General Data'!$C$20:$C$1000,1,false)</f>
        <v>ZPM1_RibbonBarcode</v>
      </c>
      <c r="H4809" s="63" t="str">
        <f>IFERROR(__xludf.DUMMYFUNCTION("VLOOKUP(F4809, IMPORTRANGE(""https://docs.google.com/spreadsheets/d/1Lhp9OU0JdFf_VYSMzH5lBcEaU4o8teT1piV-SNzShjg/edit?gid=554141278#gid=554141278"", ""'Char Def. - Attributes'!C20:C2242""), 1,false)"),"WIDTH_MM_3")</f>
        <v>WIDTH_MM_3</v>
      </c>
      <c r="I4809" s="136"/>
    </row>
    <row r="4810" ht="15.75" customHeight="1">
      <c r="B4810" s="63">
        <f t="shared" si="1"/>
        <v>18</v>
      </c>
      <c r="C4810" s="146" t="s">
        <v>266</v>
      </c>
      <c r="D4810" s="147" t="s">
        <v>74</v>
      </c>
      <c r="E4810" s="135">
        <f t="shared" si="59"/>
        <v>4</v>
      </c>
      <c r="F4810" s="134" t="s">
        <v>3941</v>
      </c>
      <c r="G4810" s="63" t="str">
        <f>VLOOKUP(C4810, 'Class Def. - General Data'!$C$20:$C$1000,1,false)</f>
        <v>ZPM1_RibbonBarcode</v>
      </c>
      <c r="H4810" s="63" t="str">
        <f>IFERROR(__xludf.DUMMYFUNCTION("VLOOKUP(F4810, IMPORTRANGE(""https://docs.google.com/spreadsheets/d/1Lhp9OU0JdFf_VYSMzH5lBcEaU4o8teT1piV-SNzShjg/edit?gid=554141278#gid=554141278"", ""'Char Def. - Attributes'!C20:C2242""), 1,false)"),"LENGTH_M")</f>
        <v>LENGTH_M</v>
      </c>
      <c r="I4810" s="136"/>
    </row>
    <row r="4811" ht="15.75" customHeight="1">
      <c r="B4811" s="63">
        <f t="shared" si="1"/>
        <v>18</v>
      </c>
      <c r="C4811" s="146" t="s">
        <v>266</v>
      </c>
      <c r="D4811" s="147" t="s">
        <v>74</v>
      </c>
      <c r="E4811" s="135">
        <f t="shared" si="59"/>
        <v>5</v>
      </c>
      <c r="F4811" s="134" t="s">
        <v>3959</v>
      </c>
      <c r="G4811" s="63" t="str">
        <f>VLOOKUP(C4811, 'Class Def. - General Data'!$C$20:$C$1000,1,false)</f>
        <v>ZPM1_RibbonBarcode</v>
      </c>
      <c r="H4811" s="63" t="str">
        <f>IFERROR(__xludf.DUMMYFUNCTION("VLOOKUP(F4811, IMPORTRANGE(""https://docs.google.com/spreadsheets/d/1Lhp9OU0JdFf_VYSMzH5lBcEaU4o8teT1piV-SNzShjg/edit?gid=554141278#gid=554141278"", ""'Char Def. - Attributes'!C20:C2242""), 1,false)"),"DIMENSION")</f>
        <v>DIMENSION</v>
      </c>
      <c r="I4811" s="136"/>
    </row>
    <row r="4812" ht="15.75" customHeight="1">
      <c r="B4812" s="63">
        <f t="shared" si="1"/>
        <v>18</v>
      </c>
      <c r="C4812" s="146" t="s">
        <v>266</v>
      </c>
      <c r="D4812" s="147" t="s">
        <v>74</v>
      </c>
      <c r="E4812" s="135">
        <f t="shared" si="59"/>
        <v>6</v>
      </c>
      <c r="F4812" s="134" t="s">
        <v>3587</v>
      </c>
      <c r="G4812" s="63" t="str">
        <f>VLOOKUP(C4812, 'Class Def. - General Data'!$C$20:$C$1000,1,false)</f>
        <v>ZPM1_RibbonBarcode</v>
      </c>
      <c r="H4812" s="63" t="str">
        <f>IFERROR(__xludf.DUMMYFUNCTION("VLOOKUP(F4812, IMPORTRANGE(""https://docs.google.com/spreadsheets/d/1Lhp9OU0JdFf_VYSMzH5lBcEaU4o8teT1piV-SNzShjg/edit?gid=554141278#gid=554141278"", ""'Char Def. - Attributes'!C20:C2242""), 1,false)"),"PLANT_BUY")</f>
        <v>PLANT_BUY</v>
      </c>
      <c r="I4812" s="136"/>
    </row>
    <row r="4813" ht="15.75" customHeight="1">
      <c r="B4813" s="63">
        <f t="shared" si="1"/>
        <v>18</v>
      </c>
      <c r="C4813" s="146" t="s">
        <v>266</v>
      </c>
      <c r="D4813" s="147" t="s">
        <v>74</v>
      </c>
      <c r="E4813" s="135">
        <f t="shared" si="59"/>
        <v>7</v>
      </c>
      <c r="F4813" s="134" t="s">
        <v>3865</v>
      </c>
      <c r="G4813" s="63" t="str">
        <f>VLOOKUP(C4813, 'Class Def. - General Data'!$C$20:$C$1000,1,false)</f>
        <v>ZPM1_RibbonBarcode</v>
      </c>
      <c r="H4813" s="63" t="str">
        <f>IFERROR(__xludf.DUMMYFUNCTION("VLOOKUP(F4813, IMPORTRANGE(""https://docs.google.com/spreadsheets/d/1Lhp9OU0JdFf_VYSMzH5lBcEaU4o8teT1piV-SNzShjg/edit?gid=554141278#gid=554141278"", ""'Char Def. - Attributes'!C20:C2242""), 1,false)"),"PLANT_PROD_OPT")</f>
        <v>PLANT_PROD_OPT</v>
      </c>
      <c r="I4813" s="136"/>
    </row>
    <row r="4814" ht="15.75" customHeight="1">
      <c r="B4814" s="63">
        <f t="shared" si="1"/>
        <v>18</v>
      </c>
      <c r="C4814" s="146" t="s">
        <v>266</v>
      </c>
      <c r="D4814" s="147" t="s">
        <v>74</v>
      </c>
      <c r="E4814" s="135">
        <f t="shared" si="59"/>
        <v>8</v>
      </c>
      <c r="F4814" s="134" t="s">
        <v>3866</v>
      </c>
      <c r="G4814" s="63" t="str">
        <f>VLOOKUP(C4814, 'Class Def. - General Data'!$C$20:$C$1000,1,false)</f>
        <v>ZPM1_RibbonBarcode</v>
      </c>
      <c r="H4814" s="63" t="str">
        <f>IFERROR(__xludf.DUMMYFUNCTION("VLOOKUP(F4814, IMPORTRANGE(""https://docs.google.com/spreadsheets/d/1Lhp9OU0JdFf_VYSMzH5lBcEaU4o8teT1piV-SNzShjg/edit?gid=554141278#gid=554141278"", ""'Char Def. - Attributes'!C20:C2242""), 1,false)"),"PM_SUPPLY_JKT")</f>
        <v>PM_SUPPLY_JKT</v>
      </c>
      <c r="I4814" s="136"/>
    </row>
    <row r="4815" ht="15.75" customHeight="1">
      <c r="B4815" s="63">
        <f t="shared" si="1"/>
        <v>18</v>
      </c>
      <c r="C4815" s="146" t="s">
        <v>266</v>
      </c>
      <c r="D4815" s="147" t="s">
        <v>74</v>
      </c>
      <c r="E4815" s="135">
        <f t="shared" si="59"/>
        <v>9</v>
      </c>
      <c r="F4815" s="134" t="s">
        <v>3867</v>
      </c>
      <c r="G4815" s="63" t="str">
        <f>VLOOKUP(C4815, 'Class Def. - General Data'!$C$20:$C$1000,1,false)</f>
        <v>ZPM1_RibbonBarcode</v>
      </c>
      <c r="H4815" s="63" t="str">
        <f>IFERROR(__xludf.DUMMYFUNCTION("VLOOKUP(F4815, IMPORTRANGE(""https://docs.google.com/spreadsheets/d/1Lhp9OU0JdFf_VYSMzH5lBcEaU4o8teT1piV-SNzShjg/edit?gid=554141278#gid=554141278"", ""'Char Def. - Attributes'!C20:C2242""), 1,false)"),"PM_SUPPLY_SBY")</f>
        <v>PM_SUPPLY_SBY</v>
      </c>
      <c r="I4815" s="136"/>
    </row>
    <row r="4816" ht="15.75" customHeight="1">
      <c r="B4816" s="63">
        <f t="shared" si="1"/>
        <v>18</v>
      </c>
      <c r="C4816" s="146" t="s">
        <v>266</v>
      </c>
      <c r="D4816" s="147" t="s">
        <v>74</v>
      </c>
      <c r="E4816" s="135">
        <f t="shared" si="59"/>
        <v>10</v>
      </c>
      <c r="F4816" s="134" t="s">
        <v>3868</v>
      </c>
      <c r="G4816" s="63" t="str">
        <f>VLOOKUP(C4816, 'Class Def. - General Data'!$C$20:$C$1000,1,false)</f>
        <v>ZPM1_RibbonBarcode</v>
      </c>
      <c r="H4816" s="63" t="str">
        <f>IFERROR(__xludf.DUMMYFUNCTION("VLOOKUP(F4816, IMPORTRANGE(""https://docs.google.com/spreadsheets/d/1Lhp9OU0JdFf_VYSMzH5lBcEaU4o8teT1piV-SNzShjg/edit?gid=554141278#gid=554141278"", ""'Char Def. - Attributes'!C20:C2242""), 1,false)"),"BASIC_UOM_RMPM")</f>
        <v>BASIC_UOM_RMPM</v>
      </c>
      <c r="I4816" s="136"/>
    </row>
    <row r="4817" ht="15.75" customHeight="1">
      <c r="B4817" s="63">
        <f t="shared" si="1"/>
        <v>18</v>
      </c>
      <c r="C4817" s="146" t="s">
        <v>266</v>
      </c>
      <c r="D4817" s="147" t="s">
        <v>74</v>
      </c>
      <c r="E4817" s="135">
        <f t="shared" si="59"/>
        <v>11</v>
      </c>
      <c r="F4817" s="134" t="s">
        <v>3869</v>
      </c>
      <c r="G4817" s="63" t="str">
        <f>VLOOKUP(C4817, 'Class Def. - General Data'!$C$20:$C$1000,1,false)</f>
        <v>ZPM1_RibbonBarcode</v>
      </c>
      <c r="H4817" s="63" t="str">
        <f>IFERROR(__xludf.DUMMYFUNCTION("VLOOKUP(F4817, IMPORTRANGE(""https://docs.google.com/spreadsheets/d/1Lhp9OU0JdFf_VYSMzH5lBcEaU4o8teT1piV-SNzShjg/edit?gid=554141278#gid=554141278"", ""'Char Def. - Attributes'!C20:C2242""), 1,false)"),"ALT_UOM1_RMPM")</f>
        <v>ALT_UOM1_RMPM</v>
      </c>
      <c r="I4817" s="136"/>
    </row>
    <row r="4818" ht="15.75" customHeight="1">
      <c r="B4818" s="63">
        <f t="shared" si="1"/>
        <v>18</v>
      </c>
      <c r="C4818" s="146" t="s">
        <v>266</v>
      </c>
      <c r="D4818" s="147" t="s">
        <v>74</v>
      </c>
      <c r="E4818" s="135">
        <f t="shared" si="59"/>
        <v>12</v>
      </c>
      <c r="F4818" s="134" t="s">
        <v>3805</v>
      </c>
      <c r="G4818" s="63" t="str">
        <f>VLOOKUP(C4818, 'Class Def. - General Data'!$C$20:$C$1000,1,false)</f>
        <v>ZPM1_RibbonBarcode</v>
      </c>
      <c r="H4818" s="63" t="str">
        <f>IFERROR(__xludf.DUMMYFUNCTION("VLOOKUP(F4818, IMPORTRANGE(""https://docs.google.com/spreadsheets/d/1Lhp9OU0JdFf_VYSMzH5lBcEaU4o8teT1piV-SNzShjg/edit?gid=554141278#gid=554141278"", ""'Char Def. - Attributes'!C20:C2242""), 1,false)"),"ALT_DENUM_UOM1")</f>
        <v>ALT_DENUM_UOM1</v>
      </c>
      <c r="I4818" s="136"/>
    </row>
    <row r="4819" ht="15.75" customHeight="1">
      <c r="B4819" s="63">
        <f t="shared" si="1"/>
        <v>18</v>
      </c>
      <c r="C4819" s="146" t="s">
        <v>266</v>
      </c>
      <c r="D4819" s="147" t="s">
        <v>74</v>
      </c>
      <c r="E4819" s="135">
        <f t="shared" si="59"/>
        <v>13</v>
      </c>
      <c r="F4819" s="134" t="s">
        <v>3806</v>
      </c>
      <c r="G4819" s="63" t="str">
        <f>VLOOKUP(C4819, 'Class Def. - General Data'!$C$20:$C$1000,1,false)</f>
        <v>ZPM1_RibbonBarcode</v>
      </c>
      <c r="H4819" s="63" t="str">
        <f>IFERROR(__xludf.DUMMYFUNCTION("VLOOKUP(F4819, IMPORTRANGE(""https://docs.google.com/spreadsheets/d/1Lhp9OU0JdFf_VYSMzH5lBcEaU4o8teT1piV-SNzShjg/edit?gid=554141278#gid=554141278"", ""'Char Def. - Attributes'!C20:C2242""), 1,false)"),"ALT_NUM_UOM1")</f>
        <v>ALT_NUM_UOM1</v>
      </c>
      <c r="I4819" s="136"/>
    </row>
    <row r="4820" ht="15.75" customHeight="1">
      <c r="B4820" s="63">
        <f t="shared" si="1"/>
        <v>18</v>
      </c>
      <c r="C4820" s="146" t="s">
        <v>266</v>
      </c>
      <c r="D4820" s="147" t="s">
        <v>74</v>
      </c>
      <c r="E4820" s="135">
        <f t="shared" si="59"/>
        <v>14</v>
      </c>
      <c r="F4820" s="134" t="s">
        <v>3870</v>
      </c>
      <c r="G4820" s="63" t="str">
        <f>VLOOKUP(C4820, 'Class Def. - General Data'!$C$20:$C$1000,1,false)</f>
        <v>ZPM1_RibbonBarcode</v>
      </c>
      <c r="H4820" s="63" t="str">
        <f>IFERROR(__xludf.DUMMYFUNCTION("VLOOKUP(F4820, IMPORTRANGE(""https://docs.google.com/spreadsheets/d/1Lhp9OU0JdFf_VYSMzH5lBcEaU4o8teT1piV-SNzShjg/edit?gid=554141278#gid=554141278"", ""'Char Def. - Attributes'!C20:C2242""), 1,false)"),"ALT_UOM2_RMPM")</f>
        <v>ALT_UOM2_RMPM</v>
      </c>
      <c r="I4820" s="136"/>
    </row>
    <row r="4821" ht="15.75" customHeight="1">
      <c r="B4821" s="63">
        <f t="shared" si="1"/>
        <v>18</v>
      </c>
      <c r="C4821" s="146" t="s">
        <v>266</v>
      </c>
      <c r="D4821" s="147" t="s">
        <v>74</v>
      </c>
      <c r="E4821" s="135">
        <f t="shared" si="59"/>
        <v>15</v>
      </c>
      <c r="F4821" s="134" t="s">
        <v>3808</v>
      </c>
      <c r="G4821" s="63" t="str">
        <f>VLOOKUP(C4821, 'Class Def. - General Data'!$C$20:$C$1000,1,false)</f>
        <v>ZPM1_RibbonBarcode</v>
      </c>
      <c r="H4821" s="63" t="str">
        <f>IFERROR(__xludf.DUMMYFUNCTION("VLOOKUP(F4821, IMPORTRANGE(""https://docs.google.com/spreadsheets/d/1Lhp9OU0JdFf_VYSMzH5lBcEaU4o8teT1piV-SNzShjg/edit?gid=554141278#gid=554141278"", ""'Char Def. - Attributes'!C20:C2242""), 1,false)"),"ALT_DENUM_UOM2")</f>
        <v>ALT_DENUM_UOM2</v>
      </c>
      <c r="I4821" s="136"/>
    </row>
    <row r="4822" ht="15.75" customHeight="1">
      <c r="B4822" s="63">
        <f t="shared" si="1"/>
        <v>18</v>
      </c>
      <c r="C4822" s="146" t="s">
        <v>266</v>
      </c>
      <c r="D4822" s="147" t="s">
        <v>74</v>
      </c>
      <c r="E4822" s="135">
        <f t="shared" si="59"/>
        <v>16</v>
      </c>
      <c r="F4822" s="134" t="s">
        <v>3809</v>
      </c>
      <c r="G4822" s="63" t="str">
        <f>VLOOKUP(C4822, 'Class Def. - General Data'!$C$20:$C$1000,1,false)</f>
        <v>ZPM1_RibbonBarcode</v>
      </c>
      <c r="H4822" s="63" t="str">
        <f>IFERROR(__xludf.DUMMYFUNCTION("VLOOKUP(F4822, IMPORTRANGE(""https://docs.google.com/spreadsheets/d/1Lhp9OU0JdFf_VYSMzH5lBcEaU4o8teT1piV-SNzShjg/edit?gid=554141278#gid=554141278"", ""'Char Def. - Attributes'!C20:C2242""), 1,false)"),"ALT_NUM_UOM2")</f>
        <v>ALT_NUM_UOM2</v>
      </c>
      <c r="I4822" s="136"/>
    </row>
    <row r="4823" ht="15.75" customHeight="1">
      <c r="B4823" s="63">
        <f t="shared" si="1"/>
        <v>18</v>
      </c>
      <c r="C4823" s="146" t="s">
        <v>266</v>
      </c>
      <c r="D4823" s="147" t="s">
        <v>74</v>
      </c>
      <c r="E4823" s="135">
        <f t="shared" si="59"/>
        <v>17</v>
      </c>
      <c r="F4823" s="134" t="s">
        <v>3871</v>
      </c>
      <c r="G4823" s="63" t="str">
        <f>VLOOKUP(C4823, 'Class Def. - General Data'!$C$20:$C$1000,1,false)</f>
        <v>ZPM1_RibbonBarcode</v>
      </c>
      <c r="H4823" s="63" t="str">
        <f>IFERROR(__xludf.DUMMYFUNCTION("VLOOKUP(F4823, IMPORTRANGE(""https://docs.google.com/spreadsheets/d/1Lhp9OU0JdFf_VYSMzH5lBcEaU4o8teT1piV-SNzShjg/edit?gid=554141278#gid=554141278"", ""'Char Def. - Attributes'!C20:C2242""), 1,false)"),"ALT_UOM3_RMPM")</f>
        <v>ALT_UOM3_RMPM</v>
      </c>
      <c r="I4823" s="136"/>
    </row>
    <row r="4824" ht="15.75" customHeight="1">
      <c r="B4824" s="63">
        <f t="shared" si="1"/>
        <v>18</v>
      </c>
      <c r="C4824" s="146" t="s">
        <v>266</v>
      </c>
      <c r="D4824" s="147" t="s">
        <v>74</v>
      </c>
      <c r="E4824" s="135">
        <f t="shared" si="59"/>
        <v>18</v>
      </c>
      <c r="F4824" s="134" t="s">
        <v>3811</v>
      </c>
      <c r="G4824" s="63" t="str">
        <f>VLOOKUP(C4824, 'Class Def. - General Data'!$C$20:$C$1000,1,false)</f>
        <v>ZPM1_RibbonBarcode</v>
      </c>
      <c r="H4824" s="63" t="str">
        <f>IFERROR(__xludf.DUMMYFUNCTION("VLOOKUP(F4824, IMPORTRANGE(""https://docs.google.com/spreadsheets/d/1Lhp9OU0JdFf_VYSMzH5lBcEaU4o8teT1piV-SNzShjg/edit?gid=554141278#gid=554141278"", ""'Char Def. - Attributes'!C20:C2242""), 1,false)"),"ALT_DENUM_UOM3")</f>
        <v>ALT_DENUM_UOM3</v>
      </c>
      <c r="I4824" s="136"/>
    </row>
    <row r="4825" ht="15.75" customHeight="1">
      <c r="B4825" s="63">
        <f t="shared" si="1"/>
        <v>18</v>
      </c>
      <c r="C4825" s="146" t="s">
        <v>266</v>
      </c>
      <c r="D4825" s="147" t="s">
        <v>74</v>
      </c>
      <c r="E4825" s="135">
        <f t="shared" si="59"/>
        <v>19</v>
      </c>
      <c r="F4825" s="134" t="s">
        <v>3812</v>
      </c>
      <c r="G4825" s="63" t="str">
        <f>VLOOKUP(C4825, 'Class Def. - General Data'!$C$20:$C$1000,1,false)</f>
        <v>ZPM1_RibbonBarcode</v>
      </c>
      <c r="H4825" s="63" t="str">
        <f>IFERROR(__xludf.DUMMYFUNCTION("VLOOKUP(F4825, IMPORTRANGE(""https://docs.google.com/spreadsheets/d/1Lhp9OU0JdFf_VYSMzH5lBcEaU4o8teT1piV-SNzShjg/edit?gid=554141278#gid=554141278"", ""'Char Def. - Attributes'!C20:C2242""), 1,false)"),"ALT_NUM_UOM3")</f>
        <v>ALT_NUM_UOM3</v>
      </c>
      <c r="I4825" s="136"/>
    </row>
    <row r="4826" ht="15.75" customHeight="1">
      <c r="B4826" s="63">
        <f t="shared" si="1"/>
        <v>18</v>
      </c>
      <c r="C4826" s="146" t="s">
        <v>266</v>
      </c>
      <c r="D4826" s="147" t="s">
        <v>74</v>
      </c>
      <c r="E4826" s="135">
        <f t="shared" si="59"/>
        <v>20</v>
      </c>
      <c r="F4826" s="134" t="s">
        <v>3872</v>
      </c>
      <c r="G4826" s="63" t="str">
        <f>VLOOKUP(C4826, 'Class Def. - General Data'!$C$20:$C$1000,1,false)</f>
        <v>ZPM1_RibbonBarcode</v>
      </c>
      <c r="H4826" s="63" t="str">
        <f>IFERROR(__xludf.DUMMYFUNCTION("VLOOKUP(F4826, IMPORTRANGE(""https://docs.google.com/spreadsheets/d/1Lhp9OU0JdFf_VYSMzH5lBcEaU4o8teT1piV-SNzShjg/edit?gid=554141278#gid=554141278"", ""'Char Def. - Attributes'!C20:C2242""), 1,false)"),"ALT_UOM4_RMPM")</f>
        <v>ALT_UOM4_RMPM</v>
      </c>
      <c r="I4826" s="136"/>
    </row>
    <row r="4827" ht="15.75" customHeight="1">
      <c r="B4827" s="63">
        <f t="shared" si="1"/>
        <v>18</v>
      </c>
      <c r="C4827" s="146" t="s">
        <v>266</v>
      </c>
      <c r="D4827" s="147" t="s">
        <v>74</v>
      </c>
      <c r="E4827" s="135">
        <f t="shared" si="59"/>
        <v>21</v>
      </c>
      <c r="F4827" s="134" t="s">
        <v>3814</v>
      </c>
      <c r="G4827" s="63" t="str">
        <f>VLOOKUP(C4827, 'Class Def. - General Data'!$C$20:$C$1000,1,false)</f>
        <v>ZPM1_RibbonBarcode</v>
      </c>
      <c r="H4827" s="63" t="str">
        <f>IFERROR(__xludf.DUMMYFUNCTION("VLOOKUP(F4827, IMPORTRANGE(""https://docs.google.com/spreadsheets/d/1Lhp9OU0JdFf_VYSMzH5lBcEaU4o8teT1piV-SNzShjg/edit?gid=554141278#gid=554141278"", ""'Char Def. - Attributes'!C20:C2242""), 1,false)"),"ALT_DENUM_UOM4")</f>
        <v>ALT_DENUM_UOM4</v>
      </c>
      <c r="I4827" s="136"/>
    </row>
    <row r="4828" ht="15.75" customHeight="1">
      <c r="B4828" s="63">
        <f t="shared" si="1"/>
        <v>18</v>
      </c>
      <c r="C4828" s="146" t="s">
        <v>266</v>
      </c>
      <c r="D4828" s="147" t="s">
        <v>74</v>
      </c>
      <c r="E4828" s="135">
        <f t="shared" si="59"/>
        <v>22</v>
      </c>
      <c r="F4828" s="134" t="s">
        <v>3815</v>
      </c>
      <c r="G4828" s="63" t="str">
        <f>VLOOKUP(C4828, 'Class Def. - General Data'!$C$20:$C$1000,1,false)</f>
        <v>ZPM1_RibbonBarcode</v>
      </c>
      <c r="H4828" s="63" t="str">
        <f>IFERROR(__xludf.DUMMYFUNCTION("VLOOKUP(F4828, IMPORTRANGE(""https://docs.google.com/spreadsheets/d/1Lhp9OU0JdFf_VYSMzH5lBcEaU4o8teT1piV-SNzShjg/edit?gid=554141278#gid=554141278"", ""'Char Def. - Attributes'!C20:C2242""), 1,false)"),"ALT_NUM_UOM4")</f>
        <v>ALT_NUM_UOM4</v>
      </c>
      <c r="I4828" s="136"/>
    </row>
    <row r="4829" ht="15.75" customHeight="1">
      <c r="B4829" s="63">
        <f t="shared" si="1"/>
        <v>18</v>
      </c>
      <c r="C4829" s="146" t="s">
        <v>266</v>
      </c>
      <c r="D4829" s="147" t="s">
        <v>74</v>
      </c>
      <c r="E4829" s="135">
        <f t="shared" si="59"/>
        <v>23</v>
      </c>
      <c r="F4829" s="134" t="s">
        <v>3873</v>
      </c>
      <c r="G4829" s="63" t="str">
        <f>VLOOKUP(C4829, 'Class Def. - General Data'!$C$20:$C$1000,1,false)</f>
        <v>ZPM1_RibbonBarcode</v>
      </c>
      <c r="H4829" s="63" t="str">
        <f>IFERROR(__xludf.DUMMYFUNCTION("VLOOKUP(F4829, IMPORTRANGE(""https://docs.google.com/spreadsheets/d/1Lhp9OU0JdFf_VYSMzH5lBcEaU4o8teT1piV-SNzShjg/edit?gid=554141278#gid=554141278"", ""'Char Def. - Attributes'!C20:C2242""), 1,false)"),"ALT_UOM5_RMPM")</f>
        <v>ALT_UOM5_RMPM</v>
      </c>
      <c r="I4829" s="136"/>
    </row>
    <row r="4830" ht="15.75" customHeight="1">
      <c r="B4830" s="63">
        <f t="shared" si="1"/>
        <v>18</v>
      </c>
      <c r="C4830" s="146" t="s">
        <v>266</v>
      </c>
      <c r="D4830" s="147" t="s">
        <v>74</v>
      </c>
      <c r="E4830" s="135">
        <f t="shared" si="59"/>
        <v>24</v>
      </c>
      <c r="F4830" s="134" t="s">
        <v>3817</v>
      </c>
      <c r="G4830" s="63" t="str">
        <f>VLOOKUP(C4830, 'Class Def. - General Data'!$C$20:$C$1000,1,false)</f>
        <v>ZPM1_RibbonBarcode</v>
      </c>
      <c r="H4830" s="63" t="str">
        <f>IFERROR(__xludf.DUMMYFUNCTION("VLOOKUP(F4830, IMPORTRANGE(""https://docs.google.com/spreadsheets/d/1Lhp9OU0JdFf_VYSMzH5lBcEaU4o8teT1piV-SNzShjg/edit?gid=554141278#gid=554141278"", ""'Char Def. - Attributes'!C20:C2242""), 1,false)"),"ALT_DENUM_UOM5")</f>
        <v>ALT_DENUM_UOM5</v>
      </c>
      <c r="I4830" s="136"/>
    </row>
    <row r="4831" ht="15.75" customHeight="1">
      <c r="B4831" s="63">
        <f t="shared" si="1"/>
        <v>18</v>
      </c>
      <c r="C4831" s="146" t="s">
        <v>266</v>
      </c>
      <c r="D4831" s="147" t="s">
        <v>74</v>
      </c>
      <c r="E4831" s="135">
        <f t="shared" si="59"/>
        <v>25</v>
      </c>
      <c r="F4831" s="134" t="s">
        <v>3818</v>
      </c>
      <c r="G4831" s="63" t="str">
        <f>VLOOKUP(C4831, 'Class Def. - General Data'!$C$20:$C$1000,1,false)</f>
        <v>ZPM1_RibbonBarcode</v>
      </c>
      <c r="H4831" s="63" t="str">
        <f>IFERROR(__xludf.DUMMYFUNCTION("VLOOKUP(F4831, IMPORTRANGE(""https://docs.google.com/spreadsheets/d/1Lhp9OU0JdFf_VYSMzH5lBcEaU4o8teT1piV-SNzShjg/edit?gid=554141278#gid=554141278"", ""'Char Def. - Attributes'!C20:C2242""), 1,false)"),"ALT_NUM_UOM5")</f>
        <v>ALT_NUM_UOM5</v>
      </c>
      <c r="I4831" s="136"/>
    </row>
    <row r="4832" ht="15.75" customHeight="1">
      <c r="B4832" s="63">
        <f t="shared" si="1"/>
        <v>18</v>
      </c>
      <c r="C4832" s="146" t="s">
        <v>266</v>
      </c>
      <c r="D4832" s="147" t="s">
        <v>74</v>
      </c>
      <c r="E4832" s="135">
        <f t="shared" si="59"/>
        <v>26</v>
      </c>
      <c r="F4832" s="134" t="s">
        <v>3874</v>
      </c>
      <c r="G4832" s="63" t="str">
        <f>VLOOKUP(C4832, 'Class Def. - General Data'!$C$20:$C$1000,1,false)</f>
        <v>ZPM1_RibbonBarcode</v>
      </c>
      <c r="H4832" s="63" t="str">
        <f>IFERROR(__xludf.DUMMYFUNCTION("VLOOKUP(F4832, IMPORTRANGE(""https://docs.google.com/spreadsheets/d/1Lhp9OU0JdFf_VYSMzH5lBcEaU4o8teT1piV-SNzShjg/edit?gid=554141278#gid=554141278"", ""'Char Def. - Attributes'!C20:C2242""), 1,false)"),"VALUATION_CATEGORY")</f>
        <v>VALUATION_CATEGORY</v>
      </c>
      <c r="I4832" s="136"/>
    </row>
    <row r="4833" ht="15.75" customHeight="1">
      <c r="B4833" s="63">
        <f t="shared" si="1"/>
        <v>18</v>
      </c>
      <c r="C4833" s="146" t="s">
        <v>266</v>
      </c>
      <c r="D4833" s="147" t="s">
        <v>74</v>
      </c>
      <c r="E4833" s="135">
        <f t="shared" si="59"/>
        <v>27</v>
      </c>
      <c r="F4833" s="134" t="s">
        <v>3800</v>
      </c>
      <c r="G4833" s="63" t="str">
        <f>VLOOKUP(C4833, 'Class Def. - General Data'!$C$20:$C$1000,1,false)</f>
        <v>ZPM1_RibbonBarcode</v>
      </c>
      <c r="H4833" s="63" t="str">
        <f>IFERROR(__xludf.DUMMYFUNCTION("VLOOKUP(F4833, IMPORTRANGE(""https://docs.google.com/spreadsheets/d/1Lhp9OU0JdFf_VYSMzH5lBcEaU4o8teT1piV-SNzShjg/edit?gid=554141278#gid=554141278"", ""'Char Def. - Attributes'!C20:C2242""), 1,false)"),"ORDER_UNIT_DIFF_FROM_BASIC_UOM")</f>
        <v>ORDER_UNIT_DIFF_FROM_BASIC_UOM</v>
      </c>
      <c r="I4833" s="136"/>
    </row>
    <row r="4834" ht="15.75" customHeight="1">
      <c r="B4834" s="63">
        <f t="shared" si="1"/>
        <v>18</v>
      </c>
      <c r="C4834" s="146" t="s">
        <v>266</v>
      </c>
      <c r="D4834" s="147" t="s">
        <v>74</v>
      </c>
      <c r="E4834" s="135">
        <f t="shared" si="59"/>
        <v>28</v>
      </c>
      <c r="F4834" s="134" t="s">
        <v>3875</v>
      </c>
      <c r="G4834" s="63" t="str">
        <f>VLOOKUP(C4834, 'Class Def. - General Data'!$C$20:$C$1000,1,false)</f>
        <v>ZPM1_RibbonBarcode</v>
      </c>
      <c r="H4834" s="63" t="str">
        <f>IFERROR(__xludf.DUMMYFUNCTION("VLOOKUP(F4834, IMPORTRANGE(""https://docs.google.com/spreadsheets/d/1Lhp9OU0JdFf_VYSMzH5lBcEaU4o8teT1piV-SNzShjg/edit?gid=554141278#gid=554141278"", ""'Char Def. - Attributes'!C20:C2242""), 1,false)"),"ORDER_UNIT_RMPM")</f>
        <v>ORDER_UNIT_RMPM</v>
      </c>
      <c r="I4834" s="136"/>
    </row>
    <row r="4835" ht="15.75" customHeight="1">
      <c r="B4835" s="63">
        <f t="shared" si="1"/>
        <v>18</v>
      </c>
      <c r="C4835" s="146" t="s">
        <v>266</v>
      </c>
      <c r="D4835" s="147" t="s">
        <v>74</v>
      </c>
      <c r="E4835" s="135">
        <f t="shared" si="59"/>
        <v>29</v>
      </c>
      <c r="F4835" s="134" t="s">
        <v>3602</v>
      </c>
      <c r="G4835" s="63" t="str">
        <f>VLOOKUP(C4835, 'Class Def. - General Data'!$C$20:$C$1000,1,false)</f>
        <v>ZPM1_RibbonBarcode</v>
      </c>
      <c r="H4835" s="63" t="str">
        <f>IFERROR(__xludf.DUMMYFUNCTION("VLOOKUP(F4835, IMPORTRANGE(""https://docs.google.com/spreadsheets/d/1Lhp9OU0JdFf_VYSMzH5lBcEaU4o8teT1piV-SNzShjg/edit?gid=554141278#gid=554141278"", ""'Char Def. - Attributes'!C20:C2242""), 1,false)"),"NET_WEIGHT")</f>
        <v>NET_WEIGHT</v>
      </c>
      <c r="I4835" s="136"/>
    </row>
    <row r="4836" ht="15.75" customHeight="1">
      <c r="B4836" s="63">
        <f t="shared" si="1"/>
        <v>18</v>
      </c>
      <c r="C4836" s="146" t="s">
        <v>266</v>
      </c>
      <c r="D4836" s="147" t="s">
        <v>74</v>
      </c>
      <c r="E4836" s="135">
        <f t="shared" si="59"/>
        <v>30</v>
      </c>
      <c r="F4836" s="134" t="s">
        <v>3601</v>
      </c>
      <c r="G4836" s="63" t="str">
        <f>VLOOKUP(C4836, 'Class Def. - General Data'!$C$20:$C$1000,1,false)</f>
        <v>ZPM1_RibbonBarcode</v>
      </c>
      <c r="H4836" s="63" t="str">
        <f>IFERROR(__xludf.DUMMYFUNCTION("VLOOKUP(F4836, IMPORTRANGE(""https://docs.google.com/spreadsheets/d/1Lhp9OU0JdFf_VYSMzH5lBcEaU4o8teT1piV-SNzShjg/edit?gid=554141278#gid=554141278"", ""'Char Def. - Attributes'!C20:C2242""), 1,false)"),"GROSS_WEIGHT")</f>
        <v>GROSS_WEIGHT</v>
      </c>
      <c r="I4836" s="136"/>
    </row>
    <row r="4837" ht="15.75" customHeight="1">
      <c r="B4837" s="63">
        <f t="shared" si="1"/>
        <v>18</v>
      </c>
      <c r="C4837" s="146" t="s">
        <v>266</v>
      </c>
      <c r="D4837" s="147" t="s">
        <v>74</v>
      </c>
      <c r="E4837" s="135">
        <f t="shared" si="59"/>
        <v>31</v>
      </c>
      <c r="F4837" s="134" t="s">
        <v>3876</v>
      </c>
      <c r="G4837" s="63" t="str">
        <f>VLOOKUP(C4837, 'Class Def. - General Data'!$C$20:$C$1000,1,false)</f>
        <v>ZPM1_RibbonBarcode</v>
      </c>
      <c r="H4837" s="63" t="str">
        <f>IFERROR(__xludf.DUMMYFUNCTION("VLOOKUP(F4837, IMPORTRANGE(""https://docs.google.com/spreadsheets/d/1Lhp9OU0JdFf_VYSMzH5lBcEaU4o8teT1piV-SNzShjg/edit?gid=554141278#gid=554141278"", ""'Char Def. - Attributes'!C20:C2242""), 1,false)"),"WEIGHT_UNIT_PM")</f>
        <v>WEIGHT_UNIT_PM</v>
      </c>
      <c r="I4837" s="136"/>
    </row>
    <row r="4838" ht="15.75" customHeight="1">
      <c r="B4838" s="63">
        <f t="shared" si="1"/>
        <v>18</v>
      </c>
      <c r="C4838" s="146" t="s">
        <v>266</v>
      </c>
      <c r="D4838" s="147" t="s">
        <v>74</v>
      </c>
      <c r="E4838" s="135">
        <f t="shared" si="59"/>
        <v>32</v>
      </c>
      <c r="F4838" s="134" t="s">
        <v>3877</v>
      </c>
      <c r="G4838" s="63" t="str">
        <f>VLOOKUP(C4838, 'Class Def. - General Data'!$C$20:$C$1000,1,false)</f>
        <v>ZPM1_RibbonBarcode</v>
      </c>
      <c r="H4838" s="63" t="str">
        <f>IFERROR(__xludf.DUMMYFUNCTION("VLOOKUP(F4838, IMPORTRANGE(""https://docs.google.com/spreadsheets/d/1Lhp9OU0JdFf_VYSMzH5lBcEaU4o8teT1piV-SNzShjg/edit?gid=554141278#gid=554141278"", ""'Char Def. - Attributes'!C20:C2242""), 1,false)"),"VOLUME_OPT")</f>
        <v>VOLUME_OPT</v>
      </c>
      <c r="I4838" s="136"/>
    </row>
    <row r="4839" ht="15.75" customHeight="1">
      <c r="B4839" s="63">
        <f t="shared" si="1"/>
        <v>18</v>
      </c>
      <c r="C4839" s="146" t="s">
        <v>266</v>
      </c>
      <c r="D4839" s="147" t="s">
        <v>74</v>
      </c>
      <c r="E4839" s="135">
        <f t="shared" si="59"/>
        <v>33</v>
      </c>
      <c r="F4839" s="134" t="s">
        <v>3878</v>
      </c>
      <c r="G4839" s="63" t="str">
        <f>VLOOKUP(C4839, 'Class Def. - General Data'!$C$20:$C$1000,1,false)</f>
        <v>ZPM1_RibbonBarcode</v>
      </c>
      <c r="H4839" s="63" t="str">
        <f>IFERROR(__xludf.DUMMYFUNCTION("VLOOKUP(F4839, IMPORTRANGE(""https://docs.google.com/spreadsheets/d/1Lhp9OU0JdFf_VYSMzH5lBcEaU4o8teT1piV-SNzShjg/edit?gid=554141278#gid=554141278"", ""'Char Def. - Attributes'!C20:C2242""), 1,false)"),"VOLUME_UNIT")</f>
        <v>VOLUME_UNIT</v>
      </c>
      <c r="I4839" s="136"/>
    </row>
    <row r="4840" ht="15.75" customHeight="1">
      <c r="B4840" s="63">
        <f t="shared" si="1"/>
        <v>18</v>
      </c>
      <c r="C4840" s="146" t="s">
        <v>266</v>
      </c>
      <c r="D4840" s="147" t="s">
        <v>74</v>
      </c>
      <c r="E4840" s="135">
        <f t="shared" si="59"/>
        <v>34</v>
      </c>
      <c r="F4840" s="134" t="s">
        <v>3879</v>
      </c>
      <c r="G4840" s="63" t="str">
        <f>VLOOKUP(C4840, 'Class Def. - General Data'!$C$20:$C$1000,1,false)</f>
        <v>ZPM1_RibbonBarcode</v>
      </c>
      <c r="H4840" s="63" t="str">
        <f>IFERROR(__xludf.DUMMYFUNCTION("VLOOKUP(F4840, IMPORTRANGE(""https://docs.google.com/spreadsheets/d/1Lhp9OU0JdFf_VYSMzH5lBcEaU4o8teT1piV-SNzShjg/edit?gid=554141278#gid=554141278"", ""'Char Def. - Attributes'!C20:C2242""), 1,false)"),"OLD_MAT_NO_RMPM")</f>
        <v>OLD_MAT_NO_RMPM</v>
      </c>
      <c r="I4840" s="136"/>
    </row>
    <row r="4841" ht="15.75" customHeight="1">
      <c r="B4841" s="63">
        <f t="shared" si="1"/>
        <v>18</v>
      </c>
      <c r="C4841" s="146" t="s">
        <v>266</v>
      </c>
      <c r="D4841" s="147" t="s">
        <v>74</v>
      </c>
      <c r="E4841" s="135">
        <f t="shared" si="59"/>
        <v>35</v>
      </c>
      <c r="F4841" s="134" t="s">
        <v>3880</v>
      </c>
      <c r="G4841" s="63" t="str">
        <f>VLOOKUP(C4841, 'Class Def. - General Data'!$C$20:$C$1000,1,false)</f>
        <v>ZPM1_RibbonBarcode</v>
      </c>
      <c r="H4841" s="63" t="str">
        <f>IFERROR(__xludf.DUMMYFUNCTION("VLOOKUP(F4841, IMPORTRANGE(""https://docs.google.com/spreadsheets/d/1Lhp9OU0JdFf_VYSMzH5lBcEaU4o8teT1piV-SNzShjg/edit?gid=554141278#gid=554141278"", ""'Char Def. - Attributes'!C20:C2242""), 1,false)"),"NOTE_PM")</f>
        <v>NOTE_PM</v>
      </c>
      <c r="I4841" s="136"/>
    </row>
    <row r="4842" ht="15.75" customHeight="1">
      <c r="B4842" s="63">
        <f t="shared" si="1"/>
        <v>18</v>
      </c>
      <c r="C4842" s="146" t="s">
        <v>266</v>
      </c>
      <c r="D4842" s="147" t="s">
        <v>74</v>
      </c>
      <c r="E4842" s="135">
        <f t="shared" si="59"/>
        <v>36</v>
      </c>
      <c r="F4842" s="134" t="s">
        <v>3881</v>
      </c>
      <c r="G4842" s="63" t="str">
        <f>VLOOKUP(C4842, 'Class Def. - General Data'!$C$20:$C$1000,1,false)</f>
        <v>ZPM1_RibbonBarcode</v>
      </c>
      <c r="H4842" s="63" t="str">
        <f>IFERROR(__xludf.DUMMYFUNCTION("VLOOKUP(F4842, IMPORTRANGE(""https://docs.google.com/spreadsheets/d/1Lhp9OU0JdFf_VYSMzH5lBcEaU4o8teT1piV-SNzShjg/edit?gid=554141278#gid=554141278"", ""'Char Def. - Attributes'!C20:C2242""), 1,false)"),"BS_BERSIH")</f>
        <v>BS_BERSIH</v>
      </c>
      <c r="I4842" s="136"/>
    </row>
    <row r="4843" ht="15.75" customHeight="1">
      <c r="B4843" s="63">
        <f t="shared" si="1"/>
        <v>18</v>
      </c>
      <c r="C4843" s="146" t="s">
        <v>266</v>
      </c>
      <c r="D4843" s="147" t="s">
        <v>74</v>
      </c>
      <c r="E4843" s="135">
        <f t="shared" si="59"/>
        <v>37</v>
      </c>
      <c r="F4843" s="134" t="s">
        <v>3882</v>
      </c>
      <c r="G4843" s="63" t="str">
        <f>VLOOKUP(C4843, 'Class Def. - General Data'!$C$20:$C$1000,1,false)</f>
        <v>ZPM1_RibbonBarcode</v>
      </c>
      <c r="H4843" s="63" t="str">
        <f>IFERROR(__xludf.DUMMYFUNCTION("VLOOKUP(F4843, IMPORTRANGE(""https://docs.google.com/spreadsheets/d/1Lhp9OU0JdFf_VYSMzH5lBcEaU4o8teT1piV-SNzShjg/edit?gid=554141278#gid=554141278"", ""'Char Def. - Attributes'!C20:C2242""), 1,false)"),"BS_KOTOR")</f>
        <v>BS_KOTOR</v>
      </c>
      <c r="I4843" s="136"/>
    </row>
    <row r="4844" ht="15.75" customHeight="1">
      <c r="B4844" s="63">
        <f t="shared" si="1"/>
        <v>18</v>
      </c>
      <c r="C4844" s="146" t="s">
        <v>266</v>
      </c>
      <c r="D4844" s="147" t="s">
        <v>74</v>
      </c>
      <c r="E4844" s="135">
        <f t="shared" si="59"/>
        <v>38</v>
      </c>
      <c r="F4844" s="134" t="s">
        <v>3883</v>
      </c>
      <c r="G4844" s="63" t="str">
        <f>VLOOKUP(C4844, 'Class Def. - General Data'!$C$20:$C$1000,1,false)</f>
        <v>ZPM1_RibbonBarcode</v>
      </c>
      <c r="H4844" s="63" t="str">
        <f>IFERROR(__xludf.DUMMYFUNCTION("VLOOKUP(F4844, IMPORTRANGE(""https://docs.google.com/spreadsheets/d/1Lhp9OU0JdFf_VYSMzH5lBcEaU4o8teT1piV-SNzShjg/edit?gid=554141278#gid=554141278"", ""'Char Def. - Attributes'!C20:C2242""), 1,false)"),"BS_SCRAP")</f>
        <v>BS_SCRAP</v>
      </c>
      <c r="I4844" s="136"/>
    </row>
    <row r="4845" ht="15.75" customHeight="1">
      <c r="B4845" s="63">
        <f t="shared" si="1"/>
        <v>13</v>
      </c>
      <c r="C4845" s="146" t="s">
        <v>253</v>
      </c>
      <c r="D4845" s="147" t="s">
        <v>74</v>
      </c>
      <c r="E4845" s="135">
        <f t="shared" si="59"/>
        <v>1</v>
      </c>
      <c r="F4845" s="134" t="s">
        <v>3966</v>
      </c>
      <c r="G4845" s="63" t="str">
        <f>VLOOKUP(C4845, 'Class Def. - General Data'!$C$20:$C$1000,1,false)</f>
        <v>ZPM1_Rol_Tube</v>
      </c>
      <c r="H4845" s="63" t="str">
        <f>IFERROR(__xludf.DUMMYFUNCTION("VLOOKUP(F4845, IMPORTRANGE(""https://docs.google.com/spreadsheets/d/1Lhp9OU0JdFf_VYSMzH5lBcEaU4o8teT1piV-SNzShjg/edit?gid=554141278#gid=554141278"", ""'Char Def. - Attributes'!C20:C2242""), 1,false)"),"MATERIAL_CODE_ROL_TUBE")</f>
        <v>MATERIAL_CODE_ROL_TUBE</v>
      </c>
      <c r="I4845" s="136"/>
    </row>
    <row r="4846" ht="15.75" customHeight="1">
      <c r="B4846" s="63">
        <f t="shared" si="1"/>
        <v>13</v>
      </c>
      <c r="C4846" s="146" t="s">
        <v>253</v>
      </c>
      <c r="D4846" s="147" t="s">
        <v>74</v>
      </c>
      <c r="E4846" s="135">
        <f t="shared" si="59"/>
        <v>2</v>
      </c>
      <c r="F4846" s="134" t="s">
        <v>3852</v>
      </c>
      <c r="G4846" s="63" t="str">
        <f>VLOOKUP(C4846, 'Class Def. - General Data'!$C$20:$C$1000,1,false)</f>
        <v>ZPM1_Rol_Tube</v>
      </c>
      <c r="H4846" s="63" t="str">
        <f>IFERROR(__xludf.DUMMYFUNCTION("VLOOKUP(F4846, IMPORTRANGE(""https://docs.google.com/spreadsheets/d/1Lhp9OU0JdFf_VYSMzH5lBcEaU4o8teT1piV-SNzShjg/edit?gid=554141278#gid=554141278"", ""'Char Def. - Attributes'!C20:C2242""), 1,false)"),"SINGLE_BRAND")</f>
        <v>SINGLE_BRAND</v>
      </c>
      <c r="I4846" s="136"/>
    </row>
    <row r="4847" ht="15.75" customHeight="1">
      <c r="B4847" s="63">
        <f t="shared" si="1"/>
        <v>13</v>
      </c>
      <c r="C4847" s="146" t="s">
        <v>253</v>
      </c>
      <c r="D4847" s="147" t="s">
        <v>74</v>
      </c>
      <c r="E4847" s="135">
        <f t="shared" si="59"/>
        <v>3</v>
      </c>
      <c r="F4847" s="134" t="s">
        <v>3853</v>
      </c>
      <c r="G4847" s="63" t="str">
        <f>VLOOKUP(C4847, 'Class Def. - General Data'!$C$20:$C$1000,1,false)</f>
        <v>ZPM1_Rol_Tube</v>
      </c>
      <c r="H4847" s="63" t="str">
        <f>IFERROR(__xludf.DUMMYFUNCTION("VLOOKUP(F4847, IMPORTRANGE(""https://docs.google.com/spreadsheets/d/1Lhp9OU0JdFf_VYSMzH5lBcEaU4o8teT1piV-SNzShjg/edit?gid=554141278#gid=554141278"", ""'Char Def. - Attributes'!C20:C2242""), 1,false)"),"BRAND_WINGS")</f>
        <v>BRAND_WINGS</v>
      </c>
      <c r="I4847" s="136"/>
    </row>
    <row r="4848" ht="15.75" customHeight="1">
      <c r="B4848" s="63">
        <f t="shared" si="1"/>
        <v>13</v>
      </c>
      <c r="C4848" s="146" t="s">
        <v>253</v>
      </c>
      <c r="D4848" s="147" t="s">
        <v>74</v>
      </c>
      <c r="E4848" s="135">
        <f t="shared" si="59"/>
        <v>4</v>
      </c>
      <c r="F4848" s="143" t="s">
        <v>3854</v>
      </c>
      <c r="G4848" s="63" t="str">
        <f>VLOOKUP(C4848, 'Class Def. - General Data'!$C$20:$C$1000,1,false)</f>
        <v>ZPM1_Rol_Tube</v>
      </c>
      <c r="H4848" s="63" t="str">
        <f>IFERROR(__xludf.DUMMYFUNCTION("VLOOKUP(F4848, IMPORTRANGE(""https://docs.google.com/spreadsheets/d/1Lhp9OU0JdFf_VYSMzH5lBcEaU4o8teT1piV-SNzShjg/edit?gid=554141278#gid=554141278"", ""'Char Def. - Attributes'!C20:C2242""), 1,false)"),"SINGLE_PACK_SHAPE")</f>
        <v>SINGLE_PACK_SHAPE</v>
      </c>
      <c r="I4848" s="136"/>
    </row>
    <row r="4849" ht="15.75" customHeight="1">
      <c r="B4849" s="63">
        <f t="shared" si="1"/>
        <v>13</v>
      </c>
      <c r="C4849" s="146" t="s">
        <v>253</v>
      </c>
      <c r="D4849" s="147" t="s">
        <v>74</v>
      </c>
      <c r="E4849" s="135">
        <f t="shared" si="59"/>
        <v>5</v>
      </c>
      <c r="F4849" s="143" t="s">
        <v>3855</v>
      </c>
      <c r="G4849" s="63" t="str">
        <f>VLOOKUP(C4849, 'Class Def. - General Data'!$C$20:$C$1000,1,false)</f>
        <v>ZPM1_Rol_Tube</v>
      </c>
      <c r="H4849" s="63" t="str">
        <f>IFERROR(__xludf.DUMMYFUNCTION("VLOOKUP(F4849, IMPORTRANGE(""https://docs.google.com/spreadsheets/d/1Lhp9OU0JdFf_VYSMzH5lBcEaU4o8teT1piV-SNzShjg/edit?gid=554141278#gid=554141278"", ""'Char Def. - Attributes'!C20:C2242""), 1,false)"),"PACK_SHAPE")</f>
        <v>PACK_SHAPE</v>
      </c>
      <c r="I4849" s="136"/>
    </row>
    <row r="4850" ht="15.75" customHeight="1">
      <c r="B4850" s="63">
        <f t="shared" si="1"/>
        <v>13</v>
      </c>
      <c r="C4850" s="146" t="s">
        <v>253</v>
      </c>
      <c r="D4850" s="147" t="s">
        <v>74</v>
      </c>
      <c r="E4850" s="135">
        <f t="shared" si="59"/>
        <v>6</v>
      </c>
      <c r="F4850" s="143" t="s">
        <v>3856</v>
      </c>
      <c r="G4850" s="63" t="str">
        <f>VLOOKUP(C4850, 'Class Def. - General Data'!$C$20:$C$1000,1,false)</f>
        <v>ZPM1_Rol_Tube</v>
      </c>
      <c r="H4850" s="63" t="str">
        <f>IFERROR(__xludf.DUMMYFUNCTION("VLOOKUP(F4850, IMPORTRANGE(""https://docs.google.com/spreadsheets/d/1Lhp9OU0JdFf_VYSMzH5lBcEaU4o8teT1piV-SNzShjg/edit?gid=554141278#gid=554141278"", ""'Char Def. - Attributes'!C20:C2242""), 1,false)"),"SINGLE_PACK_NETTO")</f>
        <v>SINGLE_PACK_NETTO</v>
      </c>
      <c r="I4850" s="136"/>
    </row>
    <row r="4851" ht="15.75" customHeight="1">
      <c r="B4851" s="63">
        <f t="shared" si="1"/>
        <v>13</v>
      </c>
      <c r="C4851" s="146" t="s">
        <v>253</v>
      </c>
      <c r="D4851" s="147" t="s">
        <v>74</v>
      </c>
      <c r="E4851" s="135">
        <f t="shared" si="59"/>
        <v>7</v>
      </c>
      <c r="F4851" s="143" t="s">
        <v>3605</v>
      </c>
      <c r="G4851" s="63" t="str">
        <f>VLOOKUP(C4851, 'Class Def. - General Data'!$C$20:$C$1000,1,false)</f>
        <v>ZPM1_Rol_Tube</v>
      </c>
      <c r="H4851" s="63" t="str">
        <f>IFERROR(__xludf.DUMMYFUNCTION("VLOOKUP(F4851, IMPORTRANGE(""https://docs.google.com/spreadsheets/d/1Lhp9OU0JdFf_VYSMzH5lBcEaU4o8teT1piV-SNzShjg/edit?gid=554141278#gid=554141278"", ""'Char Def. - Attributes'!C20:C2242""), 1,false)"),"PACK_NETTO")</f>
        <v>PACK_NETTO</v>
      </c>
      <c r="I4851" s="136"/>
    </row>
    <row r="4852" ht="15.75" customHeight="1">
      <c r="B4852" s="63">
        <f t="shared" si="1"/>
        <v>13</v>
      </c>
      <c r="C4852" s="146" t="s">
        <v>253</v>
      </c>
      <c r="D4852" s="147" t="s">
        <v>74</v>
      </c>
      <c r="E4852" s="135">
        <f t="shared" si="59"/>
        <v>8</v>
      </c>
      <c r="F4852" s="143" t="s">
        <v>3857</v>
      </c>
      <c r="G4852" s="63" t="str">
        <f>VLOOKUP(C4852, 'Class Def. - General Data'!$C$20:$C$1000,1,false)</f>
        <v>ZPM1_Rol_Tube</v>
      </c>
      <c r="H4852" s="63" t="str">
        <f>IFERROR(__xludf.DUMMYFUNCTION("VLOOKUP(F4852, IMPORTRANGE(""https://docs.google.com/spreadsheets/d/1Lhp9OU0JdFf_VYSMzH5lBcEaU4o8teT1piV-SNzShjg/edit?gid=554141278#gid=554141278"", ""'Char Def. - Attributes'!C20:C2242""), 1,false)"),"PACK_UOM")</f>
        <v>PACK_UOM</v>
      </c>
      <c r="I4852" s="136"/>
    </row>
    <row r="4853" ht="15.75" customHeight="1">
      <c r="B4853" s="63">
        <f t="shared" si="1"/>
        <v>13</v>
      </c>
      <c r="C4853" s="146" t="s">
        <v>253</v>
      </c>
      <c r="D4853" s="147" t="s">
        <v>74</v>
      </c>
      <c r="E4853" s="135">
        <f t="shared" si="59"/>
        <v>9</v>
      </c>
      <c r="F4853" s="143" t="s">
        <v>3858</v>
      </c>
      <c r="G4853" s="63" t="str">
        <f>VLOOKUP(C4853, 'Class Def. - General Data'!$C$20:$C$1000,1,false)</f>
        <v>ZPM1_Rol_Tube</v>
      </c>
      <c r="H4853" s="63" t="str">
        <f>IFERROR(__xludf.DUMMYFUNCTION("VLOOKUP(F4853, IMPORTRANGE(""https://docs.google.com/spreadsheets/d/1Lhp9OU0JdFf_VYSMzH5lBcEaU4o8teT1piV-SNzShjg/edit?gid=554141278#gid=554141278"", ""'Char Def. - Attributes'!C20:C2242""), 1,false)"),"SINGLE_VARIAN")</f>
        <v>SINGLE_VARIAN</v>
      </c>
      <c r="I4853" s="136"/>
    </row>
    <row r="4854" ht="15.75" customHeight="1">
      <c r="B4854" s="63">
        <f t="shared" si="1"/>
        <v>13</v>
      </c>
      <c r="C4854" s="146" t="s">
        <v>253</v>
      </c>
      <c r="D4854" s="147" t="s">
        <v>74</v>
      </c>
      <c r="E4854" s="135">
        <f t="shared" si="59"/>
        <v>10</v>
      </c>
      <c r="F4854" s="143" t="s">
        <v>3607</v>
      </c>
      <c r="G4854" s="63" t="str">
        <f>VLOOKUP(C4854, 'Class Def. - General Data'!$C$20:$C$1000,1,false)</f>
        <v>ZPM1_Rol_Tube</v>
      </c>
      <c r="H4854" s="63" t="str">
        <f>IFERROR(__xludf.DUMMYFUNCTION("VLOOKUP(F4854, IMPORTRANGE(""https://docs.google.com/spreadsheets/d/1Lhp9OU0JdFf_VYSMzH5lBcEaU4o8teT1piV-SNzShjg/edit?gid=554141278#gid=554141278"", ""'Char Def. - Attributes'!C20:C2242""), 1,false)"),"VARIAN")</f>
        <v>VARIAN</v>
      </c>
      <c r="I4854" s="136"/>
    </row>
    <row r="4855" ht="15.75" customHeight="1">
      <c r="B4855" s="63">
        <f t="shared" si="1"/>
        <v>13</v>
      </c>
      <c r="C4855" s="146" t="s">
        <v>253</v>
      </c>
      <c r="D4855" s="147" t="s">
        <v>74</v>
      </c>
      <c r="E4855" s="135">
        <f t="shared" si="59"/>
        <v>11</v>
      </c>
      <c r="F4855" s="143" t="s">
        <v>3859</v>
      </c>
      <c r="G4855" s="63" t="str">
        <f>VLOOKUP(C4855, 'Class Def. - General Data'!$C$20:$C$1000,1,false)</f>
        <v>ZPM1_Rol_Tube</v>
      </c>
      <c r="H4855" s="63" t="str">
        <f>IFERROR(__xludf.DUMMYFUNCTION("VLOOKUP(F4855, IMPORTRANGE(""https://docs.google.com/spreadsheets/d/1Lhp9OU0JdFf_VYSMzH5lBcEaU4o8teT1piV-SNzShjg/edit?gid=554141278#gid=554141278"", ""'Char Def. - Attributes'!C20:C2242""), 1,false)"),"ADA_ADDITIONAL_PROMO")</f>
        <v>ADA_ADDITIONAL_PROMO</v>
      </c>
      <c r="I4855" s="136"/>
    </row>
    <row r="4856" ht="15.75" customHeight="1">
      <c r="B4856" s="63">
        <f t="shared" si="1"/>
        <v>13</v>
      </c>
      <c r="C4856" s="146" t="s">
        <v>253</v>
      </c>
      <c r="D4856" s="147" t="s">
        <v>74</v>
      </c>
      <c r="E4856" s="135">
        <f t="shared" si="59"/>
        <v>12</v>
      </c>
      <c r="F4856" s="143" t="s">
        <v>3609</v>
      </c>
      <c r="G4856" s="63" t="str">
        <f>VLOOKUP(C4856, 'Class Def. - General Data'!$C$20:$C$1000,1,false)</f>
        <v>ZPM1_Rol_Tube</v>
      </c>
      <c r="H4856" s="63" t="str">
        <f>IFERROR(__xludf.DUMMYFUNCTION("VLOOKUP(F4856, IMPORTRANGE(""https://docs.google.com/spreadsheets/d/1Lhp9OU0JdFf_VYSMzH5lBcEaU4o8teT1piV-SNzShjg/edit?gid=554141278#gid=554141278"", ""'Char Def. - Attributes'!C20:C2242""), 1,false)"),"ADDITIONAL_PROMO")</f>
        <v>ADDITIONAL_PROMO</v>
      </c>
      <c r="I4856" s="136"/>
    </row>
    <row r="4857" ht="15.75" customHeight="1">
      <c r="B4857" s="63">
        <f t="shared" si="1"/>
        <v>13</v>
      </c>
      <c r="C4857" s="146" t="s">
        <v>253</v>
      </c>
      <c r="D4857" s="147" t="s">
        <v>74</v>
      </c>
      <c r="E4857" s="135">
        <f t="shared" si="59"/>
        <v>13</v>
      </c>
      <c r="F4857" s="143" t="s">
        <v>3860</v>
      </c>
      <c r="G4857" s="63" t="str">
        <f>VLOOKUP(C4857, 'Class Def. - General Data'!$C$20:$C$1000,1,false)</f>
        <v>ZPM1_Rol_Tube</v>
      </c>
      <c r="H4857" s="63" t="str">
        <f>IFERROR(__xludf.DUMMYFUNCTION("VLOOKUP(F4857, IMPORTRANGE(""https://docs.google.com/spreadsheets/d/1Lhp9OU0JdFf_VYSMzH5lBcEaU4o8teT1piV-SNzShjg/edit?gid=554141278#gid=554141278"", ""'Char Def. - Attributes'!C20:C2242""), 1,false)"),"ADA_BANDED_PROMO")</f>
        <v>ADA_BANDED_PROMO</v>
      </c>
      <c r="I4857" s="136"/>
    </row>
    <row r="4858" ht="15.75" customHeight="1">
      <c r="B4858" s="63">
        <f t="shared" si="1"/>
        <v>13</v>
      </c>
      <c r="C4858" s="146" t="s">
        <v>253</v>
      </c>
      <c r="D4858" s="147" t="s">
        <v>74</v>
      </c>
      <c r="E4858" s="135">
        <f t="shared" si="59"/>
        <v>14</v>
      </c>
      <c r="F4858" s="143" t="s">
        <v>3610</v>
      </c>
      <c r="G4858" s="63" t="str">
        <f>VLOOKUP(C4858, 'Class Def. - General Data'!$C$20:$C$1000,1,false)</f>
        <v>ZPM1_Rol_Tube</v>
      </c>
      <c r="H4858" s="63" t="str">
        <f>IFERROR(__xludf.DUMMYFUNCTION("VLOOKUP(F4858, IMPORTRANGE(""https://docs.google.com/spreadsheets/d/1Lhp9OU0JdFf_VYSMzH5lBcEaU4o8teT1piV-SNzShjg/edit?gid=554141278#gid=554141278"", ""'Char Def. - Attributes'!C20:C2242""), 1,false)"),"BANDED_PROMO")</f>
        <v>BANDED_PROMO</v>
      </c>
      <c r="I4858" s="136"/>
    </row>
    <row r="4859" ht="15.75" customHeight="1">
      <c r="B4859" s="63">
        <f t="shared" si="1"/>
        <v>13</v>
      </c>
      <c r="C4859" s="146" t="s">
        <v>253</v>
      </c>
      <c r="D4859" s="147" t="s">
        <v>74</v>
      </c>
      <c r="E4859" s="135">
        <f t="shared" si="59"/>
        <v>15</v>
      </c>
      <c r="F4859" s="143" t="s">
        <v>1292</v>
      </c>
      <c r="G4859" s="63" t="str">
        <f>VLOOKUP(C4859, 'Class Def. - General Data'!$C$20:$C$1000,1,false)</f>
        <v>ZPM1_Rol_Tube</v>
      </c>
      <c r="H4859" s="63" t="str">
        <f>IFERROR(__xludf.DUMMYFUNCTION("VLOOKUP(F4859, IMPORTRANGE(""https://docs.google.com/spreadsheets/d/1Lhp9OU0JdFf_VYSMzH5lBcEaU4o8teT1piV-SNzShjg/edit?gid=554141278#gid=554141278"", ""'Char Def. - Attributes'!C20:C2242""), 1,false)"),"EXPORT")</f>
        <v>EXPORT</v>
      </c>
      <c r="I4859" s="136"/>
    </row>
    <row r="4860" ht="15.75" customHeight="1">
      <c r="B4860" s="63">
        <f t="shared" si="1"/>
        <v>13</v>
      </c>
      <c r="C4860" s="146" t="s">
        <v>253</v>
      </c>
      <c r="D4860" s="147" t="s">
        <v>74</v>
      </c>
      <c r="E4860" s="135">
        <f t="shared" si="59"/>
        <v>16</v>
      </c>
      <c r="F4860" s="143" t="s">
        <v>3612</v>
      </c>
      <c r="G4860" s="63" t="str">
        <f>VLOOKUP(C4860, 'Class Def. - General Data'!$C$20:$C$1000,1,false)</f>
        <v>ZPM1_Rol_Tube</v>
      </c>
      <c r="H4860" s="63" t="str">
        <f>IFERROR(__xludf.DUMMYFUNCTION("VLOOKUP(F4860, IMPORTRANGE(""https://docs.google.com/spreadsheets/d/1Lhp9OU0JdFf_VYSMzH5lBcEaU4o8teT1piV-SNzShjg/edit?gid=554141278#gid=554141278"", ""'Char Def. - Attributes'!C20:C2242""), 1,false)"),"COUNTRY_EKSPOR")</f>
        <v>COUNTRY_EKSPOR</v>
      </c>
      <c r="I4860" s="136"/>
    </row>
    <row r="4861" ht="15.75" customHeight="1">
      <c r="B4861" s="63">
        <f t="shared" si="1"/>
        <v>13</v>
      </c>
      <c r="C4861" s="146" t="s">
        <v>253</v>
      </c>
      <c r="D4861" s="147" t="s">
        <v>74</v>
      </c>
      <c r="E4861" s="135">
        <f t="shared" si="59"/>
        <v>17</v>
      </c>
      <c r="F4861" s="143" t="s">
        <v>3861</v>
      </c>
      <c r="G4861" s="63" t="str">
        <f>VLOOKUP(C4861, 'Class Def. - General Data'!$C$20:$C$1000,1,false)</f>
        <v>ZPM1_Rol_Tube</v>
      </c>
      <c r="H4861" s="63" t="str">
        <f>IFERROR(__xludf.DUMMYFUNCTION("VLOOKUP(F4861, IMPORTRANGE(""https://docs.google.com/spreadsheets/d/1Lhp9OU0JdFf_VYSMzH5lBcEaU4o8teT1piV-SNzShjg/edit?gid=554141278#gid=554141278"", ""'Char Def. - Attributes'!C20:C2242""), 1,false)"),"PEMBATAS")</f>
        <v>PEMBATAS</v>
      </c>
      <c r="I4861" s="136"/>
    </row>
    <row r="4862" ht="15.75" customHeight="1">
      <c r="B4862" s="63">
        <f t="shared" si="1"/>
        <v>13</v>
      </c>
      <c r="C4862" s="146" t="s">
        <v>253</v>
      </c>
      <c r="D4862" s="147" t="s">
        <v>74</v>
      </c>
      <c r="E4862" s="135">
        <f t="shared" si="59"/>
        <v>18</v>
      </c>
      <c r="F4862" s="143" t="s">
        <v>3967</v>
      </c>
      <c r="G4862" s="63" t="str">
        <f>VLOOKUP(C4862, 'Class Def. - General Data'!$C$20:$C$1000,1,false)</f>
        <v>ZPM1_Rol_Tube</v>
      </c>
      <c r="H4862" s="63" t="str">
        <f>IFERROR(__xludf.DUMMYFUNCTION("VLOOKUP(F4862, IMPORTRANGE(""https://docs.google.com/spreadsheets/d/1Lhp9OU0JdFf_VYSMzH5lBcEaU4o8teT1piV-SNzShjg/edit?gid=554141278#gid=554141278"", ""'Char Def. - Attributes'!C20:C2242""), 1,false)"),"INNER_CONTENT")</f>
        <v>INNER_CONTENT</v>
      </c>
      <c r="I4862" s="136"/>
    </row>
    <row r="4863" ht="15.75" customHeight="1">
      <c r="B4863" s="63">
        <f t="shared" si="1"/>
        <v>13</v>
      </c>
      <c r="C4863" s="146" t="s">
        <v>253</v>
      </c>
      <c r="D4863" s="147" t="s">
        <v>74</v>
      </c>
      <c r="E4863" s="135">
        <f t="shared" si="59"/>
        <v>19</v>
      </c>
      <c r="F4863" s="143" t="s">
        <v>3888</v>
      </c>
      <c r="G4863" s="63" t="str">
        <f>VLOOKUP(C4863, 'Class Def. - General Data'!$C$20:$C$1000,1,false)</f>
        <v>ZPM1_Rol_Tube</v>
      </c>
      <c r="H4863" s="63" t="str">
        <f>IFERROR(__xludf.DUMMYFUNCTION("VLOOKUP(F4863, IMPORTRANGE(""https://docs.google.com/spreadsheets/d/1Lhp9OU0JdFf_VYSMzH5lBcEaU4o8teT1piV-SNzShjg/edit?gid=554141278#gid=554141278"", ""'Char Def. - Attributes'!C20:C2242""), 1,false)"),"PACK_CODE_OPT")</f>
        <v>PACK_CODE_OPT</v>
      </c>
      <c r="I4863" s="136"/>
    </row>
    <row r="4864" ht="15.75" customHeight="1">
      <c r="B4864" s="63">
        <f t="shared" si="1"/>
        <v>13</v>
      </c>
      <c r="C4864" s="146" t="s">
        <v>253</v>
      </c>
      <c r="D4864" s="147" t="s">
        <v>74</v>
      </c>
      <c r="E4864" s="135">
        <f t="shared" si="59"/>
        <v>20</v>
      </c>
      <c r="F4864" s="143" t="s">
        <v>3941</v>
      </c>
      <c r="G4864" s="63" t="str">
        <f>VLOOKUP(C4864, 'Class Def. - General Data'!$C$20:$C$1000,1,false)</f>
        <v>ZPM1_Rol_Tube</v>
      </c>
      <c r="H4864" s="63" t="str">
        <f>IFERROR(__xludf.DUMMYFUNCTION("VLOOKUP(F4864, IMPORTRANGE(""https://docs.google.com/spreadsheets/d/1Lhp9OU0JdFf_VYSMzH5lBcEaU4o8teT1piV-SNzShjg/edit?gid=554141278#gid=554141278"", ""'Char Def. - Attributes'!C20:C2242""), 1,false)"),"LENGTH_M")</f>
        <v>LENGTH_M</v>
      </c>
      <c r="I4864" s="136"/>
    </row>
    <row r="4865" ht="15.75" customHeight="1">
      <c r="B4865" s="63">
        <f t="shared" si="1"/>
        <v>13</v>
      </c>
      <c r="C4865" s="146" t="s">
        <v>253</v>
      </c>
      <c r="D4865" s="147" t="s">
        <v>74</v>
      </c>
      <c r="E4865" s="135">
        <f t="shared" si="59"/>
        <v>21</v>
      </c>
      <c r="F4865" s="143" t="s">
        <v>3968</v>
      </c>
      <c r="G4865" s="63" t="str">
        <f>VLOOKUP(C4865, 'Class Def. - General Data'!$C$20:$C$1000,1,false)</f>
        <v>ZPM1_Rol_Tube</v>
      </c>
      <c r="H4865" s="63" t="str">
        <f>IFERROR(__xludf.DUMMYFUNCTION("VLOOKUP(F4865, IMPORTRANGE(""https://docs.google.com/spreadsheets/d/1Lhp9OU0JdFf_VYSMzH5lBcEaU4o8teT1piV-SNzShjg/edit?gid=554141278#gid=554141278"", ""'Char Def. - Attributes'!C20:C2242""), 1,false)"),"MACHINE_LINES")</f>
        <v>MACHINE_LINES</v>
      </c>
      <c r="I4865" s="136"/>
    </row>
    <row r="4866" ht="15.75" customHeight="1">
      <c r="B4866" s="63">
        <f t="shared" si="1"/>
        <v>13</v>
      </c>
      <c r="C4866" s="146" t="s">
        <v>253</v>
      </c>
      <c r="D4866" s="147" t="s">
        <v>74</v>
      </c>
      <c r="E4866" s="135">
        <f t="shared" si="59"/>
        <v>22</v>
      </c>
      <c r="F4866" s="143" t="s">
        <v>3969</v>
      </c>
      <c r="G4866" s="63" t="str">
        <f>VLOOKUP(C4866, 'Class Def. - General Data'!$C$20:$C$1000,1,false)</f>
        <v>ZPM1_Rol_Tube</v>
      </c>
      <c r="H4866" s="63" t="str">
        <f>IFERROR(__xludf.DUMMYFUNCTION("VLOOKUP(F4866, IMPORTRANGE(""https://docs.google.com/spreadsheets/d/1Lhp9OU0JdFf_VYSMzH5lBcEaU4o8teT1piV-SNzShjg/edit?gid=554141278#gid=554141278"", ""'Char Def. - Attributes'!C20:C2242""), 1,false)"),"FRONT_BACK")</f>
        <v>FRONT_BACK</v>
      </c>
      <c r="I4866" s="136"/>
    </row>
    <row r="4867" ht="15.75" customHeight="1">
      <c r="B4867" s="63">
        <f t="shared" si="1"/>
        <v>13</v>
      </c>
      <c r="C4867" s="146" t="s">
        <v>253</v>
      </c>
      <c r="D4867" s="147" t="s">
        <v>74</v>
      </c>
      <c r="E4867" s="135">
        <f t="shared" si="59"/>
        <v>23</v>
      </c>
      <c r="F4867" s="143" t="s">
        <v>3862</v>
      </c>
      <c r="G4867" s="63" t="str">
        <f>VLOOKUP(C4867, 'Class Def. - General Data'!$C$20:$C$1000,1,false)</f>
        <v>ZPM1_Rol_Tube</v>
      </c>
      <c r="H4867" s="63" t="str">
        <f>IFERROR(__xludf.DUMMYFUNCTION("VLOOKUP(F4867, IMPORTRANGE(""https://docs.google.com/spreadsheets/d/1Lhp9OU0JdFf_VYSMzH5lBcEaU4o8teT1piV-SNzShjg/edit?gid=554141278#gid=554141278"", ""'Char Def. - Attributes'!C20:C2242""), 1,false)"),"MONTH")</f>
        <v>MONTH</v>
      </c>
      <c r="I4867" s="136"/>
    </row>
    <row r="4868" ht="15.75" customHeight="1">
      <c r="B4868" s="63">
        <f t="shared" si="1"/>
        <v>13</v>
      </c>
      <c r="C4868" s="146" t="s">
        <v>253</v>
      </c>
      <c r="D4868" s="147" t="s">
        <v>74</v>
      </c>
      <c r="E4868" s="135">
        <f t="shared" si="59"/>
        <v>24</v>
      </c>
      <c r="F4868" s="143" t="s">
        <v>3863</v>
      </c>
      <c r="G4868" s="63" t="str">
        <f>VLOOKUP(C4868, 'Class Def. - General Data'!$C$20:$C$1000,1,false)</f>
        <v>ZPM1_Rol_Tube</v>
      </c>
      <c r="H4868" s="63" t="str">
        <f>IFERROR(__xludf.DUMMYFUNCTION("VLOOKUP(F4868, IMPORTRANGE(""https://docs.google.com/spreadsheets/d/1Lhp9OU0JdFf_VYSMzH5lBcEaU4o8teT1piV-SNzShjg/edit?gid=554141278#gid=554141278"", ""'Char Def. - Attributes'!C20:C2242""), 1,false)"),"YEAR")</f>
        <v>YEAR</v>
      </c>
      <c r="I4868" s="136"/>
    </row>
    <row r="4869" ht="15.75" customHeight="1">
      <c r="B4869" s="63">
        <f t="shared" si="1"/>
        <v>13</v>
      </c>
      <c r="C4869" s="146" t="s">
        <v>253</v>
      </c>
      <c r="D4869" s="147" t="s">
        <v>74</v>
      </c>
      <c r="E4869" s="135">
        <f t="shared" si="59"/>
        <v>25</v>
      </c>
      <c r="F4869" s="143" t="s">
        <v>3890</v>
      </c>
      <c r="G4869" s="63" t="str">
        <f>VLOOKUP(C4869, 'Class Def. - General Data'!$C$20:$C$1000,1,false)</f>
        <v>ZPM1_Rol_Tube</v>
      </c>
      <c r="H4869" s="63" t="str">
        <f>IFERROR(__xludf.DUMMYFUNCTION("VLOOKUP(F4869, IMPORTRANGE(""https://docs.google.com/spreadsheets/d/1Lhp9OU0JdFf_VYSMzH5lBcEaU4o8teT1piV-SNzShjg/edit?gid=554141278#gid=554141278"", ""'Char Def. - Attributes'!C20:C2242""), 1,false)"),"EXT_MAT_GRP")</f>
        <v>EXT_MAT_GRP</v>
      </c>
      <c r="I4869" s="136"/>
    </row>
    <row r="4870" ht="15.75" customHeight="1">
      <c r="B4870" s="63">
        <f t="shared" si="1"/>
        <v>13</v>
      </c>
      <c r="C4870" s="146" t="s">
        <v>253</v>
      </c>
      <c r="D4870" s="147" t="s">
        <v>74</v>
      </c>
      <c r="E4870" s="135">
        <f t="shared" si="59"/>
        <v>26</v>
      </c>
      <c r="F4870" s="143" t="s">
        <v>3891</v>
      </c>
      <c r="G4870" s="63" t="str">
        <f>VLOOKUP(C4870, 'Class Def. - General Data'!$C$20:$C$1000,1,false)</f>
        <v>ZPM1_Rol_Tube</v>
      </c>
      <c r="H4870" s="63" t="str">
        <f>IFERROR(__xludf.DUMMYFUNCTION("VLOOKUP(F4870, IMPORTRANGE(""https://docs.google.com/spreadsheets/d/1Lhp9OU0JdFf_VYSMzH5lBcEaU4o8teT1piV-SNzShjg/edit?gid=554141278#gid=554141278"", ""'Char Def. - Attributes'!C20:C2242""), 1,false)"),"GENERAL_SPEC")</f>
        <v>GENERAL_SPEC</v>
      </c>
      <c r="I4870" s="136"/>
    </row>
    <row r="4871" ht="15.75" customHeight="1">
      <c r="B4871" s="63">
        <f t="shared" si="1"/>
        <v>13</v>
      </c>
      <c r="C4871" s="146" t="s">
        <v>253</v>
      </c>
      <c r="D4871" s="147" t="s">
        <v>74</v>
      </c>
      <c r="E4871" s="135">
        <f t="shared" si="59"/>
        <v>27</v>
      </c>
      <c r="F4871" s="143" t="s">
        <v>3892</v>
      </c>
      <c r="G4871" s="63" t="str">
        <f>VLOOKUP(C4871, 'Class Def. - General Data'!$C$20:$C$1000,1,false)</f>
        <v>ZPM1_Rol_Tube</v>
      </c>
      <c r="H4871" s="63" t="str">
        <f>IFERROR(__xludf.DUMMYFUNCTION("VLOOKUP(F4871, IMPORTRANGE(""https://docs.google.com/spreadsheets/d/1Lhp9OU0JdFf_VYSMzH5lBcEaU4o8teT1piV-SNzShjg/edit?gid=554141278#gid=554141278"", ""'Char Def. - Attributes'!C20:C2242""), 1,false)"),"COLOR_COUNT")</f>
        <v>COLOR_COUNT</v>
      </c>
      <c r="I4871" s="136"/>
    </row>
    <row r="4872" ht="15.75" customHeight="1">
      <c r="B4872" s="63">
        <f t="shared" si="1"/>
        <v>13</v>
      </c>
      <c r="C4872" s="146" t="s">
        <v>253</v>
      </c>
      <c r="D4872" s="147" t="s">
        <v>74</v>
      </c>
      <c r="E4872" s="135">
        <f t="shared" si="59"/>
        <v>28</v>
      </c>
      <c r="F4872" s="143" t="s">
        <v>3893</v>
      </c>
      <c r="G4872" s="63" t="str">
        <f>VLOOKUP(C4872, 'Class Def. - General Data'!$C$20:$C$1000,1,false)</f>
        <v>ZPM1_Rol_Tube</v>
      </c>
      <c r="H4872" s="63" t="str">
        <f>IFERROR(__xludf.DUMMYFUNCTION("VLOOKUP(F4872, IMPORTRANGE(""https://docs.google.com/spreadsheets/d/1Lhp9OU0JdFf_VYSMzH5lBcEaU4o8teT1piV-SNzShjg/edit?gid=554141278#gid=554141278"", ""'Char Def. - Attributes'!C20:C2242""), 1,false)"),"FLEX_UOM")</f>
        <v>FLEX_UOM</v>
      </c>
      <c r="I4872" s="136"/>
    </row>
    <row r="4873" ht="15.75" customHeight="1">
      <c r="B4873" s="63">
        <f t="shared" si="1"/>
        <v>13</v>
      </c>
      <c r="C4873" s="146" t="s">
        <v>253</v>
      </c>
      <c r="D4873" s="147" t="s">
        <v>74</v>
      </c>
      <c r="E4873" s="135">
        <f t="shared" si="59"/>
        <v>29</v>
      </c>
      <c r="F4873" s="143" t="s">
        <v>3894</v>
      </c>
      <c r="G4873" s="63" t="str">
        <f>VLOOKUP(C4873, 'Class Def. - General Data'!$C$20:$C$1000,1,false)</f>
        <v>ZPM1_Rol_Tube</v>
      </c>
      <c r="H4873" s="63" t="str">
        <f>IFERROR(__xludf.DUMMYFUNCTION("VLOOKUP(F4873, IMPORTRANGE(""https://docs.google.com/spreadsheets/d/1Lhp9OU0JdFf_VYSMzH5lBcEaU4o8teT1piV-SNzShjg/edit?gid=554141278#gid=554141278"", ""'Char Def. - Attributes'!C20:C2242""), 1,false)"),"FLEX_COMPLEXITY")</f>
        <v>FLEX_COMPLEXITY</v>
      </c>
      <c r="I4873" s="136"/>
    </row>
    <row r="4874" ht="15.75" customHeight="1">
      <c r="B4874" s="63">
        <f t="shared" si="1"/>
        <v>13</v>
      </c>
      <c r="C4874" s="146" t="s">
        <v>253</v>
      </c>
      <c r="D4874" s="147" t="s">
        <v>74</v>
      </c>
      <c r="E4874" s="135">
        <f t="shared" si="59"/>
        <v>30</v>
      </c>
      <c r="F4874" s="143" t="s">
        <v>3587</v>
      </c>
      <c r="G4874" s="63" t="str">
        <f>VLOOKUP(C4874, 'Class Def. - General Data'!$C$20:$C$1000,1,false)</f>
        <v>ZPM1_Rol_Tube</v>
      </c>
      <c r="H4874" s="63" t="str">
        <f>IFERROR(__xludf.DUMMYFUNCTION("VLOOKUP(F4874, IMPORTRANGE(""https://docs.google.com/spreadsheets/d/1Lhp9OU0JdFf_VYSMzH5lBcEaU4o8teT1piV-SNzShjg/edit?gid=554141278#gid=554141278"", ""'Char Def. - Attributes'!C20:C2242""), 1,false)"),"PLANT_BUY")</f>
        <v>PLANT_BUY</v>
      </c>
      <c r="I4874" s="136"/>
    </row>
    <row r="4875" ht="15.75" customHeight="1">
      <c r="B4875" s="63">
        <f t="shared" si="1"/>
        <v>13</v>
      </c>
      <c r="C4875" s="146" t="s">
        <v>253</v>
      </c>
      <c r="D4875" s="147" t="s">
        <v>74</v>
      </c>
      <c r="E4875" s="135">
        <f t="shared" si="59"/>
        <v>31</v>
      </c>
      <c r="F4875" s="143" t="s">
        <v>3865</v>
      </c>
      <c r="G4875" s="63" t="str">
        <f>VLOOKUP(C4875, 'Class Def. - General Data'!$C$20:$C$1000,1,false)</f>
        <v>ZPM1_Rol_Tube</v>
      </c>
      <c r="H4875" s="63" t="str">
        <f>IFERROR(__xludf.DUMMYFUNCTION("VLOOKUP(F4875, IMPORTRANGE(""https://docs.google.com/spreadsheets/d/1Lhp9OU0JdFf_VYSMzH5lBcEaU4o8teT1piV-SNzShjg/edit?gid=554141278#gid=554141278"", ""'Char Def. - Attributes'!C20:C2242""), 1,false)"),"PLANT_PROD_OPT")</f>
        <v>PLANT_PROD_OPT</v>
      </c>
      <c r="I4875" s="136"/>
    </row>
    <row r="4876" ht="15.75" customHeight="1">
      <c r="B4876" s="63">
        <f t="shared" si="1"/>
        <v>13</v>
      </c>
      <c r="C4876" s="146" t="s">
        <v>253</v>
      </c>
      <c r="D4876" s="147" t="s">
        <v>74</v>
      </c>
      <c r="E4876" s="135">
        <f t="shared" si="59"/>
        <v>32</v>
      </c>
      <c r="F4876" s="143" t="s">
        <v>3866</v>
      </c>
      <c r="G4876" s="63" t="str">
        <f>VLOOKUP(C4876, 'Class Def. - General Data'!$C$20:$C$1000,1,false)</f>
        <v>ZPM1_Rol_Tube</v>
      </c>
      <c r="H4876" s="63" t="str">
        <f>IFERROR(__xludf.DUMMYFUNCTION("VLOOKUP(F4876, IMPORTRANGE(""https://docs.google.com/spreadsheets/d/1Lhp9OU0JdFf_VYSMzH5lBcEaU4o8teT1piV-SNzShjg/edit?gid=554141278#gid=554141278"", ""'Char Def. - Attributes'!C20:C2242""), 1,false)"),"PM_SUPPLY_JKT")</f>
        <v>PM_SUPPLY_JKT</v>
      </c>
      <c r="I4876" s="136"/>
    </row>
    <row r="4877" ht="15.75" customHeight="1">
      <c r="B4877" s="63">
        <f t="shared" si="1"/>
        <v>13</v>
      </c>
      <c r="C4877" s="146" t="s">
        <v>253</v>
      </c>
      <c r="D4877" s="147" t="s">
        <v>74</v>
      </c>
      <c r="E4877" s="135">
        <f t="shared" si="59"/>
        <v>33</v>
      </c>
      <c r="F4877" s="143" t="s">
        <v>3867</v>
      </c>
      <c r="G4877" s="63" t="str">
        <f>VLOOKUP(C4877, 'Class Def. - General Data'!$C$20:$C$1000,1,false)</f>
        <v>ZPM1_Rol_Tube</v>
      </c>
      <c r="H4877" s="63" t="str">
        <f>IFERROR(__xludf.DUMMYFUNCTION("VLOOKUP(F4877, IMPORTRANGE(""https://docs.google.com/spreadsheets/d/1Lhp9OU0JdFf_VYSMzH5lBcEaU4o8teT1piV-SNzShjg/edit?gid=554141278#gid=554141278"", ""'Char Def. - Attributes'!C20:C2242""), 1,false)"),"PM_SUPPLY_SBY")</f>
        <v>PM_SUPPLY_SBY</v>
      </c>
      <c r="I4877" s="136"/>
    </row>
    <row r="4878" ht="15.75" customHeight="1">
      <c r="B4878" s="63">
        <f t="shared" si="1"/>
        <v>13</v>
      </c>
      <c r="C4878" s="146" t="s">
        <v>253</v>
      </c>
      <c r="D4878" s="147" t="s">
        <v>74</v>
      </c>
      <c r="E4878" s="135">
        <f t="shared" si="59"/>
        <v>34</v>
      </c>
      <c r="F4878" s="143" t="s">
        <v>3868</v>
      </c>
      <c r="G4878" s="63" t="str">
        <f>VLOOKUP(C4878, 'Class Def. - General Data'!$C$20:$C$1000,1,false)</f>
        <v>ZPM1_Rol_Tube</v>
      </c>
      <c r="H4878" s="63" t="str">
        <f>IFERROR(__xludf.DUMMYFUNCTION("VLOOKUP(F4878, IMPORTRANGE(""https://docs.google.com/spreadsheets/d/1Lhp9OU0JdFf_VYSMzH5lBcEaU4o8teT1piV-SNzShjg/edit?gid=554141278#gid=554141278"", ""'Char Def. - Attributes'!C20:C2242""), 1,false)"),"BASIC_UOM_RMPM")</f>
        <v>BASIC_UOM_RMPM</v>
      </c>
      <c r="I4878" s="136"/>
    </row>
    <row r="4879" ht="15.75" customHeight="1">
      <c r="B4879" s="63">
        <f t="shared" si="1"/>
        <v>13</v>
      </c>
      <c r="C4879" s="146" t="s">
        <v>253</v>
      </c>
      <c r="D4879" s="147" t="s">
        <v>74</v>
      </c>
      <c r="E4879" s="135">
        <f t="shared" si="59"/>
        <v>35</v>
      </c>
      <c r="F4879" s="143" t="s">
        <v>3869</v>
      </c>
      <c r="G4879" s="63" t="str">
        <f>VLOOKUP(C4879, 'Class Def. - General Data'!$C$20:$C$1000,1,false)</f>
        <v>ZPM1_Rol_Tube</v>
      </c>
      <c r="H4879" s="63" t="str">
        <f>IFERROR(__xludf.DUMMYFUNCTION("VLOOKUP(F4879, IMPORTRANGE(""https://docs.google.com/spreadsheets/d/1Lhp9OU0JdFf_VYSMzH5lBcEaU4o8teT1piV-SNzShjg/edit?gid=554141278#gid=554141278"", ""'Char Def. - Attributes'!C20:C2242""), 1,false)"),"ALT_UOM1_RMPM")</f>
        <v>ALT_UOM1_RMPM</v>
      </c>
      <c r="I4879" s="136"/>
    </row>
    <row r="4880" ht="15.75" customHeight="1">
      <c r="B4880" s="63">
        <f t="shared" si="1"/>
        <v>13</v>
      </c>
      <c r="C4880" s="146" t="s">
        <v>253</v>
      </c>
      <c r="D4880" s="147" t="s">
        <v>74</v>
      </c>
      <c r="E4880" s="135">
        <f t="shared" si="59"/>
        <v>36</v>
      </c>
      <c r="F4880" s="143" t="s">
        <v>3805</v>
      </c>
      <c r="G4880" s="63" t="str">
        <f>VLOOKUP(C4880, 'Class Def. - General Data'!$C$20:$C$1000,1,false)</f>
        <v>ZPM1_Rol_Tube</v>
      </c>
      <c r="H4880" s="63" t="str">
        <f>IFERROR(__xludf.DUMMYFUNCTION("VLOOKUP(F4880, IMPORTRANGE(""https://docs.google.com/spreadsheets/d/1Lhp9OU0JdFf_VYSMzH5lBcEaU4o8teT1piV-SNzShjg/edit?gid=554141278#gid=554141278"", ""'Char Def. - Attributes'!C20:C2242""), 1,false)"),"ALT_DENUM_UOM1")</f>
        <v>ALT_DENUM_UOM1</v>
      </c>
      <c r="I4880" s="136"/>
    </row>
    <row r="4881" ht="15.75" customHeight="1">
      <c r="B4881" s="63">
        <f t="shared" si="1"/>
        <v>13</v>
      </c>
      <c r="C4881" s="146" t="s">
        <v>253</v>
      </c>
      <c r="D4881" s="147" t="s">
        <v>74</v>
      </c>
      <c r="E4881" s="135">
        <f t="shared" si="59"/>
        <v>37</v>
      </c>
      <c r="F4881" s="143" t="s">
        <v>3806</v>
      </c>
      <c r="G4881" s="63" t="str">
        <f>VLOOKUP(C4881, 'Class Def. - General Data'!$C$20:$C$1000,1,false)</f>
        <v>ZPM1_Rol_Tube</v>
      </c>
      <c r="H4881" s="63" t="str">
        <f>IFERROR(__xludf.DUMMYFUNCTION("VLOOKUP(F4881, IMPORTRANGE(""https://docs.google.com/spreadsheets/d/1Lhp9OU0JdFf_VYSMzH5lBcEaU4o8teT1piV-SNzShjg/edit?gid=554141278#gid=554141278"", ""'Char Def. - Attributes'!C20:C2242""), 1,false)"),"ALT_NUM_UOM1")</f>
        <v>ALT_NUM_UOM1</v>
      </c>
      <c r="I4881" s="136"/>
    </row>
    <row r="4882" ht="15.75" customHeight="1">
      <c r="B4882" s="63">
        <f t="shared" si="1"/>
        <v>13</v>
      </c>
      <c r="C4882" s="146" t="s">
        <v>253</v>
      </c>
      <c r="D4882" s="147" t="s">
        <v>74</v>
      </c>
      <c r="E4882" s="135">
        <f t="shared" si="59"/>
        <v>38</v>
      </c>
      <c r="F4882" s="143" t="s">
        <v>3870</v>
      </c>
      <c r="G4882" s="63" t="str">
        <f>VLOOKUP(C4882, 'Class Def. - General Data'!$C$20:$C$1000,1,false)</f>
        <v>ZPM1_Rol_Tube</v>
      </c>
      <c r="H4882" s="63" t="str">
        <f>IFERROR(__xludf.DUMMYFUNCTION("VLOOKUP(F4882, IMPORTRANGE(""https://docs.google.com/spreadsheets/d/1Lhp9OU0JdFf_VYSMzH5lBcEaU4o8teT1piV-SNzShjg/edit?gid=554141278#gid=554141278"", ""'Char Def. - Attributes'!C20:C2242""), 1,false)"),"ALT_UOM2_RMPM")</f>
        <v>ALT_UOM2_RMPM</v>
      </c>
      <c r="I4882" s="136"/>
    </row>
    <row r="4883" ht="15.75" customHeight="1">
      <c r="B4883" s="63">
        <f t="shared" si="1"/>
        <v>13</v>
      </c>
      <c r="C4883" s="146" t="s">
        <v>253</v>
      </c>
      <c r="D4883" s="147" t="s">
        <v>74</v>
      </c>
      <c r="E4883" s="135">
        <f t="shared" si="59"/>
        <v>39</v>
      </c>
      <c r="F4883" s="143" t="s">
        <v>3808</v>
      </c>
      <c r="G4883" s="63" t="str">
        <f>VLOOKUP(C4883, 'Class Def. - General Data'!$C$20:$C$1000,1,false)</f>
        <v>ZPM1_Rol_Tube</v>
      </c>
      <c r="H4883" s="63" t="str">
        <f>IFERROR(__xludf.DUMMYFUNCTION("VLOOKUP(F4883, IMPORTRANGE(""https://docs.google.com/spreadsheets/d/1Lhp9OU0JdFf_VYSMzH5lBcEaU4o8teT1piV-SNzShjg/edit?gid=554141278#gid=554141278"", ""'Char Def. - Attributes'!C20:C2242""), 1,false)"),"ALT_DENUM_UOM2")</f>
        <v>ALT_DENUM_UOM2</v>
      </c>
      <c r="I4883" s="136"/>
    </row>
    <row r="4884" ht="15.75" customHeight="1">
      <c r="B4884" s="63">
        <f t="shared" si="1"/>
        <v>13</v>
      </c>
      <c r="C4884" s="146" t="s">
        <v>253</v>
      </c>
      <c r="D4884" s="147" t="s">
        <v>74</v>
      </c>
      <c r="E4884" s="135">
        <f t="shared" si="59"/>
        <v>40</v>
      </c>
      <c r="F4884" s="143" t="s">
        <v>3809</v>
      </c>
      <c r="G4884" s="63" t="str">
        <f>VLOOKUP(C4884, 'Class Def. - General Data'!$C$20:$C$1000,1,false)</f>
        <v>ZPM1_Rol_Tube</v>
      </c>
      <c r="H4884" s="63" t="str">
        <f>IFERROR(__xludf.DUMMYFUNCTION("VLOOKUP(F4884, IMPORTRANGE(""https://docs.google.com/spreadsheets/d/1Lhp9OU0JdFf_VYSMzH5lBcEaU4o8teT1piV-SNzShjg/edit?gid=554141278#gid=554141278"", ""'Char Def. - Attributes'!C20:C2242""), 1,false)"),"ALT_NUM_UOM2")</f>
        <v>ALT_NUM_UOM2</v>
      </c>
      <c r="I4884" s="136"/>
    </row>
    <row r="4885" ht="15.75" customHeight="1">
      <c r="B4885" s="63">
        <f t="shared" si="1"/>
        <v>13</v>
      </c>
      <c r="C4885" s="146" t="s">
        <v>253</v>
      </c>
      <c r="D4885" s="147" t="s">
        <v>74</v>
      </c>
      <c r="E4885" s="135">
        <f t="shared" si="59"/>
        <v>41</v>
      </c>
      <c r="F4885" s="143" t="s">
        <v>3871</v>
      </c>
      <c r="G4885" s="63" t="str">
        <f>VLOOKUP(C4885, 'Class Def. - General Data'!$C$20:$C$1000,1,false)</f>
        <v>ZPM1_Rol_Tube</v>
      </c>
      <c r="H4885" s="63" t="str">
        <f>IFERROR(__xludf.DUMMYFUNCTION("VLOOKUP(F4885, IMPORTRANGE(""https://docs.google.com/spreadsheets/d/1Lhp9OU0JdFf_VYSMzH5lBcEaU4o8teT1piV-SNzShjg/edit?gid=554141278#gid=554141278"", ""'Char Def. - Attributes'!C20:C2242""), 1,false)"),"ALT_UOM3_RMPM")</f>
        <v>ALT_UOM3_RMPM</v>
      </c>
      <c r="I4885" s="136"/>
    </row>
    <row r="4886" ht="15.75" customHeight="1">
      <c r="B4886" s="63">
        <f t="shared" si="1"/>
        <v>13</v>
      </c>
      <c r="C4886" s="146" t="s">
        <v>253</v>
      </c>
      <c r="D4886" s="147" t="s">
        <v>74</v>
      </c>
      <c r="E4886" s="135">
        <f t="shared" si="59"/>
        <v>42</v>
      </c>
      <c r="F4886" s="143" t="s">
        <v>3811</v>
      </c>
      <c r="G4886" s="63" t="str">
        <f>VLOOKUP(C4886, 'Class Def. - General Data'!$C$20:$C$1000,1,false)</f>
        <v>ZPM1_Rol_Tube</v>
      </c>
      <c r="H4886" s="63" t="str">
        <f>IFERROR(__xludf.DUMMYFUNCTION("VLOOKUP(F4886, IMPORTRANGE(""https://docs.google.com/spreadsheets/d/1Lhp9OU0JdFf_VYSMzH5lBcEaU4o8teT1piV-SNzShjg/edit?gid=554141278#gid=554141278"", ""'Char Def. - Attributes'!C20:C2242""), 1,false)"),"ALT_DENUM_UOM3")</f>
        <v>ALT_DENUM_UOM3</v>
      </c>
      <c r="I4886" s="136"/>
    </row>
    <row r="4887" ht="15.75" customHeight="1">
      <c r="B4887" s="63">
        <f t="shared" si="1"/>
        <v>13</v>
      </c>
      <c r="C4887" s="146" t="s">
        <v>253</v>
      </c>
      <c r="D4887" s="147" t="s">
        <v>74</v>
      </c>
      <c r="E4887" s="135">
        <f t="shared" si="59"/>
        <v>43</v>
      </c>
      <c r="F4887" s="143" t="s">
        <v>3812</v>
      </c>
      <c r="G4887" s="63" t="str">
        <f>VLOOKUP(C4887, 'Class Def. - General Data'!$C$20:$C$1000,1,false)</f>
        <v>ZPM1_Rol_Tube</v>
      </c>
      <c r="H4887" s="63" t="str">
        <f>IFERROR(__xludf.DUMMYFUNCTION("VLOOKUP(F4887, IMPORTRANGE(""https://docs.google.com/spreadsheets/d/1Lhp9OU0JdFf_VYSMzH5lBcEaU4o8teT1piV-SNzShjg/edit?gid=554141278#gid=554141278"", ""'Char Def. - Attributes'!C20:C2242""), 1,false)"),"ALT_NUM_UOM3")</f>
        <v>ALT_NUM_UOM3</v>
      </c>
      <c r="I4887" s="136"/>
    </row>
    <row r="4888" ht="15.75" customHeight="1">
      <c r="B4888" s="63">
        <f t="shared" si="1"/>
        <v>13</v>
      </c>
      <c r="C4888" s="146" t="s">
        <v>253</v>
      </c>
      <c r="D4888" s="147" t="s">
        <v>74</v>
      </c>
      <c r="E4888" s="135">
        <f t="shared" si="59"/>
        <v>44</v>
      </c>
      <c r="F4888" s="143" t="s">
        <v>3872</v>
      </c>
      <c r="G4888" s="63" t="str">
        <f>VLOOKUP(C4888, 'Class Def. - General Data'!$C$20:$C$1000,1,false)</f>
        <v>ZPM1_Rol_Tube</v>
      </c>
      <c r="H4888" s="63" t="str">
        <f>IFERROR(__xludf.DUMMYFUNCTION("VLOOKUP(F4888, IMPORTRANGE(""https://docs.google.com/spreadsheets/d/1Lhp9OU0JdFf_VYSMzH5lBcEaU4o8teT1piV-SNzShjg/edit?gid=554141278#gid=554141278"", ""'Char Def. - Attributes'!C20:C2242""), 1,false)"),"ALT_UOM4_RMPM")</f>
        <v>ALT_UOM4_RMPM</v>
      </c>
      <c r="I4888" s="136"/>
    </row>
    <row r="4889" ht="15.75" customHeight="1">
      <c r="B4889" s="63">
        <f t="shared" si="1"/>
        <v>13</v>
      </c>
      <c r="C4889" s="146" t="s">
        <v>253</v>
      </c>
      <c r="D4889" s="147" t="s">
        <v>74</v>
      </c>
      <c r="E4889" s="135">
        <f t="shared" si="59"/>
        <v>45</v>
      </c>
      <c r="F4889" s="143" t="s">
        <v>3814</v>
      </c>
      <c r="G4889" s="63" t="str">
        <f>VLOOKUP(C4889, 'Class Def. - General Data'!$C$20:$C$1000,1,false)</f>
        <v>ZPM1_Rol_Tube</v>
      </c>
      <c r="H4889" s="63" t="str">
        <f>IFERROR(__xludf.DUMMYFUNCTION("VLOOKUP(F4889, IMPORTRANGE(""https://docs.google.com/spreadsheets/d/1Lhp9OU0JdFf_VYSMzH5lBcEaU4o8teT1piV-SNzShjg/edit?gid=554141278#gid=554141278"", ""'Char Def. - Attributes'!C20:C2242""), 1,false)"),"ALT_DENUM_UOM4")</f>
        <v>ALT_DENUM_UOM4</v>
      </c>
      <c r="I4889" s="136"/>
    </row>
    <row r="4890" ht="15.75" customHeight="1">
      <c r="B4890" s="63">
        <f t="shared" si="1"/>
        <v>13</v>
      </c>
      <c r="C4890" s="146" t="s">
        <v>253</v>
      </c>
      <c r="D4890" s="147" t="s">
        <v>74</v>
      </c>
      <c r="E4890" s="135">
        <f t="shared" si="59"/>
        <v>46</v>
      </c>
      <c r="F4890" s="143" t="s">
        <v>3815</v>
      </c>
      <c r="G4890" s="63" t="str">
        <f>VLOOKUP(C4890, 'Class Def. - General Data'!$C$20:$C$1000,1,false)</f>
        <v>ZPM1_Rol_Tube</v>
      </c>
      <c r="H4890" s="63" t="str">
        <f>IFERROR(__xludf.DUMMYFUNCTION("VLOOKUP(F4890, IMPORTRANGE(""https://docs.google.com/spreadsheets/d/1Lhp9OU0JdFf_VYSMzH5lBcEaU4o8teT1piV-SNzShjg/edit?gid=554141278#gid=554141278"", ""'Char Def. - Attributes'!C20:C2242""), 1,false)"),"ALT_NUM_UOM4")</f>
        <v>ALT_NUM_UOM4</v>
      </c>
      <c r="I4890" s="136"/>
    </row>
    <row r="4891" ht="15.75" customHeight="1">
      <c r="B4891" s="63">
        <f t="shared" si="1"/>
        <v>13</v>
      </c>
      <c r="C4891" s="146" t="s">
        <v>253</v>
      </c>
      <c r="D4891" s="147" t="s">
        <v>74</v>
      </c>
      <c r="E4891" s="135">
        <f t="shared" si="59"/>
        <v>47</v>
      </c>
      <c r="F4891" s="143" t="s">
        <v>3873</v>
      </c>
      <c r="G4891" s="63" t="str">
        <f>VLOOKUP(C4891, 'Class Def. - General Data'!$C$20:$C$1000,1,false)</f>
        <v>ZPM1_Rol_Tube</v>
      </c>
      <c r="H4891" s="63" t="str">
        <f>IFERROR(__xludf.DUMMYFUNCTION("VLOOKUP(F4891, IMPORTRANGE(""https://docs.google.com/spreadsheets/d/1Lhp9OU0JdFf_VYSMzH5lBcEaU4o8teT1piV-SNzShjg/edit?gid=554141278#gid=554141278"", ""'Char Def. - Attributes'!C20:C2242""), 1,false)"),"ALT_UOM5_RMPM")</f>
        <v>ALT_UOM5_RMPM</v>
      </c>
      <c r="I4891" s="136"/>
    </row>
    <row r="4892" ht="15.75" customHeight="1">
      <c r="B4892" s="63">
        <f t="shared" si="1"/>
        <v>13</v>
      </c>
      <c r="C4892" s="146" t="s">
        <v>253</v>
      </c>
      <c r="D4892" s="147" t="s">
        <v>74</v>
      </c>
      <c r="E4892" s="135">
        <f t="shared" si="59"/>
        <v>48</v>
      </c>
      <c r="F4892" s="143" t="s">
        <v>3817</v>
      </c>
      <c r="G4892" s="63" t="str">
        <f>VLOOKUP(C4892, 'Class Def. - General Data'!$C$20:$C$1000,1,false)</f>
        <v>ZPM1_Rol_Tube</v>
      </c>
      <c r="H4892" s="63" t="str">
        <f>IFERROR(__xludf.DUMMYFUNCTION("VLOOKUP(F4892, IMPORTRANGE(""https://docs.google.com/spreadsheets/d/1Lhp9OU0JdFf_VYSMzH5lBcEaU4o8teT1piV-SNzShjg/edit?gid=554141278#gid=554141278"", ""'Char Def. - Attributes'!C20:C2242""), 1,false)"),"ALT_DENUM_UOM5")</f>
        <v>ALT_DENUM_UOM5</v>
      </c>
      <c r="I4892" s="136"/>
    </row>
    <row r="4893" ht="15.75" customHeight="1">
      <c r="B4893" s="63">
        <f t="shared" si="1"/>
        <v>13</v>
      </c>
      <c r="C4893" s="146" t="s">
        <v>253</v>
      </c>
      <c r="D4893" s="147" t="s">
        <v>74</v>
      </c>
      <c r="E4893" s="135">
        <f t="shared" si="59"/>
        <v>49</v>
      </c>
      <c r="F4893" s="143" t="s">
        <v>3818</v>
      </c>
      <c r="G4893" s="63" t="str">
        <f>VLOOKUP(C4893, 'Class Def. - General Data'!$C$20:$C$1000,1,false)</f>
        <v>ZPM1_Rol_Tube</v>
      </c>
      <c r="H4893" s="63" t="str">
        <f>IFERROR(__xludf.DUMMYFUNCTION("VLOOKUP(F4893, IMPORTRANGE(""https://docs.google.com/spreadsheets/d/1Lhp9OU0JdFf_VYSMzH5lBcEaU4o8teT1piV-SNzShjg/edit?gid=554141278#gid=554141278"", ""'Char Def. - Attributes'!C20:C2242""), 1,false)"),"ALT_NUM_UOM5")</f>
        <v>ALT_NUM_UOM5</v>
      </c>
      <c r="I4893" s="136"/>
    </row>
    <row r="4894" ht="15.75" customHeight="1">
      <c r="B4894" s="63">
        <f t="shared" si="1"/>
        <v>13</v>
      </c>
      <c r="C4894" s="146" t="s">
        <v>253</v>
      </c>
      <c r="D4894" s="147" t="s">
        <v>74</v>
      </c>
      <c r="E4894" s="135">
        <f t="shared" si="59"/>
        <v>50</v>
      </c>
      <c r="F4894" s="143" t="s">
        <v>3874</v>
      </c>
      <c r="G4894" s="63" t="str">
        <f>VLOOKUP(C4894, 'Class Def. - General Data'!$C$20:$C$1000,1,false)</f>
        <v>ZPM1_Rol_Tube</v>
      </c>
      <c r="H4894" s="63" t="str">
        <f>IFERROR(__xludf.DUMMYFUNCTION("VLOOKUP(F4894, IMPORTRANGE(""https://docs.google.com/spreadsheets/d/1Lhp9OU0JdFf_VYSMzH5lBcEaU4o8teT1piV-SNzShjg/edit?gid=554141278#gid=554141278"", ""'Char Def. - Attributes'!C20:C2242""), 1,false)"),"VALUATION_CATEGORY")</f>
        <v>VALUATION_CATEGORY</v>
      </c>
      <c r="I4894" s="136"/>
    </row>
    <row r="4895" ht="15.75" customHeight="1">
      <c r="B4895" s="63">
        <f t="shared" si="1"/>
        <v>13</v>
      </c>
      <c r="C4895" s="146" t="s">
        <v>253</v>
      </c>
      <c r="D4895" s="147" t="s">
        <v>74</v>
      </c>
      <c r="E4895" s="135">
        <f t="shared" si="59"/>
        <v>51</v>
      </c>
      <c r="F4895" s="143" t="s">
        <v>3800</v>
      </c>
      <c r="G4895" s="63" t="str">
        <f>VLOOKUP(C4895, 'Class Def. - General Data'!$C$20:$C$1000,1,false)</f>
        <v>ZPM1_Rol_Tube</v>
      </c>
      <c r="H4895" s="63" t="str">
        <f>IFERROR(__xludf.DUMMYFUNCTION("VLOOKUP(F4895, IMPORTRANGE(""https://docs.google.com/spreadsheets/d/1Lhp9OU0JdFf_VYSMzH5lBcEaU4o8teT1piV-SNzShjg/edit?gid=554141278#gid=554141278"", ""'Char Def. - Attributes'!C20:C2242""), 1,false)"),"ORDER_UNIT_DIFF_FROM_BASIC_UOM")</f>
        <v>ORDER_UNIT_DIFF_FROM_BASIC_UOM</v>
      </c>
      <c r="I4895" s="136"/>
    </row>
    <row r="4896" ht="15.75" customHeight="1">
      <c r="B4896" s="63">
        <f t="shared" si="1"/>
        <v>13</v>
      </c>
      <c r="C4896" s="146" t="s">
        <v>253</v>
      </c>
      <c r="D4896" s="147" t="s">
        <v>74</v>
      </c>
      <c r="E4896" s="135">
        <f t="shared" si="59"/>
        <v>52</v>
      </c>
      <c r="F4896" s="143" t="s">
        <v>3875</v>
      </c>
      <c r="G4896" s="63" t="str">
        <f>VLOOKUP(C4896, 'Class Def. - General Data'!$C$20:$C$1000,1,false)</f>
        <v>ZPM1_Rol_Tube</v>
      </c>
      <c r="H4896" s="63" t="str">
        <f>IFERROR(__xludf.DUMMYFUNCTION("VLOOKUP(F4896, IMPORTRANGE(""https://docs.google.com/spreadsheets/d/1Lhp9OU0JdFf_VYSMzH5lBcEaU4o8teT1piV-SNzShjg/edit?gid=554141278#gid=554141278"", ""'Char Def. - Attributes'!C20:C2242""), 1,false)"),"ORDER_UNIT_RMPM")</f>
        <v>ORDER_UNIT_RMPM</v>
      </c>
      <c r="I4896" s="136"/>
    </row>
    <row r="4897" ht="15.75" customHeight="1">
      <c r="B4897" s="63">
        <f t="shared" si="1"/>
        <v>13</v>
      </c>
      <c r="C4897" s="146" t="s">
        <v>253</v>
      </c>
      <c r="D4897" s="147" t="s">
        <v>74</v>
      </c>
      <c r="E4897" s="135">
        <f t="shared" si="59"/>
        <v>53</v>
      </c>
      <c r="F4897" s="143" t="s">
        <v>3602</v>
      </c>
      <c r="G4897" s="63" t="str">
        <f>VLOOKUP(C4897, 'Class Def. - General Data'!$C$20:$C$1000,1,false)</f>
        <v>ZPM1_Rol_Tube</v>
      </c>
      <c r="H4897" s="63" t="str">
        <f>IFERROR(__xludf.DUMMYFUNCTION("VLOOKUP(F4897, IMPORTRANGE(""https://docs.google.com/spreadsheets/d/1Lhp9OU0JdFf_VYSMzH5lBcEaU4o8teT1piV-SNzShjg/edit?gid=554141278#gid=554141278"", ""'Char Def. - Attributes'!C20:C2242""), 1,false)"),"NET_WEIGHT")</f>
        <v>NET_WEIGHT</v>
      </c>
      <c r="I4897" s="136"/>
    </row>
    <row r="4898" ht="15.75" customHeight="1">
      <c r="B4898" s="63">
        <f t="shared" si="1"/>
        <v>13</v>
      </c>
      <c r="C4898" s="146" t="s">
        <v>253</v>
      </c>
      <c r="D4898" s="147" t="s">
        <v>74</v>
      </c>
      <c r="E4898" s="135">
        <f t="shared" si="59"/>
        <v>54</v>
      </c>
      <c r="F4898" s="143" t="s">
        <v>3601</v>
      </c>
      <c r="G4898" s="63" t="str">
        <f>VLOOKUP(C4898, 'Class Def. - General Data'!$C$20:$C$1000,1,false)</f>
        <v>ZPM1_Rol_Tube</v>
      </c>
      <c r="H4898" s="63" t="str">
        <f>IFERROR(__xludf.DUMMYFUNCTION("VLOOKUP(F4898, IMPORTRANGE(""https://docs.google.com/spreadsheets/d/1Lhp9OU0JdFf_VYSMzH5lBcEaU4o8teT1piV-SNzShjg/edit?gid=554141278#gid=554141278"", ""'Char Def. - Attributes'!C20:C2242""), 1,false)"),"GROSS_WEIGHT")</f>
        <v>GROSS_WEIGHT</v>
      </c>
      <c r="I4898" s="136"/>
    </row>
    <row r="4899" ht="15.75" customHeight="1">
      <c r="B4899" s="63">
        <f t="shared" si="1"/>
        <v>13</v>
      </c>
      <c r="C4899" s="146" t="s">
        <v>253</v>
      </c>
      <c r="D4899" s="147" t="s">
        <v>74</v>
      </c>
      <c r="E4899" s="135">
        <f t="shared" si="59"/>
        <v>55</v>
      </c>
      <c r="F4899" s="143" t="s">
        <v>3876</v>
      </c>
      <c r="G4899" s="63" t="str">
        <f>VLOOKUP(C4899, 'Class Def. - General Data'!$C$20:$C$1000,1,false)</f>
        <v>ZPM1_Rol_Tube</v>
      </c>
      <c r="H4899" s="63" t="str">
        <f>IFERROR(__xludf.DUMMYFUNCTION("VLOOKUP(F4899, IMPORTRANGE(""https://docs.google.com/spreadsheets/d/1Lhp9OU0JdFf_VYSMzH5lBcEaU4o8teT1piV-SNzShjg/edit?gid=554141278#gid=554141278"", ""'Char Def. - Attributes'!C20:C2242""), 1,false)"),"WEIGHT_UNIT_PM")</f>
        <v>WEIGHT_UNIT_PM</v>
      </c>
      <c r="I4899" s="136"/>
    </row>
    <row r="4900" ht="15.75" customHeight="1">
      <c r="B4900" s="63">
        <f t="shared" si="1"/>
        <v>13</v>
      </c>
      <c r="C4900" s="146" t="s">
        <v>253</v>
      </c>
      <c r="D4900" s="147" t="s">
        <v>74</v>
      </c>
      <c r="E4900" s="135">
        <f t="shared" si="59"/>
        <v>56</v>
      </c>
      <c r="F4900" s="143" t="s">
        <v>3877</v>
      </c>
      <c r="G4900" s="63" t="str">
        <f>VLOOKUP(C4900, 'Class Def. - General Data'!$C$20:$C$1000,1,false)</f>
        <v>ZPM1_Rol_Tube</v>
      </c>
      <c r="H4900" s="63" t="str">
        <f>IFERROR(__xludf.DUMMYFUNCTION("VLOOKUP(F4900, IMPORTRANGE(""https://docs.google.com/spreadsheets/d/1Lhp9OU0JdFf_VYSMzH5lBcEaU4o8teT1piV-SNzShjg/edit?gid=554141278#gid=554141278"", ""'Char Def. - Attributes'!C20:C2242""), 1,false)"),"VOLUME_OPT")</f>
        <v>VOLUME_OPT</v>
      </c>
      <c r="I4900" s="136"/>
    </row>
    <row r="4901" ht="15.75" customHeight="1">
      <c r="B4901" s="63">
        <f t="shared" si="1"/>
        <v>13</v>
      </c>
      <c r="C4901" s="146" t="s">
        <v>253</v>
      </c>
      <c r="D4901" s="147" t="s">
        <v>74</v>
      </c>
      <c r="E4901" s="135">
        <f t="shared" si="59"/>
        <v>57</v>
      </c>
      <c r="F4901" s="143" t="s">
        <v>3878</v>
      </c>
      <c r="G4901" s="63" t="str">
        <f>VLOOKUP(C4901, 'Class Def. - General Data'!$C$20:$C$1000,1,false)</f>
        <v>ZPM1_Rol_Tube</v>
      </c>
      <c r="H4901" s="63" t="str">
        <f>IFERROR(__xludf.DUMMYFUNCTION("VLOOKUP(F4901, IMPORTRANGE(""https://docs.google.com/spreadsheets/d/1Lhp9OU0JdFf_VYSMzH5lBcEaU4o8teT1piV-SNzShjg/edit?gid=554141278#gid=554141278"", ""'Char Def. - Attributes'!C20:C2242""), 1,false)"),"VOLUME_UNIT")</f>
        <v>VOLUME_UNIT</v>
      </c>
      <c r="I4901" s="136"/>
    </row>
    <row r="4902" ht="15.75" customHeight="1">
      <c r="B4902" s="63">
        <f t="shared" si="1"/>
        <v>13</v>
      </c>
      <c r="C4902" s="146" t="s">
        <v>253</v>
      </c>
      <c r="D4902" s="147" t="s">
        <v>74</v>
      </c>
      <c r="E4902" s="135">
        <f t="shared" si="59"/>
        <v>58</v>
      </c>
      <c r="F4902" s="143" t="s">
        <v>3879</v>
      </c>
      <c r="G4902" s="63" t="str">
        <f>VLOOKUP(C4902, 'Class Def. - General Data'!$C$20:$C$1000,1,false)</f>
        <v>ZPM1_Rol_Tube</v>
      </c>
      <c r="H4902" s="63" t="str">
        <f>IFERROR(__xludf.DUMMYFUNCTION("VLOOKUP(F4902, IMPORTRANGE(""https://docs.google.com/spreadsheets/d/1Lhp9OU0JdFf_VYSMzH5lBcEaU4o8teT1piV-SNzShjg/edit?gid=554141278#gid=554141278"", ""'Char Def. - Attributes'!C20:C2242""), 1,false)"),"OLD_MAT_NO_RMPM")</f>
        <v>OLD_MAT_NO_RMPM</v>
      </c>
      <c r="I4902" s="136"/>
    </row>
    <row r="4903" ht="15.75" customHeight="1">
      <c r="B4903" s="63">
        <f t="shared" si="1"/>
        <v>13</v>
      </c>
      <c r="C4903" s="146" t="s">
        <v>253</v>
      </c>
      <c r="D4903" s="147" t="s">
        <v>74</v>
      </c>
      <c r="E4903" s="135">
        <f t="shared" si="59"/>
        <v>59</v>
      </c>
      <c r="F4903" s="143" t="s">
        <v>3880</v>
      </c>
      <c r="G4903" s="63" t="str">
        <f>VLOOKUP(C4903, 'Class Def. - General Data'!$C$20:$C$1000,1,false)</f>
        <v>ZPM1_Rol_Tube</v>
      </c>
      <c r="H4903" s="63" t="str">
        <f>IFERROR(__xludf.DUMMYFUNCTION("VLOOKUP(F4903, IMPORTRANGE(""https://docs.google.com/spreadsheets/d/1Lhp9OU0JdFf_VYSMzH5lBcEaU4o8teT1piV-SNzShjg/edit?gid=554141278#gid=554141278"", ""'Char Def. - Attributes'!C20:C2242""), 1,false)"),"NOTE_PM")</f>
        <v>NOTE_PM</v>
      </c>
      <c r="I4903" s="136"/>
    </row>
    <row r="4904" ht="15.75" customHeight="1">
      <c r="B4904" s="63">
        <f t="shared" si="1"/>
        <v>13</v>
      </c>
      <c r="C4904" s="146" t="s">
        <v>253</v>
      </c>
      <c r="D4904" s="147" t="s">
        <v>74</v>
      </c>
      <c r="E4904" s="135">
        <f t="shared" si="59"/>
        <v>60</v>
      </c>
      <c r="F4904" s="143" t="s">
        <v>3881</v>
      </c>
      <c r="G4904" s="63" t="str">
        <f>VLOOKUP(C4904, 'Class Def. - General Data'!$C$20:$C$1000,1,false)</f>
        <v>ZPM1_Rol_Tube</v>
      </c>
      <c r="H4904" s="63" t="str">
        <f>IFERROR(__xludf.DUMMYFUNCTION("VLOOKUP(F4904, IMPORTRANGE(""https://docs.google.com/spreadsheets/d/1Lhp9OU0JdFf_VYSMzH5lBcEaU4o8teT1piV-SNzShjg/edit?gid=554141278#gid=554141278"", ""'Char Def. - Attributes'!C20:C2242""), 1,false)"),"BS_BERSIH")</f>
        <v>BS_BERSIH</v>
      </c>
      <c r="I4904" s="136"/>
    </row>
    <row r="4905" ht="15.75" customHeight="1">
      <c r="B4905" s="63">
        <f t="shared" si="1"/>
        <v>13</v>
      </c>
      <c r="C4905" s="146" t="s">
        <v>253</v>
      </c>
      <c r="D4905" s="147" t="s">
        <v>74</v>
      </c>
      <c r="E4905" s="135">
        <f t="shared" si="59"/>
        <v>61</v>
      </c>
      <c r="F4905" s="143" t="s">
        <v>3882</v>
      </c>
      <c r="G4905" s="63" t="str">
        <f>VLOOKUP(C4905, 'Class Def. - General Data'!$C$20:$C$1000,1,false)</f>
        <v>ZPM1_Rol_Tube</v>
      </c>
      <c r="H4905" s="63" t="str">
        <f>IFERROR(__xludf.DUMMYFUNCTION("VLOOKUP(F4905, IMPORTRANGE(""https://docs.google.com/spreadsheets/d/1Lhp9OU0JdFf_VYSMzH5lBcEaU4o8teT1piV-SNzShjg/edit?gid=554141278#gid=554141278"", ""'Char Def. - Attributes'!C20:C2242""), 1,false)"),"BS_KOTOR")</f>
        <v>BS_KOTOR</v>
      </c>
      <c r="I4905" s="136"/>
    </row>
    <row r="4906" ht="15.75" customHeight="1">
      <c r="B4906" s="63">
        <f t="shared" si="1"/>
        <v>13</v>
      </c>
      <c r="C4906" s="146" t="s">
        <v>253</v>
      </c>
      <c r="D4906" s="147" t="s">
        <v>74</v>
      </c>
      <c r="E4906" s="135">
        <f t="shared" si="59"/>
        <v>62</v>
      </c>
      <c r="F4906" s="143" t="s">
        <v>3883</v>
      </c>
      <c r="G4906" s="63" t="str">
        <f>VLOOKUP(C4906, 'Class Def. - General Data'!$C$20:$C$1000,1,false)</f>
        <v>ZPM1_Rol_Tube</v>
      </c>
      <c r="H4906" s="63" t="str">
        <f>IFERROR(__xludf.DUMMYFUNCTION("VLOOKUP(F4906, IMPORTRANGE(""https://docs.google.com/spreadsheets/d/1Lhp9OU0JdFf_VYSMzH5lBcEaU4o8teT1piV-SNzShjg/edit?gid=554141278#gid=554141278"", ""'Char Def. - Attributes'!C20:C2242""), 1,false)"),"BS_SCRAP")</f>
        <v>BS_SCRAP</v>
      </c>
      <c r="I4906" s="136"/>
    </row>
    <row r="4907" ht="15.75" customHeight="1">
      <c r="B4907" s="63">
        <f t="shared" si="1"/>
        <v>9</v>
      </c>
      <c r="C4907" s="146" t="s">
        <v>279</v>
      </c>
      <c r="D4907" s="147" t="s">
        <v>74</v>
      </c>
      <c r="E4907" s="135">
        <f t="shared" si="59"/>
        <v>1</v>
      </c>
      <c r="F4907" s="143" t="s">
        <v>3970</v>
      </c>
      <c r="G4907" s="63" t="str">
        <f>VLOOKUP(C4907, 'Class Def. - General Data'!$C$20:$C$1000,1,false)</f>
        <v>ZPM1_Sack</v>
      </c>
      <c r="H4907" s="63" t="str">
        <f>IFERROR(__xludf.DUMMYFUNCTION("VLOOKUP(F4907, IMPORTRANGE(""https://docs.google.com/spreadsheets/d/1Lhp9OU0JdFf_VYSMzH5lBcEaU4o8teT1piV-SNzShjg/edit?gid=554141278#gid=554141278"", ""'Char Def. - Attributes'!C20:C2242""), 1,false)"),"MATERIAL_CODE_SACK")</f>
        <v>MATERIAL_CODE_SACK</v>
      </c>
      <c r="I4907" s="136"/>
    </row>
    <row r="4908" ht="15.75" customHeight="1">
      <c r="B4908" s="63">
        <f t="shared" si="1"/>
        <v>9</v>
      </c>
      <c r="C4908" s="146" t="s">
        <v>279</v>
      </c>
      <c r="D4908" s="147" t="s">
        <v>74</v>
      </c>
      <c r="E4908" s="135">
        <f t="shared" si="59"/>
        <v>2</v>
      </c>
      <c r="F4908" s="143" t="s">
        <v>3852</v>
      </c>
      <c r="G4908" s="63" t="str">
        <f>VLOOKUP(C4908, 'Class Def. - General Data'!$C$20:$C$1000,1,false)</f>
        <v>ZPM1_Sack</v>
      </c>
      <c r="H4908" s="63" t="str">
        <f>IFERROR(__xludf.DUMMYFUNCTION("VLOOKUP(F4908, IMPORTRANGE(""https://docs.google.com/spreadsheets/d/1Lhp9OU0JdFf_VYSMzH5lBcEaU4o8teT1piV-SNzShjg/edit?gid=554141278#gid=554141278"", ""'Char Def. - Attributes'!C20:C2242""), 1,false)"),"SINGLE_BRAND")</f>
        <v>SINGLE_BRAND</v>
      </c>
      <c r="I4908" s="136"/>
    </row>
    <row r="4909" ht="15.75" customHeight="1">
      <c r="B4909" s="63">
        <f t="shared" si="1"/>
        <v>9</v>
      </c>
      <c r="C4909" s="146" t="s">
        <v>279</v>
      </c>
      <c r="D4909" s="147" t="s">
        <v>74</v>
      </c>
      <c r="E4909" s="135">
        <f t="shared" si="59"/>
        <v>3</v>
      </c>
      <c r="F4909" s="143" t="s">
        <v>3853</v>
      </c>
      <c r="G4909" s="63" t="str">
        <f>VLOOKUP(C4909, 'Class Def. - General Data'!$C$20:$C$1000,1,false)</f>
        <v>ZPM1_Sack</v>
      </c>
      <c r="H4909" s="63" t="str">
        <f>IFERROR(__xludf.DUMMYFUNCTION("VLOOKUP(F4909, IMPORTRANGE(""https://docs.google.com/spreadsheets/d/1Lhp9OU0JdFf_VYSMzH5lBcEaU4o8teT1piV-SNzShjg/edit?gid=554141278#gid=554141278"", ""'Char Def. - Attributes'!C20:C2242""), 1,false)"),"BRAND_WINGS")</f>
        <v>BRAND_WINGS</v>
      </c>
      <c r="I4909" s="136"/>
    </row>
    <row r="4910" ht="15.75" customHeight="1">
      <c r="B4910" s="63">
        <f t="shared" si="1"/>
        <v>9</v>
      </c>
      <c r="C4910" s="146" t="s">
        <v>279</v>
      </c>
      <c r="D4910" s="147" t="s">
        <v>74</v>
      </c>
      <c r="E4910" s="135">
        <f t="shared" si="59"/>
        <v>4</v>
      </c>
      <c r="F4910" s="143" t="s">
        <v>3854</v>
      </c>
      <c r="G4910" s="63" t="str">
        <f>VLOOKUP(C4910, 'Class Def. - General Data'!$C$20:$C$1000,1,false)</f>
        <v>ZPM1_Sack</v>
      </c>
      <c r="H4910" s="63" t="str">
        <f>IFERROR(__xludf.DUMMYFUNCTION("VLOOKUP(F4910, IMPORTRANGE(""https://docs.google.com/spreadsheets/d/1Lhp9OU0JdFf_VYSMzH5lBcEaU4o8teT1piV-SNzShjg/edit?gid=554141278#gid=554141278"", ""'Char Def. - Attributes'!C20:C2242""), 1,false)"),"SINGLE_PACK_SHAPE")</f>
        <v>SINGLE_PACK_SHAPE</v>
      </c>
      <c r="I4910" s="136"/>
    </row>
    <row r="4911" ht="15.75" customHeight="1">
      <c r="B4911" s="63">
        <f t="shared" si="1"/>
        <v>9</v>
      </c>
      <c r="C4911" s="146" t="s">
        <v>279</v>
      </c>
      <c r="D4911" s="147" t="s">
        <v>74</v>
      </c>
      <c r="E4911" s="135">
        <f t="shared" si="59"/>
        <v>5</v>
      </c>
      <c r="F4911" s="143" t="s">
        <v>3855</v>
      </c>
      <c r="G4911" s="63" t="str">
        <f>VLOOKUP(C4911, 'Class Def. - General Data'!$C$20:$C$1000,1,false)</f>
        <v>ZPM1_Sack</v>
      </c>
      <c r="H4911" s="63" t="str">
        <f>IFERROR(__xludf.DUMMYFUNCTION("VLOOKUP(F4911, IMPORTRANGE(""https://docs.google.com/spreadsheets/d/1Lhp9OU0JdFf_VYSMzH5lBcEaU4o8teT1piV-SNzShjg/edit?gid=554141278#gid=554141278"", ""'Char Def. - Attributes'!C20:C2242""), 1,false)"),"PACK_SHAPE")</f>
        <v>PACK_SHAPE</v>
      </c>
      <c r="I4911" s="136"/>
    </row>
    <row r="4912" ht="15.75" customHeight="1">
      <c r="B4912" s="63">
        <f t="shared" si="1"/>
        <v>9</v>
      </c>
      <c r="C4912" s="146" t="s">
        <v>279</v>
      </c>
      <c r="D4912" s="147" t="s">
        <v>74</v>
      </c>
      <c r="E4912" s="135">
        <f t="shared" si="59"/>
        <v>6</v>
      </c>
      <c r="F4912" s="143" t="s">
        <v>3856</v>
      </c>
      <c r="G4912" s="63" t="str">
        <f>VLOOKUP(C4912, 'Class Def. - General Data'!$C$20:$C$1000,1,false)</f>
        <v>ZPM1_Sack</v>
      </c>
      <c r="H4912" s="63" t="str">
        <f>IFERROR(__xludf.DUMMYFUNCTION("VLOOKUP(F4912, IMPORTRANGE(""https://docs.google.com/spreadsheets/d/1Lhp9OU0JdFf_VYSMzH5lBcEaU4o8teT1piV-SNzShjg/edit?gid=554141278#gid=554141278"", ""'Char Def. - Attributes'!C20:C2242""), 1,false)"),"SINGLE_PACK_NETTO")</f>
        <v>SINGLE_PACK_NETTO</v>
      </c>
      <c r="I4912" s="136"/>
    </row>
    <row r="4913" ht="15.75" customHeight="1">
      <c r="B4913" s="63">
        <f t="shared" si="1"/>
        <v>9</v>
      </c>
      <c r="C4913" s="146" t="s">
        <v>279</v>
      </c>
      <c r="D4913" s="147" t="s">
        <v>74</v>
      </c>
      <c r="E4913" s="135">
        <f t="shared" si="59"/>
        <v>7</v>
      </c>
      <c r="F4913" s="143" t="s">
        <v>3605</v>
      </c>
      <c r="G4913" s="63" t="str">
        <f>VLOOKUP(C4913, 'Class Def. - General Data'!$C$20:$C$1000,1,false)</f>
        <v>ZPM1_Sack</v>
      </c>
      <c r="H4913" s="63" t="str">
        <f>IFERROR(__xludf.DUMMYFUNCTION("VLOOKUP(F4913, IMPORTRANGE(""https://docs.google.com/spreadsheets/d/1Lhp9OU0JdFf_VYSMzH5lBcEaU4o8teT1piV-SNzShjg/edit?gid=554141278#gid=554141278"", ""'Char Def. - Attributes'!C20:C2242""), 1,false)"),"PACK_NETTO")</f>
        <v>PACK_NETTO</v>
      </c>
      <c r="I4913" s="136"/>
    </row>
    <row r="4914" ht="15.75" customHeight="1">
      <c r="B4914" s="63">
        <f t="shared" si="1"/>
        <v>9</v>
      </c>
      <c r="C4914" s="146" t="s">
        <v>279</v>
      </c>
      <c r="D4914" s="147" t="s">
        <v>74</v>
      </c>
      <c r="E4914" s="135">
        <f t="shared" si="59"/>
        <v>8</v>
      </c>
      <c r="F4914" s="143" t="s">
        <v>3857</v>
      </c>
      <c r="G4914" s="63" t="str">
        <f>VLOOKUP(C4914, 'Class Def. - General Data'!$C$20:$C$1000,1,false)</f>
        <v>ZPM1_Sack</v>
      </c>
      <c r="H4914" s="63" t="str">
        <f>IFERROR(__xludf.DUMMYFUNCTION("VLOOKUP(F4914, IMPORTRANGE(""https://docs.google.com/spreadsheets/d/1Lhp9OU0JdFf_VYSMzH5lBcEaU4o8teT1piV-SNzShjg/edit?gid=554141278#gid=554141278"", ""'Char Def. - Attributes'!C20:C2242""), 1,false)"),"PACK_UOM")</f>
        <v>PACK_UOM</v>
      </c>
      <c r="I4914" s="136"/>
    </row>
    <row r="4915" ht="15.75" customHeight="1">
      <c r="B4915" s="63">
        <f t="shared" si="1"/>
        <v>9</v>
      </c>
      <c r="C4915" s="146" t="s">
        <v>279</v>
      </c>
      <c r="D4915" s="147" t="s">
        <v>74</v>
      </c>
      <c r="E4915" s="135">
        <f t="shared" si="59"/>
        <v>9</v>
      </c>
      <c r="F4915" s="143" t="s">
        <v>3858</v>
      </c>
      <c r="G4915" s="63" t="str">
        <f>VLOOKUP(C4915, 'Class Def. - General Data'!$C$20:$C$1000,1,false)</f>
        <v>ZPM1_Sack</v>
      </c>
      <c r="H4915" s="63" t="str">
        <f>IFERROR(__xludf.DUMMYFUNCTION("VLOOKUP(F4915, IMPORTRANGE(""https://docs.google.com/spreadsheets/d/1Lhp9OU0JdFf_VYSMzH5lBcEaU4o8teT1piV-SNzShjg/edit?gid=554141278#gid=554141278"", ""'Char Def. - Attributes'!C20:C2242""), 1,false)"),"SINGLE_VARIAN")</f>
        <v>SINGLE_VARIAN</v>
      </c>
      <c r="I4915" s="136"/>
    </row>
    <row r="4916" ht="15.75" customHeight="1">
      <c r="B4916" s="63">
        <f t="shared" si="1"/>
        <v>9</v>
      </c>
      <c r="C4916" s="146" t="s">
        <v>279</v>
      </c>
      <c r="D4916" s="147" t="s">
        <v>74</v>
      </c>
      <c r="E4916" s="135">
        <f t="shared" si="59"/>
        <v>10</v>
      </c>
      <c r="F4916" s="143" t="s">
        <v>3607</v>
      </c>
      <c r="G4916" s="63" t="str">
        <f>VLOOKUP(C4916, 'Class Def. - General Data'!$C$20:$C$1000,1,false)</f>
        <v>ZPM1_Sack</v>
      </c>
      <c r="H4916" s="63" t="str">
        <f>IFERROR(__xludf.DUMMYFUNCTION("VLOOKUP(F4916, IMPORTRANGE(""https://docs.google.com/spreadsheets/d/1Lhp9OU0JdFf_VYSMzH5lBcEaU4o8teT1piV-SNzShjg/edit?gid=554141278#gid=554141278"", ""'Char Def. - Attributes'!C20:C2242""), 1,false)"),"VARIAN")</f>
        <v>VARIAN</v>
      </c>
      <c r="I4916" s="136"/>
    </row>
    <row r="4917" ht="15.75" customHeight="1">
      <c r="B4917" s="63">
        <f t="shared" si="1"/>
        <v>9</v>
      </c>
      <c r="C4917" s="146" t="s">
        <v>279</v>
      </c>
      <c r="D4917" s="147" t="s">
        <v>74</v>
      </c>
      <c r="E4917" s="135">
        <f t="shared" si="59"/>
        <v>11</v>
      </c>
      <c r="F4917" s="143" t="s">
        <v>3859</v>
      </c>
      <c r="G4917" s="63" t="str">
        <f>VLOOKUP(C4917, 'Class Def. - General Data'!$C$20:$C$1000,1,false)</f>
        <v>ZPM1_Sack</v>
      </c>
      <c r="H4917" s="63" t="str">
        <f>IFERROR(__xludf.DUMMYFUNCTION("VLOOKUP(F4917, IMPORTRANGE(""https://docs.google.com/spreadsheets/d/1Lhp9OU0JdFf_VYSMzH5lBcEaU4o8teT1piV-SNzShjg/edit?gid=554141278#gid=554141278"", ""'Char Def. - Attributes'!C20:C2242""), 1,false)"),"ADA_ADDITIONAL_PROMO")</f>
        <v>ADA_ADDITIONAL_PROMO</v>
      </c>
      <c r="I4917" s="136"/>
    </row>
    <row r="4918" ht="15.75" customHeight="1">
      <c r="B4918" s="63">
        <f t="shared" si="1"/>
        <v>9</v>
      </c>
      <c r="C4918" s="146" t="s">
        <v>279</v>
      </c>
      <c r="D4918" s="147" t="s">
        <v>74</v>
      </c>
      <c r="E4918" s="135">
        <f t="shared" si="59"/>
        <v>12</v>
      </c>
      <c r="F4918" s="143" t="s">
        <v>3609</v>
      </c>
      <c r="G4918" s="63" t="str">
        <f>VLOOKUP(C4918, 'Class Def. - General Data'!$C$20:$C$1000,1,false)</f>
        <v>ZPM1_Sack</v>
      </c>
      <c r="H4918" s="63" t="str">
        <f>IFERROR(__xludf.DUMMYFUNCTION("VLOOKUP(F4918, IMPORTRANGE(""https://docs.google.com/spreadsheets/d/1Lhp9OU0JdFf_VYSMzH5lBcEaU4o8teT1piV-SNzShjg/edit?gid=554141278#gid=554141278"", ""'Char Def. - Attributes'!C20:C2242""), 1,false)"),"ADDITIONAL_PROMO")</f>
        <v>ADDITIONAL_PROMO</v>
      </c>
      <c r="I4918" s="136"/>
    </row>
    <row r="4919" ht="15.75" customHeight="1">
      <c r="B4919" s="63">
        <f t="shared" si="1"/>
        <v>9</v>
      </c>
      <c r="C4919" s="146" t="s">
        <v>279</v>
      </c>
      <c r="D4919" s="147" t="s">
        <v>74</v>
      </c>
      <c r="E4919" s="135">
        <f t="shared" si="59"/>
        <v>13</v>
      </c>
      <c r="F4919" s="143" t="s">
        <v>3860</v>
      </c>
      <c r="G4919" s="63" t="str">
        <f>VLOOKUP(C4919, 'Class Def. - General Data'!$C$20:$C$1000,1,false)</f>
        <v>ZPM1_Sack</v>
      </c>
      <c r="H4919" s="63" t="str">
        <f>IFERROR(__xludf.DUMMYFUNCTION("VLOOKUP(F4919, IMPORTRANGE(""https://docs.google.com/spreadsheets/d/1Lhp9OU0JdFf_VYSMzH5lBcEaU4o8teT1piV-SNzShjg/edit?gid=554141278#gid=554141278"", ""'Char Def. - Attributes'!C20:C2242""), 1,false)"),"ADA_BANDED_PROMO")</f>
        <v>ADA_BANDED_PROMO</v>
      </c>
      <c r="I4919" s="136"/>
    </row>
    <row r="4920" ht="15.75" customHeight="1">
      <c r="B4920" s="63">
        <f t="shared" si="1"/>
        <v>9</v>
      </c>
      <c r="C4920" s="146" t="s">
        <v>279</v>
      </c>
      <c r="D4920" s="147" t="s">
        <v>74</v>
      </c>
      <c r="E4920" s="135">
        <f t="shared" si="59"/>
        <v>14</v>
      </c>
      <c r="F4920" s="143" t="s">
        <v>3610</v>
      </c>
      <c r="G4920" s="63" t="str">
        <f>VLOOKUP(C4920, 'Class Def. - General Data'!$C$20:$C$1000,1,false)</f>
        <v>ZPM1_Sack</v>
      </c>
      <c r="H4920" s="63" t="str">
        <f>IFERROR(__xludf.DUMMYFUNCTION("VLOOKUP(F4920, IMPORTRANGE(""https://docs.google.com/spreadsheets/d/1Lhp9OU0JdFf_VYSMzH5lBcEaU4o8teT1piV-SNzShjg/edit?gid=554141278#gid=554141278"", ""'Char Def. - Attributes'!C20:C2242""), 1,false)"),"BANDED_PROMO")</f>
        <v>BANDED_PROMO</v>
      </c>
      <c r="I4920" s="136"/>
    </row>
    <row r="4921" ht="15.75" customHeight="1">
      <c r="B4921" s="63">
        <f t="shared" si="1"/>
        <v>9</v>
      </c>
      <c r="C4921" s="146" t="s">
        <v>279</v>
      </c>
      <c r="D4921" s="147" t="s">
        <v>74</v>
      </c>
      <c r="E4921" s="135">
        <f t="shared" si="59"/>
        <v>15</v>
      </c>
      <c r="F4921" s="143" t="s">
        <v>1292</v>
      </c>
      <c r="G4921" s="63" t="str">
        <f>VLOOKUP(C4921, 'Class Def. - General Data'!$C$20:$C$1000,1,false)</f>
        <v>ZPM1_Sack</v>
      </c>
      <c r="H4921" s="63" t="str">
        <f>IFERROR(__xludf.DUMMYFUNCTION("VLOOKUP(F4921, IMPORTRANGE(""https://docs.google.com/spreadsheets/d/1Lhp9OU0JdFf_VYSMzH5lBcEaU4o8teT1piV-SNzShjg/edit?gid=554141278#gid=554141278"", ""'Char Def. - Attributes'!C20:C2242""), 1,false)"),"EXPORT")</f>
        <v>EXPORT</v>
      </c>
      <c r="I4921" s="136"/>
    </row>
    <row r="4922" ht="15.75" customHeight="1">
      <c r="B4922" s="63">
        <f t="shared" si="1"/>
        <v>9</v>
      </c>
      <c r="C4922" s="146" t="s">
        <v>279</v>
      </c>
      <c r="D4922" s="147" t="s">
        <v>74</v>
      </c>
      <c r="E4922" s="135">
        <f t="shared" si="59"/>
        <v>16</v>
      </c>
      <c r="F4922" s="143" t="s">
        <v>3612</v>
      </c>
      <c r="G4922" s="63" t="str">
        <f>VLOOKUP(C4922, 'Class Def. - General Data'!$C$20:$C$1000,1,false)</f>
        <v>ZPM1_Sack</v>
      </c>
      <c r="H4922" s="63" t="str">
        <f>IFERROR(__xludf.DUMMYFUNCTION("VLOOKUP(F4922, IMPORTRANGE(""https://docs.google.com/spreadsheets/d/1Lhp9OU0JdFf_VYSMzH5lBcEaU4o8teT1piV-SNzShjg/edit?gid=554141278#gid=554141278"", ""'Char Def. - Attributes'!C20:C2242""), 1,false)"),"COUNTRY_EKSPOR")</f>
        <v>COUNTRY_EKSPOR</v>
      </c>
      <c r="I4922" s="136"/>
    </row>
    <row r="4923" ht="15.75" customHeight="1">
      <c r="B4923" s="63">
        <f t="shared" si="1"/>
        <v>9</v>
      </c>
      <c r="C4923" s="146" t="s">
        <v>279</v>
      </c>
      <c r="D4923" s="147" t="s">
        <v>74</v>
      </c>
      <c r="E4923" s="135">
        <f t="shared" si="59"/>
        <v>17</v>
      </c>
      <c r="F4923" s="143" t="s">
        <v>3861</v>
      </c>
      <c r="G4923" s="63" t="str">
        <f>VLOOKUP(C4923, 'Class Def. - General Data'!$C$20:$C$1000,1,false)</f>
        <v>ZPM1_Sack</v>
      </c>
      <c r="H4923" s="63" t="str">
        <f>IFERROR(__xludf.DUMMYFUNCTION("VLOOKUP(F4923, IMPORTRANGE(""https://docs.google.com/spreadsheets/d/1Lhp9OU0JdFf_VYSMzH5lBcEaU4o8teT1piV-SNzShjg/edit?gid=554141278#gid=554141278"", ""'Char Def. - Attributes'!C20:C2242""), 1,false)"),"PEMBATAS")</f>
        <v>PEMBATAS</v>
      </c>
      <c r="I4923" s="136"/>
    </row>
    <row r="4924" ht="15.75" customHeight="1">
      <c r="B4924" s="63">
        <f t="shared" si="1"/>
        <v>9</v>
      </c>
      <c r="C4924" s="146" t="s">
        <v>279</v>
      </c>
      <c r="D4924" s="147" t="s">
        <v>74</v>
      </c>
      <c r="E4924" s="135">
        <f t="shared" si="59"/>
        <v>18</v>
      </c>
      <c r="F4924" s="143" t="s">
        <v>3909</v>
      </c>
      <c r="G4924" s="63" t="str">
        <f>VLOOKUP(C4924, 'Class Def. - General Data'!$C$20:$C$1000,1,false)</f>
        <v>ZPM1_Sack</v>
      </c>
      <c r="H4924" s="63" t="str">
        <f>IFERROR(__xludf.DUMMYFUNCTION("VLOOKUP(F4924, IMPORTRANGE(""https://docs.google.com/spreadsheets/d/1Lhp9OU0JdFf_VYSMzH5lBcEaU4o8teT1piV-SNzShjg/edit?gid=554141278#gid=554141278"", ""'Char Def. - Attributes'!C20:C2242""), 1,false)"),"COLOR_A_OPT")</f>
        <v>COLOR_A_OPT</v>
      </c>
      <c r="I4924" s="136"/>
    </row>
    <row r="4925" ht="15.75" customHeight="1">
      <c r="B4925" s="63">
        <f t="shared" si="1"/>
        <v>9</v>
      </c>
      <c r="C4925" s="146" t="s">
        <v>279</v>
      </c>
      <c r="D4925" s="147" t="s">
        <v>74</v>
      </c>
      <c r="E4925" s="135">
        <f t="shared" si="59"/>
        <v>19</v>
      </c>
      <c r="F4925" s="143" t="s">
        <v>3889</v>
      </c>
      <c r="G4925" s="63" t="str">
        <f>VLOOKUP(C4925, 'Class Def. - General Data'!$C$20:$C$1000,1,false)</f>
        <v>ZPM1_Sack</v>
      </c>
      <c r="H4925" s="63" t="str">
        <f>IFERROR(__xludf.DUMMYFUNCTION("VLOOKUP(F4925, IMPORTRANGE(""https://docs.google.com/spreadsheets/d/1Lhp9OU0JdFf_VYSMzH5lBcEaU4o8teT1piV-SNzShjg/edit?gid=554141278#gid=554141278"", ""'Char Def. - Attributes'!C20:C2242""), 1,false)"),"PACK_CONTENT_AMOUNT_4")</f>
        <v>PACK_CONTENT_AMOUNT_4</v>
      </c>
      <c r="I4925" s="136"/>
    </row>
    <row r="4926" ht="15.75" customHeight="1">
      <c r="B4926" s="63">
        <f t="shared" si="1"/>
        <v>9</v>
      </c>
      <c r="C4926" s="146" t="s">
        <v>279</v>
      </c>
      <c r="D4926" s="147" t="s">
        <v>74</v>
      </c>
      <c r="E4926" s="135">
        <f t="shared" si="59"/>
        <v>20</v>
      </c>
      <c r="F4926" s="143" t="s">
        <v>3862</v>
      </c>
      <c r="G4926" s="63" t="str">
        <f>VLOOKUP(C4926, 'Class Def. - General Data'!$C$20:$C$1000,1,false)</f>
        <v>ZPM1_Sack</v>
      </c>
      <c r="H4926" s="63" t="str">
        <f>IFERROR(__xludf.DUMMYFUNCTION("VLOOKUP(F4926, IMPORTRANGE(""https://docs.google.com/spreadsheets/d/1Lhp9OU0JdFf_VYSMzH5lBcEaU4o8teT1piV-SNzShjg/edit?gid=554141278#gid=554141278"", ""'Char Def. - Attributes'!C20:C2242""), 1,false)"),"MONTH")</f>
        <v>MONTH</v>
      </c>
      <c r="I4926" s="136"/>
    </row>
    <row r="4927" ht="15.75" customHeight="1">
      <c r="B4927" s="63">
        <f t="shared" si="1"/>
        <v>9</v>
      </c>
      <c r="C4927" s="146" t="s">
        <v>279</v>
      </c>
      <c r="D4927" s="147" t="s">
        <v>74</v>
      </c>
      <c r="E4927" s="135">
        <f t="shared" si="59"/>
        <v>21</v>
      </c>
      <c r="F4927" s="143" t="s">
        <v>3863</v>
      </c>
      <c r="G4927" s="63" t="str">
        <f>VLOOKUP(C4927, 'Class Def. - General Data'!$C$20:$C$1000,1,false)</f>
        <v>ZPM1_Sack</v>
      </c>
      <c r="H4927" s="63" t="str">
        <f>IFERROR(__xludf.DUMMYFUNCTION("VLOOKUP(F4927, IMPORTRANGE(""https://docs.google.com/spreadsheets/d/1Lhp9OU0JdFf_VYSMzH5lBcEaU4o8teT1piV-SNzShjg/edit?gid=554141278#gid=554141278"", ""'Char Def. - Attributes'!C20:C2242""), 1,false)"),"YEAR")</f>
        <v>YEAR</v>
      </c>
      <c r="I4927" s="136"/>
    </row>
    <row r="4928" ht="15.75" customHeight="1">
      <c r="B4928" s="63">
        <f t="shared" si="1"/>
        <v>9</v>
      </c>
      <c r="C4928" s="146" t="s">
        <v>279</v>
      </c>
      <c r="D4928" s="147" t="s">
        <v>74</v>
      </c>
      <c r="E4928" s="135">
        <f t="shared" si="59"/>
        <v>22</v>
      </c>
      <c r="F4928" s="143" t="s">
        <v>3890</v>
      </c>
      <c r="G4928" s="63" t="str">
        <f>VLOOKUP(C4928, 'Class Def. - General Data'!$C$20:$C$1000,1,false)</f>
        <v>ZPM1_Sack</v>
      </c>
      <c r="H4928" s="63" t="str">
        <f>IFERROR(__xludf.DUMMYFUNCTION("VLOOKUP(F4928, IMPORTRANGE(""https://docs.google.com/spreadsheets/d/1Lhp9OU0JdFf_VYSMzH5lBcEaU4o8teT1piV-SNzShjg/edit?gid=554141278#gid=554141278"", ""'Char Def. - Attributes'!C20:C2242""), 1,false)"),"EXT_MAT_GRP")</f>
        <v>EXT_MAT_GRP</v>
      </c>
      <c r="I4928" s="136"/>
    </row>
    <row r="4929" ht="15.75" customHeight="1">
      <c r="B4929" s="63">
        <f t="shared" si="1"/>
        <v>9</v>
      </c>
      <c r="C4929" s="146" t="s">
        <v>279</v>
      </c>
      <c r="D4929" s="147" t="s">
        <v>74</v>
      </c>
      <c r="E4929" s="135">
        <f t="shared" si="59"/>
        <v>23</v>
      </c>
      <c r="F4929" s="143" t="s">
        <v>3891</v>
      </c>
      <c r="G4929" s="63" t="str">
        <f>VLOOKUP(C4929, 'Class Def. - General Data'!$C$20:$C$1000,1,false)</f>
        <v>ZPM1_Sack</v>
      </c>
      <c r="H4929" s="63" t="str">
        <f>IFERROR(__xludf.DUMMYFUNCTION("VLOOKUP(F4929, IMPORTRANGE(""https://docs.google.com/spreadsheets/d/1Lhp9OU0JdFf_VYSMzH5lBcEaU4o8teT1piV-SNzShjg/edit?gid=554141278#gid=554141278"", ""'Char Def. - Attributes'!C20:C2242""), 1,false)"),"GENERAL_SPEC")</f>
        <v>GENERAL_SPEC</v>
      </c>
      <c r="I4929" s="136"/>
    </row>
    <row r="4930" ht="15.75" customHeight="1">
      <c r="B4930" s="63">
        <f t="shared" si="1"/>
        <v>9</v>
      </c>
      <c r="C4930" s="146" t="s">
        <v>279</v>
      </c>
      <c r="D4930" s="147" t="s">
        <v>74</v>
      </c>
      <c r="E4930" s="135">
        <f t="shared" si="59"/>
        <v>24</v>
      </c>
      <c r="F4930" s="143" t="s">
        <v>3892</v>
      </c>
      <c r="G4930" s="63" t="str">
        <f>VLOOKUP(C4930, 'Class Def. - General Data'!$C$20:$C$1000,1,false)</f>
        <v>ZPM1_Sack</v>
      </c>
      <c r="H4930" s="63" t="str">
        <f>IFERROR(__xludf.DUMMYFUNCTION("VLOOKUP(F4930, IMPORTRANGE(""https://docs.google.com/spreadsheets/d/1Lhp9OU0JdFf_VYSMzH5lBcEaU4o8teT1piV-SNzShjg/edit?gid=554141278#gid=554141278"", ""'Char Def. - Attributes'!C20:C2242""), 1,false)"),"COLOR_COUNT")</f>
        <v>COLOR_COUNT</v>
      </c>
      <c r="I4930" s="136"/>
    </row>
    <row r="4931" ht="15.75" customHeight="1">
      <c r="B4931" s="63">
        <f t="shared" si="1"/>
        <v>9</v>
      </c>
      <c r="C4931" s="146" t="s">
        <v>279</v>
      </c>
      <c r="D4931" s="147" t="s">
        <v>74</v>
      </c>
      <c r="E4931" s="135">
        <f t="shared" si="59"/>
        <v>25</v>
      </c>
      <c r="F4931" s="143" t="s">
        <v>3893</v>
      </c>
      <c r="G4931" s="63" t="str">
        <f>VLOOKUP(C4931, 'Class Def. - General Data'!$C$20:$C$1000,1,false)</f>
        <v>ZPM1_Sack</v>
      </c>
      <c r="H4931" s="63" t="str">
        <f>IFERROR(__xludf.DUMMYFUNCTION("VLOOKUP(F4931, IMPORTRANGE(""https://docs.google.com/spreadsheets/d/1Lhp9OU0JdFf_VYSMzH5lBcEaU4o8teT1piV-SNzShjg/edit?gid=554141278#gid=554141278"", ""'Char Def. - Attributes'!C20:C2242""), 1,false)"),"FLEX_UOM")</f>
        <v>FLEX_UOM</v>
      </c>
      <c r="I4931" s="136"/>
    </row>
    <row r="4932" ht="15.75" customHeight="1">
      <c r="B4932" s="63">
        <f t="shared" si="1"/>
        <v>9</v>
      </c>
      <c r="C4932" s="146" t="s">
        <v>279</v>
      </c>
      <c r="D4932" s="147" t="s">
        <v>74</v>
      </c>
      <c r="E4932" s="135">
        <f t="shared" si="59"/>
        <v>26</v>
      </c>
      <c r="F4932" s="143" t="s">
        <v>3894</v>
      </c>
      <c r="G4932" s="63" t="str">
        <f>VLOOKUP(C4932, 'Class Def. - General Data'!$C$20:$C$1000,1,false)</f>
        <v>ZPM1_Sack</v>
      </c>
      <c r="H4932" s="63" t="str">
        <f>IFERROR(__xludf.DUMMYFUNCTION("VLOOKUP(F4932, IMPORTRANGE(""https://docs.google.com/spreadsheets/d/1Lhp9OU0JdFf_VYSMzH5lBcEaU4o8teT1piV-SNzShjg/edit?gid=554141278#gid=554141278"", ""'Char Def. - Attributes'!C20:C2242""), 1,false)"),"FLEX_COMPLEXITY")</f>
        <v>FLEX_COMPLEXITY</v>
      </c>
      <c r="I4932" s="136"/>
    </row>
    <row r="4933" ht="15.75" customHeight="1">
      <c r="B4933" s="63">
        <f t="shared" si="1"/>
        <v>9</v>
      </c>
      <c r="C4933" s="146" t="s">
        <v>279</v>
      </c>
      <c r="D4933" s="147" t="s">
        <v>74</v>
      </c>
      <c r="E4933" s="135">
        <f t="shared" si="59"/>
        <v>27</v>
      </c>
      <c r="F4933" s="143" t="s">
        <v>3587</v>
      </c>
      <c r="G4933" s="63" t="str">
        <f>VLOOKUP(C4933, 'Class Def. - General Data'!$C$20:$C$1000,1,false)</f>
        <v>ZPM1_Sack</v>
      </c>
      <c r="H4933" s="63" t="str">
        <f>IFERROR(__xludf.DUMMYFUNCTION("VLOOKUP(F4933, IMPORTRANGE(""https://docs.google.com/spreadsheets/d/1Lhp9OU0JdFf_VYSMzH5lBcEaU4o8teT1piV-SNzShjg/edit?gid=554141278#gid=554141278"", ""'Char Def. - Attributes'!C20:C2242""), 1,false)"),"PLANT_BUY")</f>
        <v>PLANT_BUY</v>
      </c>
      <c r="I4933" s="136"/>
    </row>
    <row r="4934" ht="15.75" customHeight="1">
      <c r="B4934" s="63">
        <f t="shared" si="1"/>
        <v>9</v>
      </c>
      <c r="C4934" s="146" t="s">
        <v>279</v>
      </c>
      <c r="D4934" s="147" t="s">
        <v>74</v>
      </c>
      <c r="E4934" s="135">
        <f t="shared" si="59"/>
        <v>28</v>
      </c>
      <c r="F4934" s="143" t="s">
        <v>3865</v>
      </c>
      <c r="G4934" s="63" t="str">
        <f>VLOOKUP(C4934, 'Class Def. - General Data'!$C$20:$C$1000,1,false)</f>
        <v>ZPM1_Sack</v>
      </c>
      <c r="H4934" s="63" t="str">
        <f>IFERROR(__xludf.DUMMYFUNCTION("VLOOKUP(F4934, IMPORTRANGE(""https://docs.google.com/spreadsheets/d/1Lhp9OU0JdFf_VYSMzH5lBcEaU4o8teT1piV-SNzShjg/edit?gid=554141278#gid=554141278"", ""'Char Def. - Attributes'!C20:C2242""), 1,false)"),"PLANT_PROD_OPT")</f>
        <v>PLANT_PROD_OPT</v>
      </c>
      <c r="I4934" s="136"/>
    </row>
    <row r="4935" ht="15.75" customHeight="1">
      <c r="B4935" s="63">
        <f t="shared" si="1"/>
        <v>9</v>
      </c>
      <c r="C4935" s="146" t="s">
        <v>279</v>
      </c>
      <c r="D4935" s="147" t="s">
        <v>74</v>
      </c>
      <c r="E4935" s="135">
        <f t="shared" si="59"/>
        <v>29</v>
      </c>
      <c r="F4935" s="143" t="s">
        <v>3866</v>
      </c>
      <c r="G4935" s="63" t="str">
        <f>VLOOKUP(C4935, 'Class Def. - General Data'!$C$20:$C$1000,1,false)</f>
        <v>ZPM1_Sack</v>
      </c>
      <c r="H4935" s="63" t="str">
        <f>IFERROR(__xludf.DUMMYFUNCTION("VLOOKUP(F4935, IMPORTRANGE(""https://docs.google.com/spreadsheets/d/1Lhp9OU0JdFf_VYSMzH5lBcEaU4o8teT1piV-SNzShjg/edit?gid=554141278#gid=554141278"", ""'Char Def. - Attributes'!C20:C2242""), 1,false)"),"PM_SUPPLY_JKT")</f>
        <v>PM_SUPPLY_JKT</v>
      </c>
      <c r="I4935" s="136"/>
    </row>
    <row r="4936" ht="15.75" customHeight="1">
      <c r="B4936" s="63">
        <f t="shared" si="1"/>
        <v>9</v>
      </c>
      <c r="C4936" s="146" t="s">
        <v>279</v>
      </c>
      <c r="D4936" s="147" t="s">
        <v>74</v>
      </c>
      <c r="E4936" s="135">
        <f t="shared" si="59"/>
        <v>30</v>
      </c>
      <c r="F4936" s="143" t="s">
        <v>3867</v>
      </c>
      <c r="G4936" s="63" t="str">
        <f>VLOOKUP(C4936, 'Class Def. - General Data'!$C$20:$C$1000,1,false)</f>
        <v>ZPM1_Sack</v>
      </c>
      <c r="H4936" s="63" t="str">
        <f>IFERROR(__xludf.DUMMYFUNCTION("VLOOKUP(F4936, IMPORTRANGE(""https://docs.google.com/spreadsheets/d/1Lhp9OU0JdFf_VYSMzH5lBcEaU4o8teT1piV-SNzShjg/edit?gid=554141278#gid=554141278"", ""'Char Def. - Attributes'!C20:C2242""), 1,false)"),"PM_SUPPLY_SBY")</f>
        <v>PM_SUPPLY_SBY</v>
      </c>
      <c r="I4936" s="136"/>
    </row>
    <row r="4937" ht="15.75" customHeight="1">
      <c r="B4937" s="63">
        <f t="shared" si="1"/>
        <v>9</v>
      </c>
      <c r="C4937" s="146" t="s">
        <v>279</v>
      </c>
      <c r="D4937" s="147" t="s">
        <v>74</v>
      </c>
      <c r="E4937" s="135">
        <f t="shared" si="59"/>
        <v>31</v>
      </c>
      <c r="F4937" s="143" t="s">
        <v>3868</v>
      </c>
      <c r="G4937" s="63" t="str">
        <f>VLOOKUP(C4937, 'Class Def. - General Data'!$C$20:$C$1000,1,false)</f>
        <v>ZPM1_Sack</v>
      </c>
      <c r="H4937" s="63" t="str">
        <f>IFERROR(__xludf.DUMMYFUNCTION("VLOOKUP(F4937, IMPORTRANGE(""https://docs.google.com/spreadsheets/d/1Lhp9OU0JdFf_VYSMzH5lBcEaU4o8teT1piV-SNzShjg/edit?gid=554141278#gid=554141278"", ""'Char Def. - Attributes'!C20:C2242""), 1,false)"),"BASIC_UOM_RMPM")</f>
        <v>BASIC_UOM_RMPM</v>
      </c>
      <c r="I4937" s="136"/>
    </row>
    <row r="4938" ht="15.75" customHeight="1">
      <c r="B4938" s="63">
        <f t="shared" si="1"/>
        <v>9</v>
      </c>
      <c r="C4938" s="146" t="s">
        <v>279</v>
      </c>
      <c r="D4938" s="147" t="s">
        <v>74</v>
      </c>
      <c r="E4938" s="135">
        <f t="shared" si="59"/>
        <v>32</v>
      </c>
      <c r="F4938" s="143" t="s">
        <v>3869</v>
      </c>
      <c r="G4938" s="63" t="str">
        <f>VLOOKUP(C4938, 'Class Def. - General Data'!$C$20:$C$1000,1,false)</f>
        <v>ZPM1_Sack</v>
      </c>
      <c r="H4938" s="63" t="str">
        <f>IFERROR(__xludf.DUMMYFUNCTION("VLOOKUP(F4938, IMPORTRANGE(""https://docs.google.com/spreadsheets/d/1Lhp9OU0JdFf_VYSMzH5lBcEaU4o8teT1piV-SNzShjg/edit?gid=554141278#gid=554141278"", ""'Char Def. - Attributes'!C20:C2242""), 1,false)"),"ALT_UOM1_RMPM")</f>
        <v>ALT_UOM1_RMPM</v>
      </c>
      <c r="I4938" s="136"/>
    </row>
    <row r="4939" ht="15.75" customHeight="1">
      <c r="B4939" s="63">
        <f t="shared" si="1"/>
        <v>9</v>
      </c>
      <c r="C4939" s="146" t="s">
        <v>279</v>
      </c>
      <c r="D4939" s="147" t="s">
        <v>74</v>
      </c>
      <c r="E4939" s="135">
        <f t="shared" si="59"/>
        <v>33</v>
      </c>
      <c r="F4939" s="143" t="s">
        <v>3805</v>
      </c>
      <c r="G4939" s="63" t="str">
        <f>VLOOKUP(C4939, 'Class Def. - General Data'!$C$20:$C$1000,1,false)</f>
        <v>ZPM1_Sack</v>
      </c>
      <c r="H4939" s="63" t="str">
        <f>IFERROR(__xludf.DUMMYFUNCTION("VLOOKUP(F4939, IMPORTRANGE(""https://docs.google.com/spreadsheets/d/1Lhp9OU0JdFf_VYSMzH5lBcEaU4o8teT1piV-SNzShjg/edit?gid=554141278#gid=554141278"", ""'Char Def. - Attributes'!C20:C2242""), 1,false)"),"ALT_DENUM_UOM1")</f>
        <v>ALT_DENUM_UOM1</v>
      </c>
      <c r="I4939" s="136"/>
    </row>
    <row r="4940" ht="15.75" customHeight="1">
      <c r="B4940" s="63">
        <f t="shared" si="1"/>
        <v>9</v>
      </c>
      <c r="C4940" s="146" t="s">
        <v>279</v>
      </c>
      <c r="D4940" s="147" t="s">
        <v>74</v>
      </c>
      <c r="E4940" s="135">
        <f t="shared" si="59"/>
        <v>34</v>
      </c>
      <c r="F4940" s="143" t="s">
        <v>3806</v>
      </c>
      <c r="G4940" s="63" t="str">
        <f>VLOOKUP(C4940, 'Class Def. - General Data'!$C$20:$C$1000,1,false)</f>
        <v>ZPM1_Sack</v>
      </c>
      <c r="H4940" s="63" t="str">
        <f>IFERROR(__xludf.DUMMYFUNCTION("VLOOKUP(F4940, IMPORTRANGE(""https://docs.google.com/spreadsheets/d/1Lhp9OU0JdFf_VYSMzH5lBcEaU4o8teT1piV-SNzShjg/edit?gid=554141278#gid=554141278"", ""'Char Def. - Attributes'!C20:C2242""), 1,false)"),"ALT_NUM_UOM1")</f>
        <v>ALT_NUM_UOM1</v>
      </c>
      <c r="I4940" s="136"/>
    </row>
    <row r="4941" ht="15.75" customHeight="1">
      <c r="B4941" s="63">
        <f t="shared" si="1"/>
        <v>9</v>
      </c>
      <c r="C4941" s="146" t="s">
        <v>279</v>
      </c>
      <c r="D4941" s="147" t="s">
        <v>74</v>
      </c>
      <c r="E4941" s="135">
        <f t="shared" si="59"/>
        <v>35</v>
      </c>
      <c r="F4941" s="143" t="s">
        <v>3870</v>
      </c>
      <c r="G4941" s="63" t="str">
        <f>VLOOKUP(C4941, 'Class Def. - General Data'!$C$20:$C$1000,1,false)</f>
        <v>ZPM1_Sack</v>
      </c>
      <c r="H4941" s="63" t="str">
        <f>IFERROR(__xludf.DUMMYFUNCTION("VLOOKUP(F4941, IMPORTRANGE(""https://docs.google.com/spreadsheets/d/1Lhp9OU0JdFf_VYSMzH5lBcEaU4o8teT1piV-SNzShjg/edit?gid=554141278#gid=554141278"", ""'Char Def. - Attributes'!C20:C2242""), 1,false)"),"ALT_UOM2_RMPM")</f>
        <v>ALT_UOM2_RMPM</v>
      </c>
      <c r="I4941" s="136"/>
    </row>
    <row r="4942" ht="15.75" customHeight="1">
      <c r="B4942" s="63">
        <f t="shared" si="1"/>
        <v>9</v>
      </c>
      <c r="C4942" s="146" t="s">
        <v>279</v>
      </c>
      <c r="D4942" s="147" t="s">
        <v>74</v>
      </c>
      <c r="E4942" s="135">
        <f t="shared" si="59"/>
        <v>36</v>
      </c>
      <c r="F4942" s="143" t="s">
        <v>3808</v>
      </c>
      <c r="G4942" s="63" t="str">
        <f>VLOOKUP(C4942, 'Class Def. - General Data'!$C$20:$C$1000,1,false)</f>
        <v>ZPM1_Sack</v>
      </c>
      <c r="H4942" s="63" t="str">
        <f>IFERROR(__xludf.DUMMYFUNCTION("VLOOKUP(F4942, IMPORTRANGE(""https://docs.google.com/spreadsheets/d/1Lhp9OU0JdFf_VYSMzH5lBcEaU4o8teT1piV-SNzShjg/edit?gid=554141278#gid=554141278"", ""'Char Def. - Attributes'!C20:C2242""), 1,false)"),"ALT_DENUM_UOM2")</f>
        <v>ALT_DENUM_UOM2</v>
      </c>
      <c r="I4942" s="136"/>
    </row>
    <row r="4943" ht="15.75" customHeight="1">
      <c r="B4943" s="63">
        <f t="shared" si="1"/>
        <v>9</v>
      </c>
      <c r="C4943" s="146" t="s">
        <v>279</v>
      </c>
      <c r="D4943" s="147" t="s">
        <v>74</v>
      </c>
      <c r="E4943" s="135">
        <f t="shared" si="59"/>
        <v>37</v>
      </c>
      <c r="F4943" s="143" t="s">
        <v>3809</v>
      </c>
      <c r="G4943" s="63" t="str">
        <f>VLOOKUP(C4943, 'Class Def. - General Data'!$C$20:$C$1000,1,false)</f>
        <v>ZPM1_Sack</v>
      </c>
      <c r="H4943" s="63" t="str">
        <f>IFERROR(__xludf.DUMMYFUNCTION("VLOOKUP(F4943, IMPORTRANGE(""https://docs.google.com/spreadsheets/d/1Lhp9OU0JdFf_VYSMzH5lBcEaU4o8teT1piV-SNzShjg/edit?gid=554141278#gid=554141278"", ""'Char Def. - Attributes'!C20:C2242""), 1,false)"),"ALT_NUM_UOM2")</f>
        <v>ALT_NUM_UOM2</v>
      </c>
      <c r="I4943" s="136"/>
    </row>
    <row r="4944" ht="15.75" customHeight="1">
      <c r="B4944" s="63">
        <f t="shared" si="1"/>
        <v>9</v>
      </c>
      <c r="C4944" s="146" t="s">
        <v>279</v>
      </c>
      <c r="D4944" s="147" t="s">
        <v>74</v>
      </c>
      <c r="E4944" s="135">
        <f t="shared" si="59"/>
        <v>38</v>
      </c>
      <c r="F4944" s="143" t="s">
        <v>3871</v>
      </c>
      <c r="G4944" s="63" t="str">
        <f>VLOOKUP(C4944, 'Class Def. - General Data'!$C$20:$C$1000,1,false)</f>
        <v>ZPM1_Sack</v>
      </c>
      <c r="H4944" s="63" t="str">
        <f>IFERROR(__xludf.DUMMYFUNCTION("VLOOKUP(F4944, IMPORTRANGE(""https://docs.google.com/spreadsheets/d/1Lhp9OU0JdFf_VYSMzH5lBcEaU4o8teT1piV-SNzShjg/edit?gid=554141278#gid=554141278"", ""'Char Def. - Attributes'!C20:C2242""), 1,false)"),"ALT_UOM3_RMPM")</f>
        <v>ALT_UOM3_RMPM</v>
      </c>
      <c r="I4944" s="136"/>
    </row>
    <row r="4945" ht="15.75" customHeight="1">
      <c r="B4945" s="63">
        <f t="shared" si="1"/>
        <v>9</v>
      </c>
      <c r="C4945" s="146" t="s">
        <v>279</v>
      </c>
      <c r="D4945" s="147" t="s">
        <v>74</v>
      </c>
      <c r="E4945" s="135">
        <f t="shared" si="59"/>
        <v>39</v>
      </c>
      <c r="F4945" s="143" t="s">
        <v>3811</v>
      </c>
      <c r="G4945" s="63" t="str">
        <f>VLOOKUP(C4945, 'Class Def. - General Data'!$C$20:$C$1000,1,false)</f>
        <v>ZPM1_Sack</v>
      </c>
      <c r="H4945" s="63" t="str">
        <f>IFERROR(__xludf.DUMMYFUNCTION("VLOOKUP(F4945, IMPORTRANGE(""https://docs.google.com/spreadsheets/d/1Lhp9OU0JdFf_VYSMzH5lBcEaU4o8teT1piV-SNzShjg/edit?gid=554141278#gid=554141278"", ""'Char Def. - Attributes'!C20:C2242""), 1,false)"),"ALT_DENUM_UOM3")</f>
        <v>ALT_DENUM_UOM3</v>
      </c>
      <c r="I4945" s="136"/>
    </row>
    <row r="4946" ht="15.75" customHeight="1">
      <c r="B4946" s="63">
        <f t="shared" si="1"/>
        <v>9</v>
      </c>
      <c r="C4946" s="146" t="s">
        <v>279</v>
      </c>
      <c r="D4946" s="147" t="s">
        <v>74</v>
      </c>
      <c r="E4946" s="135">
        <f t="shared" si="59"/>
        <v>40</v>
      </c>
      <c r="F4946" s="143" t="s">
        <v>3812</v>
      </c>
      <c r="G4946" s="63" t="str">
        <f>VLOOKUP(C4946, 'Class Def. - General Data'!$C$20:$C$1000,1,false)</f>
        <v>ZPM1_Sack</v>
      </c>
      <c r="H4946" s="63" t="str">
        <f>IFERROR(__xludf.DUMMYFUNCTION("VLOOKUP(F4946, IMPORTRANGE(""https://docs.google.com/spreadsheets/d/1Lhp9OU0JdFf_VYSMzH5lBcEaU4o8teT1piV-SNzShjg/edit?gid=554141278#gid=554141278"", ""'Char Def. - Attributes'!C20:C2242""), 1,false)"),"ALT_NUM_UOM3")</f>
        <v>ALT_NUM_UOM3</v>
      </c>
      <c r="I4946" s="136"/>
    </row>
    <row r="4947" ht="15.75" customHeight="1">
      <c r="B4947" s="63">
        <f t="shared" si="1"/>
        <v>9</v>
      </c>
      <c r="C4947" s="146" t="s">
        <v>279</v>
      </c>
      <c r="D4947" s="147" t="s">
        <v>74</v>
      </c>
      <c r="E4947" s="135">
        <f t="shared" si="59"/>
        <v>41</v>
      </c>
      <c r="F4947" s="143" t="s">
        <v>3872</v>
      </c>
      <c r="G4947" s="63" t="str">
        <f>VLOOKUP(C4947, 'Class Def. - General Data'!$C$20:$C$1000,1,false)</f>
        <v>ZPM1_Sack</v>
      </c>
      <c r="H4947" s="63" t="str">
        <f>IFERROR(__xludf.DUMMYFUNCTION("VLOOKUP(F4947, IMPORTRANGE(""https://docs.google.com/spreadsheets/d/1Lhp9OU0JdFf_VYSMzH5lBcEaU4o8teT1piV-SNzShjg/edit?gid=554141278#gid=554141278"", ""'Char Def. - Attributes'!C20:C2242""), 1,false)"),"ALT_UOM4_RMPM")</f>
        <v>ALT_UOM4_RMPM</v>
      </c>
      <c r="I4947" s="136"/>
    </row>
    <row r="4948" ht="15.75" customHeight="1">
      <c r="B4948" s="63">
        <f t="shared" si="1"/>
        <v>9</v>
      </c>
      <c r="C4948" s="146" t="s">
        <v>279</v>
      </c>
      <c r="D4948" s="147" t="s">
        <v>74</v>
      </c>
      <c r="E4948" s="135">
        <f t="shared" si="59"/>
        <v>42</v>
      </c>
      <c r="F4948" s="143" t="s">
        <v>3814</v>
      </c>
      <c r="G4948" s="63" t="str">
        <f>VLOOKUP(C4948, 'Class Def. - General Data'!$C$20:$C$1000,1,false)</f>
        <v>ZPM1_Sack</v>
      </c>
      <c r="H4948" s="63" t="str">
        <f>IFERROR(__xludf.DUMMYFUNCTION("VLOOKUP(F4948, IMPORTRANGE(""https://docs.google.com/spreadsheets/d/1Lhp9OU0JdFf_VYSMzH5lBcEaU4o8teT1piV-SNzShjg/edit?gid=554141278#gid=554141278"", ""'Char Def. - Attributes'!C20:C2242""), 1,false)"),"ALT_DENUM_UOM4")</f>
        <v>ALT_DENUM_UOM4</v>
      </c>
      <c r="I4948" s="136"/>
    </row>
    <row r="4949" ht="15.75" customHeight="1">
      <c r="B4949" s="63">
        <f t="shared" si="1"/>
        <v>9</v>
      </c>
      <c r="C4949" s="146" t="s">
        <v>279</v>
      </c>
      <c r="D4949" s="147" t="s">
        <v>74</v>
      </c>
      <c r="E4949" s="135">
        <f t="shared" si="59"/>
        <v>43</v>
      </c>
      <c r="F4949" s="143" t="s">
        <v>3815</v>
      </c>
      <c r="G4949" s="63" t="str">
        <f>VLOOKUP(C4949, 'Class Def. - General Data'!$C$20:$C$1000,1,false)</f>
        <v>ZPM1_Sack</v>
      </c>
      <c r="H4949" s="63" t="str">
        <f>IFERROR(__xludf.DUMMYFUNCTION("VLOOKUP(F4949, IMPORTRANGE(""https://docs.google.com/spreadsheets/d/1Lhp9OU0JdFf_VYSMzH5lBcEaU4o8teT1piV-SNzShjg/edit?gid=554141278#gid=554141278"", ""'Char Def. - Attributes'!C20:C2242""), 1,false)"),"ALT_NUM_UOM4")</f>
        <v>ALT_NUM_UOM4</v>
      </c>
      <c r="I4949" s="136"/>
    </row>
    <row r="4950" ht="15.75" customHeight="1">
      <c r="B4950" s="63">
        <f t="shared" si="1"/>
        <v>9</v>
      </c>
      <c r="C4950" s="146" t="s">
        <v>279</v>
      </c>
      <c r="D4950" s="147" t="s">
        <v>74</v>
      </c>
      <c r="E4950" s="135">
        <f t="shared" si="59"/>
        <v>44</v>
      </c>
      <c r="F4950" s="143" t="s">
        <v>3873</v>
      </c>
      <c r="G4950" s="63" t="str">
        <f>VLOOKUP(C4950, 'Class Def. - General Data'!$C$20:$C$1000,1,false)</f>
        <v>ZPM1_Sack</v>
      </c>
      <c r="H4950" s="63" t="str">
        <f>IFERROR(__xludf.DUMMYFUNCTION("VLOOKUP(F4950, IMPORTRANGE(""https://docs.google.com/spreadsheets/d/1Lhp9OU0JdFf_VYSMzH5lBcEaU4o8teT1piV-SNzShjg/edit?gid=554141278#gid=554141278"", ""'Char Def. - Attributes'!C20:C2242""), 1,false)"),"ALT_UOM5_RMPM")</f>
        <v>ALT_UOM5_RMPM</v>
      </c>
      <c r="I4950" s="136"/>
    </row>
    <row r="4951" ht="15.75" customHeight="1">
      <c r="B4951" s="63">
        <f t="shared" si="1"/>
        <v>9</v>
      </c>
      <c r="C4951" s="146" t="s">
        <v>279</v>
      </c>
      <c r="D4951" s="147" t="s">
        <v>74</v>
      </c>
      <c r="E4951" s="135">
        <f t="shared" si="59"/>
        <v>45</v>
      </c>
      <c r="F4951" s="143" t="s">
        <v>3817</v>
      </c>
      <c r="G4951" s="63" t="str">
        <f>VLOOKUP(C4951, 'Class Def. - General Data'!$C$20:$C$1000,1,false)</f>
        <v>ZPM1_Sack</v>
      </c>
      <c r="H4951" s="63" t="str">
        <f>IFERROR(__xludf.DUMMYFUNCTION("VLOOKUP(F4951, IMPORTRANGE(""https://docs.google.com/spreadsheets/d/1Lhp9OU0JdFf_VYSMzH5lBcEaU4o8teT1piV-SNzShjg/edit?gid=554141278#gid=554141278"", ""'Char Def. - Attributes'!C20:C2242""), 1,false)"),"ALT_DENUM_UOM5")</f>
        <v>ALT_DENUM_UOM5</v>
      </c>
      <c r="I4951" s="136"/>
    </row>
    <row r="4952" ht="15.75" customHeight="1">
      <c r="B4952" s="63">
        <f t="shared" si="1"/>
        <v>9</v>
      </c>
      <c r="C4952" s="146" t="s">
        <v>279</v>
      </c>
      <c r="D4952" s="147" t="s">
        <v>74</v>
      </c>
      <c r="E4952" s="135">
        <f t="shared" si="59"/>
        <v>46</v>
      </c>
      <c r="F4952" s="143" t="s">
        <v>3818</v>
      </c>
      <c r="G4952" s="63" t="str">
        <f>VLOOKUP(C4952, 'Class Def. - General Data'!$C$20:$C$1000,1,false)</f>
        <v>ZPM1_Sack</v>
      </c>
      <c r="H4952" s="63" t="str">
        <f>IFERROR(__xludf.DUMMYFUNCTION("VLOOKUP(F4952, IMPORTRANGE(""https://docs.google.com/spreadsheets/d/1Lhp9OU0JdFf_VYSMzH5lBcEaU4o8teT1piV-SNzShjg/edit?gid=554141278#gid=554141278"", ""'Char Def. - Attributes'!C20:C2242""), 1,false)"),"ALT_NUM_UOM5")</f>
        <v>ALT_NUM_UOM5</v>
      </c>
      <c r="I4952" s="136"/>
    </row>
    <row r="4953" ht="15.75" customHeight="1">
      <c r="B4953" s="63">
        <f t="shared" si="1"/>
        <v>9</v>
      </c>
      <c r="C4953" s="146" t="s">
        <v>279</v>
      </c>
      <c r="D4953" s="147" t="s">
        <v>74</v>
      </c>
      <c r="E4953" s="135">
        <f t="shared" si="59"/>
        <v>47</v>
      </c>
      <c r="F4953" s="143" t="s">
        <v>3874</v>
      </c>
      <c r="G4953" s="63" t="str">
        <f>VLOOKUP(C4953, 'Class Def. - General Data'!$C$20:$C$1000,1,false)</f>
        <v>ZPM1_Sack</v>
      </c>
      <c r="H4953" s="63" t="str">
        <f>IFERROR(__xludf.DUMMYFUNCTION("VLOOKUP(F4953, IMPORTRANGE(""https://docs.google.com/spreadsheets/d/1Lhp9OU0JdFf_VYSMzH5lBcEaU4o8teT1piV-SNzShjg/edit?gid=554141278#gid=554141278"", ""'Char Def. - Attributes'!C20:C2242""), 1,false)"),"VALUATION_CATEGORY")</f>
        <v>VALUATION_CATEGORY</v>
      </c>
      <c r="I4953" s="136"/>
    </row>
    <row r="4954" ht="15.75" customHeight="1">
      <c r="B4954" s="63">
        <f t="shared" si="1"/>
        <v>9</v>
      </c>
      <c r="C4954" s="146" t="s">
        <v>279</v>
      </c>
      <c r="D4954" s="147" t="s">
        <v>74</v>
      </c>
      <c r="E4954" s="135">
        <f t="shared" si="59"/>
        <v>48</v>
      </c>
      <c r="F4954" s="143" t="s">
        <v>3800</v>
      </c>
      <c r="G4954" s="63" t="str">
        <f>VLOOKUP(C4954, 'Class Def. - General Data'!$C$20:$C$1000,1,false)</f>
        <v>ZPM1_Sack</v>
      </c>
      <c r="H4954" s="63" t="str">
        <f>IFERROR(__xludf.DUMMYFUNCTION("VLOOKUP(F4954, IMPORTRANGE(""https://docs.google.com/spreadsheets/d/1Lhp9OU0JdFf_VYSMzH5lBcEaU4o8teT1piV-SNzShjg/edit?gid=554141278#gid=554141278"", ""'Char Def. - Attributes'!C20:C2242""), 1,false)"),"ORDER_UNIT_DIFF_FROM_BASIC_UOM")</f>
        <v>ORDER_UNIT_DIFF_FROM_BASIC_UOM</v>
      </c>
      <c r="I4954" s="136"/>
    </row>
    <row r="4955" ht="15.75" customHeight="1">
      <c r="B4955" s="63">
        <f t="shared" si="1"/>
        <v>9</v>
      </c>
      <c r="C4955" s="146" t="s">
        <v>279</v>
      </c>
      <c r="D4955" s="147" t="s">
        <v>74</v>
      </c>
      <c r="E4955" s="135">
        <f t="shared" si="59"/>
        <v>49</v>
      </c>
      <c r="F4955" s="143" t="s">
        <v>3875</v>
      </c>
      <c r="G4955" s="63" t="str">
        <f>VLOOKUP(C4955, 'Class Def. - General Data'!$C$20:$C$1000,1,false)</f>
        <v>ZPM1_Sack</v>
      </c>
      <c r="H4955" s="63" t="str">
        <f>IFERROR(__xludf.DUMMYFUNCTION("VLOOKUP(F4955, IMPORTRANGE(""https://docs.google.com/spreadsheets/d/1Lhp9OU0JdFf_VYSMzH5lBcEaU4o8teT1piV-SNzShjg/edit?gid=554141278#gid=554141278"", ""'Char Def. - Attributes'!C20:C2242""), 1,false)"),"ORDER_UNIT_RMPM")</f>
        <v>ORDER_UNIT_RMPM</v>
      </c>
      <c r="I4955" s="136"/>
    </row>
    <row r="4956" ht="15.75" customHeight="1">
      <c r="B4956" s="63">
        <f t="shared" si="1"/>
        <v>9</v>
      </c>
      <c r="C4956" s="146" t="s">
        <v>279</v>
      </c>
      <c r="D4956" s="147" t="s">
        <v>74</v>
      </c>
      <c r="E4956" s="135">
        <f t="shared" si="59"/>
        <v>50</v>
      </c>
      <c r="F4956" s="143" t="s">
        <v>3602</v>
      </c>
      <c r="G4956" s="63" t="str">
        <f>VLOOKUP(C4956, 'Class Def. - General Data'!$C$20:$C$1000,1,false)</f>
        <v>ZPM1_Sack</v>
      </c>
      <c r="H4956" s="63" t="str">
        <f>IFERROR(__xludf.DUMMYFUNCTION("VLOOKUP(F4956, IMPORTRANGE(""https://docs.google.com/spreadsheets/d/1Lhp9OU0JdFf_VYSMzH5lBcEaU4o8teT1piV-SNzShjg/edit?gid=554141278#gid=554141278"", ""'Char Def. - Attributes'!C20:C2242""), 1,false)"),"NET_WEIGHT")</f>
        <v>NET_WEIGHT</v>
      </c>
      <c r="I4956" s="136"/>
    </row>
    <row r="4957" ht="15.75" customHeight="1">
      <c r="B4957" s="63">
        <f t="shared" si="1"/>
        <v>9</v>
      </c>
      <c r="C4957" s="146" t="s">
        <v>279</v>
      </c>
      <c r="D4957" s="147" t="s">
        <v>74</v>
      </c>
      <c r="E4957" s="135">
        <f t="shared" si="59"/>
        <v>51</v>
      </c>
      <c r="F4957" s="143" t="s">
        <v>3601</v>
      </c>
      <c r="G4957" s="63" t="str">
        <f>VLOOKUP(C4957, 'Class Def. - General Data'!$C$20:$C$1000,1,false)</f>
        <v>ZPM1_Sack</v>
      </c>
      <c r="H4957" s="63" t="str">
        <f>IFERROR(__xludf.DUMMYFUNCTION("VLOOKUP(F4957, IMPORTRANGE(""https://docs.google.com/spreadsheets/d/1Lhp9OU0JdFf_VYSMzH5lBcEaU4o8teT1piV-SNzShjg/edit?gid=554141278#gid=554141278"", ""'Char Def. - Attributes'!C20:C2242""), 1,false)"),"GROSS_WEIGHT")</f>
        <v>GROSS_WEIGHT</v>
      </c>
      <c r="I4957" s="136"/>
    </row>
    <row r="4958" ht="15.75" customHeight="1">
      <c r="B4958" s="63">
        <f t="shared" si="1"/>
        <v>9</v>
      </c>
      <c r="C4958" s="146" t="s">
        <v>279</v>
      </c>
      <c r="D4958" s="147" t="s">
        <v>74</v>
      </c>
      <c r="E4958" s="135">
        <f t="shared" si="59"/>
        <v>52</v>
      </c>
      <c r="F4958" s="143" t="s">
        <v>3876</v>
      </c>
      <c r="G4958" s="63" t="str">
        <f>VLOOKUP(C4958, 'Class Def. - General Data'!$C$20:$C$1000,1,false)</f>
        <v>ZPM1_Sack</v>
      </c>
      <c r="H4958" s="63" t="str">
        <f>IFERROR(__xludf.DUMMYFUNCTION("VLOOKUP(F4958, IMPORTRANGE(""https://docs.google.com/spreadsheets/d/1Lhp9OU0JdFf_VYSMzH5lBcEaU4o8teT1piV-SNzShjg/edit?gid=554141278#gid=554141278"", ""'Char Def. - Attributes'!C20:C2242""), 1,false)"),"WEIGHT_UNIT_PM")</f>
        <v>WEIGHT_UNIT_PM</v>
      </c>
      <c r="I4958" s="136"/>
    </row>
    <row r="4959" ht="15.75" customHeight="1">
      <c r="B4959" s="63">
        <f t="shared" si="1"/>
        <v>9</v>
      </c>
      <c r="C4959" s="146" t="s">
        <v>279</v>
      </c>
      <c r="D4959" s="147" t="s">
        <v>74</v>
      </c>
      <c r="E4959" s="135">
        <f t="shared" si="59"/>
        <v>53</v>
      </c>
      <c r="F4959" s="143" t="s">
        <v>3877</v>
      </c>
      <c r="G4959" s="63" t="str">
        <f>VLOOKUP(C4959, 'Class Def. - General Data'!$C$20:$C$1000,1,false)</f>
        <v>ZPM1_Sack</v>
      </c>
      <c r="H4959" s="63" t="str">
        <f>IFERROR(__xludf.DUMMYFUNCTION("VLOOKUP(F4959, IMPORTRANGE(""https://docs.google.com/spreadsheets/d/1Lhp9OU0JdFf_VYSMzH5lBcEaU4o8teT1piV-SNzShjg/edit?gid=554141278#gid=554141278"", ""'Char Def. - Attributes'!C20:C2242""), 1,false)"),"VOLUME_OPT")</f>
        <v>VOLUME_OPT</v>
      </c>
      <c r="I4959" s="136"/>
    </row>
    <row r="4960" ht="15.75" customHeight="1">
      <c r="B4960" s="63">
        <f t="shared" si="1"/>
        <v>9</v>
      </c>
      <c r="C4960" s="146" t="s">
        <v>279</v>
      </c>
      <c r="D4960" s="147" t="s">
        <v>74</v>
      </c>
      <c r="E4960" s="135">
        <f t="shared" si="59"/>
        <v>54</v>
      </c>
      <c r="F4960" s="143" t="s">
        <v>3878</v>
      </c>
      <c r="G4960" s="63" t="str">
        <f>VLOOKUP(C4960, 'Class Def. - General Data'!$C$20:$C$1000,1,false)</f>
        <v>ZPM1_Sack</v>
      </c>
      <c r="H4960" s="63" t="str">
        <f>IFERROR(__xludf.DUMMYFUNCTION("VLOOKUP(F4960, IMPORTRANGE(""https://docs.google.com/spreadsheets/d/1Lhp9OU0JdFf_VYSMzH5lBcEaU4o8teT1piV-SNzShjg/edit?gid=554141278#gid=554141278"", ""'Char Def. - Attributes'!C20:C2242""), 1,false)"),"VOLUME_UNIT")</f>
        <v>VOLUME_UNIT</v>
      </c>
      <c r="I4960" s="136"/>
    </row>
    <row r="4961" ht="15.75" customHeight="1">
      <c r="B4961" s="63">
        <f t="shared" si="1"/>
        <v>9</v>
      </c>
      <c r="C4961" s="146" t="s">
        <v>279</v>
      </c>
      <c r="D4961" s="147" t="s">
        <v>74</v>
      </c>
      <c r="E4961" s="135">
        <f t="shared" si="59"/>
        <v>55</v>
      </c>
      <c r="F4961" s="143" t="s">
        <v>3879</v>
      </c>
      <c r="G4961" s="63" t="str">
        <f>VLOOKUP(C4961, 'Class Def. - General Data'!$C$20:$C$1000,1,false)</f>
        <v>ZPM1_Sack</v>
      </c>
      <c r="H4961" s="63" t="str">
        <f>IFERROR(__xludf.DUMMYFUNCTION("VLOOKUP(F4961, IMPORTRANGE(""https://docs.google.com/spreadsheets/d/1Lhp9OU0JdFf_VYSMzH5lBcEaU4o8teT1piV-SNzShjg/edit?gid=554141278#gid=554141278"", ""'Char Def. - Attributes'!C20:C2242""), 1,false)"),"OLD_MAT_NO_RMPM")</f>
        <v>OLD_MAT_NO_RMPM</v>
      </c>
      <c r="I4961" s="136"/>
    </row>
    <row r="4962" ht="15.75" customHeight="1">
      <c r="B4962" s="63">
        <f t="shared" si="1"/>
        <v>9</v>
      </c>
      <c r="C4962" s="146" t="s">
        <v>279</v>
      </c>
      <c r="D4962" s="147" t="s">
        <v>74</v>
      </c>
      <c r="E4962" s="135">
        <f t="shared" si="59"/>
        <v>56</v>
      </c>
      <c r="F4962" s="143" t="s">
        <v>3880</v>
      </c>
      <c r="G4962" s="63" t="str">
        <f>VLOOKUP(C4962, 'Class Def. - General Data'!$C$20:$C$1000,1,false)</f>
        <v>ZPM1_Sack</v>
      </c>
      <c r="H4962" s="63" t="str">
        <f>IFERROR(__xludf.DUMMYFUNCTION("VLOOKUP(F4962, IMPORTRANGE(""https://docs.google.com/spreadsheets/d/1Lhp9OU0JdFf_VYSMzH5lBcEaU4o8teT1piV-SNzShjg/edit?gid=554141278#gid=554141278"", ""'Char Def. - Attributes'!C20:C2242""), 1,false)"),"NOTE_PM")</f>
        <v>NOTE_PM</v>
      </c>
      <c r="I4962" s="136"/>
    </row>
    <row r="4963" ht="15.75" customHeight="1">
      <c r="B4963" s="63">
        <f t="shared" si="1"/>
        <v>9</v>
      </c>
      <c r="C4963" s="146" t="s">
        <v>279</v>
      </c>
      <c r="D4963" s="147" t="s">
        <v>74</v>
      </c>
      <c r="E4963" s="135">
        <f t="shared" si="59"/>
        <v>57</v>
      </c>
      <c r="F4963" s="143" t="s">
        <v>3881</v>
      </c>
      <c r="G4963" s="63" t="str">
        <f>VLOOKUP(C4963, 'Class Def. - General Data'!$C$20:$C$1000,1,false)</f>
        <v>ZPM1_Sack</v>
      </c>
      <c r="H4963" s="63" t="str">
        <f>IFERROR(__xludf.DUMMYFUNCTION("VLOOKUP(F4963, IMPORTRANGE(""https://docs.google.com/spreadsheets/d/1Lhp9OU0JdFf_VYSMzH5lBcEaU4o8teT1piV-SNzShjg/edit?gid=554141278#gid=554141278"", ""'Char Def. - Attributes'!C20:C2242""), 1,false)"),"BS_BERSIH")</f>
        <v>BS_BERSIH</v>
      </c>
      <c r="I4963" s="136"/>
    </row>
    <row r="4964" ht="15.75" customHeight="1">
      <c r="B4964" s="63">
        <f t="shared" si="1"/>
        <v>9</v>
      </c>
      <c r="C4964" s="146" t="s">
        <v>279</v>
      </c>
      <c r="D4964" s="147" t="s">
        <v>74</v>
      </c>
      <c r="E4964" s="135">
        <f t="shared" si="59"/>
        <v>58</v>
      </c>
      <c r="F4964" s="143" t="s">
        <v>3882</v>
      </c>
      <c r="G4964" s="63" t="str">
        <f>VLOOKUP(C4964, 'Class Def. - General Data'!$C$20:$C$1000,1,false)</f>
        <v>ZPM1_Sack</v>
      </c>
      <c r="H4964" s="63" t="str">
        <f>IFERROR(__xludf.DUMMYFUNCTION("VLOOKUP(F4964, IMPORTRANGE(""https://docs.google.com/spreadsheets/d/1Lhp9OU0JdFf_VYSMzH5lBcEaU4o8teT1piV-SNzShjg/edit?gid=554141278#gid=554141278"", ""'Char Def. - Attributes'!C20:C2242""), 1,false)"),"BS_KOTOR")</f>
        <v>BS_KOTOR</v>
      </c>
      <c r="I4964" s="136"/>
    </row>
    <row r="4965" ht="15.75" customHeight="1">
      <c r="B4965" s="63">
        <f t="shared" si="1"/>
        <v>9</v>
      </c>
      <c r="C4965" s="146" t="s">
        <v>279</v>
      </c>
      <c r="D4965" s="147" t="s">
        <v>74</v>
      </c>
      <c r="E4965" s="135">
        <f t="shared" si="59"/>
        <v>59</v>
      </c>
      <c r="F4965" s="143" t="s">
        <v>3883</v>
      </c>
      <c r="G4965" s="63" t="str">
        <f>VLOOKUP(C4965, 'Class Def. - General Data'!$C$20:$C$1000,1,false)</f>
        <v>ZPM1_Sack</v>
      </c>
      <c r="H4965" s="63" t="str">
        <f>IFERROR(__xludf.DUMMYFUNCTION("VLOOKUP(F4965, IMPORTRANGE(""https://docs.google.com/spreadsheets/d/1Lhp9OU0JdFf_VYSMzH5lBcEaU4o8teT1piV-SNzShjg/edit?gid=554141278#gid=554141278"", ""'Char Def. - Attributes'!C20:C2242""), 1,false)"),"BS_SCRAP")</f>
        <v>BS_SCRAP</v>
      </c>
      <c r="I4965" s="136"/>
    </row>
    <row r="4966" ht="15.75" customHeight="1">
      <c r="B4966" s="63">
        <f t="shared" si="1"/>
        <v>14</v>
      </c>
      <c r="C4966" s="146" t="s">
        <v>267</v>
      </c>
      <c r="D4966" s="147" t="s">
        <v>74</v>
      </c>
      <c r="E4966" s="135">
        <f t="shared" si="59"/>
        <v>1</v>
      </c>
      <c r="F4966" s="143" t="s">
        <v>3971</v>
      </c>
      <c r="G4966" s="63" t="str">
        <f>VLOOKUP(C4966, 'Class Def. - General Data'!$C$20:$C$1000,1,false)</f>
        <v>ZPM1_SealLiner</v>
      </c>
      <c r="H4966" s="63" t="str">
        <f>IFERROR(__xludf.DUMMYFUNCTION("VLOOKUP(F4966, IMPORTRANGE(""https://docs.google.com/spreadsheets/d/1Lhp9OU0JdFf_VYSMzH5lBcEaU4o8teT1piV-SNzShjg/edit?gid=554141278#gid=554141278"", ""'Char Def. - Attributes'!C20:C2242""), 1,false)"),"MATERIAL_CODE_SEALLINER")</f>
        <v>MATERIAL_CODE_SEALLINER</v>
      </c>
      <c r="I4966" s="136"/>
    </row>
    <row r="4967" ht="15.75" customHeight="1">
      <c r="B4967" s="63">
        <f t="shared" si="1"/>
        <v>14</v>
      </c>
      <c r="C4967" s="146" t="s">
        <v>267</v>
      </c>
      <c r="D4967" s="147" t="s">
        <v>74</v>
      </c>
      <c r="E4967" s="135">
        <f t="shared" si="59"/>
        <v>2</v>
      </c>
      <c r="F4967" s="143" t="s">
        <v>3853</v>
      </c>
      <c r="G4967" s="63" t="str">
        <f>VLOOKUP(C4967, 'Class Def. - General Data'!$C$20:$C$1000,1,false)</f>
        <v>ZPM1_SealLiner</v>
      </c>
      <c r="H4967" s="63" t="str">
        <f>IFERROR(__xludf.DUMMYFUNCTION("VLOOKUP(F4967, IMPORTRANGE(""https://docs.google.com/spreadsheets/d/1Lhp9OU0JdFf_VYSMzH5lBcEaU4o8teT1piV-SNzShjg/edit?gid=554141278#gid=554141278"", ""'Char Def. - Attributes'!C20:C2242""), 1,false)"),"BRAND_WINGS")</f>
        <v>BRAND_WINGS</v>
      </c>
      <c r="I4967" s="136"/>
    </row>
    <row r="4968" ht="15.75" customHeight="1">
      <c r="B4968" s="63">
        <f t="shared" si="1"/>
        <v>14</v>
      </c>
      <c r="C4968" s="146" t="s">
        <v>267</v>
      </c>
      <c r="D4968" s="147" t="s">
        <v>74</v>
      </c>
      <c r="E4968" s="135">
        <f t="shared" si="59"/>
        <v>3</v>
      </c>
      <c r="F4968" s="143" t="s">
        <v>3972</v>
      </c>
      <c r="G4968" s="63" t="str">
        <f>VLOOKUP(C4968, 'Class Def. - General Data'!$C$20:$C$1000,1,false)</f>
        <v>ZPM1_SealLiner</v>
      </c>
      <c r="H4968" s="63" t="str">
        <f>IFERROR(__xludf.DUMMYFUNCTION("VLOOKUP(F4968, IMPORTRANGE(""https://docs.google.com/spreadsheets/d/1Lhp9OU0JdFf_VYSMzH5lBcEaU4o8teT1piV-SNzShjg/edit?gid=554141278#gid=554141278"", ""'Char Def. - Attributes'!C20:C2242""), 1,false)"),"DIAMETER_MM_B")</f>
        <v>DIAMETER_MM_B</v>
      </c>
      <c r="I4968" s="136"/>
    </row>
    <row r="4969" ht="15.75" customHeight="1">
      <c r="B4969" s="63">
        <f t="shared" si="1"/>
        <v>14</v>
      </c>
      <c r="C4969" s="146" t="s">
        <v>267</v>
      </c>
      <c r="D4969" s="147" t="s">
        <v>74</v>
      </c>
      <c r="E4969" s="135">
        <f t="shared" si="59"/>
        <v>4</v>
      </c>
      <c r="F4969" s="143" t="s">
        <v>3945</v>
      </c>
      <c r="G4969" s="63" t="str">
        <f>VLOOKUP(C4969, 'Class Def. - General Data'!$C$20:$C$1000,1,false)</f>
        <v>ZPM1_SealLiner</v>
      </c>
      <c r="H4969" s="63" t="str">
        <f>IFERROR(__xludf.DUMMYFUNCTION("VLOOKUP(F4969, IMPORTRANGE(""https://docs.google.com/spreadsheets/d/1Lhp9OU0JdFf_VYSMzH5lBcEaU4o8teT1piV-SNzShjg/edit?gid=554141278#gid=554141278"", ""'Char Def. - Attributes'!C20:C2242""), 1,false)"),"THICKNESS_MIC")</f>
        <v>THICKNESS_MIC</v>
      </c>
      <c r="I4969" s="136"/>
    </row>
    <row r="4970" ht="15.75" customHeight="1">
      <c r="B4970" s="63">
        <f t="shared" si="1"/>
        <v>14</v>
      </c>
      <c r="C4970" s="146" t="s">
        <v>267</v>
      </c>
      <c r="D4970" s="147" t="s">
        <v>74</v>
      </c>
      <c r="E4970" s="135">
        <f t="shared" si="59"/>
        <v>5</v>
      </c>
      <c r="F4970" s="143" t="s">
        <v>3864</v>
      </c>
      <c r="G4970" s="63" t="str">
        <f>VLOOKUP(C4970, 'Class Def. - General Data'!$C$20:$C$1000,1,false)</f>
        <v>ZPM1_SealLiner</v>
      </c>
      <c r="H4970" s="63" t="str">
        <f>IFERROR(__xludf.DUMMYFUNCTION("VLOOKUP(F4970, IMPORTRANGE(""https://docs.google.com/spreadsheets/d/1Lhp9OU0JdFf_VYSMzH5lBcEaU4o8teT1piV-SNzShjg/edit?gid=554141278#gid=554141278"", ""'Char Def. - Attributes'!C20:C2242""), 1,false)"),"DIMENSION_OPT")</f>
        <v>DIMENSION_OPT</v>
      </c>
      <c r="I4970" s="136"/>
    </row>
    <row r="4971" ht="15.75" customHeight="1">
      <c r="B4971" s="63">
        <f t="shared" si="1"/>
        <v>14</v>
      </c>
      <c r="C4971" s="146" t="s">
        <v>267</v>
      </c>
      <c r="D4971" s="147" t="s">
        <v>74</v>
      </c>
      <c r="E4971" s="135">
        <f t="shared" si="59"/>
        <v>6</v>
      </c>
      <c r="F4971" s="143" t="s">
        <v>3587</v>
      </c>
      <c r="G4971" s="63" t="str">
        <f>VLOOKUP(C4971, 'Class Def. - General Data'!$C$20:$C$1000,1,false)</f>
        <v>ZPM1_SealLiner</v>
      </c>
      <c r="H4971" s="63" t="str">
        <f>IFERROR(__xludf.DUMMYFUNCTION("VLOOKUP(F4971, IMPORTRANGE(""https://docs.google.com/spreadsheets/d/1Lhp9OU0JdFf_VYSMzH5lBcEaU4o8teT1piV-SNzShjg/edit?gid=554141278#gid=554141278"", ""'Char Def. - Attributes'!C20:C2242""), 1,false)"),"PLANT_BUY")</f>
        <v>PLANT_BUY</v>
      </c>
      <c r="I4971" s="136"/>
    </row>
    <row r="4972" ht="15.75" customHeight="1">
      <c r="B4972" s="63">
        <f t="shared" si="1"/>
        <v>14</v>
      </c>
      <c r="C4972" s="146" t="s">
        <v>267</v>
      </c>
      <c r="D4972" s="147" t="s">
        <v>74</v>
      </c>
      <c r="E4972" s="135">
        <f t="shared" si="59"/>
        <v>7</v>
      </c>
      <c r="F4972" s="143" t="s">
        <v>3865</v>
      </c>
      <c r="G4972" s="63" t="str">
        <f>VLOOKUP(C4972, 'Class Def. - General Data'!$C$20:$C$1000,1,false)</f>
        <v>ZPM1_SealLiner</v>
      </c>
      <c r="H4972" s="63" t="str">
        <f>IFERROR(__xludf.DUMMYFUNCTION("VLOOKUP(F4972, IMPORTRANGE(""https://docs.google.com/spreadsheets/d/1Lhp9OU0JdFf_VYSMzH5lBcEaU4o8teT1piV-SNzShjg/edit?gid=554141278#gid=554141278"", ""'Char Def. - Attributes'!C20:C2242""), 1,false)"),"PLANT_PROD_OPT")</f>
        <v>PLANT_PROD_OPT</v>
      </c>
      <c r="I4972" s="136"/>
    </row>
    <row r="4973" ht="15.75" customHeight="1">
      <c r="B4973" s="63">
        <f t="shared" si="1"/>
        <v>14</v>
      </c>
      <c r="C4973" s="146" t="s">
        <v>267</v>
      </c>
      <c r="D4973" s="147" t="s">
        <v>74</v>
      </c>
      <c r="E4973" s="135">
        <f t="shared" si="59"/>
        <v>8</v>
      </c>
      <c r="F4973" s="143" t="s">
        <v>3866</v>
      </c>
      <c r="G4973" s="63" t="str">
        <f>VLOOKUP(C4973, 'Class Def. - General Data'!$C$20:$C$1000,1,false)</f>
        <v>ZPM1_SealLiner</v>
      </c>
      <c r="H4973" s="63" t="str">
        <f>IFERROR(__xludf.DUMMYFUNCTION("VLOOKUP(F4973, IMPORTRANGE(""https://docs.google.com/spreadsheets/d/1Lhp9OU0JdFf_VYSMzH5lBcEaU4o8teT1piV-SNzShjg/edit?gid=554141278#gid=554141278"", ""'Char Def. - Attributes'!C20:C2242""), 1,false)"),"PM_SUPPLY_JKT")</f>
        <v>PM_SUPPLY_JKT</v>
      </c>
      <c r="I4973" s="136"/>
    </row>
    <row r="4974" ht="15.75" customHeight="1">
      <c r="B4974" s="63">
        <f t="shared" si="1"/>
        <v>14</v>
      </c>
      <c r="C4974" s="146" t="s">
        <v>267</v>
      </c>
      <c r="D4974" s="147" t="s">
        <v>74</v>
      </c>
      <c r="E4974" s="135">
        <f t="shared" si="59"/>
        <v>9</v>
      </c>
      <c r="F4974" s="143" t="s">
        <v>3867</v>
      </c>
      <c r="G4974" s="63" t="str">
        <f>VLOOKUP(C4974, 'Class Def. - General Data'!$C$20:$C$1000,1,false)</f>
        <v>ZPM1_SealLiner</v>
      </c>
      <c r="H4974" s="63" t="str">
        <f>IFERROR(__xludf.DUMMYFUNCTION("VLOOKUP(F4974, IMPORTRANGE(""https://docs.google.com/spreadsheets/d/1Lhp9OU0JdFf_VYSMzH5lBcEaU4o8teT1piV-SNzShjg/edit?gid=554141278#gid=554141278"", ""'Char Def. - Attributes'!C20:C2242""), 1,false)"),"PM_SUPPLY_SBY")</f>
        <v>PM_SUPPLY_SBY</v>
      </c>
      <c r="I4974" s="136"/>
    </row>
    <row r="4975" ht="15.75" customHeight="1">
      <c r="B4975" s="63">
        <f t="shared" si="1"/>
        <v>14</v>
      </c>
      <c r="C4975" s="146" t="s">
        <v>267</v>
      </c>
      <c r="D4975" s="147" t="s">
        <v>74</v>
      </c>
      <c r="E4975" s="135">
        <f t="shared" si="59"/>
        <v>10</v>
      </c>
      <c r="F4975" s="143" t="s">
        <v>3868</v>
      </c>
      <c r="G4975" s="63" t="str">
        <f>VLOOKUP(C4975, 'Class Def. - General Data'!$C$20:$C$1000,1,false)</f>
        <v>ZPM1_SealLiner</v>
      </c>
      <c r="H4975" s="63" t="str">
        <f>IFERROR(__xludf.DUMMYFUNCTION("VLOOKUP(F4975, IMPORTRANGE(""https://docs.google.com/spreadsheets/d/1Lhp9OU0JdFf_VYSMzH5lBcEaU4o8teT1piV-SNzShjg/edit?gid=554141278#gid=554141278"", ""'Char Def. - Attributes'!C20:C2242""), 1,false)"),"BASIC_UOM_RMPM")</f>
        <v>BASIC_UOM_RMPM</v>
      </c>
      <c r="I4975" s="136"/>
    </row>
    <row r="4976" ht="15.75" customHeight="1">
      <c r="B4976" s="63">
        <f t="shared" si="1"/>
        <v>14</v>
      </c>
      <c r="C4976" s="146" t="s">
        <v>267</v>
      </c>
      <c r="D4976" s="147" t="s">
        <v>74</v>
      </c>
      <c r="E4976" s="135">
        <f t="shared" si="59"/>
        <v>11</v>
      </c>
      <c r="F4976" s="143" t="s">
        <v>3869</v>
      </c>
      <c r="G4976" s="63" t="str">
        <f>VLOOKUP(C4976, 'Class Def. - General Data'!$C$20:$C$1000,1,false)</f>
        <v>ZPM1_SealLiner</v>
      </c>
      <c r="H4976" s="63" t="str">
        <f>IFERROR(__xludf.DUMMYFUNCTION("VLOOKUP(F4976, IMPORTRANGE(""https://docs.google.com/spreadsheets/d/1Lhp9OU0JdFf_VYSMzH5lBcEaU4o8teT1piV-SNzShjg/edit?gid=554141278#gid=554141278"", ""'Char Def. - Attributes'!C20:C2242""), 1,false)"),"ALT_UOM1_RMPM")</f>
        <v>ALT_UOM1_RMPM</v>
      </c>
      <c r="I4976" s="136"/>
    </row>
    <row r="4977" ht="15.75" customHeight="1">
      <c r="B4977" s="63">
        <f t="shared" si="1"/>
        <v>14</v>
      </c>
      <c r="C4977" s="146" t="s">
        <v>267</v>
      </c>
      <c r="D4977" s="147" t="s">
        <v>74</v>
      </c>
      <c r="E4977" s="135">
        <f t="shared" si="59"/>
        <v>12</v>
      </c>
      <c r="F4977" s="143" t="s">
        <v>3805</v>
      </c>
      <c r="G4977" s="63" t="str">
        <f>VLOOKUP(C4977, 'Class Def. - General Data'!$C$20:$C$1000,1,false)</f>
        <v>ZPM1_SealLiner</v>
      </c>
      <c r="H4977" s="63" t="str">
        <f>IFERROR(__xludf.DUMMYFUNCTION("VLOOKUP(F4977, IMPORTRANGE(""https://docs.google.com/spreadsheets/d/1Lhp9OU0JdFf_VYSMzH5lBcEaU4o8teT1piV-SNzShjg/edit?gid=554141278#gid=554141278"", ""'Char Def. - Attributes'!C20:C2242""), 1,false)"),"ALT_DENUM_UOM1")</f>
        <v>ALT_DENUM_UOM1</v>
      </c>
      <c r="I4977" s="136"/>
    </row>
    <row r="4978" ht="15.75" customHeight="1">
      <c r="B4978" s="63">
        <f t="shared" si="1"/>
        <v>14</v>
      </c>
      <c r="C4978" s="146" t="s">
        <v>267</v>
      </c>
      <c r="D4978" s="147" t="s">
        <v>74</v>
      </c>
      <c r="E4978" s="135">
        <f t="shared" si="59"/>
        <v>13</v>
      </c>
      <c r="F4978" s="143" t="s">
        <v>3806</v>
      </c>
      <c r="G4978" s="63" t="str">
        <f>VLOOKUP(C4978, 'Class Def. - General Data'!$C$20:$C$1000,1,false)</f>
        <v>ZPM1_SealLiner</v>
      </c>
      <c r="H4978" s="63" t="str">
        <f>IFERROR(__xludf.DUMMYFUNCTION("VLOOKUP(F4978, IMPORTRANGE(""https://docs.google.com/spreadsheets/d/1Lhp9OU0JdFf_VYSMzH5lBcEaU4o8teT1piV-SNzShjg/edit?gid=554141278#gid=554141278"", ""'Char Def. - Attributes'!C20:C2242""), 1,false)"),"ALT_NUM_UOM1")</f>
        <v>ALT_NUM_UOM1</v>
      </c>
      <c r="I4978" s="136"/>
    </row>
    <row r="4979" ht="15.75" customHeight="1">
      <c r="B4979" s="63">
        <f t="shared" si="1"/>
        <v>14</v>
      </c>
      <c r="C4979" s="146" t="s">
        <v>267</v>
      </c>
      <c r="D4979" s="147" t="s">
        <v>74</v>
      </c>
      <c r="E4979" s="135">
        <f t="shared" si="59"/>
        <v>14</v>
      </c>
      <c r="F4979" s="143" t="s">
        <v>3870</v>
      </c>
      <c r="G4979" s="63" t="str">
        <f>VLOOKUP(C4979, 'Class Def. - General Data'!$C$20:$C$1000,1,false)</f>
        <v>ZPM1_SealLiner</v>
      </c>
      <c r="H4979" s="63" t="str">
        <f>IFERROR(__xludf.DUMMYFUNCTION("VLOOKUP(F4979, IMPORTRANGE(""https://docs.google.com/spreadsheets/d/1Lhp9OU0JdFf_VYSMzH5lBcEaU4o8teT1piV-SNzShjg/edit?gid=554141278#gid=554141278"", ""'Char Def. - Attributes'!C20:C2242""), 1,false)"),"ALT_UOM2_RMPM")</f>
        <v>ALT_UOM2_RMPM</v>
      </c>
      <c r="I4979" s="136"/>
    </row>
    <row r="4980" ht="15.75" customHeight="1">
      <c r="B4980" s="63">
        <f t="shared" si="1"/>
        <v>14</v>
      </c>
      <c r="C4980" s="146" t="s">
        <v>267</v>
      </c>
      <c r="D4980" s="147" t="s">
        <v>74</v>
      </c>
      <c r="E4980" s="135">
        <f t="shared" si="59"/>
        <v>15</v>
      </c>
      <c r="F4980" s="143" t="s">
        <v>3808</v>
      </c>
      <c r="G4980" s="63" t="str">
        <f>VLOOKUP(C4980, 'Class Def. - General Data'!$C$20:$C$1000,1,false)</f>
        <v>ZPM1_SealLiner</v>
      </c>
      <c r="H4980" s="63" t="str">
        <f>IFERROR(__xludf.DUMMYFUNCTION("VLOOKUP(F4980, IMPORTRANGE(""https://docs.google.com/spreadsheets/d/1Lhp9OU0JdFf_VYSMzH5lBcEaU4o8teT1piV-SNzShjg/edit?gid=554141278#gid=554141278"", ""'Char Def. - Attributes'!C20:C2242""), 1,false)"),"ALT_DENUM_UOM2")</f>
        <v>ALT_DENUM_UOM2</v>
      </c>
      <c r="I4980" s="136"/>
    </row>
    <row r="4981" ht="15.75" customHeight="1">
      <c r="B4981" s="63">
        <f t="shared" si="1"/>
        <v>14</v>
      </c>
      <c r="C4981" s="146" t="s">
        <v>267</v>
      </c>
      <c r="D4981" s="147" t="s">
        <v>74</v>
      </c>
      <c r="E4981" s="135">
        <f t="shared" si="59"/>
        <v>16</v>
      </c>
      <c r="F4981" s="143" t="s">
        <v>3809</v>
      </c>
      <c r="G4981" s="63" t="str">
        <f>VLOOKUP(C4981, 'Class Def. - General Data'!$C$20:$C$1000,1,false)</f>
        <v>ZPM1_SealLiner</v>
      </c>
      <c r="H4981" s="63" t="str">
        <f>IFERROR(__xludf.DUMMYFUNCTION("VLOOKUP(F4981, IMPORTRANGE(""https://docs.google.com/spreadsheets/d/1Lhp9OU0JdFf_VYSMzH5lBcEaU4o8teT1piV-SNzShjg/edit?gid=554141278#gid=554141278"", ""'Char Def. - Attributes'!C20:C2242""), 1,false)"),"ALT_NUM_UOM2")</f>
        <v>ALT_NUM_UOM2</v>
      </c>
      <c r="I4981" s="136"/>
    </row>
    <row r="4982" ht="15.75" customHeight="1">
      <c r="B4982" s="63">
        <f t="shared" si="1"/>
        <v>14</v>
      </c>
      <c r="C4982" s="146" t="s">
        <v>267</v>
      </c>
      <c r="D4982" s="147" t="s">
        <v>74</v>
      </c>
      <c r="E4982" s="135">
        <f t="shared" si="59"/>
        <v>17</v>
      </c>
      <c r="F4982" s="143" t="s">
        <v>3871</v>
      </c>
      <c r="G4982" s="63" t="str">
        <f>VLOOKUP(C4982, 'Class Def. - General Data'!$C$20:$C$1000,1,false)</f>
        <v>ZPM1_SealLiner</v>
      </c>
      <c r="H4982" s="63" t="str">
        <f>IFERROR(__xludf.DUMMYFUNCTION("VLOOKUP(F4982, IMPORTRANGE(""https://docs.google.com/spreadsheets/d/1Lhp9OU0JdFf_VYSMzH5lBcEaU4o8teT1piV-SNzShjg/edit?gid=554141278#gid=554141278"", ""'Char Def. - Attributes'!C20:C2242""), 1,false)"),"ALT_UOM3_RMPM")</f>
        <v>ALT_UOM3_RMPM</v>
      </c>
      <c r="I4982" s="136"/>
    </row>
    <row r="4983" ht="15.75" customHeight="1">
      <c r="B4983" s="63">
        <f t="shared" si="1"/>
        <v>14</v>
      </c>
      <c r="C4983" s="146" t="s">
        <v>267</v>
      </c>
      <c r="D4983" s="147" t="s">
        <v>74</v>
      </c>
      <c r="E4983" s="135">
        <f t="shared" si="59"/>
        <v>18</v>
      </c>
      <c r="F4983" s="143" t="s">
        <v>3811</v>
      </c>
      <c r="G4983" s="63" t="str">
        <f>VLOOKUP(C4983, 'Class Def. - General Data'!$C$20:$C$1000,1,false)</f>
        <v>ZPM1_SealLiner</v>
      </c>
      <c r="H4983" s="63" t="str">
        <f>IFERROR(__xludf.DUMMYFUNCTION("VLOOKUP(F4983, IMPORTRANGE(""https://docs.google.com/spreadsheets/d/1Lhp9OU0JdFf_VYSMzH5lBcEaU4o8teT1piV-SNzShjg/edit?gid=554141278#gid=554141278"", ""'Char Def. - Attributes'!C20:C2242""), 1,false)"),"ALT_DENUM_UOM3")</f>
        <v>ALT_DENUM_UOM3</v>
      </c>
      <c r="I4983" s="136"/>
    </row>
    <row r="4984" ht="15.75" customHeight="1">
      <c r="B4984" s="63">
        <f t="shared" si="1"/>
        <v>14</v>
      </c>
      <c r="C4984" s="146" t="s">
        <v>267</v>
      </c>
      <c r="D4984" s="147" t="s">
        <v>74</v>
      </c>
      <c r="E4984" s="135">
        <f t="shared" si="59"/>
        <v>19</v>
      </c>
      <c r="F4984" s="143" t="s">
        <v>3812</v>
      </c>
      <c r="G4984" s="63" t="str">
        <f>VLOOKUP(C4984, 'Class Def. - General Data'!$C$20:$C$1000,1,false)</f>
        <v>ZPM1_SealLiner</v>
      </c>
      <c r="H4984" s="63" t="str">
        <f>IFERROR(__xludf.DUMMYFUNCTION("VLOOKUP(F4984, IMPORTRANGE(""https://docs.google.com/spreadsheets/d/1Lhp9OU0JdFf_VYSMzH5lBcEaU4o8teT1piV-SNzShjg/edit?gid=554141278#gid=554141278"", ""'Char Def. - Attributes'!C20:C2242""), 1,false)"),"ALT_NUM_UOM3")</f>
        <v>ALT_NUM_UOM3</v>
      </c>
      <c r="I4984" s="136"/>
    </row>
    <row r="4985" ht="15.75" customHeight="1">
      <c r="B4985" s="63">
        <f t="shared" si="1"/>
        <v>14</v>
      </c>
      <c r="C4985" s="146" t="s">
        <v>267</v>
      </c>
      <c r="D4985" s="147" t="s">
        <v>74</v>
      </c>
      <c r="E4985" s="135">
        <f t="shared" si="59"/>
        <v>20</v>
      </c>
      <c r="F4985" s="143" t="s">
        <v>3872</v>
      </c>
      <c r="G4985" s="63" t="str">
        <f>VLOOKUP(C4985, 'Class Def. - General Data'!$C$20:$C$1000,1,false)</f>
        <v>ZPM1_SealLiner</v>
      </c>
      <c r="H4985" s="63" t="str">
        <f>IFERROR(__xludf.DUMMYFUNCTION("VLOOKUP(F4985, IMPORTRANGE(""https://docs.google.com/spreadsheets/d/1Lhp9OU0JdFf_VYSMzH5lBcEaU4o8teT1piV-SNzShjg/edit?gid=554141278#gid=554141278"", ""'Char Def. - Attributes'!C20:C2242""), 1,false)"),"ALT_UOM4_RMPM")</f>
        <v>ALT_UOM4_RMPM</v>
      </c>
      <c r="I4985" s="136"/>
    </row>
    <row r="4986" ht="15.75" customHeight="1">
      <c r="B4986" s="63">
        <f t="shared" si="1"/>
        <v>14</v>
      </c>
      <c r="C4986" s="146" t="s">
        <v>267</v>
      </c>
      <c r="D4986" s="147" t="s">
        <v>74</v>
      </c>
      <c r="E4986" s="135">
        <f t="shared" si="59"/>
        <v>21</v>
      </c>
      <c r="F4986" s="143" t="s">
        <v>3814</v>
      </c>
      <c r="G4986" s="63" t="str">
        <f>VLOOKUP(C4986, 'Class Def. - General Data'!$C$20:$C$1000,1,false)</f>
        <v>ZPM1_SealLiner</v>
      </c>
      <c r="H4986" s="63" t="str">
        <f>IFERROR(__xludf.DUMMYFUNCTION("VLOOKUP(F4986, IMPORTRANGE(""https://docs.google.com/spreadsheets/d/1Lhp9OU0JdFf_VYSMzH5lBcEaU4o8teT1piV-SNzShjg/edit?gid=554141278#gid=554141278"", ""'Char Def. - Attributes'!C20:C2242""), 1,false)"),"ALT_DENUM_UOM4")</f>
        <v>ALT_DENUM_UOM4</v>
      </c>
      <c r="I4986" s="136"/>
    </row>
    <row r="4987" ht="15.75" customHeight="1">
      <c r="B4987" s="63">
        <f t="shared" si="1"/>
        <v>14</v>
      </c>
      <c r="C4987" s="146" t="s">
        <v>267</v>
      </c>
      <c r="D4987" s="147" t="s">
        <v>74</v>
      </c>
      <c r="E4987" s="135">
        <f t="shared" si="59"/>
        <v>22</v>
      </c>
      <c r="F4987" s="143" t="s">
        <v>3815</v>
      </c>
      <c r="G4987" s="63" t="str">
        <f>VLOOKUP(C4987, 'Class Def. - General Data'!$C$20:$C$1000,1,false)</f>
        <v>ZPM1_SealLiner</v>
      </c>
      <c r="H4987" s="63" t="str">
        <f>IFERROR(__xludf.DUMMYFUNCTION("VLOOKUP(F4987, IMPORTRANGE(""https://docs.google.com/spreadsheets/d/1Lhp9OU0JdFf_VYSMzH5lBcEaU4o8teT1piV-SNzShjg/edit?gid=554141278#gid=554141278"", ""'Char Def. - Attributes'!C20:C2242""), 1,false)"),"ALT_NUM_UOM4")</f>
        <v>ALT_NUM_UOM4</v>
      </c>
      <c r="I4987" s="136"/>
    </row>
    <row r="4988" ht="15.75" customHeight="1">
      <c r="B4988" s="63">
        <f t="shared" si="1"/>
        <v>14</v>
      </c>
      <c r="C4988" s="146" t="s">
        <v>267</v>
      </c>
      <c r="D4988" s="147" t="s">
        <v>74</v>
      </c>
      <c r="E4988" s="135">
        <f t="shared" si="59"/>
        <v>23</v>
      </c>
      <c r="F4988" s="143" t="s">
        <v>3873</v>
      </c>
      <c r="G4988" s="63" t="str">
        <f>VLOOKUP(C4988, 'Class Def. - General Data'!$C$20:$C$1000,1,false)</f>
        <v>ZPM1_SealLiner</v>
      </c>
      <c r="H4988" s="63" t="str">
        <f>IFERROR(__xludf.DUMMYFUNCTION("VLOOKUP(F4988, IMPORTRANGE(""https://docs.google.com/spreadsheets/d/1Lhp9OU0JdFf_VYSMzH5lBcEaU4o8teT1piV-SNzShjg/edit?gid=554141278#gid=554141278"", ""'Char Def. - Attributes'!C20:C2242""), 1,false)"),"ALT_UOM5_RMPM")</f>
        <v>ALT_UOM5_RMPM</v>
      </c>
      <c r="I4988" s="136"/>
    </row>
    <row r="4989" ht="15.75" customHeight="1">
      <c r="B4989" s="63">
        <f t="shared" si="1"/>
        <v>14</v>
      </c>
      <c r="C4989" s="146" t="s">
        <v>267</v>
      </c>
      <c r="D4989" s="147" t="s">
        <v>74</v>
      </c>
      <c r="E4989" s="135">
        <f t="shared" si="59"/>
        <v>24</v>
      </c>
      <c r="F4989" s="143" t="s">
        <v>3817</v>
      </c>
      <c r="G4989" s="63" t="str">
        <f>VLOOKUP(C4989, 'Class Def. - General Data'!$C$20:$C$1000,1,false)</f>
        <v>ZPM1_SealLiner</v>
      </c>
      <c r="H4989" s="63" t="str">
        <f>IFERROR(__xludf.DUMMYFUNCTION("VLOOKUP(F4989, IMPORTRANGE(""https://docs.google.com/spreadsheets/d/1Lhp9OU0JdFf_VYSMzH5lBcEaU4o8teT1piV-SNzShjg/edit?gid=554141278#gid=554141278"", ""'Char Def. - Attributes'!C20:C2242""), 1,false)"),"ALT_DENUM_UOM5")</f>
        <v>ALT_DENUM_UOM5</v>
      </c>
      <c r="I4989" s="136"/>
    </row>
    <row r="4990" ht="15.75" customHeight="1">
      <c r="B4990" s="63">
        <f t="shared" si="1"/>
        <v>14</v>
      </c>
      <c r="C4990" s="146" t="s">
        <v>267</v>
      </c>
      <c r="D4990" s="147" t="s">
        <v>74</v>
      </c>
      <c r="E4990" s="135">
        <f t="shared" si="59"/>
        <v>25</v>
      </c>
      <c r="F4990" s="143" t="s">
        <v>3818</v>
      </c>
      <c r="G4990" s="63" t="str">
        <f>VLOOKUP(C4990, 'Class Def. - General Data'!$C$20:$C$1000,1,false)</f>
        <v>ZPM1_SealLiner</v>
      </c>
      <c r="H4990" s="63" t="str">
        <f>IFERROR(__xludf.DUMMYFUNCTION("VLOOKUP(F4990, IMPORTRANGE(""https://docs.google.com/spreadsheets/d/1Lhp9OU0JdFf_VYSMzH5lBcEaU4o8teT1piV-SNzShjg/edit?gid=554141278#gid=554141278"", ""'Char Def. - Attributes'!C20:C2242""), 1,false)"),"ALT_NUM_UOM5")</f>
        <v>ALT_NUM_UOM5</v>
      </c>
      <c r="I4990" s="136"/>
    </row>
    <row r="4991" ht="15.75" customHeight="1">
      <c r="B4991" s="63">
        <f t="shared" si="1"/>
        <v>14</v>
      </c>
      <c r="C4991" s="146" t="s">
        <v>267</v>
      </c>
      <c r="D4991" s="147" t="s">
        <v>74</v>
      </c>
      <c r="E4991" s="135">
        <f t="shared" si="59"/>
        <v>26</v>
      </c>
      <c r="F4991" s="143" t="s">
        <v>3874</v>
      </c>
      <c r="G4991" s="63" t="str">
        <f>VLOOKUP(C4991, 'Class Def. - General Data'!$C$20:$C$1000,1,false)</f>
        <v>ZPM1_SealLiner</v>
      </c>
      <c r="H4991" s="63" t="str">
        <f>IFERROR(__xludf.DUMMYFUNCTION("VLOOKUP(F4991, IMPORTRANGE(""https://docs.google.com/spreadsheets/d/1Lhp9OU0JdFf_VYSMzH5lBcEaU4o8teT1piV-SNzShjg/edit?gid=554141278#gid=554141278"", ""'Char Def. - Attributes'!C20:C2242""), 1,false)"),"VALUATION_CATEGORY")</f>
        <v>VALUATION_CATEGORY</v>
      </c>
      <c r="I4991" s="136"/>
    </row>
    <row r="4992" ht="15.75" customHeight="1">
      <c r="B4992" s="63">
        <f t="shared" si="1"/>
        <v>14</v>
      </c>
      <c r="C4992" s="146" t="s">
        <v>267</v>
      </c>
      <c r="D4992" s="147" t="s">
        <v>74</v>
      </c>
      <c r="E4992" s="135">
        <f t="shared" si="59"/>
        <v>27</v>
      </c>
      <c r="F4992" s="143" t="s">
        <v>3800</v>
      </c>
      <c r="G4992" s="63" t="str">
        <f>VLOOKUP(C4992, 'Class Def. - General Data'!$C$20:$C$1000,1,false)</f>
        <v>ZPM1_SealLiner</v>
      </c>
      <c r="H4992" s="63" t="str">
        <f>IFERROR(__xludf.DUMMYFUNCTION("VLOOKUP(F4992, IMPORTRANGE(""https://docs.google.com/spreadsheets/d/1Lhp9OU0JdFf_VYSMzH5lBcEaU4o8teT1piV-SNzShjg/edit?gid=554141278#gid=554141278"", ""'Char Def. - Attributes'!C20:C2242""), 1,false)"),"ORDER_UNIT_DIFF_FROM_BASIC_UOM")</f>
        <v>ORDER_UNIT_DIFF_FROM_BASIC_UOM</v>
      </c>
      <c r="I4992" s="136"/>
    </row>
    <row r="4993" ht="15.75" customHeight="1">
      <c r="B4993" s="63">
        <f t="shared" si="1"/>
        <v>14</v>
      </c>
      <c r="C4993" s="146" t="s">
        <v>267</v>
      </c>
      <c r="D4993" s="147" t="s">
        <v>74</v>
      </c>
      <c r="E4993" s="135">
        <f t="shared" si="59"/>
        <v>28</v>
      </c>
      <c r="F4993" s="143" t="s">
        <v>3875</v>
      </c>
      <c r="G4993" s="63" t="str">
        <f>VLOOKUP(C4993, 'Class Def. - General Data'!$C$20:$C$1000,1,false)</f>
        <v>ZPM1_SealLiner</v>
      </c>
      <c r="H4993" s="63" t="str">
        <f>IFERROR(__xludf.DUMMYFUNCTION("VLOOKUP(F4993, IMPORTRANGE(""https://docs.google.com/spreadsheets/d/1Lhp9OU0JdFf_VYSMzH5lBcEaU4o8teT1piV-SNzShjg/edit?gid=554141278#gid=554141278"", ""'Char Def. - Attributes'!C20:C2242""), 1,false)"),"ORDER_UNIT_RMPM")</f>
        <v>ORDER_UNIT_RMPM</v>
      </c>
      <c r="I4993" s="136"/>
    </row>
    <row r="4994" ht="15.75" customHeight="1">
      <c r="B4994" s="63">
        <f t="shared" si="1"/>
        <v>14</v>
      </c>
      <c r="C4994" s="146" t="s">
        <v>267</v>
      </c>
      <c r="D4994" s="147" t="s">
        <v>74</v>
      </c>
      <c r="E4994" s="135">
        <f t="shared" si="59"/>
        <v>29</v>
      </c>
      <c r="F4994" s="143" t="s">
        <v>3602</v>
      </c>
      <c r="G4994" s="63" t="str">
        <f>VLOOKUP(C4994, 'Class Def. - General Data'!$C$20:$C$1000,1,false)</f>
        <v>ZPM1_SealLiner</v>
      </c>
      <c r="H4994" s="63" t="str">
        <f>IFERROR(__xludf.DUMMYFUNCTION("VLOOKUP(F4994, IMPORTRANGE(""https://docs.google.com/spreadsheets/d/1Lhp9OU0JdFf_VYSMzH5lBcEaU4o8teT1piV-SNzShjg/edit?gid=554141278#gid=554141278"", ""'Char Def. - Attributes'!C20:C2242""), 1,false)"),"NET_WEIGHT")</f>
        <v>NET_WEIGHT</v>
      </c>
      <c r="I4994" s="136"/>
    </row>
    <row r="4995" ht="15.75" customHeight="1">
      <c r="B4995" s="63">
        <f t="shared" si="1"/>
        <v>14</v>
      </c>
      <c r="C4995" s="146" t="s">
        <v>267</v>
      </c>
      <c r="D4995" s="147" t="s">
        <v>74</v>
      </c>
      <c r="E4995" s="135">
        <f t="shared" si="59"/>
        <v>30</v>
      </c>
      <c r="F4995" s="143" t="s">
        <v>3601</v>
      </c>
      <c r="G4995" s="63" t="str">
        <f>VLOOKUP(C4995, 'Class Def. - General Data'!$C$20:$C$1000,1,false)</f>
        <v>ZPM1_SealLiner</v>
      </c>
      <c r="H4995" s="63" t="str">
        <f>IFERROR(__xludf.DUMMYFUNCTION("VLOOKUP(F4995, IMPORTRANGE(""https://docs.google.com/spreadsheets/d/1Lhp9OU0JdFf_VYSMzH5lBcEaU4o8teT1piV-SNzShjg/edit?gid=554141278#gid=554141278"", ""'Char Def. - Attributes'!C20:C2242""), 1,false)"),"GROSS_WEIGHT")</f>
        <v>GROSS_WEIGHT</v>
      </c>
      <c r="I4995" s="136"/>
    </row>
    <row r="4996" ht="15.75" customHeight="1">
      <c r="B4996" s="63">
        <f t="shared" si="1"/>
        <v>14</v>
      </c>
      <c r="C4996" s="146" t="s">
        <v>267</v>
      </c>
      <c r="D4996" s="147" t="s">
        <v>74</v>
      </c>
      <c r="E4996" s="135">
        <f t="shared" si="59"/>
        <v>31</v>
      </c>
      <c r="F4996" s="143" t="s">
        <v>3876</v>
      </c>
      <c r="G4996" s="63" t="str">
        <f>VLOOKUP(C4996, 'Class Def. - General Data'!$C$20:$C$1000,1,false)</f>
        <v>ZPM1_SealLiner</v>
      </c>
      <c r="H4996" s="63" t="str">
        <f>IFERROR(__xludf.DUMMYFUNCTION("VLOOKUP(F4996, IMPORTRANGE(""https://docs.google.com/spreadsheets/d/1Lhp9OU0JdFf_VYSMzH5lBcEaU4o8teT1piV-SNzShjg/edit?gid=554141278#gid=554141278"", ""'Char Def. - Attributes'!C20:C2242""), 1,false)"),"WEIGHT_UNIT_PM")</f>
        <v>WEIGHT_UNIT_PM</v>
      </c>
      <c r="I4996" s="136"/>
    </row>
    <row r="4997" ht="15.75" customHeight="1">
      <c r="B4997" s="63">
        <f t="shared" si="1"/>
        <v>14</v>
      </c>
      <c r="C4997" s="146" t="s">
        <v>267</v>
      </c>
      <c r="D4997" s="147" t="s">
        <v>74</v>
      </c>
      <c r="E4997" s="135">
        <f t="shared" si="59"/>
        <v>32</v>
      </c>
      <c r="F4997" s="143" t="s">
        <v>3877</v>
      </c>
      <c r="G4997" s="63" t="str">
        <f>VLOOKUP(C4997, 'Class Def. - General Data'!$C$20:$C$1000,1,false)</f>
        <v>ZPM1_SealLiner</v>
      </c>
      <c r="H4997" s="63" t="str">
        <f>IFERROR(__xludf.DUMMYFUNCTION("VLOOKUP(F4997, IMPORTRANGE(""https://docs.google.com/spreadsheets/d/1Lhp9OU0JdFf_VYSMzH5lBcEaU4o8teT1piV-SNzShjg/edit?gid=554141278#gid=554141278"", ""'Char Def. - Attributes'!C20:C2242""), 1,false)"),"VOLUME_OPT")</f>
        <v>VOLUME_OPT</v>
      </c>
      <c r="I4997" s="136"/>
    </row>
    <row r="4998" ht="15.75" customHeight="1">
      <c r="B4998" s="63">
        <f t="shared" si="1"/>
        <v>14</v>
      </c>
      <c r="C4998" s="146" t="s">
        <v>267</v>
      </c>
      <c r="D4998" s="147" t="s">
        <v>74</v>
      </c>
      <c r="E4998" s="135">
        <f t="shared" si="59"/>
        <v>33</v>
      </c>
      <c r="F4998" s="143" t="s">
        <v>3878</v>
      </c>
      <c r="G4998" s="63" t="str">
        <f>VLOOKUP(C4998, 'Class Def. - General Data'!$C$20:$C$1000,1,false)</f>
        <v>ZPM1_SealLiner</v>
      </c>
      <c r="H4998" s="63" t="str">
        <f>IFERROR(__xludf.DUMMYFUNCTION("VLOOKUP(F4998, IMPORTRANGE(""https://docs.google.com/spreadsheets/d/1Lhp9OU0JdFf_VYSMzH5lBcEaU4o8teT1piV-SNzShjg/edit?gid=554141278#gid=554141278"", ""'Char Def. - Attributes'!C20:C2242""), 1,false)"),"VOLUME_UNIT")</f>
        <v>VOLUME_UNIT</v>
      </c>
      <c r="I4998" s="136"/>
    </row>
    <row r="4999" ht="15.75" customHeight="1">
      <c r="B4999" s="63">
        <f t="shared" si="1"/>
        <v>14</v>
      </c>
      <c r="C4999" s="146" t="s">
        <v>267</v>
      </c>
      <c r="D4999" s="147" t="s">
        <v>74</v>
      </c>
      <c r="E4999" s="135">
        <f t="shared" si="59"/>
        <v>34</v>
      </c>
      <c r="F4999" s="143" t="s">
        <v>3879</v>
      </c>
      <c r="G4999" s="63" t="str">
        <f>VLOOKUP(C4999, 'Class Def. - General Data'!$C$20:$C$1000,1,false)</f>
        <v>ZPM1_SealLiner</v>
      </c>
      <c r="H4999" s="63" t="str">
        <f>IFERROR(__xludf.DUMMYFUNCTION("VLOOKUP(F4999, IMPORTRANGE(""https://docs.google.com/spreadsheets/d/1Lhp9OU0JdFf_VYSMzH5lBcEaU4o8teT1piV-SNzShjg/edit?gid=554141278#gid=554141278"", ""'Char Def. - Attributes'!C20:C2242""), 1,false)"),"OLD_MAT_NO_RMPM")</f>
        <v>OLD_MAT_NO_RMPM</v>
      </c>
      <c r="I4999" s="136"/>
    </row>
    <row r="5000" ht="15.75" customHeight="1">
      <c r="B5000" s="63">
        <f t="shared" si="1"/>
        <v>14</v>
      </c>
      <c r="C5000" s="146" t="s">
        <v>267</v>
      </c>
      <c r="D5000" s="147" t="s">
        <v>74</v>
      </c>
      <c r="E5000" s="135">
        <f t="shared" si="59"/>
        <v>35</v>
      </c>
      <c r="F5000" s="143" t="s">
        <v>3880</v>
      </c>
      <c r="G5000" s="63" t="str">
        <f>VLOOKUP(C5000, 'Class Def. - General Data'!$C$20:$C$1000,1,false)</f>
        <v>ZPM1_SealLiner</v>
      </c>
      <c r="H5000" s="63" t="str">
        <f>IFERROR(__xludf.DUMMYFUNCTION("VLOOKUP(F5000, IMPORTRANGE(""https://docs.google.com/spreadsheets/d/1Lhp9OU0JdFf_VYSMzH5lBcEaU4o8teT1piV-SNzShjg/edit?gid=554141278#gid=554141278"", ""'Char Def. - Attributes'!C20:C2242""), 1,false)"),"NOTE_PM")</f>
        <v>NOTE_PM</v>
      </c>
      <c r="I5000" s="136"/>
    </row>
    <row r="5001" ht="15.75" customHeight="1">
      <c r="B5001" s="63">
        <f t="shared" si="1"/>
        <v>14</v>
      </c>
      <c r="C5001" s="146" t="s">
        <v>267</v>
      </c>
      <c r="D5001" s="147" t="s">
        <v>74</v>
      </c>
      <c r="E5001" s="135">
        <f t="shared" si="59"/>
        <v>36</v>
      </c>
      <c r="F5001" s="143" t="s">
        <v>3881</v>
      </c>
      <c r="G5001" s="63" t="str">
        <f>VLOOKUP(C5001, 'Class Def. - General Data'!$C$20:$C$1000,1,false)</f>
        <v>ZPM1_SealLiner</v>
      </c>
      <c r="H5001" s="63" t="str">
        <f>IFERROR(__xludf.DUMMYFUNCTION("VLOOKUP(F5001, IMPORTRANGE(""https://docs.google.com/spreadsheets/d/1Lhp9OU0JdFf_VYSMzH5lBcEaU4o8teT1piV-SNzShjg/edit?gid=554141278#gid=554141278"", ""'Char Def. - Attributes'!C20:C2242""), 1,false)"),"BS_BERSIH")</f>
        <v>BS_BERSIH</v>
      </c>
      <c r="I5001" s="136"/>
    </row>
    <row r="5002" ht="15.75" customHeight="1">
      <c r="B5002" s="63">
        <f t="shared" si="1"/>
        <v>14</v>
      </c>
      <c r="C5002" s="146" t="s">
        <v>267</v>
      </c>
      <c r="D5002" s="147" t="s">
        <v>74</v>
      </c>
      <c r="E5002" s="135">
        <f t="shared" si="59"/>
        <v>37</v>
      </c>
      <c r="F5002" s="143" t="s">
        <v>3882</v>
      </c>
      <c r="G5002" s="63" t="str">
        <f>VLOOKUP(C5002, 'Class Def. - General Data'!$C$20:$C$1000,1,false)</f>
        <v>ZPM1_SealLiner</v>
      </c>
      <c r="H5002" s="63" t="str">
        <f>IFERROR(__xludf.DUMMYFUNCTION("VLOOKUP(F5002, IMPORTRANGE(""https://docs.google.com/spreadsheets/d/1Lhp9OU0JdFf_VYSMzH5lBcEaU4o8teT1piV-SNzShjg/edit?gid=554141278#gid=554141278"", ""'Char Def. - Attributes'!C20:C2242""), 1,false)"),"BS_KOTOR")</f>
        <v>BS_KOTOR</v>
      </c>
      <c r="I5002" s="136"/>
    </row>
    <row r="5003" ht="15.75" customHeight="1">
      <c r="B5003" s="63">
        <f t="shared" si="1"/>
        <v>14</v>
      </c>
      <c r="C5003" s="146" t="s">
        <v>267</v>
      </c>
      <c r="D5003" s="147" t="s">
        <v>74</v>
      </c>
      <c r="E5003" s="135">
        <f t="shared" si="59"/>
        <v>38</v>
      </c>
      <c r="F5003" s="143" t="s">
        <v>3883</v>
      </c>
      <c r="G5003" s="63" t="str">
        <f>VLOOKUP(C5003, 'Class Def. - General Data'!$C$20:$C$1000,1,false)</f>
        <v>ZPM1_SealLiner</v>
      </c>
      <c r="H5003" s="63" t="str">
        <f>IFERROR(__xludf.DUMMYFUNCTION("VLOOKUP(F5003, IMPORTRANGE(""https://docs.google.com/spreadsheets/d/1Lhp9OU0JdFf_VYSMzH5lBcEaU4o8teT1piV-SNzShjg/edit?gid=554141278#gid=554141278"", ""'Char Def. - Attributes'!C20:C2242""), 1,false)"),"BS_SCRAP")</f>
        <v>BS_SCRAP</v>
      </c>
      <c r="I5003" s="136"/>
    </row>
    <row r="5004" ht="15.75" customHeight="1">
      <c r="B5004" s="63">
        <f t="shared" si="1"/>
        <v>12</v>
      </c>
      <c r="C5004" s="146" t="s">
        <v>262</v>
      </c>
      <c r="D5004" s="147" t="s">
        <v>74</v>
      </c>
      <c r="E5004" s="135">
        <f t="shared" si="59"/>
        <v>1</v>
      </c>
      <c r="F5004" s="143" t="s">
        <v>3973</v>
      </c>
      <c r="G5004" s="63" t="str">
        <f>VLOOKUP(C5004, 'Class Def. - General Data'!$C$20:$C$1000,1,false)</f>
        <v>ZPM1_SHL_SHW</v>
      </c>
      <c r="H5004" s="63" t="str">
        <f>IFERROR(__xludf.DUMMYFUNCTION("VLOOKUP(F5004, IMPORTRANGE(""https://docs.google.com/spreadsheets/d/1Lhp9OU0JdFf_VYSMzH5lBcEaU4o8teT1piV-SNzShjg/edit?gid=554141278#gid=554141278"", ""'Char Def. - Attributes'!C20:C2242""), 1,false)"),"MATERIAL_CODE_SHL_SHW")</f>
        <v>MATERIAL_CODE_SHL_SHW</v>
      </c>
      <c r="I5004" s="136"/>
    </row>
    <row r="5005" ht="15.75" customHeight="1">
      <c r="B5005" s="63">
        <f t="shared" si="1"/>
        <v>12</v>
      </c>
      <c r="C5005" s="146" t="s">
        <v>262</v>
      </c>
      <c r="D5005" s="147" t="s">
        <v>74</v>
      </c>
      <c r="E5005" s="135">
        <f t="shared" si="59"/>
        <v>2</v>
      </c>
      <c r="F5005" s="143" t="s">
        <v>3974</v>
      </c>
      <c r="G5005" s="63" t="str">
        <f>VLOOKUP(C5005, 'Class Def. - General Data'!$C$20:$C$1000,1,false)</f>
        <v>ZPM1_SHL_SHW</v>
      </c>
      <c r="H5005" s="63" t="str">
        <f>IFERROR(__xludf.DUMMYFUNCTION("VLOOKUP(F5005, IMPORTRANGE(""https://docs.google.com/spreadsheets/d/1Lhp9OU0JdFf_VYSMzH5lBcEaU4o8teT1piV-SNzShjg/edit?gid=554141278#gid=554141278"", ""'Char Def. - Attributes'!C20:C2242""), 1,false)"),"SATUAN_PM")</f>
        <v>SATUAN_PM</v>
      </c>
      <c r="I5005" s="136"/>
    </row>
    <row r="5006" ht="15.75" customHeight="1">
      <c r="B5006" s="63">
        <f t="shared" si="1"/>
        <v>12</v>
      </c>
      <c r="C5006" s="146" t="s">
        <v>262</v>
      </c>
      <c r="D5006" s="147" t="s">
        <v>74</v>
      </c>
      <c r="E5006" s="135">
        <f t="shared" si="59"/>
        <v>3</v>
      </c>
      <c r="F5006" s="143" t="s">
        <v>3852</v>
      </c>
      <c r="G5006" s="63" t="str">
        <f>VLOOKUP(C5006, 'Class Def. - General Data'!$C$20:$C$1000,1,false)</f>
        <v>ZPM1_SHL_SHW</v>
      </c>
      <c r="H5006" s="63" t="str">
        <f>IFERROR(__xludf.DUMMYFUNCTION("VLOOKUP(F5006, IMPORTRANGE(""https://docs.google.com/spreadsheets/d/1Lhp9OU0JdFf_VYSMzH5lBcEaU4o8teT1piV-SNzShjg/edit?gid=554141278#gid=554141278"", ""'Char Def. - Attributes'!C20:C2242""), 1,false)"),"SINGLE_BRAND")</f>
        <v>SINGLE_BRAND</v>
      </c>
      <c r="I5006" s="136"/>
    </row>
    <row r="5007" ht="15.75" customHeight="1">
      <c r="B5007" s="63">
        <f t="shared" si="1"/>
        <v>12</v>
      </c>
      <c r="C5007" s="146" t="s">
        <v>262</v>
      </c>
      <c r="D5007" s="147" t="s">
        <v>74</v>
      </c>
      <c r="E5007" s="135">
        <f t="shared" si="59"/>
        <v>4</v>
      </c>
      <c r="F5007" s="143" t="s">
        <v>3853</v>
      </c>
      <c r="G5007" s="63" t="str">
        <f>VLOOKUP(C5007, 'Class Def. - General Data'!$C$20:$C$1000,1,false)</f>
        <v>ZPM1_SHL_SHW</v>
      </c>
      <c r="H5007" s="63" t="str">
        <f>IFERROR(__xludf.DUMMYFUNCTION("VLOOKUP(F5007, IMPORTRANGE(""https://docs.google.com/spreadsheets/d/1Lhp9OU0JdFf_VYSMzH5lBcEaU4o8teT1piV-SNzShjg/edit?gid=554141278#gid=554141278"", ""'Char Def. - Attributes'!C20:C2242""), 1,false)"),"BRAND_WINGS")</f>
        <v>BRAND_WINGS</v>
      </c>
      <c r="I5007" s="136"/>
    </row>
    <row r="5008" ht="15.75" customHeight="1">
      <c r="B5008" s="63">
        <f t="shared" si="1"/>
        <v>12</v>
      </c>
      <c r="C5008" s="146" t="s">
        <v>262</v>
      </c>
      <c r="D5008" s="147" t="s">
        <v>74</v>
      </c>
      <c r="E5008" s="135">
        <f t="shared" si="59"/>
        <v>5</v>
      </c>
      <c r="F5008" s="143" t="s">
        <v>3854</v>
      </c>
      <c r="G5008" s="63" t="str">
        <f>VLOOKUP(C5008, 'Class Def. - General Data'!$C$20:$C$1000,1,false)</f>
        <v>ZPM1_SHL_SHW</v>
      </c>
      <c r="H5008" s="63" t="str">
        <f>IFERROR(__xludf.DUMMYFUNCTION("VLOOKUP(F5008, IMPORTRANGE(""https://docs.google.com/spreadsheets/d/1Lhp9OU0JdFf_VYSMzH5lBcEaU4o8teT1piV-SNzShjg/edit?gid=554141278#gid=554141278"", ""'Char Def. - Attributes'!C20:C2242""), 1,false)"),"SINGLE_PACK_SHAPE")</f>
        <v>SINGLE_PACK_SHAPE</v>
      </c>
      <c r="I5008" s="136"/>
    </row>
    <row r="5009" ht="15.75" customHeight="1">
      <c r="B5009" s="63">
        <f t="shared" si="1"/>
        <v>12</v>
      </c>
      <c r="C5009" s="146" t="s">
        <v>262</v>
      </c>
      <c r="D5009" s="147" t="s">
        <v>74</v>
      </c>
      <c r="E5009" s="135">
        <f t="shared" si="59"/>
        <v>6</v>
      </c>
      <c r="F5009" s="143" t="s">
        <v>3855</v>
      </c>
      <c r="G5009" s="63" t="str">
        <f>VLOOKUP(C5009, 'Class Def. - General Data'!$C$20:$C$1000,1,false)</f>
        <v>ZPM1_SHL_SHW</v>
      </c>
      <c r="H5009" s="63" t="str">
        <f>IFERROR(__xludf.DUMMYFUNCTION("VLOOKUP(F5009, IMPORTRANGE(""https://docs.google.com/spreadsheets/d/1Lhp9OU0JdFf_VYSMzH5lBcEaU4o8teT1piV-SNzShjg/edit?gid=554141278#gid=554141278"", ""'Char Def. - Attributes'!C20:C2242""), 1,false)"),"PACK_SHAPE")</f>
        <v>PACK_SHAPE</v>
      </c>
      <c r="I5009" s="136"/>
    </row>
    <row r="5010" ht="15.75" customHeight="1">
      <c r="B5010" s="63">
        <f t="shared" si="1"/>
        <v>12</v>
      </c>
      <c r="C5010" s="146" t="s">
        <v>262</v>
      </c>
      <c r="D5010" s="147" t="s">
        <v>74</v>
      </c>
      <c r="E5010" s="135">
        <f t="shared" si="59"/>
        <v>7</v>
      </c>
      <c r="F5010" s="143" t="s">
        <v>3856</v>
      </c>
      <c r="G5010" s="63" t="str">
        <f>VLOOKUP(C5010, 'Class Def. - General Data'!$C$20:$C$1000,1,false)</f>
        <v>ZPM1_SHL_SHW</v>
      </c>
      <c r="H5010" s="63" t="str">
        <f>IFERROR(__xludf.DUMMYFUNCTION("VLOOKUP(F5010, IMPORTRANGE(""https://docs.google.com/spreadsheets/d/1Lhp9OU0JdFf_VYSMzH5lBcEaU4o8teT1piV-SNzShjg/edit?gid=554141278#gid=554141278"", ""'Char Def. - Attributes'!C20:C2242""), 1,false)"),"SINGLE_PACK_NETTO")</f>
        <v>SINGLE_PACK_NETTO</v>
      </c>
      <c r="I5010" s="136"/>
    </row>
    <row r="5011" ht="15.75" customHeight="1">
      <c r="B5011" s="63">
        <f t="shared" si="1"/>
        <v>12</v>
      </c>
      <c r="C5011" s="146" t="s">
        <v>262</v>
      </c>
      <c r="D5011" s="147" t="s">
        <v>74</v>
      </c>
      <c r="E5011" s="135">
        <f t="shared" si="59"/>
        <v>8</v>
      </c>
      <c r="F5011" s="143" t="s">
        <v>3605</v>
      </c>
      <c r="G5011" s="63" t="str">
        <f>VLOOKUP(C5011, 'Class Def. - General Data'!$C$20:$C$1000,1,false)</f>
        <v>ZPM1_SHL_SHW</v>
      </c>
      <c r="H5011" s="63" t="str">
        <f>IFERROR(__xludf.DUMMYFUNCTION("VLOOKUP(F5011, IMPORTRANGE(""https://docs.google.com/spreadsheets/d/1Lhp9OU0JdFf_VYSMzH5lBcEaU4o8teT1piV-SNzShjg/edit?gid=554141278#gid=554141278"", ""'Char Def. - Attributes'!C20:C2242""), 1,false)"),"PACK_NETTO")</f>
        <v>PACK_NETTO</v>
      </c>
      <c r="I5011" s="136"/>
    </row>
    <row r="5012" ht="15.75" customHeight="1">
      <c r="B5012" s="63">
        <f t="shared" si="1"/>
        <v>12</v>
      </c>
      <c r="C5012" s="146" t="s">
        <v>262</v>
      </c>
      <c r="D5012" s="147" t="s">
        <v>74</v>
      </c>
      <c r="E5012" s="135">
        <f t="shared" si="59"/>
        <v>9</v>
      </c>
      <c r="F5012" s="143" t="s">
        <v>3857</v>
      </c>
      <c r="G5012" s="63" t="str">
        <f>VLOOKUP(C5012, 'Class Def. - General Data'!$C$20:$C$1000,1,false)</f>
        <v>ZPM1_SHL_SHW</v>
      </c>
      <c r="H5012" s="63" t="str">
        <f>IFERROR(__xludf.DUMMYFUNCTION("VLOOKUP(F5012, IMPORTRANGE(""https://docs.google.com/spreadsheets/d/1Lhp9OU0JdFf_VYSMzH5lBcEaU4o8teT1piV-SNzShjg/edit?gid=554141278#gid=554141278"", ""'Char Def. - Attributes'!C20:C2242""), 1,false)"),"PACK_UOM")</f>
        <v>PACK_UOM</v>
      </c>
      <c r="I5012" s="136"/>
    </row>
    <row r="5013" ht="15.75" customHeight="1">
      <c r="B5013" s="63">
        <f t="shared" si="1"/>
        <v>12</v>
      </c>
      <c r="C5013" s="146" t="s">
        <v>262</v>
      </c>
      <c r="D5013" s="147" t="s">
        <v>74</v>
      </c>
      <c r="E5013" s="135">
        <f t="shared" si="59"/>
        <v>10</v>
      </c>
      <c r="F5013" s="143" t="s">
        <v>3858</v>
      </c>
      <c r="G5013" s="63" t="str">
        <f>VLOOKUP(C5013, 'Class Def. - General Data'!$C$20:$C$1000,1,false)</f>
        <v>ZPM1_SHL_SHW</v>
      </c>
      <c r="H5013" s="63" t="str">
        <f>IFERROR(__xludf.DUMMYFUNCTION("VLOOKUP(F5013, IMPORTRANGE(""https://docs.google.com/spreadsheets/d/1Lhp9OU0JdFf_VYSMzH5lBcEaU4o8teT1piV-SNzShjg/edit?gid=554141278#gid=554141278"", ""'Char Def. - Attributes'!C20:C2242""), 1,false)"),"SINGLE_VARIAN")</f>
        <v>SINGLE_VARIAN</v>
      </c>
      <c r="I5013" s="136"/>
    </row>
    <row r="5014" ht="15.75" customHeight="1">
      <c r="B5014" s="63">
        <f t="shared" si="1"/>
        <v>12</v>
      </c>
      <c r="C5014" s="146" t="s">
        <v>262</v>
      </c>
      <c r="D5014" s="147" t="s">
        <v>74</v>
      </c>
      <c r="E5014" s="135">
        <f t="shared" si="59"/>
        <v>11</v>
      </c>
      <c r="F5014" s="143" t="s">
        <v>3607</v>
      </c>
      <c r="G5014" s="63" t="str">
        <f>VLOOKUP(C5014, 'Class Def. - General Data'!$C$20:$C$1000,1,false)</f>
        <v>ZPM1_SHL_SHW</v>
      </c>
      <c r="H5014" s="63" t="str">
        <f>IFERROR(__xludf.DUMMYFUNCTION("VLOOKUP(F5014, IMPORTRANGE(""https://docs.google.com/spreadsheets/d/1Lhp9OU0JdFf_VYSMzH5lBcEaU4o8teT1piV-SNzShjg/edit?gid=554141278#gid=554141278"", ""'Char Def. - Attributes'!C20:C2242""), 1,false)"),"VARIAN")</f>
        <v>VARIAN</v>
      </c>
      <c r="I5014" s="136"/>
    </row>
    <row r="5015" ht="15.75" customHeight="1">
      <c r="B5015" s="63">
        <f t="shared" si="1"/>
        <v>12</v>
      </c>
      <c r="C5015" s="146" t="s">
        <v>262</v>
      </c>
      <c r="D5015" s="147" t="s">
        <v>74</v>
      </c>
      <c r="E5015" s="135">
        <f t="shared" si="59"/>
        <v>12</v>
      </c>
      <c r="F5015" s="143" t="s">
        <v>3859</v>
      </c>
      <c r="G5015" s="63" t="str">
        <f>VLOOKUP(C5015, 'Class Def. - General Data'!$C$20:$C$1000,1,false)</f>
        <v>ZPM1_SHL_SHW</v>
      </c>
      <c r="H5015" s="63" t="str">
        <f>IFERROR(__xludf.DUMMYFUNCTION("VLOOKUP(F5015, IMPORTRANGE(""https://docs.google.com/spreadsheets/d/1Lhp9OU0JdFf_VYSMzH5lBcEaU4o8teT1piV-SNzShjg/edit?gid=554141278#gid=554141278"", ""'Char Def. - Attributes'!C20:C2242""), 1,false)"),"ADA_ADDITIONAL_PROMO")</f>
        <v>ADA_ADDITIONAL_PROMO</v>
      </c>
      <c r="I5015" s="136"/>
    </row>
    <row r="5016" ht="15.75" customHeight="1">
      <c r="B5016" s="63">
        <f t="shared" si="1"/>
        <v>12</v>
      </c>
      <c r="C5016" s="146" t="s">
        <v>262</v>
      </c>
      <c r="D5016" s="147" t="s">
        <v>74</v>
      </c>
      <c r="E5016" s="135">
        <f t="shared" si="59"/>
        <v>13</v>
      </c>
      <c r="F5016" s="143" t="s">
        <v>3609</v>
      </c>
      <c r="G5016" s="63" t="str">
        <f>VLOOKUP(C5016, 'Class Def. - General Data'!$C$20:$C$1000,1,false)</f>
        <v>ZPM1_SHL_SHW</v>
      </c>
      <c r="H5016" s="63" t="str">
        <f>IFERROR(__xludf.DUMMYFUNCTION("VLOOKUP(F5016, IMPORTRANGE(""https://docs.google.com/spreadsheets/d/1Lhp9OU0JdFf_VYSMzH5lBcEaU4o8teT1piV-SNzShjg/edit?gid=554141278#gid=554141278"", ""'Char Def. - Attributes'!C20:C2242""), 1,false)"),"ADDITIONAL_PROMO")</f>
        <v>ADDITIONAL_PROMO</v>
      </c>
      <c r="I5016" s="136"/>
    </row>
    <row r="5017" ht="15.75" customHeight="1">
      <c r="B5017" s="63">
        <f t="shared" si="1"/>
        <v>12</v>
      </c>
      <c r="C5017" s="146" t="s">
        <v>262</v>
      </c>
      <c r="D5017" s="147" t="s">
        <v>74</v>
      </c>
      <c r="E5017" s="135">
        <f t="shared" si="59"/>
        <v>14</v>
      </c>
      <c r="F5017" s="143" t="s">
        <v>3860</v>
      </c>
      <c r="G5017" s="63" t="str">
        <f>VLOOKUP(C5017, 'Class Def. - General Data'!$C$20:$C$1000,1,false)</f>
        <v>ZPM1_SHL_SHW</v>
      </c>
      <c r="H5017" s="63" t="str">
        <f>IFERROR(__xludf.DUMMYFUNCTION("VLOOKUP(F5017, IMPORTRANGE(""https://docs.google.com/spreadsheets/d/1Lhp9OU0JdFf_VYSMzH5lBcEaU4o8teT1piV-SNzShjg/edit?gid=554141278#gid=554141278"", ""'Char Def. - Attributes'!C20:C2242""), 1,false)"),"ADA_BANDED_PROMO")</f>
        <v>ADA_BANDED_PROMO</v>
      </c>
      <c r="I5017" s="136"/>
    </row>
    <row r="5018" ht="15.75" customHeight="1">
      <c r="B5018" s="63">
        <f t="shared" si="1"/>
        <v>12</v>
      </c>
      <c r="C5018" s="146" t="s">
        <v>262</v>
      </c>
      <c r="D5018" s="147" t="s">
        <v>74</v>
      </c>
      <c r="E5018" s="135">
        <f t="shared" si="59"/>
        <v>15</v>
      </c>
      <c r="F5018" s="143" t="s">
        <v>3610</v>
      </c>
      <c r="G5018" s="63" t="str">
        <f>VLOOKUP(C5018, 'Class Def. - General Data'!$C$20:$C$1000,1,false)</f>
        <v>ZPM1_SHL_SHW</v>
      </c>
      <c r="H5018" s="63" t="str">
        <f>IFERROR(__xludf.DUMMYFUNCTION("VLOOKUP(F5018, IMPORTRANGE(""https://docs.google.com/spreadsheets/d/1Lhp9OU0JdFf_VYSMzH5lBcEaU4o8teT1piV-SNzShjg/edit?gid=554141278#gid=554141278"", ""'Char Def. - Attributes'!C20:C2242""), 1,false)"),"BANDED_PROMO")</f>
        <v>BANDED_PROMO</v>
      </c>
      <c r="I5018" s="136"/>
    </row>
    <row r="5019" ht="15.75" customHeight="1">
      <c r="B5019" s="63">
        <f t="shared" si="1"/>
        <v>12</v>
      </c>
      <c r="C5019" s="146" t="s">
        <v>262</v>
      </c>
      <c r="D5019" s="147" t="s">
        <v>74</v>
      </c>
      <c r="E5019" s="135">
        <f t="shared" si="59"/>
        <v>16</v>
      </c>
      <c r="F5019" s="143" t="s">
        <v>1292</v>
      </c>
      <c r="G5019" s="63" t="str">
        <f>VLOOKUP(C5019, 'Class Def. - General Data'!$C$20:$C$1000,1,false)</f>
        <v>ZPM1_SHL_SHW</v>
      </c>
      <c r="H5019" s="63" t="str">
        <f>IFERROR(__xludf.DUMMYFUNCTION("VLOOKUP(F5019, IMPORTRANGE(""https://docs.google.com/spreadsheets/d/1Lhp9OU0JdFf_VYSMzH5lBcEaU4o8teT1piV-SNzShjg/edit?gid=554141278#gid=554141278"", ""'Char Def. - Attributes'!C20:C2242""), 1,false)"),"EXPORT")</f>
        <v>EXPORT</v>
      </c>
      <c r="I5019" s="136"/>
    </row>
    <row r="5020" ht="15.75" customHeight="1">
      <c r="B5020" s="63">
        <f t="shared" si="1"/>
        <v>12</v>
      </c>
      <c r="C5020" s="146" t="s">
        <v>262</v>
      </c>
      <c r="D5020" s="147" t="s">
        <v>74</v>
      </c>
      <c r="E5020" s="135">
        <f t="shared" si="59"/>
        <v>17</v>
      </c>
      <c r="F5020" s="143" t="s">
        <v>3612</v>
      </c>
      <c r="G5020" s="63" t="str">
        <f>VLOOKUP(C5020, 'Class Def. - General Data'!$C$20:$C$1000,1,false)</f>
        <v>ZPM1_SHL_SHW</v>
      </c>
      <c r="H5020" s="63" t="str">
        <f>IFERROR(__xludf.DUMMYFUNCTION("VLOOKUP(F5020, IMPORTRANGE(""https://docs.google.com/spreadsheets/d/1Lhp9OU0JdFf_VYSMzH5lBcEaU4o8teT1piV-SNzShjg/edit?gid=554141278#gid=554141278"", ""'Char Def. - Attributes'!C20:C2242""), 1,false)"),"COUNTRY_EKSPOR")</f>
        <v>COUNTRY_EKSPOR</v>
      </c>
      <c r="I5020" s="136"/>
    </row>
    <row r="5021" ht="15.75" customHeight="1">
      <c r="B5021" s="63">
        <f t="shared" si="1"/>
        <v>12</v>
      </c>
      <c r="C5021" s="146" t="s">
        <v>262</v>
      </c>
      <c r="D5021" s="147" t="s">
        <v>74</v>
      </c>
      <c r="E5021" s="135">
        <f t="shared" si="59"/>
        <v>18</v>
      </c>
      <c r="F5021" s="143" t="s">
        <v>3861</v>
      </c>
      <c r="G5021" s="63" t="str">
        <f>VLOOKUP(C5021, 'Class Def. - General Data'!$C$20:$C$1000,1,false)</f>
        <v>ZPM1_SHL_SHW</v>
      </c>
      <c r="H5021" s="63" t="str">
        <f>IFERROR(__xludf.DUMMYFUNCTION("VLOOKUP(F5021, IMPORTRANGE(""https://docs.google.com/spreadsheets/d/1Lhp9OU0JdFf_VYSMzH5lBcEaU4o8teT1piV-SNzShjg/edit?gid=554141278#gid=554141278"", ""'Char Def. - Attributes'!C20:C2242""), 1,false)"),"PEMBATAS")</f>
        <v>PEMBATAS</v>
      </c>
      <c r="I5021" s="136"/>
    </row>
    <row r="5022" ht="15.75" customHeight="1">
      <c r="B5022" s="63">
        <f t="shared" si="1"/>
        <v>12</v>
      </c>
      <c r="C5022" s="146" t="s">
        <v>262</v>
      </c>
      <c r="D5022" s="147" t="s">
        <v>74</v>
      </c>
      <c r="E5022" s="135">
        <f t="shared" si="59"/>
        <v>19</v>
      </c>
      <c r="F5022" s="143" t="s">
        <v>3975</v>
      </c>
      <c r="G5022" s="63" t="str">
        <f>VLOOKUP(C5022, 'Class Def. - General Data'!$C$20:$C$1000,1,false)</f>
        <v>ZPM1_SHL_SHW</v>
      </c>
      <c r="H5022" s="63" t="str">
        <f>IFERROR(__xludf.DUMMYFUNCTION("VLOOKUP(F5022, IMPORTRANGE(""https://docs.google.com/spreadsheets/d/1Lhp9OU0JdFf_VYSMzH5lBcEaU4o8teT1piV-SNzShjg/edit?gid=554141278#gid=554141278"", ""'Char Def. - Attributes'!C20:C2242""), 1,false)"),"FG_AMOUNT_INPACK_A")</f>
        <v>FG_AMOUNT_INPACK_A</v>
      </c>
      <c r="I5022" s="136"/>
    </row>
    <row r="5023" ht="15.75" customHeight="1">
      <c r="B5023" s="63">
        <f t="shared" si="1"/>
        <v>12</v>
      </c>
      <c r="C5023" s="146" t="s">
        <v>262</v>
      </c>
      <c r="D5023" s="147" t="s">
        <v>74</v>
      </c>
      <c r="E5023" s="135">
        <f t="shared" si="59"/>
        <v>20</v>
      </c>
      <c r="F5023" s="143" t="s">
        <v>3888</v>
      </c>
      <c r="G5023" s="63" t="str">
        <f>VLOOKUP(C5023, 'Class Def. - General Data'!$C$20:$C$1000,1,false)</f>
        <v>ZPM1_SHL_SHW</v>
      </c>
      <c r="H5023" s="63" t="str">
        <f>IFERROR(__xludf.DUMMYFUNCTION("VLOOKUP(F5023, IMPORTRANGE(""https://docs.google.com/spreadsheets/d/1Lhp9OU0JdFf_VYSMzH5lBcEaU4o8teT1piV-SNzShjg/edit?gid=554141278#gid=554141278"", ""'Char Def. - Attributes'!C20:C2242""), 1,false)"),"PACK_CODE_OPT")</f>
        <v>PACK_CODE_OPT</v>
      </c>
      <c r="I5023" s="136"/>
    </row>
    <row r="5024" ht="15.75" customHeight="1">
      <c r="B5024" s="63">
        <f t="shared" si="1"/>
        <v>12</v>
      </c>
      <c r="C5024" s="146" t="s">
        <v>262</v>
      </c>
      <c r="D5024" s="147" t="s">
        <v>74</v>
      </c>
      <c r="E5024" s="135">
        <f t="shared" si="59"/>
        <v>21</v>
      </c>
      <c r="F5024" s="143" t="s">
        <v>3941</v>
      </c>
      <c r="G5024" s="63" t="str">
        <f>VLOOKUP(C5024, 'Class Def. - General Data'!$C$20:$C$1000,1,false)</f>
        <v>ZPM1_SHL_SHW</v>
      </c>
      <c r="H5024" s="63" t="str">
        <f>IFERROR(__xludf.DUMMYFUNCTION("VLOOKUP(F5024, IMPORTRANGE(""https://docs.google.com/spreadsheets/d/1Lhp9OU0JdFf_VYSMzH5lBcEaU4o8teT1piV-SNzShjg/edit?gid=554141278#gid=554141278"", ""'Char Def. - Attributes'!C20:C2242""), 1,false)"),"LENGTH_M")</f>
        <v>LENGTH_M</v>
      </c>
      <c r="I5024" s="136"/>
    </row>
    <row r="5025" ht="15.75" customHeight="1">
      <c r="B5025" s="63">
        <f t="shared" si="1"/>
        <v>12</v>
      </c>
      <c r="C5025" s="146" t="s">
        <v>262</v>
      </c>
      <c r="D5025" s="147" t="s">
        <v>74</v>
      </c>
      <c r="E5025" s="135">
        <f t="shared" si="59"/>
        <v>22</v>
      </c>
      <c r="F5025" s="143" t="s">
        <v>3976</v>
      </c>
      <c r="G5025" s="63" t="str">
        <f>VLOOKUP(C5025, 'Class Def. - General Data'!$C$20:$C$1000,1,false)</f>
        <v>ZPM1_SHL_SHW</v>
      </c>
      <c r="H5025" s="63" t="str">
        <f>IFERROR(__xludf.DUMMYFUNCTION("VLOOKUP(F5025, IMPORTRANGE(""https://docs.google.com/spreadsheets/d/1Lhp9OU0JdFf_VYSMzH5lBcEaU4o8teT1piV-SNzShjg/edit?gid=554141278#gid=554141278"", ""'Char Def. - Attributes'!C20:C2242""), 1,false)"),"PACK_CONTENT_AMOUNT_5")</f>
        <v>PACK_CONTENT_AMOUNT_5</v>
      </c>
      <c r="I5025" s="136"/>
    </row>
    <row r="5026" ht="15.75" customHeight="1">
      <c r="B5026" s="63">
        <f t="shared" si="1"/>
        <v>12</v>
      </c>
      <c r="C5026" s="146" t="s">
        <v>262</v>
      </c>
      <c r="D5026" s="147" t="s">
        <v>74</v>
      </c>
      <c r="E5026" s="135">
        <f t="shared" si="59"/>
        <v>23</v>
      </c>
      <c r="F5026" s="143" t="s">
        <v>3862</v>
      </c>
      <c r="G5026" s="63" t="str">
        <f>VLOOKUP(C5026, 'Class Def. - General Data'!$C$20:$C$1000,1,false)</f>
        <v>ZPM1_SHL_SHW</v>
      </c>
      <c r="H5026" s="63" t="str">
        <f>IFERROR(__xludf.DUMMYFUNCTION("VLOOKUP(F5026, IMPORTRANGE(""https://docs.google.com/spreadsheets/d/1Lhp9OU0JdFf_VYSMzH5lBcEaU4o8teT1piV-SNzShjg/edit?gid=554141278#gid=554141278"", ""'Char Def. - Attributes'!C20:C2242""), 1,false)"),"MONTH")</f>
        <v>MONTH</v>
      </c>
      <c r="I5026" s="136"/>
    </row>
    <row r="5027" ht="15.75" customHeight="1">
      <c r="B5027" s="63">
        <f t="shared" si="1"/>
        <v>12</v>
      </c>
      <c r="C5027" s="146" t="s">
        <v>262</v>
      </c>
      <c r="D5027" s="147" t="s">
        <v>74</v>
      </c>
      <c r="E5027" s="135">
        <f t="shared" si="59"/>
        <v>24</v>
      </c>
      <c r="F5027" s="143" t="s">
        <v>3863</v>
      </c>
      <c r="G5027" s="63" t="str">
        <f>VLOOKUP(C5027, 'Class Def. - General Data'!$C$20:$C$1000,1,false)</f>
        <v>ZPM1_SHL_SHW</v>
      </c>
      <c r="H5027" s="63" t="str">
        <f>IFERROR(__xludf.DUMMYFUNCTION("VLOOKUP(F5027, IMPORTRANGE(""https://docs.google.com/spreadsheets/d/1Lhp9OU0JdFf_VYSMzH5lBcEaU4o8teT1piV-SNzShjg/edit?gid=554141278#gid=554141278"", ""'Char Def. - Attributes'!C20:C2242""), 1,false)"),"YEAR")</f>
        <v>YEAR</v>
      </c>
      <c r="I5027" s="136"/>
    </row>
    <row r="5028" ht="15.75" customHeight="1">
      <c r="B5028" s="63">
        <f t="shared" si="1"/>
        <v>12</v>
      </c>
      <c r="C5028" s="146" t="s">
        <v>262</v>
      </c>
      <c r="D5028" s="147" t="s">
        <v>74</v>
      </c>
      <c r="E5028" s="135">
        <f t="shared" si="59"/>
        <v>25</v>
      </c>
      <c r="F5028" s="143" t="s">
        <v>3890</v>
      </c>
      <c r="G5028" s="63" t="str">
        <f>VLOOKUP(C5028, 'Class Def. - General Data'!$C$20:$C$1000,1,false)</f>
        <v>ZPM1_SHL_SHW</v>
      </c>
      <c r="H5028" s="63" t="str">
        <f>IFERROR(__xludf.DUMMYFUNCTION("VLOOKUP(F5028, IMPORTRANGE(""https://docs.google.com/spreadsheets/d/1Lhp9OU0JdFf_VYSMzH5lBcEaU4o8teT1piV-SNzShjg/edit?gid=554141278#gid=554141278"", ""'Char Def. - Attributes'!C20:C2242""), 1,false)"),"EXT_MAT_GRP")</f>
        <v>EXT_MAT_GRP</v>
      </c>
      <c r="I5028" s="136"/>
    </row>
    <row r="5029" ht="15.75" customHeight="1">
      <c r="B5029" s="63">
        <f t="shared" si="1"/>
        <v>12</v>
      </c>
      <c r="C5029" s="146" t="s">
        <v>262</v>
      </c>
      <c r="D5029" s="147" t="s">
        <v>74</v>
      </c>
      <c r="E5029" s="135">
        <f t="shared" si="59"/>
        <v>26</v>
      </c>
      <c r="F5029" s="143" t="s">
        <v>3891</v>
      </c>
      <c r="G5029" s="63" t="str">
        <f>VLOOKUP(C5029, 'Class Def. - General Data'!$C$20:$C$1000,1,false)</f>
        <v>ZPM1_SHL_SHW</v>
      </c>
      <c r="H5029" s="63" t="str">
        <f>IFERROR(__xludf.DUMMYFUNCTION("VLOOKUP(F5029, IMPORTRANGE(""https://docs.google.com/spreadsheets/d/1Lhp9OU0JdFf_VYSMzH5lBcEaU4o8teT1piV-SNzShjg/edit?gid=554141278#gid=554141278"", ""'Char Def. - Attributes'!C20:C2242""), 1,false)"),"GENERAL_SPEC")</f>
        <v>GENERAL_SPEC</v>
      </c>
      <c r="I5029" s="136"/>
    </row>
    <row r="5030" ht="15.75" customHeight="1">
      <c r="B5030" s="63">
        <f t="shared" si="1"/>
        <v>12</v>
      </c>
      <c r="C5030" s="146" t="s">
        <v>262</v>
      </c>
      <c r="D5030" s="147" t="s">
        <v>74</v>
      </c>
      <c r="E5030" s="135">
        <f t="shared" si="59"/>
        <v>27</v>
      </c>
      <c r="F5030" s="143" t="s">
        <v>3892</v>
      </c>
      <c r="G5030" s="63" t="str">
        <f>VLOOKUP(C5030, 'Class Def. - General Data'!$C$20:$C$1000,1,false)</f>
        <v>ZPM1_SHL_SHW</v>
      </c>
      <c r="H5030" s="63" t="str">
        <f>IFERROR(__xludf.DUMMYFUNCTION("VLOOKUP(F5030, IMPORTRANGE(""https://docs.google.com/spreadsheets/d/1Lhp9OU0JdFf_VYSMzH5lBcEaU4o8teT1piV-SNzShjg/edit?gid=554141278#gid=554141278"", ""'Char Def. - Attributes'!C20:C2242""), 1,false)"),"COLOR_COUNT")</f>
        <v>COLOR_COUNT</v>
      </c>
      <c r="I5030" s="136"/>
    </row>
    <row r="5031" ht="15.75" customHeight="1">
      <c r="B5031" s="63">
        <f t="shared" si="1"/>
        <v>12</v>
      </c>
      <c r="C5031" s="146" t="s">
        <v>262</v>
      </c>
      <c r="D5031" s="147" t="s">
        <v>74</v>
      </c>
      <c r="E5031" s="135">
        <f t="shared" si="59"/>
        <v>28</v>
      </c>
      <c r="F5031" s="143" t="s">
        <v>3893</v>
      </c>
      <c r="G5031" s="63" t="str">
        <f>VLOOKUP(C5031, 'Class Def. - General Data'!$C$20:$C$1000,1,false)</f>
        <v>ZPM1_SHL_SHW</v>
      </c>
      <c r="H5031" s="63" t="str">
        <f>IFERROR(__xludf.DUMMYFUNCTION("VLOOKUP(F5031, IMPORTRANGE(""https://docs.google.com/spreadsheets/d/1Lhp9OU0JdFf_VYSMzH5lBcEaU4o8teT1piV-SNzShjg/edit?gid=554141278#gid=554141278"", ""'Char Def. - Attributes'!C20:C2242""), 1,false)"),"FLEX_UOM")</f>
        <v>FLEX_UOM</v>
      </c>
      <c r="I5031" s="136"/>
    </row>
    <row r="5032" ht="15.75" customHeight="1">
      <c r="B5032" s="63">
        <f t="shared" si="1"/>
        <v>12</v>
      </c>
      <c r="C5032" s="146" t="s">
        <v>262</v>
      </c>
      <c r="D5032" s="147" t="s">
        <v>74</v>
      </c>
      <c r="E5032" s="135">
        <f t="shared" si="59"/>
        <v>29</v>
      </c>
      <c r="F5032" s="143" t="s">
        <v>3894</v>
      </c>
      <c r="G5032" s="63" t="str">
        <f>VLOOKUP(C5032, 'Class Def. - General Data'!$C$20:$C$1000,1,false)</f>
        <v>ZPM1_SHL_SHW</v>
      </c>
      <c r="H5032" s="63" t="str">
        <f>IFERROR(__xludf.DUMMYFUNCTION("VLOOKUP(F5032, IMPORTRANGE(""https://docs.google.com/spreadsheets/d/1Lhp9OU0JdFf_VYSMzH5lBcEaU4o8teT1piV-SNzShjg/edit?gid=554141278#gid=554141278"", ""'Char Def. - Attributes'!C20:C2242""), 1,false)"),"FLEX_COMPLEXITY")</f>
        <v>FLEX_COMPLEXITY</v>
      </c>
      <c r="I5032" s="136"/>
    </row>
    <row r="5033" ht="15.75" customHeight="1">
      <c r="B5033" s="63">
        <f t="shared" si="1"/>
        <v>12</v>
      </c>
      <c r="C5033" s="146" t="s">
        <v>262</v>
      </c>
      <c r="D5033" s="147" t="s">
        <v>74</v>
      </c>
      <c r="E5033" s="135">
        <f t="shared" si="59"/>
        <v>30</v>
      </c>
      <c r="F5033" s="143" t="s">
        <v>3587</v>
      </c>
      <c r="G5033" s="63" t="str">
        <f>VLOOKUP(C5033, 'Class Def. - General Data'!$C$20:$C$1000,1,false)</f>
        <v>ZPM1_SHL_SHW</v>
      </c>
      <c r="H5033" s="63" t="str">
        <f>IFERROR(__xludf.DUMMYFUNCTION("VLOOKUP(F5033, IMPORTRANGE(""https://docs.google.com/spreadsheets/d/1Lhp9OU0JdFf_VYSMzH5lBcEaU4o8teT1piV-SNzShjg/edit?gid=554141278#gid=554141278"", ""'Char Def. - Attributes'!C20:C2242""), 1,false)"),"PLANT_BUY")</f>
        <v>PLANT_BUY</v>
      </c>
      <c r="I5033" s="136"/>
    </row>
    <row r="5034" ht="15.75" customHeight="1">
      <c r="B5034" s="63">
        <f t="shared" si="1"/>
        <v>12</v>
      </c>
      <c r="C5034" s="146" t="s">
        <v>262</v>
      </c>
      <c r="D5034" s="147" t="s">
        <v>74</v>
      </c>
      <c r="E5034" s="135">
        <f t="shared" si="59"/>
        <v>31</v>
      </c>
      <c r="F5034" s="143" t="s">
        <v>3865</v>
      </c>
      <c r="G5034" s="63" t="str">
        <f>VLOOKUP(C5034, 'Class Def. - General Data'!$C$20:$C$1000,1,false)</f>
        <v>ZPM1_SHL_SHW</v>
      </c>
      <c r="H5034" s="63" t="str">
        <f>IFERROR(__xludf.DUMMYFUNCTION("VLOOKUP(F5034, IMPORTRANGE(""https://docs.google.com/spreadsheets/d/1Lhp9OU0JdFf_VYSMzH5lBcEaU4o8teT1piV-SNzShjg/edit?gid=554141278#gid=554141278"", ""'Char Def. - Attributes'!C20:C2242""), 1,false)"),"PLANT_PROD_OPT")</f>
        <v>PLANT_PROD_OPT</v>
      </c>
      <c r="I5034" s="136"/>
    </row>
    <row r="5035" ht="15.75" customHeight="1">
      <c r="B5035" s="63">
        <f t="shared" si="1"/>
        <v>12</v>
      </c>
      <c r="C5035" s="146" t="s">
        <v>262</v>
      </c>
      <c r="D5035" s="147" t="s">
        <v>74</v>
      </c>
      <c r="E5035" s="135">
        <f t="shared" si="59"/>
        <v>32</v>
      </c>
      <c r="F5035" s="143" t="s">
        <v>3866</v>
      </c>
      <c r="G5035" s="63" t="str">
        <f>VLOOKUP(C5035, 'Class Def. - General Data'!$C$20:$C$1000,1,false)</f>
        <v>ZPM1_SHL_SHW</v>
      </c>
      <c r="H5035" s="63" t="str">
        <f>IFERROR(__xludf.DUMMYFUNCTION("VLOOKUP(F5035, IMPORTRANGE(""https://docs.google.com/spreadsheets/d/1Lhp9OU0JdFf_VYSMzH5lBcEaU4o8teT1piV-SNzShjg/edit?gid=554141278#gid=554141278"", ""'Char Def. - Attributes'!C20:C2242""), 1,false)"),"PM_SUPPLY_JKT")</f>
        <v>PM_SUPPLY_JKT</v>
      </c>
      <c r="I5035" s="136"/>
    </row>
    <row r="5036" ht="15.75" customHeight="1">
      <c r="B5036" s="63">
        <f t="shared" si="1"/>
        <v>12</v>
      </c>
      <c r="C5036" s="146" t="s">
        <v>262</v>
      </c>
      <c r="D5036" s="147" t="s">
        <v>74</v>
      </c>
      <c r="E5036" s="135">
        <f t="shared" si="59"/>
        <v>33</v>
      </c>
      <c r="F5036" s="143" t="s">
        <v>3867</v>
      </c>
      <c r="G5036" s="63" t="str">
        <f>VLOOKUP(C5036, 'Class Def. - General Data'!$C$20:$C$1000,1,false)</f>
        <v>ZPM1_SHL_SHW</v>
      </c>
      <c r="H5036" s="63" t="str">
        <f>IFERROR(__xludf.DUMMYFUNCTION("VLOOKUP(F5036, IMPORTRANGE(""https://docs.google.com/spreadsheets/d/1Lhp9OU0JdFf_VYSMzH5lBcEaU4o8teT1piV-SNzShjg/edit?gid=554141278#gid=554141278"", ""'Char Def. - Attributes'!C20:C2242""), 1,false)"),"PM_SUPPLY_SBY")</f>
        <v>PM_SUPPLY_SBY</v>
      </c>
      <c r="I5036" s="136"/>
    </row>
    <row r="5037" ht="15.75" customHeight="1">
      <c r="B5037" s="63">
        <f t="shared" si="1"/>
        <v>12</v>
      </c>
      <c r="C5037" s="146" t="s">
        <v>262</v>
      </c>
      <c r="D5037" s="147" t="s">
        <v>74</v>
      </c>
      <c r="E5037" s="135">
        <f t="shared" si="59"/>
        <v>34</v>
      </c>
      <c r="F5037" s="143" t="s">
        <v>3868</v>
      </c>
      <c r="G5037" s="63" t="str">
        <f>VLOOKUP(C5037, 'Class Def. - General Data'!$C$20:$C$1000,1,false)</f>
        <v>ZPM1_SHL_SHW</v>
      </c>
      <c r="H5037" s="63" t="str">
        <f>IFERROR(__xludf.DUMMYFUNCTION("VLOOKUP(F5037, IMPORTRANGE(""https://docs.google.com/spreadsheets/d/1Lhp9OU0JdFf_VYSMzH5lBcEaU4o8teT1piV-SNzShjg/edit?gid=554141278#gid=554141278"", ""'Char Def. - Attributes'!C20:C2242""), 1,false)"),"BASIC_UOM_RMPM")</f>
        <v>BASIC_UOM_RMPM</v>
      </c>
      <c r="I5037" s="136"/>
    </row>
    <row r="5038" ht="15.75" customHeight="1">
      <c r="B5038" s="63">
        <f t="shared" si="1"/>
        <v>12</v>
      </c>
      <c r="C5038" s="146" t="s">
        <v>262</v>
      </c>
      <c r="D5038" s="147" t="s">
        <v>74</v>
      </c>
      <c r="E5038" s="135">
        <f t="shared" si="59"/>
        <v>35</v>
      </c>
      <c r="F5038" s="143" t="s">
        <v>3869</v>
      </c>
      <c r="G5038" s="63" t="str">
        <f>VLOOKUP(C5038, 'Class Def. - General Data'!$C$20:$C$1000,1,false)</f>
        <v>ZPM1_SHL_SHW</v>
      </c>
      <c r="H5038" s="63" t="str">
        <f>IFERROR(__xludf.DUMMYFUNCTION("VLOOKUP(F5038, IMPORTRANGE(""https://docs.google.com/spreadsheets/d/1Lhp9OU0JdFf_VYSMzH5lBcEaU4o8teT1piV-SNzShjg/edit?gid=554141278#gid=554141278"", ""'Char Def. - Attributes'!C20:C2242""), 1,false)"),"ALT_UOM1_RMPM")</f>
        <v>ALT_UOM1_RMPM</v>
      </c>
      <c r="I5038" s="136"/>
    </row>
    <row r="5039" ht="15.75" customHeight="1">
      <c r="B5039" s="63">
        <f t="shared" si="1"/>
        <v>12</v>
      </c>
      <c r="C5039" s="146" t="s">
        <v>262</v>
      </c>
      <c r="D5039" s="147" t="s">
        <v>74</v>
      </c>
      <c r="E5039" s="135">
        <f t="shared" si="59"/>
        <v>36</v>
      </c>
      <c r="F5039" s="143" t="s">
        <v>3805</v>
      </c>
      <c r="G5039" s="63" t="str">
        <f>VLOOKUP(C5039, 'Class Def. - General Data'!$C$20:$C$1000,1,false)</f>
        <v>ZPM1_SHL_SHW</v>
      </c>
      <c r="H5039" s="63" t="str">
        <f>IFERROR(__xludf.DUMMYFUNCTION("VLOOKUP(F5039, IMPORTRANGE(""https://docs.google.com/spreadsheets/d/1Lhp9OU0JdFf_VYSMzH5lBcEaU4o8teT1piV-SNzShjg/edit?gid=554141278#gid=554141278"", ""'Char Def. - Attributes'!C20:C2242""), 1,false)"),"ALT_DENUM_UOM1")</f>
        <v>ALT_DENUM_UOM1</v>
      </c>
      <c r="I5039" s="136"/>
    </row>
    <row r="5040" ht="15.75" customHeight="1">
      <c r="B5040" s="63">
        <f t="shared" si="1"/>
        <v>12</v>
      </c>
      <c r="C5040" s="146" t="s">
        <v>262</v>
      </c>
      <c r="D5040" s="147" t="s">
        <v>74</v>
      </c>
      <c r="E5040" s="135">
        <f t="shared" si="59"/>
        <v>37</v>
      </c>
      <c r="F5040" s="143" t="s">
        <v>3806</v>
      </c>
      <c r="G5040" s="63" t="str">
        <f>VLOOKUP(C5040, 'Class Def. - General Data'!$C$20:$C$1000,1,false)</f>
        <v>ZPM1_SHL_SHW</v>
      </c>
      <c r="H5040" s="63" t="str">
        <f>IFERROR(__xludf.DUMMYFUNCTION("VLOOKUP(F5040, IMPORTRANGE(""https://docs.google.com/spreadsheets/d/1Lhp9OU0JdFf_VYSMzH5lBcEaU4o8teT1piV-SNzShjg/edit?gid=554141278#gid=554141278"", ""'Char Def. - Attributes'!C20:C2242""), 1,false)"),"ALT_NUM_UOM1")</f>
        <v>ALT_NUM_UOM1</v>
      </c>
      <c r="I5040" s="136"/>
    </row>
    <row r="5041" ht="15.75" customHeight="1">
      <c r="B5041" s="63">
        <f t="shared" si="1"/>
        <v>12</v>
      </c>
      <c r="C5041" s="146" t="s">
        <v>262</v>
      </c>
      <c r="D5041" s="147" t="s">
        <v>74</v>
      </c>
      <c r="E5041" s="135">
        <f t="shared" si="59"/>
        <v>38</v>
      </c>
      <c r="F5041" s="143" t="s">
        <v>3870</v>
      </c>
      <c r="G5041" s="63" t="str">
        <f>VLOOKUP(C5041, 'Class Def. - General Data'!$C$20:$C$1000,1,false)</f>
        <v>ZPM1_SHL_SHW</v>
      </c>
      <c r="H5041" s="63" t="str">
        <f>IFERROR(__xludf.DUMMYFUNCTION("VLOOKUP(F5041, IMPORTRANGE(""https://docs.google.com/spreadsheets/d/1Lhp9OU0JdFf_VYSMzH5lBcEaU4o8teT1piV-SNzShjg/edit?gid=554141278#gid=554141278"", ""'Char Def. - Attributes'!C20:C2242""), 1,false)"),"ALT_UOM2_RMPM")</f>
        <v>ALT_UOM2_RMPM</v>
      </c>
      <c r="I5041" s="136"/>
    </row>
    <row r="5042" ht="15.75" customHeight="1">
      <c r="B5042" s="63">
        <f t="shared" si="1"/>
        <v>12</v>
      </c>
      <c r="C5042" s="146" t="s">
        <v>262</v>
      </c>
      <c r="D5042" s="147" t="s">
        <v>74</v>
      </c>
      <c r="E5042" s="135">
        <f t="shared" si="59"/>
        <v>39</v>
      </c>
      <c r="F5042" s="143" t="s">
        <v>3808</v>
      </c>
      <c r="G5042" s="63" t="str">
        <f>VLOOKUP(C5042, 'Class Def. - General Data'!$C$20:$C$1000,1,false)</f>
        <v>ZPM1_SHL_SHW</v>
      </c>
      <c r="H5042" s="63" t="str">
        <f>IFERROR(__xludf.DUMMYFUNCTION("VLOOKUP(F5042, IMPORTRANGE(""https://docs.google.com/spreadsheets/d/1Lhp9OU0JdFf_VYSMzH5lBcEaU4o8teT1piV-SNzShjg/edit?gid=554141278#gid=554141278"", ""'Char Def. - Attributes'!C20:C2242""), 1,false)"),"ALT_DENUM_UOM2")</f>
        <v>ALT_DENUM_UOM2</v>
      </c>
      <c r="I5042" s="136"/>
    </row>
    <row r="5043" ht="15.75" customHeight="1">
      <c r="B5043" s="63">
        <f t="shared" si="1"/>
        <v>12</v>
      </c>
      <c r="C5043" s="146" t="s">
        <v>262</v>
      </c>
      <c r="D5043" s="147" t="s">
        <v>74</v>
      </c>
      <c r="E5043" s="135">
        <f t="shared" si="59"/>
        <v>40</v>
      </c>
      <c r="F5043" s="143" t="s">
        <v>3809</v>
      </c>
      <c r="G5043" s="63" t="str">
        <f>VLOOKUP(C5043, 'Class Def. - General Data'!$C$20:$C$1000,1,false)</f>
        <v>ZPM1_SHL_SHW</v>
      </c>
      <c r="H5043" s="63" t="str">
        <f>IFERROR(__xludf.DUMMYFUNCTION("VLOOKUP(F5043, IMPORTRANGE(""https://docs.google.com/spreadsheets/d/1Lhp9OU0JdFf_VYSMzH5lBcEaU4o8teT1piV-SNzShjg/edit?gid=554141278#gid=554141278"", ""'Char Def. - Attributes'!C20:C2242""), 1,false)"),"ALT_NUM_UOM2")</f>
        <v>ALT_NUM_UOM2</v>
      </c>
      <c r="I5043" s="136"/>
    </row>
    <row r="5044" ht="15.75" customHeight="1">
      <c r="B5044" s="63">
        <f t="shared" si="1"/>
        <v>12</v>
      </c>
      <c r="C5044" s="146" t="s">
        <v>262</v>
      </c>
      <c r="D5044" s="147" t="s">
        <v>74</v>
      </c>
      <c r="E5044" s="135">
        <f t="shared" si="59"/>
        <v>41</v>
      </c>
      <c r="F5044" s="143" t="s">
        <v>3871</v>
      </c>
      <c r="G5044" s="63" t="str">
        <f>VLOOKUP(C5044, 'Class Def. - General Data'!$C$20:$C$1000,1,false)</f>
        <v>ZPM1_SHL_SHW</v>
      </c>
      <c r="H5044" s="63" t="str">
        <f>IFERROR(__xludf.DUMMYFUNCTION("VLOOKUP(F5044, IMPORTRANGE(""https://docs.google.com/spreadsheets/d/1Lhp9OU0JdFf_VYSMzH5lBcEaU4o8teT1piV-SNzShjg/edit?gid=554141278#gid=554141278"", ""'Char Def. - Attributes'!C20:C2242""), 1,false)"),"ALT_UOM3_RMPM")</f>
        <v>ALT_UOM3_RMPM</v>
      </c>
      <c r="I5044" s="136"/>
    </row>
    <row r="5045" ht="15.75" customHeight="1">
      <c r="B5045" s="63">
        <f t="shared" si="1"/>
        <v>12</v>
      </c>
      <c r="C5045" s="146" t="s">
        <v>262</v>
      </c>
      <c r="D5045" s="147" t="s">
        <v>74</v>
      </c>
      <c r="E5045" s="135">
        <f t="shared" si="59"/>
        <v>42</v>
      </c>
      <c r="F5045" s="143" t="s">
        <v>3811</v>
      </c>
      <c r="G5045" s="63" t="str">
        <f>VLOOKUP(C5045, 'Class Def. - General Data'!$C$20:$C$1000,1,false)</f>
        <v>ZPM1_SHL_SHW</v>
      </c>
      <c r="H5045" s="63" t="str">
        <f>IFERROR(__xludf.DUMMYFUNCTION("VLOOKUP(F5045, IMPORTRANGE(""https://docs.google.com/spreadsheets/d/1Lhp9OU0JdFf_VYSMzH5lBcEaU4o8teT1piV-SNzShjg/edit?gid=554141278#gid=554141278"", ""'Char Def. - Attributes'!C20:C2242""), 1,false)"),"ALT_DENUM_UOM3")</f>
        <v>ALT_DENUM_UOM3</v>
      </c>
      <c r="I5045" s="136"/>
    </row>
    <row r="5046" ht="15.75" customHeight="1">
      <c r="B5046" s="63">
        <f t="shared" si="1"/>
        <v>12</v>
      </c>
      <c r="C5046" s="146" t="s">
        <v>262</v>
      </c>
      <c r="D5046" s="147" t="s">
        <v>74</v>
      </c>
      <c r="E5046" s="135">
        <f t="shared" si="59"/>
        <v>43</v>
      </c>
      <c r="F5046" s="143" t="s">
        <v>3812</v>
      </c>
      <c r="G5046" s="63" t="str">
        <f>VLOOKUP(C5046, 'Class Def. - General Data'!$C$20:$C$1000,1,false)</f>
        <v>ZPM1_SHL_SHW</v>
      </c>
      <c r="H5046" s="63" t="str">
        <f>IFERROR(__xludf.DUMMYFUNCTION("VLOOKUP(F5046, IMPORTRANGE(""https://docs.google.com/spreadsheets/d/1Lhp9OU0JdFf_VYSMzH5lBcEaU4o8teT1piV-SNzShjg/edit?gid=554141278#gid=554141278"", ""'Char Def. - Attributes'!C20:C2242""), 1,false)"),"ALT_NUM_UOM3")</f>
        <v>ALT_NUM_UOM3</v>
      </c>
      <c r="I5046" s="136"/>
    </row>
    <row r="5047" ht="15.75" customHeight="1">
      <c r="B5047" s="63">
        <f t="shared" si="1"/>
        <v>12</v>
      </c>
      <c r="C5047" s="146" t="s">
        <v>262</v>
      </c>
      <c r="D5047" s="147" t="s">
        <v>74</v>
      </c>
      <c r="E5047" s="135">
        <f t="shared" si="59"/>
        <v>44</v>
      </c>
      <c r="F5047" s="143" t="s">
        <v>3872</v>
      </c>
      <c r="G5047" s="63" t="str">
        <f>VLOOKUP(C5047, 'Class Def. - General Data'!$C$20:$C$1000,1,false)</f>
        <v>ZPM1_SHL_SHW</v>
      </c>
      <c r="H5047" s="63" t="str">
        <f>IFERROR(__xludf.DUMMYFUNCTION("VLOOKUP(F5047, IMPORTRANGE(""https://docs.google.com/spreadsheets/d/1Lhp9OU0JdFf_VYSMzH5lBcEaU4o8teT1piV-SNzShjg/edit?gid=554141278#gid=554141278"", ""'Char Def. - Attributes'!C20:C2242""), 1,false)"),"ALT_UOM4_RMPM")</f>
        <v>ALT_UOM4_RMPM</v>
      </c>
      <c r="I5047" s="136"/>
    </row>
    <row r="5048" ht="15.75" customHeight="1">
      <c r="B5048" s="63">
        <f t="shared" si="1"/>
        <v>12</v>
      </c>
      <c r="C5048" s="146" t="s">
        <v>262</v>
      </c>
      <c r="D5048" s="147" t="s">
        <v>74</v>
      </c>
      <c r="E5048" s="135">
        <f t="shared" si="59"/>
        <v>45</v>
      </c>
      <c r="F5048" s="143" t="s">
        <v>3814</v>
      </c>
      <c r="G5048" s="63" t="str">
        <f>VLOOKUP(C5048, 'Class Def. - General Data'!$C$20:$C$1000,1,false)</f>
        <v>ZPM1_SHL_SHW</v>
      </c>
      <c r="H5048" s="63" t="str">
        <f>IFERROR(__xludf.DUMMYFUNCTION("VLOOKUP(F5048, IMPORTRANGE(""https://docs.google.com/spreadsheets/d/1Lhp9OU0JdFf_VYSMzH5lBcEaU4o8teT1piV-SNzShjg/edit?gid=554141278#gid=554141278"", ""'Char Def. - Attributes'!C20:C2242""), 1,false)"),"ALT_DENUM_UOM4")</f>
        <v>ALT_DENUM_UOM4</v>
      </c>
      <c r="I5048" s="136"/>
    </row>
    <row r="5049" ht="15.75" customHeight="1">
      <c r="B5049" s="63">
        <f t="shared" si="1"/>
        <v>12</v>
      </c>
      <c r="C5049" s="146" t="s">
        <v>262</v>
      </c>
      <c r="D5049" s="147" t="s">
        <v>74</v>
      </c>
      <c r="E5049" s="135">
        <f t="shared" si="59"/>
        <v>46</v>
      </c>
      <c r="F5049" s="143" t="s">
        <v>3815</v>
      </c>
      <c r="G5049" s="63" t="str">
        <f>VLOOKUP(C5049, 'Class Def. - General Data'!$C$20:$C$1000,1,false)</f>
        <v>ZPM1_SHL_SHW</v>
      </c>
      <c r="H5049" s="63" t="str">
        <f>IFERROR(__xludf.DUMMYFUNCTION("VLOOKUP(F5049, IMPORTRANGE(""https://docs.google.com/spreadsheets/d/1Lhp9OU0JdFf_VYSMzH5lBcEaU4o8teT1piV-SNzShjg/edit?gid=554141278#gid=554141278"", ""'Char Def. - Attributes'!C20:C2242""), 1,false)"),"ALT_NUM_UOM4")</f>
        <v>ALT_NUM_UOM4</v>
      </c>
      <c r="I5049" s="136"/>
    </row>
    <row r="5050" ht="15.75" customHeight="1">
      <c r="B5050" s="63">
        <f t="shared" si="1"/>
        <v>12</v>
      </c>
      <c r="C5050" s="146" t="s">
        <v>262</v>
      </c>
      <c r="D5050" s="147" t="s">
        <v>74</v>
      </c>
      <c r="E5050" s="135">
        <f t="shared" si="59"/>
        <v>47</v>
      </c>
      <c r="F5050" s="143" t="s">
        <v>3873</v>
      </c>
      <c r="G5050" s="63" t="str">
        <f>VLOOKUP(C5050, 'Class Def. - General Data'!$C$20:$C$1000,1,false)</f>
        <v>ZPM1_SHL_SHW</v>
      </c>
      <c r="H5050" s="63" t="str">
        <f>IFERROR(__xludf.DUMMYFUNCTION("VLOOKUP(F5050, IMPORTRANGE(""https://docs.google.com/spreadsheets/d/1Lhp9OU0JdFf_VYSMzH5lBcEaU4o8teT1piV-SNzShjg/edit?gid=554141278#gid=554141278"", ""'Char Def. - Attributes'!C20:C2242""), 1,false)"),"ALT_UOM5_RMPM")</f>
        <v>ALT_UOM5_RMPM</v>
      </c>
      <c r="I5050" s="136"/>
    </row>
    <row r="5051" ht="15.75" customHeight="1">
      <c r="B5051" s="63">
        <f t="shared" si="1"/>
        <v>12</v>
      </c>
      <c r="C5051" s="146" t="s">
        <v>262</v>
      </c>
      <c r="D5051" s="147" t="s">
        <v>74</v>
      </c>
      <c r="E5051" s="135">
        <f t="shared" si="59"/>
        <v>48</v>
      </c>
      <c r="F5051" s="143" t="s">
        <v>3817</v>
      </c>
      <c r="G5051" s="63" t="str">
        <f>VLOOKUP(C5051, 'Class Def. - General Data'!$C$20:$C$1000,1,false)</f>
        <v>ZPM1_SHL_SHW</v>
      </c>
      <c r="H5051" s="63" t="str">
        <f>IFERROR(__xludf.DUMMYFUNCTION("VLOOKUP(F5051, IMPORTRANGE(""https://docs.google.com/spreadsheets/d/1Lhp9OU0JdFf_VYSMzH5lBcEaU4o8teT1piV-SNzShjg/edit?gid=554141278#gid=554141278"", ""'Char Def. - Attributes'!C20:C2242""), 1,false)"),"ALT_DENUM_UOM5")</f>
        <v>ALT_DENUM_UOM5</v>
      </c>
      <c r="I5051" s="136"/>
    </row>
    <row r="5052" ht="15.75" customHeight="1">
      <c r="B5052" s="63">
        <f t="shared" si="1"/>
        <v>12</v>
      </c>
      <c r="C5052" s="146" t="s">
        <v>262</v>
      </c>
      <c r="D5052" s="147" t="s">
        <v>74</v>
      </c>
      <c r="E5052" s="135">
        <f t="shared" si="59"/>
        <v>49</v>
      </c>
      <c r="F5052" s="143" t="s">
        <v>3818</v>
      </c>
      <c r="G5052" s="63" t="str">
        <f>VLOOKUP(C5052, 'Class Def. - General Data'!$C$20:$C$1000,1,false)</f>
        <v>ZPM1_SHL_SHW</v>
      </c>
      <c r="H5052" s="63" t="str">
        <f>IFERROR(__xludf.DUMMYFUNCTION("VLOOKUP(F5052, IMPORTRANGE(""https://docs.google.com/spreadsheets/d/1Lhp9OU0JdFf_VYSMzH5lBcEaU4o8teT1piV-SNzShjg/edit?gid=554141278#gid=554141278"", ""'Char Def. - Attributes'!C20:C2242""), 1,false)"),"ALT_NUM_UOM5")</f>
        <v>ALT_NUM_UOM5</v>
      </c>
      <c r="I5052" s="136"/>
    </row>
    <row r="5053" ht="15.75" customHeight="1">
      <c r="B5053" s="63">
        <f t="shared" si="1"/>
        <v>12</v>
      </c>
      <c r="C5053" s="146" t="s">
        <v>262</v>
      </c>
      <c r="D5053" s="147" t="s">
        <v>74</v>
      </c>
      <c r="E5053" s="135">
        <f t="shared" si="59"/>
        <v>50</v>
      </c>
      <c r="F5053" s="143" t="s">
        <v>3874</v>
      </c>
      <c r="G5053" s="63" t="str">
        <f>VLOOKUP(C5053, 'Class Def. - General Data'!$C$20:$C$1000,1,false)</f>
        <v>ZPM1_SHL_SHW</v>
      </c>
      <c r="H5053" s="63" t="str">
        <f>IFERROR(__xludf.DUMMYFUNCTION("VLOOKUP(F5053, IMPORTRANGE(""https://docs.google.com/spreadsheets/d/1Lhp9OU0JdFf_VYSMzH5lBcEaU4o8teT1piV-SNzShjg/edit?gid=554141278#gid=554141278"", ""'Char Def. - Attributes'!C20:C2242""), 1,false)"),"VALUATION_CATEGORY")</f>
        <v>VALUATION_CATEGORY</v>
      </c>
      <c r="I5053" s="136"/>
    </row>
    <row r="5054" ht="15.75" customHeight="1">
      <c r="B5054" s="63">
        <f t="shared" si="1"/>
        <v>12</v>
      </c>
      <c r="C5054" s="146" t="s">
        <v>262</v>
      </c>
      <c r="D5054" s="147" t="s">
        <v>74</v>
      </c>
      <c r="E5054" s="135">
        <f t="shared" si="59"/>
        <v>51</v>
      </c>
      <c r="F5054" s="143" t="s">
        <v>3800</v>
      </c>
      <c r="G5054" s="63" t="str">
        <f>VLOOKUP(C5054, 'Class Def. - General Data'!$C$20:$C$1000,1,false)</f>
        <v>ZPM1_SHL_SHW</v>
      </c>
      <c r="H5054" s="63" t="str">
        <f>IFERROR(__xludf.DUMMYFUNCTION("VLOOKUP(F5054, IMPORTRANGE(""https://docs.google.com/spreadsheets/d/1Lhp9OU0JdFf_VYSMzH5lBcEaU4o8teT1piV-SNzShjg/edit?gid=554141278#gid=554141278"", ""'Char Def. - Attributes'!C20:C2242""), 1,false)"),"ORDER_UNIT_DIFF_FROM_BASIC_UOM")</f>
        <v>ORDER_UNIT_DIFF_FROM_BASIC_UOM</v>
      </c>
      <c r="I5054" s="136"/>
    </row>
    <row r="5055" ht="15.75" customHeight="1">
      <c r="B5055" s="63">
        <f t="shared" si="1"/>
        <v>12</v>
      </c>
      <c r="C5055" s="146" t="s">
        <v>262</v>
      </c>
      <c r="D5055" s="147" t="s">
        <v>74</v>
      </c>
      <c r="E5055" s="135">
        <f t="shared" si="59"/>
        <v>52</v>
      </c>
      <c r="F5055" s="143" t="s">
        <v>3875</v>
      </c>
      <c r="G5055" s="63" t="str">
        <f>VLOOKUP(C5055, 'Class Def. - General Data'!$C$20:$C$1000,1,false)</f>
        <v>ZPM1_SHL_SHW</v>
      </c>
      <c r="H5055" s="63" t="str">
        <f>IFERROR(__xludf.DUMMYFUNCTION("VLOOKUP(F5055, IMPORTRANGE(""https://docs.google.com/spreadsheets/d/1Lhp9OU0JdFf_VYSMzH5lBcEaU4o8teT1piV-SNzShjg/edit?gid=554141278#gid=554141278"", ""'Char Def. - Attributes'!C20:C2242""), 1,false)"),"ORDER_UNIT_RMPM")</f>
        <v>ORDER_UNIT_RMPM</v>
      </c>
      <c r="I5055" s="136"/>
    </row>
    <row r="5056" ht="15.75" customHeight="1">
      <c r="B5056" s="63">
        <f t="shared" si="1"/>
        <v>12</v>
      </c>
      <c r="C5056" s="146" t="s">
        <v>262</v>
      </c>
      <c r="D5056" s="147" t="s">
        <v>74</v>
      </c>
      <c r="E5056" s="135">
        <f t="shared" si="59"/>
        <v>53</v>
      </c>
      <c r="F5056" s="143" t="s">
        <v>3602</v>
      </c>
      <c r="G5056" s="63" t="str">
        <f>VLOOKUP(C5056, 'Class Def. - General Data'!$C$20:$C$1000,1,false)</f>
        <v>ZPM1_SHL_SHW</v>
      </c>
      <c r="H5056" s="63" t="str">
        <f>IFERROR(__xludf.DUMMYFUNCTION("VLOOKUP(F5056, IMPORTRANGE(""https://docs.google.com/spreadsheets/d/1Lhp9OU0JdFf_VYSMzH5lBcEaU4o8teT1piV-SNzShjg/edit?gid=554141278#gid=554141278"", ""'Char Def. - Attributes'!C20:C2242""), 1,false)"),"NET_WEIGHT")</f>
        <v>NET_WEIGHT</v>
      </c>
      <c r="I5056" s="136"/>
    </row>
    <row r="5057" ht="15.75" customHeight="1">
      <c r="B5057" s="63">
        <f t="shared" si="1"/>
        <v>12</v>
      </c>
      <c r="C5057" s="146" t="s">
        <v>262</v>
      </c>
      <c r="D5057" s="147" t="s">
        <v>74</v>
      </c>
      <c r="E5057" s="135">
        <f t="shared" si="59"/>
        <v>54</v>
      </c>
      <c r="F5057" s="143" t="s">
        <v>3601</v>
      </c>
      <c r="G5057" s="63" t="str">
        <f>VLOOKUP(C5057, 'Class Def. - General Data'!$C$20:$C$1000,1,false)</f>
        <v>ZPM1_SHL_SHW</v>
      </c>
      <c r="H5057" s="63" t="str">
        <f>IFERROR(__xludf.DUMMYFUNCTION("VLOOKUP(F5057, IMPORTRANGE(""https://docs.google.com/spreadsheets/d/1Lhp9OU0JdFf_VYSMzH5lBcEaU4o8teT1piV-SNzShjg/edit?gid=554141278#gid=554141278"", ""'Char Def. - Attributes'!C20:C2242""), 1,false)"),"GROSS_WEIGHT")</f>
        <v>GROSS_WEIGHT</v>
      </c>
      <c r="I5057" s="136"/>
    </row>
    <row r="5058" ht="15.75" customHeight="1">
      <c r="B5058" s="63">
        <f t="shared" si="1"/>
        <v>12</v>
      </c>
      <c r="C5058" s="146" t="s">
        <v>262</v>
      </c>
      <c r="D5058" s="147" t="s">
        <v>74</v>
      </c>
      <c r="E5058" s="135">
        <f t="shared" si="59"/>
        <v>55</v>
      </c>
      <c r="F5058" s="143" t="s">
        <v>3876</v>
      </c>
      <c r="G5058" s="63" t="str">
        <f>VLOOKUP(C5058, 'Class Def. - General Data'!$C$20:$C$1000,1,false)</f>
        <v>ZPM1_SHL_SHW</v>
      </c>
      <c r="H5058" s="63" t="str">
        <f>IFERROR(__xludf.DUMMYFUNCTION("VLOOKUP(F5058, IMPORTRANGE(""https://docs.google.com/spreadsheets/d/1Lhp9OU0JdFf_VYSMzH5lBcEaU4o8teT1piV-SNzShjg/edit?gid=554141278#gid=554141278"", ""'Char Def. - Attributes'!C20:C2242""), 1,false)"),"WEIGHT_UNIT_PM")</f>
        <v>WEIGHT_UNIT_PM</v>
      </c>
      <c r="I5058" s="136"/>
    </row>
    <row r="5059" ht="15.75" customHeight="1">
      <c r="B5059" s="63">
        <f t="shared" si="1"/>
        <v>12</v>
      </c>
      <c r="C5059" s="146" t="s">
        <v>262</v>
      </c>
      <c r="D5059" s="147" t="s">
        <v>74</v>
      </c>
      <c r="E5059" s="135">
        <f t="shared" si="59"/>
        <v>56</v>
      </c>
      <c r="F5059" s="143" t="s">
        <v>3877</v>
      </c>
      <c r="G5059" s="63" t="str">
        <f>VLOOKUP(C5059, 'Class Def. - General Data'!$C$20:$C$1000,1,false)</f>
        <v>ZPM1_SHL_SHW</v>
      </c>
      <c r="H5059" s="63" t="str">
        <f>IFERROR(__xludf.DUMMYFUNCTION("VLOOKUP(F5059, IMPORTRANGE(""https://docs.google.com/spreadsheets/d/1Lhp9OU0JdFf_VYSMzH5lBcEaU4o8teT1piV-SNzShjg/edit?gid=554141278#gid=554141278"", ""'Char Def. - Attributes'!C20:C2242""), 1,false)"),"VOLUME_OPT")</f>
        <v>VOLUME_OPT</v>
      </c>
      <c r="I5059" s="136"/>
    </row>
    <row r="5060" ht="15.75" customHeight="1">
      <c r="B5060" s="63">
        <f t="shared" si="1"/>
        <v>12</v>
      </c>
      <c r="C5060" s="146" t="s">
        <v>262</v>
      </c>
      <c r="D5060" s="147" t="s">
        <v>74</v>
      </c>
      <c r="E5060" s="135">
        <f t="shared" si="59"/>
        <v>57</v>
      </c>
      <c r="F5060" s="143" t="s">
        <v>3878</v>
      </c>
      <c r="G5060" s="63" t="str">
        <f>VLOOKUP(C5060, 'Class Def. - General Data'!$C$20:$C$1000,1,false)</f>
        <v>ZPM1_SHL_SHW</v>
      </c>
      <c r="H5060" s="63" t="str">
        <f>IFERROR(__xludf.DUMMYFUNCTION("VLOOKUP(F5060, IMPORTRANGE(""https://docs.google.com/spreadsheets/d/1Lhp9OU0JdFf_VYSMzH5lBcEaU4o8teT1piV-SNzShjg/edit?gid=554141278#gid=554141278"", ""'Char Def. - Attributes'!C20:C2242""), 1,false)"),"VOLUME_UNIT")</f>
        <v>VOLUME_UNIT</v>
      </c>
      <c r="I5060" s="136"/>
    </row>
    <row r="5061" ht="15.75" customHeight="1">
      <c r="B5061" s="63">
        <f t="shared" si="1"/>
        <v>12</v>
      </c>
      <c r="C5061" s="146" t="s">
        <v>262</v>
      </c>
      <c r="D5061" s="147" t="s">
        <v>74</v>
      </c>
      <c r="E5061" s="135">
        <f t="shared" si="59"/>
        <v>58</v>
      </c>
      <c r="F5061" s="143" t="s">
        <v>3879</v>
      </c>
      <c r="G5061" s="63" t="str">
        <f>VLOOKUP(C5061, 'Class Def. - General Data'!$C$20:$C$1000,1,false)</f>
        <v>ZPM1_SHL_SHW</v>
      </c>
      <c r="H5061" s="63" t="str">
        <f>IFERROR(__xludf.DUMMYFUNCTION("VLOOKUP(F5061, IMPORTRANGE(""https://docs.google.com/spreadsheets/d/1Lhp9OU0JdFf_VYSMzH5lBcEaU4o8teT1piV-SNzShjg/edit?gid=554141278#gid=554141278"", ""'Char Def. - Attributes'!C20:C2242""), 1,false)"),"OLD_MAT_NO_RMPM")</f>
        <v>OLD_MAT_NO_RMPM</v>
      </c>
      <c r="I5061" s="136"/>
    </row>
    <row r="5062" ht="15.75" customHeight="1">
      <c r="B5062" s="63">
        <f t="shared" si="1"/>
        <v>12</v>
      </c>
      <c r="C5062" s="146" t="s">
        <v>262</v>
      </c>
      <c r="D5062" s="147" t="s">
        <v>74</v>
      </c>
      <c r="E5062" s="135">
        <f t="shared" si="59"/>
        <v>59</v>
      </c>
      <c r="F5062" s="143" t="s">
        <v>3880</v>
      </c>
      <c r="G5062" s="63" t="str">
        <f>VLOOKUP(C5062, 'Class Def. - General Data'!$C$20:$C$1000,1,false)</f>
        <v>ZPM1_SHL_SHW</v>
      </c>
      <c r="H5062" s="63" t="str">
        <f>IFERROR(__xludf.DUMMYFUNCTION("VLOOKUP(F5062, IMPORTRANGE(""https://docs.google.com/spreadsheets/d/1Lhp9OU0JdFf_VYSMzH5lBcEaU4o8teT1piV-SNzShjg/edit?gid=554141278#gid=554141278"", ""'Char Def. - Attributes'!C20:C2242""), 1,false)"),"NOTE_PM")</f>
        <v>NOTE_PM</v>
      </c>
      <c r="I5062" s="136"/>
    </row>
    <row r="5063" ht="15.75" customHeight="1">
      <c r="B5063" s="63">
        <f t="shared" si="1"/>
        <v>12</v>
      </c>
      <c r="C5063" s="146" t="s">
        <v>262</v>
      </c>
      <c r="D5063" s="147" t="s">
        <v>74</v>
      </c>
      <c r="E5063" s="135">
        <f t="shared" si="59"/>
        <v>60</v>
      </c>
      <c r="F5063" s="143" t="s">
        <v>3881</v>
      </c>
      <c r="G5063" s="63" t="str">
        <f>VLOOKUP(C5063, 'Class Def. - General Data'!$C$20:$C$1000,1,false)</f>
        <v>ZPM1_SHL_SHW</v>
      </c>
      <c r="H5063" s="63" t="str">
        <f>IFERROR(__xludf.DUMMYFUNCTION("VLOOKUP(F5063, IMPORTRANGE(""https://docs.google.com/spreadsheets/d/1Lhp9OU0JdFf_VYSMzH5lBcEaU4o8teT1piV-SNzShjg/edit?gid=554141278#gid=554141278"", ""'Char Def. - Attributes'!C20:C2242""), 1,false)"),"BS_BERSIH")</f>
        <v>BS_BERSIH</v>
      </c>
      <c r="I5063" s="136"/>
    </row>
    <row r="5064" ht="15.75" customHeight="1">
      <c r="B5064" s="63">
        <f t="shared" si="1"/>
        <v>12</v>
      </c>
      <c r="C5064" s="146" t="s">
        <v>262</v>
      </c>
      <c r="D5064" s="147" t="s">
        <v>74</v>
      </c>
      <c r="E5064" s="135">
        <f t="shared" si="59"/>
        <v>61</v>
      </c>
      <c r="F5064" s="143" t="s">
        <v>3882</v>
      </c>
      <c r="G5064" s="63" t="str">
        <f>VLOOKUP(C5064, 'Class Def. - General Data'!$C$20:$C$1000,1,false)</f>
        <v>ZPM1_SHL_SHW</v>
      </c>
      <c r="H5064" s="63" t="str">
        <f>IFERROR(__xludf.DUMMYFUNCTION("VLOOKUP(F5064, IMPORTRANGE(""https://docs.google.com/spreadsheets/d/1Lhp9OU0JdFf_VYSMzH5lBcEaU4o8teT1piV-SNzShjg/edit?gid=554141278#gid=554141278"", ""'Char Def. - Attributes'!C20:C2242""), 1,false)"),"BS_KOTOR")</f>
        <v>BS_KOTOR</v>
      </c>
      <c r="I5064" s="136"/>
    </row>
    <row r="5065" ht="15.75" customHeight="1">
      <c r="B5065" s="63">
        <f t="shared" si="1"/>
        <v>12</v>
      </c>
      <c r="C5065" s="146" t="s">
        <v>262</v>
      </c>
      <c r="D5065" s="147" t="s">
        <v>74</v>
      </c>
      <c r="E5065" s="135">
        <f t="shared" si="59"/>
        <v>62</v>
      </c>
      <c r="F5065" s="143" t="s">
        <v>3883</v>
      </c>
      <c r="G5065" s="63" t="str">
        <f>VLOOKUP(C5065, 'Class Def. - General Data'!$C$20:$C$1000,1,false)</f>
        <v>ZPM1_SHL_SHW</v>
      </c>
      <c r="H5065" s="63" t="str">
        <f>IFERROR(__xludf.DUMMYFUNCTION("VLOOKUP(F5065, IMPORTRANGE(""https://docs.google.com/spreadsheets/d/1Lhp9OU0JdFf_VYSMzH5lBcEaU4o8teT1piV-SNzShjg/edit?gid=554141278#gid=554141278"", ""'Char Def. - Attributes'!C20:C2242""), 1,false)"),"BS_SCRAP")</f>
        <v>BS_SCRAP</v>
      </c>
      <c r="I5065" s="136"/>
    </row>
    <row r="5066" ht="15.75" customHeight="1">
      <c r="B5066" s="63">
        <f t="shared" si="1"/>
        <v>18</v>
      </c>
      <c r="C5066" s="146" t="s">
        <v>263</v>
      </c>
      <c r="D5066" s="147" t="s">
        <v>74</v>
      </c>
      <c r="E5066" s="135">
        <f t="shared" si="59"/>
        <v>1</v>
      </c>
      <c r="F5066" s="143" t="s">
        <v>3977</v>
      </c>
      <c r="G5066" s="63" t="str">
        <f>VLOOKUP(C5066, 'Class Def. - General Data'!$C$20:$C$1000,1,false)</f>
        <v>ZPM1_SimplePlastic</v>
      </c>
      <c r="H5066" s="63" t="str">
        <f>IFERROR(__xludf.DUMMYFUNCTION("VLOOKUP(F5066, IMPORTRANGE(""https://docs.google.com/spreadsheets/d/1Lhp9OU0JdFf_VYSMzH5lBcEaU4o8teT1piV-SNzShjg/edit?gid=554141278#gid=554141278"", ""'Char Def. - Attributes'!C20:C2242""), 1,false)"),"MATERIAL_CODE_SIMPLEPLASTIC")</f>
        <v>MATERIAL_CODE_SIMPLEPLASTIC</v>
      </c>
      <c r="I5066" s="136"/>
    </row>
    <row r="5067" ht="15.75" customHeight="1">
      <c r="B5067" s="63">
        <f t="shared" si="1"/>
        <v>18</v>
      </c>
      <c r="C5067" s="146" t="s">
        <v>263</v>
      </c>
      <c r="D5067" s="147" t="s">
        <v>74</v>
      </c>
      <c r="E5067" s="135">
        <f t="shared" si="59"/>
        <v>2</v>
      </c>
      <c r="F5067" s="143" t="s">
        <v>3962</v>
      </c>
      <c r="G5067" s="63" t="str">
        <f>VLOOKUP(C5067, 'Class Def. - General Data'!$C$20:$C$1000,1,false)</f>
        <v>ZPM1_SimplePlastic</v>
      </c>
      <c r="H5067" s="63" t="str">
        <f>IFERROR(__xludf.DUMMYFUNCTION("VLOOKUP(F5067, IMPORTRANGE(""https://docs.google.com/spreadsheets/d/1Lhp9OU0JdFf_VYSMzH5lBcEaU4o8teT1piV-SNzShjg/edit?gid=554141278#gid=554141278"", ""'Char Def. - Attributes'!C20:C2242""), 1,false)"),"PLASTIC_TYPE")</f>
        <v>PLASTIC_TYPE</v>
      </c>
      <c r="I5067" s="136"/>
    </row>
    <row r="5068" ht="15.75" customHeight="1">
      <c r="B5068" s="63">
        <f t="shared" si="1"/>
        <v>18</v>
      </c>
      <c r="C5068" s="146" t="s">
        <v>263</v>
      </c>
      <c r="D5068" s="147" t="s">
        <v>74</v>
      </c>
      <c r="E5068" s="135">
        <f t="shared" si="59"/>
        <v>3</v>
      </c>
      <c r="F5068" s="143" t="s">
        <v>3902</v>
      </c>
      <c r="G5068" s="63" t="str">
        <f>VLOOKUP(C5068, 'Class Def. - General Data'!$C$20:$C$1000,1,false)</f>
        <v>ZPM1_SimplePlastic</v>
      </c>
      <c r="H5068" s="63" t="str">
        <f>IFERROR(__xludf.DUMMYFUNCTION("VLOOKUP(F5068, IMPORTRANGE(""https://docs.google.com/spreadsheets/d/1Lhp9OU0JdFf_VYSMzH5lBcEaU4o8teT1piV-SNzShjg/edit?gid=554141278#gid=554141278"", ""'Char Def. - Attributes'!C20:C2242""), 1,false)"),"BRAND_WINGS_OPT")</f>
        <v>BRAND_WINGS_OPT</v>
      </c>
      <c r="I5068" s="136"/>
    </row>
    <row r="5069" ht="15.75" customHeight="1">
      <c r="B5069" s="63">
        <f t="shared" si="1"/>
        <v>18</v>
      </c>
      <c r="C5069" s="146" t="s">
        <v>263</v>
      </c>
      <c r="D5069" s="147" t="s">
        <v>74</v>
      </c>
      <c r="E5069" s="135">
        <f t="shared" si="59"/>
        <v>4</v>
      </c>
      <c r="F5069" s="143" t="s">
        <v>3974</v>
      </c>
      <c r="G5069" s="63" t="str">
        <f>VLOOKUP(C5069, 'Class Def. - General Data'!$C$20:$C$1000,1,false)</f>
        <v>ZPM1_SimplePlastic</v>
      </c>
      <c r="H5069" s="63" t="str">
        <f>IFERROR(__xludf.DUMMYFUNCTION("VLOOKUP(F5069, IMPORTRANGE(""https://docs.google.com/spreadsheets/d/1Lhp9OU0JdFf_VYSMzH5lBcEaU4o8teT1piV-SNzShjg/edit?gid=554141278#gid=554141278"", ""'Char Def. - Attributes'!C20:C2242""), 1,false)"),"SATUAN_PM")</f>
        <v>SATUAN_PM</v>
      </c>
      <c r="I5069" s="136"/>
    </row>
    <row r="5070" ht="15.75" customHeight="1">
      <c r="B5070" s="63">
        <f t="shared" si="1"/>
        <v>18</v>
      </c>
      <c r="C5070" s="146" t="s">
        <v>263</v>
      </c>
      <c r="D5070" s="147" t="s">
        <v>74</v>
      </c>
      <c r="E5070" s="135">
        <f t="shared" si="59"/>
        <v>5</v>
      </c>
      <c r="F5070" s="143" t="s">
        <v>3918</v>
      </c>
      <c r="G5070" s="63" t="str">
        <f>VLOOKUP(C5070, 'Class Def. - General Data'!$C$20:$C$1000,1,false)</f>
        <v>ZPM1_SimplePlastic</v>
      </c>
      <c r="H5070" s="63" t="str">
        <f>IFERROR(__xludf.DUMMYFUNCTION("VLOOKUP(F5070, IMPORTRANGE(""https://docs.google.com/spreadsheets/d/1Lhp9OU0JdFf_VYSMzH5lBcEaU4o8teT1piV-SNzShjg/edit?gid=554141278#gid=554141278"", ""'Char Def. - Attributes'!C20:C2242""), 1,false)"),"WIDTH_MM_3")</f>
        <v>WIDTH_MM_3</v>
      </c>
      <c r="I5070" s="136"/>
    </row>
    <row r="5071" ht="15.75" customHeight="1">
      <c r="B5071" s="63">
        <f t="shared" si="1"/>
        <v>18</v>
      </c>
      <c r="C5071" s="146" t="s">
        <v>263</v>
      </c>
      <c r="D5071" s="147" t="s">
        <v>74</v>
      </c>
      <c r="E5071" s="135">
        <f t="shared" si="59"/>
        <v>6</v>
      </c>
      <c r="F5071" s="143" t="s">
        <v>3899</v>
      </c>
      <c r="G5071" s="63" t="str">
        <f>VLOOKUP(C5071, 'Class Def. - General Data'!$C$20:$C$1000,1,false)</f>
        <v>ZPM1_SimplePlastic</v>
      </c>
      <c r="H5071" s="63" t="str">
        <f>IFERROR(__xludf.DUMMYFUNCTION("VLOOKUP(F5071, IMPORTRANGE(""https://docs.google.com/spreadsheets/d/1Lhp9OU0JdFf_VYSMzH5lBcEaU4o8teT1piV-SNzShjg/edit?gid=554141278#gid=554141278"", ""'Char Def. - Attributes'!C20:C2242""), 1,false)"),"HEIGHT_MM")</f>
        <v>HEIGHT_MM</v>
      </c>
      <c r="I5071" s="136"/>
    </row>
    <row r="5072" ht="15.75" customHeight="1">
      <c r="B5072" s="63">
        <f t="shared" si="1"/>
        <v>18</v>
      </c>
      <c r="C5072" s="146" t="s">
        <v>263</v>
      </c>
      <c r="D5072" s="147" t="s">
        <v>74</v>
      </c>
      <c r="E5072" s="135">
        <f t="shared" si="59"/>
        <v>7</v>
      </c>
      <c r="F5072" s="143" t="s">
        <v>3941</v>
      </c>
      <c r="G5072" s="63" t="str">
        <f>VLOOKUP(C5072, 'Class Def. - General Data'!$C$20:$C$1000,1,false)</f>
        <v>ZPM1_SimplePlastic</v>
      </c>
      <c r="H5072" s="63" t="str">
        <f>IFERROR(__xludf.DUMMYFUNCTION("VLOOKUP(F5072, IMPORTRANGE(""https://docs.google.com/spreadsheets/d/1Lhp9OU0JdFf_VYSMzH5lBcEaU4o8teT1piV-SNzShjg/edit?gid=554141278#gid=554141278"", ""'Char Def. - Attributes'!C20:C2242""), 1,false)"),"LENGTH_M")</f>
        <v>LENGTH_M</v>
      </c>
      <c r="I5072" s="136"/>
    </row>
    <row r="5073" ht="15.75" customHeight="1">
      <c r="B5073" s="63">
        <f t="shared" si="1"/>
        <v>18</v>
      </c>
      <c r="C5073" s="146" t="s">
        <v>263</v>
      </c>
      <c r="D5073" s="147" t="s">
        <v>74</v>
      </c>
      <c r="E5073" s="135">
        <f t="shared" si="59"/>
        <v>8</v>
      </c>
      <c r="F5073" s="143" t="s">
        <v>3945</v>
      </c>
      <c r="G5073" s="63" t="str">
        <f>VLOOKUP(C5073, 'Class Def. - General Data'!$C$20:$C$1000,1,false)</f>
        <v>ZPM1_SimplePlastic</v>
      </c>
      <c r="H5073" s="63" t="str">
        <f>IFERROR(__xludf.DUMMYFUNCTION("VLOOKUP(F5073, IMPORTRANGE(""https://docs.google.com/spreadsheets/d/1Lhp9OU0JdFf_VYSMzH5lBcEaU4o8teT1piV-SNzShjg/edit?gid=554141278#gid=554141278"", ""'Char Def. - Attributes'!C20:C2242""), 1,false)"),"THICKNESS_MIC")</f>
        <v>THICKNESS_MIC</v>
      </c>
      <c r="I5073" s="136"/>
    </row>
    <row r="5074" ht="15.75" customHeight="1">
      <c r="B5074" s="63">
        <f t="shared" si="1"/>
        <v>18</v>
      </c>
      <c r="C5074" s="146" t="s">
        <v>263</v>
      </c>
      <c r="D5074" s="147" t="s">
        <v>74</v>
      </c>
      <c r="E5074" s="135">
        <f t="shared" si="59"/>
        <v>9</v>
      </c>
      <c r="F5074" s="143" t="s">
        <v>3953</v>
      </c>
      <c r="G5074" s="63" t="str">
        <f>VLOOKUP(C5074, 'Class Def. - General Data'!$C$20:$C$1000,1,false)</f>
        <v>ZPM1_SimplePlastic</v>
      </c>
      <c r="H5074" s="63" t="str">
        <f>IFERROR(__xludf.DUMMYFUNCTION("VLOOKUP(F5074, IMPORTRANGE(""https://docs.google.com/spreadsheets/d/1Lhp9OU0JdFf_VYSMzH5lBcEaU4o8teT1piV-SNzShjg/edit?gid=554141278#gid=554141278"", ""'Char Def. - Attributes'!C20:C2242""), 1,false)"),"PACK_CONTENT_AMOUNT_5_OPT")</f>
        <v>PACK_CONTENT_AMOUNT_5_OPT</v>
      </c>
      <c r="I5074" s="136"/>
    </row>
    <row r="5075" ht="15.75" customHeight="1">
      <c r="B5075" s="63">
        <f t="shared" si="1"/>
        <v>18</v>
      </c>
      <c r="C5075" s="146" t="s">
        <v>263</v>
      </c>
      <c r="D5075" s="147" t="s">
        <v>74</v>
      </c>
      <c r="E5075" s="135">
        <f t="shared" si="59"/>
        <v>10</v>
      </c>
      <c r="F5075" s="143" t="s">
        <v>3890</v>
      </c>
      <c r="G5075" s="63" t="str">
        <f>VLOOKUP(C5075, 'Class Def. - General Data'!$C$20:$C$1000,1,false)</f>
        <v>ZPM1_SimplePlastic</v>
      </c>
      <c r="H5075" s="63" t="str">
        <f>IFERROR(__xludf.DUMMYFUNCTION("VLOOKUP(F5075, IMPORTRANGE(""https://docs.google.com/spreadsheets/d/1Lhp9OU0JdFf_VYSMzH5lBcEaU4o8teT1piV-SNzShjg/edit?gid=554141278#gid=554141278"", ""'Char Def. - Attributes'!C20:C2242""), 1,false)"),"EXT_MAT_GRP")</f>
        <v>EXT_MAT_GRP</v>
      </c>
      <c r="I5075" s="136"/>
    </row>
    <row r="5076" ht="15.75" customHeight="1">
      <c r="B5076" s="63">
        <f t="shared" si="1"/>
        <v>18</v>
      </c>
      <c r="C5076" s="146" t="s">
        <v>263</v>
      </c>
      <c r="D5076" s="147" t="s">
        <v>74</v>
      </c>
      <c r="E5076" s="135">
        <f t="shared" si="59"/>
        <v>11</v>
      </c>
      <c r="F5076" s="143" t="s">
        <v>3891</v>
      </c>
      <c r="G5076" s="63" t="str">
        <f>VLOOKUP(C5076, 'Class Def. - General Data'!$C$20:$C$1000,1,false)</f>
        <v>ZPM1_SimplePlastic</v>
      </c>
      <c r="H5076" s="63" t="str">
        <f>IFERROR(__xludf.DUMMYFUNCTION("VLOOKUP(F5076, IMPORTRANGE(""https://docs.google.com/spreadsheets/d/1Lhp9OU0JdFf_VYSMzH5lBcEaU4o8teT1piV-SNzShjg/edit?gid=554141278#gid=554141278"", ""'Char Def. - Attributes'!C20:C2242""), 1,false)"),"GENERAL_SPEC")</f>
        <v>GENERAL_SPEC</v>
      </c>
      <c r="I5076" s="136"/>
    </row>
    <row r="5077" ht="15.75" customHeight="1">
      <c r="B5077" s="63">
        <f t="shared" si="1"/>
        <v>18</v>
      </c>
      <c r="C5077" s="146" t="s">
        <v>263</v>
      </c>
      <c r="D5077" s="147" t="s">
        <v>74</v>
      </c>
      <c r="E5077" s="135">
        <f t="shared" si="59"/>
        <v>12</v>
      </c>
      <c r="F5077" s="143" t="s">
        <v>3892</v>
      </c>
      <c r="G5077" s="63" t="str">
        <f>VLOOKUP(C5077, 'Class Def. - General Data'!$C$20:$C$1000,1,false)</f>
        <v>ZPM1_SimplePlastic</v>
      </c>
      <c r="H5077" s="63" t="str">
        <f>IFERROR(__xludf.DUMMYFUNCTION("VLOOKUP(F5077, IMPORTRANGE(""https://docs.google.com/spreadsheets/d/1Lhp9OU0JdFf_VYSMzH5lBcEaU4o8teT1piV-SNzShjg/edit?gid=554141278#gid=554141278"", ""'Char Def. - Attributes'!C20:C2242""), 1,false)"),"COLOR_COUNT")</f>
        <v>COLOR_COUNT</v>
      </c>
      <c r="I5077" s="136"/>
    </row>
    <row r="5078" ht="15.75" customHeight="1">
      <c r="B5078" s="63">
        <f t="shared" si="1"/>
        <v>18</v>
      </c>
      <c r="C5078" s="146" t="s">
        <v>263</v>
      </c>
      <c r="D5078" s="147" t="s">
        <v>74</v>
      </c>
      <c r="E5078" s="135">
        <f t="shared" si="59"/>
        <v>13</v>
      </c>
      <c r="F5078" s="143" t="s">
        <v>3893</v>
      </c>
      <c r="G5078" s="63" t="str">
        <f>VLOOKUP(C5078, 'Class Def. - General Data'!$C$20:$C$1000,1,false)</f>
        <v>ZPM1_SimplePlastic</v>
      </c>
      <c r="H5078" s="63" t="str">
        <f>IFERROR(__xludf.DUMMYFUNCTION("VLOOKUP(F5078, IMPORTRANGE(""https://docs.google.com/spreadsheets/d/1Lhp9OU0JdFf_VYSMzH5lBcEaU4o8teT1piV-SNzShjg/edit?gid=554141278#gid=554141278"", ""'Char Def. - Attributes'!C20:C2242""), 1,false)"),"FLEX_UOM")</f>
        <v>FLEX_UOM</v>
      </c>
      <c r="I5078" s="136"/>
    </row>
    <row r="5079" ht="15.75" customHeight="1">
      <c r="B5079" s="63">
        <f t="shared" si="1"/>
        <v>18</v>
      </c>
      <c r="C5079" s="146" t="s">
        <v>263</v>
      </c>
      <c r="D5079" s="147" t="s">
        <v>74</v>
      </c>
      <c r="E5079" s="135">
        <f t="shared" si="59"/>
        <v>14</v>
      </c>
      <c r="F5079" s="143" t="s">
        <v>3894</v>
      </c>
      <c r="G5079" s="63" t="str">
        <f>VLOOKUP(C5079, 'Class Def. - General Data'!$C$20:$C$1000,1,false)</f>
        <v>ZPM1_SimplePlastic</v>
      </c>
      <c r="H5079" s="63" t="str">
        <f>IFERROR(__xludf.DUMMYFUNCTION("VLOOKUP(F5079, IMPORTRANGE(""https://docs.google.com/spreadsheets/d/1Lhp9OU0JdFf_VYSMzH5lBcEaU4o8teT1piV-SNzShjg/edit?gid=554141278#gid=554141278"", ""'Char Def. - Attributes'!C20:C2242""), 1,false)"),"FLEX_COMPLEXITY")</f>
        <v>FLEX_COMPLEXITY</v>
      </c>
      <c r="I5079" s="136"/>
    </row>
    <row r="5080" ht="15.75" customHeight="1">
      <c r="B5080" s="63">
        <f t="shared" si="1"/>
        <v>18</v>
      </c>
      <c r="C5080" s="146" t="s">
        <v>263</v>
      </c>
      <c r="D5080" s="147" t="s">
        <v>74</v>
      </c>
      <c r="E5080" s="135">
        <f t="shared" si="59"/>
        <v>15</v>
      </c>
      <c r="F5080" s="143" t="s">
        <v>3587</v>
      </c>
      <c r="G5080" s="63" t="str">
        <f>VLOOKUP(C5080, 'Class Def. - General Data'!$C$20:$C$1000,1,false)</f>
        <v>ZPM1_SimplePlastic</v>
      </c>
      <c r="H5080" s="63" t="str">
        <f>IFERROR(__xludf.DUMMYFUNCTION("VLOOKUP(F5080, IMPORTRANGE(""https://docs.google.com/spreadsheets/d/1Lhp9OU0JdFf_VYSMzH5lBcEaU4o8teT1piV-SNzShjg/edit?gid=554141278#gid=554141278"", ""'Char Def. - Attributes'!C20:C2242""), 1,false)"),"PLANT_BUY")</f>
        <v>PLANT_BUY</v>
      </c>
      <c r="I5080" s="136"/>
    </row>
    <row r="5081" ht="15.75" customHeight="1">
      <c r="B5081" s="63">
        <f t="shared" si="1"/>
        <v>18</v>
      </c>
      <c r="C5081" s="146" t="s">
        <v>263</v>
      </c>
      <c r="D5081" s="147" t="s">
        <v>74</v>
      </c>
      <c r="E5081" s="135">
        <f t="shared" si="59"/>
        <v>16</v>
      </c>
      <c r="F5081" s="143" t="s">
        <v>3865</v>
      </c>
      <c r="G5081" s="63" t="str">
        <f>VLOOKUP(C5081, 'Class Def. - General Data'!$C$20:$C$1000,1,false)</f>
        <v>ZPM1_SimplePlastic</v>
      </c>
      <c r="H5081" s="63" t="str">
        <f>IFERROR(__xludf.DUMMYFUNCTION("VLOOKUP(F5081, IMPORTRANGE(""https://docs.google.com/spreadsheets/d/1Lhp9OU0JdFf_VYSMzH5lBcEaU4o8teT1piV-SNzShjg/edit?gid=554141278#gid=554141278"", ""'Char Def. - Attributes'!C20:C2242""), 1,false)"),"PLANT_PROD_OPT")</f>
        <v>PLANT_PROD_OPT</v>
      </c>
      <c r="I5081" s="136"/>
    </row>
    <row r="5082" ht="15.75" customHeight="1">
      <c r="B5082" s="63">
        <f t="shared" si="1"/>
        <v>18</v>
      </c>
      <c r="C5082" s="146" t="s">
        <v>263</v>
      </c>
      <c r="D5082" s="147" t="s">
        <v>74</v>
      </c>
      <c r="E5082" s="135">
        <f t="shared" si="59"/>
        <v>17</v>
      </c>
      <c r="F5082" s="143" t="s">
        <v>3866</v>
      </c>
      <c r="G5082" s="63" t="str">
        <f>VLOOKUP(C5082, 'Class Def. - General Data'!$C$20:$C$1000,1,false)</f>
        <v>ZPM1_SimplePlastic</v>
      </c>
      <c r="H5082" s="63" t="str">
        <f>IFERROR(__xludf.DUMMYFUNCTION("VLOOKUP(F5082, IMPORTRANGE(""https://docs.google.com/spreadsheets/d/1Lhp9OU0JdFf_VYSMzH5lBcEaU4o8teT1piV-SNzShjg/edit?gid=554141278#gid=554141278"", ""'Char Def. - Attributes'!C20:C2242""), 1,false)"),"PM_SUPPLY_JKT")</f>
        <v>PM_SUPPLY_JKT</v>
      </c>
      <c r="I5082" s="136"/>
    </row>
    <row r="5083" ht="15.75" customHeight="1">
      <c r="B5083" s="63">
        <f t="shared" si="1"/>
        <v>18</v>
      </c>
      <c r="C5083" s="146" t="s">
        <v>263</v>
      </c>
      <c r="D5083" s="147" t="s">
        <v>74</v>
      </c>
      <c r="E5083" s="135">
        <f t="shared" si="59"/>
        <v>18</v>
      </c>
      <c r="F5083" s="143" t="s">
        <v>3867</v>
      </c>
      <c r="G5083" s="63" t="str">
        <f>VLOOKUP(C5083, 'Class Def. - General Data'!$C$20:$C$1000,1,false)</f>
        <v>ZPM1_SimplePlastic</v>
      </c>
      <c r="H5083" s="63" t="str">
        <f>IFERROR(__xludf.DUMMYFUNCTION("VLOOKUP(F5083, IMPORTRANGE(""https://docs.google.com/spreadsheets/d/1Lhp9OU0JdFf_VYSMzH5lBcEaU4o8teT1piV-SNzShjg/edit?gid=554141278#gid=554141278"", ""'Char Def. - Attributes'!C20:C2242""), 1,false)"),"PM_SUPPLY_SBY")</f>
        <v>PM_SUPPLY_SBY</v>
      </c>
      <c r="I5083" s="136"/>
    </row>
    <row r="5084" ht="15.75" customHeight="1">
      <c r="B5084" s="63">
        <f t="shared" si="1"/>
        <v>18</v>
      </c>
      <c r="C5084" s="146" t="s">
        <v>263</v>
      </c>
      <c r="D5084" s="147" t="s">
        <v>74</v>
      </c>
      <c r="E5084" s="135">
        <f t="shared" si="59"/>
        <v>19</v>
      </c>
      <c r="F5084" s="143" t="s">
        <v>3868</v>
      </c>
      <c r="G5084" s="63" t="str">
        <f>VLOOKUP(C5084, 'Class Def. - General Data'!$C$20:$C$1000,1,false)</f>
        <v>ZPM1_SimplePlastic</v>
      </c>
      <c r="H5084" s="63" t="str">
        <f>IFERROR(__xludf.DUMMYFUNCTION("VLOOKUP(F5084, IMPORTRANGE(""https://docs.google.com/spreadsheets/d/1Lhp9OU0JdFf_VYSMzH5lBcEaU4o8teT1piV-SNzShjg/edit?gid=554141278#gid=554141278"", ""'Char Def. - Attributes'!C20:C2242""), 1,false)"),"BASIC_UOM_RMPM")</f>
        <v>BASIC_UOM_RMPM</v>
      </c>
      <c r="I5084" s="136"/>
    </row>
    <row r="5085" ht="15.75" customHeight="1">
      <c r="B5085" s="63">
        <f t="shared" si="1"/>
        <v>18</v>
      </c>
      <c r="C5085" s="146" t="s">
        <v>263</v>
      </c>
      <c r="D5085" s="147" t="s">
        <v>74</v>
      </c>
      <c r="E5085" s="135">
        <f t="shared" si="59"/>
        <v>20</v>
      </c>
      <c r="F5085" s="143" t="s">
        <v>3869</v>
      </c>
      <c r="G5085" s="63" t="str">
        <f>VLOOKUP(C5085, 'Class Def. - General Data'!$C$20:$C$1000,1,false)</f>
        <v>ZPM1_SimplePlastic</v>
      </c>
      <c r="H5085" s="63" t="str">
        <f>IFERROR(__xludf.DUMMYFUNCTION("VLOOKUP(F5085, IMPORTRANGE(""https://docs.google.com/spreadsheets/d/1Lhp9OU0JdFf_VYSMzH5lBcEaU4o8teT1piV-SNzShjg/edit?gid=554141278#gid=554141278"", ""'Char Def. - Attributes'!C20:C2242""), 1,false)"),"ALT_UOM1_RMPM")</f>
        <v>ALT_UOM1_RMPM</v>
      </c>
      <c r="I5085" s="136"/>
    </row>
    <row r="5086" ht="15.75" customHeight="1">
      <c r="B5086" s="63">
        <f t="shared" si="1"/>
        <v>18</v>
      </c>
      <c r="C5086" s="146" t="s">
        <v>263</v>
      </c>
      <c r="D5086" s="147" t="s">
        <v>74</v>
      </c>
      <c r="E5086" s="135">
        <f t="shared" si="59"/>
        <v>21</v>
      </c>
      <c r="F5086" s="143" t="s">
        <v>3805</v>
      </c>
      <c r="G5086" s="63" t="str">
        <f>VLOOKUP(C5086, 'Class Def. - General Data'!$C$20:$C$1000,1,false)</f>
        <v>ZPM1_SimplePlastic</v>
      </c>
      <c r="H5086" s="63" t="str">
        <f>IFERROR(__xludf.DUMMYFUNCTION("VLOOKUP(F5086, IMPORTRANGE(""https://docs.google.com/spreadsheets/d/1Lhp9OU0JdFf_VYSMzH5lBcEaU4o8teT1piV-SNzShjg/edit?gid=554141278#gid=554141278"", ""'Char Def. - Attributes'!C20:C2242""), 1,false)"),"ALT_DENUM_UOM1")</f>
        <v>ALT_DENUM_UOM1</v>
      </c>
      <c r="I5086" s="136"/>
    </row>
    <row r="5087" ht="15.75" customHeight="1">
      <c r="B5087" s="63">
        <f t="shared" si="1"/>
        <v>18</v>
      </c>
      <c r="C5087" s="146" t="s">
        <v>263</v>
      </c>
      <c r="D5087" s="147" t="s">
        <v>74</v>
      </c>
      <c r="E5087" s="135">
        <f t="shared" si="59"/>
        <v>22</v>
      </c>
      <c r="F5087" s="143" t="s">
        <v>3806</v>
      </c>
      <c r="G5087" s="63" t="str">
        <f>VLOOKUP(C5087, 'Class Def. - General Data'!$C$20:$C$1000,1,false)</f>
        <v>ZPM1_SimplePlastic</v>
      </c>
      <c r="H5087" s="63" t="str">
        <f>IFERROR(__xludf.DUMMYFUNCTION("VLOOKUP(F5087, IMPORTRANGE(""https://docs.google.com/spreadsheets/d/1Lhp9OU0JdFf_VYSMzH5lBcEaU4o8teT1piV-SNzShjg/edit?gid=554141278#gid=554141278"", ""'Char Def. - Attributes'!C20:C2242""), 1,false)"),"ALT_NUM_UOM1")</f>
        <v>ALT_NUM_UOM1</v>
      </c>
      <c r="I5087" s="136"/>
    </row>
    <row r="5088" ht="15.75" customHeight="1">
      <c r="B5088" s="63">
        <f t="shared" si="1"/>
        <v>18</v>
      </c>
      <c r="C5088" s="146" t="s">
        <v>263</v>
      </c>
      <c r="D5088" s="147" t="s">
        <v>74</v>
      </c>
      <c r="E5088" s="135">
        <f t="shared" si="59"/>
        <v>23</v>
      </c>
      <c r="F5088" s="143" t="s">
        <v>3870</v>
      </c>
      <c r="G5088" s="63" t="str">
        <f>VLOOKUP(C5088, 'Class Def. - General Data'!$C$20:$C$1000,1,false)</f>
        <v>ZPM1_SimplePlastic</v>
      </c>
      <c r="H5088" s="63" t="str">
        <f>IFERROR(__xludf.DUMMYFUNCTION("VLOOKUP(F5088, IMPORTRANGE(""https://docs.google.com/spreadsheets/d/1Lhp9OU0JdFf_VYSMzH5lBcEaU4o8teT1piV-SNzShjg/edit?gid=554141278#gid=554141278"", ""'Char Def. - Attributes'!C20:C2242""), 1,false)"),"ALT_UOM2_RMPM")</f>
        <v>ALT_UOM2_RMPM</v>
      </c>
      <c r="I5088" s="136"/>
    </row>
    <row r="5089" ht="15.75" customHeight="1">
      <c r="B5089" s="63">
        <f t="shared" si="1"/>
        <v>18</v>
      </c>
      <c r="C5089" s="146" t="s">
        <v>263</v>
      </c>
      <c r="D5089" s="147" t="s">
        <v>74</v>
      </c>
      <c r="E5089" s="135">
        <f t="shared" si="59"/>
        <v>24</v>
      </c>
      <c r="F5089" s="143" t="s">
        <v>3808</v>
      </c>
      <c r="G5089" s="63" t="str">
        <f>VLOOKUP(C5089, 'Class Def. - General Data'!$C$20:$C$1000,1,false)</f>
        <v>ZPM1_SimplePlastic</v>
      </c>
      <c r="H5089" s="63" t="str">
        <f>IFERROR(__xludf.DUMMYFUNCTION("VLOOKUP(F5089, IMPORTRANGE(""https://docs.google.com/spreadsheets/d/1Lhp9OU0JdFf_VYSMzH5lBcEaU4o8teT1piV-SNzShjg/edit?gid=554141278#gid=554141278"", ""'Char Def. - Attributes'!C20:C2242""), 1,false)"),"ALT_DENUM_UOM2")</f>
        <v>ALT_DENUM_UOM2</v>
      </c>
      <c r="I5089" s="136"/>
    </row>
    <row r="5090" ht="15.75" customHeight="1">
      <c r="B5090" s="63">
        <f t="shared" si="1"/>
        <v>18</v>
      </c>
      <c r="C5090" s="146" t="s">
        <v>263</v>
      </c>
      <c r="D5090" s="147" t="s">
        <v>74</v>
      </c>
      <c r="E5090" s="135">
        <f t="shared" si="59"/>
        <v>25</v>
      </c>
      <c r="F5090" s="143" t="s">
        <v>3809</v>
      </c>
      <c r="G5090" s="63" t="str">
        <f>VLOOKUP(C5090, 'Class Def. - General Data'!$C$20:$C$1000,1,false)</f>
        <v>ZPM1_SimplePlastic</v>
      </c>
      <c r="H5090" s="63" t="str">
        <f>IFERROR(__xludf.DUMMYFUNCTION("VLOOKUP(F5090, IMPORTRANGE(""https://docs.google.com/spreadsheets/d/1Lhp9OU0JdFf_VYSMzH5lBcEaU4o8teT1piV-SNzShjg/edit?gid=554141278#gid=554141278"", ""'Char Def. - Attributes'!C20:C2242""), 1,false)"),"ALT_NUM_UOM2")</f>
        <v>ALT_NUM_UOM2</v>
      </c>
      <c r="I5090" s="136"/>
    </row>
    <row r="5091" ht="15.75" customHeight="1">
      <c r="B5091" s="63">
        <f t="shared" si="1"/>
        <v>18</v>
      </c>
      <c r="C5091" s="146" t="s">
        <v>263</v>
      </c>
      <c r="D5091" s="147" t="s">
        <v>74</v>
      </c>
      <c r="E5091" s="135">
        <f t="shared" si="59"/>
        <v>26</v>
      </c>
      <c r="F5091" s="143" t="s">
        <v>3871</v>
      </c>
      <c r="G5091" s="63" t="str">
        <f>VLOOKUP(C5091, 'Class Def. - General Data'!$C$20:$C$1000,1,false)</f>
        <v>ZPM1_SimplePlastic</v>
      </c>
      <c r="H5091" s="63" t="str">
        <f>IFERROR(__xludf.DUMMYFUNCTION("VLOOKUP(F5091, IMPORTRANGE(""https://docs.google.com/spreadsheets/d/1Lhp9OU0JdFf_VYSMzH5lBcEaU4o8teT1piV-SNzShjg/edit?gid=554141278#gid=554141278"", ""'Char Def. - Attributes'!C20:C2242""), 1,false)"),"ALT_UOM3_RMPM")</f>
        <v>ALT_UOM3_RMPM</v>
      </c>
      <c r="I5091" s="136"/>
    </row>
    <row r="5092" ht="15.75" customHeight="1">
      <c r="B5092" s="63">
        <f t="shared" si="1"/>
        <v>18</v>
      </c>
      <c r="C5092" s="146" t="s">
        <v>263</v>
      </c>
      <c r="D5092" s="147" t="s">
        <v>74</v>
      </c>
      <c r="E5092" s="135">
        <f t="shared" si="59"/>
        <v>27</v>
      </c>
      <c r="F5092" s="143" t="s">
        <v>3811</v>
      </c>
      <c r="G5092" s="63" t="str">
        <f>VLOOKUP(C5092, 'Class Def. - General Data'!$C$20:$C$1000,1,false)</f>
        <v>ZPM1_SimplePlastic</v>
      </c>
      <c r="H5092" s="63" t="str">
        <f>IFERROR(__xludf.DUMMYFUNCTION("VLOOKUP(F5092, IMPORTRANGE(""https://docs.google.com/spreadsheets/d/1Lhp9OU0JdFf_VYSMzH5lBcEaU4o8teT1piV-SNzShjg/edit?gid=554141278#gid=554141278"", ""'Char Def. - Attributes'!C20:C2242""), 1,false)"),"ALT_DENUM_UOM3")</f>
        <v>ALT_DENUM_UOM3</v>
      </c>
      <c r="I5092" s="136"/>
    </row>
    <row r="5093" ht="15.75" customHeight="1">
      <c r="B5093" s="63">
        <f t="shared" si="1"/>
        <v>18</v>
      </c>
      <c r="C5093" s="146" t="s">
        <v>263</v>
      </c>
      <c r="D5093" s="147" t="s">
        <v>74</v>
      </c>
      <c r="E5093" s="135">
        <f t="shared" si="59"/>
        <v>28</v>
      </c>
      <c r="F5093" s="143" t="s">
        <v>3812</v>
      </c>
      <c r="G5093" s="63" t="str">
        <f>VLOOKUP(C5093, 'Class Def. - General Data'!$C$20:$C$1000,1,false)</f>
        <v>ZPM1_SimplePlastic</v>
      </c>
      <c r="H5093" s="63" t="str">
        <f>IFERROR(__xludf.DUMMYFUNCTION("VLOOKUP(F5093, IMPORTRANGE(""https://docs.google.com/spreadsheets/d/1Lhp9OU0JdFf_VYSMzH5lBcEaU4o8teT1piV-SNzShjg/edit?gid=554141278#gid=554141278"", ""'Char Def. - Attributes'!C20:C2242""), 1,false)"),"ALT_NUM_UOM3")</f>
        <v>ALT_NUM_UOM3</v>
      </c>
      <c r="I5093" s="136"/>
    </row>
    <row r="5094" ht="15.75" customHeight="1">
      <c r="B5094" s="63">
        <f t="shared" si="1"/>
        <v>18</v>
      </c>
      <c r="C5094" s="146" t="s">
        <v>263</v>
      </c>
      <c r="D5094" s="147" t="s">
        <v>74</v>
      </c>
      <c r="E5094" s="135">
        <f t="shared" si="59"/>
        <v>29</v>
      </c>
      <c r="F5094" s="143" t="s">
        <v>3872</v>
      </c>
      <c r="G5094" s="63" t="str">
        <f>VLOOKUP(C5094, 'Class Def. - General Data'!$C$20:$C$1000,1,false)</f>
        <v>ZPM1_SimplePlastic</v>
      </c>
      <c r="H5094" s="63" t="str">
        <f>IFERROR(__xludf.DUMMYFUNCTION("VLOOKUP(F5094, IMPORTRANGE(""https://docs.google.com/spreadsheets/d/1Lhp9OU0JdFf_VYSMzH5lBcEaU4o8teT1piV-SNzShjg/edit?gid=554141278#gid=554141278"", ""'Char Def. - Attributes'!C20:C2242""), 1,false)"),"ALT_UOM4_RMPM")</f>
        <v>ALT_UOM4_RMPM</v>
      </c>
      <c r="I5094" s="136"/>
    </row>
    <row r="5095" ht="15.75" customHeight="1">
      <c r="B5095" s="63">
        <f t="shared" si="1"/>
        <v>18</v>
      </c>
      <c r="C5095" s="146" t="s">
        <v>263</v>
      </c>
      <c r="D5095" s="147" t="s">
        <v>74</v>
      </c>
      <c r="E5095" s="135">
        <f t="shared" si="59"/>
        <v>30</v>
      </c>
      <c r="F5095" s="143" t="s">
        <v>3814</v>
      </c>
      <c r="G5095" s="63" t="str">
        <f>VLOOKUP(C5095, 'Class Def. - General Data'!$C$20:$C$1000,1,false)</f>
        <v>ZPM1_SimplePlastic</v>
      </c>
      <c r="H5095" s="63" t="str">
        <f>IFERROR(__xludf.DUMMYFUNCTION("VLOOKUP(F5095, IMPORTRANGE(""https://docs.google.com/spreadsheets/d/1Lhp9OU0JdFf_VYSMzH5lBcEaU4o8teT1piV-SNzShjg/edit?gid=554141278#gid=554141278"", ""'Char Def. - Attributes'!C20:C2242""), 1,false)"),"ALT_DENUM_UOM4")</f>
        <v>ALT_DENUM_UOM4</v>
      </c>
      <c r="I5095" s="136"/>
    </row>
    <row r="5096" ht="15.75" customHeight="1">
      <c r="B5096" s="63">
        <f t="shared" si="1"/>
        <v>18</v>
      </c>
      <c r="C5096" s="146" t="s">
        <v>263</v>
      </c>
      <c r="D5096" s="147" t="s">
        <v>74</v>
      </c>
      <c r="E5096" s="135">
        <f t="shared" si="59"/>
        <v>31</v>
      </c>
      <c r="F5096" s="143" t="s">
        <v>3815</v>
      </c>
      <c r="G5096" s="63" t="str">
        <f>VLOOKUP(C5096, 'Class Def. - General Data'!$C$20:$C$1000,1,false)</f>
        <v>ZPM1_SimplePlastic</v>
      </c>
      <c r="H5096" s="63" t="str">
        <f>IFERROR(__xludf.DUMMYFUNCTION("VLOOKUP(F5096, IMPORTRANGE(""https://docs.google.com/spreadsheets/d/1Lhp9OU0JdFf_VYSMzH5lBcEaU4o8teT1piV-SNzShjg/edit?gid=554141278#gid=554141278"", ""'Char Def. - Attributes'!C20:C2242""), 1,false)"),"ALT_NUM_UOM4")</f>
        <v>ALT_NUM_UOM4</v>
      </c>
      <c r="I5096" s="136"/>
    </row>
    <row r="5097" ht="15.75" customHeight="1">
      <c r="B5097" s="63">
        <f t="shared" si="1"/>
        <v>18</v>
      </c>
      <c r="C5097" s="146" t="s">
        <v>263</v>
      </c>
      <c r="D5097" s="147" t="s">
        <v>74</v>
      </c>
      <c r="E5097" s="135">
        <f t="shared" si="59"/>
        <v>32</v>
      </c>
      <c r="F5097" s="143" t="s">
        <v>3873</v>
      </c>
      <c r="G5097" s="63" t="str">
        <f>VLOOKUP(C5097, 'Class Def. - General Data'!$C$20:$C$1000,1,false)</f>
        <v>ZPM1_SimplePlastic</v>
      </c>
      <c r="H5097" s="63" t="str">
        <f>IFERROR(__xludf.DUMMYFUNCTION("VLOOKUP(F5097, IMPORTRANGE(""https://docs.google.com/spreadsheets/d/1Lhp9OU0JdFf_VYSMzH5lBcEaU4o8teT1piV-SNzShjg/edit?gid=554141278#gid=554141278"", ""'Char Def. - Attributes'!C20:C2242""), 1,false)"),"ALT_UOM5_RMPM")</f>
        <v>ALT_UOM5_RMPM</v>
      </c>
      <c r="I5097" s="136"/>
    </row>
    <row r="5098" ht="15.75" customHeight="1">
      <c r="B5098" s="63">
        <f t="shared" si="1"/>
        <v>18</v>
      </c>
      <c r="C5098" s="146" t="s">
        <v>263</v>
      </c>
      <c r="D5098" s="147" t="s">
        <v>74</v>
      </c>
      <c r="E5098" s="135">
        <f t="shared" si="59"/>
        <v>33</v>
      </c>
      <c r="F5098" s="143" t="s">
        <v>3817</v>
      </c>
      <c r="G5098" s="63" t="str">
        <f>VLOOKUP(C5098, 'Class Def. - General Data'!$C$20:$C$1000,1,false)</f>
        <v>ZPM1_SimplePlastic</v>
      </c>
      <c r="H5098" s="63" t="str">
        <f>IFERROR(__xludf.DUMMYFUNCTION("VLOOKUP(F5098, IMPORTRANGE(""https://docs.google.com/spreadsheets/d/1Lhp9OU0JdFf_VYSMzH5lBcEaU4o8teT1piV-SNzShjg/edit?gid=554141278#gid=554141278"", ""'Char Def. - Attributes'!C20:C2242""), 1,false)"),"ALT_DENUM_UOM5")</f>
        <v>ALT_DENUM_UOM5</v>
      </c>
      <c r="I5098" s="136"/>
    </row>
    <row r="5099" ht="15.75" customHeight="1">
      <c r="B5099" s="63">
        <f t="shared" si="1"/>
        <v>18</v>
      </c>
      <c r="C5099" s="146" t="s">
        <v>263</v>
      </c>
      <c r="D5099" s="147" t="s">
        <v>74</v>
      </c>
      <c r="E5099" s="135">
        <f t="shared" si="59"/>
        <v>34</v>
      </c>
      <c r="F5099" s="143" t="s">
        <v>3818</v>
      </c>
      <c r="G5099" s="63" t="str">
        <f>VLOOKUP(C5099, 'Class Def. - General Data'!$C$20:$C$1000,1,false)</f>
        <v>ZPM1_SimplePlastic</v>
      </c>
      <c r="H5099" s="63" t="str">
        <f>IFERROR(__xludf.DUMMYFUNCTION("VLOOKUP(F5099, IMPORTRANGE(""https://docs.google.com/spreadsheets/d/1Lhp9OU0JdFf_VYSMzH5lBcEaU4o8teT1piV-SNzShjg/edit?gid=554141278#gid=554141278"", ""'Char Def. - Attributes'!C20:C2242""), 1,false)"),"ALT_NUM_UOM5")</f>
        <v>ALT_NUM_UOM5</v>
      </c>
      <c r="I5099" s="136"/>
    </row>
    <row r="5100" ht="15.75" customHeight="1">
      <c r="B5100" s="63">
        <f t="shared" si="1"/>
        <v>18</v>
      </c>
      <c r="C5100" s="146" t="s">
        <v>263</v>
      </c>
      <c r="D5100" s="147" t="s">
        <v>74</v>
      </c>
      <c r="E5100" s="135">
        <f t="shared" si="59"/>
        <v>35</v>
      </c>
      <c r="F5100" s="143" t="s">
        <v>3874</v>
      </c>
      <c r="G5100" s="63" t="str">
        <f>VLOOKUP(C5100, 'Class Def. - General Data'!$C$20:$C$1000,1,false)</f>
        <v>ZPM1_SimplePlastic</v>
      </c>
      <c r="H5100" s="63" t="str">
        <f>IFERROR(__xludf.DUMMYFUNCTION("VLOOKUP(F5100, IMPORTRANGE(""https://docs.google.com/spreadsheets/d/1Lhp9OU0JdFf_VYSMzH5lBcEaU4o8teT1piV-SNzShjg/edit?gid=554141278#gid=554141278"", ""'Char Def. - Attributes'!C20:C2242""), 1,false)"),"VALUATION_CATEGORY")</f>
        <v>VALUATION_CATEGORY</v>
      </c>
      <c r="I5100" s="136"/>
    </row>
    <row r="5101" ht="15.75" customHeight="1">
      <c r="B5101" s="63">
        <f t="shared" si="1"/>
        <v>18</v>
      </c>
      <c r="C5101" s="146" t="s">
        <v>263</v>
      </c>
      <c r="D5101" s="147" t="s">
        <v>74</v>
      </c>
      <c r="E5101" s="135">
        <f t="shared" si="59"/>
        <v>36</v>
      </c>
      <c r="F5101" s="143" t="s">
        <v>3800</v>
      </c>
      <c r="G5101" s="63" t="str">
        <f>VLOOKUP(C5101, 'Class Def. - General Data'!$C$20:$C$1000,1,false)</f>
        <v>ZPM1_SimplePlastic</v>
      </c>
      <c r="H5101" s="63" t="str">
        <f>IFERROR(__xludf.DUMMYFUNCTION("VLOOKUP(F5101, IMPORTRANGE(""https://docs.google.com/spreadsheets/d/1Lhp9OU0JdFf_VYSMzH5lBcEaU4o8teT1piV-SNzShjg/edit?gid=554141278#gid=554141278"", ""'Char Def. - Attributes'!C20:C2242""), 1,false)"),"ORDER_UNIT_DIFF_FROM_BASIC_UOM")</f>
        <v>ORDER_UNIT_DIFF_FROM_BASIC_UOM</v>
      </c>
      <c r="I5101" s="136"/>
    </row>
    <row r="5102" ht="15.75" customHeight="1">
      <c r="B5102" s="63">
        <f t="shared" si="1"/>
        <v>18</v>
      </c>
      <c r="C5102" s="146" t="s">
        <v>263</v>
      </c>
      <c r="D5102" s="147" t="s">
        <v>74</v>
      </c>
      <c r="E5102" s="135">
        <f t="shared" si="59"/>
        <v>37</v>
      </c>
      <c r="F5102" s="143" t="s">
        <v>3875</v>
      </c>
      <c r="G5102" s="63" t="str">
        <f>VLOOKUP(C5102, 'Class Def. - General Data'!$C$20:$C$1000,1,false)</f>
        <v>ZPM1_SimplePlastic</v>
      </c>
      <c r="H5102" s="63" t="str">
        <f>IFERROR(__xludf.DUMMYFUNCTION("VLOOKUP(F5102, IMPORTRANGE(""https://docs.google.com/spreadsheets/d/1Lhp9OU0JdFf_VYSMzH5lBcEaU4o8teT1piV-SNzShjg/edit?gid=554141278#gid=554141278"", ""'Char Def. - Attributes'!C20:C2242""), 1,false)"),"ORDER_UNIT_RMPM")</f>
        <v>ORDER_UNIT_RMPM</v>
      </c>
      <c r="I5102" s="136"/>
    </row>
    <row r="5103" ht="15.75" customHeight="1">
      <c r="B5103" s="63">
        <f t="shared" si="1"/>
        <v>18</v>
      </c>
      <c r="C5103" s="146" t="s">
        <v>263</v>
      </c>
      <c r="D5103" s="147" t="s">
        <v>74</v>
      </c>
      <c r="E5103" s="135">
        <f t="shared" si="59"/>
        <v>38</v>
      </c>
      <c r="F5103" s="143" t="s">
        <v>3602</v>
      </c>
      <c r="G5103" s="63" t="str">
        <f>VLOOKUP(C5103, 'Class Def. - General Data'!$C$20:$C$1000,1,false)</f>
        <v>ZPM1_SimplePlastic</v>
      </c>
      <c r="H5103" s="63" t="str">
        <f>IFERROR(__xludf.DUMMYFUNCTION("VLOOKUP(F5103, IMPORTRANGE(""https://docs.google.com/spreadsheets/d/1Lhp9OU0JdFf_VYSMzH5lBcEaU4o8teT1piV-SNzShjg/edit?gid=554141278#gid=554141278"", ""'Char Def. - Attributes'!C20:C2242""), 1,false)"),"NET_WEIGHT")</f>
        <v>NET_WEIGHT</v>
      </c>
      <c r="I5103" s="136"/>
    </row>
    <row r="5104" ht="15.75" customHeight="1">
      <c r="B5104" s="63">
        <f t="shared" si="1"/>
        <v>18</v>
      </c>
      <c r="C5104" s="146" t="s">
        <v>263</v>
      </c>
      <c r="D5104" s="147" t="s">
        <v>74</v>
      </c>
      <c r="E5104" s="135">
        <f t="shared" si="59"/>
        <v>39</v>
      </c>
      <c r="F5104" s="143" t="s">
        <v>3601</v>
      </c>
      <c r="G5104" s="63" t="str">
        <f>VLOOKUP(C5104, 'Class Def. - General Data'!$C$20:$C$1000,1,false)</f>
        <v>ZPM1_SimplePlastic</v>
      </c>
      <c r="H5104" s="63" t="str">
        <f>IFERROR(__xludf.DUMMYFUNCTION("VLOOKUP(F5104, IMPORTRANGE(""https://docs.google.com/spreadsheets/d/1Lhp9OU0JdFf_VYSMzH5lBcEaU4o8teT1piV-SNzShjg/edit?gid=554141278#gid=554141278"", ""'Char Def. - Attributes'!C20:C2242""), 1,false)"),"GROSS_WEIGHT")</f>
        <v>GROSS_WEIGHT</v>
      </c>
      <c r="I5104" s="136"/>
    </row>
    <row r="5105" ht="15.75" customHeight="1">
      <c r="B5105" s="63">
        <f t="shared" si="1"/>
        <v>18</v>
      </c>
      <c r="C5105" s="146" t="s">
        <v>263</v>
      </c>
      <c r="D5105" s="147" t="s">
        <v>74</v>
      </c>
      <c r="E5105" s="135">
        <f t="shared" si="59"/>
        <v>40</v>
      </c>
      <c r="F5105" s="143" t="s">
        <v>3876</v>
      </c>
      <c r="G5105" s="63" t="str">
        <f>VLOOKUP(C5105, 'Class Def. - General Data'!$C$20:$C$1000,1,false)</f>
        <v>ZPM1_SimplePlastic</v>
      </c>
      <c r="H5105" s="63" t="str">
        <f>IFERROR(__xludf.DUMMYFUNCTION("VLOOKUP(F5105, IMPORTRANGE(""https://docs.google.com/spreadsheets/d/1Lhp9OU0JdFf_VYSMzH5lBcEaU4o8teT1piV-SNzShjg/edit?gid=554141278#gid=554141278"", ""'Char Def. - Attributes'!C20:C2242""), 1,false)"),"WEIGHT_UNIT_PM")</f>
        <v>WEIGHT_UNIT_PM</v>
      </c>
      <c r="I5105" s="136"/>
    </row>
    <row r="5106" ht="15.75" customHeight="1">
      <c r="B5106" s="63">
        <f t="shared" si="1"/>
        <v>18</v>
      </c>
      <c r="C5106" s="146" t="s">
        <v>263</v>
      </c>
      <c r="D5106" s="147" t="s">
        <v>74</v>
      </c>
      <c r="E5106" s="135">
        <f t="shared" si="59"/>
        <v>41</v>
      </c>
      <c r="F5106" s="143" t="s">
        <v>3877</v>
      </c>
      <c r="G5106" s="63" t="str">
        <f>VLOOKUP(C5106, 'Class Def. - General Data'!$C$20:$C$1000,1,false)</f>
        <v>ZPM1_SimplePlastic</v>
      </c>
      <c r="H5106" s="63" t="str">
        <f>IFERROR(__xludf.DUMMYFUNCTION("VLOOKUP(F5106, IMPORTRANGE(""https://docs.google.com/spreadsheets/d/1Lhp9OU0JdFf_VYSMzH5lBcEaU4o8teT1piV-SNzShjg/edit?gid=554141278#gid=554141278"", ""'Char Def. - Attributes'!C20:C2242""), 1,false)"),"VOLUME_OPT")</f>
        <v>VOLUME_OPT</v>
      </c>
      <c r="I5106" s="136"/>
    </row>
    <row r="5107" ht="15.75" customHeight="1">
      <c r="B5107" s="63">
        <f t="shared" si="1"/>
        <v>18</v>
      </c>
      <c r="C5107" s="146" t="s">
        <v>263</v>
      </c>
      <c r="D5107" s="147" t="s">
        <v>74</v>
      </c>
      <c r="E5107" s="135">
        <f t="shared" si="59"/>
        <v>42</v>
      </c>
      <c r="F5107" s="143" t="s">
        <v>3878</v>
      </c>
      <c r="G5107" s="63" t="str">
        <f>VLOOKUP(C5107, 'Class Def. - General Data'!$C$20:$C$1000,1,false)</f>
        <v>ZPM1_SimplePlastic</v>
      </c>
      <c r="H5107" s="63" t="str">
        <f>IFERROR(__xludf.DUMMYFUNCTION("VLOOKUP(F5107, IMPORTRANGE(""https://docs.google.com/spreadsheets/d/1Lhp9OU0JdFf_VYSMzH5lBcEaU4o8teT1piV-SNzShjg/edit?gid=554141278#gid=554141278"", ""'Char Def. - Attributes'!C20:C2242""), 1,false)"),"VOLUME_UNIT")</f>
        <v>VOLUME_UNIT</v>
      </c>
      <c r="I5107" s="136"/>
    </row>
    <row r="5108" ht="15.75" customHeight="1">
      <c r="B5108" s="63">
        <f t="shared" si="1"/>
        <v>18</v>
      </c>
      <c r="C5108" s="146" t="s">
        <v>263</v>
      </c>
      <c r="D5108" s="147" t="s">
        <v>74</v>
      </c>
      <c r="E5108" s="135">
        <f t="shared" si="59"/>
        <v>43</v>
      </c>
      <c r="F5108" s="143" t="s">
        <v>3879</v>
      </c>
      <c r="G5108" s="63" t="str">
        <f>VLOOKUP(C5108, 'Class Def. - General Data'!$C$20:$C$1000,1,false)</f>
        <v>ZPM1_SimplePlastic</v>
      </c>
      <c r="H5108" s="63" t="str">
        <f>IFERROR(__xludf.DUMMYFUNCTION("VLOOKUP(F5108, IMPORTRANGE(""https://docs.google.com/spreadsheets/d/1Lhp9OU0JdFf_VYSMzH5lBcEaU4o8teT1piV-SNzShjg/edit?gid=554141278#gid=554141278"", ""'Char Def. - Attributes'!C20:C2242""), 1,false)"),"OLD_MAT_NO_RMPM")</f>
        <v>OLD_MAT_NO_RMPM</v>
      </c>
      <c r="I5108" s="136"/>
    </row>
    <row r="5109" ht="15.75" customHeight="1">
      <c r="B5109" s="63">
        <f t="shared" si="1"/>
        <v>18</v>
      </c>
      <c r="C5109" s="146" t="s">
        <v>263</v>
      </c>
      <c r="D5109" s="147" t="s">
        <v>74</v>
      </c>
      <c r="E5109" s="135">
        <f t="shared" si="59"/>
        <v>44</v>
      </c>
      <c r="F5109" s="143" t="s">
        <v>3880</v>
      </c>
      <c r="G5109" s="63" t="str">
        <f>VLOOKUP(C5109, 'Class Def. - General Data'!$C$20:$C$1000,1,false)</f>
        <v>ZPM1_SimplePlastic</v>
      </c>
      <c r="H5109" s="63" t="str">
        <f>IFERROR(__xludf.DUMMYFUNCTION("VLOOKUP(F5109, IMPORTRANGE(""https://docs.google.com/spreadsheets/d/1Lhp9OU0JdFf_VYSMzH5lBcEaU4o8teT1piV-SNzShjg/edit?gid=554141278#gid=554141278"", ""'Char Def. - Attributes'!C20:C2242""), 1,false)"),"NOTE_PM")</f>
        <v>NOTE_PM</v>
      </c>
      <c r="I5109" s="136"/>
    </row>
    <row r="5110" ht="15.75" customHeight="1">
      <c r="B5110" s="63">
        <f t="shared" si="1"/>
        <v>18</v>
      </c>
      <c r="C5110" s="146" t="s">
        <v>263</v>
      </c>
      <c r="D5110" s="147" t="s">
        <v>74</v>
      </c>
      <c r="E5110" s="135">
        <f t="shared" si="59"/>
        <v>45</v>
      </c>
      <c r="F5110" s="143" t="s">
        <v>3881</v>
      </c>
      <c r="G5110" s="63" t="str">
        <f>VLOOKUP(C5110, 'Class Def. - General Data'!$C$20:$C$1000,1,false)</f>
        <v>ZPM1_SimplePlastic</v>
      </c>
      <c r="H5110" s="63" t="str">
        <f>IFERROR(__xludf.DUMMYFUNCTION("VLOOKUP(F5110, IMPORTRANGE(""https://docs.google.com/spreadsheets/d/1Lhp9OU0JdFf_VYSMzH5lBcEaU4o8teT1piV-SNzShjg/edit?gid=554141278#gid=554141278"", ""'Char Def. - Attributes'!C20:C2242""), 1,false)"),"BS_BERSIH")</f>
        <v>BS_BERSIH</v>
      </c>
      <c r="I5110" s="136"/>
    </row>
    <row r="5111" ht="15.75" customHeight="1">
      <c r="B5111" s="63">
        <f t="shared" si="1"/>
        <v>18</v>
      </c>
      <c r="C5111" s="146" t="s">
        <v>263</v>
      </c>
      <c r="D5111" s="147" t="s">
        <v>74</v>
      </c>
      <c r="E5111" s="135">
        <f t="shared" si="59"/>
        <v>46</v>
      </c>
      <c r="F5111" s="143" t="s">
        <v>3882</v>
      </c>
      <c r="G5111" s="63" t="str">
        <f>VLOOKUP(C5111, 'Class Def. - General Data'!$C$20:$C$1000,1,false)</f>
        <v>ZPM1_SimplePlastic</v>
      </c>
      <c r="H5111" s="63" t="str">
        <f>IFERROR(__xludf.DUMMYFUNCTION("VLOOKUP(F5111, IMPORTRANGE(""https://docs.google.com/spreadsheets/d/1Lhp9OU0JdFf_VYSMzH5lBcEaU4o8teT1piV-SNzShjg/edit?gid=554141278#gid=554141278"", ""'Char Def. - Attributes'!C20:C2242""), 1,false)"),"BS_KOTOR")</f>
        <v>BS_KOTOR</v>
      </c>
      <c r="I5111" s="136"/>
    </row>
    <row r="5112" ht="15.75" customHeight="1">
      <c r="B5112" s="63">
        <f t="shared" si="1"/>
        <v>18</v>
      </c>
      <c r="C5112" s="146" t="s">
        <v>263</v>
      </c>
      <c r="D5112" s="147" t="s">
        <v>74</v>
      </c>
      <c r="E5112" s="135">
        <f t="shared" si="59"/>
        <v>47</v>
      </c>
      <c r="F5112" s="143" t="s">
        <v>3883</v>
      </c>
      <c r="G5112" s="63" t="str">
        <f>VLOOKUP(C5112, 'Class Def. - General Data'!$C$20:$C$1000,1,false)</f>
        <v>ZPM1_SimplePlastic</v>
      </c>
      <c r="H5112" s="63" t="str">
        <f>IFERROR(__xludf.DUMMYFUNCTION("VLOOKUP(F5112, IMPORTRANGE(""https://docs.google.com/spreadsheets/d/1Lhp9OU0JdFf_VYSMzH5lBcEaU4o8teT1piV-SNzShjg/edit?gid=554141278#gid=554141278"", ""'Char Def. - Attributes'!C20:C2242""), 1,false)"),"BS_SCRAP")</f>
        <v>BS_SCRAP</v>
      </c>
      <c r="I5112" s="136"/>
    </row>
    <row r="5113" ht="15.75" customHeight="1">
      <c r="B5113" s="63">
        <f t="shared" si="1"/>
        <v>7</v>
      </c>
      <c r="C5113" s="146" t="s">
        <v>254</v>
      </c>
      <c r="D5113" s="147" t="s">
        <v>74</v>
      </c>
      <c r="E5113" s="135">
        <f t="shared" si="59"/>
        <v>1</v>
      </c>
      <c r="F5113" s="143" t="s">
        <v>3978</v>
      </c>
      <c r="G5113" s="63" t="str">
        <f>VLOOKUP(C5113, 'Class Def. - General Data'!$C$20:$C$1000,1,false)</f>
        <v>ZPM1_SP</v>
      </c>
      <c r="H5113" s="63" t="str">
        <f>IFERROR(__xludf.DUMMYFUNCTION("VLOOKUP(F5113, IMPORTRANGE(""https://docs.google.com/spreadsheets/d/1Lhp9OU0JdFf_VYSMzH5lBcEaU4o8teT1piV-SNzShjg/edit?gid=554141278#gid=554141278"", ""'Char Def. - Attributes'!C20:C2242""), 1,false)"),"MATERIAL_CODE_SP")</f>
        <v>MATERIAL_CODE_SP</v>
      </c>
      <c r="I5113" s="136"/>
    </row>
    <row r="5114" ht="15.75" customHeight="1">
      <c r="B5114" s="63">
        <f t="shared" si="1"/>
        <v>7</v>
      </c>
      <c r="C5114" s="146" t="s">
        <v>254</v>
      </c>
      <c r="D5114" s="147" t="s">
        <v>74</v>
      </c>
      <c r="E5114" s="135">
        <f t="shared" si="59"/>
        <v>2</v>
      </c>
      <c r="F5114" s="143" t="s">
        <v>3852</v>
      </c>
      <c r="G5114" s="63" t="str">
        <f>VLOOKUP(C5114, 'Class Def. - General Data'!$C$20:$C$1000,1,false)</f>
        <v>ZPM1_SP</v>
      </c>
      <c r="H5114" s="63" t="str">
        <f>IFERROR(__xludf.DUMMYFUNCTION("VLOOKUP(F5114, IMPORTRANGE(""https://docs.google.com/spreadsheets/d/1Lhp9OU0JdFf_VYSMzH5lBcEaU4o8teT1piV-SNzShjg/edit?gid=554141278#gid=554141278"", ""'Char Def. - Attributes'!C20:C2242""), 1,false)"),"SINGLE_BRAND")</f>
        <v>SINGLE_BRAND</v>
      </c>
      <c r="I5114" s="136"/>
    </row>
    <row r="5115" ht="15.75" customHeight="1">
      <c r="B5115" s="63">
        <f t="shared" si="1"/>
        <v>7</v>
      </c>
      <c r="C5115" s="146" t="s">
        <v>254</v>
      </c>
      <c r="D5115" s="147" t="s">
        <v>74</v>
      </c>
      <c r="E5115" s="135">
        <f t="shared" si="59"/>
        <v>3</v>
      </c>
      <c r="F5115" s="143" t="s">
        <v>3853</v>
      </c>
      <c r="G5115" s="63" t="str">
        <f>VLOOKUP(C5115, 'Class Def. - General Data'!$C$20:$C$1000,1,false)</f>
        <v>ZPM1_SP</v>
      </c>
      <c r="H5115" s="63" t="str">
        <f>IFERROR(__xludf.DUMMYFUNCTION("VLOOKUP(F5115, IMPORTRANGE(""https://docs.google.com/spreadsheets/d/1Lhp9OU0JdFf_VYSMzH5lBcEaU4o8teT1piV-SNzShjg/edit?gid=554141278#gid=554141278"", ""'Char Def. - Attributes'!C20:C2242""), 1,false)"),"BRAND_WINGS")</f>
        <v>BRAND_WINGS</v>
      </c>
      <c r="I5115" s="136"/>
    </row>
    <row r="5116" ht="15.75" customHeight="1">
      <c r="B5116" s="63">
        <f t="shared" si="1"/>
        <v>7</v>
      </c>
      <c r="C5116" s="146" t="s">
        <v>254</v>
      </c>
      <c r="D5116" s="147" t="s">
        <v>74</v>
      </c>
      <c r="E5116" s="135">
        <f t="shared" si="59"/>
        <v>4</v>
      </c>
      <c r="F5116" s="143" t="s">
        <v>3854</v>
      </c>
      <c r="G5116" s="63" t="str">
        <f>VLOOKUP(C5116, 'Class Def. - General Data'!$C$20:$C$1000,1,false)</f>
        <v>ZPM1_SP</v>
      </c>
      <c r="H5116" s="63" t="str">
        <f>IFERROR(__xludf.DUMMYFUNCTION("VLOOKUP(F5116, IMPORTRANGE(""https://docs.google.com/spreadsheets/d/1Lhp9OU0JdFf_VYSMzH5lBcEaU4o8teT1piV-SNzShjg/edit?gid=554141278#gid=554141278"", ""'Char Def. - Attributes'!C20:C2242""), 1,false)"),"SINGLE_PACK_SHAPE")</f>
        <v>SINGLE_PACK_SHAPE</v>
      </c>
      <c r="I5116" s="136"/>
    </row>
    <row r="5117" ht="15.75" customHeight="1">
      <c r="B5117" s="63">
        <f t="shared" si="1"/>
        <v>7</v>
      </c>
      <c r="C5117" s="146" t="s">
        <v>254</v>
      </c>
      <c r="D5117" s="147" t="s">
        <v>74</v>
      </c>
      <c r="E5117" s="135">
        <f t="shared" si="59"/>
        <v>5</v>
      </c>
      <c r="F5117" s="143" t="s">
        <v>3855</v>
      </c>
      <c r="G5117" s="63" t="str">
        <f>VLOOKUP(C5117, 'Class Def. - General Data'!$C$20:$C$1000,1,false)</f>
        <v>ZPM1_SP</v>
      </c>
      <c r="H5117" s="63" t="str">
        <f>IFERROR(__xludf.DUMMYFUNCTION("VLOOKUP(F5117, IMPORTRANGE(""https://docs.google.com/spreadsheets/d/1Lhp9OU0JdFf_VYSMzH5lBcEaU4o8teT1piV-SNzShjg/edit?gid=554141278#gid=554141278"", ""'Char Def. - Attributes'!C20:C2242""), 1,false)"),"PACK_SHAPE")</f>
        <v>PACK_SHAPE</v>
      </c>
      <c r="I5117" s="136"/>
    </row>
    <row r="5118" ht="15.75" customHeight="1">
      <c r="B5118" s="63">
        <f t="shared" si="1"/>
        <v>7</v>
      </c>
      <c r="C5118" s="146" t="s">
        <v>254</v>
      </c>
      <c r="D5118" s="147" t="s">
        <v>74</v>
      </c>
      <c r="E5118" s="135">
        <f t="shared" si="59"/>
        <v>6</v>
      </c>
      <c r="F5118" s="143" t="s">
        <v>3856</v>
      </c>
      <c r="G5118" s="63" t="str">
        <f>VLOOKUP(C5118, 'Class Def. - General Data'!$C$20:$C$1000,1,false)</f>
        <v>ZPM1_SP</v>
      </c>
      <c r="H5118" s="63" t="str">
        <f>IFERROR(__xludf.DUMMYFUNCTION("VLOOKUP(F5118, IMPORTRANGE(""https://docs.google.com/spreadsheets/d/1Lhp9OU0JdFf_VYSMzH5lBcEaU4o8teT1piV-SNzShjg/edit?gid=554141278#gid=554141278"", ""'Char Def. - Attributes'!C20:C2242""), 1,false)"),"SINGLE_PACK_NETTO")</f>
        <v>SINGLE_PACK_NETTO</v>
      </c>
      <c r="I5118" s="136"/>
    </row>
    <row r="5119" ht="15.75" customHeight="1">
      <c r="B5119" s="63">
        <f t="shared" si="1"/>
        <v>7</v>
      </c>
      <c r="C5119" s="146" t="s">
        <v>254</v>
      </c>
      <c r="D5119" s="147" t="s">
        <v>74</v>
      </c>
      <c r="E5119" s="135">
        <f t="shared" si="59"/>
        <v>7</v>
      </c>
      <c r="F5119" s="143" t="s">
        <v>3605</v>
      </c>
      <c r="G5119" s="63" t="str">
        <f>VLOOKUP(C5119, 'Class Def. - General Data'!$C$20:$C$1000,1,false)</f>
        <v>ZPM1_SP</v>
      </c>
      <c r="H5119" s="63" t="str">
        <f>IFERROR(__xludf.DUMMYFUNCTION("VLOOKUP(F5119, IMPORTRANGE(""https://docs.google.com/spreadsheets/d/1Lhp9OU0JdFf_VYSMzH5lBcEaU4o8teT1piV-SNzShjg/edit?gid=554141278#gid=554141278"", ""'Char Def. - Attributes'!C20:C2242""), 1,false)"),"PACK_NETTO")</f>
        <v>PACK_NETTO</v>
      </c>
      <c r="I5119" s="136"/>
    </row>
    <row r="5120" ht="15.75" customHeight="1">
      <c r="B5120" s="63">
        <f t="shared" si="1"/>
        <v>7</v>
      </c>
      <c r="C5120" s="146" t="s">
        <v>254</v>
      </c>
      <c r="D5120" s="147" t="s">
        <v>74</v>
      </c>
      <c r="E5120" s="135">
        <f t="shared" si="59"/>
        <v>8</v>
      </c>
      <c r="F5120" s="143" t="s">
        <v>3857</v>
      </c>
      <c r="G5120" s="63" t="str">
        <f>VLOOKUP(C5120, 'Class Def. - General Data'!$C$20:$C$1000,1,false)</f>
        <v>ZPM1_SP</v>
      </c>
      <c r="H5120" s="63" t="str">
        <f>IFERROR(__xludf.DUMMYFUNCTION("VLOOKUP(F5120, IMPORTRANGE(""https://docs.google.com/spreadsheets/d/1Lhp9OU0JdFf_VYSMzH5lBcEaU4o8teT1piV-SNzShjg/edit?gid=554141278#gid=554141278"", ""'Char Def. - Attributes'!C20:C2242""), 1,false)"),"PACK_UOM")</f>
        <v>PACK_UOM</v>
      </c>
      <c r="I5120" s="136"/>
    </row>
    <row r="5121" ht="15.75" customHeight="1">
      <c r="B5121" s="63">
        <f t="shared" si="1"/>
        <v>7</v>
      </c>
      <c r="C5121" s="146" t="s">
        <v>254</v>
      </c>
      <c r="D5121" s="147" t="s">
        <v>74</v>
      </c>
      <c r="E5121" s="135">
        <f t="shared" si="59"/>
        <v>9</v>
      </c>
      <c r="F5121" s="143" t="s">
        <v>3858</v>
      </c>
      <c r="G5121" s="63" t="str">
        <f>VLOOKUP(C5121, 'Class Def. - General Data'!$C$20:$C$1000,1,false)</f>
        <v>ZPM1_SP</v>
      </c>
      <c r="H5121" s="63" t="str">
        <f>IFERROR(__xludf.DUMMYFUNCTION("VLOOKUP(F5121, IMPORTRANGE(""https://docs.google.com/spreadsheets/d/1Lhp9OU0JdFf_VYSMzH5lBcEaU4o8teT1piV-SNzShjg/edit?gid=554141278#gid=554141278"", ""'Char Def. - Attributes'!C20:C2242""), 1,false)"),"SINGLE_VARIAN")</f>
        <v>SINGLE_VARIAN</v>
      </c>
      <c r="I5121" s="136"/>
    </row>
    <row r="5122" ht="15.75" customHeight="1">
      <c r="B5122" s="63">
        <f t="shared" si="1"/>
        <v>7</v>
      </c>
      <c r="C5122" s="146" t="s">
        <v>254</v>
      </c>
      <c r="D5122" s="147" t="s">
        <v>74</v>
      </c>
      <c r="E5122" s="135">
        <f t="shared" si="59"/>
        <v>10</v>
      </c>
      <c r="F5122" s="143" t="s">
        <v>3607</v>
      </c>
      <c r="G5122" s="63" t="str">
        <f>VLOOKUP(C5122, 'Class Def. - General Data'!$C$20:$C$1000,1,false)</f>
        <v>ZPM1_SP</v>
      </c>
      <c r="H5122" s="63" t="str">
        <f>IFERROR(__xludf.DUMMYFUNCTION("VLOOKUP(F5122, IMPORTRANGE(""https://docs.google.com/spreadsheets/d/1Lhp9OU0JdFf_VYSMzH5lBcEaU4o8teT1piV-SNzShjg/edit?gid=554141278#gid=554141278"", ""'Char Def. - Attributes'!C20:C2242""), 1,false)"),"VARIAN")</f>
        <v>VARIAN</v>
      </c>
      <c r="I5122" s="136"/>
    </row>
    <row r="5123" ht="15.75" customHeight="1">
      <c r="B5123" s="63">
        <f t="shared" si="1"/>
        <v>7</v>
      </c>
      <c r="C5123" s="146" t="s">
        <v>254</v>
      </c>
      <c r="D5123" s="147" t="s">
        <v>74</v>
      </c>
      <c r="E5123" s="135">
        <f t="shared" si="59"/>
        <v>11</v>
      </c>
      <c r="F5123" s="143" t="s">
        <v>3859</v>
      </c>
      <c r="G5123" s="63" t="str">
        <f>VLOOKUP(C5123, 'Class Def. - General Data'!$C$20:$C$1000,1,false)</f>
        <v>ZPM1_SP</v>
      </c>
      <c r="H5123" s="63" t="str">
        <f>IFERROR(__xludf.DUMMYFUNCTION("VLOOKUP(F5123, IMPORTRANGE(""https://docs.google.com/spreadsheets/d/1Lhp9OU0JdFf_VYSMzH5lBcEaU4o8teT1piV-SNzShjg/edit?gid=554141278#gid=554141278"", ""'Char Def. - Attributes'!C20:C2242""), 1,false)"),"ADA_ADDITIONAL_PROMO")</f>
        <v>ADA_ADDITIONAL_PROMO</v>
      </c>
      <c r="I5123" s="136"/>
    </row>
    <row r="5124" ht="15.75" customHeight="1">
      <c r="B5124" s="63">
        <f t="shared" si="1"/>
        <v>7</v>
      </c>
      <c r="C5124" s="146" t="s">
        <v>254</v>
      </c>
      <c r="D5124" s="147" t="s">
        <v>74</v>
      </c>
      <c r="E5124" s="135">
        <f t="shared" si="59"/>
        <v>12</v>
      </c>
      <c r="F5124" s="143" t="s">
        <v>3609</v>
      </c>
      <c r="G5124" s="63" t="str">
        <f>VLOOKUP(C5124, 'Class Def. - General Data'!$C$20:$C$1000,1,false)</f>
        <v>ZPM1_SP</v>
      </c>
      <c r="H5124" s="63" t="str">
        <f>IFERROR(__xludf.DUMMYFUNCTION("VLOOKUP(F5124, IMPORTRANGE(""https://docs.google.com/spreadsheets/d/1Lhp9OU0JdFf_VYSMzH5lBcEaU4o8teT1piV-SNzShjg/edit?gid=554141278#gid=554141278"", ""'Char Def. - Attributes'!C20:C2242""), 1,false)"),"ADDITIONAL_PROMO")</f>
        <v>ADDITIONAL_PROMO</v>
      </c>
      <c r="I5124" s="136"/>
    </row>
    <row r="5125" ht="15.75" customHeight="1">
      <c r="B5125" s="63">
        <f t="shared" si="1"/>
        <v>7</v>
      </c>
      <c r="C5125" s="146" t="s">
        <v>254</v>
      </c>
      <c r="D5125" s="147" t="s">
        <v>74</v>
      </c>
      <c r="E5125" s="135">
        <f t="shared" si="59"/>
        <v>13</v>
      </c>
      <c r="F5125" s="143" t="s">
        <v>3860</v>
      </c>
      <c r="G5125" s="63" t="str">
        <f>VLOOKUP(C5125, 'Class Def. - General Data'!$C$20:$C$1000,1,false)</f>
        <v>ZPM1_SP</v>
      </c>
      <c r="H5125" s="63" t="str">
        <f>IFERROR(__xludf.DUMMYFUNCTION("VLOOKUP(F5125, IMPORTRANGE(""https://docs.google.com/spreadsheets/d/1Lhp9OU0JdFf_VYSMzH5lBcEaU4o8teT1piV-SNzShjg/edit?gid=554141278#gid=554141278"", ""'Char Def. - Attributes'!C20:C2242""), 1,false)"),"ADA_BANDED_PROMO")</f>
        <v>ADA_BANDED_PROMO</v>
      </c>
      <c r="I5125" s="136"/>
    </row>
    <row r="5126" ht="15.75" customHeight="1">
      <c r="B5126" s="63">
        <f t="shared" si="1"/>
        <v>7</v>
      </c>
      <c r="C5126" s="146" t="s">
        <v>254</v>
      </c>
      <c r="D5126" s="147" t="s">
        <v>74</v>
      </c>
      <c r="E5126" s="135">
        <f t="shared" si="59"/>
        <v>14</v>
      </c>
      <c r="F5126" s="143" t="s">
        <v>3610</v>
      </c>
      <c r="G5126" s="63" t="str">
        <f>VLOOKUP(C5126, 'Class Def. - General Data'!$C$20:$C$1000,1,false)</f>
        <v>ZPM1_SP</v>
      </c>
      <c r="H5126" s="63" t="str">
        <f>IFERROR(__xludf.DUMMYFUNCTION("VLOOKUP(F5126, IMPORTRANGE(""https://docs.google.com/spreadsheets/d/1Lhp9OU0JdFf_VYSMzH5lBcEaU4o8teT1piV-SNzShjg/edit?gid=554141278#gid=554141278"", ""'Char Def. - Attributes'!C20:C2242""), 1,false)"),"BANDED_PROMO")</f>
        <v>BANDED_PROMO</v>
      </c>
      <c r="I5126" s="136"/>
    </row>
    <row r="5127" ht="15.75" customHeight="1">
      <c r="B5127" s="63">
        <f t="shared" si="1"/>
        <v>7</v>
      </c>
      <c r="C5127" s="146" t="s">
        <v>254</v>
      </c>
      <c r="D5127" s="147" t="s">
        <v>74</v>
      </c>
      <c r="E5127" s="135">
        <f t="shared" si="59"/>
        <v>15</v>
      </c>
      <c r="F5127" s="143" t="s">
        <v>1292</v>
      </c>
      <c r="G5127" s="63" t="str">
        <f>VLOOKUP(C5127, 'Class Def. - General Data'!$C$20:$C$1000,1,false)</f>
        <v>ZPM1_SP</v>
      </c>
      <c r="H5127" s="63" t="str">
        <f>IFERROR(__xludf.DUMMYFUNCTION("VLOOKUP(F5127, IMPORTRANGE(""https://docs.google.com/spreadsheets/d/1Lhp9OU0JdFf_VYSMzH5lBcEaU4o8teT1piV-SNzShjg/edit?gid=554141278#gid=554141278"", ""'Char Def. - Attributes'!C20:C2242""), 1,false)"),"EXPORT")</f>
        <v>EXPORT</v>
      </c>
      <c r="I5127" s="136"/>
    </row>
    <row r="5128" ht="15.75" customHeight="1">
      <c r="B5128" s="63">
        <f t="shared" si="1"/>
        <v>7</v>
      </c>
      <c r="C5128" s="146" t="s">
        <v>254</v>
      </c>
      <c r="D5128" s="147" t="s">
        <v>74</v>
      </c>
      <c r="E5128" s="135">
        <f t="shared" si="59"/>
        <v>16</v>
      </c>
      <c r="F5128" s="143" t="s">
        <v>3612</v>
      </c>
      <c r="G5128" s="63" t="str">
        <f>VLOOKUP(C5128, 'Class Def. - General Data'!$C$20:$C$1000,1,false)</f>
        <v>ZPM1_SP</v>
      </c>
      <c r="H5128" s="63" t="str">
        <f>IFERROR(__xludf.DUMMYFUNCTION("VLOOKUP(F5128, IMPORTRANGE(""https://docs.google.com/spreadsheets/d/1Lhp9OU0JdFf_VYSMzH5lBcEaU4o8teT1piV-SNzShjg/edit?gid=554141278#gid=554141278"", ""'Char Def. - Attributes'!C20:C2242""), 1,false)"),"COUNTRY_EKSPOR")</f>
        <v>COUNTRY_EKSPOR</v>
      </c>
      <c r="I5128" s="136"/>
    </row>
    <row r="5129" ht="15.75" customHeight="1">
      <c r="B5129" s="63">
        <f t="shared" si="1"/>
        <v>7</v>
      </c>
      <c r="C5129" s="146" t="s">
        <v>254</v>
      </c>
      <c r="D5129" s="147" t="s">
        <v>74</v>
      </c>
      <c r="E5129" s="135">
        <f t="shared" si="59"/>
        <v>17</v>
      </c>
      <c r="F5129" s="143" t="s">
        <v>3861</v>
      </c>
      <c r="G5129" s="63" t="str">
        <f>VLOOKUP(C5129, 'Class Def. - General Data'!$C$20:$C$1000,1,false)</f>
        <v>ZPM1_SP</v>
      </c>
      <c r="H5129" s="63" t="str">
        <f>IFERROR(__xludf.DUMMYFUNCTION("VLOOKUP(F5129, IMPORTRANGE(""https://docs.google.com/spreadsheets/d/1Lhp9OU0JdFf_VYSMzH5lBcEaU4o8teT1piV-SNzShjg/edit?gid=554141278#gid=554141278"", ""'Char Def. - Attributes'!C20:C2242""), 1,false)"),"PEMBATAS")</f>
        <v>PEMBATAS</v>
      </c>
      <c r="I5129" s="136"/>
    </row>
    <row r="5130" ht="15.75" customHeight="1">
      <c r="B5130" s="63">
        <f t="shared" si="1"/>
        <v>7</v>
      </c>
      <c r="C5130" s="146" t="s">
        <v>254</v>
      </c>
      <c r="D5130" s="147" t="s">
        <v>74</v>
      </c>
      <c r="E5130" s="135">
        <f t="shared" si="59"/>
        <v>18</v>
      </c>
      <c r="F5130" s="143" t="s">
        <v>3888</v>
      </c>
      <c r="G5130" s="63" t="str">
        <f>VLOOKUP(C5130, 'Class Def. - General Data'!$C$20:$C$1000,1,false)</f>
        <v>ZPM1_SP</v>
      </c>
      <c r="H5130" s="63" t="str">
        <f>IFERROR(__xludf.DUMMYFUNCTION("VLOOKUP(F5130, IMPORTRANGE(""https://docs.google.com/spreadsheets/d/1Lhp9OU0JdFf_VYSMzH5lBcEaU4o8teT1piV-SNzShjg/edit?gid=554141278#gid=554141278"", ""'Char Def. - Attributes'!C20:C2242""), 1,false)"),"PACK_CODE_OPT")</f>
        <v>PACK_CODE_OPT</v>
      </c>
      <c r="I5130" s="136"/>
    </row>
    <row r="5131" ht="15.75" customHeight="1">
      <c r="B5131" s="63">
        <f t="shared" si="1"/>
        <v>7</v>
      </c>
      <c r="C5131" s="146" t="s">
        <v>254</v>
      </c>
      <c r="D5131" s="147" t="s">
        <v>74</v>
      </c>
      <c r="E5131" s="135">
        <f t="shared" si="59"/>
        <v>19</v>
      </c>
      <c r="F5131" s="143" t="s">
        <v>3889</v>
      </c>
      <c r="G5131" s="63" t="str">
        <f>VLOOKUP(C5131, 'Class Def. - General Data'!$C$20:$C$1000,1,false)</f>
        <v>ZPM1_SP</v>
      </c>
      <c r="H5131" s="63" t="str">
        <f>IFERROR(__xludf.DUMMYFUNCTION("VLOOKUP(F5131, IMPORTRANGE(""https://docs.google.com/spreadsheets/d/1Lhp9OU0JdFf_VYSMzH5lBcEaU4o8teT1piV-SNzShjg/edit?gid=554141278#gid=554141278"", ""'Char Def. - Attributes'!C20:C2242""), 1,false)"),"PACK_CONTENT_AMOUNT_4")</f>
        <v>PACK_CONTENT_AMOUNT_4</v>
      </c>
      <c r="I5131" s="136"/>
    </row>
    <row r="5132" ht="15.75" customHeight="1">
      <c r="B5132" s="63">
        <f t="shared" si="1"/>
        <v>7</v>
      </c>
      <c r="C5132" s="146" t="s">
        <v>254</v>
      </c>
      <c r="D5132" s="147" t="s">
        <v>74</v>
      </c>
      <c r="E5132" s="135">
        <f t="shared" si="59"/>
        <v>20</v>
      </c>
      <c r="F5132" s="143" t="s">
        <v>3862</v>
      </c>
      <c r="G5132" s="63" t="str">
        <f>VLOOKUP(C5132, 'Class Def. - General Data'!$C$20:$C$1000,1,false)</f>
        <v>ZPM1_SP</v>
      </c>
      <c r="H5132" s="63" t="str">
        <f>IFERROR(__xludf.DUMMYFUNCTION("VLOOKUP(F5132, IMPORTRANGE(""https://docs.google.com/spreadsheets/d/1Lhp9OU0JdFf_VYSMzH5lBcEaU4o8teT1piV-SNzShjg/edit?gid=554141278#gid=554141278"", ""'Char Def. - Attributes'!C20:C2242""), 1,false)"),"MONTH")</f>
        <v>MONTH</v>
      </c>
      <c r="I5132" s="136"/>
    </row>
    <row r="5133" ht="15.75" customHeight="1">
      <c r="B5133" s="63">
        <f t="shared" si="1"/>
        <v>7</v>
      </c>
      <c r="C5133" s="146" t="s">
        <v>254</v>
      </c>
      <c r="D5133" s="147" t="s">
        <v>74</v>
      </c>
      <c r="E5133" s="135">
        <f t="shared" si="59"/>
        <v>21</v>
      </c>
      <c r="F5133" s="143" t="s">
        <v>3863</v>
      </c>
      <c r="G5133" s="63" t="str">
        <f>VLOOKUP(C5133, 'Class Def. - General Data'!$C$20:$C$1000,1,false)</f>
        <v>ZPM1_SP</v>
      </c>
      <c r="H5133" s="63" t="str">
        <f>IFERROR(__xludf.DUMMYFUNCTION("VLOOKUP(F5133, IMPORTRANGE(""https://docs.google.com/spreadsheets/d/1Lhp9OU0JdFf_VYSMzH5lBcEaU4o8teT1piV-SNzShjg/edit?gid=554141278#gid=554141278"", ""'Char Def. - Attributes'!C20:C2242""), 1,false)"),"YEAR")</f>
        <v>YEAR</v>
      </c>
      <c r="I5133" s="136"/>
    </row>
    <row r="5134" ht="15.75" customHeight="1">
      <c r="B5134" s="63">
        <f t="shared" si="1"/>
        <v>7</v>
      </c>
      <c r="C5134" s="146" t="s">
        <v>254</v>
      </c>
      <c r="D5134" s="147" t="s">
        <v>74</v>
      </c>
      <c r="E5134" s="135">
        <f t="shared" si="59"/>
        <v>22</v>
      </c>
      <c r="F5134" s="143" t="s">
        <v>3890</v>
      </c>
      <c r="G5134" s="63" t="str">
        <f>VLOOKUP(C5134, 'Class Def. - General Data'!$C$20:$C$1000,1,false)</f>
        <v>ZPM1_SP</v>
      </c>
      <c r="H5134" s="63" t="str">
        <f>IFERROR(__xludf.DUMMYFUNCTION("VLOOKUP(F5134, IMPORTRANGE(""https://docs.google.com/spreadsheets/d/1Lhp9OU0JdFf_VYSMzH5lBcEaU4o8teT1piV-SNzShjg/edit?gid=554141278#gid=554141278"", ""'Char Def. - Attributes'!C20:C2242""), 1,false)"),"EXT_MAT_GRP")</f>
        <v>EXT_MAT_GRP</v>
      </c>
      <c r="I5134" s="136"/>
    </row>
    <row r="5135" ht="15.75" customHeight="1">
      <c r="B5135" s="63">
        <f t="shared" si="1"/>
        <v>7</v>
      </c>
      <c r="C5135" s="146" t="s">
        <v>254</v>
      </c>
      <c r="D5135" s="147" t="s">
        <v>74</v>
      </c>
      <c r="E5135" s="135">
        <f t="shared" si="59"/>
        <v>23</v>
      </c>
      <c r="F5135" s="143" t="s">
        <v>3891</v>
      </c>
      <c r="G5135" s="63" t="str">
        <f>VLOOKUP(C5135, 'Class Def. - General Data'!$C$20:$C$1000,1,false)</f>
        <v>ZPM1_SP</v>
      </c>
      <c r="H5135" s="63" t="str">
        <f>IFERROR(__xludf.DUMMYFUNCTION("VLOOKUP(F5135, IMPORTRANGE(""https://docs.google.com/spreadsheets/d/1Lhp9OU0JdFf_VYSMzH5lBcEaU4o8teT1piV-SNzShjg/edit?gid=554141278#gid=554141278"", ""'Char Def. - Attributes'!C20:C2242""), 1,false)"),"GENERAL_SPEC")</f>
        <v>GENERAL_SPEC</v>
      </c>
      <c r="I5135" s="136"/>
    </row>
    <row r="5136" ht="15.75" customHeight="1">
      <c r="B5136" s="63">
        <f t="shared" si="1"/>
        <v>7</v>
      </c>
      <c r="C5136" s="146" t="s">
        <v>254</v>
      </c>
      <c r="D5136" s="147" t="s">
        <v>74</v>
      </c>
      <c r="E5136" s="135">
        <f t="shared" si="59"/>
        <v>24</v>
      </c>
      <c r="F5136" s="143" t="s">
        <v>3892</v>
      </c>
      <c r="G5136" s="63" t="str">
        <f>VLOOKUP(C5136, 'Class Def. - General Data'!$C$20:$C$1000,1,false)</f>
        <v>ZPM1_SP</v>
      </c>
      <c r="H5136" s="63" t="str">
        <f>IFERROR(__xludf.DUMMYFUNCTION("VLOOKUP(F5136, IMPORTRANGE(""https://docs.google.com/spreadsheets/d/1Lhp9OU0JdFf_VYSMzH5lBcEaU4o8teT1piV-SNzShjg/edit?gid=554141278#gid=554141278"", ""'Char Def. - Attributes'!C20:C2242""), 1,false)"),"COLOR_COUNT")</f>
        <v>COLOR_COUNT</v>
      </c>
      <c r="I5136" s="136"/>
    </row>
    <row r="5137" ht="15.75" customHeight="1">
      <c r="B5137" s="63">
        <f t="shared" si="1"/>
        <v>7</v>
      </c>
      <c r="C5137" s="146" t="s">
        <v>254</v>
      </c>
      <c r="D5137" s="147" t="s">
        <v>74</v>
      </c>
      <c r="E5137" s="135">
        <f t="shared" si="59"/>
        <v>25</v>
      </c>
      <c r="F5137" s="143" t="s">
        <v>3893</v>
      </c>
      <c r="G5137" s="63" t="str">
        <f>VLOOKUP(C5137, 'Class Def. - General Data'!$C$20:$C$1000,1,false)</f>
        <v>ZPM1_SP</v>
      </c>
      <c r="H5137" s="63" t="str">
        <f>IFERROR(__xludf.DUMMYFUNCTION("VLOOKUP(F5137, IMPORTRANGE(""https://docs.google.com/spreadsheets/d/1Lhp9OU0JdFf_VYSMzH5lBcEaU4o8teT1piV-SNzShjg/edit?gid=554141278#gid=554141278"", ""'Char Def. - Attributes'!C20:C2242""), 1,false)"),"FLEX_UOM")</f>
        <v>FLEX_UOM</v>
      </c>
      <c r="I5137" s="136"/>
    </row>
    <row r="5138" ht="15.75" customHeight="1">
      <c r="B5138" s="63">
        <f t="shared" si="1"/>
        <v>7</v>
      </c>
      <c r="C5138" s="146" t="s">
        <v>254</v>
      </c>
      <c r="D5138" s="147" t="s">
        <v>74</v>
      </c>
      <c r="E5138" s="135">
        <f t="shared" si="59"/>
        <v>26</v>
      </c>
      <c r="F5138" s="143" t="s">
        <v>3894</v>
      </c>
      <c r="G5138" s="63" t="str">
        <f>VLOOKUP(C5138, 'Class Def. - General Data'!$C$20:$C$1000,1,false)</f>
        <v>ZPM1_SP</v>
      </c>
      <c r="H5138" s="63" t="str">
        <f>IFERROR(__xludf.DUMMYFUNCTION("VLOOKUP(F5138, IMPORTRANGE(""https://docs.google.com/spreadsheets/d/1Lhp9OU0JdFf_VYSMzH5lBcEaU4o8teT1piV-SNzShjg/edit?gid=554141278#gid=554141278"", ""'Char Def. - Attributes'!C20:C2242""), 1,false)"),"FLEX_COMPLEXITY")</f>
        <v>FLEX_COMPLEXITY</v>
      </c>
      <c r="I5138" s="136"/>
    </row>
    <row r="5139" ht="15.75" customHeight="1">
      <c r="B5139" s="63">
        <f t="shared" si="1"/>
        <v>7</v>
      </c>
      <c r="C5139" s="146" t="s">
        <v>254</v>
      </c>
      <c r="D5139" s="147" t="s">
        <v>74</v>
      </c>
      <c r="E5139" s="135">
        <f t="shared" si="59"/>
        <v>27</v>
      </c>
      <c r="F5139" s="143" t="s">
        <v>3587</v>
      </c>
      <c r="G5139" s="63" t="str">
        <f>VLOOKUP(C5139, 'Class Def. - General Data'!$C$20:$C$1000,1,false)</f>
        <v>ZPM1_SP</v>
      </c>
      <c r="H5139" s="63" t="str">
        <f>IFERROR(__xludf.DUMMYFUNCTION("VLOOKUP(F5139, IMPORTRANGE(""https://docs.google.com/spreadsheets/d/1Lhp9OU0JdFf_VYSMzH5lBcEaU4o8teT1piV-SNzShjg/edit?gid=554141278#gid=554141278"", ""'Char Def. - Attributes'!C20:C2242""), 1,false)"),"PLANT_BUY")</f>
        <v>PLANT_BUY</v>
      </c>
      <c r="I5139" s="136"/>
    </row>
    <row r="5140" ht="15.75" customHeight="1">
      <c r="B5140" s="63">
        <f t="shared" si="1"/>
        <v>7</v>
      </c>
      <c r="C5140" s="146" t="s">
        <v>254</v>
      </c>
      <c r="D5140" s="147" t="s">
        <v>74</v>
      </c>
      <c r="E5140" s="135">
        <f t="shared" si="59"/>
        <v>28</v>
      </c>
      <c r="F5140" s="143" t="s">
        <v>3865</v>
      </c>
      <c r="G5140" s="63" t="str">
        <f>VLOOKUP(C5140, 'Class Def. - General Data'!$C$20:$C$1000,1,false)</f>
        <v>ZPM1_SP</v>
      </c>
      <c r="H5140" s="63" t="str">
        <f>IFERROR(__xludf.DUMMYFUNCTION("VLOOKUP(F5140, IMPORTRANGE(""https://docs.google.com/spreadsheets/d/1Lhp9OU0JdFf_VYSMzH5lBcEaU4o8teT1piV-SNzShjg/edit?gid=554141278#gid=554141278"", ""'Char Def. - Attributes'!C20:C2242""), 1,false)"),"PLANT_PROD_OPT")</f>
        <v>PLANT_PROD_OPT</v>
      </c>
      <c r="I5140" s="136"/>
    </row>
    <row r="5141" ht="15.75" customHeight="1">
      <c r="B5141" s="63">
        <f t="shared" si="1"/>
        <v>7</v>
      </c>
      <c r="C5141" s="146" t="s">
        <v>254</v>
      </c>
      <c r="D5141" s="147" t="s">
        <v>74</v>
      </c>
      <c r="E5141" s="135">
        <f t="shared" si="59"/>
        <v>29</v>
      </c>
      <c r="F5141" s="143" t="s">
        <v>3866</v>
      </c>
      <c r="G5141" s="63" t="str">
        <f>VLOOKUP(C5141, 'Class Def. - General Data'!$C$20:$C$1000,1,false)</f>
        <v>ZPM1_SP</v>
      </c>
      <c r="H5141" s="63" t="str">
        <f>IFERROR(__xludf.DUMMYFUNCTION("VLOOKUP(F5141, IMPORTRANGE(""https://docs.google.com/spreadsheets/d/1Lhp9OU0JdFf_VYSMzH5lBcEaU4o8teT1piV-SNzShjg/edit?gid=554141278#gid=554141278"", ""'Char Def. - Attributes'!C20:C2242""), 1,false)"),"PM_SUPPLY_JKT")</f>
        <v>PM_SUPPLY_JKT</v>
      </c>
      <c r="I5141" s="136"/>
    </row>
    <row r="5142" ht="15.75" customHeight="1">
      <c r="B5142" s="63">
        <f t="shared" si="1"/>
        <v>7</v>
      </c>
      <c r="C5142" s="146" t="s">
        <v>254</v>
      </c>
      <c r="D5142" s="147" t="s">
        <v>74</v>
      </c>
      <c r="E5142" s="135">
        <f t="shared" si="59"/>
        <v>30</v>
      </c>
      <c r="F5142" s="143" t="s">
        <v>3867</v>
      </c>
      <c r="G5142" s="63" t="str">
        <f>VLOOKUP(C5142, 'Class Def. - General Data'!$C$20:$C$1000,1,false)</f>
        <v>ZPM1_SP</v>
      </c>
      <c r="H5142" s="63" t="str">
        <f>IFERROR(__xludf.DUMMYFUNCTION("VLOOKUP(F5142, IMPORTRANGE(""https://docs.google.com/spreadsheets/d/1Lhp9OU0JdFf_VYSMzH5lBcEaU4o8teT1piV-SNzShjg/edit?gid=554141278#gid=554141278"", ""'Char Def. - Attributes'!C20:C2242""), 1,false)"),"PM_SUPPLY_SBY")</f>
        <v>PM_SUPPLY_SBY</v>
      </c>
      <c r="I5142" s="136"/>
    </row>
    <row r="5143" ht="15.75" customHeight="1">
      <c r="B5143" s="63">
        <f t="shared" si="1"/>
        <v>7</v>
      </c>
      <c r="C5143" s="146" t="s">
        <v>254</v>
      </c>
      <c r="D5143" s="147" t="s">
        <v>74</v>
      </c>
      <c r="E5143" s="135">
        <f t="shared" si="59"/>
        <v>31</v>
      </c>
      <c r="F5143" s="143" t="s">
        <v>3868</v>
      </c>
      <c r="G5143" s="63" t="str">
        <f>VLOOKUP(C5143, 'Class Def. - General Data'!$C$20:$C$1000,1,false)</f>
        <v>ZPM1_SP</v>
      </c>
      <c r="H5143" s="63" t="str">
        <f>IFERROR(__xludf.DUMMYFUNCTION("VLOOKUP(F5143, IMPORTRANGE(""https://docs.google.com/spreadsheets/d/1Lhp9OU0JdFf_VYSMzH5lBcEaU4o8teT1piV-SNzShjg/edit?gid=554141278#gid=554141278"", ""'Char Def. - Attributes'!C20:C2242""), 1,false)"),"BASIC_UOM_RMPM")</f>
        <v>BASIC_UOM_RMPM</v>
      </c>
      <c r="I5143" s="136"/>
    </row>
    <row r="5144" ht="15.75" customHeight="1">
      <c r="B5144" s="63">
        <f t="shared" si="1"/>
        <v>7</v>
      </c>
      <c r="C5144" s="146" t="s">
        <v>254</v>
      </c>
      <c r="D5144" s="147" t="s">
        <v>74</v>
      </c>
      <c r="E5144" s="135">
        <f t="shared" si="59"/>
        <v>32</v>
      </c>
      <c r="F5144" s="143" t="s">
        <v>3869</v>
      </c>
      <c r="G5144" s="63" t="str">
        <f>VLOOKUP(C5144, 'Class Def. - General Data'!$C$20:$C$1000,1,false)</f>
        <v>ZPM1_SP</v>
      </c>
      <c r="H5144" s="63" t="str">
        <f>IFERROR(__xludf.DUMMYFUNCTION("VLOOKUP(F5144, IMPORTRANGE(""https://docs.google.com/spreadsheets/d/1Lhp9OU0JdFf_VYSMzH5lBcEaU4o8teT1piV-SNzShjg/edit?gid=554141278#gid=554141278"", ""'Char Def. - Attributes'!C20:C2242""), 1,false)"),"ALT_UOM1_RMPM")</f>
        <v>ALT_UOM1_RMPM</v>
      </c>
      <c r="I5144" s="136"/>
    </row>
    <row r="5145" ht="15.75" customHeight="1">
      <c r="B5145" s="63">
        <f t="shared" si="1"/>
        <v>7</v>
      </c>
      <c r="C5145" s="146" t="s">
        <v>254</v>
      </c>
      <c r="D5145" s="147" t="s">
        <v>74</v>
      </c>
      <c r="E5145" s="135">
        <f t="shared" si="59"/>
        <v>33</v>
      </c>
      <c r="F5145" s="143" t="s">
        <v>3805</v>
      </c>
      <c r="G5145" s="63" t="str">
        <f>VLOOKUP(C5145, 'Class Def. - General Data'!$C$20:$C$1000,1,false)</f>
        <v>ZPM1_SP</v>
      </c>
      <c r="H5145" s="63" t="str">
        <f>IFERROR(__xludf.DUMMYFUNCTION("VLOOKUP(F5145, IMPORTRANGE(""https://docs.google.com/spreadsheets/d/1Lhp9OU0JdFf_VYSMzH5lBcEaU4o8teT1piV-SNzShjg/edit?gid=554141278#gid=554141278"", ""'Char Def. - Attributes'!C20:C2242""), 1,false)"),"ALT_DENUM_UOM1")</f>
        <v>ALT_DENUM_UOM1</v>
      </c>
      <c r="I5145" s="136"/>
    </row>
    <row r="5146" ht="15.75" customHeight="1">
      <c r="B5146" s="63">
        <f t="shared" si="1"/>
        <v>7</v>
      </c>
      <c r="C5146" s="146" t="s">
        <v>254</v>
      </c>
      <c r="D5146" s="147" t="s">
        <v>74</v>
      </c>
      <c r="E5146" s="135">
        <f t="shared" si="59"/>
        <v>34</v>
      </c>
      <c r="F5146" s="143" t="s">
        <v>3806</v>
      </c>
      <c r="G5146" s="63" t="str">
        <f>VLOOKUP(C5146, 'Class Def. - General Data'!$C$20:$C$1000,1,false)</f>
        <v>ZPM1_SP</v>
      </c>
      <c r="H5146" s="63" t="str">
        <f>IFERROR(__xludf.DUMMYFUNCTION("VLOOKUP(F5146, IMPORTRANGE(""https://docs.google.com/spreadsheets/d/1Lhp9OU0JdFf_VYSMzH5lBcEaU4o8teT1piV-SNzShjg/edit?gid=554141278#gid=554141278"", ""'Char Def. - Attributes'!C20:C2242""), 1,false)"),"ALT_NUM_UOM1")</f>
        <v>ALT_NUM_UOM1</v>
      </c>
      <c r="I5146" s="136"/>
    </row>
    <row r="5147" ht="15.75" customHeight="1">
      <c r="B5147" s="63">
        <f t="shared" si="1"/>
        <v>7</v>
      </c>
      <c r="C5147" s="146" t="s">
        <v>254</v>
      </c>
      <c r="D5147" s="147" t="s">
        <v>74</v>
      </c>
      <c r="E5147" s="135">
        <f t="shared" si="59"/>
        <v>35</v>
      </c>
      <c r="F5147" s="143" t="s">
        <v>3870</v>
      </c>
      <c r="G5147" s="63" t="str">
        <f>VLOOKUP(C5147, 'Class Def. - General Data'!$C$20:$C$1000,1,false)</f>
        <v>ZPM1_SP</v>
      </c>
      <c r="H5147" s="63" t="str">
        <f>IFERROR(__xludf.DUMMYFUNCTION("VLOOKUP(F5147, IMPORTRANGE(""https://docs.google.com/spreadsheets/d/1Lhp9OU0JdFf_VYSMzH5lBcEaU4o8teT1piV-SNzShjg/edit?gid=554141278#gid=554141278"", ""'Char Def. - Attributes'!C20:C2242""), 1,false)"),"ALT_UOM2_RMPM")</f>
        <v>ALT_UOM2_RMPM</v>
      </c>
      <c r="I5147" s="136"/>
    </row>
    <row r="5148" ht="15.75" customHeight="1">
      <c r="B5148" s="63">
        <f t="shared" si="1"/>
        <v>7</v>
      </c>
      <c r="C5148" s="146" t="s">
        <v>254</v>
      </c>
      <c r="D5148" s="147" t="s">
        <v>74</v>
      </c>
      <c r="E5148" s="135">
        <f t="shared" si="59"/>
        <v>36</v>
      </c>
      <c r="F5148" s="143" t="s">
        <v>3808</v>
      </c>
      <c r="G5148" s="63" t="str">
        <f>VLOOKUP(C5148, 'Class Def. - General Data'!$C$20:$C$1000,1,false)</f>
        <v>ZPM1_SP</v>
      </c>
      <c r="H5148" s="63" t="str">
        <f>IFERROR(__xludf.DUMMYFUNCTION("VLOOKUP(F5148, IMPORTRANGE(""https://docs.google.com/spreadsheets/d/1Lhp9OU0JdFf_VYSMzH5lBcEaU4o8teT1piV-SNzShjg/edit?gid=554141278#gid=554141278"", ""'Char Def. - Attributes'!C20:C2242""), 1,false)"),"ALT_DENUM_UOM2")</f>
        <v>ALT_DENUM_UOM2</v>
      </c>
      <c r="I5148" s="136"/>
    </row>
    <row r="5149" ht="15.75" customHeight="1">
      <c r="B5149" s="63">
        <f t="shared" si="1"/>
        <v>7</v>
      </c>
      <c r="C5149" s="146" t="s">
        <v>254</v>
      </c>
      <c r="D5149" s="147" t="s">
        <v>74</v>
      </c>
      <c r="E5149" s="135">
        <f t="shared" si="59"/>
        <v>37</v>
      </c>
      <c r="F5149" s="143" t="s">
        <v>3809</v>
      </c>
      <c r="G5149" s="63" t="str">
        <f>VLOOKUP(C5149, 'Class Def. - General Data'!$C$20:$C$1000,1,false)</f>
        <v>ZPM1_SP</v>
      </c>
      <c r="H5149" s="63" t="str">
        <f>IFERROR(__xludf.DUMMYFUNCTION("VLOOKUP(F5149, IMPORTRANGE(""https://docs.google.com/spreadsheets/d/1Lhp9OU0JdFf_VYSMzH5lBcEaU4o8teT1piV-SNzShjg/edit?gid=554141278#gid=554141278"", ""'Char Def. - Attributes'!C20:C2242""), 1,false)"),"ALT_NUM_UOM2")</f>
        <v>ALT_NUM_UOM2</v>
      </c>
      <c r="I5149" s="136"/>
    </row>
    <row r="5150" ht="15.75" customHeight="1">
      <c r="B5150" s="63">
        <f t="shared" si="1"/>
        <v>7</v>
      </c>
      <c r="C5150" s="146" t="s">
        <v>254</v>
      </c>
      <c r="D5150" s="147" t="s">
        <v>74</v>
      </c>
      <c r="E5150" s="135">
        <f t="shared" si="59"/>
        <v>38</v>
      </c>
      <c r="F5150" s="143" t="s">
        <v>3871</v>
      </c>
      <c r="G5150" s="63" t="str">
        <f>VLOOKUP(C5150, 'Class Def. - General Data'!$C$20:$C$1000,1,false)</f>
        <v>ZPM1_SP</v>
      </c>
      <c r="H5150" s="63" t="str">
        <f>IFERROR(__xludf.DUMMYFUNCTION("VLOOKUP(F5150, IMPORTRANGE(""https://docs.google.com/spreadsheets/d/1Lhp9OU0JdFf_VYSMzH5lBcEaU4o8teT1piV-SNzShjg/edit?gid=554141278#gid=554141278"", ""'Char Def. - Attributes'!C20:C2242""), 1,false)"),"ALT_UOM3_RMPM")</f>
        <v>ALT_UOM3_RMPM</v>
      </c>
      <c r="I5150" s="136"/>
    </row>
    <row r="5151" ht="15.75" customHeight="1">
      <c r="B5151" s="63">
        <f t="shared" si="1"/>
        <v>7</v>
      </c>
      <c r="C5151" s="146" t="s">
        <v>254</v>
      </c>
      <c r="D5151" s="147" t="s">
        <v>74</v>
      </c>
      <c r="E5151" s="135">
        <f t="shared" si="59"/>
        <v>39</v>
      </c>
      <c r="F5151" s="143" t="s">
        <v>3811</v>
      </c>
      <c r="G5151" s="63" t="str">
        <f>VLOOKUP(C5151, 'Class Def. - General Data'!$C$20:$C$1000,1,false)</f>
        <v>ZPM1_SP</v>
      </c>
      <c r="H5151" s="63" t="str">
        <f>IFERROR(__xludf.DUMMYFUNCTION("VLOOKUP(F5151, IMPORTRANGE(""https://docs.google.com/spreadsheets/d/1Lhp9OU0JdFf_VYSMzH5lBcEaU4o8teT1piV-SNzShjg/edit?gid=554141278#gid=554141278"", ""'Char Def. - Attributes'!C20:C2242""), 1,false)"),"ALT_DENUM_UOM3")</f>
        <v>ALT_DENUM_UOM3</v>
      </c>
      <c r="I5151" s="136"/>
    </row>
    <row r="5152" ht="15.75" customHeight="1">
      <c r="B5152" s="63">
        <f t="shared" si="1"/>
        <v>7</v>
      </c>
      <c r="C5152" s="146" t="s">
        <v>254</v>
      </c>
      <c r="D5152" s="147" t="s">
        <v>74</v>
      </c>
      <c r="E5152" s="135">
        <f t="shared" si="59"/>
        <v>40</v>
      </c>
      <c r="F5152" s="143" t="s">
        <v>3812</v>
      </c>
      <c r="G5152" s="63" t="str">
        <f>VLOOKUP(C5152, 'Class Def. - General Data'!$C$20:$C$1000,1,false)</f>
        <v>ZPM1_SP</v>
      </c>
      <c r="H5152" s="63" t="str">
        <f>IFERROR(__xludf.DUMMYFUNCTION("VLOOKUP(F5152, IMPORTRANGE(""https://docs.google.com/spreadsheets/d/1Lhp9OU0JdFf_VYSMzH5lBcEaU4o8teT1piV-SNzShjg/edit?gid=554141278#gid=554141278"", ""'Char Def. - Attributes'!C20:C2242""), 1,false)"),"ALT_NUM_UOM3")</f>
        <v>ALT_NUM_UOM3</v>
      </c>
      <c r="I5152" s="136"/>
    </row>
    <row r="5153" ht="15.75" customHeight="1">
      <c r="B5153" s="63">
        <f t="shared" si="1"/>
        <v>7</v>
      </c>
      <c r="C5153" s="146" t="s">
        <v>254</v>
      </c>
      <c r="D5153" s="147" t="s">
        <v>74</v>
      </c>
      <c r="E5153" s="135">
        <f t="shared" si="59"/>
        <v>41</v>
      </c>
      <c r="F5153" s="143" t="s">
        <v>3872</v>
      </c>
      <c r="G5153" s="63" t="str">
        <f>VLOOKUP(C5153, 'Class Def. - General Data'!$C$20:$C$1000,1,false)</f>
        <v>ZPM1_SP</v>
      </c>
      <c r="H5153" s="63" t="str">
        <f>IFERROR(__xludf.DUMMYFUNCTION("VLOOKUP(F5153, IMPORTRANGE(""https://docs.google.com/spreadsheets/d/1Lhp9OU0JdFf_VYSMzH5lBcEaU4o8teT1piV-SNzShjg/edit?gid=554141278#gid=554141278"", ""'Char Def. - Attributes'!C20:C2242""), 1,false)"),"ALT_UOM4_RMPM")</f>
        <v>ALT_UOM4_RMPM</v>
      </c>
      <c r="I5153" s="136"/>
    </row>
    <row r="5154" ht="15.75" customHeight="1">
      <c r="B5154" s="63">
        <f t="shared" si="1"/>
        <v>7</v>
      </c>
      <c r="C5154" s="146" t="s">
        <v>254</v>
      </c>
      <c r="D5154" s="147" t="s">
        <v>74</v>
      </c>
      <c r="E5154" s="135">
        <f t="shared" si="59"/>
        <v>42</v>
      </c>
      <c r="F5154" s="143" t="s">
        <v>3814</v>
      </c>
      <c r="G5154" s="63" t="str">
        <f>VLOOKUP(C5154, 'Class Def. - General Data'!$C$20:$C$1000,1,false)</f>
        <v>ZPM1_SP</v>
      </c>
      <c r="H5154" s="63" t="str">
        <f>IFERROR(__xludf.DUMMYFUNCTION("VLOOKUP(F5154, IMPORTRANGE(""https://docs.google.com/spreadsheets/d/1Lhp9OU0JdFf_VYSMzH5lBcEaU4o8teT1piV-SNzShjg/edit?gid=554141278#gid=554141278"", ""'Char Def. - Attributes'!C20:C2242""), 1,false)"),"ALT_DENUM_UOM4")</f>
        <v>ALT_DENUM_UOM4</v>
      </c>
      <c r="I5154" s="136"/>
    </row>
    <row r="5155" ht="15.75" customHeight="1">
      <c r="B5155" s="63">
        <f t="shared" si="1"/>
        <v>7</v>
      </c>
      <c r="C5155" s="146" t="s">
        <v>254</v>
      </c>
      <c r="D5155" s="147" t="s">
        <v>74</v>
      </c>
      <c r="E5155" s="135">
        <f t="shared" si="59"/>
        <v>43</v>
      </c>
      <c r="F5155" s="143" t="s">
        <v>3815</v>
      </c>
      <c r="G5155" s="63" t="str">
        <f>VLOOKUP(C5155, 'Class Def. - General Data'!$C$20:$C$1000,1,false)</f>
        <v>ZPM1_SP</v>
      </c>
      <c r="H5155" s="63" t="str">
        <f>IFERROR(__xludf.DUMMYFUNCTION("VLOOKUP(F5155, IMPORTRANGE(""https://docs.google.com/spreadsheets/d/1Lhp9OU0JdFf_VYSMzH5lBcEaU4o8teT1piV-SNzShjg/edit?gid=554141278#gid=554141278"", ""'Char Def. - Attributes'!C20:C2242""), 1,false)"),"ALT_NUM_UOM4")</f>
        <v>ALT_NUM_UOM4</v>
      </c>
      <c r="I5155" s="136"/>
    </row>
    <row r="5156" ht="15.75" customHeight="1">
      <c r="B5156" s="63">
        <f t="shared" si="1"/>
        <v>7</v>
      </c>
      <c r="C5156" s="146" t="s">
        <v>254</v>
      </c>
      <c r="D5156" s="147" t="s">
        <v>74</v>
      </c>
      <c r="E5156" s="135">
        <f t="shared" si="59"/>
        <v>44</v>
      </c>
      <c r="F5156" s="143" t="s">
        <v>3873</v>
      </c>
      <c r="G5156" s="63" t="str">
        <f>VLOOKUP(C5156, 'Class Def. - General Data'!$C$20:$C$1000,1,false)</f>
        <v>ZPM1_SP</v>
      </c>
      <c r="H5156" s="63" t="str">
        <f>IFERROR(__xludf.DUMMYFUNCTION("VLOOKUP(F5156, IMPORTRANGE(""https://docs.google.com/spreadsheets/d/1Lhp9OU0JdFf_VYSMzH5lBcEaU4o8teT1piV-SNzShjg/edit?gid=554141278#gid=554141278"", ""'Char Def. - Attributes'!C20:C2242""), 1,false)"),"ALT_UOM5_RMPM")</f>
        <v>ALT_UOM5_RMPM</v>
      </c>
      <c r="I5156" s="136"/>
    </row>
    <row r="5157" ht="15.75" customHeight="1">
      <c r="B5157" s="63">
        <f t="shared" si="1"/>
        <v>7</v>
      </c>
      <c r="C5157" s="146" t="s">
        <v>254</v>
      </c>
      <c r="D5157" s="147" t="s">
        <v>74</v>
      </c>
      <c r="E5157" s="135">
        <f t="shared" si="59"/>
        <v>45</v>
      </c>
      <c r="F5157" s="143" t="s">
        <v>3817</v>
      </c>
      <c r="G5157" s="63" t="str">
        <f>VLOOKUP(C5157, 'Class Def. - General Data'!$C$20:$C$1000,1,false)</f>
        <v>ZPM1_SP</v>
      </c>
      <c r="H5157" s="63" t="str">
        <f>IFERROR(__xludf.DUMMYFUNCTION("VLOOKUP(F5157, IMPORTRANGE(""https://docs.google.com/spreadsheets/d/1Lhp9OU0JdFf_VYSMzH5lBcEaU4o8teT1piV-SNzShjg/edit?gid=554141278#gid=554141278"", ""'Char Def. - Attributes'!C20:C2242""), 1,false)"),"ALT_DENUM_UOM5")</f>
        <v>ALT_DENUM_UOM5</v>
      </c>
      <c r="I5157" s="136"/>
    </row>
    <row r="5158" ht="15.75" customHeight="1">
      <c r="B5158" s="63">
        <f t="shared" si="1"/>
        <v>7</v>
      </c>
      <c r="C5158" s="146" t="s">
        <v>254</v>
      </c>
      <c r="D5158" s="147" t="s">
        <v>74</v>
      </c>
      <c r="E5158" s="135">
        <f t="shared" si="59"/>
        <v>46</v>
      </c>
      <c r="F5158" s="143" t="s">
        <v>3818</v>
      </c>
      <c r="G5158" s="63" t="str">
        <f>VLOOKUP(C5158, 'Class Def. - General Data'!$C$20:$C$1000,1,false)</f>
        <v>ZPM1_SP</v>
      </c>
      <c r="H5158" s="63" t="str">
        <f>IFERROR(__xludf.DUMMYFUNCTION("VLOOKUP(F5158, IMPORTRANGE(""https://docs.google.com/spreadsheets/d/1Lhp9OU0JdFf_VYSMzH5lBcEaU4o8teT1piV-SNzShjg/edit?gid=554141278#gid=554141278"", ""'Char Def. - Attributes'!C20:C2242""), 1,false)"),"ALT_NUM_UOM5")</f>
        <v>ALT_NUM_UOM5</v>
      </c>
      <c r="I5158" s="136"/>
    </row>
    <row r="5159" ht="15.75" customHeight="1">
      <c r="B5159" s="63">
        <f t="shared" si="1"/>
        <v>7</v>
      </c>
      <c r="C5159" s="146" t="s">
        <v>254</v>
      </c>
      <c r="D5159" s="147" t="s">
        <v>74</v>
      </c>
      <c r="E5159" s="135">
        <f t="shared" si="59"/>
        <v>47</v>
      </c>
      <c r="F5159" s="143" t="s">
        <v>3874</v>
      </c>
      <c r="G5159" s="63" t="str">
        <f>VLOOKUP(C5159, 'Class Def. - General Data'!$C$20:$C$1000,1,false)</f>
        <v>ZPM1_SP</v>
      </c>
      <c r="H5159" s="63" t="str">
        <f>IFERROR(__xludf.DUMMYFUNCTION("VLOOKUP(F5159, IMPORTRANGE(""https://docs.google.com/spreadsheets/d/1Lhp9OU0JdFf_VYSMzH5lBcEaU4o8teT1piV-SNzShjg/edit?gid=554141278#gid=554141278"", ""'Char Def. - Attributes'!C20:C2242""), 1,false)"),"VALUATION_CATEGORY")</f>
        <v>VALUATION_CATEGORY</v>
      </c>
      <c r="I5159" s="136"/>
    </row>
    <row r="5160" ht="15.75" customHeight="1">
      <c r="B5160" s="63">
        <f t="shared" si="1"/>
        <v>7</v>
      </c>
      <c r="C5160" s="146" t="s">
        <v>254</v>
      </c>
      <c r="D5160" s="147" t="s">
        <v>74</v>
      </c>
      <c r="E5160" s="135">
        <f t="shared" si="59"/>
        <v>48</v>
      </c>
      <c r="F5160" s="143" t="s">
        <v>3800</v>
      </c>
      <c r="G5160" s="63" t="str">
        <f>VLOOKUP(C5160, 'Class Def. - General Data'!$C$20:$C$1000,1,false)</f>
        <v>ZPM1_SP</v>
      </c>
      <c r="H5160" s="63" t="str">
        <f>IFERROR(__xludf.DUMMYFUNCTION("VLOOKUP(F5160, IMPORTRANGE(""https://docs.google.com/spreadsheets/d/1Lhp9OU0JdFf_VYSMzH5lBcEaU4o8teT1piV-SNzShjg/edit?gid=554141278#gid=554141278"", ""'Char Def. - Attributes'!C20:C2242""), 1,false)"),"ORDER_UNIT_DIFF_FROM_BASIC_UOM")</f>
        <v>ORDER_UNIT_DIFF_FROM_BASIC_UOM</v>
      </c>
      <c r="I5160" s="136"/>
    </row>
    <row r="5161" ht="15.75" customHeight="1">
      <c r="B5161" s="63">
        <f t="shared" si="1"/>
        <v>7</v>
      </c>
      <c r="C5161" s="146" t="s">
        <v>254</v>
      </c>
      <c r="D5161" s="147" t="s">
        <v>74</v>
      </c>
      <c r="E5161" s="135">
        <f t="shared" si="59"/>
        <v>49</v>
      </c>
      <c r="F5161" s="143" t="s">
        <v>3875</v>
      </c>
      <c r="G5161" s="63" t="str">
        <f>VLOOKUP(C5161, 'Class Def. - General Data'!$C$20:$C$1000,1,false)</f>
        <v>ZPM1_SP</v>
      </c>
      <c r="H5161" s="63" t="str">
        <f>IFERROR(__xludf.DUMMYFUNCTION("VLOOKUP(F5161, IMPORTRANGE(""https://docs.google.com/spreadsheets/d/1Lhp9OU0JdFf_VYSMzH5lBcEaU4o8teT1piV-SNzShjg/edit?gid=554141278#gid=554141278"", ""'Char Def. - Attributes'!C20:C2242""), 1,false)"),"ORDER_UNIT_RMPM")</f>
        <v>ORDER_UNIT_RMPM</v>
      </c>
      <c r="I5161" s="136"/>
    </row>
    <row r="5162" ht="15.75" customHeight="1">
      <c r="B5162" s="63">
        <f t="shared" si="1"/>
        <v>7</v>
      </c>
      <c r="C5162" s="146" t="s">
        <v>254</v>
      </c>
      <c r="D5162" s="147" t="s">
        <v>74</v>
      </c>
      <c r="E5162" s="135">
        <f t="shared" si="59"/>
        <v>50</v>
      </c>
      <c r="F5162" s="143" t="s">
        <v>3602</v>
      </c>
      <c r="G5162" s="63" t="str">
        <f>VLOOKUP(C5162, 'Class Def. - General Data'!$C$20:$C$1000,1,false)</f>
        <v>ZPM1_SP</v>
      </c>
      <c r="H5162" s="63" t="str">
        <f>IFERROR(__xludf.DUMMYFUNCTION("VLOOKUP(F5162, IMPORTRANGE(""https://docs.google.com/spreadsheets/d/1Lhp9OU0JdFf_VYSMzH5lBcEaU4o8teT1piV-SNzShjg/edit?gid=554141278#gid=554141278"", ""'Char Def. - Attributes'!C20:C2242""), 1,false)"),"NET_WEIGHT")</f>
        <v>NET_WEIGHT</v>
      </c>
      <c r="I5162" s="136"/>
    </row>
    <row r="5163" ht="15.75" customHeight="1">
      <c r="B5163" s="63">
        <f t="shared" si="1"/>
        <v>7</v>
      </c>
      <c r="C5163" s="146" t="s">
        <v>254</v>
      </c>
      <c r="D5163" s="147" t="s">
        <v>74</v>
      </c>
      <c r="E5163" s="135">
        <f t="shared" si="59"/>
        <v>51</v>
      </c>
      <c r="F5163" s="143" t="s">
        <v>3601</v>
      </c>
      <c r="G5163" s="63" t="str">
        <f>VLOOKUP(C5163, 'Class Def. - General Data'!$C$20:$C$1000,1,false)</f>
        <v>ZPM1_SP</v>
      </c>
      <c r="H5163" s="63" t="str">
        <f>IFERROR(__xludf.DUMMYFUNCTION("VLOOKUP(F5163, IMPORTRANGE(""https://docs.google.com/spreadsheets/d/1Lhp9OU0JdFf_VYSMzH5lBcEaU4o8teT1piV-SNzShjg/edit?gid=554141278#gid=554141278"", ""'Char Def. - Attributes'!C20:C2242""), 1,false)"),"GROSS_WEIGHT")</f>
        <v>GROSS_WEIGHT</v>
      </c>
      <c r="I5163" s="136"/>
    </row>
    <row r="5164" ht="15.75" customHeight="1">
      <c r="B5164" s="63">
        <f t="shared" si="1"/>
        <v>7</v>
      </c>
      <c r="C5164" s="146" t="s">
        <v>254</v>
      </c>
      <c r="D5164" s="147" t="s">
        <v>74</v>
      </c>
      <c r="E5164" s="135">
        <f t="shared" si="59"/>
        <v>52</v>
      </c>
      <c r="F5164" s="143" t="s">
        <v>3876</v>
      </c>
      <c r="G5164" s="63" t="str">
        <f>VLOOKUP(C5164, 'Class Def. - General Data'!$C$20:$C$1000,1,false)</f>
        <v>ZPM1_SP</v>
      </c>
      <c r="H5164" s="63" t="str">
        <f>IFERROR(__xludf.DUMMYFUNCTION("VLOOKUP(F5164, IMPORTRANGE(""https://docs.google.com/spreadsheets/d/1Lhp9OU0JdFf_VYSMzH5lBcEaU4o8teT1piV-SNzShjg/edit?gid=554141278#gid=554141278"", ""'Char Def. - Attributes'!C20:C2242""), 1,false)"),"WEIGHT_UNIT_PM")</f>
        <v>WEIGHT_UNIT_PM</v>
      </c>
      <c r="I5164" s="136"/>
    </row>
    <row r="5165" ht="15.75" customHeight="1">
      <c r="B5165" s="63">
        <f t="shared" si="1"/>
        <v>7</v>
      </c>
      <c r="C5165" s="146" t="s">
        <v>254</v>
      </c>
      <c r="D5165" s="147" t="s">
        <v>74</v>
      </c>
      <c r="E5165" s="135">
        <f t="shared" si="59"/>
        <v>53</v>
      </c>
      <c r="F5165" s="143" t="s">
        <v>3877</v>
      </c>
      <c r="G5165" s="63" t="str">
        <f>VLOOKUP(C5165, 'Class Def. - General Data'!$C$20:$C$1000,1,false)</f>
        <v>ZPM1_SP</v>
      </c>
      <c r="H5165" s="63" t="str">
        <f>IFERROR(__xludf.DUMMYFUNCTION("VLOOKUP(F5165, IMPORTRANGE(""https://docs.google.com/spreadsheets/d/1Lhp9OU0JdFf_VYSMzH5lBcEaU4o8teT1piV-SNzShjg/edit?gid=554141278#gid=554141278"", ""'Char Def. - Attributes'!C20:C2242""), 1,false)"),"VOLUME_OPT")</f>
        <v>VOLUME_OPT</v>
      </c>
      <c r="I5165" s="136"/>
    </row>
    <row r="5166" ht="15.75" customHeight="1">
      <c r="B5166" s="63">
        <f t="shared" si="1"/>
        <v>7</v>
      </c>
      <c r="C5166" s="146" t="s">
        <v>254</v>
      </c>
      <c r="D5166" s="147" t="s">
        <v>74</v>
      </c>
      <c r="E5166" s="135">
        <f t="shared" si="59"/>
        <v>54</v>
      </c>
      <c r="F5166" s="143" t="s">
        <v>3878</v>
      </c>
      <c r="G5166" s="63" t="str">
        <f>VLOOKUP(C5166, 'Class Def. - General Data'!$C$20:$C$1000,1,false)</f>
        <v>ZPM1_SP</v>
      </c>
      <c r="H5166" s="63" t="str">
        <f>IFERROR(__xludf.DUMMYFUNCTION("VLOOKUP(F5166, IMPORTRANGE(""https://docs.google.com/spreadsheets/d/1Lhp9OU0JdFf_VYSMzH5lBcEaU4o8teT1piV-SNzShjg/edit?gid=554141278#gid=554141278"", ""'Char Def. - Attributes'!C20:C2242""), 1,false)"),"VOLUME_UNIT")</f>
        <v>VOLUME_UNIT</v>
      </c>
      <c r="I5166" s="136"/>
    </row>
    <row r="5167" ht="15.75" customHeight="1">
      <c r="B5167" s="63">
        <f t="shared" si="1"/>
        <v>7</v>
      </c>
      <c r="C5167" s="146" t="s">
        <v>254</v>
      </c>
      <c r="D5167" s="147" t="s">
        <v>74</v>
      </c>
      <c r="E5167" s="135">
        <f t="shared" si="59"/>
        <v>55</v>
      </c>
      <c r="F5167" s="143" t="s">
        <v>3879</v>
      </c>
      <c r="G5167" s="63" t="str">
        <f>VLOOKUP(C5167, 'Class Def. - General Data'!$C$20:$C$1000,1,false)</f>
        <v>ZPM1_SP</v>
      </c>
      <c r="H5167" s="63" t="str">
        <f>IFERROR(__xludf.DUMMYFUNCTION("VLOOKUP(F5167, IMPORTRANGE(""https://docs.google.com/spreadsheets/d/1Lhp9OU0JdFf_VYSMzH5lBcEaU4o8teT1piV-SNzShjg/edit?gid=554141278#gid=554141278"", ""'Char Def. - Attributes'!C20:C2242""), 1,false)"),"OLD_MAT_NO_RMPM")</f>
        <v>OLD_MAT_NO_RMPM</v>
      </c>
      <c r="I5167" s="136"/>
    </row>
    <row r="5168" ht="15.75" customHeight="1">
      <c r="B5168" s="63">
        <f t="shared" si="1"/>
        <v>7</v>
      </c>
      <c r="C5168" s="146" t="s">
        <v>254</v>
      </c>
      <c r="D5168" s="147" t="s">
        <v>74</v>
      </c>
      <c r="E5168" s="135">
        <f t="shared" si="59"/>
        <v>56</v>
      </c>
      <c r="F5168" s="143" t="s">
        <v>3880</v>
      </c>
      <c r="G5168" s="63" t="str">
        <f>VLOOKUP(C5168, 'Class Def. - General Data'!$C$20:$C$1000,1,false)</f>
        <v>ZPM1_SP</v>
      </c>
      <c r="H5168" s="63" t="str">
        <f>IFERROR(__xludf.DUMMYFUNCTION("VLOOKUP(F5168, IMPORTRANGE(""https://docs.google.com/spreadsheets/d/1Lhp9OU0JdFf_VYSMzH5lBcEaU4o8teT1piV-SNzShjg/edit?gid=554141278#gid=554141278"", ""'Char Def. - Attributes'!C20:C2242""), 1,false)"),"NOTE_PM")</f>
        <v>NOTE_PM</v>
      </c>
      <c r="I5168" s="136"/>
    </row>
    <row r="5169" ht="15.75" customHeight="1">
      <c r="B5169" s="63">
        <f t="shared" si="1"/>
        <v>7</v>
      </c>
      <c r="C5169" s="146" t="s">
        <v>254</v>
      </c>
      <c r="D5169" s="147" t="s">
        <v>74</v>
      </c>
      <c r="E5169" s="135">
        <f t="shared" si="59"/>
        <v>57</v>
      </c>
      <c r="F5169" s="143" t="s">
        <v>3881</v>
      </c>
      <c r="G5169" s="63" t="str">
        <f>VLOOKUP(C5169, 'Class Def. - General Data'!$C$20:$C$1000,1,false)</f>
        <v>ZPM1_SP</v>
      </c>
      <c r="H5169" s="63" t="str">
        <f>IFERROR(__xludf.DUMMYFUNCTION("VLOOKUP(F5169, IMPORTRANGE(""https://docs.google.com/spreadsheets/d/1Lhp9OU0JdFf_VYSMzH5lBcEaU4o8teT1piV-SNzShjg/edit?gid=554141278#gid=554141278"", ""'Char Def. - Attributes'!C20:C2242""), 1,false)"),"BS_BERSIH")</f>
        <v>BS_BERSIH</v>
      </c>
      <c r="I5169" s="136"/>
    </row>
    <row r="5170" ht="15.75" customHeight="1">
      <c r="B5170" s="63">
        <f t="shared" si="1"/>
        <v>7</v>
      </c>
      <c r="C5170" s="146" t="s">
        <v>254</v>
      </c>
      <c r="D5170" s="147" t="s">
        <v>74</v>
      </c>
      <c r="E5170" s="135">
        <f t="shared" si="59"/>
        <v>58</v>
      </c>
      <c r="F5170" s="143" t="s">
        <v>3882</v>
      </c>
      <c r="G5170" s="63" t="str">
        <f>VLOOKUP(C5170, 'Class Def. - General Data'!$C$20:$C$1000,1,false)</f>
        <v>ZPM1_SP</v>
      </c>
      <c r="H5170" s="63" t="str">
        <f>IFERROR(__xludf.DUMMYFUNCTION("VLOOKUP(F5170, IMPORTRANGE(""https://docs.google.com/spreadsheets/d/1Lhp9OU0JdFf_VYSMzH5lBcEaU4o8teT1piV-SNzShjg/edit?gid=554141278#gid=554141278"", ""'Char Def. - Attributes'!C20:C2242""), 1,false)"),"BS_KOTOR")</f>
        <v>BS_KOTOR</v>
      </c>
      <c r="I5170" s="136"/>
    </row>
    <row r="5171" ht="15.75" customHeight="1">
      <c r="B5171" s="63">
        <f t="shared" si="1"/>
        <v>7</v>
      </c>
      <c r="C5171" s="146" t="s">
        <v>254</v>
      </c>
      <c r="D5171" s="147" t="s">
        <v>74</v>
      </c>
      <c r="E5171" s="135">
        <f t="shared" si="59"/>
        <v>59</v>
      </c>
      <c r="F5171" s="143" t="s">
        <v>3883</v>
      </c>
      <c r="G5171" s="63" t="str">
        <f>VLOOKUP(C5171, 'Class Def. - General Data'!$C$20:$C$1000,1,false)</f>
        <v>ZPM1_SP</v>
      </c>
      <c r="H5171" s="63" t="str">
        <f>IFERROR(__xludf.DUMMYFUNCTION("VLOOKUP(F5171, IMPORTRANGE(""https://docs.google.com/spreadsheets/d/1Lhp9OU0JdFf_VYSMzH5lBcEaU4o8teT1piV-SNzShjg/edit?gid=554141278#gid=554141278"", ""'Char Def. - Attributes'!C20:C2242""), 1,false)"),"BS_SCRAP")</f>
        <v>BS_SCRAP</v>
      </c>
      <c r="I5171" s="136"/>
    </row>
    <row r="5172" ht="15.75" customHeight="1">
      <c r="B5172" s="63">
        <f t="shared" si="1"/>
        <v>15</v>
      </c>
      <c r="C5172" s="146" t="s">
        <v>264</v>
      </c>
      <c r="D5172" s="147" t="s">
        <v>74</v>
      </c>
      <c r="E5172" s="135">
        <f t="shared" si="59"/>
        <v>1</v>
      </c>
      <c r="F5172" s="143" t="s">
        <v>3979</v>
      </c>
      <c r="G5172" s="63" t="str">
        <f>VLOOKUP(C5172, 'Class Def. - General Data'!$C$20:$C$1000,1,false)</f>
        <v>ZPM1_Spoon_Fork</v>
      </c>
      <c r="H5172" s="63" t="str">
        <f>IFERROR(__xludf.DUMMYFUNCTION("VLOOKUP(F5172, IMPORTRANGE(""https://docs.google.com/spreadsheets/d/1Lhp9OU0JdFf_VYSMzH5lBcEaU4o8teT1piV-SNzShjg/edit?gid=554141278#gid=554141278"", ""'Char Def. - Attributes'!C20:C2242""), 1,false)"),"MATERIAL_CODE_SPOON_FORK")</f>
        <v>MATERIAL_CODE_SPOON_FORK</v>
      </c>
      <c r="I5172" s="136"/>
    </row>
    <row r="5173" ht="15.75" customHeight="1">
      <c r="B5173" s="63">
        <f t="shared" si="1"/>
        <v>15</v>
      </c>
      <c r="C5173" s="146" t="s">
        <v>264</v>
      </c>
      <c r="D5173" s="147" t="s">
        <v>74</v>
      </c>
      <c r="E5173" s="135">
        <f t="shared" si="59"/>
        <v>2</v>
      </c>
      <c r="F5173" s="143" t="s">
        <v>3980</v>
      </c>
      <c r="G5173" s="63" t="str">
        <f>VLOOKUP(C5173, 'Class Def. - General Data'!$C$20:$C$1000,1,false)</f>
        <v>ZPM1_Spoon_Fork</v>
      </c>
      <c r="H5173" s="63" t="str">
        <f>IFERROR(__xludf.DUMMYFUNCTION("VLOOKUP(F5173, IMPORTRANGE(""https://docs.google.com/spreadsheets/d/1Lhp9OU0JdFf_VYSMzH5lBcEaU4o8teT1piV-SNzShjg/edit?gid=554141278#gid=554141278"", ""'Char Def. - Attributes'!C20:C2242""), 1,false)"),"PACK_FUNCTION")</f>
        <v>PACK_FUNCTION</v>
      </c>
      <c r="I5173" s="136"/>
    </row>
    <row r="5174" ht="15.75" customHeight="1">
      <c r="B5174" s="63">
        <f t="shared" si="1"/>
        <v>15</v>
      </c>
      <c r="C5174" s="146" t="s">
        <v>264</v>
      </c>
      <c r="D5174" s="147" t="s">
        <v>74</v>
      </c>
      <c r="E5174" s="135">
        <f t="shared" si="59"/>
        <v>3</v>
      </c>
      <c r="F5174" s="143" t="s">
        <v>3962</v>
      </c>
      <c r="G5174" s="63" t="str">
        <f>VLOOKUP(C5174, 'Class Def. - General Data'!$C$20:$C$1000,1,false)</f>
        <v>ZPM1_Spoon_Fork</v>
      </c>
      <c r="H5174" s="63" t="str">
        <f>IFERROR(__xludf.DUMMYFUNCTION("VLOOKUP(F5174, IMPORTRANGE(""https://docs.google.com/spreadsheets/d/1Lhp9OU0JdFf_VYSMzH5lBcEaU4o8teT1piV-SNzShjg/edit?gid=554141278#gid=554141278"", ""'Char Def. - Attributes'!C20:C2242""), 1,false)"),"PLASTIC_TYPE")</f>
        <v>PLASTIC_TYPE</v>
      </c>
      <c r="I5174" s="136"/>
    </row>
    <row r="5175" ht="15.75" customHeight="1">
      <c r="B5175" s="63">
        <f t="shared" si="1"/>
        <v>15</v>
      </c>
      <c r="C5175" s="146" t="s">
        <v>264</v>
      </c>
      <c r="D5175" s="147" t="s">
        <v>74</v>
      </c>
      <c r="E5175" s="135">
        <f t="shared" si="59"/>
        <v>4</v>
      </c>
      <c r="F5175" s="143" t="s">
        <v>3953</v>
      </c>
      <c r="G5175" s="63" t="str">
        <f>VLOOKUP(C5175, 'Class Def. - General Data'!$C$20:$C$1000,1,false)</f>
        <v>ZPM1_Spoon_Fork</v>
      </c>
      <c r="H5175" s="63" t="str">
        <f>IFERROR(__xludf.DUMMYFUNCTION("VLOOKUP(F5175, IMPORTRANGE(""https://docs.google.com/spreadsheets/d/1Lhp9OU0JdFf_VYSMzH5lBcEaU4o8teT1piV-SNzShjg/edit?gid=554141278#gid=554141278"", ""'Char Def. - Attributes'!C20:C2242""), 1,false)"),"PACK_CONTENT_AMOUNT_5_OPT")</f>
        <v>PACK_CONTENT_AMOUNT_5_OPT</v>
      </c>
      <c r="I5175" s="136"/>
    </row>
    <row r="5176" ht="15.75" customHeight="1">
      <c r="B5176" s="63">
        <f t="shared" si="1"/>
        <v>15</v>
      </c>
      <c r="C5176" s="146" t="s">
        <v>264</v>
      </c>
      <c r="D5176" s="147" t="s">
        <v>74</v>
      </c>
      <c r="E5176" s="135">
        <f t="shared" si="59"/>
        <v>5</v>
      </c>
      <c r="F5176" s="143" t="s">
        <v>3864</v>
      </c>
      <c r="G5176" s="63" t="str">
        <f>VLOOKUP(C5176, 'Class Def. - General Data'!$C$20:$C$1000,1,false)</f>
        <v>ZPM1_Spoon_Fork</v>
      </c>
      <c r="H5176" s="63" t="str">
        <f>IFERROR(__xludf.DUMMYFUNCTION("VLOOKUP(F5176, IMPORTRANGE(""https://docs.google.com/spreadsheets/d/1Lhp9OU0JdFf_VYSMzH5lBcEaU4o8teT1piV-SNzShjg/edit?gid=554141278#gid=554141278"", ""'Char Def. - Attributes'!C20:C2242""), 1,false)"),"DIMENSION_OPT")</f>
        <v>DIMENSION_OPT</v>
      </c>
      <c r="I5176" s="136"/>
    </row>
    <row r="5177" ht="15.75" customHeight="1">
      <c r="B5177" s="63">
        <f t="shared" si="1"/>
        <v>15</v>
      </c>
      <c r="C5177" s="146" t="s">
        <v>264</v>
      </c>
      <c r="D5177" s="147" t="s">
        <v>74</v>
      </c>
      <c r="E5177" s="135">
        <f t="shared" si="59"/>
        <v>6</v>
      </c>
      <c r="F5177" s="143" t="s">
        <v>3911</v>
      </c>
      <c r="G5177" s="63" t="str">
        <f>VLOOKUP(C5177, 'Class Def. - General Data'!$C$20:$C$1000,1,false)</f>
        <v>ZPM1_Spoon_Fork</v>
      </c>
      <c r="H5177" s="63" t="str">
        <f>IFERROR(__xludf.DUMMYFUNCTION("VLOOKUP(F5177, IMPORTRANGE(""https://docs.google.com/spreadsheets/d/1Lhp9OU0JdFf_VYSMzH5lBcEaU4o8teT1piV-SNzShjg/edit?gid=554141278#gid=554141278"", ""'Char Def. - Attributes'!C20:C2242""), 1,false)"),"PLANT_BUY_OPT")</f>
        <v>PLANT_BUY_OPT</v>
      </c>
      <c r="I5177" s="136"/>
    </row>
    <row r="5178" ht="15.75" customHeight="1">
      <c r="B5178" s="63">
        <f t="shared" si="1"/>
        <v>15</v>
      </c>
      <c r="C5178" s="146" t="s">
        <v>264</v>
      </c>
      <c r="D5178" s="147" t="s">
        <v>74</v>
      </c>
      <c r="E5178" s="135">
        <f t="shared" si="59"/>
        <v>7</v>
      </c>
      <c r="F5178" s="143" t="s">
        <v>3865</v>
      </c>
      <c r="G5178" s="63" t="str">
        <f>VLOOKUP(C5178, 'Class Def. - General Data'!$C$20:$C$1000,1,false)</f>
        <v>ZPM1_Spoon_Fork</v>
      </c>
      <c r="H5178" s="63" t="str">
        <f>IFERROR(__xludf.DUMMYFUNCTION("VLOOKUP(F5178, IMPORTRANGE(""https://docs.google.com/spreadsheets/d/1Lhp9OU0JdFf_VYSMzH5lBcEaU4o8teT1piV-SNzShjg/edit?gid=554141278#gid=554141278"", ""'Char Def. - Attributes'!C20:C2242""), 1,false)"),"PLANT_PROD_OPT")</f>
        <v>PLANT_PROD_OPT</v>
      </c>
      <c r="I5178" s="136"/>
    </row>
    <row r="5179" ht="15.75" customHeight="1">
      <c r="B5179" s="63">
        <f t="shared" si="1"/>
        <v>15</v>
      </c>
      <c r="C5179" s="146" t="s">
        <v>264</v>
      </c>
      <c r="D5179" s="147" t="s">
        <v>74</v>
      </c>
      <c r="E5179" s="135">
        <f t="shared" si="59"/>
        <v>8</v>
      </c>
      <c r="F5179" s="143" t="s">
        <v>3866</v>
      </c>
      <c r="G5179" s="63" t="str">
        <f>VLOOKUP(C5179, 'Class Def. - General Data'!$C$20:$C$1000,1,false)</f>
        <v>ZPM1_Spoon_Fork</v>
      </c>
      <c r="H5179" s="63" t="str">
        <f>IFERROR(__xludf.DUMMYFUNCTION("VLOOKUP(F5179, IMPORTRANGE(""https://docs.google.com/spreadsheets/d/1Lhp9OU0JdFf_VYSMzH5lBcEaU4o8teT1piV-SNzShjg/edit?gid=554141278#gid=554141278"", ""'Char Def. - Attributes'!C20:C2242""), 1,false)"),"PM_SUPPLY_JKT")</f>
        <v>PM_SUPPLY_JKT</v>
      </c>
      <c r="I5179" s="136"/>
    </row>
    <row r="5180" ht="15.75" customHeight="1">
      <c r="B5180" s="63">
        <f t="shared" si="1"/>
        <v>15</v>
      </c>
      <c r="C5180" s="146" t="s">
        <v>264</v>
      </c>
      <c r="D5180" s="147" t="s">
        <v>74</v>
      </c>
      <c r="E5180" s="135">
        <f t="shared" si="59"/>
        <v>9</v>
      </c>
      <c r="F5180" s="143" t="s">
        <v>3867</v>
      </c>
      <c r="G5180" s="63" t="str">
        <f>VLOOKUP(C5180, 'Class Def. - General Data'!$C$20:$C$1000,1,false)</f>
        <v>ZPM1_Spoon_Fork</v>
      </c>
      <c r="H5180" s="63" t="str">
        <f>IFERROR(__xludf.DUMMYFUNCTION("VLOOKUP(F5180, IMPORTRANGE(""https://docs.google.com/spreadsheets/d/1Lhp9OU0JdFf_VYSMzH5lBcEaU4o8teT1piV-SNzShjg/edit?gid=554141278#gid=554141278"", ""'Char Def. - Attributes'!C20:C2242""), 1,false)"),"PM_SUPPLY_SBY")</f>
        <v>PM_SUPPLY_SBY</v>
      </c>
      <c r="I5180" s="136"/>
    </row>
    <row r="5181" ht="15.75" customHeight="1">
      <c r="B5181" s="63">
        <f t="shared" si="1"/>
        <v>15</v>
      </c>
      <c r="C5181" s="146" t="s">
        <v>264</v>
      </c>
      <c r="D5181" s="147" t="s">
        <v>74</v>
      </c>
      <c r="E5181" s="135">
        <f t="shared" si="59"/>
        <v>10</v>
      </c>
      <c r="F5181" s="143" t="s">
        <v>3868</v>
      </c>
      <c r="G5181" s="63" t="str">
        <f>VLOOKUP(C5181, 'Class Def. - General Data'!$C$20:$C$1000,1,false)</f>
        <v>ZPM1_Spoon_Fork</v>
      </c>
      <c r="H5181" s="63" t="str">
        <f>IFERROR(__xludf.DUMMYFUNCTION("VLOOKUP(F5181, IMPORTRANGE(""https://docs.google.com/spreadsheets/d/1Lhp9OU0JdFf_VYSMzH5lBcEaU4o8teT1piV-SNzShjg/edit?gid=554141278#gid=554141278"", ""'Char Def. - Attributes'!C20:C2242""), 1,false)"),"BASIC_UOM_RMPM")</f>
        <v>BASIC_UOM_RMPM</v>
      </c>
      <c r="I5181" s="136"/>
    </row>
    <row r="5182" ht="15.75" customHeight="1">
      <c r="B5182" s="63">
        <f t="shared" si="1"/>
        <v>15</v>
      </c>
      <c r="C5182" s="146" t="s">
        <v>264</v>
      </c>
      <c r="D5182" s="147" t="s">
        <v>74</v>
      </c>
      <c r="E5182" s="135">
        <f t="shared" si="59"/>
        <v>11</v>
      </c>
      <c r="F5182" s="143" t="s">
        <v>3869</v>
      </c>
      <c r="G5182" s="63" t="str">
        <f>VLOOKUP(C5182, 'Class Def. - General Data'!$C$20:$C$1000,1,false)</f>
        <v>ZPM1_Spoon_Fork</v>
      </c>
      <c r="H5182" s="63" t="str">
        <f>IFERROR(__xludf.DUMMYFUNCTION("VLOOKUP(F5182, IMPORTRANGE(""https://docs.google.com/spreadsheets/d/1Lhp9OU0JdFf_VYSMzH5lBcEaU4o8teT1piV-SNzShjg/edit?gid=554141278#gid=554141278"", ""'Char Def. - Attributes'!C20:C2242""), 1,false)"),"ALT_UOM1_RMPM")</f>
        <v>ALT_UOM1_RMPM</v>
      </c>
      <c r="I5182" s="136"/>
    </row>
    <row r="5183" ht="15.75" customHeight="1">
      <c r="B5183" s="63">
        <f t="shared" si="1"/>
        <v>15</v>
      </c>
      <c r="C5183" s="146" t="s">
        <v>264</v>
      </c>
      <c r="D5183" s="147" t="s">
        <v>74</v>
      </c>
      <c r="E5183" s="135">
        <f t="shared" si="59"/>
        <v>12</v>
      </c>
      <c r="F5183" s="143" t="s">
        <v>3805</v>
      </c>
      <c r="G5183" s="63" t="str">
        <f>VLOOKUP(C5183, 'Class Def. - General Data'!$C$20:$C$1000,1,false)</f>
        <v>ZPM1_Spoon_Fork</v>
      </c>
      <c r="H5183" s="63" t="str">
        <f>IFERROR(__xludf.DUMMYFUNCTION("VLOOKUP(F5183, IMPORTRANGE(""https://docs.google.com/spreadsheets/d/1Lhp9OU0JdFf_VYSMzH5lBcEaU4o8teT1piV-SNzShjg/edit?gid=554141278#gid=554141278"", ""'Char Def. - Attributes'!C20:C2242""), 1,false)"),"ALT_DENUM_UOM1")</f>
        <v>ALT_DENUM_UOM1</v>
      </c>
      <c r="I5183" s="136"/>
    </row>
    <row r="5184" ht="15.75" customHeight="1">
      <c r="B5184" s="63">
        <f t="shared" si="1"/>
        <v>15</v>
      </c>
      <c r="C5184" s="146" t="s">
        <v>264</v>
      </c>
      <c r="D5184" s="147" t="s">
        <v>74</v>
      </c>
      <c r="E5184" s="135">
        <f t="shared" si="59"/>
        <v>13</v>
      </c>
      <c r="F5184" s="143" t="s">
        <v>3806</v>
      </c>
      <c r="G5184" s="63" t="str">
        <f>VLOOKUP(C5184, 'Class Def. - General Data'!$C$20:$C$1000,1,false)</f>
        <v>ZPM1_Spoon_Fork</v>
      </c>
      <c r="H5184" s="63" t="str">
        <f>IFERROR(__xludf.DUMMYFUNCTION("VLOOKUP(F5184, IMPORTRANGE(""https://docs.google.com/spreadsheets/d/1Lhp9OU0JdFf_VYSMzH5lBcEaU4o8teT1piV-SNzShjg/edit?gid=554141278#gid=554141278"", ""'Char Def. - Attributes'!C20:C2242""), 1,false)"),"ALT_NUM_UOM1")</f>
        <v>ALT_NUM_UOM1</v>
      </c>
      <c r="I5184" s="136"/>
    </row>
    <row r="5185" ht="15.75" customHeight="1">
      <c r="B5185" s="63">
        <f t="shared" si="1"/>
        <v>15</v>
      </c>
      <c r="C5185" s="146" t="s">
        <v>264</v>
      </c>
      <c r="D5185" s="147" t="s">
        <v>74</v>
      </c>
      <c r="E5185" s="135">
        <f t="shared" si="59"/>
        <v>14</v>
      </c>
      <c r="F5185" s="143" t="s">
        <v>3870</v>
      </c>
      <c r="G5185" s="63" t="str">
        <f>VLOOKUP(C5185, 'Class Def. - General Data'!$C$20:$C$1000,1,false)</f>
        <v>ZPM1_Spoon_Fork</v>
      </c>
      <c r="H5185" s="63" t="str">
        <f>IFERROR(__xludf.DUMMYFUNCTION("VLOOKUP(F5185, IMPORTRANGE(""https://docs.google.com/spreadsheets/d/1Lhp9OU0JdFf_VYSMzH5lBcEaU4o8teT1piV-SNzShjg/edit?gid=554141278#gid=554141278"", ""'Char Def. - Attributes'!C20:C2242""), 1,false)"),"ALT_UOM2_RMPM")</f>
        <v>ALT_UOM2_RMPM</v>
      </c>
      <c r="I5185" s="136"/>
    </row>
    <row r="5186" ht="15.75" customHeight="1">
      <c r="B5186" s="63">
        <f t="shared" si="1"/>
        <v>15</v>
      </c>
      <c r="C5186" s="146" t="s">
        <v>264</v>
      </c>
      <c r="D5186" s="147" t="s">
        <v>74</v>
      </c>
      <c r="E5186" s="135">
        <f t="shared" si="59"/>
        <v>15</v>
      </c>
      <c r="F5186" s="143" t="s">
        <v>3808</v>
      </c>
      <c r="G5186" s="63" t="str">
        <f>VLOOKUP(C5186, 'Class Def. - General Data'!$C$20:$C$1000,1,false)</f>
        <v>ZPM1_Spoon_Fork</v>
      </c>
      <c r="H5186" s="63" t="str">
        <f>IFERROR(__xludf.DUMMYFUNCTION("VLOOKUP(F5186, IMPORTRANGE(""https://docs.google.com/spreadsheets/d/1Lhp9OU0JdFf_VYSMzH5lBcEaU4o8teT1piV-SNzShjg/edit?gid=554141278#gid=554141278"", ""'Char Def. - Attributes'!C20:C2242""), 1,false)"),"ALT_DENUM_UOM2")</f>
        <v>ALT_DENUM_UOM2</v>
      </c>
      <c r="I5186" s="136"/>
    </row>
    <row r="5187" ht="15.75" customHeight="1">
      <c r="B5187" s="63">
        <f t="shared" si="1"/>
        <v>15</v>
      </c>
      <c r="C5187" s="146" t="s">
        <v>264</v>
      </c>
      <c r="D5187" s="147" t="s">
        <v>74</v>
      </c>
      <c r="E5187" s="135">
        <f t="shared" si="59"/>
        <v>16</v>
      </c>
      <c r="F5187" s="143" t="s">
        <v>3809</v>
      </c>
      <c r="G5187" s="63" t="str">
        <f>VLOOKUP(C5187, 'Class Def. - General Data'!$C$20:$C$1000,1,false)</f>
        <v>ZPM1_Spoon_Fork</v>
      </c>
      <c r="H5187" s="63" t="str">
        <f>IFERROR(__xludf.DUMMYFUNCTION("VLOOKUP(F5187, IMPORTRANGE(""https://docs.google.com/spreadsheets/d/1Lhp9OU0JdFf_VYSMzH5lBcEaU4o8teT1piV-SNzShjg/edit?gid=554141278#gid=554141278"", ""'Char Def. - Attributes'!C20:C2242""), 1,false)"),"ALT_NUM_UOM2")</f>
        <v>ALT_NUM_UOM2</v>
      </c>
      <c r="I5187" s="136"/>
    </row>
    <row r="5188" ht="15.75" customHeight="1">
      <c r="B5188" s="63">
        <f t="shared" si="1"/>
        <v>15</v>
      </c>
      <c r="C5188" s="146" t="s">
        <v>264</v>
      </c>
      <c r="D5188" s="147" t="s">
        <v>74</v>
      </c>
      <c r="E5188" s="135">
        <f t="shared" si="59"/>
        <v>17</v>
      </c>
      <c r="F5188" s="143" t="s">
        <v>3871</v>
      </c>
      <c r="G5188" s="63" t="str">
        <f>VLOOKUP(C5188, 'Class Def. - General Data'!$C$20:$C$1000,1,false)</f>
        <v>ZPM1_Spoon_Fork</v>
      </c>
      <c r="H5188" s="63" t="str">
        <f>IFERROR(__xludf.DUMMYFUNCTION("VLOOKUP(F5188, IMPORTRANGE(""https://docs.google.com/spreadsheets/d/1Lhp9OU0JdFf_VYSMzH5lBcEaU4o8teT1piV-SNzShjg/edit?gid=554141278#gid=554141278"", ""'Char Def. - Attributes'!C20:C2242""), 1,false)"),"ALT_UOM3_RMPM")</f>
        <v>ALT_UOM3_RMPM</v>
      </c>
      <c r="I5188" s="136"/>
    </row>
    <row r="5189" ht="15.75" customHeight="1">
      <c r="B5189" s="63">
        <f t="shared" si="1"/>
        <v>15</v>
      </c>
      <c r="C5189" s="146" t="s">
        <v>264</v>
      </c>
      <c r="D5189" s="147" t="s">
        <v>74</v>
      </c>
      <c r="E5189" s="135">
        <f t="shared" si="59"/>
        <v>18</v>
      </c>
      <c r="F5189" s="143" t="s">
        <v>3811</v>
      </c>
      <c r="G5189" s="63" t="str">
        <f>VLOOKUP(C5189, 'Class Def. - General Data'!$C$20:$C$1000,1,false)</f>
        <v>ZPM1_Spoon_Fork</v>
      </c>
      <c r="H5189" s="63" t="str">
        <f>IFERROR(__xludf.DUMMYFUNCTION("VLOOKUP(F5189, IMPORTRANGE(""https://docs.google.com/spreadsheets/d/1Lhp9OU0JdFf_VYSMzH5lBcEaU4o8teT1piV-SNzShjg/edit?gid=554141278#gid=554141278"", ""'Char Def. - Attributes'!C20:C2242""), 1,false)"),"ALT_DENUM_UOM3")</f>
        <v>ALT_DENUM_UOM3</v>
      </c>
      <c r="I5189" s="136"/>
    </row>
    <row r="5190" ht="15.75" customHeight="1">
      <c r="B5190" s="63">
        <f t="shared" si="1"/>
        <v>15</v>
      </c>
      <c r="C5190" s="146" t="s">
        <v>264</v>
      </c>
      <c r="D5190" s="147" t="s">
        <v>74</v>
      </c>
      <c r="E5190" s="135">
        <f t="shared" si="59"/>
        <v>19</v>
      </c>
      <c r="F5190" s="143" t="s">
        <v>3812</v>
      </c>
      <c r="G5190" s="63" t="str">
        <f>VLOOKUP(C5190, 'Class Def. - General Data'!$C$20:$C$1000,1,false)</f>
        <v>ZPM1_Spoon_Fork</v>
      </c>
      <c r="H5190" s="63" t="str">
        <f>IFERROR(__xludf.DUMMYFUNCTION("VLOOKUP(F5190, IMPORTRANGE(""https://docs.google.com/spreadsheets/d/1Lhp9OU0JdFf_VYSMzH5lBcEaU4o8teT1piV-SNzShjg/edit?gid=554141278#gid=554141278"", ""'Char Def. - Attributes'!C20:C2242""), 1,false)"),"ALT_NUM_UOM3")</f>
        <v>ALT_NUM_UOM3</v>
      </c>
      <c r="I5190" s="136"/>
    </row>
    <row r="5191" ht="15.75" customHeight="1">
      <c r="B5191" s="63">
        <f t="shared" si="1"/>
        <v>15</v>
      </c>
      <c r="C5191" s="146" t="s">
        <v>264</v>
      </c>
      <c r="D5191" s="147" t="s">
        <v>74</v>
      </c>
      <c r="E5191" s="135">
        <f t="shared" si="59"/>
        <v>20</v>
      </c>
      <c r="F5191" s="143" t="s">
        <v>3872</v>
      </c>
      <c r="G5191" s="63" t="str">
        <f>VLOOKUP(C5191, 'Class Def. - General Data'!$C$20:$C$1000,1,false)</f>
        <v>ZPM1_Spoon_Fork</v>
      </c>
      <c r="H5191" s="63" t="str">
        <f>IFERROR(__xludf.DUMMYFUNCTION("VLOOKUP(F5191, IMPORTRANGE(""https://docs.google.com/spreadsheets/d/1Lhp9OU0JdFf_VYSMzH5lBcEaU4o8teT1piV-SNzShjg/edit?gid=554141278#gid=554141278"", ""'Char Def. - Attributes'!C20:C2242""), 1,false)"),"ALT_UOM4_RMPM")</f>
        <v>ALT_UOM4_RMPM</v>
      </c>
      <c r="I5191" s="136"/>
    </row>
    <row r="5192" ht="15.75" customHeight="1">
      <c r="B5192" s="63">
        <f t="shared" si="1"/>
        <v>15</v>
      </c>
      <c r="C5192" s="146" t="s">
        <v>264</v>
      </c>
      <c r="D5192" s="147" t="s">
        <v>74</v>
      </c>
      <c r="E5192" s="135">
        <f t="shared" si="59"/>
        <v>21</v>
      </c>
      <c r="F5192" s="143" t="s">
        <v>3814</v>
      </c>
      <c r="G5192" s="63" t="str">
        <f>VLOOKUP(C5192, 'Class Def. - General Data'!$C$20:$C$1000,1,false)</f>
        <v>ZPM1_Spoon_Fork</v>
      </c>
      <c r="H5192" s="63" t="str">
        <f>IFERROR(__xludf.DUMMYFUNCTION("VLOOKUP(F5192, IMPORTRANGE(""https://docs.google.com/spreadsheets/d/1Lhp9OU0JdFf_VYSMzH5lBcEaU4o8teT1piV-SNzShjg/edit?gid=554141278#gid=554141278"", ""'Char Def. - Attributes'!C20:C2242""), 1,false)"),"ALT_DENUM_UOM4")</f>
        <v>ALT_DENUM_UOM4</v>
      </c>
      <c r="I5192" s="136"/>
    </row>
    <row r="5193" ht="15.75" customHeight="1">
      <c r="B5193" s="63">
        <f t="shared" si="1"/>
        <v>15</v>
      </c>
      <c r="C5193" s="146" t="s">
        <v>264</v>
      </c>
      <c r="D5193" s="147" t="s">
        <v>74</v>
      </c>
      <c r="E5193" s="135">
        <f t="shared" si="59"/>
        <v>22</v>
      </c>
      <c r="F5193" s="143" t="s">
        <v>3815</v>
      </c>
      <c r="G5193" s="63" t="str">
        <f>VLOOKUP(C5193, 'Class Def. - General Data'!$C$20:$C$1000,1,false)</f>
        <v>ZPM1_Spoon_Fork</v>
      </c>
      <c r="H5193" s="63" t="str">
        <f>IFERROR(__xludf.DUMMYFUNCTION("VLOOKUP(F5193, IMPORTRANGE(""https://docs.google.com/spreadsheets/d/1Lhp9OU0JdFf_VYSMzH5lBcEaU4o8teT1piV-SNzShjg/edit?gid=554141278#gid=554141278"", ""'Char Def. - Attributes'!C20:C2242""), 1,false)"),"ALT_NUM_UOM4")</f>
        <v>ALT_NUM_UOM4</v>
      </c>
      <c r="I5193" s="136"/>
    </row>
    <row r="5194" ht="15.75" customHeight="1">
      <c r="B5194" s="63">
        <f t="shared" si="1"/>
        <v>15</v>
      </c>
      <c r="C5194" s="146" t="s">
        <v>264</v>
      </c>
      <c r="D5194" s="147" t="s">
        <v>74</v>
      </c>
      <c r="E5194" s="135">
        <f t="shared" si="59"/>
        <v>23</v>
      </c>
      <c r="F5194" s="143" t="s">
        <v>3873</v>
      </c>
      <c r="G5194" s="63" t="str">
        <f>VLOOKUP(C5194, 'Class Def. - General Data'!$C$20:$C$1000,1,false)</f>
        <v>ZPM1_Spoon_Fork</v>
      </c>
      <c r="H5194" s="63" t="str">
        <f>IFERROR(__xludf.DUMMYFUNCTION("VLOOKUP(F5194, IMPORTRANGE(""https://docs.google.com/spreadsheets/d/1Lhp9OU0JdFf_VYSMzH5lBcEaU4o8teT1piV-SNzShjg/edit?gid=554141278#gid=554141278"", ""'Char Def. - Attributes'!C20:C2242""), 1,false)"),"ALT_UOM5_RMPM")</f>
        <v>ALT_UOM5_RMPM</v>
      </c>
      <c r="I5194" s="136"/>
    </row>
    <row r="5195" ht="15.75" customHeight="1">
      <c r="B5195" s="63">
        <f t="shared" si="1"/>
        <v>15</v>
      </c>
      <c r="C5195" s="146" t="s">
        <v>264</v>
      </c>
      <c r="D5195" s="147" t="s">
        <v>74</v>
      </c>
      <c r="E5195" s="135">
        <f t="shared" si="59"/>
        <v>24</v>
      </c>
      <c r="F5195" s="143" t="s">
        <v>3817</v>
      </c>
      <c r="G5195" s="63" t="str">
        <f>VLOOKUP(C5195, 'Class Def. - General Data'!$C$20:$C$1000,1,false)</f>
        <v>ZPM1_Spoon_Fork</v>
      </c>
      <c r="H5195" s="63" t="str">
        <f>IFERROR(__xludf.DUMMYFUNCTION("VLOOKUP(F5195, IMPORTRANGE(""https://docs.google.com/spreadsheets/d/1Lhp9OU0JdFf_VYSMzH5lBcEaU4o8teT1piV-SNzShjg/edit?gid=554141278#gid=554141278"", ""'Char Def. - Attributes'!C20:C2242""), 1,false)"),"ALT_DENUM_UOM5")</f>
        <v>ALT_DENUM_UOM5</v>
      </c>
      <c r="I5195" s="136"/>
    </row>
    <row r="5196" ht="15.75" customHeight="1">
      <c r="B5196" s="63">
        <f t="shared" si="1"/>
        <v>15</v>
      </c>
      <c r="C5196" s="146" t="s">
        <v>264</v>
      </c>
      <c r="D5196" s="147" t="s">
        <v>74</v>
      </c>
      <c r="E5196" s="135">
        <f t="shared" si="59"/>
        <v>25</v>
      </c>
      <c r="F5196" s="143" t="s">
        <v>3818</v>
      </c>
      <c r="G5196" s="63" t="str">
        <f>VLOOKUP(C5196, 'Class Def. - General Data'!$C$20:$C$1000,1,false)</f>
        <v>ZPM1_Spoon_Fork</v>
      </c>
      <c r="H5196" s="63" t="str">
        <f>IFERROR(__xludf.DUMMYFUNCTION("VLOOKUP(F5196, IMPORTRANGE(""https://docs.google.com/spreadsheets/d/1Lhp9OU0JdFf_VYSMzH5lBcEaU4o8teT1piV-SNzShjg/edit?gid=554141278#gid=554141278"", ""'Char Def. - Attributes'!C20:C2242""), 1,false)"),"ALT_NUM_UOM5")</f>
        <v>ALT_NUM_UOM5</v>
      </c>
      <c r="I5196" s="136"/>
    </row>
    <row r="5197" ht="15.75" customHeight="1">
      <c r="B5197" s="63">
        <f t="shared" si="1"/>
        <v>15</v>
      </c>
      <c r="C5197" s="146" t="s">
        <v>264</v>
      </c>
      <c r="D5197" s="147" t="s">
        <v>74</v>
      </c>
      <c r="E5197" s="135">
        <f t="shared" si="59"/>
        <v>26</v>
      </c>
      <c r="F5197" s="143" t="s">
        <v>3874</v>
      </c>
      <c r="G5197" s="63" t="str">
        <f>VLOOKUP(C5197, 'Class Def. - General Data'!$C$20:$C$1000,1,false)</f>
        <v>ZPM1_Spoon_Fork</v>
      </c>
      <c r="H5197" s="63" t="str">
        <f>IFERROR(__xludf.DUMMYFUNCTION("VLOOKUP(F5197, IMPORTRANGE(""https://docs.google.com/spreadsheets/d/1Lhp9OU0JdFf_VYSMzH5lBcEaU4o8teT1piV-SNzShjg/edit?gid=554141278#gid=554141278"", ""'Char Def. - Attributes'!C20:C2242""), 1,false)"),"VALUATION_CATEGORY")</f>
        <v>VALUATION_CATEGORY</v>
      </c>
      <c r="I5197" s="136"/>
    </row>
    <row r="5198" ht="15.75" customHeight="1">
      <c r="B5198" s="63">
        <f t="shared" si="1"/>
        <v>15</v>
      </c>
      <c r="C5198" s="146" t="s">
        <v>264</v>
      </c>
      <c r="D5198" s="147" t="s">
        <v>74</v>
      </c>
      <c r="E5198" s="135">
        <f t="shared" si="59"/>
        <v>27</v>
      </c>
      <c r="F5198" s="143" t="s">
        <v>3800</v>
      </c>
      <c r="G5198" s="63" t="str">
        <f>VLOOKUP(C5198, 'Class Def. - General Data'!$C$20:$C$1000,1,false)</f>
        <v>ZPM1_Spoon_Fork</v>
      </c>
      <c r="H5198" s="63" t="str">
        <f>IFERROR(__xludf.DUMMYFUNCTION("VLOOKUP(F5198, IMPORTRANGE(""https://docs.google.com/spreadsheets/d/1Lhp9OU0JdFf_VYSMzH5lBcEaU4o8teT1piV-SNzShjg/edit?gid=554141278#gid=554141278"", ""'Char Def. - Attributes'!C20:C2242""), 1,false)"),"ORDER_UNIT_DIFF_FROM_BASIC_UOM")</f>
        <v>ORDER_UNIT_DIFF_FROM_BASIC_UOM</v>
      </c>
      <c r="I5198" s="136"/>
    </row>
    <row r="5199" ht="15.75" customHeight="1">
      <c r="B5199" s="63">
        <f t="shared" si="1"/>
        <v>15</v>
      </c>
      <c r="C5199" s="146" t="s">
        <v>264</v>
      </c>
      <c r="D5199" s="147" t="s">
        <v>74</v>
      </c>
      <c r="E5199" s="135">
        <f t="shared" si="59"/>
        <v>28</v>
      </c>
      <c r="F5199" s="143" t="s">
        <v>3875</v>
      </c>
      <c r="G5199" s="63" t="str">
        <f>VLOOKUP(C5199, 'Class Def. - General Data'!$C$20:$C$1000,1,false)</f>
        <v>ZPM1_Spoon_Fork</v>
      </c>
      <c r="H5199" s="63" t="str">
        <f>IFERROR(__xludf.DUMMYFUNCTION("VLOOKUP(F5199, IMPORTRANGE(""https://docs.google.com/spreadsheets/d/1Lhp9OU0JdFf_VYSMzH5lBcEaU4o8teT1piV-SNzShjg/edit?gid=554141278#gid=554141278"", ""'Char Def. - Attributes'!C20:C2242""), 1,false)"),"ORDER_UNIT_RMPM")</f>
        <v>ORDER_UNIT_RMPM</v>
      </c>
      <c r="I5199" s="136"/>
    </row>
    <row r="5200" ht="15.75" customHeight="1">
      <c r="B5200" s="63">
        <f t="shared" si="1"/>
        <v>15</v>
      </c>
      <c r="C5200" s="146" t="s">
        <v>264</v>
      </c>
      <c r="D5200" s="147" t="s">
        <v>74</v>
      </c>
      <c r="E5200" s="135">
        <f t="shared" si="59"/>
        <v>29</v>
      </c>
      <c r="F5200" s="143" t="s">
        <v>3602</v>
      </c>
      <c r="G5200" s="63" t="str">
        <f>VLOOKUP(C5200, 'Class Def. - General Data'!$C$20:$C$1000,1,false)</f>
        <v>ZPM1_Spoon_Fork</v>
      </c>
      <c r="H5200" s="63" t="str">
        <f>IFERROR(__xludf.DUMMYFUNCTION("VLOOKUP(F5200, IMPORTRANGE(""https://docs.google.com/spreadsheets/d/1Lhp9OU0JdFf_VYSMzH5lBcEaU4o8teT1piV-SNzShjg/edit?gid=554141278#gid=554141278"", ""'Char Def. - Attributes'!C20:C2242""), 1,false)"),"NET_WEIGHT")</f>
        <v>NET_WEIGHT</v>
      </c>
      <c r="I5200" s="136"/>
    </row>
    <row r="5201" ht="15.75" customHeight="1">
      <c r="B5201" s="63">
        <f t="shared" si="1"/>
        <v>15</v>
      </c>
      <c r="C5201" s="146" t="s">
        <v>264</v>
      </c>
      <c r="D5201" s="147" t="s">
        <v>74</v>
      </c>
      <c r="E5201" s="135">
        <f t="shared" si="59"/>
        <v>30</v>
      </c>
      <c r="F5201" s="143" t="s">
        <v>3601</v>
      </c>
      <c r="G5201" s="63" t="str">
        <f>VLOOKUP(C5201, 'Class Def. - General Data'!$C$20:$C$1000,1,false)</f>
        <v>ZPM1_Spoon_Fork</v>
      </c>
      <c r="H5201" s="63" t="str">
        <f>IFERROR(__xludf.DUMMYFUNCTION("VLOOKUP(F5201, IMPORTRANGE(""https://docs.google.com/spreadsheets/d/1Lhp9OU0JdFf_VYSMzH5lBcEaU4o8teT1piV-SNzShjg/edit?gid=554141278#gid=554141278"", ""'Char Def. - Attributes'!C20:C2242""), 1,false)"),"GROSS_WEIGHT")</f>
        <v>GROSS_WEIGHT</v>
      </c>
      <c r="I5201" s="136"/>
    </row>
    <row r="5202" ht="15.75" customHeight="1">
      <c r="B5202" s="63">
        <f t="shared" si="1"/>
        <v>15</v>
      </c>
      <c r="C5202" s="146" t="s">
        <v>264</v>
      </c>
      <c r="D5202" s="147" t="s">
        <v>74</v>
      </c>
      <c r="E5202" s="135">
        <f t="shared" si="59"/>
        <v>31</v>
      </c>
      <c r="F5202" s="143" t="s">
        <v>3876</v>
      </c>
      <c r="G5202" s="63" t="str">
        <f>VLOOKUP(C5202, 'Class Def. - General Data'!$C$20:$C$1000,1,false)</f>
        <v>ZPM1_Spoon_Fork</v>
      </c>
      <c r="H5202" s="63" t="str">
        <f>IFERROR(__xludf.DUMMYFUNCTION("VLOOKUP(F5202, IMPORTRANGE(""https://docs.google.com/spreadsheets/d/1Lhp9OU0JdFf_VYSMzH5lBcEaU4o8teT1piV-SNzShjg/edit?gid=554141278#gid=554141278"", ""'Char Def. - Attributes'!C20:C2242""), 1,false)"),"WEIGHT_UNIT_PM")</f>
        <v>WEIGHT_UNIT_PM</v>
      </c>
      <c r="I5202" s="136"/>
    </row>
    <row r="5203" ht="15.75" customHeight="1">
      <c r="B5203" s="63">
        <f t="shared" si="1"/>
        <v>15</v>
      </c>
      <c r="C5203" s="146" t="s">
        <v>264</v>
      </c>
      <c r="D5203" s="147" t="s">
        <v>74</v>
      </c>
      <c r="E5203" s="135">
        <f t="shared" si="59"/>
        <v>32</v>
      </c>
      <c r="F5203" s="143" t="s">
        <v>3877</v>
      </c>
      <c r="G5203" s="63" t="str">
        <f>VLOOKUP(C5203, 'Class Def. - General Data'!$C$20:$C$1000,1,false)</f>
        <v>ZPM1_Spoon_Fork</v>
      </c>
      <c r="H5203" s="63" t="str">
        <f>IFERROR(__xludf.DUMMYFUNCTION("VLOOKUP(F5203, IMPORTRANGE(""https://docs.google.com/spreadsheets/d/1Lhp9OU0JdFf_VYSMzH5lBcEaU4o8teT1piV-SNzShjg/edit?gid=554141278#gid=554141278"", ""'Char Def. - Attributes'!C20:C2242""), 1,false)"),"VOLUME_OPT")</f>
        <v>VOLUME_OPT</v>
      </c>
      <c r="I5203" s="136"/>
    </row>
    <row r="5204" ht="15.75" customHeight="1">
      <c r="B5204" s="63">
        <f t="shared" si="1"/>
        <v>15</v>
      </c>
      <c r="C5204" s="146" t="s">
        <v>264</v>
      </c>
      <c r="D5204" s="147" t="s">
        <v>74</v>
      </c>
      <c r="E5204" s="135">
        <f t="shared" si="59"/>
        <v>33</v>
      </c>
      <c r="F5204" s="143" t="s">
        <v>3878</v>
      </c>
      <c r="G5204" s="63" t="str">
        <f>VLOOKUP(C5204, 'Class Def. - General Data'!$C$20:$C$1000,1,false)</f>
        <v>ZPM1_Spoon_Fork</v>
      </c>
      <c r="H5204" s="63" t="str">
        <f>IFERROR(__xludf.DUMMYFUNCTION("VLOOKUP(F5204, IMPORTRANGE(""https://docs.google.com/spreadsheets/d/1Lhp9OU0JdFf_VYSMzH5lBcEaU4o8teT1piV-SNzShjg/edit?gid=554141278#gid=554141278"", ""'Char Def. - Attributes'!C20:C2242""), 1,false)"),"VOLUME_UNIT")</f>
        <v>VOLUME_UNIT</v>
      </c>
      <c r="I5204" s="136"/>
    </row>
    <row r="5205" ht="15.75" customHeight="1">
      <c r="B5205" s="63">
        <f t="shared" si="1"/>
        <v>15</v>
      </c>
      <c r="C5205" s="146" t="s">
        <v>264</v>
      </c>
      <c r="D5205" s="147" t="s">
        <v>74</v>
      </c>
      <c r="E5205" s="135">
        <f t="shared" si="59"/>
        <v>34</v>
      </c>
      <c r="F5205" s="143" t="s">
        <v>3879</v>
      </c>
      <c r="G5205" s="63" t="str">
        <f>VLOOKUP(C5205, 'Class Def. - General Data'!$C$20:$C$1000,1,false)</f>
        <v>ZPM1_Spoon_Fork</v>
      </c>
      <c r="H5205" s="63" t="str">
        <f>IFERROR(__xludf.DUMMYFUNCTION("VLOOKUP(F5205, IMPORTRANGE(""https://docs.google.com/spreadsheets/d/1Lhp9OU0JdFf_VYSMzH5lBcEaU4o8teT1piV-SNzShjg/edit?gid=554141278#gid=554141278"", ""'Char Def. - Attributes'!C20:C2242""), 1,false)"),"OLD_MAT_NO_RMPM")</f>
        <v>OLD_MAT_NO_RMPM</v>
      </c>
      <c r="I5205" s="136"/>
    </row>
    <row r="5206" ht="15.75" customHeight="1">
      <c r="B5206" s="63">
        <f t="shared" si="1"/>
        <v>15</v>
      </c>
      <c r="C5206" s="146" t="s">
        <v>264</v>
      </c>
      <c r="D5206" s="147" t="s">
        <v>74</v>
      </c>
      <c r="E5206" s="135">
        <f t="shared" si="59"/>
        <v>35</v>
      </c>
      <c r="F5206" s="143" t="s">
        <v>3880</v>
      </c>
      <c r="G5206" s="63" t="str">
        <f>VLOOKUP(C5206, 'Class Def. - General Data'!$C$20:$C$1000,1,false)</f>
        <v>ZPM1_Spoon_Fork</v>
      </c>
      <c r="H5206" s="63" t="str">
        <f>IFERROR(__xludf.DUMMYFUNCTION("VLOOKUP(F5206, IMPORTRANGE(""https://docs.google.com/spreadsheets/d/1Lhp9OU0JdFf_VYSMzH5lBcEaU4o8teT1piV-SNzShjg/edit?gid=554141278#gid=554141278"", ""'Char Def. - Attributes'!C20:C2242""), 1,false)"),"NOTE_PM")</f>
        <v>NOTE_PM</v>
      </c>
      <c r="I5206" s="136"/>
    </row>
    <row r="5207" ht="15.75" customHeight="1">
      <c r="B5207" s="63">
        <f t="shared" si="1"/>
        <v>15</v>
      </c>
      <c r="C5207" s="146" t="s">
        <v>264</v>
      </c>
      <c r="D5207" s="147" t="s">
        <v>74</v>
      </c>
      <c r="E5207" s="135">
        <f t="shared" si="59"/>
        <v>36</v>
      </c>
      <c r="F5207" s="143" t="s">
        <v>3881</v>
      </c>
      <c r="G5207" s="63" t="str">
        <f>VLOOKUP(C5207, 'Class Def. - General Data'!$C$20:$C$1000,1,false)</f>
        <v>ZPM1_Spoon_Fork</v>
      </c>
      <c r="H5207" s="63" t="str">
        <f>IFERROR(__xludf.DUMMYFUNCTION("VLOOKUP(F5207, IMPORTRANGE(""https://docs.google.com/spreadsheets/d/1Lhp9OU0JdFf_VYSMzH5lBcEaU4o8teT1piV-SNzShjg/edit?gid=554141278#gid=554141278"", ""'Char Def. - Attributes'!C20:C2242""), 1,false)"),"BS_BERSIH")</f>
        <v>BS_BERSIH</v>
      </c>
      <c r="I5207" s="136"/>
    </row>
    <row r="5208" ht="15.75" customHeight="1">
      <c r="B5208" s="63">
        <f t="shared" si="1"/>
        <v>15</v>
      </c>
      <c r="C5208" s="146" t="s">
        <v>264</v>
      </c>
      <c r="D5208" s="147" t="s">
        <v>74</v>
      </c>
      <c r="E5208" s="135">
        <f t="shared" si="59"/>
        <v>37</v>
      </c>
      <c r="F5208" s="143" t="s">
        <v>3882</v>
      </c>
      <c r="G5208" s="63" t="str">
        <f>VLOOKUP(C5208, 'Class Def. - General Data'!$C$20:$C$1000,1,false)</f>
        <v>ZPM1_Spoon_Fork</v>
      </c>
      <c r="H5208" s="63" t="str">
        <f>IFERROR(__xludf.DUMMYFUNCTION("VLOOKUP(F5208, IMPORTRANGE(""https://docs.google.com/spreadsheets/d/1Lhp9OU0JdFf_VYSMzH5lBcEaU4o8teT1piV-SNzShjg/edit?gid=554141278#gid=554141278"", ""'Char Def. - Attributes'!C20:C2242""), 1,false)"),"BS_KOTOR")</f>
        <v>BS_KOTOR</v>
      </c>
      <c r="I5208" s="136"/>
    </row>
    <row r="5209" ht="15.75" customHeight="1">
      <c r="B5209" s="63">
        <f t="shared" si="1"/>
        <v>15</v>
      </c>
      <c r="C5209" s="146" t="s">
        <v>264</v>
      </c>
      <c r="D5209" s="147" t="s">
        <v>74</v>
      </c>
      <c r="E5209" s="135">
        <f t="shared" si="59"/>
        <v>38</v>
      </c>
      <c r="F5209" s="143" t="s">
        <v>3883</v>
      </c>
      <c r="G5209" s="63" t="str">
        <f>VLOOKUP(C5209, 'Class Def. - General Data'!$C$20:$C$1000,1,false)</f>
        <v>ZPM1_Spoon_Fork</v>
      </c>
      <c r="H5209" s="63" t="str">
        <f>IFERROR(__xludf.DUMMYFUNCTION("VLOOKUP(F5209, IMPORTRANGE(""https://docs.google.com/spreadsheets/d/1Lhp9OU0JdFf_VYSMzH5lBcEaU4o8teT1piV-SNzShjg/edit?gid=554141278#gid=554141278"", ""'Char Def. - Attributes'!C20:C2242""), 1,false)"),"BS_SCRAP")</f>
        <v>BS_SCRAP</v>
      </c>
      <c r="I5209" s="136"/>
    </row>
    <row r="5210" ht="15.75" customHeight="1">
      <c r="B5210" s="63">
        <f t="shared" si="1"/>
        <v>14</v>
      </c>
      <c r="C5210" s="146" t="s">
        <v>265</v>
      </c>
      <c r="D5210" s="147" t="s">
        <v>74</v>
      </c>
      <c r="E5210" s="135">
        <f t="shared" si="59"/>
        <v>1</v>
      </c>
      <c r="F5210" s="143" t="s">
        <v>3981</v>
      </c>
      <c r="G5210" s="63" t="str">
        <f>VLOOKUP(C5210, 'Class Def. - General Data'!$C$20:$C$1000,1,false)</f>
        <v>ZPM1_Stiffener</v>
      </c>
      <c r="H5210" s="63" t="str">
        <f>IFERROR(__xludf.DUMMYFUNCTION("VLOOKUP(F5210, IMPORTRANGE(""https://docs.google.com/spreadsheets/d/1Lhp9OU0JdFf_VYSMzH5lBcEaU4o8teT1piV-SNzShjg/edit?gid=554141278#gid=554141278"", ""'Char Def. - Attributes'!C20:C2242""), 1,false)"),"MATERIAL_CODE_STIFFENER")</f>
        <v>MATERIAL_CODE_STIFFENER</v>
      </c>
      <c r="I5210" s="136"/>
    </row>
    <row r="5211" ht="15.75" customHeight="1">
      <c r="B5211" s="63">
        <f t="shared" si="1"/>
        <v>14</v>
      </c>
      <c r="C5211" s="146" t="s">
        <v>265</v>
      </c>
      <c r="D5211" s="147" t="s">
        <v>74</v>
      </c>
      <c r="E5211" s="135">
        <f t="shared" si="59"/>
        <v>2</v>
      </c>
      <c r="F5211" s="143" t="s">
        <v>3918</v>
      </c>
      <c r="G5211" s="63" t="str">
        <f>VLOOKUP(C5211, 'Class Def. - General Data'!$C$20:$C$1000,1,false)</f>
        <v>ZPM1_Stiffener</v>
      </c>
      <c r="H5211" s="63" t="str">
        <f>IFERROR(__xludf.DUMMYFUNCTION("VLOOKUP(F5211, IMPORTRANGE(""https://docs.google.com/spreadsheets/d/1Lhp9OU0JdFf_VYSMzH5lBcEaU4o8teT1piV-SNzShjg/edit?gid=554141278#gid=554141278"", ""'Char Def. - Attributes'!C20:C2242""), 1,false)"),"WIDTH_MM_3")</f>
        <v>WIDTH_MM_3</v>
      </c>
      <c r="I5211" s="136"/>
    </row>
    <row r="5212" ht="15.75" customHeight="1">
      <c r="B5212" s="63">
        <f t="shared" si="1"/>
        <v>14</v>
      </c>
      <c r="C5212" s="146" t="s">
        <v>265</v>
      </c>
      <c r="D5212" s="147" t="s">
        <v>74</v>
      </c>
      <c r="E5212" s="135">
        <f t="shared" si="59"/>
        <v>3</v>
      </c>
      <c r="F5212" s="143" t="s">
        <v>3941</v>
      </c>
      <c r="G5212" s="63" t="str">
        <f>VLOOKUP(C5212, 'Class Def. - General Data'!$C$20:$C$1000,1,false)</f>
        <v>ZPM1_Stiffener</v>
      </c>
      <c r="H5212" s="63" t="str">
        <f>IFERROR(__xludf.DUMMYFUNCTION("VLOOKUP(F5212, IMPORTRANGE(""https://docs.google.com/spreadsheets/d/1Lhp9OU0JdFf_VYSMzH5lBcEaU4o8teT1piV-SNzShjg/edit?gid=554141278#gid=554141278"", ""'Char Def. - Attributes'!C20:C2242""), 1,false)"),"LENGTH_M")</f>
        <v>LENGTH_M</v>
      </c>
      <c r="I5212" s="136"/>
    </row>
    <row r="5213" ht="15.75" customHeight="1">
      <c r="B5213" s="63">
        <f t="shared" si="1"/>
        <v>14</v>
      </c>
      <c r="C5213" s="146" t="s">
        <v>265</v>
      </c>
      <c r="D5213" s="147" t="s">
        <v>74</v>
      </c>
      <c r="E5213" s="135">
        <f t="shared" si="59"/>
        <v>4</v>
      </c>
      <c r="F5213" s="143" t="s">
        <v>3922</v>
      </c>
      <c r="G5213" s="63" t="str">
        <f>VLOOKUP(C5213, 'Class Def. - General Data'!$C$20:$C$1000,1,false)</f>
        <v>ZPM1_Stiffener</v>
      </c>
      <c r="H5213" s="63" t="str">
        <f>IFERROR(__xludf.DUMMYFUNCTION("VLOOKUP(F5213, IMPORTRANGE(""https://docs.google.com/spreadsheets/d/1Lhp9OU0JdFf_VYSMzH5lBcEaU4o8teT1piV-SNzShjg/edit?gid=554141278#gid=554141278"", ""'Char Def. - Attributes'!C20:C2242""), 1,false)"),"THICKNESS_GSM")</f>
        <v>THICKNESS_GSM</v>
      </c>
      <c r="I5213" s="136"/>
    </row>
    <row r="5214" ht="15.75" customHeight="1">
      <c r="B5214" s="63">
        <f t="shared" si="1"/>
        <v>14</v>
      </c>
      <c r="C5214" s="146" t="s">
        <v>265</v>
      </c>
      <c r="D5214" s="147" t="s">
        <v>74</v>
      </c>
      <c r="E5214" s="135">
        <f t="shared" si="59"/>
        <v>5</v>
      </c>
      <c r="F5214" s="143" t="s">
        <v>3890</v>
      </c>
      <c r="G5214" s="63" t="str">
        <f>VLOOKUP(C5214, 'Class Def. - General Data'!$C$20:$C$1000,1,false)</f>
        <v>ZPM1_Stiffener</v>
      </c>
      <c r="H5214" s="63" t="str">
        <f>IFERROR(__xludf.DUMMYFUNCTION("VLOOKUP(F5214, IMPORTRANGE(""https://docs.google.com/spreadsheets/d/1Lhp9OU0JdFf_VYSMzH5lBcEaU4o8teT1piV-SNzShjg/edit?gid=554141278#gid=554141278"", ""'Char Def. - Attributes'!C20:C2242""), 1,false)"),"EXT_MAT_GRP")</f>
        <v>EXT_MAT_GRP</v>
      </c>
      <c r="I5214" s="136"/>
    </row>
    <row r="5215" ht="15.75" customHeight="1">
      <c r="B5215" s="63">
        <f t="shared" si="1"/>
        <v>14</v>
      </c>
      <c r="C5215" s="146" t="s">
        <v>265</v>
      </c>
      <c r="D5215" s="147" t="s">
        <v>74</v>
      </c>
      <c r="E5215" s="135">
        <f t="shared" si="59"/>
        <v>6</v>
      </c>
      <c r="F5215" s="143" t="s">
        <v>3587</v>
      </c>
      <c r="G5215" s="63" t="str">
        <f>VLOOKUP(C5215, 'Class Def. - General Data'!$C$20:$C$1000,1,false)</f>
        <v>ZPM1_Stiffener</v>
      </c>
      <c r="H5215" s="63" t="str">
        <f>IFERROR(__xludf.DUMMYFUNCTION("VLOOKUP(F5215, IMPORTRANGE(""https://docs.google.com/spreadsheets/d/1Lhp9OU0JdFf_VYSMzH5lBcEaU4o8teT1piV-SNzShjg/edit?gid=554141278#gid=554141278"", ""'Char Def. - Attributes'!C20:C2242""), 1,false)"),"PLANT_BUY")</f>
        <v>PLANT_BUY</v>
      </c>
      <c r="I5215" s="136"/>
    </row>
    <row r="5216" ht="15.75" customHeight="1">
      <c r="B5216" s="63">
        <f t="shared" si="1"/>
        <v>14</v>
      </c>
      <c r="C5216" s="146" t="s">
        <v>265</v>
      </c>
      <c r="D5216" s="147" t="s">
        <v>74</v>
      </c>
      <c r="E5216" s="135">
        <f t="shared" si="59"/>
        <v>7</v>
      </c>
      <c r="F5216" s="143" t="s">
        <v>3865</v>
      </c>
      <c r="G5216" s="63" t="str">
        <f>VLOOKUP(C5216, 'Class Def. - General Data'!$C$20:$C$1000,1,false)</f>
        <v>ZPM1_Stiffener</v>
      </c>
      <c r="H5216" s="63" t="str">
        <f>IFERROR(__xludf.DUMMYFUNCTION("VLOOKUP(F5216, IMPORTRANGE(""https://docs.google.com/spreadsheets/d/1Lhp9OU0JdFf_VYSMzH5lBcEaU4o8teT1piV-SNzShjg/edit?gid=554141278#gid=554141278"", ""'Char Def. - Attributes'!C20:C2242""), 1,false)"),"PLANT_PROD_OPT")</f>
        <v>PLANT_PROD_OPT</v>
      </c>
      <c r="I5216" s="136"/>
    </row>
    <row r="5217" ht="15.75" customHeight="1">
      <c r="B5217" s="63">
        <f t="shared" si="1"/>
        <v>14</v>
      </c>
      <c r="C5217" s="146" t="s">
        <v>265</v>
      </c>
      <c r="D5217" s="147" t="s">
        <v>74</v>
      </c>
      <c r="E5217" s="135">
        <f t="shared" si="59"/>
        <v>8</v>
      </c>
      <c r="F5217" s="143" t="s">
        <v>3866</v>
      </c>
      <c r="G5217" s="63" t="str">
        <f>VLOOKUP(C5217, 'Class Def. - General Data'!$C$20:$C$1000,1,false)</f>
        <v>ZPM1_Stiffener</v>
      </c>
      <c r="H5217" s="63" t="str">
        <f>IFERROR(__xludf.DUMMYFUNCTION("VLOOKUP(F5217, IMPORTRANGE(""https://docs.google.com/spreadsheets/d/1Lhp9OU0JdFf_VYSMzH5lBcEaU4o8teT1piV-SNzShjg/edit?gid=554141278#gid=554141278"", ""'Char Def. - Attributes'!C20:C2242""), 1,false)"),"PM_SUPPLY_JKT")</f>
        <v>PM_SUPPLY_JKT</v>
      </c>
      <c r="I5217" s="136"/>
    </row>
    <row r="5218" ht="15.75" customHeight="1">
      <c r="B5218" s="63">
        <f t="shared" si="1"/>
        <v>14</v>
      </c>
      <c r="C5218" s="146" t="s">
        <v>265</v>
      </c>
      <c r="D5218" s="147" t="s">
        <v>74</v>
      </c>
      <c r="E5218" s="135">
        <f t="shared" si="59"/>
        <v>9</v>
      </c>
      <c r="F5218" s="143" t="s">
        <v>3867</v>
      </c>
      <c r="G5218" s="63" t="str">
        <f>VLOOKUP(C5218, 'Class Def. - General Data'!$C$20:$C$1000,1,false)</f>
        <v>ZPM1_Stiffener</v>
      </c>
      <c r="H5218" s="63" t="str">
        <f>IFERROR(__xludf.DUMMYFUNCTION("VLOOKUP(F5218, IMPORTRANGE(""https://docs.google.com/spreadsheets/d/1Lhp9OU0JdFf_VYSMzH5lBcEaU4o8teT1piV-SNzShjg/edit?gid=554141278#gid=554141278"", ""'Char Def. - Attributes'!C20:C2242""), 1,false)"),"PM_SUPPLY_SBY")</f>
        <v>PM_SUPPLY_SBY</v>
      </c>
      <c r="I5218" s="136"/>
    </row>
    <row r="5219" ht="15.75" customHeight="1">
      <c r="B5219" s="63">
        <f t="shared" si="1"/>
        <v>14</v>
      </c>
      <c r="C5219" s="146" t="s">
        <v>265</v>
      </c>
      <c r="D5219" s="147" t="s">
        <v>74</v>
      </c>
      <c r="E5219" s="135">
        <f t="shared" si="59"/>
        <v>10</v>
      </c>
      <c r="F5219" s="143" t="s">
        <v>3868</v>
      </c>
      <c r="G5219" s="63" t="str">
        <f>VLOOKUP(C5219, 'Class Def. - General Data'!$C$20:$C$1000,1,false)</f>
        <v>ZPM1_Stiffener</v>
      </c>
      <c r="H5219" s="63" t="str">
        <f>IFERROR(__xludf.DUMMYFUNCTION("VLOOKUP(F5219, IMPORTRANGE(""https://docs.google.com/spreadsheets/d/1Lhp9OU0JdFf_VYSMzH5lBcEaU4o8teT1piV-SNzShjg/edit?gid=554141278#gid=554141278"", ""'Char Def. - Attributes'!C20:C2242""), 1,false)"),"BASIC_UOM_RMPM")</f>
        <v>BASIC_UOM_RMPM</v>
      </c>
      <c r="I5219" s="136"/>
    </row>
    <row r="5220" ht="15.75" customHeight="1">
      <c r="B5220" s="63">
        <f t="shared" si="1"/>
        <v>14</v>
      </c>
      <c r="C5220" s="146" t="s">
        <v>265</v>
      </c>
      <c r="D5220" s="147" t="s">
        <v>74</v>
      </c>
      <c r="E5220" s="135">
        <f t="shared" si="59"/>
        <v>11</v>
      </c>
      <c r="F5220" s="143" t="s">
        <v>3869</v>
      </c>
      <c r="G5220" s="63" t="str">
        <f>VLOOKUP(C5220, 'Class Def. - General Data'!$C$20:$C$1000,1,false)</f>
        <v>ZPM1_Stiffener</v>
      </c>
      <c r="H5220" s="63" t="str">
        <f>IFERROR(__xludf.DUMMYFUNCTION("VLOOKUP(F5220, IMPORTRANGE(""https://docs.google.com/spreadsheets/d/1Lhp9OU0JdFf_VYSMzH5lBcEaU4o8teT1piV-SNzShjg/edit?gid=554141278#gid=554141278"", ""'Char Def. - Attributes'!C20:C2242""), 1,false)"),"ALT_UOM1_RMPM")</f>
        <v>ALT_UOM1_RMPM</v>
      </c>
      <c r="I5220" s="136"/>
    </row>
    <row r="5221" ht="15.75" customHeight="1">
      <c r="B5221" s="63">
        <f t="shared" si="1"/>
        <v>14</v>
      </c>
      <c r="C5221" s="146" t="s">
        <v>265</v>
      </c>
      <c r="D5221" s="147" t="s">
        <v>74</v>
      </c>
      <c r="E5221" s="135">
        <f t="shared" si="59"/>
        <v>12</v>
      </c>
      <c r="F5221" s="143" t="s">
        <v>3805</v>
      </c>
      <c r="G5221" s="63" t="str">
        <f>VLOOKUP(C5221, 'Class Def. - General Data'!$C$20:$C$1000,1,false)</f>
        <v>ZPM1_Stiffener</v>
      </c>
      <c r="H5221" s="63" t="str">
        <f>IFERROR(__xludf.DUMMYFUNCTION("VLOOKUP(F5221, IMPORTRANGE(""https://docs.google.com/spreadsheets/d/1Lhp9OU0JdFf_VYSMzH5lBcEaU4o8teT1piV-SNzShjg/edit?gid=554141278#gid=554141278"", ""'Char Def. - Attributes'!C20:C2242""), 1,false)"),"ALT_DENUM_UOM1")</f>
        <v>ALT_DENUM_UOM1</v>
      </c>
      <c r="I5221" s="136"/>
    </row>
    <row r="5222" ht="15.75" customHeight="1">
      <c r="B5222" s="63">
        <f t="shared" si="1"/>
        <v>14</v>
      </c>
      <c r="C5222" s="146" t="s">
        <v>265</v>
      </c>
      <c r="D5222" s="147" t="s">
        <v>74</v>
      </c>
      <c r="E5222" s="135">
        <f t="shared" si="59"/>
        <v>13</v>
      </c>
      <c r="F5222" s="143" t="s">
        <v>3806</v>
      </c>
      <c r="G5222" s="63" t="str">
        <f>VLOOKUP(C5222, 'Class Def. - General Data'!$C$20:$C$1000,1,false)</f>
        <v>ZPM1_Stiffener</v>
      </c>
      <c r="H5222" s="63" t="str">
        <f>IFERROR(__xludf.DUMMYFUNCTION("VLOOKUP(F5222, IMPORTRANGE(""https://docs.google.com/spreadsheets/d/1Lhp9OU0JdFf_VYSMzH5lBcEaU4o8teT1piV-SNzShjg/edit?gid=554141278#gid=554141278"", ""'Char Def. - Attributes'!C20:C2242""), 1,false)"),"ALT_NUM_UOM1")</f>
        <v>ALT_NUM_UOM1</v>
      </c>
      <c r="I5222" s="136"/>
    </row>
    <row r="5223" ht="15.75" customHeight="1">
      <c r="B5223" s="63">
        <f t="shared" si="1"/>
        <v>14</v>
      </c>
      <c r="C5223" s="146" t="s">
        <v>265</v>
      </c>
      <c r="D5223" s="147" t="s">
        <v>74</v>
      </c>
      <c r="E5223" s="135">
        <f t="shared" si="59"/>
        <v>14</v>
      </c>
      <c r="F5223" s="143" t="s">
        <v>3870</v>
      </c>
      <c r="G5223" s="63" t="str">
        <f>VLOOKUP(C5223, 'Class Def. - General Data'!$C$20:$C$1000,1,false)</f>
        <v>ZPM1_Stiffener</v>
      </c>
      <c r="H5223" s="63" t="str">
        <f>IFERROR(__xludf.DUMMYFUNCTION("VLOOKUP(F5223, IMPORTRANGE(""https://docs.google.com/spreadsheets/d/1Lhp9OU0JdFf_VYSMzH5lBcEaU4o8teT1piV-SNzShjg/edit?gid=554141278#gid=554141278"", ""'Char Def. - Attributes'!C20:C2242""), 1,false)"),"ALT_UOM2_RMPM")</f>
        <v>ALT_UOM2_RMPM</v>
      </c>
      <c r="I5223" s="136"/>
    </row>
    <row r="5224" ht="15.75" customHeight="1">
      <c r="B5224" s="63">
        <f t="shared" si="1"/>
        <v>14</v>
      </c>
      <c r="C5224" s="146" t="s">
        <v>265</v>
      </c>
      <c r="D5224" s="147" t="s">
        <v>74</v>
      </c>
      <c r="E5224" s="135">
        <f t="shared" si="59"/>
        <v>15</v>
      </c>
      <c r="F5224" s="143" t="s">
        <v>3808</v>
      </c>
      <c r="G5224" s="63" t="str">
        <f>VLOOKUP(C5224, 'Class Def. - General Data'!$C$20:$C$1000,1,false)</f>
        <v>ZPM1_Stiffener</v>
      </c>
      <c r="H5224" s="63" t="str">
        <f>IFERROR(__xludf.DUMMYFUNCTION("VLOOKUP(F5224, IMPORTRANGE(""https://docs.google.com/spreadsheets/d/1Lhp9OU0JdFf_VYSMzH5lBcEaU4o8teT1piV-SNzShjg/edit?gid=554141278#gid=554141278"", ""'Char Def. - Attributes'!C20:C2242""), 1,false)"),"ALT_DENUM_UOM2")</f>
        <v>ALT_DENUM_UOM2</v>
      </c>
      <c r="I5224" s="136"/>
    </row>
    <row r="5225" ht="15.75" customHeight="1">
      <c r="B5225" s="63">
        <f t="shared" si="1"/>
        <v>14</v>
      </c>
      <c r="C5225" s="146" t="s">
        <v>265</v>
      </c>
      <c r="D5225" s="147" t="s">
        <v>74</v>
      </c>
      <c r="E5225" s="135">
        <f t="shared" si="59"/>
        <v>16</v>
      </c>
      <c r="F5225" s="143" t="s">
        <v>3809</v>
      </c>
      <c r="G5225" s="63" t="str">
        <f>VLOOKUP(C5225, 'Class Def. - General Data'!$C$20:$C$1000,1,false)</f>
        <v>ZPM1_Stiffener</v>
      </c>
      <c r="H5225" s="63" t="str">
        <f>IFERROR(__xludf.DUMMYFUNCTION("VLOOKUP(F5225, IMPORTRANGE(""https://docs.google.com/spreadsheets/d/1Lhp9OU0JdFf_VYSMzH5lBcEaU4o8teT1piV-SNzShjg/edit?gid=554141278#gid=554141278"", ""'Char Def. - Attributes'!C20:C2242""), 1,false)"),"ALT_NUM_UOM2")</f>
        <v>ALT_NUM_UOM2</v>
      </c>
      <c r="I5225" s="136"/>
    </row>
    <row r="5226" ht="15.75" customHeight="1">
      <c r="B5226" s="63">
        <f t="shared" si="1"/>
        <v>14</v>
      </c>
      <c r="C5226" s="146" t="s">
        <v>265</v>
      </c>
      <c r="D5226" s="147" t="s">
        <v>74</v>
      </c>
      <c r="E5226" s="135">
        <f t="shared" si="59"/>
        <v>17</v>
      </c>
      <c r="F5226" s="143" t="s">
        <v>3871</v>
      </c>
      <c r="G5226" s="63" t="str">
        <f>VLOOKUP(C5226, 'Class Def. - General Data'!$C$20:$C$1000,1,false)</f>
        <v>ZPM1_Stiffener</v>
      </c>
      <c r="H5226" s="63" t="str">
        <f>IFERROR(__xludf.DUMMYFUNCTION("VLOOKUP(F5226, IMPORTRANGE(""https://docs.google.com/spreadsheets/d/1Lhp9OU0JdFf_VYSMzH5lBcEaU4o8teT1piV-SNzShjg/edit?gid=554141278#gid=554141278"", ""'Char Def. - Attributes'!C20:C2242""), 1,false)"),"ALT_UOM3_RMPM")</f>
        <v>ALT_UOM3_RMPM</v>
      </c>
      <c r="I5226" s="136"/>
    </row>
    <row r="5227" ht="15.75" customHeight="1">
      <c r="B5227" s="63">
        <f t="shared" si="1"/>
        <v>14</v>
      </c>
      <c r="C5227" s="146" t="s">
        <v>265</v>
      </c>
      <c r="D5227" s="147" t="s">
        <v>74</v>
      </c>
      <c r="E5227" s="135">
        <f t="shared" si="59"/>
        <v>18</v>
      </c>
      <c r="F5227" s="143" t="s">
        <v>3811</v>
      </c>
      <c r="G5227" s="63" t="str">
        <f>VLOOKUP(C5227, 'Class Def. - General Data'!$C$20:$C$1000,1,false)</f>
        <v>ZPM1_Stiffener</v>
      </c>
      <c r="H5227" s="63" t="str">
        <f>IFERROR(__xludf.DUMMYFUNCTION("VLOOKUP(F5227, IMPORTRANGE(""https://docs.google.com/spreadsheets/d/1Lhp9OU0JdFf_VYSMzH5lBcEaU4o8teT1piV-SNzShjg/edit?gid=554141278#gid=554141278"", ""'Char Def. - Attributes'!C20:C2242""), 1,false)"),"ALT_DENUM_UOM3")</f>
        <v>ALT_DENUM_UOM3</v>
      </c>
      <c r="I5227" s="136"/>
    </row>
    <row r="5228" ht="15.75" customHeight="1">
      <c r="B5228" s="63">
        <f t="shared" si="1"/>
        <v>14</v>
      </c>
      <c r="C5228" s="146" t="s">
        <v>265</v>
      </c>
      <c r="D5228" s="147" t="s">
        <v>74</v>
      </c>
      <c r="E5228" s="135">
        <f t="shared" si="59"/>
        <v>19</v>
      </c>
      <c r="F5228" s="143" t="s">
        <v>3812</v>
      </c>
      <c r="G5228" s="63" t="str">
        <f>VLOOKUP(C5228, 'Class Def. - General Data'!$C$20:$C$1000,1,false)</f>
        <v>ZPM1_Stiffener</v>
      </c>
      <c r="H5228" s="63" t="str">
        <f>IFERROR(__xludf.DUMMYFUNCTION("VLOOKUP(F5228, IMPORTRANGE(""https://docs.google.com/spreadsheets/d/1Lhp9OU0JdFf_VYSMzH5lBcEaU4o8teT1piV-SNzShjg/edit?gid=554141278#gid=554141278"", ""'Char Def. - Attributes'!C20:C2242""), 1,false)"),"ALT_NUM_UOM3")</f>
        <v>ALT_NUM_UOM3</v>
      </c>
      <c r="I5228" s="136"/>
    </row>
    <row r="5229" ht="15.75" customHeight="1">
      <c r="B5229" s="63">
        <f t="shared" si="1"/>
        <v>14</v>
      </c>
      <c r="C5229" s="146" t="s">
        <v>265</v>
      </c>
      <c r="D5229" s="147" t="s">
        <v>74</v>
      </c>
      <c r="E5229" s="135">
        <f t="shared" si="59"/>
        <v>20</v>
      </c>
      <c r="F5229" s="143" t="s">
        <v>3872</v>
      </c>
      <c r="G5229" s="63" t="str">
        <f>VLOOKUP(C5229, 'Class Def. - General Data'!$C$20:$C$1000,1,false)</f>
        <v>ZPM1_Stiffener</v>
      </c>
      <c r="H5229" s="63" t="str">
        <f>IFERROR(__xludf.DUMMYFUNCTION("VLOOKUP(F5229, IMPORTRANGE(""https://docs.google.com/spreadsheets/d/1Lhp9OU0JdFf_VYSMzH5lBcEaU4o8teT1piV-SNzShjg/edit?gid=554141278#gid=554141278"", ""'Char Def. - Attributes'!C20:C2242""), 1,false)"),"ALT_UOM4_RMPM")</f>
        <v>ALT_UOM4_RMPM</v>
      </c>
      <c r="I5229" s="136"/>
    </row>
    <row r="5230" ht="15.75" customHeight="1">
      <c r="B5230" s="63">
        <f t="shared" si="1"/>
        <v>14</v>
      </c>
      <c r="C5230" s="146" t="s">
        <v>265</v>
      </c>
      <c r="D5230" s="147" t="s">
        <v>74</v>
      </c>
      <c r="E5230" s="135">
        <f t="shared" si="59"/>
        <v>21</v>
      </c>
      <c r="F5230" s="143" t="s">
        <v>3814</v>
      </c>
      <c r="G5230" s="63" t="str">
        <f>VLOOKUP(C5230, 'Class Def. - General Data'!$C$20:$C$1000,1,false)</f>
        <v>ZPM1_Stiffener</v>
      </c>
      <c r="H5230" s="63" t="str">
        <f>IFERROR(__xludf.DUMMYFUNCTION("VLOOKUP(F5230, IMPORTRANGE(""https://docs.google.com/spreadsheets/d/1Lhp9OU0JdFf_VYSMzH5lBcEaU4o8teT1piV-SNzShjg/edit?gid=554141278#gid=554141278"", ""'Char Def. - Attributes'!C20:C2242""), 1,false)"),"ALT_DENUM_UOM4")</f>
        <v>ALT_DENUM_UOM4</v>
      </c>
      <c r="I5230" s="136"/>
    </row>
    <row r="5231" ht="15.75" customHeight="1">
      <c r="B5231" s="63">
        <f t="shared" si="1"/>
        <v>14</v>
      </c>
      <c r="C5231" s="146" t="s">
        <v>265</v>
      </c>
      <c r="D5231" s="147" t="s">
        <v>74</v>
      </c>
      <c r="E5231" s="135">
        <f t="shared" si="59"/>
        <v>22</v>
      </c>
      <c r="F5231" s="143" t="s">
        <v>3815</v>
      </c>
      <c r="G5231" s="63" t="str">
        <f>VLOOKUP(C5231, 'Class Def. - General Data'!$C$20:$C$1000,1,false)</f>
        <v>ZPM1_Stiffener</v>
      </c>
      <c r="H5231" s="63" t="str">
        <f>IFERROR(__xludf.DUMMYFUNCTION("VLOOKUP(F5231, IMPORTRANGE(""https://docs.google.com/spreadsheets/d/1Lhp9OU0JdFf_VYSMzH5lBcEaU4o8teT1piV-SNzShjg/edit?gid=554141278#gid=554141278"", ""'Char Def. - Attributes'!C20:C2242""), 1,false)"),"ALT_NUM_UOM4")</f>
        <v>ALT_NUM_UOM4</v>
      </c>
      <c r="I5231" s="136"/>
    </row>
    <row r="5232" ht="15.75" customHeight="1">
      <c r="B5232" s="63">
        <f t="shared" si="1"/>
        <v>14</v>
      </c>
      <c r="C5232" s="146" t="s">
        <v>265</v>
      </c>
      <c r="D5232" s="147" t="s">
        <v>74</v>
      </c>
      <c r="E5232" s="135">
        <f t="shared" si="59"/>
        <v>23</v>
      </c>
      <c r="F5232" s="143" t="s">
        <v>3873</v>
      </c>
      <c r="G5232" s="63" t="str">
        <f>VLOOKUP(C5232, 'Class Def. - General Data'!$C$20:$C$1000,1,false)</f>
        <v>ZPM1_Stiffener</v>
      </c>
      <c r="H5232" s="63" t="str">
        <f>IFERROR(__xludf.DUMMYFUNCTION("VLOOKUP(F5232, IMPORTRANGE(""https://docs.google.com/spreadsheets/d/1Lhp9OU0JdFf_VYSMzH5lBcEaU4o8teT1piV-SNzShjg/edit?gid=554141278#gid=554141278"", ""'Char Def. - Attributes'!C20:C2242""), 1,false)"),"ALT_UOM5_RMPM")</f>
        <v>ALT_UOM5_RMPM</v>
      </c>
      <c r="I5232" s="136"/>
    </row>
    <row r="5233" ht="15.75" customHeight="1">
      <c r="B5233" s="63">
        <f t="shared" si="1"/>
        <v>14</v>
      </c>
      <c r="C5233" s="146" t="s">
        <v>265</v>
      </c>
      <c r="D5233" s="147" t="s">
        <v>74</v>
      </c>
      <c r="E5233" s="135">
        <f t="shared" si="59"/>
        <v>24</v>
      </c>
      <c r="F5233" s="143" t="s">
        <v>3817</v>
      </c>
      <c r="G5233" s="63" t="str">
        <f>VLOOKUP(C5233, 'Class Def. - General Data'!$C$20:$C$1000,1,false)</f>
        <v>ZPM1_Stiffener</v>
      </c>
      <c r="H5233" s="63" t="str">
        <f>IFERROR(__xludf.DUMMYFUNCTION("VLOOKUP(F5233, IMPORTRANGE(""https://docs.google.com/spreadsheets/d/1Lhp9OU0JdFf_VYSMzH5lBcEaU4o8teT1piV-SNzShjg/edit?gid=554141278#gid=554141278"", ""'Char Def. - Attributes'!C20:C2242""), 1,false)"),"ALT_DENUM_UOM5")</f>
        <v>ALT_DENUM_UOM5</v>
      </c>
      <c r="I5233" s="136"/>
    </row>
    <row r="5234" ht="15.75" customHeight="1">
      <c r="B5234" s="63">
        <f t="shared" si="1"/>
        <v>14</v>
      </c>
      <c r="C5234" s="146" t="s">
        <v>265</v>
      </c>
      <c r="D5234" s="147" t="s">
        <v>74</v>
      </c>
      <c r="E5234" s="135">
        <f t="shared" si="59"/>
        <v>25</v>
      </c>
      <c r="F5234" s="143" t="s">
        <v>3818</v>
      </c>
      <c r="G5234" s="63" t="str">
        <f>VLOOKUP(C5234, 'Class Def. - General Data'!$C$20:$C$1000,1,false)</f>
        <v>ZPM1_Stiffener</v>
      </c>
      <c r="H5234" s="63" t="str">
        <f>IFERROR(__xludf.DUMMYFUNCTION("VLOOKUP(F5234, IMPORTRANGE(""https://docs.google.com/spreadsheets/d/1Lhp9OU0JdFf_VYSMzH5lBcEaU4o8teT1piV-SNzShjg/edit?gid=554141278#gid=554141278"", ""'Char Def. - Attributes'!C20:C2242""), 1,false)"),"ALT_NUM_UOM5")</f>
        <v>ALT_NUM_UOM5</v>
      </c>
      <c r="I5234" s="136"/>
    </row>
    <row r="5235" ht="15.75" customHeight="1">
      <c r="B5235" s="63">
        <f t="shared" si="1"/>
        <v>14</v>
      </c>
      <c r="C5235" s="146" t="s">
        <v>265</v>
      </c>
      <c r="D5235" s="147" t="s">
        <v>74</v>
      </c>
      <c r="E5235" s="135">
        <f t="shared" si="59"/>
        <v>26</v>
      </c>
      <c r="F5235" s="143" t="s">
        <v>3874</v>
      </c>
      <c r="G5235" s="63" t="str">
        <f>VLOOKUP(C5235, 'Class Def. - General Data'!$C$20:$C$1000,1,false)</f>
        <v>ZPM1_Stiffener</v>
      </c>
      <c r="H5235" s="63" t="str">
        <f>IFERROR(__xludf.DUMMYFUNCTION("VLOOKUP(F5235, IMPORTRANGE(""https://docs.google.com/spreadsheets/d/1Lhp9OU0JdFf_VYSMzH5lBcEaU4o8teT1piV-SNzShjg/edit?gid=554141278#gid=554141278"", ""'Char Def. - Attributes'!C20:C2242""), 1,false)"),"VALUATION_CATEGORY")</f>
        <v>VALUATION_CATEGORY</v>
      </c>
      <c r="I5235" s="136"/>
    </row>
    <row r="5236" ht="15.75" customHeight="1">
      <c r="B5236" s="63">
        <f t="shared" si="1"/>
        <v>14</v>
      </c>
      <c r="C5236" s="146" t="s">
        <v>265</v>
      </c>
      <c r="D5236" s="147" t="s">
        <v>74</v>
      </c>
      <c r="E5236" s="135">
        <f t="shared" si="59"/>
        <v>27</v>
      </c>
      <c r="F5236" s="143" t="s">
        <v>3800</v>
      </c>
      <c r="G5236" s="63" t="str">
        <f>VLOOKUP(C5236, 'Class Def. - General Data'!$C$20:$C$1000,1,false)</f>
        <v>ZPM1_Stiffener</v>
      </c>
      <c r="H5236" s="63" t="str">
        <f>IFERROR(__xludf.DUMMYFUNCTION("VLOOKUP(F5236, IMPORTRANGE(""https://docs.google.com/spreadsheets/d/1Lhp9OU0JdFf_VYSMzH5lBcEaU4o8teT1piV-SNzShjg/edit?gid=554141278#gid=554141278"", ""'Char Def. - Attributes'!C20:C2242""), 1,false)"),"ORDER_UNIT_DIFF_FROM_BASIC_UOM")</f>
        <v>ORDER_UNIT_DIFF_FROM_BASIC_UOM</v>
      </c>
      <c r="I5236" s="136"/>
    </row>
    <row r="5237" ht="15.75" customHeight="1">
      <c r="B5237" s="63">
        <f t="shared" si="1"/>
        <v>14</v>
      </c>
      <c r="C5237" s="146" t="s">
        <v>265</v>
      </c>
      <c r="D5237" s="147" t="s">
        <v>74</v>
      </c>
      <c r="E5237" s="135">
        <f t="shared" si="59"/>
        <v>28</v>
      </c>
      <c r="F5237" s="143" t="s">
        <v>3875</v>
      </c>
      <c r="G5237" s="63" t="str">
        <f>VLOOKUP(C5237, 'Class Def. - General Data'!$C$20:$C$1000,1,false)</f>
        <v>ZPM1_Stiffener</v>
      </c>
      <c r="H5237" s="63" t="str">
        <f>IFERROR(__xludf.DUMMYFUNCTION("VLOOKUP(F5237, IMPORTRANGE(""https://docs.google.com/spreadsheets/d/1Lhp9OU0JdFf_VYSMzH5lBcEaU4o8teT1piV-SNzShjg/edit?gid=554141278#gid=554141278"", ""'Char Def. - Attributes'!C20:C2242""), 1,false)"),"ORDER_UNIT_RMPM")</f>
        <v>ORDER_UNIT_RMPM</v>
      </c>
      <c r="I5237" s="136"/>
    </row>
    <row r="5238" ht="15.75" customHeight="1">
      <c r="B5238" s="63">
        <f t="shared" si="1"/>
        <v>14</v>
      </c>
      <c r="C5238" s="146" t="s">
        <v>265</v>
      </c>
      <c r="D5238" s="147" t="s">
        <v>74</v>
      </c>
      <c r="E5238" s="135">
        <f t="shared" si="59"/>
        <v>29</v>
      </c>
      <c r="F5238" s="143" t="s">
        <v>3602</v>
      </c>
      <c r="G5238" s="63" t="str">
        <f>VLOOKUP(C5238, 'Class Def. - General Data'!$C$20:$C$1000,1,false)</f>
        <v>ZPM1_Stiffener</v>
      </c>
      <c r="H5238" s="63" t="str">
        <f>IFERROR(__xludf.DUMMYFUNCTION("VLOOKUP(F5238, IMPORTRANGE(""https://docs.google.com/spreadsheets/d/1Lhp9OU0JdFf_VYSMzH5lBcEaU4o8teT1piV-SNzShjg/edit?gid=554141278#gid=554141278"", ""'Char Def. - Attributes'!C20:C2242""), 1,false)"),"NET_WEIGHT")</f>
        <v>NET_WEIGHT</v>
      </c>
      <c r="I5238" s="136"/>
    </row>
    <row r="5239" ht="15.75" customHeight="1">
      <c r="B5239" s="63">
        <f t="shared" si="1"/>
        <v>14</v>
      </c>
      <c r="C5239" s="146" t="s">
        <v>265</v>
      </c>
      <c r="D5239" s="147" t="s">
        <v>74</v>
      </c>
      <c r="E5239" s="135">
        <f t="shared" si="59"/>
        <v>30</v>
      </c>
      <c r="F5239" s="143" t="s">
        <v>3601</v>
      </c>
      <c r="G5239" s="63" t="str">
        <f>VLOOKUP(C5239, 'Class Def. - General Data'!$C$20:$C$1000,1,false)</f>
        <v>ZPM1_Stiffener</v>
      </c>
      <c r="H5239" s="63" t="str">
        <f>IFERROR(__xludf.DUMMYFUNCTION("VLOOKUP(F5239, IMPORTRANGE(""https://docs.google.com/spreadsheets/d/1Lhp9OU0JdFf_VYSMzH5lBcEaU4o8teT1piV-SNzShjg/edit?gid=554141278#gid=554141278"", ""'Char Def. - Attributes'!C20:C2242""), 1,false)"),"GROSS_WEIGHT")</f>
        <v>GROSS_WEIGHT</v>
      </c>
      <c r="I5239" s="136"/>
    </row>
    <row r="5240" ht="15.75" customHeight="1">
      <c r="B5240" s="63">
        <f t="shared" si="1"/>
        <v>14</v>
      </c>
      <c r="C5240" s="146" t="s">
        <v>265</v>
      </c>
      <c r="D5240" s="147" t="s">
        <v>74</v>
      </c>
      <c r="E5240" s="135">
        <f t="shared" si="59"/>
        <v>31</v>
      </c>
      <c r="F5240" s="143" t="s">
        <v>3876</v>
      </c>
      <c r="G5240" s="63" t="str">
        <f>VLOOKUP(C5240, 'Class Def. - General Data'!$C$20:$C$1000,1,false)</f>
        <v>ZPM1_Stiffener</v>
      </c>
      <c r="H5240" s="63" t="str">
        <f>IFERROR(__xludf.DUMMYFUNCTION("VLOOKUP(F5240, IMPORTRANGE(""https://docs.google.com/spreadsheets/d/1Lhp9OU0JdFf_VYSMzH5lBcEaU4o8teT1piV-SNzShjg/edit?gid=554141278#gid=554141278"", ""'Char Def. - Attributes'!C20:C2242""), 1,false)"),"WEIGHT_UNIT_PM")</f>
        <v>WEIGHT_UNIT_PM</v>
      </c>
      <c r="I5240" s="136"/>
    </row>
    <row r="5241" ht="15.75" customHeight="1">
      <c r="B5241" s="63">
        <f t="shared" si="1"/>
        <v>14</v>
      </c>
      <c r="C5241" s="146" t="s">
        <v>265</v>
      </c>
      <c r="D5241" s="147" t="s">
        <v>74</v>
      </c>
      <c r="E5241" s="135">
        <f t="shared" si="59"/>
        <v>32</v>
      </c>
      <c r="F5241" s="143" t="s">
        <v>3877</v>
      </c>
      <c r="G5241" s="63" t="str">
        <f>VLOOKUP(C5241, 'Class Def. - General Data'!$C$20:$C$1000,1,false)</f>
        <v>ZPM1_Stiffener</v>
      </c>
      <c r="H5241" s="63" t="str">
        <f>IFERROR(__xludf.DUMMYFUNCTION("VLOOKUP(F5241, IMPORTRANGE(""https://docs.google.com/spreadsheets/d/1Lhp9OU0JdFf_VYSMzH5lBcEaU4o8teT1piV-SNzShjg/edit?gid=554141278#gid=554141278"", ""'Char Def. - Attributes'!C20:C2242""), 1,false)"),"VOLUME_OPT")</f>
        <v>VOLUME_OPT</v>
      </c>
      <c r="I5241" s="136"/>
    </row>
    <row r="5242" ht="15.75" customHeight="1">
      <c r="B5242" s="63">
        <f t="shared" si="1"/>
        <v>14</v>
      </c>
      <c r="C5242" s="146" t="s">
        <v>265</v>
      </c>
      <c r="D5242" s="147" t="s">
        <v>74</v>
      </c>
      <c r="E5242" s="135">
        <f t="shared" si="59"/>
        <v>33</v>
      </c>
      <c r="F5242" s="143" t="s">
        <v>3878</v>
      </c>
      <c r="G5242" s="63" t="str">
        <f>VLOOKUP(C5242, 'Class Def. - General Data'!$C$20:$C$1000,1,false)</f>
        <v>ZPM1_Stiffener</v>
      </c>
      <c r="H5242" s="63" t="str">
        <f>IFERROR(__xludf.DUMMYFUNCTION("VLOOKUP(F5242, IMPORTRANGE(""https://docs.google.com/spreadsheets/d/1Lhp9OU0JdFf_VYSMzH5lBcEaU4o8teT1piV-SNzShjg/edit?gid=554141278#gid=554141278"", ""'Char Def. - Attributes'!C20:C2242""), 1,false)"),"VOLUME_UNIT")</f>
        <v>VOLUME_UNIT</v>
      </c>
      <c r="I5242" s="136"/>
    </row>
    <row r="5243" ht="15.75" customHeight="1">
      <c r="B5243" s="63">
        <f t="shared" si="1"/>
        <v>14</v>
      </c>
      <c r="C5243" s="146" t="s">
        <v>265</v>
      </c>
      <c r="D5243" s="147" t="s">
        <v>74</v>
      </c>
      <c r="E5243" s="135">
        <f t="shared" si="59"/>
        <v>34</v>
      </c>
      <c r="F5243" s="143" t="s">
        <v>3879</v>
      </c>
      <c r="G5243" s="63" t="str">
        <f>VLOOKUP(C5243, 'Class Def. - General Data'!$C$20:$C$1000,1,false)</f>
        <v>ZPM1_Stiffener</v>
      </c>
      <c r="H5243" s="63" t="str">
        <f>IFERROR(__xludf.DUMMYFUNCTION("VLOOKUP(F5243, IMPORTRANGE(""https://docs.google.com/spreadsheets/d/1Lhp9OU0JdFf_VYSMzH5lBcEaU4o8teT1piV-SNzShjg/edit?gid=554141278#gid=554141278"", ""'Char Def. - Attributes'!C20:C2242""), 1,false)"),"OLD_MAT_NO_RMPM")</f>
        <v>OLD_MAT_NO_RMPM</v>
      </c>
      <c r="I5243" s="136"/>
    </row>
    <row r="5244" ht="15.75" customHeight="1">
      <c r="B5244" s="63">
        <f t="shared" si="1"/>
        <v>14</v>
      </c>
      <c r="C5244" s="146" t="s">
        <v>265</v>
      </c>
      <c r="D5244" s="147" t="s">
        <v>74</v>
      </c>
      <c r="E5244" s="135">
        <f t="shared" si="59"/>
        <v>35</v>
      </c>
      <c r="F5244" s="143" t="s">
        <v>3880</v>
      </c>
      <c r="G5244" s="63" t="str">
        <f>VLOOKUP(C5244, 'Class Def. - General Data'!$C$20:$C$1000,1,false)</f>
        <v>ZPM1_Stiffener</v>
      </c>
      <c r="H5244" s="63" t="str">
        <f>IFERROR(__xludf.DUMMYFUNCTION("VLOOKUP(F5244, IMPORTRANGE(""https://docs.google.com/spreadsheets/d/1Lhp9OU0JdFf_VYSMzH5lBcEaU4o8teT1piV-SNzShjg/edit?gid=554141278#gid=554141278"", ""'Char Def. - Attributes'!C20:C2242""), 1,false)"),"NOTE_PM")</f>
        <v>NOTE_PM</v>
      </c>
      <c r="I5244" s="136"/>
    </row>
    <row r="5245" ht="15.75" customHeight="1">
      <c r="B5245" s="63">
        <f t="shared" si="1"/>
        <v>14</v>
      </c>
      <c r="C5245" s="146" t="s">
        <v>265</v>
      </c>
      <c r="D5245" s="147" t="s">
        <v>74</v>
      </c>
      <c r="E5245" s="135">
        <f t="shared" si="59"/>
        <v>36</v>
      </c>
      <c r="F5245" s="143" t="s">
        <v>3881</v>
      </c>
      <c r="G5245" s="63" t="str">
        <f>VLOOKUP(C5245, 'Class Def. - General Data'!$C$20:$C$1000,1,false)</f>
        <v>ZPM1_Stiffener</v>
      </c>
      <c r="H5245" s="63" t="str">
        <f>IFERROR(__xludf.DUMMYFUNCTION("VLOOKUP(F5245, IMPORTRANGE(""https://docs.google.com/spreadsheets/d/1Lhp9OU0JdFf_VYSMzH5lBcEaU4o8teT1piV-SNzShjg/edit?gid=554141278#gid=554141278"", ""'Char Def. - Attributes'!C20:C2242""), 1,false)"),"BS_BERSIH")</f>
        <v>BS_BERSIH</v>
      </c>
      <c r="I5245" s="136"/>
    </row>
    <row r="5246" ht="15.75" customHeight="1">
      <c r="B5246" s="63">
        <f t="shared" si="1"/>
        <v>14</v>
      </c>
      <c r="C5246" s="146" t="s">
        <v>265</v>
      </c>
      <c r="D5246" s="147" t="s">
        <v>74</v>
      </c>
      <c r="E5246" s="135">
        <f t="shared" si="59"/>
        <v>37</v>
      </c>
      <c r="F5246" s="143" t="s">
        <v>3882</v>
      </c>
      <c r="G5246" s="63" t="str">
        <f>VLOOKUP(C5246, 'Class Def. - General Data'!$C$20:$C$1000,1,false)</f>
        <v>ZPM1_Stiffener</v>
      </c>
      <c r="H5246" s="63" t="str">
        <f>IFERROR(__xludf.DUMMYFUNCTION("VLOOKUP(F5246, IMPORTRANGE(""https://docs.google.com/spreadsheets/d/1Lhp9OU0JdFf_VYSMzH5lBcEaU4o8teT1piV-SNzShjg/edit?gid=554141278#gid=554141278"", ""'Char Def. - Attributes'!C20:C2242""), 1,false)"),"BS_KOTOR")</f>
        <v>BS_KOTOR</v>
      </c>
      <c r="I5246" s="136"/>
    </row>
    <row r="5247" ht="15.75" customHeight="1">
      <c r="B5247" s="63">
        <f t="shared" si="1"/>
        <v>14</v>
      </c>
      <c r="C5247" s="146" t="s">
        <v>265</v>
      </c>
      <c r="D5247" s="147" t="s">
        <v>74</v>
      </c>
      <c r="E5247" s="135">
        <f t="shared" si="59"/>
        <v>38</v>
      </c>
      <c r="F5247" s="143" t="s">
        <v>3883</v>
      </c>
      <c r="G5247" s="63" t="str">
        <f>VLOOKUP(C5247, 'Class Def. - General Data'!$C$20:$C$1000,1,false)</f>
        <v>ZPM1_Stiffener</v>
      </c>
      <c r="H5247" s="63" t="str">
        <f>IFERROR(__xludf.DUMMYFUNCTION("VLOOKUP(F5247, IMPORTRANGE(""https://docs.google.com/spreadsheets/d/1Lhp9OU0JdFf_VYSMzH5lBcEaU4o8teT1piV-SNzShjg/edit?gid=554141278#gid=554141278"", ""'Char Def. - Attributes'!C20:C2242""), 1,false)"),"BS_SCRAP")</f>
        <v>BS_SCRAP</v>
      </c>
      <c r="I5247" s="136"/>
    </row>
    <row r="5248" ht="15.75" customHeight="1">
      <c r="B5248" s="63">
        <f t="shared" si="1"/>
        <v>10</v>
      </c>
      <c r="C5248" s="146" t="s">
        <v>268</v>
      </c>
      <c r="D5248" s="147" t="s">
        <v>74</v>
      </c>
      <c r="E5248" s="135">
        <f t="shared" si="59"/>
        <v>1</v>
      </c>
      <c r="F5248" s="143" t="s">
        <v>3982</v>
      </c>
      <c r="G5248" s="63" t="str">
        <f>VLOOKUP(C5248, 'Class Def. - General Data'!$C$20:$C$1000,1,false)</f>
        <v>ZPM1_Straw</v>
      </c>
      <c r="H5248" s="63" t="str">
        <f>IFERROR(__xludf.DUMMYFUNCTION("VLOOKUP(F5248, IMPORTRANGE(""https://docs.google.com/spreadsheets/d/1Lhp9OU0JdFf_VYSMzH5lBcEaU4o8teT1piV-SNzShjg/edit?gid=554141278#gid=554141278"", ""'Char Def. - Attributes'!C20:C2242""), 1,false)"),"MATERIAL_CODE_STRAW")</f>
        <v>MATERIAL_CODE_STRAW</v>
      </c>
      <c r="I5248" s="136"/>
    </row>
    <row r="5249" ht="15.75" customHeight="1">
      <c r="B5249" s="63">
        <f t="shared" si="1"/>
        <v>10</v>
      </c>
      <c r="C5249" s="146" t="s">
        <v>268</v>
      </c>
      <c r="D5249" s="147" t="s">
        <v>74</v>
      </c>
      <c r="E5249" s="135">
        <f t="shared" si="59"/>
        <v>2</v>
      </c>
      <c r="F5249" s="143" t="s">
        <v>3974</v>
      </c>
      <c r="G5249" s="63" t="str">
        <f>VLOOKUP(C5249, 'Class Def. - General Data'!$C$20:$C$1000,1,false)</f>
        <v>ZPM1_Straw</v>
      </c>
      <c r="H5249" s="63" t="str">
        <f>IFERROR(__xludf.DUMMYFUNCTION("VLOOKUP(F5249, IMPORTRANGE(""https://docs.google.com/spreadsheets/d/1Lhp9OU0JdFf_VYSMzH5lBcEaU4o8teT1piV-SNzShjg/edit?gid=554141278#gid=554141278"", ""'Char Def. - Attributes'!C20:C2242""), 1,false)"),"SATUAN_PM")</f>
        <v>SATUAN_PM</v>
      </c>
      <c r="I5249" s="136"/>
    </row>
    <row r="5250" ht="15.75" customHeight="1">
      <c r="B5250" s="63">
        <f t="shared" si="1"/>
        <v>10</v>
      </c>
      <c r="C5250" s="146" t="s">
        <v>268</v>
      </c>
      <c r="D5250" s="147" t="s">
        <v>74</v>
      </c>
      <c r="E5250" s="135">
        <f t="shared" si="59"/>
        <v>3</v>
      </c>
      <c r="F5250" s="143" t="s">
        <v>3852</v>
      </c>
      <c r="G5250" s="63" t="str">
        <f>VLOOKUP(C5250, 'Class Def. - General Data'!$C$20:$C$1000,1,false)</f>
        <v>ZPM1_Straw</v>
      </c>
      <c r="H5250" s="63" t="str">
        <f>IFERROR(__xludf.DUMMYFUNCTION("VLOOKUP(F5250, IMPORTRANGE(""https://docs.google.com/spreadsheets/d/1Lhp9OU0JdFf_VYSMzH5lBcEaU4o8teT1piV-SNzShjg/edit?gid=554141278#gid=554141278"", ""'Char Def. - Attributes'!C20:C2242""), 1,false)"),"SINGLE_BRAND")</f>
        <v>SINGLE_BRAND</v>
      </c>
      <c r="I5250" s="136"/>
    </row>
    <row r="5251" ht="15.75" customHeight="1">
      <c r="B5251" s="63">
        <f t="shared" si="1"/>
        <v>10</v>
      </c>
      <c r="C5251" s="146" t="s">
        <v>268</v>
      </c>
      <c r="D5251" s="147" t="s">
        <v>74</v>
      </c>
      <c r="E5251" s="135">
        <f t="shared" si="59"/>
        <v>4</v>
      </c>
      <c r="F5251" s="143" t="s">
        <v>3853</v>
      </c>
      <c r="G5251" s="63" t="str">
        <f>VLOOKUP(C5251, 'Class Def. - General Data'!$C$20:$C$1000,1,false)</f>
        <v>ZPM1_Straw</v>
      </c>
      <c r="H5251" s="63" t="str">
        <f>IFERROR(__xludf.DUMMYFUNCTION("VLOOKUP(F5251, IMPORTRANGE(""https://docs.google.com/spreadsheets/d/1Lhp9OU0JdFf_VYSMzH5lBcEaU4o8teT1piV-SNzShjg/edit?gid=554141278#gid=554141278"", ""'Char Def. - Attributes'!C20:C2242""), 1,false)"),"BRAND_WINGS")</f>
        <v>BRAND_WINGS</v>
      </c>
      <c r="I5251" s="136"/>
    </row>
    <row r="5252" ht="15.75" customHeight="1">
      <c r="B5252" s="63">
        <f t="shared" si="1"/>
        <v>10</v>
      </c>
      <c r="C5252" s="146" t="s">
        <v>268</v>
      </c>
      <c r="D5252" s="147" t="s">
        <v>74</v>
      </c>
      <c r="E5252" s="135">
        <f t="shared" si="59"/>
        <v>5</v>
      </c>
      <c r="F5252" s="143" t="s">
        <v>3854</v>
      </c>
      <c r="G5252" s="63" t="str">
        <f>VLOOKUP(C5252, 'Class Def. - General Data'!$C$20:$C$1000,1,false)</f>
        <v>ZPM1_Straw</v>
      </c>
      <c r="H5252" s="63" t="str">
        <f>IFERROR(__xludf.DUMMYFUNCTION("VLOOKUP(F5252, IMPORTRANGE(""https://docs.google.com/spreadsheets/d/1Lhp9OU0JdFf_VYSMzH5lBcEaU4o8teT1piV-SNzShjg/edit?gid=554141278#gid=554141278"", ""'Char Def. - Attributes'!C20:C2242""), 1,false)"),"SINGLE_PACK_SHAPE")</f>
        <v>SINGLE_PACK_SHAPE</v>
      </c>
      <c r="I5252" s="136"/>
    </row>
    <row r="5253" ht="15.75" customHeight="1">
      <c r="B5253" s="63">
        <f t="shared" si="1"/>
        <v>10</v>
      </c>
      <c r="C5253" s="146" t="s">
        <v>268</v>
      </c>
      <c r="D5253" s="147" t="s">
        <v>74</v>
      </c>
      <c r="E5253" s="135">
        <f t="shared" si="59"/>
        <v>6</v>
      </c>
      <c r="F5253" s="143" t="s">
        <v>3855</v>
      </c>
      <c r="G5253" s="63" t="str">
        <f>VLOOKUP(C5253, 'Class Def. - General Data'!$C$20:$C$1000,1,false)</f>
        <v>ZPM1_Straw</v>
      </c>
      <c r="H5253" s="63" t="str">
        <f>IFERROR(__xludf.DUMMYFUNCTION("VLOOKUP(F5253, IMPORTRANGE(""https://docs.google.com/spreadsheets/d/1Lhp9OU0JdFf_VYSMzH5lBcEaU4o8teT1piV-SNzShjg/edit?gid=554141278#gid=554141278"", ""'Char Def. - Attributes'!C20:C2242""), 1,false)"),"PACK_SHAPE")</f>
        <v>PACK_SHAPE</v>
      </c>
      <c r="I5253" s="136"/>
    </row>
    <row r="5254" ht="15.75" customHeight="1">
      <c r="B5254" s="63">
        <f t="shared" si="1"/>
        <v>10</v>
      </c>
      <c r="C5254" s="146" t="s">
        <v>268</v>
      </c>
      <c r="D5254" s="147" t="s">
        <v>74</v>
      </c>
      <c r="E5254" s="135">
        <f t="shared" si="59"/>
        <v>7</v>
      </c>
      <c r="F5254" s="143" t="s">
        <v>3856</v>
      </c>
      <c r="G5254" s="63" t="str">
        <f>VLOOKUP(C5254, 'Class Def. - General Data'!$C$20:$C$1000,1,false)</f>
        <v>ZPM1_Straw</v>
      </c>
      <c r="H5254" s="63" t="str">
        <f>IFERROR(__xludf.DUMMYFUNCTION("VLOOKUP(F5254, IMPORTRANGE(""https://docs.google.com/spreadsheets/d/1Lhp9OU0JdFf_VYSMzH5lBcEaU4o8teT1piV-SNzShjg/edit?gid=554141278#gid=554141278"", ""'Char Def. - Attributes'!C20:C2242""), 1,false)"),"SINGLE_PACK_NETTO")</f>
        <v>SINGLE_PACK_NETTO</v>
      </c>
      <c r="I5254" s="136"/>
    </row>
    <row r="5255" ht="15.75" customHeight="1">
      <c r="B5255" s="63">
        <f t="shared" si="1"/>
        <v>10</v>
      </c>
      <c r="C5255" s="146" t="s">
        <v>268</v>
      </c>
      <c r="D5255" s="147" t="s">
        <v>74</v>
      </c>
      <c r="E5255" s="135">
        <f t="shared" si="59"/>
        <v>8</v>
      </c>
      <c r="F5255" s="143" t="s">
        <v>3605</v>
      </c>
      <c r="G5255" s="63" t="str">
        <f>VLOOKUP(C5255, 'Class Def. - General Data'!$C$20:$C$1000,1,false)</f>
        <v>ZPM1_Straw</v>
      </c>
      <c r="H5255" s="63" t="str">
        <f>IFERROR(__xludf.DUMMYFUNCTION("VLOOKUP(F5255, IMPORTRANGE(""https://docs.google.com/spreadsheets/d/1Lhp9OU0JdFf_VYSMzH5lBcEaU4o8teT1piV-SNzShjg/edit?gid=554141278#gid=554141278"", ""'Char Def. - Attributes'!C20:C2242""), 1,false)"),"PACK_NETTO")</f>
        <v>PACK_NETTO</v>
      </c>
      <c r="I5255" s="136"/>
    </row>
    <row r="5256" ht="15.75" customHeight="1">
      <c r="B5256" s="63">
        <f t="shared" si="1"/>
        <v>10</v>
      </c>
      <c r="C5256" s="146" t="s">
        <v>268</v>
      </c>
      <c r="D5256" s="147" t="s">
        <v>74</v>
      </c>
      <c r="E5256" s="135">
        <f t="shared" si="59"/>
        <v>9</v>
      </c>
      <c r="F5256" s="143" t="s">
        <v>3857</v>
      </c>
      <c r="G5256" s="63" t="str">
        <f>VLOOKUP(C5256, 'Class Def. - General Data'!$C$20:$C$1000,1,false)</f>
        <v>ZPM1_Straw</v>
      </c>
      <c r="H5256" s="63" t="str">
        <f>IFERROR(__xludf.DUMMYFUNCTION("VLOOKUP(F5256, IMPORTRANGE(""https://docs.google.com/spreadsheets/d/1Lhp9OU0JdFf_VYSMzH5lBcEaU4o8teT1piV-SNzShjg/edit?gid=554141278#gid=554141278"", ""'Char Def. - Attributes'!C20:C2242""), 1,false)"),"PACK_UOM")</f>
        <v>PACK_UOM</v>
      </c>
      <c r="I5256" s="136"/>
    </row>
    <row r="5257" ht="15.75" customHeight="1">
      <c r="B5257" s="63">
        <f t="shared" si="1"/>
        <v>10</v>
      </c>
      <c r="C5257" s="146" t="s">
        <v>268</v>
      </c>
      <c r="D5257" s="147" t="s">
        <v>74</v>
      </c>
      <c r="E5257" s="135">
        <f t="shared" si="59"/>
        <v>10</v>
      </c>
      <c r="F5257" s="143" t="s">
        <v>3858</v>
      </c>
      <c r="G5257" s="63" t="str">
        <f>VLOOKUP(C5257, 'Class Def. - General Data'!$C$20:$C$1000,1,false)</f>
        <v>ZPM1_Straw</v>
      </c>
      <c r="H5257" s="63" t="str">
        <f>IFERROR(__xludf.DUMMYFUNCTION("VLOOKUP(F5257, IMPORTRANGE(""https://docs.google.com/spreadsheets/d/1Lhp9OU0JdFf_VYSMzH5lBcEaU4o8teT1piV-SNzShjg/edit?gid=554141278#gid=554141278"", ""'Char Def. - Attributes'!C20:C2242""), 1,false)"),"SINGLE_VARIAN")</f>
        <v>SINGLE_VARIAN</v>
      </c>
      <c r="I5257" s="136"/>
    </row>
    <row r="5258" ht="15.75" customHeight="1">
      <c r="B5258" s="63">
        <f t="shared" si="1"/>
        <v>10</v>
      </c>
      <c r="C5258" s="146" t="s">
        <v>268</v>
      </c>
      <c r="D5258" s="147" t="s">
        <v>74</v>
      </c>
      <c r="E5258" s="135">
        <f t="shared" si="59"/>
        <v>11</v>
      </c>
      <c r="F5258" s="143" t="s">
        <v>3607</v>
      </c>
      <c r="G5258" s="63" t="str">
        <f>VLOOKUP(C5258, 'Class Def. - General Data'!$C$20:$C$1000,1,false)</f>
        <v>ZPM1_Straw</v>
      </c>
      <c r="H5258" s="63" t="str">
        <f>IFERROR(__xludf.DUMMYFUNCTION("VLOOKUP(F5258, IMPORTRANGE(""https://docs.google.com/spreadsheets/d/1Lhp9OU0JdFf_VYSMzH5lBcEaU4o8teT1piV-SNzShjg/edit?gid=554141278#gid=554141278"", ""'Char Def. - Attributes'!C20:C2242""), 1,false)"),"VARIAN")</f>
        <v>VARIAN</v>
      </c>
      <c r="I5258" s="136"/>
    </row>
    <row r="5259" ht="15.75" customHeight="1">
      <c r="B5259" s="63">
        <f t="shared" si="1"/>
        <v>10</v>
      </c>
      <c r="C5259" s="146" t="s">
        <v>268</v>
      </c>
      <c r="D5259" s="147" t="s">
        <v>74</v>
      </c>
      <c r="E5259" s="135">
        <f t="shared" si="59"/>
        <v>12</v>
      </c>
      <c r="F5259" s="143" t="s">
        <v>3859</v>
      </c>
      <c r="G5259" s="63" t="str">
        <f>VLOOKUP(C5259, 'Class Def. - General Data'!$C$20:$C$1000,1,false)</f>
        <v>ZPM1_Straw</v>
      </c>
      <c r="H5259" s="63" t="str">
        <f>IFERROR(__xludf.DUMMYFUNCTION("VLOOKUP(F5259, IMPORTRANGE(""https://docs.google.com/spreadsheets/d/1Lhp9OU0JdFf_VYSMzH5lBcEaU4o8teT1piV-SNzShjg/edit?gid=554141278#gid=554141278"", ""'Char Def. - Attributes'!C20:C2242""), 1,false)"),"ADA_ADDITIONAL_PROMO")</f>
        <v>ADA_ADDITIONAL_PROMO</v>
      </c>
      <c r="I5259" s="136"/>
    </row>
    <row r="5260" ht="15.75" customHeight="1">
      <c r="B5260" s="63">
        <f t="shared" si="1"/>
        <v>10</v>
      </c>
      <c r="C5260" s="146" t="s">
        <v>268</v>
      </c>
      <c r="D5260" s="147" t="s">
        <v>74</v>
      </c>
      <c r="E5260" s="135">
        <f t="shared" si="59"/>
        <v>13</v>
      </c>
      <c r="F5260" s="143" t="s">
        <v>3609</v>
      </c>
      <c r="G5260" s="63" t="str">
        <f>VLOOKUP(C5260, 'Class Def. - General Data'!$C$20:$C$1000,1,false)</f>
        <v>ZPM1_Straw</v>
      </c>
      <c r="H5260" s="63" t="str">
        <f>IFERROR(__xludf.DUMMYFUNCTION("VLOOKUP(F5260, IMPORTRANGE(""https://docs.google.com/spreadsheets/d/1Lhp9OU0JdFf_VYSMzH5lBcEaU4o8teT1piV-SNzShjg/edit?gid=554141278#gid=554141278"", ""'Char Def. - Attributes'!C20:C2242""), 1,false)"),"ADDITIONAL_PROMO")</f>
        <v>ADDITIONAL_PROMO</v>
      </c>
      <c r="I5260" s="136"/>
    </row>
    <row r="5261" ht="15.75" customHeight="1">
      <c r="B5261" s="63">
        <f t="shared" si="1"/>
        <v>10</v>
      </c>
      <c r="C5261" s="146" t="s">
        <v>268</v>
      </c>
      <c r="D5261" s="147" t="s">
        <v>74</v>
      </c>
      <c r="E5261" s="135">
        <f t="shared" si="59"/>
        <v>14</v>
      </c>
      <c r="F5261" s="143" t="s">
        <v>3860</v>
      </c>
      <c r="G5261" s="63" t="str">
        <f>VLOOKUP(C5261, 'Class Def. - General Data'!$C$20:$C$1000,1,false)</f>
        <v>ZPM1_Straw</v>
      </c>
      <c r="H5261" s="63" t="str">
        <f>IFERROR(__xludf.DUMMYFUNCTION("VLOOKUP(F5261, IMPORTRANGE(""https://docs.google.com/spreadsheets/d/1Lhp9OU0JdFf_VYSMzH5lBcEaU4o8teT1piV-SNzShjg/edit?gid=554141278#gid=554141278"", ""'Char Def. - Attributes'!C20:C2242""), 1,false)"),"ADA_BANDED_PROMO")</f>
        <v>ADA_BANDED_PROMO</v>
      </c>
      <c r="I5261" s="136"/>
    </row>
    <row r="5262" ht="15.75" customHeight="1">
      <c r="B5262" s="63">
        <f t="shared" si="1"/>
        <v>10</v>
      </c>
      <c r="C5262" s="146" t="s">
        <v>268</v>
      </c>
      <c r="D5262" s="147" t="s">
        <v>74</v>
      </c>
      <c r="E5262" s="135">
        <f t="shared" si="59"/>
        <v>15</v>
      </c>
      <c r="F5262" s="143" t="s">
        <v>3610</v>
      </c>
      <c r="G5262" s="63" t="str">
        <f>VLOOKUP(C5262, 'Class Def. - General Data'!$C$20:$C$1000,1,false)</f>
        <v>ZPM1_Straw</v>
      </c>
      <c r="H5262" s="63" t="str">
        <f>IFERROR(__xludf.DUMMYFUNCTION("VLOOKUP(F5262, IMPORTRANGE(""https://docs.google.com/spreadsheets/d/1Lhp9OU0JdFf_VYSMzH5lBcEaU4o8teT1piV-SNzShjg/edit?gid=554141278#gid=554141278"", ""'Char Def. - Attributes'!C20:C2242""), 1,false)"),"BANDED_PROMO")</f>
        <v>BANDED_PROMO</v>
      </c>
      <c r="I5262" s="136"/>
    </row>
    <row r="5263" ht="15.75" customHeight="1">
      <c r="B5263" s="63">
        <f t="shared" si="1"/>
        <v>10</v>
      </c>
      <c r="C5263" s="146" t="s">
        <v>268</v>
      </c>
      <c r="D5263" s="147" t="s">
        <v>74</v>
      </c>
      <c r="E5263" s="135">
        <f t="shared" si="59"/>
        <v>16</v>
      </c>
      <c r="F5263" s="143" t="s">
        <v>1292</v>
      </c>
      <c r="G5263" s="63" t="str">
        <f>VLOOKUP(C5263, 'Class Def. - General Data'!$C$20:$C$1000,1,false)</f>
        <v>ZPM1_Straw</v>
      </c>
      <c r="H5263" s="63" t="str">
        <f>IFERROR(__xludf.DUMMYFUNCTION("VLOOKUP(F5263, IMPORTRANGE(""https://docs.google.com/spreadsheets/d/1Lhp9OU0JdFf_VYSMzH5lBcEaU4o8teT1piV-SNzShjg/edit?gid=554141278#gid=554141278"", ""'Char Def. - Attributes'!C20:C2242""), 1,false)"),"EXPORT")</f>
        <v>EXPORT</v>
      </c>
      <c r="I5263" s="136"/>
    </row>
    <row r="5264" ht="15.75" customHeight="1">
      <c r="B5264" s="63">
        <f t="shared" si="1"/>
        <v>10</v>
      </c>
      <c r="C5264" s="146" t="s">
        <v>268</v>
      </c>
      <c r="D5264" s="147" t="s">
        <v>74</v>
      </c>
      <c r="E5264" s="135">
        <f t="shared" si="59"/>
        <v>17</v>
      </c>
      <c r="F5264" s="143" t="s">
        <v>3612</v>
      </c>
      <c r="G5264" s="63" t="str">
        <f>VLOOKUP(C5264, 'Class Def. - General Data'!$C$20:$C$1000,1,false)</f>
        <v>ZPM1_Straw</v>
      </c>
      <c r="H5264" s="63" t="str">
        <f>IFERROR(__xludf.DUMMYFUNCTION("VLOOKUP(F5264, IMPORTRANGE(""https://docs.google.com/spreadsheets/d/1Lhp9OU0JdFf_VYSMzH5lBcEaU4o8teT1piV-SNzShjg/edit?gid=554141278#gid=554141278"", ""'Char Def. - Attributes'!C20:C2242""), 1,false)"),"COUNTRY_EKSPOR")</f>
        <v>COUNTRY_EKSPOR</v>
      </c>
      <c r="I5264" s="136"/>
    </row>
    <row r="5265" ht="15.75" customHeight="1">
      <c r="B5265" s="63">
        <f t="shared" si="1"/>
        <v>10</v>
      </c>
      <c r="C5265" s="146" t="s">
        <v>268</v>
      </c>
      <c r="D5265" s="147" t="s">
        <v>74</v>
      </c>
      <c r="E5265" s="135">
        <f t="shared" si="59"/>
        <v>18</v>
      </c>
      <c r="F5265" s="143" t="s">
        <v>3861</v>
      </c>
      <c r="G5265" s="63" t="str">
        <f>VLOOKUP(C5265, 'Class Def. - General Data'!$C$20:$C$1000,1,false)</f>
        <v>ZPM1_Straw</v>
      </c>
      <c r="H5265" s="63" t="str">
        <f>IFERROR(__xludf.DUMMYFUNCTION("VLOOKUP(F5265, IMPORTRANGE(""https://docs.google.com/spreadsheets/d/1Lhp9OU0JdFf_VYSMzH5lBcEaU4o8teT1piV-SNzShjg/edit?gid=554141278#gid=554141278"", ""'Char Def. - Attributes'!C20:C2242""), 1,false)"),"PEMBATAS")</f>
        <v>PEMBATAS</v>
      </c>
      <c r="I5265" s="136"/>
    </row>
    <row r="5266" ht="15.75" customHeight="1">
      <c r="B5266" s="63">
        <f t="shared" si="1"/>
        <v>10</v>
      </c>
      <c r="C5266" s="146" t="s">
        <v>268</v>
      </c>
      <c r="D5266" s="147" t="s">
        <v>74</v>
      </c>
      <c r="E5266" s="135">
        <f t="shared" si="59"/>
        <v>19</v>
      </c>
      <c r="F5266" s="143" t="s">
        <v>3888</v>
      </c>
      <c r="G5266" s="63" t="str">
        <f>VLOOKUP(C5266, 'Class Def. - General Data'!$C$20:$C$1000,1,false)</f>
        <v>ZPM1_Straw</v>
      </c>
      <c r="H5266" s="63" t="str">
        <f>IFERROR(__xludf.DUMMYFUNCTION("VLOOKUP(F5266, IMPORTRANGE(""https://docs.google.com/spreadsheets/d/1Lhp9OU0JdFf_VYSMzH5lBcEaU4o8teT1piV-SNzShjg/edit?gid=554141278#gid=554141278"", ""'Char Def. - Attributes'!C20:C2242""), 1,false)"),"PACK_CODE_OPT")</f>
        <v>PACK_CODE_OPT</v>
      </c>
      <c r="I5266" s="136"/>
    </row>
    <row r="5267" ht="15.75" customHeight="1">
      <c r="B5267" s="63">
        <f t="shared" si="1"/>
        <v>10</v>
      </c>
      <c r="C5267" s="146" t="s">
        <v>268</v>
      </c>
      <c r="D5267" s="147" t="s">
        <v>74</v>
      </c>
      <c r="E5267" s="135">
        <f t="shared" si="59"/>
        <v>20</v>
      </c>
      <c r="F5267" s="143" t="s">
        <v>3898</v>
      </c>
      <c r="G5267" s="63" t="str">
        <f>VLOOKUP(C5267, 'Class Def. - General Data'!$C$20:$C$1000,1,false)</f>
        <v>ZPM1_Straw</v>
      </c>
      <c r="H5267" s="63" t="str">
        <f>IFERROR(__xludf.DUMMYFUNCTION("VLOOKUP(F5267, IMPORTRANGE(""https://docs.google.com/spreadsheets/d/1Lhp9OU0JdFf_VYSMzH5lBcEaU4o8teT1piV-SNzShjg/edit?gid=554141278#gid=554141278"", ""'Char Def. - Attributes'!C20:C2242""), 1,false)"),"DIAMETER_MM_A")</f>
        <v>DIAMETER_MM_A</v>
      </c>
      <c r="I5267" s="136"/>
    </row>
    <row r="5268" ht="15.75" customHeight="1">
      <c r="B5268" s="63">
        <f t="shared" si="1"/>
        <v>10</v>
      </c>
      <c r="C5268" s="146" t="s">
        <v>268</v>
      </c>
      <c r="D5268" s="147" t="s">
        <v>74</v>
      </c>
      <c r="E5268" s="135">
        <f t="shared" si="59"/>
        <v>21</v>
      </c>
      <c r="F5268" s="143" t="s">
        <v>3918</v>
      </c>
      <c r="G5268" s="63" t="str">
        <f>VLOOKUP(C5268, 'Class Def. - General Data'!$C$20:$C$1000,1,false)</f>
        <v>ZPM1_Straw</v>
      </c>
      <c r="H5268" s="63" t="str">
        <f>IFERROR(__xludf.DUMMYFUNCTION("VLOOKUP(F5268, IMPORTRANGE(""https://docs.google.com/spreadsheets/d/1Lhp9OU0JdFf_VYSMzH5lBcEaU4o8teT1piV-SNzShjg/edit?gid=554141278#gid=554141278"", ""'Char Def. - Attributes'!C20:C2242""), 1,false)"),"WIDTH_MM_3")</f>
        <v>WIDTH_MM_3</v>
      </c>
      <c r="I5268" s="136"/>
    </row>
    <row r="5269" ht="15.75" customHeight="1">
      <c r="B5269" s="63">
        <f t="shared" si="1"/>
        <v>10</v>
      </c>
      <c r="C5269" s="146" t="s">
        <v>268</v>
      </c>
      <c r="D5269" s="147" t="s">
        <v>74</v>
      </c>
      <c r="E5269" s="135">
        <f t="shared" si="59"/>
        <v>22</v>
      </c>
      <c r="F5269" s="143" t="s">
        <v>3899</v>
      </c>
      <c r="G5269" s="63" t="str">
        <f>VLOOKUP(C5269, 'Class Def. - General Data'!$C$20:$C$1000,1,false)</f>
        <v>ZPM1_Straw</v>
      </c>
      <c r="H5269" s="63" t="str">
        <f>IFERROR(__xludf.DUMMYFUNCTION("VLOOKUP(F5269, IMPORTRANGE(""https://docs.google.com/spreadsheets/d/1Lhp9OU0JdFf_VYSMzH5lBcEaU4o8teT1piV-SNzShjg/edit?gid=554141278#gid=554141278"", ""'Char Def. - Attributes'!C20:C2242""), 1,false)"),"HEIGHT_MM")</f>
        <v>HEIGHT_MM</v>
      </c>
      <c r="I5269" s="136"/>
    </row>
    <row r="5270" ht="15.75" customHeight="1">
      <c r="B5270" s="63">
        <f t="shared" si="1"/>
        <v>10</v>
      </c>
      <c r="C5270" s="146" t="s">
        <v>268</v>
      </c>
      <c r="D5270" s="147" t="s">
        <v>74</v>
      </c>
      <c r="E5270" s="135">
        <f t="shared" si="59"/>
        <v>23</v>
      </c>
      <c r="F5270" s="143" t="s">
        <v>3941</v>
      </c>
      <c r="G5270" s="63" t="str">
        <f>VLOOKUP(C5270, 'Class Def. - General Data'!$C$20:$C$1000,1,false)</f>
        <v>ZPM1_Straw</v>
      </c>
      <c r="H5270" s="63" t="str">
        <f>IFERROR(__xludf.DUMMYFUNCTION("VLOOKUP(F5270, IMPORTRANGE(""https://docs.google.com/spreadsheets/d/1Lhp9OU0JdFf_VYSMzH5lBcEaU4o8teT1piV-SNzShjg/edit?gid=554141278#gid=554141278"", ""'Char Def. - Attributes'!C20:C2242""), 1,false)"),"LENGTH_M")</f>
        <v>LENGTH_M</v>
      </c>
      <c r="I5270" s="136"/>
    </row>
    <row r="5271" ht="15.75" customHeight="1">
      <c r="B5271" s="63">
        <f t="shared" si="1"/>
        <v>10</v>
      </c>
      <c r="C5271" s="146" t="s">
        <v>268</v>
      </c>
      <c r="D5271" s="147" t="s">
        <v>74</v>
      </c>
      <c r="E5271" s="135">
        <f t="shared" si="59"/>
        <v>24</v>
      </c>
      <c r="F5271" s="143" t="s">
        <v>3953</v>
      </c>
      <c r="G5271" s="63" t="str">
        <f>VLOOKUP(C5271, 'Class Def. - General Data'!$C$20:$C$1000,1,false)</f>
        <v>ZPM1_Straw</v>
      </c>
      <c r="H5271" s="63" t="str">
        <f>IFERROR(__xludf.DUMMYFUNCTION("VLOOKUP(F5271, IMPORTRANGE(""https://docs.google.com/spreadsheets/d/1Lhp9OU0JdFf_VYSMzH5lBcEaU4o8teT1piV-SNzShjg/edit?gid=554141278#gid=554141278"", ""'Char Def. - Attributes'!C20:C2242""), 1,false)"),"PACK_CONTENT_AMOUNT_5_OPT")</f>
        <v>PACK_CONTENT_AMOUNT_5_OPT</v>
      </c>
      <c r="I5271" s="136"/>
    </row>
    <row r="5272" ht="15.75" customHeight="1">
      <c r="B5272" s="63">
        <f t="shared" si="1"/>
        <v>10</v>
      </c>
      <c r="C5272" s="146" t="s">
        <v>268</v>
      </c>
      <c r="D5272" s="147" t="s">
        <v>74</v>
      </c>
      <c r="E5272" s="135">
        <f t="shared" si="59"/>
        <v>25</v>
      </c>
      <c r="F5272" s="143" t="s">
        <v>3900</v>
      </c>
      <c r="G5272" s="63" t="str">
        <f>VLOOKUP(C5272, 'Class Def. - General Data'!$C$20:$C$1000,1,false)</f>
        <v>ZPM1_Straw</v>
      </c>
      <c r="H5272" s="63" t="str">
        <f>IFERROR(__xludf.DUMMYFUNCTION("VLOOKUP(F5272, IMPORTRANGE(""https://docs.google.com/spreadsheets/d/1Lhp9OU0JdFf_VYSMzH5lBcEaU4o8teT1piV-SNzShjg/edit?gid=554141278#gid=554141278"", ""'Char Def. - Attributes'!C20:C2242""), 1,false)"),"PLASTIC_TYPE_OPT")</f>
        <v>PLASTIC_TYPE_OPT</v>
      </c>
      <c r="I5272" s="136"/>
    </row>
    <row r="5273" ht="15.75" customHeight="1">
      <c r="B5273" s="63">
        <f t="shared" si="1"/>
        <v>10</v>
      </c>
      <c r="C5273" s="146" t="s">
        <v>268</v>
      </c>
      <c r="D5273" s="147" t="s">
        <v>74</v>
      </c>
      <c r="E5273" s="135">
        <f t="shared" si="59"/>
        <v>26</v>
      </c>
      <c r="F5273" s="143" t="s">
        <v>3864</v>
      </c>
      <c r="G5273" s="63" t="str">
        <f>VLOOKUP(C5273, 'Class Def. - General Data'!$C$20:$C$1000,1,false)</f>
        <v>ZPM1_Straw</v>
      </c>
      <c r="H5273" s="63" t="str">
        <f>IFERROR(__xludf.DUMMYFUNCTION("VLOOKUP(F5273, IMPORTRANGE(""https://docs.google.com/spreadsheets/d/1Lhp9OU0JdFf_VYSMzH5lBcEaU4o8teT1piV-SNzShjg/edit?gid=554141278#gid=554141278"", ""'Char Def. - Attributes'!C20:C2242""), 1,false)"),"DIMENSION_OPT")</f>
        <v>DIMENSION_OPT</v>
      </c>
      <c r="I5273" s="136"/>
    </row>
    <row r="5274" ht="15.75" customHeight="1">
      <c r="B5274" s="63">
        <f t="shared" si="1"/>
        <v>10</v>
      </c>
      <c r="C5274" s="146" t="s">
        <v>268</v>
      </c>
      <c r="D5274" s="147" t="s">
        <v>74</v>
      </c>
      <c r="E5274" s="135">
        <f t="shared" si="59"/>
        <v>27</v>
      </c>
      <c r="F5274" s="143" t="s">
        <v>3890</v>
      </c>
      <c r="G5274" s="63" t="str">
        <f>VLOOKUP(C5274, 'Class Def. - General Data'!$C$20:$C$1000,1,false)</f>
        <v>ZPM1_Straw</v>
      </c>
      <c r="H5274" s="63" t="str">
        <f>IFERROR(__xludf.DUMMYFUNCTION("VLOOKUP(F5274, IMPORTRANGE(""https://docs.google.com/spreadsheets/d/1Lhp9OU0JdFf_VYSMzH5lBcEaU4o8teT1piV-SNzShjg/edit?gid=554141278#gid=554141278"", ""'Char Def. - Attributes'!C20:C2242""), 1,false)"),"EXT_MAT_GRP")</f>
        <v>EXT_MAT_GRP</v>
      </c>
      <c r="I5274" s="136"/>
    </row>
    <row r="5275" ht="15.75" customHeight="1">
      <c r="B5275" s="63">
        <f t="shared" si="1"/>
        <v>10</v>
      </c>
      <c r="C5275" s="146" t="s">
        <v>268</v>
      </c>
      <c r="D5275" s="147" t="s">
        <v>74</v>
      </c>
      <c r="E5275" s="135">
        <f t="shared" si="59"/>
        <v>28</v>
      </c>
      <c r="F5275" s="143" t="s">
        <v>3891</v>
      </c>
      <c r="G5275" s="63" t="str">
        <f>VLOOKUP(C5275, 'Class Def. - General Data'!$C$20:$C$1000,1,false)</f>
        <v>ZPM1_Straw</v>
      </c>
      <c r="H5275" s="63" t="str">
        <f>IFERROR(__xludf.DUMMYFUNCTION("VLOOKUP(F5275, IMPORTRANGE(""https://docs.google.com/spreadsheets/d/1Lhp9OU0JdFf_VYSMzH5lBcEaU4o8teT1piV-SNzShjg/edit?gid=554141278#gid=554141278"", ""'Char Def. - Attributes'!C20:C2242""), 1,false)"),"GENERAL_SPEC")</f>
        <v>GENERAL_SPEC</v>
      </c>
      <c r="I5275" s="136"/>
    </row>
    <row r="5276" ht="15.75" customHeight="1">
      <c r="B5276" s="63">
        <f t="shared" si="1"/>
        <v>10</v>
      </c>
      <c r="C5276" s="146" t="s">
        <v>268</v>
      </c>
      <c r="D5276" s="147" t="s">
        <v>74</v>
      </c>
      <c r="E5276" s="135">
        <f t="shared" si="59"/>
        <v>29</v>
      </c>
      <c r="F5276" s="143" t="s">
        <v>3886</v>
      </c>
      <c r="G5276" s="63" t="str">
        <f>VLOOKUP(C5276, 'Class Def. - General Data'!$C$20:$C$1000,1,false)</f>
        <v>ZPM1_Straw</v>
      </c>
      <c r="H5276" s="63" t="str">
        <f>IFERROR(__xludf.DUMMYFUNCTION("VLOOKUP(F5276, IMPORTRANGE(""https://docs.google.com/spreadsheets/d/1Lhp9OU0JdFf_VYSMzH5lBcEaU4o8teT1piV-SNzShjg/edit?gid=554141278#gid=554141278"", ""'Char Def. - Attributes'!C20:C2242""), 1,false)"),"COLOR_COUNT_OPT")</f>
        <v>COLOR_COUNT_OPT</v>
      </c>
      <c r="I5276" s="136"/>
    </row>
    <row r="5277" ht="15.75" customHeight="1">
      <c r="B5277" s="63">
        <f t="shared" si="1"/>
        <v>10</v>
      </c>
      <c r="C5277" s="146" t="s">
        <v>268</v>
      </c>
      <c r="D5277" s="147" t="s">
        <v>74</v>
      </c>
      <c r="E5277" s="135">
        <f t="shared" si="59"/>
        <v>30</v>
      </c>
      <c r="F5277" s="143" t="s">
        <v>3893</v>
      </c>
      <c r="G5277" s="63" t="str">
        <f>VLOOKUP(C5277, 'Class Def. - General Data'!$C$20:$C$1000,1,false)</f>
        <v>ZPM1_Straw</v>
      </c>
      <c r="H5277" s="63" t="str">
        <f>IFERROR(__xludf.DUMMYFUNCTION("VLOOKUP(F5277, IMPORTRANGE(""https://docs.google.com/spreadsheets/d/1Lhp9OU0JdFf_VYSMzH5lBcEaU4o8teT1piV-SNzShjg/edit?gid=554141278#gid=554141278"", ""'Char Def. - Attributes'!C20:C2242""), 1,false)"),"FLEX_UOM")</f>
        <v>FLEX_UOM</v>
      </c>
      <c r="I5277" s="136"/>
    </row>
    <row r="5278" ht="15.75" customHeight="1">
      <c r="B5278" s="63">
        <f t="shared" si="1"/>
        <v>10</v>
      </c>
      <c r="C5278" s="146" t="s">
        <v>268</v>
      </c>
      <c r="D5278" s="147" t="s">
        <v>74</v>
      </c>
      <c r="E5278" s="135">
        <f t="shared" si="59"/>
        <v>31</v>
      </c>
      <c r="F5278" s="143" t="s">
        <v>3894</v>
      </c>
      <c r="G5278" s="63" t="str">
        <f>VLOOKUP(C5278, 'Class Def. - General Data'!$C$20:$C$1000,1,false)</f>
        <v>ZPM1_Straw</v>
      </c>
      <c r="H5278" s="63" t="str">
        <f>IFERROR(__xludf.DUMMYFUNCTION("VLOOKUP(F5278, IMPORTRANGE(""https://docs.google.com/spreadsheets/d/1Lhp9OU0JdFf_VYSMzH5lBcEaU4o8teT1piV-SNzShjg/edit?gid=554141278#gid=554141278"", ""'Char Def. - Attributes'!C20:C2242""), 1,false)"),"FLEX_COMPLEXITY")</f>
        <v>FLEX_COMPLEXITY</v>
      </c>
      <c r="I5278" s="136"/>
    </row>
    <row r="5279" ht="15.75" customHeight="1">
      <c r="B5279" s="63">
        <f t="shared" si="1"/>
        <v>10</v>
      </c>
      <c r="C5279" s="146" t="s">
        <v>268</v>
      </c>
      <c r="D5279" s="147" t="s">
        <v>74</v>
      </c>
      <c r="E5279" s="135">
        <f t="shared" si="59"/>
        <v>32</v>
      </c>
      <c r="F5279" s="143" t="s">
        <v>3587</v>
      </c>
      <c r="G5279" s="63" t="str">
        <f>VLOOKUP(C5279, 'Class Def. - General Data'!$C$20:$C$1000,1,false)</f>
        <v>ZPM1_Straw</v>
      </c>
      <c r="H5279" s="63" t="str">
        <f>IFERROR(__xludf.DUMMYFUNCTION("VLOOKUP(F5279, IMPORTRANGE(""https://docs.google.com/spreadsheets/d/1Lhp9OU0JdFf_VYSMzH5lBcEaU4o8teT1piV-SNzShjg/edit?gid=554141278#gid=554141278"", ""'Char Def. - Attributes'!C20:C2242""), 1,false)"),"PLANT_BUY")</f>
        <v>PLANT_BUY</v>
      </c>
      <c r="I5279" s="136"/>
    </row>
    <row r="5280" ht="15.75" customHeight="1">
      <c r="B5280" s="63">
        <f t="shared" si="1"/>
        <v>10</v>
      </c>
      <c r="C5280" s="146" t="s">
        <v>268</v>
      </c>
      <c r="D5280" s="147" t="s">
        <v>74</v>
      </c>
      <c r="E5280" s="135">
        <f t="shared" si="59"/>
        <v>33</v>
      </c>
      <c r="F5280" s="143" t="s">
        <v>3865</v>
      </c>
      <c r="G5280" s="63" t="str">
        <f>VLOOKUP(C5280, 'Class Def. - General Data'!$C$20:$C$1000,1,false)</f>
        <v>ZPM1_Straw</v>
      </c>
      <c r="H5280" s="63" t="str">
        <f>IFERROR(__xludf.DUMMYFUNCTION("VLOOKUP(F5280, IMPORTRANGE(""https://docs.google.com/spreadsheets/d/1Lhp9OU0JdFf_VYSMzH5lBcEaU4o8teT1piV-SNzShjg/edit?gid=554141278#gid=554141278"", ""'Char Def. - Attributes'!C20:C2242""), 1,false)"),"PLANT_PROD_OPT")</f>
        <v>PLANT_PROD_OPT</v>
      </c>
      <c r="I5280" s="136"/>
    </row>
    <row r="5281" ht="15.75" customHeight="1">
      <c r="B5281" s="63">
        <f t="shared" si="1"/>
        <v>10</v>
      </c>
      <c r="C5281" s="146" t="s">
        <v>268</v>
      </c>
      <c r="D5281" s="147" t="s">
        <v>74</v>
      </c>
      <c r="E5281" s="135">
        <f t="shared" si="59"/>
        <v>34</v>
      </c>
      <c r="F5281" s="143" t="s">
        <v>3866</v>
      </c>
      <c r="G5281" s="63" t="str">
        <f>VLOOKUP(C5281, 'Class Def. - General Data'!$C$20:$C$1000,1,false)</f>
        <v>ZPM1_Straw</v>
      </c>
      <c r="H5281" s="63" t="str">
        <f>IFERROR(__xludf.DUMMYFUNCTION("VLOOKUP(F5281, IMPORTRANGE(""https://docs.google.com/spreadsheets/d/1Lhp9OU0JdFf_VYSMzH5lBcEaU4o8teT1piV-SNzShjg/edit?gid=554141278#gid=554141278"", ""'Char Def. - Attributes'!C20:C2242""), 1,false)"),"PM_SUPPLY_JKT")</f>
        <v>PM_SUPPLY_JKT</v>
      </c>
      <c r="I5281" s="136"/>
    </row>
    <row r="5282" ht="15.75" customHeight="1">
      <c r="B5282" s="63">
        <f t="shared" si="1"/>
        <v>10</v>
      </c>
      <c r="C5282" s="146" t="s">
        <v>268</v>
      </c>
      <c r="D5282" s="147" t="s">
        <v>74</v>
      </c>
      <c r="E5282" s="135">
        <f t="shared" si="59"/>
        <v>35</v>
      </c>
      <c r="F5282" s="143" t="s">
        <v>3867</v>
      </c>
      <c r="G5282" s="63" t="str">
        <f>VLOOKUP(C5282, 'Class Def. - General Data'!$C$20:$C$1000,1,false)</f>
        <v>ZPM1_Straw</v>
      </c>
      <c r="H5282" s="63" t="str">
        <f>IFERROR(__xludf.DUMMYFUNCTION("VLOOKUP(F5282, IMPORTRANGE(""https://docs.google.com/spreadsheets/d/1Lhp9OU0JdFf_VYSMzH5lBcEaU4o8teT1piV-SNzShjg/edit?gid=554141278#gid=554141278"", ""'Char Def. - Attributes'!C20:C2242""), 1,false)"),"PM_SUPPLY_SBY")</f>
        <v>PM_SUPPLY_SBY</v>
      </c>
      <c r="I5282" s="136"/>
    </row>
    <row r="5283" ht="15.75" customHeight="1">
      <c r="B5283" s="63">
        <f t="shared" si="1"/>
        <v>10</v>
      </c>
      <c r="C5283" s="146" t="s">
        <v>268</v>
      </c>
      <c r="D5283" s="147" t="s">
        <v>74</v>
      </c>
      <c r="E5283" s="135">
        <f t="shared" si="59"/>
        <v>36</v>
      </c>
      <c r="F5283" s="143" t="s">
        <v>3868</v>
      </c>
      <c r="G5283" s="63" t="str">
        <f>VLOOKUP(C5283, 'Class Def. - General Data'!$C$20:$C$1000,1,false)</f>
        <v>ZPM1_Straw</v>
      </c>
      <c r="H5283" s="63" t="str">
        <f>IFERROR(__xludf.DUMMYFUNCTION("VLOOKUP(F5283, IMPORTRANGE(""https://docs.google.com/spreadsheets/d/1Lhp9OU0JdFf_VYSMzH5lBcEaU4o8teT1piV-SNzShjg/edit?gid=554141278#gid=554141278"", ""'Char Def. - Attributes'!C20:C2242""), 1,false)"),"BASIC_UOM_RMPM")</f>
        <v>BASIC_UOM_RMPM</v>
      </c>
      <c r="I5283" s="136"/>
    </row>
    <row r="5284" ht="15.75" customHeight="1">
      <c r="B5284" s="63">
        <f t="shared" si="1"/>
        <v>10</v>
      </c>
      <c r="C5284" s="146" t="s">
        <v>268</v>
      </c>
      <c r="D5284" s="147" t="s">
        <v>74</v>
      </c>
      <c r="E5284" s="135">
        <f t="shared" si="59"/>
        <v>37</v>
      </c>
      <c r="F5284" s="143" t="s">
        <v>3869</v>
      </c>
      <c r="G5284" s="63" t="str">
        <f>VLOOKUP(C5284, 'Class Def. - General Data'!$C$20:$C$1000,1,false)</f>
        <v>ZPM1_Straw</v>
      </c>
      <c r="H5284" s="63" t="str">
        <f>IFERROR(__xludf.DUMMYFUNCTION("VLOOKUP(F5284, IMPORTRANGE(""https://docs.google.com/spreadsheets/d/1Lhp9OU0JdFf_VYSMzH5lBcEaU4o8teT1piV-SNzShjg/edit?gid=554141278#gid=554141278"", ""'Char Def. - Attributes'!C20:C2242""), 1,false)"),"ALT_UOM1_RMPM")</f>
        <v>ALT_UOM1_RMPM</v>
      </c>
      <c r="I5284" s="136"/>
    </row>
    <row r="5285" ht="15.75" customHeight="1">
      <c r="B5285" s="63">
        <f t="shared" si="1"/>
        <v>10</v>
      </c>
      <c r="C5285" s="146" t="s">
        <v>268</v>
      </c>
      <c r="D5285" s="147" t="s">
        <v>74</v>
      </c>
      <c r="E5285" s="135">
        <f t="shared" si="59"/>
        <v>38</v>
      </c>
      <c r="F5285" s="143" t="s">
        <v>3805</v>
      </c>
      <c r="G5285" s="63" t="str">
        <f>VLOOKUP(C5285, 'Class Def. - General Data'!$C$20:$C$1000,1,false)</f>
        <v>ZPM1_Straw</v>
      </c>
      <c r="H5285" s="63" t="str">
        <f>IFERROR(__xludf.DUMMYFUNCTION("VLOOKUP(F5285, IMPORTRANGE(""https://docs.google.com/spreadsheets/d/1Lhp9OU0JdFf_VYSMzH5lBcEaU4o8teT1piV-SNzShjg/edit?gid=554141278#gid=554141278"", ""'Char Def. - Attributes'!C20:C2242""), 1,false)"),"ALT_DENUM_UOM1")</f>
        <v>ALT_DENUM_UOM1</v>
      </c>
      <c r="I5285" s="136"/>
    </row>
    <row r="5286" ht="15.75" customHeight="1">
      <c r="B5286" s="63">
        <f t="shared" si="1"/>
        <v>10</v>
      </c>
      <c r="C5286" s="146" t="s">
        <v>268</v>
      </c>
      <c r="D5286" s="147" t="s">
        <v>74</v>
      </c>
      <c r="E5286" s="135">
        <f t="shared" si="59"/>
        <v>39</v>
      </c>
      <c r="F5286" s="143" t="s">
        <v>3806</v>
      </c>
      <c r="G5286" s="63" t="str">
        <f>VLOOKUP(C5286, 'Class Def. - General Data'!$C$20:$C$1000,1,false)</f>
        <v>ZPM1_Straw</v>
      </c>
      <c r="H5286" s="63" t="str">
        <f>IFERROR(__xludf.DUMMYFUNCTION("VLOOKUP(F5286, IMPORTRANGE(""https://docs.google.com/spreadsheets/d/1Lhp9OU0JdFf_VYSMzH5lBcEaU4o8teT1piV-SNzShjg/edit?gid=554141278#gid=554141278"", ""'Char Def. - Attributes'!C20:C2242""), 1,false)"),"ALT_NUM_UOM1")</f>
        <v>ALT_NUM_UOM1</v>
      </c>
      <c r="I5286" s="136"/>
    </row>
    <row r="5287" ht="15.75" customHeight="1">
      <c r="B5287" s="63">
        <f t="shared" si="1"/>
        <v>10</v>
      </c>
      <c r="C5287" s="146" t="s">
        <v>268</v>
      </c>
      <c r="D5287" s="147" t="s">
        <v>74</v>
      </c>
      <c r="E5287" s="135">
        <f t="shared" si="59"/>
        <v>40</v>
      </c>
      <c r="F5287" s="143" t="s">
        <v>3870</v>
      </c>
      <c r="G5287" s="63" t="str">
        <f>VLOOKUP(C5287, 'Class Def. - General Data'!$C$20:$C$1000,1,false)</f>
        <v>ZPM1_Straw</v>
      </c>
      <c r="H5287" s="63" t="str">
        <f>IFERROR(__xludf.DUMMYFUNCTION("VLOOKUP(F5287, IMPORTRANGE(""https://docs.google.com/spreadsheets/d/1Lhp9OU0JdFf_VYSMzH5lBcEaU4o8teT1piV-SNzShjg/edit?gid=554141278#gid=554141278"", ""'Char Def. - Attributes'!C20:C2242""), 1,false)"),"ALT_UOM2_RMPM")</f>
        <v>ALT_UOM2_RMPM</v>
      </c>
      <c r="I5287" s="136"/>
    </row>
    <row r="5288" ht="15.75" customHeight="1">
      <c r="B5288" s="63">
        <f t="shared" si="1"/>
        <v>10</v>
      </c>
      <c r="C5288" s="146" t="s">
        <v>268</v>
      </c>
      <c r="D5288" s="147" t="s">
        <v>74</v>
      </c>
      <c r="E5288" s="135">
        <f t="shared" si="59"/>
        <v>41</v>
      </c>
      <c r="F5288" s="143" t="s">
        <v>3808</v>
      </c>
      <c r="G5288" s="63" t="str">
        <f>VLOOKUP(C5288, 'Class Def. - General Data'!$C$20:$C$1000,1,false)</f>
        <v>ZPM1_Straw</v>
      </c>
      <c r="H5288" s="63" t="str">
        <f>IFERROR(__xludf.DUMMYFUNCTION("VLOOKUP(F5288, IMPORTRANGE(""https://docs.google.com/spreadsheets/d/1Lhp9OU0JdFf_VYSMzH5lBcEaU4o8teT1piV-SNzShjg/edit?gid=554141278#gid=554141278"", ""'Char Def. - Attributes'!C20:C2242""), 1,false)"),"ALT_DENUM_UOM2")</f>
        <v>ALT_DENUM_UOM2</v>
      </c>
      <c r="I5288" s="136"/>
    </row>
    <row r="5289" ht="15.75" customHeight="1">
      <c r="B5289" s="63">
        <f t="shared" si="1"/>
        <v>10</v>
      </c>
      <c r="C5289" s="146" t="s">
        <v>268</v>
      </c>
      <c r="D5289" s="147" t="s">
        <v>74</v>
      </c>
      <c r="E5289" s="135">
        <f t="shared" si="59"/>
        <v>42</v>
      </c>
      <c r="F5289" s="143" t="s">
        <v>3809</v>
      </c>
      <c r="G5289" s="63" t="str">
        <f>VLOOKUP(C5289, 'Class Def. - General Data'!$C$20:$C$1000,1,false)</f>
        <v>ZPM1_Straw</v>
      </c>
      <c r="H5289" s="63" t="str">
        <f>IFERROR(__xludf.DUMMYFUNCTION("VLOOKUP(F5289, IMPORTRANGE(""https://docs.google.com/spreadsheets/d/1Lhp9OU0JdFf_VYSMzH5lBcEaU4o8teT1piV-SNzShjg/edit?gid=554141278#gid=554141278"", ""'Char Def. - Attributes'!C20:C2242""), 1,false)"),"ALT_NUM_UOM2")</f>
        <v>ALT_NUM_UOM2</v>
      </c>
      <c r="I5289" s="136"/>
    </row>
    <row r="5290" ht="15.75" customHeight="1">
      <c r="B5290" s="63">
        <f t="shared" si="1"/>
        <v>10</v>
      </c>
      <c r="C5290" s="146" t="s">
        <v>268</v>
      </c>
      <c r="D5290" s="147" t="s">
        <v>74</v>
      </c>
      <c r="E5290" s="135">
        <f t="shared" si="59"/>
        <v>43</v>
      </c>
      <c r="F5290" s="143" t="s">
        <v>3871</v>
      </c>
      <c r="G5290" s="63" t="str">
        <f>VLOOKUP(C5290, 'Class Def. - General Data'!$C$20:$C$1000,1,false)</f>
        <v>ZPM1_Straw</v>
      </c>
      <c r="H5290" s="63" t="str">
        <f>IFERROR(__xludf.DUMMYFUNCTION("VLOOKUP(F5290, IMPORTRANGE(""https://docs.google.com/spreadsheets/d/1Lhp9OU0JdFf_VYSMzH5lBcEaU4o8teT1piV-SNzShjg/edit?gid=554141278#gid=554141278"", ""'Char Def. - Attributes'!C20:C2242""), 1,false)"),"ALT_UOM3_RMPM")</f>
        <v>ALT_UOM3_RMPM</v>
      </c>
      <c r="I5290" s="136"/>
    </row>
    <row r="5291" ht="15.75" customHeight="1">
      <c r="B5291" s="63">
        <f t="shared" si="1"/>
        <v>10</v>
      </c>
      <c r="C5291" s="146" t="s">
        <v>268</v>
      </c>
      <c r="D5291" s="147" t="s">
        <v>74</v>
      </c>
      <c r="E5291" s="135">
        <f t="shared" si="59"/>
        <v>44</v>
      </c>
      <c r="F5291" s="143" t="s">
        <v>3811</v>
      </c>
      <c r="G5291" s="63" t="str">
        <f>VLOOKUP(C5291, 'Class Def. - General Data'!$C$20:$C$1000,1,false)</f>
        <v>ZPM1_Straw</v>
      </c>
      <c r="H5291" s="63" t="str">
        <f>IFERROR(__xludf.DUMMYFUNCTION("VLOOKUP(F5291, IMPORTRANGE(""https://docs.google.com/spreadsheets/d/1Lhp9OU0JdFf_VYSMzH5lBcEaU4o8teT1piV-SNzShjg/edit?gid=554141278#gid=554141278"", ""'Char Def. - Attributes'!C20:C2242""), 1,false)"),"ALT_DENUM_UOM3")</f>
        <v>ALT_DENUM_UOM3</v>
      </c>
      <c r="I5291" s="136"/>
    </row>
    <row r="5292" ht="15.75" customHeight="1">
      <c r="B5292" s="63">
        <f t="shared" si="1"/>
        <v>10</v>
      </c>
      <c r="C5292" s="146" t="s">
        <v>268</v>
      </c>
      <c r="D5292" s="147" t="s">
        <v>74</v>
      </c>
      <c r="E5292" s="135">
        <f t="shared" si="59"/>
        <v>45</v>
      </c>
      <c r="F5292" s="143" t="s">
        <v>3812</v>
      </c>
      <c r="G5292" s="63" t="str">
        <f>VLOOKUP(C5292, 'Class Def. - General Data'!$C$20:$C$1000,1,false)</f>
        <v>ZPM1_Straw</v>
      </c>
      <c r="H5292" s="63" t="str">
        <f>IFERROR(__xludf.DUMMYFUNCTION("VLOOKUP(F5292, IMPORTRANGE(""https://docs.google.com/spreadsheets/d/1Lhp9OU0JdFf_VYSMzH5lBcEaU4o8teT1piV-SNzShjg/edit?gid=554141278#gid=554141278"", ""'Char Def. - Attributes'!C20:C2242""), 1,false)"),"ALT_NUM_UOM3")</f>
        <v>ALT_NUM_UOM3</v>
      </c>
      <c r="I5292" s="136"/>
    </row>
    <row r="5293" ht="15.75" customHeight="1">
      <c r="B5293" s="63">
        <f t="shared" si="1"/>
        <v>10</v>
      </c>
      <c r="C5293" s="146" t="s">
        <v>268</v>
      </c>
      <c r="D5293" s="147" t="s">
        <v>74</v>
      </c>
      <c r="E5293" s="135">
        <f t="shared" si="59"/>
        <v>46</v>
      </c>
      <c r="F5293" s="143" t="s">
        <v>3872</v>
      </c>
      <c r="G5293" s="63" t="str">
        <f>VLOOKUP(C5293, 'Class Def. - General Data'!$C$20:$C$1000,1,false)</f>
        <v>ZPM1_Straw</v>
      </c>
      <c r="H5293" s="63" t="str">
        <f>IFERROR(__xludf.DUMMYFUNCTION("VLOOKUP(F5293, IMPORTRANGE(""https://docs.google.com/spreadsheets/d/1Lhp9OU0JdFf_VYSMzH5lBcEaU4o8teT1piV-SNzShjg/edit?gid=554141278#gid=554141278"", ""'Char Def. - Attributes'!C20:C2242""), 1,false)"),"ALT_UOM4_RMPM")</f>
        <v>ALT_UOM4_RMPM</v>
      </c>
      <c r="I5293" s="136"/>
    </row>
    <row r="5294" ht="15.75" customHeight="1">
      <c r="B5294" s="63">
        <f t="shared" si="1"/>
        <v>10</v>
      </c>
      <c r="C5294" s="146" t="s">
        <v>268</v>
      </c>
      <c r="D5294" s="147" t="s">
        <v>74</v>
      </c>
      <c r="E5294" s="135">
        <f t="shared" si="59"/>
        <v>47</v>
      </c>
      <c r="F5294" s="143" t="s">
        <v>3814</v>
      </c>
      <c r="G5294" s="63" t="str">
        <f>VLOOKUP(C5294, 'Class Def. - General Data'!$C$20:$C$1000,1,false)</f>
        <v>ZPM1_Straw</v>
      </c>
      <c r="H5294" s="63" t="str">
        <f>IFERROR(__xludf.DUMMYFUNCTION("VLOOKUP(F5294, IMPORTRANGE(""https://docs.google.com/spreadsheets/d/1Lhp9OU0JdFf_VYSMzH5lBcEaU4o8teT1piV-SNzShjg/edit?gid=554141278#gid=554141278"", ""'Char Def. - Attributes'!C20:C2242""), 1,false)"),"ALT_DENUM_UOM4")</f>
        <v>ALT_DENUM_UOM4</v>
      </c>
      <c r="I5294" s="136"/>
    </row>
    <row r="5295" ht="15.75" customHeight="1">
      <c r="B5295" s="63">
        <f t="shared" si="1"/>
        <v>10</v>
      </c>
      <c r="C5295" s="146" t="s">
        <v>268</v>
      </c>
      <c r="D5295" s="147" t="s">
        <v>74</v>
      </c>
      <c r="E5295" s="135">
        <f t="shared" si="59"/>
        <v>48</v>
      </c>
      <c r="F5295" s="143" t="s">
        <v>3815</v>
      </c>
      <c r="G5295" s="63" t="str">
        <f>VLOOKUP(C5295, 'Class Def. - General Data'!$C$20:$C$1000,1,false)</f>
        <v>ZPM1_Straw</v>
      </c>
      <c r="H5295" s="63" t="str">
        <f>IFERROR(__xludf.DUMMYFUNCTION("VLOOKUP(F5295, IMPORTRANGE(""https://docs.google.com/spreadsheets/d/1Lhp9OU0JdFf_VYSMzH5lBcEaU4o8teT1piV-SNzShjg/edit?gid=554141278#gid=554141278"", ""'Char Def. - Attributes'!C20:C2242""), 1,false)"),"ALT_NUM_UOM4")</f>
        <v>ALT_NUM_UOM4</v>
      </c>
      <c r="I5295" s="136"/>
    </row>
    <row r="5296" ht="15.75" customHeight="1">
      <c r="B5296" s="63">
        <f t="shared" si="1"/>
        <v>10</v>
      </c>
      <c r="C5296" s="146" t="s">
        <v>268</v>
      </c>
      <c r="D5296" s="147" t="s">
        <v>74</v>
      </c>
      <c r="E5296" s="135">
        <f t="shared" si="59"/>
        <v>49</v>
      </c>
      <c r="F5296" s="143" t="s">
        <v>3873</v>
      </c>
      <c r="G5296" s="63" t="str">
        <f>VLOOKUP(C5296, 'Class Def. - General Data'!$C$20:$C$1000,1,false)</f>
        <v>ZPM1_Straw</v>
      </c>
      <c r="H5296" s="63" t="str">
        <f>IFERROR(__xludf.DUMMYFUNCTION("VLOOKUP(F5296, IMPORTRANGE(""https://docs.google.com/spreadsheets/d/1Lhp9OU0JdFf_VYSMzH5lBcEaU4o8teT1piV-SNzShjg/edit?gid=554141278#gid=554141278"", ""'Char Def. - Attributes'!C20:C2242""), 1,false)"),"ALT_UOM5_RMPM")</f>
        <v>ALT_UOM5_RMPM</v>
      </c>
      <c r="I5296" s="136"/>
    </row>
    <row r="5297" ht="15.75" customHeight="1">
      <c r="B5297" s="63">
        <f t="shared" si="1"/>
        <v>10</v>
      </c>
      <c r="C5297" s="146" t="s">
        <v>268</v>
      </c>
      <c r="D5297" s="147" t="s">
        <v>74</v>
      </c>
      <c r="E5297" s="135">
        <f t="shared" si="59"/>
        <v>50</v>
      </c>
      <c r="F5297" s="143" t="s">
        <v>3817</v>
      </c>
      <c r="G5297" s="63" t="str">
        <f>VLOOKUP(C5297, 'Class Def. - General Data'!$C$20:$C$1000,1,false)</f>
        <v>ZPM1_Straw</v>
      </c>
      <c r="H5297" s="63" t="str">
        <f>IFERROR(__xludf.DUMMYFUNCTION("VLOOKUP(F5297, IMPORTRANGE(""https://docs.google.com/spreadsheets/d/1Lhp9OU0JdFf_VYSMzH5lBcEaU4o8teT1piV-SNzShjg/edit?gid=554141278#gid=554141278"", ""'Char Def. - Attributes'!C20:C2242""), 1,false)"),"ALT_DENUM_UOM5")</f>
        <v>ALT_DENUM_UOM5</v>
      </c>
      <c r="I5297" s="136"/>
    </row>
    <row r="5298" ht="15.75" customHeight="1">
      <c r="B5298" s="63">
        <f t="shared" si="1"/>
        <v>10</v>
      </c>
      <c r="C5298" s="146" t="s">
        <v>268</v>
      </c>
      <c r="D5298" s="147" t="s">
        <v>74</v>
      </c>
      <c r="E5298" s="135">
        <f t="shared" si="59"/>
        <v>51</v>
      </c>
      <c r="F5298" s="143" t="s">
        <v>3818</v>
      </c>
      <c r="G5298" s="63" t="str">
        <f>VLOOKUP(C5298, 'Class Def. - General Data'!$C$20:$C$1000,1,false)</f>
        <v>ZPM1_Straw</v>
      </c>
      <c r="H5298" s="63" t="str">
        <f>IFERROR(__xludf.DUMMYFUNCTION("VLOOKUP(F5298, IMPORTRANGE(""https://docs.google.com/spreadsheets/d/1Lhp9OU0JdFf_VYSMzH5lBcEaU4o8teT1piV-SNzShjg/edit?gid=554141278#gid=554141278"", ""'Char Def. - Attributes'!C20:C2242""), 1,false)"),"ALT_NUM_UOM5")</f>
        <v>ALT_NUM_UOM5</v>
      </c>
      <c r="I5298" s="136"/>
    </row>
    <row r="5299" ht="15.75" customHeight="1">
      <c r="B5299" s="63">
        <f t="shared" si="1"/>
        <v>10</v>
      </c>
      <c r="C5299" s="146" t="s">
        <v>268</v>
      </c>
      <c r="D5299" s="147" t="s">
        <v>74</v>
      </c>
      <c r="E5299" s="135">
        <f t="shared" si="59"/>
        <v>52</v>
      </c>
      <c r="F5299" s="143" t="s">
        <v>3874</v>
      </c>
      <c r="G5299" s="63" t="str">
        <f>VLOOKUP(C5299, 'Class Def. - General Data'!$C$20:$C$1000,1,false)</f>
        <v>ZPM1_Straw</v>
      </c>
      <c r="H5299" s="63" t="str">
        <f>IFERROR(__xludf.DUMMYFUNCTION("VLOOKUP(F5299, IMPORTRANGE(""https://docs.google.com/spreadsheets/d/1Lhp9OU0JdFf_VYSMzH5lBcEaU4o8teT1piV-SNzShjg/edit?gid=554141278#gid=554141278"", ""'Char Def. - Attributes'!C20:C2242""), 1,false)"),"VALUATION_CATEGORY")</f>
        <v>VALUATION_CATEGORY</v>
      </c>
      <c r="I5299" s="136"/>
    </row>
    <row r="5300" ht="15.75" customHeight="1">
      <c r="B5300" s="63">
        <f t="shared" si="1"/>
        <v>10</v>
      </c>
      <c r="C5300" s="146" t="s">
        <v>268</v>
      </c>
      <c r="D5300" s="147" t="s">
        <v>74</v>
      </c>
      <c r="E5300" s="135">
        <f t="shared" si="59"/>
        <v>53</v>
      </c>
      <c r="F5300" s="143" t="s">
        <v>3800</v>
      </c>
      <c r="G5300" s="63" t="str">
        <f>VLOOKUP(C5300, 'Class Def. - General Data'!$C$20:$C$1000,1,false)</f>
        <v>ZPM1_Straw</v>
      </c>
      <c r="H5300" s="63" t="str">
        <f>IFERROR(__xludf.DUMMYFUNCTION("VLOOKUP(F5300, IMPORTRANGE(""https://docs.google.com/spreadsheets/d/1Lhp9OU0JdFf_VYSMzH5lBcEaU4o8teT1piV-SNzShjg/edit?gid=554141278#gid=554141278"", ""'Char Def. - Attributes'!C20:C2242""), 1,false)"),"ORDER_UNIT_DIFF_FROM_BASIC_UOM")</f>
        <v>ORDER_UNIT_DIFF_FROM_BASIC_UOM</v>
      </c>
      <c r="I5300" s="136"/>
    </row>
    <row r="5301" ht="15.75" customHeight="1">
      <c r="B5301" s="63">
        <f t="shared" si="1"/>
        <v>10</v>
      </c>
      <c r="C5301" s="146" t="s">
        <v>268</v>
      </c>
      <c r="D5301" s="147" t="s">
        <v>74</v>
      </c>
      <c r="E5301" s="135">
        <f t="shared" si="59"/>
        <v>54</v>
      </c>
      <c r="F5301" s="143" t="s">
        <v>3875</v>
      </c>
      <c r="G5301" s="63" t="str">
        <f>VLOOKUP(C5301, 'Class Def. - General Data'!$C$20:$C$1000,1,false)</f>
        <v>ZPM1_Straw</v>
      </c>
      <c r="H5301" s="63" t="str">
        <f>IFERROR(__xludf.DUMMYFUNCTION("VLOOKUP(F5301, IMPORTRANGE(""https://docs.google.com/spreadsheets/d/1Lhp9OU0JdFf_VYSMzH5lBcEaU4o8teT1piV-SNzShjg/edit?gid=554141278#gid=554141278"", ""'Char Def. - Attributes'!C20:C2242""), 1,false)"),"ORDER_UNIT_RMPM")</f>
        <v>ORDER_UNIT_RMPM</v>
      </c>
      <c r="I5301" s="136"/>
    </row>
    <row r="5302" ht="15.75" customHeight="1">
      <c r="B5302" s="63">
        <f t="shared" si="1"/>
        <v>10</v>
      </c>
      <c r="C5302" s="146" t="s">
        <v>268</v>
      </c>
      <c r="D5302" s="147" t="s">
        <v>74</v>
      </c>
      <c r="E5302" s="135">
        <f t="shared" si="59"/>
        <v>55</v>
      </c>
      <c r="F5302" s="143" t="s">
        <v>3602</v>
      </c>
      <c r="G5302" s="63" t="str">
        <f>VLOOKUP(C5302, 'Class Def. - General Data'!$C$20:$C$1000,1,false)</f>
        <v>ZPM1_Straw</v>
      </c>
      <c r="H5302" s="63" t="str">
        <f>IFERROR(__xludf.DUMMYFUNCTION("VLOOKUP(F5302, IMPORTRANGE(""https://docs.google.com/spreadsheets/d/1Lhp9OU0JdFf_VYSMzH5lBcEaU4o8teT1piV-SNzShjg/edit?gid=554141278#gid=554141278"", ""'Char Def. - Attributes'!C20:C2242""), 1,false)"),"NET_WEIGHT")</f>
        <v>NET_WEIGHT</v>
      </c>
      <c r="I5302" s="136"/>
    </row>
    <row r="5303" ht="15.75" customHeight="1">
      <c r="B5303" s="63">
        <f t="shared" si="1"/>
        <v>10</v>
      </c>
      <c r="C5303" s="146" t="s">
        <v>268</v>
      </c>
      <c r="D5303" s="147" t="s">
        <v>74</v>
      </c>
      <c r="E5303" s="135">
        <f t="shared" si="59"/>
        <v>56</v>
      </c>
      <c r="F5303" s="143" t="s">
        <v>3601</v>
      </c>
      <c r="G5303" s="63" t="str">
        <f>VLOOKUP(C5303, 'Class Def. - General Data'!$C$20:$C$1000,1,false)</f>
        <v>ZPM1_Straw</v>
      </c>
      <c r="H5303" s="63" t="str">
        <f>IFERROR(__xludf.DUMMYFUNCTION("VLOOKUP(F5303, IMPORTRANGE(""https://docs.google.com/spreadsheets/d/1Lhp9OU0JdFf_VYSMzH5lBcEaU4o8teT1piV-SNzShjg/edit?gid=554141278#gid=554141278"", ""'Char Def. - Attributes'!C20:C2242""), 1,false)"),"GROSS_WEIGHT")</f>
        <v>GROSS_WEIGHT</v>
      </c>
      <c r="I5303" s="136"/>
    </row>
    <row r="5304" ht="15.75" customHeight="1">
      <c r="B5304" s="63">
        <f t="shared" si="1"/>
        <v>10</v>
      </c>
      <c r="C5304" s="146" t="s">
        <v>268</v>
      </c>
      <c r="D5304" s="147" t="s">
        <v>74</v>
      </c>
      <c r="E5304" s="135">
        <f t="shared" si="59"/>
        <v>57</v>
      </c>
      <c r="F5304" s="143" t="s">
        <v>3876</v>
      </c>
      <c r="G5304" s="63" t="str">
        <f>VLOOKUP(C5304, 'Class Def. - General Data'!$C$20:$C$1000,1,false)</f>
        <v>ZPM1_Straw</v>
      </c>
      <c r="H5304" s="63" t="str">
        <f>IFERROR(__xludf.DUMMYFUNCTION("VLOOKUP(F5304, IMPORTRANGE(""https://docs.google.com/spreadsheets/d/1Lhp9OU0JdFf_VYSMzH5lBcEaU4o8teT1piV-SNzShjg/edit?gid=554141278#gid=554141278"", ""'Char Def. - Attributes'!C20:C2242""), 1,false)"),"WEIGHT_UNIT_PM")</f>
        <v>WEIGHT_UNIT_PM</v>
      </c>
      <c r="I5304" s="136"/>
    </row>
    <row r="5305" ht="15.75" customHeight="1">
      <c r="B5305" s="63">
        <f t="shared" si="1"/>
        <v>10</v>
      </c>
      <c r="C5305" s="146" t="s">
        <v>268</v>
      </c>
      <c r="D5305" s="147" t="s">
        <v>74</v>
      </c>
      <c r="E5305" s="135">
        <f t="shared" si="59"/>
        <v>58</v>
      </c>
      <c r="F5305" s="143" t="s">
        <v>3877</v>
      </c>
      <c r="G5305" s="63" t="str">
        <f>VLOOKUP(C5305, 'Class Def. - General Data'!$C$20:$C$1000,1,false)</f>
        <v>ZPM1_Straw</v>
      </c>
      <c r="H5305" s="63" t="str">
        <f>IFERROR(__xludf.DUMMYFUNCTION("VLOOKUP(F5305, IMPORTRANGE(""https://docs.google.com/spreadsheets/d/1Lhp9OU0JdFf_VYSMzH5lBcEaU4o8teT1piV-SNzShjg/edit?gid=554141278#gid=554141278"", ""'Char Def. - Attributes'!C20:C2242""), 1,false)"),"VOLUME_OPT")</f>
        <v>VOLUME_OPT</v>
      </c>
      <c r="I5305" s="136"/>
    </row>
    <row r="5306" ht="15.75" customHeight="1">
      <c r="B5306" s="63">
        <f t="shared" si="1"/>
        <v>10</v>
      </c>
      <c r="C5306" s="146" t="s">
        <v>268</v>
      </c>
      <c r="D5306" s="147" t="s">
        <v>74</v>
      </c>
      <c r="E5306" s="135">
        <f t="shared" si="59"/>
        <v>59</v>
      </c>
      <c r="F5306" s="143" t="s">
        <v>3878</v>
      </c>
      <c r="G5306" s="63" t="str">
        <f>VLOOKUP(C5306, 'Class Def. - General Data'!$C$20:$C$1000,1,false)</f>
        <v>ZPM1_Straw</v>
      </c>
      <c r="H5306" s="63" t="str">
        <f>IFERROR(__xludf.DUMMYFUNCTION("VLOOKUP(F5306, IMPORTRANGE(""https://docs.google.com/spreadsheets/d/1Lhp9OU0JdFf_VYSMzH5lBcEaU4o8teT1piV-SNzShjg/edit?gid=554141278#gid=554141278"", ""'Char Def. - Attributes'!C20:C2242""), 1,false)"),"VOLUME_UNIT")</f>
        <v>VOLUME_UNIT</v>
      </c>
      <c r="I5306" s="136"/>
    </row>
    <row r="5307" ht="15.75" customHeight="1">
      <c r="B5307" s="63">
        <f t="shared" si="1"/>
        <v>10</v>
      </c>
      <c r="C5307" s="146" t="s">
        <v>268</v>
      </c>
      <c r="D5307" s="147" t="s">
        <v>74</v>
      </c>
      <c r="E5307" s="135">
        <f t="shared" si="59"/>
        <v>60</v>
      </c>
      <c r="F5307" s="143" t="s">
        <v>3879</v>
      </c>
      <c r="G5307" s="63" t="str">
        <f>VLOOKUP(C5307, 'Class Def. - General Data'!$C$20:$C$1000,1,false)</f>
        <v>ZPM1_Straw</v>
      </c>
      <c r="H5307" s="63" t="str">
        <f>IFERROR(__xludf.DUMMYFUNCTION("VLOOKUP(F5307, IMPORTRANGE(""https://docs.google.com/spreadsheets/d/1Lhp9OU0JdFf_VYSMzH5lBcEaU4o8teT1piV-SNzShjg/edit?gid=554141278#gid=554141278"", ""'Char Def. - Attributes'!C20:C2242""), 1,false)"),"OLD_MAT_NO_RMPM")</f>
        <v>OLD_MAT_NO_RMPM</v>
      </c>
      <c r="I5307" s="136"/>
    </row>
    <row r="5308" ht="15.75" customHeight="1">
      <c r="B5308" s="63">
        <f t="shared" si="1"/>
        <v>10</v>
      </c>
      <c r="C5308" s="146" t="s">
        <v>268</v>
      </c>
      <c r="D5308" s="147" t="s">
        <v>74</v>
      </c>
      <c r="E5308" s="135">
        <f t="shared" si="59"/>
        <v>61</v>
      </c>
      <c r="F5308" s="143" t="s">
        <v>3880</v>
      </c>
      <c r="G5308" s="63" t="str">
        <f>VLOOKUP(C5308, 'Class Def. - General Data'!$C$20:$C$1000,1,false)</f>
        <v>ZPM1_Straw</v>
      </c>
      <c r="H5308" s="63" t="str">
        <f>IFERROR(__xludf.DUMMYFUNCTION("VLOOKUP(F5308, IMPORTRANGE(""https://docs.google.com/spreadsheets/d/1Lhp9OU0JdFf_VYSMzH5lBcEaU4o8teT1piV-SNzShjg/edit?gid=554141278#gid=554141278"", ""'Char Def. - Attributes'!C20:C2242""), 1,false)"),"NOTE_PM")</f>
        <v>NOTE_PM</v>
      </c>
      <c r="I5308" s="136"/>
    </row>
    <row r="5309" ht="15.75" customHeight="1">
      <c r="B5309" s="63">
        <f t="shared" si="1"/>
        <v>10</v>
      </c>
      <c r="C5309" s="146" t="s">
        <v>268</v>
      </c>
      <c r="D5309" s="147" t="s">
        <v>74</v>
      </c>
      <c r="E5309" s="135">
        <f t="shared" si="59"/>
        <v>62</v>
      </c>
      <c r="F5309" s="143" t="s">
        <v>3881</v>
      </c>
      <c r="G5309" s="63" t="str">
        <f>VLOOKUP(C5309, 'Class Def. - General Data'!$C$20:$C$1000,1,false)</f>
        <v>ZPM1_Straw</v>
      </c>
      <c r="H5309" s="63" t="str">
        <f>IFERROR(__xludf.DUMMYFUNCTION("VLOOKUP(F5309, IMPORTRANGE(""https://docs.google.com/spreadsheets/d/1Lhp9OU0JdFf_VYSMzH5lBcEaU4o8teT1piV-SNzShjg/edit?gid=554141278#gid=554141278"", ""'Char Def. - Attributes'!C20:C2242""), 1,false)"),"BS_BERSIH")</f>
        <v>BS_BERSIH</v>
      </c>
      <c r="I5309" s="136"/>
    </row>
    <row r="5310" ht="15.75" customHeight="1">
      <c r="B5310" s="63">
        <f t="shared" si="1"/>
        <v>10</v>
      </c>
      <c r="C5310" s="146" t="s">
        <v>268</v>
      </c>
      <c r="D5310" s="147" t="s">
        <v>74</v>
      </c>
      <c r="E5310" s="135">
        <f t="shared" si="59"/>
        <v>63</v>
      </c>
      <c r="F5310" s="143" t="s">
        <v>3882</v>
      </c>
      <c r="G5310" s="63" t="str">
        <f>VLOOKUP(C5310, 'Class Def. - General Data'!$C$20:$C$1000,1,false)</f>
        <v>ZPM1_Straw</v>
      </c>
      <c r="H5310" s="63" t="str">
        <f>IFERROR(__xludf.DUMMYFUNCTION("VLOOKUP(F5310, IMPORTRANGE(""https://docs.google.com/spreadsheets/d/1Lhp9OU0JdFf_VYSMzH5lBcEaU4o8teT1piV-SNzShjg/edit?gid=554141278#gid=554141278"", ""'Char Def. - Attributes'!C20:C2242""), 1,false)"),"BS_KOTOR")</f>
        <v>BS_KOTOR</v>
      </c>
      <c r="I5310" s="136"/>
    </row>
    <row r="5311" ht="15.75" customHeight="1">
      <c r="B5311" s="63">
        <f t="shared" si="1"/>
        <v>10</v>
      </c>
      <c r="C5311" s="146" t="s">
        <v>268</v>
      </c>
      <c r="D5311" s="147" t="s">
        <v>74</v>
      </c>
      <c r="E5311" s="135">
        <f t="shared" si="59"/>
        <v>64</v>
      </c>
      <c r="F5311" s="143" t="s">
        <v>3883</v>
      </c>
      <c r="G5311" s="63" t="str">
        <f>VLOOKUP(C5311, 'Class Def. - General Data'!$C$20:$C$1000,1,false)</f>
        <v>ZPM1_Straw</v>
      </c>
      <c r="H5311" s="63" t="str">
        <f>IFERROR(__xludf.DUMMYFUNCTION("VLOOKUP(F5311, IMPORTRANGE(""https://docs.google.com/spreadsheets/d/1Lhp9OU0JdFf_VYSMzH5lBcEaU4o8teT1piV-SNzShjg/edit?gid=554141278#gid=554141278"", ""'Char Def. - Attributes'!C20:C2242""), 1,false)"),"BS_SCRAP")</f>
        <v>BS_SCRAP</v>
      </c>
      <c r="I5311" s="136"/>
    </row>
    <row r="5312" ht="15.75" customHeight="1">
      <c r="B5312" s="63">
        <f t="shared" si="1"/>
        <v>13</v>
      </c>
      <c r="C5312" s="156" t="s">
        <v>288</v>
      </c>
      <c r="D5312" s="147" t="s">
        <v>74</v>
      </c>
      <c r="E5312" s="135">
        <f t="shared" si="59"/>
        <v>1</v>
      </c>
      <c r="F5312" s="143" t="s">
        <v>3983</v>
      </c>
      <c r="G5312" s="63" t="str">
        <f>VLOOKUP(C5312, 'Class Def. - General Data'!$C$20:$C$1000,1,false)</f>
        <v>ZPM1_SUITCASE</v>
      </c>
      <c r="H5312" s="63" t="str">
        <f>IFERROR(__xludf.DUMMYFUNCTION("VLOOKUP(F5312, IMPORTRANGE(""https://docs.google.com/spreadsheets/d/1Lhp9OU0JdFf_VYSMzH5lBcEaU4o8teT1piV-SNzShjg/edit?gid=554141278#gid=554141278"", ""'Char Def. - Attributes'!C20:C2242""), 1,false)"),"MATERIAL_CODE_SUITCASE")</f>
        <v>MATERIAL_CODE_SUITCASE</v>
      </c>
      <c r="I5312" s="136"/>
    </row>
    <row r="5313" ht="15.75" customHeight="1">
      <c r="B5313" s="63">
        <f t="shared" si="1"/>
        <v>13</v>
      </c>
      <c r="C5313" s="156" t="s">
        <v>288</v>
      </c>
      <c r="D5313" s="147" t="s">
        <v>74</v>
      </c>
      <c r="E5313" s="135">
        <f t="shared" si="59"/>
        <v>2</v>
      </c>
      <c r="F5313" s="143" t="s">
        <v>3984</v>
      </c>
      <c r="G5313" s="63" t="str">
        <f>VLOOKUP(C5313, 'Class Def. - General Data'!$C$20:$C$1000,1,false)</f>
        <v>ZPM1_SUITCASE</v>
      </c>
      <c r="H5313" s="63" t="str">
        <f>IFERROR(__xludf.DUMMYFUNCTION("VLOOKUP(F5313, IMPORTRANGE(""https://docs.google.com/spreadsheets/d/1Lhp9OU0JdFf_VYSMzH5lBcEaU4o8teT1piV-SNzShjg/edit?gid=554141278#gid=554141278"", ""'Char Def. - Attributes'!C20:C2242""), 1,false)"),"COLOR_B")</f>
        <v>COLOR_B</v>
      </c>
      <c r="I5313" s="136"/>
    </row>
    <row r="5314" ht="15.75" customHeight="1">
      <c r="B5314" s="63">
        <f t="shared" si="1"/>
        <v>13</v>
      </c>
      <c r="C5314" s="156" t="s">
        <v>288</v>
      </c>
      <c r="D5314" s="147" t="s">
        <v>74</v>
      </c>
      <c r="E5314" s="135">
        <f t="shared" si="59"/>
        <v>3</v>
      </c>
      <c r="F5314" s="143" t="s">
        <v>3985</v>
      </c>
      <c r="G5314" s="63" t="str">
        <f>VLOOKUP(C5314, 'Class Def. - General Data'!$C$20:$C$1000,1,false)</f>
        <v>ZPM1_SUITCASE</v>
      </c>
      <c r="H5314" s="63" t="str">
        <f>IFERROR(__xludf.DUMMYFUNCTION("VLOOKUP(F5314, IMPORTRANGE(""https://docs.google.com/spreadsheets/d/1Lhp9OU0JdFf_VYSMzH5lBcEaU4o8teT1piV-SNzShjg/edit?gid=554141278#gid=554141278"", ""'Char Def. - Attributes'!C20:C2242""), 1,false)"),"SET_SUITCASE")</f>
        <v>SET_SUITCASE</v>
      </c>
      <c r="I5314" s="136"/>
    </row>
    <row r="5315" ht="15.75" customHeight="1">
      <c r="B5315" s="63">
        <f t="shared" si="1"/>
        <v>13</v>
      </c>
      <c r="C5315" s="156" t="s">
        <v>288</v>
      </c>
      <c r="D5315" s="147" t="s">
        <v>74</v>
      </c>
      <c r="E5315" s="135">
        <f t="shared" si="59"/>
        <v>4</v>
      </c>
      <c r="F5315" s="143" t="s">
        <v>3986</v>
      </c>
      <c r="G5315" s="63" t="str">
        <f>VLOOKUP(C5315, 'Class Def. - General Data'!$C$20:$C$1000,1,false)</f>
        <v>ZPM1_SUITCASE</v>
      </c>
      <c r="H5315" s="63" t="str">
        <f>IFERROR(__xludf.DUMMYFUNCTION("VLOOKUP(F5315, IMPORTRANGE(""https://docs.google.com/spreadsheets/d/1Lhp9OU0JdFf_VYSMzH5lBcEaU4o8teT1piV-SNzShjg/edit?gid=554141278#gid=554141278"", ""'Char Def. - Attributes'!C20:C2242""), 1,false)"),"COLOR_B_OPT")</f>
        <v>COLOR_B_OPT</v>
      </c>
      <c r="I5315" s="136"/>
    </row>
    <row r="5316" ht="15.75" customHeight="1">
      <c r="B5316" s="63">
        <f t="shared" si="1"/>
        <v>13</v>
      </c>
      <c r="C5316" s="156" t="s">
        <v>288</v>
      </c>
      <c r="D5316" s="147" t="s">
        <v>74</v>
      </c>
      <c r="E5316" s="135">
        <f t="shared" si="59"/>
        <v>5</v>
      </c>
      <c r="F5316" s="143" t="s">
        <v>3864</v>
      </c>
      <c r="G5316" s="63" t="str">
        <f>VLOOKUP(C5316, 'Class Def. - General Data'!$C$20:$C$1000,1,false)</f>
        <v>ZPM1_SUITCASE</v>
      </c>
      <c r="H5316" s="63" t="str">
        <f>IFERROR(__xludf.DUMMYFUNCTION("VLOOKUP(F5316, IMPORTRANGE(""https://docs.google.com/spreadsheets/d/1Lhp9OU0JdFf_VYSMzH5lBcEaU4o8teT1piV-SNzShjg/edit?gid=554141278#gid=554141278"", ""'Char Def. - Attributes'!C20:C2242""), 1,false)"),"DIMENSION_OPT")</f>
        <v>DIMENSION_OPT</v>
      </c>
      <c r="I5316" s="136"/>
    </row>
    <row r="5317" ht="15.75" customHeight="1">
      <c r="B5317" s="63">
        <f t="shared" si="1"/>
        <v>13</v>
      </c>
      <c r="C5317" s="156" t="s">
        <v>288</v>
      </c>
      <c r="D5317" s="147" t="s">
        <v>74</v>
      </c>
      <c r="E5317" s="135">
        <f t="shared" si="59"/>
        <v>6</v>
      </c>
      <c r="F5317" s="143" t="s">
        <v>3587</v>
      </c>
      <c r="G5317" s="63" t="str">
        <f>VLOOKUP(C5317, 'Class Def. - General Data'!$C$20:$C$1000,1,false)</f>
        <v>ZPM1_SUITCASE</v>
      </c>
      <c r="H5317" s="63" t="str">
        <f>IFERROR(__xludf.DUMMYFUNCTION("VLOOKUP(F5317, IMPORTRANGE(""https://docs.google.com/spreadsheets/d/1Lhp9OU0JdFf_VYSMzH5lBcEaU4o8teT1piV-SNzShjg/edit?gid=554141278#gid=554141278"", ""'Char Def. - Attributes'!C20:C2242""), 1,false)"),"PLANT_BUY")</f>
        <v>PLANT_BUY</v>
      </c>
      <c r="I5317" s="136"/>
    </row>
    <row r="5318" ht="15.75" customHeight="1">
      <c r="B5318" s="63">
        <f t="shared" si="1"/>
        <v>13</v>
      </c>
      <c r="C5318" s="156" t="s">
        <v>288</v>
      </c>
      <c r="D5318" s="147" t="s">
        <v>74</v>
      </c>
      <c r="E5318" s="135">
        <f t="shared" si="59"/>
        <v>7</v>
      </c>
      <c r="F5318" s="143" t="s">
        <v>3865</v>
      </c>
      <c r="G5318" s="63" t="str">
        <f>VLOOKUP(C5318, 'Class Def. - General Data'!$C$20:$C$1000,1,false)</f>
        <v>ZPM1_SUITCASE</v>
      </c>
      <c r="H5318" s="63" t="str">
        <f>IFERROR(__xludf.DUMMYFUNCTION("VLOOKUP(F5318, IMPORTRANGE(""https://docs.google.com/spreadsheets/d/1Lhp9OU0JdFf_VYSMzH5lBcEaU4o8teT1piV-SNzShjg/edit?gid=554141278#gid=554141278"", ""'Char Def. - Attributes'!C20:C2242""), 1,false)"),"PLANT_PROD_OPT")</f>
        <v>PLANT_PROD_OPT</v>
      </c>
      <c r="I5318" s="136"/>
    </row>
    <row r="5319" ht="15.75" customHeight="1">
      <c r="B5319" s="63">
        <f t="shared" si="1"/>
        <v>13</v>
      </c>
      <c r="C5319" s="156" t="s">
        <v>288</v>
      </c>
      <c r="D5319" s="147" t="s">
        <v>74</v>
      </c>
      <c r="E5319" s="135">
        <f t="shared" si="59"/>
        <v>8</v>
      </c>
      <c r="F5319" s="143" t="s">
        <v>3866</v>
      </c>
      <c r="G5319" s="63" t="str">
        <f>VLOOKUP(C5319, 'Class Def. - General Data'!$C$20:$C$1000,1,false)</f>
        <v>ZPM1_SUITCASE</v>
      </c>
      <c r="H5319" s="63" t="str">
        <f>IFERROR(__xludf.DUMMYFUNCTION("VLOOKUP(F5319, IMPORTRANGE(""https://docs.google.com/spreadsheets/d/1Lhp9OU0JdFf_VYSMzH5lBcEaU4o8teT1piV-SNzShjg/edit?gid=554141278#gid=554141278"", ""'Char Def. - Attributes'!C20:C2242""), 1,false)"),"PM_SUPPLY_JKT")</f>
        <v>PM_SUPPLY_JKT</v>
      </c>
      <c r="I5319" s="136"/>
    </row>
    <row r="5320" ht="15.75" customHeight="1">
      <c r="B5320" s="63">
        <f t="shared" si="1"/>
        <v>13</v>
      </c>
      <c r="C5320" s="156" t="s">
        <v>288</v>
      </c>
      <c r="D5320" s="147" t="s">
        <v>74</v>
      </c>
      <c r="E5320" s="135">
        <f t="shared" si="59"/>
        <v>9</v>
      </c>
      <c r="F5320" s="143" t="s">
        <v>3867</v>
      </c>
      <c r="G5320" s="63" t="str">
        <f>VLOOKUP(C5320, 'Class Def. - General Data'!$C$20:$C$1000,1,false)</f>
        <v>ZPM1_SUITCASE</v>
      </c>
      <c r="H5320" s="63" t="str">
        <f>IFERROR(__xludf.DUMMYFUNCTION("VLOOKUP(F5320, IMPORTRANGE(""https://docs.google.com/spreadsheets/d/1Lhp9OU0JdFf_VYSMzH5lBcEaU4o8teT1piV-SNzShjg/edit?gid=554141278#gid=554141278"", ""'Char Def. - Attributes'!C20:C2242""), 1,false)"),"PM_SUPPLY_SBY")</f>
        <v>PM_SUPPLY_SBY</v>
      </c>
      <c r="I5320" s="136"/>
    </row>
    <row r="5321" ht="15.75" customHeight="1">
      <c r="B5321" s="63">
        <f t="shared" si="1"/>
        <v>13</v>
      </c>
      <c r="C5321" s="156" t="s">
        <v>288</v>
      </c>
      <c r="D5321" s="147" t="s">
        <v>74</v>
      </c>
      <c r="E5321" s="135">
        <f t="shared" si="59"/>
        <v>10</v>
      </c>
      <c r="F5321" s="143" t="s">
        <v>3868</v>
      </c>
      <c r="G5321" s="63" t="str">
        <f>VLOOKUP(C5321, 'Class Def. - General Data'!$C$20:$C$1000,1,false)</f>
        <v>ZPM1_SUITCASE</v>
      </c>
      <c r="H5321" s="63" t="str">
        <f>IFERROR(__xludf.DUMMYFUNCTION("VLOOKUP(F5321, IMPORTRANGE(""https://docs.google.com/spreadsheets/d/1Lhp9OU0JdFf_VYSMzH5lBcEaU4o8teT1piV-SNzShjg/edit?gid=554141278#gid=554141278"", ""'Char Def. - Attributes'!C20:C2242""), 1,false)"),"BASIC_UOM_RMPM")</f>
        <v>BASIC_UOM_RMPM</v>
      </c>
      <c r="I5321" s="136"/>
    </row>
    <row r="5322" ht="15.75" customHeight="1">
      <c r="B5322" s="63">
        <f t="shared" si="1"/>
        <v>13</v>
      </c>
      <c r="C5322" s="156" t="s">
        <v>288</v>
      </c>
      <c r="D5322" s="147" t="s">
        <v>74</v>
      </c>
      <c r="E5322" s="135">
        <f t="shared" si="59"/>
        <v>11</v>
      </c>
      <c r="F5322" s="143" t="s">
        <v>3869</v>
      </c>
      <c r="G5322" s="63" t="str">
        <f>VLOOKUP(C5322, 'Class Def. - General Data'!$C$20:$C$1000,1,false)</f>
        <v>ZPM1_SUITCASE</v>
      </c>
      <c r="H5322" s="63" t="str">
        <f>IFERROR(__xludf.DUMMYFUNCTION("VLOOKUP(F5322, IMPORTRANGE(""https://docs.google.com/spreadsheets/d/1Lhp9OU0JdFf_VYSMzH5lBcEaU4o8teT1piV-SNzShjg/edit?gid=554141278#gid=554141278"", ""'Char Def. - Attributes'!C20:C2242""), 1,false)"),"ALT_UOM1_RMPM")</f>
        <v>ALT_UOM1_RMPM</v>
      </c>
      <c r="I5322" s="136"/>
    </row>
    <row r="5323" ht="15.75" customHeight="1">
      <c r="B5323" s="63">
        <f t="shared" si="1"/>
        <v>13</v>
      </c>
      <c r="C5323" s="156" t="s">
        <v>288</v>
      </c>
      <c r="D5323" s="147" t="s">
        <v>74</v>
      </c>
      <c r="E5323" s="135">
        <f t="shared" si="59"/>
        <v>12</v>
      </c>
      <c r="F5323" s="143" t="s">
        <v>3805</v>
      </c>
      <c r="G5323" s="63" t="str">
        <f>VLOOKUP(C5323, 'Class Def. - General Data'!$C$20:$C$1000,1,false)</f>
        <v>ZPM1_SUITCASE</v>
      </c>
      <c r="H5323" s="63" t="str">
        <f>IFERROR(__xludf.DUMMYFUNCTION("VLOOKUP(F5323, IMPORTRANGE(""https://docs.google.com/spreadsheets/d/1Lhp9OU0JdFf_VYSMzH5lBcEaU4o8teT1piV-SNzShjg/edit?gid=554141278#gid=554141278"", ""'Char Def. - Attributes'!C20:C2242""), 1,false)"),"ALT_DENUM_UOM1")</f>
        <v>ALT_DENUM_UOM1</v>
      </c>
      <c r="I5323" s="136"/>
    </row>
    <row r="5324" ht="15.75" customHeight="1">
      <c r="B5324" s="63">
        <f t="shared" si="1"/>
        <v>13</v>
      </c>
      <c r="C5324" s="156" t="s">
        <v>288</v>
      </c>
      <c r="D5324" s="147" t="s">
        <v>74</v>
      </c>
      <c r="E5324" s="135">
        <f t="shared" si="59"/>
        <v>13</v>
      </c>
      <c r="F5324" s="143" t="s">
        <v>3806</v>
      </c>
      <c r="G5324" s="63" t="str">
        <f>VLOOKUP(C5324, 'Class Def. - General Data'!$C$20:$C$1000,1,false)</f>
        <v>ZPM1_SUITCASE</v>
      </c>
      <c r="H5324" s="63" t="str">
        <f>IFERROR(__xludf.DUMMYFUNCTION("VLOOKUP(F5324, IMPORTRANGE(""https://docs.google.com/spreadsheets/d/1Lhp9OU0JdFf_VYSMzH5lBcEaU4o8teT1piV-SNzShjg/edit?gid=554141278#gid=554141278"", ""'Char Def. - Attributes'!C20:C2242""), 1,false)"),"ALT_NUM_UOM1")</f>
        <v>ALT_NUM_UOM1</v>
      </c>
      <c r="I5324" s="136"/>
    </row>
    <row r="5325" ht="15.75" customHeight="1">
      <c r="B5325" s="63">
        <f t="shared" si="1"/>
        <v>13</v>
      </c>
      <c r="C5325" s="156" t="s">
        <v>288</v>
      </c>
      <c r="D5325" s="147" t="s">
        <v>74</v>
      </c>
      <c r="E5325" s="135">
        <f t="shared" si="59"/>
        <v>14</v>
      </c>
      <c r="F5325" s="143" t="s">
        <v>3870</v>
      </c>
      <c r="G5325" s="63" t="str">
        <f>VLOOKUP(C5325, 'Class Def. - General Data'!$C$20:$C$1000,1,false)</f>
        <v>ZPM1_SUITCASE</v>
      </c>
      <c r="H5325" s="63" t="str">
        <f>IFERROR(__xludf.DUMMYFUNCTION("VLOOKUP(F5325, IMPORTRANGE(""https://docs.google.com/spreadsheets/d/1Lhp9OU0JdFf_VYSMzH5lBcEaU4o8teT1piV-SNzShjg/edit?gid=554141278#gid=554141278"", ""'Char Def. - Attributes'!C20:C2242""), 1,false)"),"ALT_UOM2_RMPM")</f>
        <v>ALT_UOM2_RMPM</v>
      </c>
      <c r="I5325" s="136"/>
    </row>
    <row r="5326" ht="15.75" customHeight="1">
      <c r="B5326" s="63">
        <f t="shared" si="1"/>
        <v>13</v>
      </c>
      <c r="C5326" s="156" t="s">
        <v>288</v>
      </c>
      <c r="D5326" s="147" t="s">
        <v>74</v>
      </c>
      <c r="E5326" s="135">
        <f t="shared" si="59"/>
        <v>15</v>
      </c>
      <c r="F5326" s="143" t="s">
        <v>3808</v>
      </c>
      <c r="G5326" s="63" t="str">
        <f>VLOOKUP(C5326, 'Class Def. - General Data'!$C$20:$C$1000,1,false)</f>
        <v>ZPM1_SUITCASE</v>
      </c>
      <c r="H5326" s="63" t="str">
        <f>IFERROR(__xludf.DUMMYFUNCTION("VLOOKUP(F5326, IMPORTRANGE(""https://docs.google.com/spreadsheets/d/1Lhp9OU0JdFf_VYSMzH5lBcEaU4o8teT1piV-SNzShjg/edit?gid=554141278#gid=554141278"", ""'Char Def. - Attributes'!C20:C2242""), 1,false)"),"ALT_DENUM_UOM2")</f>
        <v>ALT_DENUM_UOM2</v>
      </c>
      <c r="I5326" s="136"/>
    </row>
    <row r="5327" ht="15.75" customHeight="1">
      <c r="B5327" s="63">
        <f t="shared" si="1"/>
        <v>13</v>
      </c>
      <c r="C5327" s="156" t="s">
        <v>288</v>
      </c>
      <c r="D5327" s="147" t="s">
        <v>74</v>
      </c>
      <c r="E5327" s="135">
        <f t="shared" si="59"/>
        <v>16</v>
      </c>
      <c r="F5327" s="143" t="s">
        <v>3809</v>
      </c>
      <c r="G5327" s="63" t="str">
        <f>VLOOKUP(C5327, 'Class Def. - General Data'!$C$20:$C$1000,1,false)</f>
        <v>ZPM1_SUITCASE</v>
      </c>
      <c r="H5327" s="63" t="str">
        <f>IFERROR(__xludf.DUMMYFUNCTION("VLOOKUP(F5327, IMPORTRANGE(""https://docs.google.com/spreadsheets/d/1Lhp9OU0JdFf_VYSMzH5lBcEaU4o8teT1piV-SNzShjg/edit?gid=554141278#gid=554141278"", ""'Char Def. - Attributes'!C20:C2242""), 1,false)"),"ALT_NUM_UOM2")</f>
        <v>ALT_NUM_UOM2</v>
      </c>
      <c r="I5327" s="136"/>
    </row>
    <row r="5328" ht="15.75" customHeight="1">
      <c r="B5328" s="63">
        <f t="shared" si="1"/>
        <v>13</v>
      </c>
      <c r="C5328" s="156" t="s">
        <v>288</v>
      </c>
      <c r="D5328" s="147" t="s">
        <v>74</v>
      </c>
      <c r="E5328" s="135">
        <f t="shared" si="59"/>
        <v>17</v>
      </c>
      <c r="F5328" s="143" t="s">
        <v>3871</v>
      </c>
      <c r="G5328" s="63" t="str">
        <f>VLOOKUP(C5328, 'Class Def. - General Data'!$C$20:$C$1000,1,false)</f>
        <v>ZPM1_SUITCASE</v>
      </c>
      <c r="H5328" s="63" t="str">
        <f>IFERROR(__xludf.DUMMYFUNCTION("VLOOKUP(F5328, IMPORTRANGE(""https://docs.google.com/spreadsheets/d/1Lhp9OU0JdFf_VYSMzH5lBcEaU4o8teT1piV-SNzShjg/edit?gid=554141278#gid=554141278"", ""'Char Def. - Attributes'!C20:C2242""), 1,false)"),"ALT_UOM3_RMPM")</f>
        <v>ALT_UOM3_RMPM</v>
      </c>
      <c r="I5328" s="136"/>
    </row>
    <row r="5329" ht="15.75" customHeight="1">
      <c r="B5329" s="63">
        <f t="shared" si="1"/>
        <v>13</v>
      </c>
      <c r="C5329" s="156" t="s">
        <v>288</v>
      </c>
      <c r="D5329" s="147" t="s">
        <v>74</v>
      </c>
      <c r="E5329" s="135">
        <f t="shared" si="59"/>
        <v>18</v>
      </c>
      <c r="F5329" s="143" t="s">
        <v>3811</v>
      </c>
      <c r="G5329" s="63" t="str">
        <f>VLOOKUP(C5329, 'Class Def. - General Data'!$C$20:$C$1000,1,false)</f>
        <v>ZPM1_SUITCASE</v>
      </c>
      <c r="H5329" s="63" t="str">
        <f>IFERROR(__xludf.DUMMYFUNCTION("VLOOKUP(F5329, IMPORTRANGE(""https://docs.google.com/spreadsheets/d/1Lhp9OU0JdFf_VYSMzH5lBcEaU4o8teT1piV-SNzShjg/edit?gid=554141278#gid=554141278"", ""'Char Def. - Attributes'!C20:C2242""), 1,false)"),"ALT_DENUM_UOM3")</f>
        <v>ALT_DENUM_UOM3</v>
      </c>
      <c r="I5329" s="136"/>
    </row>
    <row r="5330" ht="15.75" customHeight="1">
      <c r="B5330" s="63">
        <f t="shared" si="1"/>
        <v>13</v>
      </c>
      <c r="C5330" s="156" t="s">
        <v>288</v>
      </c>
      <c r="D5330" s="147" t="s">
        <v>74</v>
      </c>
      <c r="E5330" s="135">
        <f t="shared" si="59"/>
        <v>19</v>
      </c>
      <c r="F5330" s="143" t="s">
        <v>3812</v>
      </c>
      <c r="G5330" s="63" t="str">
        <f>VLOOKUP(C5330, 'Class Def. - General Data'!$C$20:$C$1000,1,false)</f>
        <v>ZPM1_SUITCASE</v>
      </c>
      <c r="H5330" s="63" t="str">
        <f>IFERROR(__xludf.DUMMYFUNCTION("VLOOKUP(F5330, IMPORTRANGE(""https://docs.google.com/spreadsheets/d/1Lhp9OU0JdFf_VYSMzH5lBcEaU4o8teT1piV-SNzShjg/edit?gid=554141278#gid=554141278"", ""'Char Def. - Attributes'!C20:C2242""), 1,false)"),"ALT_NUM_UOM3")</f>
        <v>ALT_NUM_UOM3</v>
      </c>
      <c r="I5330" s="136"/>
    </row>
    <row r="5331" ht="15.75" customHeight="1">
      <c r="B5331" s="63">
        <f t="shared" si="1"/>
        <v>13</v>
      </c>
      <c r="C5331" s="156" t="s">
        <v>288</v>
      </c>
      <c r="D5331" s="147" t="s">
        <v>74</v>
      </c>
      <c r="E5331" s="135">
        <f t="shared" si="59"/>
        <v>20</v>
      </c>
      <c r="F5331" s="143" t="s">
        <v>3872</v>
      </c>
      <c r="G5331" s="63" t="str">
        <f>VLOOKUP(C5331, 'Class Def. - General Data'!$C$20:$C$1000,1,false)</f>
        <v>ZPM1_SUITCASE</v>
      </c>
      <c r="H5331" s="63" t="str">
        <f>IFERROR(__xludf.DUMMYFUNCTION("VLOOKUP(F5331, IMPORTRANGE(""https://docs.google.com/spreadsheets/d/1Lhp9OU0JdFf_VYSMzH5lBcEaU4o8teT1piV-SNzShjg/edit?gid=554141278#gid=554141278"", ""'Char Def. - Attributes'!C20:C2242""), 1,false)"),"ALT_UOM4_RMPM")</f>
        <v>ALT_UOM4_RMPM</v>
      </c>
      <c r="I5331" s="136"/>
    </row>
    <row r="5332" ht="15.75" customHeight="1">
      <c r="B5332" s="63">
        <f t="shared" si="1"/>
        <v>13</v>
      </c>
      <c r="C5332" s="156" t="s">
        <v>288</v>
      </c>
      <c r="D5332" s="147" t="s">
        <v>74</v>
      </c>
      <c r="E5332" s="135">
        <f t="shared" si="59"/>
        <v>21</v>
      </c>
      <c r="F5332" s="143" t="s">
        <v>3814</v>
      </c>
      <c r="G5332" s="63" t="str">
        <f>VLOOKUP(C5332, 'Class Def. - General Data'!$C$20:$C$1000,1,false)</f>
        <v>ZPM1_SUITCASE</v>
      </c>
      <c r="H5332" s="63" t="str">
        <f>IFERROR(__xludf.DUMMYFUNCTION("VLOOKUP(F5332, IMPORTRANGE(""https://docs.google.com/spreadsheets/d/1Lhp9OU0JdFf_VYSMzH5lBcEaU4o8teT1piV-SNzShjg/edit?gid=554141278#gid=554141278"", ""'Char Def. - Attributes'!C20:C2242""), 1,false)"),"ALT_DENUM_UOM4")</f>
        <v>ALT_DENUM_UOM4</v>
      </c>
      <c r="I5332" s="136"/>
    </row>
    <row r="5333" ht="15.75" customHeight="1">
      <c r="B5333" s="63">
        <f t="shared" si="1"/>
        <v>13</v>
      </c>
      <c r="C5333" s="156" t="s">
        <v>288</v>
      </c>
      <c r="D5333" s="147" t="s">
        <v>74</v>
      </c>
      <c r="E5333" s="135">
        <f t="shared" si="59"/>
        <v>22</v>
      </c>
      <c r="F5333" s="134" t="s">
        <v>3815</v>
      </c>
      <c r="G5333" s="63" t="str">
        <f>VLOOKUP(C5333, 'Class Def. - General Data'!$C$20:$C$1000,1,false)</f>
        <v>ZPM1_SUITCASE</v>
      </c>
      <c r="H5333" s="63" t="str">
        <f>IFERROR(__xludf.DUMMYFUNCTION("VLOOKUP(F5333, IMPORTRANGE(""https://docs.google.com/spreadsheets/d/1Lhp9OU0JdFf_VYSMzH5lBcEaU4o8teT1piV-SNzShjg/edit?gid=554141278#gid=554141278"", ""'Char Def. - Attributes'!C20:C2242""), 1,false)"),"ALT_NUM_UOM4")</f>
        <v>ALT_NUM_UOM4</v>
      </c>
      <c r="I5333" s="136"/>
    </row>
    <row r="5334" ht="15.75" customHeight="1">
      <c r="B5334" s="63">
        <f t="shared" si="1"/>
        <v>13</v>
      </c>
      <c r="C5334" s="156" t="s">
        <v>288</v>
      </c>
      <c r="D5334" s="147" t="s">
        <v>74</v>
      </c>
      <c r="E5334" s="135">
        <f t="shared" si="59"/>
        <v>23</v>
      </c>
      <c r="F5334" s="134" t="s">
        <v>3873</v>
      </c>
      <c r="G5334" s="63" t="str">
        <f>VLOOKUP(C5334, 'Class Def. - General Data'!$C$20:$C$1000,1,false)</f>
        <v>ZPM1_SUITCASE</v>
      </c>
      <c r="H5334" s="63" t="str">
        <f>IFERROR(__xludf.DUMMYFUNCTION("VLOOKUP(F5334, IMPORTRANGE(""https://docs.google.com/spreadsheets/d/1Lhp9OU0JdFf_VYSMzH5lBcEaU4o8teT1piV-SNzShjg/edit?gid=554141278#gid=554141278"", ""'Char Def. - Attributes'!C20:C2242""), 1,false)"),"ALT_UOM5_RMPM")</f>
        <v>ALT_UOM5_RMPM</v>
      </c>
      <c r="I5334" s="136"/>
    </row>
    <row r="5335" ht="15.75" customHeight="1">
      <c r="B5335" s="63">
        <f t="shared" si="1"/>
        <v>13</v>
      </c>
      <c r="C5335" s="156" t="s">
        <v>288</v>
      </c>
      <c r="D5335" s="147" t="s">
        <v>74</v>
      </c>
      <c r="E5335" s="135">
        <f t="shared" si="59"/>
        <v>24</v>
      </c>
      <c r="F5335" s="134" t="s">
        <v>3817</v>
      </c>
      <c r="G5335" s="63" t="str">
        <f>VLOOKUP(C5335, 'Class Def. - General Data'!$C$20:$C$1000,1,false)</f>
        <v>ZPM1_SUITCASE</v>
      </c>
      <c r="H5335" s="63" t="str">
        <f>IFERROR(__xludf.DUMMYFUNCTION("VLOOKUP(F5335, IMPORTRANGE(""https://docs.google.com/spreadsheets/d/1Lhp9OU0JdFf_VYSMzH5lBcEaU4o8teT1piV-SNzShjg/edit?gid=554141278#gid=554141278"", ""'Char Def. - Attributes'!C20:C2242""), 1,false)"),"ALT_DENUM_UOM5")</f>
        <v>ALT_DENUM_UOM5</v>
      </c>
      <c r="I5335" s="136"/>
    </row>
    <row r="5336" ht="15.75" customHeight="1">
      <c r="B5336" s="63">
        <f t="shared" si="1"/>
        <v>13</v>
      </c>
      <c r="C5336" s="156" t="s">
        <v>288</v>
      </c>
      <c r="D5336" s="147" t="s">
        <v>74</v>
      </c>
      <c r="E5336" s="135">
        <f t="shared" si="59"/>
        <v>25</v>
      </c>
      <c r="F5336" s="134" t="s">
        <v>3818</v>
      </c>
      <c r="G5336" s="63" t="str">
        <f>VLOOKUP(C5336, 'Class Def. - General Data'!$C$20:$C$1000,1,false)</f>
        <v>ZPM1_SUITCASE</v>
      </c>
      <c r="H5336" s="63" t="str">
        <f>IFERROR(__xludf.DUMMYFUNCTION("VLOOKUP(F5336, IMPORTRANGE(""https://docs.google.com/spreadsheets/d/1Lhp9OU0JdFf_VYSMzH5lBcEaU4o8teT1piV-SNzShjg/edit?gid=554141278#gid=554141278"", ""'Char Def. - Attributes'!C20:C2242""), 1,false)"),"ALT_NUM_UOM5")</f>
        <v>ALT_NUM_UOM5</v>
      </c>
      <c r="I5336" s="136"/>
    </row>
    <row r="5337" ht="15.75" customHeight="1">
      <c r="B5337" s="63">
        <f t="shared" si="1"/>
        <v>13</v>
      </c>
      <c r="C5337" s="156" t="s">
        <v>288</v>
      </c>
      <c r="D5337" s="147" t="s">
        <v>74</v>
      </c>
      <c r="E5337" s="135">
        <f t="shared" si="59"/>
        <v>26</v>
      </c>
      <c r="F5337" s="134" t="s">
        <v>3874</v>
      </c>
      <c r="G5337" s="63" t="str">
        <f>VLOOKUP(C5337, 'Class Def. - General Data'!$C$20:$C$1000,1,false)</f>
        <v>ZPM1_SUITCASE</v>
      </c>
      <c r="H5337" s="63" t="str">
        <f>IFERROR(__xludf.DUMMYFUNCTION("VLOOKUP(F5337, IMPORTRANGE(""https://docs.google.com/spreadsheets/d/1Lhp9OU0JdFf_VYSMzH5lBcEaU4o8teT1piV-SNzShjg/edit?gid=554141278#gid=554141278"", ""'Char Def. - Attributes'!C20:C2242""), 1,false)"),"VALUATION_CATEGORY")</f>
        <v>VALUATION_CATEGORY</v>
      </c>
      <c r="I5337" s="136"/>
    </row>
    <row r="5338" ht="15.75" customHeight="1">
      <c r="B5338" s="63">
        <f t="shared" si="1"/>
        <v>13</v>
      </c>
      <c r="C5338" s="156" t="s">
        <v>288</v>
      </c>
      <c r="D5338" s="147" t="s">
        <v>74</v>
      </c>
      <c r="E5338" s="135">
        <f t="shared" si="59"/>
        <v>27</v>
      </c>
      <c r="F5338" s="134" t="s">
        <v>3800</v>
      </c>
      <c r="G5338" s="63" t="str">
        <f>VLOOKUP(C5338, 'Class Def. - General Data'!$C$20:$C$1000,1,false)</f>
        <v>ZPM1_SUITCASE</v>
      </c>
      <c r="H5338" s="63" t="str">
        <f>IFERROR(__xludf.DUMMYFUNCTION("VLOOKUP(F5338, IMPORTRANGE(""https://docs.google.com/spreadsheets/d/1Lhp9OU0JdFf_VYSMzH5lBcEaU4o8teT1piV-SNzShjg/edit?gid=554141278#gid=554141278"", ""'Char Def. - Attributes'!C20:C2242""), 1,false)"),"ORDER_UNIT_DIFF_FROM_BASIC_UOM")</f>
        <v>ORDER_UNIT_DIFF_FROM_BASIC_UOM</v>
      </c>
      <c r="I5338" s="136"/>
    </row>
    <row r="5339" ht="15.75" customHeight="1">
      <c r="B5339" s="63">
        <f t="shared" si="1"/>
        <v>13</v>
      </c>
      <c r="C5339" s="156" t="s">
        <v>288</v>
      </c>
      <c r="D5339" s="147" t="s">
        <v>74</v>
      </c>
      <c r="E5339" s="135">
        <f t="shared" si="59"/>
        <v>28</v>
      </c>
      <c r="F5339" s="134" t="s">
        <v>3875</v>
      </c>
      <c r="G5339" s="63" t="str">
        <f>VLOOKUP(C5339, 'Class Def. - General Data'!$C$20:$C$1000,1,false)</f>
        <v>ZPM1_SUITCASE</v>
      </c>
      <c r="H5339" s="63" t="str">
        <f>IFERROR(__xludf.DUMMYFUNCTION("VLOOKUP(F5339, IMPORTRANGE(""https://docs.google.com/spreadsheets/d/1Lhp9OU0JdFf_VYSMzH5lBcEaU4o8teT1piV-SNzShjg/edit?gid=554141278#gid=554141278"", ""'Char Def. - Attributes'!C20:C2242""), 1,false)"),"ORDER_UNIT_RMPM")</f>
        <v>ORDER_UNIT_RMPM</v>
      </c>
      <c r="I5339" s="136"/>
    </row>
    <row r="5340" ht="15.75" customHeight="1">
      <c r="B5340" s="63">
        <f t="shared" si="1"/>
        <v>13</v>
      </c>
      <c r="C5340" s="156" t="s">
        <v>288</v>
      </c>
      <c r="D5340" s="147" t="s">
        <v>74</v>
      </c>
      <c r="E5340" s="135">
        <f t="shared" si="59"/>
        <v>29</v>
      </c>
      <c r="F5340" s="134" t="s">
        <v>3602</v>
      </c>
      <c r="G5340" s="63" t="str">
        <f>VLOOKUP(C5340, 'Class Def. - General Data'!$C$20:$C$1000,1,false)</f>
        <v>ZPM1_SUITCASE</v>
      </c>
      <c r="H5340" s="63" t="str">
        <f>IFERROR(__xludf.DUMMYFUNCTION("VLOOKUP(F5340, IMPORTRANGE(""https://docs.google.com/spreadsheets/d/1Lhp9OU0JdFf_VYSMzH5lBcEaU4o8teT1piV-SNzShjg/edit?gid=554141278#gid=554141278"", ""'Char Def. - Attributes'!C20:C2242""), 1,false)"),"NET_WEIGHT")</f>
        <v>NET_WEIGHT</v>
      </c>
      <c r="I5340" s="136"/>
    </row>
    <row r="5341" ht="15.75" customHeight="1">
      <c r="B5341" s="63">
        <f t="shared" si="1"/>
        <v>13</v>
      </c>
      <c r="C5341" s="156" t="s">
        <v>288</v>
      </c>
      <c r="D5341" s="147" t="s">
        <v>74</v>
      </c>
      <c r="E5341" s="135">
        <f t="shared" si="59"/>
        <v>30</v>
      </c>
      <c r="F5341" s="134" t="s">
        <v>3601</v>
      </c>
      <c r="G5341" s="63" t="str">
        <f>VLOOKUP(C5341, 'Class Def. - General Data'!$C$20:$C$1000,1,false)</f>
        <v>ZPM1_SUITCASE</v>
      </c>
      <c r="H5341" s="63" t="str">
        <f>IFERROR(__xludf.DUMMYFUNCTION("VLOOKUP(F5341, IMPORTRANGE(""https://docs.google.com/spreadsheets/d/1Lhp9OU0JdFf_VYSMzH5lBcEaU4o8teT1piV-SNzShjg/edit?gid=554141278#gid=554141278"", ""'Char Def. - Attributes'!C20:C2242""), 1,false)"),"GROSS_WEIGHT")</f>
        <v>GROSS_WEIGHT</v>
      </c>
      <c r="I5341" s="136"/>
    </row>
    <row r="5342" ht="15.75" customHeight="1">
      <c r="B5342" s="63">
        <f t="shared" si="1"/>
        <v>13</v>
      </c>
      <c r="C5342" s="156" t="s">
        <v>288</v>
      </c>
      <c r="D5342" s="147" t="s">
        <v>74</v>
      </c>
      <c r="E5342" s="135">
        <f t="shared" si="59"/>
        <v>31</v>
      </c>
      <c r="F5342" s="134" t="s">
        <v>3876</v>
      </c>
      <c r="G5342" s="63" t="str">
        <f>VLOOKUP(C5342, 'Class Def. - General Data'!$C$20:$C$1000,1,false)</f>
        <v>ZPM1_SUITCASE</v>
      </c>
      <c r="H5342" s="63" t="str">
        <f>IFERROR(__xludf.DUMMYFUNCTION("VLOOKUP(F5342, IMPORTRANGE(""https://docs.google.com/spreadsheets/d/1Lhp9OU0JdFf_VYSMzH5lBcEaU4o8teT1piV-SNzShjg/edit?gid=554141278#gid=554141278"", ""'Char Def. - Attributes'!C20:C2242""), 1,false)"),"WEIGHT_UNIT_PM")</f>
        <v>WEIGHT_UNIT_PM</v>
      </c>
      <c r="I5342" s="136"/>
    </row>
    <row r="5343" ht="15.75" customHeight="1">
      <c r="B5343" s="63">
        <f t="shared" si="1"/>
        <v>13</v>
      </c>
      <c r="C5343" s="156" t="s">
        <v>288</v>
      </c>
      <c r="D5343" s="147" t="s">
        <v>74</v>
      </c>
      <c r="E5343" s="135">
        <f t="shared" si="59"/>
        <v>32</v>
      </c>
      <c r="F5343" s="134" t="s">
        <v>3877</v>
      </c>
      <c r="G5343" s="63" t="str">
        <f>VLOOKUP(C5343, 'Class Def. - General Data'!$C$20:$C$1000,1,false)</f>
        <v>ZPM1_SUITCASE</v>
      </c>
      <c r="H5343" s="63" t="str">
        <f>IFERROR(__xludf.DUMMYFUNCTION("VLOOKUP(F5343, IMPORTRANGE(""https://docs.google.com/spreadsheets/d/1Lhp9OU0JdFf_VYSMzH5lBcEaU4o8teT1piV-SNzShjg/edit?gid=554141278#gid=554141278"", ""'Char Def. - Attributes'!C20:C2242""), 1,false)"),"VOLUME_OPT")</f>
        <v>VOLUME_OPT</v>
      </c>
      <c r="I5343" s="136"/>
    </row>
    <row r="5344" ht="15.75" customHeight="1">
      <c r="B5344" s="63">
        <f t="shared" si="1"/>
        <v>13</v>
      </c>
      <c r="C5344" s="156" t="s">
        <v>288</v>
      </c>
      <c r="D5344" s="147" t="s">
        <v>74</v>
      </c>
      <c r="E5344" s="135">
        <f t="shared" si="59"/>
        <v>33</v>
      </c>
      <c r="F5344" s="134" t="s">
        <v>3878</v>
      </c>
      <c r="G5344" s="63" t="str">
        <f>VLOOKUP(C5344, 'Class Def. - General Data'!$C$20:$C$1000,1,false)</f>
        <v>ZPM1_SUITCASE</v>
      </c>
      <c r="H5344" s="63" t="str">
        <f>IFERROR(__xludf.DUMMYFUNCTION("VLOOKUP(F5344, IMPORTRANGE(""https://docs.google.com/spreadsheets/d/1Lhp9OU0JdFf_VYSMzH5lBcEaU4o8teT1piV-SNzShjg/edit?gid=554141278#gid=554141278"", ""'Char Def. - Attributes'!C20:C2242""), 1,false)"),"VOLUME_UNIT")</f>
        <v>VOLUME_UNIT</v>
      </c>
      <c r="I5344" s="136"/>
    </row>
    <row r="5345" ht="15.75" customHeight="1">
      <c r="B5345" s="63">
        <f t="shared" si="1"/>
        <v>13</v>
      </c>
      <c r="C5345" s="156" t="s">
        <v>288</v>
      </c>
      <c r="D5345" s="147" t="s">
        <v>74</v>
      </c>
      <c r="E5345" s="135">
        <f t="shared" si="59"/>
        <v>34</v>
      </c>
      <c r="F5345" s="134" t="s">
        <v>3879</v>
      </c>
      <c r="G5345" s="63" t="str">
        <f>VLOOKUP(C5345, 'Class Def. - General Data'!$C$20:$C$1000,1,false)</f>
        <v>ZPM1_SUITCASE</v>
      </c>
      <c r="H5345" s="63" t="str">
        <f>IFERROR(__xludf.DUMMYFUNCTION("VLOOKUP(F5345, IMPORTRANGE(""https://docs.google.com/spreadsheets/d/1Lhp9OU0JdFf_VYSMzH5lBcEaU4o8teT1piV-SNzShjg/edit?gid=554141278#gid=554141278"", ""'Char Def. - Attributes'!C20:C2242""), 1,false)"),"OLD_MAT_NO_RMPM")</f>
        <v>OLD_MAT_NO_RMPM</v>
      </c>
      <c r="I5345" s="136"/>
    </row>
    <row r="5346" ht="15.75" customHeight="1">
      <c r="B5346" s="63">
        <f t="shared" si="1"/>
        <v>13</v>
      </c>
      <c r="C5346" s="156" t="s">
        <v>288</v>
      </c>
      <c r="D5346" s="147" t="s">
        <v>74</v>
      </c>
      <c r="E5346" s="135">
        <f t="shared" si="59"/>
        <v>35</v>
      </c>
      <c r="F5346" s="134" t="s">
        <v>3880</v>
      </c>
      <c r="G5346" s="63" t="str">
        <f>VLOOKUP(C5346, 'Class Def. - General Data'!$C$20:$C$1000,1,false)</f>
        <v>ZPM1_SUITCASE</v>
      </c>
      <c r="H5346" s="63" t="str">
        <f>IFERROR(__xludf.DUMMYFUNCTION("VLOOKUP(F5346, IMPORTRANGE(""https://docs.google.com/spreadsheets/d/1Lhp9OU0JdFf_VYSMzH5lBcEaU4o8teT1piV-SNzShjg/edit?gid=554141278#gid=554141278"", ""'Char Def. - Attributes'!C20:C2242""), 1,false)"),"NOTE_PM")</f>
        <v>NOTE_PM</v>
      </c>
      <c r="I5346" s="136"/>
    </row>
    <row r="5347" ht="15.75" customHeight="1">
      <c r="B5347" s="63">
        <f t="shared" si="1"/>
        <v>13</v>
      </c>
      <c r="C5347" s="156" t="s">
        <v>288</v>
      </c>
      <c r="D5347" s="147" t="s">
        <v>74</v>
      </c>
      <c r="E5347" s="135">
        <f t="shared" si="59"/>
        <v>36</v>
      </c>
      <c r="F5347" s="134" t="s">
        <v>3881</v>
      </c>
      <c r="G5347" s="63" t="str">
        <f>VLOOKUP(C5347, 'Class Def. - General Data'!$C$20:$C$1000,1,false)</f>
        <v>ZPM1_SUITCASE</v>
      </c>
      <c r="H5347" s="63" t="str">
        <f>IFERROR(__xludf.DUMMYFUNCTION("VLOOKUP(F5347, IMPORTRANGE(""https://docs.google.com/spreadsheets/d/1Lhp9OU0JdFf_VYSMzH5lBcEaU4o8teT1piV-SNzShjg/edit?gid=554141278#gid=554141278"", ""'Char Def. - Attributes'!C20:C2242""), 1,false)"),"BS_BERSIH")</f>
        <v>BS_BERSIH</v>
      </c>
      <c r="I5347" s="136"/>
    </row>
    <row r="5348" ht="15.75" customHeight="1">
      <c r="B5348" s="63">
        <f t="shared" si="1"/>
        <v>13</v>
      </c>
      <c r="C5348" s="156" t="s">
        <v>288</v>
      </c>
      <c r="D5348" s="147" t="s">
        <v>74</v>
      </c>
      <c r="E5348" s="135">
        <f t="shared" si="59"/>
        <v>37</v>
      </c>
      <c r="F5348" s="134" t="s">
        <v>3882</v>
      </c>
      <c r="G5348" s="63" t="str">
        <f>VLOOKUP(C5348, 'Class Def. - General Data'!$C$20:$C$1000,1,false)</f>
        <v>ZPM1_SUITCASE</v>
      </c>
      <c r="H5348" s="63" t="str">
        <f>IFERROR(__xludf.DUMMYFUNCTION("VLOOKUP(F5348, IMPORTRANGE(""https://docs.google.com/spreadsheets/d/1Lhp9OU0JdFf_VYSMzH5lBcEaU4o8teT1piV-SNzShjg/edit?gid=554141278#gid=554141278"", ""'Char Def. - Attributes'!C20:C2242""), 1,false)"),"BS_KOTOR")</f>
        <v>BS_KOTOR</v>
      </c>
      <c r="I5348" s="136"/>
    </row>
    <row r="5349" ht="15.75" customHeight="1">
      <c r="B5349" s="63">
        <f t="shared" si="1"/>
        <v>13</v>
      </c>
      <c r="C5349" s="156" t="s">
        <v>288</v>
      </c>
      <c r="D5349" s="147" t="s">
        <v>74</v>
      </c>
      <c r="E5349" s="135">
        <f t="shared" si="59"/>
        <v>38</v>
      </c>
      <c r="F5349" s="134" t="s">
        <v>3883</v>
      </c>
      <c r="G5349" s="63" t="str">
        <f>VLOOKUP(C5349, 'Class Def. - General Data'!$C$20:$C$1000,1,false)</f>
        <v>ZPM1_SUITCASE</v>
      </c>
      <c r="H5349" s="63" t="str">
        <f>IFERROR(__xludf.DUMMYFUNCTION("VLOOKUP(F5349, IMPORTRANGE(""https://docs.google.com/spreadsheets/d/1Lhp9OU0JdFf_VYSMzH5lBcEaU4o8teT1piV-SNzShjg/edit?gid=554141278#gid=554141278"", ""'Char Def. - Attributes'!C20:C2242""), 1,false)"),"BS_SCRAP")</f>
        <v>BS_SCRAP</v>
      </c>
      <c r="I5349" s="136"/>
    </row>
    <row r="5350" ht="15.75" customHeight="1">
      <c r="B5350" s="63">
        <f t="shared" si="1"/>
        <v>7</v>
      </c>
      <c r="C5350" s="146" t="s">
        <v>280</v>
      </c>
      <c r="D5350" s="147" t="s">
        <v>74</v>
      </c>
      <c r="E5350" s="135">
        <f t="shared" si="59"/>
        <v>1</v>
      </c>
      <c r="F5350" s="134" t="s">
        <v>3987</v>
      </c>
      <c r="G5350" s="63" t="str">
        <f>VLOOKUP(C5350, 'Class Def. - General Data'!$C$20:$C$1000,1,false)</f>
        <v>ZPM1_SW</v>
      </c>
      <c r="H5350" s="63" t="str">
        <f>IFERROR(__xludf.DUMMYFUNCTION("VLOOKUP(F5350, IMPORTRANGE(""https://docs.google.com/spreadsheets/d/1Lhp9OU0JdFf_VYSMzH5lBcEaU4o8teT1piV-SNzShjg/edit?gid=554141278#gid=554141278"", ""'Char Def. - Attributes'!C20:C2242""), 1,false)"),"MATERIAL_CODE_SW")</f>
        <v>MATERIAL_CODE_SW</v>
      </c>
      <c r="I5350" s="136"/>
    </row>
    <row r="5351" ht="15.75" customHeight="1">
      <c r="B5351" s="63">
        <f t="shared" si="1"/>
        <v>7</v>
      </c>
      <c r="C5351" s="146" t="s">
        <v>280</v>
      </c>
      <c r="D5351" s="147" t="s">
        <v>74</v>
      </c>
      <c r="E5351" s="135">
        <f t="shared" si="59"/>
        <v>2</v>
      </c>
      <c r="F5351" s="134" t="s">
        <v>3852</v>
      </c>
      <c r="G5351" s="63" t="str">
        <f>VLOOKUP(C5351, 'Class Def. - General Data'!$C$20:$C$1000,1,false)</f>
        <v>ZPM1_SW</v>
      </c>
      <c r="H5351" s="63" t="str">
        <f>IFERROR(__xludf.DUMMYFUNCTION("VLOOKUP(F5351, IMPORTRANGE(""https://docs.google.com/spreadsheets/d/1Lhp9OU0JdFf_VYSMzH5lBcEaU4o8teT1piV-SNzShjg/edit?gid=554141278#gid=554141278"", ""'Char Def. - Attributes'!C20:C2242""), 1,false)"),"SINGLE_BRAND")</f>
        <v>SINGLE_BRAND</v>
      </c>
      <c r="I5351" s="136"/>
    </row>
    <row r="5352" ht="15.75" customHeight="1">
      <c r="B5352" s="63">
        <f t="shared" si="1"/>
        <v>7</v>
      </c>
      <c r="C5352" s="146" t="s">
        <v>280</v>
      </c>
      <c r="D5352" s="147" t="s">
        <v>74</v>
      </c>
      <c r="E5352" s="135">
        <f t="shared" si="59"/>
        <v>3</v>
      </c>
      <c r="F5352" s="134" t="s">
        <v>3853</v>
      </c>
      <c r="G5352" s="63" t="str">
        <f>VLOOKUP(C5352, 'Class Def. - General Data'!$C$20:$C$1000,1,false)</f>
        <v>ZPM1_SW</v>
      </c>
      <c r="H5352" s="63" t="str">
        <f>IFERROR(__xludf.DUMMYFUNCTION("VLOOKUP(F5352, IMPORTRANGE(""https://docs.google.com/spreadsheets/d/1Lhp9OU0JdFf_VYSMzH5lBcEaU4o8teT1piV-SNzShjg/edit?gid=554141278#gid=554141278"", ""'Char Def. - Attributes'!C20:C2242""), 1,false)"),"BRAND_WINGS")</f>
        <v>BRAND_WINGS</v>
      </c>
      <c r="I5352" s="136"/>
    </row>
    <row r="5353" ht="15.75" customHeight="1">
      <c r="B5353" s="63">
        <f t="shared" si="1"/>
        <v>7</v>
      </c>
      <c r="C5353" s="146" t="s">
        <v>280</v>
      </c>
      <c r="D5353" s="147" t="s">
        <v>74</v>
      </c>
      <c r="E5353" s="135">
        <f t="shared" si="59"/>
        <v>4</v>
      </c>
      <c r="F5353" s="134" t="s">
        <v>3854</v>
      </c>
      <c r="G5353" s="63" t="str">
        <f>VLOOKUP(C5353, 'Class Def. - General Data'!$C$20:$C$1000,1,false)</f>
        <v>ZPM1_SW</v>
      </c>
      <c r="H5353" s="63" t="str">
        <f>IFERROR(__xludf.DUMMYFUNCTION("VLOOKUP(F5353, IMPORTRANGE(""https://docs.google.com/spreadsheets/d/1Lhp9OU0JdFf_VYSMzH5lBcEaU4o8teT1piV-SNzShjg/edit?gid=554141278#gid=554141278"", ""'Char Def. - Attributes'!C20:C2242""), 1,false)"),"SINGLE_PACK_SHAPE")</f>
        <v>SINGLE_PACK_SHAPE</v>
      </c>
      <c r="I5353" s="136"/>
    </row>
    <row r="5354" ht="15.75" customHeight="1">
      <c r="B5354" s="63">
        <f t="shared" si="1"/>
        <v>7</v>
      </c>
      <c r="C5354" s="146" t="s">
        <v>280</v>
      </c>
      <c r="D5354" s="147" t="s">
        <v>74</v>
      </c>
      <c r="E5354" s="135">
        <f t="shared" si="59"/>
        <v>5</v>
      </c>
      <c r="F5354" s="134" t="s">
        <v>3855</v>
      </c>
      <c r="G5354" s="63" t="str">
        <f>VLOOKUP(C5354, 'Class Def. - General Data'!$C$20:$C$1000,1,false)</f>
        <v>ZPM1_SW</v>
      </c>
      <c r="H5354" s="63" t="str">
        <f>IFERROR(__xludf.DUMMYFUNCTION("VLOOKUP(F5354, IMPORTRANGE(""https://docs.google.com/spreadsheets/d/1Lhp9OU0JdFf_VYSMzH5lBcEaU4o8teT1piV-SNzShjg/edit?gid=554141278#gid=554141278"", ""'Char Def. - Attributes'!C20:C2242""), 1,false)"),"PACK_SHAPE")</f>
        <v>PACK_SHAPE</v>
      </c>
      <c r="I5354" s="136"/>
    </row>
    <row r="5355" ht="15.75" customHeight="1">
      <c r="B5355" s="63">
        <f t="shared" si="1"/>
        <v>7</v>
      </c>
      <c r="C5355" s="146" t="s">
        <v>280</v>
      </c>
      <c r="D5355" s="147" t="s">
        <v>74</v>
      </c>
      <c r="E5355" s="135">
        <f t="shared" si="59"/>
        <v>6</v>
      </c>
      <c r="F5355" s="134" t="s">
        <v>3856</v>
      </c>
      <c r="G5355" s="63" t="str">
        <f>VLOOKUP(C5355, 'Class Def. - General Data'!$C$20:$C$1000,1,false)</f>
        <v>ZPM1_SW</v>
      </c>
      <c r="H5355" s="63" t="str">
        <f>IFERROR(__xludf.DUMMYFUNCTION("VLOOKUP(F5355, IMPORTRANGE(""https://docs.google.com/spreadsheets/d/1Lhp9OU0JdFf_VYSMzH5lBcEaU4o8teT1piV-SNzShjg/edit?gid=554141278#gid=554141278"", ""'Char Def. - Attributes'!C20:C2242""), 1,false)"),"SINGLE_PACK_NETTO")</f>
        <v>SINGLE_PACK_NETTO</v>
      </c>
      <c r="I5355" s="136"/>
    </row>
    <row r="5356" ht="15.75" customHeight="1">
      <c r="B5356" s="63">
        <f t="shared" si="1"/>
        <v>7</v>
      </c>
      <c r="C5356" s="146" t="s">
        <v>280</v>
      </c>
      <c r="D5356" s="147" t="s">
        <v>74</v>
      </c>
      <c r="E5356" s="135">
        <f t="shared" si="59"/>
        <v>7</v>
      </c>
      <c r="F5356" s="134" t="s">
        <v>3605</v>
      </c>
      <c r="G5356" s="63" t="str">
        <f>VLOOKUP(C5356, 'Class Def. - General Data'!$C$20:$C$1000,1,false)</f>
        <v>ZPM1_SW</v>
      </c>
      <c r="H5356" s="63" t="str">
        <f>IFERROR(__xludf.DUMMYFUNCTION("VLOOKUP(F5356, IMPORTRANGE(""https://docs.google.com/spreadsheets/d/1Lhp9OU0JdFf_VYSMzH5lBcEaU4o8teT1piV-SNzShjg/edit?gid=554141278#gid=554141278"", ""'Char Def. - Attributes'!C20:C2242""), 1,false)"),"PACK_NETTO")</f>
        <v>PACK_NETTO</v>
      </c>
      <c r="I5356" s="136"/>
    </row>
    <row r="5357" ht="15.75" customHeight="1">
      <c r="B5357" s="63">
        <f t="shared" si="1"/>
        <v>7</v>
      </c>
      <c r="C5357" s="146" t="s">
        <v>280</v>
      </c>
      <c r="D5357" s="147" t="s">
        <v>74</v>
      </c>
      <c r="E5357" s="135">
        <f t="shared" si="59"/>
        <v>8</v>
      </c>
      <c r="F5357" s="134" t="s">
        <v>3857</v>
      </c>
      <c r="G5357" s="63" t="str">
        <f>VLOOKUP(C5357, 'Class Def. - General Data'!$C$20:$C$1000,1,false)</f>
        <v>ZPM1_SW</v>
      </c>
      <c r="H5357" s="63" t="str">
        <f>IFERROR(__xludf.DUMMYFUNCTION("VLOOKUP(F5357, IMPORTRANGE(""https://docs.google.com/spreadsheets/d/1Lhp9OU0JdFf_VYSMzH5lBcEaU4o8teT1piV-SNzShjg/edit?gid=554141278#gid=554141278"", ""'Char Def. - Attributes'!C20:C2242""), 1,false)"),"PACK_UOM")</f>
        <v>PACK_UOM</v>
      </c>
      <c r="I5357" s="136"/>
    </row>
    <row r="5358" ht="15.75" customHeight="1">
      <c r="B5358" s="63">
        <f t="shared" si="1"/>
        <v>7</v>
      </c>
      <c r="C5358" s="146" t="s">
        <v>280</v>
      </c>
      <c r="D5358" s="147" t="s">
        <v>74</v>
      </c>
      <c r="E5358" s="135">
        <f t="shared" si="59"/>
        <v>9</v>
      </c>
      <c r="F5358" s="134" t="s">
        <v>3858</v>
      </c>
      <c r="G5358" s="63" t="str">
        <f>VLOOKUP(C5358, 'Class Def. - General Data'!$C$20:$C$1000,1,false)</f>
        <v>ZPM1_SW</v>
      </c>
      <c r="H5358" s="63" t="str">
        <f>IFERROR(__xludf.DUMMYFUNCTION("VLOOKUP(F5358, IMPORTRANGE(""https://docs.google.com/spreadsheets/d/1Lhp9OU0JdFf_VYSMzH5lBcEaU4o8teT1piV-SNzShjg/edit?gid=554141278#gid=554141278"", ""'Char Def. - Attributes'!C20:C2242""), 1,false)"),"SINGLE_VARIAN")</f>
        <v>SINGLE_VARIAN</v>
      </c>
      <c r="I5358" s="136"/>
    </row>
    <row r="5359" ht="15.75" customHeight="1">
      <c r="B5359" s="63">
        <f t="shared" si="1"/>
        <v>7</v>
      </c>
      <c r="C5359" s="146" t="s">
        <v>280</v>
      </c>
      <c r="D5359" s="147" t="s">
        <v>74</v>
      </c>
      <c r="E5359" s="135">
        <f t="shared" si="59"/>
        <v>10</v>
      </c>
      <c r="F5359" s="134" t="s">
        <v>3607</v>
      </c>
      <c r="G5359" s="63" t="str">
        <f>VLOOKUP(C5359, 'Class Def. - General Data'!$C$20:$C$1000,1,false)</f>
        <v>ZPM1_SW</v>
      </c>
      <c r="H5359" s="63" t="str">
        <f>IFERROR(__xludf.DUMMYFUNCTION("VLOOKUP(F5359, IMPORTRANGE(""https://docs.google.com/spreadsheets/d/1Lhp9OU0JdFf_VYSMzH5lBcEaU4o8teT1piV-SNzShjg/edit?gid=554141278#gid=554141278"", ""'Char Def. - Attributes'!C20:C2242""), 1,false)"),"VARIAN")</f>
        <v>VARIAN</v>
      </c>
      <c r="I5359" s="136"/>
    </row>
    <row r="5360" ht="15.75" customHeight="1">
      <c r="B5360" s="63">
        <f t="shared" si="1"/>
        <v>7</v>
      </c>
      <c r="C5360" s="146" t="s">
        <v>280</v>
      </c>
      <c r="D5360" s="147" t="s">
        <v>74</v>
      </c>
      <c r="E5360" s="135">
        <f t="shared" si="59"/>
        <v>11</v>
      </c>
      <c r="F5360" s="134" t="s">
        <v>3859</v>
      </c>
      <c r="G5360" s="63" t="str">
        <f>VLOOKUP(C5360, 'Class Def. - General Data'!$C$20:$C$1000,1,false)</f>
        <v>ZPM1_SW</v>
      </c>
      <c r="H5360" s="63" t="str">
        <f>IFERROR(__xludf.DUMMYFUNCTION("VLOOKUP(F5360, IMPORTRANGE(""https://docs.google.com/spreadsheets/d/1Lhp9OU0JdFf_VYSMzH5lBcEaU4o8teT1piV-SNzShjg/edit?gid=554141278#gid=554141278"", ""'Char Def. - Attributes'!C20:C2242""), 1,false)"),"ADA_ADDITIONAL_PROMO")</f>
        <v>ADA_ADDITIONAL_PROMO</v>
      </c>
      <c r="I5360" s="136"/>
    </row>
    <row r="5361" ht="15.75" customHeight="1">
      <c r="B5361" s="63">
        <f t="shared" si="1"/>
        <v>7</v>
      </c>
      <c r="C5361" s="146" t="s">
        <v>280</v>
      </c>
      <c r="D5361" s="147" t="s">
        <v>74</v>
      </c>
      <c r="E5361" s="135">
        <f t="shared" si="59"/>
        <v>12</v>
      </c>
      <c r="F5361" s="134" t="s">
        <v>3609</v>
      </c>
      <c r="G5361" s="63" t="str">
        <f>VLOOKUP(C5361, 'Class Def. - General Data'!$C$20:$C$1000,1,false)</f>
        <v>ZPM1_SW</v>
      </c>
      <c r="H5361" s="63" t="str">
        <f>IFERROR(__xludf.DUMMYFUNCTION("VLOOKUP(F5361, IMPORTRANGE(""https://docs.google.com/spreadsheets/d/1Lhp9OU0JdFf_VYSMzH5lBcEaU4o8teT1piV-SNzShjg/edit?gid=554141278#gid=554141278"", ""'Char Def. - Attributes'!C20:C2242""), 1,false)"),"ADDITIONAL_PROMO")</f>
        <v>ADDITIONAL_PROMO</v>
      </c>
      <c r="I5361" s="136"/>
    </row>
    <row r="5362" ht="15.75" customHeight="1">
      <c r="B5362" s="63">
        <f t="shared" si="1"/>
        <v>7</v>
      </c>
      <c r="C5362" s="146" t="s">
        <v>280</v>
      </c>
      <c r="D5362" s="147" t="s">
        <v>74</v>
      </c>
      <c r="E5362" s="135">
        <f t="shared" si="59"/>
        <v>13</v>
      </c>
      <c r="F5362" s="134" t="s">
        <v>3860</v>
      </c>
      <c r="G5362" s="63" t="str">
        <f>VLOOKUP(C5362, 'Class Def. - General Data'!$C$20:$C$1000,1,false)</f>
        <v>ZPM1_SW</v>
      </c>
      <c r="H5362" s="63" t="str">
        <f>IFERROR(__xludf.DUMMYFUNCTION("VLOOKUP(F5362, IMPORTRANGE(""https://docs.google.com/spreadsheets/d/1Lhp9OU0JdFf_VYSMzH5lBcEaU4o8teT1piV-SNzShjg/edit?gid=554141278#gid=554141278"", ""'Char Def. - Attributes'!C20:C2242""), 1,false)"),"ADA_BANDED_PROMO")</f>
        <v>ADA_BANDED_PROMO</v>
      </c>
      <c r="I5362" s="136"/>
    </row>
    <row r="5363" ht="15.75" customHeight="1">
      <c r="B5363" s="63">
        <f t="shared" si="1"/>
        <v>7</v>
      </c>
      <c r="C5363" s="146" t="s">
        <v>280</v>
      </c>
      <c r="D5363" s="147" t="s">
        <v>74</v>
      </c>
      <c r="E5363" s="135">
        <f t="shared" si="59"/>
        <v>14</v>
      </c>
      <c r="F5363" s="134" t="s">
        <v>3610</v>
      </c>
      <c r="G5363" s="63" t="str">
        <f>VLOOKUP(C5363, 'Class Def. - General Data'!$C$20:$C$1000,1,false)</f>
        <v>ZPM1_SW</v>
      </c>
      <c r="H5363" s="63" t="str">
        <f>IFERROR(__xludf.DUMMYFUNCTION("VLOOKUP(F5363, IMPORTRANGE(""https://docs.google.com/spreadsheets/d/1Lhp9OU0JdFf_VYSMzH5lBcEaU4o8teT1piV-SNzShjg/edit?gid=554141278#gid=554141278"", ""'Char Def. - Attributes'!C20:C2242""), 1,false)"),"BANDED_PROMO")</f>
        <v>BANDED_PROMO</v>
      </c>
      <c r="I5363" s="136"/>
    </row>
    <row r="5364" ht="15.75" customHeight="1">
      <c r="B5364" s="63">
        <f t="shared" si="1"/>
        <v>7</v>
      </c>
      <c r="C5364" s="146" t="s">
        <v>280</v>
      </c>
      <c r="D5364" s="147" t="s">
        <v>74</v>
      </c>
      <c r="E5364" s="135">
        <f t="shared" si="59"/>
        <v>15</v>
      </c>
      <c r="F5364" s="134" t="s">
        <v>1292</v>
      </c>
      <c r="G5364" s="63" t="str">
        <f>VLOOKUP(C5364, 'Class Def. - General Data'!$C$20:$C$1000,1,false)</f>
        <v>ZPM1_SW</v>
      </c>
      <c r="H5364" s="63" t="str">
        <f>IFERROR(__xludf.DUMMYFUNCTION("VLOOKUP(F5364, IMPORTRANGE(""https://docs.google.com/spreadsheets/d/1Lhp9OU0JdFf_VYSMzH5lBcEaU4o8teT1piV-SNzShjg/edit?gid=554141278#gid=554141278"", ""'Char Def. - Attributes'!C20:C2242""), 1,false)"),"EXPORT")</f>
        <v>EXPORT</v>
      </c>
      <c r="I5364" s="136"/>
    </row>
    <row r="5365" ht="15.75" customHeight="1">
      <c r="B5365" s="63">
        <f t="shared" si="1"/>
        <v>7</v>
      </c>
      <c r="C5365" s="146" t="s">
        <v>280</v>
      </c>
      <c r="D5365" s="147" t="s">
        <v>74</v>
      </c>
      <c r="E5365" s="135">
        <f t="shared" si="59"/>
        <v>16</v>
      </c>
      <c r="F5365" s="134" t="s">
        <v>3612</v>
      </c>
      <c r="G5365" s="63" t="str">
        <f>VLOOKUP(C5365, 'Class Def. - General Data'!$C$20:$C$1000,1,false)</f>
        <v>ZPM1_SW</v>
      </c>
      <c r="H5365" s="63" t="str">
        <f>IFERROR(__xludf.DUMMYFUNCTION("VLOOKUP(F5365, IMPORTRANGE(""https://docs.google.com/spreadsheets/d/1Lhp9OU0JdFf_VYSMzH5lBcEaU4o8teT1piV-SNzShjg/edit?gid=554141278#gid=554141278"", ""'Char Def. - Attributes'!C20:C2242""), 1,false)"),"COUNTRY_EKSPOR")</f>
        <v>COUNTRY_EKSPOR</v>
      </c>
      <c r="I5365" s="136"/>
    </row>
    <row r="5366" ht="15.75" customHeight="1">
      <c r="B5366" s="63">
        <f t="shared" si="1"/>
        <v>7</v>
      </c>
      <c r="C5366" s="146" t="s">
        <v>280</v>
      </c>
      <c r="D5366" s="147" t="s">
        <v>74</v>
      </c>
      <c r="E5366" s="135">
        <f t="shared" si="59"/>
        <v>17</v>
      </c>
      <c r="F5366" s="134" t="s">
        <v>3861</v>
      </c>
      <c r="G5366" s="63" t="str">
        <f>VLOOKUP(C5366, 'Class Def. - General Data'!$C$20:$C$1000,1,false)</f>
        <v>ZPM1_SW</v>
      </c>
      <c r="H5366" s="63" t="str">
        <f>IFERROR(__xludf.DUMMYFUNCTION("VLOOKUP(F5366, IMPORTRANGE(""https://docs.google.com/spreadsheets/d/1Lhp9OU0JdFf_VYSMzH5lBcEaU4o8teT1piV-SNzShjg/edit?gid=554141278#gid=554141278"", ""'Char Def. - Attributes'!C20:C2242""), 1,false)"),"PEMBATAS")</f>
        <v>PEMBATAS</v>
      </c>
      <c r="I5366" s="136"/>
    </row>
    <row r="5367" ht="15.75" customHeight="1">
      <c r="B5367" s="63">
        <f t="shared" si="1"/>
        <v>7</v>
      </c>
      <c r="C5367" s="146" t="s">
        <v>280</v>
      </c>
      <c r="D5367" s="147" t="s">
        <v>74</v>
      </c>
      <c r="E5367" s="135">
        <f t="shared" si="59"/>
        <v>18</v>
      </c>
      <c r="F5367" s="134" t="s">
        <v>3888</v>
      </c>
      <c r="G5367" s="63" t="str">
        <f>VLOOKUP(C5367, 'Class Def. - General Data'!$C$20:$C$1000,1,false)</f>
        <v>ZPM1_SW</v>
      </c>
      <c r="H5367" s="63" t="str">
        <f>IFERROR(__xludf.DUMMYFUNCTION("VLOOKUP(F5367, IMPORTRANGE(""https://docs.google.com/spreadsheets/d/1Lhp9OU0JdFf_VYSMzH5lBcEaU4o8teT1piV-SNzShjg/edit?gid=554141278#gid=554141278"", ""'Char Def. - Attributes'!C20:C2242""), 1,false)"),"PACK_CODE_OPT")</f>
        <v>PACK_CODE_OPT</v>
      </c>
      <c r="I5367" s="136"/>
    </row>
    <row r="5368" ht="15.75" customHeight="1">
      <c r="B5368" s="63">
        <f t="shared" si="1"/>
        <v>7</v>
      </c>
      <c r="C5368" s="146" t="s">
        <v>280</v>
      </c>
      <c r="D5368" s="147" t="s">
        <v>74</v>
      </c>
      <c r="E5368" s="135">
        <f t="shared" si="59"/>
        <v>19</v>
      </c>
      <c r="F5368" s="134" t="s">
        <v>3941</v>
      </c>
      <c r="G5368" s="63" t="str">
        <f>VLOOKUP(C5368, 'Class Def. - General Data'!$C$20:$C$1000,1,false)</f>
        <v>ZPM1_SW</v>
      </c>
      <c r="H5368" s="63" t="str">
        <f>IFERROR(__xludf.DUMMYFUNCTION("VLOOKUP(F5368, IMPORTRANGE(""https://docs.google.com/spreadsheets/d/1Lhp9OU0JdFf_VYSMzH5lBcEaU4o8teT1piV-SNzShjg/edit?gid=554141278#gid=554141278"", ""'Char Def. - Attributes'!C20:C2242""), 1,false)"),"LENGTH_M")</f>
        <v>LENGTH_M</v>
      </c>
      <c r="I5368" s="136"/>
    </row>
    <row r="5369" ht="15.75" customHeight="1">
      <c r="B5369" s="63">
        <f t="shared" si="1"/>
        <v>7</v>
      </c>
      <c r="C5369" s="146" t="s">
        <v>280</v>
      </c>
      <c r="D5369" s="147" t="s">
        <v>74</v>
      </c>
      <c r="E5369" s="135">
        <f t="shared" si="59"/>
        <v>20</v>
      </c>
      <c r="F5369" s="134" t="s">
        <v>3968</v>
      </c>
      <c r="G5369" s="63" t="str">
        <f>VLOOKUP(C5369, 'Class Def. - General Data'!$C$20:$C$1000,1,false)</f>
        <v>ZPM1_SW</v>
      </c>
      <c r="H5369" s="63" t="str">
        <f>IFERROR(__xludf.DUMMYFUNCTION("VLOOKUP(F5369, IMPORTRANGE(""https://docs.google.com/spreadsheets/d/1Lhp9OU0JdFf_VYSMzH5lBcEaU4o8teT1piV-SNzShjg/edit?gid=554141278#gid=554141278"", ""'Char Def. - Attributes'!C20:C2242""), 1,false)"),"MACHINE_LINES")</f>
        <v>MACHINE_LINES</v>
      </c>
      <c r="I5369" s="136"/>
    </row>
    <row r="5370" ht="15.75" customHeight="1">
      <c r="B5370" s="63">
        <f t="shared" si="1"/>
        <v>7</v>
      </c>
      <c r="C5370" s="146" t="s">
        <v>280</v>
      </c>
      <c r="D5370" s="147" t="s">
        <v>74</v>
      </c>
      <c r="E5370" s="135">
        <f t="shared" si="59"/>
        <v>21</v>
      </c>
      <c r="F5370" s="134" t="s">
        <v>3862</v>
      </c>
      <c r="G5370" s="63" t="str">
        <f>VLOOKUP(C5370, 'Class Def. - General Data'!$C$20:$C$1000,1,false)</f>
        <v>ZPM1_SW</v>
      </c>
      <c r="H5370" s="63" t="str">
        <f>IFERROR(__xludf.DUMMYFUNCTION("VLOOKUP(F5370, IMPORTRANGE(""https://docs.google.com/spreadsheets/d/1Lhp9OU0JdFf_VYSMzH5lBcEaU4o8teT1piV-SNzShjg/edit?gid=554141278#gid=554141278"", ""'Char Def. - Attributes'!C20:C2242""), 1,false)"),"MONTH")</f>
        <v>MONTH</v>
      </c>
      <c r="I5370" s="136"/>
    </row>
    <row r="5371" ht="15.75" customHeight="1">
      <c r="B5371" s="63">
        <f t="shared" si="1"/>
        <v>7</v>
      </c>
      <c r="C5371" s="146" t="s">
        <v>280</v>
      </c>
      <c r="D5371" s="147" t="s">
        <v>74</v>
      </c>
      <c r="E5371" s="135">
        <f t="shared" si="59"/>
        <v>22</v>
      </c>
      <c r="F5371" s="134" t="s">
        <v>3863</v>
      </c>
      <c r="G5371" s="63" t="str">
        <f>VLOOKUP(C5371, 'Class Def. - General Data'!$C$20:$C$1000,1,false)</f>
        <v>ZPM1_SW</v>
      </c>
      <c r="H5371" s="63" t="str">
        <f>IFERROR(__xludf.DUMMYFUNCTION("VLOOKUP(F5371, IMPORTRANGE(""https://docs.google.com/spreadsheets/d/1Lhp9OU0JdFf_VYSMzH5lBcEaU4o8teT1piV-SNzShjg/edit?gid=554141278#gid=554141278"", ""'Char Def. - Attributes'!C20:C2242""), 1,false)"),"YEAR")</f>
        <v>YEAR</v>
      </c>
      <c r="I5371" s="136"/>
    </row>
    <row r="5372" ht="15.75" customHeight="1">
      <c r="B5372" s="63">
        <f t="shared" si="1"/>
        <v>7</v>
      </c>
      <c r="C5372" s="146" t="s">
        <v>280</v>
      </c>
      <c r="D5372" s="147" t="s">
        <v>74</v>
      </c>
      <c r="E5372" s="135">
        <f t="shared" si="59"/>
        <v>23</v>
      </c>
      <c r="F5372" s="134" t="s">
        <v>3890</v>
      </c>
      <c r="G5372" s="63" t="str">
        <f>VLOOKUP(C5372, 'Class Def. - General Data'!$C$20:$C$1000,1,false)</f>
        <v>ZPM1_SW</v>
      </c>
      <c r="H5372" s="63" t="str">
        <f>IFERROR(__xludf.DUMMYFUNCTION("VLOOKUP(F5372, IMPORTRANGE(""https://docs.google.com/spreadsheets/d/1Lhp9OU0JdFf_VYSMzH5lBcEaU4o8teT1piV-SNzShjg/edit?gid=554141278#gid=554141278"", ""'Char Def. - Attributes'!C20:C2242""), 1,false)"),"EXT_MAT_GRP")</f>
        <v>EXT_MAT_GRP</v>
      </c>
      <c r="I5372" s="136"/>
    </row>
    <row r="5373" ht="15.75" customHeight="1">
      <c r="B5373" s="63">
        <f t="shared" si="1"/>
        <v>7</v>
      </c>
      <c r="C5373" s="146" t="s">
        <v>280</v>
      </c>
      <c r="D5373" s="147" t="s">
        <v>74</v>
      </c>
      <c r="E5373" s="135">
        <f t="shared" si="59"/>
        <v>24</v>
      </c>
      <c r="F5373" s="134" t="s">
        <v>3891</v>
      </c>
      <c r="G5373" s="63" t="str">
        <f>VLOOKUP(C5373, 'Class Def. - General Data'!$C$20:$C$1000,1,false)</f>
        <v>ZPM1_SW</v>
      </c>
      <c r="H5373" s="63" t="str">
        <f>IFERROR(__xludf.DUMMYFUNCTION("VLOOKUP(F5373, IMPORTRANGE(""https://docs.google.com/spreadsheets/d/1Lhp9OU0JdFf_VYSMzH5lBcEaU4o8teT1piV-SNzShjg/edit?gid=554141278#gid=554141278"", ""'Char Def. - Attributes'!C20:C2242""), 1,false)"),"GENERAL_SPEC")</f>
        <v>GENERAL_SPEC</v>
      </c>
      <c r="I5373" s="136"/>
    </row>
    <row r="5374" ht="15.75" customHeight="1">
      <c r="B5374" s="63">
        <f t="shared" si="1"/>
        <v>7</v>
      </c>
      <c r="C5374" s="146" t="s">
        <v>280</v>
      </c>
      <c r="D5374" s="147" t="s">
        <v>74</v>
      </c>
      <c r="E5374" s="135">
        <f t="shared" si="59"/>
        <v>25</v>
      </c>
      <c r="F5374" s="134" t="s">
        <v>3892</v>
      </c>
      <c r="G5374" s="63" t="str">
        <f>VLOOKUP(C5374, 'Class Def. - General Data'!$C$20:$C$1000,1,false)</f>
        <v>ZPM1_SW</v>
      </c>
      <c r="H5374" s="63" t="str">
        <f>IFERROR(__xludf.DUMMYFUNCTION("VLOOKUP(F5374, IMPORTRANGE(""https://docs.google.com/spreadsheets/d/1Lhp9OU0JdFf_VYSMzH5lBcEaU4o8teT1piV-SNzShjg/edit?gid=554141278#gid=554141278"", ""'Char Def. - Attributes'!C20:C2242""), 1,false)"),"COLOR_COUNT")</f>
        <v>COLOR_COUNT</v>
      </c>
      <c r="I5374" s="136"/>
    </row>
    <row r="5375" ht="15.75" customHeight="1">
      <c r="B5375" s="63">
        <f t="shared" si="1"/>
        <v>7</v>
      </c>
      <c r="C5375" s="146" t="s">
        <v>280</v>
      </c>
      <c r="D5375" s="147" t="s">
        <v>74</v>
      </c>
      <c r="E5375" s="135">
        <f t="shared" si="59"/>
        <v>26</v>
      </c>
      <c r="F5375" s="134" t="s">
        <v>3893</v>
      </c>
      <c r="G5375" s="63" t="str">
        <f>VLOOKUP(C5375, 'Class Def. - General Data'!$C$20:$C$1000,1,false)</f>
        <v>ZPM1_SW</v>
      </c>
      <c r="H5375" s="63" t="str">
        <f>IFERROR(__xludf.DUMMYFUNCTION("VLOOKUP(F5375, IMPORTRANGE(""https://docs.google.com/spreadsheets/d/1Lhp9OU0JdFf_VYSMzH5lBcEaU4o8teT1piV-SNzShjg/edit?gid=554141278#gid=554141278"", ""'Char Def. - Attributes'!C20:C2242""), 1,false)"),"FLEX_UOM")</f>
        <v>FLEX_UOM</v>
      </c>
      <c r="I5375" s="136"/>
    </row>
    <row r="5376" ht="15.75" customHeight="1">
      <c r="B5376" s="63">
        <f t="shared" si="1"/>
        <v>7</v>
      </c>
      <c r="C5376" s="146" t="s">
        <v>280</v>
      </c>
      <c r="D5376" s="147" t="s">
        <v>74</v>
      </c>
      <c r="E5376" s="135">
        <f t="shared" si="59"/>
        <v>27</v>
      </c>
      <c r="F5376" s="134" t="s">
        <v>3894</v>
      </c>
      <c r="G5376" s="63" t="str">
        <f>VLOOKUP(C5376, 'Class Def. - General Data'!$C$20:$C$1000,1,false)</f>
        <v>ZPM1_SW</v>
      </c>
      <c r="H5376" s="63" t="str">
        <f>IFERROR(__xludf.DUMMYFUNCTION("VLOOKUP(F5376, IMPORTRANGE(""https://docs.google.com/spreadsheets/d/1Lhp9OU0JdFf_VYSMzH5lBcEaU4o8teT1piV-SNzShjg/edit?gid=554141278#gid=554141278"", ""'Char Def. - Attributes'!C20:C2242""), 1,false)"),"FLEX_COMPLEXITY")</f>
        <v>FLEX_COMPLEXITY</v>
      </c>
      <c r="I5376" s="136"/>
    </row>
    <row r="5377" ht="15.75" customHeight="1">
      <c r="B5377" s="63">
        <f t="shared" si="1"/>
        <v>7</v>
      </c>
      <c r="C5377" s="146" t="s">
        <v>280</v>
      </c>
      <c r="D5377" s="147" t="s">
        <v>74</v>
      </c>
      <c r="E5377" s="135">
        <f t="shared" si="59"/>
        <v>28</v>
      </c>
      <c r="F5377" s="134" t="s">
        <v>3587</v>
      </c>
      <c r="G5377" s="63" t="str">
        <f>VLOOKUP(C5377, 'Class Def. - General Data'!$C$20:$C$1000,1,false)</f>
        <v>ZPM1_SW</v>
      </c>
      <c r="H5377" s="63" t="str">
        <f>IFERROR(__xludf.DUMMYFUNCTION("VLOOKUP(F5377, IMPORTRANGE(""https://docs.google.com/spreadsheets/d/1Lhp9OU0JdFf_VYSMzH5lBcEaU4o8teT1piV-SNzShjg/edit?gid=554141278#gid=554141278"", ""'Char Def. - Attributes'!C20:C2242""), 1,false)"),"PLANT_BUY")</f>
        <v>PLANT_BUY</v>
      </c>
      <c r="I5377" s="136"/>
    </row>
    <row r="5378" ht="15.75" customHeight="1">
      <c r="B5378" s="63">
        <f t="shared" si="1"/>
        <v>7</v>
      </c>
      <c r="C5378" s="146" t="s">
        <v>280</v>
      </c>
      <c r="D5378" s="147" t="s">
        <v>74</v>
      </c>
      <c r="E5378" s="135">
        <f t="shared" si="59"/>
        <v>29</v>
      </c>
      <c r="F5378" s="134" t="s">
        <v>3865</v>
      </c>
      <c r="G5378" s="63" t="str">
        <f>VLOOKUP(C5378, 'Class Def. - General Data'!$C$20:$C$1000,1,false)</f>
        <v>ZPM1_SW</v>
      </c>
      <c r="H5378" s="63" t="str">
        <f>IFERROR(__xludf.DUMMYFUNCTION("VLOOKUP(F5378, IMPORTRANGE(""https://docs.google.com/spreadsheets/d/1Lhp9OU0JdFf_VYSMzH5lBcEaU4o8teT1piV-SNzShjg/edit?gid=554141278#gid=554141278"", ""'Char Def. - Attributes'!C20:C2242""), 1,false)"),"PLANT_PROD_OPT")</f>
        <v>PLANT_PROD_OPT</v>
      </c>
      <c r="I5378" s="136"/>
    </row>
    <row r="5379" ht="15.75" customHeight="1">
      <c r="B5379" s="63">
        <f t="shared" si="1"/>
        <v>7</v>
      </c>
      <c r="C5379" s="146" t="s">
        <v>280</v>
      </c>
      <c r="D5379" s="147" t="s">
        <v>74</v>
      </c>
      <c r="E5379" s="135">
        <f t="shared" si="59"/>
        <v>30</v>
      </c>
      <c r="F5379" s="134" t="s">
        <v>3866</v>
      </c>
      <c r="G5379" s="63" t="str">
        <f>VLOOKUP(C5379, 'Class Def. - General Data'!$C$20:$C$1000,1,false)</f>
        <v>ZPM1_SW</v>
      </c>
      <c r="H5379" s="63" t="str">
        <f>IFERROR(__xludf.DUMMYFUNCTION("VLOOKUP(F5379, IMPORTRANGE(""https://docs.google.com/spreadsheets/d/1Lhp9OU0JdFf_VYSMzH5lBcEaU4o8teT1piV-SNzShjg/edit?gid=554141278#gid=554141278"", ""'Char Def. - Attributes'!C20:C2242""), 1,false)"),"PM_SUPPLY_JKT")</f>
        <v>PM_SUPPLY_JKT</v>
      </c>
      <c r="I5379" s="136"/>
    </row>
    <row r="5380" ht="15.75" customHeight="1">
      <c r="B5380" s="63">
        <f t="shared" si="1"/>
        <v>7</v>
      </c>
      <c r="C5380" s="146" t="s">
        <v>280</v>
      </c>
      <c r="D5380" s="147" t="s">
        <v>74</v>
      </c>
      <c r="E5380" s="135">
        <f t="shared" si="59"/>
        <v>31</v>
      </c>
      <c r="F5380" s="134" t="s">
        <v>3867</v>
      </c>
      <c r="G5380" s="63" t="str">
        <f>VLOOKUP(C5380, 'Class Def. - General Data'!$C$20:$C$1000,1,false)</f>
        <v>ZPM1_SW</v>
      </c>
      <c r="H5380" s="63" t="str">
        <f>IFERROR(__xludf.DUMMYFUNCTION("VLOOKUP(F5380, IMPORTRANGE(""https://docs.google.com/spreadsheets/d/1Lhp9OU0JdFf_VYSMzH5lBcEaU4o8teT1piV-SNzShjg/edit?gid=554141278#gid=554141278"", ""'Char Def. - Attributes'!C20:C2242""), 1,false)"),"PM_SUPPLY_SBY")</f>
        <v>PM_SUPPLY_SBY</v>
      </c>
      <c r="I5380" s="136"/>
    </row>
    <row r="5381" ht="15.75" customHeight="1">
      <c r="B5381" s="63">
        <f t="shared" si="1"/>
        <v>7</v>
      </c>
      <c r="C5381" s="146" t="s">
        <v>280</v>
      </c>
      <c r="D5381" s="147" t="s">
        <v>74</v>
      </c>
      <c r="E5381" s="135">
        <f t="shared" si="59"/>
        <v>32</v>
      </c>
      <c r="F5381" s="134" t="s">
        <v>3868</v>
      </c>
      <c r="G5381" s="63" t="str">
        <f>VLOOKUP(C5381, 'Class Def. - General Data'!$C$20:$C$1000,1,false)</f>
        <v>ZPM1_SW</v>
      </c>
      <c r="H5381" s="63" t="str">
        <f>IFERROR(__xludf.DUMMYFUNCTION("VLOOKUP(F5381, IMPORTRANGE(""https://docs.google.com/spreadsheets/d/1Lhp9OU0JdFf_VYSMzH5lBcEaU4o8teT1piV-SNzShjg/edit?gid=554141278#gid=554141278"", ""'Char Def. - Attributes'!C20:C2242""), 1,false)"),"BASIC_UOM_RMPM")</f>
        <v>BASIC_UOM_RMPM</v>
      </c>
      <c r="I5381" s="136"/>
    </row>
    <row r="5382" ht="15.75" customHeight="1">
      <c r="B5382" s="63">
        <f t="shared" si="1"/>
        <v>7</v>
      </c>
      <c r="C5382" s="146" t="s">
        <v>280</v>
      </c>
      <c r="D5382" s="147" t="s">
        <v>74</v>
      </c>
      <c r="E5382" s="135">
        <f t="shared" si="59"/>
        <v>33</v>
      </c>
      <c r="F5382" s="134" t="s">
        <v>3869</v>
      </c>
      <c r="G5382" s="63" t="str">
        <f>VLOOKUP(C5382, 'Class Def. - General Data'!$C$20:$C$1000,1,false)</f>
        <v>ZPM1_SW</v>
      </c>
      <c r="H5382" s="63" t="str">
        <f>IFERROR(__xludf.DUMMYFUNCTION("VLOOKUP(F5382, IMPORTRANGE(""https://docs.google.com/spreadsheets/d/1Lhp9OU0JdFf_VYSMzH5lBcEaU4o8teT1piV-SNzShjg/edit?gid=554141278#gid=554141278"", ""'Char Def. - Attributes'!C20:C2242""), 1,false)"),"ALT_UOM1_RMPM")</f>
        <v>ALT_UOM1_RMPM</v>
      </c>
      <c r="I5382" s="136"/>
    </row>
    <row r="5383" ht="15.75" customHeight="1">
      <c r="B5383" s="63">
        <f t="shared" si="1"/>
        <v>7</v>
      </c>
      <c r="C5383" s="146" t="s">
        <v>280</v>
      </c>
      <c r="D5383" s="147" t="s">
        <v>74</v>
      </c>
      <c r="E5383" s="135">
        <f t="shared" si="59"/>
        <v>34</v>
      </c>
      <c r="F5383" s="134" t="s">
        <v>3805</v>
      </c>
      <c r="G5383" s="63" t="str">
        <f>VLOOKUP(C5383, 'Class Def. - General Data'!$C$20:$C$1000,1,false)</f>
        <v>ZPM1_SW</v>
      </c>
      <c r="H5383" s="63" t="str">
        <f>IFERROR(__xludf.DUMMYFUNCTION("VLOOKUP(F5383, IMPORTRANGE(""https://docs.google.com/spreadsheets/d/1Lhp9OU0JdFf_VYSMzH5lBcEaU4o8teT1piV-SNzShjg/edit?gid=554141278#gid=554141278"", ""'Char Def. - Attributes'!C20:C2242""), 1,false)"),"ALT_DENUM_UOM1")</f>
        <v>ALT_DENUM_UOM1</v>
      </c>
      <c r="I5383" s="136"/>
    </row>
    <row r="5384" ht="15.75" customHeight="1">
      <c r="B5384" s="63">
        <f t="shared" si="1"/>
        <v>7</v>
      </c>
      <c r="C5384" s="146" t="s">
        <v>280</v>
      </c>
      <c r="D5384" s="147" t="s">
        <v>74</v>
      </c>
      <c r="E5384" s="135">
        <f t="shared" si="59"/>
        <v>35</v>
      </c>
      <c r="F5384" s="134" t="s">
        <v>3806</v>
      </c>
      <c r="G5384" s="63" t="str">
        <f>VLOOKUP(C5384, 'Class Def. - General Data'!$C$20:$C$1000,1,false)</f>
        <v>ZPM1_SW</v>
      </c>
      <c r="H5384" s="63" t="str">
        <f>IFERROR(__xludf.DUMMYFUNCTION("VLOOKUP(F5384, IMPORTRANGE(""https://docs.google.com/spreadsheets/d/1Lhp9OU0JdFf_VYSMzH5lBcEaU4o8teT1piV-SNzShjg/edit?gid=554141278#gid=554141278"", ""'Char Def. - Attributes'!C20:C2242""), 1,false)"),"ALT_NUM_UOM1")</f>
        <v>ALT_NUM_UOM1</v>
      </c>
      <c r="I5384" s="136"/>
    </row>
    <row r="5385" ht="15.75" customHeight="1">
      <c r="B5385" s="63">
        <f t="shared" si="1"/>
        <v>7</v>
      </c>
      <c r="C5385" s="146" t="s">
        <v>280</v>
      </c>
      <c r="D5385" s="147" t="s">
        <v>74</v>
      </c>
      <c r="E5385" s="135">
        <f t="shared" si="59"/>
        <v>36</v>
      </c>
      <c r="F5385" s="134" t="s">
        <v>3870</v>
      </c>
      <c r="G5385" s="63" t="str">
        <f>VLOOKUP(C5385, 'Class Def. - General Data'!$C$20:$C$1000,1,false)</f>
        <v>ZPM1_SW</v>
      </c>
      <c r="H5385" s="63" t="str">
        <f>IFERROR(__xludf.DUMMYFUNCTION("VLOOKUP(F5385, IMPORTRANGE(""https://docs.google.com/spreadsheets/d/1Lhp9OU0JdFf_VYSMzH5lBcEaU4o8teT1piV-SNzShjg/edit?gid=554141278#gid=554141278"", ""'Char Def. - Attributes'!C20:C2242""), 1,false)"),"ALT_UOM2_RMPM")</f>
        <v>ALT_UOM2_RMPM</v>
      </c>
      <c r="I5385" s="136"/>
    </row>
    <row r="5386" ht="15.75" customHeight="1">
      <c r="B5386" s="63">
        <f t="shared" si="1"/>
        <v>7</v>
      </c>
      <c r="C5386" s="146" t="s">
        <v>280</v>
      </c>
      <c r="D5386" s="147" t="s">
        <v>74</v>
      </c>
      <c r="E5386" s="135">
        <f t="shared" si="59"/>
        <v>37</v>
      </c>
      <c r="F5386" s="134" t="s">
        <v>3808</v>
      </c>
      <c r="G5386" s="63" t="str">
        <f>VLOOKUP(C5386, 'Class Def. - General Data'!$C$20:$C$1000,1,false)</f>
        <v>ZPM1_SW</v>
      </c>
      <c r="H5386" s="63" t="str">
        <f>IFERROR(__xludf.DUMMYFUNCTION("VLOOKUP(F5386, IMPORTRANGE(""https://docs.google.com/spreadsheets/d/1Lhp9OU0JdFf_VYSMzH5lBcEaU4o8teT1piV-SNzShjg/edit?gid=554141278#gid=554141278"", ""'Char Def. - Attributes'!C20:C2242""), 1,false)"),"ALT_DENUM_UOM2")</f>
        <v>ALT_DENUM_UOM2</v>
      </c>
      <c r="I5386" s="136"/>
    </row>
    <row r="5387" ht="15.75" customHeight="1">
      <c r="B5387" s="63">
        <f t="shared" si="1"/>
        <v>7</v>
      </c>
      <c r="C5387" s="146" t="s">
        <v>280</v>
      </c>
      <c r="D5387" s="147" t="s">
        <v>74</v>
      </c>
      <c r="E5387" s="135">
        <f t="shared" si="59"/>
        <v>38</v>
      </c>
      <c r="F5387" s="134" t="s">
        <v>3809</v>
      </c>
      <c r="G5387" s="63" t="str">
        <f>VLOOKUP(C5387, 'Class Def. - General Data'!$C$20:$C$1000,1,false)</f>
        <v>ZPM1_SW</v>
      </c>
      <c r="H5387" s="63" t="str">
        <f>IFERROR(__xludf.DUMMYFUNCTION("VLOOKUP(F5387, IMPORTRANGE(""https://docs.google.com/spreadsheets/d/1Lhp9OU0JdFf_VYSMzH5lBcEaU4o8teT1piV-SNzShjg/edit?gid=554141278#gid=554141278"", ""'Char Def. - Attributes'!C20:C2242""), 1,false)"),"ALT_NUM_UOM2")</f>
        <v>ALT_NUM_UOM2</v>
      </c>
      <c r="I5387" s="136"/>
    </row>
    <row r="5388" ht="15.75" customHeight="1">
      <c r="B5388" s="63">
        <f t="shared" si="1"/>
        <v>7</v>
      </c>
      <c r="C5388" s="146" t="s">
        <v>280</v>
      </c>
      <c r="D5388" s="147" t="s">
        <v>74</v>
      </c>
      <c r="E5388" s="135">
        <f t="shared" si="59"/>
        <v>39</v>
      </c>
      <c r="F5388" s="134" t="s">
        <v>3871</v>
      </c>
      <c r="G5388" s="63" t="str">
        <f>VLOOKUP(C5388, 'Class Def. - General Data'!$C$20:$C$1000,1,false)</f>
        <v>ZPM1_SW</v>
      </c>
      <c r="H5388" s="63" t="str">
        <f>IFERROR(__xludf.DUMMYFUNCTION("VLOOKUP(F5388, IMPORTRANGE(""https://docs.google.com/spreadsheets/d/1Lhp9OU0JdFf_VYSMzH5lBcEaU4o8teT1piV-SNzShjg/edit?gid=554141278#gid=554141278"", ""'Char Def. - Attributes'!C20:C2242""), 1,false)"),"ALT_UOM3_RMPM")</f>
        <v>ALT_UOM3_RMPM</v>
      </c>
      <c r="I5388" s="136"/>
    </row>
    <row r="5389" ht="15.75" customHeight="1">
      <c r="B5389" s="63">
        <f t="shared" si="1"/>
        <v>7</v>
      </c>
      <c r="C5389" s="146" t="s">
        <v>280</v>
      </c>
      <c r="D5389" s="147" t="s">
        <v>74</v>
      </c>
      <c r="E5389" s="135">
        <f t="shared" si="59"/>
        <v>40</v>
      </c>
      <c r="F5389" s="134" t="s">
        <v>3811</v>
      </c>
      <c r="G5389" s="63" t="str">
        <f>VLOOKUP(C5389, 'Class Def. - General Data'!$C$20:$C$1000,1,false)</f>
        <v>ZPM1_SW</v>
      </c>
      <c r="H5389" s="63" t="str">
        <f>IFERROR(__xludf.DUMMYFUNCTION("VLOOKUP(F5389, IMPORTRANGE(""https://docs.google.com/spreadsheets/d/1Lhp9OU0JdFf_VYSMzH5lBcEaU4o8teT1piV-SNzShjg/edit?gid=554141278#gid=554141278"", ""'Char Def. - Attributes'!C20:C2242""), 1,false)"),"ALT_DENUM_UOM3")</f>
        <v>ALT_DENUM_UOM3</v>
      </c>
      <c r="I5389" s="136"/>
    </row>
    <row r="5390" ht="15.75" customHeight="1">
      <c r="B5390" s="63">
        <f t="shared" si="1"/>
        <v>7</v>
      </c>
      <c r="C5390" s="146" t="s">
        <v>280</v>
      </c>
      <c r="D5390" s="147" t="s">
        <v>74</v>
      </c>
      <c r="E5390" s="135">
        <f t="shared" si="59"/>
        <v>41</v>
      </c>
      <c r="F5390" s="134" t="s">
        <v>3812</v>
      </c>
      <c r="G5390" s="63" t="str">
        <f>VLOOKUP(C5390, 'Class Def. - General Data'!$C$20:$C$1000,1,false)</f>
        <v>ZPM1_SW</v>
      </c>
      <c r="H5390" s="63" t="str">
        <f>IFERROR(__xludf.DUMMYFUNCTION("VLOOKUP(F5390, IMPORTRANGE(""https://docs.google.com/spreadsheets/d/1Lhp9OU0JdFf_VYSMzH5lBcEaU4o8teT1piV-SNzShjg/edit?gid=554141278#gid=554141278"", ""'Char Def. - Attributes'!C20:C2242""), 1,false)"),"ALT_NUM_UOM3")</f>
        <v>ALT_NUM_UOM3</v>
      </c>
      <c r="I5390" s="136"/>
    </row>
    <row r="5391" ht="15.75" customHeight="1">
      <c r="B5391" s="63">
        <f t="shared" si="1"/>
        <v>7</v>
      </c>
      <c r="C5391" s="146" t="s">
        <v>280</v>
      </c>
      <c r="D5391" s="147" t="s">
        <v>74</v>
      </c>
      <c r="E5391" s="135">
        <f t="shared" si="59"/>
        <v>42</v>
      </c>
      <c r="F5391" s="134" t="s">
        <v>3872</v>
      </c>
      <c r="G5391" s="63" t="str">
        <f>VLOOKUP(C5391, 'Class Def. - General Data'!$C$20:$C$1000,1,false)</f>
        <v>ZPM1_SW</v>
      </c>
      <c r="H5391" s="63" t="str">
        <f>IFERROR(__xludf.DUMMYFUNCTION("VLOOKUP(F5391, IMPORTRANGE(""https://docs.google.com/spreadsheets/d/1Lhp9OU0JdFf_VYSMzH5lBcEaU4o8teT1piV-SNzShjg/edit?gid=554141278#gid=554141278"", ""'Char Def. - Attributes'!C20:C2242""), 1,false)"),"ALT_UOM4_RMPM")</f>
        <v>ALT_UOM4_RMPM</v>
      </c>
      <c r="I5391" s="136"/>
    </row>
    <row r="5392" ht="15.75" customHeight="1">
      <c r="B5392" s="63">
        <f t="shared" si="1"/>
        <v>7</v>
      </c>
      <c r="C5392" s="146" t="s">
        <v>280</v>
      </c>
      <c r="D5392" s="147" t="s">
        <v>74</v>
      </c>
      <c r="E5392" s="135">
        <f t="shared" si="59"/>
        <v>43</v>
      </c>
      <c r="F5392" s="134" t="s">
        <v>3814</v>
      </c>
      <c r="G5392" s="63" t="str">
        <f>VLOOKUP(C5392, 'Class Def. - General Data'!$C$20:$C$1000,1,false)</f>
        <v>ZPM1_SW</v>
      </c>
      <c r="H5392" s="63" t="str">
        <f>IFERROR(__xludf.DUMMYFUNCTION("VLOOKUP(F5392, IMPORTRANGE(""https://docs.google.com/spreadsheets/d/1Lhp9OU0JdFf_VYSMzH5lBcEaU4o8teT1piV-SNzShjg/edit?gid=554141278#gid=554141278"", ""'Char Def. - Attributes'!C20:C2242""), 1,false)"),"ALT_DENUM_UOM4")</f>
        <v>ALT_DENUM_UOM4</v>
      </c>
      <c r="I5392" s="136"/>
    </row>
    <row r="5393" ht="15.75" customHeight="1">
      <c r="B5393" s="63">
        <f t="shared" si="1"/>
        <v>7</v>
      </c>
      <c r="C5393" s="146" t="s">
        <v>280</v>
      </c>
      <c r="D5393" s="147" t="s">
        <v>74</v>
      </c>
      <c r="E5393" s="135">
        <f t="shared" si="59"/>
        <v>44</v>
      </c>
      <c r="F5393" s="134" t="s">
        <v>3815</v>
      </c>
      <c r="G5393" s="63" t="str">
        <f>VLOOKUP(C5393, 'Class Def. - General Data'!$C$20:$C$1000,1,false)</f>
        <v>ZPM1_SW</v>
      </c>
      <c r="H5393" s="63" t="str">
        <f>IFERROR(__xludf.DUMMYFUNCTION("VLOOKUP(F5393, IMPORTRANGE(""https://docs.google.com/spreadsheets/d/1Lhp9OU0JdFf_VYSMzH5lBcEaU4o8teT1piV-SNzShjg/edit?gid=554141278#gid=554141278"", ""'Char Def. - Attributes'!C20:C2242""), 1,false)"),"ALT_NUM_UOM4")</f>
        <v>ALT_NUM_UOM4</v>
      </c>
      <c r="I5393" s="136"/>
    </row>
    <row r="5394" ht="15.75" customHeight="1">
      <c r="B5394" s="63">
        <f t="shared" si="1"/>
        <v>7</v>
      </c>
      <c r="C5394" s="146" t="s">
        <v>280</v>
      </c>
      <c r="D5394" s="147" t="s">
        <v>74</v>
      </c>
      <c r="E5394" s="135">
        <f t="shared" si="59"/>
        <v>45</v>
      </c>
      <c r="F5394" s="134" t="s">
        <v>3873</v>
      </c>
      <c r="G5394" s="63" t="str">
        <f>VLOOKUP(C5394, 'Class Def. - General Data'!$C$20:$C$1000,1,false)</f>
        <v>ZPM1_SW</v>
      </c>
      <c r="H5394" s="63" t="str">
        <f>IFERROR(__xludf.DUMMYFUNCTION("VLOOKUP(F5394, IMPORTRANGE(""https://docs.google.com/spreadsheets/d/1Lhp9OU0JdFf_VYSMzH5lBcEaU4o8teT1piV-SNzShjg/edit?gid=554141278#gid=554141278"", ""'Char Def. - Attributes'!C20:C2242""), 1,false)"),"ALT_UOM5_RMPM")</f>
        <v>ALT_UOM5_RMPM</v>
      </c>
      <c r="I5394" s="136"/>
    </row>
    <row r="5395" ht="15.75" customHeight="1">
      <c r="B5395" s="63">
        <f t="shared" si="1"/>
        <v>7</v>
      </c>
      <c r="C5395" s="146" t="s">
        <v>280</v>
      </c>
      <c r="D5395" s="147" t="s">
        <v>74</v>
      </c>
      <c r="E5395" s="135">
        <f t="shared" si="59"/>
        <v>46</v>
      </c>
      <c r="F5395" s="134" t="s">
        <v>3817</v>
      </c>
      <c r="G5395" s="63" t="str">
        <f>VLOOKUP(C5395, 'Class Def. - General Data'!$C$20:$C$1000,1,false)</f>
        <v>ZPM1_SW</v>
      </c>
      <c r="H5395" s="63" t="str">
        <f>IFERROR(__xludf.DUMMYFUNCTION("VLOOKUP(F5395, IMPORTRANGE(""https://docs.google.com/spreadsheets/d/1Lhp9OU0JdFf_VYSMzH5lBcEaU4o8teT1piV-SNzShjg/edit?gid=554141278#gid=554141278"", ""'Char Def. - Attributes'!C20:C2242""), 1,false)"),"ALT_DENUM_UOM5")</f>
        <v>ALT_DENUM_UOM5</v>
      </c>
      <c r="I5395" s="136"/>
    </row>
    <row r="5396" ht="15.75" customHeight="1">
      <c r="B5396" s="63">
        <f t="shared" si="1"/>
        <v>7</v>
      </c>
      <c r="C5396" s="146" t="s">
        <v>280</v>
      </c>
      <c r="D5396" s="147" t="s">
        <v>74</v>
      </c>
      <c r="E5396" s="135">
        <f t="shared" si="59"/>
        <v>47</v>
      </c>
      <c r="F5396" s="134" t="s">
        <v>3818</v>
      </c>
      <c r="G5396" s="63" t="str">
        <f>VLOOKUP(C5396, 'Class Def. - General Data'!$C$20:$C$1000,1,false)</f>
        <v>ZPM1_SW</v>
      </c>
      <c r="H5396" s="63" t="str">
        <f>IFERROR(__xludf.DUMMYFUNCTION("VLOOKUP(F5396, IMPORTRANGE(""https://docs.google.com/spreadsheets/d/1Lhp9OU0JdFf_VYSMzH5lBcEaU4o8teT1piV-SNzShjg/edit?gid=554141278#gid=554141278"", ""'Char Def. - Attributes'!C20:C2242""), 1,false)"),"ALT_NUM_UOM5")</f>
        <v>ALT_NUM_UOM5</v>
      </c>
      <c r="I5396" s="136"/>
    </row>
    <row r="5397" ht="15.75" customHeight="1">
      <c r="B5397" s="63">
        <f t="shared" si="1"/>
        <v>7</v>
      </c>
      <c r="C5397" s="146" t="s">
        <v>280</v>
      </c>
      <c r="D5397" s="147" t="s">
        <v>74</v>
      </c>
      <c r="E5397" s="135">
        <f t="shared" si="59"/>
        <v>48</v>
      </c>
      <c r="F5397" s="134" t="s">
        <v>3874</v>
      </c>
      <c r="G5397" s="63" t="str">
        <f>VLOOKUP(C5397, 'Class Def. - General Data'!$C$20:$C$1000,1,false)</f>
        <v>ZPM1_SW</v>
      </c>
      <c r="H5397" s="63" t="str">
        <f>IFERROR(__xludf.DUMMYFUNCTION("VLOOKUP(F5397, IMPORTRANGE(""https://docs.google.com/spreadsheets/d/1Lhp9OU0JdFf_VYSMzH5lBcEaU4o8teT1piV-SNzShjg/edit?gid=554141278#gid=554141278"", ""'Char Def. - Attributes'!C20:C2242""), 1,false)"),"VALUATION_CATEGORY")</f>
        <v>VALUATION_CATEGORY</v>
      </c>
      <c r="I5397" s="136"/>
    </row>
    <row r="5398" ht="15.75" customHeight="1">
      <c r="B5398" s="63">
        <f t="shared" si="1"/>
        <v>7</v>
      </c>
      <c r="C5398" s="146" t="s">
        <v>280</v>
      </c>
      <c r="D5398" s="147" t="s">
        <v>74</v>
      </c>
      <c r="E5398" s="135">
        <f t="shared" si="59"/>
        <v>49</v>
      </c>
      <c r="F5398" s="134" t="s">
        <v>3800</v>
      </c>
      <c r="G5398" s="63" t="str">
        <f>VLOOKUP(C5398, 'Class Def. - General Data'!$C$20:$C$1000,1,false)</f>
        <v>ZPM1_SW</v>
      </c>
      <c r="H5398" s="63" t="str">
        <f>IFERROR(__xludf.DUMMYFUNCTION("VLOOKUP(F5398, IMPORTRANGE(""https://docs.google.com/spreadsheets/d/1Lhp9OU0JdFf_VYSMzH5lBcEaU4o8teT1piV-SNzShjg/edit?gid=554141278#gid=554141278"", ""'Char Def. - Attributes'!C20:C2242""), 1,false)"),"ORDER_UNIT_DIFF_FROM_BASIC_UOM")</f>
        <v>ORDER_UNIT_DIFF_FROM_BASIC_UOM</v>
      </c>
      <c r="I5398" s="136"/>
    </row>
    <row r="5399" ht="15.75" customHeight="1">
      <c r="B5399" s="63">
        <f t="shared" si="1"/>
        <v>7</v>
      </c>
      <c r="C5399" s="146" t="s">
        <v>280</v>
      </c>
      <c r="D5399" s="147" t="s">
        <v>74</v>
      </c>
      <c r="E5399" s="135">
        <f t="shared" si="59"/>
        <v>50</v>
      </c>
      <c r="F5399" s="134" t="s">
        <v>3875</v>
      </c>
      <c r="G5399" s="63" t="str">
        <f>VLOOKUP(C5399, 'Class Def. - General Data'!$C$20:$C$1000,1,false)</f>
        <v>ZPM1_SW</v>
      </c>
      <c r="H5399" s="63" t="str">
        <f>IFERROR(__xludf.DUMMYFUNCTION("VLOOKUP(F5399, IMPORTRANGE(""https://docs.google.com/spreadsheets/d/1Lhp9OU0JdFf_VYSMzH5lBcEaU4o8teT1piV-SNzShjg/edit?gid=554141278#gid=554141278"", ""'Char Def. - Attributes'!C20:C2242""), 1,false)"),"ORDER_UNIT_RMPM")</f>
        <v>ORDER_UNIT_RMPM</v>
      </c>
      <c r="I5399" s="136"/>
    </row>
    <row r="5400" ht="15.75" customHeight="1">
      <c r="B5400" s="63">
        <f t="shared" si="1"/>
        <v>7</v>
      </c>
      <c r="C5400" s="146" t="s">
        <v>280</v>
      </c>
      <c r="D5400" s="147" t="s">
        <v>74</v>
      </c>
      <c r="E5400" s="135">
        <f t="shared" si="59"/>
        <v>51</v>
      </c>
      <c r="F5400" s="134" t="s">
        <v>3602</v>
      </c>
      <c r="G5400" s="63" t="str">
        <f>VLOOKUP(C5400, 'Class Def. - General Data'!$C$20:$C$1000,1,false)</f>
        <v>ZPM1_SW</v>
      </c>
      <c r="H5400" s="63" t="str">
        <f>IFERROR(__xludf.DUMMYFUNCTION("VLOOKUP(F5400, IMPORTRANGE(""https://docs.google.com/spreadsheets/d/1Lhp9OU0JdFf_VYSMzH5lBcEaU4o8teT1piV-SNzShjg/edit?gid=554141278#gid=554141278"", ""'Char Def. - Attributes'!C20:C2242""), 1,false)"),"NET_WEIGHT")</f>
        <v>NET_WEIGHT</v>
      </c>
      <c r="I5400" s="136"/>
    </row>
    <row r="5401" ht="15.75" customHeight="1">
      <c r="B5401" s="63">
        <f t="shared" si="1"/>
        <v>7</v>
      </c>
      <c r="C5401" s="146" t="s">
        <v>280</v>
      </c>
      <c r="D5401" s="147" t="s">
        <v>74</v>
      </c>
      <c r="E5401" s="135">
        <f t="shared" si="59"/>
        <v>52</v>
      </c>
      <c r="F5401" s="134" t="s">
        <v>3601</v>
      </c>
      <c r="G5401" s="63" t="str">
        <f>VLOOKUP(C5401, 'Class Def. - General Data'!$C$20:$C$1000,1,false)</f>
        <v>ZPM1_SW</v>
      </c>
      <c r="H5401" s="63" t="str">
        <f>IFERROR(__xludf.DUMMYFUNCTION("VLOOKUP(F5401, IMPORTRANGE(""https://docs.google.com/spreadsheets/d/1Lhp9OU0JdFf_VYSMzH5lBcEaU4o8teT1piV-SNzShjg/edit?gid=554141278#gid=554141278"", ""'Char Def. - Attributes'!C20:C2242""), 1,false)"),"GROSS_WEIGHT")</f>
        <v>GROSS_WEIGHT</v>
      </c>
      <c r="I5401" s="136"/>
    </row>
    <row r="5402" ht="15.75" customHeight="1">
      <c r="B5402" s="63">
        <f t="shared" si="1"/>
        <v>7</v>
      </c>
      <c r="C5402" s="146" t="s">
        <v>280</v>
      </c>
      <c r="D5402" s="147" t="s">
        <v>74</v>
      </c>
      <c r="E5402" s="135">
        <f t="shared" si="59"/>
        <v>53</v>
      </c>
      <c r="F5402" s="134" t="s">
        <v>3876</v>
      </c>
      <c r="G5402" s="63" t="str">
        <f>VLOOKUP(C5402, 'Class Def. - General Data'!$C$20:$C$1000,1,false)</f>
        <v>ZPM1_SW</v>
      </c>
      <c r="H5402" s="63" t="str">
        <f>IFERROR(__xludf.DUMMYFUNCTION("VLOOKUP(F5402, IMPORTRANGE(""https://docs.google.com/spreadsheets/d/1Lhp9OU0JdFf_VYSMzH5lBcEaU4o8teT1piV-SNzShjg/edit?gid=554141278#gid=554141278"", ""'Char Def. - Attributes'!C20:C2242""), 1,false)"),"WEIGHT_UNIT_PM")</f>
        <v>WEIGHT_UNIT_PM</v>
      </c>
      <c r="I5402" s="136"/>
    </row>
    <row r="5403" ht="15.75" customHeight="1">
      <c r="B5403" s="63">
        <f t="shared" si="1"/>
        <v>7</v>
      </c>
      <c r="C5403" s="146" t="s">
        <v>280</v>
      </c>
      <c r="D5403" s="147" t="s">
        <v>74</v>
      </c>
      <c r="E5403" s="135">
        <f t="shared" si="59"/>
        <v>54</v>
      </c>
      <c r="F5403" s="134" t="s">
        <v>3877</v>
      </c>
      <c r="G5403" s="63" t="str">
        <f>VLOOKUP(C5403, 'Class Def. - General Data'!$C$20:$C$1000,1,false)</f>
        <v>ZPM1_SW</v>
      </c>
      <c r="H5403" s="63" t="str">
        <f>IFERROR(__xludf.DUMMYFUNCTION("VLOOKUP(F5403, IMPORTRANGE(""https://docs.google.com/spreadsheets/d/1Lhp9OU0JdFf_VYSMzH5lBcEaU4o8teT1piV-SNzShjg/edit?gid=554141278#gid=554141278"", ""'Char Def. - Attributes'!C20:C2242""), 1,false)"),"VOLUME_OPT")</f>
        <v>VOLUME_OPT</v>
      </c>
      <c r="I5403" s="136"/>
    </row>
    <row r="5404" ht="15.75" customHeight="1">
      <c r="B5404" s="63">
        <f t="shared" si="1"/>
        <v>7</v>
      </c>
      <c r="C5404" s="146" t="s">
        <v>280</v>
      </c>
      <c r="D5404" s="147" t="s">
        <v>74</v>
      </c>
      <c r="E5404" s="135">
        <f t="shared" si="59"/>
        <v>55</v>
      </c>
      <c r="F5404" s="134" t="s">
        <v>3878</v>
      </c>
      <c r="G5404" s="63" t="str">
        <f>VLOOKUP(C5404, 'Class Def. - General Data'!$C$20:$C$1000,1,false)</f>
        <v>ZPM1_SW</v>
      </c>
      <c r="H5404" s="63" t="str">
        <f>IFERROR(__xludf.DUMMYFUNCTION("VLOOKUP(F5404, IMPORTRANGE(""https://docs.google.com/spreadsheets/d/1Lhp9OU0JdFf_VYSMzH5lBcEaU4o8teT1piV-SNzShjg/edit?gid=554141278#gid=554141278"", ""'Char Def. - Attributes'!C20:C2242""), 1,false)"),"VOLUME_UNIT")</f>
        <v>VOLUME_UNIT</v>
      </c>
      <c r="I5404" s="136"/>
    </row>
    <row r="5405" ht="15.75" customHeight="1">
      <c r="B5405" s="63">
        <f t="shared" si="1"/>
        <v>7</v>
      </c>
      <c r="C5405" s="146" t="s">
        <v>280</v>
      </c>
      <c r="D5405" s="147" t="s">
        <v>74</v>
      </c>
      <c r="E5405" s="135">
        <f t="shared" si="59"/>
        <v>56</v>
      </c>
      <c r="F5405" s="134" t="s">
        <v>3879</v>
      </c>
      <c r="G5405" s="63" t="str">
        <f>VLOOKUP(C5405, 'Class Def. - General Data'!$C$20:$C$1000,1,false)</f>
        <v>ZPM1_SW</v>
      </c>
      <c r="H5405" s="63" t="str">
        <f>IFERROR(__xludf.DUMMYFUNCTION("VLOOKUP(F5405, IMPORTRANGE(""https://docs.google.com/spreadsheets/d/1Lhp9OU0JdFf_VYSMzH5lBcEaU4o8teT1piV-SNzShjg/edit?gid=554141278#gid=554141278"", ""'Char Def. - Attributes'!C20:C2242""), 1,false)"),"OLD_MAT_NO_RMPM")</f>
        <v>OLD_MAT_NO_RMPM</v>
      </c>
      <c r="I5405" s="136"/>
    </row>
    <row r="5406" ht="15.75" customHeight="1">
      <c r="B5406" s="63">
        <f t="shared" si="1"/>
        <v>7</v>
      </c>
      <c r="C5406" s="146" t="s">
        <v>280</v>
      </c>
      <c r="D5406" s="147" t="s">
        <v>74</v>
      </c>
      <c r="E5406" s="135">
        <f t="shared" si="59"/>
        <v>57</v>
      </c>
      <c r="F5406" s="134" t="s">
        <v>3880</v>
      </c>
      <c r="G5406" s="63" t="str">
        <f>VLOOKUP(C5406, 'Class Def. - General Data'!$C$20:$C$1000,1,false)</f>
        <v>ZPM1_SW</v>
      </c>
      <c r="H5406" s="63" t="str">
        <f>IFERROR(__xludf.DUMMYFUNCTION("VLOOKUP(F5406, IMPORTRANGE(""https://docs.google.com/spreadsheets/d/1Lhp9OU0JdFf_VYSMzH5lBcEaU4o8teT1piV-SNzShjg/edit?gid=554141278#gid=554141278"", ""'Char Def. - Attributes'!C20:C2242""), 1,false)"),"NOTE_PM")</f>
        <v>NOTE_PM</v>
      </c>
      <c r="I5406" s="136"/>
    </row>
    <row r="5407" ht="15.75" customHeight="1">
      <c r="B5407" s="63">
        <f t="shared" si="1"/>
        <v>7</v>
      </c>
      <c r="C5407" s="146" t="s">
        <v>280</v>
      </c>
      <c r="D5407" s="147" t="s">
        <v>74</v>
      </c>
      <c r="E5407" s="135">
        <f t="shared" si="59"/>
        <v>58</v>
      </c>
      <c r="F5407" s="134" t="s">
        <v>3881</v>
      </c>
      <c r="G5407" s="63" t="str">
        <f>VLOOKUP(C5407, 'Class Def. - General Data'!$C$20:$C$1000,1,false)</f>
        <v>ZPM1_SW</v>
      </c>
      <c r="H5407" s="63" t="str">
        <f>IFERROR(__xludf.DUMMYFUNCTION("VLOOKUP(F5407, IMPORTRANGE(""https://docs.google.com/spreadsheets/d/1Lhp9OU0JdFf_VYSMzH5lBcEaU4o8teT1piV-SNzShjg/edit?gid=554141278#gid=554141278"", ""'Char Def. - Attributes'!C20:C2242""), 1,false)"),"BS_BERSIH")</f>
        <v>BS_BERSIH</v>
      </c>
      <c r="I5407" s="136"/>
    </row>
    <row r="5408" ht="15.75" customHeight="1">
      <c r="B5408" s="63">
        <f t="shared" si="1"/>
        <v>7</v>
      </c>
      <c r="C5408" s="146" t="s">
        <v>280</v>
      </c>
      <c r="D5408" s="147" t="s">
        <v>74</v>
      </c>
      <c r="E5408" s="135">
        <f t="shared" si="59"/>
        <v>59</v>
      </c>
      <c r="F5408" s="134" t="s">
        <v>3882</v>
      </c>
      <c r="G5408" s="63" t="str">
        <f>VLOOKUP(C5408, 'Class Def. - General Data'!$C$20:$C$1000,1,false)</f>
        <v>ZPM1_SW</v>
      </c>
      <c r="H5408" s="63" t="str">
        <f>IFERROR(__xludf.DUMMYFUNCTION("VLOOKUP(F5408, IMPORTRANGE(""https://docs.google.com/spreadsheets/d/1Lhp9OU0JdFf_VYSMzH5lBcEaU4o8teT1piV-SNzShjg/edit?gid=554141278#gid=554141278"", ""'Char Def. - Attributes'!C20:C2242""), 1,false)"),"BS_KOTOR")</f>
        <v>BS_KOTOR</v>
      </c>
      <c r="I5408" s="136"/>
    </row>
    <row r="5409" ht="15.75" customHeight="1">
      <c r="B5409" s="63">
        <f t="shared" si="1"/>
        <v>7</v>
      </c>
      <c r="C5409" s="146" t="s">
        <v>280</v>
      </c>
      <c r="D5409" s="147" t="s">
        <v>74</v>
      </c>
      <c r="E5409" s="135">
        <f t="shared" si="59"/>
        <v>60</v>
      </c>
      <c r="F5409" s="134" t="s">
        <v>3883</v>
      </c>
      <c r="G5409" s="63" t="str">
        <f>VLOOKUP(C5409, 'Class Def. - General Data'!$C$20:$C$1000,1,false)</f>
        <v>ZPM1_SW</v>
      </c>
      <c r="H5409" s="63" t="str">
        <f>IFERROR(__xludf.DUMMYFUNCTION("VLOOKUP(F5409, IMPORTRANGE(""https://docs.google.com/spreadsheets/d/1Lhp9OU0JdFf_VYSMzH5lBcEaU4o8teT1piV-SNzShjg/edit?gid=554141278#gid=554141278"", ""'Char Def. - Attributes'!C20:C2242""), 1,false)"),"BS_SCRAP")</f>
        <v>BS_SCRAP</v>
      </c>
      <c r="I5409" s="136"/>
    </row>
    <row r="5410" ht="15.75" customHeight="1">
      <c r="B5410" s="63">
        <f t="shared" si="1"/>
        <v>11</v>
      </c>
      <c r="C5410" s="154" t="s">
        <v>284</v>
      </c>
      <c r="D5410" s="147" t="s">
        <v>74</v>
      </c>
      <c r="E5410" s="135">
        <f t="shared" si="59"/>
        <v>1</v>
      </c>
      <c r="F5410" s="134" t="s">
        <v>3988</v>
      </c>
      <c r="G5410" s="63" t="str">
        <f>VLOOKUP(C5410, 'Class Def. - General Data'!$C$20:$C$1000,1,false)</f>
        <v>ZPM1_TAGPIN</v>
      </c>
      <c r="H5410" s="63" t="str">
        <f>IFERROR(__xludf.DUMMYFUNCTION("VLOOKUP(F5410, IMPORTRANGE(""https://docs.google.com/spreadsheets/d/1Lhp9OU0JdFf_VYSMzH5lBcEaU4o8teT1piV-SNzShjg/edit?gid=554141278#gid=554141278"", ""'Char Def. - Attributes'!C20:C2242""), 1,false)"),"MATERIAL_CODE_TAGPIN")</f>
        <v>MATERIAL_CODE_TAGPIN</v>
      </c>
      <c r="I5410" s="136"/>
    </row>
    <row r="5411" ht="15.75" customHeight="1">
      <c r="B5411" s="63">
        <f t="shared" si="1"/>
        <v>11</v>
      </c>
      <c r="C5411" s="154" t="s">
        <v>284</v>
      </c>
      <c r="D5411" s="147" t="s">
        <v>74</v>
      </c>
      <c r="E5411" s="135">
        <f t="shared" si="59"/>
        <v>2</v>
      </c>
      <c r="F5411" s="134" t="s">
        <v>3852</v>
      </c>
      <c r="G5411" s="63" t="str">
        <f>VLOOKUP(C5411, 'Class Def. - General Data'!$C$20:$C$1000,1,false)</f>
        <v>ZPM1_TAGPIN</v>
      </c>
      <c r="H5411" s="63" t="str">
        <f>IFERROR(__xludf.DUMMYFUNCTION("VLOOKUP(F5411, IMPORTRANGE(""https://docs.google.com/spreadsheets/d/1Lhp9OU0JdFf_VYSMzH5lBcEaU4o8teT1piV-SNzShjg/edit?gid=554141278#gid=554141278"", ""'Char Def. - Attributes'!C20:C2242""), 1,false)"),"SINGLE_BRAND")</f>
        <v>SINGLE_BRAND</v>
      </c>
      <c r="I5411" s="136"/>
    </row>
    <row r="5412" ht="15.75" customHeight="1">
      <c r="B5412" s="63">
        <f t="shared" si="1"/>
        <v>11</v>
      </c>
      <c r="C5412" s="154" t="s">
        <v>284</v>
      </c>
      <c r="D5412" s="147" t="s">
        <v>74</v>
      </c>
      <c r="E5412" s="135">
        <f t="shared" si="59"/>
        <v>3</v>
      </c>
      <c r="F5412" s="134" t="s">
        <v>3853</v>
      </c>
      <c r="G5412" s="63" t="str">
        <f>VLOOKUP(C5412, 'Class Def. - General Data'!$C$20:$C$1000,1,false)</f>
        <v>ZPM1_TAGPIN</v>
      </c>
      <c r="H5412" s="63" t="str">
        <f>IFERROR(__xludf.DUMMYFUNCTION("VLOOKUP(F5412, IMPORTRANGE(""https://docs.google.com/spreadsheets/d/1Lhp9OU0JdFf_VYSMzH5lBcEaU4o8teT1piV-SNzShjg/edit?gid=554141278#gid=554141278"", ""'Char Def. - Attributes'!C20:C2242""), 1,false)"),"BRAND_WINGS")</f>
        <v>BRAND_WINGS</v>
      </c>
      <c r="I5412" s="136"/>
    </row>
    <row r="5413" ht="15.75" customHeight="1">
      <c r="B5413" s="63">
        <f t="shared" si="1"/>
        <v>11</v>
      </c>
      <c r="C5413" s="154" t="s">
        <v>284</v>
      </c>
      <c r="D5413" s="147" t="s">
        <v>74</v>
      </c>
      <c r="E5413" s="135">
        <f t="shared" si="59"/>
        <v>4</v>
      </c>
      <c r="F5413" s="134" t="s">
        <v>3854</v>
      </c>
      <c r="G5413" s="63" t="str">
        <f>VLOOKUP(C5413, 'Class Def. - General Data'!$C$20:$C$1000,1,false)</f>
        <v>ZPM1_TAGPIN</v>
      </c>
      <c r="H5413" s="63" t="str">
        <f>IFERROR(__xludf.DUMMYFUNCTION("VLOOKUP(F5413, IMPORTRANGE(""https://docs.google.com/spreadsheets/d/1Lhp9OU0JdFf_VYSMzH5lBcEaU4o8teT1piV-SNzShjg/edit?gid=554141278#gid=554141278"", ""'Char Def. - Attributes'!C20:C2242""), 1,false)"),"SINGLE_PACK_SHAPE")</f>
        <v>SINGLE_PACK_SHAPE</v>
      </c>
      <c r="I5413" s="136"/>
    </row>
    <row r="5414" ht="15.75" customHeight="1">
      <c r="B5414" s="63">
        <f t="shared" si="1"/>
        <v>11</v>
      </c>
      <c r="C5414" s="154" t="s">
        <v>284</v>
      </c>
      <c r="D5414" s="147" t="s">
        <v>74</v>
      </c>
      <c r="E5414" s="135">
        <f t="shared" si="59"/>
        <v>5</v>
      </c>
      <c r="F5414" s="143" t="s">
        <v>3855</v>
      </c>
      <c r="G5414" s="63" t="str">
        <f>VLOOKUP(C5414, 'Class Def. - General Data'!$C$20:$C$1000,1,false)</f>
        <v>ZPM1_TAGPIN</v>
      </c>
      <c r="H5414" s="63" t="str">
        <f>IFERROR(__xludf.DUMMYFUNCTION("VLOOKUP(F5414, IMPORTRANGE(""https://docs.google.com/spreadsheets/d/1Lhp9OU0JdFf_VYSMzH5lBcEaU4o8teT1piV-SNzShjg/edit?gid=554141278#gid=554141278"", ""'Char Def. - Attributes'!C20:C2242""), 1,false)"),"PACK_SHAPE")</f>
        <v>PACK_SHAPE</v>
      </c>
      <c r="I5414" s="136"/>
    </row>
    <row r="5415" ht="15.75" customHeight="1">
      <c r="B5415" s="63">
        <f t="shared" si="1"/>
        <v>11</v>
      </c>
      <c r="C5415" s="154" t="s">
        <v>284</v>
      </c>
      <c r="D5415" s="147" t="s">
        <v>74</v>
      </c>
      <c r="E5415" s="135">
        <f t="shared" si="59"/>
        <v>6</v>
      </c>
      <c r="F5415" s="143" t="s">
        <v>3856</v>
      </c>
      <c r="G5415" s="63" t="str">
        <f>VLOOKUP(C5415, 'Class Def. - General Data'!$C$20:$C$1000,1,false)</f>
        <v>ZPM1_TAGPIN</v>
      </c>
      <c r="H5415" s="63" t="str">
        <f>IFERROR(__xludf.DUMMYFUNCTION("VLOOKUP(F5415, IMPORTRANGE(""https://docs.google.com/spreadsheets/d/1Lhp9OU0JdFf_VYSMzH5lBcEaU4o8teT1piV-SNzShjg/edit?gid=554141278#gid=554141278"", ""'Char Def. - Attributes'!C20:C2242""), 1,false)"),"SINGLE_PACK_NETTO")</f>
        <v>SINGLE_PACK_NETTO</v>
      </c>
      <c r="I5415" s="136"/>
    </row>
    <row r="5416" ht="15.75" customHeight="1">
      <c r="B5416" s="63">
        <f t="shared" si="1"/>
        <v>11</v>
      </c>
      <c r="C5416" s="154" t="s">
        <v>284</v>
      </c>
      <c r="D5416" s="147" t="s">
        <v>74</v>
      </c>
      <c r="E5416" s="135">
        <f t="shared" si="59"/>
        <v>7</v>
      </c>
      <c r="F5416" s="143" t="s">
        <v>3605</v>
      </c>
      <c r="G5416" s="63" t="str">
        <f>VLOOKUP(C5416, 'Class Def. - General Data'!$C$20:$C$1000,1,false)</f>
        <v>ZPM1_TAGPIN</v>
      </c>
      <c r="H5416" s="63" t="str">
        <f>IFERROR(__xludf.DUMMYFUNCTION("VLOOKUP(F5416, IMPORTRANGE(""https://docs.google.com/spreadsheets/d/1Lhp9OU0JdFf_VYSMzH5lBcEaU4o8teT1piV-SNzShjg/edit?gid=554141278#gid=554141278"", ""'Char Def. - Attributes'!C20:C2242""), 1,false)"),"PACK_NETTO")</f>
        <v>PACK_NETTO</v>
      </c>
      <c r="I5416" s="136"/>
    </row>
    <row r="5417" ht="15.75" customHeight="1">
      <c r="B5417" s="63">
        <f t="shared" si="1"/>
        <v>11</v>
      </c>
      <c r="C5417" s="154" t="s">
        <v>284</v>
      </c>
      <c r="D5417" s="147" t="s">
        <v>74</v>
      </c>
      <c r="E5417" s="135">
        <f t="shared" si="59"/>
        <v>8</v>
      </c>
      <c r="F5417" s="143" t="s">
        <v>3857</v>
      </c>
      <c r="G5417" s="63" t="str">
        <f>VLOOKUP(C5417, 'Class Def. - General Data'!$C$20:$C$1000,1,false)</f>
        <v>ZPM1_TAGPIN</v>
      </c>
      <c r="H5417" s="63" t="str">
        <f>IFERROR(__xludf.DUMMYFUNCTION("VLOOKUP(F5417, IMPORTRANGE(""https://docs.google.com/spreadsheets/d/1Lhp9OU0JdFf_VYSMzH5lBcEaU4o8teT1piV-SNzShjg/edit?gid=554141278#gid=554141278"", ""'Char Def. - Attributes'!C20:C2242""), 1,false)"),"PACK_UOM")</f>
        <v>PACK_UOM</v>
      </c>
      <c r="I5417" s="136"/>
    </row>
    <row r="5418" ht="15.75" customHeight="1">
      <c r="B5418" s="63">
        <f t="shared" si="1"/>
        <v>11</v>
      </c>
      <c r="C5418" s="154" t="s">
        <v>284</v>
      </c>
      <c r="D5418" s="147" t="s">
        <v>74</v>
      </c>
      <c r="E5418" s="135">
        <f t="shared" si="59"/>
        <v>9</v>
      </c>
      <c r="F5418" s="143" t="s">
        <v>3858</v>
      </c>
      <c r="G5418" s="63" t="str">
        <f>VLOOKUP(C5418, 'Class Def. - General Data'!$C$20:$C$1000,1,false)</f>
        <v>ZPM1_TAGPIN</v>
      </c>
      <c r="H5418" s="63" t="str">
        <f>IFERROR(__xludf.DUMMYFUNCTION("VLOOKUP(F5418, IMPORTRANGE(""https://docs.google.com/spreadsheets/d/1Lhp9OU0JdFf_VYSMzH5lBcEaU4o8teT1piV-SNzShjg/edit?gid=554141278#gid=554141278"", ""'Char Def. - Attributes'!C20:C2242""), 1,false)"),"SINGLE_VARIAN")</f>
        <v>SINGLE_VARIAN</v>
      </c>
      <c r="I5418" s="136"/>
    </row>
    <row r="5419" ht="15.75" customHeight="1">
      <c r="B5419" s="63">
        <f t="shared" si="1"/>
        <v>11</v>
      </c>
      <c r="C5419" s="154" t="s">
        <v>284</v>
      </c>
      <c r="D5419" s="147" t="s">
        <v>74</v>
      </c>
      <c r="E5419" s="135">
        <f t="shared" si="59"/>
        <v>10</v>
      </c>
      <c r="F5419" s="143" t="s">
        <v>3607</v>
      </c>
      <c r="G5419" s="63" t="str">
        <f>VLOOKUP(C5419, 'Class Def. - General Data'!$C$20:$C$1000,1,false)</f>
        <v>ZPM1_TAGPIN</v>
      </c>
      <c r="H5419" s="63" t="str">
        <f>IFERROR(__xludf.DUMMYFUNCTION("VLOOKUP(F5419, IMPORTRANGE(""https://docs.google.com/spreadsheets/d/1Lhp9OU0JdFf_VYSMzH5lBcEaU4o8teT1piV-SNzShjg/edit?gid=554141278#gid=554141278"", ""'Char Def. - Attributes'!C20:C2242""), 1,false)"),"VARIAN")</f>
        <v>VARIAN</v>
      </c>
      <c r="I5419" s="136"/>
    </row>
    <row r="5420" ht="15.75" customHeight="1">
      <c r="B5420" s="63">
        <f t="shared" si="1"/>
        <v>11</v>
      </c>
      <c r="C5420" s="154" t="s">
        <v>284</v>
      </c>
      <c r="D5420" s="147" t="s">
        <v>74</v>
      </c>
      <c r="E5420" s="135">
        <f t="shared" si="59"/>
        <v>11</v>
      </c>
      <c r="F5420" s="143" t="s">
        <v>3859</v>
      </c>
      <c r="G5420" s="63" t="str">
        <f>VLOOKUP(C5420, 'Class Def. - General Data'!$C$20:$C$1000,1,false)</f>
        <v>ZPM1_TAGPIN</v>
      </c>
      <c r="H5420" s="63" t="str">
        <f>IFERROR(__xludf.DUMMYFUNCTION("VLOOKUP(F5420, IMPORTRANGE(""https://docs.google.com/spreadsheets/d/1Lhp9OU0JdFf_VYSMzH5lBcEaU4o8teT1piV-SNzShjg/edit?gid=554141278#gid=554141278"", ""'Char Def. - Attributes'!C20:C2242""), 1,false)"),"ADA_ADDITIONAL_PROMO")</f>
        <v>ADA_ADDITIONAL_PROMO</v>
      </c>
      <c r="I5420" s="136"/>
    </row>
    <row r="5421" ht="15.75" customHeight="1">
      <c r="B5421" s="63">
        <f t="shared" si="1"/>
        <v>11</v>
      </c>
      <c r="C5421" s="154" t="s">
        <v>284</v>
      </c>
      <c r="D5421" s="147" t="s">
        <v>74</v>
      </c>
      <c r="E5421" s="135">
        <f t="shared" si="59"/>
        <v>12</v>
      </c>
      <c r="F5421" s="143" t="s">
        <v>3609</v>
      </c>
      <c r="G5421" s="63" t="str">
        <f>VLOOKUP(C5421, 'Class Def. - General Data'!$C$20:$C$1000,1,false)</f>
        <v>ZPM1_TAGPIN</v>
      </c>
      <c r="H5421" s="63" t="str">
        <f>IFERROR(__xludf.DUMMYFUNCTION("VLOOKUP(F5421, IMPORTRANGE(""https://docs.google.com/spreadsheets/d/1Lhp9OU0JdFf_VYSMzH5lBcEaU4o8teT1piV-SNzShjg/edit?gid=554141278#gid=554141278"", ""'Char Def. - Attributes'!C20:C2242""), 1,false)"),"ADDITIONAL_PROMO")</f>
        <v>ADDITIONAL_PROMO</v>
      </c>
      <c r="I5421" s="136"/>
    </row>
    <row r="5422" ht="15.75" customHeight="1">
      <c r="B5422" s="63">
        <f t="shared" si="1"/>
        <v>11</v>
      </c>
      <c r="C5422" s="154" t="s">
        <v>284</v>
      </c>
      <c r="D5422" s="147" t="s">
        <v>74</v>
      </c>
      <c r="E5422" s="135">
        <f t="shared" si="59"/>
        <v>13</v>
      </c>
      <c r="F5422" s="143" t="s">
        <v>3860</v>
      </c>
      <c r="G5422" s="63" t="str">
        <f>VLOOKUP(C5422, 'Class Def. - General Data'!$C$20:$C$1000,1,false)</f>
        <v>ZPM1_TAGPIN</v>
      </c>
      <c r="H5422" s="63" t="str">
        <f>IFERROR(__xludf.DUMMYFUNCTION("VLOOKUP(F5422, IMPORTRANGE(""https://docs.google.com/spreadsheets/d/1Lhp9OU0JdFf_VYSMzH5lBcEaU4o8teT1piV-SNzShjg/edit?gid=554141278#gid=554141278"", ""'Char Def. - Attributes'!C20:C2242""), 1,false)"),"ADA_BANDED_PROMO")</f>
        <v>ADA_BANDED_PROMO</v>
      </c>
      <c r="I5422" s="136"/>
    </row>
    <row r="5423" ht="15.75" customHeight="1">
      <c r="B5423" s="63">
        <f t="shared" si="1"/>
        <v>11</v>
      </c>
      <c r="C5423" s="154" t="s">
        <v>284</v>
      </c>
      <c r="D5423" s="147" t="s">
        <v>74</v>
      </c>
      <c r="E5423" s="135">
        <f t="shared" si="59"/>
        <v>14</v>
      </c>
      <c r="F5423" s="143" t="s">
        <v>3610</v>
      </c>
      <c r="G5423" s="63" t="str">
        <f>VLOOKUP(C5423, 'Class Def. - General Data'!$C$20:$C$1000,1,false)</f>
        <v>ZPM1_TAGPIN</v>
      </c>
      <c r="H5423" s="63" t="str">
        <f>IFERROR(__xludf.DUMMYFUNCTION("VLOOKUP(F5423, IMPORTRANGE(""https://docs.google.com/spreadsheets/d/1Lhp9OU0JdFf_VYSMzH5lBcEaU4o8teT1piV-SNzShjg/edit?gid=554141278#gid=554141278"", ""'Char Def. - Attributes'!C20:C2242""), 1,false)"),"BANDED_PROMO")</f>
        <v>BANDED_PROMO</v>
      </c>
      <c r="I5423" s="136"/>
    </row>
    <row r="5424" ht="15.75" customHeight="1">
      <c r="B5424" s="63">
        <f t="shared" si="1"/>
        <v>11</v>
      </c>
      <c r="C5424" s="154" t="s">
        <v>284</v>
      </c>
      <c r="D5424" s="147" t="s">
        <v>74</v>
      </c>
      <c r="E5424" s="135">
        <f t="shared" si="59"/>
        <v>15</v>
      </c>
      <c r="F5424" s="143" t="s">
        <v>1292</v>
      </c>
      <c r="G5424" s="63" t="str">
        <f>VLOOKUP(C5424, 'Class Def. - General Data'!$C$20:$C$1000,1,false)</f>
        <v>ZPM1_TAGPIN</v>
      </c>
      <c r="H5424" s="63" t="str">
        <f>IFERROR(__xludf.DUMMYFUNCTION("VLOOKUP(F5424, IMPORTRANGE(""https://docs.google.com/spreadsheets/d/1Lhp9OU0JdFf_VYSMzH5lBcEaU4o8teT1piV-SNzShjg/edit?gid=554141278#gid=554141278"", ""'Char Def. - Attributes'!C20:C2242""), 1,false)"),"EXPORT")</f>
        <v>EXPORT</v>
      </c>
      <c r="I5424" s="136"/>
    </row>
    <row r="5425" ht="15.75" customHeight="1">
      <c r="B5425" s="63">
        <f t="shared" si="1"/>
        <v>11</v>
      </c>
      <c r="C5425" s="154" t="s">
        <v>284</v>
      </c>
      <c r="D5425" s="147" t="s">
        <v>74</v>
      </c>
      <c r="E5425" s="135">
        <f t="shared" si="59"/>
        <v>16</v>
      </c>
      <c r="F5425" s="143" t="s">
        <v>3612</v>
      </c>
      <c r="G5425" s="63" t="str">
        <f>VLOOKUP(C5425, 'Class Def. - General Data'!$C$20:$C$1000,1,false)</f>
        <v>ZPM1_TAGPIN</v>
      </c>
      <c r="H5425" s="63" t="str">
        <f>IFERROR(__xludf.DUMMYFUNCTION("VLOOKUP(F5425, IMPORTRANGE(""https://docs.google.com/spreadsheets/d/1Lhp9OU0JdFf_VYSMzH5lBcEaU4o8teT1piV-SNzShjg/edit?gid=554141278#gid=554141278"", ""'Char Def. - Attributes'!C20:C2242""), 1,false)"),"COUNTRY_EKSPOR")</f>
        <v>COUNTRY_EKSPOR</v>
      </c>
      <c r="I5425" s="136"/>
    </row>
    <row r="5426" ht="15.75" customHeight="1">
      <c r="B5426" s="63">
        <f t="shared" si="1"/>
        <v>11</v>
      </c>
      <c r="C5426" s="154" t="s">
        <v>284</v>
      </c>
      <c r="D5426" s="147" t="s">
        <v>74</v>
      </c>
      <c r="E5426" s="135">
        <f t="shared" si="59"/>
        <v>17</v>
      </c>
      <c r="F5426" s="143" t="s">
        <v>3864</v>
      </c>
      <c r="G5426" s="63" t="str">
        <f>VLOOKUP(C5426, 'Class Def. - General Data'!$C$20:$C$1000,1,false)</f>
        <v>ZPM1_TAGPIN</v>
      </c>
      <c r="H5426" s="63" t="str">
        <f>IFERROR(__xludf.DUMMYFUNCTION("VLOOKUP(F5426, IMPORTRANGE(""https://docs.google.com/spreadsheets/d/1Lhp9OU0JdFf_VYSMzH5lBcEaU4o8teT1piV-SNzShjg/edit?gid=554141278#gid=554141278"", ""'Char Def. - Attributes'!C20:C2242""), 1,false)"),"DIMENSION_OPT")</f>
        <v>DIMENSION_OPT</v>
      </c>
      <c r="I5426" s="136"/>
    </row>
    <row r="5427" ht="15.75" customHeight="1">
      <c r="B5427" s="63">
        <f t="shared" si="1"/>
        <v>11</v>
      </c>
      <c r="C5427" s="154" t="s">
        <v>284</v>
      </c>
      <c r="D5427" s="147" t="s">
        <v>74</v>
      </c>
      <c r="E5427" s="135">
        <f t="shared" si="59"/>
        <v>18</v>
      </c>
      <c r="F5427" s="143" t="s">
        <v>3587</v>
      </c>
      <c r="G5427" s="63" t="str">
        <f>VLOOKUP(C5427, 'Class Def. - General Data'!$C$20:$C$1000,1,false)</f>
        <v>ZPM1_TAGPIN</v>
      </c>
      <c r="H5427" s="63" t="str">
        <f>IFERROR(__xludf.DUMMYFUNCTION("VLOOKUP(F5427, IMPORTRANGE(""https://docs.google.com/spreadsheets/d/1Lhp9OU0JdFf_VYSMzH5lBcEaU4o8teT1piV-SNzShjg/edit?gid=554141278#gid=554141278"", ""'Char Def. - Attributes'!C20:C2242""), 1,false)"),"PLANT_BUY")</f>
        <v>PLANT_BUY</v>
      </c>
      <c r="I5427" s="136"/>
    </row>
    <row r="5428" ht="15.75" customHeight="1">
      <c r="B5428" s="63">
        <f t="shared" si="1"/>
        <v>11</v>
      </c>
      <c r="C5428" s="154" t="s">
        <v>284</v>
      </c>
      <c r="D5428" s="147" t="s">
        <v>74</v>
      </c>
      <c r="E5428" s="135">
        <f t="shared" si="59"/>
        <v>19</v>
      </c>
      <c r="F5428" s="143" t="s">
        <v>3865</v>
      </c>
      <c r="G5428" s="63" t="str">
        <f>VLOOKUP(C5428, 'Class Def. - General Data'!$C$20:$C$1000,1,false)</f>
        <v>ZPM1_TAGPIN</v>
      </c>
      <c r="H5428" s="63" t="str">
        <f>IFERROR(__xludf.DUMMYFUNCTION("VLOOKUP(F5428, IMPORTRANGE(""https://docs.google.com/spreadsheets/d/1Lhp9OU0JdFf_VYSMzH5lBcEaU4o8teT1piV-SNzShjg/edit?gid=554141278#gid=554141278"", ""'Char Def. - Attributes'!C20:C2242""), 1,false)"),"PLANT_PROD_OPT")</f>
        <v>PLANT_PROD_OPT</v>
      </c>
      <c r="I5428" s="136"/>
    </row>
    <row r="5429" ht="15.75" customHeight="1">
      <c r="B5429" s="63">
        <f t="shared" si="1"/>
        <v>11</v>
      </c>
      <c r="C5429" s="154" t="s">
        <v>284</v>
      </c>
      <c r="D5429" s="147" t="s">
        <v>74</v>
      </c>
      <c r="E5429" s="135">
        <f t="shared" si="59"/>
        <v>20</v>
      </c>
      <c r="F5429" s="143" t="s">
        <v>3866</v>
      </c>
      <c r="G5429" s="63" t="str">
        <f>VLOOKUP(C5429, 'Class Def. - General Data'!$C$20:$C$1000,1,false)</f>
        <v>ZPM1_TAGPIN</v>
      </c>
      <c r="H5429" s="63" t="str">
        <f>IFERROR(__xludf.DUMMYFUNCTION("VLOOKUP(F5429, IMPORTRANGE(""https://docs.google.com/spreadsheets/d/1Lhp9OU0JdFf_VYSMzH5lBcEaU4o8teT1piV-SNzShjg/edit?gid=554141278#gid=554141278"", ""'Char Def. - Attributes'!C20:C2242""), 1,false)"),"PM_SUPPLY_JKT")</f>
        <v>PM_SUPPLY_JKT</v>
      </c>
      <c r="I5429" s="136"/>
    </row>
    <row r="5430" ht="15.75" customHeight="1">
      <c r="B5430" s="63">
        <f t="shared" si="1"/>
        <v>11</v>
      </c>
      <c r="C5430" s="154" t="s">
        <v>284</v>
      </c>
      <c r="D5430" s="147" t="s">
        <v>74</v>
      </c>
      <c r="E5430" s="135">
        <f t="shared" si="59"/>
        <v>21</v>
      </c>
      <c r="F5430" s="143" t="s">
        <v>3867</v>
      </c>
      <c r="G5430" s="63" t="str">
        <f>VLOOKUP(C5430, 'Class Def. - General Data'!$C$20:$C$1000,1,false)</f>
        <v>ZPM1_TAGPIN</v>
      </c>
      <c r="H5430" s="63" t="str">
        <f>IFERROR(__xludf.DUMMYFUNCTION("VLOOKUP(F5430, IMPORTRANGE(""https://docs.google.com/spreadsheets/d/1Lhp9OU0JdFf_VYSMzH5lBcEaU4o8teT1piV-SNzShjg/edit?gid=554141278#gid=554141278"", ""'Char Def. - Attributes'!C20:C2242""), 1,false)"),"PM_SUPPLY_SBY")</f>
        <v>PM_SUPPLY_SBY</v>
      </c>
      <c r="I5430" s="136"/>
    </row>
    <row r="5431" ht="15.75" customHeight="1">
      <c r="B5431" s="63">
        <f t="shared" si="1"/>
        <v>11</v>
      </c>
      <c r="C5431" s="154" t="s">
        <v>284</v>
      </c>
      <c r="D5431" s="147" t="s">
        <v>74</v>
      </c>
      <c r="E5431" s="135">
        <f t="shared" si="59"/>
        <v>22</v>
      </c>
      <c r="F5431" s="143" t="s">
        <v>3868</v>
      </c>
      <c r="G5431" s="63" t="str">
        <f>VLOOKUP(C5431, 'Class Def. - General Data'!$C$20:$C$1000,1,false)</f>
        <v>ZPM1_TAGPIN</v>
      </c>
      <c r="H5431" s="63" t="str">
        <f>IFERROR(__xludf.DUMMYFUNCTION("VLOOKUP(F5431, IMPORTRANGE(""https://docs.google.com/spreadsheets/d/1Lhp9OU0JdFf_VYSMzH5lBcEaU4o8teT1piV-SNzShjg/edit?gid=554141278#gid=554141278"", ""'Char Def. - Attributes'!C20:C2242""), 1,false)"),"BASIC_UOM_RMPM")</f>
        <v>BASIC_UOM_RMPM</v>
      </c>
      <c r="I5431" s="136"/>
    </row>
    <row r="5432" ht="15.75" customHeight="1">
      <c r="B5432" s="63">
        <f t="shared" si="1"/>
        <v>11</v>
      </c>
      <c r="C5432" s="154" t="s">
        <v>284</v>
      </c>
      <c r="D5432" s="147" t="s">
        <v>74</v>
      </c>
      <c r="E5432" s="135">
        <f t="shared" si="59"/>
        <v>23</v>
      </c>
      <c r="F5432" s="143" t="s">
        <v>3869</v>
      </c>
      <c r="G5432" s="63" t="str">
        <f>VLOOKUP(C5432, 'Class Def. - General Data'!$C$20:$C$1000,1,false)</f>
        <v>ZPM1_TAGPIN</v>
      </c>
      <c r="H5432" s="63" t="str">
        <f>IFERROR(__xludf.DUMMYFUNCTION("VLOOKUP(F5432, IMPORTRANGE(""https://docs.google.com/spreadsheets/d/1Lhp9OU0JdFf_VYSMzH5lBcEaU4o8teT1piV-SNzShjg/edit?gid=554141278#gid=554141278"", ""'Char Def. - Attributes'!C20:C2242""), 1,false)"),"ALT_UOM1_RMPM")</f>
        <v>ALT_UOM1_RMPM</v>
      </c>
      <c r="I5432" s="136"/>
    </row>
    <row r="5433" ht="15.75" customHeight="1">
      <c r="B5433" s="63">
        <f t="shared" si="1"/>
        <v>11</v>
      </c>
      <c r="C5433" s="154" t="s">
        <v>284</v>
      </c>
      <c r="D5433" s="147" t="s">
        <v>74</v>
      </c>
      <c r="E5433" s="135">
        <f t="shared" si="59"/>
        <v>24</v>
      </c>
      <c r="F5433" s="143" t="s">
        <v>3805</v>
      </c>
      <c r="G5433" s="63" t="str">
        <f>VLOOKUP(C5433, 'Class Def. - General Data'!$C$20:$C$1000,1,false)</f>
        <v>ZPM1_TAGPIN</v>
      </c>
      <c r="H5433" s="63" t="str">
        <f>IFERROR(__xludf.DUMMYFUNCTION("VLOOKUP(F5433, IMPORTRANGE(""https://docs.google.com/spreadsheets/d/1Lhp9OU0JdFf_VYSMzH5lBcEaU4o8teT1piV-SNzShjg/edit?gid=554141278#gid=554141278"", ""'Char Def. - Attributes'!C20:C2242""), 1,false)"),"ALT_DENUM_UOM1")</f>
        <v>ALT_DENUM_UOM1</v>
      </c>
      <c r="I5433" s="136"/>
    </row>
    <row r="5434" ht="15.75" customHeight="1">
      <c r="B5434" s="63">
        <f t="shared" si="1"/>
        <v>11</v>
      </c>
      <c r="C5434" s="154" t="s">
        <v>284</v>
      </c>
      <c r="D5434" s="147" t="s">
        <v>74</v>
      </c>
      <c r="E5434" s="135">
        <f t="shared" si="59"/>
        <v>25</v>
      </c>
      <c r="F5434" s="143" t="s">
        <v>3806</v>
      </c>
      <c r="G5434" s="63" t="str">
        <f>VLOOKUP(C5434, 'Class Def. - General Data'!$C$20:$C$1000,1,false)</f>
        <v>ZPM1_TAGPIN</v>
      </c>
      <c r="H5434" s="63" t="str">
        <f>IFERROR(__xludf.DUMMYFUNCTION("VLOOKUP(F5434, IMPORTRANGE(""https://docs.google.com/spreadsheets/d/1Lhp9OU0JdFf_VYSMzH5lBcEaU4o8teT1piV-SNzShjg/edit?gid=554141278#gid=554141278"", ""'Char Def. - Attributes'!C20:C2242""), 1,false)"),"ALT_NUM_UOM1")</f>
        <v>ALT_NUM_UOM1</v>
      </c>
      <c r="I5434" s="136"/>
    </row>
    <row r="5435" ht="15.75" customHeight="1">
      <c r="B5435" s="63">
        <f t="shared" si="1"/>
        <v>11</v>
      </c>
      <c r="C5435" s="154" t="s">
        <v>284</v>
      </c>
      <c r="D5435" s="147" t="s">
        <v>74</v>
      </c>
      <c r="E5435" s="135">
        <f t="shared" si="59"/>
        <v>26</v>
      </c>
      <c r="F5435" s="143" t="s">
        <v>3870</v>
      </c>
      <c r="G5435" s="63" t="str">
        <f>VLOOKUP(C5435, 'Class Def. - General Data'!$C$20:$C$1000,1,false)</f>
        <v>ZPM1_TAGPIN</v>
      </c>
      <c r="H5435" s="63" t="str">
        <f>IFERROR(__xludf.DUMMYFUNCTION("VLOOKUP(F5435, IMPORTRANGE(""https://docs.google.com/spreadsheets/d/1Lhp9OU0JdFf_VYSMzH5lBcEaU4o8teT1piV-SNzShjg/edit?gid=554141278#gid=554141278"", ""'Char Def. - Attributes'!C20:C2242""), 1,false)"),"ALT_UOM2_RMPM")</f>
        <v>ALT_UOM2_RMPM</v>
      </c>
      <c r="I5435" s="136"/>
    </row>
    <row r="5436" ht="15.75" customHeight="1">
      <c r="B5436" s="63">
        <f t="shared" si="1"/>
        <v>11</v>
      </c>
      <c r="C5436" s="154" t="s">
        <v>284</v>
      </c>
      <c r="D5436" s="147" t="s">
        <v>74</v>
      </c>
      <c r="E5436" s="135">
        <f t="shared" si="59"/>
        <v>27</v>
      </c>
      <c r="F5436" s="143" t="s">
        <v>3808</v>
      </c>
      <c r="G5436" s="63" t="str">
        <f>VLOOKUP(C5436, 'Class Def. - General Data'!$C$20:$C$1000,1,false)</f>
        <v>ZPM1_TAGPIN</v>
      </c>
      <c r="H5436" s="63" t="str">
        <f>IFERROR(__xludf.DUMMYFUNCTION("VLOOKUP(F5436, IMPORTRANGE(""https://docs.google.com/spreadsheets/d/1Lhp9OU0JdFf_VYSMzH5lBcEaU4o8teT1piV-SNzShjg/edit?gid=554141278#gid=554141278"", ""'Char Def. - Attributes'!C20:C2242""), 1,false)"),"ALT_DENUM_UOM2")</f>
        <v>ALT_DENUM_UOM2</v>
      </c>
      <c r="I5436" s="136"/>
    </row>
    <row r="5437" ht="15.75" customHeight="1">
      <c r="B5437" s="63">
        <f t="shared" si="1"/>
        <v>11</v>
      </c>
      <c r="C5437" s="154" t="s">
        <v>284</v>
      </c>
      <c r="D5437" s="147" t="s">
        <v>74</v>
      </c>
      <c r="E5437" s="135">
        <f t="shared" si="59"/>
        <v>28</v>
      </c>
      <c r="F5437" s="143" t="s">
        <v>3809</v>
      </c>
      <c r="G5437" s="63" t="str">
        <f>VLOOKUP(C5437, 'Class Def. - General Data'!$C$20:$C$1000,1,false)</f>
        <v>ZPM1_TAGPIN</v>
      </c>
      <c r="H5437" s="63" t="str">
        <f>IFERROR(__xludf.DUMMYFUNCTION("VLOOKUP(F5437, IMPORTRANGE(""https://docs.google.com/spreadsheets/d/1Lhp9OU0JdFf_VYSMzH5lBcEaU4o8teT1piV-SNzShjg/edit?gid=554141278#gid=554141278"", ""'Char Def. - Attributes'!C20:C2242""), 1,false)"),"ALT_NUM_UOM2")</f>
        <v>ALT_NUM_UOM2</v>
      </c>
      <c r="I5437" s="136"/>
    </row>
    <row r="5438" ht="15.75" customHeight="1">
      <c r="B5438" s="63">
        <f t="shared" si="1"/>
        <v>11</v>
      </c>
      <c r="C5438" s="154" t="s">
        <v>284</v>
      </c>
      <c r="D5438" s="147" t="s">
        <v>74</v>
      </c>
      <c r="E5438" s="135">
        <f t="shared" si="59"/>
        <v>29</v>
      </c>
      <c r="F5438" s="143" t="s">
        <v>3871</v>
      </c>
      <c r="G5438" s="63" t="str">
        <f>VLOOKUP(C5438, 'Class Def. - General Data'!$C$20:$C$1000,1,false)</f>
        <v>ZPM1_TAGPIN</v>
      </c>
      <c r="H5438" s="63" t="str">
        <f>IFERROR(__xludf.DUMMYFUNCTION("VLOOKUP(F5438, IMPORTRANGE(""https://docs.google.com/spreadsheets/d/1Lhp9OU0JdFf_VYSMzH5lBcEaU4o8teT1piV-SNzShjg/edit?gid=554141278#gid=554141278"", ""'Char Def. - Attributes'!C20:C2242""), 1,false)"),"ALT_UOM3_RMPM")</f>
        <v>ALT_UOM3_RMPM</v>
      </c>
      <c r="I5438" s="136"/>
    </row>
    <row r="5439" ht="15.75" customHeight="1">
      <c r="B5439" s="63">
        <f t="shared" si="1"/>
        <v>11</v>
      </c>
      <c r="C5439" s="154" t="s">
        <v>284</v>
      </c>
      <c r="D5439" s="147" t="s">
        <v>74</v>
      </c>
      <c r="E5439" s="135">
        <f t="shared" si="59"/>
        <v>30</v>
      </c>
      <c r="F5439" s="143" t="s">
        <v>3811</v>
      </c>
      <c r="G5439" s="63" t="str">
        <f>VLOOKUP(C5439, 'Class Def. - General Data'!$C$20:$C$1000,1,false)</f>
        <v>ZPM1_TAGPIN</v>
      </c>
      <c r="H5439" s="63" t="str">
        <f>IFERROR(__xludf.DUMMYFUNCTION("VLOOKUP(F5439, IMPORTRANGE(""https://docs.google.com/spreadsheets/d/1Lhp9OU0JdFf_VYSMzH5lBcEaU4o8teT1piV-SNzShjg/edit?gid=554141278#gid=554141278"", ""'Char Def. - Attributes'!C20:C2242""), 1,false)"),"ALT_DENUM_UOM3")</f>
        <v>ALT_DENUM_UOM3</v>
      </c>
      <c r="I5439" s="136"/>
    </row>
    <row r="5440" ht="15.75" customHeight="1">
      <c r="B5440" s="63">
        <f t="shared" si="1"/>
        <v>11</v>
      </c>
      <c r="C5440" s="154" t="s">
        <v>284</v>
      </c>
      <c r="D5440" s="147" t="s">
        <v>74</v>
      </c>
      <c r="E5440" s="135">
        <f t="shared" si="59"/>
        <v>31</v>
      </c>
      <c r="F5440" s="143" t="s">
        <v>3812</v>
      </c>
      <c r="G5440" s="63" t="str">
        <f>VLOOKUP(C5440, 'Class Def. - General Data'!$C$20:$C$1000,1,false)</f>
        <v>ZPM1_TAGPIN</v>
      </c>
      <c r="H5440" s="63" t="str">
        <f>IFERROR(__xludf.DUMMYFUNCTION("VLOOKUP(F5440, IMPORTRANGE(""https://docs.google.com/spreadsheets/d/1Lhp9OU0JdFf_VYSMzH5lBcEaU4o8teT1piV-SNzShjg/edit?gid=554141278#gid=554141278"", ""'Char Def. - Attributes'!C20:C2242""), 1,false)"),"ALT_NUM_UOM3")</f>
        <v>ALT_NUM_UOM3</v>
      </c>
      <c r="I5440" s="136"/>
    </row>
    <row r="5441" ht="15.75" customHeight="1">
      <c r="B5441" s="63">
        <f t="shared" si="1"/>
        <v>11</v>
      </c>
      <c r="C5441" s="154" t="s">
        <v>284</v>
      </c>
      <c r="D5441" s="147" t="s">
        <v>74</v>
      </c>
      <c r="E5441" s="135">
        <f t="shared" si="59"/>
        <v>32</v>
      </c>
      <c r="F5441" s="143" t="s">
        <v>3872</v>
      </c>
      <c r="G5441" s="63" t="str">
        <f>VLOOKUP(C5441, 'Class Def. - General Data'!$C$20:$C$1000,1,false)</f>
        <v>ZPM1_TAGPIN</v>
      </c>
      <c r="H5441" s="63" t="str">
        <f>IFERROR(__xludf.DUMMYFUNCTION("VLOOKUP(F5441, IMPORTRANGE(""https://docs.google.com/spreadsheets/d/1Lhp9OU0JdFf_VYSMzH5lBcEaU4o8teT1piV-SNzShjg/edit?gid=554141278#gid=554141278"", ""'Char Def. - Attributes'!C20:C2242""), 1,false)"),"ALT_UOM4_RMPM")</f>
        <v>ALT_UOM4_RMPM</v>
      </c>
      <c r="I5441" s="136"/>
    </row>
    <row r="5442" ht="15.75" customHeight="1">
      <c r="B5442" s="63">
        <f t="shared" si="1"/>
        <v>11</v>
      </c>
      <c r="C5442" s="154" t="s">
        <v>284</v>
      </c>
      <c r="D5442" s="147" t="s">
        <v>74</v>
      </c>
      <c r="E5442" s="135">
        <f t="shared" si="59"/>
        <v>33</v>
      </c>
      <c r="F5442" s="143" t="s">
        <v>3814</v>
      </c>
      <c r="G5442" s="63" t="str">
        <f>VLOOKUP(C5442, 'Class Def. - General Data'!$C$20:$C$1000,1,false)</f>
        <v>ZPM1_TAGPIN</v>
      </c>
      <c r="H5442" s="63" t="str">
        <f>IFERROR(__xludf.DUMMYFUNCTION("VLOOKUP(F5442, IMPORTRANGE(""https://docs.google.com/spreadsheets/d/1Lhp9OU0JdFf_VYSMzH5lBcEaU4o8teT1piV-SNzShjg/edit?gid=554141278#gid=554141278"", ""'Char Def. - Attributes'!C20:C2242""), 1,false)"),"ALT_DENUM_UOM4")</f>
        <v>ALT_DENUM_UOM4</v>
      </c>
      <c r="I5442" s="136"/>
    </row>
    <row r="5443" ht="15.75" customHeight="1">
      <c r="B5443" s="63">
        <f t="shared" si="1"/>
        <v>11</v>
      </c>
      <c r="C5443" s="154" t="s">
        <v>284</v>
      </c>
      <c r="D5443" s="147" t="s">
        <v>74</v>
      </c>
      <c r="E5443" s="135">
        <f t="shared" si="59"/>
        <v>34</v>
      </c>
      <c r="F5443" s="143" t="s">
        <v>3815</v>
      </c>
      <c r="G5443" s="63" t="str">
        <f>VLOOKUP(C5443, 'Class Def. - General Data'!$C$20:$C$1000,1,false)</f>
        <v>ZPM1_TAGPIN</v>
      </c>
      <c r="H5443" s="63" t="str">
        <f>IFERROR(__xludf.DUMMYFUNCTION("VLOOKUP(F5443, IMPORTRANGE(""https://docs.google.com/spreadsheets/d/1Lhp9OU0JdFf_VYSMzH5lBcEaU4o8teT1piV-SNzShjg/edit?gid=554141278#gid=554141278"", ""'Char Def. - Attributes'!C20:C2242""), 1,false)"),"ALT_NUM_UOM4")</f>
        <v>ALT_NUM_UOM4</v>
      </c>
      <c r="I5443" s="136"/>
    </row>
    <row r="5444" ht="15.75" customHeight="1">
      <c r="B5444" s="63">
        <f t="shared" si="1"/>
        <v>11</v>
      </c>
      <c r="C5444" s="154" t="s">
        <v>284</v>
      </c>
      <c r="D5444" s="147" t="s">
        <v>74</v>
      </c>
      <c r="E5444" s="135">
        <f t="shared" si="59"/>
        <v>35</v>
      </c>
      <c r="F5444" s="143" t="s">
        <v>3873</v>
      </c>
      <c r="G5444" s="63" t="str">
        <f>VLOOKUP(C5444, 'Class Def. - General Data'!$C$20:$C$1000,1,false)</f>
        <v>ZPM1_TAGPIN</v>
      </c>
      <c r="H5444" s="63" t="str">
        <f>IFERROR(__xludf.DUMMYFUNCTION("VLOOKUP(F5444, IMPORTRANGE(""https://docs.google.com/spreadsheets/d/1Lhp9OU0JdFf_VYSMzH5lBcEaU4o8teT1piV-SNzShjg/edit?gid=554141278#gid=554141278"", ""'Char Def. - Attributes'!C20:C2242""), 1,false)"),"ALT_UOM5_RMPM")</f>
        <v>ALT_UOM5_RMPM</v>
      </c>
      <c r="I5444" s="136"/>
    </row>
    <row r="5445" ht="15.75" customHeight="1">
      <c r="B5445" s="63">
        <f t="shared" si="1"/>
        <v>11</v>
      </c>
      <c r="C5445" s="154" t="s">
        <v>284</v>
      </c>
      <c r="D5445" s="147" t="s">
        <v>74</v>
      </c>
      <c r="E5445" s="135">
        <f t="shared" si="59"/>
        <v>36</v>
      </c>
      <c r="F5445" s="143" t="s">
        <v>3817</v>
      </c>
      <c r="G5445" s="63" t="str">
        <f>VLOOKUP(C5445, 'Class Def. - General Data'!$C$20:$C$1000,1,false)</f>
        <v>ZPM1_TAGPIN</v>
      </c>
      <c r="H5445" s="63" t="str">
        <f>IFERROR(__xludf.DUMMYFUNCTION("VLOOKUP(F5445, IMPORTRANGE(""https://docs.google.com/spreadsheets/d/1Lhp9OU0JdFf_VYSMzH5lBcEaU4o8teT1piV-SNzShjg/edit?gid=554141278#gid=554141278"", ""'Char Def. - Attributes'!C20:C2242""), 1,false)"),"ALT_DENUM_UOM5")</f>
        <v>ALT_DENUM_UOM5</v>
      </c>
      <c r="I5445" s="136"/>
    </row>
    <row r="5446" ht="15.75" customHeight="1">
      <c r="B5446" s="63">
        <f t="shared" si="1"/>
        <v>11</v>
      </c>
      <c r="C5446" s="154" t="s">
        <v>284</v>
      </c>
      <c r="D5446" s="147" t="s">
        <v>74</v>
      </c>
      <c r="E5446" s="135">
        <f t="shared" si="59"/>
        <v>37</v>
      </c>
      <c r="F5446" s="143" t="s">
        <v>3818</v>
      </c>
      <c r="G5446" s="63" t="str">
        <f>VLOOKUP(C5446, 'Class Def. - General Data'!$C$20:$C$1000,1,false)</f>
        <v>ZPM1_TAGPIN</v>
      </c>
      <c r="H5446" s="63" t="str">
        <f>IFERROR(__xludf.DUMMYFUNCTION("VLOOKUP(F5446, IMPORTRANGE(""https://docs.google.com/spreadsheets/d/1Lhp9OU0JdFf_VYSMzH5lBcEaU4o8teT1piV-SNzShjg/edit?gid=554141278#gid=554141278"", ""'Char Def. - Attributes'!C20:C2242""), 1,false)"),"ALT_NUM_UOM5")</f>
        <v>ALT_NUM_UOM5</v>
      </c>
      <c r="I5446" s="136"/>
    </row>
    <row r="5447" ht="15.75" customHeight="1">
      <c r="B5447" s="63">
        <f t="shared" si="1"/>
        <v>11</v>
      </c>
      <c r="C5447" s="154" t="s">
        <v>284</v>
      </c>
      <c r="D5447" s="147" t="s">
        <v>74</v>
      </c>
      <c r="E5447" s="135">
        <f t="shared" si="59"/>
        <v>38</v>
      </c>
      <c r="F5447" s="143" t="s">
        <v>3874</v>
      </c>
      <c r="G5447" s="63" t="str">
        <f>VLOOKUP(C5447, 'Class Def. - General Data'!$C$20:$C$1000,1,false)</f>
        <v>ZPM1_TAGPIN</v>
      </c>
      <c r="H5447" s="63" t="str">
        <f>IFERROR(__xludf.DUMMYFUNCTION("VLOOKUP(F5447, IMPORTRANGE(""https://docs.google.com/spreadsheets/d/1Lhp9OU0JdFf_VYSMzH5lBcEaU4o8teT1piV-SNzShjg/edit?gid=554141278#gid=554141278"", ""'Char Def. - Attributes'!C20:C2242""), 1,false)"),"VALUATION_CATEGORY")</f>
        <v>VALUATION_CATEGORY</v>
      </c>
      <c r="I5447" s="136"/>
    </row>
    <row r="5448" ht="15.75" customHeight="1">
      <c r="B5448" s="63">
        <f t="shared" si="1"/>
        <v>11</v>
      </c>
      <c r="C5448" s="154" t="s">
        <v>284</v>
      </c>
      <c r="D5448" s="147" t="s">
        <v>74</v>
      </c>
      <c r="E5448" s="135">
        <f t="shared" si="59"/>
        <v>39</v>
      </c>
      <c r="F5448" s="143" t="s">
        <v>3800</v>
      </c>
      <c r="G5448" s="63" t="str">
        <f>VLOOKUP(C5448, 'Class Def. - General Data'!$C$20:$C$1000,1,false)</f>
        <v>ZPM1_TAGPIN</v>
      </c>
      <c r="H5448" s="63" t="str">
        <f>IFERROR(__xludf.DUMMYFUNCTION("VLOOKUP(F5448, IMPORTRANGE(""https://docs.google.com/spreadsheets/d/1Lhp9OU0JdFf_VYSMzH5lBcEaU4o8teT1piV-SNzShjg/edit?gid=554141278#gid=554141278"", ""'Char Def. - Attributes'!C20:C2242""), 1,false)"),"ORDER_UNIT_DIFF_FROM_BASIC_UOM")</f>
        <v>ORDER_UNIT_DIFF_FROM_BASIC_UOM</v>
      </c>
      <c r="I5448" s="136"/>
    </row>
    <row r="5449" ht="15.75" customHeight="1">
      <c r="B5449" s="63">
        <f t="shared" si="1"/>
        <v>11</v>
      </c>
      <c r="C5449" s="154" t="s">
        <v>284</v>
      </c>
      <c r="D5449" s="147" t="s">
        <v>74</v>
      </c>
      <c r="E5449" s="135">
        <f t="shared" si="59"/>
        <v>40</v>
      </c>
      <c r="F5449" s="143" t="s">
        <v>3875</v>
      </c>
      <c r="G5449" s="63" t="str">
        <f>VLOOKUP(C5449, 'Class Def. - General Data'!$C$20:$C$1000,1,false)</f>
        <v>ZPM1_TAGPIN</v>
      </c>
      <c r="H5449" s="63" t="str">
        <f>IFERROR(__xludf.DUMMYFUNCTION("VLOOKUP(F5449, IMPORTRANGE(""https://docs.google.com/spreadsheets/d/1Lhp9OU0JdFf_VYSMzH5lBcEaU4o8teT1piV-SNzShjg/edit?gid=554141278#gid=554141278"", ""'Char Def. - Attributes'!C20:C2242""), 1,false)"),"ORDER_UNIT_RMPM")</f>
        <v>ORDER_UNIT_RMPM</v>
      </c>
      <c r="I5449" s="136"/>
    </row>
    <row r="5450" ht="15.75" customHeight="1">
      <c r="B5450" s="63">
        <f t="shared" si="1"/>
        <v>11</v>
      </c>
      <c r="C5450" s="154" t="s">
        <v>284</v>
      </c>
      <c r="D5450" s="147" t="s">
        <v>74</v>
      </c>
      <c r="E5450" s="135">
        <f t="shared" si="59"/>
        <v>41</v>
      </c>
      <c r="F5450" s="143" t="s">
        <v>3602</v>
      </c>
      <c r="G5450" s="63" t="str">
        <f>VLOOKUP(C5450, 'Class Def. - General Data'!$C$20:$C$1000,1,false)</f>
        <v>ZPM1_TAGPIN</v>
      </c>
      <c r="H5450" s="63" t="str">
        <f>IFERROR(__xludf.DUMMYFUNCTION("VLOOKUP(F5450, IMPORTRANGE(""https://docs.google.com/spreadsheets/d/1Lhp9OU0JdFf_VYSMzH5lBcEaU4o8teT1piV-SNzShjg/edit?gid=554141278#gid=554141278"", ""'Char Def. - Attributes'!C20:C2242""), 1,false)"),"NET_WEIGHT")</f>
        <v>NET_WEIGHT</v>
      </c>
      <c r="I5450" s="136"/>
    </row>
    <row r="5451" ht="15.75" customHeight="1">
      <c r="B5451" s="63">
        <f t="shared" si="1"/>
        <v>11</v>
      </c>
      <c r="C5451" s="154" t="s">
        <v>284</v>
      </c>
      <c r="D5451" s="147" t="s">
        <v>74</v>
      </c>
      <c r="E5451" s="135">
        <f t="shared" si="59"/>
        <v>42</v>
      </c>
      <c r="F5451" s="143" t="s">
        <v>3601</v>
      </c>
      <c r="G5451" s="63" t="str">
        <f>VLOOKUP(C5451, 'Class Def. - General Data'!$C$20:$C$1000,1,false)</f>
        <v>ZPM1_TAGPIN</v>
      </c>
      <c r="H5451" s="63" t="str">
        <f>IFERROR(__xludf.DUMMYFUNCTION("VLOOKUP(F5451, IMPORTRANGE(""https://docs.google.com/spreadsheets/d/1Lhp9OU0JdFf_VYSMzH5lBcEaU4o8teT1piV-SNzShjg/edit?gid=554141278#gid=554141278"", ""'Char Def. - Attributes'!C20:C2242""), 1,false)"),"GROSS_WEIGHT")</f>
        <v>GROSS_WEIGHT</v>
      </c>
      <c r="I5451" s="136"/>
    </row>
    <row r="5452" ht="15.75" customHeight="1">
      <c r="B5452" s="63">
        <f t="shared" si="1"/>
        <v>11</v>
      </c>
      <c r="C5452" s="154" t="s">
        <v>284</v>
      </c>
      <c r="D5452" s="147" t="s">
        <v>74</v>
      </c>
      <c r="E5452" s="135">
        <f t="shared" si="59"/>
        <v>43</v>
      </c>
      <c r="F5452" s="143" t="s">
        <v>3876</v>
      </c>
      <c r="G5452" s="63" t="str">
        <f>VLOOKUP(C5452, 'Class Def. - General Data'!$C$20:$C$1000,1,false)</f>
        <v>ZPM1_TAGPIN</v>
      </c>
      <c r="H5452" s="63" t="str">
        <f>IFERROR(__xludf.DUMMYFUNCTION("VLOOKUP(F5452, IMPORTRANGE(""https://docs.google.com/spreadsheets/d/1Lhp9OU0JdFf_VYSMzH5lBcEaU4o8teT1piV-SNzShjg/edit?gid=554141278#gid=554141278"", ""'Char Def. - Attributes'!C20:C2242""), 1,false)"),"WEIGHT_UNIT_PM")</f>
        <v>WEIGHT_UNIT_PM</v>
      </c>
      <c r="I5452" s="136"/>
    </row>
    <row r="5453" ht="15.75" customHeight="1">
      <c r="B5453" s="63">
        <f t="shared" si="1"/>
        <v>11</v>
      </c>
      <c r="C5453" s="154" t="s">
        <v>284</v>
      </c>
      <c r="D5453" s="147" t="s">
        <v>74</v>
      </c>
      <c r="E5453" s="135">
        <f t="shared" si="59"/>
        <v>44</v>
      </c>
      <c r="F5453" s="143" t="s">
        <v>3877</v>
      </c>
      <c r="G5453" s="63" t="str">
        <f>VLOOKUP(C5453, 'Class Def. - General Data'!$C$20:$C$1000,1,false)</f>
        <v>ZPM1_TAGPIN</v>
      </c>
      <c r="H5453" s="63" t="str">
        <f>IFERROR(__xludf.DUMMYFUNCTION("VLOOKUP(F5453, IMPORTRANGE(""https://docs.google.com/spreadsheets/d/1Lhp9OU0JdFf_VYSMzH5lBcEaU4o8teT1piV-SNzShjg/edit?gid=554141278#gid=554141278"", ""'Char Def. - Attributes'!C20:C2242""), 1,false)"),"VOLUME_OPT")</f>
        <v>VOLUME_OPT</v>
      </c>
      <c r="I5453" s="136"/>
    </row>
    <row r="5454" ht="15.75" customHeight="1">
      <c r="B5454" s="63">
        <f t="shared" si="1"/>
        <v>11</v>
      </c>
      <c r="C5454" s="154" t="s">
        <v>284</v>
      </c>
      <c r="D5454" s="147" t="s">
        <v>74</v>
      </c>
      <c r="E5454" s="135">
        <f t="shared" si="59"/>
        <v>45</v>
      </c>
      <c r="F5454" s="143" t="s">
        <v>3878</v>
      </c>
      <c r="G5454" s="63" t="str">
        <f>VLOOKUP(C5454, 'Class Def. - General Data'!$C$20:$C$1000,1,false)</f>
        <v>ZPM1_TAGPIN</v>
      </c>
      <c r="H5454" s="63" t="str">
        <f>IFERROR(__xludf.DUMMYFUNCTION("VLOOKUP(F5454, IMPORTRANGE(""https://docs.google.com/spreadsheets/d/1Lhp9OU0JdFf_VYSMzH5lBcEaU4o8teT1piV-SNzShjg/edit?gid=554141278#gid=554141278"", ""'Char Def. - Attributes'!C20:C2242""), 1,false)"),"VOLUME_UNIT")</f>
        <v>VOLUME_UNIT</v>
      </c>
      <c r="I5454" s="136"/>
    </row>
    <row r="5455" ht="15.75" customHeight="1">
      <c r="B5455" s="63">
        <f t="shared" si="1"/>
        <v>11</v>
      </c>
      <c r="C5455" s="154" t="s">
        <v>284</v>
      </c>
      <c r="D5455" s="147" t="s">
        <v>74</v>
      </c>
      <c r="E5455" s="135">
        <f t="shared" si="59"/>
        <v>46</v>
      </c>
      <c r="F5455" s="143" t="s">
        <v>3879</v>
      </c>
      <c r="G5455" s="63" t="str">
        <f>VLOOKUP(C5455, 'Class Def. - General Data'!$C$20:$C$1000,1,false)</f>
        <v>ZPM1_TAGPIN</v>
      </c>
      <c r="H5455" s="63" t="str">
        <f>IFERROR(__xludf.DUMMYFUNCTION("VLOOKUP(F5455, IMPORTRANGE(""https://docs.google.com/spreadsheets/d/1Lhp9OU0JdFf_VYSMzH5lBcEaU4o8teT1piV-SNzShjg/edit?gid=554141278#gid=554141278"", ""'Char Def. - Attributes'!C20:C2242""), 1,false)"),"OLD_MAT_NO_RMPM")</f>
        <v>OLD_MAT_NO_RMPM</v>
      </c>
      <c r="I5455" s="136"/>
    </row>
    <row r="5456" ht="15.75" customHeight="1">
      <c r="B5456" s="63">
        <f t="shared" si="1"/>
        <v>11</v>
      </c>
      <c r="C5456" s="154" t="s">
        <v>284</v>
      </c>
      <c r="D5456" s="147" t="s">
        <v>74</v>
      </c>
      <c r="E5456" s="135">
        <f t="shared" si="59"/>
        <v>47</v>
      </c>
      <c r="F5456" s="143" t="s">
        <v>3880</v>
      </c>
      <c r="G5456" s="63" t="str">
        <f>VLOOKUP(C5456, 'Class Def. - General Data'!$C$20:$C$1000,1,false)</f>
        <v>ZPM1_TAGPIN</v>
      </c>
      <c r="H5456" s="63" t="str">
        <f>IFERROR(__xludf.DUMMYFUNCTION("VLOOKUP(F5456, IMPORTRANGE(""https://docs.google.com/spreadsheets/d/1Lhp9OU0JdFf_VYSMzH5lBcEaU4o8teT1piV-SNzShjg/edit?gid=554141278#gid=554141278"", ""'Char Def. - Attributes'!C20:C2242""), 1,false)"),"NOTE_PM")</f>
        <v>NOTE_PM</v>
      </c>
      <c r="I5456" s="136"/>
    </row>
    <row r="5457" ht="15.75" customHeight="1">
      <c r="B5457" s="63">
        <f t="shared" si="1"/>
        <v>11</v>
      </c>
      <c r="C5457" s="154" t="s">
        <v>284</v>
      </c>
      <c r="D5457" s="147" t="s">
        <v>74</v>
      </c>
      <c r="E5457" s="135">
        <f t="shared" si="59"/>
        <v>48</v>
      </c>
      <c r="F5457" s="143" t="s">
        <v>3881</v>
      </c>
      <c r="G5457" s="63" t="str">
        <f>VLOOKUP(C5457, 'Class Def. - General Data'!$C$20:$C$1000,1,false)</f>
        <v>ZPM1_TAGPIN</v>
      </c>
      <c r="H5457" s="63" t="str">
        <f>IFERROR(__xludf.DUMMYFUNCTION("VLOOKUP(F5457, IMPORTRANGE(""https://docs.google.com/spreadsheets/d/1Lhp9OU0JdFf_VYSMzH5lBcEaU4o8teT1piV-SNzShjg/edit?gid=554141278#gid=554141278"", ""'Char Def. - Attributes'!C20:C2242""), 1,false)"),"BS_BERSIH")</f>
        <v>BS_BERSIH</v>
      </c>
      <c r="I5457" s="136"/>
    </row>
    <row r="5458" ht="15.75" customHeight="1">
      <c r="B5458" s="63">
        <f t="shared" si="1"/>
        <v>11</v>
      </c>
      <c r="C5458" s="154" t="s">
        <v>284</v>
      </c>
      <c r="D5458" s="147" t="s">
        <v>74</v>
      </c>
      <c r="E5458" s="135">
        <f t="shared" si="59"/>
        <v>49</v>
      </c>
      <c r="F5458" s="143" t="s">
        <v>3882</v>
      </c>
      <c r="G5458" s="63" t="str">
        <f>VLOOKUP(C5458, 'Class Def. - General Data'!$C$20:$C$1000,1,false)</f>
        <v>ZPM1_TAGPIN</v>
      </c>
      <c r="H5458" s="63" t="str">
        <f>IFERROR(__xludf.DUMMYFUNCTION("VLOOKUP(F5458, IMPORTRANGE(""https://docs.google.com/spreadsheets/d/1Lhp9OU0JdFf_VYSMzH5lBcEaU4o8teT1piV-SNzShjg/edit?gid=554141278#gid=554141278"", ""'Char Def. - Attributes'!C20:C2242""), 1,false)"),"BS_KOTOR")</f>
        <v>BS_KOTOR</v>
      </c>
      <c r="I5458" s="136"/>
    </row>
    <row r="5459" ht="15.75" customHeight="1">
      <c r="B5459" s="63">
        <f t="shared" si="1"/>
        <v>11</v>
      </c>
      <c r="C5459" s="154" t="s">
        <v>284</v>
      </c>
      <c r="D5459" s="147" t="s">
        <v>74</v>
      </c>
      <c r="E5459" s="135">
        <f t="shared" si="59"/>
        <v>50</v>
      </c>
      <c r="F5459" s="143" t="s">
        <v>3883</v>
      </c>
      <c r="G5459" s="63" t="str">
        <f>VLOOKUP(C5459, 'Class Def. - General Data'!$C$20:$C$1000,1,false)</f>
        <v>ZPM1_TAGPIN</v>
      </c>
      <c r="H5459" s="63" t="str">
        <f>IFERROR(__xludf.DUMMYFUNCTION("VLOOKUP(F5459, IMPORTRANGE(""https://docs.google.com/spreadsheets/d/1Lhp9OU0JdFf_VYSMzH5lBcEaU4o8teT1piV-SNzShjg/edit?gid=554141278#gid=554141278"", ""'Char Def. - Attributes'!C20:C2242""), 1,false)"),"BS_SCRAP")</f>
        <v>BS_SCRAP</v>
      </c>
      <c r="I5459" s="136"/>
    </row>
    <row r="5460" ht="15.75" customHeight="1">
      <c r="B5460" s="63">
        <f t="shared" si="1"/>
        <v>17</v>
      </c>
      <c r="C5460" s="146" t="s">
        <v>269</v>
      </c>
      <c r="D5460" s="147" t="s">
        <v>74</v>
      </c>
      <c r="E5460" s="135">
        <f t="shared" si="59"/>
        <v>1</v>
      </c>
      <c r="F5460" s="143" t="s">
        <v>3989</v>
      </c>
      <c r="G5460" s="63" t="str">
        <f>VLOOKUP(C5460, 'Class Def. - General Data'!$C$20:$C$1000,1,false)</f>
        <v>ZPM1_TBHelm_TPCap</v>
      </c>
      <c r="H5460" s="63" t="str">
        <f>IFERROR(__xludf.DUMMYFUNCTION("VLOOKUP(F5460, IMPORTRANGE(""https://docs.google.com/spreadsheets/d/1Lhp9OU0JdFf_VYSMzH5lBcEaU4o8teT1piV-SNzShjg/edit?gid=554141278#gid=554141278"", ""'Char Def. - Attributes'!C20:C2242""), 1,false)"),"MATERIAL_CODE_TBHELM_TPCAP")</f>
        <v>MATERIAL_CODE_TBHELM_TPCAP</v>
      </c>
      <c r="I5460" s="136"/>
    </row>
    <row r="5461" ht="15.75" customHeight="1">
      <c r="B5461" s="63">
        <f t="shared" si="1"/>
        <v>17</v>
      </c>
      <c r="C5461" s="146" t="s">
        <v>269</v>
      </c>
      <c r="D5461" s="147" t="s">
        <v>74</v>
      </c>
      <c r="E5461" s="135">
        <f t="shared" si="59"/>
        <v>2</v>
      </c>
      <c r="F5461" s="143" t="s">
        <v>3990</v>
      </c>
      <c r="G5461" s="63" t="str">
        <f>VLOOKUP(C5461, 'Class Def. - General Data'!$C$20:$C$1000,1,false)</f>
        <v>ZPM1_TBHelm_TPCap</v>
      </c>
      <c r="H5461" s="63" t="str">
        <f>IFERROR(__xludf.DUMMYFUNCTION("VLOOKUP(F5461, IMPORTRANGE(""https://docs.google.com/spreadsheets/d/1Lhp9OU0JdFf_VYSMzH5lBcEaU4o8teT1piV-SNzShjg/edit?gid=554141278#gid=554141278"", ""'Char Def. - Attributes'!C20:C2242""), 1,false)"),"COLOR_TB")</f>
        <v>COLOR_TB</v>
      </c>
      <c r="I5461" s="136"/>
    </row>
    <row r="5462" ht="15.75" customHeight="1">
      <c r="B5462" s="63">
        <f t="shared" si="1"/>
        <v>17</v>
      </c>
      <c r="C5462" s="146" t="s">
        <v>269</v>
      </c>
      <c r="D5462" s="147" t="s">
        <v>74</v>
      </c>
      <c r="E5462" s="135">
        <f t="shared" si="59"/>
        <v>3</v>
      </c>
      <c r="F5462" s="143" t="s">
        <v>3898</v>
      </c>
      <c r="G5462" s="63" t="str">
        <f>VLOOKUP(C5462, 'Class Def. - General Data'!$C$20:$C$1000,1,false)</f>
        <v>ZPM1_TBHelm_TPCap</v>
      </c>
      <c r="H5462" s="63" t="str">
        <f>IFERROR(__xludf.DUMMYFUNCTION("VLOOKUP(F5462, IMPORTRANGE(""https://docs.google.com/spreadsheets/d/1Lhp9OU0JdFf_VYSMzH5lBcEaU4o8teT1piV-SNzShjg/edit?gid=554141278#gid=554141278"", ""'Char Def. - Attributes'!C20:C2242""), 1,false)"),"DIAMETER_MM_A")</f>
        <v>DIAMETER_MM_A</v>
      </c>
      <c r="I5462" s="136"/>
    </row>
    <row r="5463" ht="15.75" customHeight="1">
      <c r="B5463" s="63">
        <f t="shared" si="1"/>
        <v>17</v>
      </c>
      <c r="C5463" s="146" t="s">
        <v>269</v>
      </c>
      <c r="D5463" s="147" t="s">
        <v>74</v>
      </c>
      <c r="E5463" s="135">
        <f t="shared" si="59"/>
        <v>4</v>
      </c>
      <c r="F5463" s="143" t="s">
        <v>3900</v>
      </c>
      <c r="G5463" s="63" t="str">
        <f>VLOOKUP(C5463, 'Class Def. - General Data'!$C$20:$C$1000,1,false)</f>
        <v>ZPM1_TBHelm_TPCap</v>
      </c>
      <c r="H5463" s="63" t="str">
        <f>IFERROR(__xludf.DUMMYFUNCTION("VLOOKUP(F5463, IMPORTRANGE(""https://docs.google.com/spreadsheets/d/1Lhp9OU0JdFf_VYSMzH5lBcEaU4o8teT1piV-SNzShjg/edit?gid=554141278#gid=554141278"", ""'Char Def. - Attributes'!C20:C2242""), 1,false)"),"PLASTIC_TYPE_OPT")</f>
        <v>PLASTIC_TYPE_OPT</v>
      </c>
      <c r="I5463" s="136"/>
    </row>
    <row r="5464" ht="15.75" customHeight="1">
      <c r="B5464" s="63">
        <f t="shared" si="1"/>
        <v>17</v>
      </c>
      <c r="C5464" s="146" t="s">
        <v>269</v>
      </c>
      <c r="D5464" s="147" t="s">
        <v>74</v>
      </c>
      <c r="E5464" s="135">
        <f t="shared" si="59"/>
        <v>5</v>
      </c>
      <c r="F5464" s="143" t="s">
        <v>3864</v>
      </c>
      <c r="G5464" s="63" t="str">
        <f>VLOOKUP(C5464, 'Class Def. - General Data'!$C$20:$C$1000,1,false)</f>
        <v>ZPM1_TBHelm_TPCap</v>
      </c>
      <c r="H5464" s="63" t="str">
        <f>IFERROR(__xludf.DUMMYFUNCTION("VLOOKUP(F5464, IMPORTRANGE(""https://docs.google.com/spreadsheets/d/1Lhp9OU0JdFf_VYSMzH5lBcEaU4o8teT1piV-SNzShjg/edit?gid=554141278#gid=554141278"", ""'Char Def. - Attributes'!C20:C2242""), 1,false)"),"DIMENSION_OPT")</f>
        <v>DIMENSION_OPT</v>
      </c>
      <c r="I5464" s="136"/>
    </row>
    <row r="5465" ht="15.75" customHeight="1">
      <c r="B5465" s="63">
        <f t="shared" si="1"/>
        <v>17</v>
      </c>
      <c r="C5465" s="146" t="s">
        <v>269</v>
      </c>
      <c r="D5465" s="147" t="s">
        <v>74</v>
      </c>
      <c r="E5465" s="135">
        <f t="shared" si="59"/>
        <v>6</v>
      </c>
      <c r="F5465" s="143" t="s">
        <v>3587</v>
      </c>
      <c r="G5465" s="63" t="str">
        <f>VLOOKUP(C5465, 'Class Def. - General Data'!$C$20:$C$1000,1,false)</f>
        <v>ZPM1_TBHelm_TPCap</v>
      </c>
      <c r="H5465" s="63" t="str">
        <f>IFERROR(__xludf.DUMMYFUNCTION("VLOOKUP(F5465, IMPORTRANGE(""https://docs.google.com/spreadsheets/d/1Lhp9OU0JdFf_VYSMzH5lBcEaU4o8teT1piV-SNzShjg/edit?gid=554141278#gid=554141278"", ""'Char Def. - Attributes'!C20:C2242""), 1,false)"),"PLANT_BUY")</f>
        <v>PLANT_BUY</v>
      </c>
      <c r="I5465" s="136"/>
    </row>
    <row r="5466" ht="15.75" customHeight="1">
      <c r="B5466" s="63">
        <f t="shared" si="1"/>
        <v>17</v>
      </c>
      <c r="C5466" s="146" t="s">
        <v>269</v>
      </c>
      <c r="D5466" s="147" t="s">
        <v>74</v>
      </c>
      <c r="E5466" s="135">
        <f t="shared" si="59"/>
        <v>7</v>
      </c>
      <c r="F5466" s="143" t="s">
        <v>3865</v>
      </c>
      <c r="G5466" s="63" t="str">
        <f>VLOOKUP(C5466, 'Class Def. - General Data'!$C$20:$C$1000,1,false)</f>
        <v>ZPM1_TBHelm_TPCap</v>
      </c>
      <c r="H5466" s="63" t="str">
        <f>IFERROR(__xludf.DUMMYFUNCTION("VLOOKUP(F5466, IMPORTRANGE(""https://docs.google.com/spreadsheets/d/1Lhp9OU0JdFf_VYSMzH5lBcEaU4o8teT1piV-SNzShjg/edit?gid=554141278#gid=554141278"", ""'Char Def. - Attributes'!C20:C2242""), 1,false)"),"PLANT_PROD_OPT")</f>
        <v>PLANT_PROD_OPT</v>
      </c>
      <c r="I5466" s="136"/>
    </row>
    <row r="5467" ht="15.75" customHeight="1">
      <c r="B5467" s="63">
        <f t="shared" si="1"/>
        <v>17</v>
      </c>
      <c r="C5467" s="146" t="s">
        <v>269</v>
      </c>
      <c r="D5467" s="147" t="s">
        <v>74</v>
      </c>
      <c r="E5467" s="135">
        <f t="shared" si="59"/>
        <v>8</v>
      </c>
      <c r="F5467" s="143" t="s">
        <v>3866</v>
      </c>
      <c r="G5467" s="63" t="str">
        <f>VLOOKUP(C5467, 'Class Def. - General Data'!$C$20:$C$1000,1,false)</f>
        <v>ZPM1_TBHelm_TPCap</v>
      </c>
      <c r="H5467" s="63" t="str">
        <f>IFERROR(__xludf.DUMMYFUNCTION("VLOOKUP(F5467, IMPORTRANGE(""https://docs.google.com/spreadsheets/d/1Lhp9OU0JdFf_VYSMzH5lBcEaU4o8teT1piV-SNzShjg/edit?gid=554141278#gid=554141278"", ""'Char Def. - Attributes'!C20:C2242""), 1,false)"),"PM_SUPPLY_JKT")</f>
        <v>PM_SUPPLY_JKT</v>
      </c>
      <c r="I5467" s="136"/>
    </row>
    <row r="5468" ht="15.75" customHeight="1">
      <c r="B5468" s="63">
        <f t="shared" si="1"/>
        <v>17</v>
      </c>
      <c r="C5468" s="146" t="s">
        <v>269</v>
      </c>
      <c r="D5468" s="147" t="s">
        <v>74</v>
      </c>
      <c r="E5468" s="135">
        <f t="shared" si="59"/>
        <v>9</v>
      </c>
      <c r="F5468" s="143" t="s">
        <v>3867</v>
      </c>
      <c r="G5468" s="63" t="str">
        <f>VLOOKUP(C5468, 'Class Def. - General Data'!$C$20:$C$1000,1,false)</f>
        <v>ZPM1_TBHelm_TPCap</v>
      </c>
      <c r="H5468" s="63" t="str">
        <f>IFERROR(__xludf.DUMMYFUNCTION("VLOOKUP(F5468, IMPORTRANGE(""https://docs.google.com/spreadsheets/d/1Lhp9OU0JdFf_VYSMzH5lBcEaU4o8teT1piV-SNzShjg/edit?gid=554141278#gid=554141278"", ""'Char Def. - Attributes'!C20:C2242""), 1,false)"),"PM_SUPPLY_SBY")</f>
        <v>PM_SUPPLY_SBY</v>
      </c>
      <c r="I5468" s="136"/>
    </row>
    <row r="5469" ht="15.75" customHeight="1">
      <c r="B5469" s="63">
        <f t="shared" si="1"/>
        <v>17</v>
      </c>
      <c r="C5469" s="146" t="s">
        <v>269</v>
      </c>
      <c r="D5469" s="147" t="s">
        <v>74</v>
      </c>
      <c r="E5469" s="135">
        <f t="shared" si="59"/>
        <v>10</v>
      </c>
      <c r="F5469" s="143" t="s">
        <v>3868</v>
      </c>
      <c r="G5469" s="63" t="str">
        <f>VLOOKUP(C5469, 'Class Def. - General Data'!$C$20:$C$1000,1,false)</f>
        <v>ZPM1_TBHelm_TPCap</v>
      </c>
      <c r="H5469" s="63" t="str">
        <f>IFERROR(__xludf.DUMMYFUNCTION("VLOOKUP(F5469, IMPORTRANGE(""https://docs.google.com/spreadsheets/d/1Lhp9OU0JdFf_VYSMzH5lBcEaU4o8teT1piV-SNzShjg/edit?gid=554141278#gid=554141278"", ""'Char Def. - Attributes'!C20:C2242""), 1,false)"),"BASIC_UOM_RMPM")</f>
        <v>BASIC_UOM_RMPM</v>
      </c>
      <c r="I5469" s="136"/>
    </row>
    <row r="5470" ht="15.75" customHeight="1">
      <c r="B5470" s="63">
        <f t="shared" si="1"/>
        <v>17</v>
      </c>
      <c r="C5470" s="146" t="s">
        <v>269</v>
      </c>
      <c r="D5470" s="147" t="s">
        <v>74</v>
      </c>
      <c r="E5470" s="135">
        <f t="shared" si="59"/>
        <v>11</v>
      </c>
      <c r="F5470" s="143" t="s">
        <v>3869</v>
      </c>
      <c r="G5470" s="63" t="str">
        <f>VLOOKUP(C5470, 'Class Def. - General Data'!$C$20:$C$1000,1,false)</f>
        <v>ZPM1_TBHelm_TPCap</v>
      </c>
      <c r="H5470" s="63" t="str">
        <f>IFERROR(__xludf.DUMMYFUNCTION("VLOOKUP(F5470, IMPORTRANGE(""https://docs.google.com/spreadsheets/d/1Lhp9OU0JdFf_VYSMzH5lBcEaU4o8teT1piV-SNzShjg/edit?gid=554141278#gid=554141278"", ""'Char Def. - Attributes'!C20:C2242""), 1,false)"),"ALT_UOM1_RMPM")</f>
        <v>ALT_UOM1_RMPM</v>
      </c>
      <c r="I5470" s="136"/>
    </row>
    <row r="5471" ht="15.75" customHeight="1">
      <c r="B5471" s="63">
        <f t="shared" si="1"/>
        <v>17</v>
      </c>
      <c r="C5471" s="146" t="s">
        <v>269</v>
      </c>
      <c r="D5471" s="147" t="s">
        <v>74</v>
      </c>
      <c r="E5471" s="135">
        <f t="shared" si="59"/>
        <v>12</v>
      </c>
      <c r="F5471" s="143" t="s">
        <v>3805</v>
      </c>
      <c r="G5471" s="63" t="str">
        <f>VLOOKUP(C5471, 'Class Def. - General Data'!$C$20:$C$1000,1,false)</f>
        <v>ZPM1_TBHelm_TPCap</v>
      </c>
      <c r="H5471" s="63" t="str">
        <f>IFERROR(__xludf.DUMMYFUNCTION("VLOOKUP(F5471, IMPORTRANGE(""https://docs.google.com/spreadsheets/d/1Lhp9OU0JdFf_VYSMzH5lBcEaU4o8teT1piV-SNzShjg/edit?gid=554141278#gid=554141278"", ""'Char Def. - Attributes'!C20:C2242""), 1,false)"),"ALT_DENUM_UOM1")</f>
        <v>ALT_DENUM_UOM1</v>
      </c>
      <c r="I5471" s="136"/>
    </row>
    <row r="5472" ht="15.75" customHeight="1">
      <c r="B5472" s="63">
        <f t="shared" si="1"/>
        <v>17</v>
      </c>
      <c r="C5472" s="146" t="s">
        <v>269</v>
      </c>
      <c r="D5472" s="147" t="s">
        <v>74</v>
      </c>
      <c r="E5472" s="135">
        <f t="shared" si="59"/>
        <v>13</v>
      </c>
      <c r="F5472" s="143" t="s">
        <v>3806</v>
      </c>
      <c r="G5472" s="63" t="str">
        <f>VLOOKUP(C5472, 'Class Def. - General Data'!$C$20:$C$1000,1,false)</f>
        <v>ZPM1_TBHelm_TPCap</v>
      </c>
      <c r="H5472" s="63" t="str">
        <f>IFERROR(__xludf.DUMMYFUNCTION("VLOOKUP(F5472, IMPORTRANGE(""https://docs.google.com/spreadsheets/d/1Lhp9OU0JdFf_VYSMzH5lBcEaU4o8teT1piV-SNzShjg/edit?gid=554141278#gid=554141278"", ""'Char Def. - Attributes'!C20:C2242""), 1,false)"),"ALT_NUM_UOM1")</f>
        <v>ALT_NUM_UOM1</v>
      </c>
      <c r="I5472" s="136"/>
    </row>
    <row r="5473" ht="15.75" customHeight="1">
      <c r="B5473" s="63">
        <f t="shared" si="1"/>
        <v>17</v>
      </c>
      <c r="C5473" s="146" t="s">
        <v>269</v>
      </c>
      <c r="D5473" s="147" t="s">
        <v>74</v>
      </c>
      <c r="E5473" s="135">
        <f t="shared" si="59"/>
        <v>14</v>
      </c>
      <c r="F5473" s="143" t="s">
        <v>3870</v>
      </c>
      <c r="G5473" s="63" t="str">
        <f>VLOOKUP(C5473, 'Class Def. - General Data'!$C$20:$C$1000,1,false)</f>
        <v>ZPM1_TBHelm_TPCap</v>
      </c>
      <c r="H5473" s="63" t="str">
        <f>IFERROR(__xludf.DUMMYFUNCTION("VLOOKUP(F5473, IMPORTRANGE(""https://docs.google.com/spreadsheets/d/1Lhp9OU0JdFf_VYSMzH5lBcEaU4o8teT1piV-SNzShjg/edit?gid=554141278#gid=554141278"", ""'Char Def. - Attributes'!C20:C2242""), 1,false)"),"ALT_UOM2_RMPM")</f>
        <v>ALT_UOM2_RMPM</v>
      </c>
      <c r="I5473" s="136"/>
    </row>
    <row r="5474" ht="15.75" customHeight="1">
      <c r="B5474" s="63">
        <f t="shared" si="1"/>
        <v>17</v>
      </c>
      <c r="C5474" s="146" t="s">
        <v>269</v>
      </c>
      <c r="D5474" s="147" t="s">
        <v>74</v>
      </c>
      <c r="E5474" s="135">
        <f t="shared" si="59"/>
        <v>15</v>
      </c>
      <c r="F5474" s="143" t="s">
        <v>3808</v>
      </c>
      <c r="G5474" s="63" t="str">
        <f>VLOOKUP(C5474, 'Class Def. - General Data'!$C$20:$C$1000,1,false)</f>
        <v>ZPM1_TBHelm_TPCap</v>
      </c>
      <c r="H5474" s="63" t="str">
        <f>IFERROR(__xludf.DUMMYFUNCTION("VLOOKUP(F5474, IMPORTRANGE(""https://docs.google.com/spreadsheets/d/1Lhp9OU0JdFf_VYSMzH5lBcEaU4o8teT1piV-SNzShjg/edit?gid=554141278#gid=554141278"", ""'Char Def. - Attributes'!C20:C2242""), 1,false)"),"ALT_DENUM_UOM2")</f>
        <v>ALT_DENUM_UOM2</v>
      </c>
      <c r="I5474" s="136"/>
    </row>
    <row r="5475" ht="15.75" customHeight="1">
      <c r="B5475" s="63">
        <f t="shared" si="1"/>
        <v>17</v>
      </c>
      <c r="C5475" s="146" t="s">
        <v>269</v>
      </c>
      <c r="D5475" s="147" t="s">
        <v>74</v>
      </c>
      <c r="E5475" s="135">
        <f t="shared" si="59"/>
        <v>16</v>
      </c>
      <c r="F5475" s="143" t="s">
        <v>3809</v>
      </c>
      <c r="G5475" s="63" t="str">
        <f>VLOOKUP(C5475, 'Class Def. - General Data'!$C$20:$C$1000,1,false)</f>
        <v>ZPM1_TBHelm_TPCap</v>
      </c>
      <c r="H5475" s="63" t="str">
        <f>IFERROR(__xludf.DUMMYFUNCTION("VLOOKUP(F5475, IMPORTRANGE(""https://docs.google.com/spreadsheets/d/1Lhp9OU0JdFf_VYSMzH5lBcEaU4o8teT1piV-SNzShjg/edit?gid=554141278#gid=554141278"", ""'Char Def. - Attributes'!C20:C2242""), 1,false)"),"ALT_NUM_UOM2")</f>
        <v>ALT_NUM_UOM2</v>
      </c>
      <c r="I5475" s="136"/>
    </row>
    <row r="5476" ht="15.75" customHeight="1">
      <c r="B5476" s="63">
        <f t="shared" si="1"/>
        <v>17</v>
      </c>
      <c r="C5476" s="146" t="s">
        <v>269</v>
      </c>
      <c r="D5476" s="147" t="s">
        <v>74</v>
      </c>
      <c r="E5476" s="135">
        <f t="shared" si="59"/>
        <v>17</v>
      </c>
      <c r="F5476" s="143" t="s">
        <v>3871</v>
      </c>
      <c r="G5476" s="63" t="str">
        <f>VLOOKUP(C5476, 'Class Def. - General Data'!$C$20:$C$1000,1,false)</f>
        <v>ZPM1_TBHelm_TPCap</v>
      </c>
      <c r="H5476" s="63" t="str">
        <f>IFERROR(__xludf.DUMMYFUNCTION("VLOOKUP(F5476, IMPORTRANGE(""https://docs.google.com/spreadsheets/d/1Lhp9OU0JdFf_VYSMzH5lBcEaU4o8teT1piV-SNzShjg/edit?gid=554141278#gid=554141278"", ""'Char Def. - Attributes'!C20:C2242""), 1,false)"),"ALT_UOM3_RMPM")</f>
        <v>ALT_UOM3_RMPM</v>
      </c>
      <c r="I5476" s="136"/>
    </row>
    <row r="5477" ht="15.75" customHeight="1">
      <c r="B5477" s="63">
        <f t="shared" si="1"/>
        <v>17</v>
      </c>
      <c r="C5477" s="146" t="s">
        <v>269</v>
      </c>
      <c r="D5477" s="147" t="s">
        <v>74</v>
      </c>
      <c r="E5477" s="135">
        <f t="shared" si="59"/>
        <v>18</v>
      </c>
      <c r="F5477" s="143" t="s">
        <v>3811</v>
      </c>
      <c r="G5477" s="63" t="str">
        <f>VLOOKUP(C5477, 'Class Def. - General Data'!$C$20:$C$1000,1,false)</f>
        <v>ZPM1_TBHelm_TPCap</v>
      </c>
      <c r="H5477" s="63" t="str">
        <f>IFERROR(__xludf.DUMMYFUNCTION("VLOOKUP(F5477, IMPORTRANGE(""https://docs.google.com/spreadsheets/d/1Lhp9OU0JdFf_VYSMzH5lBcEaU4o8teT1piV-SNzShjg/edit?gid=554141278#gid=554141278"", ""'Char Def. - Attributes'!C20:C2242""), 1,false)"),"ALT_DENUM_UOM3")</f>
        <v>ALT_DENUM_UOM3</v>
      </c>
      <c r="I5477" s="136"/>
    </row>
    <row r="5478" ht="15.75" customHeight="1">
      <c r="B5478" s="63">
        <f t="shared" si="1"/>
        <v>17</v>
      </c>
      <c r="C5478" s="146" t="s">
        <v>269</v>
      </c>
      <c r="D5478" s="147" t="s">
        <v>74</v>
      </c>
      <c r="E5478" s="135">
        <f t="shared" si="59"/>
        <v>19</v>
      </c>
      <c r="F5478" s="143" t="s">
        <v>3812</v>
      </c>
      <c r="G5478" s="63" t="str">
        <f>VLOOKUP(C5478, 'Class Def. - General Data'!$C$20:$C$1000,1,false)</f>
        <v>ZPM1_TBHelm_TPCap</v>
      </c>
      <c r="H5478" s="63" t="str">
        <f>IFERROR(__xludf.DUMMYFUNCTION("VLOOKUP(F5478, IMPORTRANGE(""https://docs.google.com/spreadsheets/d/1Lhp9OU0JdFf_VYSMzH5lBcEaU4o8teT1piV-SNzShjg/edit?gid=554141278#gid=554141278"", ""'Char Def. - Attributes'!C20:C2242""), 1,false)"),"ALT_NUM_UOM3")</f>
        <v>ALT_NUM_UOM3</v>
      </c>
      <c r="I5478" s="136"/>
    </row>
    <row r="5479" ht="15.75" customHeight="1">
      <c r="B5479" s="63">
        <f t="shared" si="1"/>
        <v>17</v>
      </c>
      <c r="C5479" s="146" t="s">
        <v>269</v>
      </c>
      <c r="D5479" s="147" t="s">
        <v>74</v>
      </c>
      <c r="E5479" s="135">
        <f t="shared" si="59"/>
        <v>20</v>
      </c>
      <c r="F5479" s="143" t="s">
        <v>3872</v>
      </c>
      <c r="G5479" s="63" t="str">
        <f>VLOOKUP(C5479, 'Class Def. - General Data'!$C$20:$C$1000,1,false)</f>
        <v>ZPM1_TBHelm_TPCap</v>
      </c>
      <c r="H5479" s="63" t="str">
        <f>IFERROR(__xludf.DUMMYFUNCTION("VLOOKUP(F5479, IMPORTRANGE(""https://docs.google.com/spreadsheets/d/1Lhp9OU0JdFf_VYSMzH5lBcEaU4o8teT1piV-SNzShjg/edit?gid=554141278#gid=554141278"", ""'Char Def. - Attributes'!C20:C2242""), 1,false)"),"ALT_UOM4_RMPM")</f>
        <v>ALT_UOM4_RMPM</v>
      </c>
      <c r="I5479" s="136"/>
    </row>
    <row r="5480" ht="15.75" customHeight="1">
      <c r="B5480" s="63">
        <f t="shared" si="1"/>
        <v>17</v>
      </c>
      <c r="C5480" s="146" t="s">
        <v>269</v>
      </c>
      <c r="D5480" s="147" t="s">
        <v>74</v>
      </c>
      <c r="E5480" s="135">
        <f t="shared" si="59"/>
        <v>21</v>
      </c>
      <c r="F5480" s="143" t="s">
        <v>3814</v>
      </c>
      <c r="G5480" s="63" t="str">
        <f>VLOOKUP(C5480, 'Class Def. - General Data'!$C$20:$C$1000,1,false)</f>
        <v>ZPM1_TBHelm_TPCap</v>
      </c>
      <c r="H5480" s="63" t="str">
        <f>IFERROR(__xludf.DUMMYFUNCTION("VLOOKUP(F5480, IMPORTRANGE(""https://docs.google.com/spreadsheets/d/1Lhp9OU0JdFf_VYSMzH5lBcEaU4o8teT1piV-SNzShjg/edit?gid=554141278#gid=554141278"", ""'Char Def. - Attributes'!C20:C2242""), 1,false)"),"ALT_DENUM_UOM4")</f>
        <v>ALT_DENUM_UOM4</v>
      </c>
      <c r="I5480" s="136"/>
    </row>
    <row r="5481" ht="15.75" customHeight="1">
      <c r="B5481" s="63">
        <f t="shared" si="1"/>
        <v>17</v>
      </c>
      <c r="C5481" s="146" t="s">
        <v>269</v>
      </c>
      <c r="D5481" s="147" t="s">
        <v>74</v>
      </c>
      <c r="E5481" s="135">
        <f t="shared" si="59"/>
        <v>22</v>
      </c>
      <c r="F5481" s="143" t="s">
        <v>3815</v>
      </c>
      <c r="G5481" s="63" t="str">
        <f>VLOOKUP(C5481, 'Class Def. - General Data'!$C$20:$C$1000,1,false)</f>
        <v>ZPM1_TBHelm_TPCap</v>
      </c>
      <c r="H5481" s="63" t="str">
        <f>IFERROR(__xludf.DUMMYFUNCTION("VLOOKUP(F5481, IMPORTRANGE(""https://docs.google.com/spreadsheets/d/1Lhp9OU0JdFf_VYSMzH5lBcEaU4o8teT1piV-SNzShjg/edit?gid=554141278#gid=554141278"", ""'Char Def. - Attributes'!C20:C2242""), 1,false)"),"ALT_NUM_UOM4")</f>
        <v>ALT_NUM_UOM4</v>
      </c>
      <c r="I5481" s="136"/>
    </row>
    <row r="5482" ht="15.75" customHeight="1">
      <c r="B5482" s="63">
        <f t="shared" si="1"/>
        <v>17</v>
      </c>
      <c r="C5482" s="146" t="s">
        <v>269</v>
      </c>
      <c r="D5482" s="147" t="s">
        <v>74</v>
      </c>
      <c r="E5482" s="135">
        <f t="shared" si="59"/>
        <v>23</v>
      </c>
      <c r="F5482" s="143" t="s">
        <v>3873</v>
      </c>
      <c r="G5482" s="63" t="str">
        <f>VLOOKUP(C5482, 'Class Def. - General Data'!$C$20:$C$1000,1,false)</f>
        <v>ZPM1_TBHelm_TPCap</v>
      </c>
      <c r="H5482" s="63" t="str">
        <f>IFERROR(__xludf.DUMMYFUNCTION("VLOOKUP(F5482, IMPORTRANGE(""https://docs.google.com/spreadsheets/d/1Lhp9OU0JdFf_VYSMzH5lBcEaU4o8teT1piV-SNzShjg/edit?gid=554141278#gid=554141278"", ""'Char Def. - Attributes'!C20:C2242""), 1,false)"),"ALT_UOM5_RMPM")</f>
        <v>ALT_UOM5_RMPM</v>
      </c>
      <c r="I5482" s="136"/>
    </row>
    <row r="5483" ht="15.75" customHeight="1">
      <c r="B5483" s="63">
        <f t="shared" si="1"/>
        <v>17</v>
      </c>
      <c r="C5483" s="146" t="s">
        <v>269</v>
      </c>
      <c r="D5483" s="147" t="s">
        <v>74</v>
      </c>
      <c r="E5483" s="135">
        <f t="shared" si="59"/>
        <v>24</v>
      </c>
      <c r="F5483" s="143" t="s">
        <v>3817</v>
      </c>
      <c r="G5483" s="63" t="str">
        <f>VLOOKUP(C5483, 'Class Def. - General Data'!$C$20:$C$1000,1,false)</f>
        <v>ZPM1_TBHelm_TPCap</v>
      </c>
      <c r="H5483" s="63" t="str">
        <f>IFERROR(__xludf.DUMMYFUNCTION("VLOOKUP(F5483, IMPORTRANGE(""https://docs.google.com/spreadsheets/d/1Lhp9OU0JdFf_VYSMzH5lBcEaU4o8teT1piV-SNzShjg/edit?gid=554141278#gid=554141278"", ""'Char Def. - Attributes'!C20:C2242""), 1,false)"),"ALT_DENUM_UOM5")</f>
        <v>ALT_DENUM_UOM5</v>
      </c>
      <c r="I5483" s="136"/>
    </row>
    <row r="5484" ht="15.75" customHeight="1">
      <c r="B5484" s="63">
        <f t="shared" si="1"/>
        <v>17</v>
      </c>
      <c r="C5484" s="146" t="s">
        <v>269</v>
      </c>
      <c r="D5484" s="147" t="s">
        <v>74</v>
      </c>
      <c r="E5484" s="135">
        <f t="shared" si="59"/>
        <v>25</v>
      </c>
      <c r="F5484" s="143" t="s">
        <v>3818</v>
      </c>
      <c r="G5484" s="63" t="str">
        <f>VLOOKUP(C5484, 'Class Def. - General Data'!$C$20:$C$1000,1,false)</f>
        <v>ZPM1_TBHelm_TPCap</v>
      </c>
      <c r="H5484" s="63" t="str">
        <f>IFERROR(__xludf.DUMMYFUNCTION("VLOOKUP(F5484, IMPORTRANGE(""https://docs.google.com/spreadsheets/d/1Lhp9OU0JdFf_VYSMzH5lBcEaU4o8teT1piV-SNzShjg/edit?gid=554141278#gid=554141278"", ""'Char Def. - Attributes'!C20:C2242""), 1,false)"),"ALT_NUM_UOM5")</f>
        <v>ALT_NUM_UOM5</v>
      </c>
      <c r="I5484" s="136"/>
    </row>
    <row r="5485" ht="15.75" customHeight="1">
      <c r="B5485" s="63">
        <f t="shared" si="1"/>
        <v>17</v>
      </c>
      <c r="C5485" s="146" t="s">
        <v>269</v>
      </c>
      <c r="D5485" s="147" t="s">
        <v>74</v>
      </c>
      <c r="E5485" s="135">
        <f t="shared" si="59"/>
        <v>26</v>
      </c>
      <c r="F5485" s="143" t="s">
        <v>3874</v>
      </c>
      <c r="G5485" s="63" t="str">
        <f>VLOOKUP(C5485, 'Class Def. - General Data'!$C$20:$C$1000,1,false)</f>
        <v>ZPM1_TBHelm_TPCap</v>
      </c>
      <c r="H5485" s="63" t="str">
        <f>IFERROR(__xludf.DUMMYFUNCTION("VLOOKUP(F5485, IMPORTRANGE(""https://docs.google.com/spreadsheets/d/1Lhp9OU0JdFf_VYSMzH5lBcEaU4o8teT1piV-SNzShjg/edit?gid=554141278#gid=554141278"", ""'Char Def. - Attributes'!C20:C2242""), 1,false)"),"VALUATION_CATEGORY")</f>
        <v>VALUATION_CATEGORY</v>
      </c>
      <c r="I5485" s="136"/>
    </row>
    <row r="5486" ht="15.75" customHeight="1">
      <c r="B5486" s="63">
        <f t="shared" si="1"/>
        <v>17</v>
      </c>
      <c r="C5486" s="146" t="s">
        <v>269</v>
      </c>
      <c r="D5486" s="147" t="s">
        <v>74</v>
      </c>
      <c r="E5486" s="135">
        <f t="shared" si="59"/>
        <v>27</v>
      </c>
      <c r="F5486" s="143" t="s">
        <v>3800</v>
      </c>
      <c r="G5486" s="63" t="str">
        <f>VLOOKUP(C5486, 'Class Def. - General Data'!$C$20:$C$1000,1,false)</f>
        <v>ZPM1_TBHelm_TPCap</v>
      </c>
      <c r="H5486" s="63" t="str">
        <f>IFERROR(__xludf.DUMMYFUNCTION("VLOOKUP(F5486, IMPORTRANGE(""https://docs.google.com/spreadsheets/d/1Lhp9OU0JdFf_VYSMzH5lBcEaU4o8teT1piV-SNzShjg/edit?gid=554141278#gid=554141278"", ""'Char Def. - Attributes'!C20:C2242""), 1,false)"),"ORDER_UNIT_DIFF_FROM_BASIC_UOM")</f>
        <v>ORDER_UNIT_DIFF_FROM_BASIC_UOM</v>
      </c>
      <c r="I5486" s="136"/>
    </row>
    <row r="5487" ht="15.75" customHeight="1">
      <c r="B5487" s="63">
        <f t="shared" si="1"/>
        <v>17</v>
      </c>
      <c r="C5487" s="146" t="s">
        <v>269</v>
      </c>
      <c r="D5487" s="147" t="s">
        <v>74</v>
      </c>
      <c r="E5487" s="135">
        <f t="shared" si="59"/>
        <v>28</v>
      </c>
      <c r="F5487" s="143" t="s">
        <v>3875</v>
      </c>
      <c r="G5487" s="63" t="str">
        <f>VLOOKUP(C5487, 'Class Def. - General Data'!$C$20:$C$1000,1,false)</f>
        <v>ZPM1_TBHelm_TPCap</v>
      </c>
      <c r="H5487" s="63" t="str">
        <f>IFERROR(__xludf.DUMMYFUNCTION("VLOOKUP(F5487, IMPORTRANGE(""https://docs.google.com/spreadsheets/d/1Lhp9OU0JdFf_VYSMzH5lBcEaU4o8teT1piV-SNzShjg/edit?gid=554141278#gid=554141278"", ""'Char Def. - Attributes'!C20:C2242""), 1,false)"),"ORDER_UNIT_RMPM")</f>
        <v>ORDER_UNIT_RMPM</v>
      </c>
      <c r="I5487" s="136"/>
    </row>
    <row r="5488" ht="15.75" customHeight="1">
      <c r="B5488" s="63">
        <f t="shared" si="1"/>
        <v>17</v>
      </c>
      <c r="C5488" s="146" t="s">
        <v>269</v>
      </c>
      <c r="D5488" s="147" t="s">
        <v>74</v>
      </c>
      <c r="E5488" s="135">
        <f t="shared" si="59"/>
        <v>29</v>
      </c>
      <c r="F5488" s="143" t="s">
        <v>3602</v>
      </c>
      <c r="G5488" s="63" t="str">
        <f>VLOOKUP(C5488, 'Class Def. - General Data'!$C$20:$C$1000,1,false)</f>
        <v>ZPM1_TBHelm_TPCap</v>
      </c>
      <c r="H5488" s="63" t="str">
        <f>IFERROR(__xludf.DUMMYFUNCTION("VLOOKUP(F5488, IMPORTRANGE(""https://docs.google.com/spreadsheets/d/1Lhp9OU0JdFf_VYSMzH5lBcEaU4o8teT1piV-SNzShjg/edit?gid=554141278#gid=554141278"", ""'Char Def. - Attributes'!C20:C2242""), 1,false)"),"NET_WEIGHT")</f>
        <v>NET_WEIGHT</v>
      </c>
      <c r="I5488" s="136"/>
    </row>
    <row r="5489" ht="15.75" customHeight="1">
      <c r="B5489" s="63">
        <f t="shared" si="1"/>
        <v>17</v>
      </c>
      <c r="C5489" s="146" t="s">
        <v>269</v>
      </c>
      <c r="D5489" s="147" t="s">
        <v>74</v>
      </c>
      <c r="E5489" s="135">
        <f t="shared" si="59"/>
        <v>30</v>
      </c>
      <c r="F5489" s="143" t="s">
        <v>3601</v>
      </c>
      <c r="G5489" s="63" t="str">
        <f>VLOOKUP(C5489, 'Class Def. - General Data'!$C$20:$C$1000,1,false)</f>
        <v>ZPM1_TBHelm_TPCap</v>
      </c>
      <c r="H5489" s="63" t="str">
        <f>IFERROR(__xludf.DUMMYFUNCTION("VLOOKUP(F5489, IMPORTRANGE(""https://docs.google.com/spreadsheets/d/1Lhp9OU0JdFf_VYSMzH5lBcEaU4o8teT1piV-SNzShjg/edit?gid=554141278#gid=554141278"", ""'Char Def. - Attributes'!C20:C2242""), 1,false)"),"GROSS_WEIGHT")</f>
        <v>GROSS_WEIGHT</v>
      </c>
      <c r="I5489" s="136"/>
    </row>
    <row r="5490" ht="15.75" customHeight="1">
      <c r="B5490" s="63">
        <f t="shared" si="1"/>
        <v>17</v>
      </c>
      <c r="C5490" s="146" t="s">
        <v>269</v>
      </c>
      <c r="D5490" s="147" t="s">
        <v>74</v>
      </c>
      <c r="E5490" s="135">
        <f t="shared" si="59"/>
        <v>31</v>
      </c>
      <c r="F5490" s="143" t="s">
        <v>3876</v>
      </c>
      <c r="G5490" s="63" t="str">
        <f>VLOOKUP(C5490, 'Class Def. - General Data'!$C$20:$C$1000,1,false)</f>
        <v>ZPM1_TBHelm_TPCap</v>
      </c>
      <c r="H5490" s="63" t="str">
        <f>IFERROR(__xludf.DUMMYFUNCTION("VLOOKUP(F5490, IMPORTRANGE(""https://docs.google.com/spreadsheets/d/1Lhp9OU0JdFf_VYSMzH5lBcEaU4o8teT1piV-SNzShjg/edit?gid=554141278#gid=554141278"", ""'Char Def. - Attributes'!C20:C2242""), 1,false)"),"WEIGHT_UNIT_PM")</f>
        <v>WEIGHT_UNIT_PM</v>
      </c>
      <c r="I5490" s="136"/>
    </row>
    <row r="5491" ht="15.75" customHeight="1">
      <c r="B5491" s="63">
        <f t="shared" si="1"/>
        <v>17</v>
      </c>
      <c r="C5491" s="146" t="s">
        <v>269</v>
      </c>
      <c r="D5491" s="147" t="s">
        <v>74</v>
      </c>
      <c r="E5491" s="135">
        <f t="shared" si="59"/>
        <v>32</v>
      </c>
      <c r="F5491" s="143" t="s">
        <v>3877</v>
      </c>
      <c r="G5491" s="63" t="str">
        <f>VLOOKUP(C5491, 'Class Def. - General Data'!$C$20:$C$1000,1,false)</f>
        <v>ZPM1_TBHelm_TPCap</v>
      </c>
      <c r="H5491" s="63" t="str">
        <f>IFERROR(__xludf.DUMMYFUNCTION("VLOOKUP(F5491, IMPORTRANGE(""https://docs.google.com/spreadsheets/d/1Lhp9OU0JdFf_VYSMzH5lBcEaU4o8teT1piV-SNzShjg/edit?gid=554141278#gid=554141278"", ""'Char Def. - Attributes'!C20:C2242""), 1,false)"),"VOLUME_OPT")</f>
        <v>VOLUME_OPT</v>
      </c>
      <c r="I5491" s="136"/>
    </row>
    <row r="5492" ht="15.75" customHeight="1">
      <c r="B5492" s="63">
        <f t="shared" si="1"/>
        <v>17</v>
      </c>
      <c r="C5492" s="146" t="s">
        <v>269</v>
      </c>
      <c r="D5492" s="147" t="s">
        <v>74</v>
      </c>
      <c r="E5492" s="135">
        <f t="shared" si="59"/>
        <v>33</v>
      </c>
      <c r="F5492" s="143" t="s">
        <v>3878</v>
      </c>
      <c r="G5492" s="63" t="str">
        <f>VLOOKUP(C5492, 'Class Def. - General Data'!$C$20:$C$1000,1,false)</f>
        <v>ZPM1_TBHelm_TPCap</v>
      </c>
      <c r="H5492" s="63" t="str">
        <f>IFERROR(__xludf.DUMMYFUNCTION("VLOOKUP(F5492, IMPORTRANGE(""https://docs.google.com/spreadsheets/d/1Lhp9OU0JdFf_VYSMzH5lBcEaU4o8teT1piV-SNzShjg/edit?gid=554141278#gid=554141278"", ""'Char Def. - Attributes'!C20:C2242""), 1,false)"),"VOLUME_UNIT")</f>
        <v>VOLUME_UNIT</v>
      </c>
      <c r="I5492" s="136"/>
    </row>
    <row r="5493" ht="15.75" customHeight="1">
      <c r="B5493" s="63">
        <f t="shared" si="1"/>
        <v>17</v>
      </c>
      <c r="C5493" s="146" t="s">
        <v>269</v>
      </c>
      <c r="D5493" s="147" t="s">
        <v>74</v>
      </c>
      <c r="E5493" s="135">
        <f t="shared" si="59"/>
        <v>34</v>
      </c>
      <c r="F5493" s="143" t="s">
        <v>3879</v>
      </c>
      <c r="G5493" s="63" t="str">
        <f>VLOOKUP(C5493, 'Class Def. - General Data'!$C$20:$C$1000,1,false)</f>
        <v>ZPM1_TBHelm_TPCap</v>
      </c>
      <c r="H5493" s="63" t="str">
        <f>IFERROR(__xludf.DUMMYFUNCTION("VLOOKUP(F5493, IMPORTRANGE(""https://docs.google.com/spreadsheets/d/1Lhp9OU0JdFf_VYSMzH5lBcEaU4o8teT1piV-SNzShjg/edit?gid=554141278#gid=554141278"", ""'Char Def. - Attributes'!C20:C2242""), 1,false)"),"OLD_MAT_NO_RMPM")</f>
        <v>OLD_MAT_NO_RMPM</v>
      </c>
      <c r="I5493" s="136"/>
    </row>
    <row r="5494" ht="15.75" customHeight="1">
      <c r="B5494" s="63">
        <f t="shared" si="1"/>
        <v>17</v>
      </c>
      <c r="C5494" s="146" t="s">
        <v>269</v>
      </c>
      <c r="D5494" s="147" t="s">
        <v>74</v>
      </c>
      <c r="E5494" s="135">
        <f t="shared" si="59"/>
        <v>35</v>
      </c>
      <c r="F5494" s="143" t="s">
        <v>3880</v>
      </c>
      <c r="G5494" s="63" t="str">
        <f>VLOOKUP(C5494, 'Class Def. - General Data'!$C$20:$C$1000,1,false)</f>
        <v>ZPM1_TBHelm_TPCap</v>
      </c>
      <c r="H5494" s="63" t="str">
        <f>IFERROR(__xludf.DUMMYFUNCTION("VLOOKUP(F5494, IMPORTRANGE(""https://docs.google.com/spreadsheets/d/1Lhp9OU0JdFf_VYSMzH5lBcEaU4o8teT1piV-SNzShjg/edit?gid=554141278#gid=554141278"", ""'Char Def. - Attributes'!C20:C2242""), 1,false)"),"NOTE_PM")</f>
        <v>NOTE_PM</v>
      </c>
      <c r="I5494" s="136"/>
    </row>
    <row r="5495" ht="15.75" customHeight="1">
      <c r="B5495" s="63">
        <f t="shared" si="1"/>
        <v>17</v>
      </c>
      <c r="C5495" s="146" t="s">
        <v>269</v>
      </c>
      <c r="D5495" s="147" t="s">
        <v>74</v>
      </c>
      <c r="E5495" s="135">
        <f t="shared" si="59"/>
        <v>36</v>
      </c>
      <c r="F5495" s="143" t="s">
        <v>3881</v>
      </c>
      <c r="G5495" s="63" t="str">
        <f>VLOOKUP(C5495, 'Class Def. - General Data'!$C$20:$C$1000,1,false)</f>
        <v>ZPM1_TBHelm_TPCap</v>
      </c>
      <c r="H5495" s="63" t="str">
        <f>IFERROR(__xludf.DUMMYFUNCTION("VLOOKUP(F5495, IMPORTRANGE(""https://docs.google.com/spreadsheets/d/1Lhp9OU0JdFf_VYSMzH5lBcEaU4o8teT1piV-SNzShjg/edit?gid=554141278#gid=554141278"", ""'Char Def. - Attributes'!C20:C2242""), 1,false)"),"BS_BERSIH")</f>
        <v>BS_BERSIH</v>
      </c>
      <c r="I5495" s="136"/>
    </row>
    <row r="5496" ht="15.75" customHeight="1">
      <c r="B5496" s="63">
        <f t="shared" si="1"/>
        <v>17</v>
      </c>
      <c r="C5496" s="146" t="s">
        <v>269</v>
      </c>
      <c r="D5496" s="147" t="s">
        <v>74</v>
      </c>
      <c r="E5496" s="135">
        <f t="shared" si="59"/>
        <v>37</v>
      </c>
      <c r="F5496" s="143" t="s">
        <v>3882</v>
      </c>
      <c r="G5496" s="63" t="str">
        <f>VLOOKUP(C5496, 'Class Def. - General Data'!$C$20:$C$1000,1,false)</f>
        <v>ZPM1_TBHelm_TPCap</v>
      </c>
      <c r="H5496" s="63" t="str">
        <f>IFERROR(__xludf.DUMMYFUNCTION("VLOOKUP(F5496, IMPORTRANGE(""https://docs.google.com/spreadsheets/d/1Lhp9OU0JdFf_VYSMzH5lBcEaU4o8teT1piV-SNzShjg/edit?gid=554141278#gid=554141278"", ""'Char Def. - Attributes'!C20:C2242""), 1,false)"),"BS_KOTOR")</f>
        <v>BS_KOTOR</v>
      </c>
      <c r="I5496" s="136"/>
    </row>
    <row r="5497" ht="15.75" customHeight="1">
      <c r="B5497" s="63">
        <f t="shared" si="1"/>
        <v>17</v>
      </c>
      <c r="C5497" s="146" t="s">
        <v>269</v>
      </c>
      <c r="D5497" s="147" t="s">
        <v>74</v>
      </c>
      <c r="E5497" s="135">
        <f t="shared" si="59"/>
        <v>38</v>
      </c>
      <c r="F5497" s="143" t="s">
        <v>3883</v>
      </c>
      <c r="G5497" s="63" t="str">
        <f>VLOOKUP(C5497, 'Class Def. - General Data'!$C$20:$C$1000,1,false)</f>
        <v>ZPM1_TBHelm_TPCap</v>
      </c>
      <c r="H5497" s="63" t="str">
        <f>IFERROR(__xludf.DUMMYFUNCTION("VLOOKUP(F5497, IMPORTRANGE(""https://docs.google.com/spreadsheets/d/1Lhp9OU0JdFf_VYSMzH5lBcEaU4o8teT1piV-SNzShjg/edit?gid=554141278#gid=554141278"", ""'Char Def. - Attributes'!C20:C2242""), 1,false)"),"BS_SCRAP")</f>
        <v>BS_SCRAP</v>
      </c>
      <c r="I5497" s="136"/>
    </row>
    <row r="5498" ht="15.75" customHeight="1">
      <c r="B5498" s="63">
        <f t="shared" si="1"/>
        <v>9</v>
      </c>
      <c r="C5498" s="154" t="s">
        <v>283</v>
      </c>
      <c r="D5498" s="147" t="s">
        <v>74</v>
      </c>
      <c r="E5498" s="135">
        <f t="shared" si="59"/>
        <v>1</v>
      </c>
      <c r="F5498" s="143" t="s">
        <v>3991</v>
      </c>
      <c r="G5498" s="63" t="str">
        <f>VLOOKUP(C5498, 'Class Def. - General Data'!$C$20:$C$1000,1,false)</f>
        <v>ZPM1_TRAY</v>
      </c>
      <c r="H5498" s="63" t="str">
        <f>IFERROR(__xludf.DUMMYFUNCTION("VLOOKUP(F5498, IMPORTRANGE(""https://docs.google.com/spreadsheets/d/1Lhp9OU0JdFf_VYSMzH5lBcEaU4o8teT1piV-SNzShjg/edit?gid=554141278#gid=554141278"", ""'Char Def. - Attributes'!C20:C2242""), 1,false)"),"MATERIAL_CODE_TRAY")</f>
        <v>MATERIAL_CODE_TRAY</v>
      </c>
      <c r="I5498" s="136"/>
    </row>
    <row r="5499" ht="15.75" customHeight="1">
      <c r="B5499" s="63">
        <f t="shared" si="1"/>
        <v>9</v>
      </c>
      <c r="C5499" s="154" t="s">
        <v>283</v>
      </c>
      <c r="D5499" s="147" t="s">
        <v>74</v>
      </c>
      <c r="E5499" s="135">
        <f t="shared" si="59"/>
        <v>2</v>
      </c>
      <c r="F5499" s="143" t="s">
        <v>3852</v>
      </c>
      <c r="G5499" s="63" t="str">
        <f>VLOOKUP(C5499, 'Class Def. - General Data'!$C$20:$C$1000,1,false)</f>
        <v>ZPM1_TRAY</v>
      </c>
      <c r="H5499" s="63" t="str">
        <f>IFERROR(__xludf.DUMMYFUNCTION("VLOOKUP(F5499, IMPORTRANGE(""https://docs.google.com/spreadsheets/d/1Lhp9OU0JdFf_VYSMzH5lBcEaU4o8teT1piV-SNzShjg/edit?gid=554141278#gid=554141278"", ""'Char Def. - Attributes'!C20:C2242""), 1,false)"),"SINGLE_BRAND")</f>
        <v>SINGLE_BRAND</v>
      </c>
      <c r="I5499" s="136"/>
    </row>
    <row r="5500" ht="15.75" customHeight="1">
      <c r="B5500" s="63">
        <f t="shared" si="1"/>
        <v>9</v>
      </c>
      <c r="C5500" s="154" t="s">
        <v>283</v>
      </c>
      <c r="D5500" s="147" t="s">
        <v>74</v>
      </c>
      <c r="E5500" s="135">
        <f t="shared" si="59"/>
        <v>3</v>
      </c>
      <c r="F5500" s="143" t="s">
        <v>3853</v>
      </c>
      <c r="G5500" s="63" t="str">
        <f>VLOOKUP(C5500, 'Class Def. - General Data'!$C$20:$C$1000,1,false)</f>
        <v>ZPM1_TRAY</v>
      </c>
      <c r="H5500" s="63" t="str">
        <f>IFERROR(__xludf.DUMMYFUNCTION("VLOOKUP(F5500, IMPORTRANGE(""https://docs.google.com/spreadsheets/d/1Lhp9OU0JdFf_VYSMzH5lBcEaU4o8teT1piV-SNzShjg/edit?gid=554141278#gid=554141278"", ""'Char Def. - Attributes'!C20:C2242""), 1,false)"),"BRAND_WINGS")</f>
        <v>BRAND_WINGS</v>
      </c>
      <c r="I5500" s="136"/>
    </row>
    <row r="5501" ht="15.75" customHeight="1">
      <c r="B5501" s="63">
        <f t="shared" si="1"/>
        <v>9</v>
      </c>
      <c r="C5501" s="154" t="s">
        <v>283</v>
      </c>
      <c r="D5501" s="147" t="s">
        <v>74</v>
      </c>
      <c r="E5501" s="135">
        <f t="shared" si="59"/>
        <v>4</v>
      </c>
      <c r="F5501" s="143" t="s">
        <v>3854</v>
      </c>
      <c r="G5501" s="63" t="str">
        <f>VLOOKUP(C5501, 'Class Def. - General Data'!$C$20:$C$1000,1,false)</f>
        <v>ZPM1_TRAY</v>
      </c>
      <c r="H5501" s="63" t="str">
        <f>IFERROR(__xludf.DUMMYFUNCTION("VLOOKUP(F5501, IMPORTRANGE(""https://docs.google.com/spreadsheets/d/1Lhp9OU0JdFf_VYSMzH5lBcEaU4o8teT1piV-SNzShjg/edit?gid=554141278#gid=554141278"", ""'Char Def. - Attributes'!C20:C2242""), 1,false)"),"SINGLE_PACK_SHAPE")</f>
        <v>SINGLE_PACK_SHAPE</v>
      </c>
      <c r="I5501" s="136"/>
    </row>
    <row r="5502" ht="15.75" customHeight="1">
      <c r="B5502" s="63">
        <f t="shared" si="1"/>
        <v>9</v>
      </c>
      <c r="C5502" s="154" t="s">
        <v>283</v>
      </c>
      <c r="D5502" s="147" t="s">
        <v>74</v>
      </c>
      <c r="E5502" s="135">
        <f t="shared" si="59"/>
        <v>5</v>
      </c>
      <c r="F5502" s="143" t="s">
        <v>3855</v>
      </c>
      <c r="G5502" s="63" t="str">
        <f>VLOOKUP(C5502, 'Class Def. - General Data'!$C$20:$C$1000,1,false)</f>
        <v>ZPM1_TRAY</v>
      </c>
      <c r="H5502" s="63" t="str">
        <f>IFERROR(__xludf.DUMMYFUNCTION("VLOOKUP(F5502, IMPORTRANGE(""https://docs.google.com/spreadsheets/d/1Lhp9OU0JdFf_VYSMzH5lBcEaU4o8teT1piV-SNzShjg/edit?gid=554141278#gid=554141278"", ""'Char Def. - Attributes'!C20:C2242""), 1,false)"),"PACK_SHAPE")</f>
        <v>PACK_SHAPE</v>
      </c>
      <c r="I5502" s="136"/>
    </row>
    <row r="5503" ht="15.75" customHeight="1">
      <c r="B5503" s="63">
        <f t="shared" si="1"/>
        <v>9</v>
      </c>
      <c r="C5503" s="154" t="s">
        <v>283</v>
      </c>
      <c r="D5503" s="147" t="s">
        <v>74</v>
      </c>
      <c r="E5503" s="135">
        <f t="shared" si="59"/>
        <v>6</v>
      </c>
      <c r="F5503" s="143" t="s">
        <v>3856</v>
      </c>
      <c r="G5503" s="63" t="str">
        <f>VLOOKUP(C5503, 'Class Def. - General Data'!$C$20:$C$1000,1,false)</f>
        <v>ZPM1_TRAY</v>
      </c>
      <c r="H5503" s="63" t="str">
        <f>IFERROR(__xludf.DUMMYFUNCTION("VLOOKUP(F5503, IMPORTRANGE(""https://docs.google.com/spreadsheets/d/1Lhp9OU0JdFf_VYSMzH5lBcEaU4o8teT1piV-SNzShjg/edit?gid=554141278#gid=554141278"", ""'Char Def. - Attributes'!C20:C2242""), 1,false)"),"SINGLE_PACK_NETTO")</f>
        <v>SINGLE_PACK_NETTO</v>
      </c>
      <c r="I5503" s="136"/>
    </row>
    <row r="5504" ht="15.75" customHeight="1">
      <c r="B5504" s="63">
        <f t="shared" si="1"/>
        <v>9</v>
      </c>
      <c r="C5504" s="154" t="s">
        <v>283</v>
      </c>
      <c r="D5504" s="147" t="s">
        <v>74</v>
      </c>
      <c r="E5504" s="135">
        <f t="shared" si="59"/>
        <v>7</v>
      </c>
      <c r="F5504" s="143" t="s">
        <v>3605</v>
      </c>
      <c r="G5504" s="63" t="str">
        <f>VLOOKUP(C5504, 'Class Def. - General Data'!$C$20:$C$1000,1,false)</f>
        <v>ZPM1_TRAY</v>
      </c>
      <c r="H5504" s="63" t="str">
        <f>IFERROR(__xludf.DUMMYFUNCTION("VLOOKUP(F5504, IMPORTRANGE(""https://docs.google.com/spreadsheets/d/1Lhp9OU0JdFf_VYSMzH5lBcEaU4o8teT1piV-SNzShjg/edit?gid=554141278#gid=554141278"", ""'Char Def. - Attributes'!C20:C2242""), 1,false)"),"PACK_NETTO")</f>
        <v>PACK_NETTO</v>
      </c>
      <c r="I5504" s="136"/>
    </row>
    <row r="5505" ht="15.75" customHeight="1">
      <c r="B5505" s="63">
        <f t="shared" si="1"/>
        <v>9</v>
      </c>
      <c r="C5505" s="154" t="s">
        <v>283</v>
      </c>
      <c r="D5505" s="147" t="s">
        <v>74</v>
      </c>
      <c r="E5505" s="135">
        <f t="shared" si="59"/>
        <v>8</v>
      </c>
      <c r="F5505" s="143" t="s">
        <v>3857</v>
      </c>
      <c r="G5505" s="63" t="str">
        <f>VLOOKUP(C5505, 'Class Def. - General Data'!$C$20:$C$1000,1,false)</f>
        <v>ZPM1_TRAY</v>
      </c>
      <c r="H5505" s="63" t="str">
        <f>IFERROR(__xludf.DUMMYFUNCTION("VLOOKUP(F5505, IMPORTRANGE(""https://docs.google.com/spreadsheets/d/1Lhp9OU0JdFf_VYSMzH5lBcEaU4o8teT1piV-SNzShjg/edit?gid=554141278#gid=554141278"", ""'Char Def. - Attributes'!C20:C2242""), 1,false)"),"PACK_UOM")</f>
        <v>PACK_UOM</v>
      </c>
      <c r="I5505" s="136"/>
    </row>
    <row r="5506" ht="15.75" customHeight="1">
      <c r="B5506" s="63">
        <f t="shared" si="1"/>
        <v>9</v>
      </c>
      <c r="C5506" s="154" t="s">
        <v>283</v>
      </c>
      <c r="D5506" s="147" t="s">
        <v>74</v>
      </c>
      <c r="E5506" s="135">
        <f t="shared" si="59"/>
        <v>9</v>
      </c>
      <c r="F5506" s="143" t="s">
        <v>3858</v>
      </c>
      <c r="G5506" s="63" t="str">
        <f>VLOOKUP(C5506, 'Class Def. - General Data'!$C$20:$C$1000,1,false)</f>
        <v>ZPM1_TRAY</v>
      </c>
      <c r="H5506" s="63" t="str">
        <f>IFERROR(__xludf.DUMMYFUNCTION("VLOOKUP(F5506, IMPORTRANGE(""https://docs.google.com/spreadsheets/d/1Lhp9OU0JdFf_VYSMzH5lBcEaU4o8teT1piV-SNzShjg/edit?gid=554141278#gid=554141278"", ""'Char Def. - Attributes'!C20:C2242""), 1,false)"),"SINGLE_VARIAN")</f>
        <v>SINGLE_VARIAN</v>
      </c>
      <c r="I5506" s="136"/>
    </row>
    <row r="5507" ht="15.75" customHeight="1">
      <c r="B5507" s="63">
        <f t="shared" si="1"/>
        <v>9</v>
      </c>
      <c r="C5507" s="154" t="s">
        <v>283</v>
      </c>
      <c r="D5507" s="147" t="s">
        <v>74</v>
      </c>
      <c r="E5507" s="135">
        <f t="shared" si="59"/>
        <v>10</v>
      </c>
      <c r="F5507" s="143" t="s">
        <v>3607</v>
      </c>
      <c r="G5507" s="63" t="str">
        <f>VLOOKUP(C5507, 'Class Def. - General Data'!$C$20:$C$1000,1,false)</f>
        <v>ZPM1_TRAY</v>
      </c>
      <c r="H5507" s="63" t="str">
        <f>IFERROR(__xludf.DUMMYFUNCTION("VLOOKUP(F5507, IMPORTRANGE(""https://docs.google.com/spreadsheets/d/1Lhp9OU0JdFf_VYSMzH5lBcEaU4o8teT1piV-SNzShjg/edit?gid=554141278#gid=554141278"", ""'Char Def. - Attributes'!C20:C2242""), 1,false)"),"VARIAN")</f>
        <v>VARIAN</v>
      </c>
      <c r="I5507" s="136"/>
    </row>
    <row r="5508" ht="15.75" customHeight="1">
      <c r="B5508" s="63">
        <f t="shared" si="1"/>
        <v>9</v>
      </c>
      <c r="C5508" s="154" t="s">
        <v>283</v>
      </c>
      <c r="D5508" s="147" t="s">
        <v>74</v>
      </c>
      <c r="E5508" s="135">
        <f t="shared" si="59"/>
        <v>11</v>
      </c>
      <c r="F5508" s="143" t="s">
        <v>3859</v>
      </c>
      <c r="G5508" s="63" t="str">
        <f>VLOOKUP(C5508, 'Class Def. - General Data'!$C$20:$C$1000,1,false)</f>
        <v>ZPM1_TRAY</v>
      </c>
      <c r="H5508" s="63" t="str">
        <f>IFERROR(__xludf.DUMMYFUNCTION("VLOOKUP(F5508, IMPORTRANGE(""https://docs.google.com/spreadsheets/d/1Lhp9OU0JdFf_VYSMzH5lBcEaU4o8teT1piV-SNzShjg/edit?gid=554141278#gid=554141278"", ""'Char Def. - Attributes'!C20:C2242""), 1,false)"),"ADA_ADDITIONAL_PROMO")</f>
        <v>ADA_ADDITIONAL_PROMO</v>
      </c>
      <c r="I5508" s="136"/>
    </row>
    <row r="5509" ht="15.75" customHeight="1">
      <c r="B5509" s="63">
        <f t="shared" si="1"/>
        <v>9</v>
      </c>
      <c r="C5509" s="154" t="s">
        <v>283</v>
      </c>
      <c r="D5509" s="147" t="s">
        <v>74</v>
      </c>
      <c r="E5509" s="135">
        <f t="shared" si="59"/>
        <v>12</v>
      </c>
      <c r="F5509" s="143" t="s">
        <v>3609</v>
      </c>
      <c r="G5509" s="63" t="str">
        <f>VLOOKUP(C5509, 'Class Def. - General Data'!$C$20:$C$1000,1,false)</f>
        <v>ZPM1_TRAY</v>
      </c>
      <c r="H5509" s="63" t="str">
        <f>IFERROR(__xludf.DUMMYFUNCTION("VLOOKUP(F5509, IMPORTRANGE(""https://docs.google.com/spreadsheets/d/1Lhp9OU0JdFf_VYSMzH5lBcEaU4o8teT1piV-SNzShjg/edit?gid=554141278#gid=554141278"", ""'Char Def. - Attributes'!C20:C2242""), 1,false)"),"ADDITIONAL_PROMO")</f>
        <v>ADDITIONAL_PROMO</v>
      </c>
      <c r="I5509" s="136"/>
    </row>
    <row r="5510" ht="15.75" customHeight="1">
      <c r="B5510" s="63">
        <f t="shared" si="1"/>
        <v>9</v>
      </c>
      <c r="C5510" s="154" t="s">
        <v>283</v>
      </c>
      <c r="D5510" s="147" t="s">
        <v>74</v>
      </c>
      <c r="E5510" s="135">
        <f t="shared" si="59"/>
        <v>13</v>
      </c>
      <c r="F5510" s="143" t="s">
        <v>3860</v>
      </c>
      <c r="G5510" s="63" t="str">
        <f>VLOOKUP(C5510, 'Class Def. - General Data'!$C$20:$C$1000,1,false)</f>
        <v>ZPM1_TRAY</v>
      </c>
      <c r="H5510" s="63" t="str">
        <f>IFERROR(__xludf.DUMMYFUNCTION("VLOOKUP(F5510, IMPORTRANGE(""https://docs.google.com/spreadsheets/d/1Lhp9OU0JdFf_VYSMzH5lBcEaU4o8teT1piV-SNzShjg/edit?gid=554141278#gid=554141278"", ""'Char Def. - Attributes'!C20:C2242""), 1,false)"),"ADA_BANDED_PROMO")</f>
        <v>ADA_BANDED_PROMO</v>
      </c>
      <c r="I5510" s="136"/>
    </row>
    <row r="5511" ht="15.75" customHeight="1">
      <c r="B5511" s="63">
        <f t="shared" si="1"/>
        <v>9</v>
      </c>
      <c r="C5511" s="154" t="s">
        <v>283</v>
      </c>
      <c r="D5511" s="147" t="s">
        <v>74</v>
      </c>
      <c r="E5511" s="135">
        <f t="shared" si="59"/>
        <v>14</v>
      </c>
      <c r="F5511" s="143" t="s">
        <v>3610</v>
      </c>
      <c r="G5511" s="63" t="str">
        <f>VLOOKUP(C5511, 'Class Def. - General Data'!$C$20:$C$1000,1,false)</f>
        <v>ZPM1_TRAY</v>
      </c>
      <c r="H5511" s="63" t="str">
        <f>IFERROR(__xludf.DUMMYFUNCTION("VLOOKUP(F5511, IMPORTRANGE(""https://docs.google.com/spreadsheets/d/1Lhp9OU0JdFf_VYSMzH5lBcEaU4o8teT1piV-SNzShjg/edit?gid=554141278#gid=554141278"", ""'Char Def. - Attributes'!C20:C2242""), 1,false)"),"BANDED_PROMO")</f>
        <v>BANDED_PROMO</v>
      </c>
      <c r="I5511" s="136"/>
    </row>
    <row r="5512" ht="15.75" customHeight="1">
      <c r="B5512" s="63">
        <f t="shared" si="1"/>
        <v>9</v>
      </c>
      <c r="C5512" s="154" t="s">
        <v>283</v>
      </c>
      <c r="D5512" s="147" t="s">
        <v>74</v>
      </c>
      <c r="E5512" s="135">
        <f t="shared" si="59"/>
        <v>15</v>
      </c>
      <c r="F5512" s="143" t="s">
        <v>1292</v>
      </c>
      <c r="G5512" s="63" t="str">
        <f>VLOOKUP(C5512, 'Class Def. - General Data'!$C$20:$C$1000,1,false)</f>
        <v>ZPM1_TRAY</v>
      </c>
      <c r="H5512" s="63" t="str">
        <f>IFERROR(__xludf.DUMMYFUNCTION("VLOOKUP(F5512, IMPORTRANGE(""https://docs.google.com/spreadsheets/d/1Lhp9OU0JdFf_VYSMzH5lBcEaU4o8teT1piV-SNzShjg/edit?gid=554141278#gid=554141278"", ""'Char Def. - Attributes'!C20:C2242""), 1,false)"),"EXPORT")</f>
        <v>EXPORT</v>
      </c>
      <c r="I5512" s="136"/>
    </row>
    <row r="5513" ht="15.75" customHeight="1">
      <c r="B5513" s="63">
        <f t="shared" si="1"/>
        <v>9</v>
      </c>
      <c r="C5513" s="154" t="s">
        <v>283</v>
      </c>
      <c r="D5513" s="147" t="s">
        <v>74</v>
      </c>
      <c r="E5513" s="135">
        <f t="shared" si="59"/>
        <v>16</v>
      </c>
      <c r="F5513" s="143" t="s">
        <v>3612</v>
      </c>
      <c r="G5513" s="63" t="str">
        <f>VLOOKUP(C5513, 'Class Def. - General Data'!$C$20:$C$1000,1,false)</f>
        <v>ZPM1_TRAY</v>
      </c>
      <c r="H5513" s="63" t="str">
        <f>IFERROR(__xludf.DUMMYFUNCTION("VLOOKUP(F5513, IMPORTRANGE(""https://docs.google.com/spreadsheets/d/1Lhp9OU0JdFf_VYSMzH5lBcEaU4o8teT1piV-SNzShjg/edit?gid=554141278#gid=554141278"", ""'Char Def. - Attributes'!C20:C2242""), 1,false)"),"COUNTRY_EKSPOR")</f>
        <v>COUNTRY_EKSPOR</v>
      </c>
      <c r="I5513" s="136"/>
    </row>
    <row r="5514" ht="15.75" customHeight="1">
      <c r="B5514" s="63">
        <f t="shared" si="1"/>
        <v>9</v>
      </c>
      <c r="C5514" s="154" t="s">
        <v>283</v>
      </c>
      <c r="D5514" s="147" t="s">
        <v>74</v>
      </c>
      <c r="E5514" s="135">
        <f t="shared" si="59"/>
        <v>17</v>
      </c>
      <c r="F5514" s="143" t="s">
        <v>3890</v>
      </c>
      <c r="G5514" s="63" t="str">
        <f>VLOOKUP(C5514, 'Class Def. - General Data'!$C$20:$C$1000,1,false)</f>
        <v>ZPM1_TRAY</v>
      </c>
      <c r="H5514" s="63" t="str">
        <f>IFERROR(__xludf.DUMMYFUNCTION("VLOOKUP(F5514, IMPORTRANGE(""https://docs.google.com/spreadsheets/d/1Lhp9OU0JdFf_VYSMzH5lBcEaU4o8teT1piV-SNzShjg/edit?gid=554141278#gid=554141278"", ""'Char Def. - Attributes'!C20:C2242""), 1,false)"),"EXT_MAT_GRP")</f>
        <v>EXT_MAT_GRP</v>
      </c>
      <c r="I5514" s="136"/>
    </row>
    <row r="5515" ht="15.75" customHeight="1">
      <c r="B5515" s="63">
        <f t="shared" si="1"/>
        <v>9</v>
      </c>
      <c r="C5515" s="154" t="s">
        <v>283</v>
      </c>
      <c r="D5515" s="147" t="s">
        <v>74</v>
      </c>
      <c r="E5515" s="135">
        <f t="shared" si="59"/>
        <v>18</v>
      </c>
      <c r="F5515" s="143" t="s">
        <v>3587</v>
      </c>
      <c r="G5515" s="63" t="str">
        <f>VLOOKUP(C5515, 'Class Def. - General Data'!$C$20:$C$1000,1,false)</f>
        <v>ZPM1_TRAY</v>
      </c>
      <c r="H5515" s="63" t="str">
        <f>IFERROR(__xludf.DUMMYFUNCTION("VLOOKUP(F5515, IMPORTRANGE(""https://docs.google.com/spreadsheets/d/1Lhp9OU0JdFf_VYSMzH5lBcEaU4o8teT1piV-SNzShjg/edit?gid=554141278#gid=554141278"", ""'Char Def. - Attributes'!C20:C2242""), 1,false)"),"PLANT_BUY")</f>
        <v>PLANT_BUY</v>
      </c>
      <c r="I5515" s="136"/>
    </row>
    <row r="5516" ht="15.75" customHeight="1">
      <c r="B5516" s="63">
        <f t="shared" si="1"/>
        <v>9</v>
      </c>
      <c r="C5516" s="154" t="s">
        <v>283</v>
      </c>
      <c r="D5516" s="147" t="s">
        <v>74</v>
      </c>
      <c r="E5516" s="135">
        <f t="shared" si="59"/>
        <v>19</v>
      </c>
      <c r="F5516" s="143" t="s">
        <v>3865</v>
      </c>
      <c r="G5516" s="63" t="str">
        <f>VLOOKUP(C5516, 'Class Def. - General Data'!$C$20:$C$1000,1,false)</f>
        <v>ZPM1_TRAY</v>
      </c>
      <c r="H5516" s="63" t="str">
        <f>IFERROR(__xludf.DUMMYFUNCTION("VLOOKUP(F5516, IMPORTRANGE(""https://docs.google.com/spreadsheets/d/1Lhp9OU0JdFf_VYSMzH5lBcEaU4o8teT1piV-SNzShjg/edit?gid=554141278#gid=554141278"", ""'Char Def. - Attributes'!C20:C2242""), 1,false)"),"PLANT_PROD_OPT")</f>
        <v>PLANT_PROD_OPT</v>
      </c>
      <c r="I5516" s="136"/>
    </row>
    <row r="5517" ht="15.75" customHeight="1">
      <c r="B5517" s="63">
        <f t="shared" si="1"/>
        <v>9</v>
      </c>
      <c r="C5517" s="154" t="s">
        <v>283</v>
      </c>
      <c r="D5517" s="147" t="s">
        <v>74</v>
      </c>
      <c r="E5517" s="135">
        <f t="shared" si="59"/>
        <v>20</v>
      </c>
      <c r="F5517" s="143" t="s">
        <v>3866</v>
      </c>
      <c r="G5517" s="63" t="str">
        <f>VLOOKUP(C5517, 'Class Def. - General Data'!$C$20:$C$1000,1,false)</f>
        <v>ZPM1_TRAY</v>
      </c>
      <c r="H5517" s="63" t="str">
        <f>IFERROR(__xludf.DUMMYFUNCTION("VLOOKUP(F5517, IMPORTRANGE(""https://docs.google.com/spreadsheets/d/1Lhp9OU0JdFf_VYSMzH5lBcEaU4o8teT1piV-SNzShjg/edit?gid=554141278#gid=554141278"", ""'Char Def. - Attributes'!C20:C2242""), 1,false)"),"PM_SUPPLY_JKT")</f>
        <v>PM_SUPPLY_JKT</v>
      </c>
      <c r="I5517" s="136"/>
    </row>
    <row r="5518" ht="15.75" customHeight="1">
      <c r="B5518" s="63">
        <f t="shared" si="1"/>
        <v>9</v>
      </c>
      <c r="C5518" s="154" t="s">
        <v>283</v>
      </c>
      <c r="D5518" s="147" t="s">
        <v>74</v>
      </c>
      <c r="E5518" s="135">
        <f t="shared" si="59"/>
        <v>21</v>
      </c>
      <c r="F5518" s="143" t="s">
        <v>3867</v>
      </c>
      <c r="G5518" s="63" t="str">
        <f>VLOOKUP(C5518, 'Class Def. - General Data'!$C$20:$C$1000,1,false)</f>
        <v>ZPM1_TRAY</v>
      </c>
      <c r="H5518" s="63" t="str">
        <f>IFERROR(__xludf.DUMMYFUNCTION("VLOOKUP(F5518, IMPORTRANGE(""https://docs.google.com/spreadsheets/d/1Lhp9OU0JdFf_VYSMzH5lBcEaU4o8teT1piV-SNzShjg/edit?gid=554141278#gid=554141278"", ""'Char Def. - Attributes'!C20:C2242""), 1,false)"),"PM_SUPPLY_SBY")</f>
        <v>PM_SUPPLY_SBY</v>
      </c>
      <c r="I5518" s="136"/>
    </row>
    <row r="5519" ht="15.75" customHeight="1">
      <c r="B5519" s="63">
        <f t="shared" si="1"/>
        <v>9</v>
      </c>
      <c r="C5519" s="154" t="s">
        <v>283</v>
      </c>
      <c r="D5519" s="147" t="s">
        <v>74</v>
      </c>
      <c r="E5519" s="135">
        <f t="shared" si="59"/>
        <v>22</v>
      </c>
      <c r="F5519" s="143" t="s">
        <v>3868</v>
      </c>
      <c r="G5519" s="63" t="str">
        <f>VLOOKUP(C5519, 'Class Def. - General Data'!$C$20:$C$1000,1,false)</f>
        <v>ZPM1_TRAY</v>
      </c>
      <c r="H5519" s="63" t="str">
        <f>IFERROR(__xludf.DUMMYFUNCTION("VLOOKUP(F5519, IMPORTRANGE(""https://docs.google.com/spreadsheets/d/1Lhp9OU0JdFf_VYSMzH5lBcEaU4o8teT1piV-SNzShjg/edit?gid=554141278#gid=554141278"", ""'Char Def. - Attributes'!C20:C2242""), 1,false)"),"BASIC_UOM_RMPM")</f>
        <v>BASIC_UOM_RMPM</v>
      </c>
      <c r="I5519" s="136"/>
    </row>
    <row r="5520" ht="15.75" customHeight="1">
      <c r="B5520" s="63">
        <f t="shared" si="1"/>
        <v>9</v>
      </c>
      <c r="C5520" s="154" t="s">
        <v>283</v>
      </c>
      <c r="D5520" s="147" t="s">
        <v>74</v>
      </c>
      <c r="E5520" s="135">
        <f t="shared" si="59"/>
        <v>23</v>
      </c>
      <c r="F5520" s="143" t="s">
        <v>3869</v>
      </c>
      <c r="G5520" s="63" t="str">
        <f>VLOOKUP(C5520, 'Class Def. - General Data'!$C$20:$C$1000,1,false)</f>
        <v>ZPM1_TRAY</v>
      </c>
      <c r="H5520" s="63" t="str">
        <f>IFERROR(__xludf.DUMMYFUNCTION("VLOOKUP(F5520, IMPORTRANGE(""https://docs.google.com/spreadsheets/d/1Lhp9OU0JdFf_VYSMzH5lBcEaU4o8teT1piV-SNzShjg/edit?gid=554141278#gid=554141278"", ""'Char Def. - Attributes'!C20:C2242""), 1,false)"),"ALT_UOM1_RMPM")</f>
        <v>ALT_UOM1_RMPM</v>
      </c>
      <c r="I5520" s="136"/>
    </row>
    <row r="5521" ht="15.75" customHeight="1">
      <c r="B5521" s="63">
        <f t="shared" si="1"/>
        <v>9</v>
      </c>
      <c r="C5521" s="154" t="s">
        <v>283</v>
      </c>
      <c r="D5521" s="147" t="s">
        <v>74</v>
      </c>
      <c r="E5521" s="135">
        <f t="shared" si="59"/>
        <v>24</v>
      </c>
      <c r="F5521" s="143" t="s">
        <v>3805</v>
      </c>
      <c r="G5521" s="63" t="str">
        <f>VLOOKUP(C5521, 'Class Def. - General Data'!$C$20:$C$1000,1,false)</f>
        <v>ZPM1_TRAY</v>
      </c>
      <c r="H5521" s="63" t="str">
        <f>IFERROR(__xludf.DUMMYFUNCTION("VLOOKUP(F5521, IMPORTRANGE(""https://docs.google.com/spreadsheets/d/1Lhp9OU0JdFf_VYSMzH5lBcEaU4o8teT1piV-SNzShjg/edit?gid=554141278#gid=554141278"", ""'Char Def. - Attributes'!C20:C2242""), 1,false)"),"ALT_DENUM_UOM1")</f>
        <v>ALT_DENUM_UOM1</v>
      </c>
      <c r="I5521" s="136"/>
    </row>
    <row r="5522" ht="15.75" customHeight="1">
      <c r="B5522" s="63">
        <f t="shared" si="1"/>
        <v>9</v>
      </c>
      <c r="C5522" s="154" t="s">
        <v>283</v>
      </c>
      <c r="D5522" s="147" t="s">
        <v>74</v>
      </c>
      <c r="E5522" s="135">
        <f t="shared" si="59"/>
        <v>25</v>
      </c>
      <c r="F5522" s="143" t="s">
        <v>3806</v>
      </c>
      <c r="G5522" s="63" t="str">
        <f>VLOOKUP(C5522, 'Class Def. - General Data'!$C$20:$C$1000,1,false)</f>
        <v>ZPM1_TRAY</v>
      </c>
      <c r="H5522" s="63" t="str">
        <f>IFERROR(__xludf.DUMMYFUNCTION("VLOOKUP(F5522, IMPORTRANGE(""https://docs.google.com/spreadsheets/d/1Lhp9OU0JdFf_VYSMzH5lBcEaU4o8teT1piV-SNzShjg/edit?gid=554141278#gid=554141278"", ""'Char Def. - Attributes'!C20:C2242""), 1,false)"),"ALT_NUM_UOM1")</f>
        <v>ALT_NUM_UOM1</v>
      </c>
      <c r="I5522" s="136"/>
    </row>
    <row r="5523" ht="15.75" customHeight="1">
      <c r="B5523" s="63">
        <f t="shared" si="1"/>
        <v>9</v>
      </c>
      <c r="C5523" s="154" t="s">
        <v>283</v>
      </c>
      <c r="D5523" s="147" t="s">
        <v>74</v>
      </c>
      <c r="E5523" s="135">
        <f t="shared" si="59"/>
        <v>26</v>
      </c>
      <c r="F5523" s="143" t="s">
        <v>3870</v>
      </c>
      <c r="G5523" s="63" t="str">
        <f>VLOOKUP(C5523, 'Class Def. - General Data'!$C$20:$C$1000,1,false)</f>
        <v>ZPM1_TRAY</v>
      </c>
      <c r="H5523" s="63" t="str">
        <f>IFERROR(__xludf.DUMMYFUNCTION("VLOOKUP(F5523, IMPORTRANGE(""https://docs.google.com/spreadsheets/d/1Lhp9OU0JdFf_VYSMzH5lBcEaU4o8teT1piV-SNzShjg/edit?gid=554141278#gid=554141278"", ""'Char Def. - Attributes'!C20:C2242""), 1,false)"),"ALT_UOM2_RMPM")</f>
        <v>ALT_UOM2_RMPM</v>
      </c>
      <c r="I5523" s="136"/>
    </row>
    <row r="5524" ht="15.75" customHeight="1">
      <c r="B5524" s="63">
        <f t="shared" si="1"/>
        <v>9</v>
      </c>
      <c r="C5524" s="154" t="s">
        <v>283</v>
      </c>
      <c r="D5524" s="147" t="s">
        <v>74</v>
      </c>
      <c r="E5524" s="135">
        <f t="shared" si="59"/>
        <v>27</v>
      </c>
      <c r="F5524" s="143" t="s">
        <v>3808</v>
      </c>
      <c r="G5524" s="63" t="str">
        <f>VLOOKUP(C5524, 'Class Def. - General Data'!$C$20:$C$1000,1,false)</f>
        <v>ZPM1_TRAY</v>
      </c>
      <c r="H5524" s="63" t="str">
        <f>IFERROR(__xludf.DUMMYFUNCTION("VLOOKUP(F5524, IMPORTRANGE(""https://docs.google.com/spreadsheets/d/1Lhp9OU0JdFf_VYSMzH5lBcEaU4o8teT1piV-SNzShjg/edit?gid=554141278#gid=554141278"", ""'Char Def. - Attributes'!C20:C2242""), 1,false)"),"ALT_DENUM_UOM2")</f>
        <v>ALT_DENUM_UOM2</v>
      </c>
      <c r="I5524" s="136"/>
    </row>
    <row r="5525" ht="15.75" customHeight="1">
      <c r="B5525" s="63">
        <f t="shared" si="1"/>
        <v>9</v>
      </c>
      <c r="C5525" s="154" t="s">
        <v>283</v>
      </c>
      <c r="D5525" s="147" t="s">
        <v>74</v>
      </c>
      <c r="E5525" s="135">
        <f t="shared" si="59"/>
        <v>28</v>
      </c>
      <c r="F5525" s="143" t="s">
        <v>3809</v>
      </c>
      <c r="G5525" s="63" t="str">
        <f>VLOOKUP(C5525, 'Class Def. - General Data'!$C$20:$C$1000,1,false)</f>
        <v>ZPM1_TRAY</v>
      </c>
      <c r="H5525" s="63" t="str">
        <f>IFERROR(__xludf.DUMMYFUNCTION("VLOOKUP(F5525, IMPORTRANGE(""https://docs.google.com/spreadsheets/d/1Lhp9OU0JdFf_VYSMzH5lBcEaU4o8teT1piV-SNzShjg/edit?gid=554141278#gid=554141278"", ""'Char Def. - Attributes'!C20:C2242""), 1,false)"),"ALT_NUM_UOM2")</f>
        <v>ALT_NUM_UOM2</v>
      </c>
      <c r="I5525" s="136"/>
    </row>
    <row r="5526" ht="15.75" customHeight="1">
      <c r="B5526" s="63">
        <f t="shared" si="1"/>
        <v>9</v>
      </c>
      <c r="C5526" s="154" t="s">
        <v>283</v>
      </c>
      <c r="D5526" s="147" t="s">
        <v>74</v>
      </c>
      <c r="E5526" s="135">
        <f t="shared" si="59"/>
        <v>29</v>
      </c>
      <c r="F5526" s="143" t="s">
        <v>3871</v>
      </c>
      <c r="G5526" s="63" t="str">
        <f>VLOOKUP(C5526, 'Class Def. - General Data'!$C$20:$C$1000,1,false)</f>
        <v>ZPM1_TRAY</v>
      </c>
      <c r="H5526" s="63" t="str">
        <f>IFERROR(__xludf.DUMMYFUNCTION("VLOOKUP(F5526, IMPORTRANGE(""https://docs.google.com/spreadsheets/d/1Lhp9OU0JdFf_VYSMzH5lBcEaU4o8teT1piV-SNzShjg/edit?gid=554141278#gid=554141278"", ""'Char Def. - Attributes'!C20:C2242""), 1,false)"),"ALT_UOM3_RMPM")</f>
        <v>ALT_UOM3_RMPM</v>
      </c>
      <c r="I5526" s="136"/>
    </row>
    <row r="5527" ht="15.75" customHeight="1">
      <c r="B5527" s="63">
        <f t="shared" si="1"/>
        <v>9</v>
      </c>
      <c r="C5527" s="154" t="s">
        <v>283</v>
      </c>
      <c r="D5527" s="147" t="s">
        <v>74</v>
      </c>
      <c r="E5527" s="135">
        <f t="shared" si="59"/>
        <v>30</v>
      </c>
      <c r="F5527" s="143" t="s">
        <v>3811</v>
      </c>
      <c r="G5527" s="63" t="str">
        <f>VLOOKUP(C5527, 'Class Def. - General Data'!$C$20:$C$1000,1,false)</f>
        <v>ZPM1_TRAY</v>
      </c>
      <c r="H5527" s="63" t="str">
        <f>IFERROR(__xludf.DUMMYFUNCTION("VLOOKUP(F5527, IMPORTRANGE(""https://docs.google.com/spreadsheets/d/1Lhp9OU0JdFf_VYSMzH5lBcEaU4o8teT1piV-SNzShjg/edit?gid=554141278#gid=554141278"", ""'Char Def. - Attributes'!C20:C2242""), 1,false)"),"ALT_DENUM_UOM3")</f>
        <v>ALT_DENUM_UOM3</v>
      </c>
      <c r="I5527" s="136"/>
    </row>
    <row r="5528" ht="15.75" customHeight="1">
      <c r="B5528" s="63">
        <f t="shared" si="1"/>
        <v>9</v>
      </c>
      <c r="C5528" s="154" t="s">
        <v>283</v>
      </c>
      <c r="D5528" s="147" t="s">
        <v>74</v>
      </c>
      <c r="E5528" s="135">
        <f t="shared" si="59"/>
        <v>31</v>
      </c>
      <c r="F5528" s="143" t="s">
        <v>3812</v>
      </c>
      <c r="G5528" s="63" t="str">
        <f>VLOOKUP(C5528, 'Class Def. - General Data'!$C$20:$C$1000,1,false)</f>
        <v>ZPM1_TRAY</v>
      </c>
      <c r="H5528" s="63" t="str">
        <f>IFERROR(__xludf.DUMMYFUNCTION("VLOOKUP(F5528, IMPORTRANGE(""https://docs.google.com/spreadsheets/d/1Lhp9OU0JdFf_VYSMzH5lBcEaU4o8teT1piV-SNzShjg/edit?gid=554141278#gid=554141278"", ""'Char Def. - Attributes'!C20:C2242""), 1,false)"),"ALT_NUM_UOM3")</f>
        <v>ALT_NUM_UOM3</v>
      </c>
      <c r="I5528" s="136"/>
    </row>
    <row r="5529" ht="15.75" customHeight="1">
      <c r="B5529" s="63">
        <f t="shared" si="1"/>
        <v>9</v>
      </c>
      <c r="C5529" s="154" t="s">
        <v>283</v>
      </c>
      <c r="D5529" s="147" t="s">
        <v>74</v>
      </c>
      <c r="E5529" s="135">
        <f t="shared" si="59"/>
        <v>32</v>
      </c>
      <c r="F5529" s="143" t="s">
        <v>3872</v>
      </c>
      <c r="G5529" s="63" t="str">
        <f>VLOOKUP(C5529, 'Class Def. - General Data'!$C$20:$C$1000,1,false)</f>
        <v>ZPM1_TRAY</v>
      </c>
      <c r="H5529" s="63" t="str">
        <f>IFERROR(__xludf.DUMMYFUNCTION("VLOOKUP(F5529, IMPORTRANGE(""https://docs.google.com/spreadsheets/d/1Lhp9OU0JdFf_VYSMzH5lBcEaU4o8teT1piV-SNzShjg/edit?gid=554141278#gid=554141278"", ""'Char Def. - Attributes'!C20:C2242""), 1,false)"),"ALT_UOM4_RMPM")</f>
        <v>ALT_UOM4_RMPM</v>
      </c>
      <c r="I5529" s="136"/>
    </row>
    <row r="5530" ht="15.75" customHeight="1">
      <c r="B5530" s="63">
        <f t="shared" si="1"/>
        <v>9</v>
      </c>
      <c r="C5530" s="154" t="s">
        <v>283</v>
      </c>
      <c r="D5530" s="147" t="s">
        <v>74</v>
      </c>
      <c r="E5530" s="135">
        <f t="shared" si="59"/>
        <v>33</v>
      </c>
      <c r="F5530" s="143" t="s">
        <v>3814</v>
      </c>
      <c r="G5530" s="63" t="str">
        <f>VLOOKUP(C5530, 'Class Def. - General Data'!$C$20:$C$1000,1,false)</f>
        <v>ZPM1_TRAY</v>
      </c>
      <c r="H5530" s="63" t="str">
        <f>IFERROR(__xludf.DUMMYFUNCTION("VLOOKUP(F5530, IMPORTRANGE(""https://docs.google.com/spreadsheets/d/1Lhp9OU0JdFf_VYSMzH5lBcEaU4o8teT1piV-SNzShjg/edit?gid=554141278#gid=554141278"", ""'Char Def. - Attributes'!C20:C2242""), 1,false)"),"ALT_DENUM_UOM4")</f>
        <v>ALT_DENUM_UOM4</v>
      </c>
      <c r="I5530" s="136"/>
    </row>
    <row r="5531" ht="15.75" customHeight="1">
      <c r="B5531" s="63">
        <f t="shared" si="1"/>
        <v>9</v>
      </c>
      <c r="C5531" s="154" t="s">
        <v>283</v>
      </c>
      <c r="D5531" s="147" t="s">
        <v>74</v>
      </c>
      <c r="E5531" s="135">
        <f t="shared" si="59"/>
        <v>34</v>
      </c>
      <c r="F5531" s="143" t="s">
        <v>3815</v>
      </c>
      <c r="G5531" s="63" t="str">
        <f>VLOOKUP(C5531, 'Class Def. - General Data'!$C$20:$C$1000,1,false)</f>
        <v>ZPM1_TRAY</v>
      </c>
      <c r="H5531" s="63" t="str">
        <f>IFERROR(__xludf.DUMMYFUNCTION("VLOOKUP(F5531, IMPORTRANGE(""https://docs.google.com/spreadsheets/d/1Lhp9OU0JdFf_VYSMzH5lBcEaU4o8teT1piV-SNzShjg/edit?gid=554141278#gid=554141278"", ""'Char Def. - Attributes'!C20:C2242""), 1,false)"),"ALT_NUM_UOM4")</f>
        <v>ALT_NUM_UOM4</v>
      </c>
      <c r="I5531" s="136"/>
    </row>
    <row r="5532" ht="15.75" customHeight="1">
      <c r="B5532" s="63">
        <f t="shared" si="1"/>
        <v>9</v>
      </c>
      <c r="C5532" s="154" t="s">
        <v>283</v>
      </c>
      <c r="D5532" s="147" t="s">
        <v>74</v>
      </c>
      <c r="E5532" s="135">
        <f t="shared" si="59"/>
        <v>35</v>
      </c>
      <c r="F5532" s="143" t="s">
        <v>3873</v>
      </c>
      <c r="G5532" s="63" t="str">
        <f>VLOOKUP(C5532, 'Class Def. - General Data'!$C$20:$C$1000,1,false)</f>
        <v>ZPM1_TRAY</v>
      </c>
      <c r="H5532" s="63" t="str">
        <f>IFERROR(__xludf.DUMMYFUNCTION("VLOOKUP(F5532, IMPORTRANGE(""https://docs.google.com/spreadsheets/d/1Lhp9OU0JdFf_VYSMzH5lBcEaU4o8teT1piV-SNzShjg/edit?gid=554141278#gid=554141278"", ""'Char Def. - Attributes'!C20:C2242""), 1,false)"),"ALT_UOM5_RMPM")</f>
        <v>ALT_UOM5_RMPM</v>
      </c>
      <c r="I5532" s="136"/>
    </row>
    <row r="5533" ht="15.75" customHeight="1">
      <c r="B5533" s="63">
        <f t="shared" si="1"/>
        <v>9</v>
      </c>
      <c r="C5533" s="154" t="s">
        <v>283</v>
      </c>
      <c r="D5533" s="147" t="s">
        <v>74</v>
      </c>
      <c r="E5533" s="135">
        <f t="shared" si="59"/>
        <v>36</v>
      </c>
      <c r="F5533" s="143" t="s">
        <v>3817</v>
      </c>
      <c r="G5533" s="63" t="str">
        <f>VLOOKUP(C5533, 'Class Def. - General Data'!$C$20:$C$1000,1,false)</f>
        <v>ZPM1_TRAY</v>
      </c>
      <c r="H5533" s="63" t="str">
        <f>IFERROR(__xludf.DUMMYFUNCTION("VLOOKUP(F5533, IMPORTRANGE(""https://docs.google.com/spreadsheets/d/1Lhp9OU0JdFf_VYSMzH5lBcEaU4o8teT1piV-SNzShjg/edit?gid=554141278#gid=554141278"", ""'Char Def. - Attributes'!C20:C2242""), 1,false)"),"ALT_DENUM_UOM5")</f>
        <v>ALT_DENUM_UOM5</v>
      </c>
      <c r="I5533" s="136"/>
    </row>
    <row r="5534" ht="15.75" customHeight="1">
      <c r="B5534" s="63">
        <f t="shared" si="1"/>
        <v>9</v>
      </c>
      <c r="C5534" s="154" t="s">
        <v>283</v>
      </c>
      <c r="D5534" s="147" t="s">
        <v>74</v>
      </c>
      <c r="E5534" s="135">
        <f t="shared" si="59"/>
        <v>37</v>
      </c>
      <c r="F5534" s="143" t="s">
        <v>3818</v>
      </c>
      <c r="G5534" s="63" t="str">
        <f>VLOOKUP(C5534, 'Class Def. - General Data'!$C$20:$C$1000,1,false)</f>
        <v>ZPM1_TRAY</v>
      </c>
      <c r="H5534" s="63" t="str">
        <f>IFERROR(__xludf.DUMMYFUNCTION("VLOOKUP(F5534, IMPORTRANGE(""https://docs.google.com/spreadsheets/d/1Lhp9OU0JdFf_VYSMzH5lBcEaU4o8teT1piV-SNzShjg/edit?gid=554141278#gid=554141278"", ""'Char Def. - Attributes'!C20:C2242""), 1,false)"),"ALT_NUM_UOM5")</f>
        <v>ALT_NUM_UOM5</v>
      </c>
      <c r="I5534" s="136"/>
    </row>
    <row r="5535" ht="15.75" customHeight="1">
      <c r="B5535" s="63">
        <f t="shared" si="1"/>
        <v>9</v>
      </c>
      <c r="C5535" s="154" t="s">
        <v>283</v>
      </c>
      <c r="D5535" s="147" t="s">
        <v>74</v>
      </c>
      <c r="E5535" s="135">
        <f t="shared" si="59"/>
        <v>38</v>
      </c>
      <c r="F5535" s="143" t="s">
        <v>3874</v>
      </c>
      <c r="G5535" s="63" t="str">
        <f>VLOOKUP(C5535, 'Class Def. - General Data'!$C$20:$C$1000,1,false)</f>
        <v>ZPM1_TRAY</v>
      </c>
      <c r="H5535" s="63" t="str">
        <f>IFERROR(__xludf.DUMMYFUNCTION("VLOOKUP(F5535, IMPORTRANGE(""https://docs.google.com/spreadsheets/d/1Lhp9OU0JdFf_VYSMzH5lBcEaU4o8teT1piV-SNzShjg/edit?gid=554141278#gid=554141278"", ""'Char Def. - Attributes'!C20:C2242""), 1,false)"),"VALUATION_CATEGORY")</f>
        <v>VALUATION_CATEGORY</v>
      </c>
      <c r="I5535" s="136"/>
    </row>
    <row r="5536" ht="15.75" customHeight="1">
      <c r="B5536" s="63">
        <f t="shared" si="1"/>
        <v>9</v>
      </c>
      <c r="C5536" s="154" t="s">
        <v>283</v>
      </c>
      <c r="D5536" s="147" t="s">
        <v>74</v>
      </c>
      <c r="E5536" s="135">
        <f t="shared" si="59"/>
        <v>39</v>
      </c>
      <c r="F5536" s="143" t="s">
        <v>3800</v>
      </c>
      <c r="G5536" s="63" t="str">
        <f>VLOOKUP(C5536, 'Class Def. - General Data'!$C$20:$C$1000,1,false)</f>
        <v>ZPM1_TRAY</v>
      </c>
      <c r="H5536" s="63" t="str">
        <f>IFERROR(__xludf.DUMMYFUNCTION("VLOOKUP(F5536, IMPORTRANGE(""https://docs.google.com/spreadsheets/d/1Lhp9OU0JdFf_VYSMzH5lBcEaU4o8teT1piV-SNzShjg/edit?gid=554141278#gid=554141278"", ""'Char Def. - Attributes'!C20:C2242""), 1,false)"),"ORDER_UNIT_DIFF_FROM_BASIC_UOM")</f>
        <v>ORDER_UNIT_DIFF_FROM_BASIC_UOM</v>
      </c>
      <c r="I5536" s="136"/>
    </row>
    <row r="5537" ht="15.75" customHeight="1">
      <c r="B5537" s="63">
        <f t="shared" si="1"/>
        <v>9</v>
      </c>
      <c r="C5537" s="154" t="s">
        <v>283</v>
      </c>
      <c r="D5537" s="147" t="s">
        <v>74</v>
      </c>
      <c r="E5537" s="135">
        <f t="shared" si="59"/>
        <v>40</v>
      </c>
      <c r="F5537" s="143" t="s">
        <v>3875</v>
      </c>
      <c r="G5537" s="63" t="str">
        <f>VLOOKUP(C5537, 'Class Def. - General Data'!$C$20:$C$1000,1,false)</f>
        <v>ZPM1_TRAY</v>
      </c>
      <c r="H5537" s="63" t="str">
        <f>IFERROR(__xludf.DUMMYFUNCTION("VLOOKUP(F5537, IMPORTRANGE(""https://docs.google.com/spreadsheets/d/1Lhp9OU0JdFf_VYSMzH5lBcEaU4o8teT1piV-SNzShjg/edit?gid=554141278#gid=554141278"", ""'Char Def. - Attributes'!C20:C2242""), 1,false)"),"ORDER_UNIT_RMPM")</f>
        <v>ORDER_UNIT_RMPM</v>
      </c>
      <c r="I5537" s="136"/>
    </row>
    <row r="5538" ht="15.75" customHeight="1">
      <c r="B5538" s="63">
        <f t="shared" si="1"/>
        <v>9</v>
      </c>
      <c r="C5538" s="154" t="s">
        <v>283</v>
      </c>
      <c r="D5538" s="147" t="s">
        <v>74</v>
      </c>
      <c r="E5538" s="135">
        <f t="shared" si="59"/>
        <v>41</v>
      </c>
      <c r="F5538" s="143" t="s">
        <v>3602</v>
      </c>
      <c r="G5538" s="63" t="str">
        <f>VLOOKUP(C5538, 'Class Def. - General Data'!$C$20:$C$1000,1,false)</f>
        <v>ZPM1_TRAY</v>
      </c>
      <c r="H5538" s="63" t="str">
        <f>IFERROR(__xludf.DUMMYFUNCTION("VLOOKUP(F5538, IMPORTRANGE(""https://docs.google.com/spreadsheets/d/1Lhp9OU0JdFf_VYSMzH5lBcEaU4o8teT1piV-SNzShjg/edit?gid=554141278#gid=554141278"", ""'Char Def. - Attributes'!C20:C2242""), 1,false)"),"NET_WEIGHT")</f>
        <v>NET_WEIGHT</v>
      </c>
      <c r="I5538" s="136"/>
    </row>
    <row r="5539" ht="15.75" customHeight="1">
      <c r="B5539" s="63">
        <f t="shared" si="1"/>
        <v>9</v>
      </c>
      <c r="C5539" s="154" t="s">
        <v>283</v>
      </c>
      <c r="D5539" s="147" t="s">
        <v>74</v>
      </c>
      <c r="E5539" s="135">
        <f t="shared" si="59"/>
        <v>42</v>
      </c>
      <c r="F5539" s="143" t="s">
        <v>3601</v>
      </c>
      <c r="G5539" s="63" t="str">
        <f>VLOOKUP(C5539, 'Class Def. - General Data'!$C$20:$C$1000,1,false)</f>
        <v>ZPM1_TRAY</v>
      </c>
      <c r="H5539" s="63" t="str">
        <f>IFERROR(__xludf.DUMMYFUNCTION("VLOOKUP(F5539, IMPORTRANGE(""https://docs.google.com/spreadsheets/d/1Lhp9OU0JdFf_VYSMzH5lBcEaU4o8teT1piV-SNzShjg/edit?gid=554141278#gid=554141278"", ""'Char Def. - Attributes'!C20:C2242""), 1,false)"),"GROSS_WEIGHT")</f>
        <v>GROSS_WEIGHT</v>
      </c>
      <c r="I5539" s="136"/>
    </row>
    <row r="5540" ht="15.75" customHeight="1">
      <c r="B5540" s="63">
        <f t="shared" si="1"/>
        <v>9</v>
      </c>
      <c r="C5540" s="154" t="s">
        <v>283</v>
      </c>
      <c r="D5540" s="147" t="s">
        <v>74</v>
      </c>
      <c r="E5540" s="135">
        <f t="shared" si="59"/>
        <v>43</v>
      </c>
      <c r="F5540" s="143" t="s">
        <v>3876</v>
      </c>
      <c r="G5540" s="63" t="str">
        <f>VLOOKUP(C5540, 'Class Def. - General Data'!$C$20:$C$1000,1,false)</f>
        <v>ZPM1_TRAY</v>
      </c>
      <c r="H5540" s="63" t="str">
        <f>IFERROR(__xludf.DUMMYFUNCTION("VLOOKUP(F5540, IMPORTRANGE(""https://docs.google.com/spreadsheets/d/1Lhp9OU0JdFf_VYSMzH5lBcEaU4o8teT1piV-SNzShjg/edit?gid=554141278#gid=554141278"", ""'Char Def. - Attributes'!C20:C2242""), 1,false)"),"WEIGHT_UNIT_PM")</f>
        <v>WEIGHT_UNIT_PM</v>
      </c>
      <c r="I5540" s="136"/>
    </row>
    <row r="5541" ht="15.75" customHeight="1">
      <c r="B5541" s="63">
        <f t="shared" si="1"/>
        <v>9</v>
      </c>
      <c r="C5541" s="154" t="s">
        <v>283</v>
      </c>
      <c r="D5541" s="147" t="s">
        <v>74</v>
      </c>
      <c r="E5541" s="135">
        <f t="shared" si="59"/>
        <v>44</v>
      </c>
      <c r="F5541" s="143" t="s">
        <v>3877</v>
      </c>
      <c r="G5541" s="63" t="str">
        <f>VLOOKUP(C5541, 'Class Def. - General Data'!$C$20:$C$1000,1,false)</f>
        <v>ZPM1_TRAY</v>
      </c>
      <c r="H5541" s="63" t="str">
        <f>IFERROR(__xludf.DUMMYFUNCTION("VLOOKUP(F5541, IMPORTRANGE(""https://docs.google.com/spreadsheets/d/1Lhp9OU0JdFf_VYSMzH5lBcEaU4o8teT1piV-SNzShjg/edit?gid=554141278#gid=554141278"", ""'Char Def. - Attributes'!C20:C2242""), 1,false)"),"VOLUME_OPT")</f>
        <v>VOLUME_OPT</v>
      </c>
      <c r="I5541" s="136"/>
    </row>
    <row r="5542" ht="15.75" customHeight="1">
      <c r="B5542" s="63">
        <f t="shared" si="1"/>
        <v>9</v>
      </c>
      <c r="C5542" s="154" t="s">
        <v>283</v>
      </c>
      <c r="D5542" s="147" t="s">
        <v>74</v>
      </c>
      <c r="E5542" s="135">
        <f t="shared" si="59"/>
        <v>45</v>
      </c>
      <c r="F5542" s="143" t="s">
        <v>3878</v>
      </c>
      <c r="G5542" s="63" t="str">
        <f>VLOOKUP(C5542, 'Class Def. - General Data'!$C$20:$C$1000,1,false)</f>
        <v>ZPM1_TRAY</v>
      </c>
      <c r="H5542" s="63" t="str">
        <f>IFERROR(__xludf.DUMMYFUNCTION("VLOOKUP(F5542, IMPORTRANGE(""https://docs.google.com/spreadsheets/d/1Lhp9OU0JdFf_VYSMzH5lBcEaU4o8teT1piV-SNzShjg/edit?gid=554141278#gid=554141278"", ""'Char Def. - Attributes'!C20:C2242""), 1,false)"),"VOLUME_UNIT")</f>
        <v>VOLUME_UNIT</v>
      </c>
      <c r="I5542" s="136"/>
    </row>
    <row r="5543" ht="15.75" customHeight="1">
      <c r="B5543" s="63">
        <f t="shared" si="1"/>
        <v>9</v>
      </c>
      <c r="C5543" s="154" t="s">
        <v>283</v>
      </c>
      <c r="D5543" s="147" t="s">
        <v>74</v>
      </c>
      <c r="E5543" s="135">
        <f t="shared" si="59"/>
        <v>46</v>
      </c>
      <c r="F5543" s="143" t="s">
        <v>3879</v>
      </c>
      <c r="G5543" s="63" t="str">
        <f>VLOOKUP(C5543, 'Class Def. - General Data'!$C$20:$C$1000,1,false)</f>
        <v>ZPM1_TRAY</v>
      </c>
      <c r="H5543" s="63" t="str">
        <f>IFERROR(__xludf.DUMMYFUNCTION("VLOOKUP(F5543, IMPORTRANGE(""https://docs.google.com/spreadsheets/d/1Lhp9OU0JdFf_VYSMzH5lBcEaU4o8teT1piV-SNzShjg/edit?gid=554141278#gid=554141278"", ""'Char Def. - Attributes'!C20:C2242""), 1,false)"),"OLD_MAT_NO_RMPM")</f>
        <v>OLD_MAT_NO_RMPM</v>
      </c>
      <c r="I5543" s="136"/>
    </row>
    <row r="5544" ht="15.75" customHeight="1">
      <c r="B5544" s="63">
        <f t="shared" si="1"/>
        <v>9</v>
      </c>
      <c r="C5544" s="154" t="s">
        <v>283</v>
      </c>
      <c r="D5544" s="147" t="s">
        <v>74</v>
      </c>
      <c r="E5544" s="135">
        <f t="shared" si="59"/>
        <v>47</v>
      </c>
      <c r="F5544" s="143" t="s">
        <v>3880</v>
      </c>
      <c r="G5544" s="63" t="str">
        <f>VLOOKUP(C5544, 'Class Def. - General Data'!$C$20:$C$1000,1,false)</f>
        <v>ZPM1_TRAY</v>
      </c>
      <c r="H5544" s="63" t="str">
        <f>IFERROR(__xludf.DUMMYFUNCTION("VLOOKUP(F5544, IMPORTRANGE(""https://docs.google.com/spreadsheets/d/1Lhp9OU0JdFf_VYSMzH5lBcEaU4o8teT1piV-SNzShjg/edit?gid=554141278#gid=554141278"", ""'Char Def. - Attributes'!C20:C2242""), 1,false)"),"NOTE_PM")</f>
        <v>NOTE_PM</v>
      </c>
      <c r="I5544" s="136"/>
    </row>
    <row r="5545" ht="15.75" customHeight="1">
      <c r="B5545" s="63">
        <f t="shared" si="1"/>
        <v>9</v>
      </c>
      <c r="C5545" s="154" t="s">
        <v>283</v>
      </c>
      <c r="D5545" s="147" t="s">
        <v>74</v>
      </c>
      <c r="E5545" s="135">
        <f t="shared" si="59"/>
        <v>48</v>
      </c>
      <c r="F5545" s="143" t="s">
        <v>3881</v>
      </c>
      <c r="G5545" s="63" t="str">
        <f>VLOOKUP(C5545, 'Class Def. - General Data'!$C$20:$C$1000,1,false)</f>
        <v>ZPM1_TRAY</v>
      </c>
      <c r="H5545" s="63" t="str">
        <f>IFERROR(__xludf.DUMMYFUNCTION("VLOOKUP(F5545, IMPORTRANGE(""https://docs.google.com/spreadsheets/d/1Lhp9OU0JdFf_VYSMzH5lBcEaU4o8teT1piV-SNzShjg/edit?gid=554141278#gid=554141278"", ""'Char Def. - Attributes'!C20:C2242""), 1,false)"),"BS_BERSIH")</f>
        <v>BS_BERSIH</v>
      </c>
      <c r="I5545" s="136"/>
    </row>
    <row r="5546" ht="15.75" customHeight="1">
      <c r="B5546" s="63">
        <f t="shared" si="1"/>
        <v>9</v>
      </c>
      <c r="C5546" s="154" t="s">
        <v>283</v>
      </c>
      <c r="D5546" s="147" t="s">
        <v>74</v>
      </c>
      <c r="E5546" s="135">
        <f t="shared" si="59"/>
        <v>49</v>
      </c>
      <c r="F5546" s="143" t="s">
        <v>3882</v>
      </c>
      <c r="G5546" s="63" t="str">
        <f>VLOOKUP(C5546, 'Class Def. - General Data'!$C$20:$C$1000,1,false)</f>
        <v>ZPM1_TRAY</v>
      </c>
      <c r="H5546" s="63" t="str">
        <f>IFERROR(__xludf.DUMMYFUNCTION("VLOOKUP(F5546, IMPORTRANGE(""https://docs.google.com/spreadsheets/d/1Lhp9OU0JdFf_VYSMzH5lBcEaU4o8teT1piV-SNzShjg/edit?gid=554141278#gid=554141278"", ""'Char Def. - Attributes'!C20:C2242""), 1,false)"),"BS_KOTOR")</f>
        <v>BS_KOTOR</v>
      </c>
      <c r="I5546" s="136"/>
    </row>
    <row r="5547" ht="15.75" customHeight="1">
      <c r="B5547" s="63">
        <f t="shared" si="1"/>
        <v>9</v>
      </c>
      <c r="C5547" s="154" t="s">
        <v>283</v>
      </c>
      <c r="D5547" s="147" t="s">
        <v>74</v>
      </c>
      <c r="E5547" s="135">
        <f t="shared" si="59"/>
        <v>50</v>
      </c>
      <c r="F5547" s="143" t="s">
        <v>3883</v>
      </c>
      <c r="G5547" s="63" t="str">
        <f>VLOOKUP(C5547, 'Class Def. - General Data'!$C$20:$C$1000,1,false)</f>
        <v>ZPM1_TRAY</v>
      </c>
      <c r="H5547" s="63" t="str">
        <f>IFERROR(__xludf.DUMMYFUNCTION("VLOOKUP(F5547, IMPORTRANGE(""https://docs.google.com/spreadsheets/d/1Lhp9OU0JdFf_VYSMzH5lBcEaU4o8teT1piV-SNzShjg/edit?gid=554141278#gid=554141278"", ""'Char Def. - Attributes'!C20:C2242""), 1,false)"),"BS_SCRAP")</f>
        <v>BS_SCRAP</v>
      </c>
      <c r="I5547" s="136"/>
    </row>
    <row r="5548" ht="15.75" customHeight="1">
      <c r="B5548" s="63">
        <f t="shared" si="1"/>
        <v>13</v>
      </c>
      <c r="C5548" s="156" t="s">
        <v>228</v>
      </c>
      <c r="D5548" s="147" t="s">
        <v>74</v>
      </c>
      <c r="E5548" s="135">
        <f t="shared" si="59"/>
        <v>1</v>
      </c>
      <c r="F5548" s="143" t="s">
        <v>3992</v>
      </c>
      <c r="G5548" s="63" t="str">
        <f>VLOOKUP(C5548, 'Class Def. - General Data'!$C$20:$C$1000,1,false)</f>
        <v>ZRM1_AddResin</v>
      </c>
      <c r="H5548" s="63" t="str">
        <f>IFERROR(__xludf.DUMMYFUNCTION("VLOOKUP(F5548, IMPORTRANGE(""https://docs.google.com/spreadsheets/d/1Lhp9OU0JdFf_VYSMzH5lBcEaU4o8teT1piV-SNzShjg/edit?gid=554141278#gid=554141278"", ""'Char Def. - Attributes'!C20:C2242""), 1,false)"),"MATERIAL_CODE_RSNADD")</f>
        <v>MATERIAL_CODE_RSNADD</v>
      </c>
      <c r="I5548" s="136"/>
    </row>
    <row r="5549" ht="15.75" customHeight="1">
      <c r="B5549" s="63">
        <f t="shared" si="1"/>
        <v>13</v>
      </c>
      <c r="C5549" s="156" t="s">
        <v>228</v>
      </c>
      <c r="D5549" s="147" t="s">
        <v>74</v>
      </c>
      <c r="E5549" s="135">
        <f t="shared" si="59"/>
        <v>2</v>
      </c>
      <c r="F5549" s="143" t="s">
        <v>3993</v>
      </c>
      <c r="G5549" s="63" t="str">
        <f>VLOOKUP(C5549, 'Class Def. - General Data'!$C$20:$C$1000,1,false)</f>
        <v>ZRM1_AddResin</v>
      </c>
      <c r="H5549" s="63" t="str">
        <f>IFERROR(__xludf.DUMMYFUNCTION("VLOOKUP(F5549, IMPORTRANGE(""https://docs.google.com/spreadsheets/d/1Lhp9OU0JdFf_VYSMzH5lBcEaU4o8teT1piV-SNzShjg/edit?gid=554141278#gid=554141278"", ""'Char Def. - Attributes'!C20:C2242""), 1,false)"),"SERIAL_NO_NONFOODMASK_RESIN")</f>
        <v>SERIAL_NO_NONFOODMASK_RESIN</v>
      </c>
      <c r="I5549" s="136"/>
    </row>
    <row r="5550" ht="15.75" customHeight="1">
      <c r="B5550" s="63">
        <f t="shared" si="1"/>
        <v>13</v>
      </c>
      <c r="C5550" s="156" t="s">
        <v>228</v>
      </c>
      <c r="D5550" s="147" t="s">
        <v>74</v>
      </c>
      <c r="E5550" s="135">
        <f t="shared" si="59"/>
        <v>3</v>
      </c>
      <c r="F5550" s="143" t="s">
        <v>3994</v>
      </c>
      <c r="G5550" s="63" t="str">
        <f>VLOOKUP(C5550, 'Class Def. - General Data'!$C$20:$C$1000,1,false)</f>
        <v>ZRM1_AddResin</v>
      </c>
      <c r="H5550" s="63" t="str">
        <f>IFERROR(__xludf.DUMMYFUNCTION("VLOOKUP(F5550, IMPORTRANGE(""https://docs.google.com/spreadsheets/d/1Lhp9OU0JdFf_VYSMzH5lBcEaU4o8teT1piV-SNzShjg/edit?gid=554141278#gid=554141278"", ""'Char Def. - Attributes'!C20:C2242""), 1,false)"),"RESIN_CATEGORY")</f>
        <v>RESIN_CATEGORY</v>
      </c>
      <c r="I5550" s="136"/>
    </row>
    <row r="5551" ht="15.75" customHeight="1">
      <c r="B5551" s="63">
        <f t="shared" si="1"/>
        <v>13</v>
      </c>
      <c r="C5551" s="156" t="s">
        <v>228</v>
      </c>
      <c r="D5551" s="147" t="s">
        <v>74</v>
      </c>
      <c r="E5551" s="135">
        <f t="shared" si="59"/>
        <v>4</v>
      </c>
      <c r="F5551" s="143" t="s">
        <v>3995</v>
      </c>
      <c r="G5551" s="63" t="str">
        <f>VLOOKUP(C5551, 'Class Def. - General Data'!$C$20:$C$1000,1,false)</f>
        <v>ZRM1_AddResin</v>
      </c>
      <c r="H5551" s="63" t="str">
        <f>IFERROR(__xludf.DUMMYFUNCTION("VLOOKUP(F5551, IMPORTRANGE(""https://docs.google.com/spreadsheets/d/1Lhp9OU0JdFf_VYSMzH5lBcEaU4o8teT1piV-SNzShjg/edit?gid=554141278#gid=554141278"", ""'Char Def. - Attributes'!C20:C2242""), 1,false)"),"GRADE")</f>
        <v>GRADE</v>
      </c>
      <c r="I5551" s="136"/>
    </row>
    <row r="5552" ht="15.75" customHeight="1">
      <c r="B5552" s="63">
        <f t="shared" si="1"/>
        <v>13</v>
      </c>
      <c r="C5552" s="156" t="s">
        <v>228</v>
      </c>
      <c r="D5552" s="147" t="s">
        <v>74</v>
      </c>
      <c r="E5552" s="135">
        <f t="shared" si="59"/>
        <v>5</v>
      </c>
      <c r="F5552" s="143" t="s">
        <v>3868</v>
      </c>
      <c r="G5552" s="63" t="str">
        <f>VLOOKUP(C5552, 'Class Def. - General Data'!$C$20:$C$1000,1,false)</f>
        <v>ZRM1_AddResin</v>
      </c>
      <c r="H5552" s="63" t="str">
        <f>IFERROR(__xludf.DUMMYFUNCTION("VLOOKUP(F5552, IMPORTRANGE(""https://docs.google.com/spreadsheets/d/1Lhp9OU0JdFf_VYSMzH5lBcEaU4o8teT1piV-SNzShjg/edit?gid=554141278#gid=554141278"", ""'Char Def. - Attributes'!C20:C2242""), 1,false)"),"BASIC_UOM_RMPM")</f>
        <v>BASIC_UOM_RMPM</v>
      </c>
      <c r="I5552" s="136"/>
    </row>
    <row r="5553" ht="15.75" customHeight="1">
      <c r="B5553" s="63">
        <f t="shared" si="1"/>
        <v>13</v>
      </c>
      <c r="C5553" s="156" t="s">
        <v>228</v>
      </c>
      <c r="D5553" s="147" t="s">
        <v>74</v>
      </c>
      <c r="E5553" s="135">
        <f t="shared" si="59"/>
        <v>6</v>
      </c>
      <c r="F5553" s="143" t="s">
        <v>3869</v>
      </c>
      <c r="G5553" s="63" t="str">
        <f>VLOOKUP(C5553, 'Class Def. - General Data'!$C$20:$C$1000,1,false)</f>
        <v>ZRM1_AddResin</v>
      </c>
      <c r="H5553" s="63" t="str">
        <f>IFERROR(__xludf.DUMMYFUNCTION("VLOOKUP(F5553, IMPORTRANGE(""https://docs.google.com/spreadsheets/d/1Lhp9OU0JdFf_VYSMzH5lBcEaU4o8teT1piV-SNzShjg/edit?gid=554141278#gid=554141278"", ""'Char Def. - Attributes'!C20:C2242""), 1,false)"),"ALT_UOM1_RMPM")</f>
        <v>ALT_UOM1_RMPM</v>
      </c>
      <c r="I5553" s="136"/>
    </row>
    <row r="5554" ht="15.75" customHeight="1">
      <c r="B5554" s="63">
        <f t="shared" si="1"/>
        <v>13</v>
      </c>
      <c r="C5554" s="156" t="s">
        <v>228</v>
      </c>
      <c r="D5554" s="147" t="s">
        <v>74</v>
      </c>
      <c r="E5554" s="135">
        <f t="shared" si="59"/>
        <v>7</v>
      </c>
      <c r="F5554" s="143" t="s">
        <v>3805</v>
      </c>
      <c r="G5554" s="63" t="str">
        <f>VLOOKUP(C5554, 'Class Def. - General Data'!$C$20:$C$1000,1,false)</f>
        <v>ZRM1_AddResin</v>
      </c>
      <c r="H5554" s="63" t="str">
        <f>IFERROR(__xludf.DUMMYFUNCTION("VLOOKUP(F5554, IMPORTRANGE(""https://docs.google.com/spreadsheets/d/1Lhp9OU0JdFf_VYSMzH5lBcEaU4o8teT1piV-SNzShjg/edit?gid=554141278#gid=554141278"", ""'Char Def. - Attributes'!C20:C2242""), 1,false)"),"ALT_DENUM_UOM1")</f>
        <v>ALT_DENUM_UOM1</v>
      </c>
      <c r="I5554" s="136"/>
    </row>
    <row r="5555" ht="15.75" customHeight="1">
      <c r="B5555" s="63">
        <f t="shared" si="1"/>
        <v>13</v>
      </c>
      <c r="C5555" s="156" t="s">
        <v>228</v>
      </c>
      <c r="D5555" s="147" t="s">
        <v>74</v>
      </c>
      <c r="E5555" s="135">
        <f t="shared" si="59"/>
        <v>8</v>
      </c>
      <c r="F5555" s="143" t="s">
        <v>3806</v>
      </c>
      <c r="G5555" s="63" t="str">
        <f>VLOOKUP(C5555, 'Class Def. - General Data'!$C$20:$C$1000,1,false)</f>
        <v>ZRM1_AddResin</v>
      </c>
      <c r="H5555" s="63" t="str">
        <f>IFERROR(__xludf.DUMMYFUNCTION("VLOOKUP(F5555, IMPORTRANGE(""https://docs.google.com/spreadsheets/d/1Lhp9OU0JdFf_VYSMzH5lBcEaU4o8teT1piV-SNzShjg/edit?gid=554141278#gid=554141278"", ""'Char Def. - Attributes'!C20:C2242""), 1,false)"),"ALT_NUM_UOM1")</f>
        <v>ALT_NUM_UOM1</v>
      </c>
      <c r="I5555" s="136"/>
    </row>
    <row r="5556" ht="15.75" customHeight="1">
      <c r="B5556" s="63">
        <f t="shared" si="1"/>
        <v>13</v>
      </c>
      <c r="C5556" s="156" t="s">
        <v>228</v>
      </c>
      <c r="D5556" s="147" t="s">
        <v>74</v>
      </c>
      <c r="E5556" s="135">
        <f t="shared" si="59"/>
        <v>9</v>
      </c>
      <c r="F5556" s="143" t="s">
        <v>3870</v>
      </c>
      <c r="G5556" s="63" t="str">
        <f>VLOOKUP(C5556, 'Class Def. - General Data'!$C$20:$C$1000,1,false)</f>
        <v>ZRM1_AddResin</v>
      </c>
      <c r="H5556" s="63" t="str">
        <f>IFERROR(__xludf.DUMMYFUNCTION("VLOOKUP(F5556, IMPORTRANGE(""https://docs.google.com/spreadsheets/d/1Lhp9OU0JdFf_VYSMzH5lBcEaU4o8teT1piV-SNzShjg/edit?gid=554141278#gid=554141278"", ""'Char Def. - Attributes'!C20:C2242""), 1,false)"),"ALT_UOM2_RMPM")</f>
        <v>ALT_UOM2_RMPM</v>
      </c>
      <c r="I5556" s="136"/>
    </row>
    <row r="5557" ht="15.75" customHeight="1">
      <c r="B5557" s="63">
        <f t="shared" si="1"/>
        <v>13</v>
      </c>
      <c r="C5557" s="156" t="s">
        <v>228</v>
      </c>
      <c r="D5557" s="147" t="s">
        <v>74</v>
      </c>
      <c r="E5557" s="135">
        <f t="shared" si="59"/>
        <v>10</v>
      </c>
      <c r="F5557" s="143" t="s">
        <v>3808</v>
      </c>
      <c r="G5557" s="63" t="str">
        <f>VLOOKUP(C5557, 'Class Def. - General Data'!$C$20:$C$1000,1,false)</f>
        <v>ZRM1_AddResin</v>
      </c>
      <c r="H5557" s="63" t="str">
        <f>IFERROR(__xludf.DUMMYFUNCTION("VLOOKUP(F5557, IMPORTRANGE(""https://docs.google.com/spreadsheets/d/1Lhp9OU0JdFf_VYSMzH5lBcEaU4o8teT1piV-SNzShjg/edit?gid=554141278#gid=554141278"", ""'Char Def. - Attributes'!C20:C2242""), 1,false)"),"ALT_DENUM_UOM2")</f>
        <v>ALT_DENUM_UOM2</v>
      </c>
      <c r="I5557" s="136"/>
    </row>
    <row r="5558" ht="15.75" customHeight="1">
      <c r="B5558" s="63">
        <f t="shared" si="1"/>
        <v>13</v>
      </c>
      <c r="C5558" s="156" t="s">
        <v>228</v>
      </c>
      <c r="D5558" s="147" t="s">
        <v>74</v>
      </c>
      <c r="E5558" s="135">
        <f t="shared" si="59"/>
        <v>11</v>
      </c>
      <c r="F5558" s="143" t="s">
        <v>3809</v>
      </c>
      <c r="G5558" s="63" t="str">
        <f>VLOOKUP(C5558, 'Class Def. - General Data'!$C$20:$C$1000,1,false)</f>
        <v>ZRM1_AddResin</v>
      </c>
      <c r="H5558" s="63" t="str">
        <f>IFERROR(__xludf.DUMMYFUNCTION("VLOOKUP(F5558, IMPORTRANGE(""https://docs.google.com/spreadsheets/d/1Lhp9OU0JdFf_VYSMzH5lBcEaU4o8teT1piV-SNzShjg/edit?gid=554141278#gid=554141278"", ""'Char Def. - Attributes'!C20:C2242""), 1,false)"),"ALT_NUM_UOM2")</f>
        <v>ALT_NUM_UOM2</v>
      </c>
      <c r="I5558" s="136"/>
    </row>
    <row r="5559" ht="15.75" customHeight="1">
      <c r="B5559" s="63">
        <f t="shared" si="1"/>
        <v>13</v>
      </c>
      <c r="C5559" s="156" t="s">
        <v>228</v>
      </c>
      <c r="D5559" s="147" t="s">
        <v>74</v>
      </c>
      <c r="E5559" s="135">
        <f t="shared" si="59"/>
        <v>12</v>
      </c>
      <c r="F5559" s="143" t="s">
        <v>3871</v>
      </c>
      <c r="G5559" s="63" t="str">
        <f>VLOOKUP(C5559, 'Class Def. - General Data'!$C$20:$C$1000,1,false)</f>
        <v>ZRM1_AddResin</v>
      </c>
      <c r="H5559" s="63" t="str">
        <f>IFERROR(__xludf.DUMMYFUNCTION("VLOOKUP(F5559, IMPORTRANGE(""https://docs.google.com/spreadsheets/d/1Lhp9OU0JdFf_VYSMzH5lBcEaU4o8teT1piV-SNzShjg/edit?gid=554141278#gid=554141278"", ""'Char Def. - Attributes'!C20:C2242""), 1,false)"),"ALT_UOM3_RMPM")</f>
        <v>ALT_UOM3_RMPM</v>
      </c>
      <c r="I5559" s="136"/>
    </row>
    <row r="5560" ht="15.75" customHeight="1">
      <c r="B5560" s="63">
        <f t="shared" si="1"/>
        <v>13</v>
      </c>
      <c r="C5560" s="156" t="s">
        <v>228</v>
      </c>
      <c r="D5560" s="147" t="s">
        <v>74</v>
      </c>
      <c r="E5560" s="135">
        <f t="shared" si="59"/>
        <v>13</v>
      </c>
      <c r="F5560" s="143" t="s">
        <v>3811</v>
      </c>
      <c r="G5560" s="63" t="str">
        <f>VLOOKUP(C5560, 'Class Def. - General Data'!$C$20:$C$1000,1,false)</f>
        <v>ZRM1_AddResin</v>
      </c>
      <c r="H5560" s="63" t="str">
        <f>IFERROR(__xludf.DUMMYFUNCTION("VLOOKUP(F5560, IMPORTRANGE(""https://docs.google.com/spreadsheets/d/1Lhp9OU0JdFf_VYSMzH5lBcEaU4o8teT1piV-SNzShjg/edit?gid=554141278#gid=554141278"", ""'Char Def. - Attributes'!C20:C2242""), 1,false)"),"ALT_DENUM_UOM3")</f>
        <v>ALT_DENUM_UOM3</v>
      </c>
      <c r="I5560" s="136"/>
    </row>
    <row r="5561" ht="15.75" customHeight="1">
      <c r="B5561" s="63">
        <f t="shared" si="1"/>
        <v>13</v>
      </c>
      <c r="C5561" s="156" t="s">
        <v>228</v>
      </c>
      <c r="D5561" s="147" t="s">
        <v>74</v>
      </c>
      <c r="E5561" s="135">
        <f t="shared" si="59"/>
        <v>14</v>
      </c>
      <c r="F5561" s="143" t="s">
        <v>3812</v>
      </c>
      <c r="G5561" s="63" t="str">
        <f>VLOOKUP(C5561, 'Class Def. - General Data'!$C$20:$C$1000,1,false)</f>
        <v>ZRM1_AddResin</v>
      </c>
      <c r="H5561" s="63" t="str">
        <f>IFERROR(__xludf.DUMMYFUNCTION("VLOOKUP(F5561, IMPORTRANGE(""https://docs.google.com/spreadsheets/d/1Lhp9OU0JdFf_VYSMzH5lBcEaU4o8teT1piV-SNzShjg/edit?gid=554141278#gid=554141278"", ""'Char Def. - Attributes'!C20:C2242""), 1,false)"),"ALT_NUM_UOM3")</f>
        <v>ALT_NUM_UOM3</v>
      </c>
      <c r="I5561" s="136"/>
    </row>
    <row r="5562" ht="15.75" customHeight="1">
      <c r="B5562" s="63">
        <f t="shared" si="1"/>
        <v>13</v>
      </c>
      <c r="C5562" s="156" t="s">
        <v>228</v>
      </c>
      <c r="D5562" s="147" t="s">
        <v>74</v>
      </c>
      <c r="E5562" s="135">
        <f t="shared" si="59"/>
        <v>15</v>
      </c>
      <c r="F5562" s="143" t="s">
        <v>3872</v>
      </c>
      <c r="G5562" s="63" t="str">
        <f>VLOOKUP(C5562, 'Class Def. - General Data'!$C$20:$C$1000,1,false)</f>
        <v>ZRM1_AddResin</v>
      </c>
      <c r="H5562" s="63" t="str">
        <f>IFERROR(__xludf.DUMMYFUNCTION("VLOOKUP(F5562, IMPORTRANGE(""https://docs.google.com/spreadsheets/d/1Lhp9OU0JdFf_VYSMzH5lBcEaU4o8teT1piV-SNzShjg/edit?gid=554141278#gid=554141278"", ""'Char Def. - Attributes'!C20:C2242""), 1,false)"),"ALT_UOM4_RMPM")</f>
        <v>ALT_UOM4_RMPM</v>
      </c>
      <c r="I5562" s="136"/>
    </row>
    <row r="5563" ht="15.75" customHeight="1">
      <c r="B5563" s="63">
        <f t="shared" si="1"/>
        <v>13</v>
      </c>
      <c r="C5563" s="156" t="s">
        <v>228</v>
      </c>
      <c r="D5563" s="147" t="s">
        <v>74</v>
      </c>
      <c r="E5563" s="135">
        <f t="shared" si="59"/>
        <v>16</v>
      </c>
      <c r="F5563" s="143" t="s">
        <v>3814</v>
      </c>
      <c r="G5563" s="63" t="str">
        <f>VLOOKUP(C5563, 'Class Def. - General Data'!$C$20:$C$1000,1,false)</f>
        <v>ZRM1_AddResin</v>
      </c>
      <c r="H5563" s="63" t="str">
        <f>IFERROR(__xludf.DUMMYFUNCTION("VLOOKUP(F5563, IMPORTRANGE(""https://docs.google.com/spreadsheets/d/1Lhp9OU0JdFf_VYSMzH5lBcEaU4o8teT1piV-SNzShjg/edit?gid=554141278#gid=554141278"", ""'Char Def. - Attributes'!C20:C2242""), 1,false)"),"ALT_DENUM_UOM4")</f>
        <v>ALT_DENUM_UOM4</v>
      </c>
      <c r="I5563" s="136"/>
    </row>
    <row r="5564" ht="15.75" customHeight="1">
      <c r="B5564" s="63">
        <f t="shared" si="1"/>
        <v>13</v>
      </c>
      <c r="C5564" s="156" t="s">
        <v>228</v>
      </c>
      <c r="D5564" s="147" t="s">
        <v>74</v>
      </c>
      <c r="E5564" s="135">
        <f t="shared" si="59"/>
        <v>17</v>
      </c>
      <c r="F5564" s="143" t="s">
        <v>3815</v>
      </c>
      <c r="G5564" s="63" t="str">
        <f>VLOOKUP(C5564, 'Class Def. - General Data'!$C$20:$C$1000,1,false)</f>
        <v>ZRM1_AddResin</v>
      </c>
      <c r="H5564" s="63" t="str">
        <f>IFERROR(__xludf.DUMMYFUNCTION("VLOOKUP(F5564, IMPORTRANGE(""https://docs.google.com/spreadsheets/d/1Lhp9OU0JdFf_VYSMzH5lBcEaU4o8teT1piV-SNzShjg/edit?gid=554141278#gid=554141278"", ""'Char Def. - Attributes'!C20:C2242""), 1,false)"),"ALT_NUM_UOM4")</f>
        <v>ALT_NUM_UOM4</v>
      </c>
      <c r="I5564" s="136"/>
    </row>
    <row r="5565" ht="15.75" customHeight="1">
      <c r="B5565" s="63">
        <f t="shared" si="1"/>
        <v>13</v>
      </c>
      <c r="C5565" s="156" t="s">
        <v>228</v>
      </c>
      <c r="D5565" s="147" t="s">
        <v>74</v>
      </c>
      <c r="E5565" s="135">
        <f t="shared" si="59"/>
        <v>18</v>
      </c>
      <c r="F5565" s="143" t="s">
        <v>3873</v>
      </c>
      <c r="G5565" s="63" t="str">
        <f>VLOOKUP(C5565, 'Class Def. - General Data'!$C$20:$C$1000,1,false)</f>
        <v>ZRM1_AddResin</v>
      </c>
      <c r="H5565" s="63" t="str">
        <f>IFERROR(__xludf.DUMMYFUNCTION("VLOOKUP(F5565, IMPORTRANGE(""https://docs.google.com/spreadsheets/d/1Lhp9OU0JdFf_VYSMzH5lBcEaU4o8teT1piV-SNzShjg/edit?gid=554141278#gid=554141278"", ""'Char Def. - Attributes'!C20:C2242""), 1,false)"),"ALT_UOM5_RMPM")</f>
        <v>ALT_UOM5_RMPM</v>
      </c>
      <c r="I5565" s="136"/>
    </row>
    <row r="5566" ht="15.75" customHeight="1">
      <c r="B5566" s="63">
        <f t="shared" si="1"/>
        <v>13</v>
      </c>
      <c r="C5566" s="156" t="s">
        <v>228</v>
      </c>
      <c r="D5566" s="147" t="s">
        <v>74</v>
      </c>
      <c r="E5566" s="135">
        <f t="shared" si="59"/>
        <v>19</v>
      </c>
      <c r="F5566" s="143" t="s">
        <v>3817</v>
      </c>
      <c r="G5566" s="63" t="str">
        <f>VLOOKUP(C5566, 'Class Def. - General Data'!$C$20:$C$1000,1,false)</f>
        <v>ZRM1_AddResin</v>
      </c>
      <c r="H5566" s="63" t="str">
        <f>IFERROR(__xludf.DUMMYFUNCTION("VLOOKUP(F5566, IMPORTRANGE(""https://docs.google.com/spreadsheets/d/1Lhp9OU0JdFf_VYSMzH5lBcEaU4o8teT1piV-SNzShjg/edit?gid=554141278#gid=554141278"", ""'Char Def. - Attributes'!C20:C2242""), 1,false)"),"ALT_DENUM_UOM5")</f>
        <v>ALT_DENUM_UOM5</v>
      </c>
      <c r="I5566" s="136"/>
    </row>
    <row r="5567" ht="15.75" customHeight="1">
      <c r="B5567" s="63">
        <f t="shared" si="1"/>
        <v>13</v>
      </c>
      <c r="C5567" s="156" t="s">
        <v>228</v>
      </c>
      <c r="D5567" s="147" t="s">
        <v>74</v>
      </c>
      <c r="E5567" s="135">
        <f t="shared" si="59"/>
        <v>20</v>
      </c>
      <c r="F5567" s="143" t="s">
        <v>3818</v>
      </c>
      <c r="G5567" s="63" t="str">
        <f>VLOOKUP(C5567, 'Class Def. - General Data'!$C$20:$C$1000,1,false)</f>
        <v>ZRM1_AddResin</v>
      </c>
      <c r="H5567" s="63" t="str">
        <f>IFERROR(__xludf.DUMMYFUNCTION("VLOOKUP(F5567, IMPORTRANGE(""https://docs.google.com/spreadsheets/d/1Lhp9OU0JdFf_VYSMzH5lBcEaU4o8teT1piV-SNzShjg/edit?gid=554141278#gid=554141278"", ""'Char Def. - Attributes'!C20:C2242""), 1,false)"),"ALT_NUM_UOM5")</f>
        <v>ALT_NUM_UOM5</v>
      </c>
      <c r="I5567" s="136"/>
    </row>
    <row r="5568" ht="15.75" customHeight="1">
      <c r="B5568" s="63">
        <f t="shared" si="1"/>
        <v>13</v>
      </c>
      <c r="C5568" s="156" t="s">
        <v>228</v>
      </c>
      <c r="D5568" s="147" t="s">
        <v>74</v>
      </c>
      <c r="E5568" s="135">
        <f t="shared" si="59"/>
        <v>21</v>
      </c>
      <c r="F5568" s="143" t="s">
        <v>3874</v>
      </c>
      <c r="G5568" s="63" t="str">
        <f>VLOOKUP(C5568, 'Class Def. - General Data'!$C$20:$C$1000,1,false)</f>
        <v>ZRM1_AddResin</v>
      </c>
      <c r="H5568" s="63" t="str">
        <f>IFERROR(__xludf.DUMMYFUNCTION("VLOOKUP(F5568, IMPORTRANGE(""https://docs.google.com/spreadsheets/d/1Lhp9OU0JdFf_VYSMzH5lBcEaU4o8teT1piV-SNzShjg/edit?gid=554141278#gid=554141278"", ""'Char Def. - Attributes'!C20:C2242""), 1,false)"),"VALUATION_CATEGORY")</f>
        <v>VALUATION_CATEGORY</v>
      </c>
      <c r="I5568" s="136"/>
    </row>
    <row r="5569" ht="15.75" customHeight="1">
      <c r="B5569" s="63">
        <f t="shared" si="1"/>
        <v>13</v>
      </c>
      <c r="C5569" s="156" t="s">
        <v>228</v>
      </c>
      <c r="D5569" s="147" t="s">
        <v>74</v>
      </c>
      <c r="E5569" s="135">
        <f t="shared" si="59"/>
        <v>22</v>
      </c>
      <c r="F5569" s="143" t="s">
        <v>3800</v>
      </c>
      <c r="G5569" s="63" t="str">
        <f>VLOOKUP(C5569, 'Class Def. - General Data'!$C$20:$C$1000,1,false)</f>
        <v>ZRM1_AddResin</v>
      </c>
      <c r="H5569" s="63" t="str">
        <f>IFERROR(__xludf.DUMMYFUNCTION("VLOOKUP(F5569, IMPORTRANGE(""https://docs.google.com/spreadsheets/d/1Lhp9OU0JdFf_VYSMzH5lBcEaU4o8teT1piV-SNzShjg/edit?gid=554141278#gid=554141278"", ""'Char Def. - Attributes'!C20:C2242""), 1,false)"),"ORDER_UNIT_DIFF_FROM_BASIC_UOM")</f>
        <v>ORDER_UNIT_DIFF_FROM_BASIC_UOM</v>
      </c>
      <c r="I5569" s="136"/>
    </row>
    <row r="5570" ht="15.75" customHeight="1">
      <c r="B5570" s="63">
        <f t="shared" si="1"/>
        <v>13</v>
      </c>
      <c r="C5570" s="156" t="s">
        <v>228</v>
      </c>
      <c r="D5570" s="147" t="s">
        <v>74</v>
      </c>
      <c r="E5570" s="135">
        <f t="shared" si="59"/>
        <v>23</v>
      </c>
      <c r="F5570" s="143" t="s">
        <v>3875</v>
      </c>
      <c r="G5570" s="63" t="str">
        <f>VLOOKUP(C5570, 'Class Def. - General Data'!$C$20:$C$1000,1,false)</f>
        <v>ZRM1_AddResin</v>
      </c>
      <c r="H5570" s="63" t="str">
        <f>IFERROR(__xludf.DUMMYFUNCTION("VLOOKUP(F5570, IMPORTRANGE(""https://docs.google.com/spreadsheets/d/1Lhp9OU0JdFf_VYSMzH5lBcEaU4o8teT1piV-SNzShjg/edit?gid=554141278#gid=554141278"", ""'Char Def. - Attributes'!C20:C2242""), 1,false)"),"ORDER_UNIT_RMPM")</f>
        <v>ORDER_UNIT_RMPM</v>
      </c>
      <c r="I5570" s="136"/>
    </row>
    <row r="5571" ht="15.75" customHeight="1">
      <c r="B5571" s="63">
        <f t="shared" si="1"/>
        <v>13</v>
      </c>
      <c r="C5571" s="156" t="s">
        <v>228</v>
      </c>
      <c r="D5571" s="147" t="s">
        <v>74</v>
      </c>
      <c r="E5571" s="135">
        <f t="shared" si="59"/>
        <v>24</v>
      </c>
      <c r="F5571" s="143" t="s">
        <v>3602</v>
      </c>
      <c r="G5571" s="63" t="str">
        <f>VLOOKUP(C5571, 'Class Def. - General Data'!$C$20:$C$1000,1,false)</f>
        <v>ZRM1_AddResin</v>
      </c>
      <c r="H5571" s="63" t="str">
        <f>IFERROR(__xludf.DUMMYFUNCTION("VLOOKUP(F5571, IMPORTRANGE(""https://docs.google.com/spreadsheets/d/1Lhp9OU0JdFf_VYSMzH5lBcEaU4o8teT1piV-SNzShjg/edit?gid=554141278#gid=554141278"", ""'Char Def. - Attributes'!C20:C2242""), 1,false)"),"NET_WEIGHT")</f>
        <v>NET_WEIGHT</v>
      </c>
      <c r="I5571" s="136"/>
    </row>
    <row r="5572" ht="15.75" customHeight="1">
      <c r="B5572" s="63">
        <f t="shared" si="1"/>
        <v>13</v>
      </c>
      <c r="C5572" s="156" t="s">
        <v>228</v>
      </c>
      <c r="D5572" s="147" t="s">
        <v>74</v>
      </c>
      <c r="E5572" s="135">
        <f t="shared" si="59"/>
        <v>25</v>
      </c>
      <c r="F5572" s="143" t="s">
        <v>3601</v>
      </c>
      <c r="G5572" s="63" t="str">
        <f>VLOOKUP(C5572, 'Class Def. - General Data'!$C$20:$C$1000,1,false)</f>
        <v>ZRM1_AddResin</v>
      </c>
      <c r="H5572" s="63" t="str">
        <f>IFERROR(__xludf.DUMMYFUNCTION("VLOOKUP(F5572, IMPORTRANGE(""https://docs.google.com/spreadsheets/d/1Lhp9OU0JdFf_VYSMzH5lBcEaU4o8teT1piV-SNzShjg/edit?gid=554141278#gid=554141278"", ""'Char Def. - Attributes'!C20:C2242""), 1,false)"),"GROSS_WEIGHT")</f>
        <v>GROSS_WEIGHT</v>
      </c>
      <c r="I5572" s="136"/>
    </row>
    <row r="5573" ht="15.75" customHeight="1">
      <c r="B5573" s="63">
        <f t="shared" si="1"/>
        <v>13</v>
      </c>
      <c r="C5573" s="156" t="s">
        <v>228</v>
      </c>
      <c r="D5573" s="147" t="s">
        <v>74</v>
      </c>
      <c r="E5573" s="135">
        <f t="shared" si="59"/>
        <v>26</v>
      </c>
      <c r="F5573" s="143" t="s">
        <v>3996</v>
      </c>
      <c r="G5573" s="63" t="str">
        <f>VLOOKUP(C5573, 'Class Def. - General Data'!$C$20:$C$1000,1,false)</f>
        <v>ZRM1_AddResin</v>
      </c>
      <c r="H5573" s="63" t="str">
        <f>IFERROR(__xludf.DUMMYFUNCTION("VLOOKUP(F5573, IMPORTRANGE(""https://docs.google.com/spreadsheets/d/1Lhp9OU0JdFf_VYSMzH5lBcEaU4o8teT1piV-SNzShjg/edit?gid=554141278#gid=554141278"", ""'Char Def. - Attributes'!C20:C2242""), 1,false)"),"WEIGHT_UNIT")</f>
        <v>WEIGHT_UNIT</v>
      </c>
      <c r="I5573" s="136"/>
    </row>
    <row r="5574" ht="15.75" customHeight="1">
      <c r="B5574" s="63">
        <f t="shared" si="1"/>
        <v>13</v>
      </c>
      <c r="C5574" s="156" t="s">
        <v>228</v>
      </c>
      <c r="D5574" s="147" t="s">
        <v>74</v>
      </c>
      <c r="E5574" s="135">
        <f t="shared" si="59"/>
        <v>27</v>
      </c>
      <c r="F5574" s="143" t="s">
        <v>3877</v>
      </c>
      <c r="G5574" s="63" t="str">
        <f>VLOOKUP(C5574, 'Class Def. - General Data'!$C$20:$C$1000,1,false)</f>
        <v>ZRM1_AddResin</v>
      </c>
      <c r="H5574" s="63" t="str">
        <f>IFERROR(__xludf.DUMMYFUNCTION("VLOOKUP(F5574, IMPORTRANGE(""https://docs.google.com/spreadsheets/d/1Lhp9OU0JdFf_VYSMzH5lBcEaU4o8teT1piV-SNzShjg/edit?gid=554141278#gid=554141278"", ""'Char Def. - Attributes'!C20:C2242""), 1,false)"),"VOLUME_OPT")</f>
        <v>VOLUME_OPT</v>
      </c>
      <c r="I5574" s="136"/>
    </row>
    <row r="5575" ht="15.75" customHeight="1">
      <c r="B5575" s="63">
        <f t="shared" si="1"/>
        <v>13</v>
      </c>
      <c r="C5575" s="156" t="s">
        <v>228</v>
      </c>
      <c r="D5575" s="147" t="s">
        <v>74</v>
      </c>
      <c r="E5575" s="135">
        <f t="shared" si="59"/>
        <v>28</v>
      </c>
      <c r="F5575" s="143" t="s">
        <v>3878</v>
      </c>
      <c r="G5575" s="63" t="str">
        <f>VLOOKUP(C5575, 'Class Def. - General Data'!$C$20:$C$1000,1,false)</f>
        <v>ZRM1_AddResin</v>
      </c>
      <c r="H5575" s="63" t="str">
        <f>IFERROR(__xludf.DUMMYFUNCTION("VLOOKUP(F5575, IMPORTRANGE(""https://docs.google.com/spreadsheets/d/1Lhp9OU0JdFf_VYSMzH5lBcEaU4o8teT1piV-SNzShjg/edit?gid=554141278#gid=554141278"", ""'Char Def. - Attributes'!C20:C2242""), 1,false)"),"VOLUME_UNIT")</f>
        <v>VOLUME_UNIT</v>
      </c>
      <c r="I5575" s="136"/>
    </row>
    <row r="5576" ht="15.75" customHeight="1">
      <c r="B5576" s="63">
        <f t="shared" si="1"/>
        <v>13</v>
      </c>
      <c r="C5576" s="156" t="s">
        <v>228</v>
      </c>
      <c r="D5576" s="147" t="s">
        <v>74</v>
      </c>
      <c r="E5576" s="135">
        <f t="shared" si="59"/>
        <v>29</v>
      </c>
      <c r="F5576" s="143" t="s">
        <v>3587</v>
      </c>
      <c r="G5576" s="63" t="str">
        <f>VLOOKUP(C5576, 'Class Def. - General Data'!$C$20:$C$1000,1,false)</f>
        <v>ZRM1_AddResin</v>
      </c>
      <c r="H5576" s="63" t="str">
        <f>IFERROR(__xludf.DUMMYFUNCTION("VLOOKUP(F5576, IMPORTRANGE(""https://docs.google.com/spreadsheets/d/1Lhp9OU0JdFf_VYSMzH5lBcEaU4o8teT1piV-SNzShjg/edit?gid=554141278#gid=554141278"", ""'Char Def. - Attributes'!C20:C2242""), 1,false)"),"PLANT_BUY")</f>
        <v>PLANT_BUY</v>
      </c>
      <c r="I5576" s="136"/>
    </row>
    <row r="5577" ht="15.75" customHeight="1">
      <c r="B5577" s="63">
        <f t="shared" si="1"/>
        <v>13</v>
      </c>
      <c r="C5577" s="156" t="s">
        <v>228</v>
      </c>
      <c r="D5577" s="147" t="s">
        <v>74</v>
      </c>
      <c r="E5577" s="135">
        <f t="shared" si="59"/>
        <v>30</v>
      </c>
      <c r="F5577" s="143" t="s">
        <v>3997</v>
      </c>
      <c r="G5577" s="63" t="str">
        <f>VLOOKUP(C5577, 'Class Def. - General Data'!$C$20:$C$1000,1,false)</f>
        <v>ZRM1_AddResin</v>
      </c>
      <c r="H5577" s="63" t="str">
        <f>IFERROR(__xludf.DUMMYFUNCTION("VLOOKUP(F5577, IMPORTRANGE(""https://docs.google.com/spreadsheets/d/1Lhp9OU0JdFf_VYSMzH5lBcEaU4o8teT1piV-SNzShjg/edit?gid=554141278#gid=554141278"", ""'Char Def. - Attributes'!C20:C2242""), 1,false)"),"OLD_MAT_NO_RMPM_OPT")</f>
        <v>OLD_MAT_NO_RMPM_OPT</v>
      </c>
      <c r="I5577" s="136"/>
    </row>
    <row r="5578" ht="15.75" customHeight="1">
      <c r="B5578" s="63">
        <f t="shared" si="1"/>
        <v>13</v>
      </c>
      <c r="C5578" s="156" t="s">
        <v>228</v>
      </c>
      <c r="D5578" s="147" t="s">
        <v>74</v>
      </c>
      <c r="E5578" s="135">
        <f t="shared" si="59"/>
        <v>31</v>
      </c>
      <c r="F5578" s="143" t="s">
        <v>3998</v>
      </c>
      <c r="G5578" s="63" t="str">
        <f>VLOOKUP(C5578, 'Class Def. - General Data'!$C$20:$C$1000,1,false)</f>
        <v>ZRM1_AddResin</v>
      </c>
      <c r="H5578" s="63" t="str">
        <f>IFERROR(__xludf.DUMMYFUNCTION("VLOOKUP(F5578, IMPORTRANGE(""https://docs.google.com/spreadsheets/d/1Lhp9OU0JdFf_VYSMzH5lBcEaU4o8teT1piV-SNzShjg/edit?gid=554141278#gid=554141278"", ""'Char Def. - Attributes'!C20:C2242""), 1,false)"),"MIN_STD_WEIGHT")</f>
        <v>MIN_STD_WEIGHT</v>
      </c>
      <c r="I5578" s="136"/>
    </row>
    <row r="5579" ht="15.75" customHeight="1">
      <c r="B5579" s="63">
        <f t="shared" si="1"/>
        <v>13</v>
      </c>
      <c r="C5579" s="156" t="s">
        <v>228</v>
      </c>
      <c r="D5579" s="147" t="s">
        <v>74</v>
      </c>
      <c r="E5579" s="135">
        <f t="shared" si="59"/>
        <v>32</v>
      </c>
      <c r="F5579" s="143" t="s">
        <v>3999</v>
      </c>
      <c r="G5579" s="63" t="str">
        <f>VLOOKUP(C5579, 'Class Def. - General Data'!$C$20:$C$1000,1,false)</f>
        <v>ZRM1_AddResin</v>
      </c>
      <c r="H5579" s="63" t="str">
        <f>IFERROR(__xludf.DUMMYFUNCTION("VLOOKUP(F5579, IMPORTRANGE(""https://docs.google.com/spreadsheets/d/1Lhp9OU0JdFf_VYSMzH5lBcEaU4o8teT1piV-SNzShjg/edit?gid=554141278#gid=554141278"", ""'Char Def. - Attributes'!C20:C2242""), 1,false)"),"MIN_STD_WEIGHT_UOM")</f>
        <v>MIN_STD_WEIGHT_UOM</v>
      </c>
      <c r="I5579" s="136"/>
    </row>
    <row r="5580" ht="15.75" customHeight="1">
      <c r="B5580" s="63">
        <f t="shared" si="1"/>
        <v>14</v>
      </c>
      <c r="C5580" s="143" t="s">
        <v>293</v>
      </c>
      <c r="D5580" s="147" t="s">
        <v>74</v>
      </c>
      <c r="E5580" s="135">
        <f t="shared" si="59"/>
        <v>1</v>
      </c>
      <c r="F5580" s="143" t="s">
        <v>4000</v>
      </c>
      <c r="G5580" s="63" t="str">
        <f>VLOOKUP(C5580, 'Class Def. - General Data'!$C$20:$C$1000,1,false)</f>
        <v>ZRM1_BB_SUBCON</v>
      </c>
      <c r="H5580" s="63" t="str">
        <f>IFERROR(__xludf.DUMMYFUNCTION("VLOOKUP(F5580, IMPORTRANGE(""https://docs.google.com/spreadsheets/d/1Lhp9OU0JdFf_VYSMzH5lBcEaU4o8teT1piV-SNzShjg/edit?gid=554141278#gid=554141278"", ""'Char Def. - Attributes'!C20:C2242""), 1,false)"),"MATERIAL_CODE_FREETEXT")</f>
        <v>MATERIAL_CODE_FREETEXT</v>
      </c>
      <c r="I5580" s="136"/>
    </row>
    <row r="5581" ht="15.75" customHeight="1">
      <c r="B5581" s="63">
        <f t="shared" si="1"/>
        <v>14</v>
      </c>
      <c r="C5581" s="143" t="s">
        <v>293</v>
      </c>
      <c r="D5581" s="147" t="s">
        <v>74</v>
      </c>
      <c r="E5581" s="135">
        <f t="shared" si="59"/>
        <v>2</v>
      </c>
      <c r="F5581" s="143" t="s">
        <v>4001</v>
      </c>
      <c r="G5581" s="63" t="str">
        <f>VLOOKUP(C5581, 'Class Def. - General Data'!$C$20:$C$1000,1,false)</f>
        <v>ZRM1_BB_SUBCON</v>
      </c>
      <c r="H5581" s="63" t="str">
        <f>IFERROR(__xludf.DUMMYFUNCTION("VLOOKUP(F5581, IMPORTRANGE(""https://docs.google.com/spreadsheets/d/1Lhp9OU0JdFf_VYSMzH5lBcEaU4o8teT1piV-SNzShjg/edit?gid=554141278#gid=554141278"", ""'Char Def. - Attributes'!C20:C2242""), 1,false)"),"ADDITIONAL_INFO_NO_MASK")</f>
        <v>ADDITIONAL_INFO_NO_MASK</v>
      </c>
      <c r="I5581" s="136"/>
    </row>
    <row r="5582" ht="15.75" customHeight="1">
      <c r="B5582" s="63">
        <f t="shared" si="1"/>
        <v>14</v>
      </c>
      <c r="C5582" s="143" t="s">
        <v>293</v>
      </c>
      <c r="D5582" s="147" t="s">
        <v>74</v>
      </c>
      <c r="E5582" s="135">
        <f t="shared" si="59"/>
        <v>3</v>
      </c>
      <c r="F5582" s="143" t="s">
        <v>4002</v>
      </c>
      <c r="G5582" s="63" t="str">
        <f>VLOOKUP(C5582, 'Class Def. - General Data'!$C$20:$C$1000,1,false)</f>
        <v>ZRM1_BB_SUBCON</v>
      </c>
      <c r="H5582" s="63" t="str">
        <f>IFERROR(__xludf.DUMMYFUNCTION("VLOOKUP(F5582, IMPORTRANGE(""https://docs.google.com/spreadsheets/d/1Lhp9OU0JdFf_VYSMzH5lBcEaU4o8teT1piV-SNzShjg/edit?gid=554141278#gid=554141278"", ""'Char Def. - Attributes'!C20:C2242""), 1,false)"),"COLOR_GENERAL")</f>
        <v>COLOR_GENERAL</v>
      </c>
      <c r="I5582" s="136"/>
    </row>
    <row r="5583" ht="15.75" customHeight="1">
      <c r="B5583" s="63">
        <f t="shared" si="1"/>
        <v>14</v>
      </c>
      <c r="C5583" s="143" t="s">
        <v>293</v>
      </c>
      <c r="D5583" s="147" t="s">
        <v>74</v>
      </c>
      <c r="E5583" s="135">
        <f t="shared" si="59"/>
        <v>4</v>
      </c>
      <c r="F5583" s="143" t="s">
        <v>4003</v>
      </c>
      <c r="G5583" s="63" t="str">
        <f>VLOOKUP(C5583, 'Class Def. - General Data'!$C$20:$C$1000,1,false)</f>
        <v>ZRM1_BB_SUBCON</v>
      </c>
      <c r="H5583" s="63" t="str">
        <f>IFERROR(__xludf.DUMMYFUNCTION("VLOOKUP(F5583, IMPORTRANGE(""https://docs.google.com/spreadsheets/d/1Lhp9OU0JdFf_VYSMzH5lBcEaU4o8teT1piV-SNzShjg/edit?gid=554141278#gid=554141278"", ""'Char Def. - Attributes'!C20:C2242""), 1,false)"),"SOURCE_SUPPLY")</f>
        <v>SOURCE_SUPPLY</v>
      </c>
      <c r="I5583" s="136"/>
    </row>
    <row r="5584" ht="15.75" customHeight="1">
      <c r="B5584" s="63">
        <f t="shared" si="1"/>
        <v>14</v>
      </c>
      <c r="C5584" s="143" t="s">
        <v>293</v>
      </c>
      <c r="D5584" s="147" t="s">
        <v>74</v>
      </c>
      <c r="E5584" s="135">
        <f t="shared" si="59"/>
        <v>5</v>
      </c>
      <c r="F5584" s="143" t="s">
        <v>4004</v>
      </c>
      <c r="G5584" s="63" t="str">
        <f>VLOOKUP(C5584, 'Class Def. - General Data'!$C$20:$C$1000,1,false)</f>
        <v>ZRM1_BB_SUBCON</v>
      </c>
      <c r="H5584" s="63" t="str">
        <f>IFERROR(__xludf.DUMMYFUNCTION("VLOOKUP(F5584, IMPORTRANGE(""https://docs.google.com/spreadsheets/d/1Lhp9OU0JdFf_VYSMzH5lBcEaU4o8teT1piV-SNzShjg/edit?gid=554141278#gid=554141278"", ""'Char Def. - Attributes'!C20:C2242""), 1,false)"),"BASE_MATERIAL")</f>
        <v>BASE_MATERIAL</v>
      </c>
      <c r="I5584" s="136"/>
    </row>
    <row r="5585" ht="15.75" customHeight="1">
      <c r="B5585" s="63">
        <f t="shared" si="1"/>
        <v>14</v>
      </c>
      <c r="C5585" s="143" t="s">
        <v>293</v>
      </c>
      <c r="D5585" s="147" t="s">
        <v>74</v>
      </c>
      <c r="E5585" s="135">
        <f t="shared" si="59"/>
        <v>6</v>
      </c>
      <c r="F5585" s="143" t="s">
        <v>4005</v>
      </c>
      <c r="G5585" s="63" t="str">
        <f>VLOOKUP(C5585, 'Class Def. - General Data'!$C$20:$C$1000,1,false)</f>
        <v>ZRM1_BB_SUBCON</v>
      </c>
      <c r="H5585" s="63" t="str">
        <f>IFERROR(__xludf.DUMMYFUNCTION("VLOOKUP(F5585, IMPORTRANGE(""https://docs.google.com/spreadsheets/d/1Lhp9OU0JdFf_VYSMzH5lBcEaU4o8teT1piV-SNzShjg/edit?gid=554141278#gid=554141278"", ""'Char Def. - Attributes'!C20:C2242""), 1,false)"),"NATURE_ORIGIN")</f>
        <v>NATURE_ORIGIN</v>
      </c>
      <c r="I5585" s="136"/>
    </row>
    <row r="5586" ht="15.75" customHeight="1">
      <c r="B5586" s="63">
        <f t="shared" si="1"/>
        <v>14</v>
      </c>
      <c r="C5586" s="143" t="s">
        <v>293</v>
      </c>
      <c r="D5586" s="147" t="s">
        <v>74</v>
      </c>
      <c r="E5586" s="135">
        <f t="shared" si="59"/>
        <v>7</v>
      </c>
      <c r="F5586" s="143" t="s">
        <v>4006</v>
      </c>
      <c r="G5586" s="63" t="str">
        <f>VLOOKUP(C5586, 'Class Def. - General Data'!$C$20:$C$1000,1,false)</f>
        <v>ZRM1_BB_SUBCON</v>
      </c>
      <c r="H5586" s="63" t="str">
        <f>IFERROR(__xludf.DUMMYFUNCTION("VLOOKUP(F5586, IMPORTRANGE(""https://docs.google.com/spreadsheets/d/1Lhp9OU0JdFf_VYSMzH5lBcEaU4o8teT1piV-SNzShjg/edit?gid=554141278#gid=554141278"", ""'Char Def. - Attributes'!C20:C2242""), 1,false)"),"CATEGORY_ITEM")</f>
        <v>CATEGORY_ITEM</v>
      </c>
      <c r="I5586" s="136"/>
    </row>
    <row r="5587" ht="15.75" customHeight="1">
      <c r="B5587" s="63">
        <f t="shared" si="1"/>
        <v>14</v>
      </c>
      <c r="C5587" s="143" t="s">
        <v>293</v>
      </c>
      <c r="D5587" s="147" t="s">
        <v>74</v>
      </c>
      <c r="E5587" s="135">
        <f t="shared" si="59"/>
        <v>8</v>
      </c>
      <c r="F5587" s="143" t="s">
        <v>4007</v>
      </c>
      <c r="G5587" s="63" t="str">
        <f>VLOOKUP(C5587, 'Class Def. - General Data'!$C$20:$C$1000,1,false)</f>
        <v>ZRM1_BB_SUBCON</v>
      </c>
      <c r="H5587" s="63" t="str">
        <f>IFERROR(__xludf.DUMMYFUNCTION("VLOOKUP(F5587, IMPORTRANGE(""https://docs.google.com/spreadsheets/d/1Lhp9OU0JdFf_VYSMzH5lBcEaU4o8teT1piV-SNzShjg/edit?gid=554141278#gid=554141278"", ""'Char Def. - Attributes'!C20:C2242""), 1,false)"),"FUNCTION1")</f>
        <v>FUNCTION1</v>
      </c>
      <c r="I5587" s="136"/>
    </row>
    <row r="5588" ht="15.75" customHeight="1">
      <c r="B5588" s="63">
        <f t="shared" si="1"/>
        <v>14</v>
      </c>
      <c r="C5588" s="143" t="s">
        <v>293</v>
      </c>
      <c r="D5588" s="147" t="s">
        <v>74</v>
      </c>
      <c r="E5588" s="135">
        <f t="shared" si="59"/>
        <v>9</v>
      </c>
      <c r="F5588" s="143" t="s">
        <v>4008</v>
      </c>
      <c r="G5588" s="63" t="str">
        <f>VLOOKUP(C5588, 'Class Def. - General Data'!$C$20:$C$1000,1,false)</f>
        <v>ZRM1_BB_SUBCON</v>
      </c>
      <c r="H5588" s="63" t="str">
        <f>IFERROR(__xludf.DUMMYFUNCTION("VLOOKUP(F5588, IMPORTRANGE(""https://docs.google.com/spreadsheets/d/1Lhp9OU0JdFf_VYSMzH5lBcEaU4o8teT1piV-SNzShjg/edit?gid=554141278#gid=554141278"", ""'Char Def. - Attributes'!C20:C2242""), 1,false)"),"PREFERENSI_KURS")</f>
        <v>PREFERENSI_KURS</v>
      </c>
      <c r="I5588" s="136"/>
    </row>
    <row r="5589" ht="15.75" customHeight="1">
      <c r="B5589" s="63">
        <f t="shared" si="1"/>
        <v>14</v>
      </c>
      <c r="C5589" s="143" t="s">
        <v>293</v>
      </c>
      <c r="D5589" s="147" t="s">
        <v>74</v>
      </c>
      <c r="E5589" s="135">
        <f t="shared" si="59"/>
        <v>10</v>
      </c>
      <c r="F5589" s="157" t="s">
        <v>3868</v>
      </c>
      <c r="G5589" s="63" t="str">
        <f>VLOOKUP(C5589, 'Class Def. - General Data'!$C$20:$C$1000,1,false)</f>
        <v>ZRM1_BB_SUBCON</v>
      </c>
      <c r="H5589" s="63" t="str">
        <f>IFERROR(__xludf.DUMMYFUNCTION("VLOOKUP(F5589, IMPORTRANGE(""https://docs.google.com/spreadsheets/d/1Lhp9OU0JdFf_VYSMzH5lBcEaU4o8teT1piV-SNzShjg/edit?gid=554141278#gid=554141278"", ""'Char Def. - Attributes'!C20:C2242""), 1,false)"),"BASIC_UOM_RMPM")</f>
        <v>BASIC_UOM_RMPM</v>
      </c>
      <c r="I5589" s="136"/>
    </row>
    <row r="5590" ht="15.75" customHeight="1">
      <c r="B5590" s="63">
        <f t="shared" si="1"/>
        <v>14</v>
      </c>
      <c r="C5590" s="143" t="s">
        <v>293</v>
      </c>
      <c r="D5590" s="147" t="s">
        <v>74</v>
      </c>
      <c r="E5590" s="135">
        <f t="shared" si="59"/>
        <v>11</v>
      </c>
      <c r="F5590" s="154" t="s">
        <v>3869</v>
      </c>
      <c r="G5590" s="63" t="str">
        <f>VLOOKUP(C5590, 'Class Def. - General Data'!$C$20:$C$1000,1,false)</f>
        <v>ZRM1_BB_SUBCON</v>
      </c>
      <c r="H5590" s="63" t="str">
        <f>IFERROR(__xludf.DUMMYFUNCTION("VLOOKUP(F5590, IMPORTRANGE(""https://docs.google.com/spreadsheets/d/1Lhp9OU0JdFf_VYSMzH5lBcEaU4o8teT1piV-SNzShjg/edit?gid=554141278#gid=554141278"", ""'Char Def. - Attributes'!C20:C2242""), 1,false)"),"ALT_UOM1_RMPM")</f>
        <v>ALT_UOM1_RMPM</v>
      </c>
      <c r="I5590" s="136"/>
    </row>
    <row r="5591" ht="15.75" customHeight="1">
      <c r="B5591" s="63">
        <f t="shared" si="1"/>
        <v>14</v>
      </c>
      <c r="C5591" s="143" t="s">
        <v>293</v>
      </c>
      <c r="D5591" s="147" t="s">
        <v>74</v>
      </c>
      <c r="E5591" s="135">
        <f t="shared" si="59"/>
        <v>12</v>
      </c>
      <c r="F5591" s="154" t="s">
        <v>3805</v>
      </c>
      <c r="G5591" s="63" t="str">
        <f>VLOOKUP(C5591, 'Class Def. - General Data'!$C$20:$C$1000,1,false)</f>
        <v>ZRM1_BB_SUBCON</v>
      </c>
      <c r="H5591" s="63" t="str">
        <f>IFERROR(__xludf.DUMMYFUNCTION("VLOOKUP(F5591, IMPORTRANGE(""https://docs.google.com/spreadsheets/d/1Lhp9OU0JdFf_VYSMzH5lBcEaU4o8teT1piV-SNzShjg/edit?gid=554141278#gid=554141278"", ""'Char Def. - Attributes'!C20:C2242""), 1,false)"),"ALT_DENUM_UOM1")</f>
        <v>ALT_DENUM_UOM1</v>
      </c>
      <c r="I5591" s="136"/>
    </row>
    <row r="5592" ht="15.75" customHeight="1">
      <c r="B5592" s="63">
        <f t="shared" si="1"/>
        <v>14</v>
      </c>
      <c r="C5592" s="143" t="s">
        <v>293</v>
      </c>
      <c r="D5592" s="147" t="s">
        <v>74</v>
      </c>
      <c r="E5592" s="135">
        <f t="shared" si="59"/>
        <v>13</v>
      </c>
      <c r="F5592" s="154" t="s">
        <v>3806</v>
      </c>
      <c r="G5592" s="63" t="str">
        <f>VLOOKUP(C5592, 'Class Def. - General Data'!$C$20:$C$1000,1,false)</f>
        <v>ZRM1_BB_SUBCON</v>
      </c>
      <c r="H5592" s="63" t="str">
        <f>IFERROR(__xludf.DUMMYFUNCTION("VLOOKUP(F5592, IMPORTRANGE(""https://docs.google.com/spreadsheets/d/1Lhp9OU0JdFf_VYSMzH5lBcEaU4o8teT1piV-SNzShjg/edit?gid=554141278#gid=554141278"", ""'Char Def. - Attributes'!C20:C2242""), 1,false)"),"ALT_NUM_UOM1")</f>
        <v>ALT_NUM_UOM1</v>
      </c>
      <c r="I5592" s="136"/>
    </row>
    <row r="5593" ht="15.75" customHeight="1">
      <c r="B5593" s="63">
        <f t="shared" si="1"/>
        <v>14</v>
      </c>
      <c r="C5593" s="143" t="s">
        <v>293</v>
      </c>
      <c r="D5593" s="147" t="s">
        <v>74</v>
      </c>
      <c r="E5593" s="135">
        <f t="shared" si="59"/>
        <v>14</v>
      </c>
      <c r="F5593" s="154" t="s">
        <v>3870</v>
      </c>
      <c r="G5593" s="63" t="str">
        <f>VLOOKUP(C5593, 'Class Def. - General Data'!$C$20:$C$1000,1,false)</f>
        <v>ZRM1_BB_SUBCON</v>
      </c>
      <c r="H5593" s="63" t="str">
        <f>IFERROR(__xludf.DUMMYFUNCTION("VLOOKUP(F5593, IMPORTRANGE(""https://docs.google.com/spreadsheets/d/1Lhp9OU0JdFf_VYSMzH5lBcEaU4o8teT1piV-SNzShjg/edit?gid=554141278#gid=554141278"", ""'Char Def. - Attributes'!C20:C2242""), 1,false)"),"ALT_UOM2_RMPM")</f>
        <v>ALT_UOM2_RMPM</v>
      </c>
      <c r="I5593" s="136"/>
    </row>
    <row r="5594" ht="15.75" customHeight="1">
      <c r="B5594" s="63">
        <f t="shared" si="1"/>
        <v>14</v>
      </c>
      <c r="C5594" s="143" t="s">
        <v>293</v>
      </c>
      <c r="D5594" s="147" t="s">
        <v>74</v>
      </c>
      <c r="E5594" s="135">
        <f t="shared" si="59"/>
        <v>15</v>
      </c>
      <c r="F5594" s="154" t="s">
        <v>3808</v>
      </c>
      <c r="G5594" s="63" t="str">
        <f>VLOOKUP(C5594, 'Class Def. - General Data'!$C$20:$C$1000,1,false)</f>
        <v>ZRM1_BB_SUBCON</v>
      </c>
      <c r="H5594" s="63" t="str">
        <f>IFERROR(__xludf.DUMMYFUNCTION("VLOOKUP(F5594, IMPORTRANGE(""https://docs.google.com/spreadsheets/d/1Lhp9OU0JdFf_VYSMzH5lBcEaU4o8teT1piV-SNzShjg/edit?gid=554141278#gid=554141278"", ""'Char Def. - Attributes'!C20:C2242""), 1,false)"),"ALT_DENUM_UOM2")</f>
        <v>ALT_DENUM_UOM2</v>
      </c>
      <c r="I5594" s="136"/>
    </row>
    <row r="5595" ht="15.75" customHeight="1">
      <c r="B5595" s="63">
        <f t="shared" si="1"/>
        <v>14</v>
      </c>
      <c r="C5595" s="143" t="s">
        <v>293</v>
      </c>
      <c r="D5595" s="147" t="s">
        <v>74</v>
      </c>
      <c r="E5595" s="135">
        <f t="shared" si="59"/>
        <v>16</v>
      </c>
      <c r="F5595" s="154" t="s">
        <v>3809</v>
      </c>
      <c r="G5595" s="63" t="str">
        <f>VLOOKUP(C5595, 'Class Def. - General Data'!$C$20:$C$1000,1,false)</f>
        <v>ZRM1_BB_SUBCON</v>
      </c>
      <c r="H5595" s="63" t="str">
        <f>IFERROR(__xludf.DUMMYFUNCTION("VLOOKUP(F5595, IMPORTRANGE(""https://docs.google.com/spreadsheets/d/1Lhp9OU0JdFf_VYSMzH5lBcEaU4o8teT1piV-SNzShjg/edit?gid=554141278#gid=554141278"", ""'Char Def. - Attributes'!C20:C2242""), 1,false)"),"ALT_NUM_UOM2")</f>
        <v>ALT_NUM_UOM2</v>
      </c>
      <c r="I5595" s="136"/>
    </row>
    <row r="5596" ht="15.75" customHeight="1">
      <c r="B5596" s="63">
        <f t="shared" si="1"/>
        <v>14</v>
      </c>
      <c r="C5596" s="143" t="s">
        <v>293</v>
      </c>
      <c r="D5596" s="147" t="s">
        <v>74</v>
      </c>
      <c r="E5596" s="135">
        <f t="shared" si="59"/>
        <v>17</v>
      </c>
      <c r="F5596" s="154" t="s">
        <v>3871</v>
      </c>
      <c r="G5596" s="63" t="str">
        <f>VLOOKUP(C5596, 'Class Def. - General Data'!$C$20:$C$1000,1,false)</f>
        <v>ZRM1_BB_SUBCON</v>
      </c>
      <c r="H5596" s="63" t="str">
        <f>IFERROR(__xludf.DUMMYFUNCTION("VLOOKUP(F5596, IMPORTRANGE(""https://docs.google.com/spreadsheets/d/1Lhp9OU0JdFf_VYSMzH5lBcEaU4o8teT1piV-SNzShjg/edit?gid=554141278#gid=554141278"", ""'Char Def. - Attributes'!C20:C2242""), 1,false)"),"ALT_UOM3_RMPM")</f>
        <v>ALT_UOM3_RMPM</v>
      </c>
      <c r="I5596" s="136"/>
    </row>
    <row r="5597" ht="15.75" customHeight="1">
      <c r="B5597" s="63">
        <f t="shared" si="1"/>
        <v>14</v>
      </c>
      <c r="C5597" s="143" t="s">
        <v>293</v>
      </c>
      <c r="D5597" s="147" t="s">
        <v>74</v>
      </c>
      <c r="E5597" s="135">
        <f t="shared" si="59"/>
        <v>18</v>
      </c>
      <c r="F5597" s="154" t="s">
        <v>3811</v>
      </c>
      <c r="G5597" s="63" t="str">
        <f>VLOOKUP(C5597, 'Class Def. - General Data'!$C$20:$C$1000,1,false)</f>
        <v>ZRM1_BB_SUBCON</v>
      </c>
      <c r="H5597" s="63" t="str">
        <f>IFERROR(__xludf.DUMMYFUNCTION("VLOOKUP(F5597, IMPORTRANGE(""https://docs.google.com/spreadsheets/d/1Lhp9OU0JdFf_VYSMzH5lBcEaU4o8teT1piV-SNzShjg/edit?gid=554141278#gid=554141278"", ""'Char Def. - Attributes'!C20:C2242""), 1,false)"),"ALT_DENUM_UOM3")</f>
        <v>ALT_DENUM_UOM3</v>
      </c>
      <c r="I5597" s="136"/>
    </row>
    <row r="5598" ht="15.75" customHeight="1">
      <c r="B5598" s="63">
        <f t="shared" si="1"/>
        <v>14</v>
      </c>
      <c r="C5598" s="143" t="s">
        <v>293</v>
      </c>
      <c r="D5598" s="147" t="s">
        <v>74</v>
      </c>
      <c r="E5598" s="135">
        <f t="shared" si="59"/>
        <v>19</v>
      </c>
      <c r="F5598" s="154" t="s">
        <v>3812</v>
      </c>
      <c r="G5598" s="63" t="str">
        <f>VLOOKUP(C5598, 'Class Def. - General Data'!$C$20:$C$1000,1,false)</f>
        <v>ZRM1_BB_SUBCON</v>
      </c>
      <c r="H5598" s="63" t="str">
        <f>IFERROR(__xludf.DUMMYFUNCTION("VLOOKUP(F5598, IMPORTRANGE(""https://docs.google.com/spreadsheets/d/1Lhp9OU0JdFf_VYSMzH5lBcEaU4o8teT1piV-SNzShjg/edit?gid=554141278#gid=554141278"", ""'Char Def. - Attributes'!C20:C2242""), 1,false)"),"ALT_NUM_UOM3")</f>
        <v>ALT_NUM_UOM3</v>
      </c>
      <c r="I5598" s="136"/>
    </row>
    <row r="5599" ht="15.75" customHeight="1">
      <c r="B5599" s="63">
        <f t="shared" si="1"/>
        <v>14</v>
      </c>
      <c r="C5599" s="143" t="s">
        <v>293</v>
      </c>
      <c r="D5599" s="147" t="s">
        <v>74</v>
      </c>
      <c r="E5599" s="135">
        <f t="shared" si="59"/>
        <v>20</v>
      </c>
      <c r="F5599" s="154" t="s">
        <v>3872</v>
      </c>
      <c r="G5599" s="63" t="str">
        <f>VLOOKUP(C5599, 'Class Def. - General Data'!$C$20:$C$1000,1,false)</f>
        <v>ZRM1_BB_SUBCON</v>
      </c>
      <c r="H5599" s="63" t="str">
        <f>IFERROR(__xludf.DUMMYFUNCTION("VLOOKUP(F5599, IMPORTRANGE(""https://docs.google.com/spreadsheets/d/1Lhp9OU0JdFf_VYSMzH5lBcEaU4o8teT1piV-SNzShjg/edit?gid=554141278#gid=554141278"", ""'Char Def. - Attributes'!C20:C2242""), 1,false)"),"ALT_UOM4_RMPM")</f>
        <v>ALT_UOM4_RMPM</v>
      </c>
      <c r="I5599" s="136"/>
    </row>
    <row r="5600" ht="15.75" customHeight="1">
      <c r="B5600" s="63">
        <f t="shared" si="1"/>
        <v>14</v>
      </c>
      <c r="C5600" s="143" t="s">
        <v>293</v>
      </c>
      <c r="D5600" s="147" t="s">
        <v>74</v>
      </c>
      <c r="E5600" s="135">
        <f t="shared" si="59"/>
        <v>21</v>
      </c>
      <c r="F5600" s="146" t="s">
        <v>3814</v>
      </c>
      <c r="G5600" s="63" t="str">
        <f>VLOOKUP(C5600, 'Class Def. - General Data'!$C$20:$C$1000,1,false)</f>
        <v>ZRM1_BB_SUBCON</v>
      </c>
      <c r="H5600" s="63" t="str">
        <f>IFERROR(__xludf.DUMMYFUNCTION("VLOOKUP(F5600, IMPORTRANGE(""https://docs.google.com/spreadsheets/d/1Lhp9OU0JdFf_VYSMzH5lBcEaU4o8teT1piV-SNzShjg/edit?gid=554141278#gid=554141278"", ""'Char Def. - Attributes'!C20:C2242""), 1,false)"),"ALT_DENUM_UOM4")</f>
        <v>ALT_DENUM_UOM4</v>
      </c>
      <c r="I5600" s="136"/>
    </row>
    <row r="5601" ht="15.75" customHeight="1">
      <c r="B5601" s="63">
        <f t="shared" si="1"/>
        <v>14</v>
      </c>
      <c r="C5601" s="143" t="s">
        <v>293</v>
      </c>
      <c r="D5601" s="147" t="s">
        <v>74</v>
      </c>
      <c r="E5601" s="135">
        <f t="shared" si="59"/>
        <v>22</v>
      </c>
      <c r="F5601" s="154" t="s">
        <v>3815</v>
      </c>
      <c r="G5601" s="63" t="str">
        <f>VLOOKUP(C5601, 'Class Def. - General Data'!$C$20:$C$1000,1,false)</f>
        <v>ZRM1_BB_SUBCON</v>
      </c>
      <c r="H5601" s="63" t="str">
        <f>IFERROR(__xludf.DUMMYFUNCTION("VLOOKUP(F5601, IMPORTRANGE(""https://docs.google.com/spreadsheets/d/1Lhp9OU0JdFf_VYSMzH5lBcEaU4o8teT1piV-SNzShjg/edit?gid=554141278#gid=554141278"", ""'Char Def. - Attributes'!C20:C2242""), 1,false)"),"ALT_NUM_UOM4")</f>
        <v>ALT_NUM_UOM4</v>
      </c>
      <c r="I5601" s="136"/>
    </row>
    <row r="5602" ht="15.75" customHeight="1">
      <c r="B5602" s="63">
        <f t="shared" si="1"/>
        <v>14</v>
      </c>
      <c r="C5602" s="143" t="s">
        <v>293</v>
      </c>
      <c r="D5602" s="147" t="s">
        <v>74</v>
      </c>
      <c r="E5602" s="135">
        <f t="shared" si="59"/>
        <v>23</v>
      </c>
      <c r="F5602" s="154" t="s">
        <v>3873</v>
      </c>
      <c r="G5602" s="63" t="str">
        <f>VLOOKUP(C5602, 'Class Def. - General Data'!$C$20:$C$1000,1,false)</f>
        <v>ZRM1_BB_SUBCON</v>
      </c>
      <c r="H5602" s="63" t="str">
        <f>IFERROR(__xludf.DUMMYFUNCTION("VLOOKUP(F5602, IMPORTRANGE(""https://docs.google.com/spreadsheets/d/1Lhp9OU0JdFf_VYSMzH5lBcEaU4o8teT1piV-SNzShjg/edit?gid=554141278#gid=554141278"", ""'Char Def. - Attributes'!C20:C2242""), 1,false)"),"ALT_UOM5_RMPM")</f>
        <v>ALT_UOM5_RMPM</v>
      </c>
      <c r="I5602" s="136"/>
    </row>
    <row r="5603" ht="15.75" customHeight="1">
      <c r="B5603" s="63">
        <f t="shared" si="1"/>
        <v>14</v>
      </c>
      <c r="C5603" s="143" t="s">
        <v>293</v>
      </c>
      <c r="D5603" s="147" t="s">
        <v>74</v>
      </c>
      <c r="E5603" s="135">
        <f t="shared" si="59"/>
        <v>24</v>
      </c>
      <c r="F5603" s="154" t="s">
        <v>3817</v>
      </c>
      <c r="G5603" s="63" t="str">
        <f>VLOOKUP(C5603, 'Class Def. - General Data'!$C$20:$C$1000,1,false)</f>
        <v>ZRM1_BB_SUBCON</v>
      </c>
      <c r="H5603" s="63" t="str">
        <f>IFERROR(__xludf.DUMMYFUNCTION("VLOOKUP(F5603, IMPORTRANGE(""https://docs.google.com/spreadsheets/d/1Lhp9OU0JdFf_VYSMzH5lBcEaU4o8teT1piV-SNzShjg/edit?gid=554141278#gid=554141278"", ""'Char Def. - Attributes'!C20:C2242""), 1,false)"),"ALT_DENUM_UOM5")</f>
        <v>ALT_DENUM_UOM5</v>
      </c>
      <c r="I5603" s="136"/>
    </row>
    <row r="5604" ht="15.75" customHeight="1">
      <c r="B5604" s="63">
        <f t="shared" si="1"/>
        <v>14</v>
      </c>
      <c r="C5604" s="143" t="s">
        <v>293</v>
      </c>
      <c r="D5604" s="147" t="s">
        <v>74</v>
      </c>
      <c r="E5604" s="135">
        <f t="shared" si="59"/>
        <v>25</v>
      </c>
      <c r="F5604" s="154" t="s">
        <v>3818</v>
      </c>
      <c r="G5604" s="63" t="str">
        <f>VLOOKUP(C5604, 'Class Def. - General Data'!$C$20:$C$1000,1,false)</f>
        <v>ZRM1_BB_SUBCON</v>
      </c>
      <c r="H5604" s="63" t="str">
        <f>IFERROR(__xludf.DUMMYFUNCTION("VLOOKUP(F5604, IMPORTRANGE(""https://docs.google.com/spreadsheets/d/1Lhp9OU0JdFf_VYSMzH5lBcEaU4o8teT1piV-SNzShjg/edit?gid=554141278#gid=554141278"", ""'Char Def. - Attributes'!C20:C2242""), 1,false)"),"ALT_NUM_UOM5")</f>
        <v>ALT_NUM_UOM5</v>
      </c>
      <c r="I5604" s="136"/>
    </row>
    <row r="5605" ht="15.75" customHeight="1">
      <c r="B5605" s="63">
        <f t="shared" si="1"/>
        <v>14</v>
      </c>
      <c r="C5605" s="143" t="s">
        <v>293</v>
      </c>
      <c r="D5605" s="147" t="s">
        <v>74</v>
      </c>
      <c r="E5605" s="135">
        <f t="shared" si="59"/>
        <v>26</v>
      </c>
      <c r="F5605" s="154" t="s">
        <v>3874</v>
      </c>
      <c r="G5605" s="63" t="str">
        <f>VLOOKUP(C5605, 'Class Def. - General Data'!$C$20:$C$1000,1,false)</f>
        <v>ZRM1_BB_SUBCON</v>
      </c>
      <c r="H5605" s="63" t="str">
        <f>IFERROR(__xludf.DUMMYFUNCTION("VLOOKUP(F5605, IMPORTRANGE(""https://docs.google.com/spreadsheets/d/1Lhp9OU0JdFf_VYSMzH5lBcEaU4o8teT1piV-SNzShjg/edit?gid=554141278#gid=554141278"", ""'Char Def. - Attributes'!C20:C2242""), 1,false)"),"VALUATION_CATEGORY")</f>
        <v>VALUATION_CATEGORY</v>
      </c>
      <c r="I5605" s="136"/>
    </row>
    <row r="5606" ht="15.75" customHeight="1">
      <c r="B5606" s="63">
        <f t="shared" si="1"/>
        <v>14</v>
      </c>
      <c r="C5606" s="143" t="s">
        <v>293</v>
      </c>
      <c r="D5606" s="147" t="s">
        <v>74</v>
      </c>
      <c r="E5606" s="135">
        <f t="shared" si="59"/>
        <v>27</v>
      </c>
      <c r="F5606" s="154" t="s">
        <v>3800</v>
      </c>
      <c r="G5606" s="63" t="str">
        <f>VLOOKUP(C5606, 'Class Def. - General Data'!$C$20:$C$1000,1,false)</f>
        <v>ZRM1_BB_SUBCON</v>
      </c>
      <c r="H5606" s="63" t="str">
        <f>IFERROR(__xludf.DUMMYFUNCTION("VLOOKUP(F5606, IMPORTRANGE(""https://docs.google.com/spreadsheets/d/1Lhp9OU0JdFf_VYSMzH5lBcEaU4o8teT1piV-SNzShjg/edit?gid=554141278#gid=554141278"", ""'Char Def. - Attributes'!C20:C2242""), 1,false)"),"ORDER_UNIT_DIFF_FROM_BASIC_UOM")</f>
        <v>ORDER_UNIT_DIFF_FROM_BASIC_UOM</v>
      </c>
      <c r="I5606" s="136"/>
    </row>
    <row r="5607" ht="15.75" customHeight="1">
      <c r="B5607" s="63">
        <f t="shared" si="1"/>
        <v>14</v>
      </c>
      <c r="C5607" s="143" t="s">
        <v>293</v>
      </c>
      <c r="D5607" s="147" t="s">
        <v>74</v>
      </c>
      <c r="E5607" s="135">
        <f t="shared" si="59"/>
        <v>28</v>
      </c>
      <c r="F5607" s="154" t="s">
        <v>3875</v>
      </c>
      <c r="G5607" s="63" t="str">
        <f>VLOOKUP(C5607, 'Class Def. - General Data'!$C$20:$C$1000,1,false)</f>
        <v>ZRM1_BB_SUBCON</v>
      </c>
      <c r="H5607" s="63" t="str">
        <f>IFERROR(__xludf.DUMMYFUNCTION("VLOOKUP(F5607, IMPORTRANGE(""https://docs.google.com/spreadsheets/d/1Lhp9OU0JdFf_VYSMzH5lBcEaU4o8teT1piV-SNzShjg/edit?gid=554141278#gid=554141278"", ""'Char Def. - Attributes'!C20:C2242""), 1,false)"),"ORDER_UNIT_RMPM")</f>
        <v>ORDER_UNIT_RMPM</v>
      </c>
      <c r="I5607" s="136"/>
    </row>
    <row r="5608" ht="15.75" customHeight="1">
      <c r="B5608" s="63">
        <f t="shared" si="1"/>
        <v>14</v>
      </c>
      <c r="C5608" s="143" t="s">
        <v>293</v>
      </c>
      <c r="D5608" s="147" t="s">
        <v>74</v>
      </c>
      <c r="E5608" s="135">
        <f t="shared" si="59"/>
        <v>29</v>
      </c>
      <c r="F5608" s="157" t="s">
        <v>3602</v>
      </c>
      <c r="G5608" s="63" t="str">
        <f>VLOOKUP(C5608, 'Class Def. - General Data'!$C$20:$C$1000,1,false)</f>
        <v>ZRM1_BB_SUBCON</v>
      </c>
      <c r="H5608" s="63" t="str">
        <f>IFERROR(__xludf.DUMMYFUNCTION("VLOOKUP(F5608, IMPORTRANGE(""https://docs.google.com/spreadsheets/d/1Lhp9OU0JdFf_VYSMzH5lBcEaU4o8teT1piV-SNzShjg/edit?gid=554141278#gid=554141278"", ""'Char Def. - Attributes'!C20:C2242""), 1,false)"),"NET_WEIGHT")</f>
        <v>NET_WEIGHT</v>
      </c>
      <c r="I5608" s="136"/>
    </row>
    <row r="5609" ht="15.75" customHeight="1">
      <c r="B5609" s="63">
        <f t="shared" si="1"/>
        <v>14</v>
      </c>
      <c r="C5609" s="143" t="s">
        <v>293</v>
      </c>
      <c r="D5609" s="147" t="s">
        <v>74</v>
      </c>
      <c r="E5609" s="135">
        <f t="shared" si="59"/>
        <v>30</v>
      </c>
      <c r="F5609" s="157" t="s">
        <v>3601</v>
      </c>
      <c r="G5609" s="63" t="str">
        <f>VLOOKUP(C5609, 'Class Def. - General Data'!$C$20:$C$1000,1,false)</f>
        <v>ZRM1_BB_SUBCON</v>
      </c>
      <c r="H5609" s="63" t="str">
        <f>IFERROR(__xludf.DUMMYFUNCTION("VLOOKUP(F5609, IMPORTRANGE(""https://docs.google.com/spreadsheets/d/1Lhp9OU0JdFf_VYSMzH5lBcEaU4o8teT1piV-SNzShjg/edit?gid=554141278#gid=554141278"", ""'Char Def. - Attributes'!C20:C2242""), 1,false)"),"GROSS_WEIGHT")</f>
        <v>GROSS_WEIGHT</v>
      </c>
      <c r="I5609" s="136"/>
    </row>
    <row r="5610" ht="15.75" customHeight="1">
      <c r="B5610" s="63">
        <f t="shared" si="1"/>
        <v>14</v>
      </c>
      <c r="C5610" s="143" t="s">
        <v>293</v>
      </c>
      <c r="D5610" s="147" t="s">
        <v>74</v>
      </c>
      <c r="E5610" s="135">
        <f t="shared" si="59"/>
        <v>31</v>
      </c>
      <c r="F5610" s="154" t="s">
        <v>3996</v>
      </c>
      <c r="G5610" s="63" t="str">
        <f>VLOOKUP(C5610, 'Class Def. - General Data'!$C$20:$C$1000,1,false)</f>
        <v>ZRM1_BB_SUBCON</v>
      </c>
      <c r="H5610" s="63" t="str">
        <f>IFERROR(__xludf.DUMMYFUNCTION("VLOOKUP(F5610, IMPORTRANGE(""https://docs.google.com/spreadsheets/d/1Lhp9OU0JdFf_VYSMzH5lBcEaU4o8teT1piV-SNzShjg/edit?gid=554141278#gid=554141278"", ""'Char Def. - Attributes'!C20:C2242""), 1,false)"),"WEIGHT_UNIT")</f>
        <v>WEIGHT_UNIT</v>
      </c>
      <c r="I5610" s="136"/>
    </row>
    <row r="5611" ht="15.75" customHeight="1">
      <c r="B5611" s="63">
        <f t="shared" si="1"/>
        <v>14</v>
      </c>
      <c r="C5611" s="143" t="s">
        <v>293</v>
      </c>
      <c r="D5611" s="147" t="s">
        <v>74</v>
      </c>
      <c r="E5611" s="135">
        <f t="shared" si="59"/>
        <v>32</v>
      </c>
      <c r="F5611" s="157" t="s">
        <v>3877</v>
      </c>
      <c r="G5611" s="63" t="str">
        <f>VLOOKUP(C5611, 'Class Def. - General Data'!$C$20:$C$1000,1,false)</f>
        <v>ZRM1_BB_SUBCON</v>
      </c>
      <c r="H5611" s="63" t="str">
        <f>IFERROR(__xludf.DUMMYFUNCTION("VLOOKUP(F5611, IMPORTRANGE(""https://docs.google.com/spreadsheets/d/1Lhp9OU0JdFf_VYSMzH5lBcEaU4o8teT1piV-SNzShjg/edit?gid=554141278#gid=554141278"", ""'Char Def. - Attributes'!C20:C2242""), 1,false)"),"VOLUME_OPT")</f>
        <v>VOLUME_OPT</v>
      </c>
      <c r="I5611" s="136"/>
    </row>
    <row r="5612" ht="15.75" customHeight="1">
      <c r="B5612" s="63">
        <f t="shared" si="1"/>
        <v>14</v>
      </c>
      <c r="C5612" s="143" t="s">
        <v>293</v>
      </c>
      <c r="D5612" s="147" t="s">
        <v>74</v>
      </c>
      <c r="E5612" s="135">
        <f t="shared" si="59"/>
        <v>33</v>
      </c>
      <c r="F5612" s="154" t="s">
        <v>3878</v>
      </c>
      <c r="G5612" s="63" t="str">
        <f>VLOOKUP(C5612, 'Class Def. - General Data'!$C$20:$C$1000,1,false)</f>
        <v>ZRM1_BB_SUBCON</v>
      </c>
      <c r="H5612" s="63" t="str">
        <f>IFERROR(__xludf.DUMMYFUNCTION("VLOOKUP(F5612, IMPORTRANGE(""https://docs.google.com/spreadsheets/d/1Lhp9OU0JdFf_VYSMzH5lBcEaU4o8teT1piV-SNzShjg/edit?gid=554141278#gid=554141278"", ""'Char Def. - Attributes'!C20:C2242""), 1,false)"),"VOLUME_UNIT")</f>
        <v>VOLUME_UNIT</v>
      </c>
      <c r="I5612" s="136"/>
    </row>
    <row r="5613" ht="15.75" customHeight="1">
      <c r="B5613" s="63">
        <f t="shared" si="1"/>
        <v>14</v>
      </c>
      <c r="C5613" s="143" t="s">
        <v>293</v>
      </c>
      <c r="D5613" s="147" t="s">
        <v>74</v>
      </c>
      <c r="E5613" s="135">
        <f t="shared" si="59"/>
        <v>34</v>
      </c>
      <c r="F5613" s="157" t="s">
        <v>3587</v>
      </c>
      <c r="G5613" s="63" t="str">
        <f>VLOOKUP(C5613, 'Class Def. - General Data'!$C$20:$C$1000,1,false)</f>
        <v>ZRM1_BB_SUBCON</v>
      </c>
      <c r="H5613" s="63" t="str">
        <f>IFERROR(__xludf.DUMMYFUNCTION("VLOOKUP(F5613, IMPORTRANGE(""https://docs.google.com/spreadsheets/d/1Lhp9OU0JdFf_VYSMzH5lBcEaU4o8teT1piV-SNzShjg/edit?gid=554141278#gid=554141278"", ""'Char Def. - Attributes'!C20:C2242""), 1,false)"),"PLANT_BUY")</f>
        <v>PLANT_BUY</v>
      </c>
      <c r="I5613" s="136"/>
    </row>
    <row r="5614" ht="15.75" customHeight="1">
      <c r="B5614" s="63">
        <f t="shared" si="1"/>
        <v>14</v>
      </c>
      <c r="C5614" s="143" t="s">
        <v>293</v>
      </c>
      <c r="D5614" s="147" t="s">
        <v>74</v>
      </c>
      <c r="E5614" s="135">
        <f t="shared" si="59"/>
        <v>35</v>
      </c>
      <c r="F5614" s="154" t="s">
        <v>3997</v>
      </c>
      <c r="G5614" s="63" t="str">
        <f>VLOOKUP(C5614, 'Class Def. - General Data'!$C$20:$C$1000,1,false)</f>
        <v>ZRM1_BB_SUBCON</v>
      </c>
      <c r="H5614" s="63" t="str">
        <f>IFERROR(__xludf.DUMMYFUNCTION("VLOOKUP(F5614, IMPORTRANGE(""https://docs.google.com/spreadsheets/d/1Lhp9OU0JdFf_VYSMzH5lBcEaU4o8teT1piV-SNzShjg/edit?gid=554141278#gid=554141278"", ""'Char Def. - Attributes'!C20:C2242""), 1,false)"),"OLD_MAT_NO_RMPM_OPT")</f>
        <v>OLD_MAT_NO_RMPM_OPT</v>
      </c>
      <c r="I5614" s="136"/>
    </row>
    <row r="5615" ht="15.75" customHeight="1">
      <c r="B5615" s="63">
        <f t="shared" si="1"/>
        <v>14</v>
      </c>
      <c r="C5615" s="143" t="s">
        <v>293</v>
      </c>
      <c r="D5615" s="147" t="s">
        <v>74</v>
      </c>
      <c r="E5615" s="135">
        <f t="shared" si="59"/>
        <v>36</v>
      </c>
      <c r="F5615" s="146" t="s">
        <v>3998</v>
      </c>
      <c r="G5615" s="63" t="str">
        <f>VLOOKUP(C5615, 'Class Def. - General Data'!$C$20:$C$1000,1,false)</f>
        <v>ZRM1_BB_SUBCON</v>
      </c>
      <c r="H5615" s="63" t="str">
        <f>IFERROR(__xludf.DUMMYFUNCTION("VLOOKUP(F5615, IMPORTRANGE(""https://docs.google.com/spreadsheets/d/1Lhp9OU0JdFf_VYSMzH5lBcEaU4o8teT1piV-SNzShjg/edit?gid=554141278#gid=554141278"", ""'Char Def. - Attributes'!C20:C2242""), 1,false)"),"MIN_STD_WEIGHT")</f>
        <v>MIN_STD_WEIGHT</v>
      </c>
      <c r="I5615" s="136"/>
    </row>
    <row r="5616" ht="15.75" customHeight="1">
      <c r="B5616" s="63">
        <f t="shared" si="1"/>
        <v>14</v>
      </c>
      <c r="C5616" s="143" t="s">
        <v>293</v>
      </c>
      <c r="D5616" s="147" t="s">
        <v>74</v>
      </c>
      <c r="E5616" s="135">
        <f t="shared" si="59"/>
        <v>37</v>
      </c>
      <c r="F5616" s="146" t="s">
        <v>3999</v>
      </c>
      <c r="G5616" s="63" t="str">
        <f>VLOOKUP(C5616, 'Class Def. - General Data'!$C$20:$C$1000,1,false)</f>
        <v>ZRM1_BB_SUBCON</v>
      </c>
      <c r="H5616" s="63" t="str">
        <f>IFERROR(__xludf.DUMMYFUNCTION("VLOOKUP(F5616, IMPORTRANGE(""https://docs.google.com/spreadsheets/d/1Lhp9OU0JdFf_VYSMzH5lBcEaU4o8teT1piV-SNzShjg/edit?gid=554141278#gid=554141278"", ""'Char Def. - Attributes'!C20:C2242""), 1,false)"),"MIN_STD_WEIGHT_UOM")</f>
        <v>MIN_STD_WEIGHT_UOM</v>
      </c>
      <c r="I5616" s="136"/>
    </row>
    <row r="5617" ht="15.75" customHeight="1">
      <c r="B5617" s="63">
        <f t="shared" si="1"/>
        <v>18</v>
      </c>
      <c r="C5617" s="156" t="s">
        <v>292</v>
      </c>
      <c r="D5617" s="147" t="s">
        <v>74</v>
      </c>
      <c r="E5617" s="135">
        <f t="shared" si="59"/>
        <v>1</v>
      </c>
      <c r="F5617" s="154" t="s">
        <v>4000</v>
      </c>
      <c r="G5617" s="63" t="str">
        <f>VLOOKUP(C5617, 'Class Def. - General Data'!$C$20:$C$1000,1,false)</f>
        <v>ZRM1_Colorant_Food</v>
      </c>
      <c r="H5617" s="63" t="str">
        <f>IFERROR(__xludf.DUMMYFUNCTION("VLOOKUP(F5617, IMPORTRANGE(""https://docs.google.com/spreadsheets/d/1Lhp9OU0JdFf_VYSMzH5lBcEaU4o8teT1piV-SNzShjg/edit?gid=554141278#gid=554141278"", ""'Char Def. - Attributes'!C20:C2242""), 1,false)"),"MATERIAL_CODE_FREETEXT")</f>
        <v>MATERIAL_CODE_FREETEXT</v>
      </c>
      <c r="I5617" s="136"/>
    </row>
    <row r="5618" ht="15.75" customHeight="1">
      <c r="B5618" s="63">
        <f t="shared" si="1"/>
        <v>18</v>
      </c>
      <c r="C5618" s="156" t="s">
        <v>292</v>
      </c>
      <c r="D5618" s="147" t="s">
        <v>74</v>
      </c>
      <c r="E5618" s="135">
        <f t="shared" si="59"/>
        <v>2</v>
      </c>
      <c r="F5618" s="154" t="s">
        <v>4001</v>
      </c>
      <c r="G5618" s="63" t="str">
        <f>VLOOKUP(C5618, 'Class Def. - General Data'!$C$20:$C$1000,1,false)</f>
        <v>ZRM1_Colorant_Food</v>
      </c>
      <c r="H5618" s="63" t="str">
        <f>IFERROR(__xludf.DUMMYFUNCTION("VLOOKUP(F5618, IMPORTRANGE(""https://docs.google.com/spreadsheets/d/1Lhp9OU0JdFf_VYSMzH5lBcEaU4o8teT1piV-SNzShjg/edit?gid=554141278#gid=554141278"", ""'Char Def. - Attributes'!C20:C2242""), 1,false)"),"ADDITIONAL_INFO_NO_MASK")</f>
        <v>ADDITIONAL_INFO_NO_MASK</v>
      </c>
      <c r="I5618" s="136"/>
    </row>
    <row r="5619" ht="15.75" customHeight="1">
      <c r="B5619" s="63">
        <f t="shared" si="1"/>
        <v>18</v>
      </c>
      <c r="C5619" s="156" t="s">
        <v>292</v>
      </c>
      <c r="D5619" s="147" t="s">
        <v>74</v>
      </c>
      <c r="E5619" s="135">
        <f t="shared" si="59"/>
        <v>3</v>
      </c>
      <c r="F5619" s="154" t="s">
        <v>4002</v>
      </c>
      <c r="G5619" s="63" t="str">
        <f>VLOOKUP(C5619, 'Class Def. - General Data'!$C$20:$C$1000,1,false)</f>
        <v>ZRM1_Colorant_Food</v>
      </c>
      <c r="H5619" s="63" t="str">
        <f>IFERROR(__xludf.DUMMYFUNCTION("VLOOKUP(F5619, IMPORTRANGE(""https://docs.google.com/spreadsheets/d/1Lhp9OU0JdFf_VYSMzH5lBcEaU4o8teT1piV-SNzShjg/edit?gid=554141278#gid=554141278"", ""'Char Def. - Attributes'!C20:C2242""), 1,false)"),"COLOR_GENERAL")</f>
        <v>COLOR_GENERAL</v>
      </c>
      <c r="I5619" s="136"/>
    </row>
    <row r="5620" ht="15.75" customHeight="1">
      <c r="B5620" s="63">
        <f t="shared" si="1"/>
        <v>18</v>
      </c>
      <c r="C5620" s="156" t="s">
        <v>292</v>
      </c>
      <c r="D5620" s="147" t="s">
        <v>74</v>
      </c>
      <c r="E5620" s="135">
        <f t="shared" si="59"/>
        <v>4</v>
      </c>
      <c r="F5620" s="154" t="s">
        <v>4003</v>
      </c>
      <c r="G5620" s="63" t="str">
        <f>VLOOKUP(C5620, 'Class Def. - General Data'!$C$20:$C$1000,1,false)</f>
        <v>ZRM1_Colorant_Food</v>
      </c>
      <c r="H5620" s="63" t="str">
        <f>IFERROR(__xludf.DUMMYFUNCTION("VLOOKUP(F5620, IMPORTRANGE(""https://docs.google.com/spreadsheets/d/1Lhp9OU0JdFf_VYSMzH5lBcEaU4o8teT1piV-SNzShjg/edit?gid=554141278#gid=554141278"", ""'Char Def. - Attributes'!C20:C2242""), 1,false)"),"SOURCE_SUPPLY")</f>
        <v>SOURCE_SUPPLY</v>
      </c>
      <c r="I5620" s="136"/>
    </row>
    <row r="5621" ht="15.75" customHeight="1">
      <c r="B5621" s="63">
        <f t="shared" si="1"/>
        <v>18</v>
      </c>
      <c r="C5621" s="156" t="s">
        <v>292</v>
      </c>
      <c r="D5621" s="147" t="s">
        <v>74</v>
      </c>
      <c r="E5621" s="135">
        <f t="shared" si="59"/>
        <v>5</v>
      </c>
      <c r="F5621" s="154" t="s">
        <v>4004</v>
      </c>
      <c r="G5621" s="63" t="str">
        <f>VLOOKUP(C5621, 'Class Def. - General Data'!$C$20:$C$1000,1,false)</f>
        <v>ZRM1_Colorant_Food</v>
      </c>
      <c r="H5621" s="63" t="str">
        <f>IFERROR(__xludf.DUMMYFUNCTION("VLOOKUP(F5621, IMPORTRANGE(""https://docs.google.com/spreadsheets/d/1Lhp9OU0JdFf_VYSMzH5lBcEaU4o8teT1piV-SNzShjg/edit?gid=554141278#gid=554141278"", ""'Char Def. - Attributes'!C20:C2242""), 1,false)"),"BASE_MATERIAL")</f>
        <v>BASE_MATERIAL</v>
      </c>
      <c r="I5621" s="136"/>
    </row>
    <row r="5622" ht="15.75" customHeight="1">
      <c r="B5622" s="63">
        <f t="shared" si="1"/>
        <v>18</v>
      </c>
      <c r="C5622" s="156" t="s">
        <v>292</v>
      </c>
      <c r="D5622" s="147" t="s">
        <v>74</v>
      </c>
      <c r="E5622" s="135">
        <f t="shared" si="59"/>
        <v>6</v>
      </c>
      <c r="F5622" s="154" t="s">
        <v>4009</v>
      </c>
      <c r="G5622" s="63" t="str">
        <f>VLOOKUP(C5622, 'Class Def. - General Data'!$C$20:$C$1000,1,false)</f>
        <v>ZRM1_Colorant_Food</v>
      </c>
      <c r="H5622" s="63" t="str">
        <f>IFERROR(__xludf.DUMMYFUNCTION("VLOOKUP(F5622, IMPORTRANGE(""https://docs.google.com/spreadsheets/d/1Lhp9OU0JdFf_VYSMzH5lBcEaU4o8teT1piV-SNzShjg/edit?gid=554141278#gid=554141278"", ""'Char Def. - Attributes'!C20:C2242""), 1,false)"),"NATURE_ORIGIN_FOOD")</f>
        <v>NATURE_ORIGIN_FOOD</v>
      </c>
      <c r="I5622" s="136"/>
    </row>
    <row r="5623" ht="15.75" customHeight="1">
      <c r="B5623" s="63">
        <f t="shared" si="1"/>
        <v>18</v>
      </c>
      <c r="C5623" s="156" t="s">
        <v>292</v>
      </c>
      <c r="D5623" s="147" t="s">
        <v>74</v>
      </c>
      <c r="E5623" s="135">
        <f t="shared" si="59"/>
        <v>7</v>
      </c>
      <c r="F5623" s="154" t="s">
        <v>4006</v>
      </c>
      <c r="G5623" s="63" t="str">
        <f>VLOOKUP(C5623, 'Class Def. - General Data'!$C$20:$C$1000,1,false)</f>
        <v>ZRM1_Colorant_Food</v>
      </c>
      <c r="H5623" s="63" t="str">
        <f>IFERROR(__xludf.DUMMYFUNCTION("VLOOKUP(F5623, IMPORTRANGE(""https://docs.google.com/spreadsheets/d/1Lhp9OU0JdFf_VYSMzH5lBcEaU4o8teT1piV-SNzShjg/edit?gid=554141278#gid=554141278"", ""'Char Def. - Attributes'!C20:C2242""), 1,false)"),"CATEGORY_ITEM")</f>
        <v>CATEGORY_ITEM</v>
      </c>
      <c r="I5623" s="136"/>
    </row>
    <row r="5624" ht="15.75" customHeight="1">
      <c r="B5624" s="63">
        <f t="shared" si="1"/>
        <v>18</v>
      </c>
      <c r="C5624" s="156" t="s">
        <v>292</v>
      </c>
      <c r="D5624" s="147" t="s">
        <v>74</v>
      </c>
      <c r="E5624" s="135">
        <f t="shared" si="59"/>
        <v>8</v>
      </c>
      <c r="F5624" s="154" t="s">
        <v>4007</v>
      </c>
      <c r="G5624" s="63" t="str">
        <f>VLOOKUP(C5624, 'Class Def. - General Data'!$C$20:$C$1000,1,false)</f>
        <v>ZRM1_Colorant_Food</v>
      </c>
      <c r="H5624" s="63" t="str">
        <f>IFERROR(__xludf.DUMMYFUNCTION("VLOOKUP(F5624, IMPORTRANGE(""https://docs.google.com/spreadsheets/d/1Lhp9OU0JdFf_VYSMzH5lBcEaU4o8teT1piV-SNzShjg/edit?gid=554141278#gid=554141278"", ""'Char Def. - Attributes'!C20:C2242""), 1,false)"),"FUNCTION1")</f>
        <v>FUNCTION1</v>
      </c>
      <c r="I5624" s="136"/>
    </row>
    <row r="5625" ht="15.75" customHeight="1">
      <c r="B5625" s="63">
        <f t="shared" si="1"/>
        <v>18</v>
      </c>
      <c r="C5625" s="156" t="s">
        <v>292</v>
      </c>
      <c r="D5625" s="147" t="s">
        <v>74</v>
      </c>
      <c r="E5625" s="135">
        <f t="shared" si="59"/>
        <v>9</v>
      </c>
      <c r="F5625" s="154" t="s">
        <v>4008</v>
      </c>
      <c r="G5625" s="63" t="str">
        <f>VLOOKUP(C5625, 'Class Def. - General Data'!$C$20:$C$1000,1,false)</f>
        <v>ZRM1_Colorant_Food</v>
      </c>
      <c r="H5625" s="63" t="str">
        <f>IFERROR(__xludf.DUMMYFUNCTION("VLOOKUP(F5625, IMPORTRANGE(""https://docs.google.com/spreadsheets/d/1Lhp9OU0JdFf_VYSMzH5lBcEaU4o8teT1piV-SNzShjg/edit?gid=554141278#gid=554141278"", ""'Char Def. - Attributes'!C20:C2242""), 1,false)"),"PREFERENSI_KURS")</f>
        <v>PREFERENSI_KURS</v>
      </c>
      <c r="I5625" s="136"/>
    </row>
    <row r="5626" ht="15.75" customHeight="1">
      <c r="B5626" s="63">
        <f t="shared" si="1"/>
        <v>18</v>
      </c>
      <c r="C5626" s="156" t="s">
        <v>292</v>
      </c>
      <c r="D5626" s="147" t="s">
        <v>74</v>
      </c>
      <c r="E5626" s="135">
        <f t="shared" si="59"/>
        <v>10</v>
      </c>
      <c r="F5626" s="157" t="s">
        <v>3868</v>
      </c>
      <c r="G5626" s="63" t="str">
        <f>VLOOKUP(C5626, 'Class Def. - General Data'!$C$20:$C$1000,1,false)</f>
        <v>ZRM1_Colorant_Food</v>
      </c>
      <c r="H5626" s="63" t="str">
        <f>IFERROR(__xludf.DUMMYFUNCTION("VLOOKUP(F5626, IMPORTRANGE(""https://docs.google.com/spreadsheets/d/1Lhp9OU0JdFf_VYSMzH5lBcEaU4o8teT1piV-SNzShjg/edit?gid=554141278#gid=554141278"", ""'Char Def. - Attributes'!C20:C2242""), 1,false)"),"BASIC_UOM_RMPM")</f>
        <v>BASIC_UOM_RMPM</v>
      </c>
      <c r="I5626" s="136"/>
    </row>
    <row r="5627" ht="15.75" customHeight="1">
      <c r="B5627" s="63">
        <f t="shared" si="1"/>
        <v>18</v>
      </c>
      <c r="C5627" s="156" t="s">
        <v>292</v>
      </c>
      <c r="D5627" s="147" t="s">
        <v>74</v>
      </c>
      <c r="E5627" s="135">
        <f t="shared" si="59"/>
        <v>11</v>
      </c>
      <c r="F5627" s="154" t="s">
        <v>3869</v>
      </c>
      <c r="G5627" s="63" t="str">
        <f>VLOOKUP(C5627, 'Class Def. - General Data'!$C$20:$C$1000,1,false)</f>
        <v>ZRM1_Colorant_Food</v>
      </c>
      <c r="H5627" s="63" t="str">
        <f>IFERROR(__xludf.DUMMYFUNCTION("VLOOKUP(F5627, IMPORTRANGE(""https://docs.google.com/spreadsheets/d/1Lhp9OU0JdFf_VYSMzH5lBcEaU4o8teT1piV-SNzShjg/edit?gid=554141278#gid=554141278"", ""'Char Def. - Attributes'!C20:C2242""), 1,false)"),"ALT_UOM1_RMPM")</f>
        <v>ALT_UOM1_RMPM</v>
      </c>
      <c r="I5627" s="136"/>
    </row>
    <row r="5628" ht="15.75" customHeight="1">
      <c r="B5628" s="63">
        <f t="shared" si="1"/>
        <v>18</v>
      </c>
      <c r="C5628" s="156" t="s">
        <v>292</v>
      </c>
      <c r="D5628" s="147" t="s">
        <v>74</v>
      </c>
      <c r="E5628" s="135">
        <f t="shared" si="59"/>
        <v>12</v>
      </c>
      <c r="F5628" s="154" t="s">
        <v>3805</v>
      </c>
      <c r="G5628" s="63" t="str">
        <f>VLOOKUP(C5628, 'Class Def. - General Data'!$C$20:$C$1000,1,false)</f>
        <v>ZRM1_Colorant_Food</v>
      </c>
      <c r="H5628" s="63" t="str">
        <f>IFERROR(__xludf.DUMMYFUNCTION("VLOOKUP(F5628, IMPORTRANGE(""https://docs.google.com/spreadsheets/d/1Lhp9OU0JdFf_VYSMzH5lBcEaU4o8teT1piV-SNzShjg/edit?gid=554141278#gid=554141278"", ""'Char Def. - Attributes'!C20:C2242""), 1,false)"),"ALT_DENUM_UOM1")</f>
        <v>ALT_DENUM_UOM1</v>
      </c>
      <c r="I5628" s="136"/>
    </row>
    <row r="5629" ht="15.75" customHeight="1">
      <c r="B5629" s="63">
        <f t="shared" si="1"/>
        <v>18</v>
      </c>
      <c r="C5629" s="156" t="s">
        <v>292</v>
      </c>
      <c r="D5629" s="147" t="s">
        <v>74</v>
      </c>
      <c r="E5629" s="135">
        <f t="shared" si="59"/>
        <v>13</v>
      </c>
      <c r="F5629" s="154" t="s">
        <v>3806</v>
      </c>
      <c r="G5629" s="63" t="str">
        <f>VLOOKUP(C5629, 'Class Def. - General Data'!$C$20:$C$1000,1,false)</f>
        <v>ZRM1_Colorant_Food</v>
      </c>
      <c r="H5629" s="63" t="str">
        <f>IFERROR(__xludf.DUMMYFUNCTION("VLOOKUP(F5629, IMPORTRANGE(""https://docs.google.com/spreadsheets/d/1Lhp9OU0JdFf_VYSMzH5lBcEaU4o8teT1piV-SNzShjg/edit?gid=554141278#gid=554141278"", ""'Char Def. - Attributes'!C20:C2242""), 1,false)"),"ALT_NUM_UOM1")</f>
        <v>ALT_NUM_UOM1</v>
      </c>
      <c r="I5629" s="136"/>
    </row>
    <row r="5630" ht="15.75" customHeight="1">
      <c r="B5630" s="63">
        <f t="shared" si="1"/>
        <v>18</v>
      </c>
      <c r="C5630" s="156" t="s">
        <v>292</v>
      </c>
      <c r="D5630" s="147" t="s">
        <v>74</v>
      </c>
      <c r="E5630" s="135">
        <f t="shared" si="59"/>
        <v>14</v>
      </c>
      <c r="F5630" s="154" t="s">
        <v>3870</v>
      </c>
      <c r="G5630" s="63" t="str">
        <f>VLOOKUP(C5630, 'Class Def. - General Data'!$C$20:$C$1000,1,false)</f>
        <v>ZRM1_Colorant_Food</v>
      </c>
      <c r="H5630" s="63" t="str">
        <f>IFERROR(__xludf.DUMMYFUNCTION("VLOOKUP(F5630, IMPORTRANGE(""https://docs.google.com/spreadsheets/d/1Lhp9OU0JdFf_VYSMzH5lBcEaU4o8teT1piV-SNzShjg/edit?gid=554141278#gid=554141278"", ""'Char Def. - Attributes'!C20:C2242""), 1,false)"),"ALT_UOM2_RMPM")</f>
        <v>ALT_UOM2_RMPM</v>
      </c>
      <c r="I5630" s="136"/>
    </row>
    <row r="5631" ht="15.75" customHeight="1">
      <c r="B5631" s="63">
        <f t="shared" si="1"/>
        <v>18</v>
      </c>
      <c r="C5631" s="156" t="s">
        <v>292</v>
      </c>
      <c r="D5631" s="147" t="s">
        <v>74</v>
      </c>
      <c r="E5631" s="135">
        <f t="shared" si="59"/>
        <v>15</v>
      </c>
      <c r="F5631" s="154" t="s">
        <v>3808</v>
      </c>
      <c r="G5631" s="63" t="str">
        <f>VLOOKUP(C5631, 'Class Def. - General Data'!$C$20:$C$1000,1,false)</f>
        <v>ZRM1_Colorant_Food</v>
      </c>
      <c r="H5631" s="63" t="str">
        <f>IFERROR(__xludf.DUMMYFUNCTION("VLOOKUP(F5631, IMPORTRANGE(""https://docs.google.com/spreadsheets/d/1Lhp9OU0JdFf_VYSMzH5lBcEaU4o8teT1piV-SNzShjg/edit?gid=554141278#gid=554141278"", ""'Char Def. - Attributes'!C20:C2242""), 1,false)"),"ALT_DENUM_UOM2")</f>
        <v>ALT_DENUM_UOM2</v>
      </c>
      <c r="I5631" s="136"/>
    </row>
    <row r="5632" ht="15.75" customHeight="1">
      <c r="B5632" s="63">
        <f t="shared" si="1"/>
        <v>18</v>
      </c>
      <c r="C5632" s="156" t="s">
        <v>292</v>
      </c>
      <c r="D5632" s="147" t="s">
        <v>74</v>
      </c>
      <c r="E5632" s="135">
        <f t="shared" si="59"/>
        <v>16</v>
      </c>
      <c r="F5632" s="154" t="s">
        <v>3809</v>
      </c>
      <c r="G5632" s="63" t="str">
        <f>VLOOKUP(C5632, 'Class Def. - General Data'!$C$20:$C$1000,1,false)</f>
        <v>ZRM1_Colorant_Food</v>
      </c>
      <c r="H5632" s="63" t="str">
        <f>IFERROR(__xludf.DUMMYFUNCTION("VLOOKUP(F5632, IMPORTRANGE(""https://docs.google.com/spreadsheets/d/1Lhp9OU0JdFf_VYSMzH5lBcEaU4o8teT1piV-SNzShjg/edit?gid=554141278#gid=554141278"", ""'Char Def. - Attributes'!C20:C2242""), 1,false)"),"ALT_NUM_UOM2")</f>
        <v>ALT_NUM_UOM2</v>
      </c>
      <c r="I5632" s="136"/>
    </row>
    <row r="5633" ht="15.75" customHeight="1">
      <c r="B5633" s="63">
        <f t="shared" si="1"/>
        <v>18</v>
      </c>
      <c r="C5633" s="156" t="s">
        <v>292</v>
      </c>
      <c r="D5633" s="147" t="s">
        <v>74</v>
      </c>
      <c r="E5633" s="135">
        <f t="shared" si="59"/>
        <v>17</v>
      </c>
      <c r="F5633" s="154" t="s">
        <v>3871</v>
      </c>
      <c r="G5633" s="63" t="str">
        <f>VLOOKUP(C5633, 'Class Def. - General Data'!$C$20:$C$1000,1,false)</f>
        <v>ZRM1_Colorant_Food</v>
      </c>
      <c r="H5633" s="63" t="str">
        <f>IFERROR(__xludf.DUMMYFUNCTION("VLOOKUP(F5633, IMPORTRANGE(""https://docs.google.com/spreadsheets/d/1Lhp9OU0JdFf_VYSMzH5lBcEaU4o8teT1piV-SNzShjg/edit?gid=554141278#gid=554141278"", ""'Char Def. - Attributes'!C20:C2242""), 1,false)"),"ALT_UOM3_RMPM")</f>
        <v>ALT_UOM3_RMPM</v>
      </c>
      <c r="I5633" s="136"/>
    </row>
    <row r="5634" ht="15.75" customHeight="1">
      <c r="B5634" s="63">
        <f t="shared" si="1"/>
        <v>18</v>
      </c>
      <c r="C5634" s="156" t="s">
        <v>292</v>
      </c>
      <c r="D5634" s="147" t="s">
        <v>74</v>
      </c>
      <c r="E5634" s="135">
        <f t="shared" si="59"/>
        <v>18</v>
      </c>
      <c r="F5634" s="154" t="s">
        <v>3811</v>
      </c>
      <c r="G5634" s="63" t="str">
        <f>VLOOKUP(C5634, 'Class Def. - General Data'!$C$20:$C$1000,1,false)</f>
        <v>ZRM1_Colorant_Food</v>
      </c>
      <c r="H5634" s="63" t="str">
        <f>IFERROR(__xludf.DUMMYFUNCTION("VLOOKUP(F5634, IMPORTRANGE(""https://docs.google.com/spreadsheets/d/1Lhp9OU0JdFf_VYSMzH5lBcEaU4o8teT1piV-SNzShjg/edit?gid=554141278#gid=554141278"", ""'Char Def. - Attributes'!C20:C2242""), 1,false)"),"ALT_DENUM_UOM3")</f>
        <v>ALT_DENUM_UOM3</v>
      </c>
      <c r="I5634" s="136"/>
    </row>
    <row r="5635" ht="15.75" customHeight="1">
      <c r="B5635" s="63">
        <f t="shared" si="1"/>
        <v>18</v>
      </c>
      <c r="C5635" s="156" t="s">
        <v>292</v>
      </c>
      <c r="D5635" s="147" t="s">
        <v>74</v>
      </c>
      <c r="E5635" s="135">
        <f t="shared" si="59"/>
        <v>19</v>
      </c>
      <c r="F5635" s="154" t="s">
        <v>3812</v>
      </c>
      <c r="G5635" s="63" t="str">
        <f>VLOOKUP(C5635, 'Class Def. - General Data'!$C$20:$C$1000,1,false)</f>
        <v>ZRM1_Colorant_Food</v>
      </c>
      <c r="H5635" s="63" t="str">
        <f>IFERROR(__xludf.DUMMYFUNCTION("VLOOKUP(F5635, IMPORTRANGE(""https://docs.google.com/spreadsheets/d/1Lhp9OU0JdFf_VYSMzH5lBcEaU4o8teT1piV-SNzShjg/edit?gid=554141278#gid=554141278"", ""'Char Def. - Attributes'!C20:C2242""), 1,false)"),"ALT_NUM_UOM3")</f>
        <v>ALT_NUM_UOM3</v>
      </c>
      <c r="I5635" s="136"/>
    </row>
    <row r="5636" ht="15.75" customHeight="1">
      <c r="B5636" s="63">
        <f t="shared" si="1"/>
        <v>18</v>
      </c>
      <c r="C5636" s="156" t="s">
        <v>292</v>
      </c>
      <c r="D5636" s="147" t="s">
        <v>74</v>
      </c>
      <c r="E5636" s="135">
        <f t="shared" si="59"/>
        <v>20</v>
      </c>
      <c r="F5636" s="154" t="s">
        <v>3872</v>
      </c>
      <c r="G5636" s="63" t="str">
        <f>VLOOKUP(C5636, 'Class Def. - General Data'!$C$20:$C$1000,1,false)</f>
        <v>ZRM1_Colorant_Food</v>
      </c>
      <c r="H5636" s="63" t="str">
        <f>IFERROR(__xludf.DUMMYFUNCTION("VLOOKUP(F5636, IMPORTRANGE(""https://docs.google.com/spreadsheets/d/1Lhp9OU0JdFf_VYSMzH5lBcEaU4o8teT1piV-SNzShjg/edit?gid=554141278#gid=554141278"", ""'Char Def. - Attributes'!C20:C2242""), 1,false)"),"ALT_UOM4_RMPM")</f>
        <v>ALT_UOM4_RMPM</v>
      </c>
      <c r="I5636" s="136"/>
    </row>
    <row r="5637" ht="15.75" customHeight="1">
      <c r="B5637" s="63">
        <f t="shared" si="1"/>
        <v>18</v>
      </c>
      <c r="C5637" s="156" t="s">
        <v>292</v>
      </c>
      <c r="D5637" s="147" t="s">
        <v>74</v>
      </c>
      <c r="E5637" s="135">
        <f t="shared" si="59"/>
        <v>21</v>
      </c>
      <c r="F5637" s="146" t="s">
        <v>3814</v>
      </c>
      <c r="G5637" s="63" t="str">
        <f>VLOOKUP(C5637, 'Class Def. - General Data'!$C$20:$C$1000,1,false)</f>
        <v>ZRM1_Colorant_Food</v>
      </c>
      <c r="H5637" s="63" t="str">
        <f>IFERROR(__xludf.DUMMYFUNCTION("VLOOKUP(F5637, IMPORTRANGE(""https://docs.google.com/spreadsheets/d/1Lhp9OU0JdFf_VYSMzH5lBcEaU4o8teT1piV-SNzShjg/edit?gid=554141278#gid=554141278"", ""'Char Def. - Attributes'!C20:C2242""), 1,false)"),"ALT_DENUM_UOM4")</f>
        <v>ALT_DENUM_UOM4</v>
      </c>
      <c r="I5637" s="136"/>
    </row>
    <row r="5638" ht="15.75" customHeight="1">
      <c r="B5638" s="63">
        <f t="shared" si="1"/>
        <v>18</v>
      </c>
      <c r="C5638" s="156" t="s">
        <v>292</v>
      </c>
      <c r="D5638" s="147" t="s">
        <v>74</v>
      </c>
      <c r="E5638" s="135">
        <f t="shared" si="59"/>
        <v>22</v>
      </c>
      <c r="F5638" s="154" t="s">
        <v>3815</v>
      </c>
      <c r="G5638" s="63" t="str">
        <f>VLOOKUP(C5638, 'Class Def. - General Data'!$C$20:$C$1000,1,false)</f>
        <v>ZRM1_Colorant_Food</v>
      </c>
      <c r="H5638" s="63" t="str">
        <f>IFERROR(__xludf.DUMMYFUNCTION("VLOOKUP(F5638, IMPORTRANGE(""https://docs.google.com/spreadsheets/d/1Lhp9OU0JdFf_VYSMzH5lBcEaU4o8teT1piV-SNzShjg/edit?gid=554141278#gid=554141278"", ""'Char Def. - Attributes'!C20:C2242""), 1,false)"),"ALT_NUM_UOM4")</f>
        <v>ALT_NUM_UOM4</v>
      </c>
      <c r="I5638" s="136"/>
    </row>
    <row r="5639" ht="15.75" customHeight="1">
      <c r="B5639" s="63">
        <f t="shared" si="1"/>
        <v>18</v>
      </c>
      <c r="C5639" s="156" t="s">
        <v>292</v>
      </c>
      <c r="D5639" s="147" t="s">
        <v>74</v>
      </c>
      <c r="E5639" s="135">
        <f t="shared" si="59"/>
        <v>23</v>
      </c>
      <c r="F5639" s="154" t="s">
        <v>3873</v>
      </c>
      <c r="G5639" s="63" t="str">
        <f>VLOOKUP(C5639, 'Class Def. - General Data'!$C$20:$C$1000,1,false)</f>
        <v>ZRM1_Colorant_Food</v>
      </c>
      <c r="H5639" s="63" t="str">
        <f>IFERROR(__xludf.DUMMYFUNCTION("VLOOKUP(F5639, IMPORTRANGE(""https://docs.google.com/spreadsheets/d/1Lhp9OU0JdFf_VYSMzH5lBcEaU4o8teT1piV-SNzShjg/edit?gid=554141278#gid=554141278"", ""'Char Def. - Attributes'!C20:C2242""), 1,false)"),"ALT_UOM5_RMPM")</f>
        <v>ALT_UOM5_RMPM</v>
      </c>
      <c r="I5639" s="136"/>
    </row>
    <row r="5640" ht="15.75" customHeight="1">
      <c r="B5640" s="63">
        <f t="shared" si="1"/>
        <v>18</v>
      </c>
      <c r="C5640" s="156" t="s">
        <v>292</v>
      </c>
      <c r="D5640" s="147" t="s">
        <v>74</v>
      </c>
      <c r="E5640" s="135">
        <f t="shared" si="59"/>
        <v>24</v>
      </c>
      <c r="F5640" s="154" t="s">
        <v>3817</v>
      </c>
      <c r="G5640" s="63" t="str">
        <f>VLOOKUP(C5640, 'Class Def. - General Data'!$C$20:$C$1000,1,false)</f>
        <v>ZRM1_Colorant_Food</v>
      </c>
      <c r="H5640" s="63" t="str">
        <f>IFERROR(__xludf.DUMMYFUNCTION("VLOOKUP(F5640, IMPORTRANGE(""https://docs.google.com/spreadsheets/d/1Lhp9OU0JdFf_VYSMzH5lBcEaU4o8teT1piV-SNzShjg/edit?gid=554141278#gid=554141278"", ""'Char Def. - Attributes'!C20:C2242""), 1,false)"),"ALT_DENUM_UOM5")</f>
        <v>ALT_DENUM_UOM5</v>
      </c>
      <c r="I5640" s="136"/>
    </row>
    <row r="5641" ht="15.75" customHeight="1">
      <c r="B5641" s="63">
        <f t="shared" si="1"/>
        <v>18</v>
      </c>
      <c r="C5641" s="156" t="s">
        <v>292</v>
      </c>
      <c r="D5641" s="147" t="s">
        <v>74</v>
      </c>
      <c r="E5641" s="135">
        <f t="shared" si="59"/>
        <v>25</v>
      </c>
      <c r="F5641" s="154" t="s">
        <v>3818</v>
      </c>
      <c r="G5641" s="63" t="str">
        <f>VLOOKUP(C5641, 'Class Def. - General Data'!$C$20:$C$1000,1,false)</f>
        <v>ZRM1_Colorant_Food</v>
      </c>
      <c r="H5641" s="63" t="str">
        <f>IFERROR(__xludf.DUMMYFUNCTION("VLOOKUP(F5641, IMPORTRANGE(""https://docs.google.com/spreadsheets/d/1Lhp9OU0JdFf_VYSMzH5lBcEaU4o8teT1piV-SNzShjg/edit?gid=554141278#gid=554141278"", ""'Char Def. - Attributes'!C20:C2242""), 1,false)"),"ALT_NUM_UOM5")</f>
        <v>ALT_NUM_UOM5</v>
      </c>
      <c r="I5641" s="136"/>
    </row>
    <row r="5642" ht="15.75" customHeight="1">
      <c r="B5642" s="63">
        <f t="shared" si="1"/>
        <v>18</v>
      </c>
      <c r="C5642" s="156" t="s">
        <v>292</v>
      </c>
      <c r="D5642" s="147" t="s">
        <v>74</v>
      </c>
      <c r="E5642" s="135">
        <f t="shared" si="59"/>
        <v>26</v>
      </c>
      <c r="F5642" s="154" t="s">
        <v>3874</v>
      </c>
      <c r="G5642" s="63" t="str">
        <f>VLOOKUP(C5642, 'Class Def. - General Data'!$C$20:$C$1000,1,false)</f>
        <v>ZRM1_Colorant_Food</v>
      </c>
      <c r="H5642" s="63" t="str">
        <f>IFERROR(__xludf.DUMMYFUNCTION("VLOOKUP(F5642, IMPORTRANGE(""https://docs.google.com/spreadsheets/d/1Lhp9OU0JdFf_VYSMzH5lBcEaU4o8teT1piV-SNzShjg/edit?gid=554141278#gid=554141278"", ""'Char Def. - Attributes'!C20:C2242""), 1,false)"),"VALUATION_CATEGORY")</f>
        <v>VALUATION_CATEGORY</v>
      </c>
      <c r="I5642" s="136"/>
    </row>
    <row r="5643" ht="15.75" customHeight="1">
      <c r="B5643" s="63">
        <f t="shared" si="1"/>
        <v>18</v>
      </c>
      <c r="C5643" s="156" t="s">
        <v>292</v>
      </c>
      <c r="D5643" s="147" t="s">
        <v>74</v>
      </c>
      <c r="E5643" s="135">
        <f t="shared" si="59"/>
        <v>27</v>
      </c>
      <c r="F5643" s="154" t="s">
        <v>3800</v>
      </c>
      <c r="G5643" s="63" t="str">
        <f>VLOOKUP(C5643, 'Class Def. - General Data'!$C$20:$C$1000,1,false)</f>
        <v>ZRM1_Colorant_Food</v>
      </c>
      <c r="H5643" s="63" t="str">
        <f>IFERROR(__xludf.DUMMYFUNCTION("VLOOKUP(F5643, IMPORTRANGE(""https://docs.google.com/spreadsheets/d/1Lhp9OU0JdFf_VYSMzH5lBcEaU4o8teT1piV-SNzShjg/edit?gid=554141278#gid=554141278"", ""'Char Def. - Attributes'!C20:C2242""), 1,false)"),"ORDER_UNIT_DIFF_FROM_BASIC_UOM")</f>
        <v>ORDER_UNIT_DIFF_FROM_BASIC_UOM</v>
      </c>
      <c r="I5643" s="136"/>
    </row>
    <row r="5644" ht="15.75" customHeight="1">
      <c r="B5644" s="63">
        <f t="shared" si="1"/>
        <v>18</v>
      </c>
      <c r="C5644" s="156" t="s">
        <v>292</v>
      </c>
      <c r="D5644" s="147" t="s">
        <v>74</v>
      </c>
      <c r="E5644" s="135">
        <f t="shared" si="59"/>
        <v>28</v>
      </c>
      <c r="F5644" s="154" t="s">
        <v>3875</v>
      </c>
      <c r="G5644" s="63" t="str">
        <f>VLOOKUP(C5644, 'Class Def. - General Data'!$C$20:$C$1000,1,false)</f>
        <v>ZRM1_Colorant_Food</v>
      </c>
      <c r="H5644" s="63" t="str">
        <f>IFERROR(__xludf.DUMMYFUNCTION("VLOOKUP(F5644, IMPORTRANGE(""https://docs.google.com/spreadsheets/d/1Lhp9OU0JdFf_VYSMzH5lBcEaU4o8teT1piV-SNzShjg/edit?gid=554141278#gid=554141278"", ""'Char Def. - Attributes'!C20:C2242""), 1,false)"),"ORDER_UNIT_RMPM")</f>
        <v>ORDER_UNIT_RMPM</v>
      </c>
      <c r="I5644" s="136"/>
    </row>
    <row r="5645" ht="15.75" customHeight="1">
      <c r="B5645" s="63">
        <f t="shared" si="1"/>
        <v>18</v>
      </c>
      <c r="C5645" s="156" t="s">
        <v>292</v>
      </c>
      <c r="D5645" s="147" t="s">
        <v>74</v>
      </c>
      <c r="E5645" s="135">
        <f t="shared" si="59"/>
        <v>29</v>
      </c>
      <c r="F5645" s="157" t="s">
        <v>3602</v>
      </c>
      <c r="G5645" s="63" t="str">
        <f>VLOOKUP(C5645, 'Class Def. - General Data'!$C$20:$C$1000,1,false)</f>
        <v>ZRM1_Colorant_Food</v>
      </c>
      <c r="H5645" s="63" t="str">
        <f>IFERROR(__xludf.DUMMYFUNCTION("VLOOKUP(F5645, IMPORTRANGE(""https://docs.google.com/spreadsheets/d/1Lhp9OU0JdFf_VYSMzH5lBcEaU4o8teT1piV-SNzShjg/edit?gid=554141278#gid=554141278"", ""'Char Def. - Attributes'!C20:C2242""), 1,false)"),"NET_WEIGHT")</f>
        <v>NET_WEIGHT</v>
      </c>
      <c r="I5645" s="136"/>
    </row>
    <row r="5646" ht="15.75" customHeight="1">
      <c r="B5646" s="63">
        <f t="shared" si="1"/>
        <v>18</v>
      </c>
      <c r="C5646" s="156" t="s">
        <v>292</v>
      </c>
      <c r="D5646" s="147" t="s">
        <v>74</v>
      </c>
      <c r="E5646" s="135">
        <f t="shared" si="59"/>
        <v>30</v>
      </c>
      <c r="F5646" s="157" t="s">
        <v>3601</v>
      </c>
      <c r="G5646" s="63" t="str">
        <f>VLOOKUP(C5646, 'Class Def. - General Data'!$C$20:$C$1000,1,false)</f>
        <v>ZRM1_Colorant_Food</v>
      </c>
      <c r="H5646" s="63" t="str">
        <f>IFERROR(__xludf.DUMMYFUNCTION("VLOOKUP(F5646, IMPORTRANGE(""https://docs.google.com/spreadsheets/d/1Lhp9OU0JdFf_VYSMzH5lBcEaU4o8teT1piV-SNzShjg/edit?gid=554141278#gid=554141278"", ""'Char Def. - Attributes'!C20:C2242""), 1,false)"),"GROSS_WEIGHT")</f>
        <v>GROSS_WEIGHT</v>
      </c>
      <c r="I5646" s="136"/>
    </row>
    <row r="5647" ht="15.75" customHeight="1">
      <c r="B5647" s="63">
        <f t="shared" si="1"/>
        <v>18</v>
      </c>
      <c r="C5647" s="156" t="s">
        <v>292</v>
      </c>
      <c r="D5647" s="147" t="s">
        <v>74</v>
      </c>
      <c r="E5647" s="135">
        <f t="shared" si="59"/>
        <v>31</v>
      </c>
      <c r="F5647" s="154" t="s">
        <v>3996</v>
      </c>
      <c r="G5647" s="63" t="str">
        <f>VLOOKUP(C5647, 'Class Def. - General Data'!$C$20:$C$1000,1,false)</f>
        <v>ZRM1_Colorant_Food</v>
      </c>
      <c r="H5647" s="63" t="str">
        <f>IFERROR(__xludf.DUMMYFUNCTION("VLOOKUP(F5647, IMPORTRANGE(""https://docs.google.com/spreadsheets/d/1Lhp9OU0JdFf_VYSMzH5lBcEaU4o8teT1piV-SNzShjg/edit?gid=554141278#gid=554141278"", ""'Char Def. - Attributes'!C20:C2242""), 1,false)"),"WEIGHT_UNIT")</f>
        <v>WEIGHT_UNIT</v>
      </c>
      <c r="I5647" s="136"/>
    </row>
    <row r="5648" ht="15.75" customHeight="1">
      <c r="B5648" s="63">
        <f t="shared" si="1"/>
        <v>18</v>
      </c>
      <c r="C5648" s="156" t="s">
        <v>292</v>
      </c>
      <c r="D5648" s="147" t="s">
        <v>74</v>
      </c>
      <c r="E5648" s="135">
        <f t="shared" si="59"/>
        <v>32</v>
      </c>
      <c r="F5648" s="157" t="s">
        <v>3877</v>
      </c>
      <c r="G5648" s="63" t="str">
        <f>VLOOKUP(C5648, 'Class Def. - General Data'!$C$20:$C$1000,1,false)</f>
        <v>ZRM1_Colorant_Food</v>
      </c>
      <c r="H5648" s="63" t="str">
        <f>IFERROR(__xludf.DUMMYFUNCTION("VLOOKUP(F5648, IMPORTRANGE(""https://docs.google.com/spreadsheets/d/1Lhp9OU0JdFf_VYSMzH5lBcEaU4o8teT1piV-SNzShjg/edit?gid=554141278#gid=554141278"", ""'Char Def. - Attributes'!C20:C2242""), 1,false)"),"VOLUME_OPT")</f>
        <v>VOLUME_OPT</v>
      </c>
      <c r="I5648" s="136"/>
    </row>
    <row r="5649" ht="15.75" customHeight="1">
      <c r="B5649" s="63">
        <f t="shared" si="1"/>
        <v>18</v>
      </c>
      <c r="C5649" s="156" t="s">
        <v>292</v>
      </c>
      <c r="D5649" s="147" t="s">
        <v>74</v>
      </c>
      <c r="E5649" s="135">
        <f t="shared" si="59"/>
        <v>33</v>
      </c>
      <c r="F5649" s="154" t="s">
        <v>3878</v>
      </c>
      <c r="G5649" s="63" t="str">
        <f>VLOOKUP(C5649, 'Class Def. - General Data'!$C$20:$C$1000,1,false)</f>
        <v>ZRM1_Colorant_Food</v>
      </c>
      <c r="H5649" s="63" t="str">
        <f>IFERROR(__xludf.DUMMYFUNCTION("VLOOKUP(F5649, IMPORTRANGE(""https://docs.google.com/spreadsheets/d/1Lhp9OU0JdFf_VYSMzH5lBcEaU4o8teT1piV-SNzShjg/edit?gid=554141278#gid=554141278"", ""'Char Def. - Attributes'!C20:C2242""), 1,false)"),"VOLUME_UNIT")</f>
        <v>VOLUME_UNIT</v>
      </c>
      <c r="I5649" s="136"/>
    </row>
    <row r="5650" ht="15.75" customHeight="1">
      <c r="B5650" s="63">
        <f t="shared" si="1"/>
        <v>18</v>
      </c>
      <c r="C5650" s="156" t="s">
        <v>292</v>
      </c>
      <c r="D5650" s="147" t="s">
        <v>74</v>
      </c>
      <c r="E5650" s="135">
        <f t="shared" si="59"/>
        <v>34</v>
      </c>
      <c r="F5650" s="157" t="s">
        <v>3587</v>
      </c>
      <c r="G5650" s="63" t="str">
        <f>VLOOKUP(C5650, 'Class Def. - General Data'!$C$20:$C$1000,1,false)</f>
        <v>ZRM1_Colorant_Food</v>
      </c>
      <c r="H5650" s="63" t="str">
        <f>IFERROR(__xludf.DUMMYFUNCTION("VLOOKUP(F5650, IMPORTRANGE(""https://docs.google.com/spreadsheets/d/1Lhp9OU0JdFf_VYSMzH5lBcEaU4o8teT1piV-SNzShjg/edit?gid=554141278#gid=554141278"", ""'Char Def. - Attributes'!C20:C2242""), 1,false)"),"PLANT_BUY")</f>
        <v>PLANT_BUY</v>
      </c>
      <c r="I5650" s="136"/>
    </row>
    <row r="5651" ht="15.75" customHeight="1">
      <c r="B5651" s="63">
        <f t="shared" si="1"/>
        <v>18</v>
      </c>
      <c r="C5651" s="156" t="s">
        <v>292</v>
      </c>
      <c r="D5651" s="147" t="s">
        <v>74</v>
      </c>
      <c r="E5651" s="135">
        <f t="shared" si="59"/>
        <v>35</v>
      </c>
      <c r="F5651" s="154" t="s">
        <v>3997</v>
      </c>
      <c r="G5651" s="63" t="str">
        <f>VLOOKUP(C5651, 'Class Def. - General Data'!$C$20:$C$1000,1,false)</f>
        <v>ZRM1_Colorant_Food</v>
      </c>
      <c r="H5651" s="63" t="str">
        <f>IFERROR(__xludf.DUMMYFUNCTION("VLOOKUP(F5651, IMPORTRANGE(""https://docs.google.com/spreadsheets/d/1Lhp9OU0JdFf_VYSMzH5lBcEaU4o8teT1piV-SNzShjg/edit?gid=554141278#gid=554141278"", ""'Char Def. - Attributes'!C20:C2242""), 1,false)"),"OLD_MAT_NO_RMPM_OPT")</f>
        <v>OLD_MAT_NO_RMPM_OPT</v>
      </c>
      <c r="I5651" s="136"/>
    </row>
    <row r="5652" ht="15.75" customHeight="1">
      <c r="B5652" s="63">
        <f t="shared" si="1"/>
        <v>18</v>
      </c>
      <c r="C5652" s="156" t="s">
        <v>292</v>
      </c>
      <c r="D5652" s="147" t="s">
        <v>74</v>
      </c>
      <c r="E5652" s="135">
        <f t="shared" si="59"/>
        <v>36</v>
      </c>
      <c r="F5652" s="146" t="s">
        <v>3998</v>
      </c>
      <c r="G5652" s="63" t="str">
        <f>VLOOKUP(C5652, 'Class Def. - General Data'!$C$20:$C$1000,1,false)</f>
        <v>ZRM1_Colorant_Food</v>
      </c>
      <c r="H5652" s="63" t="str">
        <f>IFERROR(__xludf.DUMMYFUNCTION("VLOOKUP(F5652, IMPORTRANGE(""https://docs.google.com/spreadsheets/d/1Lhp9OU0JdFf_VYSMzH5lBcEaU4o8teT1piV-SNzShjg/edit?gid=554141278#gid=554141278"", ""'Char Def. - Attributes'!C20:C2242""), 1,false)"),"MIN_STD_WEIGHT")</f>
        <v>MIN_STD_WEIGHT</v>
      </c>
      <c r="I5652" s="136"/>
    </row>
    <row r="5653" ht="15.75" customHeight="1">
      <c r="B5653" s="63">
        <f t="shared" si="1"/>
        <v>18</v>
      </c>
      <c r="C5653" s="156" t="s">
        <v>292</v>
      </c>
      <c r="D5653" s="147" t="s">
        <v>74</v>
      </c>
      <c r="E5653" s="135">
        <f t="shared" si="59"/>
        <v>37</v>
      </c>
      <c r="F5653" s="146" t="s">
        <v>3999</v>
      </c>
      <c r="G5653" s="63" t="str">
        <f>VLOOKUP(C5653, 'Class Def. - General Data'!$C$20:$C$1000,1,false)</f>
        <v>ZRM1_Colorant_Food</v>
      </c>
      <c r="H5653" s="63" t="str">
        <f>IFERROR(__xludf.DUMMYFUNCTION("VLOOKUP(F5653, IMPORTRANGE(""https://docs.google.com/spreadsheets/d/1Lhp9OU0JdFf_VYSMzH5lBcEaU4o8teT1piV-SNzShjg/edit?gid=554141278#gid=554141278"", ""'Char Def. - Attributes'!C20:C2242""), 1,false)"),"MIN_STD_WEIGHT_UOM")</f>
        <v>MIN_STD_WEIGHT_UOM</v>
      </c>
      <c r="I5653" s="136"/>
    </row>
    <row r="5654" ht="15.75" customHeight="1">
      <c r="B5654" s="63">
        <f t="shared" si="1"/>
        <v>16</v>
      </c>
      <c r="C5654" s="156" t="s">
        <v>237</v>
      </c>
      <c r="D5654" s="147" t="s">
        <v>74</v>
      </c>
      <c r="E5654" s="135">
        <f t="shared" si="59"/>
        <v>1</v>
      </c>
      <c r="F5654" s="154" t="s">
        <v>4000</v>
      </c>
      <c r="G5654" s="63" t="str">
        <f>VLOOKUP(C5654, 'Class Def. - General Data'!$C$20:$C$1000,1,false)</f>
        <v>ZRM1_Cooking_Oil</v>
      </c>
      <c r="H5654" s="63" t="str">
        <f>IFERROR(__xludf.DUMMYFUNCTION("VLOOKUP(F5654, IMPORTRANGE(""https://docs.google.com/spreadsheets/d/1Lhp9OU0JdFf_VYSMzH5lBcEaU4o8teT1piV-SNzShjg/edit?gid=554141278#gid=554141278"", ""'Char Def. - Attributes'!C20:C2242""), 1,false)"),"MATERIAL_CODE_FREETEXT")</f>
        <v>MATERIAL_CODE_FREETEXT</v>
      </c>
      <c r="I5654" s="136"/>
    </row>
    <row r="5655" ht="15.75" customHeight="1">
      <c r="B5655" s="63">
        <f t="shared" si="1"/>
        <v>16</v>
      </c>
      <c r="C5655" s="156" t="s">
        <v>237</v>
      </c>
      <c r="D5655" s="147" t="s">
        <v>74</v>
      </c>
      <c r="E5655" s="135">
        <f t="shared" si="59"/>
        <v>2</v>
      </c>
      <c r="F5655" s="154" t="s">
        <v>4001</v>
      </c>
      <c r="G5655" s="63" t="str">
        <f>VLOOKUP(C5655, 'Class Def. - General Data'!$C$20:$C$1000,1,false)</f>
        <v>ZRM1_Cooking_Oil</v>
      </c>
      <c r="H5655" s="63" t="str">
        <f>IFERROR(__xludf.DUMMYFUNCTION("VLOOKUP(F5655, IMPORTRANGE(""https://docs.google.com/spreadsheets/d/1Lhp9OU0JdFf_VYSMzH5lBcEaU4o8teT1piV-SNzShjg/edit?gid=554141278#gid=554141278"", ""'Char Def. - Attributes'!C20:C2242""), 1,false)"),"ADDITIONAL_INFO_NO_MASK")</f>
        <v>ADDITIONAL_INFO_NO_MASK</v>
      </c>
      <c r="I5655" s="136"/>
    </row>
    <row r="5656" ht="15.75" customHeight="1">
      <c r="B5656" s="63">
        <f t="shared" si="1"/>
        <v>16</v>
      </c>
      <c r="C5656" s="156" t="s">
        <v>237</v>
      </c>
      <c r="D5656" s="147" t="s">
        <v>74</v>
      </c>
      <c r="E5656" s="135">
        <f t="shared" si="59"/>
        <v>3</v>
      </c>
      <c r="F5656" s="154" t="s">
        <v>4002</v>
      </c>
      <c r="G5656" s="63" t="str">
        <f>VLOOKUP(C5656, 'Class Def. - General Data'!$C$20:$C$1000,1,false)</f>
        <v>ZRM1_Cooking_Oil</v>
      </c>
      <c r="H5656" s="63" t="str">
        <f>IFERROR(__xludf.DUMMYFUNCTION("VLOOKUP(F5656, IMPORTRANGE(""https://docs.google.com/spreadsheets/d/1Lhp9OU0JdFf_VYSMzH5lBcEaU4o8teT1piV-SNzShjg/edit?gid=554141278#gid=554141278"", ""'Char Def. - Attributes'!C20:C2242""), 1,false)"),"COLOR_GENERAL")</f>
        <v>COLOR_GENERAL</v>
      </c>
      <c r="I5656" s="136"/>
    </row>
    <row r="5657" ht="15.75" customHeight="1">
      <c r="B5657" s="63">
        <f t="shared" si="1"/>
        <v>16</v>
      </c>
      <c r="C5657" s="156" t="s">
        <v>237</v>
      </c>
      <c r="D5657" s="147" t="s">
        <v>74</v>
      </c>
      <c r="E5657" s="135">
        <f t="shared" si="59"/>
        <v>4</v>
      </c>
      <c r="F5657" s="154" t="s">
        <v>4003</v>
      </c>
      <c r="G5657" s="63" t="str">
        <f>VLOOKUP(C5657, 'Class Def. - General Data'!$C$20:$C$1000,1,false)</f>
        <v>ZRM1_Cooking_Oil</v>
      </c>
      <c r="H5657" s="63" t="str">
        <f>IFERROR(__xludf.DUMMYFUNCTION("VLOOKUP(F5657, IMPORTRANGE(""https://docs.google.com/spreadsheets/d/1Lhp9OU0JdFf_VYSMzH5lBcEaU4o8teT1piV-SNzShjg/edit?gid=554141278#gid=554141278"", ""'Char Def. - Attributes'!C20:C2242""), 1,false)"),"SOURCE_SUPPLY")</f>
        <v>SOURCE_SUPPLY</v>
      </c>
      <c r="I5657" s="136"/>
    </row>
    <row r="5658" ht="15.75" customHeight="1">
      <c r="B5658" s="63">
        <f t="shared" si="1"/>
        <v>16</v>
      </c>
      <c r="C5658" s="156" t="s">
        <v>237</v>
      </c>
      <c r="D5658" s="147" t="s">
        <v>74</v>
      </c>
      <c r="E5658" s="135">
        <f t="shared" si="59"/>
        <v>5</v>
      </c>
      <c r="F5658" s="154" t="s">
        <v>4004</v>
      </c>
      <c r="G5658" s="63" t="str">
        <f>VLOOKUP(C5658, 'Class Def. - General Data'!$C$20:$C$1000,1,false)</f>
        <v>ZRM1_Cooking_Oil</v>
      </c>
      <c r="H5658" s="63" t="str">
        <f>IFERROR(__xludf.DUMMYFUNCTION("VLOOKUP(F5658, IMPORTRANGE(""https://docs.google.com/spreadsheets/d/1Lhp9OU0JdFf_VYSMzH5lBcEaU4o8teT1piV-SNzShjg/edit?gid=554141278#gid=554141278"", ""'Char Def. - Attributes'!C20:C2242""), 1,false)"),"BASE_MATERIAL")</f>
        <v>BASE_MATERIAL</v>
      </c>
      <c r="I5658" s="136"/>
    </row>
    <row r="5659" ht="15.75" customHeight="1">
      <c r="B5659" s="63">
        <f t="shared" si="1"/>
        <v>16</v>
      </c>
      <c r="C5659" s="156" t="s">
        <v>237</v>
      </c>
      <c r="D5659" s="147" t="s">
        <v>74</v>
      </c>
      <c r="E5659" s="135">
        <f t="shared" si="59"/>
        <v>6</v>
      </c>
      <c r="F5659" s="154" t="s">
        <v>4009</v>
      </c>
      <c r="G5659" s="63" t="str">
        <f>VLOOKUP(C5659, 'Class Def. - General Data'!$C$20:$C$1000,1,false)</f>
        <v>ZRM1_Cooking_Oil</v>
      </c>
      <c r="H5659" s="63" t="str">
        <f>IFERROR(__xludf.DUMMYFUNCTION("VLOOKUP(F5659, IMPORTRANGE(""https://docs.google.com/spreadsheets/d/1Lhp9OU0JdFf_VYSMzH5lBcEaU4o8teT1piV-SNzShjg/edit?gid=554141278#gid=554141278"", ""'Char Def. - Attributes'!C20:C2242""), 1,false)"),"NATURE_ORIGIN_FOOD")</f>
        <v>NATURE_ORIGIN_FOOD</v>
      </c>
      <c r="I5659" s="136"/>
    </row>
    <row r="5660" ht="15.75" customHeight="1">
      <c r="B5660" s="63">
        <f t="shared" si="1"/>
        <v>16</v>
      </c>
      <c r="C5660" s="156" t="s">
        <v>237</v>
      </c>
      <c r="D5660" s="147" t="s">
        <v>74</v>
      </c>
      <c r="E5660" s="135">
        <f t="shared" si="59"/>
        <v>7</v>
      </c>
      <c r="F5660" s="154" t="s">
        <v>4006</v>
      </c>
      <c r="G5660" s="63" t="str">
        <f>VLOOKUP(C5660, 'Class Def. - General Data'!$C$20:$C$1000,1,false)</f>
        <v>ZRM1_Cooking_Oil</v>
      </c>
      <c r="H5660" s="63" t="str">
        <f>IFERROR(__xludf.DUMMYFUNCTION("VLOOKUP(F5660, IMPORTRANGE(""https://docs.google.com/spreadsheets/d/1Lhp9OU0JdFf_VYSMzH5lBcEaU4o8teT1piV-SNzShjg/edit?gid=554141278#gid=554141278"", ""'Char Def. - Attributes'!C20:C2242""), 1,false)"),"CATEGORY_ITEM")</f>
        <v>CATEGORY_ITEM</v>
      </c>
      <c r="I5660" s="136"/>
    </row>
    <row r="5661" ht="15.75" customHeight="1">
      <c r="B5661" s="63">
        <f t="shared" si="1"/>
        <v>16</v>
      </c>
      <c r="C5661" s="156" t="s">
        <v>237</v>
      </c>
      <c r="D5661" s="147" t="s">
        <v>74</v>
      </c>
      <c r="E5661" s="135">
        <f t="shared" si="59"/>
        <v>8</v>
      </c>
      <c r="F5661" s="154" t="s">
        <v>4007</v>
      </c>
      <c r="G5661" s="63" t="str">
        <f>VLOOKUP(C5661, 'Class Def. - General Data'!$C$20:$C$1000,1,false)</f>
        <v>ZRM1_Cooking_Oil</v>
      </c>
      <c r="H5661" s="63" t="str">
        <f>IFERROR(__xludf.DUMMYFUNCTION("VLOOKUP(F5661, IMPORTRANGE(""https://docs.google.com/spreadsheets/d/1Lhp9OU0JdFf_VYSMzH5lBcEaU4o8teT1piV-SNzShjg/edit?gid=554141278#gid=554141278"", ""'Char Def. - Attributes'!C20:C2242""), 1,false)"),"FUNCTION1")</f>
        <v>FUNCTION1</v>
      </c>
      <c r="I5661" s="136"/>
    </row>
    <row r="5662" ht="15.75" customHeight="1">
      <c r="B5662" s="63">
        <f t="shared" si="1"/>
        <v>16</v>
      </c>
      <c r="C5662" s="156" t="s">
        <v>237</v>
      </c>
      <c r="D5662" s="147" t="s">
        <v>74</v>
      </c>
      <c r="E5662" s="135">
        <f t="shared" si="59"/>
        <v>9</v>
      </c>
      <c r="F5662" s="154" t="s">
        <v>4008</v>
      </c>
      <c r="G5662" s="63" t="str">
        <f>VLOOKUP(C5662, 'Class Def. - General Data'!$C$20:$C$1000,1,false)</f>
        <v>ZRM1_Cooking_Oil</v>
      </c>
      <c r="H5662" s="63" t="str">
        <f>IFERROR(__xludf.DUMMYFUNCTION("VLOOKUP(F5662, IMPORTRANGE(""https://docs.google.com/spreadsheets/d/1Lhp9OU0JdFf_VYSMzH5lBcEaU4o8teT1piV-SNzShjg/edit?gid=554141278#gid=554141278"", ""'Char Def. - Attributes'!C20:C2242""), 1,false)"),"PREFERENSI_KURS")</f>
        <v>PREFERENSI_KURS</v>
      </c>
      <c r="I5662" s="136"/>
    </row>
    <row r="5663" ht="15.75" customHeight="1">
      <c r="B5663" s="63">
        <f t="shared" si="1"/>
        <v>16</v>
      </c>
      <c r="C5663" s="156" t="s">
        <v>237</v>
      </c>
      <c r="D5663" s="147" t="s">
        <v>74</v>
      </c>
      <c r="E5663" s="135">
        <f t="shared" si="59"/>
        <v>10</v>
      </c>
      <c r="F5663" s="157" t="s">
        <v>3868</v>
      </c>
      <c r="G5663" s="63" t="str">
        <f>VLOOKUP(C5663, 'Class Def. - General Data'!$C$20:$C$1000,1,false)</f>
        <v>ZRM1_Cooking_Oil</v>
      </c>
      <c r="H5663" s="63" t="str">
        <f>IFERROR(__xludf.DUMMYFUNCTION("VLOOKUP(F5663, IMPORTRANGE(""https://docs.google.com/spreadsheets/d/1Lhp9OU0JdFf_VYSMzH5lBcEaU4o8teT1piV-SNzShjg/edit?gid=554141278#gid=554141278"", ""'Char Def. - Attributes'!C20:C2242""), 1,false)"),"BASIC_UOM_RMPM")</f>
        <v>BASIC_UOM_RMPM</v>
      </c>
      <c r="I5663" s="136"/>
    </row>
    <row r="5664" ht="15.75" customHeight="1">
      <c r="B5664" s="63">
        <f t="shared" si="1"/>
        <v>16</v>
      </c>
      <c r="C5664" s="156" t="s">
        <v>237</v>
      </c>
      <c r="D5664" s="147" t="s">
        <v>74</v>
      </c>
      <c r="E5664" s="135">
        <f t="shared" si="59"/>
        <v>11</v>
      </c>
      <c r="F5664" s="154" t="s">
        <v>3869</v>
      </c>
      <c r="G5664" s="63" t="str">
        <f>VLOOKUP(C5664, 'Class Def. - General Data'!$C$20:$C$1000,1,false)</f>
        <v>ZRM1_Cooking_Oil</v>
      </c>
      <c r="H5664" s="63" t="str">
        <f>IFERROR(__xludf.DUMMYFUNCTION("VLOOKUP(F5664, IMPORTRANGE(""https://docs.google.com/spreadsheets/d/1Lhp9OU0JdFf_VYSMzH5lBcEaU4o8teT1piV-SNzShjg/edit?gid=554141278#gid=554141278"", ""'Char Def. - Attributes'!C20:C2242""), 1,false)"),"ALT_UOM1_RMPM")</f>
        <v>ALT_UOM1_RMPM</v>
      </c>
      <c r="I5664" s="136"/>
    </row>
    <row r="5665" ht="15.75" customHeight="1">
      <c r="B5665" s="63">
        <f t="shared" si="1"/>
        <v>16</v>
      </c>
      <c r="C5665" s="156" t="s">
        <v>237</v>
      </c>
      <c r="D5665" s="147" t="s">
        <v>74</v>
      </c>
      <c r="E5665" s="135">
        <f t="shared" si="59"/>
        <v>12</v>
      </c>
      <c r="F5665" s="154" t="s">
        <v>3805</v>
      </c>
      <c r="G5665" s="63" t="str">
        <f>VLOOKUP(C5665, 'Class Def. - General Data'!$C$20:$C$1000,1,false)</f>
        <v>ZRM1_Cooking_Oil</v>
      </c>
      <c r="H5665" s="63" t="str">
        <f>IFERROR(__xludf.DUMMYFUNCTION("VLOOKUP(F5665, IMPORTRANGE(""https://docs.google.com/spreadsheets/d/1Lhp9OU0JdFf_VYSMzH5lBcEaU4o8teT1piV-SNzShjg/edit?gid=554141278#gid=554141278"", ""'Char Def. - Attributes'!C20:C2242""), 1,false)"),"ALT_DENUM_UOM1")</f>
        <v>ALT_DENUM_UOM1</v>
      </c>
      <c r="I5665" s="136"/>
    </row>
    <row r="5666" ht="15.75" customHeight="1">
      <c r="B5666" s="63">
        <f t="shared" si="1"/>
        <v>16</v>
      </c>
      <c r="C5666" s="156" t="s">
        <v>237</v>
      </c>
      <c r="D5666" s="147" t="s">
        <v>74</v>
      </c>
      <c r="E5666" s="135">
        <f t="shared" si="59"/>
        <v>13</v>
      </c>
      <c r="F5666" s="154" t="s">
        <v>3806</v>
      </c>
      <c r="G5666" s="63" t="str">
        <f>VLOOKUP(C5666, 'Class Def. - General Data'!$C$20:$C$1000,1,false)</f>
        <v>ZRM1_Cooking_Oil</v>
      </c>
      <c r="H5666" s="63" t="str">
        <f>IFERROR(__xludf.DUMMYFUNCTION("VLOOKUP(F5666, IMPORTRANGE(""https://docs.google.com/spreadsheets/d/1Lhp9OU0JdFf_VYSMzH5lBcEaU4o8teT1piV-SNzShjg/edit?gid=554141278#gid=554141278"", ""'Char Def. - Attributes'!C20:C2242""), 1,false)"),"ALT_NUM_UOM1")</f>
        <v>ALT_NUM_UOM1</v>
      </c>
      <c r="I5666" s="136"/>
    </row>
    <row r="5667" ht="15.75" customHeight="1">
      <c r="B5667" s="63">
        <f t="shared" si="1"/>
        <v>16</v>
      </c>
      <c r="C5667" s="156" t="s">
        <v>237</v>
      </c>
      <c r="D5667" s="147" t="s">
        <v>74</v>
      </c>
      <c r="E5667" s="135">
        <f t="shared" si="59"/>
        <v>14</v>
      </c>
      <c r="F5667" s="154" t="s">
        <v>3870</v>
      </c>
      <c r="G5667" s="63" t="str">
        <f>VLOOKUP(C5667, 'Class Def. - General Data'!$C$20:$C$1000,1,false)</f>
        <v>ZRM1_Cooking_Oil</v>
      </c>
      <c r="H5667" s="63" t="str">
        <f>IFERROR(__xludf.DUMMYFUNCTION("VLOOKUP(F5667, IMPORTRANGE(""https://docs.google.com/spreadsheets/d/1Lhp9OU0JdFf_VYSMzH5lBcEaU4o8teT1piV-SNzShjg/edit?gid=554141278#gid=554141278"", ""'Char Def. - Attributes'!C20:C2242""), 1,false)"),"ALT_UOM2_RMPM")</f>
        <v>ALT_UOM2_RMPM</v>
      </c>
      <c r="I5667" s="136"/>
    </row>
    <row r="5668" ht="15.75" customHeight="1">
      <c r="B5668" s="63">
        <f t="shared" si="1"/>
        <v>16</v>
      </c>
      <c r="C5668" s="156" t="s">
        <v>237</v>
      </c>
      <c r="D5668" s="147" t="s">
        <v>74</v>
      </c>
      <c r="E5668" s="135">
        <f t="shared" si="59"/>
        <v>15</v>
      </c>
      <c r="F5668" s="154" t="s">
        <v>3808</v>
      </c>
      <c r="G5668" s="63" t="str">
        <f>VLOOKUP(C5668, 'Class Def. - General Data'!$C$20:$C$1000,1,false)</f>
        <v>ZRM1_Cooking_Oil</v>
      </c>
      <c r="H5668" s="63" t="str">
        <f>IFERROR(__xludf.DUMMYFUNCTION("VLOOKUP(F5668, IMPORTRANGE(""https://docs.google.com/spreadsheets/d/1Lhp9OU0JdFf_VYSMzH5lBcEaU4o8teT1piV-SNzShjg/edit?gid=554141278#gid=554141278"", ""'Char Def. - Attributes'!C20:C2242""), 1,false)"),"ALT_DENUM_UOM2")</f>
        <v>ALT_DENUM_UOM2</v>
      </c>
      <c r="I5668" s="136"/>
    </row>
    <row r="5669" ht="15.75" customHeight="1">
      <c r="B5669" s="63">
        <f t="shared" si="1"/>
        <v>16</v>
      </c>
      <c r="C5669" s="156" t="s">
        <v>237</v>
      </c>
      <c r="D5669" s="147" t="s">
        <v>74</v>
      </c>
      <c r="E5669" s="135">
        <f t="shared" si="59"/>
        <v>16</v>
      </c>
      <c r="F5669" s="154" t="s">
        <v>3809</v>
      </c>
      <c r="G5669" s="63" t="str">
        <f>VLOOKUP(C5669, 'Class Def. - General Data'!$C$20:$C$1000,1,false)</f>
        <v>ZRM1_Cooking_Oil</v>
      </c>
      <c r="H5669" s="63" t="str">
        <f>IFERROR(__xludf.DUMMYFUNCTION("VLOOKUP(F5669, IMPORTRANGE(""https://docs.google.com/spreadsheets/d/1Lhp9OU0JdFf_VYSMzH5lBcEaU4o8teT1piV-SNzShjg/edit?gid=554141278#gid=554141278"", ""'Char Def. - Attributes'!C20:C2242""), 1,false)"),"ALT_NUM_UOM2")</f>
        <v>ALT_NUM_UOM2</v>
      </c>
      <c r="I5669" s="136"/>
    </row>
    <row r="5670" ht="15.75" customHeight="1">
      <c r="B5670" s="63">
        <f t="shared" si="1"/>
        <v>16</v>
      </c>
      <c r="C5670" s="156" t="s">
        <v>237</v>
      </c>
      <c r="D5670" s="147" t="s">
        <v>74</v>
      </c>
      <c r="E5670" s="135">
        <f t="shared" si="59"/>
        <v>17</v>
      </c>
      <c r="F5670" s="154" t="s">
        <v>3871</v>
      </c>
      <c r="G5670" s="63" t="str">
        <f>VLOOKUP(C5670, 'Class Def. - General Data'!$C$20:$C$1000,1,false)</f>
        <v>ZRM1_Cooking_Oil</v>
      </c>
      <c r="H5670" s="63" t="str">
        <f>IFERROR(__xludf.DUMMYFUNCTION("VLOOKUP(F5670, IMPORTRANGE(""https://docs.google.com/spreadsheets/d/1Lhp9OU0JdFf_VYSMzH5lBcEaU4o8teT1piV-SNzShjg/edit?gid=554141278#gid=554141278"", ""'Char Def. - Attributes'!C20:C2242""), 1,false)"),"ALT_UOM3_RMPM")</f>
        <v>ALT_UOM3_RMPM</v>
      </c>
      <c r="I5670" s="136"/>
    </row>
    <row r="5671" ht="15.75" customHeight="1">
      <c r="B5671" s="63">
        <f t="shared" si="1"/>
        <v>16</v>
      </c>
      <c r="C5671" s="156" t="s">
        <v>237</v>
      </c>
      <c r="D5671" s="147" t="s">
        <v>74</v>
      </c>
      <c r="E5671" s="135">
        <f t="shared" si="59"/>
        <v>18</v>
      </c>
      <c r="F5671" s="154" t="s">
        <v>3811</v>
      </c>
      <c r="G5671" s="63" t="str">
        <f>VLOOKUP(C5671, 'Class Def. - General Data'!$C$20:$C$1000,1,false)</f>
        <v>ZRM1_Cooking_Oil</v>
      </c>
      <c r="H5671" s="63" t="str">
        <f>IFERROR(__xludf.DUMMYFUNCTION("VLOOKUP(F5671, IMPORTRANGE(""https://docs.google.com/spreadsheets/d/1Lhp9OU0JdFf_VYSMzH5lBcEaU4o8teT1piV-SNzShjg/edit?gid=554141278#gid=554141278"", ""'Char Def. - Attributes'!C20:C2242""), 1,false)"),"ALT_DENUM_UOM3")</f>
        <v>ALT_DENUM_UOM3</v>
      </c>
      <c r="I5671" s="136"/>
    </row>
    <row r="5672" ht="15.75" customHeight="1">
      <c r="B5672" s="63">
        <f t="shared" si="1"/>
        <v>16</v>
      </c>
      <c r="C5672" s="156" t="s">
        <v>237</v>
      </c>
      <c r="D5672" s="147" t="s">
        <v>74</v>
      </c>
      <c r="E5672" s="135">
        <f t="shared" si="59"/>
        <v>19</v>
      </c>
      <c r="F5672" s="154" t="s">
        <v>3812</v>
      </c>
      <c r="G5672" s="63" t="str">
        <f>VLOOKUP(C5672, 'Class Def. - General Data'!$C$20:$C$1000,1,false)</f>
        <v>ZRM1_Cooking_Oil</v>
      </c>
      <c r="H5672" s="63" t="str">
        <f>IFERROR(__xludf.DUMMYFUNCTION("VLOOKUP(F5672, IMPORTRANGE(""https://docs.google.com/spreadsheets/d/1Lhp9OU0JdFf_VYSMzH5lBcEaU4o8teT1piV-SNzShjg/edit?gid=554141278#gid=554141278"", ""'Char Def. - Attributes'!C20:C2242""), 1,false)"),"ALT_NUM_UOM3")</f>
        <v>ALT_NUM_UOM3</v>
      </c>
      <c r="I5672" s="136"/>
    </row>
    <row r="5673" ht="15.75" customHeight="1">
      <c r="A5673" s="59"/>
      <c r="B5673" s="63">
        <f t="shared" si="1"/>
        <v>16</v>
      </c>
      <c r="C5673" s="156" t="s">
        <v>237</v>
      </c>
      <c r="D5673" s="147" t="s">
        <v>74</v>
      </c>
      <c r="E5673" s="135">
        <f t="shared" si="59"/>
        <v>20</v>
      </c>
      <c r="F5673" s="152" t="s">
        <v>3872</v>
      </c>
      <c r="G5673" s="63" t="str">
        <f>VLOOKUP(C5673, 'Class Def. - General Data'!$C$20:$C$1000,1,false)</f>
        <v>ZRM1_Cooking_Oil</v>
      </c>
      <c r="H5673" s="63" t="str">
        <f>IFERROR(__xludf.DUMMYFUNCTION("VLOOKUP(F5673, IMPORTRANGE(""https://docs.google.com/spreadsheets/d/1Lhp9OU0JdFf_VYSMzH5lBcEaU4o8teT1piV-SNzShjg/edit?gid=554141278#gid=554141278"", ""'Char Def. - Attributes'!C20:C2242""), 1,false)"),"ALT_UOM4_RMPM")</f>
        <v>ALT_UOM4_RMPM</v>
      </c>
      <c r="I5673" s="136"/>
    </row>
    <row r="5674" ht="15.75" customHeight="1">
      <c r="A5674" s="59"/>
      <c r="B5674" s="63">
        <f t="shared" si="1"/>
        <v>16</v>
      </c>
      <c r="C5674" s="156" t="s">
        <v>237</v>
      </c>
      <c r="D5674" s="147" t="s">
        <v>74</v>
      </c>
      <c r="E5674" s="135">
        <f t="shared" si="59"/>
        <v>21</v>
      </c>
      <c r="F5674" s="148" t="s">
        <v>3814</v>
      </c>
      <c r="G5674" s="63" t="str">
        <f>VLOOKUP(C5674, 'Class Def. - General Data'!$C$20:$C$1000,1,false)</f>
        <v>ZRM1_Cooking_Oil</v>
      </c>
      <c r="H5674" s="63" t="str">
        <f>IFERROR(__xludf.DUMMYFUNCTION("VLOOKUP(F5674, IMPORTRANGE(""https://docs.google.com/spreadsheets/d/1Lhp9OU0JdFf_VYSMzH5lBcEaU4o8teT1piV-SNzShjg/edit?gid=554141278#gid=554141278"", ""'Char Def. - Attributes'!C20:C2242""), 1,false)"),"ALT_DENUM_UOM4")</f>
        <v>ALT_DENUM_UOM4</v>
      </c>
      <c r="I5674" s="136"/>
    </row>
    <row r="5675" ht="15.75" customHeight="1">
      <c r="B5675" s="63">
        <f t="shared" si="1"/>
        <v>16</v>
      </c>
      <c r="C5675" s="156" t="s">
        <v>237</v>
      </c>
      <c r="D5675" s="147" t="s">
        <v>74</v>
      </c>
      <c r="E5675" s="135">
        <f t="shared" si="59"/>
        <v>22</v>
      </c>
      <c r="F5675" s="152" t="s">
        <v>3815</v>
      </c>
      <c r="G5675" s="63" t="str">
        <f>VLOOKUP(C5675, 'Class Def. - General Data'!$C$20:$C$1000,1,false)</f>
        <v>ZRM1_Cooking_Oil</v>
      </c>
      <c r="H5675" s="63" t="str">
        <f>IFERROR(__xludf.DUMMYFUNCTION("VLOOKUP(F5675, IMPORTRANGE(""https://docs.google.com/spreadsheets/d/1Lhp9OU0JdFf_VYSMzH5lBcEaU4o8teT1piV-SNzShjg/edit?gid=554141278#gid=554141278"", ""'Char Def. - Attributes'!C20:C2242""), 1,false)"),"ALT_NUM_UOM4")</f>
        <v>ALT_NUM_UOM4</v>
      </c>
      <c r="I5675" s="136"/>
    </row>
    <row r="5676" ht="15.75" customHeight="1">
      <c r="B5676" s="63">
        <f t="shared" si="1"/>
        <v>16</v>
      </c>
      <c r="C5676" s="156" t="s">
        <v>237</v>
      </c>
      <c r="D5676" s="147" t="s">
        <v>74</v>
      </c>
      <c r="E5676" s="135">
        <f t="shared" si="59"/>
        <v>23</v>
      </c>
      <c r="F5676" s="152" t="s">
        <v>3873</v>
      </c>
      <c r="G5676" s="63" t="str">
        <f>VLOOKUP(C5676, 'Class Def. - General Data'!$C$20:$C$1000,1,false)</f>
        <v>ZRM1_Cooking_Oil</v>
      </c>
      <c r="H5676" s="63" t="str">
        <f>IFERROR(__xludf.DUMMYFUNCTION("VLOOKUP(F5676, IMPORTRANGE(""https://docs.google.com/spreadsheets/d/1Lhp9OU0JdFf_VYSMzH5lBcEaU4o8teT1piV-SNzShjg/edit?gid=554141278#gid=554141278"", ""'Char Def. - Attributes'!C20:C2242""), 1,false)"),"ALT_UOM5_RMPM")</f>
        <v>ALT_UOM5_RMPM</v>
      </c>
      <c r="I5676" s="136"/>
    </row>
    <row r="5677" ht="15.75" customHeight="1">
      <c r="A5677" s="158"/>
      <c r="B5677" s="63">
        <f t="shared" si="1"/>
        <v>16</v>
      </c>
      <c r="C5677" s="156" t="s">
        <v>237</v>
      </c>
      <c r="D5677" s="147" t="s">
        <v>74</v>
      </c>
      <c r="E5677" s="135">
        <f t="shared" si="59"/>
        <v>24</v>
      </c>
      <c r="F5677" s="152" t="s">
        <v>3817</v>
      </c>
      <c r="G5677" s="63" t="str">
        <f>VLOOKUP(C5677, 'Class Def. - General Data'!$C$20:$C$1000,1,false)</f>
        <v>ZRM1_Cooking_Oil</v>
      </c>
      <c r="H5677" s="63" t="str">
        <f>IFERROR(__xludf.DUMMYFUNCTION("VLOOKUP(F5677, IMPORTRANGE(""https://docs.google.com/spreadsheets/d/1Lhp9OU0JdFf_VYSMzH5lBcEaU4o8teT1piV-SNzShjg/edit?gid=554141278#gid=554141278"", ""'Char Def. - Attributes'!C20:C2242""), 1,false)"),"ALT_DENUM_UOM5")</f>
        <v>ALT_DENUM_UOM5</v>
      </c>
      <c r="I5677" s="136"/>
    </row>
    <row r="5678" ht="15.75" customHeight="1">
      <c r="A5678" s="158"/>
      <c r="B5678" s="63">
        <f t="shared" si="1"/>
        <v>16</v>
      </c>
      <c r="C5678" s="156" t="s">
        <v>237</v>
      </c>
      <c r="D5678" s="147" t="s">
        <v>74</v>
      </c>
      <c r="E5678" s="135">
        <f t="shared" si="59"/>
        <v>25</v>
      </c>
      <c r="F5678" s="152" t="s">
        <v>3818</v>
      </c>
      <c r="G5678" s="63" t="str">
        <f>VLOOKUP(C5678, 'Class Def. - General Data'!$C$20:$C$1000,1,false)</f>
        <v>ZRM1_Cooking_Oil</v>
      </c>
      <c r="H5678" s="63" t="str">
        <f>IFERROR(__xludf.DUMMYFUNCTION("VLOOKUP(F5678, IMPORTRANGE(""https://docs.google.com/spreadsheets/d/1Lhp9OU0JdFf_VYSMzH5lBcEaU4o8teT1piV-SNzShjg/edit?gid=554141278#gid=554141278"", ""'Char Def. - Attributes'!C20:C2242""), 1,false)"),"ALT_NUM_UOM5")</f>
        <v>ALT_NUM_UOM5</v>
      </c>
      <c r="I5678" s="136"/>
    </row>
    <row r="5679" ht="15.75" customHeight="1">
      <c r="A5679" s="158"/>
      <c r="B5679" s="63">
        <f t="shared" si="1"/>
        <v>16</v>
      </c>
      <c r="C5679" s="156" t="s">
        <v>237</v>
      </c>
      <c r="D5679" s="147" t="s">
        <v>74</v>
      </c>
      <c r="E5679" s="135">
        <f t="shared" si="59"/>
        <v>26</v>
      </c>
      <c r="F5679" s="152" t="s">
        <v>3874</v>
      </c>
      <c r="G5679" s="63" t="str">
        <f>VLOOKUP(C5679, 'Class Def. - General Data'!$C$20:$C$1000,1,false)</f>
        <v>ZRM1_Cooking_Oil</v>
      </c>
      <c r="H5679" s="63" t="str">
        <f>IFERROR(__xludf.DUMMYFUNCTION("VLOOKUP(F5679, IMPORTRANGE(""https://docs.google.com/spreadsheets/d/1Lhp9OU0JdFf_VYSMzH5lBcEaU4o8teT1piV-SNzShjg/edit?gid=554141278#gid=554141278"", ""'Char Def. - Attributes'!C20:C2242""), 1,false)"),"VALUATION_CATEGORY")</f>
        <v>VALUATION_CATEGORY</v>
      </c>
      <c r="I5679" s="136"/>
    </row>
    <row r="5680" ht="15.75" customHeight="1">
      <c r="A5680" s="59"/>
      <c r="B5680" s="63">
        <f t="shared" si="1"/>
        <v>16</v>
      </c>
      <c r="C5680" s="156" t="s">
        <v>237</v>
      </c>
      <c r="D5680" s="147" t="s">
        <v>74</v>
      </c>
      <c r="E5680" s="135">
        <f t="shared" si="59"/>
        <v>27</v>
      </c>
      <c r="F5680" s="152" t="s">
        <v>3800</v>
      </c>
      <c r="G5680" s="63" t="str">
        <f>VLOOKUP(C5680, 'Class Def. - General Data'!$C$20:$C$1000,1,false)</f>
        <v>ZRM1_Cooking_Oil</v>
      </c>
      <c r="H5680" s="63" t="str">
        <f>IFERROR(__xludf.DUMMYFUNCTION("VLOOKUP(F5680, IMPORTRANGE(""https://docs.google.com/spreadsheets/d/1Lhp9OU0JdFf_VYSMzH5lBcEaU4o8teT1piV-SNzShjg/edit?gid=554141278#gid=554141278"", ""'Char Def. - Attributes'!C20:C2242""), 1,false)"),"ORDER_UNIT_DIFF_FROM_BASIC_UOM")</f>
        <v>ORDER_UNIT_DIFF_FROM_BASIC_UOM</v>
      </c>
      <c r="I5680" s="136"/>
    </row>
    <row r="5681" ht="15.75" customHeight="1">
      <c r="A5681" s="59"/>
      <c r="B5681" s="63">
        <f t="shared" si="1"/>
        <v>16</v>
      </c>
      <c r="C5681" s="156" t="s">
        <v>237</v>
      </c>
      <c r="D5681" s="147" t="s">
        <v>74</v>
      </c>
      <c r="E5681" s="135">
        <f t="shared" si="59"/>
        <v>28</v>
      </c>
      <c r="F5681" s="152" t="s">
        <v>3875</v>
      </c>
      <c r="G5681" s="63" t="str">
        <f>VLOOKUP(C5681, 'Class Def. - General Data'!$C$20:$C$1000,1,false)</f>
        <v>ZRM1_Cooking_Oil</v>
      </c>
      <c r="H5681" s="63" t="str">
        <f>IFERROR(__xludf.DUMMYFUNCTION("VLOOKUP(F5681, IMPORTRANGE(""https://docs.google.com/spreadsheets/d/1Lhp9OU0JdFf_VYSMzH5lBcEaU4o8teT1piV-SNzShjg/edit?gid=554141278#gid=554141278"", ""'Char Def. - Attributes'!C20:C2242""), 1,false)"),"ORDER_UNIT_RMPM")</f>
        <v>ORDER_UNIT_RMPM</v>
      </c>
      <c r="I5681" s="136"/>
    </row>
    <row r="5682" ht="15.75" customHeight="1">
      <c r="B5682" s="63">
        <f t="shared" si="1"/>
        <v>16</v>
      </c>
      <c r="C5682" s="156" t="s">
        <v>237</v>
      </c>
      <c r="D5682" s="147" t="s">
        <v>74</v>
      </c>
      <c r="E5682" s="135">
        <f t="shared" si="59"/>
        <v>29</v>
      </c>
      <c r="F5682" s="151" t="s">
        <v>3602</v>
      </c>
      <c r="G5682" s="63" t="str">
        <f>VLOOKUP(C5682, 'Class Def. - General Data'!$C$20:$C$1000,1,false)</f>
        <v>ZRM1_Cooking_Oil</v>
      </c>
      <c r="H5682" s="63" t="str">
        <f>IFERROR(__xludf.DUMMYFUNCTION("VLOOKUP(F5682, IMPORTRANGE(""https://docs.google.com/spreadsheets/d/1Lhp9OU0JdFf_VYSMzH5lBcEaU4o8teT1piV-SNzShjg/edit?gid=554141278#gid=554141278"", ""'Char Def. - Attributes'!C20:C2242""), 1,false)"),"NET_WEIGHT")</f>
        <v>NET_WEIGHT</v>
      </c>
      <c r="I5682" s="136"/>
    </row>
    <row r="5683" ht="15.75" customHeight="1">
      <c r="B5683" s="63">
        <f t="shared" si="1"/>
        <v>16</v>
      </c>
      <c r="C5683" s="156" t="s">
        <v>237</v>
      </c>
      <c r="D5683" s="147" t="s">
        <v>74</v>
      </c>
      <c r="E5683" s="135">
        <f t="shared" si="59"/>
        <v>30</v>
      </c>
      <c r="F5683" s="151" t="s">
        <v>3601</v>
      </c>
      <c r="G5683" s="63" t="str">
        <f>VLOOKUP(C5683, 'Class Def. - General Data'!$C$20:$C$1000,1,false)</f>
        <v>ZRM1_Cooking_Oil</v>
      </c>
      <c r="H5683" s="63" t="str">
        <f>IFERROR(__xludf.DUMMYFUNCTION("VLOOKUP(F5683, IMPORTRANGE(""https://docs.google.com/spreadsheets/d/1Lhp9OU0JdFf_VYSMzH5lBcEaU4o8teT1piV-SNzShjg/edit?gid=554141278#gid=554141278"", ""'Char Def. - Attributes'!C20:C2242""), 1,false)"),"GROSS_WEIGHT")</f>
        <v>GROSS_WEIGHT</v>
      </c>
      <c r="I5683" s="136"/>
    </row>
    <row r="5684" ht="15.75" customHeight="1">
      <c r="B5684" s="63">
        <f t="shared" si="1"/>
        <v>16</v>
      </c>
      <c r="C5684" s="156" t="s">
        <v>237</v>
      </c>
      <c r="D5684" s="147" t="s">
        <v>74</v>
      </c>
      <c r="E5684" s="135">
        <f t="shared" si="59"/>
        <v>31</v>
      </c>
      <c r="F5684" s="152" t="s">
        <v>3996</v>
      </c>
      <c r="G5684" s="63" t="str">
        <f>VLOOKUP(C5684, 'Class Def. - General Data'!$C$20:$C$1000,1,false)</f>
        <v>ZRM1_Cooking_Oil</v>
      </c>
      <c r="H5684" s="63" t="str">
        <f>IFERROR(__xludf.DUMMYFUNCTION("VLOOKUP(F5684, IMPORTRANGE(""https://docs.google.com/spreadsheets/d/1Lhp9OU0JdFf_VYSMzH5lBcEaU4o8teT1piV-SNzShjg/edit?gid=554141278#gid=554141278"", ""'Char Def. - Attributes'!C20:C2242""), 1,false)"),"WEIGHT_UNIT")</f>
        <v>WEIGHT_UNIT</v>
      </c>
      <c r="I5684" s="136"/>
    </row>
    <row r="5685" ht="15.75" customHeight="1">
      <c r="A5685" s="59"/>
      <c r="B5685" s="63">
        <f t="shared" si="1"/>
        <v>16</v>
      </c>
      <c r="C5685" s="156" t="s">
        <v>237</v>
      </c>
      <c r="D5685" s="147" t="s">
        <v>74</v>
      </c>
      <c r="E5685" s="135">
        <f t="shared" si="59"/>
        <v>32</v>
      </c>
      <c r="F5685" s="151" t="s">
        <v>3877</v>
      </c>
      <c r="G5685" s="63" t="str">
        <f>VLOOKUP(C5685, 'Class Def. - General Data'!$C$20:$C$1000,1,false)</f>
        <v>ZRM1_Cooking_Oil</v>
      </c>
      <c r="H5685" s="63" t="str">
        <f>IFERROR(__xludf.DUMMYFUNCTION("VLOOKUP(F5685, IMPORTRANGE(""https://docs.google.com/spreadsheets/d/1Lhp9OU0JdFf_VYSMzH5lBcEaU4o8teT1piV-SNzShjg/edit?gid=554141278#gid=554141278"", ""'Char Def. - Attributes'!C20:C2242""), 1,false)"),"VOLUME_OPT")</f>
        <v>VOLUME_OPT</v>
      </c>
      <c r="I5685" s="136"/>
    </row>
    <row r="5686" ht="15.75" customHeight="1">
      <c r="A5686" s="59"/>
      <c r="B5686" s="63">
        <f t="shared" si="1"/>
        <v>16</v>
      </c>
      <c r="C5686" s="156" t="s">
        <v>237</v>
      </c>
      <c r="D5686" s="147" t="s">
        <v>74</v>
      </c>
      <c r="E5686" s="135">
        <f t="shared" si="59"/>
        <v>33</v>
      </c>
      <c r="F5686" s="152" t="s">
        <v>3878</v>
      </c>
      <c r="G5686" s="63" t="str">
        <f>VLOOKUP(C5686, 'Class Def. - General Data'!$C$20:$C$1000,1,false)</f>
        <v>ZRM1_Cooking_Oil</v>
      </c>
      <c r="H5686" s="63" t="str">
        <f>IFERROR(__xludf.DUMMYFUNCTION("VLOOKUP(F5686, IMPORTRANGE(""https://docs.google.com/spreadsheets/d/1Lhp9OU0JdFf_VYSMzH5lBcEaU4o8teT1piV-SNzShjg/edit?gid=554141278#gid=554141278"", ""'Char Def. - Attributes'!C20:C2242""), 1,false)"),"VOLUME_UNIT")</f>
        <v>VOLUME_UNIT</v>
      </c>
      <c r="I5686" s="136"/>
    </row>
    <row r="5687" ht="15.75" customHeight="1">
      <c r="A5687" s="59"/>
      <c r="B5687" s="63">
        <f t="shared" si="1"/>
        <v>16</v>
      </c>
      <c r="C5687" s="156" t="s">
        <v>237</v>
      </c>
      <c r="D5687" s="147" t="s">
        <v>74</v>
      </c>
      <c r="E5687" s="135">
        <f t="shared" si="59"/>
        <v>34</v>
      </c>
      <c r="F5687" s="151" t="s">
        <v>3587</v>
      </c>
      <c r="G5687" s="63" t="str">
        <f>VLOOKUP(C5687, 'Class Def. - General Data'!$C$20:$C$1000,1,false)</f>
        <v>ZRM1_Cooking_Oil</v>
      </c>
      <c r="H5687" s="63" t="str">
        <f>IFERROR(__xludf.DUMMYFUNCTION("VLOOKUP(F5687, IMPORTRANGE(""https://docs.google.com/spreadsheets/d/1Lhp9OU0JdFf_VYSMzH5lBcEaU4o8teT1piV-SNzShjg/edit?gid=554141278#gid=554141278"", ""'Char Def. - Attributes'!C20:C2242""), 1,false)"),"PLANT_BUY")</f>
        <v>PLANT_BUY</v>
      </c>
      <c r="I5687" s="136"/>
    </row>
    <row r="5688" ht="15.75" customHeight="1">
      <c r="A5688" s="59"/>
      <c r="B5688" s="63">
        <f t="shared" si="1"/>
        <v>16</v>
      </c>
      <c r="C5688" s="156" t="s">
        <v>237</v>
      </c>
      <c r="D5688" s="147" t="s">
        <v>74</v>
      </c>
      <c r="E5688" s="135">
        <f t="shared" si="59"/>
        <v>35</v>
      </c>
      <c r="F5688" s="152" t="s">
        <v>3997</v>
      </c>
      <c r="G5688" s="63" t="str">
        <f>VLOOKUP(C5688, 'Class Def. - General Data'!$C$20:$C$1000,1,false)</f>
        <v>ZRM1_Cooking_Oil</v>
      </c>
      <c r="H5688" s="63" t="str">
        <f>IFERROR(__xludf.DUMMYFUNCTION("VLOOKUP(F5688, IMPORTRANGE(""https://docs.google.com/spreadsheets/d/1Lhp9OU0JdFf_VYSMzH5lBcEaU4o8teT1piV-SNzShjg/edit?gid=554141278#gid=554141278"", ""'Char Def. - Attributes'!C20:C2242""), 1,false)"),"OLD_MAT_NO_RMPM_OPT")</f>
        <v>OLD_MAT_NO_RMPM_OPT</v>
      </c>
      <c r="I5688" s="136"/>
    </row>
    <row r="5689" ht="15.75" customHeight="1">
      <c r="A5689" s="59"/>
      <c r="B5689" s="63">
        <f t="shared" si="1"/>
        <v>16</v>
      </c>
      <c r="C5689" s="156" t="s">
        <v>237</v>
      </c>
      <c r="D5689" s="147" t="s">
        <v>74</v>
      </c>
      <c r="E5689" s="135">
        <f t="shared" si="59"/>
        <v>36</v>
      </c>
      <c r="F5689" s="148" t="s">
        <v>3998</v>
      </c>
      <c r="G5689" s="63" t="str">
        <f>VLOOKUP(C5689, 'Class Def. - General Data'!$C$20:$C$1000,1,false)</f>
        <v>ZRM1_Cooking_Oil</v>
      </c>
      <c r="H5689" s="63" t="str">
        <f>IFERROR(__xludf.DUMMYFUNCTION("VLOOKUP(F5689, IMPORTRANGE(""https://docs.google.com/spreadsheets/d/1Lhp9OU0JdFf_VYSMzH5lBcEaU4o8teT1piV-SNzShjg/edit?gid=554141278#gid=554141278"", ""'Char Def. - Attributes'!C20:C2242""), 1,false)"),"MIN_STD_WEIGHT")</f>
        <v>MIN_STD_WEIGHT</v>
      </c>
      <c r="I5689" s="136"/>
    </row>
    <row r="5690" ht="15.75" customHeight="1">
      <c r="A5690" s="59"/>
      <c r="B5690" s="63">
        <f t="shared" si="1"/>
        <v>16</v>
      </c>
      <c r="C5690" s="156" t="s">
        <v>237</v>
      </c>
      <c r="D5690" s="147" t="s">
        <v>74</v>
      </c>
      <c r="E5690" s="135">
        <f t="shared" si="59"/>
        <v>37</v>
      </c>
      <c r="F5690" s="148" t="s">
        <v>3999</v>
      </c>
      <c r="G5690" s="63" t="str">
        <f>VLOOKUP(C5690, 'Class Def. - General Data'!$C$20:$C$1000,1,false)</f>
        <v>ZRM1_Cooking_Oil</v>
      </c>
      <c r="H5690" s="63" t="str">
        <f>IFERROR(__xludf.DUMMYFUNCTION("VLOOKUP(F5690, IMPORTRANGE(""https://docs.google.com/spreadsheets/d/1Lhp9OU0JdFf_VYSMzH5lBcEaU4o8teT1piV-SNzShjg/edit?gid=554141278#gid=554141278"", ""'Char Def. - Attributes'!C20:C2242""), 1,false)"),"MIN_STD_WEIGHT_UOM")</f>
        <v>MIN_STD_WEIGHT_UOM</v>
      </c>
      <c r="I5690" s="136"/>
    </row>
    <row r="5691" ht="15.75" customHeight="1">
      <c r="A5691" s="59"/>
      <c r="B5691" s="63">
        <f t="shared" si="1"/>
        <v>13</v>
      </c>
      <c r="C5691" s="156" t="s">
        <v>235</v>
      </c>
      <c r="D5691" s="147" t="s">
        <v>74</v>
      </c>
      <c r="E5691" s="135">
        <f t="shared" si="59"/>
        <v>1</v>
      </c>
      <c r="F5691" s="152" t="s">
        <v>4000</v>
      </c>
      <c r="G5691" s="63" t="str">
        <f>VLOOKUP(C5691, 'Class Def. - General Data'!$C$20:$C$1000,1,false)</f>
        <v>ZRM1_Crackers</v>
      </c>
      <c r="H5691" s="63" t="str">
        <f>IFERROR(__xludf.DUMMYFUNCTION("VLOOKUP(F5691, IMPORTRANGE(""https://docs.google.com/spreadsheets/d/1Lhp9OU0JdFf_VYSMzH5lBcEaU4o8teT1piV-SNzShjg/edit?gid=554141278#gid=554141278"", ""'Char Def. - Attributes'!C20:C2242""), 1,false)"),"MATERIAL_CODE_FREETEXT")</f>
        <v>MATERIAL_CODE_FREETEXT</v>
      </c>
      <c r="I5691" s="136"/>
    </row>
    <row r="5692" ht="15.75" customHeight="1">
      <c r="A5692" s="59"/>
      <c r="B5692" s="63">
        <f t="shared" si="1"/>
        <v>13</v>
      </c>
      <c r="C5692" s="156" t="s">
        <v>235</v>
      </c>
      <c r="D5692" s="147" t="s">
        <v>74</v>
      </c>
      <c r="E5692" s="135">
        <f t="shared" si="59"/>
        <v>2</v>
      </c>
      <c r="F5692" s="152" t="s">
        <v>4001</v>
      </c>
      <c r="G5692" s="63" t="str">
        <f>VLOOKUP(C5692, 'Class Def. - General Data'!$C$20:$C$1000,1,false)</f>
        <v>ZRM1_Crackers</v>
      </c>
      <c r="H5692" s="63" t="str">
        <f>IFERROR(__xludf.DUMMYFUNCTION("VLOOKUP(F5692, IMPORTRANGE(""https://docs.google.com/spreadsheets/d/1Lhp9OU0JdFf_VYSMzH5lBcEaU4o8teT1piV-SNzShjg/edit?gid=554141278#gid=554141278"", ""'Char Def. - Attributes'!C20:C2242""), 1,false)"),"ADDITIONAL_INFO_NO_MASK")</f>
        <v>ADDITIONAL_INFO_NO_MASK</v>
      </c>
      <c r="I5692" s="136"/>
    </row>
    <row r="5693" ht="15.75" customHeight="1">
      <c r="A5693" s="59"/>
      <c r="B5693" s="63">
        <f t="shared" si="1"/>
        <v>13</v>
      </c>
      <c r="C5693" s="156" t="s">
        <v>235</v>
      </c>
      <c r="D5693" s="147" t="s">
        <v>74</v>
      </c>
      <c r="E5693" s="135">
        <f t="shared" si="59"/>
        <v>3</v>
      </c>
      <c r="F5693" s="152" t="s">
        <v>4002</v>
      </c>
      <c r="G5693" s="63" t="str">
        <f>VLOOKUP(C5693, 'Class Def. - General Data'!$C$20:$C$1000,1,false)</f>
        <v>ZRM1_Crackers</v>
      </c>
      <c r="H5693" s="63" t="str">
        <f>IFERROR(__xludf.DUMMYFUNCTION("VLOOKUP(F5693, IMPORTRANGE(""https://docs.google.com/spreadsheets/d/1Lhp9OU0JdFf_VYSMzH5lBcEaU4o8teT1piV-SNzShjg/edit?gid=554141278#gid=554141278"", ""'Char Def. - Attributes'!C20:C2242""), 1,false)"),"COLOR_GENERAL")</f>
        <v>COLOR_GENERAL</v>
      </c>
      <c r="I5693" s="136"/>
    </row>
    <row r="5694" ht="15.75" customHeight="1">
      <c r="A5694" s="59"/>
      <c r="B5694" s="63">
        <f t="shared" si="1"/>
        <v>13</v>
      </c>
      <c r="C5694" s="156" t="s">
        <v>235</v>
      </c>
      <c r="D5694" s="147" t="s">
        <v>74</v>
      </c>
      <c r="E5694" s="135">
        <f t="shared" si="59"/>
        <v>4</v>
      </c>
      <c r="F5694" s="152" t="s">
        <v>4003</v>
      </c>
      <c r="G5694" s="63" t="str">
        <f>VLOOKUP(C5694, 'Class Def. - General Data'!$C$20:$C$1000,1,false)</f>
        <v>ZRM1_Crackers</v>
      </c>
      <c r="H5694" s="63" t="str">
        <f>IFERROR(__xludf.DUMMYFUNCTION("VLOOKUP(F5694, IMPORTRANGE(""https://docs.google.com/spreadsheets/d/1Lhp9OU0JdFf_VYSMzH5lBcEaU4o8teT1piV-SNzShjg/edit?gid=554141278#gid=554141278"", ""'Char Def. - Attributes'!C20:C2242""), 1,false)"),"SOURCE_SUPPLY")</f>
        <v>SOURCE_SUPPLY</v>
      </c>
      <c r="I5694" s="136"/>
    </row>
    <row r="5695" ht="15.75" customHeight="1">
      <c r="A5695" s="59"/>
      <c r="B5695" s="63">
        <f t="shared" si="1"/>
        <v>13</v>
      </c>
      <c r="C5695" s="156" t="s">
        <v>235</v>
      </c>
      <c r="D5695" s="147" t="s">
        <v>74</v>
      </c>
      <c r="E5695" s="135">
        <f t="shared" si="59"/>
        <v>5</v>
      </c>
      <c r="F5695" s="152" t="s">
        <v>4004</v>
      </c>
      <c r="G5695" s="63" t="str">
        <f>VLOOKUP(C5695, 'Class Def. - General Data'!$C$20:$C$1000,1,false)</f>
        <v>ZRM1_Crackers</v>
      </c>
      <c r="H5695" s="63" t="str">
        <f>IFERROR(__xludf.DUMMYFUNCTION("VLOOKUP(F5695, IMPORTRANGE(""https://docs.google.com/spreadsheets/d/1Lhp9OU0JdFf_VYSMzH5lBcEaU4o8teT1piV-SNzShjg/edit?gid=554141278#gid=554141278"", ""'Char Def. - Attributes'!C20:C2242""), 1,false)"),"BASE_MATERIAL")</f>
        <v>BASE_MATERIAL</v>
      </c>
      <c r="I5695" s="136"/>
    </row>
    <row r="5696" ht="15.75" customHeight="1">
      <c r="A5696" s="59"/>
      <c r="B5696" s="63">
        <f t="shared" si="1"/>
        <v>13</v>
      </c>
      <c r="C5696" s="156" t="s">
        <v>235</v>
      </c>
      <c r="D5696" s="147" t="s">
        <v>74</v>
      </c>
      <c r="E5696" s="135">
        <f t="shared" si="59"/>
        <v>6</v>
      </c>
      <c r="F5696" s="152" t="s">
        <v>4009</v>
      </c>
      <c r="G5696" s="63" t="str">
        <f>VLOOKUP(C5696, 'Class Def. - General Data'!$C$20:$C$1000,1,false)</f>
        <v>ZRM1_Crackers</v>
      </c>
      <c r="H5696" s="63" t="str">
        <f>IFERROR(__xludf.DUMMYFUNCTION("VLOOKUP(F5696, IMPORTRANGE(""https://docs.google.com/spreadsheets/d/1Lhp9OU0JdFf_VYSMzH5lBcEaU4o8teT1piV-SNzShjg/edit?gid=554141278#gid=554141278"", ""'Char Def. - Attributes'!C20:C2242""), 1,false)"),"NATURE_ORIGIN_FOOD")</f>
        <v>NATURE_ORIGIN_FOOD</v>
      </c>
      <c r="I5696" s="136"/>
    </row>
    <row r="5697" ht="15.75" customHeight="1">
      <c r="A5697" s="59"/>
      <c r="B5697" s="63">
        <f t="shared" si="1"/>
        <v>13</v>
      </c>
      <c r="C5697" s="156" t="s">
        <v>235</v>
      </c>
      <c r="D5697" s="147" t="s">
        <v>74</v>
      </c>
      <c r="E5697" s="135">
        <f t="shared" si="59"/>
        <v>7</v>
      </c>
      <c r="F5697" s="152" t="s">
        <v>4006</v>
      </c>
      <c r="G5697" s="63" t="str">
        <f>VLOOKUP(C5697, 'Class Def. - General Data'!$C$20:$C$1000,1,false)</f>
        <v>ZRM1_Crackers</v>
      </c>
      <c r="H5697" s="63" t="str">
        <f>IFERROR(__xludf.DUMMYFUNCTION("VLOOKUP(F5697, IMPORTRANGE(""https://docs.google.com/spreadsheets/d/1Lhp9OU0JdFf_VYSMzH5lBcEaU4o8teT1piV-SNzShjg/edit?gid=554141278#gid=554141278"", ""'Char Def. - Attributes'!C20:C2242""), 1,false)"),"CATEGORY_ITEM")</f>
        <v>CATEGORY_ITEM</v>
      </c>
      <c r="I5697" s="136"/>
    </row>
    <row r="5698" ht="15.75" customHeight="1">
      <c r="A5698" s="59"/>
      <c r="B5698" s="63">
        <f t="shared" si="1"/>
        <v>13</v>
      </c>
      <c r="C5698" s="156" t="s">
        <v>235</v>
      </c>
      <c r="D5698" s="147" t="s">
        <v>74</v>
      </c>
      <c r="E5698" s="135">
        <f t="shared" si="59"/>
        <v>8</v>
      </c>
      <c r="F5698" s="152" t="s">
        <v>4007</v>
      </c>
      <c r="G5698" s="63" t="str">
        <f>VLOOKUP(C5698, 'Class Def. - General Data'!$C$20:$C$1000,1,false)</f>
        <v>ZRM1_Crackers</v>
      </c>
      <c r="H5698" s="63" t="str">
        <f>IFERROR(__xludf.DUMMYFUNCTION("VLOOKUP(F5698, IMPORTRANGE(""https://docs.google.com/spreadsheets/d/1Lhp9OU0JdFf_VYSMzH5lBcEaU4o8teT1piV-SNzShjg/edit?gid=554141278#gid=554141278"", ""'Char Def. - Attributes'!C20:C2242""), 1,false)"),"FUNCTION1")</f>
        <v>FUNCTION1</v>
      </c>
      <c r="I5698" s="136"/>
    </row>
    <row r="5699" ht="15.75" customHeight="1">
      <c r="B5699" s="63">
        <f t="shared" si="1"/>
        <v>13</v>
      </c>
      <c r="C5699" s="156" t="s">
        <v>235</v>
      </c>
      <c r="D5699" s="147" t="s">
        <v>74</v>
      </c>
      <c r="E5699" s="135">
        <f t="shared" si="59"/>
        <v>9</v>
      </c>
      <c r="F5699" s="152" t="s">
        <v>4008</v>
      </c>
      <c r="G5699" s="63" t="str">
        <f>VLOOKUP(C5699, 'Class Def. - General Data'!$C$20:$C$1000,1,false)</f>
        <v>ZRM1_Crackers</v>
      </c>
      <c r="H5699" s="63" t="str">
        <f>IFERROR(__xludf.DUMMYFUNCTION("VLOOKUP(F5699, IMPORTRANGE(""https://docs.google.com/spreadsheets/d/1Lhp9OU0JdFf_VYSMzH5lBcEaU4o8teT1piV-SNzShjg/edit?gid=554141278#gid=554141278"", ""'Char Def. - Attributes'!C20:C2242""), 1,false)"),"PREFERENSI_KURS")</f>
        <v>PREFERENSI_KURS</v>
      </c>
      <c r="I5699" s="136"/>
    </row>
    <row r="5700" ht="15.75" customHeight="1">
      <c r="B5700" s="63">
        <f t="shared" si="1"/>
        <v>13</v>
      </c>
      <c r="C5700" s="156" t="s">
        <v>235</v>
      </c>
      <c r="D5700" s="147" t="s">
        <v>74</v>
      </c>
      <c r="E5700" s="135">
        <f t="shared" si="59"/>
        <v>10</v>
      </c>
      <c r="F5700" s="151" t="s">
        <v>3868</v>
      </c>
      <c r="G5700" s="63" t="str">
        <f>VLOOKUP(C5700, 'Class Def. - General Data'!$C$20:$C$1000,1,false)</f>
        <v>ZRM1_Crackers</v>
      </c>
      <c r="H5700" s="63" t="str">
        <f>IFERROR(__xludf.DUMMYFUNCTION("VLOOKUP(F5700, IMPORTRANGE(""https://docs.google.com/spreadsheets/d/1Lhp9OU0JdFf_VYSMzH5lBcEaU4o8teT1piV-SNzShjg/edit?gid=554141278#gid=554141278"", ""'Char Def. - Attributes'!C20:C2242""), 1,false)"),"BASIC_UOM_RMPM")</f>
        <v>BASIC_UOM_RMPM</v>
      </c>
      <c r="I5700" s="136"/>
    </row>
    <row r="5701" ht="15.75" customHeight="1">
      <c r="A5701" s="158"/>
      <c r="B5701" s="63">
        <f t="shared" si="1"/>
        <v>13</v>
      </c>
      <c r="C5701" s="156" t="s">
        <v>235</v>
      </c>
      <c r="D5701" s="147" t="s">
        <v>74</v>
      </c>
      <c r="E5701" s="135">
        <f t="shared" si="59"/>
        <v>11</v>
      </c>
      <c r="F5701" s="152" t="s">
        <v>3869</v>
      </c>
      <c r="G5701" s="63" t="str">
        <f>VLOOKUP(C5701, 'Class Def. - General Data'!$C$20:$C$1000,1,false)</f>
        <v>ZRM1_Crackers</v>
      </c>
      <c r="H5701" s="63" t="str">
        <f>IFERROR(__xludf.DUMMYFUNCTION("VLOOKUP(F5701, IMPORTRANGE(""https://docs.google.com/spreadsheets/d/1Lhp9OU0JdFf_VYSMzH5lBcEaU4o8teT1piV-SNzShjg/edit?gid=554141278#gid=554141278"", ""'Char Def. - Attributes'!C20:C2242""), 1,false)"),"ALT_UOM1_RMPM")</f>
        <v>ALT_UOM1_RMPM</v>
      </c>
      <c r="I5701" s="136"/>
    </row>
    <row r="5702" ht="15.75" customHeight="1">
      <c r="A5702" s="158"/>
      <c r="B5702" s="63">
        <f t="shared" si="1"/>
        <v>13</v>
      </c>
      <c r="C5702" s="156" t="s">
        <v>235</v>
      </c>
      <c r="D5702" s="147" t="s">
        <v>74</v>
      </c>
      <c r="E5702" s="135">
        <f t="shared" si="59"/>
        <v>12</v>
      </c>
      <c r="F5702" s="152" t="s">
        <v>3805</v>
      </c>
      <c r="G5702" s="63" t="str">
        <f>VLOOKUP(C5702, 'Class Def. - General Data'!$C$20:$C$1000,1,false)</f>
        <v>ZRM1_Crackers</v>
      </c>
      <c r="H5702" s="63" t="str">
        <f>IFERROR(__xludf.DUMMYFUNCTION("VLOOKUP(F5702, IMPORTRANGE(""https://docs.google.com/spreadsheets/d/1Lhp9OU0JdFf_VYSMzH5lBcEaU4o8teT1piV-SNzShjg/edit?gid=554141278#gid=554141278"", ""'Char Def. - Attributes'!C20:C2242""), 1,false)"),"ALT_DENUM_UOM1")</f>
        <v>ALT_DENUM_UOM1</v>
      </c>
      <c r="I5702" s="136"/>
    </row>
    <row r="5703" ht="15.75" customHeight="1">
      <c r="A5703" s="59"/>
      <c r="B5703" s="63">
        <f t="shared" si="1"/>
        <v>13</v>
      </c>
      <c r="C5703" s="156" t="s">
        <v>235</v>
      </c>
      <c r="D5703" s="147" t="s">
        <v>74</v>
      </c>
      <c r="E5703" s="135">
        <f t="shared" si="59"/>
        <v>13</v>
      </c>
      <c r="F5703" s="152" t="s">
        <v>3806</v>
      </c>
      <c r="G5703" s="63" t="str">
        <f>VLOOKUP(C5703, 'Class Def. - General Data'!$C$20:$C$1000,1,false)</f>
        <v>ZRM1_Crackers</v>
      </c>
      <c r="H5703" s="63" t="str">
        <f>IFERROR(__xludf.DUMMYFUNCTION("VLOOKUP(F5703, IMPORTRANGE(""https://docs.google.com/spreadsheets/d/1Lhp9OU0JdFf_VYSMzH5lBcEaU4o8teT1piV-SNzShjg/edit?gid=554141278#gid=554141278"", ""'Char Def. - Attributes'!C20:C2242""), 1,false)"),"ALT_NUM_UOM1")</f>
        <v>ALT_NUM_UOM1</v>
      </c>
      <c r="I5703" s="136"/>
    </row>
    <row r="5704" ht="15.75" customHeight="1">
      <c r="B5704" s="63">
        <f t="shared" si="1"/>
        <v>13</v>
      </c>
      <c r="C5704" s="156" t="s">
        <v>235</v>
      </c>
      <c r="D5704" s="147" t="s">
        <v>74</v>
      </c>
      <c r="E5704" s="135">
        <f t="shared" si="59"/>
        <v>14</v>
      </c>
      <c r="F5704" s="152" t="s">
        <v>3870</v>
      </c>
      <c r="G5704" s="63" t="str">
        <f>VLOOKUP(C5704, 'Class Def. - General Data'!$C$20:$C$1000,1,false)</f>
        <v>ZRM1_Crackers</v>
      </c>
      <c r="H5704" s="63" t="str">
        <f>IFERROR(__xludf.DUMMYFUNCTION("VLOOKUP(F5704, IMPORTRANGE(""https://docs.google.com/spreadsheets/d/1Lhp9OU0JdFf_VYSMzH5lBcEaU4o8teT1piV-SNzShjg/edit?gid=554141278#gid=554141278"", ""'Char Def. - Attributes'!C20:C2242""), 1,false)"),"ALT_UOM2_RMPM")</f>
        <v>ALT_UOM2_RMPM</v>
      </c>
      <c r="I5704" s="136"/>
    </row>
    <row r="5705" ht="15.75" customHeight="1">
      <c r="B5705" s="63">
        <f t="shared" si="1"/>
        <v>13</v>
      </c>
      <c r="C5705" s="156" t="s">
        <v>235</v>
      </c>
      <c r="D5705" s="147" t="s">
        <v>74</v>
      </c>
      <c r="E5705" s="135">
        <f t="shared" si="59"/>
        <v>15</v>
      </c>
      <c r="F5705" s="152" t="s">
        <v>3808</v>
      </c>
      <c r="G5705" s="63" t="str">
        <f>VLOOKUP(C5705, 'Class Def. - General Data'!$C$20:$C$1000,1,false)</f>
        <v>ZRM1_Crackers</v>
      </c>
      <c r="H5705" s="63" t="str">
        <f>IFERROR(__xludf.DUMMYFUNCTION("VLOOKUP(F5705, IMPORTRANGE(""https://docs.google.com/spreadsheets/d/1Lhp9OU0JdFf_VYSMzH5lBcEaU4o8teT1piV-SNzShjg/edit?gid=554141278#gid=554141278"", ""'Char Def. - Attributes'!C20:C2242""), 1,false)"),"ALT_DENUM_UOM2")</f>
        <v>ALT_DENUM_UOM2</v>
      </c>
      <c r="I5705" s="136"/>
    </row>
    <row r="5706" ht="15.75" customHeight="1">
      <c r="B5706" s="63">
        <f t="shared" si="1"/>
        <v>13</v>
      </c>
      <c r="C5706" s="156" t="s">
        <v>235</v>
      </c>
      <c r="D5706" s="147" t="s">
        <v>74</v>
      </c>
      <c r="E5706" s="135">
        <f t="shared" si="59"/>
        <v>16</v>
      </c>
      <c r="F5706" s="152" t="s">
        <v>3809</v>
      </c>
      <c r="G5706" s="63" t="str">
        <f>VLOOKUP(C5706, 'Class Def. - General Data'!$C$20:$C$1000,1,false)</f>
        <v>ZRM1_Crackers</v>
      </c>
      <c r="H5706" s="63" t="str">
        <f>IFERROR(__xludf.DUMMYFUNCTION("VLOOKUP(F5706, IMPORTRANGE(""https://docs.google.com/spreadsheets/d/1Lhp9OU0JdFf_VYSMzH5lBcEaU4o8teT1piV-SNzShjg/edit?gid=554141278#gid=554141278"", ""'Char Def. - Attributes'!C20:C2242""), 1,false)"),"ALT_NUM_UOM2")</f>
        <v>ALT_NUM_UOM2</v>
      </c>
      <c r="I5706" s="136"/>
    </row>
    <row r="5707" ht="15.75" customHeight="1">
      <c r="A5707" s="59"/>
      <c r="B5707" s="63">
        <f t="shared" si="1"/>
        <v>13</v>
      </c>
      <c r="C5707" s="156" t="s">
        <v>235</v>
      </c>
      <c r="D5707" s="147" t="s">
        <v>74</v>
      </c>
      <c r="E5707" s="135">
        <f t="shared" si="59"/>
        <v>17</v>
      </c>
      <c r="F5707" s="152" t="s">
        <v>3871</v>
      </c>
      <c r="G5707" s="63" t="str">
        <f>VLOOKUP(C5707, 'Class Def. - General Data'!$C$20:$C$1000,1,false)</f>
        <v>ZRM1_Crackers</v>
      </c>
      <c r="H5707" s="63" t="str">
        <f>IFERROR(__xludf.DUMMYFUNCTION("VLOOKUP(F5707, IMPORTRANGE(""https://docs.google.com/spreadsheets/d/1Lhp9OU0JdFf_VYSMzH5lBcEaU4o8teT1piV-SNzShjg/edit?gid=554141278#gid=554141278"", ""'Char Def. - Attributes'!C20:C2242""), 1,false)"),"ALT_UOM3_RMPM")</f>
        <v>ALT_UOM3_RMPM</v>
      </c>
      <c r="I5707" s="136"/>
    </row>
    <row r="5708" ht="15.75" customHeight="1">
      <c r="A5708" s="59"/>
      <c r="B5708" s="63">
        <f t="shared" si="1"/>
        <v>13</v>
      </c>
      <c r="C5708" s="156" t="s">
        <v>235</v>
      </c>
      <c r="D5708" s="147" t="s">
        <v>74</v>
      </c>
      <c r="E5708" s="135">
        <f t="shared" si="59"/>
        <v>18</v>
      </c>
      <c r="F5708" s="152" t="s">
        <v>3811</v>
      </c>
      <c r="G5708" s="63" t="str">
        <f>VLOOKUP(C5708, 'Class Def. - General Data'!$C$20:$C$1000,1,false)</f>
        <v>ZRM1_Crackers</v>
      </c>
      <c r="H5708" s="63" t="str">
        <f>IFERROR(__xludf.DUMMYFUNCTION("VLOOKUP(F5708, IMPORTRANGE(""https://docs.google.com/spreadsheets/d/1Lhp9OU0JdFf_VYSMzH5lBcEaU4o8teT1piV-SNzShjg/edit?gid=554141278#gid=554141278"", ""'Char Def. - Attributes'!C20:C2242""), 1,false)"),"ALT_DENUM_UOM3")</f>
        <v>ALT_DENUM_UOM3</v>
      </c>
      <c r="I5708" s="136"/>
    </row>
    <row r="5709" ht="15.75" customHeight="1">
      <c r="A5709" s="59"/>
      <c r="B5709" s="63">
        <f t="shared" si="1"/>
        <v>13</v>
      </c>
      <c r="C5709" s="156" t="s">
        <v>235</v>
      </c>
      <c r="D5709" s="147" t="s">
        <v>74</v>
      </c>
      <c r="E5709" s="135">
        <f t="shared" si="59"/>
        <v>19</v>
      </c>
      <c r="F5709" s="152" t="s">
        <v>3812</v>
      </c>
      <c r="G5709" s="63" t="str">
        <f>VLOOKUP(C5709, 'Class Def. - General Data'!$C$20:$C$1000,1,false)</f>
        <v>ZRM1_Crackers</v>
      </c>
      <c r="H5709" s="63" t="str">
        <f>IFERROR(__xludf.DUMMYFUNCTION("VLOOKUP(F5709, IMPORTRANGE(""https://docs.google.com/spreadsheets/d/1Lhp9OU0JdFf_VYSMzH5lBcEaU4o8teT1piV-SNzShjg/edit?gid=554141278#gid=554141278"", ""'Char Def. - Attributes'!C20:C2242""), 1,false)"),"ALT_NUM_UOM3")</f>
        <v>ALT_NUM_UOM3</v>
      </c>
      <c r="I5709" s="136"/>
    </row>
    <row r="5710" ht="15.75" customHeight="1">
      <c r="A5710" s="59"/>
      <c r="B5710" s="63">
        <f t="shared" si="1"/>
        <v>13</v>
      </c>
      <c r="C5710" s="156" t="s">
        <v>235</v>
      </c>
      <c r="D5710" s="147" t="s">
        <v>74</v>
      </c>
      <c r="E5710" s="135">
        <f t="shared" si="59"/>
        <v>20</v>
      </c>
      <c r="F5710" s="152" t="s">
        <v>3872</v>
      </c>
      <c r="G5710" s="63" t="str">
        <f>VLOOKUP(C5710, 'Class Def. - General Data'!$C$20:$C$1000,1,false)</f>
        <v>ZRM1_Crackers</v>
      </c>
      <c r="H5710" s="63" t="str">
        <f>IFERROR(__xludf.DUMMYFUNCTION("VLOOKUP(F5710, IMPORTRANGE(""https://docs.google.com/spreadsheets/d/1Lhp9OU0JdFf_VYSMzH5lBcEaU4o8teT1piV-SNzShjg/edit?gid=554141278#gid=554141278"", ""'Char Def. - Attributes'!C20:C2242""), 1,false)"),"ALT_UOM4_RMPM")</f>
        <v>ALT_UOM4_RMPM</v>
      </c>
      <c r="I5710" s="136"/>
    </row>
    <row r="5711" ht="15.75" customHeight="1">
      <c r="A5711" s="59"/>
      <c r="B5711" s="63">
        <f t="shared" si="1"/>
        <v>13</v>
      </c>
      <c r="C5711" s="156" t="s">
        <v>235</v>
      </c>
      <c r="D5711" s="147" t="s">
        <v>74</v>
      </c>
      <c r="E5711" s="135">
        <f t="shared" si="59"/>
        <v>21</v>
      </c>
      <c r="F5711" s="148" t="s">
        <v>3814</v>
      </c>
      <c r="G5711" s="63" t="str">
        <f>VLOOKUP(C5711, 'Class Def. - General Data'!$C$20:$C$1000,1,false)</f>
        <v>ZRM1_Crackers</v>
      </c>
      <c r="H5711" s="63" t="str">
        <f>IFERROR(__xludf.DUMMYFUNCTION("VLOOKUP(F5711, IMPORTRANGE(""https://docs.google.com/spreadsheets/d/1Lhp9OU0JdFf_VYSMzH5lBcEaU4o8teT1piV-SNzShjg/edit?gid=554141278#gid=554141278"", ""'Char Def. - Attributes'!C20:C2242""), 1,false)"),"ALT_DENUM_UOM4")</f>
        <v>ALT_DENUM_UOM4</v>
      </c>
      <c r="I5711" s="136"/>
    </row>
    <row r="5712" ht="15.75" customHeight="1">
      <c r="A5712" s="59"/>
      <c r="B5712" s="63">
        <f t="shared" si="1"/>
        <v>13</v>
      </c>
      <c r="C5712" s="156" t="s">
        <v>235</v>
      </c>
      <c r="D5712" s="147" t="s">
        <v>74</v>
      </c>
      <c r="E5712" s="135">
        <f t="shared" si="59"/>
        <v>22</v>
      </c>
      <c r="F5712" s="152" t="s">
        <v>3815</v>
      </c>
      <c r="G5712" s="63" t="str">
        <f>VLOOKUP(C5712, 'Class Def. - General Data'!$C$20:$C$1000,1,false)</f>
        <v>ZRM1_Crackers</v>
      </c>
      <c r="H5712" s="63" t="str">
        <f>IFERROR(__xludf.DUMMYFUNCTION("VLOOKUP(F5712, IMPORTRANGE(""https://docs.google.com/spreadsheets/d/1Lhp9OU0JdFf_VYSMzH5lBcEaU4o8teT1piV-SNzShjg/edit?gid=554141278#gid=554141278"", ""'Char Def. - Attributes'!C20:C2242""), 1,false)"),"ALT_NUM_UOM4")</f>
        <v>ALT_NUM_UOM4</v>
      </c>
      <c r="I5712" s="136"/>
    </row>
    <row r="5713" ht="15.75" customHeight="1">
      <c r="A5713" s="59"/>
      <c r="B5713" s="63">
        <f t="shared" si="1"/>
        <v>13</v>
      </c>
      <c r="C5713" s="156" t="s">
        <v>235</v>
      </c>
      <c r="D5713" s="147" t="s">
        <v>74</v>
      </c>
      <c r="E5713" s="135">
        <f t="shared" si="59"/>
        <v>23</v>
      </c>
      <c r="F5713" s="152" t="s">
        <v>3873</v>
      </c>
      <c r="G5713" s="63" t="str">
        <f>VLOOKUP(C5713, 'Class Def. - General Data'!$C$20:$C$1000,1,false)</f>
        <v>ZRM1_Crackers</v>
      </c>
      <c r="H5713" s="63" t="str">
        <f>IFERROR(__xludf.DUMMYFUNCTION("VLOOKUP(F5713, IMPORTRANGE(""https://docs.google.com/spreadsheets/d/1Lhp9OU0JdFf_VYSMzH5lBcEaU4o8teT1piV-SNzShjg/edit?gid=554141278#gid=554141278"", ""'Char Def. - Attributes'!C20:C2242""), 1,false)"),"ALT_UOM5_RMPM")</f>
        <v>ALT_UOM5_RMPM</v>
      </c>
      <c r="I5713" s="136"/>
    </row>
    <row r="5714" ht="15.75" customHeight="1">
      <c r="A5714" s="59"/>
      <c r="B5714" s="63">
        <f t="shared" si="1"/>
        <v>13</v>
      </c>
      <c r="C5714" s="156" t="s">
        <v>235</v>
      </c>
      <c r="D5714" s="147" t="s">
        <v>74</v>
      </c>
      <c r="E5714" s="135">
        <f t="shared" si="59"/>
        <v>24</v>
      </c>
      <c r="F5714" s="152" t="s">
        <v>3817</v>
      </c>
      <c r="G5714" s="63" t="str">
        <f>VLOOKUP(C5714, 'Class Def. - General Data'!$C$20:$C$1000,1,false)</f>
        <v>ZRM1_Crackers</v>
      </c>
      <c r="H5714" s="63" t="str">
        <f>IFERROR(__xludf.DUMMYFUNCTION("VLOOKUP(F5714, IMPORTRANGE(""https://docs.google.com/spreadsheets/d/1Lhp9OU0JdFf_VYSMzH5lBcEaU4o8teT1piV-SNzShjg/edit?gid=554141278#gid=554141278"", ""'Char Def. - Attributes'!C20:C2242""), 1,false)"),"ALT_DENUM_UOM5")</f>
        <v>ALT_DENUM_UOM5</v>
      </c>
      <c r="I5714" s="136"/>
    </row>
    <row r="5715" ht="15.75" customHeight="1">
      <c r="A5715" s="59"/>
      <c r="B5715" s="63">
        <f t="shared" si="1"/>
        <v>13</v>
      </c>
      <c r="C5715" s="156" t="s">
        <v>235</v>
      </c>
      <c r="D5715" s="147" t="s">
        <v>74</v>
      </c>
      <c r="E5715" s="135">
        <f t="shared" si="59"/>
        <v>25</v>
      </c>
      <c r="F5715" s="152" t="s">
        <v>3818</v>
      </c>
      <c r="G5715" s="63" t="str">
        <f>VLOOKUP(C5715, 'Class Def. - General Data'!$C$20:$C$1000,1,false)</f>
        <v>ZRM1_Crackers</v>
      </c>
      <c r="H5715" s="63" t="str">
        <f>IFERROR(__xludf.DUMMYFUNCTION("VLOOKUP(F5715, IMPORTRANGE(""https://docs.google.com/spreadsheets/d/1Lhp9OU0JdFf_VYSMzH5lBcEaU4o8teT1piV-SNzShjg/edit?gid=554141278#gid=554141278"", ""'Char Def. - Attributes'!C20:C2242""), 1,false)"),"ALT_NUM_UOM5")</f>
        <v>ALT_NUM_UOM5</v>
      </c>
      <c r="I5715" s="136"/>
    </row>
    <row r="5716" ht="15.75" customHeight="1">
      <c r="A5716" s="59"/>
      <c r="B5716" s="63">
        <f t="shared" si="1"/>
        <v>13</v>
      </c>
      <c r="C5716" s="156" t="s">
        <v>235</v>
      </c>
      <c r="D5716" s="147" t="s">
        <v>74</v>
      </c>
      <c r="E5716" s="135">
        <f t="shared" si="59"/>
        <v>26</v>
      </c>
      <c r="F5716" s="152" t="s">
        <v>3874</v>
      </c>
      <c r="G5716" s="63" t="str">
        <f>VLOOKUP(C5716, 'Class Def. - General Data'!$C$20:$C$1000,1,false)</f>
        <v>ZRM1_Crackers</v>
      </c>
      <c r="H5716" s="63" t="str">
        <f>IFERROR(__xludf.DUMMYFUNCTION("VLOOKUP(F5716, IMPORTRANGE(""https://docs.google.com/spreadsheets/d/1Lhp9OU0JdFf_VYSMzH5lBcEaU4o8teT1piV-SNzShjg/edit?gid=554141278#gid=554141278"", ""'Char Def. - Attributes'!C20:C2242""), 1,false)"),"VALUATION_CATEGORY")</f>
        <v>VALUATION_CATEGORY</v>
      </c>
      <c r="I5716" s="136"/>
    </row>
    <row r="5717" ht="15.75" customHeight="1">
      <c r="A5717" s="59"/>
      <c r="B5717" s="63">
        <f t="shared" si="1"/>
        <v>13</v>
      </c>
      <c r="C5717" s="156" t="s">
        <v>235</v>
      </c>
      <c r="D5717" s="147" t="s">
        <v>74</v>
      </c>
      <c r="E5717" s="135">
        <f t="shared" si="59"/>
        <v>27</v>
      </c>
      <c r="F5717" s="152" t="s">
        <v>3800</v>
      </c>
      <c r="G5717" s="63" t="str">
        <f>VLOOKUP(C5717, 'Class Def. - General Data'!$C$20:$C$1000,1,false)</f>
        <v>ZRM1_Crackers</v>
      </c>
      <c r="H5717" s="63" t="str">
        <f>IFERROR(__xludf.DUMMYFUNCTION("VLOOKUP(F5717, IMPORTRANGE(""https://docs.google.com/spreadsheets/d/1Lhp9OU0JdFf_VYSMzH5lBcEaU4o8teT1piV-SNzShjg/edit?gid=554141278#gid=554141278"", ""'Char Def. - Attributes'!C20:C2242""), 1,false)"),"ORDER_UNIT_DIFF_FROM_BASIC_UOM")</f>
        <v>ORDER_UNIT_DIFF_FROM_BASIC_UOM</v>
      </c>
      <c r="I5717" s="136"/>
    </row>
    <row r="5718" ht="15.75" customHeight="1">
      <c r="A5718" s="59"/>
      <c r="B5718" s="63">
        <f t="shared" si="1"/>
        <v>13</v>
      </c>
      <c r="C5718" s="156" t="s">
        <v>235</v>
      </c>
      <c r="D5718" s="147" t="s">
        <v>74</v>
      </c>
      <c r="E5718" s="135">
        <f t="shared" si="59"/>
        <v>28</v>
      </c>
      <c r="F5718" s="152" t="s">
        <v>3875</v>
      </c>
      <c r="G5718" s="63" t="str">
        <f>VLOOKUP(C5718, 'Class Def. - General Data'!$C$20:$C$1000,1,false)</f>
        <v>ZRM1_Crackers</v>
      </c>
      <c r="H5718" s="63" t="str">
        <f>IFERROR(__xludf.DUMMYFUNCTION("VLOOKUP(F5718, IMPORTRANGE(""https://docs.google.com/spreadsheets/d/1Lhp9OU0JdFf_VYSMzH5lBcEaU4o8teT1piV-SNzShjg/edit?gid=554141278#gid=554141278"", ""'Char Def. - Attributes'!C20:C2242""), 1,false)"),"ORDER_UNIT_RMPM")</f>
        <v>ORDER_UNIT_RMPM</v>
      </c>
      <c r="I5718" s="136"/>
    </row>
    <row r="5719" ht="15.75" customHeight="1">
      <c r="A5719" s="59"/>
      <c r="B5719" s="63">
        <f t="shared" si="1"/>
        <v>13</v>
      </c>
      <c r="C5719" s="156" t="s">
        <v>235</v>
      </c>
      <c r="D5719" s="147" t="s">
        <v>74</v>
      </c>
      <c r="E5719" s="135">
        <f t="shared" si="59"/>
        <v>29</v>
      </c>
      <c r="F5719" s="151" t="s">
        <v>3602</v>
      </c>
      <c r="G5719" s="63" t="str">
        <f>VLOOKUP(C5719, 'Class Def. - General Data'!$C$20:$C$1000,1,false)</f>
        <v>ZRM1_Crackers</v>
      </c>
      <c r="H5719" s="63" t="str">
        <f>IFERROR(__xludf.DUMMYFUNCTION("VLOOKUP(F5719, IMPORTRANGE(""https://docs.google.com/spreadsheets/d/1Lhp9OU0JdFf_VYSMzH5lBcEaU4o8teT1piV-SNzShjg/edit?gid=554141278#gid=554141278"", ""'Char Def. - Attributes'!C20:C2242""), 1,false)"),"NET_WEIGHT")</f>
        <v>NET_WEIGHT</v>
      </c>
      <c r="I5719" s="136"/>
    </row>
    <row r="5720" ht="15.75" customHeight="1">
      <c r="A5720" s="59"/>
      <c r="B5720" s="63">
        <f t="shared" si="1"/>
        <v>13</v>
      </c>
      <c r="C5720" s="156" t="s">
        <v>235</v>
      </c>
      <c r="D5720" s="147" t="s">
        <v>74</v>
      </c>
      <c r="E5720" s="135">
        <f t="shared" si="59"/>
        <v>30</v>
      </c>
      <c r="F5720" s="151" t="s">
        <v>3601</v>
      </c>
      <c r="G5720" s="63" t="str">
        <f>VLOOKUP(C5720, 'Class Def. - General Data'!$C$20:$C$1000,1,false)</f>
        <v>ZRM1_Crackers</v>
      </c>
      <c r="H5720" s="63" t="str">
        <f>IFERROR(__xludf.DUMMYFUNCTION("VLOOKUP(F5720, IMPORTRANGE(""https://docs.google.com/spreadsheets/d/1Lhp9OU0JdFf_VYSMzH5lBcEaU4o8teT1piV-SNzShjg/edit?gid=554141278#gid=554141278"", ""'Char Def. - Attributes'!C20:C2242""), 1,false)"),"GROSS_WEIGHT")</f>
        <v>GROSS_WEIGHT</v>
      </c>
      <c r="I5720" s="136"/>
    </row>
    <row r="5721" ht="15.75" customHeight="1">
      <c r="A5721" s="59"/>
      <c r="B5721" s="63">
        <f t="shared" si="1"/>
        <v>13</v>
      </c>
      <c r="C5721" s="156" t="s">
        <v>235</v>
      </c>
      <c r="D5721" s="147" t="s">
        <v>74</v>
      </c>
      <c r="E5721" s="135">
        <f t="shared" si="59"/>
        <v>31</v>
      </c>
      <c r="F5721" s="152" t="s">
        <v>3996</v>
      </c>
      <c r="G5721" s="63" t="str">
        <f>VLOOKUP(C5721, 'Class Def. - General Data'!$C$20:$C$1000,1,false)</f>
        <v>ZRM1_Crackers</v>
      </c>
      <c r="H5721" s="63" t="str">
        <f>IFERROR(__xludf.DUMMYFUNCTION("VLOOKUP(F5721, IMPORTRANGE(""https://docs.google.com/spreadsheets/d/1Lhp9OU0JdFf_VYSMzH5lBcEaU4o8teT1piV-SNzShjg/edit?gid=554141278#gid=554141278"", ""'Char Def. - Attributes'!C20:C2242""), 1,false)"),"WEIGHT_UNIT")</f>
        <v>WEIGHT_UNIT</v>
      </c>
      <c r="I5721" s="136"/>
    </row>
    <row r="5722" ht="15.75" customHeight="1">
      <c r="A5722" s="59"/>
      <c r="B5722" s="63">
        <f t="shared" si="1"/>
        <v>13</v>
      </c>
      <c r="C5722" s="156" t="s">
        <v>235</v>
      </c>
      <c r="D5722" s="147" t="s">
        <v>74</v>
      </c>
      <c r="E5722" s="135">
        <f t="shared" si="59"/>
        <v>32</v>
      </c>
      <c r="F5722" s="151" t="s">
        <v>3877</v>
      </c>
      <c r="G5722" s="63" t="str">
        <f>VLOOKUP(C5722, 'Class Def. - General Data'!$C$20:$C$1000,1,false)</f>
        <v>ZRM1_Crackers</v>
      </c>
      <c r="H5722" s="63" t="str">
        <f>IFERROR(__xludf.DUMMYFUNCTION("VLOOKUP(F5722, IMPORTRANGE(""https://docs.google.com/spreadsheets/d/1Lhp9OU0JdFf_VYSMzH5lBcEaU4o8teT1piV-SNzShjg/edit?gid=554141278#gid=554141278"", ""'Char Def. - Attributes'!C20:C2242""), 1,false)"),"VOLUME_OPT")</f>
        <v>VOLUME_OPT</v>
      </c>
      <c r="I5722" s="136"/>
    </row>
    <row r="5723" ht="15.75" customHeight="1">
      <c r="B5723" s="63">
        <f t="shared" si="1"/>
        <v>13</v>
      </c>
      <c r="C5723" s="156" t="s">
        <v>235</v>
      </c>
      <c r="D5723" s="147" t="s">
        <v>74</v>
      </c>
      <c r="E5723" s="135">
        <f t="shared" si="59"/>
        <v>33</v>
      </c>
      <c r="F5723" s="152" t="s">
        <v>3878</v>
      </c>
      <c r="G5723" s="63" t="str">
        <f>VLOOKUP(C5723, 'Class Def. - General Data'!$C$20:$C$1000,1,false)</f>
        <v>ZRM1_Crackers</v>
      </c>
      <c r="H5723" s="63" t="str">
        <f>IFERROR(__xludf.DUMMYFUNCTION("VLOOKUP(F5723, IMPORTRANGE(""https://docs.google.com/spreadsheets/d/1Lhp9OU0JdFf_VYSMzH5lBcEaU4o8teT1piV-SNzShjg/edit?gid=554141278#gid=554141278"", ""'Char Def. - Attributes'!C20:C2242""), 1,false)"),"VOLUME_UNIT")</f>
        <v>VOLUME_UNIT</v>
      </c>
      <c r="I5723" s="136"/>
    </row>
    <row r="5724" ht="15.75" customHeight="1">
      <c r="B5724" s="63">
        <f t="shared" si="1"/>
        <v>13</v>
      </c>
      <c r="C5724" s="156" t="s">
        <v>235</v>
      </c>
      <c r="D5724" s="147" t="s">
        <v>74</v>
      </c>
      <c r="E5724" s="135">
        <f t="shared" si="59"/>
        <v>34</v>
      </c>
      <c r="F5724" s="151" t="s">
        <v>3587</v>
      </c>
      <c r="G5724" s="63" t="str">
        <f>VLOOKUP(C5724, 'Class Def. - General Data'!$C$20:$C$1000,1,false)</f>
        <v>ZRM1_Crackers</v>
      </c>
      <c r="H5724" s="63" t="str">
        <f>IFERROR(__xludf.DUMMYFUNCTION("VLOOKUP(F5724, IMPORTRANGE(""https://docs.google.com/spreadsheets/d/1Lhp9OU0JdFf_VYSMzH5lBcEaU4o8teT1piV-SNzShjg/edit?gid=554141278#gid=554141278"", ""'Char Def. - Attributes'!C20:C2242""), 1,false)"),"PLANT_BUY")</f>
        <v>PLANT_BUY</v>
      </c>
      <c r="I5724" s="136"/>
    </row>
    <row r="5725" ht="15.75" customHeight="1">
      <c r="A5725" s="59"/>
      <c r="B5725" s="63">
        <f t="shared" si="1"/>
        <v>13</v>
      </c>
      <c r="C5725" s="156" t="s">
        <v>235</v>
      </c>
      <c r="D5725" s="147" t="s">
        <v>74</v>
      </c>
      <c r="E5725" s="135">
        <f t="shared" si="59"/>
        <v>35</v>
      </c>
      <c r="F5725" s="152" t="s">
        <v>3997</v>
      </c>
      <c r="G5725" s="63" t="str">
        <f>VLOOKUP(C5725, 'Class Def. - General Data'!$C$20:$C$1000,1,false)</f>
        <v>ZRM1_Crackers</v>
      </c>
      <c r="H5725" s="63" t="str">
        <f>IFERROR(__xludf.DUMMYFUNCTION("VLOOKUP(F5725, IMPORTRANGE(""https://docs.google.com/spreadsheets/d/1Lhp9OU0JdFf_VYSMzH5lBcEaU4o8teT1piV-SNzShjg/edit?gid=554141278#gid=554141278"", ""'Char Def. - Attributes'!C20:C2242""), 1,false)"),"OLD_MAT_NO_RMPM_OPT")</f>
        <v>OLD_MAT_NO_RMPM_OPT</v>
      </c>
      <c r="I5725" s="136"/>
    </row>
    <row r="5726" ht="15.75" customHeight="1">
      <c r="B5726" s="63">
        <f t="shared" si="1"/>
        <v>13</v>
      </c>
      <c r="C5726" s="156" t="s">
        <v>235</v>
      </c>
      <c r="D5726" s="147" t="s">
        <v>74</v>
      </c>
      <c r="E5726" s="135">
        <f t="shared" si="59"/>
        <v>36</v>
      </c>
      <c r="F5726" s="148" t="s">
        <v>3998</v>
      </c>
      <c r="G5726" s="63" t="str">
        <f>VLOOKUP(C5726, 'Class Def. - General Data'!$C$20:$C$1000,1,false)</f>
        <v>ZRM1_Crackers</v>
      </c>
      <c r="H5726" s="63" t="str">
        <f>IFERROR(__xludf.DUMMYFUNCTION("VLOOKUP(F5726, IMPORTRANGE(""https://docs.google.com/spreadsheets/d/1Lhp9OU0JdFf_VYSMzH5lBcEaU4o8teT1piV-SNzShjg/edit?gid=554141278#gid=554141278"", ""'Char Def. - Attributes'!C20:C2242""), 1,false)"),"MIN_STD_WEIGHT")</f>
        <v>MIN_STD_WEIGHT</v>
      </c>
      <c r="I5726" s="136"/>
    </row>
    <row r="5727" ht="15.75" customHeight="1">
      <c r="A5727" s="158"/>
      <c r="B5727" s="63">
        <f t="shared" si="1"/>
        <v>13</v>
      </c>
      <c r="C5727" s="156" t="s">
        <v>235</v>
      </c>
      <c r="D5727" s="147" t="s">
        <v>74</v>
      </c>
      <c r="E5727" s="135">
        <f t="shared" si="59"/>
        <v>37</v>
      </c>
      <c r="F5727" s="148" t="s">
        <v>3999</v>
      </c>
      <c r="G5727" s="63" t="str">
        <f>VLOOKUP(C5727, 'Class Def. - General Data'!$C$20:$C$1000,1,false)</f>
        <v>ZRM1_Crackers</v>
      </c>
      <c r="H5727" s="63" t="str">
        <f>IFERROR(__xludf.DUMMYFUNCTION("VLOOKUP(F5727, IMPORTRANGE(""https://docs.google.com/spreadsheets/d/1Lhp9OU0JdFf_VYSMzH5lBcEaU4o8teT1piV-SNzShjg/edit?gid=554141278#gid=554141278"", ""'Char Def. - Attributes'!C20:C2242""), 1,false)"),"MIN_STD_WEIGHT_UOM")</f>
        <v>MIN_STD_WEIGHT_UOM</v>
      </c>
      <c r="I5727" s="136"/>
    </row>
    <row r="5728" ht="15.75" customHeight="1">
      <c r="A5728" s="158"/>
      <c r="B5728" s="63">
        <f t="shared" si="1"/>
        <v>17</v>
      </c>
      <c r="C5728" s="156" t="s">
        <v>232</v>
      </c>
      <c r="D5728" s="147" t="s">
        <v>74</v>
      </c>
      <c r="E5728" s="135">
        <f t="shared" si="59"/>
        <v>1</v>
      </c>
      <c r="F5728" s="152" t="s">
        <v>4000</v>
      </c>
      <c r="G5728" s="63" t="str">
        <f>VLOOKUP(C5728, 'Class Def. - General Data'!$C$20:$C$1000,1,false)</f>
        <v>ZRM1_Flour_Starch</v>
      </c>
      <c r="H5728" s="63" t="str">
        <f>IFERROR(__xludf.DUMMYFUNCTION("VLOOKUP(F5728, IMPORTRANGE(""https://docs.google.com/spreadsheets/d/1Lhp9OU0JdFf_VYSMzH5lBcEaU4o8teT1piV-SNzShjg/edit?gid=554141278#gid=554141278"", ""'Char Def. - Attributes'!C20:C2242""), 1,false)"),"MATERIAL_CODE_FREETEXT")</f>
        <v>MATERIAL_CODE_FREETEXT</v>
      </c>
      <c r="I5728" s="136"/>
    </row>
    <row r="5729" ht="15.75" customHeight="1">
      <c r="A5729" s="59"/>
      <c r="B5729" s="63">
        <f t="shared" si="1"/>
        <v>17</v>
      </c>
      <c r="C5729" s="156" t="s">
        <v>232</v>
      </c>
      <c r="D5729" s="147" t="s">
        <v>74</v>
      </c>
      <c r="E5729" s="135">
        <f t="shared" si="59"/>
        <v>2</v>
      </c>
      <c r="F5729" s="152" t="s">
        <v>4001</v>
      </c>
      <c r="G5729" s="63" t="str">
        <f>VLOOKUP(C5729, 'Class Def. - General Data'!$C$20:$C$1000,1,false)</f>
        <v>ZRM1_Flour_Starch</v>
      </c>
      <c r="H5729" s="63" t="str">
        <f>IFERROR(__xludf.DUMMYFUNCTION("VLOOKUP(F5729, IMPORTRANGE(""https://docs.google.com/spreadsheets/d/1Lhp9OU0JdFf_VYSMzH5lBcEaU4o8teT1piV-SNzShjg/edit?gid=554141278#gid=554141278"", ""'Char Def. - Attributes'!C20:C2242""), 1,false)"),"ADDITIONAL_INFO_NO_MASK")</f>
        <v>ADDITIONAL_INFO_NO_MASK</v>
      </c>
      <c r="I5729" s="136"/>
    </row>
    <row r="5730" ht="15.75" customHeight="1">
      <c r="B5730" s="63">
        <f t="shared" si="1"/>
        <v>17</v>
      </c>
      <c r="C5730" s="156" t="s">
        <v>232</v>
      </c>
      <c r="D5730" s="147" t="s">
        <v>74</v>
      </c>
      <c r="E5730" s="135">
        <f t="shared" si="59"/>
        <v>3</v>
      </c>
      <c r="F5730" s="152" t="s">
        <v>4002</v>
      </c>
      <c r="G5730" s="63" t="str">
        <f>VLOOKUP(C5730, 'Class Def. - General Data'!$C$20:$C$1000,1,false)</f>
        <v>ZRM1_Flour_Starch</v>
      </c>
      <c r="H5730" s="63" t="str">
        <f>IFERROR(__xludf.DUMMYFUNCTION("VLOOKUP(F5730, IMPORTRANGE(""https://docs.google.com/spreadsheets/d/1Lhp9OU0JdFf_VYSMzH5lBcEaU4o8teT1piV-SNzShjg/edit?gid=554141278#gid=554141278"", ""'Char Def. - Attributes'!C20:C2242""), 1,false)"),"COLOR_GENERAL")</f>
        <v>COLOR_GENERAL</v>
      </c>
      <c r="I5730" s="136"/>
    </row>
    <row r="5731" ht="15.75" customHeight="1">
      <c r="B5731" s="63">
        <f t="shared" si="1"/>
        <v>17</v>
      </c>
      <c r="C5731" s="156" t="s">
        <v>232</v>
      </c>
      <c r="D5731" s="147" t="s">
        <v>74</v>
      </c>
      <c r="E5731" s="135">
        <f t="shared" si="59"/>
        <v>4</v>
      </c>
      <c r="F5731" s="152" t="s">
        <v>4003</v>
      </c>
      <c r="G5731" s="63" t="str">
        <f>VLOOKUP(C5731, 'Class Def. - General Data'!$C$20:$C$1000,1,false)</f>
        <v>ZRM1_Flour_Starch</v>
      </c>
      <c r="H5731" s="63" t="str">
        <f>IFERROR(__xludf.DUMMYFUNCTION("VLOOKUP(F5731, IMPORTRANGE(""https://docs.google.com/spreadsheets/d/1Lhp9OU0JdFf_VYSMzH5lBcEaU4o8teT1piV-SNzShjg/edit?gid=554141278#gid=554141278"", ""'Char Def. - Attributes'!C20:C2242""), 1,false)"),"SOURCE_SUPPLY")</f>
        <v>SOURCE_SUPPLY</v>
      </c>
      <c r="I5731" s="136"/>
    </row>
    <row r="5732" ht="15.75" customHeight="1">
      <c r="B5732" s="63">
        <f t="shared" si="1"/>
        <v>17</v>
      </c>
      <c r="C5732" s="156" t="s">
        <v>232</v>
      </c>
      <c r="D5732" s="147" t="s">
        <v>74</v>
      </c>
      <c r="E5732" s="135">
        <f t="shared" si="59"/>
        <v>5</v>
      </c>
      <c r="F5732" s="152" t="s">
        <v>4004</v>
      </c>
      <c r="G5732" s="63" t="str">
        <f>VLOOKUP(C5732, 'Class Def. - General Data'!$C$20:$C$1000,1,false)</f>
        <v>ZRM1_Flour_Starch</v>
      </c>
      <c r="H5732" s="63" t="str">
        <f>IFERROR(__xludf.DUMMYFUNCTION("VLOOKUP(F5732, IMPORTRANGE(""https://docs.google.com/spreadsheets/d/1Lhp9OU0JdFf_VYSMzH5lBcEaU4o8teT1piV-SNzShjg/edit?gid=554141278#gid=554141278"", ""'Char Def. - Attributes'!C20:C2242""), 1,false)"),"BASE_MATERIAL")</f>
        <v>BASE_MATERIAL</v>
      </c>
      <c r="I5732" s="136"/>
    </row>
    <row r="5733" ht="15.75" customHeight="1">
      <c r="A5733" s="59"/>
      <c r="B5733" s="63">
        <f t="shared" si="1"/>
        <v>17</v>
      </c>
      <c r="C5733" s="156" t="s">
        <v>232</v>
      </c>
      <c r="D5733" s="147" t="s">
        <v>74</v>
      </c>
      <c r="E5733" s="135">
        <f t="shared" si="59"/>
        <v>6</v>
      </c>
      <c r="F5733" s="152" t="s">
        <v>4009</v>
      </c>
      <c r="G5733" s="63" t="str">
        <f>VLOOKUP(C5733, 'Class Def. - General Data'!$C$20:$C$1000,1,false)</f>
        <v>ZRM1_Flour_Starch</v>
      </c>
      <c r="H5733" s="63" t="str">
        <f>IFERROR(__xludf.DUMMYFUNCTION("VLOOKUP(F5733, IMPORTRANGE(""https://docs.google.com/spreadsheets/d/1Lhp9OU0JdFf_VYSMzH5lBcEaU4o8teT1piV-SNzShjg/edit?gid=554141278#gid=554141278"", ""'Char Def. - Attributes'!C20:C2242""), 1,false)"),"NATURE_ORIGIN_FOOD")</f>
        <v>NATURE_ORIGIN_FOOD</v>
      </c>
      <c r="I5733" s="136"/>
    </row>
    <row r="5734" ht="15.75" customHeight="1">
      <c r="A5734" s="59"/>
      <c r="B5734" s="63">
        <f t="shared" si="1"/>
        <v>17</v>
      </c>
      <c r="C5734" s="156" t="s">
        <v>232</v>
      </c>
      <c r="D5734" s="147" t="s">
        <v>74</v>
      </c>
      <c r="E5734" s="135">
        <f t="shared" si="59"/>
        <v>7</v>
      </c>
      <c r="F5734" s="152" t="s">
        <v>4006</v>
      </c>
      <c r="G5734" s="63" t="str">
        <f>VLOOKUP(C5734, 'Class Def. - General Data'!$C$20:$C$1000,1,false)</f>
        <v>ZRM1_Flour_Starch</v>
      </c>
      <c r="H5734" s="63" t="str">
        <f>IFERROR(__xludf.DUMMYFUNCTION("VLOOKUP(F5734, IMPORTRANGE(""https://docs.google.com/spreadsheets/d/1Lhp9OU0JdFf_VYSMzH5lBcEaU4o8teT1piV-SNzShjg/edit?gid=554141278#gid=554141278"", ""'Char Def. - Attributes'!C20:C2242""), 1,false)"),"CATEGORY_ITEM")</f>
        <v>CATEGORY_ITEM</v>
      </c>
      <c r="I5734" s="136"/>
    </row>
    <row r="5735" ht="15.75" customHeight="1">
      <c r="A5735" s="59"/>
      <c r="B5735" s="63">
        <f t="shared" si="1"/>
        <v>17</v>
      </c>
      <c r="C5735" s="156" t="s">
        <v>232</v>
      </c>
      <c r="D5735" s="147" t="s">
        <v>74</v>
      </c>
      <c r="E5735" s="135">
        <f t="shared" si="59"/>
        <v>8</v>
      </c>
      <c r="F5735" s="152" t="s">
        <v>4007</v>
      </c>
      <c r="G5735" s="63" t="str">
        <f>VLOOKUP(C5735, 'Class Def. - General Data'!$C$20:$C$1000,1,false)</f>
        <v>ZRM1_Flour_Starch</v>
      </c>
      <c r="H5735" s="63" t="str">
        <f>IFERROR(__xludf.DUMMYFUNCTION("VLOOKUP(F5735, IMPORTRANGE(""https://docs.google.com/spreadsheets/d/1Lhp9OU0JdFf_VYSMzH5lBcEaU4o8teT1piV-SNzShjg/edit?gid=554141278#gid=554141278"", ""'Char Def. - Attributes'!C20:C2242""), 1,false)"),"FUNCTION1")</f>
        <v>FUNCTION1</v>
      </c>
      <c r="I5735" s="136"/>
    </row>
    <row r="5736" ht="15.75" customHeight="1">
      <c r="A5736" s="59"/>
      <c r="B5736" s="63">
        <f t="shared" si="1"/>
        <v>17</v>
      </c>
      <c r="C5736" s="156" t="s">
        <v>232</v>
      </c>
      <c r="D5736" s="147" t="s">
        <v>74</v>
      </c>
      <c r="E5736" s="135">
        <f t="shared" si="59"/>
        <v>9</v>
      </c>
      <c r="F5736" s="152" t="s">
        <v>4008</v>
      </c>
      <c r="G5736" s="63" t="str">
        <f>VLOOKUP(C5736, 'Class Def. - General Data'!$C$20:$C$1000,1,false)</f>
        <v>ZRM1_Flour_Starch</v>
      </c>
      <c r="H5736" s="63" t="str">
        <f>IFERROR(__xludf.DUMMYFUNCTION("VLOOKUP(F5736, IMPORTRANGE(""https://docs.google.com/spreadsheets/d/1Lhp9OU0JdFf_VYSMzH5lBcEaU4o8teT1piV-SNzShjg/edit?gid=554141278#gid=554141278"", ""'Char Def. - Attributes'!C20:C2242""), 1,false)"),"PREFERENSI_KURS")</f>
        <v>PREFERENSI_KURS</v>
      </c>
      <c r="I5736" s="136"/>
    </row>
    <row r="5737" ht="15.75" customHeight="1">
      <c r="A5737" s="59"/>
      <c r="B5737" s="63">
        <f t="shared" si="1"/>
        <v>17</v>
      </c>
      <c r="C5737" s="156" t="s">
        <v>232</v>
      </c>
      <c r="D5737" s="147" t="s">
        <v>74</v>
      </c>
      <c r="E5737" s="135">
        <f t="shared" si="59"/>
        <v>10</v>
      </c>
      <c r="F5737" s="151" t="s">
        <v>3868</v>
      </c>
      <c r="G5737" s="63" t="str">
        <f>VLOOKUP(C5737, 'Class Def. - General Data'!$C$20:$C$1000,1,false)</f>
        <v>ZRM1_Flour_Starch</v>
      </c>
      <c r="H5737" s="63" t="str">
        <f>IFERROR(__xludf.DUMMYFUNCTION("VLOOKUP(F5737, IMPORTRANGE(""https://docs.google.com/spreadsheets/d/1Lhp9OU0JdFf_VYSMzH5lBcEaU4o8teT1piV-SNzShjg/edit?gid=554141278#gid=554141278"", ""'Char Def. - Attributes'!C20:C2242""), 1,false)"),"BASIC_UOM_RMPM")</f>
        <v>BASIC_UOM_RMPM</v>
      </c>
      <c r="I5737" s="136"/>
    </row>
    <row r="5738" ht="15.75" customHeight="1">
      <c r="A5738" s="59"/>
      <c r="B5738" s="63">
        <f t="shared" si="1"/>
        <v>17</v>
      </c>
      <c r="C5738" s="156" t="s">
        <v>232</v>
      </c>
      <c r="D5738" s="147" t="s">
        <v>74</v>
      </c>
      <c r="E5738" s="135">
        <f t="shared" si="59"/>
        <v>11</v>
      </c>
      <c r="F5738" s="152" t="s">
        <v>3869</v>
      </c>
      <c r="G5738" s="63" t="str">
        <f>VLOOKUP(C5738, 'Class Def. - General Data'!$C$20:$C$1000,1,false)</f>
        <v>ZRM1_Flour_Starch</v>
      </c>
      <c r="H5738" s="63" t="str">
        <f>IFERROR(__xludf.DUMMYFUNCTION("VLOOKUP(F5738, IMPORTRANGE(""https://docs.google.com/spreadsheets/d/1Lhp9OU0JdFf_VYSMzH5lBcEaU4o8teT1piV-SNzShjg/edit?gid=554141278#gid=554141278"", ""'Char Def. - Attributes'!C20:C2242""), 1,false)"),"ALT_UOM1_RMPM")</f>
        <v>ALT_UOM1_RMPM</v>
      </c>
      <c r="I5738" s="136"/>
    </row>
    <row r="5739" ht="15.75" customHeight="1">
      <c r="A5739" s="59"/>
      <c r="B5739" s="63">
        <f t="shared" si="1"/>
        <v>17</v>
      </c>
      <c r="C5739" s="156" t="s">
        <v>232</v>
      </c>
      <c r="D5739" s="147" t="s">
        <v>74</v>
      </c>
      <c r="E5739" s="135">
        <f t="shared" si="59"/>
        <v>12</v>
      </c>
      <c r="F5739" s="152" t="s">
        <v>3805</v>
      </c>
      <c r="G5739" s="63" t="str">
        <f>VLOOKUP(C5739, 'Class Def. - General Data'!$C$20:$C$1000,1,false)</f>
        <v>ZRM1_Flour_Starch</v>
      </c>
      <c r="H5739" s="63" t="str">
        <f>IFERROR(__xludf.DUMMYFUNCTION("VLOOKUP(F5739, IMPORTRANGE(""https://docs.google.com/spreadsheets/d/1Lhp9OU0JdFf_VYSMzH5lBcEaU4o8teT1piV-SNzShjg/edit?gid=554141278#gid=554141278"", ""'Char Def. - Attributes'!C20:C2242""), 1,false)"),"ALT_DENUM_UOM1")</f>
        <v>ALT_DENUM_UOM1</v>
      </c>
      <c r="I5739" s="136"/>
    </row>
    <row r="5740" ht="15.75" customHeight="1">
      <c r="A5740" s="59"/>
      <c r="B5740" s="63">
        <f t="shared" si="1"/>
        <v>17</v>
      </c>
      <c r="C5740" s="156" t="s">
        <v>232</v>
      </c>
      <c r="D5740" s="147" t="s">
        <v>74</v>
      </c>
      <c r="E5740" s="135">
        <f t="shared" si="59"/>
        <v>13</v>
      </c>
      <c r="F5740" s="152" t="s">
        <v>3806</v>
      </c>
      <c r="G5740" s="63" t="str">
        <f>VLOOKUP(C5740, 'Class Def. - General Data'!$C$20:$C$1000,1,false)</f>
        <v>ZRM1_Flour_Starch</v>
      </c>
      <c r="H5740" s="63" t="str">
        <f>IFERROR(__xludf.DUMMYFUNCTION("VLOOKUP(F5740, IMPORTRANGE(""https://docs.google.com/spreadsheets/d/1Lhp9OU0JdFf_VYSMzH5lBcEaU4o8teT1piV-SNzShjg/edit?gid=554141278#gid=554141278"", ""'Char Def. - Attributes'!C20:C2242""), 1,false)"),"ALT_NUM_UOM1")</f>
        <v>ALT_NUM_UOM1</v>
      </c>
      <c r="I5740" s="136"/>
    </row>
    <row r="5741" ht="15.75" customHeight="1">
      <c r="A5741" s="59"/>
      <c r="B5741" s="63">
        <f t="shared" si="1"/>
        <v>17</v>
      </c>
      <c r="C5741" s="156" t="s">
        <v>232</v>
      </c>
      <c r="D5741" s="147" t="s">
        <v>74</v>
      </c>
      <c r="E5741" s="135">
        <f t="shared" si="59"/>
        <v>14</v>
      </c>
      <c r="F5741" s="152" t="s">
        <v>3870</v>
      </c>
      <c r="G5741" s="63" t="str">
        <f>VLOOKUP(C5741, 'Class Def. - General Data'!$C$20:$C$1000,1,false)</f>
        <v>ZRM1_Flour_Starch</v>
      </c>
      <c r="H5741" s="63" t="str">
        <f>IFERROR(__xludf.DUMMYFUNCTION("VLOOKUP(F5741, IMPORTRANGE(""https://docs.google.com/spreadsheets/d/1Lhp9OU0JdFf_VYSMzH5lBcEaU4o8teT1piV-SNzShjg/edit?gid=554141278#gid=554141278"", ""'Char Def. - Attributes'!C20:C2242""), 1,false)"),"ALT_UOM2_RMPM")</f>
        <v>ALT_UOM2_RMPM</v>
      </c>
      <c r="I5741" s="136"/>
    </row>
    <row r="5742" ht="15.75" customHeight="1">
      <c r="A5742" s="59"/>
      <c r="B5742" s="63">
        <f t="shared" si="1"/>
        <v>17</v>
      </c>
      <c r="C5742" s="156" t="s">
        <v>232</v>
      </c>
      <c r="D5742" s="147" t="s">
        <v>74</v>
      </c>
      <c r="E5742" s="135">
        <f t="shared" si="59"/>
        <v>15</v>
      </c>
      <c r="F5742" s="152" t="s">
        <v>3808</v>
      </c>
      <c r="G5742" s="63" t="str">
        <f>VLOOKUP(C5742, 'Class Def. - General Data'!$C$20:$C$1000,1,false)</f>
        <v>ZRM1_Flour_Starch</v>
      </c>
      <c r="H5742" s="63" t="str">
        <f>IFERROR(__xludf.DUMMYFUNCTION("VLOOKUP(F5742, IMPORTRANGE(""https://docs.google.com/spreadsheets/d/1Lhp9OU0JdFf_VYSMzH5lBcEaU4o8teT1piV-SNzShjg/edit?gid=554141278#gid=554141278"", ""'Char Def. - Attributes'!C20:C2242""), 1,false)"),"ALT_DENUM_UOM2")</f>
        <v>ALT_DENUM_UOM2</v>
      </c>
      <c r="I5742" s="136"/>
    </row>
    <row r="5743" ht="15.75" customHeight="1">
      <c r="A5743" s="59"/>
      <c r="B5743" s="63">
        <f t="shared" si="1"/>
        <v>17</v>
      </c>
      <c r="C5743" s="156" t="s">
        <v>232</v>
      </c>
      <c r="D5743" s="147" t="s">
        <v>74</v>
      </c>
      <c r="E5743" s="135">
        <f t="shared" si="59"/>
        <v>16</v>
      </c>
      <c r="F5743" s="152" t="s">
        <v>3809</v>
      </c>
      <c r="G5743" s="63" t="str">
        <f>VLOOKUP(C5743, 'Class Def. - General Data'!$C$20:$C$1000,1,false)</f>
        <v>ZRM1_Flour_Starch</v>
      </c>
      <c r="H5743" s="63" t="str">
        <f>IFERROR(__xludf.DUMMYFUNCTION("VLOOKUP(F5743, IMPORTRANGE(""https://docs.google.com/spreadsheets/d/1Lhp9OU0JdFf_VYSMzH5lBcEaU4o8teT1piV-SNzShjg/edit?gid=554141278#gid=554141278"", ""'Char Def. - Attributes'!C20:C2242""), 1,false)"),"ALT_NUM_UOM2")</f>
        <v>ALT_NUM_UOM2</v>
      </c>
      <c r="I5743" s="136"/>
    </row>
    <row r="5744" ht="15.75" customHeight="1">
      <c r="A5744" s="59"/>
      <c r="B5744" s="63">
        <f t="shared" si="1"/>
        <v>17</v>
      </c>
      <c r="C5744" s="156" t="s">
        <v>232</v>
      </c>
      <c r="D5744" s="147" t="s">
        <v>74</v>
      </c>
      <c r="E5744" s="135">
        <f t="shared" si="59"/>
        <v>17</v>
      </c>
      <c r="F5744" s="152" t="s">
        <v>3871</v>
      </c>
      <c r="G5744" s="63" t="str">
        <f>VLOOKUP(C5744, 'Class Def. - General Data'!$C$20:$C$1000,1,false)</f>
        <v>ZRM1_Flour_Starch</v>
      </c>
      <c r="H5744" s="63" t="str">
        <f>IFERROR(__xludf.DUMMYFUNCTION("VLOOKUP(F5744, IMPORTRANGE(""https://docs.google.com/spreadsheets/d/1Lhp9OU0JdFf_VYSMzH5lBcEaU4o8teT1piV-SNzShjg/edit?gid=554141278#gid=554141278"", ""'Char Def. - Attributes'!C20:C2242""), 1,false)"),"ALT_UOM3_RMPM")</f>
        <v>ALT_UOM3_RMPM</v>
      </c>
      <c r="I5744" s="136"/>
    </row>
    <row r="5745" ht="15.75" customHeight="1">
      <c r="A5745" s="59"/>
      <c r="B5745" s="63">
        <f t="shared" si="1"/>
        <v>17</v>
      </c>
      <c r="C5745" s="156" t="s">
        <v>232</v>
      </c>
      <c r="D5745" s="147" t="s">
        <v>74</v>
      </c>
      <c r="E5745" s="135">
        <f t="shared" si="59"/>
        <v>18</v>
      </c>
      <c r="F5745" s="152" t="s">
        <v>3811</v>
      </c>
      <c r="G5745" s="63" t="str">
        <f>VLOOKUP(C5745, 'Class Def. - General Data'!$C$20:$C$1000,1,false)</f>
        <v>ZRM1_Flour_Starch</v>
      </c>
      <c r="H5745" s="63" t="str">
        <f>IFERROR(__xludf.DUMMYFUNCTION("VLOOKUP(F5745, IMPORTRANGE(""https://docs.google.com/spreadsheets/d/1Lhp9OU0JdFf_VYSMzH5lBcEaU4o8teT1piV-SNzShjg/edit?gid=554141278#gid=554141278"", ""'Char Def. - Attributes'!C20:C2242""), 1,false)"),"ALT_DENUM_UOM3")</f>
        <v>ALT_DENUM_UOM3</v>
      </c>
      <c r="I5745" s="136"/>
    </row>
    <row r="5746" ht="15.75" customHeight="1">
      <c r="A5746" s="59"/>
      <c r="B5746" s="63">
        <f t="shared" si="1"/>
        <v>17</v>
      </c>
      <c r="C5746" s="156" t="s">
        <v>232</v>
      </c>
      <c r="D5746" s="147" t="s">
        <v>74</v>
      </c>
      <c r="E5746" s="135">
        <f t="shared" si="59"/>
        <v>19</v>
      </c>
      <c r="F5746" s="152" t="s">
        <v>3812</v>
      </c>
      <c r="G5746" s="63" t="str">
        <f>VLOOKUP(C5746, 'Class Def. - General Data'!$C$20:$C$1000,1,false)</f>
        <v>ZRM1_Flour_Starch</v>
      </c>
      <c r="H5746" s="63" t="str">
        <f>IFERROR(__xludf.DUMMYFUNCTION("VLOOKUP(F5746, IMPORTRANGE(""https://docs.google.com/spreadsheets/d/1Lhp9OU0JdFf_VYSMzH5lBcEaU4o8teT1piV-SNzShjg/edit?gid=554141278#gid=554141278"", ""'Char Def. - Attributes'!C20:C2242""), 1,false)"),"ALT_NUM_UOM3")</f>
        <v>ALT_NUM_UOM3</v>
      </c>
      <c r="I5746" s="136"/>
    </row>
    <row r="5747" ht="15.75" customHeight="1">
      <c r="A5747" s="59"/>
      <c r="B5747" s="63">
        <f t="shared" si="1"/>
        <v>17</v>
      </c>
      <c r="C5747" s="156" t="s">
        <v>232</v>
      </c>
      <c r="D5747" s="147" t="s">
        <v>74</v>
      </c>
      <c r="E5747" s="135">
        <f t="shared" si="59"/>
        <v>20</v>
      </c>
      <c r="F5747" s="152" t="s">
        <v>3872</v>
      </c>
      <c r="G5747" s="63" t="str">
        <f>VLOOKUP(C5747, 'Class Def. - General Data'!$C$20:$C$1000,1,false)</f>
        <v>ZRM1_Flour_Starch</v>
      </c>
      <c r="H5747" s="63" t="str">
        <f>IFERROR(__xludf.DUMMYFUNCTION("VLOOKUP(F5747, IMPORTRANGE(""https://docs.google.com/spreadsheets/d/1Lhp9OU0JdFf_VYSMzH5lBcEaU4o8teT1piV-SNzShjg/edit?gid=554141278#gid=554141278"", ""'Char Def. - Attributes'!C20:C2242""), 1,false)"),"ALT_UOM4_RMPM")</f>
        <v>ALT_UOM4_RMPM</v>
      </c>
      <c r="I5747" s="136"/>
    </row>
    <row r="5748" ht="15.75" customHeight="1">
      <c r="A5748" s="59"/>
      <c r="B5748" s="63">
        <f t="shared" si="1"/>
        <v>17</v>
      </c>
      <c r="C5748" s="156" t="s">
        <v>232</v>
      </c>
      <c r="D5748" s="147" t="s">
        <v>74</v>
      </c>
      <c r="E5748" s="135">
        <f t="shared" si="59"/>
        <v>21</v>
      </c>
      <c r="F5748" s="148" t="s">
        <v>3814</v>
      </c>
      <c r="G5748" s="63" t="str">
        <f>VLOOKUP(C5748, 'Class Def. - General Data'!$C$20:$C$1000,1,false)</f>
        <v>ZRM1_Flour_Starch</v>
      </c>
      <c r="H5748" s="63" t="str">
        <f>IFERROR(__xludf.DUMMYFUNCTION("VLOOKUP(F5748, IMPORTRANGE(""https://docs.google.com/spreadsheets/d/1Lhp9OU0JdFf_VYSMzH5lBcEaU4o8teT1piV-SNzShjg/edit?gid=554141278#gid=554141278"", ""'Char Def. - Attributes'!C20:C2242""), 1,false)"),"ALT_DENUM_UOM4")</f>
        <v>ALT_DENUM_UOM4</v>
      </c>
      <c r="I5748" s="136"/>
    </row>
    <row r="5749" ht="15.75" customHeight="1">
      <c r="A5749" s="59"/>
      <c r="B5749" s="63">
        <f t="shared" si="1"/>
        <v>17</v>
      </c>
      <c r="C5749" s="156" t="s">
        <v>232</v>
      </c>
      <c r="D5749" s="147" t="s">
        <v>74</v>
      </c>
      <c r="E5749" s="135">
        <f t="shared" si="59"/>
        <v>22</v>
      </c>
      <c r="F5749" s="152" t="s">
        <v>3815</v>
      </c>
      <c r="G5749" s="63" t="str">
        <f>VLOOKUP(C5749, 'Class Def. - General Data'!$C$20:$C$1000,1,false)</f>
        <v>ZRM1_Flour_Starch</v>
      </c>
      <c r="H5749" s="63" t="str">
        <f>IFERROR(__xludf.DUMMYFUNCTION("VLOOKUP(F5749, IMPORTRANGE(""https://docs.google.com/spreadsheets/d/1Lhp9OU0JdFf_VYSMzH5lBcEaU4o8teT1piV-SNzShjg/edit?gid=554141278#gid=554141278"", ""'Char Def. - Attributes'!C20:C2242""), 1,false)"),"ALT_NUM_UOM4")</f>
        <v>ALT_NUM_UOM4</v>
      </c>
      <c r="I5749" s="136"/>
    </row>
    <row r="5750" ht="15.75" customHeight="1">
      <c r="B5750" s="63">
        <f t="shared" si="1"/>
        <v>17</v>
      </c>
      <c r="C5750" s="156" t="s">
        <v>232</v>
      </c>
      <c r="D5750" s="147" t="s">
        <v>74</v>
      </c>
      <c r="E5750" s="135">
        <f t="shared" si="59"/>
        <v>23</v>
      </c>
      <c r="F5750" s="152" t="s">
        <v>3873</v>
      </c>
      <c r="G5750" s="63" t="str">
        <f>VLOOKUP(C5750, 'Class Def. - General Data'!$C$20:$C$1000,1,false)</f>
        <v>ZRM1_Flour_Starch</v>
      </c>
      <c r="H5750" s="63" t="str">
        <f>IFERROR(__xludf.DUMMYFUNCTION("VLOOKUP(F5750, IMPORTRANGE(""https://docs.google.com/spreadsheets/d/1Lhp9OU0JdFf_VYSMzH5lBcEaU4o8teT1piV-SNzShjg/edit?gid=554141278#gid=554141278"", ""'Char Def. - Attributes'!C20:C2242""), 1,false)"),"ALT_UOM5_RMPM")</f>
        <v>ALT_UOM5_RMPM</v>
      </c>
      <c r="I5750" s="136"/>
    </row>
    <row r="5751" ht="15.75" customHeight="1">
      <c r="B5751" s="63">
        <f t="shared" si="1"/>
        <v>17</v>
      </c>
      <c r="C5751" s="156" t="s">
        <v>232</v>
      </c>
      <c r="D5751" s="147" t="s">
        <v>74</v>
      </c>
      <c r="E5751" s="135">
        <f t="shared" si="59"/>
        <v>24</v>
      </c>
      <c r="F5751" s="152" t="s">
        <v>3817</v>
      </c>
      <c r="G5751" s="63" t="str">
        <f>VLOOKUP(C5751, 'Class Def. - General Data'!$C$20:$C$1000,1,false)</f>
        <v>ZRM1_Flour_Starch</v>
      </c>
      <c r="H5751" s="63" t="str">
        <f>IFERROR(__xludf.DUMMYFUNCTION("VLOOKUP(F5751, IMPORTRANGE(""https://docs.google.com/spreadsheets/d/1Lhp9OU0JdFf_VYSMzH5lBcEaU4o8teT1piV-SNzShjg/edit?gid=554141278#gid=554141278"", ""'Char Def. - Attributes'!C20:C2242""), 1,false)"),"ALT_DENUM_UOM5")</f>
        <v>ALT_DENUM_UOM5</v>
      </c>
      <c r="I5751" s="136"/>
    </row>
    <row r="5752" ht="15.75" customHeight="1">
      <c r="A5752" s="59"/>
      <c r="B5752" s="63">
        <f t="shared" si="1"/>
        <v>17</v>
      </c>
      <c r="C5752" s="156" t="s">
        <v>232</v>
      </c>
      <c r="D5752" s="147" t="s">
        <v>74</v>
      </c>
      <c r="E5752" s="135">
        <f t="shared" si="59"/>
        <v>25</v>
      </c>
      <c r="F5752" s="152" t="s">
        <v>3818</v>
      </c>
      <c r="G5752" s="63" t="str">
        <f>VLOOKUP(C5752, 'Class Def. - General Data'!$C$20:$C$1000,1,false)</f>
        <v>ZRM1_Flour_Starch</v>
      </c>
      <c r="H5752" s="63" t="str">
        <f>IFERROR(__xludf.DUMMYFUNCTION("VLOOKUP(F5752, IMPORTRANGE(""https://docs.google.com/spreadsheets/d/1Lhp9OU0JdFf_VYSMzH5lBcEaU4o8teT1piV-SNzShjg/edit?gid=554141278#gid=554141278"", ""'Char Def. - Attributes'!C20:C2242""), 1,false)"),"ALT_NUM_UOM5")</f>
        <v>ALT_NUM_UOM5</v>
      </c>
      <c r="I5752" s="136"/>
    </row>
    <row r="5753" ht="15.75" customHeight="1">
      <c r="A5753" s="158"/>
      <c r="B5753" s="63">
        <f t="shared" si="1"/>
        <v>17</v>
      </c>
      <c r="C5753" s="156" t="s">
        <v>232</v>
      </c>
      <c r="D5753" s="147" t="s">
        <v>74</v>
      </c>
      <c r="E5753" s="135">
        <f t="shared" si="59"/>
        <v>26</v>
      </c>
      <c r="F5753" s="152" t="s">
        <v>3874</v>
      </c>
      <c r="G5753" s="63" t="str">
        <f>VLOOKUP(C5753, 'Class Def. - General Data'!$C$20:$C$1000,1,false)</f>
        <v>ZRM1_Flour_Starch</v>
      </c>
      <c r="H5753" s="63" t="str">
        <f>IFERROR(__xludf.DUMMYFUNCTION("VLOOKUP(F5753, IMPORTRANGE(""https://docs.google.com/spreadsheets/d/1Lhp9OU0JdFf_VYSMzH5lBcEaU4o8teT1piV-SNzShjg/edit?gid=554141278#gid=554141278"", ""'Char Def. - Attributes'!C20:C2242""), 1,false)"),"VALUATION_CATEGORY")</f>
        <v>VALUATION_CATEGORY</v>
      </c>
      <c r="I5753" s="136"/>
    </row>
    <row r="5754" ht="15.75" customHeight="1">
      <c r="A5754" s="158"/>
      <c r="B5754" s="63">
        <f t="shared" si="1"/>
        <v>17</v>
      </c>
      <c r="C5754" s="156" t="s">
        <v>232</v>
      </c>
      <c r="D5754" s="147" t="s">
        <v>74</v>
      </c>
      <c r="E5754" s="135">
        <f t="shared" si="59"/>
        <v>27</v>
      </c>
      <c r="F5754" s="152" t="s">
        <v>3800</v>
      </c>
      <c r="G5754" s="63" t="str">
        <f>VLOOKUP(C5754, 'Class Def. - General Data'!$C$20:$C$1000,1,false)</f>
        <v>ZRM1_Flour_Starch</v>
      </c>
      <c r="H5754" s="63" t="str">
        <f>IFERROR(__xludf.DUMMYFUNCTION("VLOOKUP(F5754, IMPORTRANGE(""https://docs.google.com/spreadsheets/d/1Lhp9OU0JdFf_VYSMzH5lBcEaU4o8teT1piV-SNzShjg/edit?gid=554141278#gid=554141278"", ""'Char Def. - Attributes'!C20:C2242""), 1,false)"),"ORDER_UNIT_DIFF_FROM_BASIC_UOM")</f>
        <v>ORDER_UNIT_DIFF_FROM_BASIC_UOM</v>
      </c>
      <c r="I5754" s="136"/>
    </row>
    <row r="5755" ht="15.75" customHeight="1">
      <c r="A5755" s="59"/>
      <c r="B5755" s="63">
        <f t="shared" si="1"/>
        <v>17</v>
      </c>
      <c r="C5755" s="156" t="s">
        <v>232</v>
      </c>
      <c r="D5755" s="147" t="s">
        <v>74</v>
      </c>
      <c r="E5755" s="135">
        <f t="shared" si="59"/>
        <v>28</v>
      </c>
      <c r="F5755" s="152" t="s">
        <v>3875</v>
      </c>
      <c r="G5755" s="63" t="str">
        <f>VLOOKUP(C5755, 'Class Def. - General Data'!$C$20:$C$1000,1,false)</f>
        <v>ZRM1_Flour_Starch</v>
      </c>
      <c r="H5755" s="63" t="str">
        <f>IFERROR(__xludf.DUMMYFUNCTION("VLOOKUP(F5755, IMPORTRANGE(""https://docs.google.com/spreadsheets/d/1Lhp9OU0JdFf_VYSMzH5lBcEaU4o8teT1piV-SNzShjg/edit?gid=554141278#gid=554141278"", ""'Char Def. - Attributes'!C20:C2242""), 1,false)"),"ORDER_UNIT_RMPM")</f>
        <v>ORDER_UNIT_RMPM</v>
      </c>
      <c r="I5755" s="136"/>
    </row>
    <row r="5756" ht="15.75" customHeight="1">
      <c r="B5756" s="63">
        <f t="shared" si="1"/>
        <v>17</v>
      </c>
      <c r="C5756" s="156" t="s">
        <v>232</v>
      </c>
      <c r="D5756" s="147" t="s">
        <v>74</v>
      </c>
      <c r="E5756" s="135">
        <f t="shared" si="59"/>
        <v>29</v>
      </c>
      <c r="F5756" s="151" t="s">
        <v>3602</v>
      </c>
      <c r="G5756" s="63" t="str">
        <f>VLOOKUP(C5756, 'Class Def. - General Data'!$C$20:$C$1000,1,false)</f>
        <v>ZRM1_Flour_Starch</v>
      </c>
      <c r="H5756" s="63" t="str">
        <f>IFERROR(__xludf.DUMMYFUNCTION("VLOOKUP(F5756, IMPORTRANGE(""https://docs.google.com/spreadsheets/d/1Lhp9OU0JdFf_VYSMzH5lBcEaU4o8teT1piV-SNzShjg/edit?gid=554141278#gid=554141278"", ""'Char Def. - Attributes'!C20:C2242""), 1,false)"),"NET_WEIGHT")</f>
        <v>NET_WEIGHT</v>
      </c>
      <c r="I5756" s="136"/>
    </row>
    <row r="5757" ht="15.75" customHeight="1">
      <c r="B5757" s="63">
        <f t="shared" si="1"/>
        <v>17</v>
      </c>
      <c r="C5757" s="156" t="s">
        <v>232</v>
      </c>
      <c r="D5757" s="147" t="s">
        <v>74</v>
      </c>
      <c r="E5757" s="135">
        <f t="shared" si="59"/>
        <v>30</v>
      </c>
      <c r="F5757" s="151" t="s">
        <v>3601</v>
      </c>
      <c r="G5757" s="63" t="str">
        <f>VLOOKUP(C5757, 'Class Def. - General Data'!$C$20:$C$1000,1,false)</f>
        <v>ZRM1_Flour_Starch</v>
      </c>
      <c r="H5757" s="63" t="str">
        <f>IFERROR(__xludf.DUMMYFUNCTION("VLOOKUP(F5757, IMPORTRANGE(""https://docs.google.com/spreadsheets/d/1Lhp9OU0JdFf_VYSMzH5lBcEaU4o8teT1piV-SNzShjg/edit?gid=554141278#gid=554141278"", ""'Char Def. - Attributes'!C20:C2242""), 1,false)"),"GROSS_WEIGHT")</f>
        <v>GROSS_WEIGHT</v>
      </c>
      <c r="I5757" s="136"/>
    </row>
    <row r="5758" ht="15.75" customHeight="1">
      <c r="B5758" s="63">
        <f t="shared" si="1"/>
        <v>17</v>
      </c>
      <c r="C5758" s="156" t="s">
        <v>232</v>
      </c>
      <c r="D5758" s="147" t="s">
        <v>74</v>
      </c>
      <c r="E5758" s="135">
        <f t="shared" si="59"/>
        <v>31</v>
      </c>
      <c r="F5758" s="152" t="s">
        <v>3996</v>
      </c>
      <c r="G5758" s="63" t="str">
        <f>VLOOKUP(C5758, 'Class Def. - General Data'!$C$20:$C$1000,1,false)</f>
        <v>ZRM1_Flour_Starch</v>
      </c>
      <c r="H5758" s="63" t="str">
        <f>IFERROR(__xludf.DUMMYFUNCTION("VLOOKUP(F5758, IMPORTRANGE(""https://docs.google.com/spreadsheets/d/1Lhp9OU0JdFf_VYSMzH5lBcEaU4o8teT1piV-SNzShjg/edit?gid=554141278#gid=554141278"", ""'Char Def. - Attributes'!C20:C2242""), 1,false)"),"WEIGHT_UNIT")</f>
        <v>WEIGHT_UNIT</v>
      </c>
      <c r="I5758" s="136"/>
    </row>
    <row r="5759" ht="15.75" customHeight="1">
      <c r="A5759" s="59"/>
      <c r="B5759" s="63">
        <f t="shared" si="1"/>
        <v>17</v>
      </c>
      <c r="C5759" s="156" t="s">
        <v>232</v>
      </c>
      <c r="D5759" s="147" t="s">
        <v>74</v>
      </c>
      <c r="E5759" s="135">
        <f t="shared" si="59"/>
        <v>32</v>
      </c>
      <c r="F5759" s="151" t="s">
        <v>3877</v>
      </c>
      <c r="G5759" s="63" t="str">
        <f>VLOOKUP(C5759, 'Class Def. - General Data'!$C$20:$C$1000,1,false)</f>
        <v>ZRM1_Flour_Starch</v>
      </c>
      <c r="H5759" s="63" t="str">
        <f>IFERROR(__xludf.DUMMYFUNCTION("VLOOKUP(F5759, IMPORTRANGE(""https://docs.google.com/spreadsheets/d/1Lhp9OU0JdFf_VYSMzH5lBcEaU4o8teT1piV-SNzShjg/edit?gid=554141278#gid=554141278"", ""'Char Def. - Attributes'!C20:C2242""), 1,false)"),"VOLUME_OPT")</f>
        <v>VOLUME_OPT</v>
      </c>
      <c r="I5759" s="136"/>
    </row>
    <row r="5760" ht="15.75" customHeight="1">
      <c r="A5760" s="59"/>
      <c r="B5760" s="63">
        <f t="shared" si="1"/>
        <v>17</v>
      </c>
      <c r="C5760" s="156" t="s">
        <v>232</v>
      </c>
      <c r="D5760" s="147" t="s">
        <v>74</v>
      </c>
      <c r="E5760" s="135">
        <f t="shared" si="59"/>
        <v>33</v>
      </c>
      <c r="F5760" s="152" t="s">
        <v>3878</v>
      </c>
      <c r="G5760" s="63" t="str">
        <f>VLOOKUP(C5760, 'Class Def. - General Data'!$C$20:$C$1000,1,false)</f>
        <v>ZRM1_Flour_Starch</v>
      </c>
      <c r="H5760" s="63" t="str">
        <f>IFERROR(__xludf.DUMMYFUNCTION("VLOOKUP(F5760, IMPORTRANGE(""https://docs.google.com/spreadsheets/d/1Lhp9OU0JdFf_VYSMzH5lBcEaU4o8teT1piV-SNzShjg/edit?gid=554141278#gid=554141278"", ""'Char Def. - Attributes'!C20:C2242""), 1,false)"),"VOLUME_UNIT")</f>
        <v>VOLUME_UNIT</v>
      </c>
      <c r="I5760" s="136"/>
    </row>
    <row r="5761" ht="15.75" customHeight="1">
      <c r="A5761" s="59"/>
      <c r="B5761" s="63">
        <f t="shared" si="1"/>
        <v>17</v>
      </c>
      <c r="C5761" s="156" t="s">
        <v>232</v>
      </c>
      <c r="D5761" s="147" t="s">
        <v>74</v>
      </c>
      <c r="E5761" s="135">
        <f t="shared" si="59"/>
        <v>34</v>
      </c>
      <c r="F5761" s="151" t="s">
        <v>3587</v>
      </c>
      <c r="G5761" s="63" t="str">
        <f>VLOOKUP(C5761, 'Class Def. - General Data'!$C$20:$C$1000,1,false)</f>
        <v>ZRM1_Flour_Starch</v>
      </c>
      <c r="H5761" s="63" t="str">
        <f>IFERROR(__xludf.DUMMYFUNCTION("VLOOKUP(F5761, IMPORTRANGE(""https://docs.google.com/spreadsheets/d/1Lhp9OU0JdFf_VYSMzH5lBcEaU4o8teT1piV-SNzShjg/edit?gid=554141278#gid=554141278"", ""'Char Def. - Attributes'!C20:C2242""), 1,false)"),"PLANT_BUY")</f>
        <v>PLANT_BUY</v>
      </c>
      <c r="I5761" s="136"/>
    </row>
    <row r="5762" ht="15.75" customHeight="1">
      <c r="A5762" s="59"/>
      <c r="B5762" s="63">
        <f t="shared" si="1"/>
        <v>17</v>
      </c>
      <c r="C5762" s="156" t="s">
        <v>232</v>
      </c>
      <c r="D5762" s="147" t="s">
        <v>74</v>
      </c>
      <c r="E5762" s="135">
        <f t="shared" si="59"/>
        <v>35</v>
      </c>
      <c r="F5762" s="152" t="s">
        <v>3997</v>
      </c>
      <c r="G5762" s="63" t="str">
        <f>VLOOKUP(C5762, 'Class Def. - General Data'!$C$20:$C$1000,1,false)</f>
        <v>ZRM1_Flour_Starch</v>
      </c>
      <c r="H5762" s="63" t="str">
        <f>IFERROR(__xludf.DUMMYFUNCTION("VLOOKUP(F5762, IMPORTRANGE(""https://docs.google.com/spreadsheets/d/1Lhp9OU0JdFf_VYSMzH5lBcEaU4o8teT1piV-SNzShjg/edit?gid=554141278#gid=554141278"", ""'Char Def. - Attributes'!C20:C2242""), 1,false)"),"OLD_MAT_NO_RMPM_OPT")</f>
        <v>OLD_MAT_NO_RMPM_OPT</v>
      </c>
      <c r="I5762" s="136"/>
    </row>
    <row r="5763" ht="15.75" customHeight="1">
      <c r="A5763" s="59"/>
      <c r="B5763" s="63">
        <f t="shared" si="1"/>
        <v>17</v>
      </c>
      <c r="C5763" s="156" t="s">
        <v>232</v>
      </c>
      <c r="D5763" s="147" t="s">
        <v>74</v>
      </c>
      <c r="E5763" s="135">
        <f t="shared" si="59"/>
        <v>36</v>
      </c>
      <c r="F5763" s="148" t="s">
        <v>3998</v>
      </c>
      <c r="G5763" s="63" t="str">
        <f>VLOOKUP(C5763, 'Class Def. - General Data'!$C$20:$C$1000,1,false)</f>
        <v>ZRM1_Flour_Starch</v>
      </c>
      <c r="H5763" s="63" t="str">
        <f>IFERROR(__xludf.DUMMYFUNCTION("VLOOKUP(F5763, IMPORTRANGE(""https://docs.google.com/spreadsheets/d/1Lhp9OU0JdFf_VYSMzH5lBcEaU4o8teT1piV-SNzShjg/edit?gid=554141278#gid=554141278"", ""'Char Def. - Attributes'!C20:C2242""), 1,false)"),"MIN_STD_WEIGHT")</f>
        <v>MIN_STD_WEIGHT</v>
      </c>
      <c r="I5763" s="136"/>
    </row>
    <row r="5764" ht="15.75" customHeight="1">
      <c r="A5764" s="59"/>
      <c r="B5764" s="63">
        <f t="shared" si="1"/>
        <v>17</v>
      </c>
      <c r="C5764" s="156" t="s">
        <v>232</v>
      </c>
      <c r="D5764" s="147" t="s">
        <v>74</v>
      </c>
      <c r="E5764" s="135">
        <f t="shared" si="59"/>
        <v>37</v>
      </c>
      <c r="F5764" s="148" t="s">
        <v>3999</v>
      </c>
      <c r="G5764" s="63" t="str">
        <f>VLOOKUP(C5764, 'Class Def. - General Data'!$C$20:$C$1000,1,false)</f>
        <v>ZRM1_Flour_Starch</v>
      </c>
      <c r="H5764" s="63" t="str">
        <f>IFERROR(__xludf.DUMMYFUNCTION("VLOOKUP(F5764, IMPORTRANGE(""https://docs.google.com/spreadsheets/d/1Lhp9OU0JdFf_VYSMzH5lBcEaU4o8teT1piV-SNzShjg/edit?gid=554141278#gid=554141278"", ""'Char Def. - Attributes'!C20:C2242""), 1,false)"),"MIN_STD_WEIGHT_UOM")</f>
        <v>MIN_STD_WEIGHT_UOM</v>
      </c>
      <c r="I5764" s="136"/>
    </row>
    <row r="5765" ht="15.75" customHeight="1">
      <c r="A5765" s="59"/>
      <c r="B5765" s="63">
        <f t="shared" si="1"/>
        <v>14</v>
      </c>
      <c r="C5765" s="156" t="s">
        <v>225</v>
      </c>
      <c r="D5765" s="147" t="s">
        <v>74</v>
      </c>
      <c r="E5765" s="135">
        <f t="shared" si="59"/>
        <v>1</v>
      </c>
      <c r="F5765" s="152" t="s">
        <v>4010</v>
      </c>
      <c r="G5765" s="63" t="str">
        <f>VLOOKUP(C5765, 'Class Def. - General Data'!$C$20:$C$1000,1,false)</f>
        <v>ZRM1_Food_Mask</v>
      </c>
      <c r="H5765" s="63" t="str">
        <f>IFERROR(__xludf.DUMMYFUNCTION("VLOOKUP(F5765, IMPORTRANGE(""https://docs.google.com/spreadsheets/d/1Lhp9OU0JdFf_VYSMzH5lBcEaU4o8teT1piV-SNzShjg/edit?gid=554141278#gid=554141278"", ""'Char Def. - Attributes'!C20:C2242""), 1,false)"),"MATERIAL_CODE_FOODDROPDOWN")</f>
        <v>MATERIAL_CODE_FOODDROPDOWN</v>
      </c>
      <c r="I5765" s="136"/>
    </row>
    <row r="5766" ht="15.75" customHeight="1">
      <c r="A5766" s="59"/>
      <c r="B5766" s="63">
        <f t="shared" si="1"/>
        <v>14</v>
      </c>
      <c r="C5766" s="156" t="s">
        <v>225</v>
      </c>
      <c r="D5766" s="147" t="s">
        <v>74</v>
      </c>
      <c r="E5766" s="135">
        <f t="shared" si="59"/>
        <v>2</v>
      </c>
      <c r="F5766" s="152" t="s">
        <v>4011</v>
      </c>
      <c r="G5766" s="63" t="str">
        <f>VLOOKUP(C5766, 'Class Def. - General Data'!$C$20:$C$1000,1,false)</f>
        <v>ZRM1_Food_Mask</v>
      </c>
      <c r="H5766" s="63" t="str">
        <f>IFERROR(__xludf.DUMMYFUNCTION("VLOOKUP(F5766, IMPORTRANGE(""https://docs.google.com/spreadsheets/d/1Lhp9OU0JdFf_VYSMzH5lBcEaU4o8teT1piV-SNzShjg/edit?gid=554141278#gid=554141278"", ""'Char Def. - Attributes'!C20:C2242""), 1,false)"),"SERIAL_NO_FOODMASK")</f>
        <v>SERIAL_NO_FOODMASK</v>
      </c>
      <c r="I5766" s="136"/>
    </row>
    <row r="5767" ht="15.75" customHeight="1">
      <c r="A5767" s="59"/>
      <c r="B5767" s="63">
        <f t="shared" si="1"/>
        <v>14</v>
      </c>
      <c r="C5767" s="156" t="s">
        <v>225</v>
      </c>
      <c r="D5767" s="147" t="s">
        <v>74</v>
      </c>
      <c r="E5767" s="135">
        <f t="shared" si="59"/>
        <v>3</v>
      </c>
      <c r="F5767" s="152" t="s">
        <v>4012</v>
      </c>
      <c r="G5767" s="63" t="str">
        <f>VLOOKUP(C5767, 'Class Def. - General Data'!$C$20:$C$1000,1,false)</f>
        <v>ZRM1_Food_Mask</v>
      </c>
      <c r="H5767" s="63" t="str">
        <f>IFERROR(__xludf.DUMMYFUNCTION("VLOOKUP(F5767, IMPORTRANGE(""https://docs.google.com/spreadsheets/d/1Lhp9OU0JdFf_VYSMzH5lBcEaU4o8teT1piV-SNzShjg/edit?gid=554141278#gid=554141278"", ""'Char Def. - Attributes'!C20:C2242""), 1,false)"),"ADDITIONAL_INFO_FOOD_MASK")</f>
        <v>ADDITIONAL_INFO_FOOD_MASK</v>
      </c>
      <c r="I5767" s="136"/>
    </row>
    <row r="5768" ht="15.75" customHeight="1">
      <c r="A5768" s="59"/>
      <c r="B5768" s="63">
        <f t="shared" si="1"/>
        <v>14</v>
      </c>
      <c r="C5768" s="156" t="s">
        <v>225</v>
      </c>
      <c r="D5768" s="147" t="s">
        <v>74</v>
      </c>
      <c r="E5768" s="135">
        <f t="shared" si="59"/>
        <v>4</v>
      </c>
      <c r="F5768" s="152" t="s">
        <v>4002</v>
      </c>
      <c r="G5768" s="63" t="str">
        <f>VLOOKUP(C5768, 'Class Def. - General Data'!$C$20:$C$1000,1,false)</f>
        <v>ZRM1_Food_Mask</v>
      </c>
      <c r="H5768" s="63" t="str">
        <f>IFERROR(__xludf.DUMMYFUNCTION("VLOOKUP(F5768, IMPORTRANGE(""https://docs.google.com/spreadsheets/d/1Lhp9OU0JdFf_VYSMzH5lBcEaU4o8teT1piV-SNzShjg/edit?gid=554141278#gid=554141278"", ""'Char Def. - Attributes'!C20:C2242""), 1,false)"),"COLOR_GENERAL")</f>
        <v>COLOR_GENERAL</v>
      </c>
      <c r="I5768" s="136"/>
    </row>
    <row r="5769" ht="15.75" customHeight="1">
      <c r="A5769" s="59"/>
      <c r="B5769" s="63">
        <f t="shared" si="1"/>
        <v>14</v>
      </c>
      <c r="C5769" s="156" t="s">
        <v>225</v>
      </c>
      <c r="D5769" s="147" t="s">
        <v>74</v>
      </c>
      <c r="E5769" s="135">
        <f t="shared" si="59"/>
        <v>5</v>
      </c>
      <c r="F5769" s="152" t="s">
        <v>4003</v>
      </c>
      <c r="G5769" s="63" t="str">
        <f>VLOOKUP(C5769, 'Class Def. - General Data'!$C$20:$C$1000,1,false)</f>
        <v>ZRM1_Food_Mask</v>
      </c>
      <c r="H5769" s="63" t="str">
        <f>IFERROR(__xludf.DUMMYFUNCTION("VLOOKUP(F5769, IMPORTRANGE(""https://docs.google.com/spreadsheets/d/1Lhp9OU0JdFf_VYSMzH5lBcEaU4o8teT1piV-SNzShjg/edit?gid=554141278#gid=554141278"", ""'Char Def. - Attributes'!C20:C2242""), 1,false)"),"SOURCE_SUPPLY")</f>
        <v>SOURCE_SUPPLY</v>
      </c>
      <c r="I5769" s="136"/>
    </row>
    <row r="5770" ht="15.75" customHeight="1">
      <c r="A5770" s="59"/>
      <c r="B5770" s="63">
        <f t="shared" si="1"/>
        <v>14</v>
      </c>
      <c r="C5770" s="156" t="s">
        <v>225</v>
      </c>
      <c r="D5770" s="147" t="s">
        <v>74</v>
      </c>
      <c r="E5770" s="135">
        <f t="shared" si="59"/>
        <v>6</v>
      </c>
      <c r="F5770" s="152" t="s">
        <v>4004</v>
      </c>
      <c r="G5770" s="63" t="str">
        <f>VLOOKUP(C5770, 'Class Def. - General Data'!$C$20:$C$1000,1,false)</f>
        <v>ZRM1_Food_Mask</v>
      </c>
      <c r="H5770" s="63" t="str">
        <f>IFERROR(__xludf.DUMMYFUNCTION("VLOOKUP(F5770, IMPORTRANGE(""https://docs.google.com/spreadsheets/d/1Lhp9OU0JdFf_VYSMzH5lBcEaU4o8teT1piV-SNzShjg/edit?gid=554141278#gid=554141278"", ""'Char Def. - Attributes'!C20:C2242""), 1,false)"),"BASE_MATERIAL")</f>
        <v>BASE_MATERIAL</v>
      </c>
      <c r="I5770" s="136"/>
    </row>
    <row r="5771" ht="15.75" customHeight="1">
      <c r="A5771" s="59"/>
      <c r="B5771" s="63">
        <f t="shared" si="1"/>
        <v>14</v>
      </c>
      <c r="C5771" s="156" t="s">
        <v>225</v>
      </c>
      <c r="D5771" s="147" t="s">
        <v>74</v>
      </c>
      <c r="E5771" s="135">
        <f t="shared" si="59"/>
        <v>7</v>
      </c>
      <c r="F5771" s="152" t="s">
        <v>4009</v>
      </c>
      <c r="G5771" s="63" t="str">
        <f>VLOOKUP(C5771, 'Class Def. - General Data'!$C$20:$C$1000,1,false)</f>
        <v>ZRM1_Food_Mask</v>
      </c>
      <c r="H5771" s="63" t="str">
        <f>IFERROR(__xludf.DUMMYFUNCTION("VLOOKUP(F5771, IMPORTRANGE(""https://docs.google.com/spreadsheets/d/1Lhp9OU0JdFf_VYSMzH5lBcEaU4o8teT1piV-SNzShjg/edit?gid=554141278#gid=554141278"", ""'Char Def. - Attributes'!C20:C2242""), 1,false)"),"NATURE_ORIGIN_FOOD")</f>
        <v>NATURE_ORIGIN_FOOD</v>
      </c>
      <c r="I5771" s="136"/>
    </row>
    <row r="5772" ht="15.75" customHeight="1">
      <c r="A5772" s="59"/>
      <c r="B5772" s="63">
        <f t="shared" si="1"/>
        <v>14</v>
      </c>
      <c r="C5772" s="156" t="s">
        <v>225</v>
      </c>
      <c r="D5772" s="147" t="s">
        <v>74</v>
      </c>
      <c r="E5772" s="135">
        <f t="shared" si="59"/>
        <v>8</v>
      </c>
      <c r="F5772" s="152" t="s">
        <v>4006</v>
      </c>
      <c r="G5772" s="63" t="str">
        <f>VLOOKUP(C5772, 'Class Def. - General Data'!$C$20:$C$1000,1,false)</f>
        <v>ZRM1_Food_Mask</v>
      </c>
      <c r="H5772" s="63" t="str">
        <f>IFERROR(__xludf.DUMMYFUNCTION("VLOOKUP(F5772, IMPORTRANGE(""https://docs.google.com/spreadsheets/d/1Lhp9OU0JdFf_VYSMzH5lBcEaU4o8teT1piV-SNzShjg/edit?gid=554141278#gid=554141278"", ""'Char Def. - Attributes'!C20:C2242""), 1,false)"),"CATEGORY_ITEM")</f>
        <v>CATEGORY_ITEM</v>
      </c>
      <c r="I5772" s="136"/>
    </row>
    <row r="5773" ht="15.75" customHeight="1">
      <c r="A5773" s="59"/>
      <c r="B5773" s="63">
        <f t="shared" si="1"/>
        <v>14</v>
      </c>
      <c r="C5773" s="156" t="s">
        <v>225</v>
      </c>
      <c r="D5773" s="147" t="s">
        <v>74</v>
      </c>
      <c r="E5773" s="135">
        <f t="shared" si="59"/>
        <v>9</v>
      </c>
      <c r="F5773" s="152" t="s">
        <v>4007</v>
      </c>
      <c r="G5773" s="63" t="str">
        <f>VLOOKUP(C5773, 'Class Def. - General Data'!$C$20:$C$1000,1,false)</f>
        <v>ZRM1_Food_Mask</v>
      </c>
      <c r="H5773" s="63" t="str">
        <f>IFERROR(__xludf.DUMMYFUNCTION("VLOOKUP(F5773, IMPORTRANGE(""https://docs.google.com/spreadsheets/d/1Lhp9OU0JdFf_VYSMzH5lBcEaU4o8teT1piV-SNzShjg/edit?gid=554141278#gid=554141278"", ""'Char Def. - Attributes'!C20:C2242""), 1,false)"),"FUNCTION1")</f>
        <v>FUNCTION1</v>
      </c>
      <c r="I5773" s="136"/>
    </row>
    <row r="5774" ht="15.75" customHeight="1">
      <c r="A5774" s="59"/>
      <c r="B5774" s="63">
        <f t="shared" si="1"/>
        <v>14</v>
      </c>
      <c r="C5774" s="156" t="s">
        <v>225</v>
      </c>
      <c r="D5774" s="147" t="s">
        <v>74</v>
      </c>
      <c r="E5774" s="135">
        <f t="shared" si="59"/>
        <v>10</v>
      </c>
      <c r="F5774" s="152" t="s">
        <v>4008</v>
      </c>
      <c r="G5774" s="63" t="str">
        <f>VLOOKUP(C5774, 'Class Def. - General Data'!$C$20:$C$1000,1,false)</f>
        <v>ZRM1_Food_Mask</v>
      </c>
      <c r="H5774" s="63" t="str">
        <f>IFERROR(__xludf.DUMMYFUNCTION("VLOOKUP(F5774, IMPORTRANGE(""https://docs.google.com/spreadsheets/d/1Lhp9OU0JdFf_VYSMzH5lBcEaU4o8teT1piV-SNzShjg/edit?gid=554141278#gid=554141278"", ""'Char Def. - Attributes'!C20:C2242""), 1,false)"),"PREFERENSI_KURS")</f>
        <v>PREFERENSI_KURS</v>
      </c>
      <c r="I5774" s="136"/>
    </row>
    <row r="5775" ht="15.75" customHeight="1">
      <c r="A5775" s="59"/>
      <c r="B5775" s="63">
        <f t="shared" si="1"/>
        <v>14</v>
      </c>
      <c r="C5775" s="156" t="s">
        <v>225</v>
      </c>
      <c r="D5775" s="147" t="s">
        <v>74</v>
      </c>
      <c r="E5775" s="135">
        <f t="shared" si="59"/>
        <v>11</v>
      </c>
      <c r="F5775" s="151" t="s">
        <v>3868</v>
      </c>
      <c r="G5775" s="63" t="str">
        <f>VLOOKUP(C5775, 'Class Def. - General Data'!$C$20:$C$1000,1,false)</f>
        <v>ZRM1_Food_Mask</v>
      </c>
      <c r="H5775" s="63" t="str">
        <f>IFERROR(__xludf.DUMMYFUNCTION("VLOOKUP(F5775, IMPORTRANGE(""https://docs.google.com/spreadsheets/d/1Lhp9OU0JdFf_VYSMzH5lBcEaU4o8teT1piV-SNzShjg/edit?gid=554141278#gid=554141278"", ""'Char Def. - Attributes'!C20:C2242""), 1,false)"),"BASIC_UOM_RMPM")</f>
        <v>BASIC_UOM_RMPM</v>
      </c>
      <c r="I5775" s="136"/>
    </row>
    <row r="5776" ht="15.75" customHeight="1">
      <c r="B5776" s="63">
        <f t="shared" si="1"/>
        <v>14</v>
      </c>
      <c r="C5776" s="156" t="s">
        <v>225</v>
      </c>
      <c r="D5776" s="147" t="s">
        <v>74</v>
      </c>
      <c r="E5776" s="135">
        <f t="shared" si="59"/>
        <v>12</v>
      </c>
      <c r="F5776" s="152" t="s">
        <v>3869</v>
      </c>
      <c r="G5776" s="63" t="str">
        <f>VLOOKUP(C5776, 'Class Def. - General Data'!$C$20:$C$1000,1,false)</f>
        <v>ZRM1_Food_Mask</v>
      </c>
      <c r="H5776" s="63" t="str">
        <f>IFERROR(__xludf.DUMMYFUNCTION("VLOOKUP(F5776, IMPORTRANGE(""https://docs.google.com/spreadsheets/d/1Lhp9OU0JdFf_VYSMzH5lBcEaU4o8teT1piV-SNzShjg/edit?gid=554141278#gid=554141278"", ""'Char Def. - Attributes'!C20:C2242""), 1,false)"),"ALT_UOM1_RMPM")</f>
        <v>ALT_UOM1_RMPM</v>
      </c>
      <c r="I5776" s="136"/>
    </row>
    <row r="5777" ht="15.75" customHeight="1">
      <c r="B5777" s="63">
        <f t="shared" si="1"/>
        <v>14</v>
      </c>
      <c r="C5777" s="156" t="s">
        <v>225</v>
      </c>
      <c r="D5777" s="147" t="s">
        <v>74</v>
      </c>
      <c r="E5777" s="135">
        <f t="shared" si="59"/>
        <v>13</v>
      </c>
      <c r="F5777" s="152" t="s">
        <v>3805</v>
      </c>
      <c r="G5777" s="63" t="str">
        <f>VLOOKUP(C5777, 'Class Def. - General Data'!$C$20:$C$1000,1,false)</f>
        <v>ZRM1_Food_Mask</v>
      </c>
      <c r="H5777" s="63" t="str">
        <f>IFERROR(__xludf.DUMMYFUNCTION("VLOOKUP(F5777, IMPORTRANGE(""https://docs.google.com/spreadsheets/d/1Lhp9OU0JdFf_VYSMzH5lBcEaU4o8teT1piV-SNzShjg/edit?gid=554141278#gid=554141278"", ""'Char Def. - Attributes'!C20:C2242""), 1,false)"),"ALT_DENUM_UOM1")</f>
        <v>ALT_DENUM_UOM1</v>
      </c>
      <c r="I5777" s="136"/>
    </row>
    <row r="5778" ht="15.75" customHeight="1">
      <c r="A5778" s="59"/>
      <c r="B5778" s="63">
        <f t="shared" si="1"/>
        <v>14</v>
      </c>
      <c r="C5778" s="156" t="s">
        <v>225</v>
      </c>
      <c r="D5778" s="147" t="s">
        <v>74</v>
      </c>
      <c r="E5778" s="135">
        <f t="shared" si="59"/>
        <v>14</v>
      </c>
      <c r="F5778" s="152" t="s">
        <v>3806</v>
      </c>
      <c r="G5778" s="63" t="str">
        <f>VLOOKUP(C5778, 'Class Def. - General Data'!$C$20:$C$1000,1,false)</f>
        <v>ZRM1_Food_Mask</v>
      </c>
      <c r="H5778" s="63" t="str">
        <f>IFERROR(__xludf.DUMMYFUNCTION("VLOOKUP(F5778, IMPORTRANGE(""https://docs.google.com/spreadsheets/d/1Lhp9OU0JdFf_VYSMzH5lBcEaU4o8teT1piV-SNzShjg/edit?gid=554141278#gid=554141278"", ""'Char Def. - Attributes'!C20:C2242""), 1,false)"),"ALT_NUM_UOM1")</f>
        <v>ALT_NUM_UOM1</v>
      </c>
      <c r="I5778" s="136"/>
    </row>
    <row r="5779" ht="15.75" customHeight="1">
      <c r="A5779" s="158"/>
      <c r="B5779" s="63">
        <f t="shared" si="1"/>
        <v>14</v>
      </c>
      <c r="C5779" s="156" t="s">
        <v>225</v>
      </c>
      <c r="D5779" s="147" t="s">
        <v>74</v>
      </c>
      <c r="E5779" s="135">
        <f t="shared" si="59"/>
        <v>15</v>
      </c>
      <c r="F5779" s="152" t="s">
        <v>3870</v>
      </c>
      <c r="G5779" s="63" t="str">
        <f>VLOOKUP(C5779, 'Class Def. - General Data'!$C$20:$C$1000,1,false)</f>
        <v>ZRM1_Food_Mask</v>
      </c>
      <c r="H5779" s="63" t="str">
        <f>IFERROR(__xludf.DUMMYFUNCTION("VLOOKUP(F5779, IMPORTRANGE(""https://docs.google.com/spreadsheets/d/1Lhp9OU0JdFf_VYSMzH5lBcEaU4o8teT1piV-SNzShjg/edit?gid=554141278#gid=554141278"", ""'Char Def. - Attributes'!C20:C2242""), 1,false)"),"ALT_UOM2_RMPM")</f>
        <v>ALT_UOM2_RMPM</v>
      </c>
      <c r="I5779" s="136"/>
    </row>
    <row r="5780" ht="15.75" customHeight="1">
      <c r="A5780" s="158"/>
      <c r="B5780" s="63">
        <f t="shared" si="1"/>
        <v>14</v>
      </c>
      <c r="C5780" s="156" t="s">
        <v>225</v>
      </c>
      <c r="D5780" s="147" t="s">
        <v>74</v>
      </c>
      <c r="E5780" s="135">
        <f t="shared" si="59"/>
        <v>16</v>
      </c>
      <c r="F5780" s="152" t="s">
        <v>3808</v>
      </c>
      <c r="G5780" s="63" t="str">
        <f>VLOOKUP(C5780, 'Class Def. - General Data'!$C$20:$C$1000,1,false)</f>
        <v>ZRM1_Food_Mask</v>
      </c>
      <c r="H5780" s="63" t="str">
        <f>IFERROR(__xludf.DUMMYFUNCTION("VLOOKUP(F5780, IMPORTRANGE(""https://docs.google.com/spreadsheets/d/1Lhp9OU0JdFf_VYSMzH5lBcEaU4o8teT1piV-SNzShjg/edit?gid=554141278#gid=554141278"", ""'Char Def. - Attributes'!C20:C2242""), 1,false)"),"ALT_DENUM_UOM2")</f>
        <v>ALT_DENUM_UOM2</v>
      </c>
      <c r="I5780" s="136"/>
    </row>
    <row r="5781" ht="15.75" customHeight="1">
      <c r="A5781" s="59"/>
      <c r="B5781" s="63">
        <f t="shared" si="1"/>
        <v>14</v>
      </c>
      <c r="C5781" s="156" t="s">
        <v>225</v>
      </c>
      <c r="D5781" s="147" t="s">
        <v>74</v>
      </c>
      <c r="E5781" s="135">
        <f t="shared" si="59"/>
        <v>17</v>
      </c>
      <c r="F5781" s="152" t="s">
        <v>3809</v>
      </c>
      <c r="G5781" s="63" t="str">
        <f>VLOOKUP(C5781, 'Class Def. - General Data'!$C$20:$C$1000,1,false)</f>
        <v>ZRM1_Food_Mask</v>
      </c>
      <c r="H5781" s="63" t="str">
        <f>IFERROR(__xludf.DUMMYFUNCTION("VLOOKUP(F5781, IMPORTRANGE(""https://docs.google.com/spreadsheets/d/1Lhp9OU0JdFf_VYSMzH5lBcEaU4o8teT1piV-SNzShjg/edit?gid=554141278#gid=554141278"", ""'Char Def. - Attributes'!C20:C2242""), 1,false)"),"ALT_NUM_UOM2")</f>
        <v>ALT_NUM_UOM2</v>
      </c>
      <c r="I5781" s="136"/>
    </row>
    <row r="5782" ht="15.75" customHeight="1">
      <c r="B5782" s="63">
        <f t="shared" si="1"/>
        <v>14</v>
      </c>
      <c r="C5782" s="156" t="s">
        <v>225</v>
      </c>
      <c r="D5782" s="147" t="s">
        <v>74</v>
      </c>
      <c r="E5782" s="135">
        <f t="shared" si="59"/>
        <v>18</v>
      </c>
      <c r="F5782" s="152" t="s">
        <v>3871</v>
      </c>
      <c r="G5782" s="63" t="str">
        <f>VLOOKUP(C5782, 'Class Def. - General Data'!$C$20:$C$1000,1,false)</f>
        <v>ZRM1_Food_Mask</v>
      </c>
      <c r="H5782" s="63" t="str">
        <f>IFERROR(__xludf.DUMMYFUNCTION("VLOOKUP(F5782, IMPORTRANGE(""https://docs.google.com/spreadsheets/d/1Lhp9OU0JdFf_VYSMzH5lBcEaU4o8teT1piV-SNzShjg/edit?gid=554141278#gid=554141278"", ""'Char Def. - Attributes'!C20:C2242""), 1,false)"),"ALT_UOM3_RMPM")</f>
        <v>ALT_UOM3_RMPM</v>
      </c>
      <c r="I5782" s="136"/>
    </row>
    <row r="5783" ht="15.75" customHeight="1">
      <c r="B5783" s="63">
        <f t="shared" si="1"/>
        <v>14</v>
      </c>
      <c r="C5783" s="156" t="s">
        <v>225</v>
      </c>
      <c r="D5783" s="147" t="s">
        <v>74</v>
      </c>
      <c r="E5783" s="135">
        <f t="shared" si="59"/>
        <v>19</v>
      </c>
      <c r="F5783" s="152" t="s">
        <v>3811</v>
      </c>
      <c r="G5783" s="63" t="str">
        <f>VLOOKUP(C5783, 'Class Def. - General Data'!$C$20:$C$1000,1,false)</f>
        <v>ZRM1_Food_Mask</v>
      </c>
      <c r="H5783" s="63" t="str">
        <f>IFERROR(__xludf.DUMMYFUNCTION("VLOOKUP(F5783, IMPORTRANGE(""https://docs.google.com/spreadsheets/d/1Lhp9OU0JdFf_VYSMzH5lBcEaU4o8teT1piV-SNzShjg/edit?gid=554141278#gid=554141278"", ""'Char Def. - Attributes'!C20:C2242""), 1,false)"),"ALT_DENUM_UOM3")</f>
        <v>ALT_DENUM_UOM3</v>
      </c>
      <c r="I5783" s="136"/>
    </row>
    <row r="5784" ht="15.75" customHeight="1">
      <c r="B5784" s="63">
        <f t="shared" si="1"/>
        <v>14</v>
      </c>
      <c r="C5784" s="156" t="s">
        <v>225</v>
      </c>
      <c r="D5784" s="147" t="s">
        <v>74</v>
      </c>
      <c r="E5784" s="135">
        <f t="shared" si="59"/>
        <v>20</v>
      </c>
      <c r="F5784" s="152" t="s">
        <v>3812</v>
      </c>
      <c r="G5784" s="63" t="str">
        <f>VLOOKUP(C5784, 'Class Def. - General Data'!$C$20:$C$1000,1,false)</f>
        <v>ZRM1_Food_Mask</v>
      </c>
      <c r="H5784" s="63" t="str">
        <f>IFERROR(__xludf.DUMMYFUNCTION("VLOOKUP(F5784, IMPORTRANGE(""https://docs.google.com/spreadsheets/d/1Lhp9OU0JdFf_VYSMzH5lBcEaU4o8teT1piV-SNzShjg/edit?gid=554141278#gid=554141278"", ""'Char Def. - Attributes'!C20:C2242""), 1,false)"),"ALT_NUM_UOM3")</f>
        <v>ALT_NUM_UOM3</v>
      </c>
      <c r="I5784" s="136"/>
    </row>
    <row r="5785" ht="15.75" customHeight="1">
      <c r="A5785" s="59"/>
      <c r="B5785" s="63">
        <f t="shared" si="1"/>
        <v>14</v>
      </c>
      <c r="C5785" s="156" t="s">
        <v>225</v>
      </c>
      <c r="D5785" s="147" t="s">
        <v>74</v>
      </c>
      <c r="E5785" s="135">
        <f t="shared" si="59"/>
        <v>21</v>
      </c>
      <c r="F5785" s="152" t="s">
        <v>3872</v>
      </c>
      <c r="G5785" s="63" t="str">
        <f>VLOOKUP(C5785, 'Class Def. - General Data'!$C$20:$C$1000,1,false)</f>
        <v>ZRM1_Food_Mask</v>
      </c>
      <c r="H5785" s="63" t="str">
        <f>IFERROR(__xludf.DUMMYFUNCTION("VLOOKUP(F5785, IMPORTRANGE(""https://docs.google.com/spreadsheets/d/1Lhp9OU0JdFf_VYSMzH5lBcEaU4o8teT1piV-SNzShjg/edit?gid=554141278#gid=554141278"", ""'Char Def. - Attributes'!C20:C2242""), 1,false)"),"ALT_UOM4_RMPM")</f>
        <v>ALT_UOM4_RMPM</v>
      </c>
      <c r="I5785" s="136"/>
    </row>
    <row r="5786" ht="15.75" customHeight="1">
      <c r="A5786" s="59"/>
      <c r="B5786" s="63">
        <f t="shared" si="1"/>
        <v>14</v>
      </c>
      <c r="C5786" s="156" t="s">
        <v>225</v>
      </c>
      <c r="D5786" s="147" t="s">
        <v>74</v>
      </c>
      <c r="E5786" s="135">
        <f t="shared" si="59"/>
        <v>22</v>
      </c>
      <c r="F5786" s="148" t="s">
        <v>3814</v>
      </c>
      <c r="G5786" s="63" t="str">
        <f>VLOOKUP(C5786, 'Class Def. - General Data'!$C$20:$C$1000,1,false)</f>
        <v>ZRM1_Food_Mask</v>
      </c>
      <c r="H5786" s="63" t="str">
        <f>IFERROR(__xludf.DUMMYFUNCTION("VLOOKUP(F5786, IMPORTRANGE(""https://docs.google.com/spreadsheets/d/1Lhp9OU0JdFf_VYSMzH5lBcEaU4o8teT1piV-SNzShjg/edit?gid=554141278#gid=554141278"", ""'Char Def. - Attributes'!C20:C2242""), 1,false)"),"ALT_DENUM_UOM4")</f>
        <v>ALT_DENUM_UOM4</v>
      </c>
      <c r="I5786" s="136"/>
    </row>
    <row r="5787" ht="15.75" customHeight="1">
      <c r="A5787" s="59"/>
      <c r="B5787" s="63">
        <f t="shared" si="1"/>
        <v>14</v>
      </c>
      <c r="C5787" s="156" t="s">
        <v>225</v>
      </c>
      <c r="D5787" s="147" t="s">
        <v>74</v>
      </c>
      <c r="E5787" s="135">
        <f t="shared" si="59"/>
        <v>23</v>
      </c>
      <c r="F5787" s="152" t="s">
        <v>3815</v>
      </c>
      <c r="G5787" s="63" t="str">
        <f>VLOOKUP(C5787, 'Class Def. - General Data'!$C$20:$C$1000,1,false)</f>
        <v>ZRM1_Food_Mask</v>
      </c>
      <c r="H5787" s="63" t="str">
        <f>IFERROR(__xludf.DUMMYFUNCTION("VLOOKUP(F5787, IMPORTRANGE(""https://docs.google.com/spreadsheets/d/1Lhp9OU0JdFf_VYSMzH5lBcEaU4o8teT1piV-SNzShjg/edit?gid=554141278#gid=554141278"", ""'Char Def. - Attributes'!C20:C2242""), 1,false)"),"ALT_NUM_UOM4")</f>
        <v>ALT_NUM_UOM4</v>
      </c>
      <c r="I5787" s="136"/>
    </row>
    <row r="5788" ht="15.75" customHeight="1">
      <c r="A5788" s="59"/>
      <c r="B5788" s="63">
        <f t="shared" si="1"/>
        <v>14</v>
      </c>
      <c r="C5788" s="156" t="s">
        <v>225</v>
      </c>
      <c r="D5788" s="147" t="s">
        <v>74</v>
      </c>
      <c r="E5788" s="135">
        <f t="shared" si="59"/>
        <v>24</v>
      </c>
      <c r="F5788" s="152" t="s">
        <v>3873</v>
      </c>
      <c r="G5788" s="63" t="str">
        <f>VLOOKUP(C5788, 'Class Def. - General Data'!$C$20:$C$1000,1,false)</f>
        <v>ZRM1_Food_Mask</v>
      </c>
      <c r="H5788" s="63" t="str">
        <f>IFERROR(__xludf.DUMMYFUNCTION("VLOOKUP(F5788, IMPORTRANGE(""https://docs.google.com/spreadsheets/d/1Lhp9OU0JdFf_VYSMzH5lBcEaU4o8teT1piV-SNzShjg/edit?gid=554141278#gid=554141278"", ""'Char Def. - Attributes'!C20:C2242""), 1,false)"),"ALT_UOM5_RMPM")</f>
        <v>ALT_UOM5_RMPM</v>
      </c>
      <c r="I5788" s="136"/>
    </row>
    <row r="5789" ht="15.75" customHeight="1">
      <c r="A5789" s="59"/>
      <c r="B5789" s="63">
        <f t="shared" si="1"/>
        <v>14</v>
      </c>
      <c r="C5789" s="156" t="s">
        <v>225</v>
      </c>
      <c r="D5789" s="147" t="s">
        <v>74</v>
      </c>
      <c r="E5789" s="135">
        <f t="shared" si="59"/>
        <v>25</v>
      </c>
      <c r="F5789" s="152" t="s">
        <v>3817</v>
      </c>
      <c r="G5789" s="63" t="str">
        <f>VLOOKUP(C5789, 'Class Def. - General Data'!$C$20:$C$1000,1,false)</f>
        <v>ZRM1_Food_Mask</v>
      </c>
      <c r="H5789" s="63" t="str">
        <f>IFERROR(__xludf.DUMMYFUNCTION("VLOOKUP(F5789, IMPORTRANGE(""https://docs.google.com/spreadsheets/d/1Lhp9OU0JdFf_VYSMzH5lBcEaU4o8teT1piV-SNzShjg/edit?gid=554141278#gid=554141278"", ""'Char Def. - Attributes'!C20:C2242""), 1,false)"),"ALT_DENUM_UOM5")</f>
        <v>ALT_DENUM_UOM5</v>
      </c>
      <c r="I5789" s="136"/>
    </row>
    <row r="5790" ht="15.75" customHeight="1">
      <c r="A5790" s="59"/>
      <c r="B5790" s="63">
        <f t="shared" si="1"/>
        <v>14</v>
      </c>
      <c r="C5790" s="156" t="s">
        <v>225</v>
      </c>
      <c r="D5790" s="147" t="s">
        <v>74</v>
      </c>
      <c r="E5790" s="135">
        <f t="shared" si="59"/>
        <v>26</v>
      </c>
      <c r="F5790" s="152" t="s">
        <v>3818</v>
      </c>
      <c r="G5790" s="63" t="str">
        <f>VLOOKUP(C5790, 'Class Def. - General Data'!$C$20:$C$1000,1,false)</f>
        <v>ZRM1_Food_Mask</v>
      </c>
      <c r="H5790" s="63" t="str">
        <f>IFERROR(__xludf.DUMMYFUNCTION("VLOOKUP(F5790, IMPORTRANGE(""https://docs.google.com/spreadsheets/d/1Lhp9OU0JdFf_VYSMzH5lBcEaU4o8teT1piV-SNzShjg/edit?gid=554141278#gid=554141278"", ""'Char Def. - Attributes'!C20:C2242""), 1,false)"),"ALT_NUM_UOM5")</f>
        <v>ALT_NUM_UOM5</v>
      </c>
      <c r="I5790" s="136"/>
    </row>
    <row r="5791" ht="15.75" customHeight="1">
      <c r="A5791" s="59"/>
      <c r="B5791" s="63">
        <f t="shared" si="1"/>
        <v>14</v>
      </c>
      <c r="C5791" s="156" t="s">
        <v>225</v>
      </c>
      <c r="D5791" s="147" t="s">
        <v>74</v>
      </c>
      <c r="E5791" s="135">
        <f t="shared" si="59"/>
        <v>27</v>
      </c>
      <c r="F5791" s="152" t="s">
        <v>3874</v>
      </c>
      <c r="G5791" s="63" t="str">
        <f>VLOOKUP(C5791, 'Class Def. - General Data'!$C$20:$C$1000,1,false)</f>
        <v>ZRM1_Food_Mask</v>
      </c>
      <c r="H5791" s="63" t="str">
        <f>IFERROR(__xludf.DUMMYFUNCTION("VLOOKUP(F5791, IMPORTRANGE(""https://docs.google.com/spreadsheets/d/1Lhp9OU0JdFf_VYSMzH5lBcEaU4o8teT1piV-SNzShjg/edit?gid=554141278#gid=554141278"", ""'Char Def. - Attributes'!C20:C2242""), 1,false)"),"VALUATION_CATEGORY")</f>
        <v>VALUATION_CATEGORY</v>
      </c>
      <c r="I5791" s="136"/>
    </row>
    <row r="5792" ht="15.75" customHeight="1">
      <c r="A5792" s="59"/>
      <c r="B5792" s="63">
        <f t="shared" si="1"/>
        <v>14</v>
      </c>
      <c r="C5792" s="156" t="s">
        <v>225</v>
      </c>
      <c r="D5792" s="147" t="s">
        <v>74</v>
      </c>
      <c r="E5792" s="135">
        <f t="shared" si="59"/>
        <v>28</v>
      </c>
      <c r="F5792" s="152" t="s">
        <v>3800</v>
      </c>
      <c r="G5792" s="63" t="str">
        <f>VLOOKUP(C5792, 'Class Def. - General Data'!$C$20:$C$1000,1,false)</f>
        <v>ZRM1_Food_Mask</v>
      </c>
      <c r="H5792" s="63" t="str">
        <f>IFERROR(__xludf.DUMMYFUNCTION("VLOOKUP(F5792, IMPORTRANGE(""https://docs.google.com/spreadsheets/d/1Lhp9OU0JdFf_VYSMzH5lBcEaU4o8teT1piV-SNzShjg/edit?gid=554141278#gid=554141278"", ""'Char Def. - Attributes'!C20:C2242""), 1,false)"),"ORDER_UNIT_DIFF_FROM_BASIC_UOM")</f>
        <v>ORDER_UNIT_DIFF_FROM_BASIC_UOM</v>
      </c>
      <c r="I5792" s="136"/>
    </row>
    <row r="5793" ht="15.75" customHeight="1">
      <c r="A5793" s="59"/>
      <c r="B5793" s="63">
        <f t="shared" si="1"/>
        <v>14</v>
      </c>
      <c r="C5793" s="156" t="s">
        <v>225</v>
      </c>
      <c r="D5793" s="147" t="s">
        <v>74</v>
      </c>
      <c r="E5793" s="135">
        <f t="shared" si="59"/>
        <v>29</v>
      </c>
      <c r="F5793" s="152" t="s">
        <v>3875</v>
      </c>
      <c r="G5793" s="63" t="str">
        <f>VLOOKUP(C5793, 'Class Def. - General Data'!$C$20:$C$1000,1,false)</f>
        <v>ZRM1_Food_Mask</v>
      </c>
      <c r="H5793" s="63" t="str">
        <f>IFERROR(__xludf.DUMMYFUNCTION("VLOOKUP(F5793, IMPORTRANGE(""https://docs.google.com/spreadsheets/d/1Lhp9OU0JdFf_VYSMzH5lBcEaU4o8teT1piV-SNzShjg/edit?gid=554141278#gid=554141278"", ""'Char Def. - Attributes'!C20:C2242""), 1,false)"),"ORDER_UNIT_RMPM")</f>
        <v>ORDER_UNIT_RMPM</v>
      </c>
      <c r="I5793" s="136"/>
    </row>
    <row r="5794" ht="15.75" customHeight="1">
      <c r="A5794" s="59"/>
      <c r="B5794" s="63">
        <f t="shared" si="1"/>
        <v>14</v>
      </c>
      <c r="C5794" s="156" t="s">
        <v>225</v>
      </c>
      <c r="D5794" s="147" t="s">
        <v>74</v>
      </c>
      <c r="E5794" s="135">
        <f t="shared" si="59"/>
        <v>30</v>
      </c>
      <c r="F5794" s="151" t="s">
        <v>3602</v>
      </c>
      <c r="G5794" s="63" t="str">
        <f>VLOOKUP(C5794, 'Class Def. - General Data'!$C$20:$C$1000,1,false)</f>
        <v>ZRM1_Food_Mask</v>
      </c>
      <c r="H5794" s="63" t="str">
        <f>IFERROR(__xludf.DUMMYFUNCTION("VLOOKUP(F5794, IMPORTRANGE(""https://docs.google.com/spreadsheets/d/1Lhp9OU0JdFf_VYSMzH5lBcEaU4o8teT1piV-SNzShjg/edit?gid=554141278#gid=554141278"", ""'Char Def. - Attributes'!C20:C2242""), 1,false)"),"NET_WEIGHT")</f>
        <v>NET_WEIGHT</v>
      </c>
      <c r="I5794" s="136"/>
    </row>
    <row r="5795" ht="15.75" customHeight="1">
      <c r="A5795" s="59"/>
      <c r="B5795" s="63">
        <f t="shared" si="1"/>
        <v>14</v>
      </c>
      <c r="C5795" s="156" t="s">
        <v>225</v>
      </c>
      <c r="D5795" s="147" t="s">
        <v>74</v>
      </c>
      <c r="E5795" s="135">
        <f t="shared" si="59"/>
        <v>31</v>
      </c>
      <c r="F5795" s="151" t="s">
        <v>3601</v>
      </c>
      <c r="G5795" s="63" t="str">
        <f>VLOOKUP(C5795, 'Class Def. - General Data'!$C$20:$C$1000,1,false)</f>
        <v>ZRM1_Food_Mask</v>
      </c>
      <c r="H5795" s="63" t="str">
        <f>IFERROR(__xludf.DUMMYFUNCTION("VLOOKUP(F5795, IMPORTRANGE(""https://docs.google.com/spreadsheets/d/1Lhp9OU0JdFf_VYSMzH5lBcEaU4o8teT1piV-SNzShjg/edit?gid=554141278#gid=554141278"", ""'Char Def. - Attributes'!C20:C2242""), 1,false)"),"GROSS_WEIGHT")</f>
        <v>GROSS_WEIGHT</v>
      </c>
      <c r="I5795" s="136"/>
    </row>
    <row r="5796" ht="15.75" customHeight="1">
      <c r="A5796" s="59"/>
      <c r="B5796" s="63">
        <f t="shared" si="1"/>
        <v>14</v>
      </c>
      <c r="C5796" s="156" t="s">
        <v>225</v>
      </c>
      <c r="D5796" s="147" t="s">
        <v>74</v>
      </c>
      <c r="E5796" s="135">
        <f t="shared" si="59"/>
        <v>32</v>
      </c>
      <c r="F5796" s="152" t="s">
        <v>3996</v>
      </c>
      <c r="G5796" s="63" t="str">
        <f>VLOOKUP(C5796, 'Class Def. - General Data'!$C$20:$C$1000,1,false)</f>
        <v>ZRM1_Food_Mask</v>
      </c>
      <c r="H5796" s="63" t="str">
        <f>IFERROR(__xludf.DUMMYFUNCTION("VLOOKUP(F5796, IMPORTRANGE(""https://docs.google.com/spreadsheets/d/1Lhp9OU0JdFf_VYSMzH5lBcEaU4o8teT1piV-SNzShjg/edit?gid=554141278#gid=554141278"", ""'Char Def. - Attributes'!C20:C2242""), 1,false)"),"WEIGHT_UNIT")</f>
        <v>WEIGHT_UNIT</v>
      </c>
      <c r="I5796" s="136"/>
    </row>
    <row r="5797" ht="15.75" customHeight="1">
      <c r="A5797" s="59"/>
      <c r="B5797" s="63">
        <f t="shared" si="1"/>
        <v>14</v>
      </c>
      <c r="C5797" s="156" t="s">
        <v>225</v>
      </c>
      <c r="D5797" s="147" t="s">
        <v>74</v>
      </c>
      <c r="E5797" s="135">
        <f t="shared" si="59"/>
        <v>33</v>
      </c>
      <c r="F5797" s="151" t="s">
        <v>3877</v>
      </c>
      <c r="G5797" s="63" t="str">
        <f>VLOOKUP(C5797, 'Class Def. - General Data'!$C$20:$C$1000,1,false)</f>
        <v>ZRM1_Food_Mask</v>
      </c>
      <c r="H5797" s="63" t="str">
        <f>IFERROR(__xludf.DUMMYFUNCTION("VLOOKUP(F5797, IMPORTRANGE(""https://docs.google.com/spreadsheets/d/1Lhp9OU0JdFf_VYSMzH5lBcEaU4o8teT1piV-SNzShjg/edit?gid=554141278#gid=554141278"", ""'Char Def. - Attributes'!C20:C2242""), 1,false)"),"VOLUME_OPT")</f>
        <v>VOLUME_OPT</v>
      </c>
      <c r="I5797" s="136"/>
    </row>
    <row r="5798" ht="15.75" customHeight="1">
      <c r="A5798" s="59"/>
      <c r="B5798" s="63">
        <f t="shared" si="1"/>
        <v>14</v>
      </c>
      <c r="C5798" s="156" t="s">
        <v>225</v>
      </c>
      <c r="D5798" s="147" t="s">
        <v>74</v>
      </c>
      <c r="E5798" s="135">
        <f t="shared" si="59"/>
        <v>34</v>
      </c>
      <c r="F5798" s="152" t="s">
        <v>3878</v>
      </c>
      <c r="G5798" s="63" t="str">
        <f>VLOOKUP(C5798, 'Class Def. - General Data'!$C$20:$C$1000,1,false)</f>
        <v>ZRM1_Food_Mask</v>
      </c>
      <c r="H5798" s="63" t="str">
        <f>IFERROR(__xludf.DUMMYFUNCTION("VLOOKUP(F5798, IMPORTRANGE(""https://docs.google.com/spreadsheets/d/1Lhp9OU0JdFf_VYSMzH5lBcEaU4o8teT1piV-SNzShjg/edit?gid=554141278#gid=554141278"", ""'Char Def. - Attributes'!C20:C2242""), 1,false)"),"VOLUME_UNIT")</f>
        <v>VOLUME_UNIT</v>
      </c>
      <c r="I5798" s="136"/>
    </row>
    <row r="5799" ht="15.75" customHeight="1">
      <c r="A5799" s="59"/>
      <c r="B5799" s="63">
        <f t="shared" si="1"/>
        <v>14</v>
      </c>
      <c r="C5799" s="156" t="s">
        <v>225</v>
      </c>
      <c r="D5799" s="147" t="s">
        <v>74</v>
      </c>
      <c r="E5799" s="135">
        <f t="shared" si="59"/>
        <v>35</v>
      </c>
      <c r="F5799" s="151" t="s">
        <v>3587</v>
      </c>
      <c r="G5799" s="63" t="str">
        <f>VLOOKUP(C5799, 'Class Def. - General Data'!$C$20:$C$1000,1,false)</f>
        <v>ZRM1_Food_Mask</v>
      </c>
      <c r="H5799" s="63" t="str">
        <f>IFERROR(__xludf.DUMMYFUNCTION("VLOOKUP(F5799, IMPORTRANGE(""https://docs.google.com/spreadsheets/d/1Lhp9OU0JdFf_VYSMzH5lBcEaU4o8teT1piV-SNzShjg/edit?gid=554141278#gid=554141278"", ""'Char Def. - Attributes'!C20:C2242""), 1,false)"),"PLANT_BUY")</f>
        <v>PLANT_BUY</v>
      </c>
      <c r="I5799" s="136"/>
    </row>
    <row r="5800" ht="15.75" customHeight="1">
      <c r="A5800" s="59"/>
      <c r="B5800" s="63">
        <f t="shared" si="1"/>
        <v>14</v>
      </c>
      <c r="C5800" s="156" t="s">
        <v>225</v>
      </c>
      <c r="D5800" s="147" t="s">
        <v>74</v>
      </c>
      <c r="E5800" s="135">
        <f t="shared" si="59"/>
        <v>36</v>
      </c>
      <c r="F5800" s="152" t="s">
        <v>3997</v>
      </c>
      <c r="G5800" s="63" t="str">
        <f>VLOOKUP(C5800, 'Class Def. - General Data'!$C$20:$C$1000,1,false)</f>
        <v>ZRM1_Food_Mask</v>
      </c>
      <c r="H5800" s="63" t="str">
        <f>IFERROR(__xludf.DUMMYFUNCTION("VLOOKUP(F5800, IMPORTRANGE(""https://docs.google.com/spreadsheets/d/1Lhp9OU0JdFf_VYSMzH5lBcEaU4o8teT1piV-SNzShjg/edit?gid=554141278#gid=554141278"", ""'Char Def. - Attributes'!C20:C2242""), 1,false)"),"OLD_MAT_NO_RMPM_OPT")</f>
        <v>OLD_MAT_NO_RMPM_OPT</v>
      </c>
      <c r="I5800" s="136"/>
    </row>
    <row r="5801" ht="15.75" customHeight="1">
      <c r="A5801" s="59"/>
      <c r="B5801" s="63">
        <f t="shared" si="1"/>
        <v>14</v>
      </c>
      <c r="C5801" s="156" t="s">
        <v>225</v>
      </c>
      <c r="D5801" s="147" t="s">
        <v>74</v>
      </c>
      <c r="E5801" s="135">
        <f t="shared" si="59"/>
        <v>37</v>
      </c>
      <c r="F5801" s="148" t="s">
        <v>3998</v>
      </c>
      <c r="G5801" s="63" t="str">
        <f>VLOOKUP(C5801, 'Class Def. - General Data'!$C$20:$C$1000,1,false)</f>
        <v>ZRM1_Food_Mask</v>
      </c>
      <c r="H5801" s="63" t="str">
        <f>IFERROR(__xludf.DUMMYFUNCTION("VLOOKUP(F5801, IMPORTRANGE(""https://docs.google.com/spreadsheets/d/1Lhp9OU0JdFf_VYSMzH5lBcEaU4o8teT1piV-SNzShjg/edit?gid=554141278#gid=554141278"", ""'Char Def. - Attributes'!C20:C2242""), 1,false)"),"MIN_STD_WEIGHT")</f>
        <v>MIN_STD_WEIGHT</v>
      </c>
      <c r="I5801" s="136"/>
    </row>
    <row r="5802" ht="15.75" customHeight="1">
      <c r="B5802" s="63">
        <f t="shared" si="1"/>
        <v>14</v>
      </c>
      <c r="C5802" s="156" t="s">
        <v>225</v>
      </c>
      <c r="D5802" s="147" t="s">
        <v>74</v>
      </c>
      <c r="E5802" s="135">
        <f t="shared" si="59"/>
        <v>38</v>
      </c>
      <c r="F5802" s="148" t="s">
        <v>3999</v>
      </c>
      <c r="G5802" s="63" t="str">
        <f>VLOOKUP(C5802, 'Class Def. - General Data'!$C$20:$C$1000,1,false)</f>
        <v>ZRM1_Food_Mask</v>
      </c>
      <c r="H5802" s="63" t="str">
        <f>IFERROR(__xludf.DUMMYFUNCTION("VLOOKUP(F5802, IMPORTRANGE(""https://docs.google.com/spreadsheets/d/1Lhp9OU0JdFf_VYSMzH5lBcEaU4o8teT1piV-SNzShjg/edit?gid=554141278#gid=554141278"", ""'Char Def. - Attributes'!C20:C2242""), 1,false)"),"MIN_STD_WEIGHT_UOM")</f>
        <v>MIN_STD_WEIGHT_UOM</v>
      </c>
      <c r="I5802" s="136"/>
    </row>
    <row r="5803" ht="15.75" customHeight="1">
      <c r="A5803" s="59"/>
      <c r="B5803" s="63">
        <f t="shared" si="1"/>
        <v>10</v>
      </c>
      <c r="C5803" s="156" t="s">
        <v>289</v>
      </c>
      <c r="D5803" s="147" t="s">
        <v>74</v>
      </c>
      <c r="E5803" s="135">
        <f t="shared" si="59"/>
        <v>1</v>
      </c>
      <c r="F5803" s="152" t="s">
        <v>4013</v>
      </c>
      <c r="G5803" s="63" t="str">
        <f>VLOOKUP(C5803, 'Class Def. - General Data'!$C$20:$C$1000,1,false)</f>
        <v>ZRM1_Kecap</v>
      </c>
      <c r="H5803" s="63" t="str">
        <f>IFERROR(__xludf.DUMMYFUNCTION("VLOOKUP(F5803, IMPORTRANGE(""https://docs.google.com/spreadsheets/d/1Lhp9OU0JdFf_VYSMzH5lBcEaU4o8teT1piV-SNzShjg/edit?gid=554141278#gid=554141278"", ""'Char Def. - Attributes'!C20:C2242""), 1,false)"),"MATERIAL_CODE_SOYSAUCE")</f>
        <v>MATERIAL_CODE_SOYSAUCE</v>
      </c>
      <c r="I5803" s="136"/>
    </row>
    <row r="5804" ht="15.75" customHeight="1">
      <c r="B5804" s="63">
        <f t="shared" si="1"/>
        <v>10</v>
      </c>
      <c r="C5804" s="156" t="s">
        <v>289</v>
      </c>
      <c r="D5804" s="147" t="s">
        <v>74</v>
      </c>
      <c r="E5804" s="135">
        <f t="shared" si="59"/>
        <v>2</v>
      </c>
      <c r="F5804" s="152" t="s">
        <v>4001</v>
      </c>
      <c r="G5804" s="63" t="str">
        <f>VLOOKUP(C5804, 'Class Def. - General Data'!$C$20:$C$1000,1,false)</f>
        <v>ZRM1_Kecap</v>
      </c>
      <c r="H5804" s="63" t="str">
        <f>IFERROR(__xludf.DUMMYFUNCTION("VLOOKUP(F5804, IMPORTRANGE(""https://docs.google.com/spreadsheets/d/1Lhp9OU0JdFf_VYSMzH5lBcEaU4o8teT1piV-SNzShjg/edit?gid=554141278#gid=554141278"", ""'Char Def. - Attributes'!C20:C2242""), 1,false)"),"ADDITIONAL_INFO_NO_MASK")</f>
        <v>ADDITIONAL_INFO_NO_MASK</v>
      </c>
      <c r="I5804" s="136"/>
    </row>
    <row r="5805" ht="15.75" customHeight="1">
      <c r="A5805" s="158"/>
      <c r="B5805" s="63">
        <f t="shared" si="1"/>
        <v>10</v>
      </c>
      <c r="C5805" s="156" t="s">
        <v>289</v>
      </c>
      <c r="D5805" s="147" t="s">
        <v>74</v>
      </c>
      <c r="E5805" s="135">
        <f t="shared" si="59"/>
        <v>3</v>
      </c>
      <c r="F5805" s="152" t="s">
        <v>4002</v>
      </c>
      <c r="G5805" s="63" t="str">
        <f>VLOOKUP(C5805, 'Class Def. - General Data'!$C$20:$C$1000,1,false)</f>
        <v>ZRM1_Kecap</v>
      </c>
      <c r="H5805" s="63" t="str">
        <f>IFERROR(__xludf.DUMMYFUNCTION("VLOOKUP(F5805, IMPORTRANGE(""https://docs.google.com/spreadsheets/d/1Lhp9OU0JdFf_VYSMzH5lBcEaU4o8teT1piV-SNzShjg/edit?gid=554141278#gid=554141278"", ""'Char Def. - Attributes'!C20:C2242""), 1,false)"),"COLOR_GENERAL")</f>
        <v>COLOR_GENERAL</v>
      </c>
      <c r="I5805" s="136"/>
    </row>
    <row r="5806" ht="15.75" customHeight="1">
      <c r="A5806" s="158"/>
      <c r="B5806" s="63">
        <f t="shared" si="1"/>
        <v>10</v>
      </c>
      <c r="C5806" s="156" t="s">
        <v>289</v>
      </c>
      <c r="D5806" s="147" t="s">
        <v>74</v>
      </c>
      <c r="E5806" s="135">
        <f t="shared" si="59"/>
        <v>4</v>
      </c>
      <c r="F5806" s="152" t="s">
        <v>4003</v>
      </c>
      <c r="G5806" s="63" t="str">
        <f>VLOOKUP(C5806, 'Class Def. - General Data'!$C$20:$C$1000,1,false)</f>
        <v>ZRM1_Kecap</v>
      </c>
      <c r="H5806" s="63" t="str">
        <f>IFERROR(__xludf.DUMMYFUNCTION("VLOOKUP(F5806, IMPORTRANGE(""https://docs.google.com/spreadsheets/d/1Lhp9OU0JdFf_VYSMzH5lBcEaU4o8teT1piV-SNzShjg/edit?gid=554141278#gid=554141278"", ""'Char Def. - Attributes'!C20:C2242""), 1,false)"),"SOURCE_SUPPLY")</f>
        <v>SOURCE_SUPPLY</v>
      </c>
      <c r="I5806" s="136"/>
    </row>
    <row r="5807" ht="15.75" customHeight="1">
      <c r="A5807" s="59"/>
      <c r="B5807" s="63">
        <f t="shared" si="1"/>
        <v>10</v>
      </c>
      <c r="C5807" s="156" t="s">
        <v>289</v>
      </c>
      <c r="D5807" s="147" t="s">
        <v>74</v>
      </c>
      <c r="E5807" s="135">
        <f t="shared" si="59"/>
        <v>5</v>
      </c>
      <c r="F5807" s="152" t="s">
        <v>4004</v>
      </c>
      <c r="G5807" s="63" t="str">
        <f>VLOOKUP(C5807, 'Class Def. - General Data'!$C$20:$C$1000,1,false)</f>
        <v>ZRM1_Kecap</v>
      </c>
      <c r="H5807" s="63" t="str">
        <f>IFERROR(__xludf.DUMMYFUNCTION("VLOOKUP(F5807, IMPORTRANGE(""https://docs.google.com/spreadsheets/d/1Lhp9OU0JdFf_VYSMzH5lBcEaU4o8teT1piV-SNzShjg/edit?gid=554141278#gid=554141278"", ""'Char Def. - Attributes'!C20:C2242""), 1,false)"),"BASE_MATERIAL")</f>
        <v>BASE_MATERIAL</v>
      </c>
      <c r="I5807" s="136"/>
    </row>
    <row r="5808" ht="15.75" customHeight="1">
      <c r="B5808" s="63">
        <f t="shared" si="1"/>
        <v>10</v>
      </c>
      <c r="C5808" s="156" t="s">
        <v>289</v>
      </c>
      <c r="D5808" s="147" t="s">
        <v>74</v>
      </c>
      <c r="E5808" s="135">
        <f t="shared" si="59"/>
        <v>6</v>
      </c>
      <c r="F5808" s="152" t="s">
        <v>4009</v>
      </c>
      <c r="G5808" s="63" t="str">
        <f>VLOOKUP(C5808, 'Class Def. - General Data'!$C$20:$C$1000,1,false)</f>
        <v>ZRM1_Kecap</v>
      </c>
      <c r="H5808" s="63" t="str">
        <f>IFERROR(__xludf.DUMMYFUNCTION("VLOOKUP(F5808, IMPORTRANGE(""https://docs.google.com/spreadsheets/d/1Lhp9OU0JdFf_VYSMzH5lBcEaU4o8teT1piV-SNzShjg/edit?gid=554141278#gid=554141278"", ""'Char Def. - Attributes'!C20:C2242""), 1,false)"),"NATURE_ORIGIN_FOOD")</f>
        <v>NATURE_ORIGIN_FOOD</v>
      </c>
      <c r="I5808" s="136"/>
    </row>
    <row r="5809" ht="15.75" customHeight="1">
      <c r="B5809" s="63">
        <f t="shared" si="1"/>
        <v>10</v>
      </c>
      <c r="C5809" s="156" t="s">
        <v>289</v>
      </c>
      <c r="D5809" s="147" t="s">
        <v>74</v>
      </c>
      <c r="E5809" s="135">
        <f t="shared" si="59"/>
        <v>7</v>
      </c>
      <c r="F5809" s="152" t="s">
        <v>4006</v>
      </c>
      <c r="G5809" s="63" t="str">
        <f>VLOOKUP(C5809, 'Class Def. - General Data'!$C$20:$C$1000,1,false)</f>
        <v>ZRM1_Kecap</v>
      </c>
      <c r="H5809" s="63" t="str">
        <f>IFERROR(__xludf.DUMMYFUNCTION("VLOOKUP(F5809, IMPORTRANGE(""https://docs.google.com/spreadsheets/d/1Lhp9OU0JdFf_VYSMzH5lBcEaU4o8teT1piV-SNzShjg/edit?gid=554141278#gid=554141278"", ""'Char Def. - Attributes'!C20:C2242""), 1,false)"),"CATEGORY_ITEM")</f>
        <v>CATEGORY_ITEM</v>
      </c>
      <c r="I5809" s="136"/>
    </row>
    <row r="5810" ht="15.75" customHeight="1">
      <c r="B5810" s="63">
        <f t="shared" si="1"/>
        <v>10</v>
      </c>
      <c r="C5810" s="156" t="s">
        <v>289</v>
      </c>
      <c r="D5810" s="147" t="s">
        <v>74</v>
      </c>
      <c r="E5810" s="135">
        <f t="shared" si="59"/>
        <v>8</v>
      </c>
      <c r="F5810" s="152" t="s">
        <v>4007</v>
      </c>
      <c r="G5810" s="63" t="str">
        <f>VLOOKUP(C5810, 'Class Def. - General Data'!$C$20:$C$1000,1,false)</f>
        <v>ZRM1_Kecap</v>
      </c>
      <c r="H5810" s="63" t="str">
        <f>IFERROR(__xludf.DUMMYFUNCTION("VLOOKUP(F5810, IMPORTRANGE(""https://docs.google.com/spreadsheets/d/1Lhp9OU0JdFf_VYSMzH5lBcEaU4o8teT1piV-SNzShjg/edit?gid=554141278#gid=554141278"", ""'Char Def. - Attributes'!C20:C2242""), 1,false)"),"FUNCTION1")</f>
        <v>FUNCTION1</v>
      </c>
      <c r="I5810" s="136"/>
    </row>
    <row r="5811" ht="15.75" customHeight="1">
      <c r="A5811" s="59"/>
      <c r="B5811" s="63">
        <f t="shared" si="1"/>
        <v>10</v>
      </c>
      <c r="C5811" s="156" t="s">
        <v>289</v>
      </c>
      <c r="D5811" s="147" t="s">
        <v>74</v>
      </c>
      <c r="E5811" s="135">
        <f t="shared" si="59"/>
        <v>9</v>
      </c>
      <c r="F5811" s="152" t="s">
        <v>4008</v>
      </c>
      <c r="G5811" s="63" t="str">
        <f>VLOOKUP(C5811, 'Class Def. - General Data'!$C$20:$C$1000,1,false)</f>
        <v>ZRM1_Kecap</v>
      </c>
      <c r="H5811" s="63" t="str">
        <f>IFERROR(__xludf.DUMMYFUNCTION("VLOOKUP(F5811, IMPORTRANGE(""https://docs.google.com/spreadsheets/d/1Lhp9OU0JdFf_VYSMzH5lBcEaU4o8teT1piV-SNzShjg/edit?gid=554141278#gid=554141278"", ""'Char Def. - Attributes'!C20:C2242""), 1,false)"),"PREFERENSI_KURS")</f>
        <v>PREFERENSI_KURS</v>
      </c>
      <c r="I5811" s="136"/>
    </row>
    <row r="5812" ht="15.75" customHeight="1">
      <c r="A5812" s="59"/>
      <c r="B5812" s="63">
        <f t="shared" si="1"/>
        <v>10</v>
      </c>
      <c r="C5812" s="156" t="s">
        <v>289</v>
      </c>
      <c r="D5812" s="147" t="s">
        <v>74</v>
      </c>
      <c r="E5812" s="135">
        <f t="shared" si="59"/>
        <v>10</v>
      </c>
      <c r="F5812" s="151" t="s">
        <v>3868</v>
      </c>
      <c r="G5812" s="63" t="str">
        <f>VLOOKUP(C5812, 'Class Def. - General Data'!$C$20:$C$1000,1,false)</f>
        <v>ZRM1_Kecap</v>
      </c>
      <c r="H5812" s="63" t="str">
        <f>IFERROR(__xludf.DUMMYFUNCTION("VLOOKUP(F5812, IMPORTRANGE(""https://docs.google.com/spreadsheets/d/1Lhp9OU0JdFf_VYSMzH5lBcEaU4o8teT1piV-SNzShjg/edit?gid=554141278#gid=554141278"", ""'Char Def. - Attributes'!C20:C2242""), 1,false)"),"BASIC_UOM_RMPM")</f>
        <v>BASIC_UOM_RMPM</v>
      </c>
      <c r="I5812" s="136"/>
    </row>
    <row r="5813" ht="15.75" customHeight="1">
      <c r="A5813" s="59"/>
      <c r="B5813" s="63">
        <f t="shared" si="1"/>
        <v>10</v>
      </c>
      <c r="C5813" s="156" t="s">
        <v>289</v>
      </c>
      <c r="D5813" s="147" t="s">
        <v>74</v>
      </c>
      <c r="E5813" s="135">
        <f t="shared" si="59"/>
        <v>11</v>
      </c>
      <c r="F5813" s="152" t="s">
        <v>3869</v>
      </c>
      <c r="G5813" s="63" t="str">
        <f>VLOOKUP(C5813, 'Class Def. - General Data'!$C$20:$C$1000,1,false)</f>
        <v>ZRM1_Kecap</v>
      </c>
      <c r="H5813" s="63" t="str">
        <f>IFERROR(__xludf.DUMMYFUNCTION("VLOOKUP(F5813, IMPORTRANGE(""https://docs.google.com/spreadsheets/d/1Lhp9OU0JdFf_VYSMzH5lBcEaU4o8teT1piV-SNzShjg/edit?gid=554141278#gid=554141278"", ""'Char Def. - Attributes'!C20:C2242""), 1,false)"),"ALT_UOM1_RMPM")</f>
        <v>ALT_UOM1_RMPM</v>
      </c>
      <c r="I5813" s="136"/>
    </row>
    <row r="5814" ht="15.75" customHeight="1">
      <c r="A5814" s="59"/>
      <c r="B5814" s="63">
        <f t="shared" si="1"/>
        <v>10</v>
      </c>
      <c r="C5814" s="156" t="s">
        <v>289</v>
      </c>
      <c r="D5814" s="147" t="s">
        <v>74</v>
      </c>
      <c r="E5814" s="135">
        <f t="shared" si="59"/>
        <v>12</v>
      </c>
      <c r="F5814" s="152" t="s">
        <v>3805</v>
      </c>
      <c r="G5814" s="63" t="str">
        <f>VLOOKUP(C5814, 'Class Def. - General Data'!$C$20:$C$1000,1,false)</f>
        <v>ZRM1_Kecap</v>
      </c>
      <c r="H5814" s="63" t="str">
        <f>IFERROR(__xludf.DUMMYFUNCTION("VLOOKUP(F5814, IMPORTRANGE(""https://docs.google.com/spreadsheets/d/1Lhp9OU0JdFf_VYSMzH5lBcEaU4o8teT1piV-SNzShjg/edit?gid=554141278#gid=554141278"", ""'Char Def. - Attributes'!C20:C2242""), 1,false)"),"ALT_DENUM_UOM1")</f>
        <v>ALT_DENUM_UOM1</v>
      </c>
      <c r="I5814" s="136"/>
    </row>
    <row r="5815" ht="15.75" customHeight="1">
      <c r="A5815" s="59"/>
      <c r="B5815" s="63">
        <f t="shared" si="1"/>
        <v>10</v>
      </c>
      <c r="C5815" s="156" t="s">
        <v>289</v>
      </c>
      <c r="D5815" s="147" t="s">
        <v>74</v>
      </c>
      <c r="E5815" s="135">
        <f t="shared" si="59"/>
        <v>13</v>
      </c>
      <c r="F5815" s="152" t="s">
        <v>3806</v>
      </c>
      <c r="G5815" s="63" t="str">
        <f>VLOOKUP(C5815, 'Class Def. - General Data'!$C$20:$C$1000,1,false)</f>
        <v>ZRM1_Kecap</v>
      </c>
      <c r="H5815" s="63" t="str">
        <f>IFERROR(__xludf.DUMMYFUNCTION("VLOOKUP(F5815, IMPORTRANGE(""https://docs.google.com/spreadsheets/d/1Lhp9OU0JdFf_VYSMzH5lBcEaU4o8teT1piV-SNzShjg/edit?gid=554141278#gid=554141278"", ""'Char Def. - Attributes'!C20:C2242""), 1,false)"),"ALT_NUM_UOM1")</f>
        <v>ALT_NUM_UOM1</v>
      </c>
      <c r="I5815" s="136"/>
    </row>
    <row r="5816" ht="15.75" customHeight="1">
      <c r="A5816" s="59"/>
      <c r="B5816" s="63">
        <f t="shared" si="1"/>
        <v>10</v>
      </c>
      <c r="C5816" s="156" t="s">
        <v>289</v>
      </c>
      <c r="D5816" s="147" t="s">
        <v>74</v>
      </c>
      <c r="E5816" s="135">
        <f t="shared" si="59"/>
        <v>14</v>
      </c>
      <c r="F5816" s="152" t="s">
        <v>3870</v>
      </c>
      <c r="G5816" s="63" t="str">
        <f>VLOOKUP(C5816, 'Class Def. - General Data'!$C$20:$C$1000,1,false)</f>
        <v>ZRM1_Kecap</v>
      </c>
      <c r="H5816" s="63" t="str">
        <f>IFERROR(__xludf.DUMMYFUNCTION("VLOOKUP(F5816, IMPORTRANGE(""https://docs.google.com/spreadsheets/d/1Lhp9OU0JdFf_VYSMzH5lBcEaU4o8teT1piV-SNzShjg/edit?gid=554141278#gid=554141278"", ""'Char Def. - Attributes'!C20:C2242""), 1,false)"),"ALT_UOM2_RMPM")</f>
        <v>ALT_UOM2_RMPM</v>
      </c>
      <c r="I5816" s="136"/>
    </row>
    <row r="5817" ht="15.75" customHeight="1">
      <c r="A5817" s="59"/>
      <c r="B5817" s="63">
        <f t="shared" si="1"/>
        <v>10</v>
      </c>
      <c r="C5817" s="156" t="s">
        <v>289</v>
      </c>
      <c r="D5817" s="147" t="s">
        <v>74</v>
      </c>
      <c r="E5817" s="135">
        <f t="shared" si="59"/>
        <v>15</v>
      </c>
      <c r="F5817" s="152" t="s">
        <v>3808</v>
      </c>
      <c r="G5817" s="63" t="str">
        <f>VLOOKUP(C5817, 'Class Def. - General Data'!$C$20:$C$1000,1,false)</f>
        <v>ZRM1_Kecap</v>
      </c>
      <c r="H5817" s="63" t="str">
        <f>IFERROR(__xludf.DUMMYFUNCTION("VLOOKUP(F5817, IMPORTRANGE(""https://docs.google.com/spreadsheets/d/1Lhp9OU0JdFf_VYSMzH5lBcEaU4o8teT1piV-SNzShjg/edit?gid=554141278#gid=554141278"", ""'Char Def. - Attributes'!C20:C2242""), 1,false)"),"ALT_DENUM_UOM2")</f>
        <v>ALT_DENUM_UOM2</v>
      </c>
      <c r="I5817" s="136"/>
    </row>
    <row r="5818" ht="15.75" customHeight="1">
      <c r="A5818" s="59"/>
      <c r="B5818" s="63">
        <f t="shared" si="1"/>
        <v>10</v>
      </c>
      <c r="C5818" s="156" t="s">
        <v>289</v>
      </c>
      <c r="D5818" s="147" t="s">
        <v>74</v>
      </c>
      <c r="E5818" s="135">
        <f t="shared" si="59"/>
        <v>16</v>
      </c>
      <c r="F5818" s="152" t="s">
        <v>3809</v>
      </c>
      <c r="G5818" s="63" t="str">
        <f>VLOOKUP(C5818, 'Class Def. - General Data'!$C$20:$C$1000,1,false)</f>
        <v>ZRM1_Kecap</v>
      </c>
      <c r="H5818" s="63" t="str">
        <f>IFERROR(__xludf.DUMMYFUNCTION("VLOOKUP(F5818, IMPORTRANGE(""https://docs.google.com/spreadsheets/d/1Lhp9OU0JdFf_VYSMzH5lBcEaU4o8teT1piV-SNzShjg/edit?gid=554141278#gid=554141278"", ""'Char Def. - Attributes'!C20:C2242""), 1,false)"),"ALT_NUM_UOM2")</f>
        <v>ALT_NUM_UOM2</v>
      </c>
      <c r="I5818" s="136"/>
    </row>
    <row r="5819" ht="15.75" customHeight="1">
      <c r="A5819" s="59"/>
      <c r="B5819" s="63">
        <f t="shared" si="1"/>
        <v>10</v>
      </c>
      <c r="C5819" s="156" t="s">
        <v>289</v>
      </c>
      <c r="D5819" s="147" t="s">
        <v>74</v>
      </c>
      <c r="E5819" s="135">
        <f t="shared" si="59"/>
        <v>17</v>
      </c>
      <c r="F5819" s="152" t="s">
        <v>3871</v>
      </c>
      <c r="G5819" s="63" t="str">
        <f>VLOOKUP(C5819, 'Class Def. - General Data'!$C$20:$C$1000,1,false)</f>
        <v>ZRM1_Kecap</v>
      </c>
      <c r="H5819" s="63" t="str">
        <f>IFERROR(__xludf.DUMMYFUNCTION("VLOOKUP(F5819, IMPORTRANGE(""https://docs.google.com/spreadsheets/d/1Lhp9OU0JdFf_VYSMzH5lBcEaU4o8teT1piV-SNzShjg/edit?gid=554141278#gid=554141278"", ""'Char Def. - Attributes'!C20:C2242""), 1,false)"),"ALT_UOM3_RMPM")</f>
        <v>ALT_UOM3_RMPM</v>
      </c>
      <c r="I5819" s="136"/>
    </row>
    <row r="5820" ht="15.75" customHeight="1">
      <c r="A5820" s="59"/>
      <c r="B5820" s="63">
        <f t="shared" si="1"/>
        <v>10</v>
      </c>
      <c r="C5820" s="156" t="s">
        <v>289</v>
      </c>
      <c r="D5820" s="147" t="s">
        <v>74</v>
      </c>
      <c r="E5820" s="135">
        <f t="shared" si="59"/>
        <v>18</v>
      </c>
      <c r="F5820" s="152" t="s">
        <v>3811</v>
      </c>
      <c r="G5820" s="63" t="str">
        <f>VLOOKUP(C5820, 'Class Def. - General Data'!$C$20:$C$1000,1,false)</f>
        <v>ZRM1_Kecap</v>
      </c>
      <c r="H5820" s="63" t="str">
        <f>IFERROR(__xludf.DUMMYFUNCTION("VLOOKUP(F5820, IMPORTRANGE(""https://docs.google.com/spreadsheets/d/1Lhp9OU0JdFf_VYSMzH5lBcEaU4o8teT1piV-SNzShjg/edit?gid=554141278#gid=554141278"", ""'Char Def. - Attributes'!C20:C2242""), 1,false)"),"ALT_DENUM_UOM3")</f>
        <v>ALT_DENUM_UOM3</v>
      </c>
      <c r="I5820" s="136"/>
    </row>
    <row r="5821" ht="15.75" customHeight="1">
      <c r="A5821" s="59"/>
      <c r="B5821" s="63">
        <f t="shared" si="1"/>
        <v>10</v>
      </c>
      <c r="C5821" s="156" t="s">
        <v>289</v>
      </c>
      <c r="D5821" s="147" t="s">
        <v>74</v>
      </c>
      <c r="E5821" s="135">
        <f t="shared" si="59"/>
        <v>19</v>
      </c>
      <c r="F5821" s="152" t="s">
        <v>3812</v>
      </c>
      <c r="G5821" s="63" t="str">
        <f>VLOOKUP(C5821, 'Class Def. - General Data'!$C$20:$C$1000,1,false)</f>
        <v>ZRM1_Kecap</v>
      </c>
      <c r="H5821" s="63" t="str">
        <f>IFERROR(__xludf.DUMMYFUNCTION("VLOOKUP(F5821, IMPORTRANGE(""https://docs.google.com/spreadsheets/d/1Lhp9OU0JdFf_VYSMzH5lBcEaU4o8teT1piV-SNzShjg/edit?gid=554141278#gid=554141278"", ""'Char Def. - Attributes'!C20:C2242""), 1,false)"),"ALT_NUM_UOM3")</f>
        <v>ALT_NUM_UOM3</v>
      </c>
      <c r="I5821" s="136"/>
    </row>
    <row r="5822" ht="15.75" customHeight="1">
      <c r="A5822" s="59"/>
      <c r="B5822" s="63">
        <f t="shared" si="1"/>
        <v>10</v>
      </c>
      <c r="C5822" s="156" t="s">
        <v>289</v>
      </c>
      <c r="D5822" s="147" t="s">
        <v>74</v>
      </c>
      <c r="E5822" s="135">
        <f t="shared" si="59"/>
        <v>20</v>
      </c>
      <c r="F5822" s="152" t="s">
        <v>3872</v>
      </c>
      <c r="G5822" s="63" t="str">
        <f>VLOOKUP(C5822, 'Class Def. - General Data'!$C$20:$C$1000,1,false)</f>
        <v>ZRM1_Kecap</v>
      </c>
      <c r="H5822" s="63" t="str">
        <f>IFERROR(__xludf.DUMMYFUNCTION("VLOOKUP(F5822, IMPORTRANGE(""https://docs.google.com/spreadsheets/d/1Lhp9OU0JdFf_VYSMzH5lBcEaU4o8teT1piV-SNzShjg/edit?gid=554141278#gid=554141278"", ""'Char Def. - Attributes'!C20:C2242""), 1,false)"),"ALT_UOM4_RMPM")</f>
        <v>ALT_UOM4_RMPM</v>
      </c>
      <c r="I5822" s="136"/>
    </row>
    <row r="5823" ht="15.75" customHeight="1">
      <c r="A5823" s="59"/>
      <c r="B5823" s="63">
        <f t="shared" si="1"/>
        <v>10</v>
      </c>
      <c r="C5823" s="156" t="s">
        <v>289</v>
      </c>
      <c r="D5823" s="147" t="s">
        <v>74</v>
      </c>
      <c r="E5823" s="135">
        <f t="shared" si="59"/>
        <v>21</v>
      </c>
      <c r="F5823" s="148" t="s">
        <v>3814</v>
      </c>
      <c r="G5823" s="63" t="str">
        <f>VLOOKUP(C5823, 'Class Def. - General Data'!$C$20:$C$1000,1,false)</f>
        <v>ZRM1_Kecap</v>
      </c>
      <c r="H5823" s="63" t="str">
        <f>IFERROR(__xludf.DUMMYFUNCTION("VLOOKUP(F5823, IMPORTRANGE(""https://docs.google.com/spreadsheets/d/1Lhp9OU0JdFf_VYSMzH5lBcEaU4o8teT1piV-SNzShjg/edit?gid=554141278#gid=554141278"", ""'Char Def. - Attributes'!C20:C2242""), 1,false)"),"ALT_DENUM_UOM4")</f>
        <v>ALT_DENUM_UOM4</v>
      </c>
      <c r="I5823" s="136"/>
    </row>
    <row r="5824" ht="15.75" customHeight="1">
      <c r="A5824" s="59"/>
      <c r="B5824" s="63">
        <f t="shared" si="1"/>
        <v>10</v>
      </c>
      <c r="C5824" s="156" t="s">
        <v>289</v>
      </c>
      <c r="D5824" s="147" t="s">
        <v>74</v>
      </c>
      <c r="E5824" s="135">
        <f t="shared" si="59"/>
        <v>22</v>
      </c>
      <c r="F5824" s="152" t="s">
        <v>3815</v>
      </c>
      <c r="G5824" s="63" t="str">
        <f>VLOOKUP(C5824, 'Class Def. - General Data'!$C$20:$C$1000,1,false)</f>
        <v>ZRM1_Kecap</v>
      </c>
      <c r="H5824" s="63" t="str">
        <f>IFERROR(__xludf.DUMMYFUNCTION("VLOOKUP(F5824, IMPORTRANGE(""https://docs.google.com/spreadsheets/d/1Lhp9OU0JdFf_VYSMzH5lBcEaU4o8teT1piV-SNzShjg/edit?gid=554141278#gid=554141278"", ""'Char Def. - Attributes'!C20:C2242""), 1,false)"),"ALT_NUM_UOM4")</f>
        <v>ALT_NUM_UOM4</v>
      </c>
      <c r="I5824" s="136"/>
    </row>
    <row r="5825" ht="15.75" customHeight="1">
      <c r="B5825" s="63">
        <f t="shared" si="1"/>
        <v>10</v>
      </c>
      <c r="C5825" s="156" t="s">
        <v>289</v>
      </c>
      <c r="D5825" s="147" t="s">
        <v>74</v>
      </c>
      <c r="E5825" s="135">
        <f t="shared" si="59"/>
        <v>23</v>
      </c>
      <c r="F5825" s="152" t="s">
        <v>3873</v>
      </c>
      <c r="G5825" s="63" t="str">
        <f>VLOOKUP(C5825, 'Class Def. - General Data'!$C$20:$C$1000,1,false)</f>
        <v>ZRM1_Kecap</v>
      </c>
      <c r="H5825" s="63" t="str">
        <f>IFERROR(__xludf.DUMMYFUNCTION("VLOOKUP(F5825, IMPORTRANGE(""https://docs.google.com/spreadsheets/d/1Lhp9OU0JdFf_VYSMzH5lBcEaU4o8teT1piV-SNzShjg/edit?gid=554141278#gid=554141278"", ""'Char Def. - Attributes'!C20:C2242""), 1,false)"),"ALT_UOM5_RMPM")</f>
        <v>ALT_UOM5_RMPM</v>
      </c>
      <c r="I5825" s="136"/>
    </row>
    <row r="5826" ht="15.75" customHeight="1">
      <c r="B5826" s="63">
        <f t="shared" si="1"/>
        <v>10</v>
      </c>
      <c r="C5826" s="156" t="s">
        <v>289</v>
      </c>
      <c r="D5826" s="147" t="s">
        <v>74</v>
      </c>
      <c r="E5826" s="135">
        <f t="shared" si="59"/>
        <v>24</v>
      </c>
      <c r="F5826" s="152" t="s">
        <v>3817</v>
      </c>
      <c r="G5826" s="63" t="str">
        <f>VLOOKUP(C5826, 'Class Def. - General Data'!$C$20:$C$1000,1,false)</f>
        <v>ZRM1_Kecap</v>
      </c>
      <c r="H5826" s="63" t="str">
        <f>IFERROR(__xludf.DUMMYFUNCTION("VLOOKUP(F5826, IMPORTRANGE(""https://docs.google.com/spreadsheets/d/1Lhp9OU0JdFf_VYSMzH5lBcEaU4o8teT1piV-SNzShjg/edit?gid=554141278#gid=554141278"", ""'Char Def. - Attributes'!C20:C2242""), 1,false)"),"ALT_DENUM_UOM5")</f>
        <v>ALT_DENUM_UOM5</v>
      </c>
      <c r="I5826" s="136"/>
    </row>
    <row r="5827" ht="15.75" customHeight="1">
      <c r="B5827" s="63">
        <f t="shared" si="1"/>
        <v>10</v>
      </c>
      <c r="C5827" s="156" t="s">
        <v>289</v>
      </c>
      <c r="D5827" s="147" t="s">
        <v>74</v>
      </c>
      <c r="E5827" s="135">
        <f t="shared" si="59"/>
        <v>25</v>
      </c>
      <c r="F5827" s="152" t="s">
        <v>3818</v>
      </c>
      <c r="G5827" s="63" t="str">
        <f>VLOOKUP(C5827, 'Class Def. - General Data'!$C$20:$C$1000,1,false)</f>
        <v>ZRM1_Kecap</v>
      </c>
      <c r="H5827" s="63" t="str">
        <f>IFERROR(__xludf.DUMMYFUNCTION("VLOOKUP(F5827, IMPORTRANGE(""https://docs.google.com/spreadsheets/d/1Lhp9OU0JdFf_VYSMzH5lBcEaU4o8teT1piV-SNzShjg/edit?gid=554141278#gid=554141278"", ""'Char Def. - Attributes'!C20:C2242""), 1,false)"),"ALT_NUM_UOM5")</f>
        <v>ALT_NUM_UOM5</v>
      </c>
      <c r="I5827" s="136"/>
    </row>
    <row r="5828" ht="15.75" customHeight="1">
      <c r="B5828" s="63">
        <f t="shared" si="1"/>
        <v>10</v>
      </c>
      <c r="C5828" s="156" t="s">
        <v>289</v>
      </c>
      <c r="D5828" s="147" t="s">
        <v>74</v>
      </c>
      <c r="E5828" s="135">
        <f t="shared" si="59"/>
        <v>26</v>
      </c>
      <c r="F5828" s="152" t="s">
        <v>3874</v>
      </c>
      <c r="G5828" s="63" t="str">
        <f>VLOOKUP(C5828, 'Class Def. - General Data'!$C$20:$C$1000,1,false)</f>
        <v>ZRM1_Kecap</v>
      </c>
      <c r="H5828" s="63" t="str">
        <f>IFERROR(__xludf.DUMMYFUNCTION("VLOOKUP(F5828, IMPORTRANGE(""https://docs.google.com/spreadsheets/d/1Lhp9OU0JdFf_VYSMzH5lBcEaU4o8teT1piV-SNzShjg/edit?gid=554141278#gid=554141278"", ""'Char Def. - Attributes'!C20:C2242""), 1,false)"),"VALUATION_CATEGORY")</f>
        <v>VALUATION_CATEGORY</v>
      </c>
      <c r="I5828" s="136"/>
    </row>
    <row r="5829" ht="15.75" customHeight="1">
      <c r="A5829" s="59"/>
      <c r="B5829" s="63">
        <f t="shared" si="1"/>
        <v>10</v>
      </c>
      <c r="C5829" s="156" t="s">
        <v>289</v>
      </c>
      <c r="D5829" s="147" t="s">
        <v>74</v>
      </c>
      <c r="E5829" s="135">
        <f t="shared" si="59"/>
        <v>27</v>
      </c>
      <c r="F5829" s="152" t="s">
        <v>3800</v>
      </c>
      <c r="G5829" s="63" t="str">
        <f>VLOOKUP(C5829, 'Class Def. - General Data'!$C$20:$C$1000,1,false)</f>
        <v>ZRM1_Kecap</v>
      </c>
      <c r="H5829" s="63" t="str">
        <f>IFERROR(__xludf.DUMMYFUNCTION("VLOOKUP(F5829, IMPORTRANGE(""https://docs.google.com/spreadsheets/d/1Lhp9OU0JdFf_VYSMzH5lBcEaU4o8teT1piV-SNzShjg/edit?gid=554141278#gid=554141278"", ""'Char Def. - Attributes'!C20:C2242""), 1,false)"),"ORDER_UNIT_DIFF_FROM_BASIC_UOM")</f>
        <v>ORDER_UNIT_DIFF_FROM_BASIC_UOM</v>
      </c>
      <c r="I5829" s="136"/>
    </row>
    <row r="5830" ht="15.75" customHeight="1">
      <c r="A5830" s="158"/>
      <c r="B5830" s="63">
        <f t="shared" si="1"/>
        <v>10</v>
      </c>
      <c r="C5830" s="156" t="s">
        <v>289</v>
      </c>
      <c r="D5830" s="147" t="s">
        <v>74</v>
      </c>
      <c r="E5830" s="135">
        <f t="shared" si="59"/>
        <v>28</v>
      </c>
      <c r="F5830" s="152" t="s">
        <v>3875</v>
      </c>
      <c r="G5830" s="63" t="str">
        <f>VLOOKUP(C5830, 'Class Def. - General Data'!$C$20:$C$1000,1,false)</f>
        <v>ZRM1_Kecap</v>
      </c>
      <c r="H5830" s="63" t="str">
        <f>IFERROR(__xludf.DUMMYFUNCTION("VLOOKUP(F5830, IMPORTRANGE(""https://docs.google.com/spreadsheets/d/1Lhp9OU0JdFf_VYSMzH5lBcEaU4o8teT1piV-SNzShjg/edit?gid=554141278#gid=554141278"", ""'Char Def. - Attributes'!C20:C2242""), 1,false)"),"ORDER_UNIT_RMPM")</f>
        <v>ORDER_UNIT_RMPM</v>
      </c>
      <c r="I5830" s="136"/>
    </row>
    <row r="5831" ht="15.75" customHeight="1">
      <c r="A5831" s="158"/>
      <c r="B5831" s="63">
        <f t="shared" si="1"/>
        <v>10</v>
      </c>
      <c r="C5831" s="156" t="s">
        <v>289</v>
      </c>
      <c r="D5831" s="147" t="s">
        <v>74</v>
      </c>
      <c r="E5831" s="135">
        <f t="shared" si="59"/>
        <v>29</v>
      </c>
      <c r="F5831" s="151" t="s">
        <v>3602</v>
      </c>
      <c r="G5831" s="63" t="str">
        <f>VLOOKUP(C5831, 'Class Def. - General Data'!$C$20:$C$1000,1,false)</f>
        <v>ZRM1_Kecap</v>
      </c>
      <c r="H5831" s="63" t="str">
        <f>IFERROR(__xludf.DUMMYFUNCTION("VLOOKUP(F5831, IMPORTRANGE(""https://docs.google.com/spreadsheets/d/1Lhp9OU0JdFf_VYSMzH5lBcEaU4o8teT1piV-SNzShjg/edit?gid=554141278#gid=554141278"", ""'Char Def. - Attributes'!C20:C2242""), 1,false)"),"NET_WEIGHT")</f>
        <v>NET_WEIGHT</v>
      </c>
      <c r="I5831" s="136"/>
    </row>
    <row r="5832" ht="15.75" customHeight="1">
      <c r="B5832" s="63">
        <f t="shared" si="1"/>
        <v>10</v>
      </c>
      <c r="C5832" s="156" t="s">
        <v>289</v>
      </c>
      <c r="D5832" s="147" t="s">
        <v>74</v>
      </c>
      <c r="E5832" s="135">
        <f t="shared" si="59"/>
        <v>30</v>
      </c>
      <c r="F5832" s="151" t="s">
        <v>3601</v>
      </c>
      <c r="G5832" s="63" t="str">
        <f>VLOOKUP(C5832, 'Class Def. - General Data'!$C$20:$C$1000,1,false)</f>
        <v>ZRM1_Kecap</v>
      </c>
      <c r="H5832" s="63" t="str">
        <f>IFERROR(__xludf.DUMMYFUNCTION("VLOOKUP(F5832, IMPORTRANGE(""https://docs.google.com/spreadsheets/d/1Lhp9OU0JdFf_VYSMzH5lBcEaU4o8teT1piV-SNzShjg/edit?gid=554141278#gid=554141278"", ""'Char Def. - Attributes'!C20:C2242""), 1,false)"),"GROSS_WEIGHT")</f>
        <v>GROSS_WEIGHT</v>
      </c>
      <c r="I5832" s="136"/>
    </row>
    <row r="5833" ht="15.75" customHeight="1">
      <c r="B5833" s="63">
        <f t="shared" si="1"/>
        <v>10</v>
      </c>
      <c r="C5833" s="156" t="s">
        <v>289</v>
      </c>
      <c r="D5833" s="147" t="s">
        <v>74</v>
      </c>
      <c r="E5833" s="135">
        <f t="shared" si="59"/>
        <v>31</v>
      </c>
      <c r="F5833" s="152" t="s">
        <v>3996</v>
      </c>
      <c r="G5833" s="63" t="str">
        <f>VLOOKUP(C5833, 'Class Def. - General Data'!$C$20:$C$1000,1,false)</f>
        <v>ZRM1_Kecap</v>
      </c>
      <c r="H5833" s="63" t="str">
        <f>IFERROR(__xludf.DUMMYFUNCTION("VLOOKUP(F5833, IMPORTRANGE(""https://docs.google.com/spreadsheets/d/1Lhp9OU0JdFf_VYSMzH5lBcEaU4o8teT1piV-SNzShjg/edit?gid=554141278#gid=554141278"", ""'Char Def. - Attributes'!C20:C2242""), 1,false)"),"WEIGHT_UNIT")</f>
        <v>WEIGHT_UNIT</v>
      </c>
      <c r="I5833" s="136"/>
    </row>
    <row r="5834" ht="15.75" customHeight="1">
      <c r="B5834" s="63">
        <f t="shared" si="1"/>
        <v>10</v>
      </c>
      <c r="C5834" s="156" t="s">
        <v>289</v>
      </c>
      <c r="D5834" s="147" t="s">
        <v>74</v>
      </c>
      <c r="E5834" s="135">
        <f t="shared" si="59"/>
        <v>32</v>
      </c>
      <c r="F5834" s="151" t="s">
        <v>3877</v>
      </c>
      <c r="G5834" s="63" t="str">
        <f>VLOOKUP(C5834, 'Class Def. - General Data'!$C$20:$C$1000,1,false)</f>
        <v>ZRM1_Kecap</v>
      </c>
      <c r="H5834" s="63" t="str">
        <f>IFERROR(__xludf.DUMMYFUNCTION("VLOOKUP(F5834, IMPORTRANGE(""https://docs.google.com/spreadsheets/d/1Lhp9OU0JdFf_VYSMzH5lBcEaU4o8teT1piV-SNzShjg/edit?gid=554141278#gid=554141278"", ""'Char Def. - Attributes'!C20:C2242""), 1,false)"),"VOLUME_OPT")</f>
        <v>VOLUME_OPT</v>
      </c>
      <c r="I5834" s="136"/>
    </row>
    <row r="5835" ht="15.75" customHeight="1">
      <c r="B5835" s="63">
        <f t="shared" si="1"/>
        <v>10</v>
      </c>
      <c r="C5835" s="156" t="s">
        <v>289</v>
      </c>
      <c r="D5835" s="147" t="s">
        <v>74</v>
      </c>
      <c r="E5835" s="135">
        <f t="shared" si="59"/>
        <v>33</v>
      </c>
      <c r="F5835" s="152" t="s">
        <v>3878</v>
      </c>
      <c r="G5835" s="63" t="str">
        <f>VLOOKUP(C5835, 'Class Def. - General Data'!$C$20:$C$1000,1,false)</f>
        <v>ZRM1_Kecap</v>
      </c>
      <c r="H5835" s="63" t="str">
        <f>IFERROR(__xludf.DUMMYFUNCTION("VLOOKUP(F5835, IMPORTRANGE(""https://docs.google.com/spreadsheets/d/1Lhp9OU0JdFf_VYSMzH5lBcEaU4o8teT1piV-SNzShjg/edit?gid=554141278#gid=554141278"", ""'Char Def. - Attributes'!C20:C2242""), 1,false)"),"VOLUME_UNIT")</f>
        <v>VOLUME_UNIT</v>
      </c>
      <c r="I5835" s="136"/>
    </row>
    <row r="5836" ht="15.75" customHeight="1">
      <c r="A5836" s="59"/>
      <c r="B5836" s="63">
        <f t="shared" si="1"/>
        <v>10</v>
      </c>
      <c r="C5836" s="156" t="s">
        <v>289</v>
      </c>
      <c r="D5836" s="147" t="s">
        <v>74</v>
      </c>
      <c r="E5836" s="135">
        <f t="shared" si="59"/>
        <v>34</v>
      </c>
      <c r="F5836" s="151" t="s">
        <v>3587</v>
      </c>
      <c r="G5836" s="63" t="str">
        <f>VLOOKUP(C5836, 'Class Def. - General Data'!$C$20:$C$1000,1,false)</f>
        <v>ZRM1_Kecap</v>
      </c>
      <c r="H5836" s="63" t="str">
        <f>IFERROR(__xludf.DUMMYFUNCTION("VLOOKUP(F5836, IMPORTRANGE(""https://docs.google.com/spreadsheets/d/1Lhp9OU0JdFf_VYSMzH5lBcEaU4o8teT1piV-SNzShjg/edit?gid=554141278#gid=554141278"", ""'Char Def. - Attributes'!C20:C2242""), 1,false)"),"PLANT_BUY")</f>
        <v>PLANT_BUY</v>
      </c>
      <c r="I5836" s="136"/>
    </row>
    <row r="5837" ht="15.75" customHeight="1">
      <c r="A5837" s="59"/>
      <c r="B5837" s="63">
        <f t="shared" si="1"/>
        <v>10</v>
      </c>
      <c r="C5837" s="156" t="s">
        <v>289</v>
      </c>
      <c r="D5837" s="147" t="s">
        <v>74</v>
      </c>
      <c r="E5837" s="135">
        <f t="shared" si="59"/>
        <v>35</v>
      </c>
      <c r="F5837" s="152" t="s">
        <v>3997</v>
      </c>
      <c r="G5837" s="63" t="str">
        <f>VLOOKUP(C5837, 'Class Def. - General Data'!$C$20:$C$1000,1,false)</f>
        <v>ZRM1_Kecap</v>
      </c>
      <c r="H5837" s="63" t="str">
        <f>IFERROR(__xludf.DUMMYFUNCTION("VLOOKUP(F5837, IMPORTRANGE(""https://docs.google.com/spreadsheets/d/1Lhp9OU0JdFf_VYSMzH5lBcEaU4o8teT1piV-SNzShjg/edit?gid=554141278#gid=554141278"", ""'Char Def. - Attributes'!C20:C2242""), 1,false)"),"OLD_MAT_NO_RMPM_OPT")</f>
        <v>OLD_MAT_NO_RMPM_OPT</v>
      </c>
      <c r="I5837" s="136"/>
    </row>
    <row r="5838" ht="15.75" customHeight="1">
      <c r="A5838" s="59"/>
      <c r="B5838" s="63">
        <f t="shared" si="1"/>
        <v>10</v>
      </c>
      <c r="C5838" s="156" t="s">
        <v>289</v>
      </c>
      <c r="D5838" s="147" t="s">
        <v>74</v>
      </c>
      <c r="E5838" s="135">
        <f t="shared" si="59"/>
        <v>36</v>
      </c>
      <c r="F5838" s="148" t="s">
        <v>3998</v>
      </c>
      <c r="G5838" s="63" t="str">
        <f>VLOOKUP(C5838, 'Class Def. - General Data'!$C$20:$C$1000,1,false)</f>
        <v>ZRM1_Kecap</v>
      </c>
      <c r="H5838" s="63" t="str">
        <f>IFERROR(__xludf.DUMMYFUNCTION("VLOOKUP(F5838, IMPORTRANGE(""https://docs.google.com/spreadsheets/d/1Lhp9OU0JdFf_VYSMzH5lBcEaU4o8teT1piV-SNzShjg/edit?gid=554141278#gid=554141278"", ""'Char Def. - Attributes'!C20:C2242""), 1,false)"),"MIN_STD_WEIGHT")</f>
        <v>MIN_STD_WEIGHT</v>
      </c>
      <c r="I5838" s="136"/>
    </row>
    <row r="5839" ht="15.75" customHeight="1">
      <c r="A5839" s="59"/>
      <c r="B5839" s="63">
        <f t="shared" si="1"/>
        <v>10</v>
      </c>
      <c r="C5839" s="156" t="s">
        <v>289</v>
      </c>
      <c r="D5839" s="147" t="s">
        <v>74</v>
      </c>
      <c r="E5839" s="135">
        <f t="shared" si="59"/>
        <v>37</v>
      </c>
      <c r="F5839" s="148" t="s">
        <v>3999</v>
      </c>
      <c r="G5839" s="63" t="str">
        <f>VLOOKUP(C5839, 'Class Def. - General Data'!$C$20:$C$1000,1,false)</f>
        <v>ZRM1_Kecap</v>
      </c>
      <c r="H5839" s="63" t="str">
        <f>IFERROR(__xludf.DUMMYFUNCTION("VLOOKUP(F5839, IMPORTRANGE(""https://docs.google.com/spreadsheets/d/1Lhp9OU0JdFf_VYSMzH5lBcEaU4o8teT1piV-SNzShjg/edit?gid=554141278#gid=554141278"", ""'Char Def. - Attributes'!C20:C2242""), 1,false)"),"MIN_STD_WEIGHT_UOM")</f>
        <v>MIN_STD_WEIGHT_UOM</v>
      </c>
      <c r="I5839" s="136"/>
    </row>
    <row r="5840" ht="15.75" customHeight="1">
      <c r="A5840" s="59"/>
      <c r="B5840" s="63">
        <f t="shared" si="1"/>
        <v>11</v>
      </c>
      <c r="C5840" s="156" t="s">
        <v>226</v>
      </c>
      <c r="D5840" s="147" t="s">
        <v>74</v>
      </c>
      <c r="E5840" s="135">
        <f t="shared" si="59"/>
        <v>1</v>
      </c>
      <c r="F5840" s="152" t="s">
        <v>4014</v>
      </c>
      <c r="G5840" s="63" t="str">
        <f>VLOOKUP(C5840, 'Class Def. - General Data'!$C$20:$C$1000,1,false)</f>
        <v>ZRM1_MB_PGM</v>
      </c>
      <c r="H5840" s="63" t="str">
        <f>IFERROR(__xludf.DUMMYFUNCTION("VLOOKUP(F5840, IMPORTRANGE(""https://docs.google.com/spreadsheets/d/1Lhp9OU0JdFf_VYSMzH5lBcEaU4o8teT1piV-SNzShjg/edit?gid=554141278#gid=554141278"", ""'Char Def. - Attributes'!C20:C2242""), 1,false)"),"MATERIAL_CODE_MB_PGMDROPDOWN")</f>
        <v>MATERIAL_CODE_MB_PGMDROPDOWN</v>
      </c>
      <c r="I5840" s="136"/>
    </row>
    <row r="5841" ht="15.75" customHeight="1">
      <c r="A5841" s="59"/>
      <c r="B5841" s="63">
        <f t="shared" si="1"/>
        <v>11</v>
      </c>
      <c r="C5841" s="156" t="s">
        <v>226</v>
      </c>
      <c r="D5841" s="147" t="s">
        <v>74</v>
      </c>
      <c r="E5841" s="135">
        <f t="shared" si="59"/>
        <v>2</v>
      </c>
      <c r="F5841" s="152" t="s">
        <v>4015</v>
      </c>
      <c r="G5841" s="63" t="str">
        <f>VLOOKUP(C5841, 'Class Def. - General Data'!$C$20:$C$1000,1,false)</f>
        <v>ZRM1_MB_PGM</v>
      </c>
      <c r="H5841" s="63" t="str">
        <f>IFERROR(__xludf.DUMMYFUNCTION("VLOOKUP(F5841, IMPORTRANGE(""https://docs.google.com/spreadsheets/d/1Lhp9OU0JdFf_VYSMzH5lBcEaU4o8teT1piV-SNzShjg/edit?gid=554141278#gid=554141278"", ""'Char Def. - Attributes'!C20:C2242""), 1,false)"),"COLOR_MB_PGM")</f>
        <v>COLOR_MB_PGM</v>
      </c>
      <c r="I5841" s="136"/>
    </row>
    <row r="5842" ht="15.75" customHeight="1">
      <c r="A5842" s="59"/>
      <c r="B5842" s="63">
        <f t="shared" si="1"/>
        <v>11</v>
      </c>
      <c r="C5842" s="156" t="s">
        <v>226</v>
      </c>
      <c r="D5842" s="147" t="s">
        <v>74</v>
      </c>
      <c r="E5842" s="135">
        <f t="shared" si="59"/>
        <v>3</v>
      </c>
      <c r="F5842" s="152" t="s">
        <v>4016</v>
      </c>
      <c r="G5842" s="63" t="str">
        <f>VLOOKUP(C5842, 'Class Def. - General Data'!$C$20:$C$1000,1,false)</f>
        <v>ZRM1_MB_PGM</v>
      </c>
      <c r="H5842" s="63" t="str">
        <f>IFERROR(__xludf.DUMMYFUNCTION("VLOOKUP(F5842, IMPORTRANGE(""https://docs.google.com/spreadsheets/d/1Lhp9OU0JdFf_VYSMzH5lBcEaU4o8teT1piV-SNzShjg/edit?gid=554141278#gid=554141278"", ""'Char Def. - Attributes'!C20:C2242""), 1,false)"),"SERIAL_NO_MB_PGM")</f>
        <v>SERIAL_NO_MB_PGM</v>
      </c>
      <c r="I5842" s="136"/>
    </row>
    <row r="5843" ht="15.75" customHeight="1">
      <c r="A5843" s="59"/>
      <c r="B5843" s="63">
        <f t="shared" si="1"/>
        <v>11</v>
      </c>
      <c r="C5843" s="156" t="s">
        <v>226</v>
      </c>
      <c r="D5843" s="147" t="s">
        <v>74</v>
      </c>
      <c r="E5843" s="135">
        <f t="shared" si="59"/>
        <v>4</v>
      </c>
      <c r="F5843" s="152" t="s">
        <v>4017</v>
      </c>
      <c r="G5843" s="63" t="str">
        <f>VLOOKUP(C5843, 'Class Def. - General Data'!$C$20:$C$1000,1,false)</f>
        <v>ZRM1_MB_PGM</v>
      </c>
      <c r="H5843" s="63" t="str">
        <f>IFERROR(__xludf.DUMMYFUNCTION("VLOOKUP(F5843, IMPORTRANGE(""https://docs.google.com/spreadsheets/d/1Lhp9OU0JdFf_VYSMzH5lBcEaU4o8teT1piV-SNzShjg/edit?gid=554141278#gid=554141278"", ""'Char Def. - Attributes'!C20:C2242""), 1,false)"),"ADDITIONAL_INFO_MB_PGM")</f>
        <v>ADDITIONAL_INFO_MB_PGM</v>
      </c>
      <c r="I5843" s="136"/>
    </row>
    <row r="5844" ht="15.75" customHeight="1">
      <c r="A5844" s="59"/>
      <c r="B5844" s="63">
        <f t="shared" si="1"/>
        <v>11</v>
      </c>
      <c r="C5844" s="156" t="s">
        <v>226</v>
      </c>
      <c r="D5844" s="147" t="s">
        <v>74</v>
      </c>
      <c r="E5844" s="135">
        <f t="shared" si="59"/>
        <v>5</v>
      </c>
      <c r="F5844" s="152" t="s">
        <v>3994</v>
      </c>
      <c r="G5844" s="63" t="str">
        <f>VLOOKUP(C5844, 'Class Def. - General Data'!$C$20:$C$1000,1,false)</f>
        <v>ZRM1_MB_PGM</v>
      </c>
      <c r="H5844" s="63" t="str">
        <f>IFERROR(__xludf.DUMMYFUNCTION("VLOOKUP(F5844, IMPORTRANGE(""https://docs.google.com/spreadsheets/d/1Lhp9OU0JdFf_VYSMzH5lBcEaU4o8teT1piV-SNzShjg/edit?gid=554141278#gid=554141278"", ""'Char Def. - Attributes'!C20:C2242""), 1,false)"),"RESIN_CATEGORY")</f>
        <v>RESIN_CATEGORY</v>
      </c>
      <c r="I5844" s="136"/>
    </row>
    <row r="5845" ht="15.75" customHeight="1">
      <c r="A5845" s="59"/>
      <c r="B5845" s="63">
        <f t="shared" si="1"/>
        <v>11</v>
      </c>
      <c r="C5845" s="156" t="s">
        <v>226</v>
      </c>
      <c r="D5845" s="147" t="s">
        <v>74</v>
      </c>
      <c r="E5845" s="135">
        <f t="shared" si="59"/>
        <v>6</v>
      </c>
      <c r="F5845" s="152" t="s">
        <v>4018</v>
      </c>
      <c r="G5845" s="63" t="str">
        <f>VLOOKUP(C5845, 'Class Def. - General Data'!$C$20:$C$1000,1,false)</f>
        <v>ZRM1_MB_PGM</v>
      </c>
      <c r="H5845" s="63" t="str">
        <f>IFERROR(__xludf.DUMMYFUNCTION("VLOOKUP(F5845, IMPORTRANGE(""https://docs.google.com/spreadsheets/d/1Lhp9OU0JdFf_VYSMzH5lBcEaU4o8teT1piV-SNzShjg/edit?gid=554141278#gid=554141278"", ""'Char Def. - Attributes'!C20:C2242""), 1,false)"),"RESIN_SUBCATEGORY")</f>
        <v>RESIN_SUBCATEGORY</v>
      </c>
      <c r="I5845" s="136"/>
    </row>
    <row r="5846" ht="15.75" customHeight="1">
      <c r="A5846" s="59"/>
      <c r="B5846" s="63">
        <f t="shared" si="1"/>
        <v>11</v>
      </c>
      <c r="C5846" s="156" t="s">
        <v>226</v>
      </c>
      <c r="D5846" s="147" t="s">
        <v>74</v>
      </c>
      <c r="E5846" s="135">
        <f t="shared" si="59"/>
        <v>7</v>
      </c>
      <c r="F5846" s="152" t="s">
        <v>4019</v>
      </c>
      <c r="G5846" s="63" t="str">
        <f>VLOOKUP(C5846, 'Class Def. - General Data'!$C$20:$C$1000,1,false)</f>
        <v>ZRM1_MB_PGM</v>
      </c>
      <c r="H5846" s="63" t="str">
        <f>IFERROR(__xludf.DUMMYFUNCTION("VLOOKUP(F5846, IMPORTRANGE(""https://docs.google.com/spreadsheets/d/1Lhp9OU0JdFf_VYSMzH5lBcEaU4o8teT1piV-SNzShjg/edit?gid=554141278#gid=554141278"", ""'Char Def. - Attributes'!C20:C2242""), 1,false)"),"GENERAL_SPEC_RESIN")</f>
        <v>GENERAL_SPEC_RESIN</v>
      </c>
      <c r="I5846" s="136"/>
    </row>
    <row r="5847" ht="15.75" customHeight="1">
      <c r="A5847" s="59"/>
      <c r="B5847" s="63">
        <f t="shared" si="1"/>
        <v>11</v>
      </c>
      <c r="C5847" s="156" t="s">
        <v>226</v>
      </c>
      <c r="D5847" s="147" t="s">
        <v>74</v>
      </c>
      <c r="E5847" s="135">
        <f t="shared" si="59"/>
        <v>8</v>
      </c>
      <c r="F5847" s="152" t="s">
        <v>3995</v>
      </c>
      <c r="G5847" s="63" t="str">
        <f>VLOOKUP(C5847, 'Class Def. - General Data'!$C$20:$C$1000,1,false)</f>
        <v>ZRM1_MB_PGM</v>
      </c>
      <c r="H5847" s="63" t="str">
        <f>IFERROR(__xludf.DUMMYFUNCTION("VLOOKUP(F5847, IMPORTRANGE(""https://docs.google.com/spreadsheets/d/1Lhp9OU0JdFf_VYSMzH5lBcEaU4o8teT1piV-SNzShjg/edit?gid=554141278#gid=554141278"", ""'Char Def. - Attributes'!C20:C2242""), 1,false)"),"GRADE")</f>
        <v>GRADE</v>
      </c>
      <c r="I5847" s="136"/>
    </row>
    <row r="5848" ht="15.75" customHeight="1">
      <c r="A5848" s="59"/>
      <c r="B5848" s="63">
        <f t="shared" si="1"/>
        <v>11</v>
      </c>
      <c r="C5848" s="156" t="s">
        <v>226</v>
      </c>
      <c r="D5848" s="147" t="s">
        <v>74</v>
      </c>
      <c r="E5848" s="135">
        <f t="shared" si="59"/>
        <v>9</v>
      </c>
      <c r="F5848" s="152" t="s">
        <v>4020</v>
      </c>
      <c r="G5848" s="63" t="str">
        <f>VLOOKUP(C5848, 'Class Def. - General Data'!$C$20:$C$1000,1,false)</f>
        <v>ZRM1_MB_PGM</v>
      </c>
      <c r="H5848" s="63" t="str">
        <f>IFERROR(__xludf.DUMMYFUNCTION("VLOOKUP(F5848, IMPORTRANGE(""https://docs.google.com/spreadsheets/d/1Lhp9OU0JdFf_VYSMzH5lBcEaU4o8teT1piV-SNzShjg/edit?gid=554141278#gid=554141278"", ""'Char Def. - Attributes'!C20:C2242""), 1,false)"),"RESIN_TYPE")</f>
        <v>RESIN_TYPE</v>
      </c>
      <c r="I5848" s="136"/>
    </row>
    <row r="5849" ht="15.75" customHeight="1">
      <c r="A5849" s="59"/>
      <c r="B5849" s="63">
        <f t="shared" si="1"/>
        <v>11</v>
      </c>
      <c r="C5849" s="156" t="s">
        <v>226</v>
      </c>
      <c r="D5849" s="147" t="s">
        <v>74</v>
      </c>
      <c r="E5849" s="135">
        <f t="shared" si="59"/>
        <v>10</v>
      </c>
      <c r="F5849" s="151" t="s">
        <v>3868</v>
      </c>
      <c r="G5849" s="63" t="str">
        <f>VLOOKUP(C5849, 'Class Def. - General Data'!$C$20:$C$1000,1,false)</f>
        <v>ZRM1_MB_PGM</v>
      </c>
      <c r="H5849" s="63" t="str">
        <f>IFERROR(__xludf.DUMMYFUNCTION("VLOOKUP(F5849, IMPORTRANGE(""https://docs.google.com/spreadsheets/d/1Lhp9OU0JdFf_VYSMzH5lBcEaU4o8teT1piV-SNzShjg/edit?gid=554141278#gid=554141278"", ""'Char Def. - Attributes'!C20:C2242""), 1,false)"),"BASIC_UOM_RMPM")</f>
        <v>BASIC_UOM_RMPM</v>
      </c>
      <c r="I5849" s="136"/>
    </row>
    <row r="5850" ht="15.75" customHeight="1">
      <c r="A5850" s="59"/>
      <c r="B5850" s="63">
        <f t="shared" si="1"/>
        <v>11</v>
      </c>
      <c r="C5850" s="156" t="s">
        <v>226</v>
      </c>
      <c r="D5850" s="147" t="s">
        <v>74</v>
      </c>
      <c r="E5850" s="135">
        <f t="shared" si="59"/>
        <v>11</v>
      </c>
      <c r="F5850" s="152" t="s">
        <v>3869</v>
      </c>
      <c r="G5850" s="63" t="str">
        <f>VLOOKUP(C5850, 'Class Def. - General Data'!$C$20:$C$1000,1,false)</f>
        <v>ZRM1_MB_PGM</v>
      </c>
      <c r="H5850" s="63" t="str">
        <f>IFERROR(__xludf.DUMMYFUNCTION("VLOOKUP(F5850, IMPORTRANGE(""https://docs.google.com/spreadsheets/d/1Lhp9OU0JdFf_VYSMzH5lBcEaU4o8teT1piV-SNzShjg/edit?gid=554141278#gid=554141278"", ""'Char Def. - Attributes'!C20:C2242""), 1,false)"),"ALT_UOM1_RMPM")</f>
        <v>ALT_UOM1_RMPM</v>
      </c>
      <c r="I5850" s="136"/>
    </row>
    <row r="5851" ht="15.75" customHeight="1">
      <c r="A5851" s="59"/>
      <c r="B5851" s="63">
        <f t="shared" si="1"/>
        <v>11</v>
      </c>
      <c r="C5851" s="156" t="s">
        <v>226</v>
      </c>
      <c r="D5851" s="147" t="s">
        <v>74</v>
      </c>
      <c r="E5851" s="135">
        <f t="shared" si="59"/>
        <v>12</v>
      </c>
      <c r="F5851" s="152" t="s">
        <v>3805</v>
      </c>
      <c r="G5851" s="63" t="str">
        <f>VLOOKUP(C5851, 'Class Def. - General Data'!$C$20:$C$1000,1,false)</f>
        <v>ZRM1_MB_PGM</v>
      </c>
      <c r="H5851" s="63" t="str">
        <f>IFERROR(__xludf.DUMMYFUNCTION("VLOOKUP(F5851, IMPORTRANGE(""https://docs.google.com/spreadsheets/d/1Lhp9OU0JdFf_VYSMzH5lBcEaU4o8teT1piV-SNzShjg/edit?gid=554141278#gid=554141278"", ""'Char Def. - Attributes'!C20:C2242""), 1,false)"),"ALT_DENUM_UOM1")</f>
        <v>ALT_DENUM_UOM1</v>
      </c>
      <c r="I5851" s="136"/>
    </row>
    <row r="5852" ht="15.75" customHeight="1">
      <c r="A5852" s="59"/>
      <c r="B5852" s="63">
        <f t="shared" si="1"/>
        <v>11</v>
      </c>
      <c r="C5852" s="156" t="s">
        <v>226</v>
      </c>
      <c r="D5852" s="147" t="s">
        <v>74</v>
      </c>
      <c r="E5852" s="135">
        <f t="shared" si="59"/>
        <v>13</v>
      </c>
      <c r="F5852" s="152" t="s">
        <v>3806</v>
      </c>
      <c r="G5852" s="63" t="str">
        <f>VLOOKUP(C5852, 'Class Def. - General Data'!$C$20:$C$1000,1,false)</f>
        <v>ZRM1_MB_PGM</v>
      </c>
      <c r="H5852" s="63" t="str">
        <f>IFERROR(__xludf.DUMMYFUNCTION("VLOOKUP(F5852, IMPORTRANGE(""https://docs.google.com/spreadsheets/d/1Lhp9OU0JdFf_VYSMzH5lBcEaU4o8teT1piV-SNzShjg/edit?gid=554141278#gid=554141278"", ""'Char Def. - Attributes'!C20:C2242""), 1,false)"),"ALT_NUM_UOM1")</f>
        <v>ALT_NUM_UOM1</v>
      </c>
      <c r="I5852" s="136"/>
    </row>
    <row r="5853" ht="15.75" customHeight="1">
      <c r="B5853" s="63">
        <f t="shared" si="1"/>
        <v>11</v>
      </c>
      <c r="C5853" s="156" t="s">
        <v>226</v>
      </c>
      <c r="D5853" s="147" t="s">
        <v>74</v>
      </c>
      <c r="E5853" s="135">
        <f t="shared" si="59"/>
        <v>14</v>
      </c>
      <c r="F5853" s="152" t="s">
        <v>3870</v>
      </c>
      <c r="G5853" s="63" t="str">
        <f>VLOOKUP(C5853, 'Class Def. - General Data'!$C$20:$C$1000,1,false)</f>
        <v>ZRM1_MB_PGM</v>
      </c>
      <c r="H5853" s="63" t="str">
        <f>IFERROR(__xludf.DUMMYFUNCTION("VLOOKUP(F5853, IMPORTRANGE(""https://docs.google.com/spreadsheets/d/1Lhp9OU0JdFf_VYSMzH5lBcEaU4o8teT1piV-SNzShjg/edit?gid=554141278#gid=554141278"", ""'Char Def. - Attributes'!C20:C2242""), 1,false)"),"ALT_UOM2_RMPM")</f>
        <v>ALT_UOM2_RMPM</v>
      </c>
      <c r="I5853" s="136"/>
    </row>
    <row r="5854" ht="15.75" customHeight="1">
      <c r="B5854" s="63">
        <f t="shared" si="1"/>
        <v>11</v>
      </c>
      <c r="C5854" s="156" t="s">
        <v>226</v>
      </c>
      <c r="D5854" s="147" t="s">
        <v>74</v>
      </c>
      <c r="E5854" s="135">
        <f t="shared" si="59"/>
        <v>15</v>
      </c>
      <c r="F5854" s="152" t="s">
        <v>3808</v>
      </c>
      <c r="G5854" s="63" t="str">
        <f>VLOOKUP(C5854, 'Class Def. - General Data'!$C$20:$C$1000,1,false)</f>
        <v>ZRM1_MB_PGM</v>
      </c>
      <c r="H5854" s="63" t="str">
        <f>IFERROR(__xludf.DUMMYFUNCTION("VLOOKUP(F5854, IMPORTRANGE(""https://docs.google.com/spreadsheets/d/1Lhp9OU0JdFf_VYSMzH5lBcEaU4o8teT1piV-SNzShjg/edit?gid=554141278#gid=554141278"", ""'Char Def. - Attributes'!C20:C2242""), 1,false)"),"ALT_DENUM_UOM2")</f>
        <v>ALT_DENUM_UOM2</v>
      </c>
      <c r="I5854" s="136"/>
    </row>
    <row r="5855" ht="15.75" customHeight="1">
      <c r="A5855" s="59"/>
      <c r="B5855" s="63">
        <f t="shared" si="1"/>
        <v>11</v>
      </c>
      <c r="C5855" s="156" t="s">
        <v>226</v>
      </c>
      <c r="D5855" s="147" t="s">
        <v>74</v>
      </c>
      <c r="E5855" s="135">
        <f t="shared" si="59"/>
        <v>16</v>
      </c>
      <c r="F5855" s="152" t="s">
        <v>3809</v>
      </c>
      <c r="G5855" s="63" t="str">
        <f>VLOOKUP(C5855, 'Class Def. - General Data'!$C$20:$C$1000,1,false)</f>
        <v>ZRM1_MB_PGM</v>
      </c>
      <c r="H5855" s="63" t="str">
        <f>IFERROR(__xludf.DUMMYFUNCTION("VLOOKUP(F5855, IMPORTRANGE(""https://docs.google.com/spreadsheets/d/1Lhp9OU0JdFf_VYSMzH5lBcEaU4o8teT1piV-SNzShjg/edit?gid=554141278#gid=554141278"", ""'Char Def. - Attributes'!C20:C2242""), 1,false)"),"ALT_NUM_UOM2")</f>
        <v>ALT_NUM_UOM2</v>
      </c>
      <c r="I5855" s="136"/>
    </row>
    <row r="5856" ht="15.75" customHeight="1">
      <c r="A5856" s="158"/>
      <c r="B5856" s="63">
        <f t="shared" si="1"/>
        <v>11</v>
      </c>
      <c r="C5856" s="156" t="s">
        <v>226</v>
      </c>
      <c r="D5856" s="147" t="s">
        <v>74</v>
      </c>
      <c r="E5856" s="135">
        <f t="shared" si="59"/>
        <v>17</v>
      </c>
      <c r="F5856" s="152" t="s">
        <v>3871</v>
      </c>
      <c r="G5856" s="63" t="str">
        <f>VLOOKUP(C5856, 'Class Def. - General Data'!$C$20:$C$1000,1,false)</f>
        <v>ZRM1_MB_PGM</v>
      </c>
      <c r="H5856" s="63" t="str">
        <f>IFERROR(__xludf.DUMMYFUNCTION("VLOOKUP(F5856, IMPORTRANGE(""https://docs.google.com/spreadsheets/d/1Lhp9OU0JdFf_VYSMzH5lBcEaU4o8teT1piV-SNzShjg/edit?gid=554141278#gid=554141278"", ""'Char Def. - Attributes'!C20:C2242""), 1,false)"),"ALT_UOM3_RMPM")</f>
        <v>ALT_UOM3_RMPM</v>
      </c>
      <c r="I5856" s="136"/>
    </row>
    <row r="5857" ht="15.75" customHeight="1">
      <c r="A5857" s="158"/>
      <c r="B5857" s="63">
        <f t="shared" si="1"/>
        <v>11</v>
      </c>
      <c r="C5857" s="156" t="s">
        <v>226</v>
      </c>
      <c r="D5857" s="147" t="s">
        <v>74</v>
      </c>
      <c r="E5857" s="135">
        <f t="shared" si="59"/>
        <v>18</v>
      </c>
      <c r="F5857" s="152" t="s">
        <v>3811</v>
      </c>
      <c r="G5857" s="63" t="str">
        <f>VLOOKUP(C5857, 'Class Def. - General Data'!$C$20:$C$1000,1,false)</f>
        <v>ZRM1_MB_PGM</v>
      </c>
      <c r="H5857" s="63" t="str">
        <f>IFERROR(__xludf.DUMMYFUNCTION("VLOOKUP(F5857, IMPORTRANGE(""https://docs.google.com/spreadsheets/d/1Lhp9OU0JdFf_VYSMzH5lBcEaU4o8teT1piV-SNzShjg/edit?gid=554141278#gid=554141278"", ""'Char Def. - Attributes'!C20:C2242""), 1,false)"),"ALT_DENUM_UOM3")</f>
        <v>ALT_DENUM_UOM3</v>
      </c>
      <c r="I5857" s="136"/>
    </row>
    <row r="5858" ht="15.75" customHeight="1">
      <c r="A5858" s="59"/>
      <c r="B5858" s="63">
        <f t="shared" si="1"/>
        <v>11</v>
      </c>
      <c r="C5858" s="156" t="s">
        <v>226</v>
      </c>
      <c r="D5858" s="147" t="s">
        <v>74</v>
      </c>
      <c r="E5858" s="135">
        <f t="shared" si="59"/>
        <v>19</v>
      </c>
      <c r="F5858" s="152" t="s">
        <v>3812</v>
      </c>
      <c r="G5858" s="63" t="str">
        <f>VLOOKUP(C5858, 'Class Def. - General Data'!$C$20:$C$1000,1,false)</f>
        <v>ZRM1_MB_PGM</v>
      </c>
      <c r="H5858" s="63" t="str">
        <f>IFERROR(__xludf.DUMMYFUNCTION("VLOOKUP(F5858, IMPORTRANGE(""https://docs.google.com/spreadsheets/d/1Lhp9OU0JdFf_VYSMzH5lBcEaU4o8teT1piV-SNzShjg/edit?gid=554141278#gid=554141278"", ""'Char Def. - Attributes'!C20:C2242""), 1,false)"),"ALT_NUM_UOM3")</f>
        <v>ALT_NUM_UOM3</v>
      </c>
      <c r="I5858" s="136"/>
    </row>
    <row r="5859" ht="15.75" customHeight="1">
      <c r="B5859" s="63">
        <f t="shared" si="1"/>
        <v>11</v>
      </c>
      <c r="C5859" s="156" t="s">
        <v>226</v>
      </c>
      <c r="D5859" s="147" t="s">
        <v>74</v>
      </c>
      <c r="E5859" s="135">
        <f t="shared" si="59"/>
        <v>20</v>
      </c>
      <c r="F5859" s="152" t="s">
        <v>3872</v>
      </c>
      <c r="G5859" s="63" t="str">
        <f>VLOOKUP(C5859, 'Class Def. - General Data'!$C$20:$C$1000,1,false)</f>
        <v>ZRM1_MB_PGM</v>
      </c>
      <c r="H5859" s="63" t="str">
        <f>IFERROR(__xludf.DUMMYFUNCTION("VLOOKUP(F5859, IMPORTRANGE(""https://docs.google.com/spreadsheets/d/1Lhp9OU0JdFf_VYSMzH5lBcEaU4o8teT1piV-SNzShjg/edit?gid=554141278#gid=554141278"", ""'Char Def. - Attributes'!C20:C2242""), 1,false)"),"ALT_UOM4_RMPM")</f>
        <v>ALT_UOM4_RMPM</v>
      </c>
      <c r="I5859" s="136"/>
    </row>
    <row r="5860" ht="15.75" customHeight="1">
      <c r="B5860" s="63">
        <f t="shared" si="1"/>
        <v>11</v>
      </c>
      <c r="C5860" s="156" t="s">
        <v>226</v>
      </c>
      <c r="D5860" s="147" t="s">
        <v>74</v>
      </c>
      <c r="E5860" s="135">
        <f t="shared" si="59"/>
        <v>21</v>
      </c>
      <c r="F5860" s="148" t="s">
        <v>3814</v>
      </c>
      <c r="G5860" s="63" t="str">
        <f>VLOOKUP(C5860, 'Class Def. - General Data'!$C$20:$C$1000,1,false)</f>
        <v>ZRM1_MB_PGM</v>
      </c>
      <c r="H5860" s="63" t="str">
        <f>IFERROR(__xludf.DUMMYFUNCTION("VLOOKUP(F5860, IMPORTRANGE(""https://docs.google.com/spreadsheets/d/1Lhp9OU0JdFf_VYSMzH5lBcEaU4o8teT1piV-SNzShjg/edit?gid=554141278#gid=554141278"", ""'Char Def. - Attributes'!C20:C2242""), 1,false)"),"ALT_DENUM_UOM4")</f>
        <v>ALT_DENUM_UOM4</v>
      </c>
      <c r="I5860" s="136"/>
    </row>
    <row r="5861" ht="15.75" customHeight="1">
      <c r="B5861" s="63">
        <f t="shared" si="1"/>
        <v>11</v>
      </c>
      <c r="C5861" s="156" t="s">
        <v>226</v>
      </c>
      <c r="D5861" s="147" t="s">
        <v>74</v>
      </c>
      <c r="E5861" s="135">
        <f t="shared" si="59"/>
        <v>22</v>
      </c>
      <c r="F5861" s="152" t="s">
        <v>3815</v>
      </c>
      <c r="G5861" s="63" t="str">
        <f>VLOOKUP(C5861, 'Class Def. - General Data'!$C$20:$C$1000,1,false)</f>
        <v>ZRM1_MB_PGM</v>
      </c>
      <c r="H5861" s="63" t="str">
        <f>IFERROR(__xludf.DUMMYFUNCTION("VLOOKUP(F5861, IMPORTRANGE(""https://docs.google.com/spreadsheets/d/1Lhp9OU0JdFf_VYSMzH5lBcEaU4o8teT1piV-SNzShjg/edit?gid=554141278#gid=554141278"", ""'Char Def. - Attributes'!C20:C2242""), 1,false)"),"ALT_NUM_UOM4")</f>
        <v>ALT_NUM_UOM4</v>
      </c>
      <c r="I5861" s="136"/>
    </row>
    <row r="5862" ht="15.75" customHeight="1">
      <c r="A5862" s="59"/>
      <c r="B5862" s="63">
        <f t="shared" si="1"/>
        <v>11</v>
      </c>
      <c r="C5862" s="156" t="s">
        <v>226</v>
      </c>
      <c r="D5862" s="147" t="s">
        <v>74</v>
      </c>
      <c r="E5862" s="135">
        <f t="shared" si="59"/>
        <v>23</v>
      </c>
      <c r="F5862" s="152" t="s">
        <v>3873</v>
      </c>
      <c r="G5862" s="63" t="str">
        <f>VLOOKUP(C5862, 'Class Def. - General Data'!$C$20:$C$1000,1,false)</f>
        <v>ZRM1_MB_PGM</v>
      </c>
      <c r="H5862" s="63" t="str">
        <f>IFERROR(__xludf.DUMMYFUNCTION("VLOOKUP(F5862, IMPORTRANGE(""https://docs.google.com/spreadsheets/d/1Lhp9OU0JdFf_VYSMzH5lBcEaU4o8teT1piV-SNzShjg/edit?gid=554141278#gid=554141278"", ""'Char Def. - Attributes'!C20:C2242""), 1,false)"),"ALT_UOM5_RMPM")</f>
        <v>ALT_UOM5_RMPM</v>
      </c>
      <c r="I5862" s="136"/>
    </row>
    <row r="5863" ht="15.75" customHeight="1">
      <c r="A5863" s="59"/>
      <c r="B5863" s="63">
        <f t="shared" si="1"/>
        <v>11</v>
      </c>
      <c r="C5863" s="156" t="s">
        <v>226</v>
      </c>
      <c r="D5863" s="147" t="s">
        <v>74</v>
      </c>
      <c r="E5863" s="135">
        <f t="shared" si="59"/>
        <v>24</v>
      </c>
      <c r="F5863" s="152" t="s">
        <v>3817</v>
      </c>
      <c r="G5863" s="63" t="str">
        <f>VLOOKUP(C5863, 'Class Def. - General Data'!$C$20:$C$1000,1,false)</f>
        <v>ZRM1_MB_PGM</v>
      </c>
      <c r="H5863" s="63" t="str">
        <f>IFERROR(__xludf.DUMMYFUNCTION("VLOOKUP(F5863, IMPORTRANGE(""https://docs.google.com/spreadsheets/d/1Lhp9OU0JdFf_VYSMzH5lBcEaU4o8teT1piV-SNzShjg/edit?gid=554141278#gid=554141278"", ""'Char Def. - Attributes'!C20:C2242""), 1,false)"),"ALT_DENUM_UOM5")</f>
        <v>ALT_DENUM_UOM5</v>
      </c>
      <c r="I5863" s="136"/>
    </row>
    <row r="5864" ht="15.75" customHeight="1">
      <c r="A5864" s="59"/>
      <c r="B5864" s="63">
        <f t="shared" si="1"/>
        <v>11</v>
      </c>
      <c r="C5864" s="156" t="s">
        <v>226</v>
      </c>
      <c r="D5864" s="147" t="s">
        <v>74</v>
      </c>
      <c r="E5864" s="135">
        <f t="shared" si="59"/>
        <v>25</v>
      </c>
      <c r="F5864" s="152" t="s">
        <v>3818</v>
      </c>
      <c r="G5864" s="63" t="str">
        <f>VLOOKUP(C5864, 'Class Def. - General Data'!$C$20:$C$1000,1,false)</f>
        <v>ZRM1_MB_PGM</v>
      </c>
      <c r="H5864" s="63" t="str">
        <f>IFERROR(__xludf.DUMMYFUNCTION("VLOOKUP(F5864, IMPORTRANGE(""https://docs.google.com/spreadsheets/d/1Lhp9OU0JdFf_VYSMzH5lBcEaU4o8teT1piV-SNzShjg/edit?gid=554141278#gid=554141278"", ""'Char Def. - Attributes'!C20:C2242""), 1,false)"),"ALT_NUM_UOM5")</f>
        <v>ALT_NUM_UOM5</v>
      </c>
      <c r="I5864" s="136"/>
    </row>
    <row r="5865" ht="15.75" customHeight="1">
      <c r="A5865" s="59"/>
      <c r="B5865" s="63">
        <f t="shared" si="1"/>
        <v>11</v>
      </c>
      <c r="C5865" s="156" t="s">
        <v>226</v>
      </c>
      <c r="D5865" s="147" t="s">
        <v>74</v>
      </c>
      <c r="E5865" s="135">
        <f t="shared" si="59"/>
        <v>26</v>
      </c>
      <c r="F5865" s="152" t="s">
        <v>3874</v>
      </c>
      <c r="G5865" s="63" t="str">
        <f>VLOOKUP(C5865, 'Class Def. - General Data'!$C$20:$C$1000,1,false)</f>
        <v>ZRM1_MB_PGM</v>
      </c>
      <c r="H5865" s="63" t="str">
        <f>IFERROR(__xludf.DUMMYFUNCTION("VLOOKUP(F5865, IMPORTRANGE(""https://docs.google.com/spreadsheets/d/1Lhp9OU0JdFf_VYSMzH5lBcEaU4o8teT1piV-SNzShjg/edit?gid=554141278#gid=554141278"", ""'Char Def. - Attributes'!C20:C2242""), 1,false)"),"VALUATION_CATEGORY")</f>
        <v>VALUATION_CATEGORY</v>
      </c>
      <c r="I5865" s="136"/>
    </row>
    <row r="5866" ht="15.75" customHeight="1">
      <c r="A5866" s="59"/>
      <c r="B5866" s="63">
        <f t="shared" si="1"/>
        <v>11</v>
      </c>
      <c r="C5866" s="156" t="s">
        <v>226</v>
      </c>
      <c r="D5866" s="147" t="s">
        <v>74</v>
      </c>
      <c r="E5866" s="135">
        <f t="shared" si="59"/>
        <v>27</v>
      </c>
      <c r="F5866" s="152" t="s">
        <v>3800</v>
      </c>
      <c r="G5866" s="63" t="str">
        <f>VLOOKUP(C5866, 'Class Def. - General Data'!$C$20:$C$1000,1,false)</f>
        <v>ZRM1_MB_PGM</v>
      </c>
      <c r="H5866" s="63" t="str">
        <f>IFERROR(__xludf.DUMMYFUNCTION("VLOOKUP(F5866, IMPORTRANGE(""https://docs.google.com/spreadsheets/d/1Lhp9OU0JdFf_VYSMzH5lBcEaU4o8teT1piV-SNzShjg/edit?gid=554141278#gid=554141278"", ""'Char Def. - Attributes'!C20:C2242""), 1,false)"),"ORDER_UNIT_DIFF_FROM_BASIC_UOM")</f>
        <v>ORDER_UNIT_DIFF_FROM_BASIC_UOM</v>
      </c>
      <c r="I5866" s="136"/>
    </row>
    <row r="5867" ht="15.75" customHeight="1">
      <c r="A5867" s="59"/>
      <c r="B5867" s="63">
        <f t="shared" si="1"/>
        <v>11</v>
      </c>
      <c r="C5867" s="156" t="s">
        <v>226</v>
      </c>
      <c r="D5867" s="147" t="s">
        <v>74</v>
      </c>
      <c r="E5867" s="135">
        <f t="shared" si="59"/>
        <v>28</v>
      </c>
      <c r="F5867" s="152" t="s">
        <v>3875</v>
      </c>
      <c r="G5867" s="63" t="str">
        <f>VLOOKUP(C5867, 'Class Def. - General Data'!$C$20:$C$1000,1,false)</f>
        <v>ZRM1_MB_PGM</v>
      </c>
      <c r="H5867" s="63" t="str">
        <f>IFERROR(__xludf.DUMMYFUNCTION("VLOOKUP(F5867, IMPORTRANGE(""https://docs.google.com/spreadsheets/d/1Lhp9OU0JdFf_VYSMzH5lBcEaU4o8teT1piV-SNzShjg/edit?gid=554141278#gid=554141278"", ""'Char Def. - Attributes'!C20:C2242""), 1,false)"),"ORDER_UNIT_RMPM")</f>
        <v>ORDER_UNIT_RMPM</v>
      </c>
      <c r="I5867" s="136"/>
    </row>
    <row r="5868" ht="15.75" customHeight="1">
      <c r="A5868" s="59"/>
      <c r="B5868" s="63">
        <f t="shared" si="1"/>
        <v>11</v>
      </c>
      <c r="C5868" s="156" t="s">
        <v>226</v>
      </c>
      <c r="D5868" s="147" t="s">
        <v>74</v>
      </c>
      <c r="E5868" s="135">
        <f t="shared" si="59"/>
        <v>29</v>
      </c>
      <c r="F5868" s="151" t="s">
        <v>3602</v>
      </c>
      <c r="G5868" s="63" t="str">
        <f>VLOOKUP(C5868, 'Class Def. - General Data'!$C$20:$C$1000,1,false)</f>
        <v>ZRM1_MB_PGM</v>
      </c>
      <c r="H5868" s="63" t="str">
        <f>IFERROR(__xludf.DUMMYFUNCTION("VLOOKUP(F5868, IMPORTRANGE(""https://docs.google.com/spreadsheets/d/1Lhp9OU0JdFf_VYSMzH5lBcEaU4o8teT1piV-SNzShjg/edit?gid=554141278#gid=554141278"", ""'Char Def. - Attributes'!C20:C2242""), 1,false)"),"NET_WEIGHT")</f>
        <v>NET_WEIGHT</v>
      </c>
      <c r="I5868" s="136"/>
    </row>
    <row r="5869" ht="15.75" customHeight="1">
      <c r="A5869" s="59"/>
      <c r="B5869" s="63">
        <f t="shared" si="1"/>
        <v>11</v>
      </c>
      <c r="C5869" s="156" t="s">
        <v>226</v>
      </c>
      <c r="D5869" s="147" t="s">
        <v>74</v>
      </c>
      <c r="E5869" s="135">
        <f t="shared" si="59"/>
        <v>30</v>
      </c>
      <c r="F5869" s="151" t="s">
        <v>3601</v>
      </c>
      <c r="G5869" s="63" t="str">
        <f>VLOOKUP(C5869, 'Class Def. - General Data'!$C$20:$C$1000,1,false)</f>
        <v>ZRM1_MB_PGM</v>
      </c>
      <c r="H5869" s="63" t="str">
        <f>IFERROR(__xludf.DUMMYFUNCTION("VLOOKUP(F5869, IMPORTRANGE(""https://docs.google.com/spreadsheets/d/1Lhp9OU0JdFf_VYSMzH5lBcEaU4o8teT1piV-SNzShjg/edit?gid=554141278#gid=554141278"", ""'Char Def. - Attributes'!C20:C2242""), 1,false)"),"GROSS_WEIGHT")</f>
        <v>GROSS_WEIGHT</v>
      </c>
      <c r="I5869" s="136"/>
    </row>
    <row r="5870" ht="15.75" customHeight="1">
      <c r="A5870" s="59"/>
      <c r="B5870" s="63">
        <f t="shared" si="1"/>
        <v>11</v>
      </c>
      <c r="C5870" s="156" t="s">
        <v>226</v>
      </c>
      <c r="D5870" s="147" t="s">
        <v>74</v>
      </c>
      <c r="E5870" s="135">
        <f t="shared" si="59"/>
        <v>31</v>
      </c>
      <c r="F5870" s="152" t="s">
        <v>3996</v>
      </c>
      <c r="G5870" s="63" t="str">
        <f>VLOOKUP(C5870, 'Class Def. - General Data'!$C$20:$C$1000,1,false)</f>
        <v>ZRM1_MB_PGM</v>
      </c>
      <c r="H5870" s="63" t="str">
        <f>IFERROR(__xludf.DUMMYFUNCTION("VLOOKUP(F5870, IMPORTRANGE(""https://docs.google.com/spreadsheets/d/1Lhp9OU0JdFf_VYSMzH5lBcEaU4o8teT1piV-SNzShjg/edit?gid=554141278#gid=554141278"", ""'Char Def. - Attributes'!C20:C2242""), 1,false)"),"WEIGHT_UNIT")</f>
        <v>WEIGHT_UNIT</v>
      </c>
      <c r="I5870" s="136"/>
    </row>
    <row r="5871" ht="15.75" customHeight="1">
      <c r="A5871" s="59"/>
      <c r="B5871" s="63">
        <f t="shared" si="1"/>
        <v>11</v>
      </c>
      <c r="C5871" s="156" t="s">
        <v>226</v>
      </c>
      <c r="D5871" s="147" t="s">
        <v>74</v>
      </c>
      <c r="E5871" s="135">
        <f t="shared" si="59"/>
        <v>32</v>
      </c>
      <c r="F5871" s="151" t="s">
        <v>3877</v>
      </c>
      <c r="G5871" s="63" t="str">
        <f>VLOOKUP(C5871, 'Class Def. - General Data'!$C$20:$C$1000,1,false)</f>
        <v>ZRM1_MB_PGM</v>
      </c>
      <c r="H5871" s="63" t="str">
        <f>IFERROR(__xludf.DUMMYFUNCTION("VLOOKUP(F5871, IMPORTRANGE(""https://docs.google.com/spreadsheets/d/1Lhp9OU0JdFf_VYSMzH5lBcEaU4o8teT1piV-SNzShjg/edit?gid=554141278#gid=554141278"", ""'Char Def. - Attributes'!C20:C2242""), 1,false)"),"VOLUME_OPT")</f>
        <v>VOLUME_OPT</v>
      </c>
      <c r="I5871" s="136"/>
    </row>
    <row r="5872" ht="15.75" customHeight="1">
      <c r="A5872" s="59"/>
      <c r="B5872" s="63">
        <f t="shared" si="1"/>
        <v>11</v>
      </c>
      <c r="C5872" s="156" t="s">
        <v>226</v>
      </c>
      <c r="D5872" s="147" t="s">
        <v>74</v>
      </c>
      <c r="E5872" s="135">
        <f t="shared" si="59"/>
        <v>33</v>
      </c>
      <c r="F5872" s="152" t="s">
        <v>3878</v>
      </c>
      <c r="G5872" s="63" t="str">
        <f>VLOOKUP(C5872, 'Class Def. - General Data'!$C$20:$C$1000,1,false)</f>
        <v>ZRM1_MB_PGM</v>
      </c>
      <c r="H5872" s="63" t="str">
        <f>IFERROR(__xludf.DUMMYFUNCTION("VLOOKUP(F5872, IMPORTRANGE(""https://docs.google.com/spreadsheets/d/1Lhp9OU0JdFf_VYSMzH5lBcEaU4o8teT1piV-SNzShjg/edit?gid=554141278#gid=554141278"", ""'Char Def. - Attributes'!C20:C2242""), 1,false)"),"VOLUME_UNIT")</f>
        <v>VOLUME_UNIT</v>
      </c>
      <c r="I5872" s="136"/>
    </row>
    <row r="5873" ht="15.75" customHeight="1">
      <c r="A5873" s="59"/>
      <c r="B5873" s="63">
        <f t="shared" si="1"/>
        <v>11</v>
      </c>
      <c r="C5873" s="156" t="s">
        <v>226</v>
      </c>
      <c r="D5873" s="147" t="s">
        <v>74</v>
      </c>
      <c r="E5873" s="135">
        <f t="shared" si="59"/>
        <v>34</v>
      </c>
      <c r="F5873" s="151" t="s">
        <v>3587</v>
      </c>
      <c r="G5873" s="63" t="str">
        <f>VLOOKUP(C5873, 'Class Def. - General Data'!$C$20:$C$1000,1,false)</f>
        <v>ZRM1_MB_PGM</v>
      </c>
      <c r="H5873" s="63" t="str">
        <f>IFERROR(__xludf.DUMMYFUNCTION("VLOOKUP(F5873, IMPORTRANGE(""https://docs.google.com/spreadsheets/d/1Lhp9OU0JdFf_VYSMzH5lBcEaU4o8teT1piV-SNzShjg/edit?gid=554141278#gid=554141278"", ""'Char Def. - Attributes'!C20:C2242""), 1,false)"),"PLANT_BUY")</f>
        <v>PLANT_BUY</v>
      </c>
      <c r="I5873" s="136"/>
    </row>
    <row r="5874" ht="15.75" customHeight="1">
      <c r="A5874" s="59"/>
      <c r="B5874" s="63">
        <f t="shared" si="1"/>
        <v>11</v>
      </c>
      <c r="C5874" s="156" t="s">
        <v>226</v>
      </c>
      <c r="D5874" s="147" t="s">
        <v>74</v>
      </c>
      <c r="E5874" s="135">
        <f t="shared" si="59"/>
        <v>35</v>
      </c>
      <c r="F5874" s="152" t="s">
        <v>3997</v>
      </c>
      <c r="G5874" s="63" t="str">
        <f>VLOOKUP(C5874, 'Class Def. - General Data'!$C$20:$C$1000,1,false)</f>
        <v>ZRM1_MB_PGM</v>
      </c>
      <c r="H5874" s="63" t="str">
        <f>IFERROR(__xludf.DUMMYFUNCTION("VLOOKUP(F5874, IMPORTRANGE(""https://docs.google.com/spreadsheets/d/1Lhp9OU0JdFf_VYSMzH5lBcEaU4o8teT1piV-SNzShjg/edit?gid=554141278#gid=554141278"", ""'Char Def. - Attributes'!C20:C2242""), 1,false)"),"OLD_MAT_NO_RMPM_OPT")</f>
        <v>OLD_MAT_NO_RMPM_OPT</v>
      </c>
      <c r="I5874" s="136"/>
    </row>
    <row r="5875" ht="15.75" customHeight="1">
      <c r="A5875" s="59"/>
      <c r="B5875" s="63">
        <f t="shared" si="1"/>
        <v>11</v>
      </c>
      <c r="C5875" s="156" t="s">
        <v>226</v>
      </c>
      <c r="D5875" s="147" t="s">
        <v>74</v>
      </c>
      <c r="E5875" s="135">
        <f t="shared" si="59"/>
        <v>36</v>
      </c>
      <c r="F5875" s="148" t="s">
        <v>3998</v>
      </c>
      <c r="G5875" s="63" t="str">
        <f>VLOOKUP(C5875, 'Class Def. - General Data'!$C$20:$C$1000,1,false)</f>
        <v>ZRM1_MB_PGM</v>
      </c>
      <c r="H5875" s="63" t="str">
        <f>IFERROR(__xludf.DUMMYFUNCTION("VLOOKUP(F5875, IMPORTRANGE(""https://docs.google.com/spreadsheets/d/1Lhp9OU0JdFf_VYSMzH5lBcEaU4o8teT1piV-SNzShjg/edit?gid=554141278#gid=554141278"", ""'Char Def. - Attributes'!C20:C2242""), 1,false)"),"MIN_STD_WEIGHT")</f>
        <v>MIN_STD_WEIGHT</v>
      </c>
      <c r="I5875" s="136"/>
    </row>
    <row r="5876" ht="15.75" customHeight="1">
      <c r="A5876" s="59"/>
      <c r="B5876" s="63">
        <f t="shared" si="1"/>
        <v>11</v>
      </c>
      <c r="C5876" s="156" t="s">
        <v>226</v>
      </c>
      <c r="D5876" s="147" t="s">
        <v>74</v>
      </c>
      <c r="E5876" s="135">
        <f t="shared" si="59"/>
        <v>37</v>
      </c>
      <c r="F5876" s="148" t="s">
        <v>3999</v>
      </c>
      <c r="G5876" s="63" t="str">
        <f>VLOOKUP(C5876, 'Class Def. - General Data'!$C$20:$C$1000,1,false)</f>
        <v>ZRM1_MB_PGM</v>
      </c>
      <c r="H5876" s="63" t="str">
        <f>IFERROR(__xludf.DUMMYFUNCTION("VLOOKUP(F5876, IMPORTRANGE(""https://docs.google.com/spreadsheets/d/1Lhp9OU0JdFf_VYSMzH5lBcEaU4o8teT1piV-SNzShjg/edit?gid=554141278#gid=554141278"", ""'Char Def. - Attributes'!C20:C2242""), 1,false)"),"MIN_STD_WEIGHT_UOM")</f>
        <v>MIN_STD_WEIGHT_UOM</v>
      </c>
      <c r="I5876" s="136"/>
    </row>
    <row r="5877" ht="15.75" customHeight="1">
      <c r="A5877" s="59"/>
      <c r="B5877" s="63">
        <f t="shared" si="1"/>
        <v>8</v>
      </c>
      <c r="C5877" s="156" t="s">
        <v>236</v>
      </c>
      <c r="D5877" s="147" t="s">
        <v>74</v>
      </c>
      <c r="E5877" s="135">
        <f t="shared" si="59"/>
        <v>1</v>
      </c>
      <c r="F5877" s="152" t="s">
        <v>4000</v>
      </c>
      <c r="G5877" s="63" t="str">
        <f>VLOOKUP(C5877, 'Class Def. - General Data'!$C$20:$C$1000,1,false)</f>
        <v>ZRM1_MSG</v>
      </c>
      <c r="H5877" s="63" t="str">
        <f>IFERROR(__xludf.DUMMYFUNCTION("VLOOKUP(F5877, IMPORTRANGE(""https://docs.google.com/spreadsheets/d/1Lhp9OU0JdFf_VYSMzH5lBcEaU4o8teT1piV-SNzShjg/edit?gid=554141278#gid=554141278"", ""'Char Def. - Attributes'!C20:C2242""), 1,false)"),"MATERIAL_CODE_FREETEXT")</f>
        <v>MATERIAL_CODE_FREETEXT</v>
      </c>
      <c r="I5877" s="136"/>
    </row>
    <row r="5878" ht="15.75" customHeight="1">
      <c r="A5878" s="59"/>
      <c r="B5878" s="63">
        <f t="shared" si="1"/>
        <v>8</v>
      </c>
      <c r="C5878" s="156" t="s">
        <v>236</v>
      </c>
      <c r="D5878" s="147" t="s">
        <v>74</v>
      </c>
      <c r="E5878" s="135">
        <f t="shared" si="59"/>
        <v>2</v>
      </c>
      <c r="F5878" s="152" t="s">
        <v>4001</v>
      </c>
      <c r="G5878" s="63" t="str">
        <f>VLOOKUP(C5878, 'Class Def. - General Data'!$C$20:$C$1000,1,false)</f>
        <v>ZRM1_MSG</v>
      </c>
      <c r="H5878" s="63" t="str">
        <f>IFERROR(__xludf.DUMMYFUNCTION("VLOOKUP(F5878, IMPORTRANGE(""https://docs.google.com/spreadsheets/d/1Lhp9OU0JdFf_VYSMzH5lBcEaU4o8teT1piV-SNzShjg/edit?gid=554141278#gid=554141278"", ""'Char Def. - Attributes'!C20:C2242""), 1,false)"),"ADDITIONAL_INFO_NO_MASK")</f>
        <v>ADDITIONAL_INFO_NO_MASK</v>
      </c>
      <c r="I5878" s="136"/>
    </row>
    <row r="5879" ht="15.75" customHeight="1">
      <c r="B5879" s="63">
        <f t="shared" si="1"/>
        <v>8</v>
      </c>
      <c r="C5879" s="156" t="s">
        <v>236</v>
      </c>
      <c r="D5879" s="147" t="s">
        <v>74</v>
      </c>
      <c r="E5879" s="135">
        <f t="shared" si="59"/>
        <v>3</v>
      </c>
      <c r="F5879" s="152" t="s">
        <v>4002</v>
      </c>
      <c r="G5879" s="63" t="str">
        <f>VLOOKUP(C5879, 'Class Def. - General Data'!$C$20:$C$1000,1,false)</f>
        <v>ZRM1_MSG</v>
      </c>
      <c r="H5879" s="63" t="str">
        <f>IFERROR(__xludf.DUMMYFUNCTION("VLOOKUP(F5879, IMPORTRANGE(""https://docs.google.com/spreadsheets/d/1Lhp9OU0JdFf_VYSMzH5lBcEaU4o8teT1piV-SNzShjg/edit?gid=554141278#gid=554141278"", ""'Char Def. - Attributes'!C20:C2242""), 1,false)"),"COLOR_GENERAL")</f>
        <v>COLOR_GENERAL</v>
      </c>
      <c r="I5879" s="136"/>
    </row>
    <row r="5880" ht="15.75" customHeight="1">
      <c r="B5880" s="63">
        <f t="shared" si="1"/>
        <v>8</v>
      </c>
      <c r="C5880" s="156" t="s">
        <v>236</v>
      </c>
      <c r="D5880" s="147" t="s">
        <v>74</v>
      </c>
      <c r="E5880" s="135">
        <f t="shared" si="59"/>
        <v>4</v>
      </c>
      <c r="F5880" s="152" t="s">
        <v>4003</v>
      </c>
      <c r="G5880" s="63" t="str">
        <f>VLOOKUP(C5880, 'Class Def. - General Data'!$C$20:$C$1000,1,false)</f>
        <v>ZRM1_MSG</v>
      </c>
      <c r="H5880" s="63" t="str">
        <f>IFERROR(__xludf.DUMMYFUNCTION("VLOOKUP(F5880, IMPORTRANGE(""https://docs.google.com/spreadsheets/d/1Lhp9OU0JdFf_VYSMzH5lBcEaU4o8teT1piV-SNzShjg/edit?gid=554141278#gid=554141278"", ""'Char Def. - Attributes'!C20:C2242""), 1,false)"),"SOURCE_SUPPLY")</f>
        <v>SOURCE_SUPPLY</v>
      </c>
      <c r="I5880" s="136"/>
    </row>
    <row r="5881" ht="15.75" customHeight="1">
      <c r="A5881" s="59"/>
      <c r="B5881" s="63">
        <f t="shared" si="1"/>
        <v>8</v>
      </c>
      <c r="C5881" s="156" t="s">
        <v>236</v>
      </c>
      <c r="D5881" s="147" t="s">
        <v>74</v>
      </c>
      <c r="E5881" s="135">
        <f t="shared" si="59"/>
        <v>5</v>
      </c>
      <c r="F5881" s="152" t="s">
        <v>4004</v>
      </c>
      <c r="G5881" s="63" t="str">
        <f>VLOOKUP(C5881, 'Class Def. - General Data'!$C$20:$C$1000,1,false)</f>
        <v>ZRM1_MSG</v>
      </c>
      <c r="H5881" s="63" t="str">
        <f>IFERROR(__xludf.DUMMYFUNCTION("VLOOKUP(F5881, IMPORTRANGE(""https://docs.google.com/spreadsheets/d/1Lhp9OU0JdFf_VYSMzH5lBcEaU4o8teT1piV-SNzShjg/edit?gid=554141278#gid=554141278"", ""'Char Def. - Attributes'!C20:C2242""), 1,false)"),"BASE_MATERIAL")</f>
        <v>BASE_MATERIAL</v>
      </c>
      <c r="I5881" s="136"/>
    </row>
    <row r="5882" ht="15.75" customHeight="1">
      <c r="A5882" s="158"/>
      <c r="B5882" s="63">
        <f t="shared" si="1"/>
        <v>8</v>
      </c>
      <c r="C5882" s="156" t="s">
        <v>236</v>
      </c>
      <c r="D5882" s="147" t="s">
        <v>74</v>
      </c>
      <c r="E5882" s="135">
        <f t="shared" si="59"/>
        <v>6</v>
      </c>
      <c r="F5882" s="152" t="s">
        <v>4009</v>
      </c>
      <c r="G5882" s="63" t="str">
        <f>VLOOKUP(C5882, 'Class Def. - General Data'!$C$20:$C$1000,1,false)</f>
        <v>ZRM1_MSG</v>
      </c>
      <c r="H5882" s="63" t="str">
        <f>IFERROR(__xludf.DUMMYFUNCTION("VLOOKUP(F5882, IMPORTRANGE(""https://docs.google.com/spreadsheets/d/1Lhp9OU0JdFf_VYSMzH5lBcEaU4o8teT1piV-SNzShjg/edit?gid=554141278#gid=554141278"", ""'Char Def. - Attributes'!C20:C2242""), 1,false)"),"NATURE_ORIGIN_FOOD")</f>
        <v>NATURE_ORIGIN_FOOD</v>
      </c>
      <c r="I5882" s="136"/>
    </row>
    <row r="5883" ht="15.75" customHeight="1">
      <c r="A5883" s="158"/>
      <c r="B5883" s="63">
        <f t="shared" si="1"/>
        <v>8</v>
      </c>
      <c r="C5883" s="156" t="s">
        <v>236</v>
      </c>
      <c r="D5883" s="147" t="s">
        <v>74</v>
      </c>
      <c r="E5883" s="135">
        <f t="shared" si="59"/>
        <v>7</v>
      </c>
      <c r="F5883" s="152" t="s">
        <v>4006</v>
      </c>
      <c r="G5883" s="63" t="str">
        <f>VLOOKUP(C5883, 'Class Def. - General Data'!$C$20:$C$1000,1,false)</f>
        <v>ZRM1_MSG</v>
      </c>
      <c r="H5883" s="63" t="str">
        <f>IFERROR(__xludf.DUMMYFUNCTION("VLOOKUP(F5883, IMPORTRANGE(""https://docs.google.com/spreadsheets/d/1Lhp9OU0JdFf_VYSMzH5lBcEaU4o8teT1piV-SNzShjg/edit?gid=554141278#gid=554141278"", ""'Char Def. - Attributes'!C20:C2242""), 1,false)"),"CATEGORY_ITEM")</f>
        <v>CATEGORY_ITEM</v>
      </c>
      <c r="I5883" s="136"/>
    </row>
    <row r="5884" ht="15.75" customHeight="1">
      <c r="A5884" s="59"/>
      <c r="B5884" s="63">
        <f t="shared" si="1"/>
        <v>8</v>
      </c>
      <c r="C5884" s="156" t="s">
        <v>236</v>
      </c>
      <c r="D5884" s="147" t="s">
        <v>74</v>
      </c>
      <c r="E5884" s="135">
        <f t="shared" si="59"/>
        <v>8</v>
      </c>
      <c r="F5884" s="152" t="s">
        <v>4007</v>
      </c>
      <c r="G5884" s="63" t="str">
        <f>VLOOKUP(C5884, 'Class Def. - General Data'!$C$20:$C$1000,1,false)</f>
        <v>ZRM1_MSG</v>
      </c>
      <c r="H5884" s="63" t="str">
        <f>IFERROR(__xludf.DUMMYFUNCTION("VLOOKUP(F5884, IMPORTRANGE(""https://docs.google.com/spreadsheets/d/1Lhp9OU0JdFf_VYSMzH5lBcEaU4o8teT1piV-SNzShjg/edit?gid=554141278#gid=554141278"", ""'Char Def. - Attributes'!C20:C2242""), 1,false)"),"FUNCTION1")</f>
        <v>FUNCTION1</v>
      </c>
      <c r="I5884" s="136"/>
    </row>
    <row r="5885" ht="15.75" customHeight="1">
      <c r="B5885" s="63">
        <f t="shared" si="1"/>
        <v>8</v>
      </c>
      <c r="C5885" s="156" t="s">
        <v>236</v>
      </c>
      <c r="D5885" s="147" t="s">
        <v>74</v>
      </c>
      <c r="E5885" s="135">
        <f t="shared" si="59"/>
        <v>9</v>
      </c>
      <c r="F5885" s="152" t="s">
        <v>4008</v>
      </c>
      <c r="G5885" s="63" t="str">
        <f>VLOOKUP(C5885, 'Class Def. - General Data'!$C$20:$C$1000,1,false)</f>
        <v>ZRM1_MSG</v>
      </c>
      <c r="H5885" s="63" t="str">
        <f>IFERROR(__xludf.DUMMYFUNCTION("VLOOKUP(F5885, IMPORTRANGE(""https://docs.google.com/spreadsheets/d/1Lhp9OU0JdFf_VYSMzH5lBcEaU4o8teT1piV-SNzShjg/edit?gid=554141278#gid=554141278"", ""'Char Def. - Attributes'!C20:C2242""), 1,false)"),"PREFERENSI_KURS")</f>
        <v>PREFERENSI_KURS</v>
      </c>
      <c r="I5885" s="136"/>
    </row>
    <row r="5886" ht="15.75" customHeight="1">
      <c r="B5886" s="63">
        <f t="shared" si="1"/>
        <v>8</v>
      </c>
      <c r="C5886" s="156" t="s">
        <v>236</v>
      </c>
      <c r="D5886" s="147" t="s">
        <v>74</v>
      </c>
      <c r="E5886" s="135">
        <f t="shared" si="59"/>
        <v>10</v>
      </c>
      <c r="F5886" s="151" t="s">
        <v>3868</v>
      </c>
      <c r="G5886" s="63" t="str">
        <f>VLOOKUP(C5886, 'Class Def. - General Data'!$C$20:$C$1000,1,false)</f>
        <v>ZRM1_MSG</v>
      </c>
      <c r="H5886" s="63" t="str">
        <f>IFERROR(__xludf.DUMMYFUNCTION("VLOOKUP(F5886, IMPORTRANGE(""https://docs.google.com/spreadsheets/d/1Lhp9OU0JdFf_VYSMzH5lBcEaU4o8teT1piV-SNzShjg/edit?gid=554141278#gid=554141278"", ""'Char Def. - Attributes'!C20:C2242""), 1,false)"),"BASIC_UOM_RMPM")</f>
        <v>BASIC_UOM_RMPM</v>
      </c>
      <c r="I5886" s="136"/>
    </row>
    <row r="5887" ht="15.75" customHeight="1">
      <c r="B5887" s="63">
        <f t="shared" si="1"/>
        <v>8</v>
      </c>
      <c r="C5887" s="156" t="s">
        <v>236</v>
      </c>
      <c r="D5887" s="147" t="s">
        <v>74</v>
      </c>
      <c r="E5887" s="135">
        <f t="shared" si="59"/>
        <v>11</v>
      </c>
      <c r="F5887" s="152" t="s">
        <v>3869</v>
      </c>
      <c r="G5887" s="63" t="str">
        <f>VLOOKUP(C5887, 'Class Def. - General Data'!$C$20:$C$1000,1,false)</f>
        <v>ZRM1_MSG</v>
      </c>
      <c r="H5887" s="63" t="str">
        <f>IFERROR(__xludf.DUMMYFUNCTION("VLOOKUP(F5887, IMPORTRANGE(""https://docs.google.com/spreadsheets/d/1Lhp9OU0JdFf_VYSMzH5lBcEaU4o8teT1piV-SNzShjg/edit?gid=554141278#gid=554141278"", ""'Char Def. - Attributes'!C20:C2242""), 1,false)"),"ALT_UOM1_RMPM")</f>
        <v>ALT_UOM1_RMPM</v>
      </c>
      <c r="I5887" s="136"/>
    </row>
    <row r="5888" ht="15.75" customHeight="1">
      <c r="A5888" s="59"/>
      <c r="B5888" s="63">
        <f t="shared" si="1"/>
        <v>8</v>
      </c>
      <c r="C5888" s="156" t="s">
        <v>236</v>
      </c>
      <c r="D5888" s="147" t="s">
        <v>74</v>
      </c>
      <c r="E5888" s="135">
        <f t="shared" si="59"/>
        <v>12</v>
      </c>
      <c r="F5888" s="152" t="s">
        <v>3805</v>
      </c>
      <c r="G5888" s="63" t="str">
        <f>VLOOKUP(C5888, 'Class Def. - General Data'!$C$20:$C$1000,1,false)</f>
        <v>ZRM1_MSG</v>
      </c>
      <c r="H5888" s="63" t="str">
        <f>IFERROR(__xludf.DUMMYFUNCTION("VLOOKUP(F5888, IMPORTRANGE(""https://docs.google.com/spreadsheets/d/1Lhp9OU0JdFf_VYSMzH5lBcEaU4o8teT1piV-SNzShjg/edit?gid=554141278#gid=554141278"", ""'Char Def. - Attributes'!C20:C2242""), 1,false)"),"ALT_DENUM_UOM1")</f>
        <v>ALT_DENUM_UOM1</v>
      </c>
      <c r="I5888" s="136"/>
    </row>
    <row r="5889" ht="15.75" customHeight="1">
      <c r="A5889" s="59"/>
      <c r="B5889" s="63">
        <f t="shared" si="1"/>
        <v>8</v>
      </c>
      <c r="C5889" s="156" t="s">
        <v>236</v>
      </c>
      <c r="D5889" s="147" t="s">
        <v>74</v>
      </c>
      <c r="E5889" s="135">
        <f t="shared" si="59"/>
        <v>13</v>
      </c>
      <c r="F5889" s="152" t="s">
        <v>3806</v>
      </c>
      <c r="G5889" s="63" t="str">
        <f>VLOOKUP(C5889, 'Class Def. - General Data'!$C$20:$C$1000,1,false)</f>
        <v>ZRM1_MSG</v>
      </c>
      <c r="H5889" s="63" t="str">
        <f>IFERROR(__xludf.DUMMYFUNCTION("VLOOKUP(F5889, IMPORTRANGE(""https://docs.google.com/spreadsheets/d/1Lhp9OU0JdFf_VYSMzH5lBcEaU4o8teT1piV-SNzShjg/edit?gid=554141278#gid=554141278"", ""'Char Def. - Attributes'!C20:C2242""), 1,false)"),"ALT_NUM_UOM1")</f>
        <v>ALT_NUM_UOM1</v>
      </c>
      <c r="I5889" s="136"/>
    </row>
    <row r="5890" ht="15.75" customHeight="1">
      <c r="A5890" s="59"/>
      <c r="B5890" s="63">
        <f t="shared" si="1"/>
        <v>8</v>
      </c>
      <c r="C5890" s="156" t="s">
        <v>236</v>
      </c>
      <c r="D5890" s="147" t="s">
        <v>74</v>
      </c>
      <c r="E5890" s="135">
        <f t="shared" si="59"/>
        <v>14</v>
      </c>
      <c r="F5890" s="152" t="s">
        <v>3870</v>
      </c>
      <c r="G5890" s="63" t="str">
        <f>VLOOKUP(C5890, 'Class Def. - General Data'!$C$20:$C$1000,1,false)</f>
        <v>ZRM1_MSG</v>
      </c>
      <c r="H5890" s="63" t="str">
        <f>IFERROR(__xludf.DUMMYFUNCTION("VLOOKUP(F5890, IMPORTRANGE(""https://docs.google.com/spreadsheets/d/1Lhp9OU0JdFf_VYSMzH5lBcEaU4o8teT1piV-SNzShjg/edit?gid=554141278#gid=554141278"", ""'Char Def. - Attributes'!C20:C2242""), 1,false)"),"ALT_UOM2_RMPM")</f>
        <v>ALT_UOM2_RMPM</v>
      </c>
      <c r="I5890" s="136"/>
    </row>
    <row r="5891" ht="15.75" customHeight="1">
      <c r="A5891" s="59"/>
      <c r="B5891" s="63">
        <f t="shared" si="1"/>
        <v>8</v>
      </c>
      <c r="C5891" s="156" t="s">
        <v>236</v>
      </c>
      <c r="D5891" s="147" t="s">
        <v>74</v>
      </c>
      <c r="E5891" s="135">
        <f t="shared" si="59"/>
        <v>15</v>
      </c>
      <c r="F5891" s="152" t="s">
        <v>3808</v>
      </c>
      <c r="G5891" s="63" t="str">
        <f>VLOOKUP(C5891, 'Class Def. - General Data'!$C$20:$C$1000,1,false)</f>
        <v>ZRM1_MSG</v>
      </c>
      <c r="H5891" s="63" t="str">
        <f>IFERROR(__xludf.DUMMYFUNCTION("VLOOKUP(F5891, IMPORTRANGE(""https://docs.google.com/spreadsheets/d/1Lhp9OU0JdFf_VYSMzH5lBcEaU4o8teT1piV-SNzShjg/edit?gid=554141278#gid=554141278"", ""'Char Def. - Attributes'!C20:C2242""), 1,false)"),"ALT_DENUM_UOM2")</f>
        <v>ALT_DENUM_UOM2</v>
      </c>
      <c r="I5891" s="136"/>
    </row>
    <row r="5892" ht="15.75" customHeight="1">
      <c r="A5892" s="59"/>
      <c r="B5892" s="63">
        <f t="shared" si="1"/>
        <v>8</v>
      </c>
      <c r="C5892" s="156" t="s">
        <v>236</v>
      </c>
      <c r="D5892" s="147" t="s">
        <v>74</v>
      </c>
      <c r="E5892" s="135">
        <f t="shared" si="59"/>
        <v>16</v>
      </c>
      <c r="F5892" s="152" t="s">
        <v>3809</v>
      </c>
      <c r="G5892" s="63" t="str">
        <f>VLOOKUP(C5892, 'Class Def. - General Data'!$C$20:$C$1000,1,false)</f>
        <v>ZRM1_MSG</v>
      </c>
      <c r="H5892" s="63" t="str">
        <f>IFERROR(__xludf.DUMMYFUNCTION("VLOOKUP(F5892, IMPORTRANGE(""https://docs.google.com/spreadsheets/d/1Lhp9OU0JdFf_VYSMzH5lBcEaU4o8teT1piV-SNzShjg/edit?gid=554141278#gid=554141278"", ""'Char Def. - Attributes'!C20:C2242""), 1,false)"),"ALT_NUM_UOM2")</f>
        <v>ALT_NUM_UOM2</v>
      </c>
      <c r="I5892" s="136"/>
    </row>
    <row r="5893" ht="15.75" customHeight="1">
      <c r="A5893" s="59"/>
      <c r="B5893" s="63">
        <f t="shared" si="1"/>
        <v>8</v>
      </c>
      <c r="C5893" s="156" t="s">
        <v>236</v>
      </c>
      <c r="D5893" s="147" t="s">
        <v>74</v>
      </c>
      <c r="E5893" s="135">
        <f t="shared" si="59"/>
        <v>17</v>
      </c>
      <c r="F5893" s="152" t="s">
        <v>3871</v>
      </c>
      <c r="G5893" s="63" t="str">
        <f>VLOOKUP(C5893, 'Class Def. - General Data'!$C$20:$C$1000,1,false)</f>
        <v>ZRM1_MSG</v>
      </c>
      <c r="H5893" s="63" t="str">
        <f>IFERROR(__xludf.DUMMYFUNCTION("VLOOKUP(F5893, IMPORTRANGE(""https://docs.google.com/spreadsheets/d/1Lhp9OU0JdFf_VYSMzH5lBcEaU4o8teT1piV-SNzShjg/edit?gid=554141278#gid=554141278"", ""'Char Def. - Attributes'!C20:C2242""), 1,false)"),"ALT_UOM3_RMPM")</f>
        <v>ALT_UOM3_RMPM</v>
      </c>
      <c r="I5893" s="136"/>
    </row>
    <row r="5894" ht="15.75" customHeight="1">
      <c r="A5894" s="59"/>
      <c r="B5894" s="63">
        <f t="shared" si="1"/>
        <v>8</v>
      </c>
      <c r="C5894" s="156" t="s">
        <v>236</v>
      </c>
      <c r="D5894" s="147" t="s">
        <v>74</v>
      </c>
      <c r="E5894" s="135">
        <f t="shared" si="59"/>
        <v>18</v>
      </c>
      <c r="F5894" s="152" t="s">
        <v>3811</v>
      </c>
      <c r="G5894" s="63" t="str">
        <f>VLOOKUP(C5894, 'Class Def. - General Data'!$C$20:$C$1000,1,false)</f>
        <v>ZRM1_MSG</v>
      </c>
      <c r="H5894" s="63" t="str">
        <f>IFERROR(__xludf.DUMMYFUNCTION("VLOOKUP(F5894, IMPORTRANGE(""https://docs.google.com/spreadsheets/d/1Lhp9OU0JdFf_VYSMzH5lBcEaU4o8teT1piV-SNzShjg/edit?gid=554141278#gid=554141278"", ""'Char Def. - Attributes'!C20:C2242""), 1,false)"),"ALT_DENUM_UOM3")</f>
        <v>ALT_DENUM_UOM3</v>
      </c>
      <c r="I5894" s="136"/>
    </row>
    <row r="5895" ht="15.75" customHeight="1">
      <c r="A5895" s="59"/>
      <c r="B5895" s="63">
        <f t="shared" si="1"/>
        <v>8</v>
      </c>
      <c r="C5895" s="156" t="s">
        <v>236</v>
      </c>
      <c r="D5895" s="147" t="s">
        <v>74</v>
      </c>
      <c r="E5895" s="135">
        <f t="shared" si="59"/>
        <v>19</v>
      </c>
      <c r="F5895" s="152" t="s">
        <v>3812</v>
      </c>
      <c r="G5895" s="63" t="str">
        <f>VLOOKUP(C5895, 'Class Def. - General Data'!$C$20:$C$1000,1,false)</f>
        <v>ZRM1_MSG</v>
      </c>
      <c r="H5895" s="63" t="str">
        <f>IFERROR(__xludf.DUMMYFUNCTION("VLOOKUP(F5895, IMPORTRANGE(""https://docs.google.com/spreadsheets/d/1Lhp9OU0JdFf_VYSMzH5lBcEaU4o8teT1piV-SNzShjg/edit?gid=554141278#gid=554141278"", ""'Char Def. - Attributes'!C20:C2242""), 1,false)"),"ALT_NUM_UOM3")</f>
        <v>ALT_NUM_UOM3</v>
      </c>
      <c r="I5895" s="136"/>
    </row>
    <row r="5896" ht="15.75" customHeight="1">
      <c r="A5896" s="59"/>
      <c r="B5896" s="63">
        <f t="shared" si="1"/>
        <v>8</v>
      </c>
      <c r="C5896" s="156" t="s">
        <v>236</v>
      </c>
      <c r="D5896" s="147" t="s">
        <v>74</v>
      </c>
      <c r="E5896" s="135">
        <f t="shared" si="59"/>
        <v>20</v>
      </c>
      <c r="F5896" s="152" t="s">
        <v>3872</v>
      </c>
      <c r="G5896" s="63" t="str">
        <f>VLOOKUP(C5896, 'Class Def. - General Data'!$C$20:$C$1000,1,false)</f>
        <v>ZRM1_MSG</v>
      </c>
      <c r="H5896" s="63" t="str">
        <f>IFERROR(__xludf.DUMMYFUNCTION("VLOOKUP(F5896, IMPORTRANGE(""https://docs.google.com/spreadsheets/d/1Lhp9OU0JdFf_VYSMzH5lBcEaU4o8teT1piV-SNzShjg/edit?gid=554141278#gid=554141278"", ""'Char Def. - Attributes'!C20:C2242""), 1,false)"),"ALT_UOM4_RMPM")</f>
        <v>ALT_UOM4_RMPM</v>
      </c>
      <c r="I5896" s="136"/>
    </row>
    <row r="5897" ht="15.75" customHeight="1">
      <c r="A5897" s="59"/>
      <c r="B5897" s="63">
        <f t="shared" si="1"/>
        <v>8</v>
      </c>
      <c r="C5897" s="156" t="s">
        <v>236</v>
      </c>
      <c r="D5897" s="147" t="s">
        <v>74</v>
      </c>
      <c r="E5897" s="135">
        <f t="shared" si="59"/>
        <v>21</v>
      </c>
      <c r="F5897" s="148" t="s">
        <v>3814</v>
      </c>
      <c r="G5897" s="63" t="str">
        <f>VLOOKUP(C5897, 'Class Def. - General Data'!$C$20:$C$1000,1,false)</f>
        <v>ZRM1_MSG</v>
      </c>
      <c r="H5897" s="63" t="str">
        <f>IFERROR(__xludf.DUMMYFUNCTION("VLOOKUP(F5897, IMPORTRANGE(""https://docs.google.com/spreadsheets/d/1Lhp9OU0JdFf_VYSMzH5lBcEaU4o8teT1piV-SNzShjg/edit?gid=554141278#gid=554141278"", ""'Char Def. - Attributes'!C20:C2242""), 1,false)"),"ALT_DENUM_UOM4")</f>
        <v>ALT_DENUM_UOM4</v>
      </c>
      <c r="I5897" s="136"/>
    </row>
    <row r="5898" ht="15.75" customHeight="1">
      <c r="A5898" s="59"/>
      <c r="B5898" s="63">
        <f t="shared" si="1"/>
        <v>8</v>
      </c>
      <c r="C5898" s="156" t="s">
        <v>236</v>
      </c>
      <c r="D5898" s="147" t="s">
        <v>74</v>
      </c>
      <c r="E5898" s="135">
        <f t="shared" si="59"/>
        <v>22</v>
      </c>
      <c r="F5898" s="152" t="s">
        <v>3815</v>
      </c>
      <c r="G5898" s="63" t="str">
        <f>VLOOKUP(C5898, 'Class Def. - General Data'!$C$20:$C$1000,1,false)</f>
        <v>ZRM1_MSG</v>
      </c>
      <c r="H5898" s="63" t="str">
        <f>IFERROR(__xludf.DUMMYFUNCTION("VLOOKUP(F5898, IMPORTRANGE(""https://docs.google.com/spreadsheets/d/1Lhp9OU0JdFf_VYSMzH5lBcEaU4o8teT1piV-SNzShjg/edit?gid=554141278#gid=554141278"", ""'Char Def. - Attributes'!C20:C2242""), 1,false)"),"ALT_NUM_UOM4")</f>
        <v>ALT_NUM_UOM4</v>
      </c>
      <c r="I5898" s="136"/>
    </row>
    <row r="5899" ht="15.75" customHeight="1">
      <c r="A5899" s="59"/>
      <c r="B5899" s="63">
        <f t="shared" si="1"/>
        <v>8</v>
      </c>
      <c r="C5899" s="156" t="s">
        <v>236</v>
      </c>
      <c r="D5899" s="147" t="s">
        <v>74</v>
      </c>
      <c r="E5899" s="135">
        <f t="shared" si="59"/>
        <v>23</v>
      </c>
      <c r="F5899" s="152" t="s">
        <v>3873</v>
      </c>
      <c r="G5899" s="63" t="str">
        <f>VLOOKUP(C5899, 'Class Def. - General Data'!$C$20:$C$1000,1,false)</f>
        <v>ZRM1_MSG</v>
      </c>
      <c r="H5899" s="63" t="str">
        <f>IFERROR(__xludf.DUMMYFUNCTION("VLOOKUP(F5899, IMPORTRANGE(""https://docs.google.com/spreadsheets/d/1Lhp9OU0JdFf_VYSMzH5lBcEaU4o8teT1piV-SNzShjg/edit?gid=554141278#gid=554141278"", ""'Char Def. - Attributes'!C20:C2242""), 1,false)"),"ALT_UOM5_RMPM")</f>
        <v>ALT_UOM5_RMPM</v>
      </c>
      <c r="I5899" s="136"/>
    </row>
    <row r="5900" ht="15.75" customHeight="1">
      <c r="A5900" s="59"/>
      <c r="B5900" s="63">
        <f t="shared" si="1"/>
        <v>8</v>
      </c>
      <c r="C5900" s="156" t="s">
        <v>236</v>
      </c>
      <c r="D5900" s="147" t="s">
        <v>74</v>
      </c>
      <c r="E5900" s="135">
        <f t="shared" si="59"/>
        <v>24</v>
      </c>
      <c r="F5900" s="152" t="s">
        <v>3817</v>
      </c>
      <c r="G5900" s="63" t="str">
        <f>VLOOKUP(C5900, 'Class Def. - General Data'!$C$20:$C$1000,1,false)</f>
        <v>ZRM1_MSG</v>
      </c>
      <c r="H5900" s="63" t="str">
        <f>IFERROR(__xludf.DUMMYFUNCTION("VLOOKUP(F5900, IMPORTRANGE(""https://docs.google.com/spreadsheets/d/1Lhp9OU0JdFf_VYSMzH5lBcEaU4o8teT1piV-SNzShjg/edit?gid=554141278#gid=554141278"", ""'Char Def. - Attributes'!C20:C2242""), 1,false)"),"ALT_DENUM_UOM5")</f>
        <v>ALT_DENUM_UOM5</v>
      </c>
      <c r="I5900" s="136"/>
    </row>
    <row r="5901" ht="15.75" customHeight="1">
      <c r="A5901" s="59"/>
      <c r="B5901" s="63">
        <f t="shared" si="1"/>
        <v>8</v>
      </c>
      <c r="C5901" s="156" t="s">
        <v>236</v>
      </c>
      <c r="D5901" s="147" t="s">
        <v>74</v>
      </c>
      <c r="E5901" s="135">
        <f t="shared" si="59"/>
        <v>25</v>
      </c>
      <c r="F5901" s="152" t="s">
        <v>3818</v>
      </c>
      <c r="G5901" s="63" t="str">
        <f>VLOOKUP(C5901, 'Class Def. - General Data'!$C$20:$C$1000,1,false)</f>
        <v>ZRM1_MSG</v>
      </c>
      <c r="H5901" s="63" t="str">
        <f>IFERROR(__xludf.DUMMYFUNCTION("VLOOKUP(F5901, IMPORTRANGE(""https://docs.google.com/spreadsheets/d/1Lhp9OU0JdFf_VYSMzH5lBcEaU4o8teT1piV-SNzShjg/edit?gid=554141278#gid=554141278"", ""'Char Def. - Attributes'!C20:C2242""), 1,false)"),"ALT_NUM_UOM5")</f>
        <v>ALT_NUM_UOM5</v>
      </c>
      <c r="I5901" s="136"/>
    </row>
    <row r="5902" ht="15.75" customHeight="1">
      <c r="A5902" s="59"/>
      <c r="B5902" s="63">
        <f t="shared" si="1"/>
        <v>8</v>
      </c>
      <c r="C5902" s="156" t="s">
        <v>236</v>
      </c>
      <c r="D5902" s="147" t="s">
        <v>74</v>
      </c>
      <c r="E5902" s="135">
        <f t="shared" si="59"/>
        <v>26</v>
      </c>
      <c r="F5902" s="152" t="s">
        <v>3874</v>
      </c>
      <c r="G5902" s="63" t="str">
        <f>VLOOKUP(C5902, 'Class Def. - General Data'!$C$20:$C$1000,1,false)</f>
        <v>ZRM1_MSG</v>
      </c>
      <c r="H5902" s="63" t="str">
        <f>IFERROR(__xludf.DUMMYFUNCTION("VLOOKUP(F5902, IMPORTRANGE(""https://docs.google.com/spreadsheets/d/1Lhp9OU0JdFf_VYSMzH5lBcEaU4o8teT1piV-SNzShjg/edit?gid=554141278#gid=554141278"", ""'Char Def. - Attributes'!C20:C2242""), 1,false)"),"VALUATION_CATEGORY")</f>
        <v>VALUATION_CATEGORY</v>
      </c>
      <c r="I5902" s="136"/>
    </row>
    <row r="5903" ht="15.75" customHeight="1">
      <c r="A5903" s="59"/>
      <c r="B5903" s="63">
        <f t="shared" si="1"/>
        <v>8</v>
      </c>
      <c r="C5903" s="156" t="s">
        <v>236</v>
      </c>
      <c r="D5903" s="147" t="s">
        <v>74</v>
      </c>
      <c r="E5903" s="135">
        <f t="shared" si="59"/>
        <v>27</v>
      </c>
      <c r="F5903" s="152" t="s">
        <v>3800</v>
      </c>
      <c r="G5903" s="63" t="str">
        <f>VLOOKUP(C5903, 'Class Def. - General Data'!$C$20:$C$1000,1,false)</f>
        <v>ZRM1_MSG</v>
      </c>
      <c r="H5903" s="63" t="str">
        <f>IFERROR(__xludf.DUMMYFUNCTION("VLOOKUP(F5903, IMPORTRANGE(""https://docs.google.com/spreadsheets/d/1Lhp9OU0JdFf_VYSMzH5lBcEaU4o8teT1piV-SNzShjg/edit?gid=554141278#gid=554141278"", ""'Char Def. - Attributes'!C20:C2242""), 1,false)"),"ORDER_UNIT_DIFF_FROM_BASIC_UOM")</f>
        <v>ORDER_UNIT_DIFF_FROM_BASIC_UOM</v>
      </c>
      <c r="I5903" s="136"/>
    </row>
    <row r="5904" ht="15.75" customHeight="1">
      <c r="B5904" s="63">
        <f t="shared" si="1"/>
        <v>8</v>
      </c>
      <c r="C5904" s="156" t="s">
        <v>236</v>
      </c>
      <c r="D5904" s="147" t="s">
        <v>74</v>
      </c>
      <c r="E5904" s="135">
        <f t="shared" si="59"/>
        <v>28</v>
      </c>
      <c r="F5904" s="152" t="s">
        <v>3875</v>
      </c>
      <c r="G5904" s="63" t="str">
        <f>VLOOKUP(C5904, 'Class Def. - General Data'!$C$20:$C$1000,1,false)</f>
        <v>ZRM1_MSG</v>
      </c>
      <c r="H5904" s="63" t="str">
        <f>IFERROR(__xludf.DUMMYFUNCTION("VLOOKUP(F5904, IMPORTRANGE(""https://docs.google.com/spreadsheets/d/1Lhp9OU0JdFf_VYSMzH5lBcEaU4o8teT1piV-SNzShjg/edit?gid=554141278#gid=554141278"", ""'Char Def. - Attributes'!C20:C2242""), 1,false)"),"ORDER_UNIT_RMPM")</f>
        <v>ORDER_UNIT_RMPM</v>
      </c>
      <c r="I5904" s="136"/>
    </row>
    <row r="5905" ht="15.75" customHeight="1">
      <c r="B5905" s="63">
        <f t="shared" si="1"/>
        <v>8</v>
      </c>
      <c r="C5905" s="156" t="s">
        <v>236</v>
      </c>
      <c r="D5905" s="147" t="s">
        <v>74</v>
      </c>
      <c r="E5905" s="135">
        <f t="shared" si="59"/>
        <v>29</v>
      </c>
      <c r="F5905" s="151" t="s">
        <v>3602</v>
      </c>
      <c r="G5905" s="63" t="str">
        <f>VLOOKUP(C5905, 'Class Def. - General Data'!$C$20:$C$1000,1,false)</f>
        <v>ZRM1_MSG</v>
      </c>
      <c r="H5905" s="63" t="str">
        <f>IFERROR(__xludf.DUMMYFUNCTION("VLOOKUP(F5905, IMPORTRANGE(""https://docs.google.com/spreadsheets/d/1Lhp9OU0JdFf_VYSMzH5lBcEaU4o8teT1piV-SNzShjg/edit?gid=554141278#gid=554141278"", ""'Char Def. - Attributes'!C20:C2242""), 1,false)"),"NET_WEIGHT")</f>
        <v>NET_WEIGHT</v>
      </c>
      <c r="I5905" s="136"/>
    </row>
    <row r="5906" ht="15.75" customHeight="1">
      <c r="B5906" s="63">
        <f t="shared" si="1"/>
        <v>8</v>
      </c>
      <c r="C5906" s="156" t="s">
        <v>236</v>
      </c>
      <c r="D5906" s="147" t="s">
        <v>74</v>
      </c>
      <c r="E5906" s="135">
        <f t="shared" si="59"/>
        <v>30</v>
      </c>
      <c r="F5906" s="151" t="s">
        <v>3601</v>
      </c>
      <c r="G5906" s="63" t="str">
        <f>VLOOKUP(C5906, 'Class Def. - General Data'!$C$20:$C$1000,1,false)</f>
        <v>ZRM1_MSG</v>
      </c>
      <c r="H5906" s="63" t="str">
        <f>IFERROR(__xludf.DUMMYFUNCTION("VLOOKUP(F5906, IMPORTRANGE(""https://docs.google.com/spreadsheets/d/1Lhp9OU0JdFf_VYSMzH5lBcEaU4o8teT1piV-SNzShjg/edit?gid=554141278#gid=554141278"", ""'Char Def. - Attributes'!C20:C2242""), 1,false)"),"GROSS_WEIGHT")</f>
        <v>GROSS_WEIGHT</v>
      </c>
      <c r="I5906" s="136"/>
    </row>
    <row r="5907" ht="15.75" customHeight="1">
      <c r="A5907" s="59"/>
      <c r="B5907" s="63">
        <f t="shared" si="1"/>
        <v>8</v>
      </c>
      <c r="C5907" s="156" t="s">
        <v>236</v>
      </c>
      <c r="D5907" s="147" t="s">
        <v>74</v>
      </c>
      <c r="E5907" s="135">
        <f t="shared" si="59"/>
        <v>31</v>
      </c>
      <c r="F5907" s="152" t="s">
        <v>3996</v>
      </c>
      <c r="G5907" s="63" t="str">
        <f>VLOOKUP(C5907, 'Class Def. - General Data'!$C$20:$C$1000,1,false)</f>
        <v>ZRM1_MSG</v>
      </c>
      <c r="H5907" s="63" t="str">
        <f>IFERROR(__xludf.DUMMYFUNCTION("VLOOKUP(F5907, IMPORTRANGE(""https://docs.google.com/spreadsheets/d/1Lhp9OU0JdFf_VYSMzH5lBcEaU4o8teT1piV-SNzShjg/edit?gid=554141278#gid=554141278"", ""'Char Def. - Attributes'!C20:C2242""), 1,false)"),"WEIGHT_UNIT")</f>
        <v>WEIGHT_UNIT</v>
      </c>
      <c r="I5907" s="136"/>
    </row>
    <row r="5908" ht="15.75" customHeight="1">
      <c r="A5908" s="59"/>
      <c r="B5908" s="63">
        <f t="shared" si="1"/>
        <v>8</v>
      </c>
      <c r="C5908" s="156" t="s">
        <v>236</v>
      </c>
      <c r="D5908" s="147" t="s">
        <v>74</v>
      </c>
      <c r="E5908" s="135">
        <f t="shared" si="59"/>
        <v>32</v>
      </c>
      <c r="F5908" s="151" t="s">
        <v>3877</v>
      </c>
      <c r="G5908" s="63" t="str">
        <f>VLOOKUP(C5908, 'Class Def. - General Data'!$C$20:$C$1000,1,false)</f>
        <v>ZRM1_MSG</v>
      </c>
      <c r="H5908" s="63" t="str">
        <f>IFERROR(__xludf.DUMMYFUNCTION("VLOOKUP(F5908, IMPORTRANGE(""https://docs.google.com/spreadsheets/d/1Lhp9OU0JdFf_VYSMzH5lBcEaU4o8teT1piV-SNzShjg/edit?gid=554141278#gid=554141278"", ""'Char Def. - Attributes'!C20:C2242""), 1,false)"),"VOLUME_OPT")</f>
        <v>VOLUME_OPT</v>
      </c>
      <c r="I5908" s="136"/>
    </row>
    <row r="5909" ht="15.75" customHeight="1">
      <c r="A5909" s="59"/>
      <c r="B5909" s="63">
        <f t="shared" si="1"/>
        <v>8</v>
      </c>
      <c r="C5909" s="156" t="s">
        <v>236</v>
      </c>
      <c r="D5909" s="147" t="s">
        <v>74</v>
      </c>
      <c r="E5909" s="135">
        <f t="shared" si="59"/>
        <v>33</v>
      </c>
      <c r="F5909" s="152" t="s">
        <v>3878</v>
      </c>
      <c r="G5909" s="63" t="str">
        <f>VLOOKUP(C5909, 'Class Def. - General Data'!$C$20:$C$1000,1,false)</f>
        <v>ZRM1_MSG</v>
      </c>
      <c r="H5909" s="63" t="str">
        <f>IFERROR(__xludf.DUMMYFUNCTION("VLOOKUP(F5909, IMPORTRANGE(""https://docs.google.com/spreadsheets/d/1Lhp9OU0JdFf_VYSMzH5lBcEaU4o8teT1piV-SNzShjg/edit?gid=554141278#gid=554141278"", ""'Char Def. - Attributes'!C20:C2242""), 1,false)"),"VOLUME_UNIT")</f>
        <v>VOLUME_UNIT</v>
      </c>
      <c r="I5909" s="136"/>
    </row>
    <row r="5910" ht="15.75" customHeight="1">
      <c r="B5910" s="63">
        <f t="shared" si="1"/>
        <v>8</v>
      </c>
      <c r="C5910" s="156" t="s">
        <v>236</v>
      </c>
      <c r="D5910" s="147" t="s">
        <v>74</v>
      </c>
      <c r="E5910" s="135">
        <f t="shared" si="59"/>
        <v>34</v>
      </c>
      <c r="F5910" s="151" t="s">
        <v>3587</v>
      </c>
      <c r="G5910" s="63" t="str">
        <f>VLOOKUP(C5910, 'Class Def. - General Data'!$C$20:$C$1000,1,false)</f>
        <v>ZRM1_MSG</v>
      </c>
      <c r="H5910" s="63" t="str">
        <f>IFERROR(__xludf.DUMMYFUNCTION("VLOOKUP(F5910, IMPORTRANGE(""https://docs.google.com/spreadsheets/d/1Lhp9OU0JdFf_VYSMzH5lBcEaU4o8teT1piV-SNzShjg/edit?gid=554141278#gid=554141278"", ""'Char Def. - Attributes'!C20:C2242""), 1,false)"),"PLANT_BUY")</f>
        <v>PLANT_BUY</v>
      </c>
      <c r="I5910" s="136"/>
    </row>
    <row r="5911" ht="15.75" customHeight="1">
      <c r="B5911" s="63">
        <f t="shared" si="1"/>
        <v>8</v>
      </c>
      <c r="C5911" s="156" t="s">
        <v>236</v>
      </c>
      <c r="D5911" s="147" t="s">
        <v>74</v>
      </c>
      <c r="E5911" s="135">
        <f t="shared" si="59"/>
        <v>35</v>
      </c>
      <c r="F5911" s="152" t="s">
        <v>3997</v>
      </c>
      <c r="G5911" s="63" t="str">
        <f>VLOOKUP(C5911, 'Class Def. - General Data'!$C$20:$C$1000,1,false)</f>
        <v>ZRM1_MSG</v>
      </c>
      <c r="H5911" s="63" t="str">
        <f>IFERROR(__xludf.DUMMYFUNCTION("VLOOKUP(F5911, IMPORTRANGE(""https://docs.google.com/spreadsheets/d/1Lhp9OU0JdFf_VYSMzH5lBcEaU4o8teT1piV-SNzShjg/edit?gid=554141278#gid=554141278"", ""'Char Def. - Attributes'!C20:C2242""), 1,false)"),"OLD_MAT_NO_RMPM_OPT")</f>
        <v>OLD_MAT_NO_RMPM_OPT</v>
      </c>
      <c r="I5911" s="136"/>
    </row>
    <row r="5912" ht="15.75" customHeight="1">
      <c r="B5912" s="63">
        <f t="shared" si="1"/>
        <v>8</v>
      </c>
      <c r="C5912" s="156" t="s">
        <v>236</v>
      </c>
      <c r="D5912" s="147" t="s">
        <v>74</v>
      </c>
      <c r="E5912" s="135">
        <f t="shared" si="59"/>
        <v>36</v>
      </c>
      <c r="F5912" s="148" t="s">
        <v>3998</v>
      </c>
      <c r="G5912" s="63" t="str">
        <f>VLOOKUP(C5912, 'Class Def. - General Data'!$C$20:$C$1000,1,false)</f>
        <v>ZRM1_MSG</v>
      </c>
      <c r="H5912" s="63" t="str">
        <f>IFERROR(__xludf.DUMMYFUNCTION("VLOOKUP(F5912, IMPORTRANGE(""https://docs.google.com/spreadsheets/d/1Lhp9OU0JdFf_VYSMzH5lBcEaU4o8teT1piV-SNzShjg/edit?gid=554141278#gid=554141278"", ""'Char Def. - Attributes'!C20:C2242""), 1,false)"),"MIN_STD_WEIGHT")</f>
        <v>MIN_STD_WEIGHT</v>
      </c>
      <c r="I5912" s="136"/>
    </row>
    <row r="5913" ht="15.75" customHeight="1">
      <c r="A5913" s="59"/>
      <c r="B5913" s="63">
        <f t="shared" si="1"/>
        <v>8</v>
      </c>
      <c r="C5913" s="156" t="s">
        <v>236</v>
      </c>
      <c r="D5913" s="147" t="s">
        <v>74</v>
      </c>
      <c r="E5913" s="135">
        <f t="shared" si="59"/>
        <v>37</v>
      </c>
      <c r="F5913" s="148" t="s">
        <v>3999</v>
      </c>
      <c r="G5913" s="63" t="str">
        <f>VLOOKUP(C5913, 'Class Def. - General Data'!$C$20:$C$1000,1,false)</f>
        <v>ZRM1_MSG</v>
      </c>
      <c r="H5913" s="63" t="str">
        <f>IFERROR(__xludf.DUMMYFUNCTION("VLOOKUP(F5913, IMPORTRANGE(""https://docs.google.com/spreadsheets/d/1Lhp9OU0JdFf_VYSMzH5lBcEaU4o8teT1piV-SNzShjg/edit?gid=554141278#gid=554141278"", ""'Char Def. - Attributes'!C20:C2242""), 1,false)"),"MIN_STD_WEIGHT_UOM")</f>
        <v>MIN_STD_WEIGHT_UOM</v>
      </c>
      <c r="I5913" s="136"/>
    </row>
    <row r="5914" ht="15.75" customHeight="1">
      <c r="A5914" s="59"/>
      <c r="B5914" s="63">
        <f t="shared" si="1"/>
        <v>16</v>
      </c>
      <c r="C5914" s="156" t="s">
        <v>229</v>
      </c>
      <c r="D5914" s="147" t="s">
        <v>74</v>
      </c>
      <c r="E5914" s="135">
        <f t="shared" si="59"/>
        <v>1</v>
      </c>
      <c r="F5914" s="152" t="s">
        <v>4000</v>
      </c>
      <c r="G5914" s="63" t="str">
        <f>VLOOKUP(C5914, 'Class Def. - General Data'!$C$20:$C$1000,1,false)</f>
        <v>ZRM1_NoMask_Acid</v>
      </c>
      <c r="H5914" s="63" t="str">
        <f>IFERROR(__xludf.DUMMYFUNCTION("VLOOKUP(F5914, IMPORTRANGE(""https://docs.google.com/spreadsheets/d/1Lhp9OU0JdFf_VYSMzH5lBcEaU4o8teT1piV-SNzShjg/edit?gid=554141278#gid=554141278"", ""'Char Def. - Attributes'!C20:C2242""), 1,false)"),"MATERIAL_CODE_FREETEXT")</f>
        <v>MATERIAL_CODE_FREETEXT</v>
      </c>
      <c r="I5914" s="136"/>
    </row>
    <row r="5915" ht="15.75" customHeight="1">
      <c r="A5915" s="59"/>
      <c r="B5915" s="63">
        <f t="shared" si="1"/>
        <v>16</v>
      </c>
      <c r="C5915" s="156" t="s">
        <v>229</v>
      </c>
      <c r="D5915" s="147" t="s">
        <v>74</v>
      </c>
      <c r="E5915" s="135">
        <f t="shared" si="59"/>
        <v>2</v>
      </c>
      <c r="F5915" s="152" t="s">
        <v>4001</v>
      </c>
      <c r="G5915" s="63" t="str">
        <f>VLOOKUP(C5915, 'Class Def. - General Data'!$C$20:$C$1000,1,false)</f>
        <v>ZRM1_NoMask_Acid</v>
      </c>
      <c r="H5915" s="63" t="str">
        <f>IFERROR(__xludf.DUMMYFUNCTION("VLOOKUP(F5915, IMPORTRANGE(""https://docs.google.com/spreadsheets/d/1Lhp9OU0JdFf_VYSMzH5lBcEaU4o8teT1piV-SNzShjg/edit?gid=554141278#gid=554141278"", ""'Char Def. - Attributes'!C20:C2242""), 1,false)"),"ADDITIONAL_INFO_NO_MASK")</f>
        <v>ADDITIONAL_INFO_NO_MASK</v>
      </c>
      <c r="I5915" s="136"/>
    </row>
    <row r="5916" ht="15.75" customHeight="1">
      <c r="A5916" s="59"/>
      <c r="B5916" s="63">
        <f t="shared" si="1"/>
        <v>16</v>
      </c>
      <c r="C5916" s="156" t="s">
        <v>229</v>
      </c>
      <c r="D5916" s="147" t="s">
        <v>74</v>
      </c>
      <c r="E5916" s="135">
        <f t="shared" si="59"/>
        <v>3</v>
      </c>
      <c r="F5916" s="152" t="s">
        <v>4002</v>
      </c>
      <c r="G5916" s="63" t="str">
        <f>VLOOKUP(C5916, 'Class Def. - General Data'!$C$20:$C$1000,1,false)</f>
        <v>ZRM1_NoMask_Acid</v>
      </c>
      <c r="H5916" s="63" t="str">
        <f>IFERROR(__xludf.DUMMYFUNCTION("VLOOKUP(F5916, IMPORTRANGE(""https://docs.google.com/spreadsheets/d/1Lhp9OU0JdFf_VYSMzH5lBcEaU4o8teT1piV-SNzShjg/edit?gid=554141278#gid=554141278"", ""'Char Def. - Attributes'!C20:C2242""), 1,false)"),"COLOR_GENERAL")</f>
        <v>COLOR_GENERAL</v>
      </c>
      <c r="I5916" s="136"/>
    </row>
    <row r="5917" ht="15.75" customHeight="1">
      <c r="A5917" s="59"/>
      <c r="B5917" s="63">
        <f t="shared" si="1"/>
        <v>16</v>
      </c>
      <c r="C5917" s="156" t="s">
        <v>229</v>
      </c>
      <c r="D5917" s="147" t="s">
        <v>74</v>
      </c>
      <c r="E5917" s="135">
        <f t="shared" si="59"/>
        <v>4</v>
      </c>
      <c r="F5917" s="152" t="s">
        <v>4003</v>
      </c>
      <c r="G5917" s="63" t="str">
        <f>VLOOKUP(C5917, 'Class Def. - General Data'!$C$20:$C$1000,1,false)</f>
        <v>ZRM1_NoMask_Acid</v>
      </c>
      <c r="H5917" s="63" t="str">
        <f>IFERROR(__xludf.DUMMYFUNCTION("VLOOKUP(F5917, IMPORTRANGE(""https://docs.google.com/spreadsheets/d/1Lhp9OU0JdFf_VYSMzH5lBcEaU4o8teT1piV-SNzShjg/edit?gid=554141278#gid=554141278"", ""'Char Def. - Attributes'!C20:C2242""), 1,false)"),"SOURCE_SUPPLY")</f>
        <v>SOURCE_SUPPLY</v>
      </c>
      <c r="I5917" s="136"/>
    </row>
    <row r="5918" ht="15.75" customHeight="1">
      <c r="A5918" s="59"/>
      <c r="B5918" s="63">
        <f t="shared" si="1"/>
        <v>16</v>
      </c>
      <c r="C5918" s="156" t="s">
        <v>229</v>
      </c>
      <c r="D5918" s="147" t="s">
        <v>74</v>
      </c>
      <c r="E5918" s="135">
        <f t="shared" si="59"/>
        <v>5</v>
      </c>
      <c r="F5918" s="152" t="s">
        <v>4004</v>
      </c>
      <c r="G5918" s="63" t="str">
        <f>VLOOKUP(C5918, 'Class Def. - General Data'!$C$20:$C$1000,1,false)</f>
        <v>ZRM1_NoMask_Acid</v>
      </c>
      <c r="H5918" s="63" t="str">
        <f>IFERROR(__xludf.DUMMYFUNCTION("VLOOKUP(F5918, IMPORTRANGE(""https://docs.google.com/spreadsheets/d/1Lhp9OU0JdFf_VYSMzH5lBcEaU4o8teT1piV-SNzShjg/edit?gid=554141278#gid=554141278"", ""'Char Def. - Attributes'!C20:C2242""), 1,false)"),"BASE_MATERIAL")</f>
        <v>BASE_MATERIAL</v>
      </c>
      <c r="I5918" s="136"/>
    </row>
    <row r="5919" ht="15.75" customHeight="1">
      <c r="A5919" s="59"/>
      <c r="B5919" s="63">
        <f t="shared" si="1"/>
        <v>16</v>
      </c>
      <c r="C5919" s="156" t="s">
        <v>229</v>
      </c>
      <c r="D5919" s="147" t="s">
        <v>74</v>
      </c>
      <c r="E5919" s="135">
        <f t="shared" si="59"/>
        <v>6</v>
      </c>
      <c r="F5919" s="152" t="s">
        <v>4009</v>
      </c>
      <c r="G5919" s="63" t="str">
        <f>VLOOKUP(C5919, 'Class Def. - General Data'!$C$20:$C$1000,1,false)</f>
        <v>ZRM1_NoMask_Acid</v>
      </c>
      <c r="H5919" s="63" t="str">
        <f>IFERROR(__xludf.DUMMYFUNCTION("VLOOKUP(F5919, IMPORTRANGE(""https://docs.google.com/spreadsheets/d/1Lhp9OU0JdFf_VYSMzH5lBcEaU4o8teT1piV-SNzShjg/edit?gid=554141278#gid=554141278"", ""'Char Def. - Attributes'!C20:C2242""), 1,false)"),"NATURE_ORIGIN_FOOD")</f>
        <v>NATURE_ORIGIN_FOOD</v>
      </c>
      <c r="I5919" s="136"/>
    </row>
    <row r="5920" ht="15.75" customHeight="1">
      <c r="A5920" s="59"/>
      <c r="B5920" s="63">
        <f t="shared" si="1"/>
        <v>16</v>
      </c>
      <c r="C5920" s="156" t="s">
        <v>229</v>
      </c>
      <c r="D5920" s="147" t="s">
        <v>74</v>
      </c>
      <c r="E5920" s="135">
        <f t="shared" si="59"/>
        <v>7</v>
      </c>
      <c r="F5920" s="152" t="s">
        <v>4006</v>
      </c>
      <c r="G5920" s="63" t="str">
        <f>VLOOKUP(C5920, 'Class Def. - General Data'!$C$20:$C$1000,1,false)</f>
        <v>ZRM1_NoMask_Acid</v>
      </c>
      <c r="H5920" s="63" t="str">
        <f>IFERROR(__xludf.DUMMYFUNCTION("VLOOKUP(F5920, IMPORTRANGE(""https://docs.google.com/spreadsheets/d/1Lhp9OU0JdFf_VYSMzH5lBcEaU4o8teT1piV-SNzShjg/edit?gid=554141278#gid=554141278"", ""'Char Def. - Attributes'!C20:C2242""), 1,false)"),"CATEGORY_ITEM")</f>
        <v>CATEGORY_ITEM</v>
      </c>
      <c r="I5920" s="136"/>
    </row>
    <row r="5921" ht="15.75" customHeight="1">
      <c r="A5921" s="59"/>
      <c r="B5921" s="63">
        <f t="shared" si="1"/>
        <v>16</v>
      </c>
      <c r="C5921" s="156" t="s">
        <v>229</v>
      </c>
      <c r="D5921" s="147" t="s">
        <v>74</v>
      </c>
      <c r="E5921" s="135">
        <f t="shared" si="59"/>
        <v>8</v>
      </c>
      <c r="F5921" s="152" t="s">
        <v>4007</v>
      </c>
      <c r="G5921" s="63" t="str">
        <f>VLOOKUP(C5921, 'Class Def. - General Data'!$C$20:$C$1000,1,false)</f>
        <v>ZRM1_NoMask_Acid</v>
      </c>
      <c r="H5921" s="63" t="str">
        <f>IFERROR(__xludf.DUMMYFUNCTION("VLOOKUP(F5921, IMPORTRANGE(""https://docs.google.com/spreadsheets/d/1Lhp9OU0JdFf_VYSMzH5lBcEaU4o8teT1piV-SNzShjg/edit?gid=554141278#gid=554141278"", ""'Char Def. - Attributes'!C20:C2242""), 1,false)"),"FUNCTION1")</f>
        <v>FUNCTION1</v>
      </c>
      <c r="I5921" s="136"/>
    </row>
    <row r="5922" ht="15.75" customHeight="1">
      <c r="A5922" s="59"/>
      <c r="B5922" s="63">
        <f t="shared" si="1"/>
        <v>16</v>
      </c>
      <c r="C5922" s="156" t="s">
        <v>229</v>
      </c>
      <c r="D5922" s="147" t="s">
        <v>74</v>
      </c>
      <c r="E5922" s="135">
        <f t="shared" si="59"/>
        <v>9</v>
      </c>
      <c r="F5922" s="152" t="s">
        <v>4008</v>
      </c>
      <c r="G5922" s="63" t="str">
        <f>VLOOKUP(C5922, 'Class Def. - General Data'!$C$20:$C$1000,1,false)</f>
        <v>ZRM1_NoMask_Acid</v>
      </c>
      <c r="H5922" s="63" t="str">
        <f>IFERROR(__xludf.DUMMYFUNCTION("VLOOKUP(F5922, IMPORTRANGE(""https://docs.google.com/spreadsheets/d/1Lhp9OU0JdFf_VYSMzH5lBcEaU4o8teT1piV-SNzShjg/edit?gid=554141278#gid=554141278"", ""'Char Def. - Attributes'!C20:C2242""), 1,false)"),"PREFERENSI_KURS")</f>
        <v>PREFERENSI_KURS</v>
      </c>
      <c r="I5922" s="136"/>
    </row>
    <row r="5923" ht="15.75" customHeight="1">
      <c r="A5923" s="59"/>
      <c r="B5923" s="63">
        <f t="shared" si="1"/>
        <v>16</v>
      </c>
      <c r="C5923" s="156" t="s">
        <v>229</v>
      </c>
      <c r="D5923" s="147" t="s">
        <v>74</v>
      </c>
      <c r="E5923" s="135">
        <f t="shared" si="59"/>
        <v>10</v>
      </c>
      <c r="F5923" s="151" t="s">
        <v>3868</v>
      </c>
      <c r="G5923" s="63" t="str">
        <f>VLOOKUP(C5923, 'Class Def. - General Data'!$C$20:$C$1000,1,false)</f>
        <v>ZRM1_NoMask_Acid</v>
      </c>
      <c r="H5923" s="63" t="str">
        <f>IFERROR(__xludf.DUMMYFUNCTION("VLOOKUP(F5923, IMPORTRANGE(""https://docs.google.com/spreadsheets/d/1Lhp9OU0JdFf_VYSMzH5lBcEaU4o8teT1piV-SNzShjg/edit?gid=554141278#gid=554141278"", ""'Char Def. - Attributes'!C20:C2242""), 1,false)"),"BASIC_UOM_RMPM")</f>
        <v>BASIC_UOM_RMPM</v>
      </c>
      <c r="I5923" s="136"/>
      <c r="J5923" s="158"/>
      <c r="K5923" s="158"/>
      <c r="L5923" s="158"/>
      <c r="M5923" s="158"/>
      <c r="N5923" s="158"/>
      <c r="O5923" s="158"/>
      <c r="P5923" s="158"/>
      <c r="Q5923" s="158"/>
      <c r="R5923" s="158"/>
      <c r="S5923" s="158"/>
      <c r="T5923" s="158"/>
      <c r="U5923" s="158"/>
      <c r="V5923" s="158"/>
      <c r="W5923" s="158"/>
      <c r="X5923" s="158"/>
      <c r="Y5923" s="158"/>
      <c r="Z5923" s="158"/>
      <c r="AA5923" s="158"/>
    </row>
    <row r="5924" ht="15.75" customHeight="1">
      <c r="A5924" s="59"/>
      <c r="B5924" s="63">
        <f t="shared" si="1"/>
        <v>16</v>
      </c>
      <c r="C5924" s="156" t="s">
        <v>229</v>
      </c>
      <c r="D5924" s="147" t="s">
        <v>74</v>
      </c>
      <c r="E5924" s="135">
        <f t="shared" si="59"/>
        <v>11</v>
      </c>
      <c r="F5924" s="152" t="s">
        <v>3869</v>
      </c>
      <c r="G5924" s="63" t="str">
        <f>VLOOKUP(C5924, 'Class Def. - General Data'!$C$20:$C$1000,1,false)</f>
        <v>ZRM1_NoMask_Acid</v>
      </c>
      <c r="H5924" s="63" t="str">
        <f>IFERROR(__xludf.DUMMYFUNCTION("VLOOKUP(F5924, IMPORTRANGE(""https://docs.google.com/spreadsheets/d/1Lhp9OU0JdFf_VYSMzH5lBcEaU4o8teT1piV-SNzShjg/edit?gid=554141278#gid=554141278"", ""'Char Def. - Attributes'!C20:C2242""), 1,false)"),"ALT_UOM1_RMPM")</f>
        <v>ALT_UOM1_RMPM</v>
      </c>
      <c r="I5924" s="136"/>
      <c r="J5924" s="158"/>
      <c r="K5924" s="158"/>
      <c r="L5924" s="158"/>
      <c r="M5924" s="158"/>
      <c r="N5924" s="158"/>
      <c r="O5924" s="158"/>
      <c r="P5924" s="158"/>
      <c r="Q5924" s="158"/>
      <c r="R5924" s="158"/>
      <c r="S5924" s="158"/>
      <c r="T5924" s="158"/>
      <c r="U5924" s="158"/>
      <c r="V5924" s="158"/>
      <c r="W5924" s="158"/>
      <c r="X5924" s="158"/>
      <c r="Y5924" s="158"/>
      <c r="Z5924" s="158"/>
      <c r="AA5924" s="158"/>
    </row>
    <row r="5925" ht="15.75" customHeight="1">
      <c r="A5925" s="59"/>
      <c r="B5925" s="63">
        <f t="shared" si="1"/>
        <v>16</v>
      </c>
      <c r="C5925" s="156" t="s">
        <v>229</v>
      </c>
      <c r="D5925" s="147" t="s">
        <v>74</v>
      </c>
      <c r="E5925" s="135">
        <f t="shared" si="59"/>
        <v>12</v>
      </c>
      <c r="F5925" s="152" t="s">
        <v>3805</v>
      </c>
      <c r="G5925" s="63" t="str">
        <f>VLOOKUP(C5925, 'Class Def. - General Data'!$C$20:$C$1000,1,false)</f>
        <v>ZRM1_NoMask_Acid</v>
      </c>
      <c r="H5925" s="63" t="str">
        <f>IFERROR(__xludf.DUMMYFUNCTION("VLOOKUP(F5925, IMPORTRANGE(""https://docs.google.com/spreadsheets/d/1Lhp9OU0JdFf_VYSMzH5lBcEaU4o8teT1piV-SNzShjg/edit?gid=554141278#gid=554141278"", ""'Char Def. - Attributes'!C20:C2242""), 1,false)"),"ALT_DENUM_UOM1")</f>
        <v>ALT_DENUM_UOM1</v>
      </c>
      <c r="I5925" s="136"/>
    </row>
    <row r="5926" ht="15.75" customHeight="1">
      <c r="A5926" s="59"/>
      <c r="B5926" s="63">
        <f t="shared" si="1"/>
        <v>16</v>
      </c>
      <c r="C5926" s="156" t="s">
        <v>229</v>
      </c>
      <c r="D5926" s="147" t="s">
        <v>74</v>
      </c>
      <c r="E5926" s="135">
        <f t="shared" si="59"/>
        <v>13</v>
      </c>
      <c r="F5926" s="152" t="s">
        <v>3806</v>
      </c>
      <c r="G5926" s="63" t="str">
        <f>VLOOKUP(C5926, 'Class Def. - General Data'!$C$20:$C$1000,1,false)</f>
        <v>ZRM1_NoMask_Acid</v>
      </c>
      <c r="H5926" s="63" t="str">
        <f>IFERROR(__xludf.DUMMYFUNCTION("VLOOKUP(F5926, IMPORTRANGE(""https://docs.google.com/spreadsheets/d/1Lhp9OU0JdFf_VYSMzH5lBcEaU4o8teT1piV-SNzShjg/edit?gid=554141278#gid=554141278"", ""'Char Def. - Attributes'!C20:C2242""), 1,false)"),"ALT_NUM_UOM1")</f>
        <v>ALT_NUM_UOM1</v>
      </c>
      <c r="I5926" s="136"/>
    </row>
    <row r="5927" ht="15.75" customHeight="1">
      <c r="A5927" s="59"/>
      <c r="B5927" s="63">
        <f t="shared" si="1"/>
        <v>16</v>
      </c>
      <c r="C5927" s="156" t="s">
        <v>229</v>
      </c>
      <c r="D5927" s="147" t="s">
        <v>74</v>
      </c>
      <c r="E5927" s="135">
        <f t="shared" si="59"/>
        <v>14</v>
      </c>
      <c r="F5927" s="152" t="s">
        <v>3870</v>
      </c>
      <c r="G5927" s="63" t="str">
        <f>VLOOKUP(C5927, 'Class Def. - General Data'!$C$20:$C$1000,1,false)</f>
        <v>ZRM1_NoMask_Acid</v>
      </c>
      <c r="H5927" s="63" t="str">
        <f>IFERROR(__xludf.DUMMYFUNCTION("VLOOKUP(F5927, IMPORTRANGE(""https://docs.google.com/spreadsheets/d/1Lhp9OU0JdFf_VYSMzH5lBcEaU4o8teT1piV-SNzShjg/edit?gid=554141278#gid=554141278"", ""'Char Def. - Attributes'!C20:C2242""), 1,false)"),"ALT_UOM2_RMPM")</f>
        <v>ALT_UOM2_RMPM</v>
      </c>
      <c r="I5927" s="136"/>
    </row>
    <row r="5928" ht="15.75" customHeight="1">
      <c r="A5928" s="59"/>
      <c r="B5928" s="63">
        <f t="shared" si="1"/>
        <v>16</v>
      </c>
      <c r="C5928" s="156" t="s">
        <v>229</v>
      </c>
      <c r="D5928" s="147" t="s">
        <v>74</v>
      </c>
      <c r="E5928" s="135">
        <f t="shared" si="59"/>
        <v>15</v>
      </c>
      <c r="F5928" s="152" t="s">
        <v>3808</v>
      </c>
      <c r="G5928" s="63" t="str">
        <f>VLOOKUP(C5928, 'Class Def. - General Data'!$C$20:$C$1000,1,false)</f>
        <v>ZRM1_NoMask_Acid</v>
      </c>
      <c r="H5928" s="63" t="str">
        <f>IFERROR(__xludf.DUMMYFUNCTION("VLOOKUP(F5928, IMPORTRANGE(""https://docs.google.com/spreadsheets/d/1Lhp9OU0JdFf_VYSMzH5lBcEaU4o8teT1piV-SNzShjg/edit?gid=554141278#gid=554141278"", ""'Char Def. - Attributes'!C20:C2242""), 1,false)"),"ALT_DENUM_UOM2")</f>
        <v>ALT_DENUM_UOM2</v>
      </c>
      <c r="I5928" s="136"/>
    </row>
    <row r="5929" ht="15.75" customHeight="1">
      <c r="B5929" s="63">
        <f t="shared" si="1"/>
        <v>16</v>
      </c>
      <c r="C5929" s="156" t="s">
        <v>229</v>
      </c>
      <c r="D5929" s="147" t="s">
        <v>74</v>
      </c>
      <c r="E5929" s="135">
        <f t="shared" si="59"/>
        <v>16</v>
      </c>
      <c r="F5929" s="152" t="s">
        <v>3809</v>
      </c>
      <c r="G5929" s="63" t="str">
        <f>VLOOKUP(C5929, 'Class Def. - General Data'!$C$20:$C$1000,1,false)</f>
        <v>ZRM1_NoMask_Acid</v>
      </c>
      <c r="H5929" s="63" t="str">
        <f>IFERROR(__xludf.DUMMYFUNCTION("VLOOKUP(F5929, IMPORTRANGE(""https://docs.google.com/spreadsheets/d/1Lhp9OU0JdFf_VYSMzH5lBcEaU4o8teT1piV-SNzShjg/edit?gid=554141278#gid=554141278"", ""'Char Def. - Attributes'!C20:C2242""), 1,false)"),"ALT_NUM_UOM2")</f>
        <v>ALT_NUM_UOM2</v>
      </c>
      <c r="I5929" s="136"/>
    </row>
    <row r="5930" ht="15.75" customHeight="1">
      <c r="B5930" s="63">
        <f t="shared" si="1"/>
        <v>16</v>
      </c>
      <c r="C5930" s="156" t="s">
        <v>229</v>
      </c>
      <c r="D5930" s="147" t="s">
        <v>74</v>
      </c>
      <c r="E5930" s="135">
        <f t="shared" si="59"/>
        <v>17</v>
      </c>
      <c r="F5930" s="152" t="s">
        <v>3871</v>
      </c>
      <c r="G5930" s="63" t="str">
        <f>VLOOKUP(C5930, 'Class Def. - General Data'!$C$20:$C$1000,1,false)</f>
        <v>ZRM1_NoMask_Acid</v>
      </c>
      <c r="H5930" s="63" t="str">
        <f>IFERROR(__xludf.DUMMYFUNCTION("VLOOKUP(F5930, IMPORTRANGE(""https://docs.google.com/spreadsheets/d/1Lhp9OU0JdFf_VYSMzH5lBcEaU4o8teT1piV-SNzShjg/edit?gid=554141278#gid=554141278"", ""'Char Def. - Attributes'!C20:C2242""), 1,false)"),"ALT_UOM3_RMPM")</f>
        <v>ALT_UOM3_RMPM</v>
      </c>
      <c r="I5930" s="136"/>
    </row>
    <row r="5931" ht="15.75" customHeight="1">
      <c r="B5931" s="63">
        <f t="shared" si="1"/>
        <v>16</v>
      </c>
      <c r="C5931" s="156" t="s">
        <v>229</v>
      </c>
      <c r="D5931" s="147" t="s">
        <v>74</v>
      </c>
      <c r="E5931" s="135">
        <f t="shared" si="59"/>
        <v>18</v>
      </c>
      <c r="F5931" s="152" t="s">
        <v>3811</v>
      </c>
      <c r="G5931" s="63" t="str">
        <f>VLOOKUP(C5931, 'Class Def. - General Data'!$C$20:$C$1000,1,false)</f>
        <v>ZRM1_NoMask_Acid</v>
      </c>
      <c r="H5931" s="63" t="str">
        <f>IFERROR(__xludf.DUMMYFUNCTION("VLOOKUP(F5931, IMPORTRANGE(""https://docs.google.com/spreadsheets/d/1Lhp9OU0JdFf_VYSMzH5lBcEaU4o8teT1piV-SNzShjg/edit?gid=554141278#gid=554141278"", ""'Char Def. - Attributes'!C20:C2242""), 1,false)"),"ALT_DENUM_UOM3")</f>
        <v>ALT_DENUM_UOM3</v>
      </c>
      <c r="I5931" s="136"/>
    </row>
    <row r="5932" ht="15.75" customHeight="1">
      <c r="A5932" s="59"/>
      <c r="B5932" s="63">
        <f t="shared" si="1"/>
        <v>16</v>
      </c>
      <c r="C5932" s="156" t="s">
        <v>229</v>
      </c>
      <c r="D5932" s="147" t="s">
        <v>74</v>
      </c>
      <c r="E5932" s="135">
        <f t="shared" si="59"/>
        <v>19</v>
      </c>
      <c r="F5932" s="152" t="s">
        <v>3812</v>
      </c>
      <c r="G5932" s="63" t="str">
        <f>VLOOKUP(C5932, 'Class Def. - General Data'!$C$20:$C$1000,1,false)</f>
        <v>ZRM1_NoMask_Acid</v>
      </c>
      <c r="H5932" s="63" t="str">
        <f>IFERROR(__xludf.DUMMYFUNCTION("VLOOKUP(F5932, IMPORTRANGE(""https://docs.google.com/spreadsheets/d/1Lhp9OU0JdFf_VYSMzH5lBcEaU4o8teT1piV-SNzShjg/edit?gid=554141278#gid=554141278"", ""'Char Def. - Attributes'!C20:C2242""), 1,false)"),"ALT_NUM_UOM3")</f>
        <v>ALT_NUM_UOM3</v>
      </c>
      <c r="I5932" s="136"/>
    </row>
    <row r="5933" ht="15.75" customHeight="1">
      <c r="A5933" s="59"/>
      <c r="B5933" s="63">
        <f t="shared" si="1"/>
        <v>16</v>
      </c>
      <c r="C5933" s="156" t="s">
        <v>229</v>
      </c>
      <c r="D5933" s="147" t="s">
        <v>74</v>
      </c>
      <c r="E5933" s="135">
        <f t="shared" si="59"/>
        <v>20</v>
      </c>
      <c r="F5933" s="152" t="s">
        <v>3872</v>
      </c>
      <c r="G5933" s="63" t="str">
        <f>VLOOKUP(C5933, 'Class Def. - General Data'!$C$20:$C$1000,1,false)</f>
        <v>ZRM1_NoMask_Acid</v>
      </c>
      <c r="H5933" s="63" t="str">
        <f>IFERROR(__xludf.DUMMYFUNCTION("VLOOKUP(F5933, IMPORTRANGE(""https://docs.google.com/spreadsheets/d/1Lhp9OU0JdFf_VYSMzH5lBcEaU4o8teT1piV-SNzShjg/edit?gid=554141278#gid=554141278"", ""'Char Def. - Attributes'!C20:C2242""), 1,false)"),"ALT_UOM4_RMPM")</f>
        <v>ALT_UOM4_RMPM</v>
      </c>
      <c r="I5933" s="136"/>
    </row>
    <row r="5934" ht="15.75" customHeight="1">
      <c r="A5934" s="59"/>
      <c r="B5934" s="63">
        <f t="shared" si="1"/>
        <v>16</v>
      </c>
      <c r="C5934" s="156" t="s">
        <v>229</v>
      </c>
      <c r="D5934" s="147" t="s">
        <v>74</v>
      </c>
      <c r="E5934" s="135">
        <f t="shared" si="59"/>
        <v>21</v>
      </c>
      <c r="F5934" s="148" t="s">
        <v>3814</v>
      </c>
      <c r="G5934" s="63" t="str">
        <f>VLOOKUP(C5934, 'Class Def. - General Data'!$C$20:$C$1000,1,false)</f>
        <v>ZRM1_NoMask_Acid</v>
      </c>
      <c r="H5934" s="63" t="str">
        <f>IFERROR(__xludf.DUMMYFUNCTION("VLOOKUP(F5934, IMPORTRANGE(""https://docs.google.com/spreadsheets/d/1Lhp9OU0JdFf_VYSMzH5lBcEaU4o8teT1piV-SNzShjg/edit?gid=554141278#gid=554141278"", ""'Char Def. - Attributes'!C20:C2242""), 1,false)"),"ALT_DENUM_UOM4")</f>
        <v>ALT_DENUM_UOM4</v>
      </c>
      <c r="I5934" s="136"/>
    </row>
    <row r="5935" ht="15.75" customHeight="1">
      <c r="B5935" s="63">
        <f t="shared" si="1"/>
        <v>16</v>
      </c>
      <c r="C5935" s="156" t="s">
        <v>229</v>
      </c>
      <c r="D5935" s="147" t="s">
        <v>74</v>
      </c>
      <c r="E5935" s="135">
        <f t="shared" si="59"/>
        <v>22</v>
      </c>
      <c r="F5935" s="152" t="s">
        <v>3815</v>
      </c>
      <c r="G5935" s="63" t="str">
        <f>VLOOKUP(C5935, 'Class Def. - General Data'!$C$20:$C$1000,1,false)</f>
        <v>ZRM1_NoMask_Acid</v>
      </c>
      <c r="H5935" s="63" t="str">
        <f>IFERROR(__xludf.DUMMYFUNCTION("VLOOKUP(F5935, IMPORTRANGE(""https://docs.google.com/spreadsheets/d/1Lhp9OU0JdFf_VYSMzH5lBcEaU4o8teT1piV-SNzShjg/edit?gid=554141278#gid=554141278"", ""'Char Def. - Attributes'!C20:C2242""), 1,false)"),"ALT_NUM_UOM4")</f>
        <v>ALT_NUM_UOM4</v>
      </c>
      <c r="I5935" s="136"/>
    </row>
    <row r="5936" ht="15.75" customHeight="1">
      <c r="B5936" s="63">
        <f t="shared" si="1"/>
        <v>16</v>
      </c>
      <c r="C5936" s="156" t="s">
        <v>229</v>
      </c>
      <c r="D5936" s="147" t="s">
        <v>74</v>
      </c>
      <c r="E5936" s="135">
        <f t="shared" si="59"/>
        <v>23</v>
      </c>
      <c r="F5936" s="152" t="s">
        <v>3873</v>
      </c>
      <c r="G5936" s="63" t="str">
        <f>VLOOKUP(C5936, 'Class Def. - General Data'!$C$20:$C$1000,1,false)</f>
        <v>ZRM1_NoMask_Acid</v>
      </c>
      <c r="H5936" s="63" t="str">
        <f>IFERROR(__xludf.DUMMYFUNCTION("VLOOKUP(F5936, IMPORTRANGE(""https://docs.google.com/spreadsheets/d/1Lhp9OU0JdFf_VYSMzH5lBcEaU4o8teT1piV-SNzShjg/edit?gid=554141278#gid=554141278"", ""'Char Def. - Attributes'!C20:C2242""), 1,false)"),"ALT_UOM5_RMPM")</f>
        <v>ALT_UOM5_RMPM</v>
      </c>
      <c r="I5936" s="136"/>
    </row>
    <row r="5937" ht="15.75" customHeight="1">
      <c r="B5937" s="63">
        <f t="shared" si="1"/>
        <v>16</v>
      </c>
      <c r="C5937" s="156" t="s">
        <v>229</v>
      </c>
      <c r="D5937" s="147" t="s">
        <v>74</v>
      </c>
      <c r="E5937" s="135">
        <f t="shared" si="59"/>
        <v>24</v>
      </c>
      <c r="F5937" s="152" t="s">
        <v>3817</v>
      </c>
      <c r="G5937" s="63" t="str">
        <f>VLOOKUP(C5937, 'Class Def. - General Data'!$C$20:$C$1000,1,false)</f>
        <v>ZRM1_NoMask_Acid</v>
      </c>
      <c r="H5937" s="63" t="str">
        <f>IFERROR(__xludf.DUMMYFUNCTION("VLOOKUP(F5937, IMPORTRANGE(""https://docs.google.com/spreadsheets/d/1Lhp9OU0JdFf_VYSMzH5lBcEaU4o8teT1piV-SNzShjg/edit?gid=554141278#gid=554141278"", ""'Char Def. - Attributes'!C20:C2242""), 1,false)"),"ALT_DENUM_UOM5")</f>
        <v>ALT_DENUM_UOM5</v>
      </c>
      <c r="I5937" s="136"/>
    </row>
    <row r="5938" ht="15.75" customHeight="1">
      <c r="A5938" s="59"/>
      <c r="B5938" s="63">
        <f t="shared" si="1"/>
        <v>16</v>
      </c>
      <c r="C5938" s="156" t="s">
        <v>229</v>
      </c>
      <c r="D5938" s="147" t="s">
        <v>74</v>
      </c>
      <c r="E5938" s="135">
        <f t="shared" si="59"/>
        <v>25</v>
      </c>
      <c r="F5938" s="152" t="s">
        <v>3818</v>
      </c>
      <c r="G5938" s="63" t="str">
        <f>VLOOKUP(C5938, 'Class Def. - General Data'!$C$20:$C$1000,1,false)</f>
        <v>ZRM1_NoMask_Acid</v>
      </c>
      <c r="H5938" s="63" t="str">
        <f>IFERROR(__xludf.DUMMYFUNCTION("VLOOKUP(F5938, IMPORTRANGE(""https://docs.google.com/spreadsheets/d/1Lhp9OU0JdFf_VYSMzH5lBcEaU4o8teT1piV-SNzShjg/edit?gid=554141278#gid=554141278"", ""'Char Def. - Attributes'!C20:C2242""), 1,false)"),"ALT_NUM_UOM5")</f>
        <v>ALT_NUM_UOM5</v>
      </c>
      <c r="I5938" s="136"/>
    </row>
    <row r="5939" ht="15.75" customHeight="1">
      <c r="A5939" s="59"/>
      <c r="B5939" s="63">
        <f t="shared" si="1"/>
        <v>16</v>
      </c>
      <c r="C5939" s="156" t="s">
        <v>229</v>
      </c>
      <c r="D5939" s="147" t="s">
        <v>74</v>
      </c>
      <c r="E5939" s="135">
        <f t="shared" si="59"/>
        <v>26</v>
      </c>
      <c r="F5939" s="152" t="s">
        <v>3874</v>
      </c>
      <c r="G5939" s="63" t="str">
        <f>VLOOKUP(C5939, 'Class Def. - General Data'!$C$20:$C$1000,1,false)</f>
        <v>ZRM1_NoMask_Acid</v>
      </c>
      <c r="H5939" s="63" t="str">
        <f>IFERROR(__xludf.DUMMYFUNCTION("VLOOKUP(F5939, IMPORTRANGE(""https://docs.google.com/spreadsheets/d/1Lhp9OU0JdFf_VYSMzH5lBcEaU4o8teT1piV-SNzShjg/edit?gid=554141278#gid=554141278"", ""'Char Def. - Attributes'!C20:C2242""), 1,false)"),"VALUATION_CATEGORY")</f>
        <v>VALUATION_CATEGORY</v>
      </c>
      <c r="I5939" s="136"/>
    </row>
    <row r="5940" ht="15.75" customHeight="1">
      <c r="A5940" s="59"/>
      <c r="B5940" s="63">
        <f t="shared" si="1"/>
        <v>16</v>
      </c>
      <c r="C5940" s="156" t="s">
        <v>229</v>
      </c>
      <c r="D5940" s="147" t="s">
        <v>74</v>
      </c>
      <c r="E5940" s="135">
        <f t="shared" si="59"/>
        <v>27</v>
      </c>
      <c r="F5940" s="152" t="s">
        <v>3800</v>
      </c>
      <c r="G5940" s="63" t="str">
        <f>VLOOKUP(C5940, 'Class Def. - General Data'!$C$20:$C$1000,1,false)</f>
        <v>ZRM1_NoMask_Acid</v>
      </c>
      <c r="H5940" s="63" t="str">
        <f>IFERROR(__xludf.DUMMYFUNCTION("VLOOKUP(F5940, IMPORTRANGE(""https://docs.google.com/spreadsheets/d/1Lhp9OU0JdFf_VYSMzH5lBcEaU4o8teT1piV-SNzShjg/edit?gid=554141278#gid=554141278"", ""'Char Def. - Attributes'!C20:C2242""), 1,false)"),"ORDER_UNIT_DIFF_FROM_BASIC_UOM")</f>
        <v>ORDER_UNIT_DIFF_FROM_BASIC_UOM</v>
      </c>
      <c r="I5940" s="136"/>
    </row>
    <row r="5941" ht="15.75" customHeight="1">
      <c r="A5941" s="59"/>
      <c r="B5941" s="63">
        <f t="shared" si="1"/>
        <v>16</v>
      </c>
      <c r="C5941" s="156" t="s">
        <v>229</v>
      </c>
      <c r="D5941" s="147" t="s">
        <v>74</v>
      </c>
      <c r="E5941" s="135">
        <f t="shared" si="59"/>
        <v>28</v>
      </c>
      <c r="F5941" s="152" t="s">
        <v>3875</v>
      </c>
      <c r="G5941" s="63" t="str">
        <f>VLOOKUP(C5941, 'Class Def. - General Data'!$C$20:$C$1000,1,false)</f>
        <v>ZRM1_NoMask_Acid</v>
      </c>
      <c r="H5941" s="63" t="str">
        <f>IFERROR(__xludf.DUMMYFUNCTION("VLOOKUP(F5941, IMPORTRANGE(""https://docs.google.com/spreadsheets/d/1Lhp9OU0JdFf_VYSMzH5lBcEaU4o8teT1piV-SNzShjg/edit?gid=554141278#gid=554141278"", ""'Char Def. - Attributes'!C20:C2242""), 1,false)"),"ORDER_UNIT_RMPM")</f>
        <v>ORDER_UNIT_RMPM</v>
      </c>
      <c r="I5941" s="136"/>
    </row>
    <row r="5942" ht="15.75" customHeight="1">
      <c r="A5942" s="59"/>
      <c r="B5942" s="63">
        <f t="shared" si="1"/>
        <v>16</v>
      </c>
      <c r="C5942" s="156" t="s">
        <v>229</v>
      </c>
      <c r="D5942" s="147" t="s">
        <v>74</v>
      </c>
      <c r="E5942" s="135">
        <f t="shared" si="59"/>
        <v>29</v>
      </c>
      <c r="F5942" s="151" t="s">
        <v>3602</v>
      </c>
      <c r="G5942" s="63" t="str">
        <f>VLOOKUP(C5942, 'Class Def. - General Data'!$C$20:$C$1000,1,false)</f>
        <v>ZRM1_NoMask_Acid</v>
      </c>
      <c r="H5942" s="63" t="str">
        <f>IFERROR(__xludf.DUMMYFUNCTION("VLOOKUP(F5942, IMPORTRANGE(""https://docs.google.com/spreadsheets/d/1Lhp9OU0JdFf_VYSMzH5lBcEaU4o8teT1piV-SNzShjg/edit?gid=554141278#gid=554141278"", ""'Char Def. - Attributes'!C20:C2242""), 1,false)"),"NET_WEIGHT")</f>
        <v>NET_WEIGHT</v>
      </c>
      <c r="I5942" s="136"/>
    </row>
    <row r="5943" ht="15.75" customHeight="1">
      <c r="A5943" s="59"/>
      <c r="B5943" s="63">
        <f t="shared" si="1"/>
        <v>16</v>
      </c>
      <c r="C5943" s="156" t="s">
        <v>229</v>
      </c>
      <c r="D5943" s="147" t="s">
        <v>74</v>
      </c>
      <c r="E5943" s="135">
        <f t="shared" si="59"/>
        <v>30</v>
      </c>
      <c r="F5943" s="151" t="s">
        <v>3601</v>
      </c>
      <c r="G5943" s="63" t="str">
        <f>VLOOKUP(C5943, 'Class Def. - General Data'!$C$20:$C$1000,1,false)</f>
        <v>ZRM1_NoMask_Acid</v>
      </c>
      <c r="H5943" s="63" t="str">
        <f>IFERROR(__xludf.DUMMYFUNCTION("VLOOKUP(F5943, IMPORTRANGE(""https://docs.google.com/spreadsheets/d/1Lhp9OU0JdFf_VYSMzH5lBcEaU4o8teT1piV-SNzShjg/edit?gid=554141278#gid=554141278"", ""'Char Def. - Attributes'!C20:C2242""), 1,false)"),"GROSS_WEIGHT")</f>
        <v>GROSS_WEIGHT</v>
      </c>
      <c r="I5943" s="136"/>
    </row>
    <row r="5944" ht="15.75" customHeight="1">
      <c r="A5944" s="59"/>
      <c r="B5944" s="63">
        <f t="shared" si="1"/>
        <v>16</v>
      </c>
      <c r="C5944" s="156" t="s">
        <v>229</v>
      </c>
      <c r="D5944" s="147" t="s">
        <v>74</v>
      </c>
      <c r="E5944" s="135">
        <f t="shared" si="59"/>
        <v>31</v>
      </c>
      <c r="F5944" s="152" t="s">
        <v>3996</v>
      </c>
      <c r="G5944" s="63" t="str">
        <f>VLOOKUP(C5944, 'Class Def. - General Data'!$C$20:$C$1000,1,false)</f>
        <v>ZRM1_NoMask_Acid</v>
      </c>
      <c r="H5944" s="63" t="str">
        <f>IFERROR(__xludf.DUMMYFUNCTION("VLOOKUP(F5944, IMPORTRANGE(""https://docs.google.com/spreadsheets/d/1Lhp9OU0JdFf_VYSMzH5lBcEaU4o8teT1piV-SNzShjg/edit?gid=554141278#gid=554141278"", ""'Char Def. - Attributes'!C20:C2242""), 1,false)"),"WEIGHT_UNIT")</f>
        <v>WEIGHT_UNIT</v>
      </c>
      <c r="I5944" s="136"/>
    </row>
    <row r="5945" ht="15.75" customHeight="1">
      <c r="A5945" s="59"/>
      <c r="B5945" s="63">
        <f t="shared" si="1"/>
        <v>16</v>
      </c>
      <c r="C5945" s="156" t="s">
        <v>229</v>
      </c>
      <c r="D5945" s="147" t="s">
        <v>74</v>
      </c>
      <c r="E5945" s="135">
        <f t="shared" si="59"/>
        <v>32</v>
      </c>
      <c r="F5945" s="151" t="s">
        <v>3877</v>
      </c>
      <c r="G5945" s="63" t="str">
        <f>VLOOKUP(C5945, 'Class Def. - General Data'!$C$20:$C$1000,1,false)</f>
        <v>ZRM1_NoMask_Acid</v>
      </c>
      <c r="H5945" s="63" t="str">
        <f>IFERROR(__xludf.DUMMYFUNCTION("VLOOKUP(F5945, IMPORTRANGE(""https://docs.google.com/spreadsheets/d/1Lhp9OU0JdFf_VYSMzH5lBcEaU4o8teT1piV-SNzShjg/edit?gid=554141278#gid=554141278"", ""'Char Def. - Attributes'!C20:C2242""), 1,false)"),"VOLUME_OPT")</f>
        <v>VOLUME_OPT</v>
      </c>
      <c r="I5945" s="136"/>
    </row>
    <row r="5946" ht="15.75" customHeight="1">
      <c r="A5946" s="59"/>
      <c r="B5946" s="63">
        <f t="shared" si="1"/>
        <v>16</v>
      </c>
      <c r="C5946" s="156" t="s">
        <v>229</v>
      </c>
      <c r="D5946" s="147" t="s">
        <v>74</v>
      </c>
      <c r="E5946" s="135">
        <f t="shared" si="59"/>
        <v>33</v>
      </c>
      <c r="F5946" s="152" t="s">
        <v>3878</v>
      </c>
      <c r="G5946" s="63" t="str">
        <f>VLOOKUP(C5946, 'Class Def. - General Data'!$C$20:$C$1000,1,false)</f>
        <v>ZRM1_NoMask_Acid</v>
      </c>
      <c r="H5946" s="63" t="str">
        <f>IFERROR(__xludf.DUMMYFUNCTION("VLOOKUP(F5946, IMPORTRANGE(""https://docs.google.com/spreadsheets/d/1Lhp9OU0JdFf_VYSMzH5lBcEaU4o8teT1piV-SNzShjg/edit?gid=554141278#gid=554141278"", ""'Char Def. - Attributes'!C20:C2242""), 1,false)"),"VOLUME_UNIT")</f>
        <v>VOLUME_UNIT</v>
      </c>
      <c r="I5946" s="136"/>
    </row>
    <row r="5947" ht="15.75" customHeight="1">
      <c r="A5947" s="59"/>
      <c r="B5947" s="63">
        <f t="shared" si="1"/>
        <v>16</v>
      </c>
      <c r="C5947" s="156" t="s">
        <v>229</v>
      </c>
      <c r="D5947" s="147" t="s">
        <v>74</v>
      </c>
      <c r="E5947" s="135">
        <f t="shared" si="59"/>
        <v>34</v>
      </c>
      <c r="F5947" s="151" t="s">
        <v>3587</v>
      </c>
      <c r="G5947" s="63" t="str">
        <f>VLOOKUP(C5947, 'Class Def. - General Data'!$C$20:$C$1000,1,false)</f>
        <v>ZRM1_NoMask_Acid</v>
      </c>
      <c r="H5947" s="63" t="str">
        <f>IFERROR(__xludf.DUMMYFUNCTION("VLOOKUP(F5947, IMPORTRANGE(""https://docs.google.com/spreadsheets/d/1Lhp9OU0JdFf_VYSMzH5lBcEaU4o8teT1piV-SNzShjg/edit?gid=554141278#gid=554141278"", ""'Char Def. - Attributes'!C20:C2242""), 1,false)"),"PLANT_BUY")</f>
        <v>PLANT_BUY</v>
      </c>
      <c r="I5947" s="136"/>
    </row>
    <row r="5948" ht="15.75" customHeight="1">
      <c r="A5948" s="59"/>
      <c r="B5948" s="63">
        <f t="shared" si="1"/>
        <v>16</v>
      </c>
      <c r="C5948" s="156" t="s">
        <v>229</v>
      </c>
      <c r="D5948" s="147" t="s">
        <v>74</v>
      </c>
      <c r="E5948" s="135">
        <f t="shared" si="59"/>
        <v>35</v>
      </c>
      <c r="F5948" s="152" t="s">
        <v>3997</v>
      </c>
      <c r="G5948" s="63" t="str">
        <f>VLOOKUP(C5948, 'Class Def. - General Data'!$C$20:$C$1000,1,false)</f>
        <v>ZRM1_NoMask_Acid</v>
      </c>
      <c r="H5948" s="63" t="str">
        <f>IFERROR(__xludf.DUMMYFUNCTION("VLOOKUP(F5948, IMPORTRANGE(""https://docs.google.com/spreadsheets/d/1Lhp9OU0JdFf_VYSMzH5lBcEaU4o8teT1piV-SNzShjg/edit?gid=554141278#gid=554141278"", ""'Char Def. - Attributes'!C20:C2242""), 1,false)"),"OLD_MAT_NO_RMPM_OPT")</f>
        <v>OLD_MAT_NO_RMPM_OPT</v>
      </c>
      <c r="I5948" s="136"/>
    </row>
    <row r="5949" ht="15.75" customHeight="1">
      <c r="A5949" s="59"/>
      <c r="B5949" s="63">
        <f t="shared" si="1"/>
        <v>16</v>
      </c>
      <c r="C5949" s="156" t="s">
        <v>229</v>
      </c>
      <c r="D5949" s="147" t="s">
        <v>74</v>
      </c>
      <c r="E5949" s="135">
        <f t="shared" si="59"/>
        <v>36</v>
      </c>
      <c r="F5949" s="148" t="s">
        <v>3998</v>
      </c>
      <c r="G5949" s="63" t="str">
        <f>VLOOKUP(C5949, 'Class Def. - General Data'!$C$20:$C$1000,1,false)</f>
        <v>ZRM1_NoMask_Acid</v>
      </c>
      <c r="H5949" s="63" t="str">
        <f>IFERROR(__xludf.DUMMYFUNCTION("VLOOKUP(F5949, IMPORTRANGE(""https://docs.google.com/spreadsheets/d/1Lhp9OU0JdFf_VYSMzH5lBcEaU4o8teT1piV-SNzShjg/edit?gid=554141278#gid=554141278"", ""'Char Def. - Attributes'!C20:C2242""), 1,false)"),"MIN_STD_WEIGHT")</f>
        <v>MIN_STD_WEIGHT</v>
      </c>
      <c r="I5949" s="136"/>
    </row>
    <row r="5950" ht="15.75" customHeight="1">
      <c r="A5950" s="59"/>
      <c r="B5950" s="63">
        <f t="shared" si="1"/>
        <v>16</v>
      </c>
      <c r="C5950" s="156" t="s">
        <v>229</v>
      </c>
      <c r="D5950" s="147" t="s">
        <v>74</v>
      </c>
      <c r="E5950" s="135">
        <f t="shared" si="59"/>
        <v>37</v>
      </c>
      <c r="F5950" s="148" t="s">
        <v>3999</v>
      </c>
      <c r="G5950" s="63" t="str">
        <f>VLOOKUP(C5950, 'Class Def. - General Data'!$C$20:$C$1000,1,false)</f>
        <v>ZRM1_NoMask_Acid</v>
      </c>
      <c r="H5950" s="63" t="str">
        <f>IFERROR(__xludf.DUMMYFUNCTION("VLOOKUP(F5950, IMPORTRANGE(""https://docs.google.com/spreadsheets/d/1Lhp9OU0JdFf_VYSMzH5lBcEaU4o8teT1piV-SNzShjg/edit?gid=554141278#gid=554141278"", ""'Char Def. - Attributes'!C20:C2242""), 1,false)"),"MIN_STD_WEIGHT_UOM")</f>
        <v>MIN_STD_WEIGHT_UOM</v>
      </c>
      <c r="I5950" s="136"/>
    </row>
    <row r="5951" ht="15.75" customHeight="1">
      <c r="A5951" s="59"/>
      <c r="B5951" s="63">
        <f t="shared" si="1"/>
        <v>16</v>
      </c>
      <c r="C5951" s="156" t="s">
        <v>239</v>
      </c>
      <c r="D5951" s="147" t="s">
        <v>74</v>
      </c>
      <c r="E5951" s="135">
        <f t="shared" si="59"/>
        <v>1</v>
      </c>
      <c r="F5951" s="152" t="s">
        <v>4000</v>
      </c>
      <c r="G5951" s="63" t="str">
        <f>VLOOKUP(C5951, 'Class Def. - General Data'!$C$20:$C$1000,1,false)</f>
        <v>ZRM1_NoMask_Base</v>
      </c>
      <c r="H5951" s="63" t="str">
        <f>IFERROR(__xludf.DUMMYFUNCTION("VLOOKUP(F5951, IMPORTRANGE(""https://docs.google.com/spreadsheets/d/1Lhp9OU0JdFf_VYSMzH5lBcEaU4o8teT1piV-SNzShjg/edit?gid=554141278#gid=554141278"", ""'Char Def. - Attributes'!C20:C2242""), 1,false)"),"MATERIAL_CODE_FREETEXT")</f>
        <v>MATERIAL_CODE_FREETEXT</v>
      </c>
      <c r="I5951" s="136"/>
    </row>
    <row r="5952" ht="15.75" customHeight="1">
      <c r="A5952" s="59"/>
      <c r="B5952" s="63">
        <f t="shared" si="1"/>
        <v>16</v>
      </c>
      <c r="C5952" s="156" t="s">
        <v>239</v>
      </c>
      <c r="D5952" s="147" t="s">
        <v>74</v>
      </c>
      <c r="E5952" s="135">
        <f t="shared" si="59"/>
        <v>2</v>
      </c>
      <c r="F5952" s="152" t="s">
        <v>4001</v>
      </c>
      <c r="G5952" s="63" t="str">
        <f>VLOOKUP(C5952, 'Class Def. - General Data'!$C$20:$C$1000,1,false)</f>
        <v>ZRM1_NoMask_Base</v>
      </c>
      <c r="H5952" s="63" t="str">
        <f>IFERROR(__xludf.DUMMYFUNCTION("VLOOKUP(F5952, IMPORTRANGE(""https://docs.google.com/spreadsheets/d/1Lhp9OU0JdFf_VYSMzH5lBcEaU4o8teT1piV-SNzShjg/edit?gid=554141278#gid=554141278"", ""'Char Def. - Attributes'!C20:C2242""), 1,false)"),"ADDITIONAL_INFO_NO_MASK")</f>
        <v>ADDITIONAL_INFO_NO_MASK</v>
      </c>
      <c r="I5952" s="136"/>
    </row>
    <row r="5953" ht="15.75" customHeight="1">
      <c r="A5953" s="59"/>
      <c r="B5953" s="63">
        <f t="shared" si="1"/>
        <v>16</v>
      </c>
      <c r="C5953" s="156" t="s">
        <v>239</v>
      </c>
      <c r="D5953" s="147" t="s">
        <v>74</v>
      </c>
      <c r="E5953" s="135">
        <f t="shared" si="59"/>
        <v>3</v>
      </c>
      <c r="F5953" s="152" t="s">
        <v>4002</v>
      </c>
      <c r="G5953" s="63" t="str">
        <f>VLOOKUP(C5953, 'Class Def. - General Data'!$C$20:$C$1000,1,false)</f>
        <v>ZRM1_NoMask_Base</v>
      </c>
      <c r="H5953" s="63" t="str">
        <f>IFERROR(__xludf.DUMMYFUNCTION("VLOOKUP(F5953, IMPORTRANGE(""https://docs.google.com/spreadsheets/d/1Lhp9OU0JdFf_VYSMzH5lBcEaU4o8teT1piV-SNzShjg/edit?gid=554141278#gid=554141278"", ""'Char Def. - Attributes'!C20:C2242""), 1,false)"),"COLOR_GENERAL")</f>
        <v>COLOR_GENERAL</v>
      </c>
      <c r="I5953" s="136"/>
    </row>
    <row r="5954" ht="15.75" customHeight="1">
      <c r="B5954" s="63">
        <f t="shared" si="1"/>
        <v>16</v>
      </c>
      <c r="C5954" s="156" t="s">
        <v>239</v>
      </c>
      <c r="D5954" s="147" t="s">
        <v>74</v>
      </c>
      <c r="E5954" s="135">
        <f t="shared" si="59"/>
        <v>4</v>
      </c>
      <c r="F5954" s="152" t="s">
        <v>4003</v>
      </c>
      <c r="G5954" s="63" t="str">
        <f>VLOOKUP(C5954, 'Class Def. - General Data'!$C$20:$C$1000,1,false)</f>
        <v>ZRM1_NoMask_Base</v>
      </c>
      <c r="H5954" s="63" t="str">
        <f>IFERROR(__xludf.DUMMYFUNCTION("VLOOKUP(F5954, IMPORTRANGE(""https://docs.google.com/spreadsheets/d/1Lhp9OU0JdFf_VYSMzH5lBcEaU4o8teT1piV-SNzShjg/edit?gid=554141278#gid=554141278"", ""'Char Def. - Attributes'!C20:C2242""), 1,false)"),"SOURCE_SUPPLY")</f>
        <v>SOURCE_SUPPLY</v>
      </c>
      <c r="I5954" s="136"/>
    </row>
    <row r="5955" ht="15.75" customHeight="1">
      <c r="B5955" s="63">
        <f t="shared" si="1"/>
        <v>16</v>
      </c>
      <c r="C5955" s="156" t="s">
        <v>239</v>
      </c>
      <c r="D5955" s="147" t="s">
        <v>74</v>
      </c>
      <c r="E5955" s="135">
        <f t="shared" si="59"/>
        <v>5</v>
      </c>
      <c r="F5955" s="152" t="s">
        <v>4004</v>
      </c>
      <c r="G5955" s="63" t="str">
        <f>VLOOKUP(C5955, 'Class Def. - General Data'!$C$20:$C$1000,1,false)</f>
        <v>ZRM1_NoMask_Base</v>
      </c>
      <c r="H5955" s="63" t="str">
        <f>IFERROR(__xludf.DUMMYFUNCTION("VLOOKUP(F5955, IMPORTRANGE(""https://docs.google.com/spreadsheets/d/1Lhp9OU0JdFf_VYSMzH5lBcEaU4o8teT1piV-SNzShjg/edit?gid=554141278#gid=554141278"", ""'Char Def. - Attributes'!C20:C2242""), 1,false)"),"BASE_MATERIAL")</f>
        <v>BASE_MATERIAL</v>
      </c>
      <c r="I5955" s="136"/>
    </row>
    <row r="5956" ht="15.75" customHeight="1">
      <c r="B5956" s="63">
        <f t="shared" si="1"/>
        <v>16</v>
      </c>
      <c r="C5956" s="156" t="s">
        <v>239</v>
      </c>
      <c r="D5956" s="147" t="s">
        <v>74</v>
      </c>
      <c r="E5956" s="135">
        <f t="shared" si="59"/>
        <v>6</v>
      </c>
      <c r="F5956" s="152" t="s">
        <v>4009</v>
      </c>
      <c r="G5956" s="63" t="str">
        <f>VLOOKUP(C5956, 'Class Def. - General Data'!$C$20:$C$1000,1,false)</f>
        <v>ZRM1_NoMask_Base</v>
      </c>
      <c r="H5956" s="63" t="str">
        <f>IFERROR(__xludf.DUMMYFUNCTION("VLOOKUP(F5956, IMPORTRANGE(""https://docs.google.com/spreadsheets/d/1Lhp9OU0JdFf_VYSMzH5lBcEaU4o8teT1piV-SNzShjg/edit?gid=554141278#gid=554141278"", ""'Char Def. - Attributes'!C20:C2242""), 1,false)"),"NATURE_ORIGIN_FOOD")</f>
        <v>NATURE_ORIGIN_FOOD</v>
      </c>
      <c r="I5956" s="136"/>
    </row>
    <row r="5957" ht="15.75" customHeight="1">
      <c r="A5957" s="158"/>
      <c r="B5957" s="63">
        <f t="shared" si="1"/>
        <v>16</v>
      </c>
      <c r="C5957" s="156" t="s">
        <v>239</v>
      </c>
      <c r="D5957" s="147" t="s">
        <v>74</v>
      </c>
      <c r="E5957" s="135">
        <f t="shared" si="59"/>
        <v>7</v>
      </c>
      <c r="F5957" s="152" t="s">
        <v>4006</v>
      </c>
      <c r="G5957" s="63" t="str">
        <f>VLOOKUP(C5957, 'Class Def. - General Data'!$C$20:$C$1000,1,false)</f>
        <v>ZRM1_NoMask_Base</v>
      </c>
      <c r="H5957" s="63" t="str">
        <f>IFERROR(__xludf.DUMMYFUNCTION("VLOOKUP(F5957, IMPORTRANGE(""https://docs.google.com/spreadsheets/d/1Lhp9OU0JdFf_VYSMzH5lBcEaU4o8teT1piV-SNzShjg/edit?gid=554141278#gid=554141278"", ""'Char Def. - Attributes'!C20:C2242""), 1,false)"),"CATEGORY_ITEM")</f>
        <v>CATEGORY_ITEM</v>
      </c>
      <c r="I5957" s="136"/>
    </row>
    <row r="5958" ht="15.75" customHeight="1">
      <c r="A5958" s="158"/>
      <c r="B5958" s="63">
        <f t="shared" si="1"/>
        <v>16</v>
      </c>
      <c r="C5958" s="156" t="s">
        <v>239</v>
      </c>
      <c r="D5958" s="147" t="s">
        <v>74</v>
      </c>
      <c r="E5958" s="135">
        <f t="shared" si="59"/>
        <v>8</v>
      </c>
      <c r="F5958" s="152" t="s">
        <v>4007</v>
      </c>
      <c r="G5958" s="63" t="str">
        <f>VLOOKUP(C5958, 'Class Def. - General Data'!$C$20:$C$1000,1,false)</f>
        <v>ZRM1_NoMask_Base</v>
      </c>
      <c r="H5958" s="63" t="str">
        <f>IFERROR(__xludf.DUMMYFUNCTION("VLOOKUP(F5958, IMPORTRANGE(""https://docs.google.com/spreadsheets/d/1Lhp9OU0JdFf_VYSMzH5lBcEaU4o8teT1piV-SNzShjg/edit?gid=554141278#gid=554141278"", ""'Char Def. - Attributes'!C20:C2242""), 1,false)"),"FUNCTION1")</f>
        <v>FUNCTION1</v>
      </c>
      <c r="I5958" s="136"/>
    </row>
    <row r="5959" ht="15.75" customHeight="1">
      <c r="A5959" s="59"/>
      <c r="B5959" s="63">
        <f t="shared" si="1"/>
        <v>16</v>
      </c>
      <c r="C5959" s="156" t="s">
        <v>239</v>
      </c>
      <c r="D5959" s="147" t="s">
        <v>74</v>
      </c>
      <c r="E5959" s="135">
        <f t="shared" si="59"/>
        <v>9</v>
      </c>
      <c r="F5959" s="152" t="s">
        <v>4008</v>
      </c>
      <c r="G5959" s="63" t="str">
        <f>VLOOKUP(C5959, 'Class Def. - General Data'!$C$20:$C$1000,1,false)</f>
        <v>ZRM1_NoMask_Base</v>
      </c>
      <c r="H5959" s="63" t="str">
        <f>IFERROR(__xludf.DUMMYFUNCTION("VLOOKUP(F5959, IMPORTRANGE(""https://docs.google.com/spreadsheets/d/1Lhp9OU0JdFf_VYSMzH5lBcEaU4o8teT1piV-SNzShjg/edit?gid=554141278#gid=554141278"", ""'Char Def. - Attributes'!C20:C2242""), 1,false)"),"PREFERENSI_KURS")</f>
        <v>PREFERENSI_KURS</v>
      </c>
      <c r="I5959" s="136"/>
    </row>
    <row r="5960" ht="15.75" customHeight="1">
      <c r="B5960" s="63">
        <f t="shared" si="1"/>
        <v>16</v>
      </c>
      <c r="C5960" s="156" t="s">
        <v>239</v>
      </c>
      <c r="D5960" s="147" t="s">
        <v>74</v>
      </c>
      <c r="E5960" s="135">
        <f t="shared" si="59"/>
        <v>10</v>
      </c>
      <c r="F5960" s="151" t="s">
        <v>3868</v>
      </c>
      <c r="G5960" s="63" t="str">
        <f>VLOOKUP(C5960, 'Class Def. - General Data'!$C$20:$C$1000,1,false)</f>
        <v>ZRM1_NoMask_Base</v>
      </c>
      <c r="H5960" s="63" t="str">
        <f>IFERROR(__xludf.DUMMYFUNCTION("VLOOKUP(F5960, IMPORTRANGE(""https://docs.google.com/spreadsheets/d/1Lhp9OU0JdFf_VYSMzH5lBcEaU4o8teT1piV-SNzShjg/edit?gid=554141278#gid=554141278"", ""'Char Def. - Attributes'!C20:C2242""), 1,false)"),"BASIC_UOM_RMPM")</f>
        <v>BASIC_UOM_RMPM</v>
      </c>
      <c r="I5960" s="136"/>
    </row>
    <row r="5961" ht="15.75" customHeight="1">
      <c r="B5961" s="63">
        <f t="shared" si="1"/>
        <v>16</v>
      </c>
      <c r="C5961" s="156" t="s">
        <v>239</v>
      </c>
      <c r="D5961" s="147" t="s">
        <v>74</v>
      </c>
      <c r="E5961" s="135">
        <f t="shared" si="59"/>
        <v>11</v>
      </c>
      <c r="F5961" s="152" t="s">
        <v>3869</v>
      </c>
      <c r="G5961" s="63" t="str">
        <f>VLOOKUP(C5961, 'Class Def. - General Data'!$C$20:$C$1000,1,false)</f>
        <v>ZRM1_NoMask_Base</v>
      </c>
      <c r="H5961" s="63" t="str">
        <f>IFERROR(__xludf.DUMMYFUNCTION("VLOOKUP(F5961, IMPORTRANGE(""https://docs.google.com/spreadsheets/d/1Lhp9OU0JdFf_VYSMzH5lBcEaU4o8teT1piV-SNzShjg/edit?gid=554141278#gid=554141278"", ""'Char Def. - Attributes'!C20:C2242""), 1,false)"),"ALT_UOM1_RMPM")</f>
        <v>ALT_UOM1_RMPM</v>
      </c>
      <c r="I5961" s="136"/>
    </row>
    <row r="5962" ht="15.75" customHeight="1">
      <c r="B5962" s="63">
        <f t="shared" si="1"/>
        <v>16</v>
      </c>
      <c r="C5962" s="156" t="s">
        <v>239</v>
      </c>
      <c r="D5962" s="147" t="s">
        <v>74</v>
      </c>
      <c r="E5962" s="135">
        <f t="shared" si="59"/>
        <v>12</v>
      </c>
      <c r="F5962" s="152" t="s">
        <v>3805</v>
      </c>
      <c r="G5962" s="63" t="str">
        <f>VLOOKUP(C5962, 'Class Def. - General Data'!$C$20:$C$1000,1,false)</f>
        <v>ZRM1_NoMask_Base</v>
      </c>
      <c r="H5962" s="63" t="str">
        <f>IFERROR(__xludf.DUMMYFUNCTION("VLOOKUP(F5962, IMPORTRANGE(""https://docs.google.com/spreadsheets/d/1Lhp9OU0JdFf_VYSMzH5lBcEaU4o8teT1piV-SNzShjg/edit?gid=554141278#gid=554141278"", ""'Char Def. - Attributes'!C20:C2242""), 1,false)"),"ALT_DENUM_UOM1")</f>
        <v>ALT_DENUM_UOM1</v>
      </c>
      <c r="I5962" s="136"/>
    </row>
    <row r="5963" ht="15.75" customHeight="1">
      <c r="A5963" s="59"/>
      <c r="B5963" s="63">
        <f t="shared" si="1"/>
        <v>16</v>
      </c>
      <c r="C5963" s="156" t="s">
        <v>239</v>
      </c>
      <c r="D5963" s="147" t="s">
        <v>74</v>
      </c>
      <c r="E5963" s="135">
        <f t="shared" si="59"/>
        <v>13</v>
      </c>
      <c r="F5963" s="152" t="s">
        <v>3806</v>
      </c>
      <c r="G5963" s="63" t="str">
        <f>VLOOKUP(C5963, 'Class Def. - General Data'!$C$20:$C$1000,1,false)</f>
        <v>ZRM1_NoMask_Base</v>
      </c>
      <c r="H5963" s="63" t="str">
        <f>IFERROR(__xludf.DUMMYFUNCTION("VLOOKUP(F5963, IMPORTRANGE(""https://docs.google.com/spreadsheets/d/1Lhp9OU0JdFf_VYSMzH5lBcEaU4o8teT1piV-SNzShjg/edit?gid=554141278#gid=554141278"", ""'Char Def. - Attributes'!C20:C2242""), 1,false)"),"ALT_NUM_UOM1")</f>
        <v>ALT_NUM_UOM1</v>
      </c>
      <c r="I5963" s="136"/>
    </row>
    <row r="5964" ht="15.75" customHeight="1">
      <c r="A5964" s="59"/>
      <c r="B5964" s="63">
        <f t="shared" si="1"/>
        <v>16</v>
      </c>
      <c r="C5964" s="156" t="s">
        <v>239</v>
      </c>
      <c r="D5964" s="147" t="s">
        <v>74</v>
      </c>
      <c r="E5964" s="135">
        <f t="shared" si="59"/>
        <v>14</v>
      </c>
      <c r="F5964" s="152" t="s">
        <v>3870</v>
      </c>
      <c r="G5964" s="63" t="str">
        <f>VLOOKUP(C5964, 'Class Def. - General Data'!$C$20:$C$1000,1,false)</f>
        <v>ZRM1_NoMask_Base</v>
      </c>
      <c r="H5964" s="63" t="str">
        <f>IFERROR(__xludf.DUMMYFUNCTION("VLOOKUP(F5964, IMPORTRANGE(""https://docs.google.com/spreadsheets/d/1Lhp9OU0JdFf_VYSMzH5lBcEaU4o8teT1piV-SNzShjg/edit?gid=554141278#gid=554141278"", ""'Char Def. - Attributes'!C20:C2242""), 1,false)"),"ALT_UOM2_RMPM")</f>
        <v>ALT_UOM2_RMPM</v>
      </c>
      <c r="I5964" s="136"/>
    </row>
    <row r="5965" ht="15.75" customHeight="1">
      <c r="A5965" s="59"/>
      <c r="B5965" s="63">
        <f t="shared" si="1"/>
        <v>16</v>
      </c>
      <c r="C5965" s="156" t="s">
        <v>239</v>
      </c>
      <c r="D5965" s="147" t="s">
        <v>74</v>
      </c>
      <c r="E5965" s="135">
        <f t="shared" si="59"/>
        <v>15</v>
      </c>
      <c r="F5965" s="152" t="s">
        <v>3808</v>
      </c>
      <c r="G5965" s="63" t="str">
        <f>VLOOKUP(C5965, 'Class Def. - General Data'!$C$20:$C$1000,1,false)</f>
        <v>ZRM1_NoMask_Base</v>
      </c>
      <c r="H5965" s="63" t="str">
        <f>IFERROR(__xludf.DUMMYFUNCTION("VLOOKUP(F5965, IMPORTRANGE(""https://docs.google.com/spreadsheets/d/1Lhp9OU0JdFf_VYSMzH5lBcEaU4o8teT1piV-SNzShjg/edit?gid=554141278#gid=554141278"", ""'Char Def. - Attributes'!C20:C2242""), 1,false)"),"ALT_DENUM_UOM2")</f>
        <v>ALT_DENUM_UOM2</v>
      </c>
      <c r="I5965" s="136"/>
    </row>
    <row r="5966" ht="15.75" customHeight="1">
      <c r="A5966" s="59"/>
      <c r="B5966" s="63">
        <f t="shared" si="1"/>
        <v>16</v>
      </c>
      <c r="C5966" s="156" t="s">
        <v>239</v>
      </c>
      <c r="D5966" s="147" t="s">
        <v>74</v>
      </c>
      <c r="E5966" s="135">
        <f t="shared" si="59"/>
        <v>16</v>
      </c>
      <c r="F5966" s="152" t="s">
        <v>3809</v>
      </c>
      <c r="G5966" s="63" t="str">
        <f>VLOOKUP(C5966, 'Class Def. - General Data'!$C$20:$C$1000,1,false)</f>
        <v>ZRM1_NoMask_Base</v>
      </c>
      <c r="H5966" s="63" t="str">
        <f>IFERROR(__xludf.DUMMYFUNCTION("VLOOKUP(F5966, IMPORTRANGE(""https://docs.google.com/spreadsheets/d/1Lhp9OU0JdFf_VYSMzH5lBcEaU4o8teT1piV-SNzShjg/edit?gid=554141278#gid=554141278"", ""'Char Def. - Attributes'!C20:C2242""), 1,false)"),"ALT_NUM_UOM2")</f>
        <v>ALT_NUM_UOM2</v>
      </c>
      <c r="I5966" s="136"/>
    </row>
    <row r="5967" ht="15.75" customHeight="1">
      <c r="A5967" s="59"/>
      <c r="B5967" s="63">
        <f t="shared" si="1"/>
        <v>16</v>
      </c>
      <c r="C5967" s="156" t="s">
        <v>239</v>
      </c>
      <c r="D5967" s="147" t="s">
        <v>74</v>
      </c>
      <c r="E5967" s="135">
        <f t="shared" si="59"/>
        <v>17</v>
      </c>
      <c r="F5967" s="152" t="s">
        <v>3871</v>
      </c>
      <c r="G5967" s="63" t="str">
        <f>VLOOKUP(C5967, 'Class Def. - General Data'!$C$20:$C$1000,1,false)</f>
        <v>ZRM1_NoMask_Base</v>
      </c>
      <c r="H5967" s="63" t="str">
        <f>IFERROR(__xludf.DUMMYFUNCTION("VLOOKUP(F5967, IMPORTRANGE(""https://docs.google.com/spreadsheets/d/1Lhp9OU0JdFf_VYSMzH5lBcEaU4o8teT1piV-SNzShjg/edit?gid=554141278#gid=554141278"", ""'Char Def. - Attributes'!C20:C2242""), 1,false)"),"ALT_UOM3_RMPM")</f>
        <v>ALT_UOM3_RMPM</v>
      </c>
      <c r="I5967" s="136"/>
    </row>
    <row r="5968" ht="15.75" customHeight="1">
      <c r="A5968" s="59"/>
      <c r="B5968" s="63">
        <f t="shared" si="1"/>
        <v>16</v>
      </c>
      <c r="C5968" s="156" t="s">
        <v>239</v>
      </c>
      <c r="D5968" s="147" t="s">
        <v>74</v>
      </c>
      <c r="E5968" s="135">
        <f t="shared" si="59"/>
        <v>18</v>
      </c>
      <c r="F5968" s="152" t="s">
        <v>3811</v>
      </c>
      <c r="G5968" s="63" t="str">
        <f>VLOOKUP(C5968, 'Class Def. - General Data'!$C$20:$C$1000,1,false)</f>
        <v>ZRM1_NoMask_Base</v>
      </c>
      <c r="H5968" s="63" t="str">
        <f>IFERROR(__xludf.DUMMYFUNCTION("VLOOKUP(F5968, IMPORTRANGE(""https://docs.google.com/spreadsheets/d/1Lhp9OU0JdFf_VYSMzH5lBcEaU4o8teT1piV-SNzShjg/edit?gid=554141278#gid=554141278"", ""'Char Def. - Attributes'!C20:C2242""), 1,false)"),"ALT_DENUM_UOM3")</f>
        <v>ALT_DENUM_UOM3</v>
      </c>
      <c r="I5968" s="136"/>
    </row>
    <row r="5969" ht="15.75" customHeight="1">
      <c r="A5969" s="59"/>
      <c r="B5969" s="63">
        <f t="shared" si="1"/>
        <v>16</v>
      </c>
      <c r="C5969" s="156" t="s">
        <v>239</v>
      </c>
      <c r="D5969" s="147" t="s">
        <v>74</v>
      </c>
      <c r="E5969" s="135">
        <f t="shared" si="59"/>
        <v>19</v>
      </c>
      <c r="F5969" s="152" t="s">
        <v>3812</v>
      </c>
      <c r="G5969" s="63" t="str">
        <f>VLOOKUP(C5969, 'Class Def. - General Data'!$C$20:$C$1000,1,false)</f>
        <v>ZRM1_NoMask_Base</v>
      </c>
      <c r="H5969" s="63" t="str">
        <f>IFERROR(__xludf.DUMMYFUNCTION("VLOOKUP(F5969, IMPORTRANGE(""https://docs.google.com/spreadsheets/d/1Lhp9OU0JdFf_VYSMzH5lBcEaU4o8teT1piV-SNzShjg/edit?gid=554141278#gid=554141278"", ""'Char Def. - Attributes'!C20:C2242""), 1,false)"),"ALT_NUM_UOM3")</f>
        <v>ALT_NUM_UOM3</v>
      </c>
      <c r="I5969" s="136"/>
    </row>
    <row r="5970" ht="15.75" customHeight="1">
      <c r="A5970" s="59"/>
      <c r="B5970" s="63">
        <f t="shared" si="1"/>
        <v>16</v>
      </c>
      <c r="C5970" s="156" t="s">
        <v>239</v>
      </c>
      <c r="D5970" s="147" t="s">
        <v>74</v>
      </c>
      <c r="E5970" s="135">
        <f t="shared" si="59"/>
        <v>20</v>
      </c>
      <c r="F5970" s="152" t="s">
        <v>3872</v>
      </c>
      <c r="G5970" s="63" t="str">
        <f>VLOOKUP(C5970, 'Class Def. - General Data'!$C$20:$C$1000,1,false)</f>
        <v>ZRM1_NoMask_Base</v>
      </c>
      <c r="H5970" s="63" t="str">
        <f>IFERROR(__xludf.DUMMYFUNCTION("VLOOKUP(F5970, IMPORTRANGE(""https://docs.google.com/spreadsheets/d/1Lhp9OU0JdFf_VYSMzH5lBcEaU4o8teT1piV-SNzShjg/edit?gid=554141278#gid=554141278"", ""'Char Def. - Attributes'!C20:C2242""), 1,false)"),"ALT_UOM4_RMPM")</f>
        <v>ALT_UOM4_RMPM</v>
      </c>
      <c r="I5970" s="136"/>
    </row>
    <row r="5971" ht="15.75" customHeight="1">
      <c r="A5971" s="59"/>
      <c r="B5971" s="63">
        <f t="shared" si="1"/>
        <v>16</v>
      </c>
      <c r="C5971" s="156" t="s">
        <v>239</v>
      </c>
      <c r="D5971" s="147" t="s">
        <v>74</v>
      </c>
      <c r="E5971" s="135">
        <f t="shared" si="59"/>
        <v>21</v>
      </c>
      <c r="F5971" s="148" t="s">
        <v>3814</v>
      </c>
      <c r="G5971" s="63" t="str">
        <f>VLOOKUP(C5971, 'Class Def. - General Data'!$C$20:$C$1000,1,false)</f>
        <v>ZRM1_NoMask_Base</v>
      </c>
      <c r="H5971" s="63" t="str">
        <f>IFERROR(__xludf.DUMMYFUNCTION("VLOOKUP(F5971, IMPORTRANGE(""https://docs.google.com/spreadsheets/d/1Lhp9OU0JdFf_VYSMzH5lBcEaU4o8teT1piV-SNzShjg/edit?gid=554141278#gid=554141278"", ""'Char Def. - Attributes'!C20:C2242""), 1,false)"),"ALT_DENUM_UOM4")</f>
        <v>ALT_DENUM_UOM4</v>
      </c>
      <c r="I5971" s="136"/>
    </row>
    <row r="5972" ht="15.75" customHeight="1">
      <c r="A5972" s="59"/>
      <c r="B5972" s="63">
        <f t="shared" si="1"/>
        <v>16</v>
      </c>
      <c r="C5972" s="156" t="s">
        <v>239</v>
      </c>
      <c r="D5972" s="147" t="s">
        <v>74</v>
      </c>
      <c r="E5972" s="135">
        <f t="shared" si="59"/>
        <v>22</v>
      </c>
      <c r="F5972" s="152" t="s">
        <v>3815</v>
      </c>
      <c r="G5972" s="63" t="str">
        <f>VLOOKUP(C5972, 'Class Def. - General Data'!$C$20:$C$1000,1,false)</f>
        <v>ZRM1_NoMask_Base</v>
      </c>
      <c r="H5972" s="63" t="str">
        <f>IFERROR(__xludf.DUMMYFUNCTION("VLOOKUP(F5972, IMPORTRANGE(""https://docs.google.com/spreadsheets/d/1Lhp9OU0JdFf_VYSMzH5lBcEaU4o8teT1piV-SNzShjg/edit?gid=554141278#gid=554141278"", ""'Char Def. - Attributes'!C20:C2242""), 1,false)"),"ALT_NUM_UOM4")</f>
        <v>ALT_NUM_UOM4</v>
      </c>
      <c r="I5972" s="136"/>
    </row>
    <row r="5973" ht="15.75" customHeight="1">
      <c r="A5973" s="59"/>
      <c r="B5973" s="63">
        <f t="shared" si="1"/>
        <v>16</v>
      </c>
      <c r="C5973" s="156" t="s">
        <v>239</v>
      </c>
      <c r="D5973" s="147" t="s">
        <v>74</v>
      </c>
      <c r="E5973" s="135">
        <f t="shared" si="59"/>
        <v>23</v>
      </c>
      <c r="F5973" s="152" t="s">
        <v>3873</v>
      </c>
      <c r="G5973" s="63" t="str">
        <f>VLOOKUP(C5973, 'Class Def. - General Data'!$C$20:$C$1000,1,false)</f>
        <v>ZRM1_NoMask_Base</v>
      </c>
      <c r="H5973" s="63" t="str">
        <f>IFERROR(__xludf.DUMMYFUNCTION("VLOOKUP(F5973, IMPORTRANGE(""https://docs.google.com/spreadsheets/d/1Lhp9OU0JdFf_VYSMzH5lBcEaU4o8teT1piV-SNzShjg/edit?gid=554141278#gid=554141278"", ""'Char Def. - Attributes'!C20:C2242""), 1,false)"),"ALT_UOM5_RMPM")</f>
        <v>ALT_UOM5_RMPM</v>
      </c>
      <c r="I5973" s="136"/>
    </row>
    <row r="5974" ht="15.75" customHeight="1">
      <c r="A5974" s="59"/>
      <c r="B5974" s="63">
        <f t="shared" si="1"/>
        <v>16</v>
      </c>
      <c r="C5974" s="156" t="s">
        <v>239</v>
      </c>
      <c r="D5974" s="147" t="s">
        <v>74</v>
      </c>
      <c r="E5974" s="135">
        <f t="shared" si="59"/>
        <v>24</v>
      </c>
      <c r="F5974" s="152" t="s">
        <v>3817</v>
      </c>
      <c r="G5974" s="63" t="str">
        <f>VLOOKUP(C5974, 'Class Def. - General Data'!$C$20:$C$1000,1,false)</f>
        <v>ZRM1_NoMask_Base</v>
      </c>
      <c r="H5974" s="63" t="str">
        <f>IFERROR(__xludf.DUMMYFUNCTION("VLOOKUP(F5974, IMPORTRANGE(""https://docs.google.com/spreadsheets/d/1Lhp9OU0JdFf_VYSMzH5lBcEaU4o8teT1piV-SNzShjg/edit?gid=554141278#gid=554141278"", ""'Char Def. - Attributes'!C20:C2242""), 1,false)"),"ALT_DENUM_UOM5")</f>
        <v>ALT_DENUM_UOM5</v>
      </c>
      <c r="I5974" s="136"/>
    </row>
    <row r="5975" ht="15.75" customHeight="1">
      <c r="A5975" s="59"/>
      <c r="B5975" s="63">
        <f t="shared" si="1"/>
        <v>16</v>
      </c>
      <c r="C5975" s="156" t="s">
        <v>239</v>
      </c>
      <c r="D5975" s="147" t="s">
        <v>74</v>
      </c>
      <c r="E5975" s="135">
        <f t="shared" si="59"/>
        <v>25</v>
      </c>
      <c r="F5975" s="152" t="s">
        <v>3818</v>
      </c>
      <c r="G5975" s="63" t="str">
        <f>VLOOKUP(C5975, 'Class Def. - General Data'!$C$20:$C$1000,1,false)</f>
        <v>ZRM1_NoMask_Base</v>
      </c>
      <c r="H5975" s="63" t="str">
        <f>IFERROR(__xludf.DUMMYFUNCTION("VLOOKUP(F5975, IMPORTRANGE(""https://docs.google.com/spreadsheets/d/1Lhp9OU0JdFf_VYSMzH5lBcEaU4o8teT1piV-SNzShjg/edit?gid=554141278#gid=554141278"", ""'Char Def. - Attributes'!C20:C2242""), 1,false)"),"ALT_NUM_UOM5")</f>
        <v>ALT_NUM_UOM5</v>
      </c>
      <c r="I5975" s="136"/>
    </row>
    <row r="5976" ht="15.75" customHeight="1">
      <c r="A5976" s="59"/>
      <c r="B5976" s="63">
        <f t="shared" si="1"/>
        <v>16</v>
      </c>
      <c r="C5976" s="156" t="s">
        <v>239</v>
      </c>
      <c r="D5976" s="147" t="s">
        <v>74</v>
      </c>
      <c r="E5976" s="135">
        <f t="shared" si="59"/>
        <v>26</v>
      </c>
      <c r="F5976" s="152" t="s">
        <v>3874</v>
      </c>
      <c r="G5976" s="63" t="str">
        <f>VLOOKUP(C5976, 'Class Def. - General Data'!$C$20:$C$1000,1,false)</f>
        <v>ZRM1_NoMask_Base</v>
      </c>
      <c r="H5976" s="63" t="str">
        <f>IFERROR(__xludf.DUMMYFUNCTION("VLOOKUP(F5976, IMPORTRANGE(""https://docs.google.com/spreadsheets/d/1Lhp9OU0JdFf_VYSMzH5lBcEaU4o8teT1piV-SNzShjg/edit?gid=554141278#gid=554141278"", ""'Char Def. - Attributes'!C20:C2242""), 1,false)"),"VALUATION_CATEGORY")</f>
        <v>VALUATION_CATEGORY</v>
      </c>
      <c r="I5976" s="136"/>
    </row>
    <row r="5977" ht="15.75" customHeight="1">
      <c r="A5977" s="59"/>
      <c r="B5977" s="63">
        <f t="shared" si="1"/>
        <v>16</v>
      </c>
      <c r="C5977" s="156" t="s">
        <v>239</v>
      </c>
      <c r="D5977" s="147" t="s">
        <v>74</v>
      </c>
      <c r="E5977" s="135">
        <f t="shared" si="59"/>
        <v>27</v>
      </c>
      <c r="F5977" s="152" t="s">
        <v>3800</v>
      </c>
      <c r="G5977" s="63" t="str">
        <f>VLOOKUP(C5977, 'Class Def. - General Data'!$C$20:$C$1000,1,false)</f>
        <v>ZRM1_NoMask_Base</v>
      </c>
      <c r="H5977" s="63" t="str">
        <f>IFERROR(__xludf.DUMMYFUNCTION("VLOOKUP(F5977, IMPORTRANGE(""https://docs.google.com/spreadsheets/d/1Lhp9OU0JdFf_VYSMzH5lBcEaU4o8teT1piV-SNzShjg/edit?gid=554141278#gid=554141278"", ""'Char Def. - Attributes'!C20:C2242""), 1,false)"),"ORDER_UNIT_DIFF_FROM_BASIC_UOM")</f>
        <v>ORDER_UNIT_DIFF_FROM_BASIC_UOM</v>
      </c>
      <c r="I5977" s="136"/>
    </row>
    <row r="5978" ht="15.75" customHeight="1">
      <c r="A5978" s="59"/>
      <c r="B5978" s="63">
        <f t="shared" si="1"/>
        <v>16</v>
      </c>
      <c r="C5978" s="156" t="s">
        <v>239</v>
      </c>
      <c r="D5978" s="147" t="s">
        <v>74</v>
      </c>
      <c r="E5978" s="135">
        <f t="shared" si="59"/>
        <v>28</v>
      </c>
      <c r="F5978" s="152" t="s">
        <v>3875</v>
      </c>
      <c r="G5978" s="63" t="str">
        <f>VLOOKUP(C5978, 'Class Def. - General Data'!$C$20:$C$1000,1,false)</f>
        <v>ZRM1_NoMask_Base</v>
      </c>
      <c r="H5978" s="63" t="str">
        <f>IFERROR(__xludf.DUMMYFUNCTION("VLOOKUP(F5978, IMPORTRANGE(""https://docs.google.com/spreadsheets/d/1Lhp9OU0JdFf_VYSMzH5lBcEaU4o8teT1piV-SNzShjg/edit?gid=554141278#gid=554141278"", ""'Char Def. - Attributes'!C20:C2242""), 1,false)"),"ORDER_UNIT_RMPM")</f>
        <v>ORDER_UNIT_RMPM</v>
      </c>
      <c r="I5978" s="136"/>
    </row>
    <row r="5979" ht="15.75" customHeight="1">
      <c r="B5979" s="63">
        <f t="shared" si="1"/>
        <v>16</v>
      </c>
      <c r="C5979" s="156" t="s">
        <v>239</v>
      </c>
      <c r="D5979" s="147" t="s">
        <v>74</v>
      </c>
      <c r="E5979" s="135">
        <f t="shared" si="59"/>
        <v>29</v>
      </c>
      <c r="F5979" s="151" t="s">
        <v>3602</v>
      </c>
      <c r="G5979" s="63" t="str">
        <f>VLOOKUP(C5979, 'Class Def. - General Data'!$C$20:$C$1000,1,false)</f>
        <v>ZRM1_NoMask_Base</v>
      </c>
      <c r="H5979" s="63" t="str">
        <f>IFERROR(__xludf.DUMMYFUNCTION("VLOOKUP(F5979, IMPORTRANGE(""https://docs.google.com/spreadsheets/d/1Lhp9OU0JdFf_VYSMzH5lBcEaU4o8teT1piV-SNzShjg/edit?gid=554141278#gid=554141278"", ""'Char Def. - Attributes'!C20:C2242""), 1,false)"),"NET_WEIGHT")</f>
        <v>NET_WEIGHT</v>
      </c>
      <c r="I5979" s="136"/>
    </row>
    <row r="5980" ht="15.75" customHeight="1">
      <c r="B5980" s="63">
        <f t="shared" si="1"/>
        <v>16</v>
      </c>
      <c r="C5980" s="156" t="s">
        <v>239</v>
      </c>
      <c r="D5980" s="147" t="s">
        <v>74</v>
      </c>
      <c r="E5980" s="135">
        <f t="shared" si="59"/>
        <v>30</v>
      </c>
      <c r="F5980" s="151" t="s">
        <v>3601</v>
      </c>
      <c r="G5980" s="63" t="str">
        <f>VLOOKUP(C5980, 'Class Def. - General Data'!$C$20:$C$1000,1,false)</f>
        <v>ZRM1_NoMask_Base</v>
      </c>
      <c r="H5980" s="63" t="str">
        <f>IFERROR(__xludf.DUMMYFUNCTION("VLOOKUP(F5980, IMPORTRANGE(""https://docs.google.com/spreadsheets/d/1Lhp9OU0JdFf_VYSMzH5lBcEaU4o8teT1piV-SNzShjg/edit?gid=554141278#gid=554141278"", ""'Char Def. - Attributes'!C20:C2242""), 1,false)"),"GROSS_WEIGHT")</f>
        <v>GROSS_WEIGHT</v>
      </c>
      <c r="I5980" s="136"/>
    </row>
    <row r="5981" ht="15.75" customHeight="1">
      <c r="B5981" s="63">
        <f t="shared" si="1"/>
        <v>16</v>
      </c>
      <c r="C5981" s="156" t="s">
        <v>239</v>
      </c>
      <c r="D5981" s="147" t="s">
        <v>74</v>
      </c>
      <c r="E5981" s="135">
        <f t="shared" si="59"/>
        <v>31</v>
      </c>
      <c r="F5981" s="152" t="s">
        <v>3996</v>
      </c>
      <c r="G5981" s="63" t="str">
        <f>VLOOKUP(C5981, 'Class Def. - General Data'!$C$20:$C$1000,1,false)</f>
        <v>ZRM1_NoMask_Base</v>
      </c>
      <c r="H5981" s="63" t="str">
        <f>IFERROR(__xludf.DUMMYFUNCTION("VLOOKUP(F5981, IMPORTRANGE(""https://docs.google.com/spreadsheets/d/1Lhp9OU0JdFf_VYSMzH5lBcEaU4o8teT1piV-SNzShjg/edit?gid=554141278#gid=554141278"", ""'Char Def. - Attributes'!C20:C2242""), 1,false)"),"WEIGHT_UNIT")</f>
        <v>WEIGHT_UNIT</v>
      </c>
      <c r="I5981" s="136"/>
    </row>
    <row r="5982" ht="15.75" customHeight="1">
      <c r="A5982" s="158"/>
      <c r="B5982" s="63">
        <f t="shared" si="1"/>
        <v>16</v>
      </c>
      <c r="C5982" s="156" t="s">
        <v>239</v>
      </c>
      <c r="D5982" s="147" t="s">
        <v>74</v>
      </c>
      <c r="E5982" s="135">
        <f t="shared" si="59"/>
        <v>32</v>
      </c>
      <c r="F5982" s="151" t="s">
        <v>3877</v>
      </c>
      <c r="G5982" s="63" t="str">
        <f>VLOOKUP(C5982, 'Class Def. - General Data'!$C$20:$C$1000,1,false)</f>
        <v>ZRM1_NoMask_Base</v>
      </c>
      <c r="H5982" s="63" t="str">
        <f>IFERROR(__xludf.DUMMYFUNCTION("VLOOKUP(F5982, IMPORTRANGE(""https://docs.google.com/spreadsheets/d/1Lhp9OU0JdFf_VYSMzH5lBcEaU4o8teT1piV-SNzShjg/edit?gid=554141278#gid=554141278"", ""'Char Def. - Attributes'!C20:C2242""), 1,false)"),"VOLUME_OPT")</f>
        <v>VOLUME_OPT</v>
      </c>
      <c r="I5982" s="136"/>
    </row>
    <row r="5983" ht="15.75" customHeight="1">
      <c r="A5983" s="158"/>
      <c r="B5983" s="63">
        <f t="shared" si="1"/>
        <v>16</v>
      </c>
      <c r="C5983" s="156" t="s">
        <v>239</v>
      </c>
      <c r="D5983" s="147" t="s">
        <v>74</v>
      </c>
      <c r="E5983" s="135">
        <f t="shared" si="59"/>
        <v>33</v>
      </c>
      <c r="F5983" s="152" t="s">
        <v>3878</v>
      </c>
      <c r="G5983" s="63" t="str">
        <f>VLOOKUP(C5983, 'Class Def. - General Data'!$C$20:$C$1000,1,false)</f>
        <v>ZRM1_NoMask_Base</v>
      </c>
      <c r="H5983" s="63" t="str">
        <f>IFERROR(__xludf.DUMMYFUNCTION("VLOOKUP(F5983, IMPORTRANGE(""https://docs.google.com/spreadsheets/d/1Lhp9OU0JdFf_VYSMzH5lBcEaU4o8teT1piV-SNzShjg/edit?gid=554141278#gid=554141278"", ""'Char Def. - Attributes'!C20:C2242""), 1,false)"),"VOLUME_UNIT")</f>
        <v>VOLUME_UNIT</v>
      </c>
      <c r="I5983" s="136"/>
    </row>
    <row r="5984" ht="15.75" customHeight="1">
      <c r="A5984" s="59"/>
      <c r="B5984" s="63">
        <f t="shared" si="1"/>
        <v>16</v>
      </c>
      <c r="C5984" s="156" t="s">
        <v>239</v>
      </c>
      <c r="D5984" s="147" t="s">
        <v>74</v>
      </c>
      <c r="E5984" s="135">
        <f t="shared" si="59"/>
        <v>34</v>
      </c>
      <c r="F5984" s="151" t="s">
        <v>3587</v>
      </c>
      <c r="G5984" s="63" t="str">
        <f>VLOOKUP(C5984, 'Class Def. - General Data'!$C$20:$C$1000,1,false)</f>
        <v>ZRM1_NoMask_Base</v>
      </c>
      <c r="H5984" s="63" t="str">
        <f>IFERROR(__xludf.DUMMYFUNCTION("VLOOKUP(F5984, IMPORTRANGE(""https://docs.google.com/spreadsheets/d/1Lhp9OU0JdFf_VYSMzH5lBcEaU4o8teT1piV-SNzShjg/edit?gid=554141278#gid=554141278"", ""'Char Def. - Attributes'!C20:C2242""), 1,false)"),"PLANT_BUY")</f>
        <v>PLANT_BUY</v>
      </c>
      <c r="I5984" s="136"/>
    </row>
    <row r="5985" ht="15.75" customHeight="1">
      <c r="B5985" s="63">
        <f t="shared" si="1"/>
        <v>16</v>
      </c>
      <c r="C5985" s="156" t="s">
        <v>239</v>
      </c>
      <c r="D5985" s="147" t="s">
        <v>74</v>
      </c>
      <c r="E5985" s="135">
        <f t="shared" si="59"/>
        <v>35</v>
      </c>
      <c r="F5985" s="152" t="s">
        <v>3997</v>
      </c>
      <c r="G5985" s="63" t="str">
        <f>VLOOKUP(C5985, 'Class Def. - General Data'!$C$20:$C$1000,1,false)</f>
        <v>ZRM1_NoMask_Base</v>
      </c>
      <c r="H5985" s="63" t="str">
        <f>IFERROR(__xludf.DUMMYFUNCTION("VLOOKUP(F5985, IMPORTRANGE(""https://docs.google.com/spreadsheets/d/1Lhp9OU0JdFf_VYSMzH5lBcEaU4o8teT1piV-SNzShjg/edit?gid=554141278#gid=554141278"", ""'Char Def. - Attributes'!C20:C2242""), 1,false)"),"OLD_MAT_NO_RMPM_OPT")</f>
        <v>OLD_MAT_NO_RMPM_OPT</v>
      </c>
      <c r="I5985" s="136"/>
    </row>
    <row r="5986" ht="15.75" customHeight="1">
      <c r="B5986" s="63">
        <f t="shared" si="1"/>
        <v>16</v>
      </c>
      <c r="C5986" s="156" t="s">
        <v>239</v>
      </c>
      <c r="D5986" s="147" t="s">
        <v>74</v>
      </c>
      <c r="E5986" s="135">
        <f t="shared" si="59"/>
        <v>36</v>
      </c>
      <c r="F5986" s="148" t="s">
        <v>3998</v>
      </c>
      <c r="G5986" s="63" t="str">
        <f>VLOOKUP(C5986, 'Class Def. - General Data'!$C$20:$C$1000,1,false)</f>
        <v>ZRM1_NoMask_Base</v>
      </c>
      <c r="H5986" s="63" t="str">
        <f>IFERROR(__xludf.DUMMYFUNCTION("VLOOKUP(F5986, IMPORTRANGE(""https://docs.google.com/spreadsheets/d/1Lhp9OU0JdFf_VYSMzH5lBcEaU4o8teT1piV-SNzShjg/edit?gid=554141278#gid=554141278"", ""'Char Def. - Attributes'!C20:C2242""), 1,false)"),"MIN_STD_WEIGHT")</f>
        <v>MIN_STD_WEIGHT</v>
      </c>
      <c r="I5986" s="136"/>
    </row>
    <row r="5987" ht="15.75" customHeight="1">
      <c r="B5987" s="63">
        <f t="shared" si="1"/>
        <v>16</v>
      </c>
      <c r="C5987" s="156" t="s">
        <v>239</v>
      </c>
      <c r="D5987" s="147" t="s">
        <v>74</v>
      </c>
      <c r="E5987" s="135">
        <f t="shared" si="59"/>
        <v>37</v>
      </c>
      <c r="F5987" s="148" t="s">
        <v>3999</v>
      </c>
      <c r="G5987" s="63" t="str">
        <f>VLOOKUP(C5987, 'Class Def. - General Data'!$C$20:$C$1000,1,false)</f>
        <v>ZRM1_NoMask_Base</v>
      </c>
      <c r="H5987" s="63" t="str">
        <f>IFERROR(__xludf.DUMMYFUNCTION("VLOOKUP(F5987, IMPORTRANGE(""https://docs.google.com/spreadsheets/d/1Lhp9OU0JdFf_VYSMzH5lBcEaU4o8teT1piV-SNzShjg/edit?gid=554141278#gid=554141278"", ""'Char Def. - Attributes'!C20:C2242""), 1,false)"),"MIN_STD_WEIGHT_UOM")</f>
        <v>MIN_STD_WEIGHT_UOM</v>
      </c>
      <c r="I5987" s="136"/>
    </row>
    <row r="5988" ht="15.75" customHeight="1">
      <c r="A5988" s="59"/>
      <c r="B5988" s="63">
        <f t="shared" si="1"/>
        <v>16</v>
      </c>
      <c r="C5988" s="156" t="s">
        <v>233</v>
      </c>
      <c r="D5988" s="147" t="s">
        <v>74</v>
      </c>
      <c r="E5988" s="135">
        <f t="shared" si="59"/>
        <v>1</v>
      </c>
      <c r="F5988" s="152" t="s">
        <v>4000</v>
      </c>
      <c r="G5988" s="63" t="str">
        <f>VLOOKUP(C5988, 'Class Def. - General Data'!$C$20:$C$1000,1,false)</f>
        <v>ZRM1_NoMask_Salt</v>
      </c>
      <c r="H5988" s="63" t="str">
        <f>IFERROR(__xludf.DUMMYFUNCTION("VLOOKUP(F5988, IMPORTRANGE(""https://docs.google.com/spreadsheets/d/1Lhp9OU0JdFf_VYSMzH5lBcEaU4o8teT1piV-SNzShjg/edit?gid=554141278#gid=554141278"", ""'Char Def. - Attributes'!C20:C2242""), 1,false)"),"MATERIAL_CODE_FREETEXT")</f>
        <v>MATERIAL_CODE_FREETEXT</v>
      </c>
      <c r="I5988" s="136"/>
    </row>
    <row r="5989" ht="15.75" customHeight="1">
      <c r="A5989" s="59"/>
      <c r="B5989" s="63">
        <f t="shared" si="1"/>
        <v>16</v>
      </c>
      <c r="C5989" s="156" t="s">
        <v>233</v>
      </c>
      <c r="D5989" s="147" t="s">
        <v>74</v>
      </c>
      <c r="E5989" s="135">
        <f t="shared" si="59"/>
        <v>2</v>
      </c>
      <c r="F5989" s="152" t="s">
        <v>4001</v>
      </c>
      <c r="G5989" s="63" t="str">
        <f>VLOOKUP(C5989, 'Class Def. - General Data'!$C$20:$C$1000,1,false)</f>
        <v>ZRM1_NoMask_Salt</v>
      </c>
      <c r="H5989" s="63" t="str">
        <f>IFERROR(__xludf.DUMMYFUNCTION("VLOOKUP(F5989, IMPORTRANGE(""https://docs.google.com/spreadsheets/d/1Lhp9OU0JdFf_VYSMzH5lBcEaU4o8teT1piV-SNzShjg/edit?gid=554141278#gid=554141278"", ""'Char Def. - Attributes'!C20:C2242""), 1,false)"),"ADDITIONAL_INFO_NO_MASK")</f>
        <v>ADDITIONAL_INFO_NO_MASK</v>
      </c>
      <c r="I5989" s="136"/>
    </row>
    <row r="5990" ht="15.75" customHeight="1">
      <c r="A5990" s="59"/>
      <c r="B5990" s="63">
        <f t="shared" si="1"/>
        <v>16</v>
      </c>
      <c r="C5990" s="156" t="s">
        <v>233</v>
      </c>
      <c r="D5990" s="147" t="s">
        <v>74</v>
      </c>
      <c r="E5990" s="135">
        <f t="shared" si="59"/>
        <v>3</v>
      </c>
      <c r="F5990" s="152" t="s">
        <v>4002</v>
      </c>
      <c r="G5990" s="63" t="str">
        <f>VLOOKUP(C5990, 'Class Def. - General Data'!$C$20:$C$1000,1,false)</f>
        <v>ZRM1_NoMask_Salt</v>
      </c>
      <c r="H5990" s="63" t="str">
        <f>IFERROR(__xludf.DUMMYFUNCTION("VLOOKUP(F5990, IMPORTRANGE(""https://docs.google.com/spreadsheets/d/1Lhp9OU0JdFf_VYSMzH5lBcEaU4o8teT1piV-SNzShjg/edit?gid=554141278#gid=554141278"", ""'Char Def. - Attributes'!C20:C2242""), 1,false)"),"COLOR_GENERAL")</f>
        <v>COLOR_GENERAL</v>
      </c>
      <c r="I5990" s="136"/>
    </row>
    <row r="5991" ht="15.75" customHeight="1">
      <c r="A5991" s="59"/>
      <c r="B5991" s="63">
        <f t="shared" si="1"/>
        <v>16</v>
      </c>
      <c r="C5991" s="156" t="s">
        <v>233</v>
      </c>
      <c r="D5991" s="147" t="s">
        <v>74</v>
      </c>
      <c r="E5991" s="135">
        <f t="shared" si="59"/>
        <v>4</v>
      </c>
      <c r="F5991" s="152" t="s">
        <v>4003</v>
      </c>
      <c r="G5991" s="63" t="str">
        <f>VLOOKUP(C5991, 'Class Def. - General Data'!$C$20:$C$1000,1,false)</f>
        <v>ZRM1_NoMask_Salt</v>
      </c>
      <c r="H5991" s="63" t="str">
        <f>IFERROR(__xludf.DUMMYFUNCTION("VLOOKUP(F5991, IMPORTRANGE(""https://docs.google.com/spreadsheets/d/1Lhp9OU0JdFf_VYSMzH5lBcEaU4o8teT1piV-SNzShjg/edit?gid=554141278#gid=554141278"", ""'Char Def. - Attributes'!C20:C2242""), 1,false)"),"SOURCE_SUPPLY")</f>
        <v>SOURCE_SUPPLY</v>
      </c>
      <c r="I5991" s="136"/>
    </row>
    <row r="5992" ht="15.75" customHeight="1">
      <c r="A5992" s="59"/>
      <c r="B5992" s="63">
        <f t="shared" si="1"/>
        <v>16</v>
      </c>
      <c r="C5992" s="156" t="s">
        <v>233</v>
      </c>
      <c r="D5992" s="147" t="s">
        <v>74</v>
      </c>
      <c r="E5992" s="135">
        <f t="shared" si="59"/>
        <v>5</v>
      </c>
      <c r="F5992" s="152" t="s">
        <v>4004</v>
      </c>
      <c r="G5992" s="63" t="str">
        <f>VLOOKUP(C5992, 'Class Def. - General Data'!$C$20:$C$1000,1,false)</f>
        <v>ZRM1_NoMask_Salt</v>
      </c>
      <c r="H5992" s="63" t="str">
        <f>IFERROR(__xludf.DUMMYFUNCTION("VLOOKUP(F5992, IMPORTRANGE(""https://docs.google.com/spreadsheets/d/1Lhp9OU0JdFf_VYSMzH5lBcEaU4o8teT1piV-SNzShjg/edit?gid=554141278#gid=554141278"", ""'Char Def. - Attributes'!C20:C2242""), 1,false)"),"BASE_MATERIAL")</f>
        <v>BASE_MATERIAL</v>
      </c>
      <c r="I5992" s="136"/>
    </row>
    <row r="5993" ht="15.75" customHeight="1">
      <c r="A5993" s="59"/>
      <c r="B5993" s="63">
        <f t="shared" si="1"/>
        <v>16</v>
      </c>
      <c r="C5993" s="156" t="s">
        <v>233</v>
      </c>
      <c r="D5993" s="147" t="s">
        <v>74</v>
      </c>
      <c r="E5993" s="135">
        <f t="shared" si="59"/>
        <v>6</v>
      </c>
      <c r="F5993" s="152" t="s">
        <v>4009</v>
      </c>
      <c r="G5993" s="63" t="str">
        <f>VLOOKUP(C5993, 'Class Def. - General Data'!$C$20:$C$1000,1,false)</f>
        <v>ZRM1_NoMask_Salt</v>
      </c>
      <c r="H5993" s="63" t="str">
        <f>IFERROR(__xludf.DUMMYFUNCTION("VLOOKUP(F5993, IMPORTRANGE(""https://docs.google.com/spreadsheets/d/1Lhp9OU0JdFf_VYSMzH5lBcEaU4o8teT1piV-SNzShjg/edit?gid=554141278#gid=554141278"", ""'Char Def. - Attributes'!C20:C2242""), 1,false)"),"NATURE_ORIGIN_FOOD")</f>
        <v>NATURE_ORIGIN_FOOD</v>
      </c>
      <c r="I5993" s="136"/>
    </row>
    <row r="5994" ht="15.75" customHeight="1">
      <c r="A5994" s="59"/>
      <c r="B5994" s="63">
        <f t="shared" si="1"/>
        <v>16</v>
      </c>
      <c r="C5994" s="156" t="s">
        <v>233</v>
      </c>
      <c r="D5994" s="147" t="s">
        <v>74</v>
      </c>
      <c r="E5994" s="135">
        <f t="shared" si="59"/>
        <v>7</v>
      </c>
      <c r="F5994" s="152" t="s">
        <v>4006</v>
      </c>
      <c r="G5994" s="63" t="str">
        <f>VLOOKUP(C5994, 'Class Def. - General Data'!$C$20:$C$1000,1,false)</f>
        <v>ZRM1_NoMask_Salt</v>
      </c>
      <c r="H5994" s="63" t="str">
        <f>IFERROR(__xludf.DUMMYFUNCTION("VLOOKUP(F5994, IMPORTRANGE(""https://docs.google.com/spreadsheets/d/1Lhp9OU0JdFf_VYSMzH5lBcEaU4o8teT1piV-SNzShjg/edit?gid=554141278#gid=554141278"", ""'Char Def. - Attributes'!C20:C2242""), 1,false)"),"CATEGORY_ITEM")</f>
        <v>CATEGORY_ITEM</v>
      </c>
      <c r="I5994" s="136"/>
    </row>
    <row r="5995" ht="15.75" customHeight="1">
      <c r="A5995" s="59"/>
      <c r="B5995" s="63">
        <f t="shared" si="1"/>
        <v>16</v>
      </c>
      <c r="C5995" s="156" t="s">
        <v>233</v>
      </c>
      <c r="D5995" s="147" t="s">
        <v>74</v>
      </c>
      <c r="E5995" s="135">
        <f t="shared" si="59"/>
        <v>8</v>
      </c>
      <c r="F5995" s="152" t="s">
        <v>4007</v>
      </c>
      <c r="G5995" s="63" t="str">
        <f>VLOOKUP(C5995, 'Class Def. - General Data'!$C$20:$C$1000,1,false)</f>
        <v>ZRM1_NoMask_Salt</v>
      </c>
      <c r="H5995" s="63" t="str">
        <f>IFERROR(__xludf.DUMMYFUNCTION("VLOOKUP(F5995, IMPORTRANGE(""https://docs.google.com/spreadsheets/d/1Lhp9OU0JdFf_VYSMzH5lBcEaU4o8teT1piV-SNzShjg/edit?gid=554141278#gid=554141278"", ""'Char Def. - Attributes'!C20:C2242""), 1,false)"),"FUNCTION1")</f>
        <v>FUNCTION1</v>
      </c>
      <c r="I5995" s="136"/>
    </row>
    <row r="5996" ht="15.75" customHeight="1">
      <c r="A5996" s="59"/>
      <c r="B5996" s="63">
        <f t="shared" si="1"/>
        <v>16</v>
      </c>
      <c r="C5996" s="156" t="s">
        <v>233</v>
      </c>
      <c r="D5996" s="147" t="s">
        <v>74</v>
      </c>
      <c r="E5996" s="135">
        <f t="shared" si="59"/>
        <v>9</v>
      </c>
      <c r="F5996" s="152" t="s">
        <v>4008</v>
      </c>
      <c r="G5996" s="63" t="str">
        <f>VLOOKUP(C5996, 'Class Def. - General Data'!$C$20:$C$1000,1,false)</f>
        <v>ZRM1_NoMask_Salt</v>
      </c>
      <c r="H5996" s="63" t="str">
        <f>IFERROR(__xludf.DUMMYFUNCTION("VLOOKUP(F5996, IMPORTRANGE(""https://docs.google.com/spreadsheets/d/1Lhp9OU0JdFf_VYSMzH5lBcEaU4o8teT1piV-SNzShjg/edit?gid=554141278#gid=554141278"", ""'Char Def. - Attributes'!C20:C2242""), 1,false)"),"PREFERENSI_KURS")</f>
        <v>PREFERENSI_KURS</v>
      </c>
      <c r="I5996" s="136"/>
    </row>
    <row r="5997" ht="15.75" customHeight="1">
      <c r="A5997" s="59"/>
      <c r="B5997" s="63">
        <f t="shared" si="1"/>
        <v>16</v>
      </c>
      <c r="C5997" s="156" t="s">
        <v>233</v>
      </c>
      <c r="D5997" s="147" t="s">
        <v>74</v>
      </c>
      <c r="E5997" s="135">
        <f t="shared" si="59"/>
        <v>10</v>
      </c>
      <c r="F5997" s="151" t="s">
        <v>3868</v>
      </c>
      <c r="G5997" s="63" t="str">
        <f>VLOOKUP(C5997, 'Class Def. - General Data'!$C$20:$C$1000,1,false)</f>
        <v>ZRM1_NoMask_Salt</v>
      </c>
      <c r="H5997" s="63" t="str">
        <f>IFERROR(__xludf.DUMMYFUNCTION("VLOOKUP(F5997, IMPORTRANGE(""https://docs.google.com/spreadsheets/d/1Lhp9OU0JdFf_VYSMzH5lBcEaU4o8teT1piV-SNzShjg/edit?gid=554141278#gid=554141278"", ""'Char Def. - Attributes'!C20:C2242""), 1,false)"),"BASIC_UOM_RMPM")</f>
        <v>BASIC_UOM_RMPM</v>
      </c>
      <c r="I5997" s="136"/>
    </row>
    <row r="5998" ht="15.75" customHeight="1">
      <c r="A5998" s="59"/>
      <c r="B5998" s="63">
        <f t="shared" si="1"/>
        <v>16</v>
      </c>
      <c r="C5998" s="156" t="s">
        <v>233</v>
      </c>
      <c r="D5998" s="147" t="s">
        <v>74</v>
      </c>
      <c r="E5998" s="135">
        <f t="shared" si="59"/>
        <v>11</v>
      </c>
      <c r="F5998" s="152" t="s">
        <v>3869</v>
      </c>
      <c r="G5998" s="63" t="str">
        <f>VLOOKUP(C5998, 'Class Def. - General Data'!$C$20:$C$1000,1,false)</f>
        <v>ZRM1_NoMask_Salt</v>
      </c>
      <c r="H5998" s="63" t="str">
        <f>IFERROR(__xludf.DUMMYFUNCTION("VLOOKUP(F5998, IMPORTRANGE(""https://docs.google.com/spreadsheets/d/1Lhp9OU0JdFf_VYSMzH5lBcEaU4o8teT1piV-SNzShjg/edit?gid=554141278#gid=554141278"", ""'Char Def. - Attributes'!C20:C2242""), 1,false)"),"ALT_UOM1_RMPM")</f>
        <v>ALT_UOM1_RMPM</v>
      </c>
      <c r="I5998" s="136"/>
    </row>
    <row r="5999" ht="15.75" customHeight="1">
      <c r="A5999" s="59"/>
      <c r="B5999" s="63">
        <f t="shared" si="1"/>
        <v>16</v>
      </c>
      <c r="C5999" s="156" t="s">
        <v>233</v>
      </c>
      <c r="D5999" s="147" t="s">
        <v>74</v>
      </c>
      <c r="E5999" s="135">
        <f t="shared" si="59"/>
        <v>12</v>
      </c>
      <c r="F5999" s="152" t="s">
        <v>3805</v>
      </c>
      <c r="G5999" s="63" t="str">
        <f>VLOOKUP(C5999, 'Class Def. - General Data'!$C$20:$C$1000,1,false)</f>
        <v>ZRM1_NoMask_Salt</v>
      </c>
      <c r="H5999" s="63" t="str">
        <f>IFERROR(__xludf.DUMMYFUNCTION("VLOOKUP(F5999, IMPORTRANGE(""https://docs.google.com/spreadsheets/d/1Lhp9OU0JdFf_VYSMzH5lBcEaU4o8teT1piV-SNzShjg/edit?gid=554141278#gid=554141278"", ""'Char Def. - Attributes'!C20:C2242""), 1,false)"),"ALT_DENUM_UOM1")</f>
        <v>ALT_DENUM_UOM1</v>
      </c>
      <c r="I5999" s="136"/>
    </row>
    <row r="6000" ht="15.75" customHeight="1">
      <c r="A6000" s="59"/>
      <c r="B6000" s="63">
        <f t="shared" si="1"/>
        <v>16</v>
      </c>
      <c r="C6000" s="156" t="s">
        <v>233</v>
      </c>
      <c r="D6000" s="147" t="s">
        <v>74</v>
      </c>
      <c r="E6000" s="135">
        <f t="shared" si="59"/>
        <v>13</v>
      </c>
      <c r="F6000" s="152" t="s">
        <v>3806</v>
      </c>
      <c r="G6000" s="63" t="str">
        <f>VLOOKUP(C6000, 'Class Def. - General Data'!$C$20:$C$1000,1,false)</f>
        <v>ZRM1_NoMask_Salt</v>
      </c>
      <c r="H6000" s="63" t="str">
        <f>IFERROR(__xludf.DUMMYFUNCTION("VLOOKUP(F6000, IMPORTRANGE(""https://docs.google.com/spreadsheets/d/1Lhp9OU0JdFf_VYSMzH5lBcEaU4o8teT1piV-SNzShjg/edit?gid=554141278#gid=554141278"", ""'Char Def. - Attributes'!C20:C2242""), 1,false)"),"ALT_NUM_UOM1")</f>
        <v>ALT_NUM_UOM1</v>
      </c>
      <c r="I6000" s="136"/>
    </row>
    <row r="6001" ht="15.75" customHeight="1">
      <c r="A6001" s="59"/>
      <c r="B6001" s="63">
        <f t="shared" si="1"/>
        <v>16</v>
      </c>
      <c r="C6001" s="156" t="s">
        <v>233</v>
      </c>
      <c r="D6001" s="147" t="s">
        <v>74</v>
      </c>
      <c r="E6001" s="135">
        <f t="shared" si="59"/>
        <v>14</v>
      </c>
      <c r="F6001" s="152" t="s">
        <v>3870</v>
      </c>
      <c r="G6001" s="63" t="str">
        <f>VLOOKUP(C6001, 'Class Def. - General Data'!$C$20:$C$1000,1,false)</f>
        <v>ZRM1_NoMask_Salt</v>
      </c>
      <c r="H6001" s="63" t="str">
        <f>IFERROR(__xludf.DUMMYFUNCTION("VLOOKUP(F6001, IMPORTRANGE(""https://docs.google.com/spreadsheets/d/1Lhp9OU0JdFf_VYSMzH5lBcEaU4o8teT1piV-SNzShjg/edit?gid=554141278#gid=554141278"", ""'Char Def. - Attributes'!C20:C2242""), 1,false)"),"ALT_UOM2_RMPM")</f>
        <v>ALT_UOM2_RMPM</v>
      </c>
      <c r="I6001" s="136"/>
    </row>
    <row r="6002" ht="15.75" customHeight="1">
      <c r="B6002" s="63">
        <f t="shared" si="1"/>
        <v>16</v>
      </c>
      <c r="C6002" s="156" t="s">
        <v>233</v>
      </c>
      <c r="D6002" s="147" t="s">
        <v>74</v>
      </c>
      <c r="E6002" s="135">
        <f t="shared" si="59"/>
        <v>15</v>
      </c>
      <c r="F6002" s="152" t="s">
        <v>3808</v>
      </c>
      <c r="G6002" s="63" t="str">
        <f>VLOOKUP(C6002, 'Class Def. - General Data'!$C$20:$C$1000,1,false)</f>
        <v>ZRM1_NoMask_Salt</v>
      </c>
      <c r="H6002" s="63" t="str">
        <f>IFERROR(__xludf.DUMMYFUNCTION("VLOOKUP(F6002, IMPORTRANGE(""https://docs.google.com/spreadsheets/d/1Lhp9OU0JdFf_VYSMzH5lBcEaU4o8teT1piV-SNzShjg/edit?gid=554141278#gid=554141278"", ""'Char Def. - Attributes'!C20:C2242""), 1,false)"),"ALT_DENUM_UOM2")</f>
        <v>ALT_DENUM_UOM2</v>
      </c>
      <c r="I6002" s="136"/>
    </row>
    <row r="6003" ht="15.75" customHeight="1">
      <c r="B6003" s="63">
        <f t="shared" si="1"/>
        <v>16</v>
      </c>
      <c r="C6003" s="156" t="s">
        <v>233</v>
      </c>
      <c r="D6003" s="147" t="s">
        <v>74</v>
      </c>
      <c r="E6003" s="135">
        <f t="shared" si="59"/>
        <v>16</v>
      </c>
      <c r="F6003" s="152" t="s">
        <v>3809</v>
      </c>
      <c r="G6003" s="63" t="str">
        <f>VLOOKUP(C6003, 'Class Def. - General Data'!$C$20:$C$1000,1,false)</f>
        <v>ZRM1_NoMask_Salt</v>
      </c>
      <c r="H6003" s="63" t="str">
        <f>IFERROR(__xludf.DUMMYFUNCTION("VLOOKUP(F6003, IMPORTRANGE(""https://docs.google.com/spreadsheets/d/1Lhp9OU0JdFf_VYSMzH5lBcEaU4o8teT1piV-SNzShjg/edit?gid=554141278#gid=554141278"", ""'Char Def. - Attributes'!C20:C2242""), 1,false)"),"ALT_NUM_UOM2")</f>
        <v>ALT_NUM_UOM2</v>
      </c>
      <c r="I6003" s="136"/>
    </row>
    <row r="6004" ht="15.75" customHeight="1">
      <c r="B6004" s="63">
        <f t="shared" si="1"/>
        <v>16</v>
      </c>
      <c r="C6004" s="156" t="s">
        <v>233</v>
      </c>
      <c r="D6004" s="147" t="s">
        <v>74</v>
      </c>
      <c r="E6004" s="135">
        <f t="shared" si="59"/>
        <v>17</v>
      </c>
      <c r="F6004" s="152" t="s">
        <v>3871</v>
      </c>
      <c r="G6004" s="63" t="str">
        <f>VLOOKUP(C6004, 'Class Def. - General Data'!$C$20:$C$1000,1,false)</f>
        <v>ZRM1_NoMask_Salt</v>
      </c>
      <c r="H6004" s="63" t="str">
        <f>IFERROR(__xludf.DUMMYFUNCTION("VLOOKUP(F6004, IMPORTRANGE(""https://docs.google.com/spreadsheets/d/1Lhp9OU0JdFf_VYSMzH5lBcEaU4o8teT1piV-SNzShjg/edit?gid=554141278#gid=554141278"", ""'Char Def. - Attributes'!C20:C2242""), 1,false)"),"ALT_UOM3_RMPM")</f>
        <v>ALT_UOM3_RMPM</v>
      </c>
      <c r="I6004" s="136"/>
    </row>
    <row r="6005" ht="15.75" customHeight="1">
      <c r="A6005" s="158"/>
      <c r="B6005" s="63">
        <f t="shared" si="1"/>
        <v>16</v>
      </c>
      <c r="C6005" s="156" t="s">
        <v>233</v>
      </c>
      <c r="D6005" s="147" t="s">
        <v>74</v>
      </c>
      <c r="E6005" s="135">
        <f t="shared" si="59"/>
        <v>18</v>
      </c>
      <c r="F6005" s="152" t="s">
        <v>3811</v>
      </c>
      <c r="G6005" s="63" t="str">
        <f>VLOOKUP(C6005, 'Class Def. - General Data'!$C$20:$C$1000,1,false)</f>
        <v>ZRM1_NoMask_Salt</v>
      </c>
      <c r="H6005" s="63" t="str">
        <f>IFERROR(__xludf.DUMMYFUNCTION("VLOOKUP(F6005, IMPORTRANGE(""https://docs.google.com/spreadsheets/d/1Lhp9OU0JdFf_VYSMzH5lBcEaU4o8teT1piV-SNzShjg/edit?gid=554141278#gid=554141278"", ""'Char Def. - Attributes'!C20:C2242""), 1,false)"),"ALT_DENUM_UOM3")</f>
        <v>ALT_DENUM_UOM3</v>
      </c>
      <c r="I6005" s="136"/>
    </row>
    <row r="6006" ht="15.75" customHeight="1">
      <c r="A6006" s="158"/>
      <c r="B6006" s="63">
        <f t="shared" si="1"/>
        <v>16</v>
      </c>
      <c r="C6006" s="156" t="s">
        <v>233</v>
      </c>
      <c r="D6006" s="147" t="s">
        <v>74</v>
      </c>
      <c r="E6006" s="135">
        <f t="shared" si="59"/>
        <v>19</v>
      </c>
      <c r="F6006" s="152" t="s">
        <v>3812</v>
      </c>
      <c r="G6006" s="63" t="str">
        <f>VLOOKUP(C6006, 'Class Def. - General Data'!$C$20:$C$1000,1,false)</f>
        <v>ZRM1_NoMask_Salt</v>
      </c>
      <c r="H6006" s="63" t="str">
        <f>IFERROR(__xludf.DUMMYFUNCTION("VLOOKUP(F6006, IMPORTRANGE(""https://docs.google.com/spreadsheets/d/1Lhp9OU0JdFf_VYSMzH5lBcEaU4o8teT1piV-SNzShjg/edit?gid=554141278#gid=554141278"", ""'Char Def. - Attributes'!C20:C2242""), 1,false)"),"ALT_NUM_UOM3")</f>
        <v>ALT_NUM_UOM3</v>
      </c>
      <c r="I6006" s="136"/>
    </row>
    <row r="6007" ht="15.75" customHeight="1">
      <c r="A6007" s="59"/>
      <c r="B6007" s="63">
        <f t="shared" si="1"/>
        <v>16</v>
      </c>
      <c r="C6007" s="156" t="s">
        <v>233</v>
      </c>
      <c r="D6007" s="147" t="s">
        <v>74</v>
      </c>
      <c r="E6007" s="135">
        <f t="shared" si="59"/>
        <v>20</v>
      </c>
      <c r="F6007" s="152" t="s">
        <v>3872</v>
      </c>
      <c r="G6007" s="63" t="str">
        <f>VLOOKUP(C6007, 'Class Def. - General Data'!$C$20:$C$1000,1,false)</f>
        <v>ZRM1_NoMask_Salt</v>
      </c>
      <c r="H6007" s="63" t="str">
        <f>IFERROR(__xludf.DUMMYFUNCTION("VLOOKUP(F6007, IMPORTRANGE(""https://docs.google.com/spreadsheets/d/1Lhp9OU0JdFf_VYSMzH5lBcEaU4o8teT1piV-SNzShjg/edit?gid=554141278#gid=554141278"", ""'Char Def. - Attributes'!C20:C2242""), 1,false)"),"ALT_UOM4_RMPM")</f>
        <v>ALT_UOM4_RMPM</v>
      </c>
      <c r="I6007" s="136"/>
    </row>
    <row r="6008" ht="15.75" customHeight="1">
      <c r="B6008" s="63">
        <f t="shared" si="1"/>
        <v>16</v>
      </c>
      <c r="C6008" s="156" t="s">
        <v>233</v>
      </c>
      <c r="D6008" s="147" t="s">
        <v>74</v>
      </c>
      <c r="E6008" s="135">
        <f t="shared" si="59"/>
        <v>21</v>
      </c>
      <c r="F6008" s="148" t="s">
        <v>3814</v>
      </c>
      <c r="G6008" s="63" t="str">
        <f>VLOOKUP(C6008, 'Class Def. - General Data'!$C$20:$C$1000,1,false)</f>
        <v>ZRM1_NoMask_Salt</v>
      </c>
      <c r="H6008" s="63" t="str">
        <f>IFERROR(__xludf.DUMMYFUNCTION("VLOOKUP(F6008, IMPORTRANGE(""https://docs.google.com/spreadsheets/d/1Lhp9OU0JdFf_VYSMzH5lBcEaU4o8teT1piV-SNzShjg/edit?gid=554141278#gid=554141278"", ""'Char Def. - Attributes'!C20:C2242""), 1,false)"),"ALT_DENUM_UOM4")</f>
        <v>ALT_DENUM_UOM4</v>
      </c>
      <c r="I6008" s="136"/>
    </row>
    <row r="6009" ht="15.75" customHeight="1">
      <c r="B6009" s="63">
        <f t="shared" si="1"/>
        <v>16</v>
      </c>
      <c r="C6009" s="156" t="s">
        <v>233</v>
      </c>
      <c r="D6009" s="147" t="s">
        <v>74</v>
      </c>
      <c r="E6009" s="135">
        <f t="shared" si="59"/>
        <v>22</v>
      </c>
      <c r="F6009" s="152" t="s">
        <v>3815</v>
      </c>
      <c r="G6009" s="63" t="str">
        <f>VLOOKUP(C6009, 'Class Def. - General Data'!$C$20:$C$1000,1,false)</f>
        <v>ZRM1_NoMask_Salt</v>
      </c>
      <c r="H6009" s="63" t="str">
        <f>IFERROR(__xludf.DUMMYFUNCTION("VLOOKUP(F6009, IMPORTRANGE(""https://docs.google.com/spreadsheets/d/1Lhp9OU0JdFf_VYSMzH5lBcEaU4o8teT1piV-SNzShjg/edit?gid=554141278#gid=554141278"", ""'Char Def. - Attributes'!C20:C2242""), 1,false)"),"ALT_NUM_UOM4")</f>
        <v>ALT_NUM_UOM4</v>
      </c>
      <c r="I6009" s="136"/>
    </row>
    <row r="6010" ht="15.75" customHeight="1">
      <c r="B6010" s="63">
        <f t="shared" si="1"/>
        <v>16</v>
      </c>
      <c r="C6010" s="156" t="s">
        <v>233</v>
      </c>
      <c r="D6010" s="147" t="s">
        <v>74</v>
      </c>
      <c r="E6010" s="135">
        <f t="shared" si="59"/>
        <v>23</v>
      </c>
      <c r="F6010" s="152" t="s">
        <v>3873</v>
      </c>
      <c r="G6010" s="63" t="str">
        <f>VLOOKUP(C6010, 'Class Def. - General Data'!$C$20:$C$1000,1,false)</f>
        <v>ZRM1_NoMask_Salt</v>
      </c>
      <c r="H6010" s="63" t="str">
        <f>IFERROR(__xludf.DUMMYFUNCTION("VLOOKUP(F6010, IMPORTRANGE(""https://docs.google.com/spreadsheets/d/1Lhp9OU0JdFf_VYSMzH5lBcEaU4o8teT1piV-SNzShjg/edit?gid=554141278#gid=554141278"", ""'Char Def. - Attributes'!C20:C2242""), 1,false)"),"ALT_UOM5_RMPM")</f>
        <v>ALT_UOM5_RMPM</v>
      </c>
      <c r="I6010" s="136"/>
    </row>
    <row r="6011" ht="15.75" customHeight="1">
      <c r="A6011" s="59"/>
      <c r="B6011" s="63">
        <f t="shared" si="1"/>
        <v>16</v>
      </c>
      <c r="C6011" s="156" t="s">
        <v>233</v>
      </c>
      <c r="D6011" s="147" t="s">
        <v>74</v>
      </c>
      <c r="E6011" s="135">
        <f t="shared" si="59"/>
        <v>24</v>
      </c>
      <c r="F6011" s="152" t="s">
        <v>3817</v>
      </c>
      <c r="G6011" s="63" t="str">
        <f>VLOOKUP(C6011, 'Class Def. - General Data'!$C$20:$C$1000,1,false)</f>
        <v>ZRM1_NoMask_Salt</v>
      </c>
      <c r="H6011" s="63" t="str">
        <f>IFERROR(__xludf.DUMMYFUNCTION("VLOOKUP(F6011, IMPORTRANGE(""https://docs.google.com/spreadsheets/d/1Lhp9OU0JdFf_VYSMzH5lBcEaU4o8teT1piV-SNzShjg/edit?gid=554141278#gid=554141278"", ""'Char Def. - Attributes'!C20:C2242""), 1,false)"),"ALT_DENUM_UOM5")</f>
        <v>ALT_DENUM_UOM5</v>
      </c>
      <c r="I6011" s="136"/>
    </row>
    <row r="6012" ht="15.75" customHeight="1">
      <c r="A6012" s="59"/>
      <c r="B6012" s="63">
        <f t="shared" si="1"/>
        <v>16</v>
      </c>
      <c r="C6012" s="156" t="s">
        <v>233</v>
      </c>
      <c r="D6012" s="147" t="s">
        <v>74</v>
      </c>
      <c r="E6012" s="135">
        <f t="shared" si="59"/>
        <v>25</v>
      </c>
      <c r="F6012" s="152" t="s">
        <v>3818</v>
      </c>
      <c r="G6012" s="63" t="str">
        <f>VLOOKUP(C6012, 'Class Def. - General Data'!$C$20:$C$1000,1,false)</f>
        <v>ZRM1_NoMask_Salt</v>
      </c>
      <c r="H6012" s="63" t="str">
        <f>IFERROR(__xludf.DUMMYFUNCTION("VLOOKUP(F6012, IMPORTRANGE(""https://docs.google.com/spreadsheets/d/1Lhp9OU0JdFf_VYSMzH5lBcEaU4o8teT1piV-SNzShjg/edit?gid=554141278#gid=554141278"", ""'Char Def. - Attributes'!C20:C2242""), 1,false)"),"ALT_NUM_UOM5")</f>
        <v>ALT_NUM_UOM5</v>
      </c>
      <c r="I6012" s="136"/>
    </row>
    <row r="6013" ht="15.75" customHeight="1">
      <c r="A6013" s="59"/>
      <c r="B6013" s="63">
        <f t="shared" si="1"/>
        <v>16</v>
      </c>
      <c r="C6013" s="156" t="s">
        <v>233</v>
      </c>
      <c r="D6013" s="147" t="s">
        <v>74</v>
      </c>
      <c r="E6013" s="135">
        <f t="shared" si="59"/>
        <v>26</v>
      </c>
      <c r="F6013" s="152" t="s">
        <v>3874</v>
      </c>
      <c r="G6013" s="63" t="str">
        <f>VLOOKUP(C6013, 'Class Def. - General Data'!$C$20:$C$1000,1,false)</f>
        <v>ZRM1_NoMask_Salt</v>
      </c>
      <c r="H6013" s="63" t="str">
        <f>IFERROR(__xludf.DUMMYFUNCTION("VLOOKUP(F6013, IMPORTRANGE(""https://docs.google.com/spreadsheets/d/1Lhp9OU0JdFf_VYSMzH5lBcEaU4o8teT1piV-SNzShjg/edit?gid=554141278#gid=554141278"", ""'Char Def. - Attributes'!C20:C2242""), 1,false)"),"VALUATION_CATEGORY")</f>
        <v>VALUATION_CATEGORY</v>
      </c>
      <c r="I6013" s="136"/>
    </row>
    <row r="6014" ht="15.75" customHeight="1">
      <c r="A6014" s="59"/>
      <c r="B6014" s="63">
        <f t="shared" si="1"/>
        <v>16</v>
      </c>
      <c r="C6014" s="156" t="s">
        <v>233</v>
      </c>
      <c r="D6014" s="147" t="s">
        <v>74</v>
      </c>
      <c r="E6014" s="135">
        <f t="shared" si="59"/>
        <v>27</v>
      </c>
      <c r="F6014" s="152" t="s">
        <v>3800</v>
      </c>
      <c r="G6014" s="63" t="str">
        <f>VLOOKUP(C6014, 'Class Def. - General Data'!$C$20:$C$1000,1,false)</f>
        <v>ZRM1_NoMask_Salt</v>
      </c>
      <c r="H6014" s="63" t="str">
        <f>IFERROR(__xludf.DUMMYFUNCTION("VLOOKUP(F6014, IMPORTRANGE(""https://docs.google.com/spreadsheets/d/1Lhp9OU0JdFf_VYSMzH5lBcEaU4o8teT1piV-SNzShjg/edit?gid=554141278#gid=554141278"", ""'Char Def. - Attributes'!C20:C2242""), 1,false)"),"ORDER_UNIT_DIFF_FROM_BASIC_UOM")</f>
        <v>ORDER_UNIT_DIFF_FROM_BASIC_UOM</v>
      </c>
      <c r="I6014" s="136"/>
    </row>
    <row r="6015" ht="15.75" customHeight="1">
      <c r="A6015" s="59"/>
      <c r="B6015" s="63">
        <f t="shared" si="1"/>
        <v>16</v>
      </c>
      <c r="C6015" s="156" t="s">
        <v>233</v>
      </c>
      <c r="D6015" s="147" t="s">
        <v>74</v>
      </c>
      <c r="E6015" s="135">
        <f t="shared" si="59"/>
        <v>28</v>
      </c>
      <c r="F6015" s="152" t="s">
        <v>3875</v>
      </c>
      <c r="G6015" s="63" t="str">
        <f>VLOOKUP(C6015, 'Class Def. - General Data'!$C$20:$C$1000,1,false)</f>
        <v>ZRM1_NoMask_Salt</v>
      </c>
      <c r="H6015" s="63" t="str">
        <f>IFERROR(__xludf.DUMMYFUNCTION("VLOOKUP(F6015, IMPORTRANGE(""https://docs.google.com/spreadsheets/d/1Lhp9OU0JdFf_VYSMzH5lBcEaU4o8teT1piV-SNzShjg/edit?gid=554141278#gid=554141278"", ""'Char Def. - Attributes'!C20:C2242""), 1,false)"),"ORDER_UNIT_RMPM")</f>
        <v>ORDER_UNIT_RMPM</v>
      </c>
      <c r="I6015" s="136"/>
    </row>
    <row r="6016" ht="15.75" customHeight="1">
      <c r="A6016" s="59"/>
      <c r="B6016" s="63">
        <f t="shared" si="1"/>
        <v>16</v>
      </c>
      <c r="C6016" s="156" t="s">
        <v>233</v>
      </c>
      <c r="D6016" s="147" t="s">
        <v>74</v>
      </c>
      <c r="E6016" s="135">
        <f t="shared" si="59"/>
        <v>29</v>
      </c>
      <c r="F6016" s="151" t="s">
        <v>3602</v>
      </c>
      <c r="G6016" s="63" t="str">
        <f>VLOOKUP(C6016, 'Class Def. - General Data'!$C$20:$C$1000,1,false)</f>
        <v>ZRM1_NoMask_Salt</v>
      </c>
      <c r="H6016" s="63" t="str">
        <f>IFERROR(__xludf.DUMMYFUNCTION("VLOOKUP(F6016, IMPORTRANGE(""https://docs.google.com/spreadsheets/d/1Lhp9OU0JdFf_VYSMzH5lBcEaU4o8teT1piV-SNzShjg/edit?gid=554141278#gid=554141278"", ""'Char Def. - Attributes'!C20:C2242""), 1,false)"),"NET_WEIGHT")</f>
        <v>NET_WEIGHT</v>
      </c>
      <c r="I6016" s="136"/>
    </row>
    <row r="6017" ht="15.75" customHeight="1">
      <c r="A6017" s="59"/>
      <c r="B6017" s="63">
        <f t="shared" si="1"/>
        <v>16</v>
      </c>
      <c r="C6017" s="156" t="s">
        <v>233</v>
      </c>
      <c r="D6017" s="147" t="s">
        <v>74</v>
      </c>
      <c r="E6017" s="135">
        <f t="shared" si="59"/>
        <v>30</v>
      </c>
      <c r="F6017" s="151" t="s">
        <v>3601</v>
      </c>
      <c r="G6017" s="63" t="str">
        <f>VLOOKUP(C6017, 'Class Def. - General Data'!$C$20:$C$1000,1,false)</f>
        <v>ZRM1_NoMask_Salt</v>
      </c>
      <c r="H6017" s="63" t="str">
        <f>IFERROR(__xludf.DUMMYFUNCTION("VLOOKUP(F6017, IMPORTRANGE(""https://docs.google.com/spreadsheets/d/1Lhp9OU0JdFf_VYSMzH5lBcEaU4o8teT1piV-SNzShjg/edit?gid=554141278#gid=554141278"", ""'Char Def. - Attributes'!C20:C2242""), 1,false)"),"GROSS_WEIGHT")</f>
        <v>GROSS_WEIGHT</v>
      </c>
      <c r="I6017" s="136"/>
    </row>
    <row r="6018" ht="15.75" customHeight="1">
      <c r="A6018" s="59"/>
      <c r="B6018" s="63">
        <f t="shared" si="1"/>
        <v>16</v>
      </c>
      <c r="C6018" s="156" t="s">
        <v>233</v>
      </c>
      <c r="D6018" s="147" t="s">
        <v>74</v>
      </c>
      <c r="E6018" s="135">
        <f t="shared" si="59"/>
        <v>31</v>
      </c>
      <c r="F6018" s="152" t="s">
        <v>3996</v>
      </c>
      <c r="G6018" s="63" t="str">
        <f>VLOOKUP(C6018, 'Class Def. - General Data'!$C$20:$C$1000,1,false)</f>
        <v>ZRM1_NoMask_Salt</v>
      </c>
      <c r="H6018" s="63" t="str">
        <f>IFERROR(__xludf.DUMMYFUNCTION("VLOOKUP(F6018, IMPORTRANGE(""https://docs.google.com/spreadsheets/d/1Lhp9OU0JdFf_VYSMzH5lBcEaU4o8teT1piV-SNzShjg/edit?gid=554141278#gid=554141278"", ""'Char Def. - Attributes'!C20:C2242""), 1,false)"),"WEIGHT_UNIT")</f>
        <v>WEIGHT_UNIT</v>
      </c>
      <c r="I6018" s="136"/>
    </row>
    <row r="6019" ht="15.75" customHeight="1">
      <c r="A6019" s="59"/>
      <c r="B6019" s="63">
        <f t="shared" si="1"/>
        <v>16</v>
      </c>
      <c r="C6019" s="156" t="s">
        <v>233</v>
      </c>
      <c r="D6019" s="147" t="s">
        <v>74</v>
      </c>
      <c r="E6019" s="135">
        <f t="shared" si="59"/>
        <v>32</v>
      </c>
      <c r="F6019" s="151" t="s">
        <v>3877</v>
      </c>
      <c r="G6019" s="63" t="str">
        <f>VLOOKUP(C6019, 'Class Def. - General Data'!$C$20:$C$1000,1,false)</f>
        <v>ZRM1_NoMask_Salt</v>
      </c>
      <c r="H6019" s="63" t="str">
        <f>IFERROR(__xludf.DUMMYFUNCTION("VLOOKUP(F6019, IMPORTRANGE(""https://docs.google.com/spreadsheets/d/1Lhp9OU0JdFf_VYSMzH5lBcEaU4o8teT1piV-SNzShjg/edit?gid=554141278#gid=554141278"", ""'Char Def. - Attributes'!C20:C2242""), 1,false)"),"VOLUME_OPT")</f>
        <v>VOLUME_OPT</v>
      </c>
      <c r="I6019" s="136"/>
    </row>
    <row r="6020" ht="15.75" customHeight="1">
      <c r="A6020" s="59"/>
      <c r="B6020" s="63">
        <f t="shared" si="1"/>
        <v>16</v>
      </c>
      <c r="C6020" s="156" t="s">
        <v>233</v>
      </c>
      <c r="D6020" s="147" t="s">
        <v>74</v>
      </c>
      <c r="E6020" s="135">
        <f t="shared" si="59"/>
        <v>33</v>
      </c>
      <c r="F6020" s="152" t="s">
        <v>3878</v>
      </c>
      <c r="G6020" s="63" t="str">
        <f>VLOOKUP(C6020, 'Class Def. - General Data'!$C$20:$C$1000,1,false)</f>
        <v>ZRM1_NoMask_Salt</v>
      </c>
      <c r="H6020" s="63" t="str">
        <f>IFERROR(__xludf.DUMMYFUNCTION("VLOOKUP(F6020, IMPORTRANGE(""https://docs.google.com/spreadsheets/d/1Lhp9OU0JdFf_VYSMzH5lBcEaU4o8teT1piV-SNzShjg/edit?gid=554141278#gid=554141278"", ""'Char Def. - Attributes'!C20:C2242""), 1,false)"),"VOLUME_UNIT")</f>
        <v>VOLUME_UNIT</v>
      </c>
      <c r="I6020" s="136"/>
    </row>
    <row r="6021" ht="15.75" customHeight="1">
      <c r="A6021" s="59"/>
      <c r="B6021" s="63">
        <f t="shared" si="1"/>
        <v>16</v>
      </c>
      <c r="C6021" s="156" t="s">
        <v>233</v>
      </c>
      <c r="D6021" s="147" t="s">
        <v>74</v>
      </c>
      <c r="E6021" s="135">
        <f t="shared" si="59"/>
        <v>34</v>
      </c>
      <c r="F6021" s="151" t="s">
        <v>3587</v>
      </c>
      <c r="G6021" s="63" t="str">
        <f>VLOOKUP(C6021, 'Class Def. - General Data'!$C$20:$C$1000,1,false)</f>
        <v>ZRM1_NoMask_Salt</v>
      </c>
      <c r="H6021" s="63" t="str">
        <f>IFERROR(__xludf.DUMMYFUNCTION("VLOOKUP(F6021, IMPORTRANGE(""https://docs.google.com/spreadsheets/d/1Lhp9OU0JdFf_VYSMzH5lBcEaU4o8teT1piV-SNzShjg/edit?gid=554141278#gid=554141278"", ""'Char Def. - Attributes'!C20:C2242""), 1,false)"),"PLANT_BUY")</f>
        <v>PLANT_BUY</v>
      </c>
      <c r="I6021" s="136"/>
    </row>
    <row r="6022" ht="15.75" customHeight="1">
      <c r="A6022" s="59"/>
      <c r="B6022" s="63">
        <f t="shared" si="1"/>
        <v>16</v>
      </c>
      <c r="C6022" s="156" t="s">
        <v>233</v>
      </c>
      <c r="D6022" s="147" t="s">
        <v>74</v>
      </c>
      <c r="E6022" s="135">
        <f t="shared" si="59"/>
        <v>35</v>
      </c>
      <c r="F6022" s="152" t="s">
        <v>3997</v>
      </c>
      <c r="G6022" s="63" t="str">
        <f>VLOOKUP(C6022, 'Class Def. - General Data'!$C$20:$C$1000,1,false)</f>
        <v>ZRM1_NoMask_Salt</v>
      </c>
      <c r="H6022" s="63" t="str">
        <f>IFERROR(__xludf.DUMMYFUNCTION("VLOOKUP(F6022, IMPORTRANGE(""https://docs.google.com/spreadsheets/d/1Lhp9OU0JdFf_VYSMzH5lBcEaU4o8teT1piV-SNzShjg/edit?gid=554141278#gid=554141278"", ""'Char Def. - Attributes'!C20:C2242""), 1,false)"),"OLD_MAT_NO_RMPM_OPT")</f>
        <v>OLD_MAT_NO_RMPM_OPT</v>
      </c>
      <c r="I6022" s="136"/>
    </row>
    <row r="6023" ht="15.75" customHeight="1">
      <c r="A6023" s="59"/>
      <c r="B6023" s="63">
        <f t="shared" si="1"/>
        <v>16</v>
      </c>
      <c r="C6023" s="156" t="s">
        <v>233</v>
      </c>
      <c r="D6023" s="147" t="s">
        <v>74</v>
      </c>
      <c r="E6023" s="135">
        <f t="shared" si="59"/>
        <v>36</v>
      </c>
      <c r="F6023" s="148" t="s">
        <v>3998</v>
      </c>
      <c r="G6023" s="63" t="str">
        <f>VLOOKUP(C6023, 'Class Def. - General Data'!$C$20:$C$1000,1,false)</f>
        <v>ZRM1_NoMask_Salt</v>
      </c>
      <c r="H6023" s="63" t="str">
        <f>IFERROR(__xludf.DUMMYFUNCTION("VLOOKUP(F6023, IMPORTRANGE(""https://docs.google.com/spreadsheets/d/1Lhp9OU0JdFf_VYSMzH5lBcEaU4o8teT1piV-SNzShjg/edit?gid=554141278#gid=554141278"", ""'Char Def. - Attributes'!C20:C2242""), 1,false)"),"MIN_STD_WEIGHT")</f>
        <v>MIN_STD_WEIGHT</v>
      </c>
      <c r="I6023" s="136"/>
    </row>
    <row r="6024" ht="15.75" customHeight="1">
      <c r="A6024" s="59"/>
      <c r="B6024" s="63">
        <f t="shared" si="1"/>
        <v>16</v>
      </c>
      <c r="C6024" s="156" t="s">
        <v>233</v>
      </c>
      <c r="D6024" s="147" t="s">
        <v>74</v>
      </c>
      <c r="E6024" s="135">
        <f t="shared" si="59"/>
        <v>37</v>
      </c>
      <c r="F6024" s="148" t="s">
        <v>3999</v>
      </c>
      <c r="G6024" s="63" t="str">
        <f>VLOOKUP(C6024, 'Class Def. - General Data'!$C$20:$C$1000,1,false)</f>
        <v>ZRM1_NoMask_Salt</v>
      </c>
      <c r="H6024" s="63" t="str">
        <f>IFERROR(__xludf.DUMMYFUNCTION("VLOOKUP(F6024, IMPORTRANGE(""https://docs.google.com/spreadsheets/d/1Lhp9OU0JdFf_VYSMzH5lBcEaU4o8teT1piV-SNzShjg/edit?gid=554141278#gid=554141278"", ""'Char Def. - Attributes'!C20:C2242""), 1,false)"),"MIN_STD_WEIGHT_UOM")</f>
        <v>MIN_STD_WEIGHT_UOM</v>
      </c>
      <c r="I6024" s="136"/>
    </row>
    <row r="6025" ht="15.75" customHeight="1">
      <c r="A6025" s="59"/>
      <c r="B6025" s="63">
        <f t="shared" si="1"/>
        <v>17</v>
      </c>
      <c r="C6025" s="156" t="s">
        <v>223</v>
      </c>
      <c r="D6025" s="147" t="s">
        <v>74</v>
      </c>
      <c r="E6025" s="135">
        <f t="shared" si="59"/>
        <v>1</v>
      </c>
      <c r="F6025" s="152" t="s">
        <v>4021</v>
      </c>
      <c r="G6025" s="63" t="str">
        <f>VLOOKUP(C6025, 'Class Def. - General Data'!$C$20:$C$1000,1,false)</f>
        <v>ZRM1_NonFood_Mask</v>
      </c>
      <c r="H6025" s="63" t="str">
        <f>IFERROR(__xludf.DUMMYFUNCTION("VLOOKUP(F6025, IMPORTRANGE(""https://docs.google.com/spreadsheets/d/1Lhp9OU0JdFf_VYSMzH5lBcEaU4o8teT1piV-SNzShjg/edit?gid=554141278#gid=554141278"", ""'Char Def. - Attributes'!C20:C2242""), 1,false)"),"MATERIAL_CODE_NONFOODDROPDOWN")</f>
        <v>MATERIAL_CODE_NONFOODDROPDOWN</v>
      </c>
      <c r="I6025" s="136"/>
    </row>
    <row r="6026" ht="15.75" customHeight="1">
      <c r="A6026" s="59"/>
      <c r="B6026" s="63">
        <f t="shared" si="1"/>
        <v>17</v>
      </c>
      <c r="C6026" s="156" t="s">
        <v>223</v>
      </c>
      <c r="D6026" s="147" t="s">
        <v>74</v>
      </c>
      <c r="E6026" s="135">
        <f t="shared" si="59"/>
        <v>2</v>
      </c>
      <c r="F6026" s="152" t="s">
        <v>3993</v>
      </c>
      <c r="G6026" s="63" t="str">
        <f>VLOOKUP(C6026, 'Class Def. - General Data'!$C$20:$C$1000,1,false)</f>
        <v>ZRM1_NonFood_Mask</v>
      </c>
      <c r="H6026" s="63" t="str">
        <f>IFERROR(__xludf.DUMMYFUNCTION("VLOOKUP(F6026, IMPORTRANGE(""https://docs.google.com/spreadsheets/d/1Lhp9OU0JdFf_VYSMzH5lBcEaU4o8teT1piV-SNzShjg/edit?gid=554141278#gid=554141278"", ""'Char Def. - Attributes'!C20:C2242""), 1,false)"),"SERIAL_NO_NONFOODMASK_RESIN")</f>
        <v>SERIAL_NO_NONFOODMASK_RESIN</v>
      </c>
      <c r="I6026" s="136"/>
    </row>
    <row r="6027" ht="15.75" customHeight="1">
      <c r="B6027" s="63">
        <f t="shared" si="1"/>
        <v>17</v>
      </c>
      <c r="C6027" s="156" t="s">
        <v>223</v>
      </c>
      <c r="D6027" s="147" t="s">
        <v>74</v>
      </c>
      <c r="E6027" s="135">
        <f t="shared" si="59"/>
        <v>3</v>
      </c>
      <c r="F6027" s="152" t="s">
        <v>4022</v>
      </c>
      <c r="G6027" s="63" t="str">
        <f>VLOOKUP(C6027, 'Class Def. - General Data'!$C$20:$C$1000,1,false)</f>
        <v>ZRM1_NonFood_Mask</v>
      </c>
      <c r="H6027" s="63" t="str">
        <f>IFERROR(__xludf.DUMMYFUNCTION("VLOOKUP(F6027, IMPORTRANGE(""https://docs.google.com/spreadsheets/d/1Lhp9OU0JdFf_VYSMzH5lBcEaU4o8teT1piV-SNzShjg/edit?gid=554141278#gid=554141278"", ""'Char Def. - Attributes'!C20:C2242""), 1,false)"),"APPEARANCE")</f>
        <v>APPEARANCE</v>
      </c>
      <c r="I6027" s="136"/>
    </row>
    <row r="6028" ht="15.75" customHeight="1">
      <c r="B6028" s="63">
        <f t="shared" si="1"/>
        <v>17</v>
      </c>
      <c r="C6028" s="156" t="s">
        <v>223</v>
      </c>
      <c r="D6028" s="147" t="s">
        <v>74</v>
      </c>
      <c r="E6028" s="135">
        <f t="shared" si="59"/>
        <v>4</v>
      </c>
      <c r="F6028" s="152" t="s">
        <v>4023</v>
      </c>
      <c r="G6028" s="63" t="str">
        <f>VLOOKUP(C6028, 'Class Def. - General Data'!$C$20:$C$1000,1,false)</f>
        <v>ZRM1_NonFood_Mask</v>
      </c>
      <c r="H6028" s="63" t="str">
        <f>IFERROR(__xludf.DUMMYFUNCTION("VLOOKUP(F6028, IMPORTRANGE(""https://docs.google.com/spreadsheets/d/1Lhp9OU0JdFf_VYSMzH5lBcEaU4o8teT1piV-SNzShjg/edit?gid=554141278#gid=554141278"", ""'Char Def. - Attributes'!C20:C2242""), 1,false)"),"ADDITIONAL_INFO_NONFOOD_MASK")</f>
        <v>ADDITIONAL_INFO_NONFOOD_MASK</v>
      </c>
      <c r="I6028" s="136"/>
    </row>
    <row r="6029" ht="15.75" customHeight="1">
      <c r="B6029" s="63">
        <f t="shared" si="1"/>
        <v>17</v>
      </c>
      <c r="C6029" s="156" t="s">
        <v>223</v>
      </c>
      <c r="D6029" s="147" t="s">
        <v>74</v>
      </c>
      <c r="E6029" s="135">
        <f t="shared" si="59"/>
        <v>5</v>
      </c>
      <c r="F6029" s="152" t="s">
        <v>4002</v>
      </c>
      <c r="G6029" s="63" t="str">
        <f>VLOOKUP(C6029, 'Class Def. - General Data'!$C$20:$C$1000,1,false)</f>
        <v>ZRM1_NonFood_Mask</v>
      </c>
      <c r="H6029" s="63" t="str">
        <f>IFERROR(__xludf.DUMMYFUNCTION("VLOOKUP(F6029, IMPORTRANGE(""https://docs.google.com/spreadsheets/d/1Lhp9OU0JdFf_VYSMzH5lBcEaU4o8teT1piV-SNzShjg/edit?gid=554141278#gid=554141278"", ""'Char Def. - Attributes'!C20:C2242""), 1,false)"),"COLOR_GENERAL")</f>
        <v>COLOR_GENERAL</v>
      </c>
      <c r="I6029" s="136"/>
    </row>
    <row r="6030" ht="15.75" customHeight="1">
      <c r="B6030" s="63">
        <f t="shared" si="1"/>
        <v>17</v>
      </c>
      <c r="C6030" s="156" t="s">
        <v>223</v>
      </c>
      <c r="D6030" s="147" t="s">
        <v>74</v>
      </c>
      <c r="E6030" s="135">
        <f t="shared" si="59"/>
        <v>6</v>
      </c>
      <c r="F6030" s="152" t="s">
        <v>4003</v>
      </c>
      <c r="G6030" s="63" t="str">
        <f>VLOOKUP(C6030, 'Class Def. - General Data'!$C$20:$C$1000,1,false)</f>
        <v>ZRM1_NonFood_Mask</v>
      </c>
      <c r="H6030" s="63" t="str">
        <f>IFERROR(__xludf.DUMMYFUNCTION("VLOOKUP(F6030, IMPORTRANGE(""https://docs.google.com/spreadsheets/d/1Lhp9OU0JdFf_VYSMzH5lBcEaU4o8teT1piV-SNzShjg/edit?gid=554141278#gid=554141278"", ""'Char Def. - Attributes'!C20:C2242""), 1,false)"),"SOURCE_SUPPLY")</f>
        <v>SOURCE_SUPPLY</v>
      </c>
      <c r="I6030" s="136"/>
    </row>
    <row r="6031">
      <c r="A6031" s="158"/>
      <c r="B6031" s="63">
        <f t="shared" si="1"/>
        <v>17</v>
      </c>
      <c r="C6031" s="156" t="s">
        <v>223</v>
      </c>
      <c r="D6031" s="147" t="s">
        <v>74</v>
      </c>
      <c r="E6031" s="135">
        <f t="shared" si="59"/>
        <v>7</v>
      </c>
      <c r="F6031" s="152" t="s">
        <v>4004</v>
      </c>
      <c r="G6031" s="63" t="str">
        <f>VLOOKUP(C6031, 'Class Def. - General Data'!$C$20:$C$1000,1,false)</f>
        <v>ZRM1_NonFood_Mask</v>
      </c>
      <c r="H6031" s="63" t="str">
        <f>IFERROR(__xludf.DUMMYFUNCTION("VLOOKUP(F6031, IMPORTRANGE(""https://docs.google.com/spreadsheets/d/1Lhp9OU0JdFf_VYSMzH5lBcEaU4o8teT1piV-SNzShjg/edit?gid=554141278#gid=554141278"", ""'Char Def. - Attributes'!C20:C2242""), 1,false)"),"BASE_MATERIAL")</f>
        <v>BASE_MATERIAL</v>
      </c>
      <c r="I6031" s="136"/>
    </row>
    <row r="6032">
      <c r="A6032" s="158"/>
      <c r="B6032" s="63">
        <f t="shared" si="1"/>
        <v>17</v>
      </c>
      <c r="C6032" s="156" t="s">
        <v>223</v>
      </c>
      <c r="D6032" s="147" t="s">
        <v>74</v>
      </c>
      <c r="E6032" s="135">
        <f t="shared" si="59"/>
        <v>8</v>
      </c>
      <c r="F6032" s="152" t="s">
        <v>4005</v>
      </c>
      <c r="G6032" s="63" t="str">
        <f>VLOOKUP(C6032, 'Class Def. - General Data'!$C$20:$C$1000,1,false)</f>
        <v>ZRM1_NonFood_Mask</v>
      </c>
      <c r="H6032" s="63" t="str">
        <f>IFERROR(__xludf.DUMMYFUNCTION("VLOOKUP(F6032, IMPORTRANGE(""https://docs.google.com/spreadsheets/d/1Lhp9OU0JdFf_VYSMzH5lBcEaU4o8teT1piV-SNzShjg/edit?gid=554141278#gid=554141278"", ""'Char Def. - Attributes'!C20:C2242""), 1,false)"),"NATURE_ORIGIN")</f>
        <v>NATURE_ORIGIN</v>
      </c>
      <c r="I6032" s="136"/>
    </row>
    <row r="6033" ht="15.75" customHeight="1">
      <c r="A6033" s="59"/>
      <c r="B6033" s="63">
        <f t="shared" si="1"/>
        <v>17</v>
      </c>
      <c r="C6033" s="156" t="s">
        <v>223</v>
      </c>
      <c r="D6033" s="147" t="s">
        <v>74</v>
      </c>
      <c r="E6033" s="135">
        <f t="shared" si="59"/>
        <v>9</v>
      </c>
      <c r="F6033" s="152" t="s">
        <v>4006</v>
      </c>
      <c r="G6033" s="63" t="str">
        <f>VLOOKUP(C6033, 'Class Def. - General Data'!$C$20:$C$1000,1,false)</f>
        <v>ZRM1_NonFood_Mask</v>
      </c>
      <c r="H6033" s="63" t="str">
        <f>IFERROR(__xludf.DUMMYFUNCTION("VLOOKUP(F6033, IMPORTRANGE(""https://docs.google.com/spreadsheets/d/1Lhp9OU0JdFf_VYSMzH5lBcEaU4o8teT1piV-SNzShjg/edit?gid=554141278#gid=554141278"", ""'Char Def. - Attributes'!C20:C2242""), 1,false)"),"CATEGORY_ITEM")</f>
        <v>CATEGORY_ITEM</v>
      </c>
      <c r="I6033" s="136"/>
    </row>
    <row r="6034" ht="15.75" customHeight="1">
      <c r="B6034" s="63">
        <f t="shared" si="1"/>
        <v>17</v>
      </c>
      <c r="C6034" s="156" t="s">
        <v>223</v>
      </c>
      <c r="D6034" s="147" t="s">
        <v>74</v>
      </c>
      <c r="E6034" s="135">
        <f t="shared" si="59"/>
        <v>10</v>
      </c>
      <c r="F6034" s="152" t="s">
        <v>4024</v>
      </c>
      <c r="G6034" s="63" t="str">
        <f>VLOOKUP(C6034, 'Class Def. - General Data'!$C$20:$C$1000,1,false)</f>
        <v>ZRM1_NonFood_Mask</v>
      </c>
      <c r="H6034" s="63" t="str">
        <f>IFERROR(__xludf.DUMMYFUNCTION("VLOOKUP(F6034, IMPORTRANGE(""https://docs.google.com/spreadsheets/d/1Lhp9OU0JdFf_VYSMzH5lBcEaU4o8teT1piV-SNzShjg/edit?gid=554141278#gid=554141278"", ""'Char Def. - Attributes'!C20:C2242""), 1,false)"),"PURITY_LEVEL")</f>
        <v>PURITY_LEVEL</v>
      </c>
      <c r="I6034" s="136"/>
    </row>
    <row r="6035" ht="15.75" customHeight="1">
      <c r="B6035" s="63">
        <f t="shared" si="1"/>
        <v>17</v>
      </c>
      <c r="C6035" s="156" t="s">
        <v>223</v>
      </c>
      <c r="D6035" s="147" t="s">
        <v>74</v>
      </c>
      <c r="E6035" s="135">
        <f t="shared" si="59"/>
        <v>11</v>
      </c>
      <c r="F6035" s="152" t="s">
        <v>4007</v>
      </c>
      <c r="G6035" s="63" t="str">
        <f>VLOOKUP(C6035, 'Class Def. - General Data'!$C$20:$C$1000,1,false)</f>
        <v>ZRM1_NonFood_Mask</v>
      </c>
      <c r="H6035" s="63" t="str">
        <f>IFERROR(__xludf.DUMMYFUNCTION("VLOOKUP(F6035, IMPORTRANGE(""https://docs.google.com/spreadsheets/d/1Lhp9OU0JdFf_VYSMzH5lBcEaU4o8teT1piV-SNzShjg/edit?gid=554141278#gid=554141278"", ""'Char Def. - Attributes'!C20:C2242""), 1,false)"),"FUNCTION1")</f>
        <v>FUNCTION1</v>
      </c>
      <c r="I6035" s="136"/>
    </row>
    <row r="6036" ht="15.75" customHeight="1">
      <c r="B6036" s="63">
        <f t="shared" si="1"/>
        <v>17</v>
      </c>
      <c r="C6036" s="156" t="s">
        <v>223</v>
      </c>
      <c r="D6036" s="147" t="s">
        <v>74</v>
      </c>
      <c r="E6036" s="135">
        <f t="shared" si="59"/>
        <v>12</v>
      </c>
      <c r="F6036" s="152" t="s">
        <v>4008</v>
      </c>
      <c r="G6036" s="63" t="str">
        <f>VLOOKUP(C6036, 'Class Def. - General Data'!$C$20:$C$1000,1,false)</f>
        <v>ZRM1_NonFood_Mask</v>
      </c>
      <c r="H6036" s="63" t="str">
        <f>IFERROR(__xludf.DUMMYFUNCTION("VLOOKUP(F6036, IMPORTRANGE(""https://docs.google.com/spreadsheets/d/1Lhp9OU0JdFf_VYSMzH5lBcEaU4o8teT1piV-SNzShjg/edit?gid=554141278#gid=554141278"", ""'Char Def. - Attributes'!C20:C2242""), 1,false)"),"PREFERENSI_KURS")</f>
        <v>PREFERENSI_KURS</v>
      </c>
      <c r="I6036" s="136"/>
    </row>
    <row r="6037" ht="15.75" customHeight="1">
      <c r="A6037" s="59"/>
      <c r="B6037" s="63">
        <f t="shared" si="1"/>
        <v>17</v>
      </c>
      <c r="C6037" s="156" t="s">
        <v>223</v>
      </c>
      <c r="D6037" s="147" t="s">
        <v>74</v>
      </c>
      <c r="E6037" s="135">
        <f t="shared" si="59"/>
        <v>13</v>
      </c>
      <c r="F6037" s="151" t="s">
        <v>3868</v>
      </c>
      <c r="G6037" s="63" t="str">
        <f>VLOOKUP(C6037, 'Class Def. - General Data'!$C$20:$C$1000,1,false)</f>
        <v>ZRM1_NonFood_Mask</v>
      </c>
      <c r="H6037" s="63" t="str">
        <f>IFERROR(__xludf.DUMMYFUNCTION("VLOOKUP(F6037, IMPORTRANGE(""https://docs.google.com/spreadsheets/d/1Lhp9OU0JdFf_VYSMzH5lBcEaU4o8teT1piV-SNzShjg/edit?gid=554141278#gid=554141278"", ""'Char Def. - Attributes'!C20:C2242""), 1,false)"),"BASIC_UOM_RMPM")</f>
        <v>BASIC_UOM_RMPM</v>
      </c>
      <c r="I6037" s="136"/>
    </row>
    <row r="6038" ht="15.75" customHeight="1">
      <c r="A6038" s="59"/>
      <c r="B6038" s="63">
        <f t="shared" si="1"/>
        <v>17</v>
      </c>
      <c r="C6038" s="156" t="s">
        <v>223</v>
      </c>
      <c r="D6038" s="147" t="s">
        <v>74</v>
      </c>
      <c r="E6038" s="135">
        <f t="shared" si="59"/>
        <v>14</v>
      </c>
      <c r="F6038" s="152" t="s">
        <v>3869</v>
      </c>
      <c r="G6038" s="63" t="str">
        <f>VLOOKUP(C6038, 'Class Def. - General Data'!$C$20:$C$1000,1,false)</f>
        <v>ZRM1_NonFood_Mask</v>
      </c>
      <c r="H6038" s="63" t="str">
        <f>IFERROR(__xludf.DUMMYFUNCTION("VLOOKUP(F6038, IMPORTRANGE(""https://docs.google.com/spreadsheets/d/1Lhp9OU0JdFf_VYSMzH5lBcEaU4o8teT1piV-SNzShjg/edit?gid=554141278#gid=554141278"", ""'Char Def. - Attributes'!C20:C2242""), 1,false)"),"ALT_UOM1_RMPM")</f>
        <v>ALT_UOM1_RMPM</v>
      </c>
      <c r="I6038" s="136"/>
    </row>
    <row r="6039" ht="15.75" customHeight="1">
      <c r="A6039" s="59"/>
      <c r="B6039" s="63">
        <f t="shared" si="1"/>
        <v>17</v>
      </c>
      <c r="C6039" s="156" t="s">
        <v>223</v>
      </c>
      <c r="D6039" s="147" t="s">
        <v>74</v>
      </c>
      <c r="E6039" s="135">
        <f t="shared" si="59"/>
        <v>15</v>
      </c>
      <c r="F6039" s="152" t="s">
        <v>3805</v>
      </c>
      <c r="G6039" s="63" t="str">
        <f>VLOOKUP(C6039, 'Class Def. - General Data'!$C$20:$C$1000,1,false)</f>
        <v>ZRM1_NonFood_Mask</v>
      </c>
      <c r="H6039" s="63" t="str">
        <f>IFERROR(__xludf.DUMMYFUNCTION("VLOOKUP(F6039, IMPORTRANGE(""https://docs.google.com/spreadsheets/d/1Lhp9OU0JdFf_VYSMzH5lBcEaU4o8teT1piV-SNzShjg/edit?gid=554141278#gid=554141278"", ""'Char Def. - Attributes'!C20:C2242""), 1,false)"),"ALT_DENUM_UOM1")</f>
        <v>ALT_DENUM_UOM1</v>
      </c>
      <c r="I6039" s="136"/>
    </row>
    <row r="6040" ht="15.75" customHeight="1">
      <c r="A6040" s="59"/>
      <c r="B6040" s="63">
        <f t="shared" si="1"/>
        <v>17</v>
      </c>
      <c r="C6040" s="156" t="s">
        <v>223</v>
      </c>
      <c r="D6040" s="147" t="s">
        <v>74</v>
      </c>
      <c r="E6040" s="135">
        <f t="shared" si="59"/>
        <v>16</v>
      </c>
      <c r="F6040" s="152" t="s">
        <v>3806</v>
      </c>
      <c r="G6040" s="63" t="str">
        <f>VLOOKUP(C6040, 'Class Def. - General Data'!$C$20:$C$1000,1,false)</f>
        <v>ZRM1_NonFood_Mask</v>
      </c>
      <c r="H6040" s="63" t="str">
        <f>IFERROR(__xludf.DUMMYFUNCTION("VLOOKUP(F6040, IMPORTRANGE(""https://docs.google.com/spreadsheets/d/1Lhp9OU0JdFf_VYSMzH5lBcEaU4o8teT1piV-SNzShjg/edit?gid=554141278#gid=554141278"", ""'Char Def. - Attributes'!C20:C2242""), 1,false)"),"ALT_NUM_UOM1")</f>
        <v>ALT_NUM_UOM1</v>
      </c>
      <c r="I6040" s="136"/>
    </row>
    <row r="6041" ht="15.75" customHeight="1">
      <c r="A6041" s="59"/>
      <c r="B6041" s="63">
        <f t="shared" si="1"/>
        <v>17</v>
      </c>
      <c r="C6041" s="156" t="s">
        <v>223</v>
      </c>
      <c r="D6041" s="147" t="s">
        <v>74</v>
      </c>
      <c r="E6041" s="135">
        <f t="shared" si="59"/>
        <v>17</v>
      </c>
      <c r="F6041" s="152" t="s">
        <v>3870</v>
      </c>
      <c r="G6041" s="63" t="str">
        <f>VLOOKUP(C6041, 'Class Def. - General Data'!$C$20:$C$1000,1,false)</f>
        <v>ZRM1_NonFood_Mask</v>
      </c>
      <c r="H6041" s="63" t="str">
        <f>IFERROR(__xludf.DUMMYFUNCTION("VLOOKUP(F6041, IMPORTRANGE(""https://docs.google.com/spreadsheets/d/1Lhp9OU0JdFf_VYSMzH5lBcEaU4o8teT1piV-SNzShjg/edit?gid=554141278#gid=554141278"", ""'Char Def. - Attributes'!C20:C2242""), 1,false)"),"ALT_UOM2_RMPM")</f>
        <v>ALT_UOM2_RMPM</v>
      </c>
      <c r="I6041" s="136"/>
    </row>
    <row r="6042" ht="15.75" customHeight="1">
      <c r="A6042" s="59"/>
      <c r="B6042" s="63">
        <f t="shared" si="1"/>
        <v>17</v>
      </c>
      <c r="C6042" s="156" t="s">
        <v>223</v>
      </c>
      <c r="D6042" s="147" t="s">
        <v>74</v>
      </c>
      <c r="E6042" s="135">
        <f t="shared" si="59"/>
        <v>18</v>
      </c>
      <c r="F6042" s="152" t="s">
        <v>3808</v>
      </c>
      <c r="G6042" s="63" t="str">
        <f>VLOOKUP(C6042, 'Class Def. - General Data'!$C$20:$C$1000,1,false)</f>
        <v>ZRM1_NonFood_Mask</v>
      </c>
      <c r="H6042" s="63" t="str">
        <f>IFERROR(__xludf.DUMMYFUNCTION("VLOOKUP(F6042, IMPORTRANGE(""https://docs.google.com/spreadsheets/d/1Lhp9OU0JdFf_VYSMzH5lBcEaU4o8teT1piV-SNzShjg/edit?gid=554141278#gid=554141278"", ""'Char Def. - Attributes'!C20:C2242""), 1,false)"),"ALT_DENUM_UOM2")</f>
        <v>ALT_DENUM_UOM2</v>
      </c>
      <c r="I6042" s="136"/>
    </row>
    <row r="6043" ht="15.75" customHeight="1">
      <c r="A6043" s="59"/>
      <c r="B6043" s="63">
        <f t="shared" si="1"/>
        <v>17</v>
      </c>
      <c r="C6043" s="156" t="s">
        <v>223</v>
      </c>
      <c r="D6043" s="147" t="s">
        <v>74</v>
      </c>
      <c r="E6043" s="135">
        <f t="shared" si="59"/>
        <v>19</v>
      </c>
      <c r="F6043" s="152" t="s">
        <v>3809</v>
      </c>
      <c r="G6043" s="63" t="str">
        <f>VLOOKUP(C6043, 'Class Def. - General Data'!$C$20:$C$1000,1,false)</f>
        <v>ZRM1_NonFood_Mask</v>
      </c>
      <c r="H6043" s="63" t="str">
        <f>IFERROR(__xludf.DUMMYFUNCTION("VLOOKUP(F6043, IMPORTRANGE(""https://docs.google.com/spreadsheets/d/1Lhp9OU0JdFf_VYSMzH5lBcEaU4o8teT1piV-SNzShjg/edit?gid=554141278#gid=554141278"", ""'Char Def. - Attributes'!C20:C2242""), 1,false)"),"ALT_NUM_UOM2")</f>
        <v>ALT_NUM_UOM2</v>
      </c>
      <c r="I6043" s="136"/>
    </row>
    <row r="6044" ht="15.75" customHeight="1">
      <c r="A6044" s="59"/>
      <c r="B6044" s="63">
        <f t="shared" si="1"/>
        <v>17</v>
      </c>
      <c r="C6044" s="156" t="s">
        <v>223</v>
      </c>
      <c r="D6044" s="147" t="s">
        <v>74</v>
      </c>
      <c r="E6044" s="135">
        <f t="shared" si="59"/>
        <v>20</v>
      </c>
      <c r="F6044" s="152" t="s">
        <v>3871</v>
      </c>
      <c r="G6044" s="63" t="str">
        <f>VLOOKUP(C6044, 'Class Def. - General Data'!$C$20:$C$1000,1,false)</f>
        <v>ZRM1_NonFood_Mask</v>
      </c>
      <c r="H6044" s="63" t="str">
        <f>IFERROR(__xludf.DUMMYFUNCTION("VLOOKUP(F6044, IMPORTRANGE(""https://docs.google.com/spreadsheets/d/1Lhp9OU0JdFf_VYSMzH5lBcEaU4o8teT1piV-SNzShjg/edit?gid=554141278#gid=554141278"", ""'Char Def. - Attributes'!C20:C2242""), 1,false)"),"ALT_UOM3_RMPM")</f>
        <v>ALT_UOM3_RMPM</v>
      </c>
      <c r="I6044" s="136"/>
    </row>
    <row r="6045" ht="15.75" customHeight="1">
      <c r="A6045" s="59"/>
      <c r="B6045" s="63">
        <f t="shared" si="1"/>
        <v>17</v>
      </c>
      <c r="C6045" s="156" t="s">
        <v>223</v>
      </c>
      <c r="D6045" s="147" t="s">
        <v>74</v>
      </c>
      <c r="E6045" s="135">
        <f t="shared" si="59"/>
        <v>21</v>
      </c>
      <c r="F6045" s="152" t="s">
        <v>3811</v>
      </c>
      <c r="G6045" s="63" t="str">
        <f>VLOOKUP(C6045, 'Class Def. - General Data'!$C$20:$C$1000,1,false)</f>
        <v>ZRM1_NonFood_Mask</v>
      </c>
      <c r="H6045" s="63" t="str">
        <f>IFERROR(__xludf.DUMMYFUNCTION("VLOOKUP(F6045, IMPORTRANGE(""https://docs.google.com/spreadsheets/d/1Lhp9OU0JdFf_VYSMzH5lBcEaU4o8teT1piV-SNzShjg/edit?gid=554141278#gid=554141278"", ""'Char Def. - Attributes'!C20:C2242""), 1,false)"),"ALT_DENUM_UOM3")</f>
        <v>ALT_DENUM_UOM3</v>
      </c>
      <c r="I6045" s="136"/>
    </row>
    <row r="6046" ht="15.75" customHeight="1">
      <c r="A6046" s="59"/>
      <c r="B6046" s="63">
        <f t="shared" si="1"/>
        <v>17</v>
      </c>
      <c r="C6046" s="156" t="s">
        <v>223</v>
      </c>
      <c r="D6046" s="147" t="s">
        <v>74</v>
      </c>
      <c r="E6046" s="135">
        <f t="shared" si="59"/>
        <v>22</v>
      </c>
      <c r="F6046" s="152" t="s">
        <v>3812</v>
      </c>
      <c r="G6046" s="63" t="str">
        <f>VLOOKUP(C6046, 'Class Def. - General Data'!$C$20:$C$1000,1,false)</f>
        <v>ZRM1_NonFood_Mask</v>
      </c>
      <c r="H6046" s="63" t="str">
        <f>IFERROR(__xludf.DUMMYFUNCTION("VLOOKUP(F6046, IMPORTRANGE(""https://docs.google.com/spreadsheets/d/1Lhp9OU0JdFf_VYSMzH5lBcEaU4o8teT1piV-SNzShjg/edit?gid=554141278#gid=554141278"", ""'Char Def. - Attributes'!C20:C2242""), 1,false)"),"ALT_NUM_UOM3")</f>
        <v>ALT_NUM_UOM3</v>
      </c>
      <c r="I6046" s="136"/>
    </row>
    <row r="6047" ht="15.75" customHeight="1">
      <c r="A6047" s="59"/>
      <c r="B6047" s="63">
        <f t="shared" si="1"/>
        <v>17</v>
      </c>
      <c r="C6047" s="156" t="s">
        <v>223</v>
      </c>
      <c r="D6047" s="147" t="s">
        <v>74</v>
      </c>
      <c r="E6047" s="135">
        <f t="shared" si="59"/>
        <v>23</v>
      </c>
      <c r="F6047" s="152" t="s">
        <v>3872</v>
      </c>
      <c r="G6047" s="63" t="str">
        <f>VLOOKUP(C6047, 'Class Def. - General Data'!$C$20:$C$1000,1,false)</f>
        <v>ZRM1_NonFood_Mask</v>
      </c>
      <c r="H6047" s="63" t="str">
        <f>IFERROR(__xludf.DUMMYFUNCTION("VLOOKUP(F6047, IMPORTRANGE(""https://docs.google.com/spreadsheets/d/1Lhp9OU0JdFf_VYSMzH5lBcEaU4o8teT1piV-SNzShjg/edit?gid=554141278#gid=554141278"", ""'Char Def. - Attributes'!C20:C2242""), 1,false)"),"ALT_UOM4_RMPM")</f>
        <v>ALT_UOM4_RMPM</v>
      </c>
      <c r="I6047" s="136"/>
    </row>
    <row r="6048" ht="15.75" customHeight="1">
      <c r="A6048" s="59"/>
      <c r="B6048" s="63">
        <f t="shared" si="1"/>
        <v>17</v>
      </c>
      <c r="C6048" s="156" t="s">
        <v>223</v>
      </c>
      <c r="D6048" s="147" t="s">
        <v>74</v>
      </c>
      <c r="E6048" s="135">
        <f t="shared" si="59"/>
        <v>24</v>
      </c>
      <c r="F6048" s="148" t="s">
        <v>3814</v>
      </c>
      <c r="G6048" s="63" t="str">
        <f>VLOOKUP(C6048, 'Class Def. - General Data'!$C$20:$C$1000,1,false)</f>
        <v>ZRM1_NonFood_Mask</v>
      </c>
      <c r="H6048" s="63" t="str">
        <f>IFERROR(__xludf.DUMMYFUNCTION("VLOOKUP(F6048, IMPORTRANGE(""https://docs.google.com/spreadsheets/d/1Lhp9OU0JdFf_VYSMzH5lBcEaU4o8teT1piV-SNzShjg/edit?gid=554141278#gid=554141278"", ""'Char Def. - Attributes'!C20:C2242""), 1,false)"),"ALT_DENUM_UOM4")</f>
        <v>ALT_DENUM_UOM4</v>
      </c>
      <c r="I6048" s="136"/>
    </row>
    <row r="6049" ht="15.75" customHeight="1">
      <c r="A6049" s="59"/>
      <c r="B6049" s="63">
        <f t="shared" si="1"/>
        <v>17</v>
      </c>
      <c r="C6049" s="156" t="s">
        <v>223</v>
      </c>
      <c r="D6049" s="147" t="s">
        <v>74</v>
      </c>
      <c r="E6049" s="135">
        <f t="shared" si="59"/>
        <v>25</v>
      </c>
      <c r="F6049" s="152" t="s">
        <v>3815</v>
      </c>
      <c r="G6049" s="63" t="str">
        <f>VLOOKUP(C6049, 'Class Def. - General Data'!$C$20:$C$1000,1,false)</f>
        <v>ZRM1_NonFood_Mask</v>
      </c>
      <c r="H6049" s="63" t="str">
        <f>IFERROR(__xludf.DUMMYFUNCTION("VLOOKUP(F6049, IMPORTRANGE(""https://docs.google.com/spreadsheets/d/1Lhp9OU0JdFf_VYSMzH5lBcEaU4o8teT1piV-SNzShjg/edit?gid=554141278#gid=554141278"", ""'Char Def. - Attributes'!C20:C2242""), 1,false)"),"ALT_NUM_UOM4")</f>
        <v>ALT_NUM_UOM4</v>
      </c>
      <c r="I6049" s="136"/>
    </row>
    <row r="6050" ht="15.75" customHeight="1">
      <c r="A6050" s="59"/>
      <c r="B6050" s="63">
        <f t="shared" si="1"/>
        <v>17</v>
      </c>
      <c r="C6050" s="156" t="s">
        <v>223</v>
      </c>
      <c r="D6050" s="147" t="s">
        <v>74</v>
      </c>
      <c r="E6050" s="135">
        <f t="shared" si="59"/>
        <v>26</v>
      </c>
      <c r="F6050" s="152" t="s">
        <v>3873</v>
      </c>
      <c r="G6050" s="63" t="str">
        <f>VLOOKUP(C6050, 'Class Def. - General Data'!$C$20:$C$1000,1,false)</f>
        <v>ZRM1_NonFood_Mask</v>
      </c>
      <c r="H6050" s="63" t="str">
        <f>IFERROR(__xludf.DUMMYFUNCTION("VLOOKUP(F6050, IMPORTRANGE(""https://docs.google.com/spreadsheets/d/1Lhp9OU0JdFf_VYSMzH5lBcEaU4o8teT1piV-SNzShjg/edit?gid=554141278#gid=554141278"", ""'Char Def. - Attributes'!C20:C2242""), 1,false)"),"ALT_UOM5_RMPM")</f>
        <v>ALT_UOM5_RMPM</v>
      </c>
      <c r="I6050" s="136"/>
    </row>
    <row r="6051" ht="15.75" customHeight="1">
      <c r="A6051" s="59"/>
      <c r="B6051" s="63">
        <f t="shared" si="1"/>
        <v>17</v>
      </c>
      <c r="C6051" s="156" t="s">
        <v>223</v>
      </c>
      <c r="D6051" s="147" t="s">
        <v>74</v>
      </c>
      <c r="E6051" s="135">
        <f t="shared" si="59"/>
        <v>27</v>
      </c>
      <c r="F6051" s="152" t="s">
        <v>3817</v>
      </c>
      <c r="G6051" s="63" t="str">
        <f>VLOOKUP(C6051, 'Class Def. - General Data'!$C$20:$C$1000,1,false)</f>
        <v>ZRM1_NonFood_Mask</v>
      </c>
      <c r="H6051" s="63" t="str">
        <f>IFERROR(__xludf.DUMMYFUNCTION("VLOOKUP(F6051, IMPORTRANGE(""https://docs.google.com/spreadsheets/d/1Lhp9OU0JdFf_VYSMzH5lBcEaU4o8teT1piV-SNzShjg/edit?gid=554141278#gid=554141278"", ""'Char Def. - Attributes'!C20:C2242""), 1,false)"),"ALT_DENUM_UOM5")</f>
        <v>ALT_DENUM_UOM5</v>
      </c>
      <c r="I6051" s="136"/>
    </row>
    <row r="6052" ht="15.75" customHeight="1">
      <c r="A6052" s="59"/>
      <c r="B6052" s="63">
        <f t="shared" si="1"/>
        <v>17</v>
      </c>
      <c r="C6052" s="156" t="s">
        <v>223</v>
      </c>
      <c r="D6052" s="147" t="s">
        <v>74</v>
      </c>
      <c r="E6052" s="135">
        <f t="shared" si="59"/>
        <v>28</v>
      </c>
      <c r="F6052" s="152" t="s">
        <v>3818</v>
      </c>
      <c r="G6052" s="63" t="str">
        <f>VLOOKUP(C6052, 'Class Def. - General Data'!$C$20:$C$1000,1,false)</f>
        <v>ZRM1_NonFood_Mask</v>
      </c>
      <c r="H6052" s="63" t="str">
        <f>IFERROR(__xludf.DUMMYFUNCTION("VLOOKUP(F6052, IMPORTRANGE(""https://docs.google.com/spreadsheets/d/1Lhp9OU0JdFf_VYSMzH5lBcEaU4o8teT1piV-SNzShjg/edit?gid=554141278#gid=554141278"", ""'Char Def. - Attributes'!C20:C2242""), 1,false)"),"ALT_NUM_UOM5")</f>
        <v>ALT_NUM_UOM5</v>
      </c>
      <c r="I6052" s="136"/>
    </row>
    <row r="6053" ht="15.75" customHeight="1">
      <c r="B6053" s="63">
        <f t="shared" si="1"/>
        <v>17</v>
      </c>
      <c r="C6053" s="156" t="s">
        <v>223</v>
      </c>
      <c r="D6053" s="147" t="s">
        <v>74</v>
      </c>
      <c r="E6053" s="135">
        <f t="shared" si="59"/>
        <v>29</v>
      </c>
      <c r="F6053" s="152" t="s">
        <v>3874</v>
      </c>
      <c r="G6053" s="63" t="str">
        <f>VLOOKUP(C6053, 'Class Def. - General Data'!$C$20:$C$1000,1,false)</f>
        <v>ZRM1_NonFood_Mask</v>
      </c>
      <c r="H6053" s="63" t="str">
        <f>IFERROR(__xludf.DUMMYFUNCTION("VLOOKUP(F6053, IMPORTRANGE(""https://docs.google.com/spreadsheets/d/1Lhp9OU0JdFf_VYSMzH5lBcEaU4o8teT1piV-SNzShjg/edit?gid=554141278#gid=554141278"", ""'Char Def. - Attributes'!C20:C2242""), 1,false)"),"VALUATION_CATEGORY")</f>
        <v>VALUATION_CATEGORY</v>
      </c>
      <c r="I6053" s="136"/>
    </row>
    <row r="6054" ht="15.75" customHeight="1">
      <c r="B6054" s="63">
        <f t="shared" si="1"/>
        <v>17</v>
      </c>
      <c r="C6054" s="156" t="s">
        <v>223</v>
      </c>
      <c r="D6054" s="147" t="s">
        <v>74</v>
      </c>
      <c r="E6054" s="135">
        <f t="shared" si="59"/>
        <v>30</v>
      </c>
      <c r="F6054" s="152" t="s">
        <v>3800</v>
      </c>
      <c r="G6054" s="63" t="str">
        <f>VLOOKUP(C6054, 'Class Def. - General Data'!$C$20:$C$1000,1,false)</f>
        <v>ZRM1_NonFood_Mask</v>
      </c>
      <c r="H6054" s="63" t="str">
        <f>IFERROR(__xludf.DUMMYFUNCTION("VLOOKUP(F6054, IMPORTRANGE(""https://docs.google.com/spreadsheets/d/1Lhp9OU0JdFf_VYSMzH5lBcEaU4o8teT1piV-SNzShjg/edit?gid=554141278#gid=554141278"", ""'Char Def. - Attributes'!C20:C2242""), 1,false)"),"ORDER_UNIT_DIFF_FROM_BASIC_UOM")</f>
        <v>ORDER_UNIT_DIFF_FROM_BASIC_UOM</v>
      </c>
      <c r="I6054" s="136"/>
    </row>
    <row r="6055" ht="15.75" customHeight="1">
      <c r="B6055" s="63">
        <f t="shared" si="1"/>
        <v>17</v>
      </c>
      <c r="C6055" s="156" t="s">
        <v>223</v>
      </c>
      <c r="D6055" s="147" t="s">
        <v>74</v>
      </c>
      <c r="E6055" s="135">
        <f t="shared" si="59"/>
        <v>31</v>
      </c>
      <c r="F6055" s="152" t="s">
        <v>3875</v>
      </c>
      <c r="G6055" s="63" t="str">
        <f>VLOOKUP(C6055, 'Class Def. - General Data'!$C$20:$C$1000,1,false)</f>
        <v>ZRM1_NonFood_Mask</v>
      </c>
      <c r="H6055" s="63" t="str">
        <f>IFERROR(__xludf.DUMMYFUNCTION("VLOOKUP(F6055, IMPORTRANGE(""https://docs.google.com/spreadsheets/d/1Lhp9OU0JdFf_VYSMzH5lBcEaU4o8teT1piV-SNzShjg/edit?gid=554141278#gid=554141278"", ""'Char Def. - Attributes'!C20:C2242""), 1,false)"),"ORDER_UNIT_RMPM")</f>
        <v>ORDER_UNIT_RMPM</v>
      </c>
      <c r="I6055" s="136"/>
    </row>
    <row r="6056" ht="15.75" customHeight="1">
      <c r="B6056" s="63">
        <f t="shared" si="1"/>
        <v>17</v>
      </c>
      <c r="C6056" s="156" t="s">
        <v>223</v>
      </c>
      <c r="D6056" s="147" t="s">
        <v>74</v>
      </c>
      <c r="E6056" s="135">
        <f t="shared" si="59"/>
        <v>32</v>
      </c>
      <c r="F6056" s="151" t="s">
        <v>3602</v>
      </c>
      <c r="G6056" s="63" t="str">
        <f>VLOOKUP(C6056, 'Class Def. - General Data'!$C$20:$C$1000,1,false)</f>
        <v>ZRM1_NonFood_Mask</v>
      </c>
      <c r="H6056" s="63" t="str">
        <f>IFERROR(__xludf.DUMMYFUNCTION("VLOOKUP(F6056, IMPORTRANGE(""https://docs.google.com/spreadsheets/d/1Lhp9OU0JdFf_VYSMzH5lBcEaU4o8teT1piV-SNzShjg/edit?gid=554141278#gid=554141278"", ""'Char Def. - Attributes'!C20:C2242""), 1,false)"),"NET_WEIGHT")</f>
        <v>NET_WEIGHT</v>
      </c>
      <c r="I6056" s="136"/>
    </row>
    <row r="6057" ht="15.75" customHeight="1">
      <c r="A6057" s="158"/>
      <c r="B6057" s="63">
        <f t="shared" si="1"/>
        <v>17</v>
      </c>
      <c r="C6057" s="156" t="s">
        <v>223</v>
      </c>
      <c r="D6057" s="147" t="s">
        <v>74</v>
      </c>
      <c r="E6057" s="135">
        <f t="shared" si="59"/>
        <v>33</v>
      </c>
      <c r="F6057" s="151" t="s">
        <v>3601</v>
      </c>
      <c r="G6057" s="63" t="str">
        <f>VLOOKUP(C6057, 'Class Def. - General Data'!$C$20:$C$1000,1,false)</f>
        <v>ZRM1_NonFood_Mask</v>
      </c>
      <c r="H6057" s="63" t="str">
        <f>IFERROR(__xludf.DUMMYFUNCTION("VLOOKUP(F6057, IMPORTRANGE(""https://docs.google.com/spreadsheets/d/1Lhp9OU0JdFf_VYSMzH5lBcEaU4o8teT1piV-SNzShjg/edit?gid=554141278#gid=554141278"", ""'Char Def. - Attributes'!C20:C2242""), 1,false)"),"GROSS_WEIGHT")</f>
        <v>GROSS_WEIGHT</v>
      </c>
      <c r="I6057" s="136"/>
    </row>
    <row r="6058" ht="15.75" customHeight="1">
      <c r="A6058" s="158"/>
      <c r="B6058" s="63">
        <f t="shared" si="1"/>
        <v>17</v>
      </c>
      <c r="C6058" s="156" t="s">
        <v>223</v>
      </c>
      <c r="D6058" s="147" t="s">
        <v>74</v>
      </c>
      <c r="E6058" s="135">
        <f t="shared" si="59"/>
        <v>34</v>
      </c>
      <c r="F6058" s="152" t="s">
        <v>3996</v>
      </c>
      <c r="G6058" s="63" t="str">
        <f>VLOOKUP(C6058, 'Class Def. - General Data'!$C$20:$C$1000,1,false)</f>
        <v>ZRM1_NonFood_Mask</v>
      </c>
      <c r="H6058" s="63" t="str">
        <f>IFERROR(__xludf.DUMMYFUNCTION("VLOOKUP(F6058, IMPORTRANGE(""https://docs.google.com/spreadsheets/d/1Lhp9OU0JdFf_VYSMzH5lBcEaU4o8teT1piV-SNzShjg/edit?gid=554141278#gid=554141278"", ""'Char Def. - Attributes'!C20:C2242""), 1,false)"),"WEIGHT_UNIT")</f>
        <v>WEIGHT_UNIT</v>
      </c>
      <c r="I6058" s="136"/>
    </row>
    <row r="6059" ht="15.75" customHeight="1">
      <c r="A6059" s="59"/>
      <c r="B6059" s="63">
        <f t="shared" si="1"/>
        <v>17</v>
      </c>
      <c r="C6059" s="156" t="s">
        <v>223</v>
      </c>
      <c r="D6059" s="147" t="s">
        <v>74</v>
      </c>
      <c r="E6059" s="135">
        <f t="shared" si="59"/>
        <v>35</v>
      </c>
      <c r="F6059" s="151" t="s">
        <v>3877</v>
      </c>
      <c r="G6059" s="63" t="str">
        <f>VLOOKUP(C6059, 'Class Def. - General Data'!$C$20:$C$1000,1,false)</f>
        <v>ZRM1_NonFood_Mask</v>
      </c>
      <c r="H6059" s="63" t="str">
        <f>IFERROR(__xludf.DUMMYFUNCTION("VLOOKUP(F6059, IMPORTRANGE(""https://docs.google.com/spreadsheets/d/1Lhp9OU0JdFf_VYSMzH5lBcEaU4o8teT1piV-SNzShjg/edit?gid=554141278#gid=554141278"", ""'Char Def. - Attributes'!C20:C2242""), 1,false)"),"VOLUME_OPT")</f>
        <v>VOLUME_OPT</v>
      </c>
      <c r="I6059" s="136"/>
    </row>
    <row r="6060" ht="15.75" customHeight="1">
      <c r="B6060" s="63">
        <f t="shared" si="1"/>
        <v>17</v>
      </c>
      <c r="C6060" s="156" t="s">
        <v>223</v>
      </c>
      <c r="D6060" s="147" t="s">
        <v>74</v>
      </c>
      <c r="E6060" s="135">
        <f t="shared" si="59"/>
        <v>36</v>
      </c>
      <c r="F6060" s="152" t="s">
        <v>3878</v>
      </c>
      <c r="G6060" s="63" t="str">
        <f>VLOOKUP(C6060, 'Class Def. - General Data'!$C$20:$C$1000,1,false)</f>
        <v>ZRM1_NonFood_Mask</v>
      </c>
      <c r="H6060" s="63" t="str">
        <f>IFERROR(__xludf.DUMMYFUNCTION("VLOOKUP(F6060, IMPORTRANGE(""https://docs.google.com/spreadsheets/d/1Lhp9OU0JdFf_VYSMzH5lBcEaU4o8teT1piV-SNzShjg/edit?gid=554141278#gid=554141278"", ""'Char Def. - Attributes'!C20:C2242""), 1,false)"),"VOLUME_UNIT")</f>
        <v>VOLUME_UNIT</v>
      </c>
      <c r="I6060" s="136"/>
    </row>
    <row r="6061" ht="15.75" customHeight="1">
      <c r="B6061" s="63">
        <f t="shared" si="1"/>
        <v>17</v>
      </c>
      <c r="C6061" s="156" t="s">
        <v>223</v>
      </c>
      <c r="D6061" s="147" t="s">
        <v>74</v>
      </c>
      <c r="E6061" s="135">
        <f t="shared" si="59"/>
        <v>37</v>
      </c>
      <c r="F6061" s="151" t="s">
        <v>3587</v>
      </c>
      <c r="G6061" s="63" t="str">
        <f>VLOOKUP(C6061, 'Class Def. - General Data'!$C$20:$C$1000,1,false)</f>
        <v>ZRM1_NonFood_Mask</v>
      </c>
      <c r="H6061" s="63" t="str">
        <f>IFERROR(__xludf.DUMMYFUNCTION("VLOOKUP(F6061, IMPORTRANGE(""https://docs.google.com/spreadsheets/d/1Lhp9OU0JdFf_VYSMzH5lBcEaU4o8teT1piV-SNzShjg/edit?gid=554141278#gid=554141278"", ""'Char Def. - Attributes'!C20:C2242""), 1,false)"),"PLANT_BUY")</f>
        <v>PLANT_BUY</v>
      </c>
      <c r="I6061" s="136"/>
    </row>
    <row r="6062" ht="15.75" customHeight="1">
      <c r="B6062" s="63">
        <f t="shared" si="1"/>
        <v>17</v>
      </c>
      <c r="C6062" s="156" t="s">
        <v>223</v>
      </c>
      <c r="D6062" s="147" t="s">
        <v>74</v>
      </c>
      <c r="E6062" s="135">
        <f t="shared" si="59"/>
        <v>38</v>
      </c>
      <c r="F6062" s="152" t="s">
        <v>3997</v>
      </c>
      <c r="G6062" s="63" t="str">
        <f>VLOOKUP(C6062, 'Class Def. - General Data'!$C$20:$C$1000,1,false)</f>
        <v>ZRM1_NonFood_Mask</v>
      </c>
      <c r="H6062" s="63" t="str">
        <f>IFERROR(__xludf.DUMMYFUNCTION("VLOOKUP(F6062, IMPORTRANGE(""https://docs.google.com/spreadsheets/d/1Lhp9OU0JdFf_VYSMzH5lBcEaU4o8teT1piV-SNzShjg/edit?gid=554141278#gid=554141278"", ""'Char Def. - Attributes'!C20:C2242""), 1,false)"),"OLD_MAT_NO_RMPM_OPT")</f>
        <v>OLD_MAT_NO_RMPM_OPT</v>
      </c>
      <c r="I6062" s="136"/>
    </row>
    <row r="6063" ht="15.75" customHeight="1">
      <c r="A6063" s="59"/>
      <c r="B6063" s="63">
        <f t="shared" si="1"/>
        <v>17</v>
      </c>
      <c r="C6063" s="156" t="s">
        <v>223</v>
      </c>
      <c r="D6063" s="147" t="s">
        <v>74</v>
      </c>
      <c r="E6063" s="135">
        <f t="shared" si="59"/>
        <v>39</v>
      </c>
      <c r="F6063" s="148" t="s">
        <v>3998</v>
      </c>
      <c r="G6063" s="63" t="str">
        <f>VLOOKUP(C6063, 'Class Def. - General Data'!$C$20:$C$1000,1,false)</f>
        <v>ZRM1_NonFood_Mask</v>
      </c>
      <c r="H6063" s="63" t="str">
        <f>IFERROR(__xludf.DUMMYFUNCTION("VLOOKUP(F6063, IMPORTRANGE(""https://docs.google.com/spreadsheets/d/1Lhp9OU0JdFf_VYSMzH5lBcEaU4o8teT1piV-SNzShjg/edit?gid=554141278#gid=554141278"", ""'Char Def. - Attributes'!C20:C2242""), 1,false)"),"MIN_STD_WEIGHT")</f>
        <v>MIN_STD_WEIGHT</v>
      </c>
      <c r="I6063" s="136"/>
    </row>
    <row r="6064" ht="15.75" customHeight="1">
      <c r="A6064" s="59"/>
      <c r="B6064" s="63">
        <f t="shared" si="1"/>
        <v>17</v>
      </c>
      <c r="C6064" s="156" t="s">
        <v>223</v>
      </c>
      <c r="D6064" s="147" t="s">
        <v>74</v>
      </c>
      <c r="E6064" s="135">
        <f t="shared" si="59"/>
        <v>40</v>
      </c>
      <c r="F6064" s="148" t="s">
        <v>3999</v>
      </c>
      <c r="G6064" s="63" t="str">
        <f>VLOOKUP(C6064, 'Class Def. - General Data'!$C$20:$C$1000,1,false)</f>
        <v>ZRM1_NonFood_Mask</v>
      </c>
      <c r="H6064" s="63" t="str">
        <f>IFERROR(__xludf.DUMMYFUNCTION("VLOOKUP(F6064, IMPORTRANGE(""https://docs.google.com/spreadsheets/d/1Lhp9OU0JdFf_VYSMzH5lBcEaU4o8teT1piV-SNzShjg/edit?gid=554141278#gid=554141278"", ""'Char Def. - Attributes'!C20:C2242""), 1,false)"),"MIN_STD_WEIGHT_UOM")</f>
        <v>MIN_STD_WEIGHT_UOM</v>
      </c>
      <c r="I6064" s="136"/>
    </row>
    <row r="6065" ht="15.75" customHeight="1">
      <c r="A6065" s="59"/>
      <c r="B6065" s="63">
        <f t="shared" si="1"/>
        <v>13</v>
      </c>
      <c r="C6065" s="154" t="s">
        <v>287</v>
      </c>
      <c r="D6065" s="147" t="s">
        <v>74</v>
      </c>
      <c r="E6065" s="135">
        <f t="shared" si="59"/>
        <v>1</v>
      </c>
      <c r="F6065" s="134" t="s">
        <v>4025</v>
      </c>
      <c r="G6065" s="63" t="str">
        <f>VLOOKUP(C6065, 'Class Def. - General Data'!$C$20:$C$1000,1,false)</f>
        <v>ZRM1_NW_Wipes</v>
      </c>
      <c r="H6065" s="63" t="str">
        <f>IFERROR(__xludf.DUMMYFUNCTION("VLOOKUP(F6065, IMPORTRANGE(""https://docs.google.com/spreadsheets/d/1Lhp9OU0JdFf_VYSMzH5lBcEaU4o8teT1piV-SNzShjg/edit?gid=554141278#gid=554141278"", ""'Char Def. - Attributes'!C20:C2242""), 1,false)"),"MATERIAL_CODE_NW")</f>
        <v>MATERIAL_CODE_NW</v>
      </c>
      <c r="I6065" s="136"/>
    </row>
    <row r="6066" ht="15.75" customHeight="1">
      <c r="A6066" s="59"/>
      <c r="B6066" s="63">
        <f t="shared" si="1"/>
        <v>13</v>
      </c>
      <c r="C6066" s="154" t="s">
        <v>287</v>
      </c>
      <c r="D6066" s="147" t="s">
        <v>74</v>
      </c>
      <c r="E6066" s="135">
        <f t="shared" si="59"/>
        <v>2</v>
      </c>
      <c r="F6066" s="134" t="s">
        <v>4026</v>
      </c>
      <c r="G6066" s="63" t="str">
        <f>VLOOKUP(C6066, 'Class Def. - General Data'!$C$20:$C$1000,1,false)</f>
        <v>ZRM1_NW_Wipes</v>
      </c>
      <c r="H6066" s="63" t="str">
        <f>IFERROR(__xludf.DUMMYFUNCTION("VLOOKUP(F6066, IMPORTRANGE(""https://docs.google.com/spreadsheets/d/1Lhp9OU0JdFf_VYSMzH5lBcEaU4o8teT1piV-SNzShjg/edit?gid=554141278#gid=554141278"", ""'Char Def. - Attributes'!C20:C2242""), 1,false)"),"NW_TYPE")</f>
        <v>NW_TYPE</v>
      </c>
      <c r="I6066" s="136"/>
    </row>
    <row r="6067" ht="15.75" customHeight="1">
      <c r="A6067" s="59"/>
      <c r="B6067" s="63">
        <f t="shared" si="1"/>
        <v>13</v>
      </c>
      <c r="C6067" s="154" t="s">
        <v>287</v>
      </c>
      <c r="D6067" s="147" t="s">
        <v>74</v>
      </c>
      <c r="E6067" s="135">
        <f t="shared" si="59"/>
        <v>3</v>
      </c>
      <c r="F6067" s="134" t="s">
        <v>4027</v>
      </c>
      <c r="G6067" s="63" t="str">
        <f>VLOOKUP(C6067, 'Class Def. - General Data'!$C$20:$C$1000,1,false)</f>
        <v>ZRM1_NW_Wipes</v>
      </c>
      <c r="H6067" s="63" t="str">
        <f>IFERROR(__xludf.DUMMYFUNCTION("VLOOKUP(F6067, IMPORTRANGE(""https://docs.google.com/spreadsheets/d/1Lhp9OU0JdFf_VYSMzH5lBcEaU4o8teT1piV-SNzShjg/edit?gid=554141278#gid=554141278"", ""'Char Def. - Attributes'!C20:C2242""), 1,false)"),"SOFTNESS")</f>
        <v>SOFTNESS</v>
      </c>
      <c r="I6067" s="136"/>
    </row>
    <row r="6068" ht="15.75" customHeight="1">
      <c r="A6068" s="59"/>
      <c r="B6068" s="63">
        <f t="shared" si="1"/>
        <v>13</v>
      </c>
      <c r="C6068" s="154" t="s">
        <v>287</v>
      </c>
      <c r="D6068" s="147" t="s">
        <v>74</v>
      </c>
      <c r="E6068" s="135">
        <f t="shared" si="59"/>
        <v>4</v>
      </c>
      <c r="F6068" s="134" t="s">
        <v>4028</v>
      </c>
      <c r="G6068" s="63" t="str">
        <f>VLOOKUP(C6068, 'Class Def. - General Data'!$C$20:$C$1000,1,false)</f>
        <v>ZRM1_NW_Wipes</v>
      </c>
      <c r="H6068" s="63" t="str">
        <f>IFERROR(__xludf.DUMMYFUNCTION("VLOOKUP(F6068, IMPORTRANGE(""https://docs.google.com/spreadsheets/d/1Lhp9OU0JdFf_VYSMzH5lBcEaU4o8teT1piV-SNzShjg/edit?gid=554141278#gid=554141278"", ""'Char Def. - Attributes'!C20:C2242""), 1,false)"),"WIDTH_MM_4")</f>
        <v>WIDTH_MM_4</v>
      </c>
      <c r="I6068" s="136"/>
    </row>
    <row r="6069" ht="15.75" customHeight="1">
      <c r="A6069" s="59"/>
      <c r="B6069" s="63">
        <f t="shared" si="1"/>
        <v>13</v>
      </c>
      <c r="C6069" s="154" t="s">
        <v>287</v>
      </c>
      <c r="D6069" s="147" t="s">
        <v>74</v>
      </c>
      <c r="E6069" s="135">
        <f t="shared" si="59"/>
        <v>5</v>
      </c>
      <c r="F6069" s="134" t="s">
        <v>3941</v>
      </c>
      <c r="G6069" s="63" t="str">
        <f>VLOOKUP(C6069, 'Class Def. - General Data'!$C$20:$C$1000,1,false)</f>
        <v>ZRM1_NW_Wipes</v>
      </c>
      <c r="H6069" s="63" t="str">
        <f>IFERROR(__xludf.DUMMYFUNCTION("VLOOKUP(F6069, IMPORTRANGE(""https://docs.google.com/spreadsheets/d/1Lhp9OU0JdFf_VYSMzH5lBcEaU4o8teT1piV-SNzShjg/edit?gid=554141278#gid=554141278"", ""'Char Def. - Attributes'!C20:C2242""), 1,false)"),"LENGTH_M")</f>
        <v>LENGTH_M</v>
      </c>
      <c r="I6069" s="136"/>
    </row>
    <row r="6070" ht="15.75" customHeight="1">
      <c r="A6070" s="59"/>
      <c r="B6070" s="63">
        <f t="shared" si="1"/>
        <v>13</v>
      </c>
      <c r="C6070" s="154" t="s">
        <v>287</v>
      </c>
      <c r="D6070" s="147" t="s">
        <v>74</v>
      </c>
      <c r="E6070" s="135">
        <f t="shared" si="59"/>
        <v>6</v>
      </c>
      <c r="F6070" s="134" t="s">
        <v>3922</v>
      </c>
      <c r="G6070" s="63" t="str">
        <f>VLOOKUP(C6070, 'Class Def. - General Data'!$C$20:$C$1000,1,false)</f>
        <v>ZRM1_NW_Wipes</v>
      </c>
      <c r="H6070" s="63" t="str">
        <f>IFERROR(__xludf.DUMMYFUNCTION("VLOOKUP(F6070, IMPORTRANGE(""https://docs.google.com/spreadsheets/d/1Lhp9OU0JdFf_VYSMzH5lBcEaU4o8teT1piV-SNzShjg/edit?gid=554141278#gid=554141278"", ""'Char Def. - Attributes'!C20:C2242""), 1,false)"),"THICKNESS_GSM")</f>
        <v>THICKNESS_GSM</v>
      </c>
      <c r="I6070" s="136"/>
    </row>
    <row r="6071" ht="15.75" customHeight="1">
      <c r="A6071" s="59"/>
      <c r="B6071" s="63">
        <f t="shared" si="1"/>
        <v>13</v>
      </c>
      <c r="C6071" s="154" t="s">
        <v>287</v>
      </c>
      <c r="D6071" s="147" t="s">
        <v>74</v>
      </c>
      <c r="E6071" s="135">
        <f t="shared" si="59"/>
        <v>7</v>
      </c>
      <c r="F6071" s="134" t="s">
        <v>4029</v>
      </c>
      <c r="G6071" s="63" t="str">
        <f>VLOOKUP(C6071, 'Class Def. - General Data'!$C$20:$C$1000,1,false)</f>
        <v>ZRM1_NW_Wipes</v>
      </c>
      <c r="H6071" s="63" t="str">
        <f>IFERROR(__xludf.DUMMYFUNCTION("VLOOKUP(F6071, IMPORTRANGE(""https://docs.google.com/spreadsheets/d/1Lhp9OU0JdFf_VYSMzH5lBcEaU4o8teT1piV-SNzShjg/edit?gid=554141278#gid=554141278"", ""'Char Def. - Attributes'!C20:C2242""), 1,false)"),"HIDROFOBISITAS")</f>
        <v>HIDROFOBISITAS</v>
      </c>
      <c r="I6071" s="136"/>
    </row>
    <row r="6072" ht="15.75" customHeight="1">
      <c r="A6072" s="59"/>
      <c r="B6072" s="63">
        <f t="shared" si="1"/>
        <v>13</v>
      </c>
      <c r="C6072" s="154" t="s">
        <v>287</v>
      </c>
      <c r="D6072" s="147" t="s">
        <v>74</v>
      </c>
      <c r="E6072" s="135">
        <f t="shared" si="59"/>
        <v>8</v>
      </c>
      <c r="F6072" s="134" t="s">
        <v>4030</v>
      </c>
      <c r="G6072" s="63" t="str">
        <f>VLOOKUP(C6072, 'Class Def. - General Data'!$C$20:$C$1000,1,false)</f>
        <v>ZRM1_NW_Wipes</v>
      </c>
      <c r="H6072" s="63" t="str">
        <f>IFERROR(__xludf.DUMMYFUNCTION("VLOOKUP(F6072, IMPORTRANGE(""https://docs.google.com/spreadsheets/d/1Lhp9OU0JdFf_VYSMzH5lBcEaU4o8teT1piV-SNzShjg/edit?gid=554141278#gid=554141278"", ""'Char Def. - Attributes'!C20:C2242""), 1,false)"),"VISCOSITY")</f>
        <v>VISCOSITY</v>
      </c>
      <c r="I6072" s="136"/>
    </row>
    <row r="6073" ht="15.75" customHeight="1">
      <c r="A6073" s="59"/>
      <c r="B6073" s="63">
        <f t="shared" si="1"/>
        <v>13</v>
      </c>
      <c r="C6073" s="154" t="s">
        <v>287</v>
      </c>
      <c r="D6073" s="147" t="s">
        <v>74</v>
      </c>
      <c r="E6073" s="135">
        <f t="shared" si="59"/>
        <v>9</v>
      </c>
      <c r="F6073" s="134" t="s">
        <v>1756</v>
      </c>
      <c r="G6073" s="63" t="str">
        <f>VLOOKUP(C6073, 'Class Def. - General Data'!$C$20:$C$1000,1,false)</f>
        <v>ZRM1_NW_Wipes</v>
      </c>
      <c r="H6073" s="63" t="str">
        <f>IFERROR(__xludf.DUMMYFUNCTION("VLOOKUP(F6073, IMPORTRANGE(""https://docs.google.com/spreadsheets/d/1Lhp9OU0JdFf_VYSMzH5lBcEaU4o8teT1piV-SNzShjg/edit?gid=554141278#gid=554141278"", ""'Char Def. - Attributes'!C20:C2242""), 1,false)"),"PE")</f>
        <v>PE</v>
      </c>
      <c r="I6073" s="136"/>
    </row>
    <row r="6074" ht="15.75" customHeight="1">
      <c r="A6074" s="59"/>
      <c r="B6074" s="63">
        <f t="shared" si="1"/>
        <v>13</v>
      </c>
      <c r="C6074" s="154" t="s">
        <v>287</v>
      </c>
      <c r="D6074" s="147" t="s">
        <v>74</v>
      </c>
      <c r="E6074" s="135">
        <f t="shared" si="59"/>
        <v>10</v>
      </c>
      <c r="F6074" s="134" t="s">
        <v>3986</v>
      </c>
      <c r="G6074" s="63" t="str">
        <f>VLOOKUP(C6074, 'Class Def. - General Data'!$C$20:$C$1000,1,false)</f>
        <v>ZRM1_NW_Wipes</v>
      </c>
      <c r="H6074" s="63" t="str">
        <f>IFERROR(__xludf.DUMMYFUNCTION("VLOOKUP(F6074, IMPORTRANGE(""https://docs.google.com/spreadsheets/d/1Lhp9OU0JdFf_VYSMzH5lBcEaU4o8teT1piV-SNzShjg/edit?gid=554141278#gid=554141278"", ""'Char Def. - Attributes'!C20:C2242""), 1,false)"),"COLOR_B_OPT")</f>
        <v>COLOR_B_OPT</v>
      </c>
      <c r="I6074" s="136"/>
    </row>
    <row r="6075" ht="15.75" customHeight="1">
      <c r="A6075" s="59"/>
      <c r="B6075" s="63">
        <f t="shared" si="1"/>
        <v>13</v>
      </c>
      <c r="C6075" s="154" t="s">
        <v>287</v>
      </c>
      <c r="D6075" s="147" t="s">
        <v>74</v>
      </c>
      <c r="E6075" s="135">
        <f t="shared" si="59"/>
        <v>11</v>
      </c>
      <c r="F6075" s="134" t="s">
        <v>4008</v>
      </c>
      <c r="G6075" s="63" t="str">
        <f>VLOOKUP(C6075, 'Class Def. - General Data'!$C$20:$C$1000,1,false)</f>
        <v>ZRM1_NW_Wipes</v>
      </c>
      <c r="H6075" s="63" t="str">
        <f>IFERROR(__xludf.DUMMYFUNCTION("VLOOKUP(F6075, IMPORTRANGE(""https://docs.google.com/spreadsheets/d/1Lhp9OU0JdFf_VYSMzH5lBcEaU4o8teT1piV-SNzShjg/edit?gid=554141278#gid=554141278"", ""'Char Def. - Attributes'!C20:C2242""), 1,false)"),"PREFERENSI_KURS")</f>
        <v>PREFERENSI_KURS</v>
      </c>
      <c r="I6075" s="136"/>
    </row>
    <row r="6076" ht="15.75" customHeight="1">
      <c r="A6076" s="59"/>
      <c r="B6076" s="63">
        <f t="shared" si="1"/>
        <v>13</v>
      </c>
      <c r="C6076" s="154" t="s">
        <v>287</v>
      </c>
      <c r="D6076" s="147" t="s">
        <v>74</v>
      </c>
      <c r="E6076" s="135">
        <f t="shared" si="59"/>
        <v>12</v>
      </c>
      <c r="F6076" s="134" t="s">
        <v>3587</v>
      </c>
      <c r="G6076" s="63" t="str">
        <f>VLOOKUP(C6076, 'Class Def. - General Data'!$C$20:$C$1000,1,false)</f>
        <v>ZRM1_NW_Wipes</v>
      </c>
      <c r="H6076" s="63" t="str">
        <f>IFERROR(__xludf.DUMMYFUNCTION("VLOOKUP(F6076, IMPORTRANGE(""https://docs.google.com/spreadsheets/d/1Lhp9OU0JdFf_VYSMzH5lBcEaU4o8teT1piV-SNzShjg/edit?gid=554141278#gid=554141278"", ""'Char Def. - Attributes'!C20:C2242""), 1,false)"),"PLANT_BUY")</f>
        <v>PLANT_BUY</v>
      </c>
      <c r="I6076" s="136"/>
    </row>
    <row r="6077" ht="15.75" customHeight="1">
      <c r="A6077" s="59"/>
      <c r="B6077" s="63">
        <f t="shared" si="1"/>
        <v>13</v>
      </c>
      <c r="C6077" s="154" t="s">
        <v>287</v>
      </c>
      <c r="D6077" s="147" t="s">
        <v>74</v>
      </c>
      <c r="E6077" s="135">
        <f t="shared" si="59"/>
        <v>13</v>
      </c>
      <c r="F6077" s="134" t="s">
        <v>3868</v>
      </c>
      <c r="G6077" s="63" t="str">
        <f>VLOOKUP(C6077, 'Class Def. - General Data'!$C$20:$C$1000,1,false)</f>
        <v>ZRM1_NW_Wipes</v>
      </c>
      <c r="H6077" s="63" t="str">
        <f>IFERROR(__xludf.DUMMYFUNCTION("VLOOKUP(F6077, IMPORTRANGE(""https://docs.google.com/spreadsheets/d/1Lhp9OU0JdFf_VYSMzH5lBcEaU4o8teT1piV-SNzShjg/edit?gid=554141278#gid=554141278"", ""'Char Def. - Attributes'!C20:C2242""), 1,false)"),"BASIC_UOM_RMPM")</f>
        <v>BASIC_UOM_RMPM</v>
      </c>
      <c r="I6077" s="136"/>
    </row>
    <row r="6078" ht="15.75" customHeight="1">
      <c r="A6078" s="59"/>
      <c r="B6078" s="63">
        <f t="shared" si="1"/>
        <v>13</v>
      </c>
      <c r="C6078" s="154" t="s">
        <v>287</v>
      </c>
      <c r="D6078" s="147" t="s">
        <v>74</v>
      </c>
      <c r="E6078" s="135">
        <f t="shared" si="59"/>
        <v>14</v>
      </c>
      <c r="F6078" s="134" t="s">
        <v>3869</v>
      </c>
      <c r="G6078" s="63" t="str">
        <f>VLOOKUP(C6078, 'Class Def. - General Data'!$C$20:$C$1000,1,false)</f>
        <v>ZRM1_NW_Wipes</v>
      </c>
      <c r="H6078" s="63" t="str">
        <f>IFERROR(__xludf.DUMMYFUNCTION("VLOOKUP(F6078, IMPORTRANGE(""https://docs.google.com/spreadsheets/d/1Lhp9OU0JdFf_VYSMzH5lBcEaU4o8teT1piV-SNzShjg/edit?gid=554141278#gid=554141278"", ""'Char Def. - Attributes'!C20:C2242""), 1,false)"),"ALT_UOM1_RMPM")</f>
        <v>ALT_UOM1_RMPM</v>
      </c>
      <c r="I6078" s="136"/>
    </row>
    <row r="6079" ht="15.75" customHeight="1">
      <c r="B6079" s="63">
        <f t="shared" si="1"/>
        <v>13</v>
      </c>
      <c r="C6079" s="154" t="s">
        <v>287</v>
      </c>
      <c r="D6079" s="147" t="s">
        <v>74</v>
      </c>
      <c r="E6079" s="135">
        <f t="shared" si="59"/>
        <v>15</v>
      </c>
      <c r="F6079" s="134" t="s">
        <v>3805</v>
      </c>
      <c r="G6079" s="63" t="str">
        <f>VLOOKUP(C6079, 'Class Def. - General Data'!$C$20:$C$1000,1,false)</f>
        <v>ZRM1_NW_Wipes</v>
      </c>
      <c r="H6079" s="63" t="str">
        <f>IFERROR(__xludf.DUMMYFUNCTION("VLOOKUP(F6079, IMPORTRANGE(""https://docs.google.com/spreadsheets/d/1Lhp9OU0JdFf_VYSMzH5lBcEaU4o8teT1piV-SNzShjg/edit?gid=554141278#gid=554141278"", ""'Char Def. - Attributes'!C20:C2242""), 1,false)"),"ALT_DENUM_UOM1")</f>
        <v>ALT_DENUM_UOM1</v>
      </c>
      <c r="I6079" s="136"/>
    </row>
    <row r="6080" ht="15.75" customHeight="1">
      <c r="B6080" s="63">
        <f t="shared" si="1"/>
        <v>13</v>
      </c>
      <c r="C6080" s="154" t="s">
        <v>287</v>
      </c>
      <c r="D6080" s="147" t="s">
        <v>74</v>
      </c>
      <c r="E6080" s="135">
        <f t="shared" si="59"/>
        <v>16</v>
      </c>
      <c r="F6080" s="134" t="s">
        <v>3806</v>
      </c>
      <c r="G6080" s="63" t="str">
        <f>VLOOKUP(C6080, 'Class Def. - General Data'!$C$20:$C$1000,1,false)</f>
        <v>ZRM1_NW_Wipes</v>
      </c>
      <c r="H6080" s="63" t="str">
        <f>IFERROR(__xludf.DUMMYFUNCTION("VLOOKUP(F6080, IMPORTRANGE(""https://docs.google.com/spreadsheets/d/1Lhp9OU0JdFf_VYSMzH5lBcEaU4o8teT1piV-SNzShjg/edit?gid=554141278#gid=554141278"", ""'Char Def. - Attributes'!C20:C2242""), 1,false)"),"ALT_NUM_UOM1")</f>
        <v>ALT_NUM_UOM1</v>
      </c>
      <c r="I6080" s="136"/>
    </row>
    <row r="6081" ht="15.75" customHeight="1">
      <c r="B6081" s="63">
        <f t="shared" si="1"/>
        <v>13</v>
      </c>
      <c r="C6081" s="154" t="s">
        <v>287</v>
      </c>
      <c r="D6081" s="147" t="s">
        <v>74</v>
      </c>
      <c r="E6081" s="135">
        <f t="shared" si="59"/>
        <v>17</v>
      </c>
      <c r="F6081" s="134" t="s">
        <v>3870</v>
      </c>
      <c r="G6081" s="63" t="str">
        <f>VLOOKUP(C6081, 'Class Def. - General Data'!$C$20:$C$1000,1,false)</f>
        <v>ZRM1_NW_Wipes</v>
      </c>
      <c r="H6081" s="63" t="str">
        <f>IFERROR(__xludf.DUMMYFUNCTION("VLOOKUP(F6081, IMPORTRANGE(""https://docs.google.com/spreadsheets/d/1Lhp9OU0JdFf_VYSMzH5lBcEaU4o8teT1piV-SNzShjg/edit?gid=554141278#gid=554141278"", ""'Char Def. - Attributes'!C20:C2242""), 1,false)"),"ALT_UOM2_RMPM")</f>
        <v>ALT_UOM2_RMPM</v>
      </c>
      <c r="I6081" s="136"/>
    </row>
    <row r="6082" ht="15.75" customHeight="1">
      <c r="A6082" s="59"/>
      <c r="B6082" s="63">
        <f t="shared" si="1"/>
        <v>13</v>
      </c>
      <c r="C6082" s="154" t="s">
        <v>287</v>
      </c>
      <c r="D6082" s="147" t="s">
        <v>74</v>
      </c>
      <c r="E6082" s="135">
        <f t="shared" si="59"/>
        <v>18</v>
      </c>
      <c r="F6082" s="134" t="s">
        <v>3808</v>
      </c>
      <c r="G6082" s="63" t="str">
        <f>VLOOKUP(C6082, 'Class Def. - General Data'!$C$20:$C$1000,1,false)</f>
        <v>ZRM1_NW_Wipes</v>
      </c>
      <c r="H6082" s="63" t="str">
        <f>IFERROR(__xludf.DUMMYFUNCTION("VLOOKUP(F6082, IMPORTRANGE(""https://docs.google.com/spreadsheets/d/1Lhp9OU0JdFf_VYSMzH5lBcEaU4o8teT1piV-SNzShjg/edit?gid=554141278#gid=554141278"", ""'Char Def. - Attributes'!C20:C2242""), 1,false)"),"ALT_DENUM_UOM2")</f>
        <v>ALT_DENUM_UOM2</v>
      </c>
      <c r="I6082" s="136"/>
    </row>
    <row r="6083" ht="15.75" customHeight="1">
      <c r="A6083" s="158"/>
      <c r="B6083" s="63">
        <f t="shared" si="1"/>
        <v>13</v>
      </c>
      <c r="C6083" s="154" t="s">
        <v>287</v>
      </c>
      <c r="D6083" s="147" t="s">
        <v>74</v>
      </c>
      <c r="E6083" s="135">
        <f t="shared" si="59"/>
        <v>19</v>
      </c>
      <c r="F6083" s="134" t="s">
        <v>3809</v>
      </c>
      <c r="G6083" s="63" t="str">
        <f>VLOOKUP(C6083, 'Class Def. - General Data'!$C$20:$C$1000,1,false)</f>
        <v>ZRM1_NW_Wipes</v>
      </c>
      <c r="H6083" s="63" t="str">
        <f>IFERROR(__xludf.DUMMYFUNCTION("VLOOKUP(F6083, IMPORTRANGE(""https://docs.google.com/spreadsheets/d/1Lhp9OU0JdFf_VYSMzH5lBcEaU4o8teT1piV-SNzShjg/edit?gid=554141278#gid=554141278"", ""'Char Def. - Attributes'!C20:C2242""), 1,false)"),"ALT_NUM_UOM2")</f>
        <v>ALT_NUM_UOM2</v>
      </c>
      <c r="I6083" s="136"/>
    </row>
    <row r="6084" ht="15.75" customHeight="1">
      <c r="A6084" s="158"/>
      <c r="B6084" s="63">
        <f t="shared" si="1"/>
        <v>13</v>
      </c>
      <c r="C6084" s="154" t="s">
        <v>287</v>
      </c>
      <c r="D6084" s="147" t="s">
        <v>74</v>
      </c>
      <c r="E6084" s="135">
        <f t="shared" si="59"/>
        <v>20</v>
      </c>
      <c r="F6084" s="134" t="s">
        <v>3871</v>
      </c>
      <c r="G6084" s="63" t="str">
        <f>VLOOKUP(C6084, 'Class Def. - General Data'!$C$20:$C$1000,1,false)</f>
        <v>ZRM1_NW_Wipes</v>
      </c>
      <c r="H6084" s="63" t="str">
        <f>IFERROR(__xludf.DUMMYFUNCTION("VLOOKUP(F6084, IMPORTRANGE(""https://docs.google.com/spreadsheets/d/1Lhp9OU0JdFf_VYSMzH5lBcEaU4o8teT1piV-SNzShjg/edit?gid=554141278#gid=554141278"", ""'Char Def. - Attributes'!C20:C2242""), 1,false)"),"ALT_UOM3_RMPM")</f>
        <v>ALT_UOM3_RMPM</v>
      </c>
      <c r="I6084" s="136"/>
    </row>
    <row r="6085" ht="15.75" customHeight="1">
      <c r="A6085" s="59"/>
      <c r="B6085" s="63">
        <f t="shared" si="1"/>
        <v>13</v>
      </c>
      <c r="C6085" s="154" t="s">
        <v>287</v>
      </c>
      <c r="D6085" s="147" t="s">
        <v>74</v>
      </c>
      <c r="E6085" s="135">
        <f t="shared" si="59"/>
        <v>21</v>
      </c>
      <c r="F6085" s="134" t="s">
        <v>3811</v>
      </c>
      <c r="G6085" s="63" t="str">
        <f>VLOOKUP(C6085, 'Class Def. - General Data'!$C$20:$C$1000,1,false)</f>
        <v>ZRM1_NW_Wipes</v>
      </c>
      <c r="H6085" s="63" t="str">
        <f>IFERROR(__xludf.DUMMYFUNCTION("VLOOKUP(F6085, IMPORTRANGE(""https://docs.google.com/spreadsheets/d/1Lhp9OU0JdFf_VYSMzH5lBcEaU4o8teT1piV-SNzShjg/edit?gid=554141278#gid=554141278"", ""'Char Def. - Attributes'!C20:C2242""), 1,false)"),"ALT_DENUM_UOM3")</f>
        <v>ALT_DENUM_UOM3</v>
      </c>
      <c r="I6085" s="136"/>
    </row>
    <row r="6086" ht="15.75" customHeight="1">
      <c r="B6086" s="63">
        <f t="shared" si="1"/>
        <v>13</v>
      </c>
      <c r="C6086" s="154" t="s">
        <v>287</v>
      </c>
      <c r="D6086" s="147" t="s">
        <v>74</v>
      </c>
      <c r="E6086" s="135">
        <f t="shared" si="59"/>
        <v>22</v>
      </c>
      <c r="F6086" s="134" t="s">
        <v>3812</v>
      </c>
      <c r="G6086" s="63" t="str">
        <f>VLOOKUP(C6086, 'Class Def. - General Data'!$C$20:$C$1000,1,false)</f>
        <v>ZRM1_NW_Wipes</v>
      </c>
      <c r="H6086" s="63" t="str">
        <f>IFERROR(__xludf.DUMMYFUNCTION("VLOOKUP(F6086, IMPORTRANGE(""https://docs.google.com/spreadsheets/d/1Lhp9OU0JdFf_VYSMzH5lBcEaU4o8teT1piV-SNzShjg/edit?gid=554141278#gid=554141278"", ""'Char Def. - Attributes'!C20:C2242""), 1,false)"),"ALT_NUM_UOM3")</f>
        <v>ALT_NUM_UOM3</v>
      </c>
      <c r="I6086" s="136"/>
    </row>
    <row r="6087" ht="15.75" customHeight="1">
      <c r="B6087" s="63">
        <f t="shared" si="1"/>
        <v>13</v>
      </c>
      <c r="C6087" s="154" t="s">
        <v>287</v>
      </c>
      <c r="D6087" s="147" t="s">
        <v>74</v>
      </c>
      <c r="E6087" s="135">
        <f t="shared" si="59"/>
        <v>23</v>
      </c>
      <c r="F6087" s="134" t="s">
        <v>3872</v>
      </c>
      <c r="G6087" s="63" t="str">
        <f>VLOOKUP(C6087, 'Class Def. - General Data'!$C$20:$C$1000,1,false)</f>
        <v>ZRM1_NW_Wipes</v>
      </c>
      <c r="H6087" s="63" t="str">
        <f>IFERROR(__xludf.DUMMYFUNCTION("VLOOKUP(F6087, IMPORTRANGE(""https://docs.google.com/spreadsheets/d/1Lhp9OU0JdFf_VYSMzH5lBcEaU4o8teT1piV-SNzShjg/edit?gid=554141278#gid=554141278"", ""'Char Def. - Attributes'!C20:C2242""), 1,false)"),"ALT_UOM4_RMPM")</f>
        <v>ALT_UOM4_RMPM</v>
      </c>
      <c r="I6087" s="136"/>
    </row>
    <row r="6088" ht="15.75" customHeight="1">
      <c r="B6088" s="63">
        <f t="shared" si="1"/>
        <v>13</v>
      </c>
      <c r="C6088" s="154" t="s">
        <v>287</v>
      </c>
      <c r="D6088" s="147" t="s">
        <v>74</v>
      </c>
      <c r="E6088" s="135">
        <f t="shared" si="59"/>
        <v>24</v>
      </c>
      <c r="F6088" s="134" t="s">
        <v>3814</v>
      </c>
      <c r="G6088" s="63" t="str">
        <f>VLOOKUP(C6088, 'Class Def. - General Data'!$C$20:$C$1000,1,false)</f>
        <v>ZRM1_NW_Wipes</v>
      </c>
      <c r="H6088" s="63" t="str">
        <f>IFERROR(__xludf.DUMMYFUNCTION("VLOOKUP(F6088, IMPORTRANGE(""https://docs.google.com/spreadsheets/d/1Lhp9OU0JdFf_VYSMzH5lBcEaU4o8teT1piV-SNzShjg/edit?gid=554141278#gid=554141278"", ""'Char Def. - Attributes'!C20:C2242""), 1,false)"),"ALT_DENUM_UOM4")</f>
        <v>ALT_DENUM_UOM4</v>
      </c>
      <c r="I6088" s="136"/>
    </row>
    <row r="6089" ht="15.75" customHeight="1">
      <c r="A6089" s="59"/>
      <c r="B6089" s="63">
        <f t="shared" si="1"/>
        <v>13</v>
      </c>
      <c r="C6089" s="154" t="s">
        <v>287</v>
      </c>
      <c r="D6089" s="147" t="s">
        <v>74</v>
      </c>
      <c r="E6089" s="135">
        <f t="shared" si="59"/>
        <v>25</v>
      </c>
      <c r="F6089" s="134" t="s">
        <v>3815</v>
      </c>
      <c r="G6089" s="63" t="str">
        <f>VLOOKUP(C6089, 'Class Def. - General Data'!$C$20:$C$1000,1,false)</f>
        <v>ZRM1_NW_Wipes</v>
      </c>
      <c r="H6089" s="63" t="str">
        <f>IFERROR(__xludf.DUMMYFUNCTION("VLOOKUP(F6089, IMPORTRANGE(""https://docs.google.com/spreadsheets/d/1Lhp9OU0JdFf_VYSMzH5lBcEaU4o8teT1piV-SNzShjg/edit?gid=554141278#gid=554141278"", ""'Char Def. - Attributes'!C20:C2242""), 1,false)"),"ALT_NUM_UOM4")</f>
        <v>ALT_NUM_UOM4</v>
      </c>
      <c r="I6089" s="136"/>
    </row>
    <row r="6090" ht="15.75" customHeight="1">
      <c r="A6090" s="59"/>
      <c r="B6090" s="63">
        <f t="shared" si="1"/>
        <v>13</v>
      </c>
      <c r="C6090" s="154" t="s">
        <v>287</v>
      </c>
      <c r="D6090" s="147" t="s">
        <v>74</v>
      </c>
      <c r="E6090" s="135">
        <f t="shared" si="59"/>
        <v>26</v>
      </c>
      <c r="F6090" s="134" t="s">
        <v>3873</v>
      </c>
      <c r="G6090" s="63" t="str">
        <f>VLOOKUP(C6090, 'Class Def. - General Data'!$C$20:$C$1000,1,false)</f>
        <v>ZRM1_NW_Wipes</v>
      </c>
      <c r="H6090" s="63" t="str">
        <f>IFERROR(__xludf.DUMMYFUNCTION("VLOOKUP(F6090, IMPORTRANGE(""https://docs.google.com/spreadsheets/d/1Lhp9OU0JdFf_VYSMzH5lBcEaU4o8teT1piV-SNzShjg/edit?gid=554141278#gid=554141278"", ""'Char Def. - Attributes'!C20:C2242""), 1,false)"),"ALT_UOM5_RMPM")</f>
        <v>ALT_UOM5_RMPM</v>
      </c>
      <c r="I6090" s="136"/>
    </row>
    <row r="6091" ht="15.75" customHeight="1">
      <c r="A6091" s="59"/>
      <c r="B6091" s="63">
        <f t="shared" si="1"/>
        <v>13</v>
      </c>
      <c r="C6091" s="154" t="s">
        <v>287</v>
      </c>
      <c r="D6091" s="147" t="s">
        <v>74</v>
      </c>
      <c r="E6091" s="135">
        <f t="shared" si="59"/>
        <v>27</v>
      </c>
      <c r="F6091" s="134" t="s">
        <v>3817</v>
      </c>
      <c r="G6091" s="63" t="str">
        <f>VLOOKUP(C6091, 'Class Def. - General Data'!$C$20:$C$1000,1,false)</f>
        <v>ZRM1_NW_Wipes</v>
      </c>
      <c r="H6091" s="63" t="str">
        <f>IFERROR(__xludf.DUMMYFUNCTION("VLOOKUP(F6091, IMPORTRANGE(""https://docs.google.com/spreadsheets/d/1Lhp9OU0JdFf_VYSMzH5lBcEaU4o8teT1piV-SNzShjg/edit?gid=554141278#gid=554141278"", ""'Char Def. - Attributes'!C20:C2242""), 1,false)"),"ALT_DENUM_UOM5")</f>
        <v>ALT_DENUM_UOM5</v>
      </c>
      <c r="I6091" s="136"/>
    </row>
    <row r="6092" ht="15.75" customHeight="1">
      <c r="A6092" s="59"/>
      <c r="B6092" s="63">
        <f t="shared" si="1"/>
        <v>13</v>
      </c>
      <c r="C6092" s="154" t="s">
        <v>287</v>
      </c>
      <c r="D6092" s="147" t="s">
        <v>74</v>
      </c>
      <c r="E6092" s="135">
        <f t="shared" si="59"/>
        <v>28</v>
      </c>
      <c r="F6092" s="134" t="s">
        <v>3818</v>
      </c>
      <c r="G6092" s="63" t="str">
        <f>VLOOKUP(C6092, 'Class Def. - General Data'!$C$20:$C$1000,1,false)</f>
        <v>ZRM1_NW_Wipes</v>
      </c>
      <c r="H6092" s="63" t="str">
        <f>IFERROR(__xludf.DUMMYFUNCTION("VLOOKUP(F6092, IMPORTRANGE(""https://docs.google.com/spreadsheets/d/1Lhp9OU0JdFf_VYSMzH5lBcEaU4o8teT1piV-SNzShjg/edit?gid=554141278#gid=554141278"", ""'Char Def. - Attributes'!C20:C2242""), 1,false)"),"ALT_NUM_UOM5")</f>
        <v>ALT_NUM_UOM5</v>
      </c>
      <c r="I6092" s="136"/>
    </row>
    <row r="6093" ht="15.75" customHeight="1">
      <c r="A6093" s="59"/>
      <c r="B6093" s="63">
        <f t="shared" si="1"/>
        <v>13</v>
      </c>
      <c r="C6093" s="154" t="s">
        <v>287</v>
      </c>
      <c r="D6093" s="147" t="s">
        <v>74</v>
      </c>
      <c r="E6093" s="135">
        <f t="shared" si="59"/>
        <v>29</v>
      </c>
      <c r="F6093" s="134" t="s">
        <v>3874</v>
      </c>
      <c r="G6093" s="63" t="str">
        <f>VLOOKUP(C6093, 'Class Def. - General Data'!$C$20:$C$1000,1,false)</f>
        <v>ZRM1_NW_Wipes</v>
      </c>
      <c r="H6093" s="63" t="str">
        <f>IFERROR(__xludf.DUMMYFUNCTION("VLOOKUP(F6093, IMPORTRANGE(""https://docs.google.com/spreadsheets/d/1Lhp9OU0JdFf_VYSMzH5lBcEaU4o8teT1piV-SNzShjg/edit?gid=554141278#gid=554141278"", ""'Char Def. - Attributes'!C20:C2242""), 1,false)"),"VALUATION_CATEGORY")</f>
        <v>VALUATION_CATEGORY</v>
      </c>
      <c r="I6093" s="136"/>
    </row>
    <row r="6094" ht="15.75" customHeight="1">
      <c r="A6094" s="59"/>
      <c r="B6094" s="63">
        <f t="shared" si="1"/>
        <v>13</v>
      </c>
      <c r="C6094" s="154" t="s">
        <v>287</v>
      </c>
      <c r="D6094" s="147" t="s">
        <v>74</v>
      </c>
      <c r="E6094" s="135">
        <f t="shared" si="59"/>
        <v>30</v>
      </c>
      <c r="F6094" s="134" t="s">
        <v>3800</v>
      </c>
      <c r="G6094" s="63" t="str">
        <f>VLOOKUP(C6094, 'Class Def. - General Data'!$C$20:$C$1000,1,false)</f>
        <v>ZRM1_NW_Wipes</v>
      </c>
      <c r="H6094" s="63" t="str">
        <f>IFERROR(__xludf.DUMMYFUNCTION("VLOOKUP(F6094, IMPORTRANGE(""https://docs.google.com/spreadsheets/d/1Lhp9OU0JdFf_VYSMzH5lBcEaU4o8teT1piV-SNzShjg/edit?gid=554141278#gid=554141278"", ""'Char Def. - Attributes'!C20:C2242""), 1,false)"),"ORDER_UNIT_DIFF_FROM_BASIC_UOM")</f>
        <v>ORDER_UNIT_DIFF_FROM_BASIC_UOM</v>
      </c>
      <c r="I6094" s="136"/>
    </row>
    <row r="6095" ht="15.75" customHeight="1">
      <c r="A6095" s="59"/>
      <c r="B6095" s="63">
        <f t="shared" si="1"/>
        <v>13</v>
      </c>
      <c r="C6095" s="154" t="s">
        <v>287</v>
      </c>
      <c r="D6095" s="147" t="s">
        <v>74</v>
      </c>
      <c r="E6095" s="135">
        <f t="shared" si="59"/>
        <v>31</v>
      </c>
      <c r="F6095" s="134" t="s">
        <v>3875</v>
      </c>
      <c r="G6095" s="63" t="str">
        <f>VLOOKUP(C6095, 'Class Def. - General Data'!$C$20:$C$1000,1,false)</f>
        <v>ZRM1_NW_Wipes</v>
      </c>
      <c r="H6095" s="63" t="str">
        <f>IFERROR(__xludf.DUMMYFUNCTION("VLOOKUP(F6095, IMPORTRANGE(""https://docs.google.com/spreadsheets/d/1Lhp9OU0JdFf_VYSMzH5lBcEaU4o8teT1piV-SNzShjg/edit?gid=554141278#gid=554141278"", ""'Char Def. - Attributes'!C20:C2242""), 1,false)"),"ORDER_UNIT_RMPM")</f>
        <v>ORDER_UNIT_RMPM</v>
      </c>
      <c r="I6095" s="136"/>
    </row>
    <row r="6096" ht="15.75" customHeight="1">
      <c r="A6096" s="59"/>
      <c r="B6096" s="63">
        <f t="shared" si="1"/>
        <v>13</v>
      </c>
      <c r="C6096" s="154" t="s">
        <v>287</v>
      </c>
      <c r="D6096" s="147" t="s">
        <v>74</v>
      </c>
      <c r="E6096" s="135">
        <f t="shared" si="59"/>
        <v>32</v>
      </c>
      <c r="F6096" s="134" t="s">
        <v>3602</v>
      </c>
      <c r="G6096" s="63" t="str">
        <f>VLOOKUP(C6096, 'Class Def. - General Data'!$C$20:$C$1000,1,false)</f>
        <v>ZRM1_NW_Wipes</v>
      </c>
      <c r="H6096" s="63" t="str">
        <f>IFERROR(__xludf.DUMMYFUNCTION("VLOOKUP(F6096, IMPORTRANGE(""https://docs.google.com/spreadsheets/d/1Lhp9OU0JdFf_VYSMzH5lBcEaU4o8teT1piV-SNzShjg/edit?gid=554141278#gid=554141278"", ""'Char Def. - Attributes'!C20:C2242""), 1,false)"),"NET_WEIGHT")</f>
        <v>NET_WEIGHT</v>
      </c>
      <c r="I6096" s="136"/>
    </row>
    <row r="6097" ht="15.75" customHeight="1">
      <c r="A6097" s="59"/>
      <c r="B6097" s="63">
        <f t="shared" si="1"/>
        <v>13</v>
      </c>
      <c r="C6097" s="154" t="s">
        <v>287</v>
      </c>
      <c r="D6097" s="147" t="s">
        <v>74</v>
      </c>
      <c r="E6097" s="135">
        <f t="shared" si="59"/>
        <v>33</v>
      </c>
      <c r="F6097" s="134" t="s">
        <v>3601</v>
      </c>
      <c r="G6097" s="63" t="str">
        <f>VLOOKUP(C6097, 'Class Def. - General Data'!$C$20:$C$1000,1,false)</f>
        <v>ZRM1_NW_Wipes</v>
      </c>
      <c r="H6097" s="63" t="str">
        <f>IFERROR(__xludf.DUMMYFUNCTION("VLOOKUP(F6097, IMPORTRANGE(""https://docs.google.com/spreadsheets/d/1Lhp9OU0JdFf_VYSMzH5lBcEaU4o8teT1piV-SNzShjg/edit?gid=554141278#gid=554141278"", ""'Char Def. - Attributes'!C20:C2242""), 1,false)"),"GROSS_WEIGHT")</f>
        <v>GROSS_WEIGHT</v>
      </c>
      <c r="I6097" s="136"/>
    </row>
    <row r="6098" ht="15.75" customHeight="1">
      <c r="A6098" s="59"/>
      <c r="B6098" s="63">
        <f t="shared" si="1"/>
        <v>13</v>
      </c>
      <c r="C6098" s="154" t="s">
        <v>287</v>
      </c>
      <c r="D6098" s="147" t="s">
        <v>74</v>
      </c>
      <c r="E6098" s="135">
        <f t="shared" si="59"/>
        <v>34</v>
      </c>
      <c r="F6098" s="134" t="s">
        <v>3996</v>
      </c>
      <c r="G6098" s="63" t="str">
        <f>VLOOKUP(C6098, 'Class Def. - General Data'!$C$20:$C$1000,1,false)</f>
        <v>ZRM1_NW_Wipes</v>
      </c>
      <c r="H6098" s="63" t="str">
        <f>IFERROR(__xludf.DUMMYFUNCTION("VLOOKUP(F6098, IMPORTRANGE(""https://docs.google.com/spreadsheets/d/1Lhp9OU0JdFf_VYSMzH5lBcEaU4o8teT1piV-SNzShjg/edit?gid=554141278#gid=554141278"", ""'Char Def. - Attributes'!C20:C2242""), 1,false)"),"WEIGHT_UNIT")</f>
        <v>WEIGHT_UNIT</v>
      </c>
      <c r="I6098" s="136"/>
    </row>
    <row r="6099" ht="15.75" customHeight="1">
      <c r="A6099" s="59"/>
      <c r="B6099" s="63">
        <f t="shared" si="1"/>
        <v>13</v>
      </c>
      <c r="C6099" s="154" t="s">
        <v>287</v>
      </c>
      <c r="D6099" s="147" t="s">
        <v>74</v>
      </c>
      <c r="E6099" s="135">
        <f t="shared" si="59"/>
        <v>35</v>
      </c>
      <c r="F6099" s="134" t="s">
        <v>3877</v>
      </c>
      <c r="G6099" s="63" t="str">
        <f>VLOOKUP(C6099, 'Class Def. - General Data'!$C$20:$C$1000,1,false)</f>
        <v>ZRM1_NW_Wipes</v>
      </c>
      <c r="H6099" s="63" t="str">
        <f>IFERROR(__xludf.DUMMYFUNCTION("VLOOKUP(F6099, IMPORTRANGE(""https://docs.google.com/spreadsheets/d/1Lhp9OU0JdFf_VYSMzH5lBcEaU4o8teT1piV-SNzShjg/edit?gid=554141278#gid=554141278"", ""'Char Def. - Attributes'!C20:C2242""), 1,false)"),"VOLUME_OPT")</f>
        <v>VOLUME_OPT</v>
      </c>
      <c r="I6099" s="136"/>
    </row>
    <row r="6100" ht="15.75" customHeight="1">
      <c r="A6100" s="59"/>
      <c r="B6100" s="63">
        <f t="shared" si="1"/>
        <v>13</v>
      </c>
      <c r="C6100" s="154" t="s">
        <v>287</v>
      </c>
      <c r="D6100" s="147" t="s">
        <v>74</v>
      </c>
      <c r="E6100" s="135">
        <f t="shared" si="59"/>
        <v>36</v>
      </c>
      <c r="F6100" s="134" t="s">
        <v>3878</v>
      </c>
      <c r="G6100" s="63" t="str">
        <f>VLOOKUP(C6100, 'Class Def. - General Data'!$C$20:$C$1000,1,false)</f>
        <v>ZRM1_NW_Wipes</v>
      </c>
      <c r="H6100" s="63" t="str">
        <f>IFERROR(__xludf.DUMMYFUNCTION("VLOOKUP(F6100, IMPORTRANGE(""https://docs.google.com/spreadsheets/d/1Lhp9OU0JdFf_VYSMzH5lBcEaU4o8teT1piV-SNzShjg/edit?gid=554141278#gid=554141278"", ""'Char Def. - Attributes'!C20:C2242""), 1,false)"),"VOLUME_UNIT")</f>
        <v>VOLUME_UNIT</v>
      </c>
      <c r="I6100" s="136"/>
    </row>
    <row r="6101" ht="15.75" customHeight="1">
      <c r="A6101" s="59"/>
      <c r="B6101" s="63">
        <f t="shared" si="1"/>
        <v>13</v>
      </c>
      <c r="C6101" s="154" t="s">
        <v>287</v>
      </c>
      <c r="D6101" s="147" t="s">
        <v>74</v>
      </c>
      <c r="E6101" s="135">
        <f t="shared" si="59"/>
        <v>37</v>
      </c>
      <c r="F6101" s="134" t="s">
        <v>3997</v>
      </c>
      <c r="G6101" s="63" t="str">
        <f>VLOOKUP(C6101, 'Class Def. - General Data'!$C$20:$C$1000,1,false)</f>
        <v>ZRM1_NW_Wipes</v>
      </c>
      <c r="H6101" s="63" t="str">
        <f>IFERROR(__xludf.DUMMYFUNCTION("VLOOKUP(F6101, IMPORTRANGE(""https://docs.google.com/spreadsheets/d/1Lhp9OU0JdFf_VYSMzH5lBcEaU4o8teT1piV-SNzShjg/edit?gid=554141278#gid=554141278"", ""'Char Def. - Attributes'!C20:C2242""), 1,false)"),"OLD_MAT_NO_RMPM_OPT")</f>
        <v>OLD_MAT_NO_RMPM_OPT</v>
      </c>
      <c r="I6101" s="136"/>
    </row>
    <row r="6102" ht="15.75" customHeight="1">
      <c r="A6102" s="59"/>
      <c r="B6102" s="63">
        <f t="shared" si="1"/>
        <v>13</v>
      </c>
      <c r="C6102" s="154" t="s">
        <v>287</v>
      </c>
      <c r="D6102" s="147" t="s">
        <v>74</v>
      </c>
      <c r="E6102" s="135">
        <f t="shared" si="59"/>
        <v>38</v>
      </c>
      <c r="F6102" s="134" t="s">
        <v>3998</v>
      </c>
      <c r="G6102" s="63" t="str">
        <f>VLOOKUP(C6102, 'Class Def. - General Data'!$C$20:$C$1000,1,false)</f>
        <v>ZRM1_NW_Wipes</v>
      </c>
      <c r="H6102" s="63" t="str">
        <f>IFERROR(__xludf.DUMMYFUNCTION("VLOOKUP(F6102, IMPORTRANGE(""https://docs.google.com/spreadsheets/d/1Lhp9OU0JdFf_VYSMzH5lBcEaU4o8teT1piV-SNzShjg/edit?gid=554141278#gid=554141278"", ""'Char Def. - Attributes'!C20:C2242""), 1,false)"),"MIN_STD_WEIGHT")</f>
        <v>MIN_STD_WEIGHT</v>
      </c>
      <c r="I6102" s="136"/>
    </row>
    <row r="6103" ht="15.75" customHeight="1">
      <c r="A6103" s="59"/>
      <c r="B6103" s="63">
        <f t="shared" si="1"/>
        <v>13</v>
      </c>
      <c r="C6103" s="154" t="s">
        <v>287</v>
      </c>
      <c r="D6103" s="147" t="s">
        <v>74</v>
      </c>
      <c r="E6103" s="135">
        <f t="shared" si="59"/>
        <v>39</v>
      </c>
      <c r="F6103" s="134" t="s">
        <v>3999</v>
      </c>
      <c r="G6103" s="63" t="str">
        <f>VLOOKUP(C6103, 'Class Def. - General Data'!$C$20:$C$1000,1,false)</f>
        <v>ZRM1_NW_Wipes</v>
      </c>
      <c r="H6103" s="63" t="str">
        <f>IFERROR(__xludf.DUMMYFUNCTION("VLOOKUP(F6103, IMPORTRANGE(""https://docs.google.com/spreadsheets/d/1Lhp9OU0JdFf_VYSMzH5lBcEaU4o8teT1piV-SNzShjg/edit?gid=554141278#gid=554141278"", ""'Char Def. - Attributes'!C20:C2242""), 1,false)"),"MIN_STD_WEIGHT_UOM")</f>
        <v>MIN_STD_WEIGHT_UOM</v>
      </c>
      <c r="I6103" s="136"/>
    </row>
    <row r="6104" ht="15.75" customHeight="1">
      <c r="B6104" s="63">
        <f t="shared" si="1"/>
        <v>12</v>
      </c>
      <c r="C6104" s="156" t="s">
        <v>224</v>
      </c>
      <c r="D6104" s="147" t="s">
        <v>74</v>
      </c>
      <c r="E6104" s="135">
        <f t="shared" si="59"/>
        <v>1</v>
      </c>
      <c r="F6104" s="134" t="s">
        <v>4031</v>
      </c>
      <c r="G6104" s="63" t="str">
        <f>VLOOKUP(C6104, 'Class Def. - General Data'!$C$20:$C$1000,1,false)</f>
        <v>ZRM1_Perfume</v>
      </c>
      <c r="H6104" s="63" t="str">
        <f>IFERROR(__xludf.DUMMYFUNCTION("VLOOKUP(F6104, IMPORTRANGE(""https://docs.google.com/spreadsheets/d/1Lhp9OU0JdFf_VYSMzH5lBcEaU4o8teT1piV-SNzShjg/edit?gid=554141278#gid=554141278"", ""'Char Def. - Attributes'!C20:C2242""), 1,false)"),"MATERIAL_CODE_PF")</f>
        <v>MATERIAL_CODE_PF</v>
      </c>
      <c r="I6104" s="136"/>
    </row>
    <row r="6105" ht="15.75" customHeight="1">
      <c r="B6105" s="63">
        <f t="shared" si="1"/>
        <v>12</v>
      </c>
      <c r="C6105" s="156" t="s">
        <v>224</v>
      </c>
      <c r="D6105" s="147" t="s">
        <v>74</v>
      </c>
      <c r="E6105" s="135">
        <f t="shared" si="59"/>
        <v>2</v>
      </c>
      <c r="F6105" s="134" t="s">
        <v>4032</v>
      </c>
      <c r="G6105" s="63" t="str">
        <f>VLOOKUP(C6105, 'Class Def. - General Data'!$C$20:$C$1000,1,false)</f>
        <v>ZRM1_Perfume</v>
      </c>
      <c r="H6105" s="63" t="str">
        <f>IFERROR(__xludf.DUMMYFUNCTION("VLOOKUP(F6105, IMPORTRANGE(""https://docs.google.com/spreadsheets/d/1Lhp9OU0JdFf_VYSMzH5lBcEaU4o8teT1piV-SNzShjg/edit?gid=554141278#gid=554141278"", ""'Char Def. - Attributes'!C20:C2242""), 1,false)"),"PERFUME_NAME")</f>
        <v>PERFUME_NAME</v>
      </c>
      <c r="I6105" s="136"/>
    </row>
    <row r="6106" ht="15.75" customHeight="1">
      <c r="A6106" s="59"/>
      <c r="B6106" s="63">
        <f t="shared" si="1"/>
        <v>12</v>
      </c>
      <c r="C6106" s="156" t="s">
        <v>224</v>
      </c>
      <c r="D6106" s="147" t="s">
        <v>74</v>
      </c>
      <c r="E6106" s="135">
        <f t="shared" si="59"/>
        <v>3</v>
      </c>
      <c r="F6106" s="134" t="s">
        <v>4002</v>
      </c>
      <c r="G6106" s="63" t="str">
        <f>VLOOKUP(C6106, 'Class Def. - General Data'!$C$20:$C$1000,1,false)</f>
        <v>ZRM1_Perfume</v>
      </c>
      <c r="H6106" s="63" t="str">
        <f>IFERROR(__xludf.DUMMYFUNCTION("VLOOKUP(F6106, IMPORTRANGE(""https://docs.google.com/spreadsheets/d/1Lhp9OU0JdFf_VYSMzH5lBcEaU4o8teT1piV-SNzShjg/edit?gid=554141278#gid=554141278"", ""'Char Def. - Attributes'!C20:C2242""), 1,false)"),"COLOR_GENERAL")</f>
        <v>COLOR_GENERAL</v>
      </c>
      <c r="I6106" s="136"/>
    </row>
    <row r="6107" ht="15.75" customHeight="1">
      <c r="A6107" s="158"/>
      <c r="B6107" s="63">
        <f t="shared" si="1"/>
        <v>12</v>
      </c>
      <c r="C6107" s="156" t="s">
        <v>224</v>
      </c>
      <c r="D6107" s="147" t="s">
        <v>74</v>
      </c>
      <c r="E6107" s="135">
        <f t="shared" si="59"/>
        <v>4</v>
      </c>
      <c r="F6107" s="134" t="s">
        <v>4003</v>
      </c>
      <c r="G6107" s="63" t="str">
        <f>VLOOKUP(C6107, 'Class Def. - General Data'!$C$20:$C$1000,1,false)</f>
        <v>ZRM1_Perfume</v>
      </c>
      <c r="H6107" s="63" t="str">
        <f>IFERROR(__xludf.DUMMYFUNCTION("VLOOKUP(F6107, IMPORTRANGE(""https://docs.google.com/spreadsheets/d/1Lhp9OU0JdFf_VYSMzH5lBcEaU4o8teT1piV-SNzShjg/edit?gid=554141278#gid=554141278"", ""'Char Def. - Attributes'!C20:C2242""), 1,false)"),"SOURCE_SUPPLY")</f>
        <v>SOURCE_SUPPLY</v>
      </c>
      <c r="I6107" s="136"/>
    </row>
    <row r="6108" ht="15.75" customHeight="1">
      <c r="A6108" s="158"/>
      <c r="B6108" s="63">
        <f t="shared" si="1"/>
        <v>12</v>
      </c>
      <c r="C6108" s="156" t="s">
        <v>224</v>
      </c>
      <c r="D6108" s="147" t="s">
        <v>74</v>
      </c>
      <c r="E6108" s="135">
        <f t="shared" si="59"/>
        <v>5</v>
      </c>
      <c r="F6108" s="134" t="s">
        <v>4004</v>
      </c>
      <c r="G6108" s="63" t="str">
        <f>VLOOKUP(C6108, 'Class Def. - General Data'!$C$20:$C$1000,1,false)</f>
        <v>ZRM1_Perfume</v>
      </c>
      <c r="H6108" s="63" t="str">
        <f>IFERROR(__xludf.DUMMYFUNCTION("VLOOKUP(F6108, IMPORTRANGE(""https://docs.google.com/spreadsheets/d/1Lhp9OU0JdFf_VYSMzH5lBcEaU4o8teT1piV-SNzShjg/edit?gid=554141278#gid=554141278"", ""'Char Def. - Attributes'!C20:C2242""), 1,false)"),"BASE_MATERIAL")</f>
        <v>BASE_MATERIAL</v>
      </c>
      <c r="I6108" s="136"/>
    </row>
    <row r="6109" ht="15.75" customHeight="1">
      <c r="A6109" s="59"/>
      <c r="B6109" s="63">
        <f t="shared" si="1"/>
        <v>12</v>
      </c>
      <c r="C6109" s="156" t="s">
        <v>224</v>
      </c>
      <c r="D6109" s="147" t="s">
        <v>74</v>
      </c>
      <c r="E6109" s="135">
        <f t="shared" si="59"/>
        <v>6</v>
      </c>
      <c r="F6109" s="134" t="s">
        <v>4005</v>
      </c>
      <c r="G6109" s="63" t="str">
        <f>VLOOKUP(C6109, 'Class Def. - General Data'!$C$20:$C$1000,1,false)</f>
        <v>ZRM1_Perfume</v>
      </c>
      <c r="H6109" s="63" t="str">
        <f>IFERROR(__xludf.DUMMYFUNCTION("VLOOKUP(F6109, IMPORTRANGE(""https://docs.google.com/spreadsheets/d/1Lhp9OU0JdFf_VYSMzH5lBcEaU4o8teT1piV-SNzShjg/edit?gid=554141278#gid=554141278"", ""'Char Def. - Attributes'!C20:C2242""), 1,false)"),"NATURE_ORIGIN")</f>
        <v>NATURE_ORIGIN</v>
      </c>
      <c r="I6109" s="136"/>
    </row>
    <row r="6110" ht="15.75" customHeight="1">
      <c r="B6110" s="63">
        <f t="shared" si="1"/>
        <v>12</v>
      </c>
      <c r="C6110" s="156" t="s">
        <v>224</v>
      </c>
      <c r="D6110" s="147" t="s">
        <v>74</v>
      </c>
      <c r="E6110" s="135">
        <f t="shared" si="59"/>
        <v>7</v>
      </c>
      <c r="F6110" s="134" t="s">
        <v>4006</v>
      </c>
      <c r="G6110" s="63" t="str">
        <f>VLOOKUP(C6110, 'Class Def. - General Data'!$C$20:$C$1000,1,false)</f>
        <v>ZRM1_Perfume</v>
      </c>
      <c r="H6110" s="63" t="str">
        <f>IFERROR(__xludf.DUMMYFUNCTION("VLOOKUP(F6110, IMPORTRANGE(""https://docs.google.com/spreadsheets/d/1Lhp9OU0JdFf_VYSMzH5lBcEaU4o8teT1piV-SNzShjg/edit?gid=554141278#gid=554141278"", ""'Char Def. - Attributes'!C20:C2242""), 1,false)"),"CATEGORY_ITEM")</f>
        <v>CATEGORY_ITEM</v>
      </c>
      <c r="I6110" s="136"/>
    </row>
    <row r="6111" ht="15.75" customHeight="1">
      <c r="B6111" s="63">
        <f t="shared" si="1"/>
        <v>12</v>
      </c>
      <c r="C6111" s="156" t="s">
        <v>224</v>
      </c>
      <c r="D6111" s="147" t="s">
        <v>74</v>
      </c>
      <c r="E6111" s="135">
        <f t="shared" si="59"/>
        <v>8</v>
      </c>
      <c r="F6111" s="134" t="s">
        <v>4024</v>
      </c>
      <c r="G6111" s="63" t="str">
        <f>VLOOKUP(C6111, 'Class Def. - General Data'!$C$20:$C$1000,1,false)</f>
        <v>ZRM1_Perfume</v>
      </c>
      <c r="H6111" s="63" t="str">
        <f>IFERROR(__xludf.DUMMYFUNCTION("VLOOKUP(F6111, IMPORTRANGE(""https://docs.google.com/spreadsheets/d/1Lhp9OU0JdFf_VYSMzH5lBcEaU4o8teT1piV-SNzShjg/edit?gid=554141278#gid=554141278"", ""'Char Def. - Attributes'!C20:C2242""), 1,false)"),"PURITY_LEVEL")</f>
        <v>PURITY_LEVEL</v>
      </c>
      <c r="I6111" s="136"/>
    </row>
    <row r="6112" ht="15.75" customHeight="1">
      <c r="B6112" s="63">
        <f t="shared" si="1"/>
        <v>12</v>
      </c>
      <c r="C6112" s="156" t="s">
        <v>224</v>
      </c>
      <c r="D6112" s="147" t="s">
        <v>74</v>
      </c>
      <c r="E6112" s="135">
        <f t="shared" si="59"/>
        <v>9</v>
      </c>
      <c r="F6112" s="134" t="s">
        <v>4007</v>
      </c>
      <c r="G6112" s="63" t="str">
        <f>VLOOKUP(C6112, 'Class Def. - General Data'!$C$20:$C$1000,1,false)</f>
        <v>ZRM1_Perfume</v>
      </c>
      <c r="H6112" s="63" t="str">
        <f>IFERROR(__xludf.DUMMYFUNCTION("VLOOKUP(F6112, IMPORTRANGE(""https://docs.google.com/spreadsheets/d/1Lhp9OU0JdFf_VYSMzH5lBcEaU4o8teT1piV-SNzShjg/edit?gid=554141278#gid=554141278"", ""'Char Def. - Attributes'!C20:C2242""), 1,false)"),"FUNCTION1")</f>
        <v>FUNCTION1</v>
      </c>
      <c r="I6112" s="136"/>
    </row>
    <row r="6113" ht="15.75" customHeight="1">
      <c r="A6113" s="59"/>
      <c r="B6113" s="63">
        <f t="shared" si="1"/>
        <v>12</v>
      </c>
      <c r="C6113" s="156" t="s">
        <v>224</v>
      </c>
      <c r="D6113" s="147" t="s">
        <v>74</v>
      </c>
      <c r="E6113" s="135">
        <f t="shared" si="59"/>
        <v>10</v>
      </c>
      <c r="F6113" s="134" t="s">
        <v>4008</v>
      </c>
      <c r="G6113" s="63" t="str">
        <f>VLOOKUP(C6113, 'Class Def. - General Data'!$C$20:$C$1000,1,false)</f>
        <v>ZRM1_Perfume</v>
      </c>
      <c r="H6113" s="63" t="str">
        <f>IFERROR(__xludf.DUMMYFUNCTION("VLOOKUP(F6113, IMPORTRANGE(""https://docs.google.com/spreadsheets/d/1Lhp9OU0JdFf_VYSMzH5lBcEaU4o8teT1piV-SNzShjg/edit?gid=554141278#gid=554141278"", ""'Char Def. - Attributes'!C20:C2242""), 1,false)"),"PREFERENSI_KURS")</f>
        <v>PREFERENSI_KURS</v>
      </c>
      <c r="I6113" s="136"/>
    </row>
    <row r="6114" ht="15.75" customHeight="1">
      <c r="A6114" s="59"/>
      <c r="B6114" s="63">
        <f t="shared" si="1"/>
        <v>12</v>
      </c>
      <c r="C6114" s="156" t="s">
        <v>224</v>
      </c>
      <c r="D6114" s="147" t="s">
        <v>74</v>
      </c>
      <c r="E6114" s="135">
        <f t="shared" si="59"/>
        <v>11</v>
      </c>
      <c r="F6114" s="134" t="s">
        <v>3868</v>
      </c>
      <c r="G6114" s="63" t="str">
        <f>VLOOKUP(C6114, 'Class Def. - General Data'!$C$20:$C$1000,1,false)</f>
        <v>ZRM1_Perfume</v>
      </c>
      <c r="H6114" s="63" t="str">
        <f>IFERROR(__xludf.DUMMYFUNCTION("VLOOKUP(F6114, IMPORTRANGE(""https://docs.google.com/spreadsheets/d/1Lhp9OU0JdFf_VYSMzH5lBcEaU4o8teT1piV-SNzShjg/edit?gid=554141278#gid=554141278"", ""'Char Def. - Attributes'!C20:C2242""), 1,false)"),"BASIC_UOM_RMPM")</f>
        <v>BASIC_UOM_RMPM</v>
      </c>
      <c r="I6114" s="136"/>
    </row>
    <row r="6115" ht="15.75" customHeight="1">
      <c r="A6115" s="59"/>
      <c r="B6115" s="63">
        <f t="shared" si="1"/>
        <v>12</v>
      </c>
      <c r="C6115" s="156" t="s">
        <v>224</v>
      </c>
      <c r="D6115" s="147" t="s">
        <v>74</v>
      </c>
      <c r="E6115" s="135">
        <f t="shared" si="59"/>
        <v>12</v>
      </c>
      <c r="F6115" s="134" t="s">
        <v>3869</v>
      </c>
      <c r="G6115" s="63" t="str">
        <f>VLOOKUP(C6115, 'Class Def. - General Data'!$C$20:$C$1000,1,false)</f>
        <v>ZRM1_Perfume</v>
      </c>
      <c r="H6115" s="63" t="str">
        <f>IFERROR(__xludf.DUMMYFUNCTION("VLOOKUP(F6115, IMPORTRANGE(""https://docs.google.com/spreadsheets/d/1Lhp9OU0JdFf_VYSMzH5lBcEaU4o8teT1piV-SNzShjg/edit?gid=554141278#gid=554141278"", ""'Char Def. - Attributes'!C20:C2242""), 1,false)"),"ALT_UOM1_RMPM")</f>
        <v>ALT_UOM1_RMPM</v>
      </c>
      <c r="I6115" s="136"/>
    </row>
    <row r="6116" ht="15.75" customHeight="1">
      <c r="A6116" s="59"/>
      <c r="B6116" s="63">
        <f t="shared" si="1"/>
        <v>12</v>
      </c>
      <c r="C6116" s="156" t="s">
        <v>224</v>
      </c>
      <c r="D6116" s="147" t="s">
        <v>74</v>
      </c>
      <c r="E6116" s="135">
        <f t="shared" si="59"/>
        <v>13</v>
      </c>
      <c r="F6116" s="134" t="s">
        <v>3805</v>
      </c>
      <c r="G6116" s="63" t="str">
        <f>VLOOKUP(C6116, 'Class Def. - General Data'!$C$20:$C$1000,1,false)</f>
        <v>ZRM1_Perfume</v>
      </c>
      <c r="H6116" s="63" t="str">
        <f>IFERROR(__xludf.DUMMYFUNCTION("VLOOKUP(F6116, IMPORTRANGE(""https://docs.google.com/spreadsheets/d/1Lhp9OU0JdFf_VYSMzH5lBcEaU4o8teT1piV-SNzShjg/edit?gid=554141278#gid=554141278"", ""'Char Def. - Attributes'!C20:C2242""), 1,false)"),"ALT_DENUM_UOM1")</f>
        <v>ALT_DENUM_UOM1</v>
      </c>
      <c r="I6116" s="136"/>
    </row>
    <row r="6117" ht="15.75" customHeight="1">
      <c r="A6117" s="59"/>
      <c r="B6117" s="63">
        <f t="shared" si="1"/>
        <v>12</v>
      </c>
      <c r="C6117" s="156" t="s">
        <v>224</v>
      </c>
      <c r="D6117" s="147" t="s">
        <v>74</v>
      </c>
      <c r="E6117" s="135">
        <f t="shared" si="59"/>
        <v>14</v>
      </c>
      <c r="F6117" s="134" t="s">
        <v>3806</v>
      </c>
      <c r="G6117" s="63" t="str">
        <f>VLOOKUP(C6117, 'Class Def. - General Data'!$C$20:$C$1000,1,false)</f>
        <v>ZRM1_Perfume</v>
      </c>
      <c r="H6117" s="63" t="str">
        <f>IFERROR(__xludf.DUMMYFUNCTION("VLOOKUP(F6117, IMPORTRANGE(""https://docs.google.com/spreadsheets/d/1Lhp9OU0JdFf_VYSMzH5lBcEaU4o8teT1piV-SNzShjg/edit?gid=554141278#gid=554141278"", ""'Char Def. - Attributes'!C20:C2242""), 1,false)"),"ALT_NUM_UOM1")</f>
        <v>ALT_NUM_UOM1</v>
      </c>
      <c r="I6117" s="136"/>
    </row>
    <row r="6118" ht="15.75" customHeight="1">
      <c r="A6118" s="59"/>
      <c r="B6118" s="63">
        <f t="shared" si="1"/>
        <v>12</v>
      </c>
      <c r="C6118" s="156" t="s">
        <v>224</v>
      </c>
      <c r="D6118" s="147" t="s">
        <v>74</v>
      </c>
      <c r="E6118" s="135">
        <f t="shared" si="59"/>
        <v>15</v>
      </c>
      <c r="F6118" s="134" t="s">
        <v>3870</v>
      </c>
      <c r="G6118" s="63" t="str">
        <f>VLOOKUP(C6118, 'Class Def. - General Data'!$C$20:$C$1000,1,false)</f>
        <v>ZRM1_Perfume</v>
      </c>
      <c r="H6118" s="63" t="str">
        <f>IFERROR(__xludf.DUMMYFUNCTION("VLOOKUP(F6118, IMPORTRANGE(""https://docs.google.com/spreadsheets/d/1Lhp9OU0JdFf_VYSMzH5lBcEaU4o8teT1piV-SNzShjg/edit?gid=554141278#gid=554141278"", ""'Char Def. - Attributes'!C20:C2242""), 1,false)"),"ALT_UOM2_RMPM")</f>
        <v>ALT_UOM2_RMPM</v>
      </c>
      <c r="I6118" s="136"/>
    </row>
    <row r="6119" ht="15.75" customHeight="1">
      <c r="A6119" s="59"/>
      <c r="B6119" s="63">
        <f t="shared" si="1"/>
        <v>12</v>
      </c>
      <c r="C6119" s="156" t="s">
        <v>224</v>
      </c>
      <c r="D6119" s="147" t="s">
        <v>74</v>
      </c>
      <c r="E6119" s="135">
        <f t="shared" si="59"/>
        <v>16</v>
      </c>
      <c r="F6119" s="134" t="s">
        <v>3808</v>
      </c>
      <c r="G6119" s="63" t="str">
        <f>VLOOKUP(C6119, 'Class Def. - General Data'!$C$20:$C$1000,1,false)</f>
        <v>ZRM1_Perfume</v>
      </c>
      <c r="H6119" s="63" t="str">
        <f>IFERROR(__xludf.DUMMYFUNCTION("VLOOKUP(F6119, IMPORTRANGE(""https://docs.google.com/spreadsheets/d/1Lhp9OU0JdFf_VYSMzH5lBcEaU4o8teT1piV-SNzShjg/edit?gid=554141278#gid=554141278"", ""'Char Def. - Attributes'!C20:C2242""), 1,false)"),"ALT_DENUM_UOM2")</f>
        <v>ALT_DENUM_UOM2</v>
      </c>
      <c r="I6119" s="136"/>
    </row>
    <row r="6120" ht="15.75" customHeight="1">
      <c r="A6120" s="59"/>
      <c r="B6120" s="63">
        <f t="shared" si="1"/>
        <v>12</v>
      </c>
      <c r="C6120" s="156" t="s">
        <v>224</v>
      </c>
      <c r="D6120" s="147" t="s">
        <v>74</v>
      </c>
      <c r="E6120" s="135">
        <f t="shared" si="59"/>
        <v>17</v>
      </c>
      <c r="F6120" s="134" t="s">
        <v>3809</v>
      </c>
      <c r="G6120" s="63" t="str">
        <f>VLOOKUP(C6120, 'Class Def. - General Data'!$C$20:$C$1000,1,false)</f>
        <v>ZRM1_Perfume</v>
      </c>
      <c r="H6120" s="63" t="str">
        <f>IFERROR(__xludf.DUMMYFUNCTION("VLOOKUP(F6120, IMPORTRANGE(""https://docs.google.com/spreadsheets/d/1Lhp9OU0JdFf_VYSMzH5lBcEaU4o8teT1piV-SNzShjg/edit?gid=554141278#gid=554141278"", ""'Char Def. - Attributes'!C20:C2242""), 1,false)"),"ALT_NUM_UOM2")</f>
        <v>ALT_NUM_UOM2</v>
      </c>
      <c r="I6120" s="136"/>
    </row>
    <row r="6121" ht="15.75" customHeight="1">
      <c r="A6121" s="59"/>
      <c r="B6121" s="63">
        <f t="shared" si="1"/>
        <v>12</v>
      </c>
      <c r="C6121" s="156" t="s">
        <v>224</v>
      </c>
      <c r="D6121" s="147" t="s">
        <v>74</v>
      </c>
      <c r="E6121" s="135">
        <f t="shared" si="59"/>
        <v>18</v>
      </c>
      <c r="F6121" s="134" t="s">
        <v>3871</v>
      </c>
      <c r="G6121" s="63" t="str">
        <f>VLOOKUP(C6121, 'Class Def. - General Data'!$C$20:$C$1000,1,false)</f>
        <v>ZRM1_Perfume</v>
      </c>
      <c r="H6121" s="63" t="str">
        <f>IFERROR(__xludf.DUMMYFUNCTION("VLOOKUP(F6121, IMPORTRANGE(""https://docs.google.com/spreadsheets/d/1Lhp9OU0JdFf_VYSMzH5lBcEaU4o8teT1piV-SNzShjg/edit?gid=554141278#gid=554141278"", ""'Char Def. - Attributes'!C20:C2242""), 1,false)"),"ALT_UOM3_RMPM")</f>
        <v>ALT_UOM3_RMPM</v>
      </c>
      <c r="I6121" s="136"/>
    </row>
    <row r="6122" ht="15.75" customHeight="1">
      <c r="A6122" s="59"/>
      <c r="B6122" s="63">
        <f t="shared" si="1"/>
        <v>12</v>
      </c>
      <c r="C6122" s="156" t="s">
        <v>224</v>
      </c>
      <c r="D6122" s="147" t="s">
        <v>74</v>
      </c>
      <c r="E6122" s="135">
        <f t="shared" si="59"/>
        <v>19</v>
      </c>
      <c r="F6122" s="134" t="s">
        <v>3811</v>
      </c>
      <c r="G6122" s="63" t="str">
        <f>VLOOKUP(C6122, 'Class Def. - General Data'!$C$20:$C$1000,1,false)</f>
        <v>ZRM1_Perfume</v>
      </c>
      <c r="H6122" s="63" t="str">
        <f>IFERROR(__xludf.DUMMYFUNCTION("VLOOKUP(F6122, IMPORTRANGE(""https://docs.google.com/spreadsheets/d/1Lhp9OU0JdFf_VYSMzH5lBcEaU4o8teT1piV-SNzShjg/edit?gid=554141278#gid=554141278"", ""'Char Def. - Attributes'!C20:C2242""), 1,false)"),"ALT_DENUM_UOM3")</f>
        <v>ALT_DENUM_UOM3</v>
      </c>
      <c r="I6122" s="136"/>
    </row>
    <row r="6123" ht="15.75" customHeight="1">
      <c r="A6123" s="59"/>
      <c r="B6123" s="63">
        <f t="shared" si="1"/>
        <v>12</v>
      </c>
      <c r="C6123" s="156" t="s">
        <v>224</v>
      </c>
      <c r="D6123" s="147" t="s">
        <v>74</v>
      </c>
      <c r="E6123" s="135">
        <f t="shared" si="59"/>
        <v>20</v>
      </c>
      <c r="F6123" s="134" t="s">
        <v>3812</v>
      </c>
      <c r="G6123" s="63" t="str">
        <f>VLOOKUP(C6123, 'Class Def. - General Data'!$C$20:$C$1000,1,false)</f>
        <v>ZRM1_Perfume</v>
      </c>
      <c r="H6123" s="63" t="str">
        <f>IFERROR(__xludf.DUMMYFUNCTION("VLOOKUP(F6123, IMPORTRANGE(""https://docs.google.com/spreadsheets/d/1Lhp9OU0JdFf_VYSMzH5lBcEaU4o8teT1piV-SNzShjg/edit?gid=554141278#gid=554141278"", ""'Char Def. - Attributes'!C20:C2242""), 1,false)"),"ALT_NUM_UOM3")</f>
        <v>ALT_NUM_UOM3</v>
      </c>
      <c r="I6123" s="136"/>
    </row>
    <row r="6124" ht="15.75" customHeight="1">
      <c r="A6124" s="59"/>
      <c r="B6124" s="63">
        <f t="shared" si="1"/>
        <v>12</v>
      </c>
      <c r="C6124" s="156" t="s">
        <v>224</v>
      </c>
      <c r="D6124" s="147" t="s">
        <v>74</v>
      </c>
      <c r="E6124" s="135">
        <f t="shared" si="59"/>
        <v>21</v>
      </c>
      <c r="F6124" s="134" t="s">
        <v>3872</v>
      </c>
      <c r="G6124" s="63" t="str">
        <f>VLOOKUP(C6124, 'Class Def. - General Data'!$C$20:$C$1000,1,false)</f>
        <v>ZRM1_Perfume</v>
      </c>
      <c r="H6124" s="63" t="str">
        <f>IFERROR(__xludf.DUMMYFUNCTION("VLOOKUP(F6124, IMPORTRANGE(""https://docs.google.com/spreadsheets/d/1Lhp9OU0JdFf_VYSMzH5lBcEaU4o8teT1piV-SNzShjg/edit?gid=554141278#gid=554141278"", ""'Char Def. - Attributes'!C20:C2242""), 1,false)"),"ALT_UOM4_RMPM")</f>
        <v>ALT_UOM4_RMPM</v>
      </c>
      <c r="I6124" s="136"/>
    </row>
    <row r="6125" ht="15.75" customHeight="1">
      <c r="A6125" s="59"/>
      <c r="B6125" s="63">
        <f t="shared" si="1"/>
        <v>12</v>
      </c>
      <c r="C6125" s="156" t="s">
        <v>224</v>
      </c>
      <c r="D6125" s="147" t="s">
        <v>74</v>
      </c>
      <c r="E6125" s="135">
        <f t="shared" si="59"/>
        <v>22</v>
      </c>
      <c r="F6125" s="134" t="s">
        <v>3814</v>
      </c>
      <c r="G6125" s="63" t="str">
        <f>VLOOKUP(C6125, 'Class Def. - General Data'!$C$20:$C$1000,1,false)</f>
        <v>ZRM1_Perfume</v>
      </c>
      <c r="H6125" s="63" t="str">
        <f>IFERROR(__xludf.DUMMYFUNCTION("VLOOKUP(F6125, IMPORTRANGE(""https://docs.google.com/spreadsheets/d/1Lhp9OU0JdFf_VYSMzH5lBcEaU4o8teT1piV-SNzShjg/edit?gid=554141278#gid=554141278"", ""'Char Def. - Attributes'!C20:C2242""), 1,false)"),"ALT_DENUM_UOM4")</f>
        <v>ALT_DENUM_UOM4</v>
      </c>
      <c r="I6125" s="136"/>
    </row>
    <row r="6126" ht="15.75" customHeight="1">
      <c r="A6126" s="59"/>
      <c r="B6126" s="63">
        <f t="shared" si="1"/>
        <v>12</v>
      </c>
      <c r="C6126" s="156" t="s">
        <v>224</v>
      </c>
      <c r="D6126" s="147" t="s">
        <v>74</v>
      </c>
      <c r="E6126" s="135">
        <f t="shared" si="59"/>
        <v>23</v>
      </c>
      <c r="F6126" s="134" t="s">
        <v>3815</v>
      </c>
      <c r="G6126" s="63" t="str">
        <f>VLOOKUP(C6126, 'Class Def. - General Data'!$C$20:$C$1000,1,false)</f>
        <v>ZRM1_Perfume</v>
      </c>
      <c r="H6126" s="63" t="str">
        <f>IFERROR(__xludf.DUMMYFUNCTION("VLOOKUP(F6126, IMPORTRANGE(""https://docs.google.com/spreadsheets/d/1Lhp9OU0JdFf_VYSMzH5lBcEaU4o8teT1piV-SNzShjg/edit?gid=554141278#gid=554141278"", ""'Char Def. - Attributes'!C20:C2242""), 1,false)"),"ALT_NUM_UOM4")</f>
        <v>ALT_NUM_UOM4</v>
      </c>
      <c r="I6126" s="136"/>
    </row>
    <row r="6127" ht="15.75" customHeight="1">
      <c r="A6127" s="59"/>
      <c r="B6127" s="63">
        <f t="shared" si="1"/>
        <v>12</v>
      </c>
      <c r="C6127" s="156" t="s">
        <v>224</v>
      </c>
      <c r="D6127" s="147" t="s">
        <v>74</v>
      </c>
      <c r="E6127" s="135">
        <f t="shared" si="59"/>
        <v>24</v>
      </c>
      <c r="F6127" s="134" t="s">
        <v>3873</v>
      </c>
      <c r="G6127" s="63" t="str">
        <f>VLOOKUP(C6127, 'Class Def. - General Data'!$C$20:$C$1000,1,false)</f>
        <v>ZRM1_Perfume</v>
      </c>
      <c r="H6127" s="63" t="str">
        <f>IFERROR(__xludf.DUMMYFUNCTION("VLOOKUP(F6127, IMPORTRANGE(""https://docs.google.com/spreadsheets/d/1Lhp9OU0JdFf_VYSMzH5lBcEaU4o8teT1piV-SNzShjg/edit?gid=554141278#gid=554141278"", ""'Char Def. - Attributes'!C20:C2242""), 1,false)"),"ALT_UOM5_RMPM")</f>
        <v>ALT_UOM5_RMPM</v>
      </c>
      <c r="I6127" s="136"/>
    </row>
    <row r="6128" ht="15.75" customHeight="1">
      <c r="B6128" s="63">
        <f t="shared" si="1"/>
        <v>12</v>
      </c>
      <c r="C6128" s="156" t="s">
        <v>224</v>
      </c>
      <c r="D6128" s="147" t="s">
        <v>74</v>
      </c>
      <c r="E6128" s="135">
        <f t="shared" si="59"/>
        <v>25</v>
      </c>
      <c r="F6128" s="134" t="s">
        <v>3817</v>
      </c>
      <c r="G6128" s="63" t="str">
        <f>VLOOKUP(C6128, 'Class Def. - General Data'!$C$20:$C$1000,1,false)</f>
        <v>ZRM1_Perfume</v>
      </c>
      <c r="H6128" s="63" t="str">
        <f>IFERROR(__xludf.DUMMYFUNCTION("VLOOKUP(F6128, IMPORTRANGE(""https://docs.google.com/spreadsheets/d/1Lhp9OU0JdFf_VYSMzH5lBcEaU4o8teT1piV-SNzShjg/edit?gid=554141278#gid=554141278"", ""'Char Def. - Attributes'!C20:C2242""), 1,false)"),"ALT_DENUM_UOM5")</f>
        <v>ALT_DENUM_UOM5</v>
      </c>
      <c r="I6128" s="136"/>
    </row>
    <row r="6129" ht="15.75" customHeight="1">
      <c r="B6129" s="63">
        <f t="shared" si="1"/>
        <v>12</v>
      </c>
      <c r="C6129" s="156" t="s">
        <v>224</v>
      </c>
      <c r="D6129" s="147" t="s">
        <v>74</v>
      </c>
      <c r="E6129" s="135">
        <f t="shared" si="59"/>
        <v>26</v>
      </c>
      <c r="F6129" s="134" t="s">
        <v>3818</v>
      </c>
      <c r="G6129" s="63" t="str">
        <f>VLOOKUP(C6129, 'Class Def. - General Data'!$C$20:$C$1000,1,false)</f>
        <v>ZRM1_Perfume</v>
      </c>
      <c r="H6129" s="63" t="str">
        <f>IFERROR(__xludf.DUMMYFUNCTION("VLOOKUP(F6129, IMPORTRANGE(""https://docs.google.com/spreadsheets/d/1Lhp9OU0JdFf_VYSMzH5lBcEaU4o8teT1piV-SNzShjg/edit?gid=554141278#gid=554141278"", ""'Char Def. - Attributes'!C20:C2242""), 1,false)"),"ALT_NUM_UOM5")</f>
        <v>ALT_NUM_UOM5</v>
      </c>
      <c r="I6129" s="136"/>
    </row>
    <row r="6130" ht="15.75" customHeight="1">
      <c r="A6130" s="158"/>
      <c r="B6130" s="63">
        <f t="shared" si="1"/>
        <v>12</v>
      </c>
      <c r="C6130" s="156" t="s">
        <v>224</v>
      </c>
      <c r="D6130" s="147" t="s">
        <v>74</v>
      </c>
      <c r="E6130" s="135">
        <f t="shared" si="59"/>
        <v>27</v>
      </c>
      <c r="F6130" s="134" t="s">
        <v>3874</v>
      </c>
      <c r="G6130" s="63" t="str">
        <f>VLOOKUP(C6130, 'Class Def. - General Data'!$C$20:$C$1000,1,false)</f>
        <v>ZRM1_Perfume</v>
      </c>
      <c r="H6130" s="63" t="str">
        <f>IFERROR(__xludf.DUMMYFUNCTION("VLOOKUP(F6130, IMPORTRANGE(""https://docs.google.com/spreadsheets/d/1Lhp9OU0JdFf_VYSMzH5lBcEaU4o8teT1piV-SNzShjg/edit?gid=554141278#gid=554141278"", ""'Char Def. - Attributes'!C20:C2242""), 1,false)"),"VALUATION_CATEGORY")</f>
        <v>VALUATION_CATEGORY</v>
      </c>
      <c r="I6130" s="136"/>
    </row>
    <row r="6131" ht="15.75" customHeight="1">
      <c r="A6131" s="158"/>
      <c r="B6131" s="63">
        <f t="shared" si="1"/>
        <v>12</v>
      </c>
      <c r="C6131" s="156" t="s">
        <v>224</v>
      </c>
      <c r="D6131" s="147" t="s">
        <v>74</v>
      </c>
      <c r="E6131" s="135">
        <f t="shared" si="59"/>
        <v>28</v>
      </c>
      <c r="F6131" s="134" t="s">
        <v>3800</v>
      </c>
      <c r="G6131" s="63" t="str">
        <f>VLOOKUP(C6131, 'Class Def. - General Data'!$C$20:$C$1000,1,false)</f>
        <v>ZRM1_Perfume</v>
      </c>
      <c r="H6131" s="63" t="str">
        <f>IFERROR(__xludf.DUMMYFUNCTION("VLOOKUP(F6131, IMPORTRANGE(""https://docs.google.com/spreadsheets/d/1Lhp9OU0JdFf_VYSMzH5lBcEaU4o8teT1piV-SNzShjg/edit?gid=554141278#gid=554141278"", ""'Char Def. - Attributes'!C20:C2242""), 1,false)"),"ORDER_UNIT_DIFF_FROM_BASIC_UOM")</f>
        <v>ORDER_UNIT_DIFF_FROM_BASIC_UOM</v>
      </c>
      <c r="I6131" s="136"/>
    </row>
    <row r="6132" ht="15.75" customHeight="1">
      <c r="A6132" s="158"/>
      <c r="B6132" s="63">
        <f t="shared" si="1"/>
        <v>12</v>
      </c>
      <c r="C6132" s="156" t="s">
        <v>224</v>
      </c>
      <c r="D6132" s="147" t="s">
        <v>74</v>
      </c>
      <c r="E6132" s="135">
        <f t="shared" si="59"/>
        <v>29</v>
      </c>
      <c r="F6132" s="134" t="s">
        <v>3875</v>
      </c>
      <c r="G6132" s="63" t="str">
        <f>VLOOKUP(C6132, 'Class Def. - General Data'!$C$20:$C$1000,1,false)</f>
        <v>ZRM1_Perfume</v>
      </c>
      <c r="H6132" s="63" t="str">
        <f>IFERROR(__xludf.DUMMYFUNCTION("VLOOKUP(F6132, IMPORTRANGE(""https://docs.google.com/spreadsheets/d/1Lhp9OU0JdFf_VYSMzH5lBcEaU4o8teT1piV-SNzShjg/edit?gid=554141278#gid=554141278"", ""'Char Def. - Attributes'!C20:C2242""), 1,false)"),"ORDER_UNIT_RMPM")</f>
        <v>ORDER_UNIT_RMPM</v>
      </c>
      <c r="I6132" s="136"/>
    </row>
    <row r="6133" ht="15.75" customHeight="1">
      <c r="A6133" s="59"/>
      <c r="B6133" s="63">
        <f t="shared" si="1"/>
        <v>12</v>
      </c>
      <c r="C6133" s="156" t="s">
        <v>224</v>
      </c>
      <c r="D6133" s="147" t="s">
        <v>74</v>
      </c>
      <c r="E6133" s="135">
        <f t="shared" si="59"/>
        <v>30</v>
      </c>
      <c r="F6133" s="134" t="s">
        <v>3602</v>
      </c>
      <c r="G6133" s="63" t="str">
        <f>VLOOKUP(C6133, 'Class Def. - General Data'!$C$20:$C$1000,1,false)</f>
        <v>ZRM1_Perfume</v>
      </c>
      <c r="H6133" s="63" t="str">
        <f>IFERROR(__xludf.DUMMYFUNCTION("VLOOKUP(F6133, IMPORTRANGE(""https://docs.google.com/spreadsheets/d/1Lhp9OU0JdFf_VYSMzH5lBcEaU4o8teT1piV-SNzShjg/edit?gid=554141278#gid=554141278"", ""'Char Def. - Attributes'!C20:C2242""), 1,false)"),"NET_WEIGHT")</f>
        <v>NET_WEIGHT</v>
      </c>
      <c r="I6133" s="136"/>
    </row>
    <row r="6134" ht="15.75" customHeight="1">
      <c r="B6134" s="63">
        <f t="shared" si="1"/>
        <v>12</v>
      </c>
      <c r="C6134" s="156" t="s">
        <v>224</v>
      </c>
      <c r="D6134" s="147" t="s">
        <v>74</v>
      </c>
      <c r="E6134" s="135">
        <f t="shared" si="59"/>
        <v>31</v>
      </c>
      <c r="F6134" s="134" t="s">
        <v>3601</v>
      </c>
      <c r="G6134" s="63" t="str">
        <f>VLOOKUP(C6134, 'Class Def. - General Data'!$C$20:$C$1000,1,false)</f>
        <v>ZRM1_Perfume</v>
      </c>
      <c r="H6134" s="63" t="str">
        <f>IFERROR(__xludf.DUMMYFUNCTION("VLOOKUP(F6134, IMPORTRANGE(""https://docs.google.com/spreadsheets/d/1Lhp9OU0JdFf_VYSMzH5lBcEaU4o8teT1piV-SNzShjg/edit?gid=554141278#gid=554141278"", ""'Char Def. - Attributes'!C20:C2242""), 1,false)"),"GROSS_WEIGHT")</f>
        <v>GROSS_WEIGHT</v>
      </c>
      <c r="I6134" s="136"/>
    </row>
    <row r="6135" ht="15.75" customHeight="1">
      <c r="B6135" s="63">
        <f t="shared" si="1"/>
        <v>12</v>
      </c>
      <c r="C6135" s="156" t="s">
        <v>224</v>
      </c>
      <c r="D6135" s="147" t="s">
        <v>74</v>
      </c>
      <c r="E6135" s="135">
        <f t="shared" si="59"/>
        <v>32</v>
      </c>
      <c r="F6135" s="134" t="s">
        <v>3996</v>
      </c>
      <c r="G6135" s="63" t="str">
        <f>VLOOKUP(C6135, 'Class Def. - General Data'!$C$20:$C$1000,1,false)</f>
        <v>ZRM1_Perfume</v>
      </c>
      <c r="H6135" s="63" t="str">
        <f>IFERROR(__xludf.DUMMYFUNCTION("VLOOKUP(F6135, IMPORTRANGE(""https://docs.google.com/spreadsheets/d/1Lhp9OU0JdFf_VYSMzH5lBcEaU4o8teT1piV-SNzShjg/edit?gid=554141278#gid=554141278"", ""'Char Def. - Attributes'!C20:C2242""), 1,false)"),"WEIGHT_UNIT")</f>
        <v>WEIGHT_UNIT</v>
      </c>
      <c r="I6135" s="136"/>
    </row>
    <row r="6136" ht="15.75" customHeight="1">
      <c r="B6136" s="63">
        <f t="shared" si="1"/>
        <v>12</v>
      </c>
      <c r="C6136" s="156" t="s">
        <v>224</v>
      </c>
      <c r="D6136" s="147" t="s">
        <v>74</v>
      </c>
      <c r="E6136" s="135">
        <f t="shared" si="59"/>
        <v>33</v>
      </c>
      <c r="F6136" s="134" t="s">
        <v>3877</v>
      </c>
      <c r="G6136" s="63" t="str">
        <f>VLOOKUP(C6136, 'Class Def. - General Data'!$C$20:$C$1000,1,false)</f>
        <v>ZRM1_Perfume</v>
      </c>
      <c r="H6136" s="63" t="str">
        <f>IFERROR(__xludf.DUMMYFUNCTION("VLOOKUP(F6136, IMPORTRANGE(""https://docs.google.com/spreadsheets/d/1Lhp9OU0JdFf_VYSMzH5lBcEaU4o8teT1piV-SNzShjg/edit?gid=554141278#gid=554141278"", ""'Char Def. - Attributes'!C20:C2242""), 1,false)"),"VOLUME_OPT")</f>
        <v>VOLUME_OPT</v>
      </c>
      <c r="I6136" s="136"/>
    </row>
    <row r="6137" ht="15.75" customHeight="1">
      <c r="A6137" s="59"/>
      <c r="B6137" s="63">
        <f t="shared" si="1"/>
        <v>12</v>
      </c>
      <c r="C6137" s="156" t="s">
        <v>224</v>
      </c>
      <c r="D6137" s="147" t="s">
        <v>74</v>
      </c>
      <c r="E6137" s="135">
        <f t="shared" si="59"/>
        <v>34</v>
      </c>
      <c r="F6137" s="134" t="s">
        <v>3878</v>
      </c>
      <c r="G6137" s="63" t="str">
        <f>VLOOKUP(C6137, 'Class Def. - General Data'!$C$20:$C$1000,1,false)</f>
        <v>ZRM1_Perfume</v>
      </c>
      <c r="H6137" s="63" t="str">
        <f>IFERROR(__xludf.DUMMYFUNCTION("VLOOKUP(F6137, IMPORTRANGE(""https://docs.google.com/spreadsheets/d/1Lhp9OU0JdFf_VYSMzH5lBcEaU4o8teT1piV-SNzShjg/edit?gid=554141278#gid=554141278"", ""'Char Def. - Attributes'!C20:C2242""), 1,false)"),"VOLUME_UNIT")</f>
        <v>VOLUME_UNIT</v>
      </c>
      <c r="I6137" s="136"/>
    </row>
    <row r="6138" ht="15.75" customHeight="1">
      <c r="A6138" s="59"/>
      <c r="B6138" s="63">
        <f t="shared" si="1"/>
        <v>12</v>
      </c>
      <c r="C6138" s="156" t="s">
        <v>224</v>
      </c>
      <c r="D6138" s="147" t="s">
        <v>74</v>
      </c>
      <c r="E6138" s="135">
        <f t="shared" si="59"/>
        <v>35</v>
      </c>
      <c r="F6138" s="134" t="s">
        <v>3587</v>
      </c>
      <c r="G6138" s="63" t="str">
        <f>VLOOKUP(C6138, 'Class Def. - General Data'!$C$20:$C$1000,1,false)</f>
        <v>ZRM1_Perfume</v>
      </c>
      <c r="H6138" s="63" t="str">
        <f>IFERROR(__xludf.DUMMYFUNCTION("VLOOKUP(F6138, IMPORTRANGE(""https://docs.google.com/spreadsheets/d/1Lhp9OU0JdFf_VYSMzH5lBcEaU4o8teT1piV-SNzShjg/edit?gid=554141278#gid=554141278"", ""'Char Def. - Attributes'!C20:C2242""), 1,false)"),"PLANT_BUY")</f>
        <v>PLANT_BUY</v>
      </c>
      <c r="I6138" s="136"/>
    </row>
    <row r="6139" ht="15.75" customHeight="1">
      <c r="A6139" s="59"/>
      <c r="B6139" s="63">
        <f t="shared" si="1"/>
        <v>12</v>
      </c>
      <c r="C6139" s="156" t="s">
        <v>224</v>
      </c>
      <c r="D6139" s="147" t="s">
        <v>74</v>
      </c>
      <c r="E6139" s="135">
        <f t="shared" si="59"/>
        <v>36</v>
      </c>
      <c r="F6139" s="134" t="s">
        <v>3865</v>
      </c>
      <c r="G6139" s="63" t="str">
        <f>VLOOKUP(C6139, 'Class Def. - General Data'!$C$20:$C$1000,1,false)</f>
        <v>ZRM1_Perfume</v>
      </c>
      <c r="H6139" s="63" t="str">
        <f>IFERROR(__xludf.DUMMYFUNCTION("VLOOKUP(F6139, IMPORTRANGE(""https://docs.google.com/spreadsheets/d/1Lhp9OU0JdFf_VYSMzH5lBcEaU4o8teT1piV-SNzShjg/edit?gid=554141278#gid=554141278"", ""'Char Def. - Attributes'!C20:C2242""), 1,false)"),"PLANT_PROD_OPT")</f>
        <v>PLANT_PROD_OPT</v>
      </c>
      <c r="I6139" s="136"/>
    </row>
    <row r="6140" ht="15.75" customHeight="1">
      <c r="A6140" s="59"/>
      <c r="B6140" s="63">
        <f t="shared" si="1"/>
        <v>12</v>
      </c>
      <c r="C6140" s="156" t="s">
        <v>224</v>
      </c>
      <c r="D6140" s="147" t="s">
        <v>74</v>
      </c>
      <c r="E6140" s="135">
        <f t="shared" si="59"/>
        <v>37</v>
      </c>
      <c r="F6140" s="134" t="s">
        <v>3997</v>
      </c>
      <c r="G6140" s="63" t="str">
        <f>VLOOKUP(C6140, 'Class Def. - General Data'!$C$20:$C$1000,1,false)</f>
        <v>ZRM1_Perfume</v>
      </c>
      <c r="H6140" s="63" t="str">
        <f>IFERROR(__xludf.DUMMYFUNCTION("VLOOKUP(F6140, IMPORTRANGE(""https://docs.google.com/spreadsheets/d/1Lhp9OU0JdFf_VYSMzH5lBcEaU4o8teT1piV-SNzShjg/edit?gid=554141278#gid=554141278"", ""'Char Def. - Attributes'!C20:C2242""), 1,false)"),"OLD_MAT_NO_RMPM_OPT")</f>
        <v>OLD_MAT_NO_RMPM_OPT</v>
      </c>
      <c r="I6140" s="136"/>
    </row>
    <row r="6141" ht="15.75" customHeight="1">
      <c r="A6141" s="59"/>
      <c r="B6141" s="63">
        <f t="shared" si="1"/>
        <v>12</v>
      </c>
      <c r="C6141" s="156" t="s">
        <v>224</v>
      </c>
      <c r="D6141" s="147" t="s">
        <v>74</v>
      </c>
      <c r="E6141" s="135">
        <f t="shared" si="59"/>
        <v>38</v>
      </c>
      <c r="F6141" s="134" t="s">
        <v>3998</v>
      </c>
      <c r="G6141" s="63" t="str">
        <f>VLOOKUP(C6141, 'Class Def. - General Data'!$C$20:$C$1000,1,false)</f>
        <v>ZRM1_Perfume</v>
      </c>
      <c r="H6141" s="63" t="str">
        <f>IFERROR(__xludf.DUMMYFUNCTION("VLOOKUP(F6141, IMPORTRANGE(""https://docs.google.com/spreadsheets/d/1Lhp9OU0JdFf_VYSMzH5lBcEaU4o8teT1piV-SNzShjg/edit?gid=554141278#gid=554141278"", ""'Char Def. - Attributes'!C20:C2242""), 1,false)"),"MIN_STD_WEIGHT")</f>
        <v>MIN_STD_WEIGHT</v>
      </c>
      <c r="I6141" s="136"/>
    </row>
    <row r="6142" ht="15.75" customHeight="1">
      <c r="A6142" s="59"/>
      <c r="B6142" s="63">
        <f t="shared" si="1"/>
        <v>12</v>
      </c>
      <c r="C6142" s="156" t="s">
        <v>224</v>
      </c>
      <c r="D6142" s="147" t="s">
        <v>74</v>
      </c>
      <c r="E6142" s="135">
        <f t="shared" si="59"/>
        <v>39</v>
      </c>
      <c r="F6142" s="134" t="s">
        <v>3999</v>
      </c>
      <c r="G6142" s="63" t="str">
        <f>VLOOKUP(C6142, 'Class Def. - General Data'!$C$20:$C$1000,1,false)</f>
        <v>ZRM1_Perfume</v>
      </c>
      <c r="H6142" s="63" t="str">
        <f>IFERROR(__xludf.DUMMYFUNCTION("VLOOKUP(F6142, IMPORTRANGE(""https://docs.google.com/spreadsheets/d/1Lhp9OU0JdFf_VYSMzH5lBcEaU4o8teT1piV-SNzShjg/edit?gid=554141278#gid=554141278"", ""'Char Def. - Attributes'!C20:C2242""), 1,false)"),"MIN_STD_WEIGHT_UOM")</f>
        <v>MIN_STD_WEIGHT_UOM</v>
      </c>
      <c r="I6142" s="136"/>
    </row>
    <row r="6143" ht="15.75" customHeight="1">
      <c r="A6143" s="59"/>
      <c r="B6143" s="63">
        <f t="shared" si="1"/>
        <v>12</v>
      </c>
      <c r="C6143" s="156" t="s">
        <v>224</v>
      </c>
      <c r="D6143" s="147" t="s">
        <v>74</v>
      </c>
      <c r="E6143" s="135">
        <f t="shared" si="59"/>
        <v>40</v>
      </c>
      <c r="F6143" s="134" t="s">
        <v>3881</v>
      </c>
      <c r="G6143" s="63" t="str">
        <f>VLOOKUP(C6143, 'Class Def. - General Data'!$C$20:$C$1000,1,false)</f>
        <v>ZRM1_Perfume</v>
      </c>
      <c r="H6143" s="63" t="str">
        <f>IFERROR(__xludf.DUMMYFUNCTION("VLOOKUP(F6143, IMPORTRANGE(""https://docs.google.com/spreadsheets/d/1Lhp9OU0JdFf_VYSMzH5lBcEaU4o8teT1piV-SNzShjg/edit?gid=554141278#gid=554141278"", ""'Char Def. - Attributes'!C20:C2242""), 1,false)"),"BS_BERSIH")</f>
        <v>BS_BERSIH</v>
      </c>
      <c r="I6143" s="136"/>
    </row>
    <row r="6144" ht="15.75" customHeight="1">
      <c r="A6144" s="59"/>
      <c r="B6144" s="63">
        <f t="shared" si="1"/>
        <v>12</v>
      </c>
      <c r="C6144" s="156" t="s">
        <v>224</v>
      </c>
      <c r="D6144" s="147" t="s">
        <v>74</v>
      </c>
      <c r="E6144" s="135">
        <f t="shared" si="59"/>
        <v>41</v>
      </c>
      <c r="F6144" s="134" t="s">
        <v>3882</v>
      </c>
      <c r="G6144" s="63" t="str">
        <f>VLOOKUP(C6144, 'Class Def. - General Data'!$C$20:$C$1000,1,false)</f>
        <v>ZRM1_Perfume</v>
      </c>
      <c r="H6144" s="63" t="str">
        <f>IFERROR(__xludf.DUMMYFUNCTION("VLOOKUP(F6144, IMPORTRANGE(""https://docs.google.com/spreadsheets/d/1Lhp9OU0JdFf_VYSMzH5lBcEaU4o8teT1piV-SNzShjg/edit?gid=554141278#gid=554141278"", ""'Char Def. - Attributes'!C20:C2242""), 1,false)"),"BS_KOTOR")</f>
        <v>BS_KOTOR</v>
      </c>
      <c r="I6144" s="136"/>
    </row>
    <row r="6145" ht="15.75" customHeight="1">
      <c r="A6145" s="59"/>
      <c r="B6145" s="63">
        <f t="shared" si="1"/>
        <v>12</v>
      </c>
      <c r="C6145" s="156" t="s">
        <v>224</v>
      </c>
      <c r="D6145" s="147" t="s">
        <v>74</v>
      </c>
      <c r="E6145" s="135">
        <f t="shared" si="59"/>
        <v>42</v>
      </c>
      <c r="F6145" s="134" t="s">
        <v>3883</v>
      </c>
      <c r="G6145" s="63" t="str">
        <f>VLOOKUP(C6145, 'Class Def. - General Data'!$C$20:$C$1000,1,false)</f>
        <v>ZRM1_Perfume</v>
      </c>
      <c r="H6145" s="63" t="str">
        <f>IFERROR(__xludf.DUMMYFUNCTION("VLOOKUP(F6145, IMPORTRANGE(""https://docs.google.com/spreadsheets/d/1Lhp9OU0JdFf_VYSMzH5lBcEaU4o8teT1piV-SNzShjg/edit?gid=554141278#gid=554141278"", ""'Char Def. - Attributes'!C20:C2242""), 1,false)"),"BS_SCRAP")</f>
        <v>BS_SCRAP</v>
      </c>
      <c r="I6145" s="136"/>
    </row>
    <row r="6146" ht="15.75" customHeight="1">
      <c r="A6146" s="59"/>
      <c r="B6146" s="63">
        <f t="shared" si="1"/>
        <v>10</v>
      </c>
      <c r="C6146" s="156" t="s">
        <v>227</v>
      </c>
      <c r="D6146" s="147" t="s">
        <v>74</v>
      </c>
      <c r="E6146" s="135">
        <f t="shared" si="59"/>
        <v>1</v>
      </c>
      <c r="F6146" s="152" t="s">
        <v>4033</v>
      </c>
      <c r="G6146" s="63" t="str">
        <f>VLOOKUP(C6146, 'Class Def. - General Data'!$C$20:$C$1000,1,false)</f>
        <v>ZRM1_Resin</v>
      </c>
      <c r="H6146" s="63" t="str">
        <f>IFERROR(__xludf.DUMMYFUNCTION("VLOOKUP(F6146, IMPORTRANGE(""https://docs.google.com/spreadsheets/d/1Lhp9OU0JdFf_VYSMzH5lBcEaU4o8teT1piV-SNzShjg/edit?gid=554141278#gid=554141278"", ""'Char Def. - Attributes'!C20:C2242""), 1,false)"),"MATERIAL_CODE_RESIN")</f>
        <v>MATERIAL_CODE_RESIN</v>
      </c>
      <c r="I6146" s="136"/>
    </row>
    <row r="6147" ht="15.75" customHeight="1">
      <c r="A6147" s="59"/>
      <c r="B6147" s="63">
        <f t="shared" si="1"/>
        <v>10</v>
      </c>
      <c r="C6147" s="156" t="s">
        <v>227</v>
      </c>
      <c r="D6147" s="147" t="s">
        <v>74</v>
      </c>
      <c r="E6147" s="135">
        <f t="shared" si="59"/>
        <v>2</v>
      </c>
      <c r="F6147" s="152" t="s">
        <v>4034</v>
      </c>
      <c r="G6147" s="63" t="str">
        <f>VLOOKUP(C6147, 'Class Def. - General Data'!$C$20:$C$1000,1,false)</f>
        <v>ZRM1_Resin</v>
      </c>
      <c r="H6147" s="63" t="str">
        <f>IFERROR(__xludf.DUMMYFUNCTION("VLOOKUP(F6147, IMPORTRANGE(""https://docs.google.com/spreadsheets/d/1Lhp9OU0JdFf_VYSMzH5lBcEaU4o8teT1piV-SNzShjg/edit?gid=554141278#gid=554141278"", ""'Char Def. - Attributes'!C20:C2242""), 1,false)"),"APPLICATION_PROCESS")</f>
        <v>APPLICATION_PROCESS</v>
      </c>
      <c r="I6147" s="136"/>
    </row>
    <row r="6148" ht="15.75" customHeight="1">
      <c r="A6148" s="59"/>
      <c r="B6148" s="63">
        <f t="shared" si="1"/>
        <v>10</v>
      </c>
      <c r="C6148" s="156" t="s">
        <v>227</v>
      </c>
      <c r="D6148" s="147" t="s">
        <v>74</v>
      </c>
      <c r="E6148" s="135">
        <f t="shared" si="59"/>
        <v>3</v>
      </c>
      <c r="F6148" s="152" t="s">
        <v>3993</v>
      </c>
      <c r="G6148" s="63" t="str">
        <f>VLOOKUP(C6148, 'Class Def. - General Data'!$C$20:$C$1000,1,false)</f>
        <v>ZRM1_Resin</v>
      </c>
      <c r="H6148" s="63" t="str">
        <f>IFERROR(__xludf.DUMMYFUNCTION("VLOOKUP(F6148, IMPORTRANGE(""https://docs.google.com/spreadsheets/d/1Lhp9OU0JdFf_VYSMzH5lBcEaU4o8teT1piV-SNzShjg/edit?gid=554141278#gid=554141278"", ""'Char Def. - Attributes'!C20:C2242""), 1,false)"),"SERIAL_NO_NONFOODMASK_RESIN")</f>
        <v>SERIAL_NO_NONFOODMASK_RESIN</v>
      </c>
      <c r="I6148" s="136"/>
    </row>
    <row r="6149" ht="15.75" customHeight="1">
      <c r="A6149" s="59"/>
      <c r="B6149" s="63">
        <f t="shared" si="1"/>
        <v>10</v>
      </c>
      <c r="C6149" s="156" t="s">
        <v>227</v>
      </c>
      <c r="D6149" s="147" t="s">
        <v>74</v>
      </c>
      <c r="E6149" s="135">
        <f t="shared" si="59"/>
        <v>4</v>
      </c>
      <c r="F6149" s="152" t="s">
        <v>3994</v>
      </c>
      <c r="G6149" s="63" t="str">
        <f>VLOOKUP(C6149, 'Class Def. - General Data'!$C$20:$C$1000,1,false)</f>
        <v>ZRM1_Resin</v>
      </c>
      <c r="H6149" s="63" t="str">
        <f>IFERROR(__xludf.DUMMYFUNCTION("VLOOKUP(F6149, IMPORTRANGE(""https://docs.google.com/spreadsheets/d/1Lhp9OU0JdFf_VYSMzH5lBcEaU4o8teT1piV-SNzShjg/edit?gid=554141278#gid=554141278"", ""'Char Def. - Attributes'!C20:C2242""), 1,false)"),"RESIN_CATEGORY")</f>
        <v>RESIN_CATEGORY</v>
      </c>
      <c r="I6149" s="136"/>
    </row>
    <row r="6150" ht="15.75" customHeight="1">
      <c r="A6150" s="59"/>
      <c r="B6150" s="63">
        <f t="shared" si="1"/>
        <v>10</v>
      </c>
      <c r="C6150" s="156" t="s">
        <v>227</v>
      </c>
      <c r="D6150" s="147" t="s">
        <v>74</v>
      </c>
      <c r="E6150" s="135">
        <f t="shared" si="59"/>
        <v>5</v>
      </c>
      <c r="F6150" s="152" t="s">
        <v>4018</v>
      </c>
      <c r="G6150" s="63" t="str">
        <f>VLOOKUP(C6150, 'Class Def. - General Data'!$C$20:$C$1000,1,false)</f>
        <v>ZRM1_Resin</v>
      </c>
      <c r="H6150" s="63" t="str">
        <f>IFERROR(__xludf.DUMMYFUNCTION("VLOOKUP(F6150, IMPORTRANGE(""https://docs.google.com/spreadsheets/d/1Lhp9OU0JdFf_VYSMzH5lBcEaU4o8teT1piV-SNzShjg/edit?gid=554141278#gid=554141278"", ""'Char Def. - Attributes'!C20:C2242""), 1,false)"),"RESIN_SUBCATEGORY")</f>
        <v>RESIN_SUBCATEGORY</v>
      </c>
      <c r="I6150" s="136"/>
    </row>
    <row r="6151" ht="15.75" customHeight="1">
      <c r="A6151" s="59"/>
      <c r="B6151" s="63">
        <f t="shared" si="1"/>
        <v>10</v>
      </c>
      <c r="C6151" s="156" t="s">
        <v>227</v>
      </c>
      <c r="D6151" s="147" t="s">
        <v>74</v>
      </c>
      <c r="E6151" s="135">
        <f t="shared" si="59"/>
        <v>6</v>
      </c>
      <c r="F6151" s="152" t="s">
        <v>4019</v>
      </c>
      <c r="G6151" s="63" t="str">
        <f>VLOOKUP(C6151, 'Class Def. - General Data'!$C$20:$C$1000,1,false)</f>
        <v>ZRM1_Resin</v>
      </c>
      <c r="H6151" s="63" t="str">
        <f>IFERROR(__xludf.DUMMYFUNCTION("VLOOKUP(F6151, IMPORTRANGE(""https://docs.google.com/spreadsheets/d/1Lhp9OU0JdFf_VYSMzH5lBcEaU4o8teT1piV-SNzShjg/edit?gid=554141278#gid=554141278"", ""'Char Def. - Attributes'!C20:C2242""), 1,false)"),"GENERAL_SPEC_RESIN")</f>
        <v>GENERAL_SPEC_RESIN</v>
      </c>
      <c r="I6151" s="136"/>
    </row>
    <row r="6152" ht="15.75" customHeight="1">
      <c r="B6152" s="63">
        <f t="shared" si="1"/>
        <v>10</v>
      </c>
      <c r="C6152" s="156" t="s">
        <v>227</v>
      </c>
      <c r="D6152" s="147" t="s">
        <v>74</v>
      </c>
      <c r="E6152" s="135">
        <f t="shared" si="59"/>
        <v>7</v>
      </c>
      <c r="F6152" s="152" t="s">
        <v>3995</v>
      </c>
      <c r="G6152" s="63" t="str">
        <f>VLOOKUP(C6152, 'Class Def. - General Data'!$C$20:$C$1000,1,false)</f>
        <v>ZRM1_Resin</v>
      </c>
      <c r="H6152" s="63" t="str">
        <f>IFERROR(__xludf.DUMMYFUNCTION("VLOOKUP(F6152, IMPORTRANGE(""https://docs.google.com/spreadsheets/d/1Lhp9OU0JdFf_VYSMzH5lBcEaU4o8teT1piV-SNzShjg/edit?gid=554141278#gid=554141278"", ""'Char Def. - Attributes'!C20:C2242""), 1,false)"),"GRADE")</f>
        <v>GRADE</v>
      </c>
      <c r="I6152" s="136"/>
    </row>
    <row r="6153" ht="15.75" customHeight="1">
      <c r="B6153" s="63">
        <f t="shared" si="1"/>
        <v>10</v>
      </c>
      <c r="C6153" s="156" t="s">
        <v>227</v>
      </c>
      <c r="D6153" s="147" t="s">
        <v>74</v>
      </c>
      <c r="E6153" s="135">
        <f t="shared" si="59"/>
        <v>8</v>
      </c>
      <c r="F6153" s="152" t="s">
        <v>4020</v>
      </c>
      <c r="G6153" s="63" t="str">
        <f>VLOOKUP(C6153, 'Class Def. - General Data'!$C$20:$C$1000,1,false)</f>
        <v>ZRM1_Resin</v>
      </c>
      <c r="H6153" s="63" t="str">
        <f>IFERROR(__xludf.DUMMYFUNCTION("VLOOKUP(F6153, IMPORTRANGE(""https://docs.google.com/spreadsheets/d/1Lhp9OU0JdFf_VYSMzH5lBcEaU4o8teT1piV-SNzShjg/edit?gid=554141278#gid=554141278"", ""'Char Def. - Attributes'!C20:C2242""), 1,false)"),"RESIN_TYPE")</f>
        <v>RESIN_TYPE</v>
      </c>
      <c r="I6153" s="136"/>
    </row>
    <row r="6154" ht="15.75" customHeight="1">
      <c r="A6154" s="158"/>
      <c r="B6154" s="63">
        <f t="shared" si="1"/>
        <v>10</v>
      </c>
      <c r="C6154" s="156" t="s">
        <v>227</v>
      </c>
      <c r="D6154" s="147" t="s">
        <v>74</v>
      </c>
      <c r="E6154" s="135">
        <f t="shared" si="59"/>
        <v>9</v>
      </c>
      <c r="F6154" s="151" t="s">
        <v>3868</v>
      </c>
      <c r="G6154" s="63" t="str">
        <f>VLOOKUP(C6154, 'Class Def. - General Data'!$C$20:$C$1000,1,false)</f>
        <v>ZRM1_Resin</v>
      </c>
      <c r="H6154" s="63" t="str">
        <f>IFERROR(__xludf.DUMMYFUNCTION("VLOOKUP(F6154, IMPORTRANGE(""https://docs.google.com/spreadsheets/d/1Lhp9OU0JdFf_VYSMzH5lBcEaU4o8teT1piV-SNzShjg/edit?gid=554141278#gid=554141278"", ""'Char Def. - Attributes'!C20:C2242""), 1,false)"),"BASIC_UOM_RMPM")</f>
        <v>BASIC_UOM_RMPM</v>
      </c>
      <c r="I6154" s="136"/>
    </row>
    <row r="6155" ht="15.75" customHeight="1">
      <c r="A6155" s="158"/>
      <c r="B6155" s="63">
        <f t="shared" si="1"/>
        <v>10</v>
      </c>
      <c r="C6155" s="156" t="s">
        <v>227</v>
      </c>
      <c r="D6155" s="147" t="s">
        <v>74</v>
      </c>
      <c r="E6155" s="135">
        <f t="shared" si="59"/>
        <v>10</v>
      </c>
      <c r="F6155" s="152" t="s">
        <v>3869</v>
      </c>
      <c r="G6155" s="63" t="str">
        <f>VLOOKUP(C6155, 'Class Def. - General Data'!$C$20:$C$1000,1,false)</f>
        <v>ZRM1_Resin</v>
      </c>
      <c r="H6155" s="63" t="str">
        <f>IFERROR(__xludf.DUMMYFUNCTION("VLOOKUP(F6155, IMPORTRANGE(""https://docs.google.com/spreadsheets/d/1Lhp9OU0JdFf_VYSMzH5lBcEaU4o8teT1piV-SNzShjg/edit?gid=554141278#gid=554141278"", ""'Char Def. - Attributes'!C20:C2242""), 1,false)"),"ALT_UOM1_RMPM")</f>
        <v>ALT_UOM1_RMPM</v>
      </c>
      <c r="I6155" s="136"/>
    </row>
    <row r="6156" ht="15.75" customHeight="1">
      <c r="A6156" s="59"/>
      <c r="B6156" s="63">
        <f t="shared" si="1"/>
        <v>10</v>
      </c>
      <c r="C6156" s="156" t="s">
        <v>227</v>
      </c>
      <c r="D6156" s="147" t="s">
        <v>74</v>
      </c>
      <c r="E6156" s="135">
        <f t="shared" si="59"/>
        <v>11</v>
      </c>
      <c r="F6156" s="152" t="s">
        <v>3805</v>
      </c>
      <c r="G6156" s="63" t="str">
        <f>VLOOKUP(C6156, 'Class Def. - General Data'!$C$20:$C$1000,1,false)</f>
        <v>ZRM1_Resin</v>
      </c>
      <c r="H6156" s="63" t="str">
        <f>IFERROR(__xludf.DUMMYFUNCTION("VLOOKUP(F6156, IMPORTRANGE(""https://docs.google.com/spreadsheets/d/1Lhp9OU0JdFf_VYSMzH5lBcEaU4o8teT1piV-SNzShjg/edit?gid=554141278#gid=554141278"", ""'Char Def. - Attributes'!C20:C2242""), 1,false)"),"ALT_DENUM_UOM1")</f>
        <v>ALT_DENUM_UOM1</v>
      </c>
      <c r="I6156" s="136"/>
    </row>
    <row r="6157" ht="15.75" customHeight="1">
      <c r="B6157" s="63">
        <f t="shared" si="1"/>
        <v>10</v>
      </c>
      <c r="C6157" s="156" t="s">
        <v>227</v>
      </c>
      <c r="D6157" s="147" t="s">
        <v>74</v>
      </c>
      <c r="E6157" s="135">
        <f t="shared" si="59"/>
        <v>12</v>
      </c>
      <c r="F6157" s="152" t="s">
        <v>3806</v>
      </c>
      <c r="G6157" s="63" t="str">
        <f>VLOOKUP(C6157, 'Class Def. - General Data'!$C$20:$C$1000,1,false)</f>
        <v>ZRM1_Resin</v>
      </c>
      <c r="H6157" s="63" t="str">
        <f>IFERROR(__xludf.DUMMYFUNCTION("VLOOKUP(F6157, IMPORTRANGE(""https://docs.google.com/spreadsheets/d/1Lhp9OU0JdFf_VYSMzH5lBcEaU4o8teT1piV-SNzShjg/edit?gid=554141278#gid=554141278"", ""'Char Def. - Attributes'!C20:C2242""), 1,false)"),"ALT_NUM_UOM1")</f>
        <v>ALT_NUM_UOM1</v>
      </c>
      <c r="I6157" s="136"/>
    </row>
    <row r="6158" ht="15.75" customHeight="1">
      <c r="B6158" s="63">
        <f t="shared" si="1"/>
        <v>10</v>
      </c>
      <c r="C6158" s="156" t="s">
        <v>227</v>
      </c>
      <c r="D6158" s="147" t="s">
        <v>74</v>
      </c>
      <c r="E6158" s="135">
        <f t="shared" si="59"/>
        <v>13</v>
      </c>
      <c r="F6158" s="152" t="s">
        <v>3870</v>
      </c>
      <c r="G6158" s="63" t="str">
        <f>VLOOKUP(C6158, 'Class Def. - General Data'!$C$20:$C$1000,1,false)</f>
        <v>ZRM1_Resin</v>
      </c>
      <c r="H6158" s="63" t="str">
        <f>IFERROR(__xludf.DUMMYFUNCTION("VLOOKUP(F6158, IMPORTRANGE(""https://docs.google.com/spreadsheets/d/1Lhp9OU0JdFf_VYSMzH5lBcEaU4o8teT1piV-SNzShjg/edit?gid=554141278#gid=554141278"", ""'Char Def. - Attributes'!C20:C2242""), 1,false)"),"ALT_UOM2_RMPM")</f>
        <v>ALT_UOM2_RMPM</v>
      </c>
      <c r="I6158" s="136"/>
    </row>
    <row r="6159" ht="15.75" customHeight="1">
      <c r="B6159" s="63">
        <f t="shared" si="1"/>
        <v>10</v>
      </c>
      <c r="C6159" s="156" t="s">
        <v>227</v>
      </c>
      <c r="D6159" s="147" t="s">
        <v>74</v>
      </c>
      <c r="E6159" s="135">
        <f t="shared" si="59"/>
        <v>14</v>
      </c>
      <c r="F6159" s="152" t="s">
        <v>3808</v>
      </c>
      <c r="G6159" s="63" t="str">
        <f>VLOOKUP(C6159, 'Class Def. - General Data'!$C$20:$C$1000,1,false)</f>
        <v>ZRM1_Resin</v>
      </c>
      <c r="H6159" s="63" t="str">
        <f>IFERROR(__xludf.DUMMYFUNCTION("VLOOKUP(F6159, IMPORTRANGE(""https://docs.google.com/spreadsheets/d/1Lhp9OU0JdFf_VYSMzH5lBcEaU4o8teT1piV-SNzShjg/edit?gid=554141278#gid=554141278"", ""'Char Def. - Attributes'!C20:C2242""), 1,false)"),"ALT_DENUM_UOM2")</f>
        <v>ALT_DENUM_UOM2</v>
      </c>
      <c r="I6159" s="136"/>
    </row>
    <row r="6160" ht="15.75" customHeight="1">
      <c r="A6160" s="59"/>
      <c r="B6160" s="63">
        <f t="shared" si="1"/>
        <v>10</v>
      </c>
      <c r="C6160" s="156" t="s">
        <v>227</v>
      </c>
      <c r="D6160" s="147" t="s">
        <v>74</v>
      </c>
      <c r="E6160" s="135">
        <f t="shared" si="59"/>
        <v>15</v>
      </c>
      <c r="F6160" s="152" t="s">
        <v>3809</v>
      </c>
      <c r="G6160" s="63" t="str">
        <f>VLOOKUP(C6160, 'Class Def. - General Data'!$C$20:$C$1000,1,false)</f>
        <v>ZRM1_Resin</v>
      </c>
      <c r="H6160" s="63" t="str">
        <f>IFERROR(__xludf.DUMMYFUNCTION("VLOOKUP(F6160, IMPORTRANGE(""https://docs.google.com/spreadsheets/d/1Lhp9OU0JdFf_VYSMzH5lBcEaU4o8teT1piV-SNzShjg/edit?gid=554141278#gid=554141278"", ""'Char Def. - Attributes'!C20:C2242""), 1,false)"),"ALT_NUM_UOM2")</f>
        <v>ALT_NUM_UOM2</v>
      </c>
      <c r="I6160" s="136"/>
    </row>
    <row r="6161" ht="15.75" customHeight="1">
      <c r="A6161" s="59"/>
      <c r="B6161" s="63">
        <f t="shared" si="1"/>
        <v>10</v>
      </c>
      <c r="C6161" s="156" t="s">
        <v>227</v>
      </c>
      <c r="D6161" s="147" t="s">
        <v>74</v>
      </c>
      <c r="E6161" s="135">
        <f t="shared" si="59"/>
        <v>16</v>
      </c>
      <c r="F6161" s="152" t="s">
        <v>3871</v>
      </c>
      <c r="G6161" s="63" t="str">
        <f>VLOOKUP(C6161, 'Class Def. - General Data'!$C$20:$C$1000,1,false)</f>
        <v>ZRM1_Resin</v>
      </c>
      <c r="H6161" s="63" t="str">
        <f>IFERROR(__xludf.DUMMYFUNCTION("VLOOKUP(F6161, IMPORTRANGE(""https://docs.google.com/spreadsheets/d/1Lhp9OU0JdFf_VYSMzH5lBcEaU4o8teT1piV-SNzShjg/edit?gid=554141278#gid=554141278"", ""'Char Def. - Attributes'!C20:C2242""), 1,false)"),"ALT_UOM3_RMPM")</f>
        <v>ALT_UOM3_RMPM</v>
      </c>
      <c r="I6161" s="136"/>
    </row>
    <row r="6162" ht="15.75" customHeight="1">
      <c r="A6162" s="59"/>
      <c r="B6162" s="63">
        <f t="shared" si="1"/>
        <v>10</v>
      </c>
      <c r="C6162" s="156" t="s">
        <v>227</v>
      </c>
      <c r="D6162" s="147" t="s">
        <v>74</v>
      </c>
      <c r="E6162" s="135">
        <f t="shared" si="59"/>
        <v>17</v>
      </c>
      <c r="F6162" s="152" t="s">
        <v>3811</v>
      </c>
      <c r="G6162" s="63" t="str">
        <f>VLOOKUP(C6162, 'Class Def. - General Data'!$C$20:$C$1000,1,false)</f>
        <v>ZRM1_Resin</v>
      </c>
      <c r="H6162" s="63" t="str">
        <f>IFERROR(__xludf.DUMMYFUNCTION("VLOOKUP(F6162, IMPORTRANGE(""https://docs.google.com/spreadsheets/d/1Lhp9OU0JdFf_VYSMzH5lBcEaU4o8teT1piV-SNzShjg/edit?gid=554141278#gid=554141278"", ""'Char Def. - Attributes'!C20:C2242""), 1,false)"),"ALT_DENUM_UOM3")</f>
        <v>ALT_DENUM_UOM3</v>
      </c>
      <c r="I6162" s="136"/>
    </row>
    <row r="6163" ht="15.75" customHeight="1">
      <c r="A6163" s="59"/>
      <c r="B6163" s="63">
        <f t="shared" si="1"/>
        <v>10</v>
      </c>
      <c r="C6163" s="156" t="s">
        <v>227</v>
      </c>
      <c r="D6163" s="147" t="s">
        <v>74</v>
      </c>
      <c r="E6163" s="135">
        <f t="shared" si="59"/>
        <v>18</v>
      </c>
      <c r="F6163" s="152" t="s">
        <v>3812</v>
      </c>
      <c r="G6163" s="63" t="str">
        <f>VLOOKUP(C6163, 'Class Def. - General Data'!$C$20:$C$1000,1,false)</f>
        <v>ZRM1_Resin</v>
      </c>
      <c r="H6163" s="63" t="str">
        <f>IFERROR(__xludf.DUMMYFUNCTION("VLOOKUP(F6163, IMPORTRANGE(""https://docs.google.com/spreadsheets/d/1Lhp9OU0JdFf_VYSMzH5lBcEaU4o8teT1piV-SNzShjg/edit?gid=554141278#gid=554141278"", ""'Char Def. - Attributes'!C20:C2242""), 1,false)"),"ALT_NUM_UOM3")</f>
        <v>ALT_NUM_UOM3</v>
      </c>
      <c r="I6163" s="136"/>
    </row>
    <row r="6164" ht="15.75" customHeight="1">
      <c r="A6164" s="59"/>
      <c r="B6164" s="63">
        <f t="shared" si="1"/>
        <v>10</v>
      </c>
      <c r="C6164" s="156" t="s">
        <v>227</v>
      </c>
      <c r="D6164" s="147" t="s">
        <v>74</v>
      </c>
      <c r="E6164" s="135">
        <f t="shared" si="59"/>
        <v>19</v>
      </c>
      <c r="F6164" s="152" t="s">
        <v>3872</v>
      </c>
      <c r="G6164" s="63" t="str">
        <f>VLOOKUP(C6164, 'Class Def. - General Data'!$C$20:$C$1000,1,false)</f>
        <v>ZRM1_Resin</v>
      </c>
      <c r="H6164" s="63" t="str">
        <f>IFERROR(__xludf.DUMMYFUNCTION("VLOOKUP(F6164, IMPORTRANGE(""https://docs.google.com/spreadsheets/d/1Lhp9OU0JdFf_VYSMzH5lBcEaU4o8teT1piV-SNzShjg/edit?gid=554141278#gid=554141278"", ""'Char Def. - Attributes'!C20:C2242""), 1,false)"),"ALT_UOM4_RMPM")</f>
        <v>ALT_UOM4_RMPM</v>
      </c>
      <c r="I6164" s="136"/>
    </row>
    <row r="6165" ht="15.75" customHeight="1">
      <c r="A6165" s="59"/>
      <c r="B6165" s="63">
        <f t="shared" si="1"/>
        <v>10</v>
      </c>
      <c r="C6165" s="156" t="s">
        <v>227</v>
      </c>
      <c r="D6165" s="147" t="s">
        <v>74</v>
      </c>
      <c r="E6165" s="135">
        <f t="shared" si="59"/>
        <v>20</v>
      </c>
      <c r="F6165" s="148" t="s">
        <v>3814</v>
      </c>
      <c r="G6165" s="63" t="str">
        <f>VLOOKUP(C6165, 'Class Def. - General Data'!$C$20:$C$1000,1,false)</f>
        <v>ZRM1_Resin</v>
      </c>
      <c r="H6165" s="63" t="str">
        <f>IFERROR(__xludf.DUMMYFUNCTION("VLOOKUP(F6165, IMPORTRANGE(""https://docs.google.com/spreadsheets/d/1Lhp9OU0JdFf_VYSMzH5lBcEaU4o8teT1piV-SNzShjg/edit?gid=554141278#gid=554141278"", ""'Char Def. - Attributes'!C20:C2242""), 1,false)"),"ALT_DENUM_UOM4")</f>
        <v>ALT_DENUM_UOM4</v>
      </c>
      <c r="I6165" s="136"/>
    </row>
    <row r="6166" ht="15.75" customHeight="1">
      <c r="A6166" s="59"/>
      <c r="B6166" s="63">
        <f t="shared" si="1"/>
        <v>10</v>
      </c>
      <c r="C6166" s="156" t="s">
        <v>227</v>
      </c>
      <c r="D6166" s="147" t="s">
        <v>74</v>
      </c>
      <c r="E6166" s="135">
        <f t="shared" si="59"/>
        <v>21</v>
      </c>
      <c r="F6166" s="152" t="s">
        <v>3815</v>
      </c>
      <c r="G6166" s="63" t="str">
        <f>VLOOKUP(C6166, 'Class Def. - General Data'!$C$20:$C$1000,1,false)</f>
        <v>ZRM1_Resin</v>
      </c>
      <c r="H6166" s="63" t="str">
        <f>IFERROR(__xludf.DUMMYFUNCTION("VLOOKUP(F6166, IMPORTRANGE(""https://docs.google.com/spreadsheets/d/1Lhp9OU0JdFf_VYSMzH5lBcEaU4o8teT1piV-SNzShjg/edit?gid=554141278#gid=554141278"", ""'Char Def. - Attributes'!C20:C2242""), 1,false)"),"ALT_NUM_UOM4")</f>
        <v>ALT_NUM_UOM4</v>
      </c>
      <c r="I6166" s="136"/>
    </row>
    <row r="6167" ht="15.75" customHeight="1">
      <c r="A6167" s="59"/>
      <c r="B6167" s="63">
        <f t="shared" si="1"/>
        <v>10</v>
      </c>
      <c r="C6167" s="156" t="s">
        <v>227</v>
      </c>
      <c r="D6167" s="147" t="s">
        <v>74</v>
      </c>
      <c r="E6167" s="135">
        <f t="shared" si="59"/>
        <v>22</v>
      </c>
      <c r="F6167" s="152" t="s">
        <v>3873</v>
      </c>
      <c r="G6167" s="63" t="str">
        <f>VLOOKUP(C6167, 'Class Def. - General Data'!$C$20:$C$1000,1,false)</f>
        <v>ZRM1_Resin</v>
      </c>
      <c r="H6167" s="63" t="str">
        <f>IFERROR(__xludf.DUMMYFUNCTION("VLOOKUP(F6167, IMPORTRANGE(""https://docs.google.com/spreadsheets/d/1Lhp9OU0JdFf_VYSMzH5lBcEaU4o8teT1piV-SNzShjg/edit?gid=554141278#gid=554141278"", ""'Char Def. - Attributes'!C20:C2242""), 1,false)"),"ALT_UOM5_RMPM")</f>
        <v>ALT_UOM5_RMPM</v>
      </c>
      <c r="I6167" s="136"/>
    </row>
    <row r="6168" ht="15.75" customHeight="1">
      <c r="A6168" s="59"/>
      <c r="B6168" s="63">
        <f t="shared" si="1"/>
        <v>10</v>
      </c>
      <c r="C6168" s="156" t="s">
        <v>227</v>
      </c>
      <c r="D6168" s="147" t="s">
        <v>74</v>
      </c>
      <c r="E6168" s="135">
        <f t="shared" si="59"/>
        <v>23</v>
      </c>
      <c r="F6168" s="152" t="s">
        <v>3817</v>
      </c>
      <c r="G6168" s="63" t="str">
        <f>VLOOKUP(C6168, 'Class Def. - General Data'!$C$20:$C$1000,1,false)</f>
        <v>ZRM1_Resin</v>
      </c>
      <c r="H6168" s="63" t="str">
        <f>IFERROR(__xludf.DUMMYFUNCTION("VLOOKUP(F6168, IMPORTRANGE(""https://docs.google.com/spreadsheets/d/1Lhp9OU0JdFf_VYSMzH5lBcEaU4o8teT1piV-SNzShjg/edit?gid=554141278#gid=554141278"", ""'Char Def. - Attributes'!C20:C2242""), 1,false)"),"ALT_DENUM_UOM5")</f>
        <v>ALT_DENUM_UOM5</v>
      </c>
      <c r="I6168" s="136"/>
    </row>
    <row r="6169" ht="15.75" customHeight="1">
      <c r="A6169" s="59"/>
      <c r="B6169" s="63">
        <f t="shared" si="1"/>
        <v>10</v>
      </c>
      <c r="C6169" s="156" t="s">
        <v>227</v>
      </c>
      <c r="D6169" s="147" t="s">
        <v>74</v>
      </c>
      <c r="E6169" s="135">
        <f t="shared" si="59"/>
        <v>24</v>
      </c>
      <c r="F6169" s="152" t="s">
        <v>3818</v>
      </c>
      <c r="G6169" s="63" t="str">
        <f>VLOOKUP(C6169, 'Class Def. - General Data'!$C$20:$C$1000,1,false)</f>
        <v>ZRM1_Resin</v>
      </c>
      <c r="H6169" s="63" t="str">
        <f>IFERROR(__xludf.DUMMYFUNCTION("VLOOKUP(F6169, IMPORTRANGE(""https://docs.google.com/spreadsheets/d/1Lhp9OU0JdFf_VYSMzH5lBcEaU4o8teT1piV-SNzShjg/edit?gid=554141278#gid=554141278"", ""'Char Def. - Attributes'!C20:C2242""), 1,false)"),"ALT_NUM_UOM5")</f>
        <v>ALT_NUM_UOM5</v>
      </c>
      <c r="I6169" s="136"/>
    </row>
    <row r="6170" ht="15.75" customHeight="1">
      <c r="A6170" s="59"/>
      <c r="B6170" s="63">
        <f t="shared" si="1"/>
        <v>10</v>
      </c>
      <c r="C6170" s="156" t="s">
        <v>227</v>
      </c>
      <c r="D6170" s="147" t="s">
        <v>74</v>
      </c>
      <c r="E6170" s="135">
        <f t="shared" si="59"/>
        <v>25</v>
      </c>
      <c r="F6170" s="152" t="s">
        <v>3874</v>
      </c>
      <c r="G6170" s="63" t="str">
        <f>VLOOKUP(C6170, 'Class Def. - General Data'!$C$20:$C$1000,1,false)</f>
        <v>ZRM1_Resin</v>
      </c>
      <c r="H6170" s="63" t="str">
        <f>IFERROR(__xludf.DUMMYFUNCTION("VLOOKUP(F6170, IMPORTRANGE(""https://docs.google.com/spreadsheets/d/1Lhp9OU0JdFf_VYSMzH5lBcEaU4o8teT1piV-SNzShjg/edit?gid=554141278#gid=554141278"", ""'Char Def. - Attributes'!C20:C2242""), 1,false)"),"VALUATION_CATEGORY")</f>
        <v>VALUATION_CATEGORY</v>
      </c>
      <c r="I6170" s="136"/>
    </row>
    <row r="6171" ht="15.75" customHeight="1">
      <c r="A6171" s="59"/>
      <c r="B6171" s="63">
        <f t="shared" si="1"/>
        <v>10</v>
      </c>
      <c r="C6171" s="156" t="s">
        <v>227</v>
      </c>
      <c r="D6171" s="147" t="s">
        <v>74</v>
      </c>
      <c r="E6171" s="135">
        <f t="shared" si="59"/>
        <v>26</v>
      </c>
      <c r="F6171" s="152" t="s">
        <v>3800</v>
      </c>
      <c r="G6171" s="63" t="str">
        <f>VLOOKUP(C6171, 'Class Def. - General Data'!$C$20:$C$1000,1,false)</f>
        <v>ZRM1_Resin</v>
      </c>
      <c r="H6171" s="63" t="str">
        <f>IFERROR(__xludf.DUMMYFUNCTION("VLOOKUP(F6171, IMPORTRANGE(""https://docs.google.com/spreadsheets/d/1Lhp9OU0JdFf_VYSMzH5lBcEaU4o8teT1piV-SNzShjg/edit?gid=554141278#gid=554141278"", ""'Char Def. - Attributes'!C20:C2242""), 1,false)"),"ORDER_UNIT_DIFF_FROM_BASIC_UOM")</f>
        <v>ORDER_UNIT_DIFF_FROM_BASIC_UOM</v>
      </c>
      <c r="I6171" s="136"/>
    </row>
    <row r="6172" ht="15.75" customHeight="1">
      <c r="A6172" s="59"/>
      <c r="B6172" s="63">
        <f t="shared" si="1"/>
        <v>10</v>
      </c>
      <c r="C6172" s="156" t="s">
        <v>227</v>
      </c>
      <c r="D6172" s="147" t="s">
        <v>74</v>
      </c>
      <c r="E6172" s="135">
        <f t="shared" si="59"/>
        <v>27</v>
      </c>
      <c r="F6172" s="152" t="s">
        <v>3875</v>
      </c>
      <c r="G6172" s="63" t="str">
        <f>VLOOKUP(C6172, 'Class Def. - General Data'!$C$20:$C$1000,1,false)</f>
        <v>ZRM1_Resin</v>
      </c>
      <c r="H6172" s="63" t="str">
        <f>IFERROR(__xludf.DUMMYFUNCTION("VLOOKUP(F6172, IMPORTRANGE(""https://docs.google.com/spreadsheets/d/1Lhp9OU0JdFf_VYSMzH5lBcEaU4o8teT1piV-SNzShjg/edit?gid=554141278#gid=554141278"", ""'Char Def. - Attributes'!C20:C2242""), 1,false)"),"ORDER_UNIT_RMPM")</f>
        <v>ORDER_UNIT_RMPM</v>
      </c>
      <c r="I6172" s="136"/>
    </row>
    <row r="6173" ht="15.75" customHeight="1">
      <c r="B6173" s="63">
        <f t="shared" si="1"/>
        <v>10</v>
      </c>
      <c r="C6173" s="156" t="s">
        <v>227</v>
      </c>
      <c r="D6173" s="147" t="s">
        <v>74</v>
      </c>
      <c r="E6173" s="135">
        <f t="shared" si="59"/>
        <v>28</v>
      </c>
      <c r="F6173" s="151" t="s">
        <v>3602</v>
      </c>
      <c r="G6173" s="63" t="str">
        <f>VLOOKUP(C6173, 'Class Def. - General Data'!$C$20:$C$1000,1,false)</f>
        <v>ZRM1_Resin</v>
      </c>
      <c r="H6173" s="63" t="str">
        <f>IFERROR(__xludf.DUMMYFUNCTION("VLOOKUP(F6173, IMPORTRANGE(""https://docs.google.com/spreadsheets/d/1Lhp9OU0JdFf_VYSMzH5lBcEaU4o8teT1piV-SNzShjg/edit?gid=554141278#gid=554141278"", ""'Char Def. - Attributes'!C20:C2242""), 1,false)"),"NET_WEIGHT")</f>
        <v>NET_WEIGHT</v>
      </c>
      <c r="I6173" s="136"/>
    </row>
    <row r="6174" ht="15.75" customHeight="1">
      <c r="B6174" s="63">
        <f t="shared" si="1"/>
        <v>10</v>
      </c>
      <c r="C6174" s="156" t="s">
        <v>227</v>
      </c>
      <c r="D6174" s="147" t="s">
        <v>74</v>
      </c>
      <c r="E6174" s="135">
        <f t="shared" si="59"/>
        <v>29</v>
      </c>
      <c r="F6174" s="151" t="s">
        <v>3601</v>
      </c>
      <c r="G6174" s="63" t="str">
        <f>VLOOKUP(C6174, 'Class Def. - General Data'!$C$20:$C$1000,1,false)</f>
        <v>ZRM1_Resin</v>
      </c>
      <c r="H6174" s="63" t="str">
        <f>IFERROR(__xludf.DUMMYFUNCTION("VLOOKUP(F6174, IMPORTRANGE(""https://docs.google.com/spreadsheets/d/1Lhp9OU0JdFf_VYSMzH5lBcEaU4o8teT1piV-SNzShjg/edit?gid=554141278#gid=554141278"", ""'Char Def. - Attributes'!C20:C2242""), 1,false)"),"GROSS_WEIGHT")</f>
        <v>GROSS_WEIGHT</v>
      </c>
      <c r="I6174" s="136"/>
    </row>
    <row r="6175" ht="15.75" customHeight="1">
      <c r="B6175" s="63">
        <f t="shared" si="1"/>
        <v>10</v>
      </c>
      <c r="C6175" s="156" t="s">
        <v>227</v>
      </c>
      <c r="D6175" s="147" t="s">
        <v>74</v>
      </c>
      <c r="E6175" s="135">
        <f t="shared" si="59"/>
        <v>30</v>
      </c>
      <c r="F6175" s="152" t="s">
        <v>3996</v>
      </c>
      <c r="G6175" s="63" t="str">
        <f>VLOOKUP(C6175, 'Class Def. - General Data'!$C$20:$C$1000,1,false)</f>
        <v>ZRM1_Resin</v>
      </c>
      <c r="H6175" s="63" t="str">
        <f>IFERROR(__xludf.DUMMYFUNCTION("VLOOKUP(F6175, IMPORTRANGE(""https://docs.google.com/spreadsheets/d/1Lhp9OU0JdFf_VYSMzH5lBcEaU4o8teT1piV-SNzShjg/edit?gid=554141278#gid=554141278"", ""'Char Def. - Attributes'!C20:C2242""), 1,false)"),"WEIGHT_UNIT")</f>
        <v>WEIGHT_UNIT</v>
      </c>
      <c r="I6175" s="136"/>
    </row>
    <row r="6176" ht="15.75" customHeight="1">
      <c r="B6176" s="63">
        <f t="shared" si="1"/>
        <v>10</v>
      </c>
      <c r="C6176" s="156" t="s">
        <v>227</v>
      </c>
      <c r="D6176" s="147" t="s">
        <v>74</v>
      </c>
      <c r="E6176" s="135">
        <f t="shared" si="59"/>
        <v>31</v>
      </c>
      <c r="F6176" s="151" t="s">
        <v>3877</v>
      </c>
      <c r="G6176" s="63" t="str">
        <f>VLOOKUP(C6176, 'Class Def. - General Data'!$C$20:$C$1000,1,false)</f>
        <v>ZRM1_Resin</v>
      </c>
      <c r="H6176" s="63" t="str">
        <f>IFERROR(__xludf.DUMMYFUNCTION("VLOOKUP(F6176, IMPORTRANGE(""https://docs.google.com/spreadsheets/d/1Lhp9OU0JdFf_VYSMzH5lBcEaU4o8teT1piV-SNzShjg/edit?gid=554141278#gid=554141278"", ""'Char Def. - Attributes'!C20:C2242""), 1,false)"),"VOLUME_OPT")</f>
        <v>VOLUME_OPT</v>
      </c>
      <c r="I6176" s="136"/>
    </row>
    <row r="6177" ht="15.75" customHeight="1">
      <c r="B6177" s="63">
        <f t="shared" si="1"/>
        <v>10</v>
      </c>
      <c r="C6177" s="156" t="s">
        <v>227</v>
      </c>
      <c r="D6177" s="147" t="s">
        <v>74</v>
      </c>
      <c r="E6177" s="135">
        <f t="shared" si="59"/>
        <v>32</v>
      </c>
      <c r="F6177" s="152" t="s">
        <v>3878</v>
      </c>
      <c r="G6177" s="63" t="str">
        <f>VLOOKUP(C6177, 'Class Def. - General Data'!$C$20:$C$1000,1,false)</f>
        <v>ZRM1_Resin</v>
      </c>
      <c r="H6177" s="63" t="str">
        <f>IFERROR(__xludf.DUMMYFUNCTION("VLOOKUP(F6177, IMPORTRANGE(""https://docs.google.com/spreadsheets/d/1Lhp9OU0JdFf_VYSMzH5lBcEaU4o8teT1piV-SNzShjg/edit?gid=554141278#gid=554141278"", ""'Char Def. - Attributes'!C20:C2242""), 1,false)"),"VOLUME_UNIT")</f>
        <v>VOLUME_UNIT</v>
      </c>
      <c r="I6177" s="136"/>
    </row>
    <row r="6178" ht="15.75" customHeight="1">
      <c r="B6178" s="63">
        <f t="shared" si="1"/>
        <v>10</v>
      </c>
      <c r="C6178" s="156" t="s">
        <v>227</v>
      </c>
      <c r="D6178" s="147" t="s">
        <v>74</v>
      </c>
      <c r="E6178" s="135">
        <f t="shared" si="59"/>
        <v>33</v>
      </c>
      <c r="F6178" s="151" t="s">
        <v>3587</v>
      </c>
      <c r="G6178" s="63" t="str">
        <f>VLOOKUP(C6178, 'Class Def. - General Data'!$C$20:$C$1000,1,false)</f>
        <v>ZRM1_Resin</v>
      </c>
      <c r="H6178" s="63" t="str">
        <f>IFERROR(__xludf.DUMMYFUNCTION("VLOOKUP(F6178, IMPORTRANGE(""https://docs.google.com/spreadsheets/d/1Lhp9OU0JdFf_VYSMzH5lBcEaU4o8teT1piV-SNzShjg/edit?gid=554141278#gid=554141278"", ""'Char Def. - Attributes'!C20:C2242""), 1,false)"),"PLANT_BUY")</f>
        <v>PLANT_BUY</v>
      </c>
      <c r="I6178" s="136"/>
    </row>
    <row r="6179" ht="15.75" customHeight="1">
      <c r="B6179" s="63">
        <f t="shared" si="1"/>
        <v>10</v>
      </c>
      <c r="C6179" s="156" t="s">
        <v>227</v>
      </c>
      <c r="D6179" s="147" t="s">
        <v>74</v>
      </c>
      <c r="E6179" s="135">
        <f t="shared" si="59"/>
        <v>34</v>
      </c>
      <c r="F6179" s="152" t="s">
        <v>3997</v>
      </c>
      <c r="G6179" s="63" t="str">
        <f>VLOOKUP(C6179, 'Class Def. - General Data'!$C$20:$C$1000,1,false)</f>
        <v>ZRM1_Resin</v>
      </c>
      <c r="H6179" s="63" t="str">
        <f>IFERROR(__xludf.DUMMYFUNCTION("VLOOKUP(F6179, IMPORTRANGE(""https://docs.google.com/spreadsheets/d/1Lhp9OU0JdFf_VYSMzH5lBcEaU4o8teT1piV-SNzShjg/edit?gid=554141278#gid=554141278"", ""'Char Def. - Attributes'!C20:C2242""), 1,false)"),"OLD_MAT_NO_RMPM_OPT")</f>
        <v>OLD_MAT_NO_RMPM_OPT</v>
      </c>
      <c r="I6179" s="136"/>
    </row>
    <row r="6180" ht="15.75" customHeight="1">
      <c r="B6180" s="63">
        <f t="shared" si="1"/>
        <v>10</v>
      </c>
      <c r="C6180" s="156" t="s">
        <v>227</v>
      </c>
      <c r="D6180" s="147" t="s">
        <v>74</v>
      </c>
      <c r="E6180" s="135">
        <f t="shared" si="59"/>
        <v>35</v>
      </c>
      <c r="F6180" s="148" t="s">
        <v>3998</v>
      </c>
      <c r="G6180" s="63" t="str">
        <f>VLOOKUP(C6180, 'Class Def. - General Data'!$C$20:$C$1000,1,false)</f>
        <v>ZRM1_Resin</v>
      </c>
      <c r="H6180" s="63" t="str">
        <f>IFERROR(__xludf.DUMMYFUNCTION("VLOOKUP(F6180, IMPORTRANGE(""https://docs.google.com/spreadsheets/d/1Lhp9OU0JdFf_VYSMzH5lBcEaU4o8teT1piV-SNzShjg/edit?gid=554141278#gid=554141278"", ""'Char Def. - Attributes'!C20:C2242""), 1,false)"),"MIN_STD_WEIGHT")</f>
        <v>MIN_STD_WEIGHT</v>
      </c>
      <c r="I6180" s="136"/>
    </row>
    <row r="6181" ht="15.75" customHeight="1">
      <c r="B6181" s="63">
        <f t="shared" si="1"/>
        <v>10</v>
      </c>
      <c r="C6181" s="156" t="s">
        <v>227</v>
      </c>
      <c r="D6181" s="147" t="s">
        <v>74</v>
      </c>
      <c r="E6181" s="135">
        <f t="shared" si="59"/>
        <v>36</v>
      </c>
      <c r="F6181" s="148" t="s">
        <v>3999</v>
      </c>
      <c r="G6181" s="63" t="str">
        <f>VLOOKUP(C6181, 'Class Def. - General Data'!$C$20:$C$1000,1,false)</f>
        <v>ZRM1_Resin</v>
      </c>
      <c r="H6181" s="63" t="str">
        <f>IFERROR(__xludf.DUMMYFUNCTION("VLOOKUP(F6181, IMPORTRANGE(""https://docs.google.com/spreadsheets/d/1Lhp9OU0JdFf_VYSMzH5lBcEaU4o8teT1piV-SNzShjg/edit?gid=554141278#gid=554141278"", ""'Char Def. - Attributes'!C20:C2242""), 1,false)"),"MIN_STD_WEIGHT_UOM")</f>
        <v>MIN_STD_WEIGHT_UOM</v>
      </c>
      <c r="I6181" s="136"/>
    </row>
    <row r="6182" ht="15.75" customHeight="1">
      <c r="B6182" s="63">
        <f t="shared" si="1"/>
        <v>11</v>
      </c>
      <c r="C6182" s="154" t="s">
        <v>286</v>
      </c>
      <c r="D6182" s="147" t="s">
        <v>74</v>
      </c>
      <c r="E6182" s="135">
        <f t="shared" si="59"/>
        <v>1</v>
      </c>
      <c r="F6182" s="148" t="s">
        <v>4035</v>
      </c>
      <c r="G6182" s="63" t="str">
        <f>VLOOKUP(C6182, 'Class Def. - General Data'!$C$20:$C$1000,1,false)</f>
        <v>ZRM1_ROLBIB</v>
      </c>
      <c r="H6182" s="63" t="str">
        <f>IFERROR(__xludf.DUMMYFUNCTION("VLOOKUP(F6182, IMPORTRANGE(""https://docs.google.com/spreadsheets/d/1Lhp9OU0JdFf_VYSMzH5lBcEaU4o8teT1piV-SNzShjg/edit?gid=554141278#gid=554141278"", ""'Char Def. - Attributes'!C20:C2242""), 1,false)"),"MATERIAL_CODE_ROLBIB")</f>
        <v>MATERIAL_CODE_ROLBIB</v>
      </c>
      <c r="I6182" s="136"/>
    </row>
    <row r="6183" ht="15.75" customHeight="1">
      <c r="B6183" s="63">
        <f t="shared" si="1"/>
        <v>11</v>
      </c>
      <c r="C6183" s="154" t="s">
        <v>286</v>
      </c>
      <c r="D6183" s="147" t="s">
        <v>74</v>
      </c>
      <c r="E6183" s="135">
        <f t="shared" si="59"/>
        <v>2</v>
      </c>
      <c r="F6183" s="134" t="s">
        <v>3903</v>
      </c>
      <c r="G6183" s="63" t="str">
        <f>VLOOKUP(C6183, 'Class Def. - General Data'!$C$20:$C$1000,1,false)</f>
        <v>ZRM1_ROLBIB</v>
      </c>
      <c r="H6183" s="63" t="str">
        <f>IFERROR(__xludf.DUMMYFUNCTION("VLOOKUP(F6183, IMPORTRANGE(""https://docs.google.com/spreadsheets/d/1Lhp9OU0JdFf_VYSMzH5lBcEaU4o8teT1piV-SNzShjg/edit?gid=554141278#gid=554141278"", ""'Char Def. - Attributes'!C20:C2242""), 1,false)"),"ADDITIONAL_INFO_PM")</f>
        <v>ADDITIONAL_INFO_PM</v>
      </c>
      <c r="I6183" s="136"/>
    </row>
    <row r="6184" ht="15.75" customHeight="1">
      <c r="B6184" s="63">
        <f t="shared" si="1"/>
        <v>11</v>
      </c>
      <c r="C6184" s="154" t="s">
        <v>286</v>
      </c>
      <c r="D6184" s="147" t="s">
        <v>74</v>
      </c>
      <c r="E6184" s="135">
        <f t="shared" si="59"/>
        <v>3</v>
      </c>
      <c r="F6184" s="148" t="s">
        <v>3918</v>
      </c>
      <c r="G6184" s="63" t="str">
        <f>VLOOKUP(C6184, 'Class Def. - General Data'!$C$20:$C$1000,1,false)</f>
        <v>ZRM1_ROLBIB</v>
      </c>
      <c r="H6184" s="63" t="str">
        <f>IFERROR(__xludf.DUMMYFUNCTION("VLOOKUP(F6184, IMPORTRANGE(""https://docs.google.com/spreadsheets/d/1Lhp9OU0JdFf_VYSMzH5lBcEaU4o8teT1piV-SNzShjg/edit?gid=554141278#gid=554141278"", ""'Char Def. - Attributes'!C20:C2242""), 1,false)"),"WIDTH_MM_3")</f>
        <v>WIDTH_MM_3</v>
      </c>
      <c r="I6184" s="136"/>
    </row>
    <row r="6185" ht="15.75" customHeight="1">
      <c r="B6185" s="63">
        <f t="shared" si="1"/>
        <v>11</v>
      </c>
      <c r="C6185" s="154" t="s">
        <v>286</v>
      </c>
      <c r="D6185" s="147" t="s">
        <v>74</v>
      </c>
      <c r="E6185" s="135">
        <f t="shared" si="59"/>
        <v>4</v>
      </c>
      <c r="F6185" s="152" t="s">
        <v>3941</v>
      </c>
      <c r="G6185" s="63" t="str">
        <f>VLOOKUP(C6185, 'Class Def. - General Data'!$C$20:$C$1000,1,false)</f>
        <v>ZRM1_ROLBIB</v>
      </c>
      <c r="H6185" s="63" t="str">
        <f>IFERROR(__xludf.DUMMYFUNCTION("VLOOKUP(F6185, IMPORTRANGE(""https://docs.google.com/spreadsheets/d/1Lhp9OU0JdFf_VYSMzH5lBcEaU4o8teT1piV-SNzShjg/edit?gid=554141278#gid=554141278"", ""'Char Def. - Attributes'!C20:C2242""), 1,false)"),"LENGTH_M")</f>
        <v>LENGTH_M</v>
      </c>
      <c r="I6185" s="136"/>
    </row>
    <row r="6186" ht="15.75" customHeight="1">
      <c r="B6186" s="63">
        <f t="shared" si="1"/>
        <v>11</v>
      </c>
      <c r="C6186" s="154" t="s">
        <v>286</v>
      </c>
      <c r="D6186" s="147" t="s">
        <v>74</v>
      </c>
      <c r="E6186" s="135">
        <f t="shared" si="59"/>
        <v>5</v>
      </c>
      <c r="F6186" s="149" t="s">
        <v>3891</v>
      </c>
      <c r="G6186" s="63" t="str">
        <f>VLOOKUP(C6186, 'Class Def. - General Data'!$C$20:$C$1000,1,false)</f>
        <v>ZRM1_ROLBIB</v>
      </c>
      <c r="H6186" s="63" t="str">
        <f>IFERROR(__xludf.DUMMYFUNCTION("VLOOKUP(F6186, IMPORTRANGE(""https://docs.google.com/spreadsheets/d/1Lhp9OU0JdFf_VYSMzH5lBcEaU4o8teT1piV-SNzShjg/edit?gid=554141278#gid=554141278"", ""'Char Def. - Attributes'!C20:C2242""), 1,false)"),"GENERAL_SPEC")</f>
        <v>GENERAL_SPEC</v>
      </c>
      <c r="I6186" s="136"/>
    </row>
    <row r="6187" ht="15.75" customHeight="1">
      <c r="B6187" s="63">
        <f t="shared" si="1"/>
        <v>11</v>
      </c>
      <c r="C6187" s="154" t="s">
        <v>286</v>
      </c>
      <c r="D6187" s="147" t="s">
        <v>74</v>
      </c>
      <c r="E6187" s="135">
        <f t="shared" si="59"/>
        <v>6</v>
      </c>
      <c r="F6187" s="149" t="s">
        <v>3892</v>
      </c>
      <c r="G6187" s="63" t="str">
        <f>VLOOKUP(C6187, 'Class Def. - General Data'!$C$20:$C$1000,1,false)</f>
        <v>ZRM1_ROLBIB</v>
      </c>
      <c r="H6187" s="63" t="str">
        <f>IFERROR(__xludf.DUMMYFUNCTION("VLOOKUP(F6187, IMPORTRANGE(""https://docs.google.com/spreadsheets/d/1Lhp9OU0JdFf_VYSMzH5lBcEaU4o8teT1piV-SNzShjg/edit?gid=554141278#gid=554141278"", ""'Char Def. - Attributes'!C20:C2242""), 1,false)"),"COLOR_COUNT")</f>
        <v>COLOR_COUNT</v>
      </c>
      <c r="I6187" s="136"/>
    </row>
    <row r="6188" ht="15.75" customHeight="1">
      <c r="B6188" s="63">
        <f t="shared" si="1"/>
        <v>11</v>
      </c>
      <c r="C6188" s="154" t="s">
        <v>286</v>
      </c>
      <c r="D6188" s="147" t="s">
        <v>74</v>
      </c>
      <c r="E6188" s="135">
        <f t="shared" si="59"/>
        <v>7</v>
      </c>
      <c r="F6188" s="134" t="s">
        <v>3893</v>
      </c>
      <c r="G6188" s="63" t="str">
        <f>VLOOKUP(C6188, 'Class Def. - General Data'!$C$20:$C$1000,1,false)</f>
        <v>ZRM1_ROLBIB</v>
      </c>
      <c r="H6188" s="63" t="str">
        <f>IFERROR(__xludf.DUMMYFUNCTION("VLOOKUP(F6188, IMPORTRANGE(""https://docs.google.com/spreadsheets/d/1Lhp9OU0JdFf_VYSMzH5lBcEaU4o8teT1piV-SNzShjg/edit?gid=554141278#gid=554141278"", ""'Char Def. - Attributes'!C20:C2242""), 1,false)"),"FLEX_UOM")</f>
        <v>FLEX_UOM</v>
      </c>
      <c r="I6188" s="136"/>
    </row>
    <row r="6189" ht="15.75" customHeight="1">
      <c r="B6189" s="63">
        <f t="shared" si="1"/>
        <v>11</v>
      </c>
      <c r="C6189" s="154" t="s">
        <v>286</v>
      </c>
      <c r="D6189" s="147" t="s">
        <v>74</v>
      </c>
      <c r="E6189" s="135">
        <f t="shared" si="59"/>
        <v>8</v>
      </c>
      <c r="F6189" s="134" t="s">
        <v>3894</v>
      </c>
      <c r="G6189" s="63" t="str">
        <f>VLOOKUP(C6189, 'Class Def. - General Data'!$C$20:$C$1000,1,false)</f>
        <v>ZRM1_ROLBIB</v>
      </c>
      <c r="H6189" s="63" t="str">
        <f>IFERROR(__xludf.DUMMYFUNCTION("VLOOKUP(F6189, IMPORTRANGE(""https://docs.google.com/spreadsheets/d/1Lhp9OU0JdFf_VYSMzH5lBcEaU4o8teT1piV-SNzShjg/edit?gid=554141278#gid=554141278"", ""'Char Def. - Attributes'!C20:C2242""), 1,false)"),"FLEX_COMPLEXITY")</f>
        <v>FLEX_COMPLEXITY</v>
      </c>
      <c r="I6189" s="136"/>
    </row>
    <row r="6190" ht="15.75" customHeight="1">
      <c r="B6190" s="63">
        <f t="shared" si="1"/>
        <v>11</v>
      </c>
      <c r="C6190" s="154" t="s">
        <v>286</v>
      </c>
      <c r="D6190" s="147" t="s">
        <v>74</v>
      </c>
      <c r="E6190" s="135">
        <f t="shared" si="59"/>
        <v>9</v>
      </c>
      <c r="F6190" s="149" t="s">
        <v>4008</v>
      </c>
      <c r="G6190" s="63" t="str">
        <f>VLOOKUP(C6190, 'Class Def. - General Data'!$C$20:$C$1000,1,false)</f>
        <v>ZRM1_ROLBIB</v>
      </c>
      <c r="H6190" s="63" t="str">
        <f>IFERROR(__xludf.DUMMYFUNCTION("VLOOKUP(F6190, IMPORTRANGE(""https://docs.google.com/spreadsheets/d/1Lhp9OU0JdFf_VYSMzH5lBcEaU4o8teT1piV-SNzShjg/edit?gid=554141278#gid=554141278"", ""'Char Def. - Attributes'!C20:C2242""), 1,false)"),"PREFERENSI_KURS")</f>
        <v>PREFERENSI_KURS</v>
      </c>
      <c r="I6190" s="136"/>
    </row>
    <row r="6191" ht="15.75" customHeight="1">
      <c r="B6191" s="63">
        <f t="shared" si="1"/>
        <v>11</v>
      </c>
      <c r="C6191" s="154" t="s">
        <v>286</v>
      </c>
      <c r="D6191" s="147" t="s">
        <v>74</v>
      </c>
      <c r="E6191" s="135">
        <f t="shared" si="59"/>
        <v>10</v>
      </c>
      <c r="F6191" s="150" t="s">
        <v>3587</v>
      </c>
      <c r="G6191" s="63" t="str">
        <f>VLOOKUP(C6191, 'Class Def. - General Data'!$C$20:$C$1000,1,false)</f>
        <v>ZRM1_ROLBIB</v>
      </c>
      <c r="H6191" s="63" t="str">
        <f>IFERROR(__xludf.DUMMYFUNCTION("VLOOKUP(F6191, IMPORTRANGE(""https://docs.google.com/spreadsheets/d/1Lhp9OU0JdFf_VYSMzH5lBcEaU4o8teT1piV-SNzShjg/edit?gid=554141278#gid=554141278"", ""'Char Def. - Attributes'!C20:C2242""), 1,false)"),"PLANT_BUY")</f>
        <v>PLANT_BUY</v>
      </c>
      <c r="I6191" s="136"/>
    </row>
    <row r="6192" ht="15.75" customHeight="1">
      <c r="B6192" s="63">
        <f t="shared" si="1"/>
        <v>11</v>
      </c>
      <c r="C6192" s="154" t="s">
        <v>286</v>
      </c>
      <c r="D6192" s="147" t="s">
        <v>74</v>
      </c>
      <c r="E6192" s="135">
        <f t="shared" si="59"/>
        <v>11</v>
      </c>
      <c r="F6192" s="149" t="s">
        <v>3865</v>
      </c>
      <c r="G6192" s="63" t="str">
        <f>VLOOKUP(C6192, 'Class Def. - General Data'!$C$20:$C$1000,1,false)</f>
        <v>ZRM1_ROLBIB</v>
      </c>
      <c r="H6192" s="63" t="str">
        <f>IFERROR(__xludf.DUMMYFUNCTION("VLOOKUP(F6192, IMPORTRANGE(""https://docs.google.com/spreadsheets/d/1Lhp9OU0JdFf_VYSMzH5lBcEaU4o8teT1piV-SNzShjg/edit?gid=554141278#gid=554141278"", ""'Char Def. - Attributes'!C20:C2242""), 1,false)"),"PLANT_PROD_OPT")</f>
        <v>PLANT_PROD_OPT</v>
      </c>
      <c r="I6192" s="136"/>
    </row>
    <row r="6193" ht="15.75" customHeight="1">
      <c r="B6193" s="63">
        <f t="shared" si="1"/>
        <v>11</v>
      </c>
      <c r="C6193" s="154" t="s">
        <v>286</v>
      </c>
      <c r="D6193" s="147" t="s">
        <v>74</v>
      </c>
      <c r="E6193" s="135">
        <f t="shared" si="59"/>
        <v>12</v>
      </c>
      <c r="F6193" s="151" t="s">
        <v>3868</v>
      </c>
      <c r="G6193" s="63" t="str">
        <f>VLOOKUP(C6193, 'Class Def. - General Data'!$C$20:$C$1000,1,false)</f>
        <v>ZRM1_ROLBIB</v>
      </c>
      <c r="H6193" s="63" t="str">
        <f>IFERROR(__xludf.DUMMYFUNCTION("VLOOKUP(F6193, IMPORTRANGE(""https://docs.google.com/spreadsheets/d/1Lhp9OU0JdFf_VYSMzH5lBcEaU4o8teT1piV-SNzShjg/edit?gid=554141278#gid=554141278"", ""'Char Def. - Attributes'!C20:C2242""), 1,false)"),"BASIC_UOM_RMPM")</f>
        <v>BASIC_UOM_RMPM</v>
      </c>
      <c r="I6193" s="136"/>
    </row>
    <row r="6194" ht="15.75" customHeight="1">
      <c r="B6194" s="63">
        <f t="shared" si="1"/>
        <v>11</v>
      </c>
      <c r="C6194" s="154" t="s">
        <v>286</v>
      </c>
      <c r="D6194" s="147" t="s">
        <v>74</v>
      </c>
      <c r="E6194" s="135">
        <f t="shared" si="59"/>
        <v>13</v>
      </c>
      <c r="F6194" s="152" t="s">
        <v>3869</v>
      </c>
      <c r="G6194" s="63" t="str">
        <f>VLOOKUP(C6194, 'Class Def. - General Data'!$C$20:$C$1000,1,false)</f>
        <v>ZRM1_ROLBIB</v>
      </c>
      <c r="H6194" s="63" t="str">
        <f>IFERROR(__xludf.DUMMYFUNCTION("VLOOKUP(F6194, IMPORTRANGE(""https://docs.google.com/spreadsheets/d/1Lhp9OU0JdFf_VYSMzH5lBcEaU4o8teT1piV-SNzShjg/edit?gid=554141278#gid=554141278"", ""'Char Def. - Attributes'!C20:C2242""), 1,false)"),"ALT_UOM1_RMPM")</f>
        <v>ALT_UOM1_RMPM</v>
      </c>
      <c r="I6194" s="136"/>
    </row>
    <row r="6195" ht="15.75" customHeight="1">
      <c r="B6195" s="63">
        <f t="shared" si="1"/>
        <v>11</v>
      </c>
      <c r="C6195" s="154" t="s">
        <v>286</v>
      </c>
      <c r="D6195" s="147" t="s">
        <v>74</v>
      </c>
      <c r="E6195" s="135">
        <f t="shared" si="59"/>
        <v>14</v>
      </c>
      <c r="F6195" s="152" t="s">
        <v>3805</v>
      </c>
      <c r="G6195" s="63" t="str">
        <f>VLOOKUP(C6195, 'Class Def. - General Data'!$C$20:$C$1000,1,false)</f>
        <v>ZRM1_ROLBIB</v>
      </c>
      <c r="H6195" s="63" t="str">
        <f>IFERROR(__xludf.DUMMYFUNCTION("VLOOKUP(F6195, IMPORTRANGE(""https://docs.google.com/spreadsheets/d/1Lhp9OU0JdFf_VYSMzH5lBcEaU4o8teT1piV-SNzShjg/edit?gid=554141278#gid=554141278"", ""'Char Def. - Attributes'!C20:C2242""), 1,false)"),"ALT_DENUM_UOM1")</f>
        <v>ALT_DENUM_UOM1</v>
      </c>
      <c r="I6195" s="136"/>
    </row>
    <row r="6196" ht="15.75" customHeight="1">
      <c r="B6196" s="63">
        <f t="shared" si="1"/>
        <v>11</v>
      </c>
      <c r="C6196" s="154" t="s">
        <v>286</v>
      </c>
      <c r="D6196" s="147" t="s">
        <v>74</v>
      </c>
      <c r="E6196" s="135">
        <f t="shared" si="59"/>
        <v>15</v>
      </c>
      <c r="F6196" s="152" t="s">
        <v>3806</v>
      </c>
      <c r="G6196" s="63" t="str">
        <f>VLOOKUP(C6196, 'Class Def. - General Data'!$C$20:$C$1000,1,false)</f>
        <v>ZRM1_ROLBIB</v>
      </c>
      <c r="H6196" s="63" t="str">
        <f>IFERROR(__xludf.DUMMYFUNCTION("VLOOKUP(F6196, IMPORTRANGE(""https://docs.google.com/spreadsheets/d/1Lhp9OU0JdFf_VYSMzH5lBcEaU4o8teT1piV-SNzShjg/edit?gid=554141278#gid=554141278"", ""'Char Def. - Attributes'!C20:C2242""), 1,false)"),"ALT_NUM_UOM1")</f>
        <v>ALT_NUM_UOM1</v>
      </c>
      <c r="I6196" s="136"/>
    </row>
    <row r="6197" ht="15.75" customHeight="1">
      <c r="B6197" s="63">
        <f t="shared" si="1"/>
        <v>11</v>
      </c>
      <c r="C6197" s="154" t="s">
        <v>286</v>
      </c>
      <c r="D6197" s="147" t="s">
        <v>74</v>
      </c>
      <c r="E6197" s="135">
        <f t="shared" si="59"/>
        <v>16</v>
      </c>
      <c r="F6197" s="152" t="s">
        <v>3870</v>
      </c>
      <c r="G6197" s="63" t="str">
        <f>VLOOKUP(C6197, 'Class Def. - General Data'!$C$20:$C$1000,1,false)</f>
        <v>ZRM1_ROLBIB</v>
      </c>
      <c r="H6197" s="63" t="str">
        <f>IFERROR(__xludf.DUMMYFUNCTION("VLOOKUP(F6197, IMPORTRANGE(""https://docs.google.com/spreadsheets/d/1Lhp9OU0JdFf_VYSMzH5lBcEaU4o8teT1piV-SNzShjg/edit?gid=554141278#gid=554141278"", ""'Char Def. - Attributes'!C20:C2242""), 1,false)"),"ALT_UOM2_RMPM")</f>
        <v>ALT_UOM2_RMPM</v>
      </c>
      <c r="I6197" s="136"/>
    </row>
    <row r="6198" ht="15.75" customHeight="1">
      <c r="B6198" s="63">
        <f t="shared" si="1"/>
        <v>11</v>
      </c>
      <c r="C6198" s="154" t="s">
        <v>286</v>
      </c>
      <c r="D6198" s="147" t="s">
        <v>74</v>
      </c>
      <c r="E6198" s="135">
        <f t="shared" si="59"/>
        <v>17</v>
      </c>
      <c r="F6198" s="152" t="s">
        <v>3808</v>
      </c>
      <c r="G6198" s="63" t="str">
        <f>VLOOKUP(C6198, 'Class Def. - General Data'!$C$20:$C$1000,1,false)</f>
        <v>ZRM1_ROLBIB</v>
      </c>
      <c r="H6198" s="63" t="str">
        <f>IFERROR(__xludf.DUMMYFUNCTION("VLOOKUP(F6198, IMPORTRANGE(""https://docs.google.com/spreadsheets/d/1Lhp9OU0JdFf_VYSMzH5lBcEaU4o8teT1piV-SNzShjg/edit?gid=554141278#gid=554141278"", ""'Char Def. - Attributes'!C20:C2242""), 1,false)"),"ALT_DENUM_UOM2")</f>
        <v>ALT_DENUM_UOM2</v>
      </c>
      <c r="I6198" s="136"/>
    </row>
    <row r="6199" ht="15.75" customHeight="1">
      <c r="B6199" s="63">
        <f t="shared" si="1"/>
        <v>11</v>
      </c>
      <c r="C6199" s="154" t="s">
        <v>286</v>
      </c>
      <c r="D6199" s="147" t="s">
        <v>74</v>
      </c>
      <c r="E6199" s="135">
        <f t="shared" si="59"/>
        <v>18</v>
      </c>
      <c r="F6199" s="152" t="s">
        <v>3809</v>
      </c>
      <c r="G6199" s="63" t="str">
        <f>VLOOKUP(C6199, 'Class Def. - General Data'!$C$20:$C$1000,1,false)</f>
        <v>ZRM1_ROLBIB</v>
      </c>
      <c r="H6199" s="63" t="str">
        <f>IFERROR(__xludf.DUMMYFUNCTION("VLOOKUP(F6199, IMPORTRANGE(""https://docs.google.com/spreadsheets/d/1Lhp9OU0JdFf_VYSMzH5lBcEaU4o8teT1piV-SNzShjg/edit?gid=554141278#gid=554141278"", ""'Char Def. - Attributes'!C20:C2242""), 1,false)"),"ALT_NUM_UOM2")</f>
        <v>ALT_NUM_UOM2</v>
      </c>
      <c r="I6199" s="136"/>
    </row>
    <row r="6200" ht="15.75" customHeight="1">
      <c r="B6200" s="63">
        <f t="shared" si="1"/>
        <v>11</v>
      </c>
      <c r="C6200" s="154" t="s">
        <v>286</v>
      </c>
      <c r="D6200" s="147" t="s">
        <v>74</v>
      </c>
      <c r="E6200" s="135">
        <f t="shared" si="59"/>
        <v>19</v>
      </c>
      <c r="F6200" s="152" t="s">
        <v>3871</v>
      </c>
      <c r="G6200" s="63" t="str">
        <f>VLOOKUP(C6200, 'Class Def. - General Data'!$C$20:$C$1000,1,false)</f>
        <v>ZRM1_ROLBIB</v>
      </c>
      <c r="H6200" s="63" t="str">
        <f>IFERROR(__xludf.DUMMYFUNCTION("VLOOKUP(F6200, IMPORTRANGE(""https://docs.google.com/spreadsheets/d/1Lhp9OU0JdFf_VYSMzH5lBcEaU4o8teT1piV-SNzShjg/edit?gid=554141278#gid=554141278"", ""'Char Def. - Attributes'!C20:C2242""), 1,false)"),"ALT_UOM3_RMPM")</f>
        <v>ALT_UOM3_RMPM</v>
      </c>
      <c r="I6200" s="136"/>
    </row>
    <row r="6201" ht="15.75" customHeight="1">
      <c r="B6201" s="63">
        <f t="shared" si="1"/>
        <v>11</v>
      </c>
      <c r="C6201" s="154" t="s">
        <v>286</v>
      </c>
      <c r="D6201" s="147" t="s">
        <v>74</v>
      </c>
      <c r="E6201" s="135">
        <f t="shared" si="59"/>
        <v>20</v>
      </c>
      <c r="F6201" s="152" t="s">
        <v>3811</v>
      </c>
      <c r="G6201" s="63" t="str">
        <f>VLOOKUP(C6201, 'Class Def. - General Data'!$C$20:$C$1000,1,false)</f>
        <v>ZRM1_ROLBIB</v>
      </c>
      <c r="H6201" s="63" t="str">
        <f>IFERROR(__xludf.DUMMYFUNCTION("VLOOKUP(F6201, IMPORTRANGE(""https://docs.google.com/spreadsheets/d/1Lhp9OU0JdFf_VYSMzH5lBcEaU4o8teT1piV-SNzShjg/edit?gid=554141278#gid=554141278"", ""'Char Def. - Attributes'!C20:C2242""), 1,false)"),"ALT_DENUM_UOM3")</f>
        <v>ALT_DENUM_UOM3</v>
      </c>
      <c r="I6201" s="136"/>
    </row>
    <row r="6202" ht="15.75" customHeight="1">
      <c r="B6202" s="63">
        <f t="shared" si="1"/>
        <v>11</v>
      </c>
      <c r="C6202" s="154" t="s">
        <v>286</v>
      </c>
      <c r="D6202" s="147" t="s">
        <v>74</v>
      </c>
      <c r="E6202" s="135">
        <f t="shared" si="59"/>
        <v>21</v>
      </c>
      <c r="F6202" s="152" t="s">
        <v>3812</v>
      </c>
      <c r="G6202" s="63" t="str">
        <f>VLOOKUP(C6202, 'Class Def. - General Data'!$C$20:$C$1000,1,false)</f>
        <v>ZRM1_ROLBIB</v>
      </c>
      <c r="H6202" s="63" t="str">
        <f>IFERROR(__xludf.DUMMYFUNCTION("VLOOKUP(F6202, IMPORTRANGE(""https://docs.google.com/spreadsheets/d/1Lhp9OU0JdFf_VYSMzH5lBcEaU4o8teT1piV-SNzShjg/edit?gid=554141278#gid=554141278"", ""'Char Def. - Attributes'!C20:C2242""), 1,false)"),"ALT_NUM_UOM3")</f>
        <v>ALT_NUM_UOM3</v>
      </c>
      <c r="I6202" s="136"/>
    </row>
    <row r="6203" ht="15.75" customHeight="1">
      <c r="B6203" s="63">
        <f t="shared" si="1"/>
        <v>11</v>
      </c>
      <c r="C6203" s="154" t="s">
        <v>286</v>
      </c>
      <c r="D6203" s="147" t="s">
        <v>74</v>
      </c>
      <c r="E6203" s="135">
        <f t="shared" si="59"/>
        <v>22</v>
      </c>
      <c r="F6203" s="152" t="s">
        <v>3872</v>
      </c>
      <c r="G6203" s="63" t="str">
        <f>VLOOKUP(C6203, 'Class Def. - General Data'!$C$20:$C$1000,1,false)</f>
        <v>ZRM1_ROLBIB</v>
      </c>
      <c r="H6203" s="63" t="str">
        <f>IFERROR(__xludf.DUMMYFUNCTION("VLOOKUP(F6203, IMPORTRANGE(""https://docs.google.com/spreadsheets/d/1Lhp9OU0JdFf_VYSMzH5lBcEaU4o8teT1piV-SNzShjg/edit?gid=554141278#gid=554141278"", ""'Char Def. - Attributes'!C20:C2242""), 1,false)"),"ALT_UOM4_RMPM")</f>
        <v>ALT_UOM4_RMPM</v>
      </c>
      <c r="I6203" s="136"/>
    </row>
    <row r="6204" ht="15.75" customHeight="1">
      <c r="B6204" s="63">
        <f t="shared" si="1"/>
        <v>11</v>
      </c>
      <c r="C6204" s="154" t="s">
        <v>286</v>
      </c>
      <c r="D6204" s="147" t="s">
        <v>74</v>
      </c>
      <c r="E6204" s="135">
        <f t="shared" si="59"/>
        <v>23</v>
      </c>
      <c r="F6204" s="148" t="s">
        <v>3814</v>
      </c>
      <c r="G6204" s="63" t="str">
        <f>VLOOKUP(C6204, 'Class Def. - General Data'!$C$20:$C$1000,1,false)</f>
        <v>ZRM1_ROLBIB</v>
      </c>
      <c r="H6204" s="63" t="str">
        <f>IFERROR(__xludf.DUMMYFUNCTION("VLOOKUP(F6204, IMPORTRANGE(""https://docs.google.com/spreadsheets/d/1Lhp9OU0JdFf_VYSMzH5lBcEaU4o8teT1piV-SNzShjg/edit?gid=554141278#gid=554141278"", ""'Char Def. - Attributes'!C20:C2242""), 1,false)"),"ALT_DENUM_UOM4")</f>
        <v>ALT_DENUM_UOM4</v>
      </c>
      <c r="I6204" s="136"/>
    </row>
    <row r="6205" ht="15.75" customHeight="1">
      <c r="B6205" s="63">
        <f t="shared" si="1"/>
        <v>11</v>
      </c>
      <c r="C6205" s="154" t="s">
        <v>286</v>
      </c>
      <c r="D6205" s="147" t="s">
        <v>74</v>
      </c>
      <c r="E6205" s="135">
        <f t="shared" si="59"/>
        <v>24</v>
      </c>
      <c r="F6205" s="152" t="s">
        <v>3815</v>
      </c>
      <c r="G6205" s="63" t="str">
        <f>VLOOKUP(C6205, 'Class Def. - General Data'!$C$20:$C$1000,1,false)</f>
        <v>ZRM1_ROLBIB</v>
      </c>
      <c r="H6205" s="63" t="str">
        <f>IFERROR(__xludf.DUMMYFUNCTION("VLOOKUP(F6205, IMPORTRANGE(""https://docs.google.com/spreadsheets/d/1Lhp9OU0JdFf_VYSMzH5lBcEaU4o8teT1piV-SNzShjg/edit?gid=554141278#gid=554141278"", ""'Char Def. - Attributes'!C20:C2242""), 1,false)"),"ALT_NUM_UOM4")</f>
        <v>ALT_NUM_UOM4</v>
      </c>
      <c r="I6205" s="136"/>
    </row>
    <row r="6206" ht="15.75" customHeight="1">
      <c r="B6206" s="63">
        <f t="shared" si="1"/>
        <v>11</v>
      </c>
      <c r="C6206" s="154" t="s">
        <v>286</v>
      </c>
      <c r="D6206" s="147" t="s">
        <v>74</v>
      </c>
      <c r="E6206" s="135">
        <f t="shared" si="59"/>
        <v>25</v>
      </c>
      <c r="F6206" s="152" t="s">
        <v>3873</v>
      </c>
      <c r="G6206" s="63" t="str">
        <f>VLOOKUP(C6206, 'Class Def. - General Data'!$C$20:$C$1000,1,false)</f>
        <v>ZRM1_ROLBIB</v>
      </c>
      <c r="H6206" s="63" t="str">
        <f>IFERROR(__xludf.DUMMYFUNCTION("VLOOKUP(F6206, IMPORTRANGE(""https://docs.google.com/spreadsheets/d/1Lhp9OU0JdFf_VYSMzH5lBcEaU4o8teT1piV-SNzShjg/edit?gid=554141278#gid=554141278"", ""'Char Def. - Attributes'!C20:C2242""), 1,false)"),"ALT_UOM5_RMPM")</f>
        <v>ALT_UOM5_RMPM</v>
      </c>
      <c r="I6206" s="136"/>
    </row>
    <row r="6207" ht="15.75" customHeight="1">
      <c r="B6207" s="63">
        <f t="shared" si="1"/>
        <v>11</v>
      </c>
      <c r="C6207" s="154" t="s">
        <v>286</v>
      </c>
      <c r="D6207" s="147" t="s">
        <v>74</v>
      </c>
      <c r="E6207" s="135">
        <f t="shared" si="59"/>
        <v>26</v>
      </c>
      <c r="F6207" s="152" t="s">
        <v>3817</v>
      </c>
      <c r="G6207" s="63" t="str">
        <f>VLOOKUP(C6207, 'Class Def. - General Data'!$C$20:$C$1000,1,false)</f>
        <v>ZRM1_ROLBIB</v>
      </c>
      <c r="H6207" s="63" t="str">
        <f>IFERROR(__xludf.DUMMYFUNCTION("VLOOKUP(F6207, IMPORTRANGE(""https://docs.google.com/spreadsheets/d/1Lhp9OU0JdFf_VYSMzH5lBcEaU4o8teT1piV-SNzShjg/edit?gid=554141278#gid=554141278"", ""'Char Def. - Attributes'!C20:C2242""), 1,false)"),"ALT_DENUM_UOM5")</f>
        <v>ALT_DENUM_UOM5</v>
      </c>
      <c r="I6207" s="136"/>
    </row>
    <row r="6208" ht="15.75" customHeight="1">
      <c r="B6208" s="63">
        <f t="shared" si="1"/>
        <v>11</v>
      </c>
      <c r="C6208" s="154" t="s">
        <v>286</v>
      </c>
      <c r="D6208" s="147" t="s">
        <v>74</v>
      </c>
      <c r="E6208" s="135">
        <f t="shared" si="59"/>
        <v>27</v>
      </c>
      <c r="F6208" s="152" t="s">
        <v>3818</v>
      </c>
      <c r="G6208" s="63" t="str">
        <f>VLOOKUP(C6208, 'Class Def. - General Data'!$C$20:$C$1000,1,false)</f>
        <v>ZRM1_ROLBIB</v>
      </c>
      <c r="H6208" s="63" t="str">
        <f>IFERROR(__xludf.DUMMYFUNCTION("VLOOKUP(F6208, IMPORTRANGE(""https://docs.google.com/spreadsheets/d/1Lhp9OU0JdFf_VYSMzH5lBcEaU4o8teT1piV-SNzShjg/edit?gid=554141278#gid=554141278"", ""'Char Def. - Attributes'!C20:C2242""), 1,false)"),"ALT_NUM_UOM5")</f>
        <v>ALT_NUM_UOM5</v>
      </c>
      <c r="I6208" s="136"/>
    </row>
    <row r="6209" ht="15.75" customHeight="1">
      <c r="B6209" s="63">
        <f t="shared" si="1"/>
        <v>11</v>
      </c>
      <c r="C6209" s="154" t="s">
        <v>286</v>
      </c>
      <c r="D6209" s="147" t="s">
        <v>74</v>
      </c>
      <c r="E6209" s="135">
        <f t="shared" si="59"/>
        <v>28</v>
      </c>
      <c r="F6209" s="152" t="s">
        <v>3874</v>
      </c>
      <c r="G6209" s="63" t="str">
        <f>VLOOKUP(C6209, 'Class Def. - General Data'!$C$20:$C$1000,1,false)</f>
        <v>ZRM1_ROLBIB</v>
      </c>
      <c r="H6209" s="63" t="str">
        <f>IFERROR(__xludf.DUMMYFUNCTION("VLOOKUP(F6209, IMPORTRANGE(""https://docs.google.com/spreadsheets/d/1Lhp9OU0JdFf_VYSMzH5lBcEaU4o8teT1piV-SNzShjg/edit?gid=554141278#gid=554141278"", ""'Char Def. - Attributes'!C20:C2242""), 1,false)"),"VALUATION_CATEGORY")</f>
        <v>VALUATION_CATEGORY</v>
      </c>
      <c r="I6209" s="136"/>
    </row>
    <row r="6210" ht="15.75" customHeight="1">
      <c r="B6210" s="63">
        <f t="shared" si="1"/>
        <v>11</v>
      </c>
      <c r="C6210" s="154" t="s">
        <v>286</v>
      </c>
      <c r="D6210" s="147" t="s">
        <v>74</v>
      </c>
      <c r="E6210" s="135">
        <f t="shared" si="59"/>
        <v>29</v>
      </c>
      <c r="F6210" s="152" t="s">
        <v>3800</v>
      </c>
      <c r="G6210" s="63" t="str">
        <f>VLOOKUP(C6210, 'Class Def. - General Data'!$C$20:$C$1000,1,false)</f>
        <v>ZRM1_ROLBIB</v>
      </c>
      <c r="H6210" s="63" t="str">
        <f>IFERROR(__xludf.DUMMYFUNCTION("VLOOKUP(F6210, IMPORTRANGE(""https://docs.google.com/spreadsheets/d/1Lhp9OU0JdFf_VYSMzH5lBcEaU4o8teT1piV-SNzShjg/edit?gid=554141278#gid=554141278"", ""'Char Def. - Attributes'!C20:C2242""), 1,false)"),"ORDER_UNIT_DIFF_FROM_BASIC_UOM")</f>
        <v>ORDER_UNIT_DIFF_FROM_BASIC_UOM</v>
      </c>
      <c r="I6210" s="136"/>
    </row>
    <row r="6211" ht="15.75" customHeight="1">
      <c r="B6211" s="63">
        <f t="shared" si="1"/>
        <v>11</v>
      </c>
      <c r="C6211" s="154" t="s">
        <v>286</v>
      </c>
      <c r="D6211" s="147" t="s">
        <v>74</v>
      </c>
      <c r="E6211" s="135">
        <f t="shared" si="59"/>
        <v>30</v>
      </c>
      <c r="F6211" s="152" t="s">
        <v>3875</v>
      </c>
      <c r="G6211" s="63" t="str">
        <f>VLOOKUP(C6211, 'Class Def. - General Data'!$C$20:$C$1000,1,false)</f>
        <v>ZRM1_ROLBIB</v>
      </c>
      <c r="H6211" s="63" t="str">
        <f>IFERROR(__xludf.DUMMYFUNCTION("VLOOKUP(F6211, IMPORTRANGE(""https://docs.google.com/spreadsheets/d/1Lhp9OU0JdFf_VYSMzH5lBcEaU4o8teT1piV-SNzShjg/edit?gid=554141278#gid=554141278"", ""'Char Def. - Attributes'!C20:C2242""), 1,false)"),"ORDER_UNIT_RMPM")</f>
        <v>ORDER_UNIT_RMPM</v>
      </c>
      <c r="I6211" s="136"/>
    </row>
    <row r="6212" ht="15.75" customHeight="1">
      <c r="B6212" s="63">
        <f t="shared" si="1"/>
        <v>11</v>
      </c>
      <c r="C6212" s="154" t="s">
        <v>286</v>
      </c>
      <c r="D6212" s="147" t="s">
        <v>74</v>
      </c>
      <c r="E6212" s="135">
        <f t="shared" si="59"/>
        <v>31</v>
      </c>
      <c r="F6212" s="151" t="s">
        <v>3602</v>
      </c>
      <c r="G6212" s="63" t="str">
        <f>VLOOKUP(C6212, 'Class Def. - General Data'!$C$20:$C$1000,1,false)</f>
        <v>ZRM1_ROLBIB</v>
      </c>
      <c r="H6212" s="63" t="str">
        <f>IFERROR(__xludf.DUMMYFUNCTION("VLOOKUP(F6212, IMPORTRANGE(""https://docs.google.com/spreadsheets/d/1Lhp9OU0JdFf_VYSMzH5lBcEaU4o8teT1piV-SNzShjg/edit?gid=554141278#gid=554141278"", ""'Char Def. - Attributes'!C20:C2242""), 1,false)"),"NET_WEIGHT")</f>
        <v>NET_WEIGHT</v>
      </c>
      <c r="I6212" s="136"/>
    </row>
    <row r="6213" ht="15.75" customHeight="1">
      <c r="B6213" s="63">
        <f t="shared" si="1"/>
        <v>11</v>
      </c>
      <c r="C6213" s="154" t="s">
        <v>286</v>
      </c>
      <c r="D6213" s="147" t="s">
        <v>74</v>
      </c>
      <c r="E6213" s="135">
        <f t="shared" si="59"/>
        <v>32</v>
      </c>
      <c r="F6213" s="151" t="s">
        <v>3601</v>
      </c>
      <c r="G6213" s="63" t="str">
        <f>VLOOKUP(C6213, 'Class Def. - General Data'!$C$20:$C$1000,1,false)</f>
        <v>ZRM1_ROLBIB</v>
      </c>
      <c r="H6213" s="63" t="str">
        <f>IFERROR(__xludf.DUMMYFUNCTION("VLOOKUP(F6213, IMPORTRANGE(""https://docs.google.com/spreadsheets/d/1Lhp9OU0JdFf_VYSMzH5lBcEaU4o8teT1piV-SNzShjg/edit?gid=554141278#gid=554141278"", ""'Char Def. - Attributes'!C20:C2242""), 1,false)"),"GROSS_WEIGHT")</f>
        <v>GROSS_WEIGHT</v>
      </c>
      <c r="I6213" s="136"/>
    </row>
    <row r="6214" ht="15.75" customHeight="1">
      <c r="B6214" s="63">
        <f t="shared" si="1"/>
        <v>11</v>
      </c>
      <c r="C6214" s="154" t="s">
        <v>286</v>
      </c>
      <c r="D6214" s="147" t="s">
        <v>74</v>
      </c>
      <c r="E6214" s="135">
        <f t="shared" si="59"/>
        <v>33</v>
      </c>
      <c r="F6214" s="134" t="s">
        <v>3996</v>
      </c>
      <c r="G6214" s="63" t="str">
        <f>VLOOKUP(C6214, 'Class Def. - General Data'!$C$20:$C$1000,1,false)</f>
        <v>ZRM1_ROLBIB</v>
      </c>
      <c r="H6214" s="63" t="str">
        <f>IFERROR(__xludf.DUMMYFUNCTION("VLOOKUP(F6214, IMPORTRANGE(""https://docs.google.com/spreadsheets/d/1Lhp9OU0JdFf_VYSMzH5lBcEaU4o8teT1piV-SNzShjg/edit?gid=554141278#gid=554141278"", ""'Char Def. - Attributes'!C20:C2242""), 1,false)"),"WEIGHT_UNIT")</f>
        <v>WEIGHT_UNIT</v>
      </c>
      <c r="I6214" s="136"/>
    </row>
    <row r="6215" ht="15.75" customHeight="1">
      <c r="B6215" s="63">
        <f t="shared" si="1"/>
        <v>11</v>
      </c>
      <c r="C6215" s="154" t="s">
        <v>286</v>
      </c>
      <c r="D6215" s="147" t="s">
        <v>74</v>
      </c>
      <c r="E6215" s="135">
        <f t="shared" si="59"/>
        <v>34</v>
      </c>
      <c r="F6215" s="151" t="s">
        <v>3877</v>
      </c>
      <c r="G6215" s="63" t="str">
        <f>VLOOKUP(C6215, 'Class Def. - General Data'!$C$20:$C$1000,1,false)</f>
        <v>ZRM1_ROLBIB</v>
      </c>
      <c r="H6215" s="63" t="str">
        <f>IFERROR(__xludf.DUMMYFUNCTION("VLOOKUP(F6215, IMPORTRANGE(""https://docs.google.com/spreadsheets/d/1Lhp9OU0JdFf_VYSMzH5lBcEaU4o8teT1piV-SNzShjg/edit?gid=554141278#gid=554141278"", ""'Char Def. - Attributes'!C20:C2242""), 1,false)"),"VOLUME_OPT")</f>
        <v>VOLUME_OPT</v>
      </c>
      <c r="I6215" s="136"/>
    </row>
    <row r="6216" ht="15.75" customHeight="1">
      <c r="B6216" s="63">
        <f t="shared" si="1"/>
        <v>11</v>
      </c>
      <c r="C6216" s="154" t="s">
        <v>286</v>
      </c>
      <c r="D6216" s="147" t="s">
        <v>74</v>
      </c>
      <c r="E6216" s="135">
        <f t="shared" si="59"/>
        <v>35</v>
      </c>
      <c r="F6216" s="152" t="s">
        <v>3878</v>
      </c>
      <c r="G6216" s="63" t="str">
        <f>VLOOKUP(C6216, 'Class Def. - General Data'!$C$20:$C$1000,1,false)</f>
        <v>ZRM1_ROLBIB</v>
      </c>
      <c r="H6216" s="63" t="str">
        <f>IFERROR(__xludf.DUMMYFUNCTION("VLOOKUP(F6216, IMPORTRANGE(""https://docs.google.com/spreadsheets/d/1Lhp9OU0JdFf_VYSMzH5lBcEaU4o8teT1piV-SNzShjg/edit?gid=554141278#gid=554141278"", ""'Char Def. - Attributes'!C20:C2242""), 1,false)"),"VOLUME_UNIT")</f>
        <v>VOLUME_UNIT</v>
      </c>
      <c r="I6216" s="136"/>
    </row>
    <row r="6217" ht="15.75" customHeight="1">
      <c r="B6217" s="63">
        <f t="shared" si="1"/>
        <v>11</v>
      </c>
      <c r="C6217" s="154" t="s">
        <v>286</v>
      </c>
      <c r="D6217" s="147" t="s">
        <v>74</v>
      </c>
      <c r="E6217" s="135">
        <f t="shared" si="59"/>
        <v>36</v>
      </c>
      <c r="F6217" s="149" t="s">
        <v>3997</v>
      </c>
      <c r="G6217" s="63" t="str">
        <f>VLOOKUP(C6217, 'Class Def. - General Data'!$C$20:$C$1000,1,false)</f>
        <v>ZRM1_ROLBIB</v>
      </c>
      <c r="H6217" s="63" t="str">
        <f>IFERROR(__xludf.DUMMYFUNCTION("VLOOKUP(F6217, IMPORTRANGE(""https://docs.google.com/spreadsheets/d/1Lhp9OU0JdFf_VYSMzH5lBcEaU4o8teT1piV-SNzShjg/edit?gid=554141278#gid=554141278"", ""'Char Def. - Attributes'!C20:C2242""), 1,false)"),"OLD_MAT_NO_RMPM_OPT")</f>
        <v>OLD_MAT_NO_RMPM_OPT</v>
      </c>
      <c r="I6217" s="136"/>
    </row>
    <row r="6218" ht="15.75" customHeight="1">
      <c r="B6218" s="63">
        <f t="shared" si="1"/>
        <v>11</v>
      </c>
      <c r="C6218" s="154" t="s">
        <v>286</v>
      </c>
      <c r="D6218" s="147" t="s">
        <v>74</v>
      </c>
      <c r="E6218" s="135">
        <f t="shared" si="59"/>
        <v>37</v>
      </c>
      <c r="F6218" s="148" t="s">
        <v>3998</v>
      </c>
      <c r="G6218" s="63" t="str">
        <f>VLOOKUP(C6218, 'Class Def. - General Data'!$C$20:$C$1000,1,false)</f>
        <v>ZRM1_ROLBIB</v>
      </c>
      <c r="H6218" s="63" t="str">
        <f>IFERROR(__xludf.DUMMYFUNCTION("VLOOKUP(F6218, IMPORTRANGE(""https://docs.google.com/spreadsheets/d/1Lhp9OU0JdFf_VYSMzH5lBcEaU4o8teT1piV-SNzShjg/edit?gid=554141278#gid=554141278"", ""'Char Def. - Attributes'!C20:C2242""), 1,false)"),"MIN_STD_WEIGHT")</f>
        <v>MIN_STD_WEIGHT</v>
      </c>
      <c r="I6218" s="136"/>
    </row>
    <row r="6219" ht="15.75" customHeight="1">
      <c r="B6219" s="63">
        <f t="shared" si="1"/>
        <v>11</v>
      </c>
      <c r="C6219" s="154" t="s">
        <v>286</v>
      </c>
      <c r="D6219" s="147" t="s">
        <v>74</v>
      </c>
      <c r="E6219" s="135">
        <f t="shared" si="59"/>
        <v>38</v>
      </c>
      <c r="F6219" s="148" t="s">
        <v>3999</v>
      </c>
      <c r="G6219" s="63" t="str">
        <f>VLOOKUP(C6219, 'Class Def. - General Data'!$C$20:$C$1000,1,false)</f>
        <v>ZRM1_ROLBIB</v>
      </c>
      <c r="H6219" s="63" t="str">
        <f>IFERROR(__xludf.DUMMYFUNCTION("VLOOKUP(F6219, IMPORTRANGE(""https://docs.google.com/spreadsheets/d/1Lhp9OU0JdFf_VYSMzH5lBcEaU4o8teT1piV-SNzShjg/edit?gid=554141278#gid=554141278"", ""'Char Def. - Attributes'!C20:C2242""), 1,false)"),"MIN_STD_WEIGHT_UOM")</f>
        <v>MIN_STD_WEIGHT_UOM</v>
      </c>
      <c r="I6219" s="136"/>
    </row>
    <row r="6220" ht="15.75" customHeight="1">
      <c r="B6220" s="63">
        <f t="shared" si="1"/>
        <v>11</v>
      </c>
      <c r="C6220" s="156" t="s">
        <v>238</v>
      </c>
      <c r="D6220" s="147" t="s">
        <v>74</v>
      </c>
      <c r="E6220" s="135">
        <f t="shared" si="59"/>
        <v>1</v>
      </c>
      <c r="F6220" s="152" t="s">
        <v>4000</v>
      </c>
      <c r="G6220" s="63" t="str">
        <f>VLOOKUP(C6220, 'Class Def. - General Data'!$C$20:$C$1000,1,false)</f>
        <v>ZRM1_Sambal</v>
      </c>
      <c r="H6220" s="63" t="str">
        <f>IFERROR(__xludf.DUMMYFUNCTION("VLOOKUP(F6220, IMPORTRANGE(""https://docs.google.com/spreadsheets/d/1Lhp9OU0JdFf_VYSMzH5lBcEaU4o8teT1piV-SNzShjg/edit?gid=554141278#gid=554141278"", ""'Char Def. - Attributes'!C20:C2242""), 1,false)"),"MATERIAL_CODE_FREETEXT")</f>
        <v>MATERIAL_CODE_FREETEXT</v>
      </c>
      <c r="I6220" s="136"/>
    </row>
    <row r="6221" ht="15.75" customHeight="1">
      <c r="B6221" s="63">
        <f t="shared" si="1"/>
        <v>11</v>
      </c>
      <c r="C6221" s="156" t="s">
        <v>238</v>
      </c>
      <c r="D6221" s="147" t="s">
        <v>74</v>
      </c>
      <c r="E6221" s="135">
        <f t="shared" si="59"/>
        <v>2</v>
      </c>
      <c r="F6221" s="152" t="s">
        <v>4001</v>
      </c>
      <c r="G6221" s="63" t="str">
        <f>VLOOKUP(C6221, 'Class Def. - General Data'!$C$20:$C$1000,1,false)</f>
        <v>ZRM1_Sambal</v>
      </c>
      <c r="H6221" s="63" t="str">
        <f>IFERROR(__xludf.DUMMYFUNCTION("VLOOKUP(F6221, IMPORTRANGE(""https://docs.google.com/spreadsheets/d/1Lhp9OU0JdFf_VYSMzH5lBcEaU4o8teT1piV-SNzShjg/edit?gid=554141278#gid=554141278"", ""'Char Def. - Attributes'!C20:C2242""), 1,false)"),"ADDITIONAL_INFO_NO_MASK")</f>
        <v>ADDITIONAL_INFO_NO_MASK</v>
      </c>
      <c r="I6221" s="136"/>
    </row>
    <row r="6222" ht="15.75" customHeight="1">
      <c r="B6222" s="63">
        <f t="shared" si="1"/>
        <v>11</v>
      </c>
      <c r="C6222" s="156" t="s">
        <v>238</v>
      </c>
      <c r="D6222" s="147" t="s">
        <v>74</v>
      </c>
      <c r="E6222" s="135">
        <f t="shared" si="59"/>
        <v>3</v>
      </c>
      <c r="F6222" s="152" t="s">
        <v>4002</v>
      </c>
      <c r="G6222" s="63" t="str">
        <f>VLOOKUP(C6222, 'Class Def. - General Data'!$C$20:$C$1000,1,false)</f>
        <v>ZRM1_Sambal</v>
      </c>
      <c r="H6222" s="63" t="str">
        <f>IFERROR(__xludf.DUMMYFUNCTION("VLOOKUP(F6222, IMPORTRANGE(""https://docs.google.com/spreadsheets/d/1Lhp9OU0JdFf_VYSMzH5lBcEaU4o8teT1piV-SNzShjg/edit?gid=554141278#gid=554141278"", ""'Char Def. - Attributes'!C20:C2242""), 1,false)"),"COLOR_GENERAL")</f>
        <v>COLOR_GENERAL</v>
      </c>
      <c r="I6222" s="136"/>
    </row>
    <row r="6223" ht="15.75" customHeight="1">
      <c r="B6223" s="63">
        <f t="shared" si="1"/>
        <v>11</v>
      </c>
      <c r="C6223" s="156" t="s">
        <v>238</v>
      </c>
      <c r="D6223" s="147" t="s">
        <v>74</v>
      </c>
      <c r="E6223" s="135">
        <f t="shared" si="59"/>
        <v>4</v>
      </c>
      <c r="F6223" s="152" t="s">
        <v>4003</v>
      </c>
      <c r="G6223" s="63" t="str">
        <f>VLOOKUP(C6223, 'Class Def. - General Data'!$C$20:$C$1000,1,false)</f>
        <v>ZRM1_Sambal</v>
      </c>
      <c r="H6223" s="63" t="str">
        <f>IFERROR(__xludf.DUMMYFUNCTION("VLOOKUP(F6223, IMPORTRANGE(""https://docs.google.com/spreadsheets/d/1Lhp9OU0JdFf_VYSMzH5lBcEaU4o8teT1piV-SNzShjg/edit?gid=554141278#gid=554141278"", ""'Char Def. - Attributes'!C20:C2242""), 1,false)"),"SOURCE_SUPPLY")</f>
        <v>SOURCE_SUPPLY</v>
      </c>
      <c r="I6223" s="136"/>
    </row>
    <row r="6224" ht="15.75" customHeight="1">
      <c r="B6224" s="63">
        <f t="shared" si="1"/>
        <v>11</v>
      </c>
      <c r="C6224" s="156" t="s">
        <v>238</v>
      </c>
      <c r="D6224" s="147" t="s">
        <v>74</v>
      </c>
      <c r="E6224" s="135">
        <f t="shared" si="59"/>
        <v>5</v>
      </c>
      <c r="F6224" s="152" t="s">
        <v>4004</v>
      </c>
      <c r="G6224" s="63" t="str">
        <f>VLOOKUP(C6224, 'Class Def. - General Data'!$C$20:$C$1000,1,false)</f>
        <v>ZRM1_Sambal</v>
      </c>
      <c r="H6224" s="63" t="str">
        <f>IFERROR(__xludf.DUMMYFUNCTION("VLOOKUP(F6224, IMPORTRANGE(""https://docs.google.com/spreadsheets/d/1Lhp9OU0JdFf_VYSMzH5lBcEaU4o8teT1piV-SNzShjg/edit?gid=554141278#gid=554141278"", ""'Char Def. - Attributes'!C20:C2242""), 1,false)"),"BASE_MATERIAL")</f>
        <v>BASE_MATERIAL</v>
      </c>
      <c r="I6224" s="136"/>
    </row>
    <row r="6225" ht="15.75" customHeight="1">
      <c r="B6225" s="63">
        <f t="shared" si="1"/>
        <v>11</v>
      </c>
      <c r="C6225" s="156" t="s">
        <v>238</v>
      </c>
      <c r="D6225" s="147" t="s">
        <v>74</v>
      </c>
      <c r="E6225" s="135">
        <f t="shared" si="59"/>
        <v>6</v>
      </c>
      <c r="F6225" s="152" t="s">
        <v>4009</v>
      </c>
      <c r="G6225" s="63" t="str">
        <f>VLOOKUP(C6225, 'Class Def. - General Data'!$C$20:$C$1000,1,false)</f>
        <v>ZRM1_Sambal</v>
      </c>
      <c r="H6225" s="63" t="str">
        <f>IFERROR(__xludf.DUMMYFUNCTION("VLOOKUP(F6225, IMPORTRANGE(""https://docs.google.com/spreadsheets/d/1Lhp9OU0JdFf_VYSMzH5lBcEaU4o8teT1piV-SNzShjg/edit?gid=554141278#gid=554141278"", ""'Char Def. - Attributes'!C20:C2242""), 1,false)"),"NATURE_ORIGIN_FOOD")</f>
        <v>NATURE_ORIGIN_FOOD</v>
      </c>
      <c r="I6225" s="136"/>
    </row>
    <row r="6226" ht="15.75" customHeight="1">
      <c r="B6226" s="63">
        <f t="shared" si="1"/>
        <v>11</v>
      </c>
      <c r="C6226" s="156" t="s">
        <v>238</v>
      </c>
      <c r="D6226" s="147" t="s">
        <v>74</v>
      </c>
      <c r="E6226" s="135">
        <f t="shared" si="59"/>
        <v>7</v>
      </c>
      <c r="F6226" s="152" t="s">
        <v>4006</v>
      </c>
      <c r="G6226" s="63" t="str">
        <f>VLOOKUP(C6226, 'Class Def. - General Data'!$C$20:$C$1000,1,false)</f>
        <v>ZRM1_Sambal</v>
      </c>
      <c r="H6226" s="63" t="str">
        <f>IFERROR(__xludf.DUMMYFUNCTION("VLOOKUP(F6226, IMPORTRANGE(""https://docs.google.com/spreadsheets/d/1Lhp9OU0JdFf_VYSMzH5lBcEaU4o8teT1piV-SNzShjg/edit?gid=554141278#gid=554141278"", ""'Char Def. - Attributes'!C20:C2242""), 1,false)"),"CATEGORY_ITEM")</f>
        <v>CATEGORY_ITEM</v>
      </c>
      <c r="I6226" s="136"/>
    </row>
    <row r="6227" ht="15.75" customHeight="1">
      <c r="B6227" s="63">
        <f t="shared" si="1"/>
        <v>11</v>
      </c>
      <c r="C6227" s="156" t="s">
        <v>238</v>
      </c>
      <c r="D6227" s="147" t="s">
        <v>74</v>
      </c>
      <c r="E6227" s="135">
        <f t="shared" si="59"/>
        <v>8</v>
      </c>
      <c r="F6227" s="152" t="s">
        <v>4007</v>
      </c>
      <c r="G6227" s="63" t="str">
        <f>VLOOKUP(C6227, 'Class Def. - General Data'!$C$20:$C$1000,1,false)</f>
        <v>ZRM1_Sambal</v>
      </c>
      <c r="H6227" s="63" t="str">
        <f>IFERROR(__xludf.DUMMYFUNCTION("VLOOKUP(F6227, IMPORTRANGE(""https://docs.google.com/spreadsheets/d/1Lhp9OU0JdFf_VYSMzH5lBcEaU4o8teT1piV-SNzShjg/edit?gid=554141278#gid=554141278"", ""'Char Def. - Attributes'!C20:C2242""), 1,false)"),"FUNCTION1")</f>
        <v>FUNCTION1</v>
      </c>
      <c r="I6227" s="136"/>
    </row>
    <row r="6228" ht="15.75" customHeight="1">
      <c r="B6228" s="63">
        <f t="shared" si="1"/>
        <v>11</v>
      </c>
      <c r="C6228" s="156" t="s">
        <v>238</v>
      </c>
      <c r="D6228" s="147" t="s">
        <v>74</v>
      </c>
      <c r="E6228" s="135">
        <f t="shared" si="59"/>
        <v>9</v>
      </c>
      <c r="F6228" s="152" t="s">
        <v>4008</v>
      </c>
      <c r="G6228" s="63" t="str">
        <f>VLOOKUP(C6228, 'Class Def. - General Data'!$C$20:$C$1000,1,false)</f>
        <v>ZRM1_Sambal</v>
      </c>
      <c r="H6228" s="63" t="str">
        <f>IFERROR(__xludf.DUMMYFUNCTION("VLOOKUP(F6228, IMPORTRANGE(""https://docs.google.com/spreadsheets/d/1Lhp9OU0JdFf_VYSMzH5lBcEaU4o8teT1piV-SNzShjg/edit?gid=554141278#gid=554141278"", ""'Char Def. - Attributes'!C20:C2242""), 1,false)"),"PREFERENSI_KURS")</f>
        <v>PREFERENSI_KURS</v>
      </c>
      <c r="I6228" s="136"/>
    </row>
    <row r="6229" ht="15.75" customHeight="1">
      <c r="B6229" s="63">
        <f t="shared" si="1"/>
        <v>11</v>
      </c>
      <c r="C6229" s="156" t="s">
        <v>238</v>
      </c>
      <c r="D6229" s="147" t="s">
        <v>74</v>
      </c>
      <c r="E6229" s="135">
        <f t="shared" si="59"/>
        <v>10</v>
      </c>
      <c r="F6229" s="151" t="s">
        <v>3868</v>
      </c>
      <c r="G6229" s="63" t="str">
        <f>VLOOKUP(C6229, 'Class Def. - General Data'!$C$20:$C$1000,1,false)</f>
        <v>ZRM1_Sambal</v>
      </c>
      <c r="H6229" s="63" t="str">
        <f>IFERROR(__xludf.DUMMYFUNCTION("VLOOKUP(F6229, IMPORTRANGE(""https://docs.google.com/spreadsheets/d/1Lhp9OU0JdFf_VYSMzH5lBcEaU4o8teT1piV-SNzShjg/edit?gid=554141278#gid=554141278"", ""'Char Def. - Attributes'!C20:C2242""), 1,false)"),"BASIC_UOM_RMPM")</f>
        <v>BASIC_UOM_RMPM</v>
      </c>
      <c r="I6229" s="136"/>
    </row>
    <row r="6230" ht="15.75" customHeight="1">
      <c r="B6230" s="63">
        <f t="shared" si="1"/>
        <v>11</v>
      </c>
      <c r="C6230" s="156" t="s">
        <v>238</v>
      </c>
      <c r="D6230" s="147" t="s">
        <v>74</v>
      </c>
      <c r="E6230" s="135">
        <f t="shared" si="59"/>
        <v>11</v>
      </c>
      <c r="F6230" s="152" t="s">
        <v>3869</v>
      </c>
      <c r="G6230" s="63" t="str">
        <f>VLOOKUP(C6230, 'Class Def. - General Data'!$C$20:$C$1000,1,false)</f>
        <v>ZRM1_Sambal</v>
      </c>
      <c r="H6230" s="63" t="str">
        <f>IFERROR(__xludf.DUMMYFUNCTION("VLOOKUP(F6230, IMPORTRANGE(""https://docs.google.com/spreadsheets/d/1Lhp9OU0JdFf_VYSMzH5lBcEaU4o8teT1piV-SNzShjg/edit?gid=554141278#gid=554141278"", ""'Char Def. - Attributes'!C20:C2242""), 1,false)"),"ALT_UOM1_RMPM")</f>
        <v>ALT_UOM1_RMPM</v>
      </c>
      <c r="I6230" s="136"/>
    </row>
    <row r="6231" ht="15.75" customHeight="1">
      <c r="B6231" s="63">
        <f t="shared" si="1"/>
        <v>11</v>
      </c>
      <c r="C6231" s="156" t="s">
        <v>238</v>
      </c>
      <c r="D6231" s="147" t="s">
        <v>74</v>
      </c>
      <c r="E6231" s="135">
        <f t="shared" si="59"/>
        <v>12</v>
      </c>
      <c r="F6231" s="152" t="s">
        <v>3805</v>
      </c>
      <c r="G6231" s="63" t="str">
        <f>VLOOKUP(C6231, 'Class Def. - General Data'!$C$20:$C$1000,1,false)</f>
        <v>ZRM1_Sambal</v>
      </c>
      <c r="H6231" s="63" t="str">
        <f>IFERROR(__xludf.DUMMYFUNCTION("VLOOKUP(F6231, IMPORTRANGE(""https://docs.google.com/spreadsheets/d/1Lhp9OU0JdFf_VYSMzH5lBcEaU4o8teT1piV-SNzShjg/edit?gid=554141278#gid=554141278"", ""'Char Def. - Attributes'!C20:C2242""), 1,false)"),"ALT_DENUM_UOM1")</f>
        <v>ALT_DENUM_UOM1</v>
      </c>
      <c r="I6231" s="136"/>
    </row>
    <row r="6232" ht="15.75" customHeight="1">
      <c r="B6232" s="63">
        <f t="shared" si="1"/>
        <v>11</v>
      </c>
      <c r="C6232" s="156" t="s">
        <v>238</v>
      </c>
      <c r="D6232" s="147" t="s">
        <v>74</v>
      </c>
      <c r="E6232" s="135">
        <f t="shared" si="59"/>
        <v>13</v>
      </c>
      <c r="F6232" s="152" t="s">
        <v>3806</v>
      </c>
      <c r="G6232" s="63" t="str">
        <f>VLOOKUP(C6232, 'Class Def. - General Data'!$C$20:$C$1000,1,false)</f>
        <v>ZRM1_Sambal</v>
      </c>
      <c r="H6232" s="63" t="str">
        <f>IFERROR(__xludf.DUMMYFUNCTION("VLOOKUP(F6232, IMPORTRANGE(""https://docs.google.com/spreadsheets/d/1Lhp9OU0JdFf_VYSMzH5lBcEaU4o8teT1piV-SNzShjg/edit?gid=554141278#gid=554141278"", ""'Char Def. - Attributes'!C20:C2242""), 1,false)"),"ALT_NUM_UOM1")</f>
        <v>ALT_NUM_UOM1</v>
      </c>
      <c r="I6232" s="136"/>
    </row>
    <row r="6233" ht="15.75" customHeight="1">
      <c r="B6233" s="63">
        <f t="shared" si="1"/>
        <v>11</v>
      </c>
      <c r="C6233" s="156" t="s">
        <v>238</v>
      </c>
      <c r="D6233" s="147" t="s">
        <v>74</v>
      </c>
      <c r="E6233" s="135">
        <f t="shared" si="59"/>
        <v>14</v>
      </c>
      <c r="F6233" s="152" t="s">
        <v>3870</v>
      </c>
      <c r="G6233" s="63" t="str">
        <f>VLOOKUP(C6233, 'Class Def. - General Data'!$C$20:$C$1000,1,false)</f>
        <v>ZRM1_Sambal</v>
      </c>
      <c r="H6233" s="63" t="str">
        <f>IFERROR(__xludf.DUMMYFUNCTION("VLOOKUP(F6233, IMPORTRANGE(""https://docs.google.com/spreadsheets/d/1Lhp9OU0JdFf_VYSMzH5lBcEaU4o8teT1piV-SNzShjg/edit?gid=554141278#gid=554141278"", ""'Char Def. - Attributes'!C20:C2242""), 1,false)"),"ALT_UOM2_RMPM")</f>
        <v>ALT_UOM2_RMPM</v>
      </c>
      <c r="I6233" s="136"/>
    </row>
    <row r="6234" ht="15.75" customHeight="1">
      <c r="B6234" s="63">
        <f t="shared" si="1"/>
        <v>11</v>
      </c>
      <c r="C6234" s="156" t="s">
        <v>238</v>
      </c>
      <c r="D6234" s="147" t="s">
        <v>74</v>
      </c>
      <c r="E6234" s="135">
        <f t="shared" si="59"/>
        <v>15</v>
      </c>
      <c r="F6234" s="152" t="s">
        <v>3808</v>
      </c>
      <c r="G6234" s="63" t="str">
        <f>VLOOKUP(C6234, 'Class Def. - General Data'!$C$20:$C$1000,1,false)</f>
        <v>ZRM1_Sambal</v>
      </c>
      <c r="H6234" s="63" t="str">
        <f>IFERROR(__xludf.DUMMYFUNCTION("VLOOKUP(F6234, IMPORTRANGE(""https://docs.google.com/spreadsheets/d/1Lhp9OU0JdFf_VYSMzH5lBcEaU4o8teT1piV-SNzShjg/edit?gid=554141278#gid=554141278"", ""'Char Def. - Attributes'!C20:C2242""), 1,false)"),"ALT_DENUM_UOM2")</f>
        <v>ALT_DENUM_UOM2</v>
      </c>
      <c r="I6234" s="136"/>
    </row>
    <row r="6235" ht="15.75" customHeight="1">
      <c r="B6235" s="63">
        <f t="shared" si="1"/>
        <v>11</v>
      </c>
      <c r="C6235" s="156" t="s">
        <v>238</v>
      </c>
      <c r="D6235" s="147" t="s">
        <v>74</v>
      </c>
      <c r="E6235" s="135">
        <f t="shared" si="59"/>
        <v>16</v>
      </c>
      <c r="F6235" s="152" t="s">
        <v>3809</v>
      </c>
      <c r="G6235" s="63" t="str">
        <f>VLOOKUP(C6235, 'Class Def. - General Data'!$C$20:$C$1000,1,false)</f>
        <v>ZRM1_Sambal</v>
      </c>
      <c r="H6235" s="63" t="str">
        <f>IFERROR(__xludf.DUMMYFUNCTION("VLOOKUP(F6235, IMPORTRANGE(""https://docs.google.com/spreadsheets/d/1Lhp9OU0JdFf_VYSMzH5lBcEaU4o8teT1piV-SNzShjg/edit?gid=554141278#gid=554141278"", ""'Char Def. - Attributes'!C20:C2242""), 1,false)"),"ALT_NUM_UOM2")</f>
        <v>ALT_NUM_UOM2</v>
      </c>
      <c r="I6235" s="136"/>
    </row>
    <row r="6236" ht="15.75" customHeight="1">
      <c r="B6236" s="63">
        <f t="shared" si="1"/>
        <v>11</v>
      </c>
      <c r="C6236" s="156" t="s">
        <v>238</v>
      </c>
      <c r="D6236" s="147" t="s">
        <v>74</v>
      </c>
      <c r="E6236" s="135">
        <f t="shared" si="59"/>
        <v>17</v>
      </c>
      <c r="F6236" s="152" t="s">
        <v>3871</v>
      </c>
      <c r="G6236" s="63" t="str">
        <f>VLOOKUP(C6236, 'Class Def. - General Data'!$C$20:$C$1000,1,false)</f>
        <v>ZRM1_Sambal</v>
      </c>
      <c r="H6236" s="63" t="str">
        <f>IFERROR(__xludf.DUMMYFUNCTION("VLOOKUP(F6236, IMPORTRANGE(""https://docs.google.com/spreadsheets/d/1Lhp9OU0JdFf_VYSMzH5lBcEaU4o8teT1piV-SNzShjg/edit?gid=554141278#gid=554141278"", ""'Char Def. - Attributes'!C20:C2242""), 1,false)"),"ALT_UOM3_RMPM")</f>
        <v>ALT_UOM3_RMPM</v>
      </c>
      <c r="I6236" s="136"/>
    </row>
    <row r="6237" ht="15.75" customHeight="1">
      <c r="B6237" s="63">
        <f t="shared" si="1"/>
        <v>11</v>
      </c>
      <c r="C6237" s="156" t="s">
        <v>238</v>
      </c>
      <c r="D6237" s="147" t="s">
        <v>74</v>
      </c>
      <c r="E6237" s="135">
        <f t="shared" si="59"/>
        <v>18</v>
      </c>
      <c r="F6237" s="152" t="s">
        <v>3811</v>
      </c>
      <c r="G6237" s="63" t="str">
        <f>VLOOKUP(C6237, 'Class Def. - General Data'!$C$20:$C$1000,1,false)</f>
        <v>ZRM1_Sambal</v>
      </c>
      <c r="H6237" s="63" t="str">
        <f>IFERROR(__xludf.DUMMYFUNCTION("VLOOKUP(F6237, IMPORTRANGE(""https://docs.google.com/spreadsheets/d/1Lhp9OU0JdFf_VYSMzH5lBcEaU4o8teT1piV-SNzShjg/edit?gid=554141278#gid=554141278"", ""'Char Def. - Attributes'!C20:C2242""), 1,false)"),"ALT_DENUM_UOM3")</f>
        <v>ALT_DENUM_UOM3</v>
      </c>
      <c r="I6237" s="136"/>
    </row>
    <row r="6238" ht="15.75" customHeight="1">
      <c r="B6238" s="63">
        <f t="shared" si="1"/>
        <v>11</v>
      </c>
      <c r="C6238" s="156" t="s">
        <v>238</v>
      </c>
      <c r="D6238" s="147" t="s">
        <v>74</v>
      </c>
      <c r="E6238" s="135">
        <f t="shared" si="59"/>
        <v>19</v>
      </c>
      <c r="F6238" s="152" t="s">
        <v>3812</v>
      </c>
      <c r="G6238" s="63" t="str">
        <f>VLOOKUP(C6238, 'Class Def. - General Data'!$C$20:$C$1000,1,false)</f>
        <v>ZRM1_Sambal</v>
      </c>
      <c r="H6238" s="63" t="str">
        <f>IFERROR(__xludf.DUMMYFUNCTION("VLOOKUP(F6238, IMPORTRANGE(""https://docs.google.com/spreadsheets/d/1Lhp9OU0JdFf_VYSMzH5lBcEaU4o8teT1piV-SNzShjg/edit?gid=554141278#gid=554141278"", ""'Char Def. - Attributes'!C20:C2242""), 1,false)"),"ALT_NUM_UOM3")</f>
        <v>ALT_NUM_UOM3</v>
      </c>
      <c r="I6238" s="136"/>
    </row>
    <row r="6239" ht="15.75" customHeight="1">
      <c r="B6239" s="63">
        <f t="shared" si="1"/>
        <v>11</v>
      </c>
      <c r="C6239" s="156" t="s">
        <v>238</v>
      </c>
      <c r="D6239" s="147" t="s">
        <v>74</v>
      </c>
      <c r="E6239" s="135">
        <f t="shared" si="59"/>
        <v>20</v>
      </c>
      <c r="F6239" s="152" t="s">
        <v>3872</v>
      </c>
      <c r="G6239" s="63" t="str">
        <f>VLOOKUP(C6239, 'Class Def. - General Data'!$C$20:$C$1000,1,false)</f>
        <v>ZRM1_Sambal</v>
      </c>
      <c r="H6239" s="63" t="str">
        <f>IFERROR(__xludf.DUMMYFUNCTION("VLOOKUP(F6239, IMPORTRANGE(""https://docs.google.com/spreadsheets/d/1Lhp9OU0JdFf_VYSMzH5lBcEaU4o8teT1piV-SNzShjg/edit?gid=554141278#gid=554141278"", ""'Char Def. - Attributes'!C20:C2242""), 1,false)"),"ALT_UOM4_RMPM")</f>
        <v>ALT_UOM4_RMPM</v>
      </c>
      <c r="I6239" s="136"/>
    </row>
    <row r="6240" ht="15.75" customHeight="1">
      <c r="B6240" s="63">
        <f t="shared" si="1"/>
        <v>11</v>
      </c>
      <c r="C6240" s="156" t="s">
        <v>238</v>
      </c>
      <c r="D6240" s="147" t="s">
        <v>74</v>
      </c>
      <c r="E6240" s="135">
        <f t="shared" si="59"/>
        <v>21</v>
      </c>
      <c r="F6240" s="148" t="s">
        <v>3814</v>
      </c>
      <c r="G6240" s="63" t="str">
        <f>VLOOKUP(C6240, 'Class Def. - General Data'!$C$20:$C$1000,1,false)</f>
        <v>ZRM1_Sambal</v>
      </c>
      <c r="H6240" s="63" t="str">
        <f>IFERROR(__xludf.DUMMYFUNCTION("VLOOKUP(F6240, IMPORTRANGE(""https://docs.google.com/spreadsheets/d/1Lhp9OU0JdFf_VYSMzH5lBcEaU4o8teT1piV-SNzShjg/edit?gid=554141278#gid=554141278"", ""'Char Def. - Attributes'!C20:C2242""), 1,false)"),"ALT_DENUM_UOM4")</f>
        <v>ALT_DENUM_UOM4</v>
      </c>
      <c r="I6240" s="136"/>
    </row>
    <row r="6241" ht="15.75" customHeight="1">
      <c r="B6241" s="63">
        <f t="shared" si="1"/>
        <v>11</v>
      </c>
      <c r="C6241" s="156" t="s">
        <v>238</v>
      </c>
      <c r="D6241" s="147" t="s">
        <v>74</v>
      </c>
      <c r="E6241" s="135">
        <f t="shared" si="59"/>
        <v>22</v>
      </c>
      <c r="F6241" s="152" t="s">
        <v>3815</v>
      </c>
      <c r="G6241" s="63" t="str">
        <f>VLOOKUP(C6241, 'Class Def. - General Data'!$C$20:$C$1000,1,false)</f>
        <v>ZRM1_Sambal</v>
      </c>
      <c r="H6241" s="63" t="str">
        <f>IFERROR(__xludf.DUMMYFUNCTION("VLOOKUP(F6241, IMPORTRANGE(""https://docs.google.com/spreadsheets/d/1Lhp9OU0JdFf_VYSMzH5lBcEaU4o8teT1piV-SNzShjg/edit?gid=554141278#gid=554141278"", ""'Char Def. - Attributes'!C20:C2242""), 1,false)"),"ALT_NUM_UOM4")</f>
        <v>ALT_NUM_UOM4</v>
      </c>
      <c r="I6241" s="136"/>
    </row>
    <row r="6242" ht="15.75" customHeight="1">
      <c r="B6242" s="63">
        <f t="shared" si="1"/>
        <v>11</v>
      </c>
      <c r="C6242" s="156" t="s">
        <v>238</v>
      </c>
      <c r="D6242" s="147" t="s">
        <v>74</v>
      </c>
      <c r="E6242" s="135">
        <f t="shared" si="59"/>
        <v>23</v>
      </c>
      <c r="F6242" s="152" t="s">
        <v>3873</v>
      </c>
      <c r="G6242" s="63" t="str">
        <f>VLOOKUP(C6242, 'Class Def. - General Data'!$C$20:$C$1000,1,false)</f>
        <v>ZRM1_Sambal</v>
      </c>
      <c r="H6242" s="63" t="str">
        <f>IFERROR(__xludf.DUMMYFUNCTION("VLOOKUP(F6242, IMPORTRANGE(""https://docs.google.com/spreadsheets/d/1Lhp9OU0JdFf_VYSMzH5lBcEaU4o8teT1piV-SNzShjg/edit?gid=554141278#gid=554141278"", ""'Char Def. - Attributes'!C20:C2242""), 1,false)"),"ALT_UOM5_RMPM")</f>
        <v>ALT_UOM5_RMPM</v>
      </c>
      <c r="I6242" s="136"/>
    </row>
    <row r="6243" ht="15.75" customHeight="1">
      <c r="B6243" s="63">
        <f t="shared" si="1"/>
        <v>11</v>
      </c>
      <c r="C6243" s="156" t="s">
        <v>238</v>
      </c>
      <c r="D6243" s="147" t="s">
        <v>74</v>
      </c>
      <c r="E6243" s="135">
        <f t="shared" si="59"/>
        <v>24</v>
      </c>
      <c r="F6243" s="152" t="s">
        <v>3817</v>
      </c>
      <c r="G6243" s="63" t="str">
        <f>VLOOKUP(C6243, 'Class Def. - General Data'!$C$20:$C$1000,1,false)</f>
        <v>ZRM1_Sambal</v>
      </c>
      <c r="H6243" s="63" t="str">
        <f>IFERROR(__xludf.DUMMYFUNCTION("VLOOKUP(F6243, IMPORTRANGE(""https://docs.google.com/spreadsheets/d/1Lhp9OU0JdFf_VYSMzH5lBcEaU4o8teT1piV-SNzShjg/edit?gid=554141278#gid=554141278"", ""'Char Def. - Attributes'!C20:C2242""), 1,false)"),"ALT_DENUM_UOM5")</f>
        <v>ALT_DENUM_UOM5</v>
      </c>
      <c r="I6243" s="136"/>
    </row>
    <row r="6244" ht="15.75" customHeight="1">
      <c r="B6244" s="63">
        <f t="shared" si="1"/>
        <v>11</v>
      </c>
      <c r="C6244" s="156" t="s">
        <v>238</v>
      </c>
      <c r="D6244" s="147" t="s">
        <v>74</v>
      </c>
      <c r="E6244" s="135">
        <f t="shared" si="59"/>
        <v>25</v>
      </c>
      <c r="F6244" s="152" t="s">
        <v>3818</v>
      </c>
      <c r="G6244" s="63" t="str">
        <f>VLOOKUP(C6244, 'Class Def. - General Data'!$C$20:$C$1000,1,false)</f>
        <v>ZRM1_Sambal</v>
      </c>
      <c r="H6244" s="63" t="str">
        <f>IFERROR(__xludf.DUMMYFUNCTION("VLOOKUP(F6244, IMPORTRANGE(""https://docs.google.com/spreadsheets/d/1Lhp9OU0JdFf_VYSMzH5lBcEaU4o8teT1piV-SNzShjg/edit?gid=554141278#gid=554141278"", ""'Char Def. - Attributes'!C20:C2242""), 1,false)"),"ALT_NUM_UOM5")</f>
        <v>ALT_NUM_UOM5</v>
      </c>
      <c r="I6244" s="136"/>
    </row>
    <row r="6245" ht="15.75" customHeight="1">
      <c r="B6245" s="63">
        <f t="shared" si="1"/>
        <v>11</v>
      </c>
      <c r="C6245" s="156" t="s">
        <v>238</v>
      </c>
      <c r="D6245" s="147" t="s">
        <v>74</v>
      </c>
      <c r="E6245" s="135">
        <f t="shared" si="59"/>
        <v>26</v>
      </c>
      <c r="F6245" s="152" t="s">
        <v>3874</v>
      </c>
      <c r="G6245" s="63" t="str">
        <f>VLOOKUP(C6245, 'Class Def. - General Data'!$C$20:$C$1000,1,false)</f>
        <v>ZRM1_Sambal</v>
      </c>
      <c r="H6245" s="63" t="str">
        <f>IFERROR(__xludf.DUMMYFUNCTION("VLOOKUP(F6245, IMPORTRANGE(""https://docs.google.com/spreadsheets/d/1Lhp9OU0JdFf_VYSMzH5lBcEaU4o8teT1piV-SNzShjg/edit?gid=554141278#gid=554141278"", ""'Char Def. - Attributes'!C20:C2242""), 1,false)"),"VALUATION_CATEGORY")</f>
        <v>VALUATION_CATEGORY</v>
      </c>
      <c r="I6245" s="136"/>
    </row>
    <row r="6246" ht="15.75" customHeight="1">
      <c r="B6246" s="63">
        <f t="shared" si="1"/>
        <v>11</v>
      </c>
      <c r="C6246" s="156" t="s">
        <v>238</v>
      </c>
      <c r="D6246" s="147" t="s">
        <v>74</v>
      </c>
      <c r="E6246" s="135">
        <f t="shared" si="59"/>
        <v>27</v>
      </c>
      <c r="F6246" s="152" t="s">
        <v>3800</v>
      </c>
      <c r="G6246" s="63" t="str">
        <f>VLOOKUP(C6246, 'Class Def. - General Data'!$C$20:$C$1000,1,false)</f>
        <v>ZRM1_Sambal</v>
      </c>
      <c r="H6246" s="63" t="str">
        <f>IFERROR(__xludf.DUMMYFUNCTION("VLOOKUP(F6246, IMPORTRANGE(""https://docs.google.com/spreadsheets/d/1Lhp9OU0JdFf_VYSMzH5lBcEaU4o8teT1piV-SNzShjg/edit?gid=554141278#gid=554141278"", ""'Char Def. - Attributes'!C20:C2242""), 1,false)"),"ORDER_UNIT_DIFF_FROM_BASIC_UOM")</f>
        <v>ORDER_UNIT_DIFF_FROM_BASIC_UOM</v>
      </c>
      <c r="I6246" s="136"/>
    </row>
    <row r="6247" ht="15.75" customHeight="1">
      <c r="B6247" s="63">
        <f t="shared" si="1"/>
        <v>11</v>
      </c>
      <c r="C6247" s="156" t="s">
        <v>238</v>
      </c>
      <c r="D6247" s="147" t="s">
        <v>74</v>
      </c>
      <c r="E6247" s="135">
        <f t="shared" si="59"/>
        <v>28</v>
      </c>
      <c r="F6247" s="152" t="s">
        <v>3875</v>
      </c>
      <c r="G6247" s="63" t="str">
        <f>VLOOKUP(C6247, 'Class Def. - General Data'!$C$20:$C$1000,1,false)</f>
        <v>ZRM1_Sambal</v>
      </c>
      <c r="H6247" s="63" t="str">
        <f>IFERROR(__xludf.DUMMYFUNCTION("VLOOKUP(F6247, IMPORTRANGE(""https://docs.google.com/spreadsheets/d/1Lhp9OU0JdFf_VYSMzH5lBcEaU4o8teT1piV-SNzShjg/edit?gid=554141278#gid=554141278"", ""'Char Def. - Attributes'!C20:C2242""), 1,false)"),"ORDER_UNIT_RMPM")</f>
        <v>ORDER_UNIT_RMPM</v>
      </c>
      <c r="I6247" s="136"/>
    </row>
    <row r="6248" ht="15.75" customHeight="1">
      <c r="B6248" s="63">
        <f t="shared" si="1"/>
        <v>11</v>
      </c>
      <c r="C6248" s="156" t="s">
        <v>238</v>
      </c>
      <c r="D6248" s="147" t="s">
        <v>74</v>
      </c>
      <c r="E6248" s="135">
        <f t="shared" si="59"/>
        <v>29</v>
      </c>
      <c r="F6248" s="151" t="s">
        <v>3602</v>
      </c>
      <c r="G6248" s="63" t="str">
        <f>VLOOKUP(C6248, 'Class Def. - General Data'!$C$20:$C$1000,1,false)</f>
        <v>ZRM1_Sambal</v>
      </c>
      <c r="H6248" s="63" t="str">
        <f>IFERROR(__xludf.DUMMYFUNCTION("VLOOKUP(F6248, IMPORTRANGE(""https://docs.google.com/spreadsheets/d/1Lhp9OU0JdFf_VYSMzH5lBcEaU4o8teT1piV-SNzShjg/edit?gid=554141278#gid=554141278"", ""'Char Def. - Attributes'!C20:C2242""), 1,false)"),"NET_WEIGHT")</f>
        <v>NET_WEIGHT</v>
      </c>
      <c r="I6248" s="136"/>
    </row>
    <row r="6249" ht="15.75" customHeight="1">
      <c r="B6249" s="63">
        <f t="shared" si="1"/>
        <v>11</v>
      </c>
      <c r="C6249" s="156" t="s">
        <v>238</v>
      </c>
      <c r="D6249" s="147" t="s">
        <v>74</v>
      </c>
      <c r="E6249" s="135">
        <f t="shared" si="59"/>
        <v>30</v>
      </c>
      <c r="F6249" s="151" t="s">
        <v>3601</v>
      </c>
      <c r="G6249" s="63" t="str">
        <f>VLOOKUP(C6249, 'Class Def. - General Data'!$C$20:$C$1000,1,false)</f>
        <v>ZRM1_Sambal</v>
      </c>
      <c r="H6249" s="63" t="str">
        <f>IFERROR(__xludf.DUMMYFUNCTION("VLOOKUP(F6249, IMPORTRANGE(""https://docs.google.com/spreadsheets/d/1Lhp9OU0JdFf_VYSMzH5lBcEaU4o8teT1piV-SNzShjg/edit?gid=554141278#gid=554141278"", ""'Char Def. - Attributes'!C20:C2242""), 1,false)"),"GROSS_WEIGHT")</f>
        <v>GROSS_WEIGHT</v>
      </c>
      <c r="I6249" s="136"/>
    </row>
    <row r="6250" ht="15.75" customHeight="1">
      <c r="B6250" s="63">
        <f t="shared" si="1"/>
        <v>11</v>
      </c>
      <c r="C6250" s="156" t="s">
        <v>238</v>
      </c>
      <c r="D6250" s="147" t="s">
        <v>74</v>
      </c>
      <c r="E6250" s="135">
        <f t="shared" si="59"/>
        <v>31</v>
      </c>
      <c r="F6250" s="152" t="s">
        <v>3996</v>
      </c>
      <c r="G6250" s="63" t="str">
        <f>VLOOKUP(C6250, 'Class Def. - General Data'!$C$20:$C$1000,1,false)</f>
        <v>ZRM1_Sambal</v>
      </c>
      <c r="H6250" s="63" t="str">
        <f>IFERROR(__xludf.DUMMYFUNCTION("VLOOKUP(F6250, IMPORTRANGE(""https://docs.google.com/spreadsheets/d/1Lhp9OU0JdFf_VYSMzH5lBcEaU4o8teT1piV-SNzShjg/edit?gid=554141278#gid=554141278"", ""'Char Def. - Attributes'!C20:C2242""), 1,false)"),"WEIGHT_UNIT")</f>
        <v>WEIGHT_UNIT</v>
      </c>
      <c r="I6250" s="136"/>
    </row>
    <row r="6251" ht="15.75" customHeight="1">
      <c r="B6251" s="63">
        <f t="shared" si="1"/>
        <v>11</v>
      </c>
      <c r="C6251" s="156" t="s">
        <v>238</v>
      </c>
      <c r="D6251" s="147" t="s">
        <v>74</v>
      </c>
      <c r="E6251" s="135">
        <f t="shared" si="59"/>
        <v>32</v>
      </c>
      <c r="F6251" s="151" t="s">
        <v>3877</v>
      </c>
      <c r="G6251" s="63" t="str">
        <f>VLOOKUP(C6251, 'Class Def. - General Data'!$C$20:$C$1000,1,false)</f>
        <v>ZRM1_Sambal</v>
      </c>
      <c r="H6251" s="63" t="str">
        <f>IFERROR(__xludf.DUMMYFUNCTION("VLOOKUP(F6251, IMPORTRANGE(""https://docs.google.com/spreadsheets/d/1Lhp9OU0JdFf_VYSMzH5lBcEaU4o8teT1piV-SNzShjg/edit?gid=554141278#gid=554141278"", ""'Char Def. - Attributes'!C20:C2242""), 1,false)"),"VOLUME_OPT")</f>
        <v>VOLUME_OPT</v>
      </c>
      <c r="I6251" s="136"/>
    </row>
    <row r="6252" ht="15.75" customHeight="1">
      <c r="B6252" s="63">
        <f t="shared" si="1"/>
        <v>11</v>
      </c>
      <c r="C6252" s="156" t="s">
        <v>238</v>
      </c>
      <c r="D6252" s="147" t="s">
        <v>74</v>
      </c>
      <c r="E6252" s="135">
        <f t="shared" si="59"/>
        <v>33</v>
      </c>
      <c r="F6252" s="152" t="s">
        <v>3878</v>
      </c>
      <c r="G6252" s="63" t="str">
        <f>VLOOKUP(C6252, 'Class Def. - General Data'!$C$20:$C$1000,1,false)</f>
        <v>ZRM1_Sambal</v>
      </c>
      <c r="H6252" s="63" t="str">
        <f>IFERROR(__xludf.DUMMYFUNCTION("VLOOKUP(F6252, IMPORTRANGE(""https://docs.google.com/spreadsheets/d/1Lhp9OU0JdFf_VYSMzH5lBcEaU4o8teT1piV-SNzShjg/edit?gid=554141278#gid=554141278"", ""'Char Def. - Attributes'!C20:C2242""), 1,false)"),"VOLUME_UNIT")</f>
        <v>VOLUME_UNIT</v>
      </c>
      <c r="I6252" s="136"/>
    </row>
    <row r="6253" ht="15.75" customHeight="1">
      <c r="B6253" s="63">
        <f t="shared" si="1"/>
        <v>11</v>
      </c>
      <c r="C6253" s="156" t="s">
        <v>238</v>
      </c>
      <c r="D6253" s="147" t="s">
        <v>74</v>
      </c>
      <c r="E6253" s="135">
        <f t="shared" si="59"/>
        <v>34</v>
      </c>
      <c r="F6253" s="151" t="s">
        <v>3587</v>
      </c>
      <c r="G6253" s="63" t="str">
        <f>VLOOKUP(C6253, 'Class Def. - General Data'!$C$20:$C$1000,1,false)</f>
        <v>ZRM1_Sambal</v>
      </c>
      <c r="H6253" s="63" t="str">
        <f>IFERROR(__xludf.DUMMYFUNCTION("VLOOKUP(F6253, IMPORTRANGE(""https://docs.google.com/spreadsheets/d/1Lhp9OU0JdFf_VYSMzH5lBcEaU4o8teT1piV-SNzShjg/edit?gid=554141278#gid=554141278"", ""'Char Def. - Attributes'!C20:C2242""), 1,false)"),"PLANT_BUY")</f>
        <v>PLANT_BUY</v>
      </c>
      <c r="I6253" s="136"/>
    </row>
    <row r="6254" ht="15.75" customHeight="1">
      <c r="B6254" s="63">
        <f t="shared" si="1"/>
        <v>11</v>
      </c>
      <c r="C6254" s="156" t="s">
        <v>238</v>
      </c>
      <c r="D6254" s="147" t="s">
        <v>74</v>
      </c>
      <c r="E6254" s="135">
        <f t="shared" si="59"/>
        <v>35</v>
      </c>
      <c r="F6254" s="152" t="s">
        <v>3997</v>
      </c>
      <c r="G6254" s="63" t="str">
        <f>VLOOKUP(C6254, 'Class Def. - General Data'!$C$20:$C$1000,1,false)</f>
        <v>ZRM1_Sambal</v>
      </c>
      <c r="H6254" s="63" t="str">
        <f>IFERROR(__xludf.DUMMYFUNCTION("VLOOKUP(F6254, IMPORTRANGE(""https://docs.google.com/spreadsheets/d/1Lhp9OU0JdFf_VYSMzH5lBcEaU4o8teT1piV-SNzShjg/edit?gid=554141278#gid=554141278"", ""'Char Def. - Attributes'!C20:C2242""), 1,false)"),"OLD_MAT_NO_RMPM_OPT")</f>
        <v>OLD_MAT_NO_RMPM_OPT</v>
      </c>
      <c r="I6254" s="136"/>
    </row>
    <row r="6255" ht="15.75" customHeight="1">
      <c r="B6255" s="63">
        <f t="shared" si="1"/>
        <v>11</v>
      </c>
      <c r="C6255" s="156" t="s">
        <v>238</v>
      </c>
      <c r="D6255" s="147" t="s">
        <v>74</v>
      </c>
      <c r="E6255" s="135">
        <f t="shared" si="59"/>
        <v>36</v>
      </c>
      <c r="F6255" s="148" t="s">
        <v>3998</v>
      </c>
      <c r="G6255" s="63" t="str">
        <f>VLOOKUP(C6255, 'Class Def. - General Data'!$C$20:$C$1000,1,false)</f>
        <v>ZRM1_Sambal</v>
      </c>
      <c r="H6255" s="63" t="str">
        <f>IFERROR(__xludf.DUMMYFUNCTION("VLOOKUP(F6255, IMPORTRANGE(""https://docs.google.com/spreadsheets/d/1Lhp9OU0JdFf_VYSMzH5lBcEaU4o8teT1piV-SNzShjg/edit?gid=554141278#gid=554141278"", ""'Char Def. - Attributes'!C20:C2242""), 1,false)"),"MIN_STD_WEIGHT")</f>
        <v>MIN_STD_WEIGHT</v>
      </c>
      <c r="I6255" s="136"/>
    </row>
    <row r="6256" ht="15.75" customHeight="1">
      <c r="B6256" s="63">
        <f t="shared" si="1"/>
        <v>11</v>
      </c>
      <c r="C6256" s="156" t="s">
        <v>238</v>
      </c>
      <c r="D6256" s="147" t="s">
        <v>74</v>
      </c>
      <c r="E6256" s="135">
        <f t="shared" si="59"/>
        <v>37</v>
      </c>
      <c r="F6256" s="148" t="s">
        <v>3999</v>
      </c>
      <c r="G6256" s="63" t="str">
        <f>VLOOKUP(C6256, 'Class Def. - General Data'!$C$20:$C$1000,1,false)</f>
        <v>ZRM1_Sambal</v>
      </c>
      <c r="H6256" s="63" t="str">
        <f>IFERROR(__xludf.DUMMYFUNCTION("VLOOKUP(F6256, IMPORTRANGE(""https://docs.google.com/spreadsheets/d/1Lhp9OU0JdFf_VYSMzH5lBcEaU4o8teT1piV-SNzShjg/edit?gid=554141278#gid=554141278"", ""'Char Def. - Attributes'!C20:C2242""), 1,false)"),"MIN_STD_WEIGHT_UOM")</f>
        <v>MIN_STD_WEIGHT_UOM</v>
      </c>
      <c r="I6256" s="136"/>
    </row>
    <row r="6257" ht="15.75" customHeight="1">
      <c r="B6257" s="63">
        <f t="shared" si="1"/>
        <v>14</v>
      </c>
      <c r="C6257" s="156" t="s">
        <v>231</v>
      </c>
      <c r="D6257" s="147" t="s">
        <v>74</v>
      </c>
      <c r="E6257" s="135">
        <f t="shared" si="59"/>
        <v>1</v>
      </c>
      <c r="F6257" s="152" t="s">
        <v>4000</v>
      </c>
      <c r="G6257" s="63" t="str">
        <f>VLOOKUP(C6257, 'Class Def. - General Data'!$C$20:$C$1000,1,false)</f>
        <v>ZRM1_Spice_Liq</v>
      </c>
      <c r="H6257" s="63" t="str">
        <f>IFERROR(__xludf.DUMMYFUNCTION("VLOOKUP(F6257, IMPORTRANGE(""https://docs.google.com/spreadsheets/d/1Lhp9OU0JdFf_VYSMzH5lBcEaU4o8teT1piV-SNzShjg/edit?gid=554141278#gid=554141278"", ""'Char Def. - Attributes'!C20:C2242""), 1,false)"),"MATERIAL_CODE_FREETEXT")</f>
        <v>MATERIAL_CODE_FREETEXT</v>
      </c>
      <c r="I6257" s="136"/>
    </row>
    <row r="6258" ht="15.75" customHeight="1">
      <c r="B6258" s="63">
        <f t="shared" si="1"/>
        <v>14</v>
      </c>
      <c r="C6258" s="156" t="s">
        <v>231</v>
      </c>
      <c r="D6258" s="147" t="s">
        <v>74</v>
      </c>
      <c r="E6258" s="135">
        <f t="shared" si="59"/>
        <v>2</v>
      </c>
      <c r="F6258" s="152" t="s">
        <v>4001</v>
      </c>
      <c r="G6258" s="63" t="str">
        <f>VLOOKUP(C6258, 'Class Def. - General Data'!$C$20:$C$1000,1,false)</f>
        <v>ZRM1_Spice_Liq</v>
      </c>
      <c r="H6258" s="63" t="str">
        <f>IFERROR(__xludf.DUMMYFUNCTION("VLOOKUP(F6258, IMPORTRANGE(""https://docs.google.com/spreadsheets/d/1Lhp9OU0JdFf_VYSMzH5lBcEaU4o8teT1piV-SNzShjg/edit?gid=554141278#gid=554141278"", ""'Char Def. - Attributes'!C20:C2242""), 1,false)"),"ADDITIONAL_INFO_NO_MASK")</f>
        <v>ADDITIONAL_INFO_NO_MASK</v>
      </c>
      <c r="I6258" s="136"/>
    </row>
    <row r="6259" ht="15.75" customHeight="1">
      <c r="B6259" s="63">
        <f t="shared" si="1"/>
        <v>14</v>
      </c>
      <c r="C6259" s="156" t="s">
        <v>231</v>
      </c>
      <c r="D6259" s="147" t="s">
        <v>74</v>
      </c>
      <c r="E6259" s="135">
        <f t="shared" si="59"/>
        <v>3</v>
      </c>
      <c r="F6259" s="152" t="s">
        <v>4002</v>
      </c>
      <c r="G6259" s="63" t="str">
        <f>VLOOKUP(C6259, 'Class Def. - General Data'!$C$20:$C$1000,1,false)</f>
        <v>ZRM1_Spice_Liq</v>
      </c>
      <c r="H6259" s="63" t="str">
        <f>IFERROR(__xludf.DUMMYFUNCTION("VLOOKUP(F6259, IMPORTRANGE(""https://docs.google.com/spreadsheets/d/1Lhp9OU0JdFf_VYSMzH5lBcEaU4o8teT1piV-SNzShjg/edit?gid=554141278#gid=554141278"", ""'Char Def. - Attributes'!C20:C2242""), 1,false)"),"COLOR_GENERAL")</f>
        <v>COLOR_GENERAL</v>
      </c>
      <c r="I6259" s="136"/>
    </row>
    <row r="6260" ht="15.75" customHeight="1">
      <c r="B6260" s="63">
        <f t="shared" si="1"/>
        <v>14</v>
      </c>
      <c r="C6260" s="156" t="s">
        <v>231</v>
      </c>
      <c r="D6260" s="147" t="s">
        <v>74</v>
      </c>
      <c r="E6260" s="135">
        <f t="shared" si="59"/>
        <v>4</v>
      </c>
      <c r="F6260" s="152" t="s">
        <v>4003</v>
      </c>
      <c r="G6260" s="63" t="str">
        <f>VLOOKUP(C6260, 'Class Def. - General Data'!$C$20:$C$1000,1,false)</f>
        <v>ZRM1_Spice_Liq</v>
      </c>
      <c r="H6260" s="63" t="str">
        <f>IFERROR(__xludf.DUMMYFUNCTION("VLOOKUP(F6260, IMPORTRANGE(""https://docs.google.com/spreadsheets/d/1Lhp9OU0JdFf_VYSMzH5lBcEaU4o8teT1piV-SNzShjg/edit?gid=554141278#gid=554141278"", ""'Char Def. - Attributes'!C20:C2242""), 1,false)"),"SOURCE_SUPPLY")</f>
        <v>SOURCE_SUPPLY</v>
      </c>
      <c r="I6260" s="136"/>
    </row>
    <row r="6261" ht="15.75" customHeight="1">
      <c r="B6261" s="63">
        <f t="shared" si="1"/>
        <v>14</v>
      </c>
      <c r="C6261" s="156" t="s">
        <v>231</v>
      </c>
      <c r="D6261" s="147" t="s">
        <v>74</v>
      </c>
      <c r="E6261" s="135">
        <f t="shared" si="59"/>
        <v>5</v>
      </c>
      <c r="F6261" s="152" t="s">
        <v>4004</v>
      </c>
      <c r="G6261" s="63" t="str">
        <f>VLOOKUP(C6261, 'Class Def. - General Data'!$C$20:$C$1000,1,false)</f>
        <v>ZRM1_Spice_Liq</v>
      </c>
      <c r="H6261" s="63" t="str">
        <f>IFERROR(__xludf.DUMMYFUNCTION("VLOOKUP(F6261, IMPORTRANGE(""https://docs.google.com/spreadsheets/d/1Lhp9OU0JdFf_VYSMzH5lBcEaU4o8teT1piV-SNzShjg/edit?gid=554141278#gid=554141278"", ""'Char Def. - Attributes'!C20:C2242""), 1,false)"),"BASE_MATERIAL")</f>
        <v>BASE_MATERIAL</v>
      </c>
      <c r="I6261" s="136"/>
    </row>
    <row r="6262" ht="15.75" customHeight="1">
      <c r="B6262" s="63">
        <f t="shared" si="1"/>
        <v>14</v>
      </c>
      <c r="C6262" s="156" t="s">
        <v>231</v>
      </c>
      <c r="D6262" s="147" t="s">
        <v>74</v>
      </c>
      <c r="E6262" s="135">
        <f t="shared" si="59"/>
        <v>6</v>
      </c>
      <c r="F6262" s="152" t="s">
        <v>4009</v>
      </c>
      <c r="G6262" s="63" t="str">
        <f>VLOOKUP(C6262, 'Class Def. - General Data'!$C$20:$C$1000,1,false)</f>
        <v>ZRM1_Spice_Liq</v>
      </c>
      <c r="H6262" s="63" t="str">
        <f>IFERROR(__xludf.DUMMYFUNCTION("VLOOKUP(F6262, IMPORTRANGE(""https://docs.google.com/spreadsheets/d/1Lhp9OU0JdFf_VYSMzH5lBcEaU4o8teT1piV-SNzShjg/edit?gid=554141278#gid=554141278"", ""'Char Def. - Attributes'!C20:C2242""), 1,false)"),"NATURE_ORIGIN_FOOD")</f>
        <v>NATURE_ORIGIN_FOOD</v>
      </c>
      <c r="I6262" s="136"/>
    </row>
    <row r="6263" ht="15.75" customHeight="1">
      <c r="B6263" s="63">
        <f t="shared" si="1"/>
        <v>14</v>
      </c>
      <c r="C6263" s="156" t="s">
        <v>231</v>
      </c>
      <c r="D6263" s="147" t="s">
        <v>74</v>
      </c>
      <c r="E6263" s="135">
        <f t="shared" si="59"/>
        <v>7</v>
      </c>
      <c r="F6263" s="152" t="s">
        <v>4006</v>
      </c>
      <c r="G6263" s="63" t="str">
        <f>VLOOKUP(C6263, 'Class Def. - General Data'!$C$20:$C$1000,1,false)</f>
        <v>ZRM1_Spice_Liq</v>
      </c>
      <c r="H6263" s="63" t="str">
        <f>IFERROR(__xludf.DUMMYFUNCTION("VLOOKUP(F6263, IMPORTRANGE(""https://docs.google.com/spreadsheets/d/1Lhp9OU0JdFf_VYSMzH5lBcEaU4o8teT1piV-SNzShjg/edit?gid=554141278#gid=554141278"", ""'Char Def. - Attributes'!C20:C2242""), 1,false)"),"CATEGORY_ITEM")</f>
        <v>CATEGORY_ITEM</v>
      </c>
      <c r="I6263" s="136"/>
    </row>
    <row r="6264" ht="15.75" customHeight="1">
      <c r="B6264" s="63">
        <f t="shared" si="1"/>
        <v>14</v>
      </c>
      <c r="C6264" s="156" t="s">
        <v>231</v>
      </c>
      <c r="D6264" s="147" t="s">
        <v>74</v>
      </c>
      <c r="E6264" s="135">
        <f t="shared" si="59"/>
        <v>8</v>
      </c>
      <c r="F6264" s="152" t="s">
        <v>4007</v>
      </c>
      <c r="G6264" s="63" t="str">
        <f>VLOOKUP(C6264, 'Class Def. - General Data'!$C$20:$C$1000,1,false)</f>
        <v>ZRM1_Spice_Liq</v>
      </c>
      <c r="H6264" s="63" t="str">
        <f>IFERROR(__xludf.DUMMYFUNCTION("VLOOKUP(F6264, IMPORTRANGE(""https://docs.google.com/spreadsheets/d/1Lhp9OU0JdFf_VYSMzH5lBcEaU4o8teT1piV-SNzShjg/edit?gid=554141278#gid=554141278"", ""'Char Def. - Attributes'!C20:C2242""), 1,false)"),"FUNCTION1")</f>
        <v>FUNCTION1</v>
      </c>
      <c r="I6264" s="136"/>
    </row>
    <row r="6265" ht="15.75" customHeight="1">
      <c r="B6265" s="63">
        <f t="shared" si="1"/>
        <v>14</v>
      </c>
      <c r="C6265" s="156" t="s">
        <v>231</v>
      </c>
      <c r="D6265" s="147" t="s">
        <v>74</v>
      </c>
      <c r="E6265" s="135">
        <f t="shared" si="59"/>
        <v>9</v>
      </c>
      <c r="F6265" s="152" t="s">
        <v>4008</v>
      </c>
      <c r="G6265" s="63" t="str">
        <f>VLOOKUP(C6265, 'Class Def. - General Data'!$C$20:$C$1000,1,false)</f>
        <v>ZRM1_Spice_Liq</v>
      </c>
      <c r="H6265" s="63" t="str">
        <f>IFERROR(__xludf.DUMMYFUNCTION("VLOOKUP(F6265, IMPORTRANGE(""https://docs.google.com/spreadsheets/d/1Lhp9OU0JdFf_VYSMzH5lBcEaU4o8teT1piV-SNzShjg/edit?gid=554141278#gid=554141278"", ""'Char Def. - Attributes'!C20:C2242""), 1,false)"),"PREFERENSI_KURS")</f>
        <v>PREFERENSI_KURS</v>
      </c>
      <c r="I6265" s="136"/>
    </row>
    <row r="6266" ht="15.75" customHeight="1">
      <c r="B6266" s="63">
        <f t="shared" si="1"/>
        <v>14</v>
      </c>
      <c r="C6266" s="156" t="s">
        <v>231</v>
      </c>
      <c r="D6266" s="147" t="s">
        <v>74</v>
      </c>
      <c r="E6266" s="135">
        <f t="shared" si="59"/>
        <v>10</v>
      </c>
      <c r="F6266" s="151" t="s">
        <v>3868</v>
      </c>
      <c r="G6266" s="63" t="str">
        <f>VLOOKUP(C6266, 'Class Def. - General Data'!$C$20:$C$1000,1,false)</f>
        <v>ZRM1_Spice_Liq</v>
      </c>
      <c r="H6266" s="63" t="str">
        <f>IFERROR(__xludf.DUMMYFUNCTION("VLOOKUP(F6266, IMPORTRANGE(""https://docs.google.com/spreadsheets/d/1Lhp9OU0JdFf_VYSMzH5lBcEaU4o8teT1piV-SNzShjg/edit?gid=554141278#gid=554141278"", ""'Char Def. - Attributes'!C20:C2242""), 1,false)"),"BASIC_UOM_RMPM")</f>
        <v>BASIC_UOM_RMPM</v>
      </c>
      <c r="I6266" s="136"/>
    </row>
    <row r="6267" ht="15.75" customHeight="1">
      <c r="B6267" s="63">
        <f t="shared" si="1"/>
        <v>14</v>
      </c>
      <c r="C6267" s="156" t="s">
        <v>231</v>
      </c>
      <c r="D6267" s="147" t="s">
        <v>74</v>
      </c>
      <c r="E6267" s="135">
        <f t="shared" si="59"/>
        <v>11</v>
      </c>
      <c r="F6267" s="152" t="s">
        <v>3869</v>
      </c>
      <c r="G6267" s="63" t="str">
        <f>VLOOKUP(C6267, 'Class Def. - General Data'!$C$20:$C$1000,1,false)</f>
        <v>ZRM1_Spice_Liq</v>
      </c>
      <c r="H6267" s="63" t="str">
        <f>IFERROR(__xludf.DUMMYFUNCTION("VLOOKUP(F6267, IMPORTRANGE(""https://docs.google.com/spreadsheets/d/1Lhp9OU0JdFf_VYSMzH5lBcEaU4o8teT1piV-SNzShjg/edit?gid=554141278#gid=554141278"", ""'Char Def. - Attributes'!C20:C2242""), 1,false)"),"ALT_UOM1_RMPM")</f>
        <v>ALT_UOM1_RMPM</v>
      </c>
      <c r="I6267" s="136"/>
    </row>
    <row r="6268" ht="15.75" customHeight="1">
      <c r="B6268" s="63">
        <f t="shared" si="1"/>
        <v>14</v>
      </c>
      <c r="C6268" s="156" t="s">
        <v>231</v>
      </c>
      <c r="D6268" s="147" t="s">
        <v>74</v>
      </c>
      <c r="E6268" s="135">
        <f t="shared" si="59"/>
        <v>12</v>
      </c>
      <c r="F6268" s="152" t="s">
        <v>3805</v>
      </c>
      <c r="G6268" s="63" t="str">
        <f>VLOOKUP(C6268, 'Class Def. - General Data'!$C$20:$C$1000,1,false)</f>
        <v>ZRM1_Spice_Liq</v>
      </c>
      <c r="H6268" s="63" t="str">
        <f>IFERROR(__xludf.DUMMYFUNCTION("VLOOKUP(F6268, IMPORTRANGE(""https://docs.google.com/spreadsheets/d/1Lhp9OU0JdFf_VYSMzH5lBcEaU4o8teT1piV-SNzShjg/edit?gid=554141278#gid=554141278"", ""'Char Def. - Attributes'!C20:C2242""), 1,false)"),"ALT_DENUM_UOM1")</f>
        <v>ALT_DENUM_UOM1</v>
      </c>
      <c r="I6268" s="136"/>
    </row>
    <row r="6269" ht="15.75" customHeight="1">
      <c r="B6269" s="63">
        <f t="shared" si="1"/>
        <v>14</v>
      </c>
      <c r="C6269" s="156" t="s">
        <v>231</v>
      </c>
      <c r="D6269" s="147" t="s">
        <v>74</v>
      </c>
      <c r="E6269" s="135">
        <f t="shared" si="59"/>
        <v>13</v>
      </c>
      <c r="F6269" s="152" t="s">
        <v>3806</v>
      </c>
      <c r="G6269" s="63" t="str">
        <f>VLOOKUP(C6269, 'Class Def. - General Data'!$C$20:$C$1000,1,false)</f>
        <v>ZRM1_Spice_Liq</v>
      </c>
      <c r="H6269" s="63" t="str">
        <f>IFERROR(__xludf.DUMMYFUNCTION("VLOOKUP(F6269, IMPORTRANGE(""https://docs.google.com/spreadsheets/d/1Lhp9OU0JdFf_VYSMzH5lBcEaU4o8teT1piV-SNzShjg/edit?gid=554141278#gid=554141278"", ""'Char Def. - Attributes'!C20:C2242""), 1,false)"),"ALT_NUM_UOM1")</f>
        <v>ALT_NUM_UOM1</v>
      </c>
      <c r="I6269" s="136"/>
    </row>
    <row r="6270" ht="15.75" customHeight="1">
      <c r="B6270" s="63">
        <f t="shared" si="1"/>
        <v>14</v>
      </c>
      <c r="C6270" s="156" t="s">
        <v>231</v>
      </c>
      <c r="D6270" s="147" t="s">
        <v>74</v>
      </c>
      <c r="E6270" s="135">
        <f t="shared" si="59"/>
        <v>14</v>
      </c>
      <c r="F6270" s="152" t="s">
        <v>3870</v>
      </c>
      <c r="G6270" s="63" t="str">
        <f>VLOOKUP(C6270, 'Class Def. - General Data'!$C$20:$C$1000,1,false)</f>
        <v>ZRM1_Spice_Liq</v>
      </c>
      <c r="H6270" s="63" t="str">
        <f>IFERROR(__xludf.DUMMYFUNCTION("VLOOKUP(F6270, IMPORTRANGE(""https://docs.google.com/spreadsheets/d/1Lhp9OU0JdFf_VYSMzH5lBcEaU4o8teT1piV-SNzShjg/edit?gid=554141278#gid=554141278"", ""'Char Def. - Attributes'!C20:C2242""), 1,false)"),"ALT_UOM2_RMPM")</f>
        <v>ALT_UOM2_RMPM</v>
      </c>
      <c r="I6270" s="136"/>
    </row>
    <row r="6271" ht="15.75" customHeight="1">
      <c r="B6271" s="63">
        <f t="shared" si="1"/>
        <v>14</v>
      </c>
      <c r="C6271" s="156" t="s">
        <v>231</v>
      </c>
      <c r="D6271" s="147" t="s">
        <v>74</v>
      </c>
      <c r="E6271" s="135">
        <f t="shared" si="59"/>
        <v>15</v>
      </c>
      <c r="F6271" s="152" t="s">
        <v>3808</v>
      </c>
      <c r="G6271" s="63" t="str">
        <f>VLOOKUP(C6271, 'Class Def. - General Data'!$C$20:$C$1000,1,false)</f>
        <v>ZRM1_Spice_Liq</v>
      </c>
      <c r="H6271" s="63" t="str">
        <f>IFERROR(__xludf.DUMMYFUNCTION("VLOOKUP(F6271, IMPORTRANGE(""https://docs.google.com/spreadsheets/d/1Lhp9OU0JdFf_VYSMzH5lBcEaU4o8teT1piV-SNzShjg/edit?gid=554141278#gid=554141278"", ""'Char Def. - Attributes'!C20:C2242""), 1,false)"),"ALT_DENUM_UOM2")</f>
        <v>ALT_DENUM_UOM2</v>
      </c>
      <c r="I6271" s="136"/>
    </row>
    <row r="6272" ht="15.75" customHeight="1">
      <c r="B6272" s="63">
        <f t="shared" si="1"/>
        <v>14</v>
      </c>
      <c r="C6272" s="156" t="s">
        <v>231</v>
      </c>
      <c r="D6272" s="147" t="s">
        <v>74</v>
      </c>
      <c r="E6272" s="135">
        <f t="shared" si="59"/>
        <v>16</v>
      </c>
      <c r="F6272" s="152" t="s">
        <v>3809</v>
      </c>
      <c r="G6272" s="63" t="str">
        <f>VLOOKUP(C6272, 'Class Def. - General Data'!$C$20:$C$1000,1,false)</f>
        <v>ZRM1_Spice_Liq</v>
      </c>
      <c r="H6272" s="63" t="str">
        <f>IFERROR(__xludf.DUMMYFUNCTION("VLOOKUP(F6272, IMPORTRANGE(""https://docs.google.com/spreadsheets/d/1Lhp9OU0JdFf_VYSMzH5lBcEaU4o8teT1piV-SNzShjg/edit?gid=554141278#gid=554141278"", ""'Char Def. - Attributes'!C20:C2242""), 1,false)"),"ALT_NUM_UOM2")</f>
        <v>ALT_NUM_UOM2</v>
      </c>
      <c r="I6272" s="136"/>
    </row>
    <row r="6273" ht="15.75" customHeight="1">
      <c r="B6273" s="63">
        <f t="shared" si="1"/>
        <v>14</v>
      </c>
      <c r="C6273" s="156" t="s">
        <v>231</v>
      </c>
      <c r="D6273" s="147" t="s">
        <v>74</v>
      </c>
      <c r="E6273" s="135">
        <f t="shared" si="59"/>
        <v>17</v>
      </c>
      <c r="F6273" s="152" t="s">
        <v>3871</v>
      </c>
      <c r="G6273" s="63" t="str">
        <f>VLOOKUP(C6273, 'Class Def. - General Data'!$C$20:$C$1000,1,false)</f>
        <v>ZRM1_Spice_Liq</v>
      </c>
      <c r="H6273" s="63" t="str">
        <f>IFERROR(__xludf.DUMMYFUNCTION("VLOOKUP(F6273, IMPORTRANGE(""https://docs.google.com/spreadsheets/d/1Lhp9OU0JdFf_VYSMzH5lBcEaU4o8teT1piV-SNzShjg/edit?gid=554141278#gid=554141278"", ""'Char Def. - Attributes'!C20:C2242""), 1,false)"),"ALT_UOM3_RMPM")</f>
        <v>ALT_UOM3_RMPM</v>
      </c>
      <c r="I6273" s="136"/>
    </row>
    <row r="6274" ht="15.75" customHeight="1">
      <c r="B6274" s="63">
        <f t="shared" si="1"/>
        <v>14</v>
      </c>
      <c r="C6274" s="156" t="s">
        <v>231</v>
      </c>
      <c r="D6274" s="147" t="s">
        <v>74</v>
      </c>
      <c r="E6274" s="135">
        <f t="shared" si="59"/>
        <v>18</v>
      </c>
      <c r="F6274" s="152" t="s">
        <v>3811</v>
      </c>
      <c r="G6274" s="63" t="str">
        <f>VLOOKUP(C6274, 'Class Def. - General Data'!$C$20:$C$1000,1,false)</f>
        <v>ZRM1_Spice_Liq</v>
      </c>
      <c r="H6274" s="63" t="str">
        <f>IFERROR(__xludf.DUMMYFUNCTION("VLOOKUP(F6274, IMPORTRANGE(""https://docs.google.com/spreadsheets/d/1Lhp9OU0JdFf_VYSMzH5lBcEaU4o8teT1piV-SNzShjg/edit?gid=554141278#gid=554141278"", ""'Char Def. - Attributes'!C20:C2242""), 1,false)"),"ALT_DENUM_UOM3")</f>
        <v>ALT_DENUM_UOM3</v>
      </c>
      <c r="I6274" s="136"/>
    </row>
    <row r="6275" ht="15.75" customHeight="1">
      <c r="B6275" s="63">
        <f t="shared" si="1"/>
        <v>14</v>
      </c>
      <c r="C6275" s="156" t="s">
        <v>231</v>
      </c>
      <c r="D6275" s="147" t="s">
        <v>74</v>
      </c>
      <c r="E6275" s="135">
        <f t="shared" si="59"/>
        <v>19</v>
      </c>
      <c r="F6275" s="152" t="s">
        <v>3812</v>
      </c>
      <c r="G6275" s="63" t="str">
        <f>VLOOKUP(C6275, 'Class Def. - General Data'!$C$20:$C$1000,1,false)</f>
        <v>ZRM1_Spice_Liq</v>
      </c>
      <c r="H6275" s="63" t="str">
        <f>IFERROR(__xludf.DUMMYFUNCTION("VLOOKUP(F6275, IMPORTRANGE(""https://docs.google.com/spreadsheets/d/1Lhp9OU0JdFf_VYSMzH5lBcEaU4o8teT1piV-SNzShjg/edit?gid=554141278#gid=554141278"", ""'Char Def. - Attributes'!C20:C2242""), 1,false)"),"ALT_NUM_UOM3")</f>
        <v>ALT_NUM_UOM3</v>
      </c>
      <c r="I6275" s="136"/>
    </row>
    <row r="6276" ht="15.75" customHeight="1">
      <c r="B6276" s="63">
        <f t="shared" si="1"/>
        <v>14</v>
      </c>
      <c r="C6276" s="156" t="s">
        <v>231</v>
      </c>
      <c r="D6276" s="147" t="s">
        <v>74</v>
      </c>
      <c r="E6276" s="135">
        <f t="shared" si="59"/>
        <v>20</v>
      </c>
      <c r="F6276" s="152" t="s">
        <v>3872</v>
      </c>
      <c r="G6276" s="63" t="str">
        <f>VLOOKUP(C6276, 'Class Def. - General Data'!$C$20:$C$1000,1,false)</f>
        <v>ZRM1_Spice_Liq</v>
      </c>
      <c r="H6276" s="63" t="str">
        <f>IFERROR(__xludf.DUMMYFUNCTION("VLOOKUP(F6276, IMPORTRANGE(""https://docs.google.com/spreadsheets/d/1Lhp9OU0JdFf_VYSMzH5lBcEaU4o8teT1piV-SNzShjg/edit?gid=554141278#gid=554141278"", ""'Char Def. - Attributes'!C20:C2242""), 1,false)"),"ALT_UOM4_RMPM")</f>
        <v>ALT_UOM4_RMPM</v>
      </c>
      <c r="I6276" s="136"/>
    </row>
    <row r="6277" ht="15.75" customHeight="1">
      <c r="B6277" s="63">
        <f t="shared" si="1"/>
        <v>14</v>
      </c>
      <c r="C6277" s="156" t="s">
        <v>231</v>
      </c>
      <c r="D6277" s="147" t="s">
        <v>74</v>
      </c>
      <c r="E6277" s="135">
        <f t="shared" si="59"/>
        <v>21</v>
      </c>
      <c r="F6277" s="148" t="s">
        <v>3814</v>
      </c>
      <c r="G6277" s="63" t="str">
        <f>VLOOKUP(C6277, 'Class Def. - General Data'!$C$20:$C$1000,1,false)</f>
        <v>ZRM1_Spice_Liq</v>
      </c>
      <c r="H6277" s="63" t="str">
        <f>IFERROR(__xludf.DUMMYFUNCTION("VLOOKUP(F6277, IMPORTRANGE(""https://docs.google.com/spreadsheets/d/1Lhp9OU0JdFf_VYSMzH5lBcEaU4o8teT1piV-SNzShjg/edit?gid=554141278#gid=554141278"", ""'Char Def. - Attributes'!C20:C2242""), 1,false)"),"ALT_DENUM_UOM4")</f>
        <v>ALT_DENUM_UOM4</v>
      </c>
      <c r="I6277" s="136"/>
    </row>
    <row r="6278" ht="15.75" customHeight="1">
      <c r="B6278" s="63">
        <f t="shared" si="1"/>
        <v>14</v>
      </c>
      <c r="C6278" s="156" t="s">
        <v>231</v>
      </c>
      <c r="D6278" s="147" t="s">
        <v>74</v>
      </c>
      <c r="E6278" s="135">
        <f t="shared" si="59"/>
        <v>22</v>
      </c>
      <c r="F6278" s="152" t="s">
        <v>3815</v>
      </c>
      <c r="G6278" s="63" t="str">
        <f>VLOOKUP(C6278, 'Class Def. - General Data'!$C$20:$C$1000,1,false)</f>
        <v>ZRM1_Spice_Liq</v>
      </c>
      <c r="H6278" s="63" t="str">
        <f>IFERROR(__xludf.DUMMYFUNCTION("VLOOKUP(F6278, IMPORTRANGE(""https://docs.google.com/spreadsheets/d/1Lhp9OU0JdFf_VYSMzH5lBcEaU4o8teT1piV-SNzShjg/edit?gid=554141278#gid=554141278"", ""'Char Def. - Attributes'!C20:C2242""), 1,false)"),"ALT_NUM_UOM4")</f>
        <v>ALT_NUM_UOM4</v>
      </c>
      <c r="I6278" s="136"/>
    </row>
    <row r="6279" ht="15.75" customHeight="1">
      <c r="B6279" s="63">
        <f t="shared" si="1"/>
        <v>14</v>
      </c>
      <c r="C6279" s="156" t="s">
        <v>231</v>
      </c>
      <c r="D6279" s="147" t="s">
        <v>74</v>
      </c>
      <c r="E6279" s="135">
        <f t="shared" si="59"/>
        <v>23</v>
      </c>
      <c r="F6279" s="152" t="s">
        <v>3873</v>
      </c>
      <c r="G6279" s="63" t="str">
        <f>VLOOKUP(C6279, 'Class Def. - General Data'!$C$20:$C$1000,1,false)</f>
        <v>ZRM1_Spice_Liq</v>
      </c>
      <c r="H6279" s="63" t="str">
        <f>IFERROR(__xludf.DUMMYFUNCTION("VLOOKUP(F6279, IMPORTRANGE(""https://docs.google.com/spreadsheets/d/1Lhp9OU0JdFf_VYSMzH5lBcEaU4o8teT1piV-SNzShjg/edit?gid=554141278#gid=554141278"", ""'Char Def. - Attributes'!C20:C2242""), 1,false)"),"ALT_UOM5_RMPM")</f>
        <v>ALT_UOM5_RMPM</v>
      </c>
      <c r="I6279" s="136"/>
    </row>
    <row r="6280" ht="15.75" customHeight="1">
      <c r="B6280" s="63">
        <f t="shared" si="1"/>
        <v>14</v>
      </c>
      <c r="C6280" s="156" t="s">
        <v>231</v>
      </c>
      <c r="D6280" s="147" t="s">
        <v>74</v>
      </c>
      <c r="E6280" s="135">
        <f t="shared" si="59"/>
        <v>24</v>
      </c>
      <c r="F6280" s="152" t="s">
        <v>3817</v>
      </c>
      <c r="G6280" s="63" t="str">
        <f>VLOOKUP(C6280, 'Class Def. - General Data'!$C$20:$C$1000,1,false)</f>
        <v>ZRM1_Spice_Liq</v>
      </c>
      <c r="H6280" s="63" t="str">
        <f>IFERROR(__xludf.DUMMYFUNCTION("VLOOKUP(F6280, IMPORTRANGE(""https://docs.google.com/spreadsheets/d/1Lhp9OU0JdFf_VYSMzH5lBcEaU4o8teT1piV-SNzShjg/edit?gid=554141278#gid=554141278"", ""'Char Def. - Attributes'!C20:C2242""), 1,false)"),"ALT_DENUM_UOM5")</f>
        <v>ALT_DENUM_UOM5</v>
      </c>
      <c r="I6280" s="136"/>
    </row>
    <row r="6281" ht="15.75" customHeight="1">
      <c r="B6281" s="63">
        <f t="shared" si="1"/>
        <v>14</v>
      </c>
      <c r="C6281" s="156" t="s">
        <v>231</v>
      </c>
      <c r="D6281" s="147" t="s">
        <v>74</v>
      </c>
      <c r="E6281" s="135">
        <f t="shared" si="59"/>
        <v>25</v>
      </c>
      <c r="F6281" s="152" t="s">
        <v>3818</v>
      </c>
      <c r="G6281" s="63" t="str">
        <f>VLOOKUP(C6281, 'Class Def. - General Data'!$C$20:$C$1000,1,false)</f>
        <v>ZRM1_Spice_Liq</v>
      </c>
      <c r="H6281" s="63" t="str">
        <f>IFERROR(__xludf.DUMMYFUNCTION("VLOOKUP(F6281, IMPORTRANGE(""https://docs.google.com/spreadsheets/d/1Lhp9OU0JdFf_VYSMzH5lBcEaU4o8teT1piV-SNzShjg/edit?gid=554141278#gid=554141278"", ""'Char Def. - Attributes'!C20:C2242""), 1,false)"),"ALT_NUM_UOM5")</f>
        <v>ALT_NUM_UOM5</v>
      </c>
      <c r="I6281" s="136"/>
    </row>
    <row r="6282" ht="15.75" customHeight="1">
      <c r="B6282" s="63">
        <f t="shared" si="1"/>
        <v>14</v>
      </c>
      <c r="C6282" s="156" t="s">
        <v>231</v>
      </c>
      <c r="D6282" s="147" t="s">
        <v>74</v>
      </c>
      <c r="E6282" s="135">
        <f t="shared" si="59"/>
        <v>26</v>
      </c>
      <c r="F6282" s="152" t="s">
        <v>3874</v>
      </c>
      <c r="G6282" s="63" t="str">
        <f>VLOOKUP(C6282, 'Class Def. - General Data'!$C$20:$C$1000,1,false)</f>
        <v>ZRM1_Spice_Liq</v>
      </c>
      <c r="H6282" s="63" t="str">
        <f>IFERROR(__xludf.DUMMYFUNCTION("VLOOKUP(F6282, IMPORTRANGE(""https://docs.google.com/spreadsheets/d/1Lhp9OU0JdFf_VYSMzH5lBcEaU4o8teT1piV-SNzShjg/edit?gid=554141278#gid=554141278"", ""'Char Def. - Attributes'!C20:C2242""), 1,false)"),"VALUATION_CATEGORY")</f>
        <v>VALUATION_CATEGORY</v>
      </c>
      <c r="I6282" s="136"/>
    </row>
    <row r="6283" ht="15.75" customHeight="1">
      <c r="B6283" s="63">
        <f t="shared" si="1"/>
        <v>14</v>
      </c>
      <c r="C6283" s="156" t="s">
        <v>231</v>
      </c>
      <c r="D6283" s="147" t="s">
        <v>74</v>
      </c>
      <c r="E6283" s="135">
        <f t="shared" si="59"/>
        <v>27</v>
      </c>
      <c r="F6283" s="152" t="s">
        <v>3800</v>
      </c>
      <c r="G6283" s="63" t="str">
        <f>VLOOKUP(C6283, 'Class Def. - General Data'!$C$20:$C$1000,1,false)</f>
        <v>ZRM1_Spice_Liq</v>
      </c>
      <c r="H6283" s="63" t="str">
        <f>IFERROR(__xludf.DUMMYFUNCTION("VLOOKUP(F6283, IMPORTRANGE(""https://docs.google.com/spreadsheets/d/1Lhp9OU0JdFf_VYSMzH5lBcEaU4o8teT1piV-SNzShjg/edit?gid=554141278#gid=554141278"", ""'Char Def. - Attributes'!C20:C2242""), 1,false)"),"ORDER_UNIT_DIFF_FROM_BASIC_UOM")</f>
        <v>ORDER_UNIT_DIFF_FROM_BASIC_UOM</v>
      </c>
      <c r="I6283" s="136"/>
    </row>
    <row r="6284" ht="15.75" customHeight="1">
      <c r="B6284" s="63">
        <f t="shared" si="1"/>
        <v>14</v>
      </c>
      <c r="C6284" s="156" t="s">
        <v>231</v>
      </c>
      <c r="D6284" s="147" t="s">
        <v>74</v>
      </c>
      <c r="E6284" s="135">
        <f t="shared" si="59"/>
        <v>28</v>
      </c>
      <c r="F6284" s="152" t="s">
        <v>3875</v>
      </c>
      <c r="G6284" s="63" t="str">
        <f>VLOOKUP(C6284, 'Class Def. - General Data'!$C$20:$C$1000,1,false)</f>
        <v>ZRM1_Spice_Liq</v>
      </c>
      <c r="H6284" s="63" t="str">
        <f>IFERROR(__xludf.DUMMYFUNCTION("VLOOKUP(F6284, IMPORTRANGE(""https://docs.google.com/spreadsheets/d/1Lhp9OU0JdFf_VYSMzH5lBcEaU4o8teT1piV-SNzShjg/edit?gid=554141278#gid=554141278"", ""'Char Def. - Attributes'!C20:C2242""), 1,false)"),"ORDER_UNIT_RMPM")</f>
        <v>ORDER_UNIT_RMPM</v>
      </c>
      <c r="I6284" s="136"/>
    </row>
    <row r="6285" ht="15.75" customHeight="1">
      <c r="B6285" s="63">
        <f t="shared" si="1"/>
        <v>14</v>
      </c>
      <c r="C6285" s="156" t="s">
        <v>231</v>
      </c>
      <c r="D6285" s="147" t="s">
        <v>74</v>
      </c>
      <c r="E6285" s="135">
        <f t="shared" si="59"/>
        <v>29</v>
      </c>
      <c r="F6285" s="151" t="s">
        <v>3602</v>
      </c>
      <c r="G6285" s="63" t="str">
        <f>VLOOKUP(C6285, 'Class Def. - General Data'!$C$20:$C$1000,1,false)</f>
        <v>ZRM1_Spice_Liq</v>
      </c>
      <c r="H6285" s="63" t="str">
        <f>IFERROR(__xludf.DUMMYFUNCTION("VLOOKUP(F6285, IMPORTRANGE(""https://docs.google.com/spreadsheets/d/1Lhp9OU0JdFf_VYSMzH5lBcEaU4o8teT1piV-SNzShjg/edit?gid=554141278#gid=554141278"", ""'Char Def. - Attributes'!C20:C2242""), 1,false)"),"NET_WEIGHT")</f>
        <v>NET_WEIGHT</v>
      </c>
      <c r="I6285" s="136"/>
    </row>
    <row r="6286" ht="15.75" customHeight="1">
      <c r="B6286" s="63">
        <f t="shared" si="1"/>
        <v>14</v>
      </c>
      <c r="C6286" s="156" t="s">
        <v>231</v>
      </c>
      <c r="D6286" s="147" t="s">
        <v>74</v>
      </c>
      <c r="E6286" s="135">
        <f t="shared" si="59"/>
        <v>30</v>
      </c>
      <c r="F6286" s="151" t="s">
        <v>3601</v>
      </c>
      <c r="G6286" s="63" t="str">
        <f>VLOOKUP(C6286, 'Class Def. - General Data'!$C$20:$C$1000,1,false)</f>
        <v>ZRM1_Spice_Liq</v>
      </c>
      <c r="H6286" s="63" t="str">
        <f>IFERROR(__xludf.DUMMYFUNCTION("VLOOKUP(F6286, IMPORTRANGE(""https://docs.google.com/spreadsheets/d/1Lhp9OU0JdFf_VYSMzH5lBcEaU4o8teT1piV-SNzShjg/edit?gid=554141278#gid=554141278"", ""'Char Def. - Attributes'!C20:C2242""), 1,false)"),"GROSS_WEIGHT")</f>
        <v>GROSS_WEIGHT</v>
      </c>
      <c r="I6286" s="136"/>
    </row>
    <row r="6287" ht="15.75" customHeight="1">
      <c r="B6287" s="63">
        <f t="shared" si="1"/>
        <v>14</v>
      </c>
      <c r="C6287" s="156" t="s">
        <v>231</v>
      </c>
      <c r="D6287" s="147" t="s">
        <v>74</v>
      </c>
      <c r="E6287" s="135">
        <f t="shared" si="59"/>
        <v>31</v>
      </c>
      <c r="F6287" s="152" t="s">
        <v>3996</v>
      </c>
      <c r="G6287" s="63" t="str">
        <f>VLOOKUP(C6287, 'Class Def. - General Data'!$C$20:$C$1000,1,false)</f>
        <v>ZRM1_Spice_Liq</v>
      </c>
      <c r="H6287" s="63" t="str">
        <f>IFERROR(__xludf.DUMMYFUNCTION("VLOOKUP(F6287, IMPORTRANGE(""https://docs.google.com/spreadsheets/d/1Lhp9OU0JdFf_VYSMzH5lBcEaU4o8teT1piV-SNzShjg/edit?gid=554141278#gid=554141278"", ""'Char Def. - Attributes'!C20:C2242""), 1,false)"),"WEIGHT_UNIT")</f>
        <v>WEIGHT_UNIT</v>
      </c>
      <c r="I6287" s="136"/>
    </row>
    <row r="6288" ht="15.75" customHeight="1">
      <c r="B6288" s="63">
        <f t="shared" si="1"/>
        <v>14</v>
      </c>
      <c r="C6288" s="156" t="s">
        <v>231</v>
      </c>
      <c r="D6288" s="147" t="s">
        <v>74</v>
      </c>
      <c r="E6288" s="135">
        <f t="shared" si="59"/>
        <v>32</v>
      </c>
      <c r="F6288" s="151" t="s">
        <v>3877</v>
      </c>
      <c r="G6288" s="63" t="str">
        <f>VLOOKUP(C6288, 'Class Def. - General Data'!$C$20:$C$1000,1,false)</f>
        <v>ZRM1_Spice_Liq</v>
      </c>
      <c r="H6288" s="63" t="str">
        <f>IFERROR(__xludf.DUMMYFUNCTION("VLOOKUP(F6288, IMPORTRANGE(""https://docs.google.com/spreadsheets/d/1Lhp9OU0JdFf_VYSMzH5lBcEaU4o8teT1piV-SNzShjg/edit?gid=554141278#gid=554141278"", ""'Char Def. - Attributes'!C20:C2242""), 1,false)"),"VOLUME_OPT")</f>
        <v>VOLUME_OPT</v>
      </c>
      <c r="I6288" s="136"/>
    </row>
    <row r="6289" ht="15.75" customHeight="1">
      <c r="B6289" s="63">
        <f t="shared" si="1"/>
        <v>14</v>
      </c>
      <c r="C6289" s="156" t="s">
        <v>231</v>
      </c>
      <c r="D6289" s="147" t="s">
        <v>74</v>
      </c>
      <c r="E6289" s="135">
        <f t="shared" si="59"/>
        <v>33</v>
      </c>
      <c r="F6289" s="152" t="s">
        <v>3878</v>
      </c>
      <c r="G6289" s="63" t="str">
        <f>VLOOKUP(C6289, 'Class Def. - General Data'!$C$20:$C$1000,1,false)</f>
        <v>ZRM1_Spice_Liq</v>
      </c>
      <c r="H6289" s="63" t="str">
        <f>IFERROR(__xludf.DUMMYFUNCTION("VLOOKUP(F6289, IMPORTRANGE(""https://docs.google.com/spreadsheets/d/1Lhp9OU0JdFf_VYSMzH5lBcEaU4o8teT1piV-SNzShjg/edit?gid=554141278#gid=554141278"", ""'Char Def. - Attributes'!C20:C2242""), 1,false)"),"VOLUME_UNIT")</f>
        <v>VOLUME_UNIT</v>
      </c>
      <c r="I6289" s="136"/>
    </row>
    <row r="6290" ht="15.75" customHeight="1">
      <c r="B6290" s="63">
        <f t="shared" si="1"/>
        <v>14</v>
      </c>
      <c r="C6290" s="156" t="s">
        <v>231</v>
      </c>
      <c r="D6290" s="147" t="s">
        <v>74</v>
      </c>
      <c r="E6290" s="135">
        <f t="shared" si="59"/>
        <v>34</v>
      </c>
      <c r="F6290" s="151" t="s">
        <v>3587</v>
      </c>
      <c r="G6290" s="63" t="str">
        <f>VLOOKUP(C6290, 'Class Def. - General Data'!$C$20:$C$1000,1,false)</f>
        <v>ZRM1_Spice_Liq</v>
      </c>
      <c r="H6290" s="63" t="str">
        <f>IFERROR(__xludf.DUMMYFUNCTION("VLOOKUP(F6290, IMPORTRANGE(""https://docs.google.com/spreadsheets/d/1Lhp9OU0JdFf_VYSMzH5lBcEaU4o8teT1piV-SNzShjg/edit?gid=554141278#gid=554141278"", ""'Char Def. - Attributes'!C20:C2242""), 1,false)"),"PLANT_BUY")</f>
        <v>PLANT_BUY</v>
      </c>
      <c r="I6290" s="136"/>
    </row>
    <row r="6291" ht="15.75" customHeight="1">
      <c r="B6291" s="63">
        <f t="shared" si="1"/>
        <v>14</v>
      </c>
      <c r="C6291" s="156" t="s">
        <v>231</v>
      </c>
      <c r="D6291" s="147" t="s">
        <v>74</v>
      </c>
      <c r="E6291" s="135">
        <f t="shared" si="59"/>
        <v>35</v>
      </c>
      <c r="F6291" s="152" t="s">
        <v>3997</v>
      </c>
      <c r="G6291" s="63" t="str">
        <f>VLOOKUP(C6291, 'Class Def. - General Data'!$C$20:$C$1000,1,false)</f>
        <v>ZRM1_Spice_Liq</v>
      </c>
      <c r="H6291" s="63" t="str">
        <f>IFERROR(__xludf.DUMMYFUNCTION("VLOOKUP(F6291, IMPORTRANGE(""https://docs.google.com/spreadsheets/d/1Lhp9OU0JdFf_VYSMzH5lBcEaU4o8teT1piV-SNzShjg/edit?gid=554141278#gid=554141278"", ""'Char Def. - Attributes'!C20:C2242""), 1,false)"),"OLD_MAT_NO_RMPM_OPT")</f>
        <v>OLD_MAT_NO_RMPM_OPT</v>
      </c>
      <c r="I6291" s="136"/>
    </row>
    <row r="6292" ht="15.75" customHeight="1">
      <c r="B6292" s="63">
        <f t="shared" si="1"/>
        <v>14</v>
      </c>
      <c r="C6292" s="156" t="s">
        <v>231</v>
      </c>
      <c r="D6292" s="147" t="s">
        <v>74</v>
      </c>
      <c r="E6292" s="135">
        <f t="shared" si="59"/>
        <v>36</v>
      </c>
      <c r="F6292" s="148" t="s">
        <v>3998</v>
      </c>
      <c r="G6292" s="63" t="str">
        <f>VLOOKUP(C6292, 'Class Def. - General Data'!$C$20:$C$1000,1,false)</f>
        <v>ZRM1_Spice_Liq</v>
      </c>
      <c r="H6292" s="63" t="str">
        <f>IFERROR(__xludf.DUMMYFUNCTION("VLOOKUP(F6292, IMPORTRANGE(""https://docs.google.com/spreadsheets/d/1Lhp9OU0JdFf_VYSMzH5lBcEaU4o8teT1piV-SNzShjg/edit?gid=554141278#gid=554141278"", ""'Char Def. - Attributes'!C20:C2242""), 1,false)"),"MIN_STD_WEIGHT")</f>
        <v>MIN_STD_WEIGHT</v>
      </c>
      <c r="I6292" s="136"/>
    </row>
    <row r="6293" ht="15.75" customHeight="1">
      <c r="B6293" s="63">
        <f t="shared" si="1"/>
        <v>14</v>
      </c>
      <c r="C6293" s="156" t="s">
        <v>231</v>
      </c>
      <c r="D6293" s="147" t="s">
        <v>74</v>
      </c>
      <c r="E6293" s="135">
        <f t="shared" si="59"/>
        <v>37</v>
      </c>
      <c r="F6293" s="148" t="s">
        <v>3999</v>
      </c>
      <c r="G6293" s="63" t="str">
        <f>VLOOKUP(C6293, 'Class Def. - General Data'!$C$20:$C$1000,1,false)</f>
        <v>ZRM1_Spice_Liq</v>
      </c>
      <c r="H6293" s="63" t="str">
        <f>IFERROR(__xludf.DUMMYFUNCTION("VLOOKUP(F6293, IMPORTRANGE(""https://docs.google.com/spreadsheets/d/1Lhp9OU0JdFf_VYSMzH5lBcEaU4o8teT1piV-SNzShjg/edit?gid=554141278#gid=554141278"", ""'Char Def. - Attributes'!C20:C2242""), 1,false)"),"MIN_STD_WEIGHT_UOM")</f>
        <v>MIN_STD_WEIGHT_UOM</v>
      </c>
      <c r="I6293" s="136"/>
    </row>
    <row r="6294" ht="15.75" customHeight="1">
      <c r="B6294" s="63">
        <f t="shared" si="1"/>
        <v>16</v>
      </c>
      <c r="C6294" s="156" t="s">
        <v>230</v>
      </c>
      <c r="D6294" s="147" t="s">
        <v>74</v>
      </c>
      <c r="E6294" s="135">
        <f t="shared" si="59"/>
        <v>1</v>
      </c>
      <c r="F6294" s="152" t="s">
        <v>4000</v>
      </c>
      <c r="G6294" s="63" t="str">
        <f>VLOOKUP(C6294, 'Class Def. - General Data'!$C$20:$C$1000,1,false)</f>
        <v>ZRM1_Spice_Solid</v>
      </c>
      <c r="H6294" s="63" t="str">
        <f>IFERROR(__xludf.DUMMYFUNCTION("VLOOKUP(F6294, IMPORTRANGE(""https://docs.google.com/spreadsheets/d/1Lhp9OU0JdFf_VYSMzH5lBcEaU4o8teT1piV-SNzShjg/edit?gid=554141278#gid=554141278"", ""'Char Def. - Attributes'!C20:C2242""), 1,false)"),"MATERIAL_CODE_FREETEXT")</f>
        <v>MATERIAL_CODE_FREETEXT</v>
      </c>
      <c r="I6294" s="136"/>
    </row>
    <row r="6295" ht="15.75" customHeight="1">
      <c r="B6295" s="63">
        <f t="shared" si="1"/>
        <v>16</v>
      </c>
      <c r="C6295" s="156" t="s">
        <v>230</v>
      </c>
      <c r="D6295" s="147" t="s">
        <v>74</v>
      </c>
      <c r="E6295" s="135">
        <f t="shared" si="59"/>
        <v>2</v>
      </c>
      <c r="F6295" s="152" t="s">
        <v>4001</v>
      </c>
      <c r="G6295" s="63" t="str">
        <f>VLOOKUP(C6295, 'Class Def. - General Data'!$C$20:$C$1000,1,false)</f>
        <v>ZRM1_Spice_Solid</v>
      </c>
      <c r="H6295" s="63" t="str">
        <f>IFERROR(__xludf.DUMMYFUNCTION("VLOOKUP(F6295, IMPORTRANGE(""https://docs.google.com/spreadsheets/d/1Lhp9OU0JdFf_VYSMzH5lBcEaU4o8teT1piV-SNzShjg/edit?gid=554141278#gid=554141278"", ""'Char Def. - Attributes'!C20:C2242""), 1,false)"),"ADDITIONAL_INFO_NO_MASK")</f>
        <v>ADDITIONAL_INFO_NO_MASK</v>
      </c>
      <c r="I6295" s="136"/>
    </row>
    <row r="6296" ht="15.75" customHeight="1">
      <c r="B6296" s="63">
        <f t="shared" si="1"/>
        <v>16</v>
      </c>
      <c r="C6296" s="156" t="s">
        <v>230</v>
      </c>
      <c r="D6296" s="147" t="s">
        <v>74</v>
      </c>
      <c r="E6296" s="135">
        <f t="shared" si="59"/>
        <v>3</v>
      </c>
      <c r="F6296" s="152" t="s">
        <v>4002</v>
      </c>
      <c r="G6296" s="63" t="str">
        <f>VLOOKUP(C6296, 'Class Def. - General Data'!$C$20:$C$1000,1,false)</f>
        <v>ZRM1_Spice_Solid</v>
      </c>
      <c r="H6296" s="63" t="str">
        <f>IFERROR(__xludf.DUMMYFUNCTION("VLOOKUP(F6296, IMPORTRANGE(""https://docs.google.com/spreadsheets/d/1Lhp9OU0JdFf_VYSMzH5lBcEaU4o8teT1piV-SNzShjg/edit?gid=554141278#gid=554141278"", ""'Char Def. - Attributes'!C20:C2242""), 1,false)"),"COLOR_GENERAL")</f>
        <v>COLOR_GENERAL</v>
      </c>
      <c r="I6296" s="136"/>
    </row>
    <row r="6297" ht="15.75" customHeight="1">
      <c r="B6297" s="63">
        <f t="shared" si="1"/>
        <v>16</v>
      </c>
      <c r="C6297" s="156" t="s">
        <v>230</v>
      </c>
      <c r="D6297" s="147" t="s">
        <v>74</v>
      </c>
      <c r="E6297" s="135">
        <f t="shared" si="59"/>
        <v>4</v>
      </c>
      <c r="F6297" s="152" t="s">
        <v>4003</v>
      </c>
      <c r="G6297" s="63" t="str">
        <f>VLOOKUP(C6297, 'Class Def. - General Data'!$C$20:$C$1000,1,false)</f>
        <v>ZRM1_Spice_Solid</v>
      </c>
      <c r="H6297" s="63" t="str">
        <f>IFERROR(__xludf.DUMMYFUNCTION("VLOOKUP(F6297, IMPORTRANGE(""https://docs.google.com/spreadsheets/d/1Lhp9OU0JdFf_VYSMzH5lBcEaU4o8teT1piV-SNzShjg/edit?gid=554141278#gid=554141278"", ""'Char Def. - Attributes'!C20:C2242""), 1,false)"),"SOURCE_SUPPLY")</f>
        <v>SOURCE_SUPPLY</v>
      </c>
      <c r="I6297" s="136"/>
    </row>
    <row r="6298" ht="15.75" customHeight="1">
      <c r="B6298" s="63">
        <f t="shared" si="1"/>
        <v>16</v>
      </c>
      <c r="C6298" s="156" t="s">
        <v>230</v>
      </c>
      <c r="D6298" s="147" t="s">
        <v>74</v>
      </c>
      <c r="E6298" s="135">
        <f t="shared" si="59"/>
        <v>5</v>
      </c>
      <c r="F6298" s="152" t="s">
        <v>4004</v>
      </c>
      <c r="G6298" s="63" t="str">
        <f>VLOOKUP(C6298, 'Class Def. - General Data'!$C$20:$C$1000,1,false)</f>
        <v>ZRM1_Spice_Solid</v>
      </c>
      <c r="H6298" s="63" t="str">
        <f>IFERROR(__xludf.DUMMYFUNCTION("VLOOKUP(F6298, IMPORTRANGE(""https://docs.google.com/spreadsheets/d/1Lhp9OU0JdFf_VYSMzH5lBcEaU4o8teT1piV-SNzShjg/edit?gid=554141278#gid=554141278"", ""'Char Def. - Attributes'!C20:C2242""), 1,false)"),"BASE_MATERIAL")</f>
        <v>BASE_MATERIAL</v>
      </c>
      <c r="I6298" s="136"/>
    </row>
    <row r="6299" ht="15.75" customHeight="1">
      <c r="B6299" s="63">
        <f t="shared" si="1"/>
        <v>16</v>
      </c>
      <c r="C6299" s="156" t="s">
        <v>230</v>
      </c>
      <c r="D6299" s="147" t="s">
        <v>74</v>
      </c>
      <c r="E6299" s="135">
        <f t="shared" si="59"/>
        <v>6</v>
      </c>
      <c r="F6299" s="152" t="s">
        <v>4009</v>
      </c>
      <c r="G6299" s="63" t="str">
        <f>VLOOKUP(C6299, 'Class Def. - General Data'!$C$20:$C$1000,1,false)</f>
        <v>ZRM1_Spice_Solid</v>
      </c>
      <c r="H6299" s="63" t="str">
        <f>IFERROR(__xludf.DUMMYFUNCTION("VLOOKUP(F6299, IMPORTRANGE(""https://docs.google.com/spreadsheets/d/1Lhp9OU0JdFf_VYSMzH5lBcEaU4o8teT1piV-SNzShjg/edit?gid=554141278#gid=554141278"", ""'Char Def. - Attributes'!C20:C2242""), 1,false)"),"NATURE_ORIGIN_FOOD")</f>
        <v>NATURE_ORIGIN_FOOD</v>
      </c>
      <c r="I6299" s="136"/>
    </row>
    <row r="6300" ht="15.75" customHeight="1">
      <c r="B6300" s="63">
        <f t="shared" si="1"/>
        <v>16</v>
      </c>
      <c r="C6300" s="156" t="s">
        <v>230</v>
      </c>
      <c r="D6300" s="147" t="s">
        <v>74</v>
      </c>
      <c r="E6300" s="135">
        <f t="shared" si="59"/>
        <v>7</v>
      </c>
      <c r="F6300" s="152" t="s">
        <v>4006</v>
      </c>
      <c r="G6300" s="63" t="str">
        <f>VLOOKUP(C6300, 'Class Def. - General Data'!$C$20:$C$1000,1,false)</f>
        <v>ZRM1_Spice_Solid</v>
      </c>
      <c r="H6300" s="63" t="str">
        <f>IFERROR(__xludf.DUMMYFUNCTION("VLOOKUP(F6300, IMPORTRANGE(""https://docs.google.com/spreadsheets/d/1Lhp9OU0JdFf_VYSMzH5lBcEaU4o8teT1piV-SNzShjg/edit?gid=554141278#gid=554141278"", ""'Char Def. - Attributes'!C20:C2242""), 1,false)"),"CATEGORY_ITEM")</f>
        <v>CATEGORY_ITEM</v>
      </c>
      <c r="I6300" s="136"/>
    </row>
    <row r="6301" ht="15.75" customHeight="1">
      <c r="B6301" s="63">
        <f t="shared" si="1"/>
        <v>16</v>
      </c>
      <c r="C6301" s="156" t="s">
        <v>230</v>
      </c>
      <c r="D6301" s="147" t="s">
        <v>74</v>
      </c>
      <c r="E6301" s="135">
        <f t="shared" si="59"/>
        <v>8</v>
      </c>
      <c r="F6301" s="152" t="s">
        <v>4007</v>
      </c>
      <c r="G6301" s="63" t="str">
        <f>VLOOKUP(C6301, 'Class Def. - General Data'!$C$20:$C$1000,1,false)</f>
        <v>ZRM1_Spice_Solid</v>
      </c>
      <c r="H6301" s="63" t="str">
        <f>IFERROR(__xludf.DUMMYFUNCTION("VLOOKUP(F6301, IMPORTRANGE(""https://docs.google.com/spreadsheets/d/1Lhp9OU0JdFf_VYSMzH5lBcEaU4o8teT1piV-SNzShjg/edit?gid=554141278#gid=554141278"", ""'Char Def. - Attributes'!C20:C2242""), 1,false)"),"FUNCTION1")</f>
        <v>FUNCTION1</v>
      </c>
      <c r="I6301" s="136"/>
    </row>
    <row r="6302" ht="15.75" customHeight="1">
      <c r="B6302" s="63">
        <f t="shared" si="1"/>
        <v>16</v>
      </c>
      <c r="C6302" s="156" t="s">
        <v>230</v>
      </c>
      <c r="D6302" s="147" t="s">
        <v>74</v>
      </c>
      <c r="E6302" s="135">
        <f t="shared" si="59"/>
        <v>9</v>
      </c>
      <c r="F6302" s="152" t="s">
        <v>4008</v>
      </c>
      <c r="G6302" s="63" t="str">
        <f>VLOOKUP(C6302, 'Class Def. - General Data'!$C$20:$C$1000,1,false)</f>
        <v>ZRM1_Spice_Solid</v>
      </c>
      <c r="H6302" s="63" t="str">
        <f>IFERROR(__xludf.DUMMYFUNCTION("VLOOKUP(F6302, IMPORTRANGE(""https://docs.google.com/spreadsheets/d/1Lhp9OU0JdFf_VYSMzH5lBcEaU4o8teT1piV-SNzShjg/edit?gid=554141278#gid=554141278"", ""'Char Def. - Attributes'!C20:C2242""), 1,false)"),"PREFERENSI_KURS")</f>
        <v>PREFERENSI_KURS</v>
      </c>
      <c r="I6302" s="136"/>
    </row>
    <row r="6303" ht="15.75" customHeight="1">
      <c r="B6303" s="63">
        <f t="shared" si="1"/>
        <v>16</v>
      </c>
      <c r="C6303" s="156" t="s">
        <v>230</v>
      </c>
      <c r="D6303" s="147" t="s">
        <v>74</v>
      </c>
      <c r="E6303" s="135">
        <f t="shared" si="59"/>
        <v>10</v>
      </c>
      <c r="F6303" s="151" t="s">
        <v>3868</v>
      </c>
      <c r="G6303" s="63" t="str">
        <f>VLOOKUP(C6303, 'Class Def. - General Data'!$C$20:$C$1000,1,false)</f>
        <v>ZRM1_Spice_Solid</v>
      </c>
      <c r="H6303" s="63" t="str">
        <f>IFERROR(__xludf.DUMMYFUNCTION("VLOOKUP(F6303, IMPORTRANGE(""https://docs.google.com/spreadsheets/d/1Lhp9OU0JdFf_VYSMzH5lBcEaU4o8teT1piV-SNzShjg/edit?gid=554141278#gid=554141278"", ""'Char Def. - Attributes'!C20:C2242""), 1,false)"),"BASIC_UOM_RMPM")</f>
        <v>BASIC_UOM_RMPM</v>
      </c>
      <c r="I6303" s="136"/>
    </row>
    <row r="6304" ht="15.75" customHeight="1">
      <c r="B6304" s="63">
        <f t="shared" si="1"/>
        <v>16</v>
      </c>
      <c r="C6304" s="156" t="s">
        <v>230</v>
      </c>
      <c r="D6304" s="147" t="s">
        <v>74</v>
      </c>
      <c r="E6304" s="135">
        <f t="shared" si="59"/>
        <v>11</v>
      </c>
      <c r="F6304" s="152" t="s">
        <v>3869</v>
      </c>
      <c r="G6304" s="63" t="str">
        <f>VLOOKUP(C6304, 'Class Def. - General Data'!$C$20:$C$1000,1,false)</f>
        <v>ZRM1_Spice_Solid</v>
      </c>
      <c r="H6304" s="63" t="str">
        <f>IFERROR(__xludf.DUMMYFUNCTION("VLOOKUP(F6304, IMPORTRANGE(""https://docs.google.com/spreadsheets/d/1Lhp9OU0JdFf_VYSMzH5lBcEaU4o8teT1piV-SNzShjg/edit?gid=554141278#gid=554141278"", ""'Char Def. - Attributes'!C20:C2242""), 1,false)"),"ALT_UOM1_RMPM")</f>
        <v>ALT_UOM1_RMPM</v>
      </c>
      <c r="I6304" s="136"/>
    </row>
    <row r="6305" ht="15.75" customHeight="1">
      <c r="B6305" s="63">
        <f t="shared" si="1"/>
        <v>16</v>
      </c>
      <c r="C6305" s="156" t="s">
        <v>230</v>
      </c>
      <c r="D6305" s="147" t="s">
        <v>74</v>
      </c>
      <c r="E6305" s="135">
        <f t="shared" si="59"/>
        <v>12</v>
      </c>
      <c r="F6305" s="152" t="s">
        <v>3805</v>
      </c>
      <c r="G6305" s="63" t="str">
        <f>VLOOKUP(C6305, 'Class Def. - General Data'!$C$20:$C$1000,1,false)</f>
        <v>ZRM1_Spice_Solid</v>
      </c>
      <c r="H6305" s="63" t="str">
        <f>IFERROR(__xludf.DUMMYFUNCTION("VLOOKUP(F6305, IMPORTRANGE(""https://docs.google.com/spreadsheets/d/1Lhp9OU0JdFf_VYSMzH5lBcEaU4o8teT1piV-SNzShjg/edit?gid=554141278#gid=554141278"", ""'Char Def. - Attributes'!C20:C2242""), 1,false)"),"ALT_DENUM_UOM1")</f>
        <v>ALT_DENUM_UOM1</v>
      </c>
      <c r="I6305" s="136"/>
    </row>
    <row r="6306" ht="15.75" customHeight="1">
      <c r="B6306" s="63">
        <f t="shared" si="1"/>
        <v>16</v>
      </c>
      <c r="C6306" s="156" t="s">
        <v>230</v>
      </c>
      <c r="D6306" s="147" t="s">
        <v>74</v>
      </c>
      <c r="E6306" s="135">
        <f t="shared" si="59"/>
        <v>13</v>
      </c>
      <c r="F6306" s="152" t="s">
        <v>3806</v>
      </c>
      <c r="G6306" s="63" t="str">
        <f>VLOOKUP(C6306, 'Class Def. - General Data'!$C$20:$C$1000,1,false)</f>
        <v>ZRM1_Spice_Solid</v>
      </c>
      <c r="H6306" s="63" t="str">
        <f>IFERROR(__xludf.DUMMYFUNCTION("VLOOKUP(F6306, IMPORTRANGE(""https://docs.google.com/spreadsheets/d/1Lhp9OU0JdFf_VYSMzH5lBcEaU4o8teT1piV-SNzShjg/edit?gid=554141278#gid=554141278"", ""'Char Def. - Attributes'!C20:C2242""), 1,false)"),"ALT_NUM_UOM1")</f>
        <v>ALT_NUM_UOM1</v>
      </c>
      <c r="I6306" s="136"/>
    </row>
    <row r="6307" ht="15.75" customHeight="1">
      <c r="B6307" s="63">
        <f t="shared" si="1"/>
        <v>16</v>
      </c>
      <c r="C6307" s="156" t="s">
        <v>230</v>
      </c>
      <c r="D6307" s="147" t="s">
        <v>74</v>
      </c>
      <c r="E6307" s="135">
        <f t="shared" si="59"/>
        <v>14</v>
      </c>
      <c r="F6307" s="152" t="s">
        <v>3870</v>
      </c>
      <c r="G6307" s="63" t="str">
        <f>VLOOKUP(C6307, 'Class Def. - General Data'!$C$20:$C$1000,1,false)</f>
        <v>ZRM1_Spice_Solid</v>
      </c>
      <c r="H6307" s="63" t="str">
        <f>IFERROR(__xludf.DUMMYFUNCTION("VLOOKUP(F6307, IMPORTRANGE(""https://docs.google.com/spreadsheets/d/1Lhp9OU0JdFf_VYSMzH5lBcEaU4o8teT1piV-SNzShjg/edit?gid=554141278#gid=554141278"", ""'Char Def. - Attributes'!C20:C2242""), 1,false)"),"ALT_UOM2_RMPM")</f>
        <v>ALT_UOM2_RMPM</v>
      </c>
      <c r="I6307" s="136"/>
    </row>
    <row r="6308" ht="15.75" customHeight="1">
      <c r="B6308" s="63">
        <f t="shared" si="1"/>
        <v>16</v>
      </c>
      <c r="C6308" s="156" t="s">
        <v>230</v>
      </c>
      <c r="D6308" s="147" t="s">
        <v>74</v>
      </c>
      <c r="E6308" s="135">
        <f t="shared" si="59"/>
        <v>15</v>
      </c>
      <c r="F6308" s="152" t="s">
        <v>3808</v>
      </c>
      <c r="G6308" s="63" t="str">
        <f>VLOOKUP(C6308, 'Class Def. - General Data'!$C$20:$C$1000,1,false)</f>
        <v>ZRM1_Spice_Solid</v>
      </c>
      <c r="H6308" s="63" t="str">
        <f>IFERROR(__xludf.DUMMYFUNCTION("VLOOKUP(F6308, IMPORTRANGE(""https://docs.google.com/spreadsheets/d/1Lhp9OU0JdFf_VYSMzH5lBcEaU4o8teT1piV-SNzShjg/edit?gid=554141278#gid=554141278"", ""'Char Def. - Attributes'!C20:C2242""), 1,false)"),"ALT_DENUM_UOM2")</f>
        <v>ALT_DENUM_UOM2</v>
      </c>
      <c r="I6308" s="136"/>
    </row>
    <row r="6309" ht="15.75" customHeight="1">
      <c r="B6309" s="63">
        <f t="shared" si="1"/>
        <v>16</v>
      </c>
      <c r="C6309" s="156" t="s">
        <v>230</v>
      </c>
      <c r="D6309" s="147" t="s">
        <v>74</v>
      </c>
      <c r="E6309" s="135">
        <f t="shared" si="59"/>
        <v>16</v>
      </c>
      <c r="F6309" s="152" t="s">
        <v>3809</v>
      </c>
      <c r="G6309" s="63" t="str">
        <f>VLOOKUP(C6309, 'Class Def. - General Data'!$C$20:$C$1000,1,false)</f>
        <v>ZRM1_Spice_Solid</v>
      </c>
      <c r="H6309" s="63" t="str">
        <f>IFERROR(__xludf.DUMMYFUNCTION("VLOOKUP(F6309, IMPORTRANGE(""https://docs.google.com/spreadsheets/d/1Lhp9OU0JdFf_VYSMzH5lBcEaU4o8teT1piV-SNzShjg/edit?gid=554141278#gid=554141278"", ""'Char Def. - Attributes'!C20:C2242""), 1,false)"),"ALT_NUM_UOM2")</f>
        <v>ALT_NUM_UOM2</v>
      </c>
      <c r="I6309" s="136"/>
    </row>
    <row r="6310" ht="15.75" customHeight="1">
      <c r="B6310" s="63">
        <f t="shared" si="1"/>
        <v>16</v>
      </c>
      <c r="C6310" s="156" t="s">
        <v>230</v>
      </c>
      <c r="D6310" s="147" t="s">
        <v>74</v>
      </c>
      <c r="E6310" s="135">
        <f t="shared" si="59"/>
        <v>17</v>
      </c>
      <c r="F6310" s="152" t="s">
        <v>3871</v>
      </c>
      <c r="G6310" s="63" t="str">
        <f>VLOOKUP(C6310, 'Class Def. - General Data'!$C$20:$C$1000,1,false)</f>
        <v>ZRM1_Spice_Solid</v>
      </c>
      <c r="H6310" s="63" t="str">
        <f>IFERROR(__xludf.DUMMYFUNCTION("VLOOKUP(F6310, IMPORTRANGE(""https://docs.google.com/spreadsheets/d/1Lhp9OU0JdFf_VYSMzH5lBcEaU4o8teT1piV-SNzShjg/edit?gid=554141278#gid=554141278"", ""'Char Def. - Attributes'!C20:C2242""), 1,false)"),"ALT_UOM3_RMPM")</f>
        <v>ALT_UOM3_RMPM</v>
      </c>
      <c r="I6310" s="136"/>
    </row>
    <row r="6311" ht="15.75" customHeight="1">
      <c r="B6311" s="63">
        <f t="shared" si="1"/>
        <v>16</v>
      </c>
      <c r="C6311" s="156" t="s">
        <v>230</v>
      </c>
      <c r="D6311" s="147" t="s">
        <v>74</v>
      </c>
      <c r="E6311" s="135">
        <f t="shared" si="59"/>
        <v>18</v>
      </c>
      <c r="F6311" s="152" t="s">
        <v>3811</v>
      </c>
      <c r="G6311" s="63" t="str">
        <f>VLOOKUP(C6311, 'Class Def. - General Data'!$C$20:$C$1000,1,false)</f>
        <v>ZRM1_Spice_Solid</v>
      </c>
      <c r="H6311" s="63" t="str">
        <f>IFERROR(__xludf.DUMMYFUNCTION("VLOOKUP(F6311, IMPORTRANGE(""https://docs.google.com/spreadsheets/d/1Lhp9OU0JdFf_VYSMzH5lBcEaU4o8teT1piV-SNzShjg/edit?gid=554141278#gid=554141278"", ""'Char Def. - Attributes'!C20:C2242""), 1,false)"),"ALT_DENUM_UOM3")</f>
        <v>ALT_DENUM_UOM3</v>
      </c>
      <c r="I6311" s="136"/>
    </row>
    <row r="6312" ht="15.75" customHeight="1">
      <c r="B6312" s="63">
        <f t="shared" si="1"/>
        <v>16</v>
      </c>
      <c r="C6312" s="156" t="s">
        <v>230</v>
      </c>
      <c r="D6312" s="147" t="s">
        <v>74</v>
      </c>
      <c r="E6312" s="135">
        <f t="shared" si="59"/>
        <v>19</v>
      </c>
      <c r="F6312" s="152" t="s">
        <v>3812</v>
      </c>
      <c r="G6312" s="63" t="str">
        <f>VLOOKUP(C6312, 'Class Def. - General Data'!$C$20:$C$1000,1,false)</f>
        <v>ZRM1_Spice_Solid</v>
      </c>
      <c r="H6312" s="63" t="str">
        <f>IFERROR(__xludf.DUMMYFUNCTION("VLOOKUP(F6312, IMPORTRANGE(""https://docs.google.com/spreadsheets/d/1Lhp9OU0JdFf_VYSMzH5lBcEaU4o8teT1piV-SNzShjg/edit?gid=554141278#gid=554141278"", ""'Char Def. - Attributes'!C20:C2242""), 1,false)"),"ALT_NUM_UOM3")</f>
        <v>ALT_NUM_UOM3</v>
      </c>
      <c r="I6312" s="136"/>
    </row>
    <row r="6313" ht="15.75" customHeight="1">
      <c r="B6313" s="63">
        <f t="shared" si="1"/>
        <v>16</v>
      </c>
      <c r="C6313" s="156" t="s">
        <v>230</v>
      </c>
      <c r="D6313" s="147" t="s">
        <v>74</v>
      </c>
      <c r="E6313" s="135">
        <f t="shared" si="59"/>
        <v>20</v>
      </c>
      <c r="F6313" s="152" t="s">
        <v>3872</v>
      </c>
      <c r="G6313" s="63" t="str">
        <f>VLOOKUP(C6313, 'Class Def. - General Data'!$C$20:$C$1000,1,false)</f>
        <v>ZRM1_Spice_Solid</v>
      </c>
      <c r="H6313" s="63" t="str">
        <f>IFERROR(__xludf.DUMMYFUNCTION("VLOOKUP(F6313, IMPORTRANGE(""https://docs.google.com/spreadsheets/d/1Lhp9OU0JdFf_VYSMzH5lBcEaU4o8teT1piV-SNzShjg/edit?gid=554141278#gid=554141278"", ""'Char Def. - Attributes'!C20:C2242""), 1,false)"),"ALT_UOM4_RMPM")</f>
        <v>ALT_UOM4_RMPM</v>
      </c>
      <c r="I6313" s="136"/>
    </row>
    <row r="6314" ht="15.75" customHeight="1">
      <c r="B6314" s="63">
        <f t="shared" si="1"/>
        <v>16</v>
      </c>
      <c r="C6314" s="156" t="s">
        <v>230</v>
      </c>
      <c r="D6314" s="147" t="s">
        <v>74</v>
      </c>
      <c r="E6314" s="135">
        <f t="shared" si="59"/>
        <v>21</v>
      </c>
      <c r="F6314" s="148" t="s">
        <v>3814</v>
      </c>
      <c r="G6314" s="63" t="str">
        <f>VLOOKUP(C6314, 'Class Def. - General Data'!$C$20:$C$1000,1,false)</f>
        <v>ZRM1_Spice_Solid</v>
      </c>
      <c r="H6314" s="63" t="str">
        <f>IFERROR(__xludf.DUMMYFUNCTION("VLOOKUP(F6314, IMPORTRANGE(""https://docs.google.com/spreadsheets/d/1Lhp9OU0JdFf_VYSMzH5lBcEaU4o8teT1piV-SNzShjg/edit?gid=554141278#gid=554141278"", ""'Char Def. - Attributes'!C20:C2242""), 1,false)"),"ALT_DENUM_UOM4")</f>
        <v>ALT_DENUM_UOM4</v>
      </c>
      <c r="I6314" s="136"/>
    </row>
    <row r="6315" ht="15.75" customHeight="1">
      <c r="B6315" s="63">
        <f t="shared" si="1"/>
        <v>16</v>
      </c>
      <c r="C6315" s="156" t="s">
        <v>230</v>
      </c>
      <c r="D6315" s="147" t="s">
        <v>74</v>
      </c>
      <c r="E6315" s="135">
        <f t="shared" si="59"/>
        <v>22</v>
      </c>
      <c r="F6315" s="152" t="s">
        <v>3815</v>
      </c>
      <c r="G6315" s="63" t="str">
        <f>VLOOKUP(C6315, 'Class Def. - General Data'!$C$20:$C$1000,1,false)</f>
        <v>ZRM1_Spice_Solid</v>
      </c>
      <c r="H6315" s="63" t="str">
        <f>IFERROR(__xludf.DUMMYFUNCTION("VLOOKUP(F6315, IMPORTRANGE(""https://docs.google.com/spreadsheets/d/1Lhp9OU0JdFf_VYSMzH5lBcEaU4o8teT1piV-SNzShjg/edit?gid=554141278#gid=554141278"", ""'Char Def. - Attributes'!C20:C2242""), 1,false)"),"ALT_NUM_UOM4")</f>
        <v>ALT_NUM_UOM4</v>
      </c>
      <c r="I6315" s="136"/>
    </row>
    <row r="6316" ht="15.75" customHeight="1">
      <c r="B6316" s="63">
        <f t="shared" si="1"/>
        <v>16</v>
      </c>
      <c r="C6316" s="156" t="s">
        <v>230</v>
      </c>
      <c r="D6316" s="147" t="s">
        <v>74</v>
      </c>
      <c r="E6316" s="135">
        <f t="shared" si="59"/>
        <v>23</v>
      </c>
      <c r="F6316" s="152" t="s">
        <v>3873</v>
      </c>
      <c r="G6316" s="63" t="str">
        <f>VLOOKUP(C6316, 'Class Def. - General Data'!$C$20:$C$1000,1,false)</f>
        <v>ZRM1_Spice_Solid</v>
      </c>
      <c r="H6316" s="63" t="str">
        <f>IFERROR(__xludf.DUMMYFUNCTION("VLOOKUP(F6316, IMPORTRANGE(""https://docs.google.com/spreadsheets/d/1Lhp9OU0JdFf_VYSMzH5lBcEaU4o8teT1piV-SNzShjg/edit?gid=554141278#gid=554141278"", ""'Char Def. - Attributes'!C20:C2242""), 1,false)"),"ALT_UOM5_RMPM")</f>
        <v>ALT_UOM5_RMPM</v>
      </c>
      <c r="I6316" s="136"/>
    </row>
    <row r="6317" ht="15.75" customHeight="1">
      <c r="B6317" s="63">
        <f t="shared" si="1"/>
        <v>16</v>
      </c>
      <c r="C6317" s="156" t="s">
        <v>230</v>
      </c>
      <c r="D6317" s="147" t="s">
        <v>74</v>
      </c>
      <c r="E6317" s="135">
        <f t="shared" si="59"/>
        <v>24</v>
      </c>
      <c r="F6317" s="152" t="s">
        <v>3817</v>
      </c>
      <c r="G6317" s="63" t="str">
        <f>VLOOKUP(C6317, 'Class Def. - General Data'!$C$20:$C$1000,1,false)</f>
        <v>ZRM1_Spice_Solid</v>
      </c>
      <c r="H6317" s="63" t="str">
        <f>IFERROR(__xludf.DUMMYFUNCTION("VLOOKUP(F6317, IMPORTRANGE(""https://docs.google.com/spreadsheets/d/1Lhp9OU0JdFf_VYSMzH5lBcEaU4o8teT1piV-SNzShjg/edit?gid=554141278#gid=554141278"", ""'Char Def. - Attributes'!C20:C2242""), 1,false)"),"ALT_DENUM_UOM5")</f>
        <v>ALT_DENUM_UOM5</v>
      </c>
      <c r="I6317" s="136"/>
    </row>
    <row r="6318" ht="15.75" customHeight="1">
      <c r="B6318" s="63">
        <f t="shared" si="1"/>
        <v>16</v>
      </c>
      <c r="C6318" s="156" t="s">
        <v>230</v>
      </c>
      <c r="D6318" s="147" t="s">
        <v>74</v>
      </c>
      <c r="E6318" s="135">
        <f t="shared" si="59"/>
        <v>25</v>
      </c>
      <c r="F6318" s="152" t="s">
        <v>3818</v>
      </c>
      <c r="G6318" s="63" t="str">
        <f>VLOOKUP(C6318, 'Class Def. - General Data'!$C$20:$C$1000,1,false)</f>
        <v>ZRM1_Spice_Solid</v>
      </c>
      <c r="H6318" s="63" t="str">
        <f>IFERROR(__xludf.DUMMYFUNCTION("VLOOKUP(F6318, IMPORTRANGE(""https://docs.google.com/spreadsheets/d/1Lhp9OU0JdFf_VYSMzH5lBcEaU4o8teT1piV-SNzShjg/edit?gid=554141278#gid=554141278"", ""'Char Def. - Attributes'!C20:C2242""), 1,false)"),"ALT_NUM_UOM5")</f>
        <v>ALT_NUM_UOM5</v>
      </c>
      <c r="I6318" s="136"/>
    </row>
    <row r="6319" ht="15.75" customHeight="1">
      <c r="B6319" s="63">
        <f t="shared" si="1"/>
        <v>16</v>
      </c>
      <c r="C6319" s="156" t="s">
        <v>230</v>
      </c>
      <c r="D6319" s="147" t="s">
        <v>74</v>
      </c>
      <c r="E6319" s="135">
        <f t="shared" si="59"/>
        <v>26</v>
      </c>
      <c r="F6319" s="152" t="s">
        <v>3874</v>
      </c>
      <c r="G6319" s="63" t="str">
        <f>VLOOKUP(C6319, 'Class Def. - General Data'!$C$20:$C$1000,1,false)</f>
        <v>ZRM1_Spice_Solid</v>
      </c>
      <c r="H6319" s="63" t="str">
        <f>IFERROR(__xludf.DUMMYFUNCTION("VLOOKUP(F6319, IMPORTRANGE(""https://docs.google.com/spreadsheets/d/1Lhp9OU0JdFf_VYSMzH5lBcEaU4o8teT1piV-SNzShjg/edit?gid=554141278#gid=554141278"", ""'Char Def. - Attributes'!C20:C2242""), 1,false)"),"VALUATION_CATEGORY")</f>
        <v>VALUATION_CATEGORY</v>
      </c>
      <c r="I6319" s="136"/>
    </row>
    <row r="6320" ht="15.75" customHeight="1">
      <c r="B6320" s="63">
        <f t="shared" si="1"/>
        <v>16</v>
      </c>
      <c r="C6320" s="156" t="s">
        <v>230</v>
      </c>
      <c r="D6320" s="147" t="s">
        <v>74</v>
      </c>
      <c r="E6320" s="135">
        <f t="shared" si="59"/>
        <v>27</v>
      </c>
      <c r="F6320" s="152" t="s">
        <v>3800</v>
      </c>
      <c r="G6320" s="63" t="str">
        <f>VLOOKUP(C6320, 'Class Def. - General Data'!$C$20:$C$1000,1,false)</f>
        <v>ZRM1_Spice_Solid</v>
      </c>
      <c r="H6320" s="63" t="str">
        <f>IFERROR(__xludf.DUMMYFUNCTION("VLOOKUP(F6320, IMPORTRANGE(""https://docs.google.com/spreadsheets/d/1Lhp9OU0JdFf_VYSMzH5lBcEaU4o8teT1piV-SNzShjg/edit?gid=554141278#gid=554141278"", ""'Char Def. - Attributes'!C20:C2242""), 1,false)"),"ORDER_UNIT_DIFF_FROM_BASIC_UOM")</f>
        <v>ORDER_UNIT_DIFF_FROM_BASIC_UOM</v>
      </c>
      <c r="I6320" s="136"/>
    </row>
    <row r="6321" ht="15.75" customHeight="1">
      <c r="B6321" s="63">
        <f t="shared" si="1"/>
        <v>16</v>
      </c>
      <c r="C6321" s="156" t="s">
        <v>230</v>
      </c>
      <c r="D6321" s="147" t="s">
        <v>74</v>
      </c>
      <c r="E6321" s="135">
        <f t="shared" si="59"/>
        <v>28</v>
      </c>
      <c r="F6321" s="152" t="s">
        <v>3875</v>
      </c>
      <c r="G6321" s="63" t="str">
        <f>VLOOKUP(C6321, 'Class Def. - General Data'!$C$20:$C$1000,1,false)</f>
        <v>ZRM1_Spice_Solid</v>
      </c>
      <c r="H6321" s="63" t="str">
        <f>IFERROR(__xludf.DUMMYFUNCTION("VLOOKUP(F6321, IMPORTRANGE(""https://docs.google.com/spreadsheets/d/1Lhp9OU0JdFf_VYSMzH5lBcEaU4o8teT1piV-SNzShjg/edit?gid=554141278#gid=554141278"", ""'Char Def. - Attributes'!C20:C2242""), 1,false)"),"ORDER_UNIT_RMPM")</f>
        <v>ORDER_UNIT_RMPM</v>
      </c>
      <c r="I6321" s="136"/>
    </row>
    <row r="6322" ht="15.75" customHeight="1">
      <c r="B6322" s="63">
        <f t="shared" si="1"/>
        <v>16</v>
      </c>
      <c r="C6322" s="156" t="s">
        <v>230</v>
      </c>
      <c r="D6322" s="147" t="s">
        <v>74</v>
      </c>
      <c r="E6322" s="135">
        <f t="shared" si="59"/>
        <v>29</v>
      </c>
      <c r="F6322" s="151" t="s">
        <v>3602</v>
      </c>
      <c r="G6322" s="63" t="str">
        <f>VLOOKUP(C6322, 'Class Def. - General Data'!$C$20:$C$1000,1,false)</f>
        <v>ZRM1_Spice_Solid</v>
      </c>
      <c r="H6322" s="63" t="str">
        <f>IFERROR(__xludf.DUMMYFUNCTION("VLOOKUP(F6322, IMPORTRANGE(""https://docs.google.com/spreadsheets/d/1Lhp9OU0JdFf_VYSMzH5lBcEaU4o8teT1piV-SNzShjg/edit?gid=554141278#gid=554141278"", ""'Char Def. - Attributes'!C20:C2242""), 1,false)"),"NET_WEIGHT")</f>
        <v>NET_WEIGHT</v>
      </c>
      <c r="I6322" s="136"/>
    </row>
    <row r="6323" ht="15.75" customHeight="1">
      <c r="B6323" s="63">
        <f t="shared" si="1"/>
        <v>16</v>
      </c>
      <c r="C6323" s="156" t="s">
        <v>230</v>
      </c>
      <c r="D6323" s="147" t="s">
        <v>74</v>
      </c>
      <c r="E6323" s="135">
        <f t="shared" si="59"/>
        <v>30</v>
      </c>
      <c r="F6323" s="151" t="s">
        <v>3601</v>
      </c>
      <c r="G6323" s="63" t="str">
        <f>VLOOKUP(C6323, 'Class Def. - General Data'!$C$20:$C$1000,1,false)</f>
        <v>ZRM1_Spice_Solid</v>
      </c>
      <c r="H6323" s="63" t="str">
        <f>IFERROR(__xludf.DUMMYFUNCTION("VLOOKUP(F6323, IMPORTRANGE(""https://docs.google.com/spreadsheets/d/1Lhp9OU0JdFf_VYSMzH5lBcEaU4o8teT1piV-SNzShjg/edit?gid=554141278#gid=554141278"", ""'Char Def. - Attributes'!C20:C2242""), 1,false)"),"GROSS_WEIGHT")</f>
        <v>GROSS_WEIGHT</v>
      </c>
      <c r="I6323" s="136"/>
    </row>
    <row r="6324" ht="15.75" customHeight="1">
      <c r="B6324" s="63">
        <f t="shared" si="1"/>
        <v>16</v>
      </c>
      <c r="C6324" s="156" t="s">
        <v>230</v>
      </c>
      <c r="D6324" s="147" t="s">
        <v>74</v>
      </c>
      <c r="E6324" s="135">
        <f t="shared" si="59"/>
        <v>31</v>
      </c>
      <c r="F6324" s="152" t="s">
        <v>3996</v>
      </c>
      <c r="G6324" s="63" t="str">
        <f>VLOOKUP(C6324, 'Class Def. - General Data'!$C$20:$C$1000,1,false)</f>
        <v>ZRM1_Spice_Solid</v>
      </c>
      <c r="H6324" s="63" t="str">
        <f>IFERROR(__xludf.DUMMYFUNCTION("VLOOKUP(F6324, IMPORTRANGE(""https://docs.google.com/spreadsheets/d/1Lhp9OU0JdFf_VYSMzH5lBcEaU4o8teT1piV-SNzShjg/edit?gid=554141278#gid=554141278"", ""'Char Def. - Attributes'!C20:C2242""), 1,false)"),"WEIGHT_UNIT")</f>
        <v>WEIGHT_UNIT</v>
      </c>
      <c r="I6324" s="136"/>
    </row>
    <row r="6325" ht="15.75" customHeight="1">
      <c r="B6325" s="63">
        <f t="shared" si="1"/>
        <v>16</v>
      </c>
      <c r="C6325" s="156" t="s">
        <v>230</v>
      </c>
      <c r="D6325" s="147" t="s">
        <v>74</v>
      </c>
      <c r="E6325" s="135">
        <f t="shared" si="59"/>
        <v>32</v>
      </c>
      <c r="F6325" s="151" t="s">
        <v>3877</v>
      </c>
      <c r="G6325" s="63" t="str">
        <f>VLOOKUP(C6325, 'Class Def. - General Data'!$C$20:$C$1000,1,false)</f>
        <v>ZRM1_Spice_Solid</v>
      </c>
      <c r="H6325" s="63" t="str">
        <f>IFERROR(__xludf.DUMMYFUNCTION("VLOOKUP(F6325, IMPORTRANGE(""https://docs.google.com/spreadsheets/d/1Lhp9OU0JdFf_VYSMzH5lBcEaU4o8teT1piV-SNzShjg/edit?gid=554141278#gid=554141278"", ""'Char Def. - Attributes'!C20:C2242""), 1,false)"),"VOLUME_OPT")</f>
        <v>VOLUME_OPT</v>
      </c>
      <c r="I6325" s="136"/>
    </row>
    <row r="6326" ht="15.75" customHeight="1">
      <c r="B6326" s="63">
        <f t="shared" si="1"/>
        <v>16</v>
      </c>
      <c r="C6326" s="156" t="s">
        <v>230</v>
      </c>
      <c r="D6326" s="147" t="s">
        <v>74</v>
      </c>
      <c r="E6326" s="135">
        <f t="shared" si="59"/>
        <v>33</v>
      </c>
      <c r="F6326" s="152" t="s">
        <v>3878</v>
      </c>
      <c r="G6326" s="63" t="str">
        <f>VLOOKUP(C6326, 'Class Def. - General Data'!$C$20:$C$1000,1,false)</f>
        <v>ZRM1_Spice_Solid</v>
      </c>
      <c r="H6326" s="63" t="str">
        <f>IFERROR(__xludf.DUMMYFUNCTION("VLOOKUP(F6326, IMPORTRANGE(""https://docs.google.com/spreadsheets/d/1Lhp9OU0JdFf_VYSMzH5lBcEaU4o8teT1piV-SNzShjg/edit?gid=554141278#gid=554141278"", ""'Char Def. - Attributes'!C20:C2242""), 1,false)"),"VOLUME_UNIT")</f>
        <v>VOLUME_UNIT</v>
      </c>
      <c r="I6326" s="136"/>
    </row>
    <row r="6327" ht="15.75" customHeight="1">
      <c r="B6327" s="63">
        <f t="shared" si="1"/>
        <v>16</v>
      </c>
      <c r="C6327" s="149" t="s">
        <v>230</v>
      </c>
      <c r="D6327" s="159" t="s">
        <v>74</v>
      </c>
      <c r="E6327" s="135">
        <f t="shared" si="59"/>
        <v>34</v>
      </c>
      <c r="F6327" s="151" t="s">
        <v>3587</v>
      </c>
      <c r="G6327" s="63" t="str">
        <f>VLOOKUP(C6327, 'Class Def. - General Data'!$C$20:$C$1000,1,false)</f>
        <v>ZRM1_Spice_Solid</v>
      </c>
      <c r="H6327" s="63" t="str">
        <f>IFERROR(__xludf.DUMMYFUNCTION("VLOOKUP(F6327, IMPORTRANGE(""https://docs.google.com/spreadsheets/d/1Lhp9OU0JdFf_VYSMzH5lBcEaU4o8teT1piV-SNzShjg/edit?gid=554141278#gid=554141278"", ""'Char Def. - Attributes'!C20:C2242""), 1,false)"),"PLANT_BUY")</f>
        <v>PLANT_BUY</v>
      </c>
      <c r="I6327" s="136"/>
    </row>
    <row r="6328" ht="15.75" customHeight="1">
      <c r="B6328" s="63">
        <f t="shared" si="1"/>
        <v>16</v>
      </c>
      <c r="C6328" s="149" t="s">
        <v>230</v>
      </c>
      <c r="D6328" s="159" t="s">
        <v>74</v>
      </c>
      <c r="E6328" s="135">
        <f t="shared" si="59"/>
        <v>35</v>
      </c>
      <c r="F6328" s="152" t="s">
        <v>3997</v>
      </c>
      <c r="G6328" s="63" t="str">
        <f>VLOOKUP(C6328, 'Class Def. - General Data'!$C$20:$C$1000,1,false)</f>
        <v>ZRM1_Spice_Solid</v>
      </c>
      <c r="H6328" s="63" t="str">
        <f>IFERROR(__xludf.DUMMYFUNCTION("VLOOKUP(F6328, IMPORTRANGE(""https://docs.google.com/spreadsheets/d/1Lhp9OU0JdFf_VYSMzH5lBcEaU4o8teT1piV-SNzShjg/edit?gid=554141278#gid=554141278"", ""'Char Def. - Attributes'!C20:C2242""), 1,false)"),"OLD_MAT_NO_RMPM_OPT")</f>
        <v>OLD_MAT_NO_RMPM_OPT</v>
      </c>
      <c r="I6328" s="136"/>
    </row>
    <row r="6329" ht="15.75" customHeight="1">
      <c r="B6329" s="63">
        <f t="shared" si="1"/>
        <v>16</v>
      </c>
      <c r="C6329" s="149" t="s">
        <v>230</v>
      </c>
      <c r="D6329" s="159" t="s">
        <v>74</v>
      </c>
      <c r="E6329" s="135">
        <f t="shared" si="59"/>
        <v>36</v>
      </c>
      <c r="F6329" s="148" t="s">
        <v>3998</v>
      </c>
      <c r="G6329" s="63" t="str">
        <f>VLOOKUP(C6329, 'Class Def. - General Data'!$C$20:$C$1000,1,false)</f>
        <v>ZRM1_Spice_Solid</v>
      </c>
      <c r="H6329" s="63" t="str">
        <f>IFERROR(__xludf.DUMMYFUNCTION("VLOOKUP(F6329, IMPORTRANGE(""https://docs.google.com/spreadsheets/d/1Lhp9OU0JdFf_VYSMzH5lBcEaU4o8teT1piV-SNzShjg/edit?gid=554141278#gid=554141278"", ""'Char Def. - Attributes'!C20:C2242""), 1,false)"),"MIN_STD_WEIGHT")</f>
        <v>MIN_STD_WEIGHT</v>
      </c>
      <c r="I6329" s="136"/>
    </row>
    <row r="6330" ht="15.75" customHeight="1">
      <c r="B6330" s="63">
        <f t="shared" si="1"/>
        <v>16</v>
      </c>
      <c r="C6330" s="149" t="s">
        <v>230</v>
      </c>
      <c r="D6330" s="159" t="s">
        <v>74</v>
      </c>
      <c r="E6330" s="135">
        <f t="shared" si="59"/>
        <v>37</v>
      </c>
      <c r="F6330" s="148" t="s">
        <v>3999</v>
      </c>
      <c r="G6330" s="63" t="str">
        <f>VLOOKUP(C6330, 'Class Def. - General Data'!$C$20:$C$1000,1,false)</f>
        <v>ZRM1_Spice_Solid</v>
      </c>
      <c r="H6330" s="63" t="str">
        <f>IFERROR(__xludf.DUMMYFUNCTION("VLOOKUP(F6330, IMPORTRANGE(""https://docs.google.com/spreadsheets/d/1Lhp9OU0JdFf_VYSMzH5lBcEaU4o8teT1piV-SNzShjg/edit?gid=554141278#gid=554141278"", ""'Char Def. - Attributes'!C20:C2242""), 1,false)"),"MIN_STD_WEIGHT_UOM")</f>
        <v>MIN_STD_WEIGHT_UOM</v>
      </c>
      <c r="I6330" s="136"/>
    </row>
    <row r="6331" ht="15.75" customHeight="1">
      <c r="B6331" s="63">
        <f t="shared" si="1"/>
        <v>14</v>
      </c>
      <c r="C6331" s="149" t="s">
        <v>234</v>
      </c>
      <c r="D6331" s="159" t="s">
        <v>74</v>
      </c>
      <c r="E6331" s="135">
        <f t="shared" si="59"/>
        <v>1</v>
      </c>
      <c r="F6331" s="152" t="s">
        <v>4000</v>
      </c>
      <c r="G6331" s="63" t="str">
        <f>VLOOKUP(C6331, 'Class Def. - General Data'!$C$20:$C$1000,1,false)</f>
        <v>ZRM1_Sweetener</v>
      </c>
      <c r="H6331" s="63" t="str">
        <f>IFERROR(__xludf.DUMMYFUNCTION("VLOOKUP(F6331, IMPORTRANGE(""https://docs.google.com/spreadsheets/d/1Lhp9OU0JdFf_VYSMzH5lBcEaU4o8teT1piV-SNzShjg/edit?gid=554141278#gid=554141278"", ""'Char Def. - Attributes'!C20:C2242""), 1,false)"),"MATERIAL_CODE_FREETEXT")</f>
        <v>MATERIAL_CODE_FREETEXT</v>
      </c>
      <c r="I6331" s="136"/>
    </row>
    <row r="6332" ht="15.75" customHeight="1">
      <c r="B6332" s="63">
        <f t="shared" si="1"/>
        <v>14</v>
      </c>
      <c r="C6332" s="149" t="s">
        <v>234</v>
      </c>
      <c r="D6332" s="159" t="s">
        <v>74</v>
      </c>
      <c r="E6332" s="135">
        <f t="shared" si="59"/>
        <v>2</v>
      </c>
      <c r="F6332" s="152" t="s">
        <v>4001</v>
      </c>
      <c r="G6332" s="63" t="str">
        <f>VLOOKUP(C6332, 'Class Def. - General Data'!$C$20:$C$1000,1,false)</f>
        <v>ZRM1_Sweetener</v>
      </c>
      <c r="H6332" s="63" t="str">
        <f>IFERROR(__xludf.DUMMYFUNCTION("VLOOKUP(F6332, IMPORTRANGE(""https://docs.google.com/spreadsheets/d/1Lhp9OU0JdFf_VYSMzH5lBcEaU4o8teT1piV-SNzShjg/edit?gid=554141278#gid=554141278"", ""'Char Def. - Attributes'!C20:C2242""), 1,false)"),"ADDITIONAL_INFO_NO_MASK")</f>
        <v>ADDITIONAL_INFO_NO_MASK</v>
      </c>
      <c r="I6332" s="136"/>
    </row>
    <row r="6333" ht="15.75" customHeight="1">
      <c r="B6333" s="63">
        <f t="shared" si="1"/>
        <v>14</v>
      </c>
      <c r="C6333" s="149" t="s">
        <v>234</v>
      </c>
      <c r="D6333" s="159" t="s">
        <v>74</v>
      </c>
      <c r="E6333" s="135">
        <f t="shared" si="59"/>
        <v>3</v>
      </c>
      <c r="F6333" s="152" t="s">
        <v>4002</v>
      </c>
      <c r="G6333" s="63" t="str">
        <f>VLOOKUP(C6333, 'Class Def. - General Data'!$C$20:$C$1000,1,false)</f>
        <v>ZRM1_Sweetener</v>
      </c>
      <c r="H6333" s="63" t="str">
        <f>IFERROR(__xludf.DUMMYFUNCTION("VLOOKUP(F6333, IMPORTRANGE(""https://docs.google.com/spreadsheets/d/1Lhp9OU0JdFf_VYSMzH5lBcEaU4o8teT1piV-SNzShjg/edit?gid=554141278#gid=554141278"", ""'Char Def. - Attributes'!C20:C2242""), 1,false)"),"COLOR_GENERAL")</f>
        <v>COLOR_GENERAL</v>
      </c>
      <c r="I6333" s="136"/>
    </row>
    <row r="6334" ht="15.75" customHeight="1">
      <c r="B6334" s="63">
        <f t="shared" si="1"/>
        <v>14</v>
      </c>
      <c r="C6334" s="149" t="s">
        <v>234</v>
      </c>
      <c r="D6334" s="159" t="s">
        <v>74</v>
      </c>
      <c r="E6334" s="135">
        <f t="shared" si="59"/>
        <v>4</v>
      </c>
      <c r="F6334" s="152" t="s">
        <v>4003</v>
      </c>
      <c r="G6334" s="63" t="str">
        <f>VLOOKUP(C6334, 'Class Def. - General Data'!$C$20:$C$1000,1,false)</f>
        <v>ZRM1_Sweetener</v>
      </c>
      <c r="H6334" s="63" t="str">
        <f>IFERROR(__xludf.DUMMYFUNCTION("VLOOKUP(F6334, IMPORTRANGE(""https://docs.google.com/spreadsheets/d/1Lhp9OU0JdFf_VYSMzH5lBcEaU4o8teT1piV-SNzShjg/edit?gid=554141278#gid=554141278"", ""'Char Def. - Attributes'!C20:C2242""), 1,false)"),"SOURCE_SUPPLY")</f>
        <v>SOURCE_SUPPLY</v>
      </c>
      <c r="I6334" s="136"/>
    </row>
    <row r="6335" ht="15.75" customHeight="1">
      <c r="B6335" s="63">
        <f t="shared" si="1"/>
        <v>14</v>
      </c>
      <c r="C6335" s="149" t="s">
        <v>234</v>
      </c>
      <c r="D6335" s="159" t="s">
        <v>74</v>
      </c>
      <c r="E6335" s="135">
        <f t="shared" si="59"/>
        <v>5</v>
      </c>
      <c r="F6335" s="152" t="s">
        <v>4004</v>
      </c>
      <c r="G6335" s="63" t="str">
        <f>VLOOKUP(C6335, 'Class Def. - General Data'!$C$20:$C$1000,1,false)</f>
        <v>ZRM1_Sweetener</v>
      </c>
      <c r="H6335" s="63" t="str">
        <f>IFERROR(__xludf.DUMMYFUNCTION("VLOOKUP(F6335, IMPORTRANGE(""https://docs.google.com/spreadsheets/d/1Lhp9OU0JdFf_VYSMzH5lBcEaU4o8teT1piV-SNzShjg/edit?gid=554141278#gid=554141278"", ""'Char Def. - Attributes'!C20:C2242""), 1,false)"),"BASE_MATERIAL")</f>
        <v>BASE_MATERIAL</v>
      </c>
      <c r="I6335" s="136"/>
    </row>
    <row r="6336" ht="15.75" customHeight="1">
      <c r="B6336" s="63">
        <f t="shared" si="1"/>
        <v>14</v>
      </c>
      <c r="C6336" s="149" t="s">
        <v>234</v>
      </c>
      <c r="D6336" s="159" t="s">
        <v>74</v>
      </c>
      <c r="E6336" s="135">
        <f t="shared" si="59"/>
        <v>6</v>
      </c>
      <c r="F6336" s="152" t="s">
        <v>4009</v>
      </c>
      <c r="G6336" s="63" t="str">
        <f>VLOOKUP(C6336, 'Class Def. - General Data'!$C$20:$C$1000,1,false)</f>
        <v>ZRM1_Sweetener</v>
      </c>
      <c r="H6336" s="63" t="str">
        <f>IFERROR(__xludf.DUMMYFUNCTION("VLOOKUP(F6336, IMPORTRANGE(""https://docs.google.com/spreadsheets/d/1Lhp9OU0JdFf_VYSMzH5lBcEaU4o8teT1piV-SNzShjg/edit?gid=554141278#gid=554141278"", ""'Char Def. - Attributes'!C20:C2242""), 1,false)"),"NATURE_ORIGIN_FOOD")</f>
        <v>NATURE_ORIGIN_FOOD</v>
      </c>
      <c r="I6336" s="136"/>
    </row>
    <row r="6337" ht="15.75" customHeight="1">
      <c r="B6337" s="63">
        <f t="shared" si="1"/>
        <v>14</v>
      </c>
      <c r="C6337" s="149" t="s">
        <v>234</v>
      </c>
      <c r="D6337" s="159" t="s">
        <v>74</v>
      </c>
      <c r="E6337" s="135">
        <f t="shared" si="59"/>
        <v>7</v>
      </c>
      <c r="F6337" s="152" t="s">
        <v>4006</v>
      </c>
      <c r="G6337" s="63" t="str">
        <f>VLOOKUP(C6337, 'Class Def. - General Data'!$C$20:$C$1000,1,false)</f>
        <v>ZRM1_Sweetener</v>
      </c>
      <c r="H6337" s="63" t="str">
        <f>IFERROR(__xludf.DUMMYFUNCTION("VLOOKUP(F6337, IMPORTRANGE(""https://docs.google.com/spreadsheets/d/1Lhp9OU0JdFf_VYSMzH5lBcEaU4o8teT1piV-SNzShjg/edit?gid=554141278#gid=554141278"", ""'Char Def. - Attributes'!C20:C2242""), 1,false)"),"CATEGORY_ITEM")</f>
        <v>CATEGORY_ITEM</v>
      </c>
      <c r="I6337" s="136"/>
    </row>
    <row r="6338" ht="15.75" customHeight="1">
      <c r="B6338" s="63">
        <f t="shared" si="1"/>
        <v>14</v>
      </c>
      <c r="C6338" s="149" t="s">
        <v>234</v>
      </c>
      <c r="D6338" s="159" t="s">
        <v>74</v>
      </c>
      <c r="E6338" s="135">
        <f t="shared" si="59"/>
        <v>8</v>
      </c>
      <c r="F6338" s="152" t="s">
        <v>4007</v>
      </c>
      <c r="G6338" s="63" t="str">
        <f>VLOOKUP(C6338, 'Class Def. - General Data'!$C$20:$C$1000,1,false)</f>
        <v>ZRM1_Sweetener</v>
      </c>
      <c r="H6338" s="63" t="str">
        <f>IFERROR(__xludf.DUMMYFUNCTION("VLOOKUP(F6338, IMPORTRANGE(""https://docs.google.com/spreadsheets/d/1Lhp9OU0JdFf_VYSMzH5lBcEaU4o8teT1piV-SNzShjg/edit?gid=554141278#gid=554141278"", ""'Char Def. - Attributes'!C20:C2242""), 1,false)"),"FUNCTION1")</f>
        <v>FUNCTION1</v>
      </c>
      <c r="I6338" s="136"/>
    </row>
    <row r="6339" ht="15.75" customHeight="1">
      <c r="B6339" s="63">
        <f t="shared" si="1"/>
        <v>14</v>
      </c>
      <c r="C6339" s="149" t="s">
        <v>234</v>
      </c>
      <c r="D6339" s="159" t="s">
        <v>74</v>
      </c>
      <c r="E6339" s="135">
        <f t="shared" si="59"/>
        <v>9</v>
      </c>
      <c r="F6339" s="152" t="s">
        <v>4008</v>
      </c>
      <c r="G6339" s="63" t="str">
        <f>VLOOKUP(C6339, 'Class Def. - General Data'!$C$20:$C$1000,1,false)</f>
        <v>ZRM1_Sweetener</v>
      </c>
      <c r="H6339" s="63" t="str">
        <f>IFERROR(__xludf.DUMMYFUNCTION("VLOOKUP(F6339, IMPORTRANGE(""https://docs.google.com/spreadsheets/d/1Lhp9OU0JdFf_VYSMzH5lBcEaU4o8teT1piV-SNzShjg/edit?gid=554141278#gid=554141278"", ""'Char Def. - Attributes'!C20:C2242""), 1,false)"),"PREFERENSI_KURS")</f>
        <v>PREFERENSI_KURS</v>
      </c>
      <c r="I6339" s="136"/>
    </row>
    <row r="6340" ht="15.75" customHeight="1">
      <c r="B6340" s="63">
        <f t="shared" si="1"/>
        <v>14</v>
      </c>
      <c r="C6340" s="149" t="s">
        <v>234</v>
      </c>
      <c r="D6340" s="159" t="s">
        <v>74</v>
      </c>
      <c r="E6340" s="135">
        <f t="shared" si="59"/>
        <v>10</v>
      </c>
      <c r="F6340" s="151" t="s">
        <v>3868</v>
      </c>
      <c r="G6340" s="63" t="str">
        <f>VLOOKUP(C6340, 'Class Def. - General Data'!$C$20:$C$1000,1,false)</f>
        <v>ZRM1_Sweetener</v>
      </c>
      <c r="H6340" s="63" t="str">
        <f>IFERROR(__xludf.DUMMYFUNCTION("VLOOKUP(F6340, IMPORTRANGE(""https://docs.google.com/spreadsheets/d/1Lhp9OU0JdFf_VYSMzH5lBcEaU4o8teT1piV-SNzShjg/edit?gid=554141278#gid=554141278"", ""'Char Def. - Attributes'!C20:C2242""), 1,false)"),"BASIC_UOM_RMPM")</f>
        <v>BASIC_UOM_RMPM</v>
      </c>
      <c r="I6340" s="136"/>
    </row>
    <row r="6341" ht="15.75" customHeight="1">
      <c r="B6341" s="63">
        <f t="shared" si="1"/>
        <v>14</v>
      </c>
      <c r="C6341" s="149" t="s">
        <v>234</v>
      </c>
      <c r="D6341" s="159" t="s">
        <v>74</v>
      </c>
      <c r="E6341" s="135">
        <f t="shared" si="59"/>
        <v>11</v>
      </c>
      <c r="F6341" s="152" t="s">
        <v>3869</v>
      </c>
      <c r="G6341" s="63" t="str">
        <f>VLOOKUP(C6341, 'Class Def. - General Data'!$C$20:$C$1000,1,false)</f>
        <v>ZRM1_Sweetener</v>
      </c>
      <c r="H6341" s="63" t="str">
        <f>IFERROR(__xludf.DUMMYFUNCTION("VLOOKUP(F6341, IMPORTRANGE(""https://docs.google.com/spreadsheets/d/1Lhp9OU0JdFf_VYSMzH5lBcEaU4o8teT1piV-SNzShjg/edit?gid=554141278#gid=554141278"", ""'Char Def. - Attributes'!C20:C2242""), 1,false)"),"ALT_UOM1_RMPM")</f>
        <v>ALT_UOM1_RMPM</v>
      </c>
      <c r="I6341" s="136"/>
    </row>
    <row r="6342" ht="15.75" customHeight="1">
      <c r="B6342" s="63">
        <f t="shared" si="1"/>
        <v>14</v>
      </c>
      <c r="C6342" s="149" t="s">
        <v>234</v>
      </c>
      <c r="D6342" s="159" t="s">
        <v>74</v>
      </c>
      <c r="E6342" s="135">
        <f t="shared" si="59"/>
        <v>12</v>
      </c>
      <c r="F6342" s="152" t="s">
        <v>3805</v>
      </c>
      <c r="G6342" s="63" t="str">
        <f>VLOOKUP(C6342, 'Class Def. - General Data'!$C$20:$C$1000,1,false)</f>
        <v>ZRM1_Sweetener</v>
      </c>
      <c r="H6342" s="63" t="str">
        <f>IFERROR(__xludf.DUMMYFUNCTION("VLOOKUP(F6342, IMPORTRANGE(""https://docs.google.com/spreadsheets/d/1Lhp9OU0JdFf_VYSMzH5lBcEaU4o8teT1piV-SNzShjg/edit?gid=554141278#gid=554141278"", ""'Char Def. - Attributes'!C20:C2242""), 1,false)"),"ALT_DENUM_UOM1")</f>
        <v>ALT_DENUM_UOM1</v>
      </c>
      <c r="I6342" s="136"/>
    </row>
    <row r="6343" ht="15.75" customHeight="1">
      <c r="B6343" s="63">
        <f t="shared" si="1"/>
        <v>14</v>
      </c>
      <c r="C6343" s="149" t="s">
        <v>234</v>
      </c>
      <c r="D6343" s="159" t="s">
        <v>74</v>
      </c>
      <c r="E6343" s="135">
        <f t="shared" si="59"/>
        <v>13</v>
      </c>
      <c r="F6343" s="152" t="s">
        <v>3806</v>
      </c>
      <c r="G6343" s="63" t="str">
        <f>VLOOKUP(C6343, 'Class Def. - General Data'!$C$20:$C$1000,1,false)</f>
        <v>ZRM1_Sweetener</v>
      </c>
      <c r="H6343" s="63" t="str">
        <f>IFERROR(__xludf.DUMMYFUNCTION("VLOOKUP(F6343, IMPORTRANGE(""https://docs.google.com/spreadsheets/d/1Lhp9OU0JdFf_VYSMzH5lBcEaU4o8teT1piV-SNzShjg/edit?gid=554141278#gid=554141278"", ""'Char Def. - Attributes'!C20:C2242""), 1,false)"),"ALT_NUM_UOM1")</f>
        <v>ALT_NUM_UOM1</v>
      </c>
      <c r="I6343" s="136"/>
    </row>
    <row r="6344" ht="15.75" customHeight="1">
      <c r="B6344" s="63">
        <f t="shared" si="1"/>
        <v>14</v>
      </c>
      <c r="C6344" s="149" t="s">
        <v>234</v>
      </c>
      <c r="D6344" s="159" t="s">
        <v>74</v>
      </c>
      <c r="E6344" s="135">
        <f t="shared" si="59"/>
        <v>14</v>
      </c>
      <c r="F6344" s="152" t="s">
        <v>3870</v>
      </c>
      <c r="G6344" s="63" t="str">
        <f>VLOOKUP(C6344, 'Class Def. - General Data'!$C$20:$C$1000,1,false)</f>
        <v>ZRM1_Sweetener</v>
      </c>
      <c r="H6344" s="63" t="str">
        <f>IFERROR(__xludf.DUMMYFUNCTION("VLOOKUP(F6344, IMPORTRANGE(""https://docs.google.com/spreadsheets/d/1Lhp9OU0JdFf_VYSMzH5lBcEaU4o8teT1piV-SNzShjg/edit?gid=554141278#gid=554141278"", ""'Char Def. - Attributes'!C20:C2242""), 1,false)"),"ALT_UOM2_RMPM")</f>
        <v>ALT_UOM2_RMPM</v>
      </c>
      <c r="I6344" s="136"/>
    </row>
    <row r="6345" ht="15.75" customHeight="1">
      <c r="B6345" s="63">
        <f t="shared" si="1"/>
        <v>14</v>
      </c>
      <c r="C6345" s="149" t="s">
        <v>234</v>
      </c>
      <c r="D6345" s="159" t="s">
        <v>74</v>
      </c>
      <c r="E6345" s="135">
        <f t="shared" si="59"/>
        <v>15</v>
      </c>
      <c r="F6345" s="152" t="s">
        <v>3808</v>
      </c>
      <c r="G6345" s="63" t="str">
        <f>VLOOKUP(C6345, 'Class Def. - General Data'!$C$20:$C$1000,1,false)</f>
        <v>ZRM1_Sweetener</v>
      </c>
      <c r="H6345" s="63" t="str">
        <f>IFERROR(__xludf.DUMMYFUNCTION("VLOOKUP(F6345, IMPORTRANGE(""https://docs.google.com/spreadsheets/d/1Lhp9OU0JdFf_VYSMzH5lBcEaU4o8teT1piV-SNzShjg/edit?gid=554141278#gid=554141278"", ""'Char Def. - Attributes'!C20:C2242""), 1,false)"),"ALT_DENUM_UOM2")</f>
        <v>ALT_DENUM_UOM2</v>
      </c>
      <c r="I6345" s="136"/>
    </row>
    <row r="6346" ht="15.75" customHeight="1">
      <c r="B6346" s="63">
        <f t="shared" si="1"/>
        <v>14</v>
      </c>
      <c r="C6346" s="149" t="s">
        <v>234</v>
      </c>
      <c r="D6346" s="159" t="s">
        <v>74</v>
      </c>
      <c r="E6346" s="135">
        <f t="shared" si="59"/>
        <v>16</v>
      </c>
      <c r="F6346" s="152" t="s">
        <v>3809</v>
      </c>
      <c r="G6346" s="63" t="str">
        <f>VLOOKUP(C6346, 'Class Def. - General Data'!$C$20:$C$1000,1,false)</f>
        <v>ZRM1_Sweetener</v>
      </c>
      <c r="H6346" s="63" t="str">
        <f>IFERROR(__xludf.DUMMYFUNCTION("VLOOKUP(F6346, IMPORTRANGE(""https://docs.google.com/spreadsheets/d/1Lhp9OU0JdFf_VYSMzH5lBcEaU4o8teT1piV-SNzShjg/edit?gid=554141278#gid=554141278"", ""'Char Def. - Attributes'!C20:C2242""), 1,false)"),"ALT_NUM_UOM2")</f>
        <v>ALT_NUM_UOM2</v>
      </c>
      <c r="I6346" s="136"/>
    </row>
    <row r="6347" ht="15.75" customHeight="1">
      <c r="B6347" s="63">
        <f t="shared" si="1"/>
        <v>14</v>
      </c>
      <c r="C6347" s="149" t="s">
        <v>234</v>
      </c>
      <c r="D6347" s="159" t="s">
        <v>74</v>
      </c>
      <c r="E6347" s="135">
        <f t="shared" si="59"/>
        <v>17</v>
      </c>
      <c r="F6347" s="152" t="s">
        <v>3871</v>
      </c>
      <c r="G6347" s="63" t="str">
        <f>VLOOKUP(C6347, 'Class Def. - General Data'!$C$20:$C$1000,1,false)</f>
        <v>ZRM1_Sweetener</v>
      </c>
      <c r="H6347" s="63" t="str">
        <f>IFERROR(__xludf.DUMMYFUNCTION("VLOOKUP(F6347, IMPORTRANGE(""https://docs.google.com/spreadsheets/d/1Lhp9OU0JdFf_VYSMzH5lBcEaU4o8teT1piV-SNzShjg/edit?gid=554141278#gid=554141278"", ""'Char Def. - Attributes'!C20:C2242""), 1,false)"),"ALT_UOM3_RMPM")</f>
        <v>ALT_UOM3_RMPM</v>
      </c>
      <c r="I6347" s="136"/>
    </row>
    <row r="6348" ht="15.75" customHeight="1">
      <c r="B6348" s="63">
        <f t="shared" si="1"/>
        <v>14</v>
      </c>
      <c r="C6348" s="149" t="s">
        <v>234</v>
      </c>
      <c r="D6348" s="159" t="s">
        <v>74</v>
      </c>
      <c r="E6348" s="135">
        <f t="shared" si="59"/>
        <v>18</v>
      </c>
      <c r="F6348" s="152" t="s">
        <v>3811</v>
      </c>
      <c r="G6348" s="63" t="str">
        <f>VLOOKUP(C6348, 'Class Def. - General Data'!$C$20:$C$1000,1,false)</f>
        <v>ZRM1_Sweetener</v>
      </c>
      <c r="H6348" s="63" t="str">
        <f>IFERROR(__xludf.DUMMYFUNCTION("VLOOKUP(F6348, IMPORTRANGE(""https://docs.google.com/spreadsheets/d/1Lhp9OU0JdFf_VYSMzH5lBcEaU4o8teT1piV-SNzShjg/edit?gid=554141278#gid=554141278"", ""'Char Def. - Attributes'!C20:C2242""), 1,false)"),"ALT_DENUM_UOM3")</f>
        <v>ALT_DENUM_UOM3</v>
      </c>
      <c r="I6348" s="136"/>
    </row>
    <row r="6349" ht="15.75" customHeight="1">
      <c r="B6349" s="63">
        <f t="shared" si="1"/>
        <v>14</v>
      </c>
      <c r="C6349" s="149" t="s">
        <v>234</v>
      </c>
      <c r="D6349" s="159" t="s">
        <v>74</v>
      </c>
      <c r="E6349" s="135">
        <f t="shared" si="59"/>
        <v>19</v>
      </c>
      <c r="F6349" s="152" t="s">
        <v>3812</v>
      </c>
      <c r="G6349" s="63" t="str">
        <f>VLOOKUP(C6349, 'Class Def. - General Data'!$C$20:$C$1000,1,false)</f>
        <v>ZRM1_Sweetener</v>
      </c>
      <c r="H6349" s="63" t="str">
        <f>IFERROR(__xludf.DUMMYFUNCTION("VLOOKUP(F6349, IMPORTRANGE(""https://docs.google.com/spreadsheets/d/1Lhp9OU0JdFf_VYSMzH5lBcEaU4o8teT1piV-SNzShjg/edit?gid=554141278#gid=554141278"", ""'Char Def. - Attributes'!C20:C2242""), 1,false)"),"ALT_NUM_UOM3")</f>
        <v>ALT_NUM_UOM3</v>
      </c>
      <c r="I6349" s="136"/>
    </row>
    <row r="6350" ht="15.75" customHeight="1">
      <c r="B6350" s="63">
        <f t="shared" si="1"/>
        <v>14</v>
      </c>
      <c r="C6350" s="149" t="s">
        <v>234</v>
      </c>
      <c r="D6350" s="159" t="s">
        <v>74</v>
      </c>
      <c r="E6350" s="135">
        <f t="shared" si="59"/>
        <v>20</v>
      </c>
      <c r="F6350" s="152" t="s">
        <v>3872</v>
      </c>
      <c r="G6350" s="63" t="str">
        <f>VLOOKUP(C6350, 'Class Def. - General Data'!$C$20:$C$1000,1,false)</f>
        <v>ZRM1_Sweetener</v>
      </c>
      <c r="H6350" s="63" t="str">
        <f>IFERROR(__xludf.DUMMYFUNCTION("VLOOKUP(F6350, IMPORTRANGE(""https://docs.google.com/spreadsheets/d/1Lhp9OU0JdFf_VYSMzH5lBcEaU4o8teT1piV-SNzShjg/edit?gid=554141278#gid=554141278"", ""'Char Def. - Attributes'!C20:C2242""), 1,false)"),"ALT_UOM4_RMPM")</f>
        <v>ALT_UOM4_RMPM</v>
      </c>
      <c r="I6350" s="136"/>
    </row>
    <row r="6351" ht="15.75" customHeight="1">
      <c r="B6351" s="63">
        <f t="shared" si="1"/>
        <v>14</v>
      </c>
      <c r="C6351" s="149" t="s">
        <v>234</v>
      </c>
      <c r="D6351" s="159" t="s">
        <v>74</v>
      </c>
      <c r="E6351" s="135">
        <f t="shared" si="59"/>
        <v>21</v>
      </c>
      <c r="F6351" s="148" t="s">
        <v>3814</v>
      </c>
      <c r="G6351" s="63" t="str">
        <f>VLOOKUP(C6351, 'Class Def. - General Data'!$C$20:$C$1000,1,false)</f>
        <v>ZRM1_Sweetener</v>
      </c>
      <c r="H6351" s="63" t="str">
        <f>IFERROR(__xludf.DUMMYFUNCTION("VLOOKUP(F6351, IMPORTRANGE(""https://docs.google.com/spreadsheets/d/1Lhp9OU0JdFf_VYSMzH5lBcEaU4o8teT1piV-SNzShjg/edit?gid=554141278#gid=554141278"", ""'Char Def. - Attributes'!C20:C2242""), 1,false)"),"ALT_DENUM_UOM4")</f>
        <v>ALT_DENUM_UOM4</v>
      </c>
      <c r="I6351" s="136"/>
    </row>
    <row r="6352" ht="15.75" customHeight="1">
      <c r="B6352" s="63">
        <f t="shared" si="1"/>
        <v>14</v>
      </c>
      <c r="C6352" s="149" t="s">
        <v>234</v>
      </c>
      <c r="D6352" s="159" t="s">
        <v>74</v>
      </c>
      <c r="E6352" s="135">
        <f t="shared" si="59"/>
        <v>22</v>
      </c>
      <c r="F6352" s="152" t="s">
        <v>3815</v>
      </c>
      <c r="G6352" s="63" t="str">
        <f>VLOOKUP(C6352, 'Class Def. - General Data'!$C$20:$C$1000,1,false)</f>
        <v>ZRM1_Sweetener</v>
      </c>
      <c r="H6352" s="63" t="str">
        <f>IFERROR(__xludf.DUMMYFUNCTION("VLOOKUP(F6352, IMPORTRANGE(""https://docs.google.com/spreadsheets/d/1Lhp9OU0JdFf_VYSMzH5lBcEaU4o8teT1piV-SNzShjg/edit?gid=554141278#gid=554141278"", ""'Char Def. - Attributes'!C20:C2242""), 1,false)"),"ALT_NUM_UOM4")</f>
        <v>ALT_NUM_UOM4</v>
      </c>
      <c r="I6352" s="136"/>
    </row>
    <row r="6353" ht="15.75" customHeight="1">
      <c r="B6353" s="63">
        <f t="shared" si="1"/>
        <v>14</v>
      </c>
      <c r="C6353" s="149" t="s">
        <v>234</v>
      </c>
      <c r="D6353" s="159" t="s">
        <v>74</v>
      </c>
      <c r="E6353" s="135">
        <f t="shared" si="59"/>
        <v>23</v>
      </c>
      <c r="F6353" s="152" t="s">
        <v>3873</v>
      </c>
      <c r="G6353" s="63" t="str">
        <f>VLOOKUP(C6353, 'Class Def. - General Data'!$C$20:$C$1000,1,false)</f>
        <v>ZRM1_Sweetener</v>
      </c>
      <c r="H6353" s="63" t="str">
        <f>IFERROR(__xludf.DUMMYFUNCTION("VLOOKUP(F6353, IMPORTRANGE(""https://docs.google.com/spreadsheets/d/1Lhp9OU0JdFf_VYSMzH5lBcEaU4o8teT1piV-SNzShjg/edit?gid=554141278#gid=554141278"", ""'Char Def. - Attributes'!C20:C2242""), 1,false)"),"ALT_UOM5_RMPM")</f>
        <v>ALT_UOM5_RMPM</v>
      </c>
      <c r="I6353" s="136"/>
    </row>
    <row r="6354" ht="15.75" customHeight="1">
      <c r="B6354" s="63">
        <f t="shared" si="1"/>
        <v>14</v>
      </c>
      <c r="C6354" s="149" t="s">
        <v>234</v>
      </c>
      <c r="D6354" s="159" t="s">
        <v>74</v>
      </c>
      <c r="E6354" s="135">
        <f t="shared" si="59"/>
        <v>24</v>
      </c>
      <c r="F6354" s="152" t="s">
        <v>3817</v>
      </c>
      <c r="G6354" s="63" t="str">
        <f>VLOOKUP(C6354, 'Class Def. - General Data'!$C$20:$C$1000,1,false)</f>
        <v>ZRM1_Sweetener</v>
      </c>
      <c r="H6354" s="63" t="str">
        <f>IFERROR(__xludf.DUMMYFUNCTION("VLOOKUP(F6354, IMPORTRANGE(""https://docs.google.com/spreadsheets/d/1Lhp9OU0JdFf_VYSMzH5lBcEaU4o8teT1piV-SNzShjg/edit?gid=554141278#gid=554141278"", ""'Char Def. - Attributes'!C20:C2242""), 1,false)"),"ALT_DENUM_UOM5")</f>
        <v>ALT_DENUM_UOM5</v>
      </c>
      <c r="I6354" s="136"/>
    </row>
    <row r="6355" ht="15.75" customHeight="1">
      <c r="B6355" s="63">
        <f t="shared" si="1"/>
        <v>14</v>
      </c>
      <c r="C6355" s="149" t="s">
        <v>234</v>
      </c>
      <c r="D6355" s="159" t="s">
        <v>74</v>
      </c>
      <c r="E6355" s="135">
        <f t="shared" si="59"/>
        <v>25</v>
      </c>
      <c r="F6355" s="152" t="s">
        <v>3818</v>
      </c>
      <c r="G6355" s="63" t="str">
        <f>VLOOKUP(C6355, 'Class Def. - General Data'!$C$20:$C$1000,1,false)</f>
        <v>ZRM1_Sweetener</v>
      </c>
      <c r="H6355" s="63" t="str">
        <f>IFERROR(__xludf.DUMMYFUNCTION("VLOOKUP(F6355, IMPORTRANGE(""https://docs.google.com/spreadsheets/d/1Lhp9OU0JdFf_VYSMzH5lBcEaU4o8teT1piV-SNzShjg/edit?gid=554141278#gid=554141278"", ""'Char Def. - Attributes'!C20:C2242""), 1,false)"),"ALT_NUM_UOM5")</f>
        <v>ALT_NUM_UOM5</v>
      </c>
      <c r="I6355" s="136"/>
    </row>
    <row r="6356" ht="15.75" customHeight="1">
      <c r="B6356" s="63">
        <f t="shared" si="1"/>
        <v>14</v>
      </c>
      <c r="C6356" s="149" t="s">
        <v>234</v>
      </c>
      <c r="D6356" s="159" t="s">
        <v>74</v>
      </c>
      <c r="E6356" s="135">
        <f t="shared" si="59"/>
        <v>26</v>
      </c>
      <c r="F6356" s="152" t="s">
        <v>3874</v>
      </c>
      <c r="G6356" s="63" t="str">
        <f>VLOOKUP(C6356, 'Class Def. - General Data'!$C$20:$C$1000,1,false)</f>
        <v>ZRM1_Sweetener</v>
      </c>
      <c r="H6356" s="63" t="str">
        <f>IFERROR(__xludf.DUMMYFUNCTION("VLOOKUP(F6356, IMPORTRANGE(""https://docs.google.com/spreadsheets/d/1Lhp9OU0JdFf_VYSMzH5lBcEaU4o8teT1piV-SNzShjg/edit?gid=554141278#gid=554141278"", ""'Char Def. - Attributes'!C20:C2242""), 1,false)"),"VALUATION_CATEGORY")</f>
        <v>VALUATION_CATEGORY</v>
      </c>
      <c r="I6356" s="136"/>
    </row>
    <row r="6357" ht="15.75" customHeight="1">
      <c r="B6357" s="63">
        <f t="shared" si="1"/>
        <v>14</v>
      </c>
      <c r="C6357" s="149" t="s">
        <v>234</v>
      </c>
      <c r="D6357" s="159" t="s">
        <v>74</v>
      </c>
      <c r="E6357" s="135">
        <f t="shared" si="59"/>
        <v>27</v>
      </c>
      <c r="F6357" s="152" t="s">
        <v>3800</v>
      </c>
      <c r="G6357" s="63" t="str">
        <f>VLOOKUP(C6357, 'Class Def. - General Data'!$C$20:$C$1000,1,false)</f>
        <v>ZRM1_Sweetener</v>
      </c>
      <c r="H6357" s="63" t="str">
        <f>IFERROR(__xludf.DUMMYFUNCTION("VLOOKUP(F6357, IMPORTRANGE(""https://docs.google.com/spreadsheets/d/1Lhp9OU0JdFf_VYSMzH5lBcEaU4o8teT1piV-SNzShjg/edit?gid=554141278#gid=554141278"", ""'Char Def. - Attributes'!C20:C2242""), 1,false)"),"ORDER_UNIT_DIFF_FROM_BASIC_UOM")</f>
        <v>ORDER_UNIT_DIFF_FROM_BASIC_UOM</v>
      </c>
      <c r="I6357" s="136"/>
    </row>
    <row r="6358" ht="15.75" customHeight="1">
      <c r="B6358" s="63">
        <f t="shared" si="1"/>
        <v>14</v>
      </c>
      <c r="C6358" s="149" t="s">
        <v>234</v>
      </c>
      <c r="D6358" s="159" t="s">
        <v>74</v>
      </c>
      <c r="E6358" s="135">
        <f t="shared" si="59"/>
        <v>28</v>
      </c>
      <c r="F6358" s="152" t="s">
        <v>3875</v>
      </c>
      <c r="G6358" s="63" t="str">
        <f>VLOOKUP(C6358, 'Class Def. - General Data'!$C$20:$C$1000,1,false)</f>
        <v>ZRM1_Sweetener</v>
      </c>
      <c r="H6358" s="63" t="str">
        <f>IFERROR(__xludf.DUMMYFUNCTION("VLOOKUP(F6358, IMPORTRANGE(""https://docs.google.com/spreadsheets/d/1Lhp9OU0JdFf_VYSMzH5lBcEaU4o8teT1piV-SNzShjg/edit?gid=554141278#gid=554141278"", ""'Char Def. - Attributes'!C20:C2242""), 1,false)"),"ORDER_UNIT_RMPM")</f>
        <v>ORDER_UNIT_RMPM</v>
      </c>
      <c r="I6358" s="136"/>
    </row>
    <row r="6359" ht="15.75" customHeight="1">
      <c r="B6359" s="63">
        <f t="shared" si="1"/>
        <v>14</v>
      </c>
      <c r="C6359" s="149" t="s">
        <v>234</v>
      </c>
      <c r="D6359" s="159" t="s">
        <v>74</v>
      </c>
      <c r="E6359" s="135">
        <f t="shared" si="59"/>
        <v>29</v>
      </c>
      <c r="F6359" s="151" t="s">
        <v>3602</v>
      </c>
      <c r="G6359" s="63" t="str">
        <f>VLOOKUP(C6359, 'Class Def. - General Data'!$C$20:$C$1000,1,false)</f>
        <v>ZRM1_Sweetener</v>
      </c>
      <c r="H6359" s="63" t="str">
        <f>IFERROR(__xludf.DUMMYFUNCTION("VLOOKUP(F6359, IMPORTRANGE(""https://docs.google.com/spreadsheets/d/1Lhp9OU0JdFf_VYSMzH5lBcEaU4o8teT1piV-SNzShjg/edit?gid=554141278#gid=554141278"", ""'Char Def. - Attributes'!C20:C2242""), 1,false)"),"NET_WEIGHT")</f>
        <v>NET_WEIGHT</v>
      </c>
      <c r="I6359" s="136"/>
    </row>
    <row r="6360" ht="15.75" customHeight="1">
      <c r="B6360" s="63">
        <f t="shared" si="1"/>
        <v>14</v>
      </c>
      <c r="C6360" s="149" t="s">
        <v>234</v>
      </c>
      <c r="D6360" s="159" t="s">
        <v>74</v>
      </c>
      <c r="E6360" s="135">
        <f t="shared" si="59"/>
        <v>30</v>
      </c>
      <c r="F6360" s="151" t="s">
        <v>3601</v>
      </c>
      <c r="G6360" s="63" t="str">
        <f>VLOOKUP(C6360, 'Class Def. - General Data'!$C$20:$C$1000,1,false)</f>
        <v>ZRM1_Sweetener</v>
      </c>
      <c r="H6360" s="63" t="str">
        <f>IFERROR(__xludf.DUMMYFUNCTION("VLOOKUP(F6360, IMPORTRANGE(""https://docs.google.com/spreadsheets/d/1Lhp9OU0JdFf_VYSMzH5lBcEaU4o8teT1piV-SNzShjg/edit?gid=554141278#gid=554141278"", ""'Char Def. - Attributes'!C20:C2242""), 1,false)"),"GROSS_WEIGHT")</f>
        <v>GROSS_WEIGHT</v>
      </c>
      <c r="I6360" s="136"/>
    </row>
    <row r="6361" ht="15.75" customHeight="1">
      <c r="B6361" s="63">
        <f t="shared" si="1"/>
        <v>14</v>
      </c>
      <c r="C6361" s="149" t="s">
        <v>234</v>
      </c>
      <c r="D6361" s="159" t="s">
        <v>74</v>
      </c>
      <c r="E6361" s="135">
        <f t="shared" si="59"/>
        <v>31</v>
      </c>
      <c r="F6361" s="152" t="s">
        <v>3996</v>
      </c>
      <c r="G6361" s="63" t="str">
        <f>VLOOKUP(C6361, 'Class Def. - General Data'!$C$20:$C$1000,1,false)</f>
        <v>ZRM1_Sweetener</v>
      </c>
      <c r="H6361" s="63" t="str">
        <f>IFERROR(__xludf.DUMMYFUNCTION("VLOOKUP(F6361, IMPORTRANGE(""https://docs.google.com/spreadsheets/d/1Lhp9OU0JdFf_VYSMzH5lBcEaU4o8teT1piV-SNzShjg/edit?gid=554141278#gid=554141278"", ""'Char Def. - Attributes'!C20:C2242""), 1,false)"),"WEIGHT_UNIT")</f>
        <v>WEIGHT_UNIT</v>
      </c>
      <c r="I6361" s="136"/>
    </row>
    <row r="6362" ht="15.75" customHeight="1">
      <c r="B6362" s="63">
        <f t="shared" si="1"/>
        <v>14</v>
      </c>
      <c r="C6362" s="149" t="s">
        <v>234</v>
      </c>
      <c r="D6362" s="159" t="s">
        <v>74</v>
      </c>
      <c r="E6362" s="135">
        <f t="shared" si="59"/>
        <v>32</v>
      </c>
      <c r="F6362" s="151" t="s">
        <v>3877</v>
      </c>
      <c r="G6362" s="63" t="str">
        <f>VLOOKUP(C6362, 'Class Def. - General Data'!$C$20:$C$1000,1,false)</f>
        <v>ZRM1_Sweetener</v>
      </c>
      <c r="H6362" s="63" t="str">
        <f>IFERROR(__xludf.DUMMYFUNCTION("VLOOKUP(F6362, IMPORTRANGE(""https://docs.google.com/spreadsheets/d/1Lhp9OU0JdFf_VYSMzH5lBcEaU4o8teT1piV-SNzShjg/edit?gid=554141278#gid=554141278"", ""'Char Def. - Attributes'!C20:C2242""), 1,false)"),"VOLUME_OPT")</f>
        <v>VOLUME_OPT</v>
      </c>
      <c r="I6362" s="136"/>
    </row>
    <row r="6363" ht="15.75" customHeight="1">
      <c r="B6363" s="63">
        <f t="shared" si="1"/>
        <v>14</v>
      </c>
      <c r="C6363" s="149" t="s">
        <v>234</v>
      </c>
      <c r="D6363" s="159" t="s">
        <v>74</v>
      </c>
      <c r="E6363" s="135">
        <f t="shared" si="59"/>
        <v>33</v>
      </c>
      <c r="F6363" s="152" t="s">
        <v>3878</v>
      </c>
      <c r="G6363" s="63" t="str">
        <f>VLOOKUP(C6363, 'Class Def. - General Data'!$C$20:$C$1000,1,false)</f>
        <v>ZRM1_Sweetener</v>
      </c>
      <c r="H6363" s="63" t="str">
        <f>IFERROR(__xludf.DUMMYFUNCTION("VLOOKUP(F6363, IMPORTRANGE(""https://docs.google.com/spreadsheets/d/1Lhp9OU0JdFf_VYSMzH5lBcEaU4o8teT1piV-SNzShjg/edit?gid=554141278#gid=554141278"", ""'Char Def. - Attributes'!C20:C2242""), 1,false)"),"VOLUME_UNIT")</f>
        <v>VOLUME_UNIT</v>
      </c>
      <c r="I6363" s="136"/>
    </row>
    <row r="6364" ht="15.75" customHeight="1">
      <c r="B6364" s="63">
        <f t="shared" si="1"/>
        <v>14</v>
      </c>
      <c r="C6364" s="149" t="s">
        <v>234</v>
      </c>
      <c r="D6364" s="159" t="s">
        <v>74</v>
      </c>
      <c r="E6364" s="135">
        <f t="shared" si="59"/>
        <v>34</v>
      </c>
      <c r="F6364" s="151" t="s">
        <v>3587</v>
      </c>
      <c r="G6364" s="63" t="str">
        <f>VLOOKUP(C6364, 'Class Def. - General Data'!$C$20:$C$1000,1,false)</f>
        <v>ZRM1_Sweetener</v>
      </c>
      <c r="H6364" s="63" t="str">
        <f>IFERROR(__xludf.DUMMYFUNCTION("VLOOKUP(F6364, IMPORTRANGE(""https://docs.google.com/spreadsheets/d/1Lhp9OU0JdFf_VYSMzH5lBcEaU4o8teT1piV-SNzShjg/edit?gid=554141278#gid=554141278"", ""'Char Def. - Attributes'!C20:C2242""), 1,false)"),"PLANT_BUY")</f>
        <v>PLANT_BUY</v>
      </c>
      <c r="I6364" s="136"/>
    </row>
    <row r="6365" ht="15.75" customHeight="1">
      <c r="B6365" s="63">
        <f t="shared" si="1"/>
        <v>14</v>
      </c>
      <c r="C6365" s="149" t="s">
        <v>234</v>
      </c>
      <c r="D6365" s="159" t="s">
        <v>74</v>
      </c>
      <c r="E6365" s="135">
        <f t="shared" si="59"/>
        <v>35</v>
      </c>
      <c r="F6365" s="152" t="s">
        <v>3997</v>
      </c>
      <c r="G6365" s="63" t="str">
        <f>VLOOKUP(C6365, 'Class Def. - General Data'!$C$20:$C$1000,1,false)</f>
        <v>ZRM1_Sweetener</v>
      </c>
      <c r="H6365" s="63" t="str">
        <f>IFERROR(__xludf.DUMMYFUNCTION("VLOOKUP(F6365, IMPORTRANGE(""https://docs.google.com/spreadsheets/d/1Lhp9OU0JdFf_VYSMzH5lBcEaU4o8teT1piV-SNzShjg/edit?gid=554141278#gid=554141278"", ""'Char Def. - Attributes'!C20:C2242""), 1,false)"),"OLD_MAT_NO_RMPM_OPT")</f>
        <v>OLD_MAT_NO_RMPM_OPT</v>
      </c>
      <c r="I6365" s="136"/>
    </row>
    <row r="6366" ht="15.75" customHeight="1">
      <c r="B6366" s="63">
        <f t="shared" si="1"/>
        <v>14</v>
      </c>
      <c r="C6366" s="149" t="s">
        <v>234</v>
      </c>
      <c r="D6366" s="159" t="s">
        <v>74</v>
      </c>
      <c r="E6366" s="135">
        <f t="shared" si="59"/>
        <v>36</v>
      </c>
      <c r="F6366" s="148" t="s">
        <v>3998</v>
      </c>
      <c r="G6366" s="63" t="str">
        <f>VLOOKUP(C6366, 'Class Def. - General Data'!$C$20:$C$1000,1,false)</f>
        <v>ZRM1_Sweetener</v>
      </c>
      <c r="H6366" s="63" t="str">
        <f>IFERROR(__xludf.DUMMYFUNCTION("VLOOKUP(F6366, IMPORTRANGE(""https://docs.google.com/spreadsheets/d/1Lhp9OU0JdFf_VYSMzH5lBcEaU4o8teT1piV-SNzShjg/edit?gid=554141278#gid=554141278"", ""'Char Def. - Attributes'!C20:C2242""), 1,false)"),"MIN_STD_WEIGHT")</f>
        <v>MIN_STD_WEIGHT</v>
      </c>
      <c r="I6366" s="136"/>
    </row>
    <row r="6367" ht="15.75" customHeight="1">
      <c r="B6367" s="63">
        <f t="shared" si="1"/>
        <v>14</v>
      </c>
      <c r="C6367" s="149" t="s">
        <v>234</v>
      </c>
      <c r="D6367" s="159" t="s">
        <v>74</v>
      </c>
      <c r="E6367" s="135">
        <f t="shared" si="59"/>
        <v>37</v>
      </c>
      <c r="F6367" s="148" t="s">
        <v>3999</v>
      </c>
      <c r="G6367" s="63" t="str">
        <f>VLOOKUP(C6367, 'Class Def. - General Data'!$C$20:$C$1000,1,false)</f>
        <v>ZRM1_Sweetener</v>
      </c>
      <c r="H6367" s="63" t="str">
        <f>IFERROR(__xludf.DUMMYFUNCTION("VLOOKUP(F6367, IMPORTRANGE(""https://docs.google.com/spreadsheets/d/1Lhp9OU0JdFf_VYSMzH5lBcEaU4o8teT1piV-SNzShjg/edit?gid=554141278#gid=554141278"", ""'Char Def. - Attributes'!C20:C2242""), 1,false)"),"MIN_STD_WEIGHT_UOM")</f>
        <v>MIN_STD_WEIGHT_UOM</v>
      </c>
      <c r="I6367" s="136"/>
    </row>
    <row r="6368" ht="15.75" customHeight="1">
      <c r="B6368" s="63">
        <f t="shared" si="1"/>
        <v>17</v>
      </c>
      <c r="C6368" s="149" t="s">
        <v>291</v>
      </c>
      <c r="D6368" s="159" t="s">
        <v>74</v>
      </c>
      <c r="E6368" s="135">
        <f t="shared" si="59"/>
        <v>1</v>
      </c>
      <c r="F6368" s="152" t="s">
        <v>4000</v>
      </c>
      <c r="G6368" s="63" t="str">
        <f>VLOOKUP(C6368, 'Class Def. - General Data'!$C$20:$C$1000,1,false)</f>
        <v>ZRM1_Vit_Nutrient</v>
      </c>
      <c r="H6368" s="63" t="str">
        <f>IFERROR(__xludf.DUMMYFUNCTION("VLOOKUP(F6368, IMPORTRANGE(""https://docs.google.com/spreadsheets/d/1Lhp9OU0JdFf_VYSMzH5lBcEaU4o8teT1piV-SNzShjg/edit?gid=554141278#gid=554141278"", ""'Char Def. - Attributes'!C20:C2242""), 1,false)"),"MATERIAL_CODE_FREETEXT")</f>
        <v>MATERIAL_CODE_FREETEXT</v>
      </c>
      <c r="I6368" s="136"/>
    </row>
    <row r="6369" ht="15.75" customHeight="1">
      <c r="B6369" s="63">
        <f t="shared" si="1"/>
        <v>17</v>
      </c>
      <c r="C6369" s="149" t="s">
        <v>291</v>
      </c>
      <c r="D6369" s="159" t="s">
        <v>74</v>
      </c>
      <c r="E6369" s="135">
        <f t="shared" si="59"/>
        <v>2</v>
      </c>
      <c r="F6369" s="152" t="s">
        <v>4001</v>
      </c>
      <c r="G6369" s="63" t="str">
        <f>VLOOKUP(C6369, 'Class Def. - General Data'!$C$20:$C$1000,1,false)</f>
        <v>ZRM1_Vit_Nutrient</v>
      </c>
      <c r="H6369" s="63" t="str">
        <f>IFERROR(__xludf.DUMMYFUNCTION("VLOOKUP(F6369, IMPORTRANGE(""https://docs.google.com/spreadsheets/d/1Lhp9OU0JdFf_VYSMzH5lBcEaU4o8teT1piV-SNzShjg/edit?gid=554141278#gid=554141278"", ""'Char Def. - Attributes'!C20:C2242""), 1,false)"),"ADDITIONAL_INFO_NO_MASK")</f>
        <v>ADDITIONAL_INFO_NO_MASK</v>
      </c>
      <c r="I6369" s="136"/>
    </row>
    <row r="6370" ht="15.75" customHeight="1">
      <c r="B6370" s="63">
        <f t="shared" si="1"/>
        <v>17</v>
      </c>
      <c r="C6370" s="149" t="s">
        <v>291</v>
      </c>
      <c r="D6370" s="159" t="s">
        <v>74</v>
      </c>
      <c r="E6370" s="135">
        <f t="shared" si="59"/>
        <v>3</v>
      </c>
      <c r="F6370" s="152" t="s">
        <v>4002</v>
      </c>
      <c r="G6370" s="63" t="str">
        <f>VLOOKUP(C6370, 'Class Def. - General Data'!$C$20:$C$1000,1,false)</f>
        <v>ZRM1_Vit_Nutrient</v>
      </c>
      <c r="H6370" s="63" t="str">
        <f>IFERROR(__xludf.DUMMYFUNCTION("VLOOKUP(F6370, IMPORTRANGE(""https://docs.google.com/spreadsheets/d/1Lhp9OU0JdFf_VYSMzH5lBcEaU4o8teT1piV-SNzShjg/edit?gid=554141278#gid=554141278"", ""'Char Def. - Attributes'!C20:C2242""), 1,false)"),"COLOR_GENERAL")</f>
        <v>COLOR_GENERAL</v>
      </c>
      <c r="I6370" s="136"/>
    </row>
    <row r="6371" ht="15.75" customHeight="1">
      <c r="B6371" s="63">
        <f t="shared" si="1"/>
        <v>17</v>
      </c>
      <c r="C6371" s="149" t="s">
        <v>291</v>
      </c>
      <c r="D6371" s="159" t="s">
        <v>74</v>
      </c>
      <c r="E6371" s="135">
        <f t="shared" si="59"/>
        <v>4</v>
      </c>
      <c r="F6371" s="152" t="s">
        <v>4003</v>
      </c>
      <c r="G6371" s="63" t="str">
        <f>VLOOKUP(C6371, 'Class Def. - General Data'!$C$20:$C$1000,1,false)</f>
        <v>ZRM1_Vit_Nutrient</v>
      </c>
      <c r="H6371" s="63" t="str">
        <f>IFERROR(__xludf.DUMMYFUNCTION("VLOOKUP(F6371, IMPORTRANGE(""https://docs.google.com/spreadsheets/d/1Lhp9OU0JdFf_VYSMzH5lBcEaU4o8teT1piV-SNzShjg/edit?gid=554141278#gid=554141278"", ""'Char Def. - Attributes'!C20:C2242""), 1,false)"),"SOURCE_SUPPLY")</f>
        <v>SOURCE_SUPPLY</v>
      </c>
      <c r="I6371" s="136"/>
    </row>
    <row r="6372" ht="15.75" customHeight="1">
      <c r="B6372" s="63">
        <f t="shared" si="1"/>
        <v>17</v>
      </c>
      <c r="C6372" s="149" t="s">
        <v>291</v>
      </c>
      <c r="D6372" s="159" t="s">
        <v>74</v>
      </c>
      <c r="E6372" s="135">
        <f t="shared" si="59"/>
        <v>5</v>
      </c>
      <c r="F6372" s="152" t="s">
        <v>4004</v>
      </c>
      <c r="G6372" s="63" t="str">
        <f>VLOOKUP(C6372, 'Class Def. - General Data'!$C$20:$C$1000,1,false)</f>
        <v>ZRM1_Vit_Nutrient</v>
      </c>
      <c r="H6372" s="63" t="str">
        <f>IFERROR(__xludf.DUMMYFUNCTION("VLOOKUP(F6372, IMPORTRANGE(""https://docs.google.com/spreadsheets/d/1Lhp9OU0JdFf_VYSMzH5lBcEaU4o8teT1piV-SNzShjg/edit?gid=554141278#gid=554141278"", ""'Char Def. - Attributes'!C20:C2242""), 1,false)"),"BASE_MATERIAL")</f>
        <v>BASE_MATERIAL</v>
      </c>
      <c r="I6372" s="136"/>
    </row>
    <row r="6373" ht="15.75" customHeight="1">
      <c r="B6373" s="63">
        <f t="shared" si="1"/>
        <v>17</v>
      </c>
      <c r="C6373" s="149" t="s">
        <v>291</v>
      </c>
      <c r="D6373" s="159" t="s">
        <v>74</v>
      </c>
      <c r="E6373" s="135">
        <f t="shared" si="59"/>
        <v>6</v>
      </c>
      <c r="F6373" s="152" t="s">
        <v>4009</v>
      </c>
      <c r="G6373" s="63" t="str">
        <f>VLOOKUP(C6373, 'Class Def. - General Data'!$C$20:$C$1000,1,false)</f>
        <v>ZRM1_Vit_Nutrient</v>
      </c>
      <c r="H6373" s="63" t="str">
        <f>IFERROR(__xludf.DUMMYFUNCTION("VLOOKUP(F6373, IMPORTRANGE(""https://docs.google.com/spreadsheets/d/1Lhp9OU0JdFf_VYSMzH5lBcEaU4o8teT1piV-SNzShjg/edit?gid=554141278#gid=554141278"", ""'Char Def. - Attributes'!C20:C2242""), 1,false)"),"NATURE_ORIGIN_FOOD")</f>
        <v>NATURE_ORIGIN_FOOD</v>
      </c>
      <c r="I6373" s="136"/>
    </row>
    <row r="6374" ht="15.75" customHeight="1">
      <c r="B6374" s="63">
        <f t="shared" si="1"/>
        <v>17</v>
      </c>
      <c r="C6374" s="149" t="s">
        <v>291</v>
      </c>
      <c r="D6374" s="159" t="s">
        <v>74</v>
      </c>
      <c r="E6374" s="135">
        <f t="shared" si="59"/>
        <v>7</v>
      </c>
      <c r="F6374" s="152" t="s">
        <v>4006</v>
      </c>
      <c r="G6374" s="63" t="str">
        <f>VLOOKUP(C6374, 'Class Def. - General Data'!$C$20:$C$1000,1,false)</f>
        <v>ZRM1_Vit_Nutrient</v>
      </c>
      <c r="H6374" s="63" t="str">
        <f>IFERROR(__xludf.DUMMYFUNCTION("VLOOKUP(F6374, IMPORTRANGE(""https://docs.google.com/spreadsheets/d/1Lhp9OU0JdFf_VYSMzH5lBcEaU4o8teT1piV-SNzShjg/edit?gid=554141278#gid=554141278"", ""'Char Def. - Attributes'!C20:C2242""), 1,false)"),"CATEGORY_ITEM")</f>
        <v>CATEGORY_ITEM</v>
      </c>
      <c r="I6374" s="136"/>
    </row>
    <row r="6375" ht="15.75" customHeight="1">
      <c r="B6375" s="63">
        <f t="shared" si="1"/>
        <v>17</v>
      </c>
      <c r="C6375" s="149" t="s">
        <v>291</v>
      </c>
      <c r="D6375" s="159" t="s">
        <v>74</v>
      </c>
      <c r="E6375" s="135">
        <f t="shared" si="59"/>
        <v>8</v>
      </c>
      <c r="F6375" s="152" t="s">
        <v>4007</v>
      </c>
      <c r="G6375" s="63" t="str">
        <f>VLOOKUP(C6375, 'Class Def. - General Data'!$C$20:$C$1000,1,false)</f>
        <v>ZRM1_Vit_Nutrient</v>
      </c>
      <c r="H6375" s="63" t="str">
        <f>IFERROR(__xludf.DUMMYFUNCTION("VLOOKUP(F6375, IMPORTRANGE(""https://docs.google.com/spreadsheets/d/1Lhp9OU0JdFf_VYSMzH5lBcEaU4o8teT1piV-SNzShjg/edit?gid=554141278#gid=554141278"", ""'Char Def. - Attributes'!C20:C2242""), 1,false)"),"FUNCTION1")</f>
        <v>FUNCTION1</v>
      </c>
      <c r="I6375" s="136"/>
    </row>
    <row r="6376" ht="15.75" customHeight="1">
      <c r="B6376" s="63">
        <f t="shared" si="1"/>
        <v>17</v>
      </c>
      <c r="C6376" s="149" t="s">
        <v>291</v>
      </c>
      <c r="D6376" s="159" t="s">
        <v>74</v>
      </c>
      <c r="E6376" s="135">
        <f t="shared" si="59"/>
        <v>9</v>
      </c>
      <c r="F6376" s="152" t="s">
        <v>4008</v>
      </c>
      <c r="G6376" s="63" t="str">
        <f>VLOOKUP(C6376, 'Class Def. - General Data'!$C$20:$C$1000,1,false)</f>
        <v>ZRM1_Vit_Nutrient</v>
      </c>
      <c r="H6376" s="63" t="str">
        <f>IFERROR(__xludf.DUMMYFUNCTION("VLOOKUP(F6376, IMPORTRANGE(""https://docs.google.com/spreadsheets/d/1Lhp9OU0JdFf_VYSMzH5lBcEaU4o8teT1piV-SNzShjg/edit?gid=554141278#gid=554141278"", ""'Char Def. - Attributes'!C20:C2242""), 1,false)"),"PREFERENSI_KURS")</f>
        <v>PREFERENSI_KURS</v>
      </c>
      <c r="I6376" s="136"/>
    </row>
    <row r="6377" ht="15.75" customHeight="1">
      <c r="B6377" s="63">
        <f t="shared" si="1"/>
        <v>17</v>
      </c>
      <c r="C6377" s="149" t="s">
        <v>291</v>
      </c>
      <c r="D6377" s="159" t="s">
        <v>74</v>
      </c>
      <c r="E6377" s="135">
        <f t="shared" si="59"/>
        <v>10</v>
      </c>
      <c r="F6377" s="151" t="s">
        <v>3868</v>
      </c>
      <c r="G6377" s="63" t="str">
        <f>VLOOKUP(C6377, 'Class Def. - General Data'!$C$20:$C$1000,1,false)</f>
        <v>ZRM1_Vit_Nutrient</v>
      </c>
      <c r="H6377" s="63" t="str">
        <f>IFERROR(__xludf.DUMMYFUNCTION("VLOOKUP(F6377, IMPORTRANGE(""https://docs.google.com/spreadsheets/d/1Lhp9OU0JdFf_VYSMzH5lBcEaU4o8teT1piV-SNzShjg/edit?gid=554141278#gid=554141278"", ""'Char Def. - Attributes'!C20:C2242""), 1,false)"),"BASIC_UOM_RMPM")</f>
        <v>BASIC_UOM_RMPM</v>
      </c>
      <c r="I6377" s="136"/>
    </row>
    <row r="6378" ht="15.75" customHeight="1">
      <c r="B6378" s="63">
        <f t="shared" si="1"/>
        <v>17</v>
      </c>
      <c r="C6378" s="149" t="s">
        <v>291</v>
      </c>
      <c r="D6378" s="159" t="s">
        <v>74</v>
      </c>
      <c r="E6378" s="135">
        <f t="shared" si="59"/>
        <v>11</v>
      </c>
      <c r="F6378" s="152" t="s">
        <v>3869</v>
      </c>
      <c r="G6378" s="63" t="str">
        <f>VLOOKUP(C6378, 'Class Def. - General Data'!$C$20:$C$1000,1,false)</f>
        <v>ZRM1_Vit_Nutrient</v>
      </c>
      <c r="H6378" s="63" t="str">
        <f>IFERROR(__xludf.DUMMYFUNCTION("VLOOKUP(F6378, IMPORTRANGE(""https://docs.google.com/spreadsheets/d/1Lhp9OU0JdFf_VYSMzH5lBcEaU4o8teT1piV-SNzShjg/edit?gid=554141278#gid=554141278"", ""'Char Def. - Attributes'!C20:C2242""), 1,false)"),"ALT_UOM1_RMPM")</f>
        <v>ALT_UOM1_RMPM</v>
      </c>
      <c r="I6378" s="136"/>
    </row>
    <row r="6379" ht="15.75" customHeight="1">
      <c r="B6379" s="63">
        <f t="shared" si="1"/>
        <v>17</v>
      </c>
      <c r="C6379" s="149" t="s">
        <v>291</v>
      </c>
      <c r="D6379" s="159" t="s">
        <v>74</v>
      </c>
      <c r="E6379" s="135">
        <f t="shared" si="59"/>
        <v>12</v>
      </c>
      <c r="F6379" s="152" t="s">
        <v>3805</v>
      </c>
      <c r="G6379" s="63" t="str">
        <f>VLOOKUP(C6379, 'Class Def. - General Data'!$C$20:$C$1000,1,false)</f>
        <v>ZRM1_Vit_Nutrient</v>
      </c>
      <c r="H6379" s="63" t="str">
        <f>IFERROR(__xludf.DUMMYFUNCTION("VLOOKUP(F6379, IMPORTRANGE(""https://docs.google.com/spreadsheets/d/1Lhp9OU0JdFf_VYSMzH5lBcEaU4o8teT1piV-SNzShjg/edit?gid=554141278#gid=554141278"", ""'Char Def. - Attributes'!C20:C2242""), 1,false)"),"ALT_DENUM_UOM1")</f>
        <v>ALT_DENUM_UOM1</v>
      </c>
      <c r="I6379" s="136"/>
    </row>
    <row r="6380" ht="15.75" customHeight="1">
      <c r="B6380" s="63">
        <f t="shared" si="1"/>
        <v>17</v>
      </c>
      <c r="C6380" s="149" t="s">
        <v>291</v>
      </c>
      <c r="D6380" s="159" t="s">
        <v>74</v>
      </c>
      <c r="E6380" s="135">
        <f t="shared" si="59"/>
        <v>13</v>
      </c>
      <c r="F6380" s="152" t="s">
        <v>3806</v>
      </c>
      <c r="G6380" s="63" t="str">
        <f>VLOOKUP(C6380, 'Class Def. - General Data'!$C$20:$C$1000,1,false)</f>
        <v>ZRM1_Vit_Nutrient</v>
      </c>
      <c r="H6380" s="63" t="str">
        <f>IFERROR(__xludf.DUMMYFUNCTION("VLOOKUP(F6380, IMPORTRANGE(""https://docs.google.com/spreadsheets/d/1Lhp9OU0JdFf_VYSMzH5lBcEaU4o8teT1piV-SNzShjg/edit?gid=554141278#gid=554141278"", ""'Char Def. - Attributes'!C20:C2242""), 1,false)"),"ALT_NUM_UOM1")</f>
        <v>ALT_NUM_UOM1</v>
      </c>
      <c r="I6380" s="136"/>
    </row>
    <row r="6381" ht="15.75" customHeight="1">
      <c r="B6381" s="63">
        <f t="shared" si="1"/>
        <v>17</v>
      </c>
      <c r="C6381" s="149" t="s">
        <v>291</v>
      </c>
      <c r="D6381" s="159" t="s">
        <v>74</v>
      </c>
      <c r="E6381" s="135">
        <f t="shared" si="59"/>
        <v>14</v>
      </c>
      <c r="F6381" s="152" t="s">
        <v>3870</v>
      </c>
      <c r="G6381" s="63" t="str">
        <f>VLOOKUP(C6381, 'Class Def. - General Data'!$C$20:$C$1000,1,false)</f>
        <v>ZRM1_Vit_Nutrient</v>
      </c>
      <c r="H6381" s="63" t="str">
        <f>IFERROR(__xludf.DUMMYFUNCTION("VLOOKUP(F6381, IMPORTRANGE(""https://docs.google.com/spreadsheets/d/1Lhp9OU0JdFf_VYSMzH5lBcEaU4o8teT1piV-SNzShjg/edit?gid=554141278#gid=554141278"", ""'Char Def. - Attributes'!C20:C2242""), 1,false)"),"ALT_UOM2_RMPM")</f>
        <v>ALT_UOM2_RMPM</v>
      </c>
      <c r="I6381" s="136"/>
    </row>
    <row r="6382" ht="15.75" customHeight="1">
      <c r="B6382" s="63">
        <f t="shared" si="1"/>
        <v>17</v>
      </c>
      <c r="C6382" s="149" t="s">
        <v>291</v>
      </c>
      <c r="D6382" s="159" t="s">
        <v>74</v>
      </c>
      <c r="E6382" s="135">
        <f t="shared" si="59"/>
        <v>15</v>
      </c>
      <c r="F6382" s="152" t="s">
        <v>3808</v>
      </c>
      <c r="G6382" s="63" t="str">
        <f>VLOOKUP(C6382, 'Class Def. - General Data'!$C$20:$C$1000,1,false)</f>
        <v>ZRM1_Vit_Nutrient</v>
      </c>
      <c r="H6382" s="63" t="str">
        <f>IFERROR(__xludf.DUMMYFUNCTION("VLOOKUP(F6382, IMPORTRANGE(""https://docs.google.com/spreadsheets/d/1Lhp9OU0JdFf_VYSMzH5lBcEaU4o8teT1piV-SNzShjg/edit?gid=554141278#gid=554141278"", ""'Char Def. - Attributes'!C20:C2242""), 1,false)"),"ALT_DENUM_UOM2")</f>
        <v>ALT_DENUM_UOM2</v>
      </c>
      <c r="I6382" s="136"/>
    </row>
    <row r="6383" ht="15.75" customHeight="1">
      <c r="B6383" s="63">
        <f t="shared" si="1"/>
        <v>17</v>
      </c>
      <c r="C6383" s="149" t="s">
        <v>291</v>
      </c>
      <c r="D6383" s="159" t="s">
        <v>74</v>
      </c>
      <c r="E6383" s="135">
        <f t="shared" si="59"/>
        <v>16</v>
      </c>
      <c r="F6383" s="152" t="s">
        <v>3809</v>
      </c>
      <c r="G6383" s="63" t="str">
        <f>VLOOKUP(C6383, 'Class Def. - General Data'!$C$20:$C$1000,1,false)</f>
        <v>ZRM1_Vit_Nutrient</v>
      </c>
      <c r="H6383" s="63" t="str">
        <f>IFERROR(__xludf.DUMMYFUNCTION("VLOOKUP(F6383, IMPORTRANGE(""https://docs.google.com/spreadsheets/d/1Lhp9OU0JdFf_VYSMzH5lBcEaU4o8teT1piV-SNzShjg/edit?gid=554141278#gid=554141278"", ""'Char Def. - Attributes'!C20:C2242""), 1,false)"),"ALT_NUM_UOM2")</f>
        <v>ALT_NUM_UOM2</v>
      </c>
      <c r="I6383" s="136"/>
    </row>
    <row r="6384" ht="15.75" customHeight="1">
      <c r="B6384" s="63">
        <f t="shared" si="1"/>
        <v>17</v>
      </c>
      <c r="C6384" s="149" t="s">
        <v>291</v>
      </c>
      <c r="D6384" s="159" t="s">
        <v>74</v>
      </c>
      <c r="E6384" s="135">
        <f t="shared" si="59"/>
        <v>17</v>
      </c>
      <c r="F6384" s="152" t="s">
        <v>3871</v>
      </c>
      <c r="G6384" s="63" t="str">
        <f>VLOOKUP(C6384, 'Class Def. - General Data'!$C$20:$C$1000,1,false)</f>
        <v>ZRM1_Vit_Nutrient</v>
      </c>
      <c r="H6384" s="63" t="str">
        <f>IFERROR(__xludf.DUMMYFUNCTION("VLOOKUP(F6384, IMPORTRANGE(""https://docs.google.com/spreadsheets/d/1Lhp9OU0JdFf_VYSMzH5lBcEaU4o8teT1piV-SNzShjg/edit?gid=554141278#gid=554141278"", ""'Char Def. - Attributes'!C20:C2242""), 1,false)"),"ALT_UOM3_RMPM")</f>
        <v>ALT_UOM3_RMPM</v>
      </c>
      <c r="I6384" s="136"/>
    </row>
    <row r="6385" ht="15.75" customHeight="1">
      <c r="B6385" s="63">
        <f t="shared" si="1"/>
        <v>17</v>
      </c>
      <c r="C6385" s="149" t="s">
        <v>291</v>
      </c>
      <c r="D6385" s="159" t="s">
        <v>74</v>
      </c>
      <c r="E6385" s="135">
        <f t="shared" si="59"/>
        <v>18</v>
      </c>
      <c r="F6385" s="152" t="s">
        <v>3811</v>
      </c>
      <c r="G6385" s="63" t="str">
        <f>VLOOKUP(C6385, 'Class Def. - General Data'!$C$20:$C$1000,1,false)</f>
        <v>ZRM1_Vit_Nutrient</v>
      </c>
      <c r="H6385" s="63" t="str">
        <f>IFERROR(__xludf.DUMMYFUNCTION("VLOOKUP(F6385, IMPORTRANGE(""https://docs.google.com/spreadsheets/d/1Lhp9OU0JdFf_VYSMzH5lBcEaU4o8teT1piV-SNzShjg/edit?gid=554141278#gid=554141278"", ""'Char Def. - Attributes'!C20:C2242""), 1,false)"),"ALT_DENUM_UOM3")</f>
        <v>ALT_DENUM_UOM3</v>
      </c>
      <c r="I6385" s="136"/>
    </row>
    <row r="6386" ht="15.75" customHeight="1">
      <c r="B6386" s="63">
        <f t="shared" si="1"/>
        <v>17</v>
      </c>
      <c r="C6386" s="149" t="s">
        <v>291</v>
      </c>
      <c r="D6386" s="159" t="s">
        <v>74</v>
      </c>
      <c r="E6386" s="135">
        <f t="shared" si="59"/>
        <v>19</v>
      </c>
      <c r="F6386" s="152" t="s">
        <v>3812</v>
      </c>
      <c r="G6386" s="63" t="str">
        <f>VLOOKUP(C6386, 'Class Def. - General Data'!$C$20:$C$1000,1,false)</f>
        <v>ZRM1_Vit_Nutrient</v>
      </c>
      <c r="H6386" s="63" t="str">
        <f>IFERROR(__xludf.DUMMYFUNCTION("VLOOKUP(F6386, IMPORTRANGE(""https://docs.google.com/spreadsheets/d/1Lhp9OU0JdFf_VYSMzH5lBcEaU4o8teT1piV-SNzShjg/edit?gid=554141278#gid=554141278"", ""'Char Def. - Attributes'!C20:C2242""), 1,false)"),"ALT_NUM_UOM3")</f>
        <v>ALT_NUM_UOM3</v>
      </c>
      <c r="I6386" s="136"/>
    </row>
    <row r="6387" ht="15.75" customHeight="1">
      <c r="B6387" s="63">
        <f t="shared" si="1"/>
        <v>17</v>
      </c>
      <c r="C6387" s="149" t="s">
        <v>291</v>
      </c>
      <c r="D6387" s="159" t="s">
        <v>74</v>
      </c>
      <c r="E6387" s="135">
        <f t="shared" si="59"/>
        <v>20</v>
      </c>
      <c r="F6387" s="152" t="s">
        <v>3872</v>
      </c>
      <c r="G6387" s="63" t="str">
        <f>VLOOKUP(C6387, 'Class Def. - General Data'!$C$20:$C$1000,1,false)</f>
        <v>ZRM1_Vit_Nutrient</v>
      </c>
      <c r="H6387" s="63" t="str">
        <f>IFERROR(__xludf.DUMMYFUNCTION("VLOOKUP(F6387, IMPORTRANGE(""https://docs.google.com/spreadsheets/d/1Lhp9OU0JdFf_VYSMzH5lBcEaU4o8teT1piV-SNzShjg/edit?gid=554141278#gid=554141278"", ""'Char Def. - Attributes'!C20:C2242""), 1,false)"),"ALT_UOM4_RMPM")</f>
        <v>ALT_UOM4_RMPM</v>
      </c>
      <c r="I6387" s="136"/>
    </row>
    <row r="6388" ht="15.75" customHeight="1">
      <c r="B6388" s="63">
        <f t="shared" si="1"/>
        <v>17</v>
      </c>
      <c r="C6388" s="149" t="s">
        <v>291</v>
      </c>
      <c r="D6388" s="159" t="s">
        <v>74</v>
      </c>
      <c r="E6388" s="135">
        <f t="shared" si="59"/>
        <v>21</v>
      </c>
      <c r="F6388" s="148" t="s">
        <v>3814</v>
      </c>
      <c r="G6388" s="63" t="str">
        <f>VLOOKUP(C6388, 'Class Def. - General Data'!$C$20:$C$1000,1,false)</f>
        <v>ZRM1_Vit_Nutrient</v>
      </c>
      <c r="H6388" s="63" t="str">
        <f>IFERROR(__xludf.DUMMYFUNCTION("VLOOKUP(F6388, IMPORTRANGE(""https://docs.google.com/spreadsheets/d/1Lhp9OU0JdFf_VYSMzH5lBcEaU4o8teT1piV-SNzShjg/edit?gid=554141278#gid=554141278"", ""'Char Def. - Attributes'!C20:C2242""), 1,false)"),"ALT_DENUM_UOM4")</f>
        <v>ALT_DENUM_UOM4</v>
      </c>
      <c r="I6388" s="136"/>
    </row>
    <row r="6389" ht="15.75" customHeight="1">
      <c r="B6389" s="63">
        <f t="shared" si="1"/>
        <v>17</v>
      </c>
      <c r="C6389" s="149" t="s">
        <v>291</v>
      </c>
      <c r="D6389" s="159" t="s">
        <v>74</v>
      </c>
      <c r="E6389" s="135">
        <f t="shared" si="59"/>
        <v>22</v>
      </c>
      <c r="F6389" s="152" t="s">
        <v>3815</v>
      </c>
      <c r="G6389" s="63" t="str">
        <f>VLOOKUP(C6389, 'Class Def. - General Data'!$C$20:$C$1000,1,false)</f>
        <v>ZRM1_Vit_Nutrient</v>
      </c>
      <c r="H6389" s="63" t="str">
        <f>IFERROR(__xludf.DUMMYFUNCTION("VLOOKUP(F6389, IMPORTRANGE(""https://docs.google.com/spreadsheets/d/1Lhp9OU0JdFf_VYSMzH5lBcEaU4o8teT1piV-SNzShjg/edit?gid=554141278#gid=554141278"", ""'Char Def. - Attributes'!C20:C2242""), 1,false)"),"ALT_NUM_UOM4")</f>
        <v>ALT_NUM_UOM4</v>
      </c>
      <c r="I6389" s="136"/>
    </row>
    <row r="6390" ht="15.75" customHeight="1">
      <c r="B6390" s="63">
        <f t="shared" si="1"/>
        <v>17</v>
      </c>
      <c r="C6390" s="149" t="s">
        <v>291</v>
      </c>
      <c r="D6390" s="159" t="s">
        <v>74</v>
      </c>
      <c r="E6390" s="135">
        <f t="shared" si="59"/>
        <v>23</v>
      </c>
      <c r="F6390" s="152" t="s">
        <v>3873</v>
      </c>
      <c r="G6390" s="63" t="str">
        <f>VLOOKUP(C6390, 'Class Def. - General Data'!$C$20:$C$1000,1,false)</f>
        <v>ZRM1_Vit_Nutrient</v>
      </c>
      <c r="H6390" s="63" t="str">
        <f>IFERROR(__xludf.DUMMYFUNCTION("VLOOKUP(F6390, IMPORTRANGE(""https://docs.google.com/spreadsheets/d/1Lhp9OU0JdFf_VYSMzH5lBcEaU4o8teT1piV-SNzShjg/edit?gid=554141278#gid=554141278"", ""'Char Def. - Attributes'!C20:C2242""), 1,false)"),"ALT_UOM5_RMPM")</f>
        <v>ALT_UOM5_RMPM</v>
      </c>
      <c r="I6390" s="136"/>
    </row>
    <row r="6391" ht="15.75" customHeight="1">
      <c r="B6391" s="63">
        <f t="shared" si="1"/>
        <v>17</v>
      </c>
      <c r="C6391" s="149" t="s">
        <v>291</v>
      </c>
      <c r="D6391" s="159" t="s">
        <v>74</v>
      </c>
      <c r="E6391" s="135">
        <f t="shared" si="59"/>
        <v>24</v>
      </c>
      <c r="F6391" s="152" t="s">
        <v>3817</v>
      </c>
      <c r="G6391" s="63" t="str">
        <f>VLOOKUP(C6391, 'Class Def. - General Data'!$C$20:$C$1000,1,false)</f>
        <v>ZRM1_Vit_Nutrient</v>
      </c>
      <c r="H6391" s="63" t="str">
        <f>IFERROR(__xludf.DUMMYFUNCTION("VLOOKUP(F6391, IMPORTRANGE(""https://docs.google.com/spreadsheets/d/1Lhp9OU0JdFf_VYSMzH5lBcEaU4o8teT1piV-SNzShjg/edit?gid=554141278#gid=554141278"", ""'Char Def. - Attributes'!C20:C2242""), 1,false)"),"ALT_DENUM_UOM5")</f>
        <v>ALT_DENUM_UOM5</v>
      </c>
      <c r="I6391" s="136"/>
    </row>
    <row r="6392" ht="15.75" customHeight="1">
      <c r="B6392" s="63">
        <f t="shared" si="1"/>
        <v>17</v>
      </c>
      <c r="C6392" s="149" t="s">
        <v>291</v>
      </c>
      <c r="D6392" s="159" t="s">
        <v>74</v>
      </c>
      <c r="E6392" s="135">
        <f t="shared" si="59"/>
        <v>25</v>
      </c>
      <c r="F6392" s="152" t="s">
        <v>3818</v>
      </c>
      <c r="G6392" s="63" t="str">
        <f>VLOOKUP(C6392, 'Class Def. - General Data'!$C$20:$C$1000,1,false)</f>
        <v>ZRM1_Vit_Nutrient</v>
      </c>
      <c r="H6392" s="63" t="str">
        <f>IFERROR(__xludf.DUMMYFUNCTION("VLOOKUP(F6392, IMPORTRANGE(""https://docs.google.com/spreadsheets/d/1Lhp9OU0JdFf_VYSMzH5lBcEaU4o8teT1piV-SNzShjg/edit?gid=554141278#gid=554141278"", ""'Char Def. - Attributes'!C20:C2242""), 1,false)"),"ALT_NUM_UOM5")</f>
        <v>ALT_NUM_UOM5</v>
      </c>
      <c r="I6392" s="136"/>
    </row>
    <row r="6393" ht="15.75" customHeight="1">
      <c r="B6393" s="63">
        <f t="shared" si="1"/>
        <v>17</v>
      </c>
      <c r="C6393" s="149" t="s">
        <v>291</v>
      </c>
      <c r="D6393" s="159" t="s">
        <v>74</v>
      </c>
      <c r="E6393" s="135">
        <f t="shared" si="59"/>
        <v>26</v>
      </c>
      <c r="F6393" s="152" t="s">
        <v>3874</v>
      </c>
      <c r="G6393" s="63" t="str">
        <f>VLOOKUP(C6393, 'Class Def. - General Data'!$C$20:$C$1000,1,false)</f>
        <v>ZRM1_Vit_Nutrient</v>
      </c>
      <c r="H6393" s="63" t="str">
        <f>IFERROR(__xludf.DUMMYFUNCTION("VLOOKUP(F6393, IMPORTRANGE(""https://docs.google.com/spreadsheets/d/1Lhp9OU0JdFf_VYSMzH5lBcEaU4o8teT1piV-SNzShjg/edit?gid=554141278#gid=554141278"", ""'Char Def. - Attributes'!C20:C2242""), 1,false)"),"VALUATION_CATEGORY")</f>
        <v>VALUATION_CATEGORY</v>
      </c>
      <c r="I6393" s="136"/>
    </row>
    <row r="6394" ht="15.75" customHeight="1">
      <c r="B6394" s="63">
        <f t="shared" si="1"/>
        <v>17</v>
      </c>
      <c r="C6394" s="149" t="s">
        <v>291</v>
      </c>
      <c r="D6394" s="159" t="s">
        <v>74</v>
      </c>
      <c r="E6394" s="135">
        <f t="shared" si="59"/>
        <v>27</v>
      </c>
      <c r="F6394" s="152" t="s">
        <v>3800</v>
      </c>
      <c r="G6394" s="63" t="str">
        <f>VLOOKUP(C6394, 'Class Def. - General Data'!$C$20:$C$1000,1,false)</f>
        <v>ZRM1_Vit_Nutrient</v>
      </c>
      <c r="H6394" s="63" t="str">
        <f>IFERROR(__xludf.DUMMYFUNCTION("VLOOKUP(F6394, IMPORTRANGE(""https://docs.google.com/spreadsheets/d/1Lhp9OU0JdFf_VYSMzH5lBcEaU4o8teT1piV-SNzShjg/edit?gid=554141278#gid=554141278"", ""'Char Def. - Attributes'!C20:C2242""), 1,false)"),"ORDER_UNIT_DIFF_FROM_BASIC_UOM")</f>
        <v>ORDER_UNIT_DIFF_FROM_BASIC_UOM</v>
      </c>
      <c r="I6394" s="136"/>
    </row>
    <row r="6395" ht="15.75" customHeight="1">
      <c r="B6395" s="63">
        <f t="shared" si="1"/>
        <v>17</v>
      </c>
      <c r="C6395" s="149" t="s">
        <v>291</v>
      </c>
      <c r="D6395" s="159" t="s">
        <v>74</v>
      </c>
      <c r="E6395" s="135">
        <f t="shared" si="59"/>
        <v>28</v>
      </c>
      <c r="F6395" s="152" t="s">
        <v>3875</v>
      </c>
      <c r="G6395" s="63" t="str">
        <f>VLOOKUP(C6395, 'Class Def. - General Data'!$C$20:$C$1000,1,false)</f>
        <v>ZRM1_Vit_Nutrient</v>
      </c>
      <c r="H6395" s="63" t="str">
        <f>IFERROR(__xludf.DUMMYFUNCTION("VLOOKUP(F6395, IMPORTRANGE(""https://docs.google.com/spreadsheets/d/1Lhp9OU0JdFf_VYSMzH5lBcEaU4o8teT1piV-SNzShjg/edit?gid=554141278#gid=554141278"", ""'Char Def. - Attributes'!C20:C2242""), 1,false)"),"ORDER_UNIT_RMPM")</f>
        <v>ORDER_UNIT_RMPM</v>
      </c>
      <c r="I6395" s="136"/>
    </row>
    <row r="6396" ht="15.75" customHeight="1">
      <c r="B6396" s="63">
        <f t="shared" si="1"/>
        <v>17</v>
      </c>
      <c r="C6396" s="149" t="s">
        <v>291</v>
      </c>
      <c r="D6396" s="159" t="s">
        <v>74</v>
      </c>
      <c r="E6396" s="135">
        <f t="shared" si="59"/>
        <v>29</v>
      </c>
      <c r="F6396" s="151" t="s">
        <v>3602</v>
      </c>
      <c r="G6396" s="63" t="str">
        <f>VLOOKUP(C6396, 'Class Def. - General Data'!$C$20:$C$1000,1,false)</f>
        <v>ZRM1_Vit_Nutrient</v>
      </c>
      <c r="H6396" s="63" t="str">
        <f>IFERROR(__xludf.DUMMYFUNCTION("VLOOKUP(F6396, IMPORTRANGE(""https://docs.google.com/spreadsheets/d/1Lhp9OU0JdFf_VYSMzH5lBcEaU4o8teT1piV-SNzShjg/edit?gid=554141278#gid=554141278"", ""'Char Def. - Attributes'!C20:C2242""), 1,false)"),"NET_WEIGHT")</f>
        <v>NET_WEIGHT</v>
      </c>
      <c r="I6396" s="136"/>
    </row>
    <row r="6397" ht="15.75" customHeight="1">
      <c r="B6397" s="63">
        <f t="shared" si="1"/>
        <v>17</v>
      </c>
      <c r="C6397" s="149" t="s">
        <v>291</v>
      </c>
      <c r="D6397" s="159" t="s">
        <v>74</v>
      </c>
      <c r="E6397" s="135">
        <f t="shared" si="59"/>
        <v>30</v>
      </c>
      <c r="F6397" s="151" t="s">
        <v>3601</v>
      </c>
      <c r="G6397" s="63" t="str">
        <f>VLOOKUP(C6397, 'Class Def. - General Data'!$C$20:$C$1000,1,false)</f>
        <v>ZRM1_Vit_Nutrient</v>
      </c>
      <c r="H6397" s="63" t="str">
        <f>IFERROR(__xludf.DUMMYFUNCTION("VLOOKUP(F6397, IMPORTRANGE(""https://docs.google.com/spreadsheets/d/1Lhp9OU0JdFf_VYSMzH5lBcEaU4o8teT1piV-SNzShjg/edit?gid=554141278#gid=554141278"", ""'Char Def. - Attributes'!C20:C2242""), 1,false)"),"GROSS_WEIGHT")</f>
        <v>GROSS_WEIGHT</v>
      </c>
      <c r="I6397" s="136"/>
    </row>
    <row r="6398" ht="15.75" customHeight="1">
      <c r="B6398" s="63">
        <f t="shared" si="1"/>
        <v>17</v>
      </c>
      <c r="C6398" s="149" t="s">
        <v>291</v>
      </c>
      <c r="D6398" s="159" t="s">
        <v>74</v>
      </c>
      <c r="E6398" s="135">
        <f t="shared" si="59"/>
        <v>31</v>
      </c>
      <c r="F6398" s="152" t="s">
        <v>3996</v>
      </c>
      <c r="G6398" s="63" t="str">
        <f>VLOOKUP(C6398, 'Class Def. - General Data'!$C$20:$C$1000,1,false)</f>
        <v>ZRM1_Vit_Nutrient</v>
      </c>
      <c r="H6398" s="63" t="str">
        <f>IFERROR(__xludf.DUMMYFUNCTION("VLOOKUP(F6398, IMPORTRANGE(""https://docs.google.com/spreadsheets/d/1Lhp9OU0JdFf_VYSMzH5lBcEaU4o8teT1piV-SNzShjg/edit?gid=554141278#gid=554141278"", ""'Char Def. - Attributes'!C20:C2242""), 1,false)"),"WEIGHT_UNIT")</f>
        <v>WEIGHT_UNIT</v>
      </c>
      <c r="I6398" s="136"/>
    </row>
    <row r="6399" ht="15.75" customHeight="1">
      <c r="B6399" s="63">
        <f t="shared" si="1"/>
        <v>17</v>
      </c>
      <c r="C6399" s="149" t="s">
        <v>291</v>
      </c>
      <c r="D6399" s="159" t="s">
        <v>74</v>
      </c>
      <c r="E6399" s="135">
        <f t="shared" si="59"/>
        <v>32</v>
      </c>
      <c r="F6399" s="151" t="s">
        <v>3877</v>
      </c>
      <c r="G6399" s="63" t="str">
        <f>VLOOKUP(C6399, 'Class Def. - General Data'!$C$20:$C$1000,1,false)</f>
        <v>ZRM1_Vit_Nutrient</v>
      </c>
      <c r="H6399" s="63" t="str">
        <f>IFERROR(__xludf.DUMMYFUNCTION("VLOOKUP(F6399, IMPORTRANGE(""https://docs.google.com/spreadsheets/d/1Lhp9OU0JdFf_VYSMzH5lBcEaU4o8teT1piV-SNzShjg/edit?gid=554141278#gid=554141278"", ""'Char Def. - Attributes'!C20:C2242""), 1,false)"),"VOLUME_OPT")</f>
        <v>VOLUME_OPT</v>
      </c>
      <c r="I6399" s="136"/>
    </row>
    <row r="6400" ht="15.75" customHeight="1">
      <c r="B6400" s="63">
        <f t="shared" si="1"/>
        <v>17</v>
      </c>
      <c r="C6400" s="149" t="s">
        <v>291</v>
      </c>
      <c r="D6400" s="159" t="s">
        <v>74</v>
      </c>
      <c r="E6400" s="135">
        <f t="shared" si="59"/>
        <v>33</v>
      </c>
      <c r="F6400" s="152" t="s">
        <v>3878</v>
      </c>
      <c r="G6400" s="63" t="str">
        <f>VLOOKUP(C6400, 'Class Def. - General Data'!$C$20:$C$1000,1,false)</f>
        <v>ZRM1_Vit_Nutrient</v>
      </c>
      <c r="H6400" s="63" t="str">
        <f>IFERROR(__xludf.DUMMYFUNCTION("VLOOKUP(F6400, IMPORTRANGE(""https://docs.google.com/spreadsheets/d/1Lhp9OU0JdFf_VYSMzH5lBcEaU4o8teT1piV-SNzShjg/edit?gid=554141278#gid=554141278"", ""'Char Def. - Attributes'!C20:C2242""), 1,false)"),"VOLUME_UNIT")</f>
        <v>VOLUME_UNIT</v>
      </c>
      <c r="I6400" s="136"/>
    </row>
    <row r="6401" ht="15.75" customHeight="1">
      <c r="B6401" s="63">
        <f t="shared" si="1"/>
        <v>17</v>
      </c>
      <c r="C6401" s="149" t="s">
        <v>291</v>
      </c>
      <c r="D6401" s="159" t="s">
        <v>74</v>
      </c>
      <c r="E6401" s="135">
        <f t="shared" si="59"/>
        <v>34</v>
      </c>
      <c r="F6401" s="151" t="s">
        <v>3587</v>
      </c>
      <c r="G6401" s="63" t="str">
        <f>VLOOKUP(C6401, 'Class Def. - General Data'!$C$20:$C$1000,1,false)</f>
        <v>ZRM1_Vit_Nutrient</v>
      </c>
      <c r="H6401" s="63" t="str">
        <f>IFERROR(__xludf.DUMMYFUNCTION("VLOOKUP(F6401, IMPORTRANGE(""https://docs.google.com/spreadsheets/d/1Lhp9OU0JdFf_VYSMzH5lBcEaU4o8teT1piV-SNzShjg/edit?gid=554141278#gid=554141278"", ""'Char Def. - Attributes'!C20:C2242""), 1,false)"),"PLANT_BUY")</f>
        <v>PLANT_BUY</v>
      </c>
      <c r="I6401" s="136"/>
    </row>
    <row r="6402" ht="15.75" customHeight="1">
      <c r="B6402" s="63">
        <f t="shared" si="1"/>
        <v>17</v>
      </c>
      <c r="C6402" s="149" t="s">
        <v>291</v>
      </c>
      <c r="D6402" s="159" t="s">
        <v>74</v>
      </c>
      <c r="E6402" s="135">
        <f t="shared" si="59"/>
        <v>35</v>
      </c>
      <c r="F6402" s="152" t="s">
        <v>3997</v>
      </c>
      <c r="G6402" s="63" t="str">
        <f>VLOOKUP(C6402, 'Class Def. - General Data'!$C$20:$C$1000,1,false)</f>
        <v>ZRM1_Vit_Nutrient</v>
      </c>
      <c r="H6402" s="63" t="str">
        <f>IFERROR(__xludf.DUMMYFUNCTION("VLOOKUP(F6402, IMPORTRANGE(""https://docs.google.com/spreadsheets/d/1Lhp9OU0JdFf_VYSMzH5lBcEaU4o8teT1piV-SNzShjg/edit?gid=554141278#gid=554141278"", ""'Char Def. - Attributes'!C20:C2242""), 1,false)"),"OLD_MAT_NO_RMPM_OPT")</f>
        <v>OLD_MAT_NO_RMPM_OPT</v>
      </c>
      <c r="I6402" s="136"/>
    </row>
    <row r="6403" ht="15.75" customHeight="1">
      <c r="B6403" s="63">
        <f t="shared" si="1"/>
        <v>17</v>
      </c>
      <c r="C6403" s="149" t="s">
        <v>291</v>
      </c>
      <c r="D6403" s="159" t="s">
        <v>74</v>
      </c>
      <c r="E6403" s="135">
        <f t="shared" si="59"/>
        <v>36</v>
      </c>
      <c r="F6403" s="148" t="s">
        <v>3998</v>
      </c>
      <c r="G6403" s="63" t="str">
        <f>VLOOKUP(C6403, 'Class Def. - General Data'!$C$20:$C$1000,1,false)</f>
        <v>ZRM1_Vit_Nutrient</v>
      </c>
      <c r="H6403" s="63" t="str">
        <f>IFERROR(__xludf.DUMMYFUNCTION("VLOOKUP(F6403, IMPORTRANGE(""https://docs.google.com/spreadsheets/d/1Lhp9OU0JdFf_VYSMzH5lBcEaU4o8teT1piV-SNzShjg/edit?gid=554141278#gid=554141278"", ""'Char Def. - Attributes'!C20:C2242""), 1,false)"),"MIN_STD_WEIGHT")</f>
        <v>MIN_STD_WEIGHT</v>
      </c>
      <c r="I6403" s="136"/>
    </row>
    <row r="6404" ht="15.75" customHeight="1">
      <c r="B6404" s="63">
        <f t="shared" si="1"/>
        <v>17</v>
      </c>
      <c r="C6404" s="149" t="s">
        <v>291</v>
      </c>
      <c r="D6404" s="159" t="s">
        <v>74</v>
      </c>
      <c r="E6404" s="135">
        <f t="shared" si="59"/>
        <v>37</v>
      </c>
      <c r="F6404" s="148" t="s">
        <v>3999</v>
      </c>
      <c r="G6404" s="63" t="str">
        <f>VLOOKUP(C6404, 'Class Def. - General Data'!$C$20:$C$1000,1,false)</f>
        <v>ZRM1_Vit_Nutrient</v>
      </c>
      <c r="H6404" s="63" t="str">
        <f>IFERROR(__xludf.DUMMYFUNCTION("VLOOKUP(F6404, IMPORTRANGE(""https://docs.google.com/spreadsheets/d/1Lhp9OU0JdFf_VYSMzH5lBcEaU4o8teT1piV-SNzShjg/edit?gid=554141278#gid=554141278"", ""'Char Def. - Attributes'!C20:C2242""), 1,false)"),"MIN_STD_WEIGHT_UOM")</f>
        <v>MIN_STD_WEIGHT_UOM</v>
      </c>
      <c r="I6404" s="136"/>
    </row>
    <row r="6405" ht="15.75" customHeight="1">
      <c r="B6405" s="63">
        <f t="shared" si="1"/>
        <v>14</v>
      </c>
      <c r="C6405" s="134" t="s">
        <v>184</v>
      </c>
      <c r="D6405" s="134" t="s">
        <v>74</v>
      </c>
      <c r="E6405" s="135">
        <f t="shared" si="59"/>
        <v>1</v>
      </c>
      <c r="F6405" s="134" t="s">
        <v>4036</v>
      </c>
      <c r="G6405" s="63" t="str">
        <f>VLOOKUP(C6405, 'Class Def. - General Data'!$C$20:$C$1000,1,false)</f>
        <v>ZSF1_COPRODUCT</v>
      </c>
      <c r="H6405" s="63" t="str">
        <f>IFERROR(__xludf.DUMMYFUNCTION("VLOOKUP(F6405, IMPORTRANGE(""https://docs.google.com/spreadsheets/d/1Lhp9OU0JdFf_VYSMzH5lBcEaU4o8teT1piV-SNzShjg/edit?gid=554141278#gid=554141278"", ""'Char Def. - Attributes'!C20:C2242""), 1,false)"),"NAMA_BAHAN")</f>
        <v>NAMA_BAHAN</v>
      </c>
      <c r="I6405" s="136"/>
    </row>
    <row r="6406" ht="15.75" customHeight="1">
      <c r="B6406" s="63">
        <f t="shared" si="1"/>
        <v>14</v>
      </c>
      <c r="C6406" s="134" t="s">
        <v>184</v>
      </c>
      <c r="D6406" s="134" t="s">
        <v>74</v>
      </c>
      <c r="E6406" s="135">
        <f t="shared" si="59"/>
        <v>2</v>
      </c>
      <c r="F6406" s="134" t="s">
        <v>4037</v>
      </c>
      <c r="G6406" s="63" t="str">
        <f>VLOOKUP(C6406, 'Class Def. - General Data'!$C$20:$C$1000,1,false)</f>
        <v>ZSF1_COPRODUCT</v>
      </c>
      <c r="H6406" s="63" t="str">
        <f>IFERROR(__xludf.DUMMYFUNCTION("VLOOKUP(F6406, IMPORTRANGE(""https://docs.google.com/spreadsheets/d/1Lhp9OU0JdFf_VYSMzH5lBcEaU4o8teT1piV-SNzShjg/edit?gid=554141278#gid=554141278"", ""'Char Def. - Attributes'!C20:C2242""), 1,false)"),"VARIAN_BAHAN")</f>
        <v>VARIAN_BAHAN</v>
      </c>
      <c r="I6406" s="136"/>
    </row>
    <row r="6407" ht="15.75" customHeight="1">
      <c r="B6407" s="63">
        <f t="shared" si="1"/>
        <v>14</v>
      </c>
      <c r="C6407" s="160" t="s">
        <v>184</v>
      </c>
      <c r="D6407" s="161" t="s">
        <v>74</v>
      </c>
      <c r="E6407" s="135">
        <f t="shared" si="59"/>
        <v>3</v>
      </c>
      <c r="F6407" s="134" t="s">
        <v>4038</v>
      </c>
      <c r="G6407" s="63" t="str">
        <f>VLOOKUP(C6407, 'Class Def. - General Data'!$C$20:$C$1000,1,false)</f>
        <v>ZSF1_COPRODUCT</v>
      </c>
      <c r="H6407" s="63" t="str">
        <f>IFERROR(__xludf.DUMMYFUNCTION("VLOOKUP(F6407, IMPORTRANGE(""https://docs.google.com/spreadsheets/d/1Lhp9OU0JdFf_VYSMzH5lBcEaU4o8teT1piV-SNzShjg/edit?gid=554141278#gid=554141278"", ""'Char Def. - Attributes'!C20:C2242""), 1,false)"),"SFG_SPEC")</f>
        <v>SFG_SPEC</v>
      </c>
      <c r="I6407" s="136"/>
    </row>
    <row r="6408" ht="15.75" customHeight="1">
      <c r="B6408" s="63">
        <f t="shared" si="1"/>
        <v>14</v>
      </c>
      <c r="C6408" s="160" t="s">
        <v>184</v>
      </c>
      <c r="D6408" s="161" t="s">
        <v>74</v>
      </c>
      <c r="E6408" s="135">
        <f t="shared" si="59"/>
        <v>4</v>
      </c>
      <c r="F6408" s="134" t="s">
        <v>3605</v>
      </c>
      <c r="G6408" s="63" t="str">
        <f>VLOOKUP(C6408, 'Class Def. - General Data'!$C$20:$C$1000,1,false)</f>
        <v>ZSF1_COPRODUCT</v>
      </c>
      <c r="H6408" s="63" t="str">
        <f>IFERROR(__xludf.DUMMYFUNCTION("VLOOKUP(F6408, IMPORTRANGE(""https://docs.google.com/spreadsheets/d/1Lhp9OU0JdFf_VYSMzH5lBcEaU4o8teT1piV-SNzShjg/edit?gid=554141278#gid=554141278"", ""'Char Def. - Attributes'!C20:C2242""), 1,false)"),"PACK_NETTO")</f>
        <v>PACK_NETTO</v>
      </c>
      <c r="I6408" s="136"/>
    </row>
    <row r="6409" ht="15.75" customHeight="1">
      <c r="B6409" s="63">
        <f t="shared" si="1"/>
        <v>14</v>
      </c>
      <c r="C6409" s="135" t="s">
        <v>184</v>
      </c>
      <c r="D6409" s="141" t="s">
        <v>74</v>
      </c>
      <c r="E6409" s="135">
        <f t="shared" si="59"/>
        <v>5</v>
      </c>
      <c r="F6409" s="134" t="s">
        <v>4039</v>
      </c>
      <c r="G6409" s="63" t="str">
        <f>VLOOKUP(C6409, 'Class Def. - General Data'!$C$20:$C$1000,1,false)</f>
        <v>ZSF1_COPRODUCT</v>
      </c>
      <c r="H6409" s="63" t="str">
        <f>IFERROR(__xludf.DUMMYFUNCTION("VLOOKUP(F6409, IMPORTRANGE(""https://docs.google.com/spreadsheets/d/1Lhp9OU0JdFf_VYSMzH5lBcEaU4o8teT1piV-SNzShjg/edit?gid=554141278#gid=554141278"", ""'Char Def. - Attributes'!C20:C2242""), 1,false)"),"SFG_DESTINATION")</f>
        <v>SFG_DESTINATION</v>
      </c>
      <c r="I6409" s="136"/>
    </row>
    <row r="6410" ht="15.75" customHeight="1">
      <c r="B6410" s="63">
        <f t="shared" si="1"/>
        <v>14</v>
      </c>
      <c r="C6410" s="135" t="s">
        <v>184</v>
      </c>
      <c r="D6410" s="141" t="s">
        <v>74</v>
      </c>
      <c r="E6410" s="135">
        <f t="shared" si="59"/>
        <v>6</v>
      </c>
      <c r="F6410" s="134" t="s">
        <v>3611</v>
      </c>
      <c r="G6410" s="63" t="str">
        <f>VLOOKUP(C6410, 'Class Def. - General Data'!$C$20:$C$1000,1,false)</f>
        <v>ZSF1_COPRODUCT</v>
      </c>
      <c r="H6410" s="63" t="str">
        <f>IFERROR(__xludf.DUMMYFUNCTION("VLOOKUP(F6410, IMPORTRANGE(""https://docs.google.com/spreadsheets/d/1Lhp9OU0JdFf_VYSMzH5lBcEaU4o8teT1piV-SNzShjg/edit?gid=554141278#gid=554141278"", ""'Char Def. - Attributes'!C20:C2242""), 1,false)"),"LOKAL_EKSPOR")</f>
        <v>LOKAL_EKSPOR</v>
      </c>
      <c r="I6410" s="136"/>
    </row>
    <row r="6411" ht="15.75" customHeight="1">
      <c r="B6411" s="63">
        <f t="shared" si="1"/>
        <v>14</v>
      </c>
      <c r="C6411" s="135" t="s">
        <v>184</v>
      </c>
      <c r="D6411" s="141" t="s">
        <v>74</v>
      </c>
      <c r="E6411" s="135">
        <f t="shared" si="59"/>
        <v>7</v>
      </c>
      <c r="F6411" s="134" t="s">
        <v>3612</v>
      </c>
      <c r="G6411" s="63" t="str">
        <f>VLOOKUP(C6411, 'Class Def. - General Data'!$C$20:$C$1000,1,false)</f>
        <v>ZSF1_COPRODUCT</v>
      </c>
      <c r="H6411" s="63" t="str">
        <f>IFERROR(__xludf.DUMMYFUNCTION("VLOOKUP(F6411, IMPORTRANGE(""https://docs.google.com/spreadsheets/d/1Lhp9OU0JdFf_VYSMzH5lBcEaU4o8teT1piV-SNzShjg/edit?gid=554141278#gid=554141278"", ""'Char Def. - Attributes'!C20:C2242""), 1,false)"),"COUNTRY_EKSPOR")</f>
        <v>COUNTRY_EKSPOR</v>
      </c>
      <c r="I6411" s="136"/>
    </row>
    <row r="6412" ht="15.75" customHeight="1">
      <c r="B6412" s="63">
        <f t="shared" si="1"/>
        <v>14</v>
      </c>
      <c r="C6412" s="134" t="s">
        <v>184</v>
      </c>
      <c r="D6412" s="134" t="s">
        <v>74</v>
      </c>
      <c r="E6412" s="135">
        <f t="shared" si="59"/>
        <v>8</v>
      </c>
      <c r="F6412" s="134" t="s">
        <v>4040</v>
      </c>
      <c r="G6412" s="63" t="str">
        <f>VLOOKUP(C6412, 'Class Def. - General Data'!$C$20:$C$1000,1,false)</f>
        <v>ZSF1_COPRODUCT</v>
      </c>
      <c r="H6412" s="63" t="str">
        <f>IFERROR(__xludf.DUMMYFUNCTION("VLOOKUP(F6412, IMPORTRANGE(""https://docs.google.com/spreadsheets/d/1Lhp9OU0JdFf_VYSMzH5lBcEaU4o8teT1piV-SNzShjg/edit?gid=554141278#gid=554141278"", ""'Char Def. - Attributes'!C20:C2242""), 1,false)"),"OLD_MAT_SFG")</f>
        <v>OLD_MAT_SFG</v>
      </c>
      <c r="I6412" s="136"/>
    </row>
    <row r="6413" ht="15.75" customHeight="1">
      <c r="B6413" s="63">
        <f t="shared" si="1"/>
        <v>14</v>
      </c>
      <c r="C6413" s="134" t="s">
        <v>184</v>
      </c>
      <c r="D6413" s="134" t="s">
        <v>74</v>
      </c>
      <c r="E6413" s="135">
        <f t="shared" si="59"/>
        <v>9</v>
      </c>
      <c r="F6413" s="134" t="s">
        <v>4041</v>
      </c>
      <c r="G6413" s="63" t="str">
        <f>VLOOKUP(C6413, 'Class Def. - General Data'!$C$20:$C$1000,1,false)</f>
        <v>ZSF1_COPRODUCT</v>
      </c>
      <c r="H6413" s="63" t="str">
        <f>IFERROR(__xludf.DUMMYFUNCTION("VLOOKUP(F6413, IMPORTRANGE(""https://docs.google.com/spreadsheets/d/1Lhp9OU0JdFf_VYSMzH5lBcEaU4o8teT1piV-SNzShjg/edit?gid=554141278#gid=554141278"", ""'Char Def. - Attributes'!C20:C2242""), 1,false)"),"SFG_GRADE")</f>
        <v>SFG_GRADE</v>
      </c>
      <c r="I6413" s="136"/>
    </row>
    <row r="6414" ht="15.75" customHeight="1">
      <c r="B6414" s="63">
        <f t="shared" si="1"/>
        <v>14</v>
      </c>
      <c r="C6414" s="160" t="s">
        <v>184</v>
      </c>
      <c r="D6414" s="161" t="s">
        <v>74</v>
      </c>
      <c r="E6414" s="135">
        <f t="shared" si="59"/>
        <v>10</v>
      </c>
      <c r="F6414" s="134" t="s">
        <v>3881</v>
      </c>
      <c r="G6414" s="63" t="str">
        <f>VLOOKUP(C6414, 'Class Def. - General Data'!$C$20:$C$1000,1,false)</f>
        <v>ZSF1_COPRODUCT</v>
      </c>
      <c r="H6414" s="63" t="str">
        <f>IFERROR(__xludf.DUMMYFUNCTION("VLOOKUP(F6414, IMPORTRANGE(""https://docs.google.com/spreadsheets/d/1Lhp9OU0JdFf_VYSMzH5lBcEaU4o8teT1piV-SNzShjg/edit?gid=554141278#gid=554141278"", ""'Char Def. - Attributes'!C20:C2242""), 1,false)"),"BS_BERSIH")</f>
        <v>BS_BERSIH</v>
      </c>
      <c r="I6414" s="136"/>
    </row>
    <row r="6415" ht="15.75" customHeight="1">
      <c r="B6415" s="63">
        <f t="shared" si="1"/>
        <v>14</v>
      </c>
      <c r="C6415" s="160" t="s">
        <v>184</v>
      </c>
      <c r="D6415" s="161" t="s">
        <v>74</v>
      </c>
      <c r="E6415" s="135">
        <f t="shared" si="59"/>
        <v>11</v>
      </c>
      <c r="F6415" s="134" t="s">
        <v>3882</v>
      </c>
      <c r="G6415" s="63" t="str">
        <f>VLOOKUP(C6415, 'Class Def. - General Data'!$C$20:$C$1000,1,false)</f>
        <v>ZSF1_COPRODUCT</v>
      </c>
      <c r="H6415" s="63" t="str">
        <f>IFERROR(__xludf.DUMMYFUNCTION("VLOOKUP(F6415, IMPORTRANGE(""https://docs.google.com/spreadsheets/d/1Lhp9OU0JdFf_VYSMzH5lBcEaU4o8teT1piV-SNzShjg/edit?gid=554141278#gid=554141278"", ""'Char Def. - Attributes'!C20:C2242""), 1,false)"),"BS_KOTOR")</f>
        <v>BS_KOTOR</v>
      </c>
      <c r="I6415" s="136"/>
    </row>
    <row r="6416" ht="15.75" customHeight="1">
      <c r="B6416" s="63">
        <f t="shared" si="1"/>
        <v>14</v>
      </c>
      <c r="C6416" s="160" t="s">
        <v>184</v>
      </c>
      <c r="D6416" s="161" t="s">
        <v>74</v>
      </c>
      <c r="E6416" s="135">
        <f t="shared" si="59"/>
        <v>12</v>
      </c>
      <c r="F6416" s="134" t="s">
        <v>3883</v>
      </c>
      <c r="G6416" s="63" t="str">
        <f>VLOOKUP(C6416, 'Class Def. - General Data'!$C$20:$C$1000,1,false)</f>
        <v>ZSF1_COPRODUCT</v>
      </c>
      <c r="H6416" s="63" t="str">
        <f>IFERROR(__xludf.DUMMYFUNCTION("VLOOKUP(F6416, IMPORTRANGE(""https://docs.google.com/spreadsheets/d/1Lhp9OU0JdFf_VYSMzH5lBcEaU4o8teT1piV-SNzShjg/edit?gid=554141278#gid=554141278"", ""'Char Def. - Attributes'!C20:C2242""), 1,false)"),"BS_SCRAP")</f>
        <v>BS_SCRAP</v>
      </c>
      <c r="I6416" s="136"/>
    </row>
    <row r="6417" ht="15.75" customHeight="1">
      <c r="B6417" s="63">
        <f t="shared" si="1"/>
        <v>14</v>
      </c>
      <c r="C6417" s="134" t="s">
        <v>184</v>
      </c>
      <c r="D6417" s="134" t="s">
        <v>74</v>
      </c>
      <c r="E6417" s="135">
        <f t="shared" si="59"/>
        <v>13</v>
      </c>
      <c r="F6417" s="134" t="s">
        <v>3582</v>
      </c>
      <c r="G6417" s="63" t="str">
        <f>VLOOKUP(C6417, 'Class Def. - General Data'!$C$20:$C$1000,1,false)</f>
        <v>ZSF1_COPRODUCT</v>
      </c>
      <c r="H6417" s="63" t="str">
        <f>IFERROR(__xludf.DUMMYFUNCTION("VLOOKUP(F6417, IMPORTRANGE(""https://docs.google.com/spreadsheets/d/1Lhp9OU0JdFf_VYSMzH5lBcEaU4o8teT1piV-SNzShjg/edit?gid=554141278#gid=554141278"", ""'Char Def. - Attributes'!C20:C2242""), 1,false)"),"BASE_UNIT")</f>
        <v>BASE_UNIT</v>
      </c>
      <c r="I6417" s="136"/>
    </row>
    <row r="6418" ht="15.75" customHeight="1">
      <c r="B6418" s="63">
        <f t="shared" si="1"/>
        <v>14</v>
      </c>
      <c r="C6418" s="134" t="s">
        <v>184</v>
      </c>
      <c r="D6418" s="134" t="s">
        <v>74</v>
      </c>
      <c r="E6418" s="135">
        <f t="shared" si="59"/>
        <v>14</v>
      </c>
      <c r="F6418" s="134" t="s">
        <v>3595</v>
      </c>
      <c r="G6418" s="63" t="str">
        <f>VLOOKUP(C6418, 'Class Def. - General Data'!$C$20:$C$1000,1,false)</f>
        <v>ZSF1_COPRODUCT</v>
      </c>
      <c r="H6418" s="63" t="str">
        <f>IFERROR(__xludf.DUMMYFUNCTION("VLOOKUP(F6418, IMPORTRANGE(""https://docs.google.com/spreadsheets/d/1Lhp9OU0JdFf_VYSMzH5lBcEaU4o8teT1piV-SNzShjg/edit?gid=554141278#gid=554141278"", ""'Char Def. - Attributes'!C20:C2242""), 1,false)"),"UOM1")</f>
        <v>UOM1</v>
      </c>
      <c r="I6418" s="136"/>
    </row>
    <row r="6419" ht="15.75" customHeight="1">
      <c r="B6419" s="63">
        <f t="shared" si="1"/>
        <v>14</v>
      </c>
      <c r="C6419" s="134" t="s">
        <v>184</v>
      </c>
      <c r="D6419" s="134" t="s">
        <v>74</v>
      </c>
      <c r="E6419" s="135">
        <f t="shared" si="59"/>
        <v>15</v>
      </c>
      <c r="F6419" s="134" t="s">
        <v>3596</v>
      </c>
      <c r="G6419" s="63" t="str">
        <f>VLOOKUP(C6419, 'Class Def. - General Data'!$C$20:$C$1000,1,false)</f>
        <v>ZSF1_COPRODUCT</v>
      </c>
      <c r="H6419" s="63" t="str">
        <f>IFERROR(__xludf.DUMMYFUNCTION("VLOOKUP(F6419, IMPORTRANGE(""https://docs.google.com/spreadsheets/d/1Lhp9OU0JdFf_VYSMzH5lBcEaU4o8teT1piV-SNzShjg/edit?gid=554141278#gid=554141278"", ""'Char Def. - Attributes'!C20:C2242""), 1,false)"),"CONV1")</f>
        <v>CONV1</v>
      </c>
      <c r="I6419" s="136"/>
    </row>
    <row r="6420" ht="15.75" customHeight="1">
      <c r="B6420" s="63">
        <f t="shared" si="1"/>
        <v>14</v>
      </c>
      <c r="C6420" s="134" t="s">
        <v>184</v>
      </c>
      <c r="D6420" s="134" t="s">
        <v>74</v>
      </c>
      <c r="E6420" s="135">
        <f t="shared" si="59"/>
        <v>16</v>
      </c>
      <c r="F6420" s="134" t="s">
        <v>3597</v>
      </c>
      <c r="G6420" s="63" t="str">
        <f>VLOOKUP(C6420, 'Class Def. - General Data'!$C$20:$C$1000,1,false)</f>
        <v>ZSF1_COPRODUCT</v>
      </c>
      <c r="H6420" s="63" t="str">
        <f>IFERROR(__xludf.DUMMYFUNCTION("VLOOKUP(F6420, IMPORTRANGE(""https://docs.google.com/spreadsheets/d/1Lhp9OU0JdFf_VYSMzH5lBcEaU4o8teT1piV-SNzShjg/edit?gid=554141278#gid=554141278"", ""'Char Def. - Attributes'!C20:C2242""), 1,false)"),"UOM2")</f>
        <v>UOM2</v>
      </c>
      <c r="I6420" s="136"/>
    </row>
    <row r="6421" ht="15.75" customHeight="1">
      <c r="B6421" s="63">
        <f t="shared" si="1"/>
        <v>14</v>
      </c>
      <c r="C6421" s="134" t="s">
        <v>184</v>
      </c>
      <c r="D6421" s="134" t="s">
        <v>74</v>
      </c>
      <c r="E6421" s="135">
        <f t="shared" si="59"/>
        <v>17</v>
      </c>
      <c r="F6421" s="134" t="s">
        <v>3598</v>
      </c>
      <c r="G6421" s="63" t="str">
        <f>VLOOKUP(C6421, 'Class Def. - General Data'!$C$20:$C$1000,1,false)</f>
        <v>ZSF1_COPRODUCT</v>
      </c>
      <c r="H6421" s="63" t="str">
        <f>IFERROR(__xludf.DUMMYFUNCTION("VLOOKUP(F6421, IMPORTRANGE(""https://docs.google.com/spreadsheets/d/1Lhp9OU0JdFf_VYSMzH5lBcEaU4o8teT1piV-SNzShjg/edit?gid=554141278#gid=554141278"", ""'Char Def. - Attributes'!C20:C2242""), 1,false)"),"CONV2")</f>
        <v>CONV2</v>
      </c>
      <c r="I6421" s="136"/>
    </row>
    <row r="6422" ht="15.75" customHeight="1">
      <c r="B6422" s="63">
        <f t="shared" si="1"/>
        <v>14</v>
      </c>
      <c r="C6422" s="134" t="s">
        <v>184</v>
      </c>
      <c r="D6422" s="134" t="s">
        <v>74</v>
      </c>
      <c r="E6422" s="135">
        <f t="shared" si="59"/>
        <v>18</v>
      </c>
      <c r="F6422" s="134" t="s">
        <v>3599</v>
      </c>
      <c r="G6422" s="63" t="str">
        <f>VLOOKUP(C6422, 'Class Def. - General Data'!$C$20:$C$1000,1,false)</f>
        <v>ZSF1_COPRODUCT</v>
      </c>
      <c r="H6422" s="63" t="str">
        <f>IFERROR(__xludf.DUMMYFUNCTION("VLOOKUP(F6422, IMPORTRANGE(""https://docs.google.com/spreadsheets/d/1Lhp9OU0JdFf_VYSMzH5lBcEaU4o8teT1piV-SNzShjg/edit?gid=554141278#gid=554141278"", ""'Char Def. - Attributes'!C20:C2242""), 1,false)"),"UOM3")</f>
        <v>UOM3</v>
      </c>
      <c r="I6422" s="136"/>
    </row>
    <row r="6423" ht="15.75" customHeight="1">
      <c r="B6423" s="63">
        <f t="shared" si="1"/>
        <v>14</v>
      </c>
      <c r="C6423" s="134" t="s">
        <v>184</v>
      </c>
      <c r="D6423" s="134" t="s">
        <v>74</v>
      </c>
      <c r="E6423" s="135">
        <f t="shared" si="59"/>
        <v>19</v>
      </c>
      <c r="F6423" s="134" t="s">
        <v>3600</v>
      </c>
      <c r="G6423" s="63" t="str">
        <f>VLOOKUP(C6423, 'Class Def. - General Data'!$C$20:$C$1000,1,false)</f>
        <v>ZSF1_COPRODUCT</v>
      </c>
      <c r="H6423" s="63" t="str">
        <f>IFERROR(__xludf.DUMMYFUNCTION("VLOOKUP(F6423, IMPORTRANGE(""https://docs.google.com/spreadsheets/d/1Lhp9OU0JdFf_VYSMzH5lBcEaU4o8teT1piV-SNzShjg/edit?gid=554141278#gid=554141278"", ""'Char Def. - Attributes'!C20:C2242""), 1,false)"),"CONV3")</f>
        <v>CONV3</v>
      </c>
      <c r="I6423" s="136"/>
    </row>
    <row r="6424" ht="15.75" customHeight="1">
      <c r="B6424" s="63">
        <f t="shared" si="1"/>
        <v>14</v>
      </c>
      <c r="C6424" s="134" t="s">
        <v>184</v>
      </c>
      <c r="D6424" s="134" t="s">
        <v>74</v>
      </c>
      <c r="E6424" s="135">
        <f t="shared" si="59"/>
        <v>20</v>
      </c>
      <c r="F6424" s="134" t="s">
        <v>3601</v>
      </c>
      <c r="G6424" s="63" t="str">
        <f>VLOOKUP(C6424, 'Class Def. - General Data'!$C$20:$C$1000,1,false)</f>
        <v>ZSF1_COPRODUCT</v>
      </c>
      <c r="H6424" s="63" t="str">
        <f>IFERROR(__xludf.DUMMYFUNCTION("VLOOKUP(F6424, IMPORTRANGE(""https://docs.google.com/spreadsheets/d/1Lhp9OU0JdFf_VYSMzH5lBcEaU4o8teT1piV-SNzShjg/edit?gid=554141278#gid=554141278"", ""'Char Def. - Attributes'!C20:C2242""), 1,false)"),"GROSS_WEIGHT")</f>
        <v>GROSS_WEIGHT</v>
      </c>
      <c r="I6424" s="136"/>
    </row>
    <row r="6425" ht="15.75" customHeight="1">
      <c r="B6425" s="63">
        <f t="shared" si="1"/>
        <v>14</v>
      </c>
      <c r="C6425" s="134" t="s">
        <v>184</v>
      </c>
      <c r="D6425" s="134" t="s">
        <v>74</v>
      </c>
      <c r="E6425" s="135">
        <f t="shared" si="59"/>
        <v>21</v>
      </c>
      <c r="F6425" s="134" t="s">
        <v>3602</v>
      </c>
      <c r="G6425" s="63" t="str">
        <f>VLOOKUP(C6425, 'Class Def. - General Data'!$C$20:$C$1000,1,false)</f>
        <v>ZSF1_COPRODUCT</v>
      </c>
      <c r="H6425" s="63" t="str">
        <f>IFERROR(__xludf.DUMMYFUNCTION("VLOOKUP(F6425, IMPORTRANGE(""https://docs.google.com/spreadsheets/d/1Lhp9OU0JdFf_VYSMzH5lBcEaU4o8teT1piV-SNzShjg/edit?gid=554141278#gid=554141278"", ""'Char Def. - Attributes'!C20:C2242""), 1,false)"),"NET_WEIGHT")</f>
        <v>NET_WEIGHT</v>
      </c>
      <c r="I6425" s="136"/>
    </row>
    <row r="6426" ht="15.75" customHeight="1">
      <c r="B6426" s="63">
        <f t="shared" si="1"/>
        <v>14</v>
      </c>
      <c r="C6426" s="134" t="s">
        <v>184</v>
      </c>
      <c r="D6426" s="134" t="s">
        <v>74</v>
      </c>
      <c r="E6426" s="135">
        <f t="shared" si="59"/>
        <v>22</v>
      </c>
      <c r="F6426" s="134" t="s">
        <v>3603</v>
      </c>
      <c r="G6426" s="63" t="str">
        <f>VLOOKUP(C6426, 'Class Def. - General Data'!$C$20:$C$1000,1,false)</f>
        <v>ZSF1_COPRODUCT</v>
      </c>
      <c r="H6426" s="63" t="str">
        <f>IFERROR(__xludf.DUMMYFUNCTION("VLOOKUP(F6426, IMPORTRANGE(""https://docs.google.com/spreadsheets/d/1Lhp9OU0JdFf_VYSMzH5lBcEaU4o8teT1piV-SNzShjg/edit?gid=554141278#gid=554141278"", ""'Char Def. - Attributes'!C20:C2242""), 1,false)"),"VOLUME")</f>
        <v>VOLUME</v>
      </c>
      <c r="I6426" s="136"/>
    </row>
    <row r="6427" ht="15.75" customHeight="1">
      <c r="B6427" s="63">
        <f t="shared" si="1"/>
        <v>14</v>
      </c>
      <c r="C6427" s="134" t="s">
        <v>184</v>
      </c>
      <c r="D6427" s="134" t="s">
        <v>74</v>
      </c>
      <c r="E6427" s="135">
        <f t="shared" si="59"/>
        <v>23</v>
      </c>
      <c r="F6427" s="134" t="s">
        <v>3586</v>
      </c>
      <c r="G6427" s="63" t="str">
        <f>VLOOKUP(C6427, 'Class Def. - General Data'!$C$20:$C$1000,1,false)</f>
        <v>ZSF1_COPRODUCT</v>
      </c>
      <c r="H6427" s="63" t="str">
        <f>IFERROR(__xludf.DUMMYFUNCTION("VLOOKUP(F6427, IMPORTRANGE(""https://docs.google.com/spreadsheets/d/1Lhp9OU0JdFf_VYSMzH5lBcEaU4o8teT1piV-SNzShjg/edit?gid=554141278#gid=554141278"", ""'Char Def. - Attributes'!C20:C2242""), 1,false)"),"PLANT_PROD")</f>
        <v>PLANT_PROD</v>
      </c>
      <c r="I6427" s="136"/>
    </row>
    <row r="6428" ht="15.75" customHeight="1">
      <c r="B6428" s="63">
        <f t="shared" si="1"/>
        <v>14</v>
      </c>
      <c r="C6428" s="134" t="s">
        <v>184</v>
      </c>
      <c r="D6428" s="134" t="s">
        <v>74</v>
      </c>
      <c r="E6428" s="135">
        <f t="shared" si="59"/>
        <v>24</v>
      </c>
      <c r="F6428" s="134" t="s">
        <v>3587</v>
      </c>
      <c r="G6428" s="63" t="str">
        <f>VLOOKUP(C6428, 'Class Def. - General Data'!$C$20:$C$1000,1,false)</f>
        <v>ZSF1_COPRODUCT</v>
      </c>
      <c r="H6428" s="63" t="str">
        <f>IFERROR(__xludf.DUMMYFUNCTION("VLOOKUP(F6428, IMPORTRANGE(""https://docs.google.com/spreadsheets/d/1Lhp9OU0JdFf_VYSMzH5lBcEaU4o8teT1piV-SNzShjg/edit?gid=554141278#gid=554141278"", ""'Char Def. - Attributes'!C20:C2242""), 1,false)"),"PLANT_BUY")</f>
        <v>PLANT_BUY</v>
      </c>
      <c r="I6428" s="136"/>
    </row>
    <row r="6429" ht="15.75" customHeight="1">
      <c r="B6429" s="63">
        <f t="shared" si="1"/>
        <v>19</v>
      </c>
      <c r="C6429" s="135" t="s">
        <v>559</v>
      </c>
      <c r="D6429" s="134" t="s">
        <v>74</v>
      </c>
      <c r="E6429" s="135">
        <f t="shared" si="59"/>
        <v>1</v>
      </c>
      <c r="F6429" s="134" t="s">
        <v>4036</v>
      </c>
      <c r="G6429" s="63" t="str">
        <f>VLOOKUP(C6429, 'Class Def. - General Data'!$C$20:$C$1000,1,false)</f>
        <v>ZSF1_INTD_CONTDRYER</v>
      </c>
      <c r="H6429" s="63" t="str">
        <f>IFERROR(__xludf.DUMMYFUNCTION("VLOOKUP(F6429, IMPORTRANGE(""https://docs.google.com/spreadsheets/d/1Lhp9OU0JdFf_VYSMzH5lBcEaU4o8teT1piV-SNzShjg/edit?gid=554141278#gid=554141278"", ""'Char Def. - Attributes'!C20:C2242""), 1,false)"),"NAMA_BAHAN")</f>
        <v>NAMA_BAHAN</v>
      </c>
      <c r="I6429" s="136"/>
    </row>
    <row r="6430" ht="15.75" customHeight="1">
      <c r="B6430" s="63">
        <f t="shared" si="1"/>
        <v>19</v>
      </c>
      <c r="C6430" s="135" t="s">
        <v>559</v>
      </c>
      <c r="D6430" s="134" t="s">
        <v>74</v>
      </c>
      <c r="E6430" s="135">
        <f t="shared" si="59"/>
        <v>2</v>
      </c>
      <c r="F6430" s="134" t="s">
        <v>4037</v>
      </c>
      <c r="G6430" s="63" t="str">
        <f>VLOOKUP(C6430, 'Class Def. - General Data'!$C$20:$C$1000,1,false)</f>
        <v>ZSF1_INTD_CONTDRYER</v>
      </c>
      <c r="H6430" s="63" t="str">
        <f>IFERROR(__xludf.DUMMYFUNCTION("VLOOKUP(F6430, IMPORTRANGE(""https://docs.google.com/spreadsheets/d/1Lhp9OU0JdFf_VYSMzH5lBcEaU4o8teT1piV-SNzShjg/edit?gid=554141278#gid=554141278"", ""'Char Def. - Attributes'!C20:C2242""), 1,false)"),"VARIAN_BAHAN")</f>
        <v>VARIAN_BAHAN</v>
      </c>
      <c r="I6430" s="136"/>
    </row>
    <row r="6431" ht="15.75" customHeight="1">
      <c r="B6431" s="63">
        <f t="shared" si="1"/>
        <v>19</v>
      </c>
      <c r="C6431" s="135" t="s">
        <v>559</v>
      </c>
      <c r="D6431" s="161" t="s">
        <v>74</v>
      </c>
      <c r="E6431" s="135">
        <f t="shared" si="59"/>
        <v>3</v>
      </c>
      <c r="F6431" s="134" t="s">
        <v>4038</v>
      </c>
      <c r="G6431" s="63" t="str">
        <f>VLOOKUP(C6431, 'Class Def. - General Data'!$C$20:$C$1000,1,false)</f>
        <v>ZSF1_INTD_CONTDRYER</v>
      </c>
      <c r="H6431" s="63" t="str">
        <f>IFERROR(__xludf.DUMMYFUNCTION("VLOOKUP(F6431, IMPORTRANGE(""https://docs.google.com/spreadsheets/d/1Lhp9OU0JdFf_VYSMzH5lBcEaU4o8teT1piV-SNzShjg/edit?gid=554141278#gid=554141278"", ""'Char Def. - Attributes'!C20:C2242""), 1,false)"),"SFG_SPEC")</f>
        <v>SFG_SPEC</v>
      </c>
      <c r="I6431" s="136"/>
    </row>
    <row r="6432" ht="15.75" customHeight="1">
      <c r="B6432" s="63">
        <f t="shared" si="1"/>
        <v>19</v>
      </c>
      <c r="C6432" s="135" t="s">
        <v>559</v>
      </c>
      <c r="D6432" s="161" t="s">
        <v>74</v>
      </c>
      <c r="E6432" s="135">
        <f t="shared" si="59"/>
        <v>4</v>
      </c>
      <c r="F6432" s="134" t="s">
        <v>3605</v>
      </c>
      <c r="G6432" s="63" t="str">
        <f>VLOOKUP(C6432, 'Class Def. - General Data'!$C$20:$C$1000,1,false)</f>
        <v>ZSF1_INTD_CONTDRYER</v>
      </c>
      <c r="H6432" s="63" t="str">
        <f>IFERROR(__xludf.DUMMYFUNCTION("VLOOKUP(F6432, IMPORTRANGE(""https://docs.google.com/spreadsheets/d/1Lhp9OU0JdFf_VYSMzH5lBcEaU4o8teT1piV-SNzShjg/edit?gid=554141278#gid=554141278"", ""'Char Def. - Attributes'!C20:C2242""), 1,false)"),"PACK_NETTO")</f>
        <v>PACK_NETTO</v>
      </c>
      <c r="I6432" s="136"/>
    </row>
    <row r="6433" ht="15.75" customHeight="1">
      <c r="B6433" s="63">
        <f t="shared" si="1"/>
        <v>19</v>
      </c>
      <c r="C6433" s="135" t="s">
        <v>559</v>
      </c>
      <c r="D6433" s="141" t="s">
        <v>74</v>
      </c>
      <c r="E6433" s="135">
        <f t="shared" si="59"/>
        <v>5</v>
      </c>
      <c r="F6433" s="134" t="s">
        <v>4039</v>
      </c>
      <c r="G6433" s="63" t="str">
        <f>VLOOKUP(C6433, 'Class Def. - General Data'!$C$20:$C$1000,1,false)</f>
        <v>ZSF1_INTD_CONTDRYER</v>
      </c>
      <c r="H6433" s="63" t="str">
        <f>IFERROR(__xludf.DUMMYFUNCTION("VLOOKUP(F6433, IMPORTRANGE(""https://docs.google.com/spreadsheets/d/1Lhp9OU0JdFf_VYSMzH5lBcEaU4o8teT1piV-SNzShjg/edit?gid=554141278#gid=554141278"", ""'Char Def. - Attributes'!C20:C2242""), 1,false)"),"SFG_DESTINATION")</f>
        <v>SFG_DESTINATION</v>
      </c>
      <c r="I6433" s="136"/>
    </row>
    <row r="6434" ht="15.75" customHeight="1">
      <c r="B6434" s="63">
        <f t="shared" si="1"/>
        <v>19</v>
      </c>
      <c r="C6434" s="135" t="s">
        <v>559</v>
      </c>
      <c r="D6434" s="141" t="s">
        <v>74</v>
      </c>
      <c r="E6434" s="135">
        <f t="shared" si="59"/>
        <v>6</v>
      </c>
      <c r="F6434" s="134" t="s">
        <v>3611</v>
      </c>
      <c r="G6434" s="63" t="str">
        <f>VLOOKUP(C6434, 'Class Def. - General Data'!$C$20:$C$1000,1,false)</f>
        <v>ZSF1_INTD_CONTDRYER</v>
      </c>
      <c r="H6434" s="63" t="str">
        <f>IFERROR(__xludf.DUMMYFUNCTION("VLOOKUP(F6434, IMPORTRANGE(""https://docs.google.com/spreadsheets/d/1Lhp9OU0JdFf_VYSMzH5lBcEaU4o8teT1piV-SNzShjg/edit?gid=554141278#gid=554141278"", ""'Char Def. - Attributes'!C20:C2242""), 1,false)"),"LOKAL_EKSPOR")</f>
        <v>LOKAL_EKSPOR</v>
      </c>
      <c r="I6434" s="136"/>
    </row>
    <row r="6435" ht="15.75" customHeight="1">
      <c r="B6435" s="63">
        <f t="shared" si="1"/>
        <v>19</v>
      </c>
      <c r="C6435" s="135" t="s">
        <v>559</v>
      </c>
      <c r="D6435" s="141" t="s">
        <v>74</v>
      </c>
      <c r="E6435" s="135">
        <f t="shared" si="59"/>
        <v>7</v>
      </c>
      <c r="F6435" s="134" t="s">
        <v>3612</v>
      </c>
      <c r="G6435" s="63" t="str">
        <f>VLOOKUP(C6435, 'Class Def. - General Data'!$C$20:$C$1000,1,false)</f>
        <v>ZSF1_INTD_CONTDRYER</v>
      </c>
      <c r="H6435" s="63" t="str">
        <f>IFERROR(__xludf.DUMMYFUNCTION("VLOOKUP(F6435, IMPORTRANGE(""https://docs.google.com/spreadsheets/d/1Lhp9OU0JdFf_VYSMzH5lBcEaU4o8teT1piV-SNzShjg/edit?gid=554141278#gid=554141278"", ""'Char Def. - Attributes'!C20:C2242""), 1,false)"),"COUNTRY_EKSPOR")</f>
        <v>COUNTRY_EKSPOR</v>
      </c>
      <c r="I6435" s="136"/>
    </row>
    <row r="6436" ht="15.75" customHeight="1">
      <c r="B6436" s="63">
        <f t="shared" si="1"/>
        <v>19</v>
      </c>
      <c r="C6436" s="135" t="s">
        <v>559</v>
      </c>
      <c r="D6436" s="134" t="s">
        <v>74</v>
      </c>
      <c r="E6436" s="135">
        <f t="shared" si="59"/>
        <v>8</v>
      </c>
      <c r="F6436" s="134" t="s">
        <v>4040</v>
      </c>
      <c r="G6436" s="63" t="str">
        <f>VLOOKUP(C6436, 'Class Def. - General Data'!$C$20:$C$1000,1,false)</f>
        <v>ZSF1_INTD_CONTDRYER</v>
      </c>
      <c r="H6436" s="63" t="str">
        <f>IFERROR(__xludf.DUMMYFUNCTION("VLOOKUP(F6436, IMPORTRANGE(""https://docs.google.com/spreadsheets/d/1Lhp9OU0JdFf_VYSMzH5lBcEaU4o8teT1piV-SNzShjg/edit?gid=554141278#gid=554141278"", ""'Char Def. - Attributes'!C20:C2242""), 1,false)"),"OLD_MAT_SFG")</f>
        <v>OLD_MAT_SFG</v>
      </c>
      <c r="I6436" s="136"/>
    </row>
    <row r="6437" ht="15.75" customHeight="1">
      <c r="B6437" s="63">
        <f t="shared" si="1"/>
        <v>19</v>
      </c>
      <c r="C6437" s="135" t="s">
        <v>559</v>
      </c>
      <c r="D6437" s="134" t="s">
        <v>74</v>
      </c>
      <c r="E6437" s="135">
        <f t="shared" si="59"/>
        <v>9</v>
      </c>
      <c r="F6437" s="134" t="s">
        <v>4041</v>
      </c>
      <c r="G6437" s="63" t="str">
        <f>VLOOKUP(C6437, 'Class Def. - General Data'!$C$20:$C$1000,1,false)</f>
        <v>ZSF1_INTD_CONTDRYER</v>
      </c>
      <c r="H6437" s="63" t="str">
        <f>IFERROR(__xludf.DUMMYFUNCTION("VLOOKUP(F6437, IMPORTRANGE(""https://docs.google.com/spreadsheets/d/1Lhp9OU0JdFf_VYSMzH5lBcEaU4o8teT1piV-SNzShjg/edit?gid=554141278#gid=554141278"", ""'Char Def. - Attributes'!C20:C2242""), 1,false)"),"SFG_GRADE")</f>
        <v>SFG_GRADE</v>
      </c>
      <c r="I6437" s="136"/>
    </row>
    <row r="6438" ht="15.75" customHeight="1">
      <c r="B6438" s="63">
        <f t="shared" si="1"/>
        <v>19</v>
      </c>
      <c r="C6438" s="135" t="s">
        <v>559</v>
      </c>
      <c r="D6438" s="161" t="s">
        <v>74</v>
      </c>
      <c r="E6438" s="135">
        <f t="shared" si="59"/>
        <v>10</v>
      </c>
      <c r="F6438" s="134" t="s">
        <v>3881</v>
      </c>
      <c r="G6438" s="63" t="str">
        <f>VLOOKUP(C6438, 'Class Def. - General Data'!$C$20:$C$1000,1,false)</f>
        <v>ZSF1_INTD_CONTDRYER</v>
      </c>
      <c r="H6438" s="63" t="str">
        <f>IFERROR(__xludf.DUMMYFUNCTION("VLOOKUP(F6438, IMPORTRANGE(""https://docs.google.com/spreadsheets/d/1Lhp9OU0JdFf_VYSMzH5lBcEaU4o8teT1piV-SNzShjg/edit?gid=554141278#gid=554141278"", ""'Char Def. - Attributes'!C20:C2242""), 1,false)"),"BS_BERSIH")</f>
        <v>BS_BERSIH</v>
      </c>
      <c r="I6438" s="136"/>
    </row>
    <row r="6439" ht="15.75" customHeight="1">
      <c r="B6439" s="63">
        <f t="shared" si="1"/>
        <v>19</v>
      </c>
      <c r="C6439" s="135" t="s">
        <v>559</v>
      </c>
      <c r="D6439" s="161" t="s">
        <v>74</v>
      </c>
      <c r="E6439" s="135">
        <f t="shared" si="59"/>
        <v>11</v>
      </c>
      <c r="F6439" s="134" t="s">
        <v>3882</v>
      </c>
      <c r="G6439" s="63" t="str">
        <f>VLOOKUP(C6439, 'Class Def. - General Data'!$C$20:$C$1000,1,false)</f>
        <v>ZSF1_INTD_CONTDRYER</v>
      </c>
      <c r="H6439" s="63" t="str">
        <f>IFERROR(__xludf.DUMMYFUNCTION("VLOOKUP(F6439, IMPORTRANGE(""https://docs.google.com/spreadsheets/d/1Lhp9OU0JdFf_VYSMzH5lBcEaU4o8teT1piV-SNzShjg/edit?gid=554141278#gid=554141278"", ""'Char Def. - Attributes'!C20:C2242""), 1,false)"),"BS_KOTOR")</f>
        <v>BS_KOTOR</v>
      </c>
      <c r="I6439" s="136"/>
    </row>
    <row r="6440" ht="15.75" customHeight="1">
      <c r="B6440" s="63">
        <f t="shared" si="1"/>
        <v>19</v>
      </c>
      <c r="C6440" s="135" t="s">
        <v>559</v>
      </c>
      <c r="D6440" s="161" t="s">
        <v>74</v>
      </c>
      <c r="E6440" s="135">
        <f t="shared" si="59"/>
        <v>12</v>
      </c>
      <c r="F6440" s="134" t="s">
        <v>3883</v>
      </c>
      <c r="G6440" s="63" t="str">
        <f>VLOOKUP(C6440, 'Class Def. - General Data'!$C$20:$C$1000,1,false)</f>
        <v>ZSF1_INTD_CONTDRYER</v>
      </c>
      <c r="H6440" s="63" t="str">
        <f>IFERROR(__xludf.DUMMYFUNCTION("VLOOKUP(F6440, IMPORTRANGE(""https://docs.google.com/spreadsheets/d/1Lhp9OU0JdFf_VYSMzH5lBcEaU4o8teT1piV-SNzShjg/edit?gid=554141278#gid=554141278"", ""'Char Def. - Attributes'!C20:C2242""), 1,false)"),"BS_SCRAP")</f>
        <v>BS_SCRAP</v>
      </c>
      <c r="I6440" s="136"/>
    </row>
    <row r="6441" ht="15.75" customHeight="1">
      <c r="B6441" s="63">
        <f t="shared" si="1"/>
        <v>19</v>
      </c>
      <c r="C6441" s="135" t="s">
        <v>559</v>
      </c>
      <c r="D6441" s="134" t="s">
        <v>74</v>
      </c>
      <c r="E6441" s="135">
        <f t="shared" si="59"/>
        <v>13</v>
      </c>
      <c r="F6441" s="134" t="s">
        <v>3582</v>
      </c>
      <c r="G6441" s="63" t="str">
        <f>VLOOKUP(C6441, 'Class Def. - General Data'!$C$20:$C$1000,1,false)</f>
        <v>ZSF1_INTD_CONTDRYER</v>
      </c>
      <c r="H6441" s="63" t="str">
        <f>IFERROR(__xludf.DUMMYFUNCTION("VLOOKUP(F6441, IMPORTRANGE(""https://docs.google.com/spreadsheets/d/1Lhp9OU0JdFf_VYSMzH5lBcEaU4o8teT1piV-SNzShjg/edit?gid=554141278#gid=554141278"", ""'Char Def. - Attributes'!C20:C2242""), 1,false)"),"BASE_UNIT")</f>
        <v>BASE_UNIT</v>
      </c>
      <c r="I6441" s="136"/>
    </row>
    <row r="6442" ht="15.75" customHeight="1">
      <c r="B6442" s="63">
        <f t="shared" si="1"/>
        <v>19</v>
      </c>
      <c r="C6442" s="135" t="s">
        <v>559</v>
      </c>
      <c r="D6442" s="134" t="s">
        <v>74</v>
      </c>
      <c r="E6442" s="135">
        <f t="shared" si="59"/>
        <v>14</v>
      </c>
      <c r="F6442" s="134" t="s">
        <v>3595</v>
      </c>
      <c r="G6442" s="63" t="str">
        <f>VLOOKUP(C6442, 'Class Def. - General Data'!$C$20:$C$1000,1,false)</f>
        <v>ZSF1_INTD_CONTDRYER</v>
      </c>
      <c r="H6442" s="63" t="str">
        <f>IFERROR(__xludf.DUMMYFUNCTION("VLOOKUP(F6442, IMPORTRANGE(""https://docs.google.com/spreadsheets/d/1Lhp9OU0JdFf_VYSMzH5lBcEaU4o8teT1piV-SNzShjg/edit?gid=554141278#gid=554141278"", ""'Char Def. - Attributes'!C20:C2242""), 1,false)"),"UOM1")</f>
        <v>UOM1</v>
      </c>
      <c r="I6442" s="136"/>
    </row>
    <row r="6443" ht="15.75" customHeight="1">
      <c r="B6443" s="63">
        <f t="shared" si="1"/>
        <v>19</v>
      </c>
      <c r="C6443" s="135" t="s">
        <v>559</v>
      </c>
      <c r="D6443" s="134" t="s">
        <v>74</v>
      </c>
      <c r="E6443" s="135">
        <f t="shared" si="59"/>
        <v>15</v>
      </c>
      <c r="F6443" s="134" t="s">
        <v>3596</v>
      </c>
      <c r="G6443" s="63" t="str">
        <f>VLOOKUP(C6443, 'Class Def. - General Data'!$C$20:$C$1000,1,false)</f>
        <v>ZSF1_INTD_CONTDRYER</v>
      </c>
      <c r="H6443" s="63" t="str">
        <f>IFERROR(__xludf.DUMMYFUNCTION("VLOOKUP(F6443, IMPORTRANGE(""https://docs.google.com/spreadsheets/d/1Lhp9OU0JdFf_VYSMzH5lBcEaU4o8teT1piV-SNzShjg/edit?gid=554141278#gid=554141278"", ""'Char Def. - Attributes'!C20:C2242""), 1,false)"),"CONV1")</f>
        <v>CONV1</v>
      </c>
      <c r="I6443" s="136"/>
    </row>
    <row r="6444" ht="15.75" customHeight="1">
      <c r="B6444" s="63">
        <f t="shared" si="1"/>
        <v>19</v>
      </c>
      <c r="C6444" s="135" t="s">
        <v>559</v>
      </c>
      <c r="D6444" s="134" t="s">
        <v>74</v>
      </c>
      <c r="E6444" s="135">
        <f t="shared" si="59"/>
        <v>16</v>
      </c>
      <c r="F6444" s="134" t="s">
        <v>3597</v>
      </c>
      <c r="G6444" s="63" t="str">
        <f>VLOOKUP(C6444, 'Class Def. - General Data'!$C$20:$C$1000,1,false)</f>
        <v>ZSF1_INTD_CONTDRYER</v>
      </c>
      <c r="H6444" s="63" t="str">
        <f>IFERROR(__xludf.DUMMYFUNCTION("VLOOKUP(F6444, IMPORTRANGE(""https://docs.google.com/spreadsheets/d/1Lhp9OU0JdFf_VYSMzH5lBcEaU4o8teT1piV-SNzShjg/edit?gid=554141278#gid=554141278"", ""'Char Def. - Attributes'!C20:C2242""), 1,false)"),"UOM2")</f>
        <v>UOM2</v>
      </c>
      <c r="I6444" s="136"/>
    </row>
    <row r="6445" ht="15.75" customHeight="1">
      <c r="B6445" s="63">
        <f t="shared" si="1"/>
        <v>19</v>
      </c>
      <c r="C6445" s="135" t="s">
        <v>559</v>
      </c>
      <c r="D6445" s="134" t="s">
        <v>74</v>
      </c>
      <c r="E6445" s="135">
        <f t="shared" si="59"/>
        <v>17</v>
      </c>
      <c r="F6445" s="134" t="s">
        <v>3598</v>
      </c>
      <c r="G6445" s="63" t="str">
        <f>VLOOKUP(C6445, 'Class Def. - General Data'!$C$20:$C$1000,1,false)</f>
        <v>ZSF1_INTD_CONTDRYER</v>
      </c>
      <c r="H6445" s="63" t="str">
        <f>IFERROR(__xludf.DUMMYFUNCTION("VLOOKUP(F6445, IMPORTRANGE(""https://docs.google.com/spreadsheets/d/1Lhp9OU0JdFf_VYSMzH5lBcEaU4o8teT1piV-SNzShjg/edit?gid=554141278#gid=554141278"", ""'Char Def. - Attributes'!C20:C2242""), 1,false)"),"CONV2")</f>
        <v>CONV2</v>
      </c>
      <c r="I6445" s="136"/>
    </row>
    <row r="6446" ht="15.75" customHeight="1">
      <c r="B6446" s="63">
        <f t="shared" si="1"/>
        <v>19</v>
      </c>
      <c r="C6446" s="135" t="s">
        <v>559</v>
      </c>
      <c r="D6446" s="134" t="s">
        <v>74</v>
      </c>
      <c r="E6446" s="135">
        <f t="shared" si="59"/>
        <v>18</v>
      </c>
      <c r="F6446" s="134" t="s">
        <v>3599</v>
      </c>
      <c r="G6446" s="63" t="str">
        <f>VLOOKUP(C6446, 'Class Def. - General Data'!$C$20:$C$1000,1,false)</f>
        <v>ZSF1_INTD_CONTDRYER</v>
      </c>
      <c r="H6446" s="63" t="str">
        <f>IFERROR(__xludf.DUMMYFUNCTION("VLOOKUP(F6446, IMPORTRANGE(""https://docs.google.com/spreadsheets/d/1Lhp9OU0JdFf_VYSMzH5lBcEaU4o8teT1piV-SNzShjg/edit?gid=554141278#gid=554141278"", ""'Char Def. - Attributes'!C20:C2242""), 1,false)"),"UOM3")</f>
        <v>UOM3</v>
      </c>
      <c r="I6446" s="136"/>
    </row>
    <row r="6447" ht="15.75" customHeight="1">
      <c r="B6447" s="63">
        <f t="shared" si="1"/>
        <v>19</v>
      </c>
      <c r="C6447" s="135" t="s">
        <v>559</v>
      </c>
      <c r="D6447" s="134" t="s">
        <v>74</v>
      </c>
      <c r="E6447" s="135">
        <f t="shared" si="59"/>
        <v>19</v>
      </c>
      <c r="F6447" s="134" t="s">
        <v>3600</v>
      </c>
      <c r="G6447" s="63" t="str">
        <f>VLOOKUP(C6447, 'Class Def. - General Data'!$C$20:$C$1000,1,false)</f>
        <v>ZSF1_INTD_CONTDRYER</v>
      </c>
      <c r="H6447" s="63" t="str">
        <f>IFERROR(__xludf.DUMMYFUNCTION("VLOOKUP(F6447, IMPORTRANGE(""https://docs.google.com/spreadsheets/d/1Lhp9OU0JdFf_VYSMzH5lBcEaU4o8teT1piV-SNzShjg/edit?gid=554141278#gid=554141278"", ""'Char Def. - Attributes'!C20:C2242""), 1,false)"),"CONV3")</f>
        <v>CONV3</v>
      </c>
      <c r="I6447" s="136"/>
    </row>
    <row r="6448" ht="15.75" customHeight="1">
      <c r="B6448" s="63">
        <f t="shared" si="1"/>
        <v>19</v>
      </c>
      <c r="C6448" s="135" t="s">
        <v>559</v>
      </c>
      <c r="D6448" s="134" t="s">
        <v>74</v>
      </c>
      <c r="E6448" s="135">
        <f t="shared" si="59"/>
        <v>20</v>
      </c>
      <c r="F6448" s="134" t="s">
        <v>3601</v>
      </c>
      <c r="G6448" s="63" t="str">
        <f>VLOOKUP(C6448, 'Class Def. - General Data'!$C$20:$C$1000,1,false)</f>
        <v>ZSF1_INTD_CONTDRYER</v>
      </c>
      <c r="H6448" s="63" t="str">
        <f>IFERROR(__xludf.DUMMYFUNCTION("VLOOKUP(F6448, IMPORTRANGE(""https://docs.google.com/spreadsheets/d/1Lhp9OU0JdFf_VYSMzH5lBcEaU4o8teT1piV-SNzShjg/edit?gid=554141278#gid=554141278"", ""'Char Def. - Attributes'!C20:C2242""), 1,false)"),"GROSS_WEIGHT")</f>
        <v>GROSS_WEIGHT</v>
      </c>
      <c r="I6448" s="136"/>
    </row>
    <row r="6449" ht="15.75" customHeight="1">
      <c r="B6449" s="63">
        <f t="shared" si="1"/>
        <v>19</v>
      </c>
      <c r="C6449" s="135" t="s">
        <v>559</v>
      </c>
      <c r="D6449" s="134" t="s">
        <v>74</v>
      </c>
      <c r="E6449" s="135">
        <f t="shared" si="59"/>
        <v>21</v>
      </c>
      <c r="F6449" s="134" t="s">
        <v>3602</v>
      </c>
      <c r="G6449" s="63" t="str">
        <f>VLOOKUP(C6449, 'Class Def. - General Data'!$C$20:$C$1000,1,false)</f>
        <v>ZSF1_INTD_CONTDRYER</v>
      </c>
      <c r="H6449" s="63" t="str">
        <f>IFERROR(__xludf.DUMMYFUNCTION("VLOOKUP(F6449, IMPORTRANGE(""https://docs.google.com/spreadsheets/d/1Lhp9OU0JdFf_VYSMzH5lBcEaU4o8teT1piV-SNzShjg/edit?gid=554141278#gid=554141278"", ""'Char Def. - Attributes'!C20:C2242""), 1,false)"),"NET_WEIGHT")</f>
        <v>NET_WEIGHT</v>
      </c>
      <c r="I6449" s="136"/>
    </row>
    <row r="6450" ht="15.75" customHeight="1">
      <c r="B6450" s="63">
        <f t="shared" si="1"/>
        <v>19</v>
      </c>
      <c r="C6450" s="135" t="s">
        <v>559</v>
      </c>
      <c r="D6450" s="134" t="s">
        <v>74</v>
      </c>
      <c r="E6450" s="135">
        <f t="shared" si="59"/>
        <v>22</v>
      </c>
      <c r="F6450" s="134" t="s">
        <v>3603</v>
      </c>
      <c r="G6450" s="63" t="str">
        <f>VLOOKUP(C6450, 'Class Def. - General Data'!$C$20:$C$1000,1,false)</f>
        <v>ZSF1_INTD_CONTDRYER</v>
      </c>
      <c r="H6450" s="63" t="str">
        <f>IFERROR(__xludf.DUMMYFUNCTION("VLOOKUP(F6450, IMPORTRANGE(""https://docs.google.com/spreadsheets/d/1Lhp9OU0JdFf_VYSMzH5lBcEaU4o8teT1piV-SNzShjg/edit?gid=554141278#gid=554141278"", ""'Char Def. - Attributes'!C20:C2242""), 1,false)"),"VOLUME")</f>
        <v>VOLUME</v>
      </c>
      <c r="I6450" s="136"/>
    </row>
    <row r="6451" ht="15.75" customHeight="1">
      <c r="B6451" s="63">
        <f t="shared" si="1"/>
        <v>19</v>
      </c>
      <c r="C6451" s="135" t="s">
        <v>559</v>
      </c>
      <c r="D6451" s="134" t="s">
        <v>74</v>
      </c>
      <c r="E6451" s="135">
        <f t="shared" si="59"/>
        <v>23</v>
      </c>
      <c r="F6451" s="134" t="s">
        <v>3586</v>
      </c>
      <c r="G6451" s="63" t="str">
        <f>VLOOKUP(C6451, 'Class Def. - General Data'!$C$20:$C$1000,1,false)</f>
        <v>ZSF1_INTD_CONTDRYER</v>
      </c>
      <c r="H6451" s="63" t="str">
        <f>IFERROR(__xludf.DUMMYFUNCTION("VLOOKUP(F6451, IMPORTRANGE(""https://docs.google.com/spreadsheets/d/1Lhp9OU0JdFf_VYSMzH5lBcEaU4o8teT1piV-SNzShjg/edit?gid=554141278#gid=554141278"", ""'Char Def. - Attributes'!C20:C2242""), 1,false)"),"PLANT_PROD")</f>
        <v>PLANT_PROD</v>
      </c>
      <c r="I6451" s="136"/>
    </row>
    <row r="6452" ht="15.75" customHeight="1">
      <c r="B6452" s="63">
        <f t="shared" si="1"/>
        <v>19</v>
      </c>
      <c r="C6452" s="135" t="s">
        <v>559</v>
      </c>
      <c r="D6452" s="134" t="s">
        <v>74</v>
      </c>
      <c r="E6452" s="135">
        <f t="shared" si="59"/>
        <v>24</v>
      </c>
      <c r="F6452" s="134" t="s">
        <v>3587</v>
      </c>
      <c r="G6452" s="63" t="str">
        <f>VLOOKUP(C6452, 'Class Def. - General Data'!$C$20:$C$1000,1,false)</f>
        <v>ZSF1_INTD_CONTDRYER</v>
      </c>
      <c r="H6452" s="63" t="str">
        <f>IFERROR(__xludf.DUMMYFUNCTION("VLOOKUP(F6452, IMPORTRANGE(""https://docs.google.com/spreadsheets/d/1Lhp9OU0JdFf_VYSMzH5lBcEaU4o8teT1piV-SNzShjg/edit?gid=554141278#gid=554141278"", ""'Char Def. - Attributes'!C20:C2242""), 1,false)"),"PLANT_BUY")</f>
        <v>PLANT_BUY</v>
      </c>
      <c r="I6452" s="136"/>
    </row>
    <row r="6453" ht="15.75" customHeight="1">
      <c r="B6453" s="63">
        <f t="shared" si="1"/>
        <v>16</v>
      </c>
      <c r="C6453" s="134" t="s">
        <v>185</v>
      </c>
      <c r="D6453" s="134" t="s">
        <v>74</v>
      </c>
      <c r="E6453" s="135">
        <f t="shared" si="59"/>
        <v>1</v>
      </c>
      <c r="F6453" s="134" t="s">
        <v>4036</v>
      </c>
      <c r="G6453" s="63" t="str">
        <f>VLOOKUP(C6453, 'Class Def. - General Data'!$C$20:$C$1000,1,false)</f>
        <v>ZSF1_INTD_DRYVEG</v>
      </c>
      <c r="H6453" s="63" t="str">
        <f>IFERROR(__xludf.DUMMYFUNCTION("VLOOKUP(F6453, IMPORTRANGE(""https://docs.google.com/spreadsheets/d/1Lhp9OU0JdFf_VYSMzH5lBcEaU4o8teT1piV-SNzShjg/edit?gid=554141278#gid=554141278"", ""'Char Def. - Attributes'!C20:C2242""), 1,false)"),"NAMA_BAHAN")</f>
        <v>NAMA_BAHAN</v>
      </c>
      <c r="I6453" s="136"/>
    </row>
    <row r="6454" ht="15.75" customHeight="1">
      <c r="B6454" s="63">
        <f t="shared" si="1"/>
        <v>16</v>
      </c>
      <c r="C6454" s="134" t="s">
        <v>185</v>
      </c>
      <c r="D6454" s="134" t="s">
        <v>74</v>
      </c>
      <c r="E6454" s="135">
        <f t="shared" si="59"/>
        <v>2</v>
      </c>
      <c r="F6454" s="134" t="s">
        <v>4037</v>
      </c>
      <c r="G6454" s="63" t="str">
        <f>VLOOKUP(C6454, 'Class Def. - General Data'!$C$20:$C$1000,1,false)</f>
        <v>ZSF1_INTD_DRYVEG</v>
      </c>
      <c r="H6454" s="63" t="str">
        <f>IFERROR(__xludf.DUMMYFUNCTION("VLOOKUP(F6454, IMPORTRANGE(""https://docs.google.com/spreadsheets/d/1Lhp9OU0JdFf_VYSMzH5lBcEaU4o8teT1piV-SNzShjg/edit?gid=554141278#gid=554141278"", ""'Char Def. - Attributes'!C20:C2242""), 1,false)"),"VARIAN_BAHAN")</f>
        <v>VARIAN_BAHAN</v>
      </c>
      <c r="I6454" s="136"/>
    </row>
    <row r="6455" ht="15.75" customHeight="1">
      <c r="B6455" s="63">
        <f t="shared" si="1"/>
        <v>16</v>
      </c>
      <c r="C6455" s="160" t="s">
        <v>185</v>
      </c>
      <c r="D6455" s="161" t="s">
        <v>74</v>
      </c>
      <c r="E6455" s="135">
        <f t="shared" si="59"/>
        <v>3</v>
      </c>
      <c r="F6455" s="134" t="s">
        <v>4038</v>
      </c>
      <c r="G6455" s="63" t="str">
        <f>VLOOKUP(C6455, 'Class Def. - General Data'!$C$20:$C$1000,1,false)</f>
        <v>ZSF1_INTD_DRYVEG</v>
      </c>
      <c r="H6455" s="63" t="str">
        <f>IFERROR(__xludf.DUMMYFUNCTION("VLOOKUP(F6455, IMPORTRANGE(""https://docs.google.com/spreadsheets/d/1Lhp9OU0JdFf_VYSMzH5lBcEaU4o8teT1piV-SNzShjg/edit?gid=554141278#gid=554141278"", ""'Char Def. - Attributes'!C20:C2242""), 1,false)"),"SFG_SPEC")</f>
        <v>SFG_SPEC</v>
      </c>
      <c r="I6455" s="136"/>
    </row>
    <row r="6456" ht="15.75" customHeight="1">
      <c r="B6456" s="63">
        <f t="shared" si="1"/>
        <v>16</v>
      </c>
      <c r="C6456" s="160" t="s">
        <v>185</v>
      </c>
      <c r="D6456" s="161" t="s">
        <v>74</v>
      </c>
      <c r="E6456" s="135">
        <f t="shared" si="59"/>
        <v>4</v>
      </c>
      <c r="F6456" s="134" t="s">
        <v>3605</v>
      </c>
      <c r="G6456" s="63" t="str">
        <f>VLOOKUP(C6456, 'Class Def. - General Data'!$C$20:$C$1000,1,false)</f>
        <v>ZSF1_INTD_DRYVEG</v>
      </c>
      <c r="H6456" s="63" t="str">
        <f>IFERROR(__xludf.DUMMYFUNCTION("VLOOKUP(F6456, IMPORTRANGE(""https://docs.google.com/spreadsheets/d/1Lhp9OU0JdFf_VYSMzH5lBcEaU4o8teT1piV-SNzShjg/edit?gid=554141278#gid=554141278"", ""'Char Def. - Attributes'!C20:C2242""), 1,false)"),"PACK_NETTO")</f>
        <v>PACK_NETTO</v>
      </c>
      <c r="I6456" s="136"/>
    </row>
    <row r="6457" ht="15.75" customHeight="1">
      <c r="B6457" s="63">
        <f t="shared" si="1"/>
        <v>16</v>
      </c>
      <c r="C6457" s="135" t="s">
        <v>185</v>
      </c>
      <c r="D6457" s="141" t="s">
        <v>74</v>
      </c>
      <c r="E6457" s="135">
        <f t="shared" si="59"/>
        <v>5</v>
      </c>
      <c r="F6457" s="134" t="s">
        <v>3611</v>
      </c>
      <c r="G6457" s="63" t="str">
        <f>VLOOKUP(C6457, 'Class Def. - General Data'!$C$20:$C$1000,1,false)</f>
        <v>ZSF1_INTD_DRYVEG</v>
      </c>
      <c r="H6457" s="63" t="str">
        <f>IFERROR(__xludf.DUMMYFUNCTION("VLOOKUP(F6457, IMPORTRANGE(""https://docs.google.com/spreadsheets/d/1Lhp9OU0JdFf_VYSMzH5lBcEaU4o8teT1piV-SNzShjg/edit?gid=554141278#gid=554141278"", ""'Char Def. - Attributes'!C20:C2242""), 1,false)"),"LOKAL_EKSPOR")</f>
        <v>LOKAL_EKSPOR</v>
      </c>
      <c r="I6457" s="136"/>
    </row>
    <row r="6458" ht="15.75" customHeight="1">
      <c r="B6458" s="63">
        <f t="shared" si="1"/>
        <v>16</v>
      </c>
      <c r="C6458" s="135" t="s">
        <v>185</v>
      </c>
      <c r="D6458" s="141" t="s">
        <v>74</v>
      </c>
      <c r="E6458" s="135">
        <f t="shared" si="59"/>
        <v>6</v>
      </c>
      <c r="F6458" s="134" t="s">
        <v>3612</v>
      </c>
      <c r="G6458" s="63" t="str">
        <f>VLOOKUP(C6458, 'Class Def. - General Data'!$C$20:$C$1000,1,false)</f>
        <v>ZSF1_INTD_DRYVEG</v>
      </c>
      <c r="H6458" s="63" t="str">
        <f>IFERROR(__xludf.DUMMYFUNCTION("VLOOKUP(F6458, IMPORTRANGE(""https://docs.google.com/spreadsheets/d/1Lhp9OU0JdFf_VYSMzH5lBcEaU4o8teT1piV-SNzShjg/edit?gid=554141278#gid=554141278"", ""'Char Def. - Attributes'!C20:C2242""), 1,false)"),"COUNTRY_EKSPOR")</f>
        <v>COUNTRY_EKSPOR</v>
      </c>
      <c r="I6458" s="136"/>
    </row>
    <row r="6459" ht="15.75" customHeight="1">
      <c r="B6459" s="63">
        <f t="shared" si="1"/>
        <v>16</v>
      </c>
      <c r="C6459" s="134" t="s">
        <v>185</v>
      </c>
      <c r="D6459" s="134" t="s">
        <v>74</v>
      </c>
      <c r="E6459" s="135">
        <f t="shared" si="59"/>
        <v>7</v>
      </c>
      <c r="F6459" s="134" t="s">
        <v>4041</v>
      </c>
      <c r="G6459" s="63" t="str">
        <f>VLOOKUP(C6459, 'Class Def. - General Data'!$C$20:$C$1000,1,false)</f>
        <v>ZSF1_INTD_DRYVEG</v>
      </c>
      <c r="H6459" s="63" t="str">
        <f>IFERROR(__xludf.DUMMYFUNCTION("VLOOKUP(F6459, IMPORTRANGE(""https://docs.google.com/spreadsheets/d/1Lhp9OU0JdFf_VYSMzH5lBcEaU4o8teT1piV-SNzShjg/edit?gid=554141278#gid=554141278"", ""'Char Def. - Attributes'!C20:C2242""), 1,false)"),"SFG_GRADE")</f>
        <v>SFG_GRADE</v>
      </c>
      <c r="I6459" s="136"/>
    </row>
    <row r="6460" ht="15.75" customHeight="1">
      <c r="B6460" s="63">
        <f t="shared" si="1"/>
        <v>16</v>
      </c>
      <c r="C6460" s="160" t="s">
        <v>185</v>
      </c>
      <c r="D6460" s="161" t="s">
        <v>74</v>
      </c>
      <c r="E6460" s="135">
        <f t="shared" si="59"/>
        <v>8</v>
      </c>
      <c r="F6460" s="134" t="s">
        <v>3881</v>
      </c>
      <c r="G6460" s="63" t="str">
        <f>VLOOKUP(C6460, 'Class Def. - General Data'!$C$20:$C$1000,1,false)</f>
        <v>ZSF1_INTD_DRYVEG</v>
      </c>
      <c r="H6460" s="63" t="str">
        <f>IFERROR(__xludf.DUMMYFUNCTION("VLOOKUP(F6460, IMPORTRANGE(""https://docs.google.com/spreadsheets/d/1Lhp9OU0JdFf_VYSMzH5lBcEaU4o8teT1piV-SNzShjg/edit?gid=554141278#gid=554141278"", ""'Char Def. - Attributes'!C20:C2242""), 1,false)"),"BS_BERSIH")</f>
        <v>BS_BERSIH</v>
      </c>
      <c r="I6460" s="136"/>
    </row>
    <row r="6461" ht="15.75" customHeight="1">
      <c r="B6461" s="63">
        <f t="shared" si="1"/>
        <v>16</v>
      </c>
      <c r="C6461" s="160" t="s">
        <v>185</v>
      </c>
      <c r="D6461" s="161" t="s">
        <v>74</v>
      </c>
      <c r="E6461" s="135">
        <f t="shared" si="59"/>
        <v>9</v>
      </c>
      <c r="F6461" s="134" t="s">
        <v>3882</v>
      </c>
      <c r="G6461" s="63" t="str">
        <f>VLOOKUP(C6461, 'Class Def. - General Data'!$C$20:$C$1000,1,false)</f>
        <v>ZSF1_INTD_DRYVEG</v>
      </c>
      <c r="H6461" s="63" t="str">
        <f>IFERROR(__xludf.DUMMYFUNCTION("VLOOKUP(F6461, IMPORTRANGE(""https://docs.google.com/spreadsheets/d/1Lhp9OU0JdFf_VYSMzH5lBcEaU4o8teT1piV-SNzShjg/edit?gid=554141278#gid=554141278"", ""'Char Def. - Attributes'!C20:C2242""), 1,false)"),"BS_KOTOR")</f>
        <v>BS_KOTOR</v>
      </c>
      <c r="I6461" s="136"/>
    </row>
    <row r="6462" ht="15.75" customHeight="1">
      <c r="B6462" s="63">
        <f t="shared" si="1"/>
        <v>16</v>
      </c>
      <c r="C6462" s="160" t="s">
        <v>185</v>
      </c>
      <c r="D6462" s="161" t="s">
        <v>74</v>
      </c>
      <c r="E6462" s="135">
        <f t="shared" si="59"/>
        <v>10</v>
      </c>
      <c r="F6462" s="134" t="s">
        <v>3883</v>
      </c>
      <c r="G6462" s="63" t="str">
        <f>VLOOKUP(C6462, 'Class Def. - General Data'!$C$20:$C$1000,1,false)</f>
        <v>ZSF1_INTD_DRYVEG</v>
      </c>
      <c r="H6462" s="63" t="str">
        <f>IFERROR(__xludf.DUMMYFUNCTION("VLOOKUP(F6462, IMPORTRANGE(""https://docs.google.com/spreadsheets/d/1Lhp9OU0JdFf_VYSMzH5lBcEaU4o8teT1piV-SNzShjg/edit?gid=554141278#gid=554141278"", ""'Char Def. - Attributes'!C20:C2242""), 1,false)"),"BS_SCRAP")</f>
        <v>BS_SCRAP</v>
      </c>
      <c r="I6462" s="136"/>
    </row>
    <row r="6463" ht="15.75" customHeight="1">
      <c r="B6463" s="63">
        <f t="shared" si="1"/>
        <v>16</v>
      </c>
      <c r="C6463" s="134" t="s">
        <v>185</v>
      </c>
      <c r="D6463" s="134" t="s">
        <v>74</v>
      </c>
      <c r="E6463" s="135">
        <f t="shared" si="59"/>
        <v>11</v>
      </c>
      <c r="F6463" s="134" t="s">
        <v>3582</v>
      </c>
      <c r="G6463" s="63" t="str">
        <f>VLOOKUP(C6463, 'Class Def. - General Data'!$C$20:$C$1000,1,false)</f>
        <v>ZSF1_INTD_DRYVEG</v>
      </c>
      <c r="H6463" s="63" t="str">
        <f>IFERROR(__xludf.DUMMYFUNCTION("VLOOKUP(F6463, IMPORTRANGE(""https://docs.google.com/spreadsheets/d/1Lhp9OU0JdFf_VYSMzH5lBcEaU4o8teT1piV-SNzShjg/edit?gid=554141278#gid=554141278"", ""'Char Def. - Attributes'!C20:C2242""), 1,false)"),"BASE_UNIT")</f>
        <v>BASE_UNIT</v>
      </c>
      <c r="I6463" s="136"/>
    </row>
    <row r="6464" ht="15.75" customHeight="1">
      <c r="B6464" s="63">
        <f t="shared" si="1"/>
        <v>16</v>
      </c>
      <c r="C6464" s="134" t="s">
        <v>185</v>
      </c>
      <c r="D6464" s="134" t="s">
        <v>74</v>
      </c>
      <c r="E6464" s="135">
        <f t="shared" si="59"/>
        <v>12</v>
      </c>
      <c r="F6464" s="134" t="s">
        <v>3595</v>
      </c>
      <c r="G6464" s="63" t="str">
        <f>VLOOKUP(C6464, 'Class Def. - General Data'!$C$20:$C$1000,1,false)</f>
        <v>ZSF1_INTD_DRYVEG</v>
      </c>
      <c r="H6464" s="63" t="str">
        <f>IFERROR(__xludf.DUMMYFUNCTION("VLOOKUP(F6464, IMPORTRANGE(""https://docs.google.com/spreadsheets/d/1Lhp9OU0JdFf_VYSMzH5lBcEaU4o8teT1piV-SNzShjg/edit?gid=554141278#gid=554141278"", ""'Char Def. - Attributes'!C20:C2242""), 1,false)"),"UOM1")</f>
        <v>UOM1</v>
      </c>
      <c r="I6464" s="136"/>
    </row>
    <row r="6465" ht="15.75" customHeight="1">
      <c r="B6465" s="63">
        <f t="shared" si="1"/>
        <v>16</v>
      </c>
      <c r="C6465" s="134" t="s">
        <v>185</v>
      </c>
      <c r="D6465" s="134" t="s">
        <v>74</v>
      </c>
      <c r="E6465" s="135">
        <f t="shared" si="59"/>
        <v>13</v>
      </c>
      <c r="F6465" s="134" t="s">
        <v>3596</v>
      </c>
      <c r="G6465" s="63" t="str">
        <f>VLOOKUP(C6465, 'Class Def. - General Data'!$C$20:$C$1000,1,false)</f>
        <v>ZSF1_INTD_DRYVEG</v>
      </c>
      <c r="H6465" s="63" t="str">
        <f>IFERROR(__xludf.DUMMYFUNCTION("VLOOKUP(F6465, IMPORTRANGE(""https://docs.google.com/spreadsheets/d/1Lhp9OU0JdFf_VYSMzH5lBcEaU4o8teT1piV-SNzShjg/edit?gid=554141278#gid=554141278"", ""'Char Def. - Attributes'!C20:C2242""), 1,false)"),"CONV1")</f>
        <v>CONV1</v>
      </c>
      <c r="I6465" s="136"/>
    </row>
    <row r="6466" ht="15.75" customHeight="1">
      <c r="B6466" s="63">
        <f t="shared" si="1"/>
        <v>16</v>
      </c>
      <c r="C6466" s="134" t="s">
        <v>185</v>
      </c>
      <c r="D6466" s="134" t="s">
        <v>74</v>
      </c>
      <c r="E6466" s="135">
        <f t="shared" si="59"/>
        <v>14</v>
      </c>
      <c r="F6466" s="134" t="s">
        <v>3597</v>
      </c>
      <c r="G6466" s="63" t="str">
        <f>VLOOKUP(C6466, 'Class Def. - General Data'!$C$20:$C$1000,1,false)</f>
        <v>ZSF1_INTD_DRYVEG</v>
      </c>
      <c r="H6466" s="63" t="str">
        <f>IFERROR(__xludf.DUMMYFUNCTION("VLOOKUP(F6466, IMPORTRANGE(""https://docs.google.com/spreadsheets/d/1Lhp9OU0JdFf_VYSMzH5lBcEaU4o8teT1piV-SNzShjg/edit?gid=554141278#gid=554141278"", ""'Char Def. - Attributes'!C20:C2242""), 1,false)"),"UOM2")</f>
        <v>UOM2</v>
      </c>
      <c r="I6466" s="136"/>
    </row>
    <row r="6467" ht="15.75" customHeight="1">
      <c r="B6467" s="63">
        <f t="shared" si="1"/>
        <v>16</v>
      </c>
      <c r="C6467" s="134" t="s">
        <v>185</v>
      </c>
      <c r="D6467" s="134" t="s">
        <v>74</v>
      </c>
      <c r="E6467" s="135">
        <f t="shared" si="59"/>
        <v>15</v>
      </c>
      <c r="F6467" s="134" t="s">
        <v>3598</v>
      </c>
      <c r="G6467" s="63" t="str">
        <f>VLOOKUP(C6467, 'Class Def. - General Data'!$C$20:$C$1000,1,false)</f>
        <v>ZSF1_INTD_DRYVEG</v>
      </c>
      <c r="H6467" s="63" t="str">
        <f>IFERROR(__xludf.DUMMYFUNCTION("VLOOKUP(F6467, IMPORTRANGE(""https://docs.google.com/spreadsheets/d/1Lhp9OU0JdFf_VYSMzH5lBcEaU4o8teT1piV-SNzShjg/edit?gid=554141278#gid=554141278"", ""'Char Def. - Attributes'!C20:C2242""), 1,false)"),"CONV2")</f>
        <v>CONV2</v>
      </c>
      <c r="I6467" s="136"/>
    </row>
    <row r="6468" ht="15.75" customHeight="1">
      <c r="B6468" s="63">
        <f t="shared" si="1"/>
        <v>16</v>
      </c>
      <c r="C6468" s="134" t="s">
        <v>185</v>
      </c>
      <c r="D6468" s="134" t="s">
        <v>74</v>
      </c>
      <c r="E6468" s="135">
        <f t="shared" si="59"/>
        <v>16</v>
      </c>
      <c r="F6468" s="134" t="s">
        <v>3599</v>
      </c>
      <c r="G6468" s="63" t="str">
        <f>VLOOKUP(C6468, 'Class Def. - General Data'!$C$20:$C$1000,1,false)</f>
        <v>ZSF1_INTD_DRYVEG</v>
      </c>
      <c r="H6468" s="63" t="str">
        <f>IFERROR(__xludf.DUMMYFUNCTION("VLOOKUP(F6468, IMPORTRANGE(""https://docs.google.com/spreadsheets/d/1Lhp9OU0JdFf_VYSMzH5lBcEaU4o8teT1piV-SNzShjg/edit?gid=554141278#gid=554141278"", ""'Char Def. - Attributes'!C20:C2242""), 1,false)"),"UOM3")</f>
        <v>UOM3</v>
      </c>
      <c r="I6468" s="136"/>
    </row>
    <row r="6469" ht="15.75" customHeight="1">
      <c r="B6469" s="63">
        <f t="shared" si="1"/>
        <v>16</v>
      </c>
      <c r="C6469" s="134" t="s">
        <v>185</v>
      </c>
      <c r="D6469" s="134" t="s">
        <v>74</v>
      </c>
      <c r="E6469" s="135">
        <f t="shared" si="59"/>
        <v>17</v>
      </c>
      <c r="F6469" s="134" t="s">
        <v>3600</v>
      </c>
      <c r="G6469" s="63" t="str">
        <f>VLOOKUP(C6469, 'Class Def. - General Data'!$C$20:$C$1000,1,false)</f>
        <v>ZSF1_INTD_DRYVEG</v>
      </c>
      <c r="H6469" s="63" t="str">
        <f>IFERROR(__xludf.DUMMYFUNCTION("VLOOKUP(F6469, IMPORTRANGE(""https://docs.google.com/spreadsheets/d/1Lhp9OU0JdFf_VYSMzH5lBcEaU4o8teT1piV-SNzShjg/edit?gid=554141278#gid=554141278"", ""'Char Def. - Attributes'!C20:C2242""), 1,false)"),"CONV3")</f>
        <v>CONV3</v>
      </c>
      <c r="I6469" s="136"/>
    </row>
    <row r="6470" ht="15.75" customHeight="1">
      <c r="B6470" s="63">
        <f t="shared" si="1"/>
        <v>16</v>
      </c>
      <c r="C6470" s="134" t="s">
        <v>185</v>
      </c>
      <c r="D6470" s="134" t="s">
        <v>74</v>
      </c>
      <c r="E6470" s="135">
        <f t="shared" si="59"/>
        <v>18</v>
      </c>
      <c r="F6470" s="134" t="s">
        <v>3601</v>
      </c>
      <c r="G6470" s="63" t="str">
        <f>VLOOKUP(C6470, 'Class Def. - General Data'!$C$20:$C$1000,1,false)</f>
        <v>ZSF1_INTD_DRYVEG</v>
      </c>
      <c r="H6470" s="63" t="str">
        <f>IFERROR(__xludf.DUMMYFUNCTION("VLOOKUP(F6470, IMPORTRANGE(""https://docs.google.com/spreadsheets/d/1Lhp9OU0JdFf_VYSMzH5lBcEaU4o8teT1piV-SNzShjg/edit?gid=554141278#gid=554141278"", ""'Char Def. - Attributes'!C20:C2242""), 1,false)"),"GROSS_WEIGHT")</f>
        <v>GROSS_WEIGHT</v>
      </c>
      <c r="I6470" s="136"/>
    </row>
    <row r="6471" ht="15.75" customHeight="1">
      <c r="B6471" s="63">
        <f t="shared" si="1"/>
        <v>16</v>
      </c>
      <c r="C6471" s="134" t="s">
        <v>185</v>
      </c>
      <c r="D6471" s="134" t="s">
        <v>74</v>
      </c>
      <c r="E6471" s="135">
        <f t="shared" si="59"/>
        <v>19</v>
      </c>
      <c r="F6471" s="134" t="s">
        <v>3602</v>
      </c>
      <c r="G6471" s="63" t="str">
        <f>VLOOKUP(C6471, 'Class Def. - General Data'!$C$20:$C$1000,1,false)</f>
        <v>ZSF1_INTD_DRYVEG</v>
      </c>
      <c r="H6471" s="63" t="str">
        <f>IFERROR(__xludf.DUMMYFUNCTION("VLOOKUP(F6471, IMPORTRANGE(""https://docs.google.com/spreadsheets/d/1Lhp9OU0JdFf_VYSMzH5lBcEaU4o8teT1piV-SNzShjg/edit?gid=554141278#gid=554141278"", ""'Char Def. - Attributes'!C20:C2242""), 1,false)"),"NET_WEIGHT")</f>
        <v>NET_WEIGHT</v>
      </c>
      <c r="I6471" s="136"/>
    </row>
    <row r="6472" ht="15.75" customHeight="1">
      <c r="B6472" s="63">
        <f t="shared" si="1"/>
        <v>16</v>
      </c>
      <c r="C6472" s="134" t="s">
        <v>185</v>
      </c>
      <c r="D6472" s="134" t="s">
        <v>74</v>
      </c>
      <c r="E6472" s="135">
        <f t="shared" si="59"/>
        <v>20</v>
      </c>
      <c r="F6472" s="134" t="s">
        <v>3603</v>
      </c>
      <c r="G6472" s="63" t="str">
        <f>VLOOKUP(C6472, 'Class Def. - General Data'!$C$20:$C$1000,1,false)</f>
        <v>ZSF1_INTD_DRYVEG</v>
      </c>
      <c r="H6472" s="63" t="str">
        <f>IFERROR(__xludf.DUMMYFUNCTION("VLOOKUP(F6472, IMPORTRANGE(""https://docs.google.com/spreadsheets/d/1Lhp9OU0JdFf_VYSMzH5lBcEaU4o8teT1piV-SNzShjg/edit?gid=554141278#gid=554141278"", ""'Char Def. - Attributes'!C20:C2242""), 1,false)"),"VOLUME")</f>
        <v>VOLUME</v>
      </c>
      <c r="I6472" s="136"/>
    </row>
    <row r="6473" ht="15.75" customHeight="1">
      <c r="B6473" s="63">
        <f t="shared" si="1"/>
        <v>16</v>
      </c>
      <c r="C6473" s="134" t="s">
        <v>185</v>
      </c>
      <c r="D6473" s="134" t="s">
        <v>74</v>
      </c>
      <c r="E6473" s="135">
        <f t="shared" si="59"/>
        <v>21</v>
      </c>
      <c r="F6473" s="134" t="s">
        <v>3586</v>
      </c>
      <c r="G6473" s="63" t="str">
        <f>VLOOKUP(C6473, 'Class Def. - General Data'!$C$20:$C$1000,1,false)</f>
        <v>ZSF1_INTD_DRYVEG</v>
      </c>
      <c r="H6473" s="63" t="str">
        <f>IFERROR(__xludf.DUMMYFUNCTION("VLOOKUP(F6473, IMPORTRANGE(""https://docs.google.com/spreadsheets/d/1Lhp9OU0JdFf_VYSMzH5lBcEaU4o8teT1piV-SNzShjg/edit?gid=554141278#gid=554141278"", ""'Char Def. - Attributes'!C20:C2242""), 1,false)"),"PLANT_PROD")</f>
        <v>PLANT_PROD</v>
      </c>
      <c r="I6473" s="136"/>
    </row>
    <row r="6474" ht="15.75" customHeight="1">
      <c r="B6474" s="63">
        <f t="shared" si="1"/>
        <v>16</v>
      </c>
      <c r="C6474" s="134" t="s">
        <v>185</v>
      </c>
      <c r="D6474" s="134" t="s">
        <v>74</v>
      </c>
      <c r="E6474" s="135">
        <f t="shared" si="59"/>
        <v>22</v>
      </c>
      <c r="F6474" s="134" t="s">
        <v>3587</v>
      </c>
      <c r="G6474" s="63" t="str">
        <f>VLOOKUP(C6474, 'Class Def. - General Data'!$C$20:$C$1000,1,false)</f>
        <v>ZSF1_INTD_DRYVEG</v>
      </c>
      <c r="H6474" s="63" t="str">
        <f>IFERROR(__xludf.DUMMYFUNCTION("VLOOKUP(F6474, IMPORTRANGE(""https://docs.google.com/spreadsheets/d/1Lhp9OU0JdFf_VYSMzH5lBcEaU4o8teT1piV-SNzShjg/edit?gid=554141278#gid=554141278"", ""'Char Def. - Attributes'!C20:C2242""), 1,false)"),"PLANT_BUY")</f>
        <v>PLANT_BUY</v>
      </c>
      <c r="I6474" s="136"/>
    </row>
    <row r="6475" ht="15.75" customHeight="1">
      <c r="B6475" s="63">
        <f t="shared" si="1"/>
        <v>16</v>
      </c>
      <c r="C6475" s="134" t="s">
        <v>185</v>
      </c>
      <c r="D6475" s="134" t="s">
        <v>74</v>
      </c>
      <c r="E6475" s="135">
        <f t="shared" si="59"/>
        <v>23</v>
      </c>
      <c r="F6475" s="134" t="s">
        <v>4040</v>
      </c>
      <c r="G6475" s="63" t="str">
        <f>VLOOKUP(C6475, 'Class Def. - General Data'!$C$20:$C$1000,1,false)</f>
        <v>ZSF1_INTD_DRYVEG</v>
      </c>
      <c r="H6475" s="63" t="str">
        <f>IFERROR(__xludf.DUMMYFUNCTION("VLOOKUP(F6475, IMPORTRANGE(""https://docs.google.com/spreadsheets/d/1Lhp9OU0JdFf_VYSMzH5lBcEaU4o8teT1piV-SNzShjg/edit?gid=554141278#gid=554141278"", ""'Char Def. - Attributes'!C20:C2242""), 1,false)"),"OLD_MAT_SFG")</f>
        <v>OLD_MAT_SFG</v>
      </c>
      <c r="I6475" s="136"/>
    </row>
    <row r="6476" ht="15.75" customHeight="1">
      <c r="B6476" s="63">
        <f t="shared" si="1"/>
        <v>17</v>
      </c>
      <c r="C6476" s="134" t="s">
        <v>186</v>
      </c>
      <c r="D6476" s="134" t="s">
        <v>74</v>
      </c>
      <c r="E6476" s="135">
        <f t="shared" si="59"/>
        <v>1</v>
      </c>
      <c r="F6476" s="134" t="s">
        <v>3853</v>
      </c>
      <c r="G6476" s="63" t="str">
        <f>VLOOKUP(C6476, 'Class Def. - General Data'!$C$20:$C$1000,1,false)</f>
        <v>ZSF1_INTD_GARNISH</v>
      </c>
      <c r="H6476" s="63" t="str">
        <f>IFERROR(__xludf.DUMMYFUNCTION("VLOOKUP(F6476, IMPORTRANGE(""https://docs.google.com/spreadsheets/d/1Lhp9OU0JdFf_VYSMzH5lBcEaU4o8teT1piV-SNzShjg/edit?gid=554141278#gid=554141278"", ""'Char Def. - Attributes'!C20:C2242""), 1,false)"),"BRAND_WINGS")</f>
        <v>BRAND_WINGS</v>
      </c>
      <c r="I6476" s="136"/>
    </row>
    <row r="6477" ht="15.75" customHeight="1">
      <c r="B6477" s="63">
        <f t="shared" si="1"/>
        <v>17</v>
      </c>
      <c r="C6477" s="134" t="s">
        <v>186</v>
      </c>
      <c r="D6477" s="134" t="s">
        <v>74</v>
      </c>
      <c r="E6477" s="135">
        <f t="shared" si="59"/>
        <v>2</v>
      </c>
      <c r="F6477" s="134" t="s">
        <v>3607</v>
      </c>
      <c r="G6477" s="63" t="str">
        <f>VLOOKUP(C6477, 'Class Def. - General Data'!$C$20:$C$1000,1,false)</f>
        <v>ZSF1_INTD_GARNISH</v>
      </c>
      <c r="H6477" s="63" t="str">
        <f>IFERROR(__xludf.DUMMYFUNCTION("VLOOKUP(F6477, IMPORTRANGE(""https://docs.google.com/spreadsheets/d/1Lhp9OU0JdFf_VYSMzH5lBcEaU4o8teT1piV-SNzShjg/edit?gid=554141278#gid=554141278"", ""'Char Def. - Attributes'!C20:C2242""), 1,false)"),"VARIAN")</f>
        <v>VARIAN</v>
      </c>
      <c r="I6477" s="136"/>
    </row>
    <row r="6478" ht="15.75" customHeight="1">
      <c r="B6478" s="63">
        <f t="shared" si="1"/>
        <v>17</v>
      </c>
      <c r="C6478" s="134" t="s">
        <v>186</v>
      </c>
      <c r="D6478" s="134" t="s">
        <v>74</v>
      </c>
      <c r="E6478" s="135">
        <f t="shared" si="59"/>
        <v>3</v>
      </c>
      <c r="F6478" s="134" t="s">
        <v>4036</v>
      </c>
      <c r="G6478" s="63" t="str">
        <f>VLOOKUP(C6478, 'Class Def. - General Data'!$C$20:$C$1000,1,false)</f>
        <v>ZSF1_INTD_GARNISH</v>
      </c>
      <c r="H6478" s="63" t="str">
        <f>IFERROR(__xludf.DUMMYFUNCTION("VLOOKUP(F6478, IMPORTRANGE(""https://docs.google.com/spreadsheets/d/1Lhp9OU0JdFf_VYSMzH5lBcEaU4o8teT1piV-SNzShjg/edit?gid=554141278#gid=554141278"", ""'Char Def. - Attributes'!C20:C2242""), 1,false)"),"NAMA_BAHAN")</f>
        <v>NAMA_BAHAN</v>
      </c>
      <c r="I6478" s="136"/>
    </row>
    <row r="6479" ht="15.75" customHeight="1">
      <c r="B6479" s="63">
        <f t="shared" si="1"/>
        <v>17</v>
      </c>
      <c r="C6479" s="160" t="s">
        <v>186</v>
      </c>
      <c r="D6479" s="161" t="s">
        <v>74</v>
      </c>
      <c r="E6479" s="135">
        <f t="shared" si="59"/>
        <v>4</v>
      </c>
      <c r="F6479" s="134" t="s">
        <v>4037</v>
      </c>
      <c r="G6479" s="63" t="str">
        <f>VLOOKUP(C6479, 'Class Def. - General Data'!$C$20:$C$1000,1,false)</f>
        <v>ZSF1_INTD_GARNISH</v>
      </c>
      <c r="H6479" s="63" t="str">
        <f>IFERROR(__xludf.DUMMYFUNCTION("VLOOKUP(F6479, IMPORTRANGE(""https://docs.google.com/spreadsheets/d/1Lhp9OU0JdFf_VYSMzH5lBcEaU4o8teT1piV-SNzShjg/edit?gid=554141278#gid=554141278"", ""'Char Def. - Attributes'!C20:C2242""), 1,false)"),"VARIAN_BAHAN")</f>
        <v>VARIAN_BAHAN</v>
      </c>
      <c r="I6479" s="136"/>
    </row>
    <row r="6480" ht="15.75" customHeight="1">
      <c r="B6480" s="63">
        <f t="shared" si="1"/>
        <v>17</v>
      </c>
      <c r="C6480" s="162" t="s">
        <v>186</v>
      </c>
      <c r="D6480" s="161" t="s">
        <v>74</v>
      </c>
      <c r="E6480" s="135">
        <f t="shared" si="59"/>
        <v>5</v>
      </c>
      <c r="F6480" s="134" t="s">
        <v>4038</v>
      </c>
      <c r="G6480" s="63" t="str">
        <f>VLOOKUP(C6480, 'Class Def. - General Data'!$C$20:$C$1000,1,false)</f>
        <v>ZSF1_INTD_GARNISH</v>
      </c>
      <c r="H6480" s="63" t="str">
        <f>IFERROR(__xludf.DUMMYFUNCTION("VLOOKUP(F6480, IMPORTRANGE(""https://docs.google.com/spreadsheets/d/1Lhp9OU0JdFf_VYSMzH5lBcEaU4o8teT1piV-SNzShjg/edit?gid=554141278#gid=554141278"", ""'Char Def. - Attributes'!C20:C2242""), 1,false)"),"SFG_SPEC")</f>
        <v>SFG_SPEC</v>
      </c>
      <c r="I6480" s="136"/>
    </row>
    <row r="6481" ht="15.75" customHeight="1">
      <c r="B6481" s="63">
        <f t="shared" si="1"/>
        <v>17</v>
      </c>
      <c r="C6481" s="163" t="s">
        <v>186</v>
      </c>
      <c r="D6481" s="134" t="s">
        <v>74</v>
      </c>
      <c r="E6481" s="135">
        <f t="shared" si="59"/>
        <v>6</v>
      </c>
      <c r="F6481" s="134" t="s">
        <v>4039</v>
      </c>
      <c r="G6481" s="63" t="str">
        <f>VLOOKUP(C6481, 'Class Def. - General Data'!$C$20:$C$1000,1,false)</f>
        <v>ZSF1_INTD_GARNISH</v>
      </c>
      <c r="H6481" s="63" t="str">
        <f>IFERROR(__xludf.DUMMYFUNCTION("VLOOKUP(F6481, IMPORTRANGE(""https://docs.google.com/spreadsheets/d/1Lhp9OU0JdFf_VYSMzH5lBcEaU4o8teT1piV-SNzShjg/edit?gid=554141278#gid=554141278"", ""'Char Def. - Attributes'!C20:C2242""), 1,false)"),"SFG_DESTINATION")</f>
        <v>SFG_DESTINATION</v>
      </c>
      <c r="I6481" s="136"/>
    </row>
    <row r="6482" ht="15.75" customHeight="1">
      <c r="B6482" s="63">
        <f t="shared" si="1"/>
        <v>17</v>
      </c>
      <c r="C6482" s="160" t="s">
        <v>186</v>
      </c>
      <c r="D6482" s="161" t="s">
        <v>74</v>
      </c>
      <c r="E6482" s="135">
        <f t="shared" si="59"/>
        <v>7</v>
      </c>
      <c r="F6482" s="134" t="s">
        <v>3605</v>
      </c>
      <c r="G6482" s="63" t="str">
        <f>VLOOKUP(C6482, 'Class Def. - General Data'!$C$20:$C$1000,1,false)</f>
        <v>ZSF1_INTD_GARNISH</v>
      </c>
      <c r="H6482" s="63" t="str">
        <f>IFERROR(__xludf.DUMMYFUNCTION("VLOOKUP(F6482, IMPORTRANGE(""https://docs.google.com/spreadsheets/d/1Lhp9OU0JdFf_VYSMzH5lBcEaU4o8teT1piV-SNzShjg/edit?gid=554141278#gid=554141278"", ""'Char Def. - Attributes'!C20:C2242""), 1,false)"),"PACK_NETTO")</f>
        <v>PACK_NETTO</v>
      </c>
      <c r="I6482" s="136"/>
    </row>
    <row r="6483" ht="15.75" customHeight="1">
      <c r="B6483" s="63">
        <f t="shared" si="1"/>
        <v>17</v>
      </c>
      <c r="C6483" s="135" t="s">
        <v>186</v>
      </c>
      <c r="D6483" s="141" t="s">
        <v>74</v>
      </c>
      <c r="E6483" s="135">
        <f t="shared" si="59"/>
        <v>8</v>
      </c>
      <c r="F6483" s="134" t="s">
        <v>3611</v>
      </c>
      <c r="G6483" s="63" t="str">
        <f>VLOOKUP(C6483, 'Class Def. - General Data'!$C$20:$C$1000,1,false)</f>
        <v>ZSF1_INTD_GARNISH</v>
      </c>
      <c r="H6483" s="63" t="str">
        <f>IFERROR(__xludf.DUMMYFUNCTION("VLOOKUP(F6483, IMPORTRANGE(""https://docs.google.com/spreadsheets/d/1Lhp9OU0JdFf_VYSMzH5lBcEaU4o8teT1piV-SNzShjg/edit?gid=554141278#gid=554141278"", ""'Char Def. - Attributes'!C20:C2242""), 1,false)"),"LOKAL_EKSPOR")</f>
        <v>LOKAL_EKSPOR</v>
      </c>
      <c r="I6483" s="136"/>
    </row>
    <row r="6484" ht="15.75" customHeight="1">
      <c r="B6484" s="63">
        <f t="shared" si="1"/>
        <v>17</v>
      </c>
      <c r="C6484" s="135" t="s">
        <v>186</v>
      </c>
      <c r="D6484" s="141" t="s">
        <v>74</v>
      </c>
      <c r="E6484" s="135">
        <f t="shared" si="59"/>
        <v>9</v>
      </c>
      <c r="F6484" s="134" t="s">
        <v>3612</v>
      </c>
      <c r="G6484" s="63" t="str">
        <f>VLOOKUP(C6484, 'Class Def. - General Data'!$C$20:$C$1000,1,false)</f>
        <v>ZSF1_INTD_GARNISH</v>
      </c>
      <c r="H6484" s="63" t="str">
        <f>IFERROR(__xludf.DUMMYFUNCTION("VLOOKUP(F6484, IMPORTRANGE(""https://docs.google.com/spreadsheets/d/1Lhp9OU0JdFf_VYSMzH5lBcEaU4o8teT1piV-SNzShjg/edit?gid=554141278#gid=554141278"", ""'Char Def. - Attributes'!C20:C2242""), 1,false)"),"COUNTRY_EKSPOR")</f>
        <v>COUNTRY_EKSPOR</v>
      </c>
      <c r="I6484" s="136"/>
    </row>
    <row r="6485" ht="15.75" customHeight="1">
      <c r="B6485" s="63">
        <f t="shared" si="1"/>
        <v>17</v>
      </c>
      <c r="C6485" s="134" t="s">
        <v>186</v>
      </c>
      <c r="D6485" s="134" t="s">
        <v>74</v>
      </c>
      <c r="E6485" s="135">
        <f t="shared" si="59"/>
        <v>10</v>
      </c>
      <c r="F6485" s="134" t="s">
        <v>4041</v>
      </c>
      <c r="G6485" s="63" t="str">
        <f>VLOOKUP(C6485, 'Class Def. - General Data'!$C$20:$C$1000,1,false)</f>
        <v>ZSF1_INTD_GARNISH</v>
      </c>
      <c r="H6485" s="63" t="str">
        <f>IFERROR(__xludf.DUMMYFUNCTION("VLOOKUP(F6485, IMPORTRANGE(""https://docs.google.com/spreadsheets/d/1Lhp9OU0JdFf_VYSMzH5lBcEaU4o8teT1piV-SNzShjg/edit?gid=554141278#gid=554141278"", ""'Char Def. - Attributes'!C20:C2242""), 1,false)"),"SFG_GRADE")</f>
        <v>SFG_GRADE</v>
      </c>
      <c r="I6485" s="136"/>
    </row>
    <row r="6486" ht="15.75" customHeight="1">
      <c r="B6486" s="63">
        <f t="shared" si="1"/>
        <v>17</v>
      </c>
      <c r="C6486" s="160" t="s">
        <v>186</v>
      </c>
      <c r="D6486" s="161" t="s">
        <v>74</v>
      </c>
      <c r="E6486" s="135">
        <f t="shared" si="59"/>
        <v>11</v>
      </c>
      <c r="F6486" s="134" t="s">
        <v>3881</v>
      </c>
      <c r="G6486" s="63" t="str">
        <f>VLOOKUP(C6486, 'Class Def. - General Data'!$C$20:$C$1000,1,false)</f>
        <v>ZSF1_INTD_GARNISH</v>
      </c>
      <c r="H6486" s="63" t="str">
        <f>IFERROR(__xludf.DUMMYFUNCTION("VLOOKUP(F6486, IMPORTRANGE(""https://docs.google.com/spreadsheets/d/1Lhp9OU0JdFf_VYSMzH5lBcEaU4o8teT1piV-SNzShjg/edit?gid=554141278#gid=554141278"", ""'Char Def. - Attributes'!C20:C2242""), 1,false)"),"BS_BERSIH")</f>
        <v>BS_BERSIH</v>
      </c>
      <c r="I6486" s="136"/>
    </row>
    <row r="6487" ht="15.75" customHeight="1">
      <c r="B6487" s="63">
        <f t="shared" si="1"/>
        <v>17</v>
      </c>
      <c r="C6487" s="160" t="s">
        <v>186</v>
      </c>
      <c r="D6487" s="161" t="s">
        <v>74</v>
      </c>
      <c r="E6487" s="135">
        <f t="shared" si="59"/>
        <v>12</v>
      </c>
      <c r="F6487" s="134" t="s">
        <v>3882</v>
      </c>
      <c r="G6487" s="63" t="str">
        <f>VLOOKUP(C6487, 'Class Def. - General Data'!$C$20:$C$1000,1,false)</f>
        <v>ZSF1_INTD_GARNISH</v>
      </c>
      <c r="H6487" s="63" t="str">
        <f>IFERROR(__xludf.DUMMYFUNCTION("VLOOKUP(F6487, IMPORTRANGE(""https://docs.google.com/spreadsheets/d/1Lhp9OU0JdFf_VYSMzH5lBcEaU4o8teT1piV-SNzShjg/edit?gid=554141278#gid=554141278"", ""'Char Def. - Attributes'!C20:C2242""), 1,false)"),"BS_KOTOR")</f>
        <v>BS_KOTOR</v>
      </c>
      <c r="I6487" s="136"/>
    </row>
    <row r="6488" ht="15.75" customHeight="1">
      <c r="B6488" s="63">
        <f t="shared" si="1"/>
        <v>17</v>
      </c>
      <c r="C6488" s="160" t="s">
        <v>186</v>
      </c>
      <c r="D6488" s="161" t="s">
        <v>74</v>
      </c>
      <c r="E6488" s="135">
        <f t="shared" si="59"/>
        <v>13</v>
      </c>
      <c r="F6488" s="134" t="s">
        <v>3883</v>
      </c>
      <c r="G6488" s="63" t="str">
        <f>VLOOKUP(C6488, 'Class Def. - General Data'!$C$20:$C$1000,1,false)</f>
        <v>ZSF1_INTD_GARNISH</v>
      </c>
      <c r="H6488" s="63" t="str">
        <f>IFERROR(__xludf.DUMMYFUNCTION("VLOOKUP(F6488, IMPORTRANGE(""https://docs.google.com/spreadsheets/d/1Lhp9OU0JdFf_VYSMzH5lBcEaU4o8teT1piV-SNzShjg/edit?gid=554141278#gid=554141278"", ""'Char Def. - Attributes'!C20:C2242""), 1,false)"),"BS_SCRAP")</f>
        <v>BS_SCRAP</v>
      </c>
      <c r="I6488" s="136"/>
    </row>
    <row r="6489" ht="15.75" customHeight="1">
      <c r="B6489" s="63">
        <f t="shared" si="1"/>
        <v>17</v>
      </c>
      <c r="C6489" s="134" t="s">
        <v>186</v>
      </c>
      <c r="D6489" s="134" t="s">
        <v>74</v>
      </c>
      <c r="E6489" s="135">
        <f t="shared" si="59"/>
        <v>14</v>
      </c>
      <c r="F6489" s="134" t="s">
        <v>3582</v>
      </c>
      <c r="G6489" s="63" t="str">
        <f>VLOOKUP(C6489, 'Class Def. - General Data'!$C$20:$C$1000,1,false)</f>
        <v>ZSF1_INTD_GARNISH</v>
      </c>
      <c r="H6489" s="63" t="str">
        <f>IFERROR(__xludf.DUMMYFUNCTION("VLOOKUP(F6489, IMPORTRANGE(""https://docs.google.com/spreadsheets/d/1Lhp9OU0JdFf_VYSMzH5lBcEaU4o8teT1piV-SNzShjg/edit?gid=554141278#gid=554141278"", ""'Char Def. - Attributes'!C20:C2242""), 1,false)"),"BASE_UNIT")</f>
        <v>BASE_UNIT</v>
      </c>
      <c r="I6489" s="136"/>
    </row>
    <row r="6490" ht="15.75" customHeight="1">
      <c r="B6490" s="63">
        <f t="shared" si="1"/>
        <v>17</v>
      </c>
      <c r="C6490" s="134" t="s">
        <v>186</v>
      </c>
      <c r="D6490" s="134" t="s">
        <v>74</v>
      </c>
      <c r="E6490" s="135">
        <f t="shared" si="59"/>
        <v>15</v>
      </c>
      <c r="F6490" s="134" t="s">
        <v>3595</v>
      </c>
      <c r="G6490" s="63" t="str">
        <f>VLOOKUP(C6490, 'Class Def. - General Data'!$C$20:$C$1000,1,false)</f>
        <v>ZSF1_INTD_GARNISH</v>
      </c>
      <c r="H6490" s="63" t="str">
        <f>IFERROR(__xludf.DUMMYFUNCTION("VLOOKUP(F6490, IMPORTRANGE(""https://docs.google.com/spreadsheets/d/1Lhp9OU0JdFf_VYSMzH5lBcEaU4o8teT1piV-SNzShjg/edit?gid=554141278#gid=554141278"", ""'Char Def. - Attributes'!C20:C2242""), 1,false)"),"UOM1")</f>
        <v>UOM1</v>
      </c>
      <c r="I6490" s="136"/>
    </row>
    <row r="6491" ht="15.75" customHeight="1">
      <c r="B6491" s="63">
        <f t="shared" si="1"/>
        <v>17</v>
      </c>
      <c r="C6491" s="134" t="s">
        <v>186</v>
      </c>
      <c r="D6491" s="134" t="s">
        <v>74</v>
      </c>
      <c r="E6491" s="135">
        <f t="shared" si="59"/>
        <v>16</v>
      </c>
      <c r="F6491" s="134" t="s">
        <v>3596</v>
      </c>
      <c r="G6491" s="63" t="str">
        <f>VLOOKUP(C6491, 'Class Def. - General Data'!$C$20:$C$1000,1,false)</f>
        <v>ZSF1_INTD_GARNISH</v>
      </c>
      <c r="H6491" s="63" t="str">
        <f>IFERROR(__xludf.DUMMYFUNCTION("VLOOKUP(F6491, IMPORTRANGE(""https://docs.google.com/spreadsheets/d/1Lhp9OU0JdFf_VYSMzH5lBcEaU4o8teT1piV-SNzShjg/edit?gid=554141278#gid=554141278"", ""'Char Def. - Attributes'!C20:C2242""), 1,false)"),"CONV1")</f>
        <v>CONV1</v>
      </c>
      <c r="I6491" s="136"/>
    </row>
    <row r="6492" ht="15.75" customHeight="1">
      <c r="B6492" s="63">
        <f t="shared" si="1"/>
        <v>17</v>
      </c>
      <c r="C6492" s="134" t="s">
        <v>186</v>
      </c>
      <c r="D6492" s="134" t="s">
        <v>74</v>
      </c>
      <c r="E6492" s="135">
        <f t="shared" si="59"/>
        <v>17</v>
      </c>
      <c r="F6492" s="134" t="s">
        <v>3597</v>
      </c>
      <c r="G6492" s="63" t="str">
        <f>VLOOKUP(C6492, 'Class Def. - General Data'!$C$20:$C$1000,1,false)</f>
        <v>ZSF1_INTD_GARNISH</v>
      </c>
      <c r="H6492" s="63" t="str">
        <f>IFERROR(__xludf.DUMMYFUNCTION("VLOOKUP(F6492, IMPORTRANGE(""https://docs.google.com/spreadsheets/d/1Lhp9OU0JdFf_VYSMzH5lBcEaU4o8teT1piV-SNzShjg/edit?gid=554141278#gid=554141278"", ""'Char Def. - Attributes'!C20:C2242""), 1,false)"),"UOM2")</f>
        <v>UOM2</v>
      </c>
      <c r="I6492" s="136"/>
    </row>
    <row r="6493" ht="15.75" customHeight="1">
      <c r="B6493" s="63">
        <f t="shared" si="1"/>
        <v>17</v>
      </c>
      <c r="C6493" s="134" t="s">
        <v>186</v>
      </c>
      <c r="D6493" s="134" t="s">
        <v>74</v>
      </c>
      <c r="E6493" s="135">
        <f t="shared" si="59"/>
        <v>18</v>
      </c>
      <c r="F6493" s="134" t="s">
        <v>3598</v>
      </c>
      <c r="G6493" s="63" t="str">
        <f>VLOOKUP(C6493, 'Class Def. - General Data'!$C$20:$C$1000,1,false)</f>
        <v>ZSF1_INTD_GARNISH</v>
      </c>
      <c r="H6493" s="63" t="str">
        <f>IFERROR(__xludf.DUMMYFUNCTION("VLOOKUP(F6493, IMPORTRANGE(""https://docs.google.com/spreadsheets/d/1Lhp9OU0JdFf_VYSMzH5lBcEaU4o8teT1piV-SNzShjg/edit?gid=554141278#gid=554141278"", ""'Char Def. - Attributes'!C20:C2242""), 1,false)"),"CONV2")</f>
        <v>CONV2</v>
      </c>
      <c r="I6493" s="136"/>
    </row>
    <row r="6494" ht="15.75" customHeight="1">
      <c r="B6494" s="63">
        <f t="shared" si="1"/>
        <v>17</v>
      </c>
      <c r="C6494" s="134" t="s">
        <v>186</v>
      </c>
      <c r="D6494" s="134" t="s">
        <v>74</v>
      </c>
      <c r="E6494" s="135">
        <f t="shared" si="59"/>
        <v>19</v>
      </c>
      <c r="F6494" s="134" t="s">
        <v>3599</v>
      </c>
      <c r="G6494" s="63" t="str">
        <f>VLOOKUP(C6494, 'Class Def. - General Data'!$C$20:$C$1000,1,false)</f>
        <v>ZSF1_INTD_GARNISH</v>
      </c>
      <c r="H6494" s="63" t="str">
        <f>IFERROR(__xludf.DUMMYFUNCTION("VLOOKUP(F6494, IMPORTRANGE(""https://docs.google.com/spreadsheets/d/1Lhp9OU0JdFf_VYSMzH5lBcEaU4o8teT1piV-SNzShjg/edit?gid=554141278#gid=554141278"", ""'Char Def. - Attributes'!C20:C2242""), 1,false)"),"UOM3")</f>
        <v>UOM3</v>
      </c>
      <c r="I6494" s="136"/>
    </row>
    <row r="6495" ht="15.75" customHeight="1">
      <c r="B6495" s="63">
        <f t="shared" si="1"/>
        <v>17</v>
      </c>
      <c r="C6495" s="134" t="s">
        <v>186</v>
      </c>
      <c r="D6495" s="134" t="s">
        <v>74</v>
      </c>
      <c r="E6495" s="135">
        <f t="shared" si="59"/>
        <v>20</v>
      </c>
      <c r="F6495" s="134" t="s">
        <v>3600</v>
      </c>
      <c r="G6495" s="63" t="str">
        <f>VLOOKUP(C6495, 'Class Def. - General Data'!$C$20:$C$1000,1,false)</f>
        <v>ZSF1_INTD_GARNISH</v>
      </c>
      <c r="H6495" s="63" t="str">
        <f>IFERROR(__xludf.DUMMYFUNCTION("VLOOKUP(F6495, IMPORTRANGE(""https://docs.google.com/spreadsheets/d/1Lhp9OU0JdFf_VYSMzH5lBcEaU4o8teT1piV-SNzShjg/edit?gid=554141278#gid=554141278"", ""'Char Def. - Attributes'!C20:C2242""), 1,false)"),"CONV3")</f>
        <v>CONV3</v>
      </c>
      <c r="I6495" s="136"/>
    </row>
    <row r="6496" ht="15.75" customHeight="1">
      <c r="B6496" s="63">
        <f t="shared" si="1"/>
        <v>17</v>
      </c>
      <c r="C6496" s="134" t="s">
        <v>186</v>
      </c>
      <c r="D6496" s="134" t="s">
        <v>74</v>
      </c>
      <c r="E6496" s="135">
        <f t="shared" si="59"/>
        <v>21</v>
      </c>
      <c r="F6496" s="134" t="s">
        <v>3601</v>
      </c>
      <c r="G6496" s="63" t="str">
        <f>VLOOKUP(C6496, 'Class Def. - General Data'!$C$20:$C$1000,1,false)</f>
        <v>ZSF1_INTD_GARNISH</v>
      </c>
      <c r="H6496" s="63" t="str">
        <f>IFERROR(__xludf.DUMMYFUNCTION("VLOOKUP(F6496, IMPORTRANGE(""https://docs.google.com/spreadsheets/d/1Lhp9OU0JdFf_VYSMzH5lBcEaU4o8teT1piV-SNzShjg/edit?gid=554141278#gid=554141278"", ""'Char Def. - Attributes'!C20:C2242""), 1,false)"),"GROSS_WEIGHT")</f>
        <v>GROSS_WEIGHT</v>
      </c>
      <c r="I6496" s="136"/>
    </row>
    <row r="6497" ht="15.75" customHeight="1">
      <c r="B6497" s="63">
        <f t="shared" si="1"/>
        <v>17</v>
      </c>
      <c r="C6497" s="134" t="s">
        <v>186</v>
      </c>
      <c r="D6497" s="134" t="s">
        <v>74</v>
      </c>
      <c r="E6497" s="135">
        <f t="shared" si="59"/>
        <v>22</v>
      </c>
      <c r="F6497" s="134" t="s">
        <v>3602</v>
      </c>
      <c r="G6497" s="63" t="str">
        <f>VLOOKUP(C6497, 'Class Def. - General Data'!$C$20:$C$1000,1,false)</f>
        <v>ZSF1_INTD_GARNISH</v>
      </c>
      <c r="H6497" s="63" t="str">
        <f>IFERROR(__xludf.DUMMYFUNCTION("VLOOKUP(F6497, IMPORTRANGE(""https://docs.google.com/spreadsheets/d/1Lhp9OU0JdFf_VYSMzH5lBcEaU4o8teT1piV-SNzShjg/edit?gid=554141278#gid=554141278"", ""'Char Def. - Attributes'!C20:C2242""), 1,false)"),"NET_WEIGHT")</f>
        <v>NET_WEIGHT</v>
      </c>
      <c r="I6497" s="136"/>
    </row>
    <row r="6498" ht="15.75" customHeight="1">
      <c r="B6498" s="63">
        <f t="shared" si="1"/>
        <v>17</v>
      </c>
      <c r="C6498" s="134" t="s">
        <v>186</v>
      </c>
      <c r="D6498" s="134" t="s">
        <v>74</v>
      </c>
      <c r="E6498" s="135">
        <f t="shared" si="59"/>
        <v>23</v>
      </c>
      <c r="F6498" s="134" t="s">
        <v>3603</v>
      </c>
      <c r="G6498" s="63" t="str">
        <f>VLOOKUP(C6498, 'Class Def. - General Data'!$C$20:$C$1000,1,false)</f>
        <v>ZSF1_INTD_GARNISH</v>
      </c>
      <c r="H6498" s="63" t="str">
        <f>IFERROR(__xludf.DUMMYFUNCTION("VLOOKUP(F6498, IMPORTRANGE(""https://docs.google.com/spreadsheets/d/1Lhp9OU0JdFf_VYSMzH5lBcEaU4o8teT1piV-SNzShjg/edit?gid=554141278#gid=554141278"", ""'Char Def. - Attributes'!C20:C2242""), 1,false)"),"VOLUME")</f>
        <v>VOLUME</v>
      </c>
      <c r="I6498" s="136"/>
    </row>
    <row r="6499" ht="15.75" customHeight="1">
      <c r="B6499" s="63">
        <f t="shared" si="1"/>
        <v>17</v>
      </c>
      <c r="C6499" s="134" t="s">
        <v>186</v>
      </c>
      <c r="D6499" s="134" t="s">
        <v>74</v>
      </c>
      <c r="E6499" s="135">
        <f t="shared" si="59"/>
        <v>24</v>
      </c>
      <c r="F6499" s="134" t="s">
        <v>3586</v>
      </c>
      <c r="G6499" s="63" t="str">
        <f>VLOOKUP(C6499, 'Class Def. - General Data'!$C$20:$C$1000,1,false)</f>
        <v>ZSF1_INTD_GARNISH</v>
      </c>
      <c r="H6499" s="63" t="str">
        <f>IFERROR(__xludf.DUMMYFUNCTION("VLOOKUP(F6499, IMPORTRANGE(""https://docs.google.com/spreadsheets/d/1Lhp9OU0JdFf_VYSMzH5lBcEaU4o8teT1piV-SNzShjg/edit?gid=554141278#gid=554141278"", ""'Char Def. - Attributes'!C20:C2242""), 1,false)"),"PLANT_PROD")</f>
        <v>PLANT_PROD</v>
      </c>
      <c r="I6499" s="136"/>
    </row>
    <row r="6500" ht="15.75" customHeight="1">
      <c r="B6500" s="63">
        <f t="shared" si="1"/>
        <v>17</v>
      </c>
      <c r="C6500" s="134" t="s">
        <v>186</v>
      </c>
      <c r="D6500" s="134" t="s">
        <v>74</v>
      </c>
      <c r="E6500" s="135">
        <f t="shared" si="59"/>
        <v>25</v>
      </c>
      <c r="F6500" s="134" t="s">
        <v>3587</v>
      </c>
      <c r="G6500" s="63" t="str">
        <f>VLOOKUP(C6500, 'Class Def. - General Data'!$C$20:$C$1000,1,false)</f>
        <v>ZSF1_INTD_GARNISH</v>
      </c>
      <c r="H6500" s="63" t="str">
        <f>IFERROR(__xludf.DUMMYFUNCTION("VLOOKUP(F6500, IMPORTRANGE(""https://docs.google.com/spreadsheets/d/1Lhp9OU0JdFf_VYSMzH5lBcEaU4o8teT1piV-SNzShjg/edit?gid=554141278#gid=554141278"", ""'Char Def. - Attributes'!C20:C2242""), 1,false)"),"PLANT_BUY")</f>
        <v>PLANT_BUY</v>
      </c>
      <c r="I6500" s="136"/>
    </row>
    <row r="6501" ht="15.75" customHeight="1">
      <c r="B6501" s="63">
        <f t="shared" si="1"/>
        <v>17</v>
      </c>
      <c r="C6501" s="134" t="s">
        <v>186</v>
      </c>
      <c r="D6501" s="134" t="s">
        <v>74</v>
      </c>
      <c r="E6501" s="135">
        <f t="shared" si="59"/>
        <v>26</v>
      </c>
      <c r="F6501" s="134" t="s">
        <v>4040</v>
      </c>
      <c r="G6501" s="63" t="str">
        <f>VLOOKUP(C6501, 'Class Def. - General Data'!$C$20:$C$1000,1,false)</f>
        <v>ZSF1_INTD_GARNISH</v>
      </c>
      <c r="H6501" s="63" t="str">
        <f>IFERROR(__xludf.DUMMYFUNCTION("VLOOKUP(F6501, IMPORTRANGE(""https://docs.google.com/spreadsheets/d/1Lhp9OU0JdFf_VYSMzH5lBcEaU4o8teT1piV-SNzShjg/edit?gid=554141278#gid=554141278"", ""'Char Def. - Attributes'!C20:C2242""), 1,false)"),"OLD_MAT_SFG")</f>
        <v>OLD_MAT_SFG</v>
      </c>
      <c r="I6501" s="136"/>
    </row>
    <row r="6502" ht="15.75" customHeight="1">
      <c r="B6502" s="63">
        <f t="shared" si="1"/>
        <v>15</v>
      </c>
      <c r="C6502" s="134" t="s">
        <v>187</v>
      </c>
      <c r="D6502" s="134" t="s">
        <v>74</v>
      </c>
      <c r="E6502" s="135">
        <f t="shared" si="59"/>
        <v>1</v>
      </c>
      <c r="F6502" s="134" t="s">
        <v>3853</v>
      </c>
      <c r="G6502" s="63" t="str">
        <f>VLOOKUP(C6502, 'Class Def. - General Data'!$C$20:$C$1000,1,false)</f>
        <v>ZSF1_INTD_GOODS</v>
      </c>
      <c r="H6502" s="63" t="str">
        <f>IFERROR(__xludf.DUMMYFUNCTION("VLOOKUP(F6502, IMPORTRANGE(""https://docs.google.com/spreadsheets/d/1Lhp9OU0JdFf_VYSMzH5lBcEaU4o8teT1piV-SNzShjg/edit?gid=554141278#gid=554141278"", ""'Char Def. - Attributes'!C20:C2242""), 1,false)"),"BRAND_WINGS")</f>
        <v>BRAND_WINGS</v>
      </c>
      <c r="I6502" s="136"/>
    </row>
    <row r="6503" ht="15.75" customHeight="1">
      <c r="B6503" s="63">
        <f t="shared" si="1"/>
        <v>15</v>
      </c>
      <c r="C6503" s="134" t="s">
        <v>187</v>
      </c>
      <c r="D6503" s="134" t="s">
        <v>74</v>
      </c>
      <c r="E6503" s="135">
        <f t="shared" si="59"/>
        <v>2</v>
      </c>
      <c r="F6503" s="134" t="s">
        <v>3607</v>
      </c>
      <c r="G6503" s="63" t="str">
        <f>VLOOKUP(C6503, 'Class Def. - General Data'!$C$20:$C$1000,1,false)</f>
        <v>ZSF1_INTD_GOODS</v>
      </c>
      <c r="H6503" s="63" t="str">
        <f>IFERROR(__xludf.DUMMYFUNCTION("VLOOKUP(F6503, IMPORTRANGE(""https://docs.google.com/spreadsheets/d/1Lhp9OU0JdFf_VYSMzH5lBcEaU4o8teT1piV-SNzShjg/edit?gid=554141278#gid=554141278"", ""'Char Def. - Attributes'!C20:C2242""), 1,false)"),"VARIAN")</f>
        <v>VARIAN</v>
      </c>
      <c r="I6503" s="136"/>
    </row>
    <row r="6504" ht="15.75" customHeight="1">
      <c r="B6504" s="63">
        <f t="shared" si="1"/>
        <v>15</v>
      </c>
      <c r="C6504" s="134" t="s">
        <v>187</v>
      </c>
      <c r="D6504" s="134" t="s">
        <v>74</v>
      </c>
      <c r="E6504" s="135">
        <f t="shared" si="59"/>
        <v>3</v>
      </c>
      <c r="F6504" s="134" t="s">
        <v>4036</v>
      </c>
      <c r="G6504" s="63" t="str">
        <f>VLOOKUP(C6504, 'Class Def. - General Data'!$C$20:$C$1000,1,false)</f>
        <v>ZSF1_INTD_GOODS</v>
      </c>
      <c r="H6504" s="63" t="str">
        <f>IFERROR(__xludf.DUMMYFUNCTION("VLOOKUP(F6504, IMPORTRANGE(""https://docs.google.com/spreadsheets/d/1Lhp9OU0JdFf_VYSMzH5lBcEaU4o8teT1piV-SNzShjg/edit?gid=554141278#gid=554141278"", ""'Char Def. - Attributes'!C20:C2242""), 1,false)"),"NAMA_BAHAN")</f>
        <v>NAMA_BAHAN</v>
      </c>
      <c r="I6504" s="136"/>
    </row>
    <row r="6505" ht="15.75" customHeight="1">
      <c r="B6505" s="63">
        <f t="shared" si="1"/>
        <v>15</v>
      </c>
      <c r="C6505" s="134" t="s">
        <v>187</v>
      </c>
      <c r="D6505" s="134" t="s">
        <v>74</v>
      </c>
      <c r="E6505" s="135">
        <f t="shared" si="59"/>
        <v>4</v>
      </c>
      <c r="F6505" s="134" t="s">
        <v>4037</v>
      </c>
      <c r="G6505" s="63" t="str">
        <f>VLOOKUP(C6505, 'Class Def. - General Data'!$C$20:$C$1000,1,false)</f>
        <v>ZSF1_INTD_GOODS</v>
      </c>
      <c r="H6505" s="63" t="str">
        <f>IFERROR(__xludf.DUMMYFUNCTION("VLOOKUP(F6505, IMPORTRANGE(""https://docs.google.com/spreadsheets/d/1Lhp9OU0JdFf_VYSMzH5lBcEaU4o8teT1piV-SNzShjg/edit?gid=554141278#gid=554141278"", ""'Char Def. - Attributes'!C20:C2242""), 1,false)"),"VARIAN_BAHAN")</f>
        <v>VARIAN_BAHAN</v>
      </c>
      <c r="I6505" s="136"/>
    </row>
    <row r="6506" ht="15.75" customHeight="1">
      <c r="B6506" s="63">
        <f t="shared" si="1"/>
        <v>15</v>
      </c>
      <c r="C6506" s="160" t="s">
        <v>187</v>
      </c>
      <c r="D6506" s="161" t="s">
        <v>74</v>
      </c>
      <c r="E6506" s="135">
        <f t="shared" si="59"/>
        <v>5</v>
      </c>
      <c r="F6506" s="134" t="s">
        <v>4038</v>
      </c>
      <c r="G6506" s="63" t="str">
        <f>VLOOKUP(C6506, 'Class Def. - General Data'!$C$20:$C$1000,1,false)</f>
        <v>ZSF1_INTD_GOODS</v>
      </c>
      <c r="H6506" s="63" t="str">
        <f>IFERROR(__xludf.DUMMYFUNCTION("VLOOKUP(F6506, IMPORTRANGE(""https://docs.google.com/spreadsheets/d/1Lhp9OU0JdFf_VYSMzH5lBcEaU4o8teT1piV-SNzShjg/edit?gid=554141278#gid=554141278"", ""'Char Def. - Attributes'!C20:C2242""), 1,false)"),"SFG_SPEC")</f>
        <v>SFG_SPEC</v>
      </c>
      <c r="I6506" s="136"/>
    </row>
    <row r="6507" ht="15.75" customHeight="1">
      <c r="B6507" s="63">
        <f t="shared" si="1"/>
        <v>15</v>
      </c>
      <c r="C6507" s="160" t="s">
        <v>187</v>
      </c>
      <c r="D6507" s="161" t="s">
        <v>74</v>
      </c>
      <c r="E6507" s="135">
        <f t="shared" si="59"/>
        <v>6</v>
      </c>
      <c r="F6507" s="134" t="s">
        <v>3605</v>
      </c>
      <c r="G6507" s="63" t="str">
        <f>VLOOKUP(C6507, 'Class Def. - General Data'!$C$20:$C$1000,1,false)</f>
        <v>ZSF1_INTD_GOODS</v>
      </c>
      <c r="H6507" s="63" t="str">
        <f>IFERROR(__xludf.DUMMYFUNCTION("VLOOKUP(F6507, IMPORTRANGE(""https://docs.google.com/spreadsheets/d/1Lhp9OU0JdFf_VYSMzH5lBcEaU4o8teT1piV-SNzShjg/edit?gid=554141278#gid=554141278"", ""'Char Def. - Attributes'!C20:C2242""), 1,false)"),"PACK_NETTO")</f>
        <v>PACK_NETTO</v>
      </c>
      <c r="I6507" s="136"/>
    </row>
    <row r="6508" ht="15.75" customHeight="1">
      <c r="B6508" s="63">
        <f t="shared" si="1"/>
        <v>15</v>
      </c>
      <c r="C6508" s="134" t="s">
        <v>187</v>
      </c>
      <c r="D6508" s="134" t="s">
        <v>74</v>
      </c>
      <c r="E6508" s="135">
        <f t="shared" si="59"/>
        <v>7</v>
      </c>
      <c r="F6508" s="134" t="s">
        <v>4039</v>
      </c>
      <c r="G6508" s="63" t="str">
        <f>VLOOKUP(C6508, 'Class Def. - General Data'!$C$20:$C$1000,1,false)</f>
        <v>ZSF1_INTD_GOODS</v>
      </c>
      <c r="H6508" s="63" t="str">
        <f>IFERROR(__xludf.DUMMYFUNCTION("VLOOKUP(F6508, IMPORTRANGE(""https://docs.google.com/spreadsheets/d/1Lhp9OU0JdFf_VYSMzH5lBcEaU4o8teT1piV-SNzShjg/edit?gid=554141278#gid=554141278"", ""'Char Def. - Attributes'!C20:C2242""), 1,false)"),"SFG_DESTINATION")</f>
        <v>SFG_DESTINATION</v>
      </c>
      <c r="I6508" s="136"/>
    </row>
    <row r="6509" ht="15.75" customHeight="1">
      <c r="B6509" s="63">
        <f t="shared" si="1"/>
        <v>15</v>
      </c>
      <c r="C6509" s="135" t="s">
        <v>187</v>
      </c>
      <c r="D6509" s="141" t="s">
        <v>74</v>
      </c>
      <c r="E6509" s="135">
        <f t="shared" si="59"/>
        <v>8</v>
      </c>
      <c r="F6509" s="134" t="s">
        <v>3611</v>
      </c>
      <c r="G6509" s="63" t="str">
        <f>VLOOKUP(C6509, 'Class Def. - General Data'!$C$20:$C$1000,1,false)</f>
        <v>ZSF1_INTD_GOODS</v>
      </c>
      <c r="H6509" s="63" t="str">
        <f>IFERROR(__xludf.DUMMYFUNCTION("VLOOKUP(F6509, IMPORTRANGE(""https://docs.google.com/spreadsheets/d/1Lhp9OU0JdFf_VYSMzH5lBcEaU4o8teT1piV-SNzShjg/edit?gid=554141278#gid=554141278"", ""'Char Def. - Attributes'!C20:C2242""), 1,false)"),"LOKAL_EKSPOR")</f>
        <v>LOKAL_EKSPOR</v>
      </c>
      <c r="I6509" s="136"/>
    </row>
    <row r="6510" ht="15.75" customHeight="1">
      <c r="B6510" s="63">
        <f t="shared" si="1"/>
        <v>15</v>
      </c>
      <c r="C6510" s="135" t="s">
        <v>187</v>
      </c>
      <c r="D6510" s="141" t="s">
        <v>74</v>
      </c>
      <c r="E6510" s="135">
        <f t="shared" si="59"/>
        <v>9</v>
      </c>
      <c r="F6510" s="134" t="s">
        <v>3612</v>
      </c>
      <c r="G6510" s="63" t="str">
        <f>VLOOKUP(C6510, 'Class Def. - General Data'!$C$20:$C$1000,1,false)</f>
        <v>ZSF1_INTD_GOODS</v>
      </c>
      <c r="H6510" s="63" t="str">
        <f>IFERROR(__xludf.DUMMYFUNCTION("VLOOKUP(F6510, IMPORTRANGE(""https://docs.google.com/spreadsheets/d/1Lhp9OU0JdFf_VYSMzH5lBcEaU4o8teT1piV-SNzShjg/edit?gid=554141278#gid=554141278"", ""'Char Def. - Attributes'!C20:C2242""), 1,false)"),"COUNTRY_EKSPOR")</f>
        <v>COUNTRY_EKSPOR</v>
      </c>
      <c r="I6510" s="136"/>
    </row>
    <row r="6511" ht="15.75" customHeight="1">
      <c r="B6511" s="63">
        <f t="shared" si="1"/>
        <v>15</v>
      </c>
      <c r="C6511" s="134" t="s">
        <v>187</v>
      </c>
      <c r="D6511" s="134" t="s">
        <v>74</v>
      </c>
      <c r="E6511" s="135">
        <f t="shared" si="59"/>
        <v>10</v>
      </c>
      <c r="F6511" s="134" t="s">
        <v>4041</v>
      </c>
      <c r="G6511" s="63" t="str">
        <f>VLOOKUP(C6511, 'Class Def. - General Data'!$C$20:$C$1000,1,false)</f>
        <v>ZSF1_INTD_GOODS</v>
      </c>
      <c r="H6511" s="63" t="str">
        <f>IFERROR(__xludf.DUMMYFUNCTION("VLOOKUP(F6511, IMPORTRANGE(""https://docs.google.com/spreadsheets/d/1Lhp9OU0JdFf_VYSMzH5lBcEaU4o8teT1piV-SNzShjg/edit?gid=554141278#gid=554141278"", ""'Char Def. - Attributes'!C20:C2242""), 1,false)"),"SFG_GRADE")</f>
        <v>SFG_GRADE</v>
      </c>
      <c r="I6511" s="136"/>
    </row>
    <row r="6512" ht="15.75" customHeight="1">
      <c r="B6512" s="63">
        <f t="shared" si="1"/>
        <v>15</v>
      </c>
      <c r="C6512" s="160" t="s">
        <v>187</v>
      </c>
      <c r="D6512" s="161" t="s">
        <v>74</v>
      </c>
      <c r="E6512" s="135">
        <f t="shared" si="59"/>
        <v>11</v>
      </c>
      <c r="F6512" s="134" t="s">
        <v>3881</v>
      </c>
      <c r="G6512" s="63" t="str">
        <f>VLOOKUP(C6512, 'Class Def. - General Data'!$C$20:$C$1000,1,false)</f>
        <v>ZSF1_INTD_GOODS</v>
      </c>
      <c r="H6512" s="63" t="str">
        <f>IFERROR(__xludf.DUMMYFUNCTION("VLOOKUP(F6512, IMPORTRANGE(""https://docs.google.com/spreadsheets/d/1Lhp9OU0JdFf_VYSMzH5lBcEaU4o8teT1piV-SNzShjg/edit?gid=554141278#gid=554141278"", ""'Char Def. - Attributes'!C20:C2242""), 1,false)"),"BS_BERSIH")</f>
        <v>BS_BERSIH</v>
      </c>
      <c r="I6512" s="136"/>
    </row>
    <row r="6513" ht="15.75" customHeight="1">
      <c r="B6513" s="63">
        <f t="shared" si="1"/>
        <v>15</v>
      </c>
      <c r="C6513" s="160" t="s">
        <v>187</v>
      </c>
      <c r="D6513" s="161" t="s">
        <v>74</v>
      </c>
      <c r="E6513" s="135">
        <f t="shared" si="59"/>
        <v>12</v>
      </c>
      <c r="F6513" s="134" t="s">
        <v>3882</v>
      </c>
      <c r="G6513" s="63" t="str">
        <f>VLOOKUP(C6513, 'Class Def. - General Data'!$C$20:$C$1000,1,false)</f>
        <v>ZSF1_INTD_GOODS</v>
      </c>
      <c r="H6513" s="63" t="str">
        <f>IFERROR(__xludf.DUMMYFUNCTION("VLOOKUP(F6513, IMPORTRANGE(""https://docs.google.com/spreadsheets/d/1Lhp9OU0JdFf_VYSMzH5lBcEaU4o8teT1piV-SNzShjg/edit?gid=554141278#gid=554141278"", ""'Char Def. - Attributes'!C20:C2242""), 1,false)"),"BS_KOTOR")</f>
        <v>BS_KOTOR</v>
      </c>
      <c r="I6513" s="136"/>
    </row>
    <row r="6514" ht="15.75" customHeight="1">
      <c r="B6514" s="63">
        <f t="shared" si="1"/>
        <v>15</v>
      </c>
      <c r="C6514" s="160" t="s">
        <v>187</v>
      </c>
      <c r="D6514" s="161" t="s">
        <v>74</v>
      </c>
      <c r="E6514" s="135">
        <f t="shared" si="59"/>
        <v>13</v>
      </c>
      <c r="F6514" s="134" t="s">
        <v>3883</v>
      </c>
      <c r="G6514" s="63" t="str">
        <f>VLOOKUP(C6514, 'Class Def. - General Data'!$C$20:$C$1000,1,false)</f>
        <v>ZSF1_INTD_GOODS</v>
      </c>
      <c r="H6514" s="63" t="str">
        <f>IFERROR(__xludf.DUMMYFUNCTION("VLOOKUP(F6514, IMPORTRANGE(""https://docs.google.com/spreadsheets/d/1Lhp9OU0JdFf_VYSMzH5lBcEaU4o8teT1piV-SNzShjg/edit?gid=554141278#gid=554141278"", ""'Char Def. - Attributes'!C20:C2242""), 1,false)"),"BS_SCRAP")</f>
        <v>BS_SCRAP</v>
      </c>
      <c r="I6514" s="136"/>
    </row>
    <row r="6515" ht="15.75" customHeight="1">
      <c r="B6515" s="63">
        <f t="shared" si="1"/>
        <v>15</v>
      </c>
      <c r="C6515" s="134" t="s">
        <v>187</v>
      </c>
      <c r="D6515" s="134" t="s">
        <v>74</v>
      </c>
      <c r="E6515" s="135">
        <f t="shared" si="59"/>
        <v>14</v>
      </c>
      <c r="F6515" s="134" t="s">
        <v>3582</v>
      </c>
      <c r="G6515" s="63" t="str">
        <f>VLOOKUP(C6515, 'Class Def. - General Data'!$C$20:$C$1000,1,false)</f>
        <v>ZSF1_INTD_GOODS</v>
      </c>
      <c r="H6515" s="63" t="str">
        <f>IFERROR(__xludf.DUMMYFUNCTION("VLOOKUP(F6515, IMPORTRANGE(""https://docs.google.com/spreadsheets/d/1Lhp9OU0JdFf_VYSMzH5lBcEaU4o8teT1piV-SNzShjg/edit?gid=554141278#gid=554141278"", ""'Char Def. - Attributes'!C20:C2242""), 1,false)"),"BASE_UNIT")</f>
        <v>BASE_UNIT</v>
      </c>
      <c r="I6515" s="136"/>
    </row>
    <row r="6516" ht="15.75" customHeight="1">
      <c r="B6516" s="63">
        <f t="shared" si="1"/>
        <v>15</v>
      </c>
      <c r="C6516" s="134" t="s">
        <v>187</v>
      </c>
      <c r="D6516" s="134" t="s">
        <v>74</v>
      </c>
      <c r="E6516" s="135">
        <f t="shared" si="59"/>
        <v>15</v>
      </c>
      <c r="F6516" s="134" t="s">
        <v>3595</v>
      </c>
      <c r="G6516" s="63" t="str">
        <f>VLOOKUP(C6516, 'Class Def. - General Data'!$C$20:$C$1000,1,false)</f>
        <v>ZSF1_INTD_GOODS</v>
      </c>
      <c r="H6516" s="63" t="str">
        <f>IFERROR(__xludf.DUMMYFUNCTION("VLOOKUP(F6516, IMPORTRANGE(""https://docs.google.com/spreadsheets/d/1Lhp9OU0JdFf_VYSMzH5lBcEaU4o8teT1piV-SNzShjg/edit?gid=554141278#gid=554141278"", ""'Char Def. - Attributes'!C20:C2242""), 1,false)"),"UOM1")</f>
        <v>UOM1</v>
      </c>
      <c r="I6516" s="136"/>
    </row>
    <row r="6517" ht="15.75" customHeight="1">
      <c r="B6517" s="63">
        <f t="shared" si="1"/>
        <v>15</v>
      </c>
      <c r="C6517" s="134" t="s">
        <v>187</v>
      </c>
      <c r="D6517" s="134" t="s">
        <v>74</v>
      </c>
      <c r="E6517" s="135">
        <f t="shared" si="59"/>
        <v>16</v>
      </c>
      <c r="F6517" s="134" t="s">
        <v>3596</v>
      </c>
      <c r="G6517" s="63" t="str">
        <f>VLOOKUP(C6517, 'Class Def. - General Data'!$C$20:$C$1000,1,false)</f>
        <v>ZSF1_INTD_GOODS</v>
      </c>
      <c r="H6517" s="63" t="str">
        <f>IFERROR(__xludf.DUMMYFUNCTION("VLOOKUP(F6517, IMPORTRANGE(""https://docs.google.com/spreadsheets/d/1Lhp9OU0JdFf_VYSMzH5lBcEaU4o8teT1piV-SNzShjg/edit?gid=554141278#gid=554141278"", ""'Char Def. - Attributes'!C20:C2242""), 1,false)"),"CONV1")</f>
        <v>CONV1</v>
      </c>
      <c r="I6517" s="136"/>
    </row>
    <row r="6518" ht="15.75" customHeight="1">
      <c r="B6518" s="63">
        <f t="shared" si="1"/>
        <v>15</v>
      </c>
      <c r="C6518" s="134" t="s">
        <v>187</v>
      </c>
      <c r="D6518" s="134" t="s">
        <v>74</v>
      </c>
      <c r="E6518" s="135">
        <f t="shared" si="59"/>
        <v>17</v>
      </c>
      <c r="F6518" s="134" t="s">
        <v>3597</v>
      </c>
      <c r="G6518" s="63" t="str">
        <f>VLOOKUP(C6518, 'Class Def. - General Data'!$C$20:$C$1000,1,false)</f>
        <v>ZSF1_INTD_GOODS</v>
      </c>
      <c r="H6518" s="63" t="str">
        <f>IFERROR(__xludf.DUMMYFUNCTION("VLOOKUP(F6518, IMPORTRANGE(""https://docs.google.com/spreadsheets/d/1Lhp9OU0JdFf_VYSMzH5lBcEaU4o8teT1piV-SNzShjg/edit?gid=554141278#gid=554141278"", ""'Char Def. - Attributes'!C20:C2242""), 1,false)"),"UOM2")</f>
        <v>UOM2</v>
      </c>
      <c r="I6518" s="136"/>
    </row>
    <row r="6519" ht="15.75" customHeight="1">
      <c r="B6519" s="63">
        <f t="shared" si="1"/>
        <v>15</v>
      </c>
      <c r="C6519" s="134" t="s">
        <v>187</v>
      </c>
      <c r="D6519" s="134" t="s">
        <v>74</v>
      </c>
      <c r="E6519" s="135">
        <f t="shared" si="59"/>
        <v>18</v>
      </c>
      <c r="F6519" s="134" t="s">
        <v>3598</v>
      </c>
      <c r="G6519" s="63" t="str">
        <f>VLOOKUP(C6519, 'Class Def. - General Data'!$C$20:$C$1000,1,false)</f>
        <v>ZSF1_INTD_GOODS</v>
      </c>
      <c r="H6519" s="63" t="str">
        <f>IFERROR(__xludf.DUMMYFUNCTION("VLOOKUP(F6519, IMPORTRANGE(""https://docs.google.com/spreadsheets/d/1Lhp9OU0JdFf_VYSMzH5lBcEaU4o8teT1piV-SNzShjg/edit?gid=554141278#gid=554141278"", ""'Char Def. - Attributes'!C20:C2242""), 1,false)"),"CONV2")</f>
        <v>CONV2</v>
      </c>
      <c r="I6519" s="136"/>
    </row>
    <row r="6520" ht="15.75" customHeight="1">
      <c r="B6520" s="63">
        <f t="shared" si="1"/>
        <v>15</v>
      </c>
      <c r="C6520" s="134" t="s">
        <v>187</v>
      </c>
      <c r="D6520" s="134" t="s">
        <v>74</v>
      </c>
      <c r="E6520" s="135">
        <f t="shared" si="59"/>
        <v>19</v>
      </c>
      <c r="F6520" s="134" t="s">
        <v>3599</v>
      </c>
      <c r="G6520" s="63" t="str">
        <f>VLOOKUP(C6520, 'Class Def. - General Data'!$C$20:$C$1000,1,false)</f>
        <v>ZSF1_INTD_GOODS</v>
      </c>
      <c r="H6520" s="63" t="str">
        <f>IFERROR(__xludf.DUMMYFUNCTION("VLOOKUP(F6520, IMPORTRANGE(""https://docs.google.com/spreadsheets/d/1Lhp9OU0JdFf_VYSMzH5lBcEaU4o8teT1piV-SNzShjg/edit?gid=554141278#gid=554141278"", ""'Char Def. - Attributes'!C20:C2242""), 1,false)"),"UOM3")</f>
        <v>UOM3</v>
      </c>
      <c r="I6520" s="136"/>
    </row>
    <row r="6521" ht="15.75" customHeight="1">
      <c r="B6521" s="63">
        <f t="shared" si="1"/>
        <v>15</v>
      </c>
      <c r="C6521" s="134" t="s">
        <v>187</v>
      </c>
      <c r="D6521" s="134" t="s">
        <v>74</v>
      </c>
      <c r="E6521" s="135">
        <f t="shared" si="59"/>
        <v>20</v>
      </c>
      <c r="F6521" s="134" t="s">
        <v>3600</v>
      </c>
      <c r="G6521" s="63" t="str">
        <f>VLOOKUP(C6521, 'Class Def. - General Data'!$C$20:$C$1000,1,false)</f>
        <v>ZSF1_INTD_GOODS</v>
      </c>
      <c r="H6521" s="63" t="str">
        <f>IFERROR(__xludf.DUMMYFUNCTION("VLOOKUP(F6521, IMPORTRANGE(""https://docs.google.com/spreadsheets/d/1Lhp9OU0JdFf_VYSMzH5lBcEaU4o8teT1piV-SNzShjg/edit?gid=554141278#gid=554141278"", ""'Char Def. - Attributes'!C20:C2242""), 1,false)"),"CONV3")</f>
        <v>CONV3</v>
      </c>
      <c r="I6521" s="136"/>
    </row>
    <row r="6522" ht="15.75" customHeight="1">
      <c r="B6522" s="63">
        <f t="shared" si="1"/>
        <v>15</v>
      </c>
      <c r="C6522" s="134" t="s">
        <v>187</v>
      </c>
      <c r="D6522" s="134" t="s">
        <v>74</v>
      </c>
      <c r="E6522" s="135">
        <f t="shared" si="59"/>
        <v>21</v>
      </c>
      <c r="F6522" s="134" t="s">
        <v>3601</v>
      </c>
      <c r="G6522" s="63" t="str">
        <f>VLOOKUP(C6522, 'Class Def. - General Data'!$C$20:$C$1000,1,false)</f>
        <v>ZSF1_INTD_GOODS</v>
      </c>
      <c r="H6522" s="63" t="str">
        <f>IFERROR(__xludf.DUMMYFUNCTION("VLOOKUP(F6522, IMPORTRANGE(""https://docs.google.com/spreadsheets/d/1Lhp9OU0JdFf_VYSMzH5lBcEaU4o8teT1piV-SNzShjg/edit?gid=554141278#gid=554141278"", ""'Char Def. - Attributes'!C20:C2242""), 1,false)"),"GROSS_WEIGHT")</f>
        <v>GROSS_WEIGHT</v>
      </c>
      <c r="I6522" s="136"/>
    </row>
    <row r="6523" ht="15.75" customHeight="1">
      <c r="B6523" s="63">
        <f t="shared" si="1"/>
        <v>15</v>
      </c>
      <c r="C6523" s="134" t="s">
        <v>187</v>
      </c>
      <c r="D6523" s="134" t="s">
        <v>74</v>
      </c>
      <c r="E6523" s="135">
        <f t="shared" si="59"/>
        <v>22</v>
      </c>
      <c r="F6523" s="134" t="s">
        <v>3602</v>
      </c>
      <c r="G6523" s="63" t="str">
        <f>VLOOKUP(C6523, 'Class Def. - General Data'!$C$20:$C$1000,1,false)</f>
        <v>ZSF1_INTD_GOODS</v>
      </c>
      <c r="H6523" s="63" t="str">
        <f>IFERROR(__xludf.DUMMYFUNCTION("VLOOKUP(F6523, IMPORTRANGE(""https://docs.google.com/spreadsheets/d/1Lhp9OU0JdFf_VYSMzH5lBcEaU4o8teT1piV-SNzShjg/edit?gid=554141278#gid=554141278"", ""'Char Def. - Attributes'!C20:C2242""), 1,false)"),"NET_WEIGHT")</f>
        <v>NET_WEIGHT</v>
      </c>
      <c r="I6523" s="136"/>
    </row>
    <row r="6524" ht="15.75" customHeight="1">
      <c r="B6524" s="63">
        <f t="shared" si="1"/>
        <v>15</v>
      </c>
      <c r="C6524" s="134" t="s">
        <v>187</v>
      </c>
      <c r="D6524" s="134" t="s">
        <v>74</v>
      </c>
      <c r="E6524" s="135">
        <f t="shared" si="59"/>
        <v>23</v>
      </c>
      <c r="F6524" s="134" t="s">
        <v>3603</v>
      </c>
      <c r="G6524" s="63" t="str">
        <f>VLOOKUP(C6524, 'Class Def. - General Data'!$C$20:$C$1000,1,false)</f>
        <v>ZSF1_INTD_GOODS</v>
      </c>
      <c r="H6524" s="63" t="str">
        <f>IFERROR(__xludf.DUMMYFUNCTION("VLOOKUP(F6524, IMPORTRANGE(""https://docs.google.com/spreadsheets/d/1Lhp9OU0JdFf_VYSMzH5lBcEaU4o8teT1piV-SNzShjg/edit?gid=554141278#gid=554141278"", ""'Char Def. - Attributes'!C20:C2242""), 1,false)"),"VOLUME")</f>
        <v>VOLUME</v>
      </c>
      <c r="I6524" s="136"/>
    </row>
    <row r="6525" ht="15.75" customHeight="1">
      <c r="B6525" s="63">
        <f t="shared" si="1"/>
        <v>15</v>
      </c>
      <c r="C6525" s="134" t="s">
        <v>187</v>
      </c>
      <c r="D6525" s="134" t="s">
        <v>74</v>
      </c>
      <c r="E6525" s="135">
        <f t="shared" si="59"/>
        <v>24</v>
      </c>
      <c r="F6525" s="134" t="s">
        <v>3586</v>
      </c>
      <c r="G6525" s="63" t="str">
        <f>VLOOKUP(C6525, 'Class Def. - General Data'!$C$20:$C$1000,1,false)</f>
        <v>ZSF1_INTD_GOODS</v>
      </c>
      <c r="H6525" s="63" t="str">
        <f>IFERROR(__xludf.DUMMYFUNCTION("VLOOKUP(F6525, IMPORTRANGE(""https://docs.google.com/spreadsheets/d/1Lhp9OU0JdFf_VYSMzH5lBcEaU4o8teT1piV-SNzShjg/edit?gid=554141278#gid=554141278"", ""'Char Def. - Attributes'!C20:C2242""), 1,false)"),"PLANT_PROD")</f>
        <v>PLANT_PROD</v>
      </c>
      <c r="I6525" s="136"/>
    </row>
    <row r="6526" ht="15.75" customHeight="1">
      <c r="B6526" s="63">
        <f t="shared" si="1"/>
        <v>15</v>
      </c>
      <c r="C6526" s="134" t="s">
        <v>187</v>
      </c>
      <c r="D6526" s="134" t="s">
        <v>74</v>
      </c>
      <c r="E6526" s="135">
        <f t="shared" si="59"/>
        <v>25</v>
      </c>
      <c r="F6526" s="134" t="s">
        <v>3587</v>
      </c>
      <c r="G6526" s="63" t="str">
        <f>VLOOKUP(C6526, 'Class Def. - General Data'!$C$20:$C$1000,1,false)</f>
        <v>ZSF1_INTD_GOODS</v>
      </c>
      <c r="H6526" s="63" t="str">
        <f>IFERROR(__xludf.DUMMYFUNCTION("VLOOKUP(F6526, IMPORTRANGE(""https://docs.google.com/spreadsheets/d/1Lhp9OU0JdFf_VYSMzH5lBcEaU4o8teT1piV-SNzShjg/edit?gid=554141278#gid=554141278"", ""'Char Def. - Attributes'!C20:C2242""), 1,false)"),"PLANT_BUY")</f>
        <v>PLANT_BUY</v>
      </c>
      <c r="I6526" s="136"/>
    </row>
    <row r="6527" ht="15.75" customHeight="1">
      <c r="B6527" s="63">
        <f t="shared" si="1"/>
        <v>15</v>
      </c>
      <c r="C6527" s="134" t="s">
        <v>187</v>
      </c>
      <c r="D6527" s="134" t="s">
        <v>74</v>
      </c>
      <c r="E6527" s="135">
        <f t="shared" si="59"/>
        <v>26</v>
      </c>
      <c r="F6527" s="134" t="s">
        <v>4040</v>
      </c>
      <c r="G6527" s="63" t="str">
        <f>VLOOKUP(C6527, 'Class Def. - General Data'!$C$20:$C$1000,1,false)</f>
        <v>ZSF1_INTD_GOODS</v>
      </c>
      <c r="H6527" s="63" t="str">
        <f>IFERROR(__xludf.DUMMYFUNCTION("VLOOKUP(F6527, IMPORTRANGE(""https://docs.google.com/spreadsheets/d/1Lhp9OU0JdFf_VYSMzH5lBcEaU4o8teT1piV-SNzShjg/edit?gid=554141278#gid=554141278"", ""'Char Def. - Attributes'!C20:C2242""), 1,false)"),"OLD_MAT_SFG")</f>
        <v>OLD_MAT_SFG</v>
      </c>
      <c r="I6527" s="136"/>
    </row>
    <row r="6528" ht="15.75" customHeight="1">
      <c r="B6528" s="63">
        <f t="shared" si="1"/>
        <v>13</v>
      </c>
      <c r="C6528" s="134" t="s">
        <v>188</v>
      </c>
      <c r="D6528" s="134" t="s">
        <v>74</v>
      </c>
      <c r="E6528" s="135">
        <f t="shared" si="59"/>
        <v>1</v>
      </c>
      <c r="F6528" s="134" t="s">
        <v>3853</v>
      </c>
      <c r="G6528" s="63" t="str">
        <f>VLOOKUP(C6528, 'Class Def. - General Data'!$C$20:$C$1000,1,false)</f>
        <v>ZSF1_INTD_OIL</v>
      </c>
      <c r="H6528" s="63" t="str">
        <f>IFERROR(__xludf.DUMMYFUNCTION("VLOOKUP(F6528, IMPORTRANGE(""https://docs.google.com/spreadsheets/d/1Lhp9OU0JdFf_VYSMzH5lBcEaU4o8teT1piV-SNzShjg/edit?gid=554141278#gid=554141278"", ""'Char Def. - Attributes'!C20:C2242""), 1,false)"),"BRAND_WINGS")</f>
        <v>BRAND_WINGS</v>
      </c>
      <c r="I6528" s="136"/>
    </row>
    <row r="6529" ht="15.75" customHeight="1">
      <c r="B6529" s="63">
        <f t="shared" si="1"/>
        <v>13</v>
      </c>
      <c r="C6529" s="134" t="s">
        <v>188</v>
      </c>
      <c r="D6529" s="134" t="s">
        <v>74</v>
      </c>
      <c r="E6529" s="135">
        <f t="shared" si="59"/>
        <v>2</v>
      </c>
      <c r="F6529" s="134" t="s">
        <v>3607</v>
      </c>
      <c r="G6529" s="63" t="str">
        <f>VLOOKUP(C6529, 'Class Def. - General Data'!$C$20:$C$1000,1,false)</f>
        <v>ZSF1_INTD_OIL</v>
      </c>
      <c r="H6529" s="63" t="str">
        <f>IFERROR(__xludf.DUMMYFUNCTION("VLOOKUP(F6529, IMPORTRANGE(""https://docs.google.com/spreadsheets/d/1Lhp9OU0JdFf_VYSMzH5lBcEaU4o8teT1piV-SNzShjg/edit?gid=554141278#gid=554141278"", ""'Char Def. - Attributes'!C20:C2242""), 1,false)"),"VARIAN")</f>
        <v>VARIAN</v>
      </c>
      <c r="I6529" s="136"/>
    </row>
    <row r="6530" ht="15.75" customHeight="1">
      <c r="B6530" s="63">
        <f t="shared" si="1"/>
        <v>13</v>
      </c>
      <c r="C6530" s="134" t="s">
        <v>188</v>
      </c>
      <c r="D6530" s="134" t="s">
        <v>74</v>
      </c>
      <c r="E6530" s="135">
        <f t="shared" si="59"/>
        <v>3</v>
      </c>
      <c r="F6530" s="134" t="s">
        <v>4036</v>
      </c>
      <c r="G6530" s="63" t="str">
        <f>VLOOKUP(C6530, 'Class Def. - General Data'!$C$20:$C$1000,1,false)</f>
        <v>ZSF1_INTD_OIL</v>
      </c>
      <c r="H6530" s="63" t="str">
        <f>IFERROR(__xludf.DUMMYFUNCTION("VLOOKUP(F6530, IMPORTRANGE(""https://docs.google.com/spreadsheets/d/1Lhp9OU0JdFf_VYSMzH5lBcEaU4o8teT1piV-SNzShjg/edit?gid=554141278#gid=554141278"", ""'Char Def. - Attributes'!C20:C2242""), 1,false)"),"NAMA_BAHAN")</f>
        <v>NAMA_BAHAN</v>
      </c>
      <c r="I6530" s="136"/>
    </row>
    <row r="6531" ht="15.75" customHeight="1">
      <c r="B6531" s="63">
        <f t="shared" si="1"/>
        <v>13</v>
      </c>
      <c r="C6531" s="134" t="s">
        <v>188</v>
      </c>
      <c r="D6531" s="134" t="s">
        <v>74</v>
      </c>
      <c r="E6531" s="135">
        <f t="shared" si="59"/>
        <v>4</v>
      </c>
      <c r="F6531" s="134" t="s">
        <v>4037</v>
      </c>
      <c r="G6531" s="63" t="str">
        <f>VLOOKUP(C6531, 'Class Def. - General Data'!$C$20:$C$1000,1,false)</f>
        <v>ZSF1_INTD_OIL</v>
      </c>
      <c r="H6531" s="63" t="str">
        <f>IFERROR(__xludf.DUMMYFUNCTION("VLOOKUP(F6531, IMPORTRANGE(""https://docs.google.com/spreadsheets/d/1Lhp9OU0JdFf_VYSMzH5lBcEaU4o8teT1piV-SNzShjg/edit?gid=554141278#gid=554141278"", ""'Char Def. - Attributes'!C20:C2242""), 1,false)"),"VARIAN_BAHAN")</f>
        <v>VARIAN_BAHAN</v>
      </c>
      <c r="I6531" s="136"/>
    </row>
    <row r="6532" ht="15.75" customHeight="1">
      <c r="B6532" s="63">
        <f t="shared" si="1"/>
        <v>13</v>
      </c>
      <c r="C6532" s="160" t="s">
        <v>188</v>
      </c>
      <c r="D6532" s="161" t="s">
        <v>74</v>
      </c>
      <c r="E6532" s="135">
        <f t="shared" si="59"/>
        <v>5</v>
      </c>
      <c r="F6532" s="134" t="s">
        <v>4038</v>
      </c>
      <c r="G6532" s="63" t="str">
        <f>VLOOKUP(C6532, 'Class Def. - General Data'!$C$20:$C$1000,1,false)</f>
        <v>ZSF1_INTD_OIL</v>
      </c>
      <c r="H6532" s="63" t="str">
        <f>IFERROR(__xludf.DUMMYFUNCTION("VLOOKUP(F6532, IMPORTRANGE(""https://docs.google.com/spreadsheets/d/1Lhp9OU0JdFf_VYSMzH5lBcEaU4o8teT1piV-SNzShjg/edit?gid=554141278#gid=554141278"", ""'Char Def. - Attributes'!C20:C2242""), 1,false)"),"SFG_SPEC")</f>
        <v>SFG_SPEC</v>
      </c>
      <c r="I6532" s="136"/>
    </row>
    <row r="6533" ht="15.75" customHeight="1">
      <c r="B6533" s="63">
        <f t="shared" si="1"/>
        <v>13</v>
      </c>
      <c r="C6533" s="160" t="s">
        <v>188</v>
      </c>
      <c r="D6533" s="161" t="s">
        <v>74</v>
      </c>
      <c r="E6533" s="135">
        <f t="shared" si="59"/>
        <v>6</v>
      </c>
      <c r="F6533" s="134" t="s">
        <v>3605</v>
      </c>
      <c r="G6533" s="63" t="str">
        <f>VLOOKUP(C6533, 'Class Def. - General Data'!$C$20:$C$1000,1,false)</f>
        <v>ZSF1_INTD_OIL</v>
      </c>
      <c r="H6533" s="63" t="str">
        <f>IFERROR(__xludf.DUMMYFUNCTION("VLOOKUP(F6533, IMPORTRANGE(""https://docs.google.com/spreadsheets/d/1Lhp9OU0JdFf_VYSMzH5lBcEaU4o8teT1piV-SNzShjg/edit?gid=554141278#gid=554141278"", ""'Char Def. - Attributes'!C20:C2242""), 1,false)"),"PACK_NETTO")</f>
        <v>PACK_NETTO</v>
      </c>
      <c r="I6533" s="136"/>
    </row>
    <row r="6534" ht="15.75" customHeight="1">
      <c r="B6534" s="63">
        <f t="shared" si="1"/>
        <v>13</v>
      </c>
      <c r="C6534" s="134" t="s">
        <v>188</v>
      </c>
      <c r="D6534" s="134" t="s">
        <v>74</v>
      </c>
      <c r="E6534" s="135">
        <f t="shared" si="59"/>
        <v>7</v>
      </c>
      <c r="F6534" s="134" t="s">
        <v>4039</v>
      </c>
      <c r="G6534" s="63" t="str">
        <f>VLOOKUP(C6534, 'Class Def. - General Data'!$C$20:$C$1000,1,false)</f>
        <v>ZSF1_INTD_OIL</v>
      </c>
      <c r="H6534" s="63" t="str">
        <f>IFERROR(__xludf.DUMMYFUNCTION("VLOOKUP(F6534, IMPORTRANGE(""https://docs.google.com/spreadsheets/d/1Lhp9OU0JdFf_VYSMzH5lBcEaU4o8teT1piV-SNzShjg/edit?gid=554141278#gid=554141278"", ""'Char Def. - Attributes'!C20:C2242""), 1,false)"),"SFG_DESTINATION")</f>
        <v>SFG_DESTINATION</v>
      </c>
      <c r="I6534" s="136"/>
    </row>
    <row r="6535" ht="15.75" customHeight="1">
      <c r="B6535" s="63">
        <f t="shared" si="1"/>
        <v>13</v>
      </c>
      <c r="C6535" s="135" t="s">
        <v>188</v>
      </c>
      <c r="D6535" s="141" t="s">
        <v>74</v>
      </c>
      <c r="E6535" s="135">
        <f t="shared" si="59"/>
        <v>8</v>
      </c>
      <c r="F6535" s="134" t="s">
        <v>3611</v>
      </c>
      <c r="G6535" s="63" t="str">
        <f>VLOOKUP(C6535, 'Class Def. - General Data'!$C$20:$C$1000,1,false)</f>
        <v>ZSF1_INTD_OIL</v>
      </c>
      <c r="H6535" s="63" t="str">
        <f>IFERROR(__xludf.DUMMYFUNCTION("VLOOKUP(F6535, IMPORTRANGE(""https://docs.google.com/spreadsheets/d/1Lhp9OU0JdFf_VYSMzH5lBcEaU4o8teT1piV-SNzShjg/edit?gid=554141278#gid=554141278"", ""'Char Def. - Attributes'!C20:C2242""), 1,false)"),"LOKAL_EKSPOR")</f>
        <v>LOKAL_EKSPOR</v>
      </c>
      <c r="I6535" s="136"/>
    </row>
    <row r="6536" ht="15.75" customHeight="1">
      <c r="B6536" s="63">
        <f t="shared" si="1"/>
        <v>13</v>
      </c>
      <c r="C6536" s="135" t="s">
        <v>188</v>
      </c>
      <c r="D6536" s="141" t="s">
        <v>74</v>
      </c>
      <c r="E6536" s="135">
        <f t="shared" si="59"/>
        <v>9</v>
      </c>
      <c r="F6536" s="134" t="s">
        <v>3612</v>
      </c>
      <c r="G6536" s="63" t="str">
        <f>VLOOKUP(C6536, 'Class Def. - General Data'!$C$20:$C$1000,1,false)</f>
        <v>ZSF1_INTD_OIL</v>
      </c>
      <c r="H6536" s="63" t="str">
        <f>IFERROR(__xludf.DUMMYFUNCTION("VLOOKUP(F6536, IMPORTRANGE(""https://docs.google.com/spreadsheets/d/1Lhp9OU0JdFf_VYSMzH5lBcEaU4o8teT1piV-SNzShjg/edit?gid=554141278#gid=554141278"", ""'Char Def. - Attributes'!C20:C2242""), 1,false)"),"COUNTRY_EKSPOR")</f>
        <v>COUNTRY_EKSPOR</v>
      </c>
      <c r="I6536" s="136"/>
    </row>
    <row r="6537" ht="15.75" customHeight="1">
      <c r="B6537" s="63">
        <f t="shared" si="1"/>
        <v>13</v>
      </c>
      <c r="C6537" s="134" t="s">
        <v>188</v>
      </c>
      <c r="D6537" s="134" t="s">
        <v>74</v>
      </c>
      <c r="E6537" s="135">
        <f t="shared" si="59"/>
        <v>10</v>
      </c>
      <c r="F6537" s="134" t="s">
        <v>4041</v>
      </c>
      <c r="G6537" s="63" t="str">
        <f>VLOOKUP(C6537, 'Class Def. - General Data'!$C$20:$C$1000,1,false)</f>
        <v>ZSF1_INTD_OIL</v>
      </c>
      <c r="H6537" s="63" t="str">
        <f>IFERROR(__xludf.DUMMYFUNCTION("VLOOKUP(F6537, IMPORTRANGE(""https://docs.google.com/spreadsheets/d/1Lhp9OU0JdFf_VYSMzH5lBcEaU4o8teT1piV-SNzShjg/edit?gid=554141278#gid=554141278"", ""'Char Def. - Attributes'!C20:C2242""), 1,false)"),"SFG_GRADE")</f>
        <v>SFG_GRADE</v>
      </c>
      <c r="I6537" s="136"/>
    </row>
    <row r="6538" ht="15.75" customHeight="1">
      <c r="B6538" s="63">
        <f t="shared" si="1"/>
        <v>13</v>
      </c>
      <c r="C6538" s="160" t="s">
        <v>188</v>
      </c>
      <c r="D6538" s="161" t="s">
        <v>74</v>
      </c>
      <c r="E6538" s="135">
        <f t="shared" si="59"/>
        <v>11</v>
      </c>
      <c r="F6538" s="134" t="s">
        <v>3881</v>
      </c>
      <c r="G6538" s="63" t="str">
        <f>VLOOKUP(C6538, 'Class Def. - General Data'!$C$20:$C$1000,1,false)</f>
        <v>ZSF1_INTD_OIL</v>
      </c>
      <c r="H6538" s="63" t="str">
        <f>IFERROR(__xludf.DUMMYFUNCTION("VLOOKUP(F6538, IMPORTRANGE(""https://docs.google.com/spreadsheets/d/1Lhp9OU0JdFf_VYSMzH5lBcEaU4o8teT1piV-SNzShjg/edit?gid=554141278#gid=554141278"", ""'Char Def. - Attributes'!C20:C2242""), 1,false)"),"BS_BERSIH")</f>
        <v>BS_BERSIH</v>
      </c>
      <c r="I6538" s="136"/>
    </row>
    <row r="6539" ht="15.75" customHeight="1">
      <c r="B6539" s="63">
        <f t="shared" si="1"/>
        <v>13</v>
      </c>
      <c r="C6539" s="160" t="s">
        <v>188</v>
      </c>
      <c r="D6539" s="161" t="s">
        <v>74</v>
      </c>
      <c r="E6539" s="135">
        <f t="shared" si="59"/>
        <v>12</v>
      </c>
      <c r="F6539" s="134" t="s">
        <v>3882</v>
      </c>
      <c r="G6539" s="63" t="str">
        <f>VLOOKUP(C6539, 'Class Def. - General Data'!$C$20:$C$1000,1,false)</f>
        <v>ZSF1_INTD_OIL</v>
      </c>
      <c r="H6539" s="63" t="str">
        <f>IFERROR(__xludf.DUMMYFUNCTION("VLOOKUP(F6539, IMPORTRANGE(""https://docs.google.com/spreadsheets/d/1Lhp9OU0JdFf_VYSMzH5lBcEaU4o8teT1piV-SNzShjg/edit?gid=554141278#gid=554141278"", ""'Char Def. - Attributes'!C20:C2242""), 1,false)"),"BS_KOTOR")</f>
        <v>BS_KOTOR</v>
      </c>
      <c r="I6539" s="136"/>
    </row>
    <row r="6540" ht="15.75" customHeight="1">
      <c r="B6540" s="63">
        <f t="shared" si="1"/>
        <v>13</v>
      </c>
      <c r="C6540" s="160" t="s">
        <v>188</v>
      </c>
      <c r="D6540" s="161" t="s">
        <v>74</v>
      </c>
      <c r="E6540" s="135">
        <f t="shared" si="59"/>
        <v>13</v>
      </c>
      <c r="F6540" s="134" t="s">
        <v>3883</v>
      </c>
      <c r="G6540" s="63" t="str">
        <f>VLOOKUP(C6540, 'Class Def. - General Data'!$C$20:$C$1000,1,false)</f>
        <v>ZSF1_INTD_OIL</v>
      </c>
      <c r="H6540" s="63" t="str">
        <f>IFERROR(__xludf.DUMMYFUNCTION("VLOOKUP(F6540, IMPORTRANGE(""https://docs.google.com/spreadsheets/d/1Lhp9OU0JdFf_VYSMzH5lBcEaU4o8teT1piV-SNzShjg/edit?gid=554141278#gid=554141278"", ""'Char Def. - Attributes'!C20:C2242""), 1,false)"),"BS_SCRAP")</f>
        <v>BS_SCRAP</v>
      </c>
      <c r="I6540" s="136"/>
    </row>
    <row r="6541" ht="15.75" customHeight="1">
      <c r="B6541" s="63">
        <f t="shared" si="1"/>
        <v>13</v>
      </c>
      <c r="C6541" s="134" t="s">
        <v>188</v>
      </c>
      <c r="D6541" s="134" t="s">
        <v>74</v>
      </c>
      <c r="E6541" s="135">
        <f t="shared" si="59"/>
        <v>14</v>
      </c>
      <c r="F6541" s="134" t="s">
        <v>3582</v>
      </c>
      <c r="G6541" s="63" t="str">
        <f>VLOOKUP(C6541, 'Class Def. - General Data'!$C$20:$C$1000,1,false)</f>
        <v>ZSF1_INTD_OIL</v>
      </c>
      <c r="H6541" s="63" t="str">
        <f>IFERROR(__xludf.DUMMYFUNCTION("VLOOKUP(F6541, IMPORTRANGE(""https://docs.google.com/spreadsheets/d/1Lhp9OU0JdFf_VYSMzH5lBcEaU4o8teT1piV-SNzShjg/edit?gid=554141278#gid=554141278"", ""'Char Def. - Attributes'!C20:C2242""), 1,false)"),"BASE_UNIT")</f>
        <v>BASE_UNIT</v>
      </c>
      <c r="I6541" s="136"/>
    </row>
    <row r="6542" ht="15.75" customHeight="1">
      <c r="B6542" s="63">
        <f t="shared" si="1"/>
        <v>13</v>
      </c>
      <c r="C6542" s="134" t="s">
        <v>188</v>
      </c>
      <c r="D6542" s="134" t="s">
        <v>74</v>
      </c>
      <c r="E6542" s="135">
        <f t="shared" si="59"/>
        <v>15</v>
      </c>
      <c r="F6542" s="134" t="s">
        <v>3595</v>
      </c>
      <c r="G6542" s="63" t="str">
        <f>VLOOKUP(C6542, 'Class Def. - General Data'!$C$20:$C$1000,1,false)</f>
        <v>ZSF1_INTD_OIL</v>
      </c>
      <c r="H6542" s="63" t="str">
        <f>IFERROR(__xludf.DUMMYFUNCTION("VLOOKUP(F6542, IMPORTRANGE(""https://docs.google.com/spreadsheets/d/1Lhp9OU0JdFf_VYSMzH5lBcEaU4o8teT1piV-SNzShjg/edit?gid=554141278#gid=554141278"", ""'Char Def. - Attributes'!C20:C2242""), 1,false)"),"UOM1")</f>
        <v>UOM1</v>
      </c>
      <c r="I6542" s="136"/>
    </row>
    <row r="6543" ht="15.75" customHeight="1">
      <c r="B6543" s="63">
        <f t="shared" si="1"/>
        <v>13</v>
      </c>
      <c r="C6543" s="134" t="s">
        <v>188</v>
      </c>
      <c r="D6543" s="134" t="s">
        <v>74</v>
      </c>
      <c r="E6543" s="135">
        <f t="shared" si="59"/>
        <v>16</v>
      </c>
      <c r="F6543" s="134" t="s">
        <v>3596</v>
      </c>
      <c r="G6543" s="63" t="str">
        <f>VLOOKUP(C6543, 'Class Def. - General Data'!$C$20:$C$1000,1,false)</f>
        <v>ZSF1_INTD_OIL</v>
      </c>
      <c r="H6543" s="63" t="str">
        <f>IFERROR(__xludf.DUMMYFUNCTION("VLOOKUP(F6543, IMPORTRANGE(""https://docs.google.com/spreadsheets/d/1Lhp9OU0JdFf_VYSMzH5lBcEaU4o8teT1piV-SNzShjg/edit?gid=554141278#gid=554141278"", ""'Char Def. - Attributes'!C20:C2242""), 1,false)"),"CONV1")</f>
        <v>CONV1</v>
      </c>
      <c r="I6543" s="136"/>
    </row>
    <row r="6544" ht="15.75" customHeight="1">
      <c r="B6544" s="63">
        <f t="shared" si="1"/>
        <v>13</v>
      </c>
      <c r="C6544" s="134" t="s">
        <v>188</v>
      </c>
      <c r="D6544" s="134" t="s">
        <v>74</v>
      </c>
      <c r="E6544" s="135">
        <f t="shared" si="59"/>
        <v>17</v>
      </c>
      <c r="F6544" s="134" t="s">
        <v>3597</v>
      </c>
      <c r="G6544" s="63" t="str">
        <f>VLOOKUP(C6544, 'Class Def. - General Data'!$C$20:$C$1000,1,false)</f>
        <v>ZSF1_INTD_OIL</v>
      </c>
      <c r="H6544" s="63" t="str">
        <f>IFERROR(__xludf.DUMMYFUNCTION("VLOOKUP(F6544, IMPORTRANGE(""https://docs.google.com/spreadsheets/d/1Lhp9OU0JdFf_VYSMzH5lBcEaU4o8teT1piV-SNzShjg/edit?gid=554141278#gid=554141278"", ""'Char Def. - Attributes'!C20:C2242""), 1,false)"),"UOM2")</f>
        <v>UOM2</v>
      </c>
      <c r="I6544" s="136"/>
    </row>
    <row r="6545" ht="15.75" customHeight="1">
      <c r="B6545" s="63">
        <f t="shared" si="1"/>
        <v>13</v>
      </c>
      <c r="C6545" s="134" t="s">
        <v>188</v>
      </c>
      <c r="D6545" s="134" t="s">
        <v>74</v>
      </c>
      <c r="E6545" s="135">
        <f t="shared" si="59"/>
        <v>18</v>
      </c>
      <c r="F6545" s="134" t="s">
        <v>3598</v>
      </c>
      <c r="G6545" s="63" t="str">
        <f>VLOOKUP(C6545, 'Class Def. - General Data'!$C$20:$C$1000,1,false)</f>
        <v>ZSF1_INTD_OIL</v>
      </c>
      <c r="H6545" s="63" t="str">
        <f>IFERROR(__xludf.DUMMYFUNCTION("VLOOKUP(F6545, IMPORTRANGE(""https://docs.google.com/spreadsheets/d/1Lhp9OU0JdFf_VYSMzH5lBcEaU4o8teT1piV-SNzShjg/edit?gid=554141278#gid=554141278"", ""'Char Def. - Attributes'!C20:C2242""), 1,false)"),"CONV2")</f>
        <v>CONV2</v>
      </c>
      <c r="I6545" s="136"/>
    </row>
    <row r="6546" ht="15.75" customHeight="1">
      <c r="B6546" s="63">
        <f t="shared" si="1"/>
        <v>13</v>
      </c>
      <c r="C6546" s="134" t="s">
        <v>188</v>
      </c>
      <c r="D6546" s="134" t="s">
        <v>74</v>
      </c>
      <c r="E6546" s="135">
        <f t="shared" si="59"/>
        <v>19</v>
      </c>
      <c r="F6546" s="134" t="s">
        <v>3599</v>
      </c>
      <c r="G6546" s="63" t="str">
        <f>VLOOKUP(C6546, 'Class Def. - General Data'!$C$20:$C$1000,1,false)</f>
        <v>ZSF1_INTD_OIL</v>
      </c>
      <c r="H6546" s="63" t="str">
        <f>IFERROR(__xludf.DUMMYFUNCTION("VLOOKUP(F6546, IMPORTRANGE(""https://docs.google.com/spreadsheets/d/1Lhp9OU0JdFf_VYSMzH5lBcEaU4o8teT1piV-SNzShjg/edit?gid=554141278#gid=554141278"", ""'Char Def. - Attributes'!C20:C2242""), 1,false)"),"UOM3")</f>
        <v>UOM3</v>
      </c>
      <c r="I6546" s="136"/>
    </row>
    <row r="6547" ht="15.75" customHeight="1">
      <c r="B6547" s="63">
        <f t="shared" si="1"/>
        <v>13</v>
      </c>
      <c r="C6547" s="134" t="s">
        <v>188</v>
      </c>
      <c r="D6547" s="134" t="s">
        <v>74</v>
      </c>
      <c r="E6547" s="135">
        <f t="shared" si="59"/>
        <v>20</v>
      </c>
      <c r="F6547" s="134" t="s">
        <v>3600</v>
      </c>
      <c r="G6547" s="63" t="str">
        <f>VLOOKUP(C6547, 'Class Def. - General Data'!$C$20:$C$1000,1,false)</f>
        <v>ZSF1_INTD_OIL</v>
      </c>
      <c r="H6547" s="63" t="str">
        <f>IFERROR(__xludf.DUMMYFUNCTION("VLOOKUP(F6547, IMPORTRANGE(""https://docs.google.com/spreadsheets/d/1Lhp9OU0JdFf_VYSMzH5lBcEaU4o8teT1piV-SNzShjg/edit?gid=554141278#gid=554141278"", ""'Char Def. - Attributes'!C20:C2242""), 1,false)"),"CONV3")</f>
        <v>CONV3</v>
      </c>
      <c r="I6547" s="136"/>
    </row>
    <row r="6548" ht="15.75" customHeight="1">
      <c r="B6548" s="63">
        <f t="shared" si="1"/>
        <v>13</v>
      </c>
      <c r="C6548" s="134" t="s">
        <v>188</v>
      </c>
      <c r="D6548" s="134" t="s">
        <v>74</v>
      </c>
      <c r="E6548" s="135">
        <f t="shared" si="59"/>
        <v>21</v>
      </c>
      <c r="F6548" s="134" t="s">
        <v>3601</v>
      </c>
      <c r="G6548" s="63" t="str">
        <f>VLOOKUP(C6548, 'Class Def. - General Data'!$C$20:$C$1000,1,false)</f>
        <v>ZSF1_INTD_OIL</v>
      </c>
      <c r="H6548" s="63" t="str">
        <f>IFERROR(__xludf.DUMMYFUNCTION("VLOOKUP(F6548, IMPORTRANGE(""https://docs.google.com/spreadsheets/d/1Lhp9OU0JdFf_VYSMzH5lBcEaU4o8teT1piV-SNzShjg/edit?gid=554141278#gid=554141278"", ""'Char Def. - Attributes'!C20:C2242""), 1,false)"),"GROSS_WEIGHT")</f>
        <v>GROSS_WEIGHT</v>
      </c>
      <c r="I6548" s="136"/>
    </row>
    <row r="6549" ht="15.75" customHeight="1">
      <c r="B6549" s="63">
        <f t="shared" si="1"/>
        <v>13</v>
      </c>
      <c r="C6549" s="134" t="s">
        <v>188</v>
      </c>
      <c r="D6549" s="134" t="s">
        <v>74</v>
      </c>
      <c r="E6549" s="135">
        <f t="shared" si="59"/>
        <v>22</v>
      </c>
      <c r="F6549" s="134" t="s">
        <v>3602</v>
      </c>
      <c r="G6549" s="63" t="str">
        <f>VLOOKUP(C6549, 'Class Def. - General Data'!$C$20:$C$1000,1,false)</f>
        <v>ZSF1_INTD_OIL</v>
      </c>
      <c r="H6549" s="63" t="str">
        <f>IFERROR(__xludf.DUMMYFUNCTION("VLOOKUP(F6549, IMPORTRANGE(""https://docs.google.com/spreadsheets/d/1Lhp9OU0JdFf_VYSMzH5lBcEaU4o8teT1piV-SNzShjg/edit?gid=554141278#gid=554141278"", ""'Char Def. - Attributes'!C20:C2242""), 1,false)"),"NET_WEIGHT")</f>
        <v>NET_WEIGHT</v>
      </c>
      <c r="I6549" s="136"/>
    </row>
    <row r="6550" ht="15.75" customHeight="1">
      <c r="B6550" s="63">
        <f t="shared" si="1"/>
        <v>13</v>
      </c>
      <c r="C6550" s="134" t="s">
        <v>188</v>
      </c>
      <c r="D6550" s="134" t="s">
        <v>74</v>
      </c>
      <c r="E6550" s="135">
        <f t="shared" si="59"/>
        <v>23</v>
      </c>
      <c r="F6550" s="134" t="s">
        <v>3603</v>
      </c>
      <c r="G6550" s="63" t="str">
        <f>VLOOKUP(C6550, 'Class Def. - General Data'!$C$20:$C$1000,1,false)</f>
        <v>ZSF1_INTD_OIL</v>
      </c>
      <c r="H6550" s="63" t="str">
        <f>IFERROR(__xludf.DUMMYFUNCTION("VLOOKUP(F6550, IMPORTRANGE(""https://docs.google.com/spreadsheets/d/1Lhp9OU0JdFf_VYSMzH5lBcEaU4o8teT1piV-SNzShjg/edit?gid=554141278#gid=554141278"", ""'Char Def. - Attributes'!C20:C2242""), 1,false)"),"VOLUME")</f>
        <v>VOLUME</v>
      </c>
      <c r="I6550" s="136"/>
    </row>
    <row r="6551" ht="15.75" customHeight="1">
      <c r="B6551" s="63">
        <f t="shared" si="1"/>
        <v>13</v>
      </c>
      <c r="C6551" s="134" t="s">
        <v>188</v>
      </c>
      <c r="D6551" s="134" t="s">
        <v>74</v>
      </c>
      <c r="E6551" s="135">
        <f t="shared" si="59"/>
        <v>24</v>
      </c>
      <c r="F6551" s="134" t="s">
        <v>3586</v>
      </c>
      <c r="G6551" s="63" t="str">
        <f>VLOOKUP(C6551, 'Class Def. - General Data'!$C$20:$C$1000,1,false)</f>
        <v>ZSF1_INTD_OIL</v>
      </c>
      <c r="H6551" s="63" t="str">
        <f>IFERROR(__xludf.DUMMYFUNCTION("VLOOKUP(F6551, IMPORTRANGE(""https://docs.google.com/spreadsheets/d/1Lhp9OU0JdFf_VYSMzH5lBcEaU4o8teT1piV-SNzShjg/edit?gid=554141278#gid=554141278"", ""'Char Def. - Attributes'!C20:C2242""), 1,false)"),"PLANT_PROD")</f>
        <v>PLANT_PROD</v>
      </c>
      <c r="I6551" s="136"/>
    </row>
    <row r="6552" ht="15.75" customHeight="1">
      <c r="B6552" s="63">
        <f t="shared" si="1"/>
        <v>13</v>
      </c>
      <c r="C6552" s="134" t="s">
        <v>188</v>
      </c>
      <c r="D6552" s="134" t="s">
        <v>74</v>
      </c>
      <c r="E6552" s="135">
        <f t="shared" si="59"/>
        <v>25</v>
      </c>
      <c r="F6552" s="134" t="s">
        <v>3587</v>
      </c>
      <c r="G6552" s="63" t="str">
        <f>VLOOKUP(C6552, 'Class Def. - General Data'!$C$20:$C$1000,1,false)</f>
        <v>ZSF1_INTD_OIL</v>
      </c>
      <c r="H6552" s="63" t="str">
        <f>IFERROR(__xludf.DUMMYFUNCTION("VLOOKUP(F6552, IMPORTRANGE(""https://docs.google.com/spreadsheets/d/1Lhp9OU0JdFf_VYSMzH5lBcEaU4o8teT1piV-SNzShjg/edit?gid=554141278#gid=554141278"", ""'Char Def. - Attributes'!C20:C2242""), 1,false)"),"PLANT_BUY")</f>
        <v>PLANT_BUY</v>
      </c>
      <c r="I6552" s="136"/>
    </row>
    <row r="6553" ht="15.75" customHeight="1">
      <c r="B6553" s="63">
        <f t="shared" si="1"/>
        <v>13</v>
      </c>
      <c r="C6553" s="134" t="s">
        <v>188</v>
      </c>
      <c r="D6553" s="134" t="s">
        <v>74</v>
      </c>
      <c r="E6553" s="135">
        <f t="shared" si="59"/>
        <v>26</v>
      </c>
      <c r="F6553" s="134" t="s">
        <v>4040</v>
      </c>
      <c r="G6553" s="63" t="str">
        <f>VLOOKUP(C6553, 'Class Def. - General Data'!$C$20:$C$1000,1,false)</f>
        <v>ZSF1_INTD_OIL</v>
      </c>
      <c r="H6553" s="63" t="str">
        <f>IFERROR(__xludf.DUMMYFUNCTION("VLOOKUP(F6553, IMPORTRANGE(""https://docs.google.com/spreadsheets/d/1Lhp9OU0JdFf_VYSMzH5lBcEaU4o8teT1piV-SNzShjg/edit?gid=554141278#gid=554141278"", ""'Char Def. - Attributes'!C20:C2242""), 1,false)"),"OLD_MAT_SFG")</f>
        <v>OLD_MAT_SFG</v>
      </c>
      <c r="I6553" s="136"/>
    </row>
    <row r="6554" ht="15.75" customHeight="1">
      <c r="B6554" s="63">
        <f t="shared" si="1"/>
        <v>16</v>
      </c>
      <c r="C6554" s="134" t="s">
        <v>189</v>
      </c>
      <c r="D6554" s="134" t="s">
        <v>74</v>
      </c>
      <c r="E6554" s="135">
        <f t="shared" si="59"/>
        <v>1</v>
      </c>
      <c r="F6554" s="134" t="s">
        <v>3853</v>
      </c>
      <c r="G6554" s="63" t="str">
        <f>VLOOKUP(C6554, 'Class Def. - General Data'!$C$20:$C$1000,1,false)</f>
        <v>ZSF1_INTD_POWDER</v>
      </c>
      <c r="H6554" s="63" t="str">
        <f>IFERROR(__xludf.DUMMYFUNCTION("VLOOKUP(F6554, IMPORTRANGE(""https://docs.google.com/spreadsheets/d/1Lhp9OU0JdFf_VYSMzH5lBcEaU4o8teT1piV-SNzShjg/edit?gid=554141278#gid=554141278"", ""'Char Def. - Attributes'!C20:C2242""), 1,false)"),"BRAND_WINGS")</f>
        <v>BRAND_WINGS</v>
      </c>
      <c r="I6554" s="136"/>
    </row>
    <row r="6555" ht="15.75" customHeight="1">
      <c r="B6555" s="63">
        <f t="shared" si="1"/>
        <v>16</v>
      </c>
      <c r="C6555" s="134" t="s">
        <v>189</v>
      </c>
      <c r="D6555" s="134" t="s">
        <v>74</v>
      </c>
      <c r="E6555" s="135">
        <f t="shared" si="59"/>
        <v>2</v>
      </c>
      <c r="F6555" s="134" t="s">
        <v>3607</v>
      </c>
      <c r="G6555" s="63" t="str">
        <f>VLOOKUP(C6555, 'Class Def. - General Data'!$C$20:$C$1000,1,false)</f>
        <v>ZSF1_INTD_POWDER</v>
      </c>
      <c r="H6555" s="63" t="str">
        <f>IFERROR(__xludf.DUMMYFUNCTION("VLOOKUP(F6555, IMPORTRANGE(""https://docs.google.com/spreadsheets/d/1Lhp9OU0JdFf_VYSMzH5lBcEaU4o8teT1piV-SNzShjg/edit?gid=554141278#gid=554141278"", ""'Char Def. - Attributes'!C20:C2242""), 1,false)"),"VARIAN")</f>
        <v>VARIAN</v>
      </c>
      <c r="I6555" s="136"/>
    </row>
    <row r="6556" ht="15.75" customHeight="1">
      <c r="B6556" s="63">
        <f t="shared" si="1"/>
        <v>16</v>
      </c>
      <c r="C6556" s="134" t="s">
        <v>189</v>
      </c>
      <c r="D6556" s="134" t="s">
        <v>74</v>
      </c>
      <c r="E6556" s="135">
        <f t="shared" si="59"/>
        <v>3</v>
      </c>
      <c r="F6556" s="134" t="s">
        <v>4036</v>
      </c>
      <c r="G6556" s="63" t="str">
        <f>VLOOKUP(C6556, 'Class Def. - General Data'!$C$20:$C$1000,1,false)</f>
        <v>ZSF1_INTD_POWDER</v>
      </c>
      <c r="H6556" s="63" t="str">
        <f>IFERROR(__xludf.DUMMYFUNCTION("VLOOKUP(F6556, IMPORTRANGE(""https://docs.google.com/spreadsheets/d/1Lhp9OU0JdFf_VYSMzH5lBcEaU4o8teT1piV-SNzShjg/edit?gid=554141278#gid=554141278"", ""'Char Def. - Attributes'!C20:C2242""), 1,false)"),"NAMA_BAHAN")</f>
        <v>NAMA_BAHAN</v>
      </c>
      <c r="I6556" s="136"/>
    </row>
    <row r="6557" ht="15.75" customHeight="1">
      <c r="B6557" s="63">
        <f t="shared" si="1"/>
        <v>16</v>
      </c>
      <c r="C6557" s="134" t="s">
        <v>189</v>
      </c>
      <c r="D6557" s="134" t="s">
        <v>74</v>
      </c>
      <c r="E6557" s="135">
        <f t="shared" si="59"/>
        <v>4</v>
      </c>
      <c r="F6557" s="134" t="s">
        <v>4037</v>
      </c>
      <c r="G6557" s="63" t="str">
        <f>VLOOKUP(C6557, 'Class Def. - General Data'!$C$20:$C$1000,1,false)</f>
        <v>ZSF1_INTD_POWDER</v>
      </c>
      <c r="H6557" s="63" t="str">
        <f>IFERROR(__xludf.DUMMYFUNCTION("VLOOKUP(F6557, IMPORTRANGE(""https://docs.google.com/spreadsheets/d/1Lhp9OU0JdFf_VYSMzH5lBcEaU4o8teT1piV-SNzShjg/edit?gid=554141278#gid=554141278"", ""'Char Def. - Attributes'!C20:C2242""), 1,false)"),"VARIAN_BAHAN")</f>
        <v>VARIAN_BAHAN</v>
      </c>
      <c r="I6557" s="136"/>
    </row>
    <row r="6558" ht="15.75" customHeight="1">
      <c r="B6558" s="63">
        <f t="shared" si="1"/>
        <v>16</v>
      </c>
      <c r="C6558" s="160" t="s">
        <v>189</v>
      </c>
      <c r="D6558" s="161" t="s">
        <v>74</v>
      </c>
      <c r="E6558" s="135">
        <f t="shared" si="59"/>
        <v>5</v>
      </c>
      <c r="F6558" s="134" t="s">
        <v>4038</v>
      </c>
      <c r="G6558" s="63" t="str">
        <f>VLOOKUP(C6558, 'Class Def. - General Data'!$C$20:$C$1000,1,false)</f>
        <v>ZSF1_INTD_POWDER</v>
      </c>
      <c r="H6558" s="63" t="str">
        <f>IFERROR(__xludf.DUMMYFUNCTION("VLOOKUP(F6558, IMPORTRANGE(""https://docs.google.com/spreadsheets/d/1Lhp9OU0JdFf_VYSMzH5lBcEaU4o8teT1piV-SNzShjg/edit?gid=554141278#gid=554141278"", ""'Char Def. - Attributes'!C20:C2242""), 1,false)"),"SFG_SPEC")</f>
        <v>SFG_SPEC</v>
      </c>
      <c r="I6558" s="136"/>
    </row>
    <row r="6559" ht="15.75" customHeight="1">
      <c r="B6559" s="63">
        <f t="shared" si="1"/>
        <v>16</v>
      </c>
      <c r="C6559" s="134" t="s">
        <v>189</v>
      </c>
      <c r="D6559" s="134" t="s">
        <v>74</v>
      </c>
      <c r="E6559" s="135">
        <f t="shared" si="59"/>
        <v>6</v>
      </c>
      <c r="F6559" s="134" t="s">
        <v>4039</v>
      </c>
      <c r="G6559" s="63" t="str">
        <f>VLOOKUP(C6559, 'Class Def. - General Data'!$C$20:$C$1000,1,false)</f>
        <v>ZSF1_INTD_POWDER</v>
      </c>
      <c r="H6559" s="63" t="str">
        <f>IFERROR(__xludf.DUMMYFUNCTION("VLOOKUP(F6559, IMPORTRANGE(""https://docs.google.com/spreadsheets/d/1Lhp9OU0JdFf_VYSMzH5lBcEaU4o8teT1piV-SNzShjg/edit?gid=554141278#gid=554141278"", ""'Char Def. - Attributes'!C20:C2242""), 1,false)"),"SFG_DESTINATION")</f>
        <v>SFG_DESTINATION</v>
      </c>
      <c r="I6559" s="136"/>
    </row>
    <row r="6560" ht="15.75" customHeight="1">
      <c r="B6560" s="63">
        <f t="shared" si="1"/>
        <v>16</v>
      </c>
      <c r="C6560" s="160" t="s">
        <v>189</v>
      </c>
      <c r="D6560" s="161" t="s">
        <v>74</v>
      </c>
      <c r="E6560" s="135">
        <f t="shared" si="59"/>
        <v>7</v>
      </c>
      <c r="F6560" s="134" t="s">
        <v>3605</v>
      </c>
      <c r="G6560" s="63" t="str">
        <f>VLOOKUP(C6560, 'Class Def. - General Data'!$C$20:$C$1000,1,false)</f>
        <v>ZSF1_INTD_POWDER</v>
      </c>
      <c r="H6560" s="63" t="str">
        <f>IFERROR(__xludf.DUMMYFUNCTION("VLOOKUP(F6560, IMPORTRANGE(""https://docs.google.com/spreadsheets/d/1Lhp9OU0JdFf_VYSMzH5lBcEaU4o8teT1piV-SNzShjg/edit?gid=554141278#gid=554141278"", ""'Char Def. - Attributes'!C20:C2242""), 1,false)"),"PACK_NETTO")</f>
        <v>PACK_NETTO</v>
      </c>
      <c r="I6560" s="136"/>
    </row>
    <row r="6561" ht="15.75" customHeight="1">
      <c r="B6561" s="63">
        <f t="shared" si="1"/>
        <v>16</v>
      </c>
      <c r="C6561" s="135" t="s">
        <v>189</v>
      </c>
      <c r="D6561" s="141" t="s">
        <v>74</v>
      </c>
      <c r="E6561" s="135">
        <f t="shared" si="59"/>
        <v>8</v>
      </c>
      <c r="F6561" s="134" t="s">
        <v>3611</v>
      </c>
      <c r="G6561" s="63" t="str">
        <f>VLOOKUP(C6561, 'Class Def. - General Data'!$C$20:$C$1000,1,false)</f>
        <v>ZSF1_INTD_POWDER</v>
      </c>
      <c r="H6561" s="63" t="str">
        <f>IFERROR(__xludf.DUMMYFUNCTION("VLOOKUP(F6561, IMPORTRANGE(""https://docs.google.com/spreadsheets/d/1Lhp9OU0JdFf_VYSMzH5lBcEaU4o8teT1piV-SNzShjg/edit?gid=554141278#gid=554141278"", ""'Char Def. - Attributes'!C20:C2242""), 1,false)"),"LOKAL_EKSPOR")</f>
        <v>LOKAL_EKSPOR</v>
      </c>
      <c r="I6561" s="136"/>
    </row>
    <row r="6562" ht="15.75" customHeight="1">
      <c r="B6562" s="63">
        <f t="shared" si="1"/>
        <v>16</v>
      </c>
      <c r="C6562" s="135" t="s">
        <v>189</v>
      </c>
      <c r="D6562" s="141" t="s">
        <v>74</v>
      </c>
      <c r="E6562" s="135">
        <f t="shared" si="59"/>
        <v>9</v>
      </c>
      <c r="F6562" s="134" t="s">
        <v>3612</v>
      </c>
      <c r="G6562" s="63" t="str">
        <f>VLOOKUP(C6562, 'Class Def. - General Data'!$C$20:$C$1000,1,false)</f>
        <v>ZSF1_INTD_POWDER</v>
      </c>
      <c r="H6562" s="63" t="str">
        <f>IFERROR(__xludf.DUMMYFUNCTION("VLOOKUP(F6562, IMPORTRANGE(""https://docs.google.com/spreadsheets/d/1Lhp9OU0JdFf_VYSMzH5lBcEaU4o8teT1piV-SNzShjg/edit?gid=554141278#gid=554141278"", ""'Char Def. - Attributes'!C20:C2242""), 1,false)"),"COUNTRY_EKSPOR")</f>
        <v>COUNTRY_EKSPOR</v>
      </c>
      <c r="I6562" s="136"/>
    </row>
    <row r="6563" ht="15.75" customHeight="1">
      <c r="B6563" s="63">
        <f t="shared" si="1"/>
        <v>16</v>
      </c>
      <c r="C6563" s="134" t="s">
        <v>189</v>
      </c>
      <c r="D6563" s="134" t="s">
        <v>74</v>
      </c>
      <c r="E6563" s="135">
        <f t="shared" si="59"/>
        <v>10</v>
      </c>
      <c r="F6563" s="134" t="s">
        <v>4041</v>
      </c>
      <c r="G6563" s="63" t="str">
        <f>VLOOKUP(C6563, 'Class Def. - General Data'!$C$20:$C$1000,1,false)</f>
        <v>ZSF1_INTD_POWDER</v>
      </c>
      <c r="H6563" s="63" t="str">
        <f>IFERROR(__xludf.DUMMYFUNCTION("VLOOKUP(F6563, IMPORTRANGE(""https://docs.google.com/spreadsheets/d/1Lhp9OU0JdFf_VYSMzH5lBcEaU4o8teT1piV-SNzShjg/edit?gid=554141278#gid=554141278"", ""'Char Def. - Attributes'!C20:C2242""), 1,false)"),"SFG_GRADE")</f>
        <v>SFG_GRADE</v>
      </c>
      <c r="I6563" s="136"/>
    </row>
    <row r="6564" ht="15.75" customHeight="1">
      <c r="B6564" s="63">
        <f t="shared" si="1"/>
        <v>16</v>
      </c>
      <c r="C6564" s="160" t="s">
        <v>189</v>
      </c>
      <c r="D6564" s="161" t="s">
        <v>74</v>
      </c>
      <c r="E6564" s="135">
        <f t="shared" si="59"/>
        <v>11</v>
      </c>
      <c r="F6564" s="134" t="s">
        <v>3881</v>
      </c>
      <c r="G6564" s="63" t="str">
        <f>VLOOKUP(C6564, 'Class Def. - General Data'!$C$20:$C$1000,1,false)</f>
        <v>ZSF1_INTD_POWDER</v>
      </c>
      <c r="H6564" s="63" t="str">
        <f>IFERROR(__xludf.DUMMYFUNCTION("VLOOKUP(F6564, IMPORTRANGE(""https://docs.google.com/spreadsheets/d/1Lhp9OU0JdFf_VYSMzH5lBcEaU4o8teT1piV-SNzShjg/edit?gid=554141278#gid=554141278"", ""'Char Def. - Attributes'!C20:C2242""), 1,false)"),"BS_BERSIH")</f>
        <v>BS_BERSIH</v>
      </c>
      <c r="I6564" s="136"/>
    </row>
    <row r="6565" ht="15.75" customHeight="1">
      <c r="B6565" s="63">
        <f t="shared" si="1"/>
        <v>16</v>
      </c>
      <c r="C6565" s="160" t="s">
        <v>189</v>
      </c>
      <c r="D6565" s="161" t="s">
        <v>74</v>
      </c>
      <c r="E6565" s="135">
        <f t="shared" si="59"/>
        <v>12</v>
      </c>
      <c r="F6565" s="134" t="s">
        <v>3882</v>
      </c>
      <c r="G6565" s="63" t="str">
        <f>VLOOKUP(C6565, 'Class Def. - General Data'!$C$20:$C$1000,1,false)</f>
        <v>ZSF1_INTD_POWDER</v>
      </c>
      <c r="H6565" s="63" t="str">
        <f>IFERROR(__xludf.DUMMYFUNCTION("VLOOKUP(F6565, IMPORTRANGE(""https://docs.google.com/spreadsheets/d/1Lhp9OU0JdFf_VYSMzH5lBcEaU4o8teT1piV-SNzShjg/edit?gid=554141278#gid=554141278"", ""'Char Def. - Attributes'!C20:C2242""), 1,false)"),"BS_KOTOR")</f>
        <v>BS_KOTOR</v>
      </c>
      <c r="I6565" s="136"/>
    </row>
    <row r="6566" ht="15.75" customHeight="1">
      <c r="B6566" s="63">
        <f t="shared" si="1"/>
        <v>16</v>
      </c>
      <c r="C6566" s="160" t="s">
        <v>189</v>
      </c>
      <c r="D6566" s="161" t="s">
        <v>74</v>
      </c>
      <c r="E6566" s="135">
        <f t="shared" si="59"/>
        <v>13</v>
      </c>
      <c r="F6566" s="134" t="s">
        <v>3883</v>
      </c>
      <c r="G6566" s="63" t="str">
        <f>VLOOKUP(C6566, 'Class Def. - General Data'!$C$20:$C$1000,1,false)</f>
        <v>ZSF1_INTD_POWDER</v>
      </c>
      <c r="H6566" s="63" t="str">
        <f>IFERROR(__xludf.DUMMYFUNCTION("VLOOKUP(F6566, IMPORTRANGE(""https://docs.google.com/spreadsheets/d/1Lhp9OU0JdFf_VYSMzH5lBcEaU4o8teT1piV-SNzShjg/edit?gid=554141278#gid=554141278"", ""'Char Def. - Attributes'!C20:C2242""), 1,false)"),"BS_SCRAP")</f>
        <v>BS_SCRAP</v>
      </c>
      <c r="I6566" s="136"/>
    </row>
    <row r="6567" ht="15.75" customHeight="1">
      <c r="B6567" s="63">
        <f t="shared" si="1"/>
        <v>16</v>
      </c>
      <c r="C6567" s="134" t="s">
        <v>189</v>
      </c>
      <c r="D6567" s="134" t="s">
        <v>74</v>
      </c>
      <c r="E6567" s="135">
        <f t="shared" si="59"/>
        <v>14</v>
      </c>
      <c r="F6567" s="134" t="s">
        <v>3582</v>
      </c>
      <c r="G6567" s="63" t="str">
        <f>VLOOKUP(C6567, 'Class Def. - General Data'!$C$20:$C$1000,1,false)</f>
        <v>ZSF1_INTD_POWDER</v>
      </c>
      <c r="H6567" s="63" t="str">
        <f>IFERROR(__xludf.DUMMYFUNCTION("VLOOKUP(F6567, IMPORTRANGE(""https://docs.google.com/spreadsheets/d/1Lhp9OU0JdFf_VYSMzH5lBcEaU4o8teT1piV-SNzShjg/edit?gid=554141278#gid=554141278"", ""'Char Def. - Attributes'!C20:C2242""), 1,false)"),"BASE_UNIT")</f>
        <v>BASE_UNIT</v>
      </c>
      <c r="I6567" s="136"/>
    </row>
    <row r="6568" ht="15.75" customHeight="1">
      <c r="B6568" s="63">
        <f t="shared" si="1"/>
        <v>16</v>
      </c>
      <c r="C6568" s="134" t="s">
        <v>189</v>
      </c>
      <c r="D6568" s="134" t="s">
        <v>74</v>
      </c>
      <c r="E6568" s="135">
        <f t="shared" si="59"/>
        <v>15</v>
      </c>
      <c r="F6568" s="134" t="s">
        <v>3595</v>
      </c>
      <c r="G6568" s="63" t="str">
        <f>VLOOKUP(C6568, 'Class Def. - General Data'!$C$20:$C$1000,1,false)</f>
        <v>ZSF1_INTD_POWDER</v>
      </c>
      <c r="H6568" s="63" t="str">
        <f>IFERROR(__xludf.DUMMYFUNCTION("VLOOKUP(F6568, IMPORTRANGE(""https://docs.google.com/spreadsheets/d/1Lhp9OU0JdFf_VYSMzH5lBcEaU4o8teT1piV-SNzShjg/edit?gid=554141278#gid=554141278"", ""'Char Def. - Attributes'!C20:C2242""), 1,false)"),"UOM1")</f>
        <v>UOM1</v>
      </c>
      <c r="I6568" s="136"/>
    </row>
    <row r="6569" ht="15.75" customHeight="1">
      <c r="B6569" s="63">
        <f t="shared" si="1"/>
        <v>16</v>
      </c>
      <c r="C6569" s="134" t="s">
        <v>189</v>
      </c>
      <c r="D6569" s="134" t="s">
        <v>74</v>
      </c>
      <c r="E6569" s="135">
        <f t="shared" si="59"/>
        <v>16</v>
      </c>
      <c r="F6569" s="134" t="s">
        <v>3596</v>
      </c>
      <c r="G6569" s="63" t="str">
        <f>VLOOKUP(C6569, 'Class Def. - General Data'!$C$20:$C$1000,1,false)</f>
        <v>ZSF1_INTD_POWDER</v>
      </c>
      <c r="H6569" s="63" t="str">
        <f>IFERROR(__xludf.DUMMYFUNCTION("VLOOKUP(F6569, IMPORTRANGE(""https://docs.google.com/spreadsheets/d/1Lhp9OU0JdFf_VYSMzH5lBcEaU4o8teT1piV-SNzShjg/edit?gid=554141278#gid=554141278"", ""'Char Def. - Attributes'!C20:C2242""), 1,false)"),"CONV1")</f>
        <v>CONV1</v>
      </c>
      <c r="I6569" s="136"/>
    </row>
    <row r="6570" ht="15.75" customHeight="1">
      <c r="B6570" s="63">
        <f t="shared" si="1"/>
        <v>16</v>
      </c>
      <c r="C6570" s="134" t="s">
        <v>189</v>
      </c>
      <c r="D6570" s="134" t="s">
        <v>74</v>
      </c>
      <c r="E6570" s="135">
        <f t="shared" si="59"/>
        <v>17</v>
      </c>
      <c r="F6570" s="134" t="s">
        <v>3597</v>
      </c>
      <c r="G6570" s="63" t="str">
        <f>VLOOKUP(C6570, 'Class Def. - General Data'!$C$20:$C$1000,1,false)</f>
        <v>ZSF1_INTD_POWDER</v>
      </c>
      <c r="H6570" s="63" t="str">
        <f>IFERROR(__xludf.DUMMYFUNCTION("VLOOKUP(F6570, IMPORTRANGE(""https://docs.google.com/spreadsheets/d/1Lhp9OU0JdFf_VYSMzH5lBcEaU4o8teT1piV-SNzShjg/edit?gid=554141278#gid=554141278"", ""'Char Def. - Attributes'!C20:C2242""), 1,false)"),"UOM2")</f>
        <v>UOM2</v>
      </c>
      <c r="I6570" s="136"/>
    </row>
    <row r="6571" ht="15.75" customHeight="1">
      <c r="B6571" s="63">
        <f t="shared" si="1"/>
        <v>16</v>
      </c>
      <c r="C6571" s="134" t="s">
        <v>189</v>
      </c>
      <c r="D6571" s="134" t="s">
        <v>74</v>
      </c>
      <c r="E6571" s="135">
        <f t="shared" si="59"/>
        <v>18</v>
      </c>
      <c r="F6571" s="134" t="s">
        <v>3598</v>
      </c>
      <c r="G6571" s="63" t="str">
        <f>VLOOKUP(C6571, 'Class Def. - General Data'!$C$20:$C$1000,1,false)</f>
        <v>ZSF1_INTD_POWDER</v>
      </c>
      <c r="H6571" s="63" t="str">
        <f>IFERROR(__xludf.DUMMYFUNCTION("VLOOKUP(F6571, IMPORTRANGE(""https://docs.google.com/spreadsheets/d/1Lhp9OU0JdFf_VYSMzH5lBcEaU4o8teT1piV-SNzShjg/edit?gid=554141278#gid=554141278"", ""'Char Def. - Attributes'!C20:C2242""), 1,false)"),"CONV2")</f>
        <v>CONV2</v>
      </c>
      <c r="I6571" s="136"/>
    </row>
    <row r="6572" ht="15.75" customHeight="1">
      <c r="B6572" s="63">
        <f t="shared" si="1"/>
        <v>16</v>
      </c>
      <c r="C6572" s="134" t="s">
        <v>189</v>
      </c>
      <c r="D6572" s="134" t="s">
        <v>74</v>
      </c>
      <c r="E6572" s="135">
        <f t="shared" si="59"/>
        <v>19</v>
      </c>
      <c r="F6572" s="134" t="s">
        <v>3599</v>
      </c>
      <c r="G6572" s="63" t="str">
        <f>VLOOKUP(C6572, 'Class Def. - General Data'!$C$20:$C$1000,1,false)</f>
        <v>ZSF1_INTD_POWDER</v>
      </c>
      <c r="H6572" s="63" t="str">
        <f>IFERROR(__xludf.DUMMYFUNCTION("VLOOKUP(F6572, IMPORTRANGE(""https://docs.google.com/spreadsheets/d/1Lhp9OU0JdFf_VYSMzH5lBcEaU4o8teT1piV-SNzShjg/edit?gid=554141278#gid=554141278"", ""'Char Def. - Attributes'!C20:C2242""), 1,false)"),"UOM3")</f>
        <v>UOM3</v>
      </c>
      <c r="I6572" s="136"/>
    </row>
    <row r="6573" ht="15.75" customHeight="1">
      <c r="B6573" s="63">
        <f t="shared" si="1"/>
        <v>16</v>
      </c>
      <c r="C6573" s="134" t="s">
        <v>189</v>
      </c>
      <c r="D6573" s="134" t="s">
        <v>74</v>
      </c>
      <c r="E6573" s="135">
        <f t="shared" si="59"/>
        <v>20</v>
      </c>
      <c r="F6573" s="134" t="s">
        <v>3600</v>
      </c>
      <c r="G6573" s="63" t="str">
        <f>VLOOKUP(C6573, 'Class Def. - General Data'!$C$20:$C$1000,1,false)</f>
        <v>ZSF1_INTD_POWDER</v>
      </c>
      <c r="H6573" s="63" t="str">
        <f>IFERROR(__xludf.DUMMYFUNCTION("VLOOKUP(F6573, IMPORTRANGE(""https://docs.google.com/spreadsheets/d/1Lhp9OU0JdFf_VYSMzH5lBcEaU4o8teT1piV-SNzShjg/edit?gid=554141278#gid=554141278"", ""'Char Def. - Attributes'!C20:C2242""), 1,false)"),"CONV3")</f>
        <v>CONV3</v>
      </c>
      <c r="I6573" s="136"/>
    </row>
    <row r="6574" ht="15.75" customHeight="1">
      <c r="B6574" s="63">
        <f t="shared" si="1"/>
        <v>16</v>
      </c>
      <c r="C6574" s="134" t="s">
        <v>189</v>
      </c>
      <c r="D6574" s="134" t="s">
        <v>74</v>
      </c>
      <c r="E6574" s="135">
        <f t="shared" si="59"/>
        <v>21</v>
      </c>
      <c r="F6574" s="134" t="s">
        <v>3601</v>
      </c>
      <c r="G6574" s="63" t="str">
        <f>VLOOKUP(C6574, 'Class Def. - General Data'!$C$20:$C$1000,1,false)</f>
        <v>ZSF1_INTD_POWDER</v>
      </c>
      <c r="H6574" s="63" t="str">
        <f>IFERROR(__xludf.DUMMYFUNCTION("VLOOKUP(F6574, IMPORTRANGE(""https://docs.google.com/spreadsheets/d/1Lhp9OU0JdFf_VYSMzH5lBcEaU4o8teT1piV-SNzShjg/edit?gid=554141278#gid=554141278"", ""'Char Def. - Attributes'!C20:C2242""), 1,false)"),"GROSS_WEIGHT")</f>
        <v>GROSS_WEIGHT</v>
      </c>
      <c r="I6574" s="136"/>
    </row>
    <row r="6575" ht="15.75" customHeight="1">
      <c r="B6575" s="63">
        <f t="shared" si="1"/>
        <v>16</v>
      </c>
      <c r="C6575" s="134" t="s">
        <v>189</v>
      </c>
      <c r="D6575" s="134" t="s">
        <v>74</v>
      </c>
      <c r="E6575" s="135">
        <f t="shared" si="59"/>
        <v>22</v>
      </c>
      <c r="F6575" s="134" t="s">
        <v>3602</v>
      </c>
      <c r="G6575" s="63" t="str">
        <f>VLOOKUP(C6575, 'Class Def. - General Data'!$C$20:$C$1000,1,false)</f>
        <v>ZSF1_INTD_POWDER</v>
      </c>
      <c r="H6575" s="63" t="str">
        <f>IFERROR(__xludf.DUMMYFUNCTION("VLOOKUP(F6575, IMPORTRANGE(""https://docs.google.com/spreadsheets/d/1Lhp9OU0JdFf_VYSMzH5lBcEaU4o8teT1piV-SNzShjg/edit?gid=554141278#gid=554141278"", ""'Char Def. - Attributes'!C20:C2242""), 1,false)"),"NET_WEIGHT")</f>
        <v>NET_WEIGHT</v>
      </c>
      <c r="I6575" s="136"/>
    </row>
    <row r="6576" ht="15.75" customHeight="1">
      <c r="B6576" s="63">
        <f t="shared" si="1"/>
        <v>16</v>
      </c>
      <c r="C6576" s="134" t="s">
        <v>189</v>
      </c>
      <c r="D6576" s="134" t="s">
        <v>74</v>
      </c>
      <c r="E6576" s="135">
        <f t="shared" si="59"/>
        <v>23</v>
      </c>
      <c r="F6576" s="134" t="s">
        <v>3603</v>
      </c>
      <c r="G6576" s="63" t="str">
        <f>VLOOKUP(C6576, 'Class Def. - General Data'!$C$20:$C$1000,1,false)</f>
        <v>ZSF1_INTD_POWDER</v>
      </c>
      <c r="H6576" s="63" t="str">
        <f>IFERROR(__xludf.DUMMYFUNCTION("VLOOKUP(F6576, IMPORTRANGE(""https://docs.google.com/spreadsheets/d/1Lhp9OU0JdFf_VYSMzH5lBcEaU4o8teT1piV-SNzShjg/edit?gid=554141278#gid=554141278"", ""'Char Def. - Attributes'!C20:C2242""), 1,false)"),"VOLUME")</f>
        <v>VOLUME</v>
      </c>
      <c r="I6576" s="136"/>
    </row>
    <row r="6577" ht="15.75" customHeight="1">
      <c r="B6577" s="63">
        <f t="shared" si="1"/>
        <v>16</v>
      </c>
      <c r="C6577" s="134" t="s">
        <v>189</v>
      </c>
      <c r="D6577" s="134" t="s">
        <v>74</v>
      </c>
      <c r="E6577" s="135">
        <f t="shared" si="59"/>
        <v>24</v>
      </c>
      <c r="F6577" s="134" t="s">
        <v>3586</v>
      </c>
      <c r="G6577" s="63" t="str">
        <f>VLOOKUP(C6577, 'Class Def. - General Data'!$C$20:$C$1000,1,false)</f>
        <v>ZSF1_INTD_POWDER</v>
      </c>
      <c r="H6577" s="63" t="str">
        <f>IFERROR(__xludf.DUMMYFUNCTION("VLOOKUP(F6577, IMPORTRANGE(""https://docs.google.com/spreadsheets/d/1Lhp9OU0JdFf_VYSMzH5lBcEaU4o8teT1piV-SNzShjg/edit?gid=554141278#gid=554141278"", ""'Char Def. - Attributes'!C20:C2242""), 1,false)"),"PLANT_PROD")</f>
        <v>PLANT_PROD</v>
      </c>
      <c r="I6577" s="136"/>
    </row>
    <row r="6578" ht="15.75" customHeight="1">
      <c r="B6578" s="63">
        <f t="shared" si="1"/>
        <v>16</v>
      </c>
      <c r="C6578" s="134" t="s">
        <v>189</v>
      </c>
      <c r="D6578" s="134" t="s">
        <v>74</v>
      </c>
      <c r="E6578" s="135">
        <f t="shared" si="59"/>
        <v>25</v>
      </c>
      <c r="F6578" s="134" t="s">
        <v>3587</v>
      </c>
      <c r="G6578" s="63" t="str">
        <f>VLOOKUP(C6578, 'Class Def. - General Data'!$C$20:$C$1000,1,false)</f>
        <v>ZSF1_INTD_POWDER</v>
      </c>
      <c r="H6578" s="63" t="str">
        <f>IFERROR(__xludf.DUMMYFUNCTION("VLOOKUP(F6578, IMPORTRANGE(""https://docs.google.com/spreadsheets/d/1Lhp9OU0JdFf_VYSMzH5lBcEaU4o8teT1piV-SNzShjg/edit?gid=554141278#gid=554141278"", ""'Char Def. - Attributes'!C20:C2242""), 1,false)"),"PLANT_BUY")</f>
        <v>PLANT_BUY</v>
      </c>
      <c r="I6578" s="136"/>
    </row>
    <row r="6579" ht="15.75" customHeight="1">
      <c r="B6579" s="63">
        <f t="shared" si="1"/>
        <v>16</v>
      </c>
      <c r="C6579" s="134" t="s">
        <v>189</v>
      </c>
      <c r="D6579" s="134" t="s">
        <v>74</v>
      </c>
      <c r="E6579" s="135">
        <f t="shared" si="59"/>
        <v>26</v>
      </c>
      <c r="F6579" s="134" t="s">
        <v>4040</v>
      </c>
      <c r="G6579" s="63" t="str">
        <f>VLOOKUP(C6579, 'Class Def. - General Data'!$C$20:$C$1000,1,false)</f>
        <v>ZSF1_INTD_POWDER</v>
      </c>
      <c r="H6579" s="63" t="str">
        <f>IFERROR(__xludf.DUMMYFUNCTION("VLOOKUP(F6579, IMPORTRANGE(""https://docs.google.com/spreadsheets/d/1Lhp9OU0JdFf_VYSMzH5lBcEaU4o8teT1piV-SNzShjg/edit?gid=554141278#gid=554141278"", ""'Char Def. - Attributes'!C20:C2242""), 1,false)"),"OLD_MAT_SFG")</f>
        <v>OLD_MAT_SFG</v>
      </c>
      <c r="I6579" s="136"/>
    </row>
    <row r="6580" ht="15.75" customHeight="1">
      <c r="B6580" s="63">
        <f t="shared" si="1"/>
        <v>16</v>
      </c>
      <c r="C6580" s="134" t="s">
        <v>190</v>
      </c>
      <c r="D6580" s="134" t="s">
        <v>74</v>
      </c>
      <c r="E6580" s="135">
        <f t="shared" si="59"/>
        <v>1</v>
      </c>
      <c r="F6580" s="134" t="s">
        <v>4042</v>
      </c>
      <c r="G6580" s="63" t="str">
        <f>VLOOKUP(C6580, 'Class Def. - General Data'!$C$20:$C$1000,1,false)</f>
        <v>ZSF1_INTD_RAWMAT</v>
      </c>
      <c r="H6580" s="63" t="str">
        <f>IFERROR(__xludf.DUMMYFUNCTION("VLOOKUP(F6580, IMPORTRANGE(""https://docs.google.com/spreadsheets/d/1Lhp9OU0JdFf_VYSMzH5lBcEaU4o8teT1piV-SNzShjg/edit?gid=554141278#gid=554141278"", ""'Char Def. - Attributes'!C20:C2242""), 1,false)"),"NAMA_RAW")</f>
        <v>NAMA_RAW</v>
      </c>
      <c r="I6580" s="136"/>
    </row>
    <row r="6581" ht="15.75" customHeight="1">
      <c r="B6581" s="63">
        <f t="shared" si="1"/>
        <v>16</v>
      </c>
      <c r="C6581" s="160" t="s">
        <v>190</v>
      </c>
      <c r="D6581" s="161" t="s">
        <v>74</v>
      </c>
      <c r="E6581" s="135">
        <f t="shared" si="59"/>
        <v>2</v>
      </c>
      <c r="F6581" s="134" t="s">
        <v>4036</v>
      </c>
      <c r="G6581" s="63" t="str">
        <f>VLOOKUP(C6581, 'Class Def. - General Data'!$C$20:$C$1000,1,false)</f>
        <v>ZSF1_INTD_RAWMAT</v>
      </c>
      <c r="H6581" s="63" t="str">
        <f>IFERROR(__xludf.DUMMYFUNCTION("VLOOKUP(F6581, IMPORTRANGE(""https://docs.google.com/spreadsheets/d/1Lhp9OU0JdFf_VYSMzH5lBcEaU4o8teT1piV-SNzShjg/edit?gid=554141278#gid=554141278"", ""'Char Def. - Attributes'!C20:C2242""), 1,false)"),"NAMA_BAHAN")</f>
        <v>NAMA_BAHAN</v>
      </c>
      <c r="I6581" s="136"/>
    </row>
    <row r="6582" ht="15.75" customHeight="1">
      <c r="B6582" s="63">
        <f t="shared" si="1"/>
        <v>16</v>
      </c>
      <c r="C6582" s="160" t="s">
        <v>190</v>
      </c>
      <c r="D6582" s="161" t="s">
        <v>74</v>
      </c>
      <c r="E6582" s="135">
        <f t="shared" si="59"/>
        <v>3</v>
      </c>
      <c r="F6582" s="134" t="s">
        <v>4037</v>
      </c>
      <c r="G6582" s="63" t="str">
        <f>VLOOKUP(C6582, 'Class Def. - General Data'!$C$20:$C$1000,1,false)</f>
        <v>ZSF1_INTD_RAWMAT</v>
      </c>
      <c r="H6582" s="63" t="str">
        <f>IFERROR(__xludf.DUMMYFUNCTION("VLOOKUP(F6582, IMPORTRANGE(""https://docs.google.com/spreadsheets/d/1Lhp9OU0JdFf_VYSMzH5lBcEaU4o8teT1piV-SNzShjg/edit?gid=554141278#gid=554141278"", ""'Char Def. - Attributes'!C20:C2242""), 1,false)"),"VARIAN_BAHAN")</f>
        <v>VARIAN_BAHAN</v>
      </c>
      <c r="I6582" s="136"/>
    </row>
    <row r="6583" ht="15.75" customHeight="1">
      <c r="B6583" s="63">
        <f t="shared" si="1"/>
        <v>16</v>
      </c>
      <c r="C6583" s="160" t="s">
        <v>190</v>
      </c>
      <c r="D6583" s="161" t="s">
        <v>74</v>
      </c>
      <c r="E6583" s="135">
        <f t="shared" si="59"/>
        <v>4</v>
      </c>
      <c r="F6583" s="134" t="s">
        <v>3605</v>
      </c>
      <c r="G6583" s="63" t="str">
        <f>VLOOKUP(C6583, 'Class Def. - General Data'!$C$20:$C$1000,1,false)</f>
        <v>ZSF1_INTD_RAWMAT</v>
      </c>
      <c r="H6583" s="63" t="str">
        <f>IFERROR(__xludf.DUMMYFUNCTION("VLOOKUP(F6583, IMPORTRANGE(""https://docs.google.com/spreadsheets/d/1Lhp9OU0JdFf_VYSMzH5lBcEaU4o8teT1piV-SNzShjg/edit?gid=554141278#gid=554141278"", ""'Char Def. - Attributes'!C20:C2242""), 1,false)"),"PACK_NETTO")</f>
        <v>PACK_NETTO</v>
      </c>
      <c r="I6583" s="136"/>
    </row>
    <row r="6584" ht="15.75" customHeight="1">
      <c r="B6584" s="63">
        <f t="shared" si="1"/>
        <v>16</v>
      </c>
      <c r="C6584" s="160" t="s">
        <v>190</v>
      </c>
      <c r="D6584" s="161" t="s">
        <v>74</v>
      </c>
      <c r="E6584" s="135">
        <f t="shared" si="59"/>
        <v>5</v>
      </c>
      <c r="F6584" s="134" t="s">
        <v>4038</v>
      </c>
      <c r="G6584" s="63" t="str">
        <f>VLOOKUP(C6584, 'Class Def. - General Data'!$C$20:$C$1000,1,false)</f>
        <v>ZSF1_INTD_RAWMAT</v>
      </c>
      <c r="H6584" s="63" t="str">
        <f>IFERROR(__xludf.DUMMYFUNCTION("VLOOKUP(F6584, IMPORTRANGE(""https://docs.google.com/spreadsheets/d/1Lhp9OU0JdFf_VYSMzH5lBcEaU4o8teT1piV-SNzShjg/edit?gid=554141278#gid=554141278"", ""'Char Def. - Attributes'!C20:C2242""), 1,false)"),"SFG_SPEC")</f>
        <v>SFG_SPEC</v>
      </c>
      <c r="I6584" s="136"/>
    </row>
    <row r="6585" ht="15.75" customHeight="1">
      <c r="B6585" s="63">
        <f t="shared" si="1"/>
        <v>16</v>
      </c>
      <c r="C6585" s="134" t="s">
        <v>190</v>
      </c>
      <c r="D6585" s="134" t="s">
        <v>74</v>
      </c>
      <c r="E6585" s="135">
        <f t="shared" si="59"/>
        <v>6</v>
      </c>
      <c r="F6585" s="134" t="s">
        <v>4039</v>
      </c>
      <c r="G6585" s="63" t="str">
        <f>VLOOKUP(C6585, 'Class Def. - General Data'!$C$20:$C$1000,1,false)</f>
        <v>ZSF1_INTD_RAWMAT</v>
      </c>
      <c r="H6585" s="63" t="str">
        <f>IFERROR(__xludf.DUMMYFUNCTION("VLOOKUP(F6585, IMPORTRANGE(""https://docs.google.com/spreadsheets/d/1Lhp9OU0JdFf_VYSMzH5lBcEaU4o8teT1piV-SNzShjg/edit?gid=554141278#gid=554141278"", ""'Char Def. - Attributes'!C20:C2242""), 1,false)"),"SFG_DESTINATION")</f>
        <v>SFG_DESTINATION</v>
      </c>
      <c r="I6585" s="136"/>
    </row>
    <row r="6586" ht="15.75" customHeight="1">
      <c r="B6586" s="63">
        <f t="shared" si="1"/>
        <v>16</v>
      </c>
      <c r="C6586" s="135" t="s">
        <v>190</v>
      </c>
      <c r="D6586" s="141" t="s">
        <v>74</v>
      </c>
      <c r="E6586" s="135">
        <f t="shared" si="59"/>
        <v>7</v>
      </c>
      <c r="F6586" s="134" t="s">
        <v>3611</v>
      </c>
      <c r="G6586" s="63" t="str">
        <f>VLOOKUP(C6586, 'Class Def. - General Data'!$C$20:$C$1000,1,false)</f>
        <v>ZSF1_INTD_RAWMAT</v>
      </c>
      <c r="H6586" s="63" t="str">
        <f>IFERROR(__xludf.DUMMYFUNCTION("VLOOKUP(F6586, IMPORTRANGE(""https://docs.google.com/spreadsheets/d/1Lhp9OU0JdFf_VYSMzH5lBcEaU4o8teT1piV-SNzShjg/edit?gid=554141278#gid=554141278"", ""'Char Def. - Attributes'!C20:C2242""), 1,false)"),"LOKAL_EKSPOR")</f>
        <v>LOKAL_EKSPOR</v>
      </c>
      <c r="I6586" s="136"/>
    </row>
    <row r="6587" ht="15.75" customHeight="1">
      <c r="B6587" s="63">
        <f t="shared" si="1"/>
        <v>16</v>
      </c>
      <c r="C6587" s="135" t="s">
        <v>190</v>
      </c>
      <c r="D6587" s="141" t="s">
        <v>74</v>
      </c>
      <c r="E6587" s="135">
        <f t="shared" si="59"/>
        <v>8</v>
      </c>
      <c r="F6587" s="134" t="s">
        <v>3612</v>
      </c>
      <c r="G6587" s="63" t="str">
        <f>VLOOKUP(C6587, 'Class Def. - General Data'!$C$20:$C$1000,1,false)</f>
        <v>ZSF1_INTD_RAWMAT</v>
      </c>
      <c r="H6587" s="63" t="str">
        <f>IFERROR(__xludf.DUMMYFUNCTION("VLOOKUP(F6587, IMPORTRANGE(""https://docs.google.com/spreadsheets/d/1Lhp9OU0JdFf_VYSMzH5lBcEaU4o8teT1piV-SNzShjg/edit?gid=554141278#gid=554141278"", ""'Char Def. - Attributes'!C20:C2242""), 1,false)"),"COUNTRY_EKSPOR")</f>
        <v>COUNTRY_EKSPOR</v>
      </c>
      <c r="I6587" s="136"/>
    </row>
    <row r="6588" ht="15.75" customHeight="1">
      <c r="B6588" s="63">
        <f t="shared" si="1"/>
        <v>16</v>
      </c>
      <c r="C6588" s="160" t="s">
        <v>190</v>
      </c>
      <c r="D6588" s="161" t="s">
        <v>74</v>
      </c>
      <c r="E6588" s="135">
        <f t="shared" si="59"/>
        <v>9</v>
      </c>
      <c r="F6588" s="134" t="s">
        <v>4041</v>
      </c>
      <c r="G6588" s="63" t="str">
        <f>VLOOKUP(C6588, 'Class Def. - General Data'!$C$20:$C$1000,1,false)</f>
        <v>ZSF1_INTD_RAWMAT</v>
      </c>
      <c r="H6588" s="63" t="str">
        <f>IFERROR(__xludf.DUMMYFUNCTION("VLOOKUP(F6588, IMPORTRANGE(""https://docs.google.com/spreadsheets/d/1Lhp9OU0JdFf_VYSMzH5lBcEaU4o8teT1piV-SNzShjg/edit?gid=554141278#gid=554141278"", ""'Char Def. - Attributes'!C20:C2242""), 1,false)"),"SFG_GRADE")</f>
        <v>SFG_GRADE</v>
      </c>
      <c r="I6588" s="136"/>
    </row>
    <row r="6589" ht="15.75" customHeight="1">
      <c r="B6589" s="63">
        <f t="shared" si="1"/>
        <v>16</v>
      </c>
      <c r="C6589" s="160" t="s">
        <v>190</v>
      </c>
      <c r="D6589" s="161" t="s">
        <v>74</v>
      </c>
      <c r="E6589" s="135">
        <f t="shared" si="59"/>
        <v>10</v>
      </c>
      <c r="F6589" s="134" t="s">
        <v>3881</v>
      </c>
      <c r="G6589" s="63" t="str">
        <f>VLOOKUP(C6589, 'Class Def. - General Data'!$C$20:$C$1000,1,false)</f>
        <v>ZSF1_INTD_RAWMAT</v>
      </c>
      <c r="H6589" s="63" t="str">
        <f>IFERROR(__xludf.DUMMYFUNCTION("VLOOKUP(F6589, IMPORTRANGE(""https://docs.google.com/spreadsheets/d/1Lhp9OU0JdFf_VYSMzH5lBcEaU4o8teT1piV-SNzShjg/edit?gid=554141278#gid=554141278"", ""'Char Def. - Attributes'!C20:C2242""), 1,false)"),"BS_BERSIH")</f>
        <v>BS_BERSIH</v>
      </c>
      <c r="I6589" s="136"/>
    </row>
    <row r="6590" ht="15.75" customHeight="1">
      <c r="B6590" s="63">
        <f t="shared" si="1"/>
        <v>16</v>
      </c>
      <c r="C6590" s="160" t="s">
        <v>190</v>
      </c>
      <c r="D6590" s="161" t="s">
        <v>74</v>
      </c>
      <c r="E6590" s="135">
        <f t="shared" si="59"/>
        <v>11</v>
      </c>
      <c r="F6590" s="134" t="s">
        <v>3882</v>
      </c>
      <c r="G6590" s="63" t="str">
        <f>VLOOKUP(C6590, 'Class Def. - General Data'!$C$20:$C$1000,1,false)</f>
        <v>ZSF1_INTD_RAWMAT</v>
      </c>
      <c r="H6590" s="63" t="str">
        <f>IFERROR(__xludf.DUMMYFUNCTION("VLOOKUP(F6590, IMPORTRANGE(""https://docs.google.com/spreadsheets/d/1Lhp9OU0JdFf_VYSMzH5lBcEaU4o8teT1piV-SNzShjg/edit?gid=554141278#gid=554141278"", ""'Char Def. - Attributes'!C20:C2242""), 1,false)"),"BS_KOTOR")</f>
        <v>BS_KOTOR</v>
      </c>
      <c r="I6590" s="136"/>
    </row>
    <row r="6591" ht="15.75" customHeight="1">
      <c r="B6591" s="63">
        <f t="shared" si="1"/>
        <v>16</v>
      </c>
      <c r="C6591" s="160" t="s">
        <v>190</v>
      </c>
      <c r="D6591" s="161" t="s">
        <v>74</v>
      </c>
      <c r="E6591" s="135">
        <f t="shared" si="59"/>
        <v>12</v>
      </c>
      <c r="F6591" s="134" t="s">
        <v>3883</v>
      </c>
      <c r="G6591" s="63" t="str">
        <f>VLOOKUP(C6591, 'Class Def. - General Data'!$C$20:$C$1000,1,false)</f>
        <v>ZSF1_INTD_RAWMAT</v>
      </c>
      <c r="H6591" s="63" t="str">
        <f>IFERROR(__xludf.DUMMYFUNCTION("VLOOKUP(F6591, IMPORTRANGE(""https://docs.google.com/spreadsheets/d/1Lhp9OU0JdFf_VYSMzH5lBcEaU4o8teT1piV-SNzShjg/edit?gid=554141278#gid=554141278"", ""'Char Def. - Attributes'!C20:C2242""), 1,false)"),"BS_SCRAP")</f>
        <v>BS_SCRAP</v>
      </c>
      <c r="I6591" s="136"/>
    </row>
    <row r="6592" ht="15.75" customHeight="1">
      <c r="B6592" s="63">
        <f t="shared" si="1"/>
        <v>16</v>
      </c>
      <c r="C6592" s="134" t="s">
        <v>190</v>
      </c>
      <c r="D6592" s="134" t="s">
        <v>74</v>
      </c>
      <c r="E6592" s="135">
        <f t="shared" si="59"/>
        <v>13</v>
      </c>
      <c r="F6592" s="134" t="s">
        <v>3582</v>
      </c>
      <c r="G6592" s="63" t="str">
        <f>VLOOKUP(C6592, 'Class Def. - General Data'!$C$20:$C$1000,1,false)</f>
        <v>ZSF1_INTD_RAWMAT</v>
      </c>
      <c r="H6592" s="63" t="str">
        <f>IFERROR(__xludf.DUMMYFUNCTION("VLOOKUP(F6592, IMPORTRANGE(""https://docs.google.com/spreadsheets/d/1Lhp9OU0JdFf_VYSMzH5lBcEaU4o8teT1piV-SNzShjg/edit?gid=554141278#gid=554141278"", ""'Char Def. - Attributes'!C20:C2242""), 1,false)"),"BASE_UNIT")</f>
        <v>BASE_UNIT</v>
      </c>
      <c r="I6592" s="136"/>
    </row>
    <row r="6593" ht="15.75" customHeight="1">
      <c r="B6593" s="63">
        <f t="shared" si="1"/>
        <v>16</v>
      </c>
      <c r="C6593" s="134" t="s">
        <v>190</v>
      </c>
      <c r="D6593" s="134" t="s">
        <v>74</v>
      </c>
      <c r="E6593" s="135">
        <f t="shared" si="59"/>
        <v>14</v>
      </c>
      <c r="F6593" s="134" t="s">
        <v>3595</v>
      </c>
      <c r="G6593" s="63" t="str">
        <f>VLOOKUP(C6593, 'Class Def. - General Data'!$C$20:$C$1000,1,false)</f>
        <v>ZSF1_INTD_RAWMAT</v>
      </c>
      <c r="H6593" s="63" t="str">
        <f>IFERROR(__xludf.DUMMYFUNCTION("VLOOKUP(F6593, IMPORTRANGE(""https://docs.google.com/spreadsheets/d/1Lhp9OU0JdFf_VYSMzH5lBcEaU4o8teT1piV-SNzShjg/edit?gid=554141278#gid=554141278"", ""'Char Def. - Attributes'!C20:C2242""), 1,false)"),"UOM1")</f>
        <v>UOM1</v>
      </c>
      <c r="I6593" s="136"/>
    </row>
    <row r="6594" ht="15.75" customHeight="1">
      <c r="B6594" s="63">
        <f t="shared" si="1"/>
        <v>16</v>
      </c>
      <c r="C6594" s="134" t="s">
        <v>190</v>
      </c>
      <c r="D6594" s="134" t="s">
        <v>74</v>
      </c>
      <c r="E6594" s="135">
        <f t="shared" si="59"/>
        <v>15</v>
      </c>
      <c r="F6594" s="134" t="s">
        <v>3596</v>
      </c>
      <c r="G6594" s="63" t="str">
        <f>VLOOKUP(C6594, 'Class Def. - General Data'!$C$20:$C$1000,1,false)</f>
        <v>ZSF1_INTD_RAWMAT</v>
      </c>
      <c r="H6594" s="63" t="str">
        <f>IFERROR(__xludf.DUMMYFUNCTION("VLOOKUP(F6594, IMPORTRANGE(""https://docs.google.com/spreadsheets/d/1Lhp9OU0JdFf_VYSMzH5lBcEaU4o8teT1piV-SNzShjg/edit?gid=554141278#gid=554141278"", ""'Char Def. - Attributes'!C20:C2242""), 1,false)"),"CONV1")</f>
        <v>CONV1</v>
      </c>
      <c r="I6594" s="136"/>
    </row>
    <row r="6595" ht="15.75" customHeight="1">
      <c r="B6595" s="63">
        <f t="shared" si="1"/>
        <v>16</v>
      </c>
      <c r="C6595" s="134" t="s">
        <v>190</v>
      </c>
      <c r="D6595" s="134" t="s">
        <v>74</v>
      </c>
      <c r="E6595" s="135">
        <f t="shared" si="59"/>
        <v>16</v>
      </c>
      <c r="F6595" s="134" t="s">
        <v>3597</v>
      </c>
      <c r="G6595" s="63" t="str">
        <f>VLOOKUP(C6595, 'Class Def. - General Data'!$C$20:$C$1000,1,false)</f>
        <v>ZSF1_INTD_RAWMAT</v>
      </c>
      <c r="H6595" s="63" t="str">
        <f>IFERROR(__xludf.DUMMYFUNCTION("VLOOKUP(F6595, IMPORTRANGE(""https://docs.google.com/spreadsheets/d/1Lhp9OU0JdFf_VYSMzH5lBcEaU4o8teT1piV-SNzShjg/edit?gid=554141278#gid=554141278"", ""'Char Def. - Attributes'!C20:C2242""), 1,false)"),"UOM2")</f>
        <v>UOM2</v>
      </c>
      <c r="I6595" s="136"/>
    </row>
    <row r="6596" ht="15.75" customHeight="1">
      <c r="B6596" s="63">
        <f t="shared" si="1"/>
        <v>16</v>
      </c>
      <c r="C6596" s="134" t="s">
        <v>190</v>
      </c>
      <c r="D6596" s="134" t="s">
        <v>74</v>
      </c>
      <c r="E6596" s="135">
        <f t="shared" si="59"/>
        <v>17</v>
      </c>
      <c r="F6596" s="134" t="s">
        <v>3598</v>
      </c>
      <c r="G6596" s="63" t="str">
        <f>VLOOKUP(C6596, 'Class Def. - General Data'!$C$20:$C$1000,1,false)</f>
        <v>ZSF1_INTD_RAWMAT</v>
      </c>
      <c r="H6596" s="63" t="str">
        <f>IFERROR(__xludf.DUMMYFUNCTION("VLOOKUP(F6596, IMPORTRANGE(""https://docs.google.com/spreadsheets/d/1Lhp9OU0JdFf_VYSMzH5lBcEaU4o8teT1piV-SNzShjg/edit?gid=554141278#gid=554141278"", ""'Char Def. - Attributes'!C20:C2242""), 1,false)"),"CONV2")</f>
        <v>CONV2</v>
      </c>
      <c r="I6596" s="136"/>
    </row>
    <row r="6597" ht="15.75" customHeight="1">
      <c r="B6597" s="63">
        <f t="shared" si="1"/>
        <v>16</v>
      </c>
      <c r="C6597" s="134" t="s">
        <v>190</v>
      </c>
      <c r="D6597" s="134" t="s">
        <v>74</v>
      </c>
      <c r="E6597" s="135">
        <f t="shared" si="59"/>
        <v>18</v>
      </c>
      <c r="F6597" s="134" t="s">
        <v>3599</v>
      </c>
      <c r="G6597" s="63" t="str">
        <f>VLOOKUP(C6597, 'Class Def. - General Data'!$C$20:$C$1000,1,false)</f>
        <v>ZSF1_INTD_RAWMAT</v>
      </c>
      <c r="H6597" s="63" t="str">
        <f>IFERROR(__xludf.DUMMYFUNCTION("VLOOKUP(F6597, IMPORTRANGE(""https://docs.google.com/spreadsheets/d/1Lhp9OU0JdFf_VYSMzH5lBcEaU4o8teT1piV-SNzShjg/edit?gid=554141278#gid=554141278"", ""'Char Def. - Attributes'!C20:C2242""), 1,false)"),"UOM3")</f>
        <v>UOM3</v>
      </c>
      <c r="I6597" s="136"/>
    </row>
    <row r="6598" ht="15.75" customHeight="1">
      <c r="B6598" s="63">
        <f t="shared" si="1"/>
        <v>16</v>
      </c>
      <c r="C6598" s="134" t="s">
        <v>190</v>
      </c>
      <c r="D6598" s="134" t="s">
        <v>74</v>
      </c>
      <c r="E6598" s="135">
        <f t="shared" si="59"/>
        <v>19</v>
      </c>
      <c r="F6598" s="134" t="s">
        <v>3600</v>
      </c>
      <c r="G6598" s="63" t="str">
        <f>VLOOKUP(C6598, 'Class Def. - General Data'!$C$20:$C$1000,1,false)</f>
        <v>ZSF1_INTD_RAWMAT</v>
      </c>
      <c r="H6598" s="63" t="str">
        <f>IFERROR(__xludf.DUMMYFUNCTION("VLOOKUP(F6598, IMPORTRANGE(""https://docs.google.com/spreadsheets/d/1Lhp9OU0JdFf_VYSMzH5lBcEaU4o8teT1piV-SNzShjg/edit?gid=554141278#gid=554141278"", ""'Char Def. - Attributes'!C20:C2242""), 1,false)"),"CONV3")</f>
        <v>CONV3</v>
      </c>
      <c r="I6598" s="136"/>
    </row>
    <row r="6599" ht="15.75" customHeight="1">
      <c r="B6599" s="63">
        <f t="shared" si="1"/>
        <v>16</v>
      </c>
      <c r="C6599" s="134" t="s">
        <v>190</v>
      </c>
      <c r="D6599" s="134" t="s">
        <v>74</v>
      </c>
      <c r="E6599" s="135">
        <f t="shared" si="59"/>
        <v>20</v>
      </c>
      <c r="F6599" s="134" t="s">
        <v>3601</v>
      </c>
      <c r="G6599" s="63" t="str">
        <f>VLOOKUP(C6599, 'Class Def. - General Data'!$C$20:$C$1000,1,false)</f>
        <v>ZSF1_INTD_RAWMAT</v>
      </c>
      <c r="H6599" s="63" t="str">
        <f>IFERROR(__xludf.DUMMYFUNCTION("VLOOKUP(F6599, IMPORTRANGE(""https://docs.google.com/spreadsheets/d/1Lhp9OU0JdFf_VYSMzH5lBcEaU4o8teT1piV-SNzShjg/edit?gid=554141278#gid=554141278"", ""'Char Def. - Attributes'!C20:C2242""), 1,false)"),"GROSS_WEIGHT")</f>
        <v>GROSS_WEIGHT</v>
      </c>
      <c r="I6599" s="136"/>
    </row>
    <row r="6600" ht="15.75" customHeight="1">
      <c r="B6600" s="63">
        <f t="shared" si="1"/>
        <v>16</v>
      </c>
      <c r="C6600" s="134" t="s">
        <v>190</v>
      </c>
      <c r="D6600" s="134" t="s">
        <v>74</v>
      </c>
      <c r="E6600" s="135">
        <f t="shared" si="59"/>
        <v>21</v>
      </c>
      <c r="F6600" s="134" t="s">
        <v>3602</v>
      </c>
      <c r="G6600" s="63" t="str">
        <f>VLOOKUP(C6600, 'Class Def. - General Data'!$C$20:$C$1000,1,false)</f>
        <v>ZSF1_INTD_RAWMAT</v>
      </c>
      <c r="H6600" s="63" t="str">
        <f>IFERROR(__xludf.DUMMYFUNCTION("VLOOKUP(F6600, IMPORTRANGE(""https://docs.google.com/spreadsheets/d/1Lhp9OU0JdFf_VYSMzH5lBcEaU4o8teT1piV-SNzShjg/edit?gid=554141278#gid=554141278"", ""'Char Def. - Attributes'!C20:C2242""), 1,false)"),"NET_WEIGHT")</f>
        <v>NET_WEIGHT</v>
      </c>
      <c r="I6600" s="136"/>
    </row>
    <row r="6601" ht="15.75" customHeight="1">
      <c r="B6601" s="63">
        <f t="shared" si="1"/>
        <v>16</v>
      </c>
      <c r="C6601" s="134" t="s">
        <v>190</v>
      </c>
      <c r="D6601" s="134" t="s">
        <v>74</v>
      </c>
      <c r="E6601" s="135">
        <f t="shared" si="59"/>
        <v>22</v>
      </c>
      <c r="F6601" s="134" t="s">
        <v>3603</v>
      </c>
      <c r="G6601" s="63" t="str">
        <f>VLOOKUP(C6601, 'Class Def. - General Data'!$C$20:$C$1000,1,false)</f>
        <v>ZSF1_INTD_RAWMAT</v>
      </c>
      <c r="H6601" s="63" t="str">
        <f>IFERROR(__xludf.DUMMYFUNCTION("VLOOKUP(F6601, IMPORTRANGE(""https://docs.google.com/spreadsheets/d/1Lhp9OU0JdFf_VYSMzH5lBcEaU4o8teT1piV-SNzShjg/edit?gid=554141278#gid=554141278"", ""'Char Def. - Attributes'!C20:C2242""), 1,false)"),"VOLUME")</f>
        <v>VOLUME</v>
      </c>
      <c r="I6601" s="136"/>
    </row>
    <row r="6602" ht="15.75" customHeight="1">
      <c r="B6602" s="63">
        <f t="shared" si="1"/>
        <v>16</v>
      </c>
      <c r="C6602" s="134" t="s">
        <v>190</v>
      </c>
      <c r="D6602" s="134" t="s">
        <v>74</v>
      </c>
      <c r="E6602" s="135">
        <f t="shared" si="59"/>
        <v>23</v>
      </c>
      <c r="F6602" s="134" t="s">
        <v>3586</v>
      </c>
      <c r="G6602" s="63" t="str">
        <f>VLOOKUP(C6602, 'Class Def. - General Data'!$C$20:$C$1000,1,false)</f>
        <v>ZSF1_INTD_RAWMAT</v>
      </c>
      <c r="H6602" s="63" t="str">
        <f>IFERROR(__xludf.DUMMYFUNCTION("VLOOKUP(F6602, IMPORTRANGE(""https://docs.google.com/spreadsheets/d/1Lhp9OU0JdFf_VYSMzH5lBcEaU4o8teT1piV-SNzShjg/edit?gid=554141278#gid=554141278"", ""'Char Def. - Attributes'!C20:C2242""), 1,false)"),"PLANT_PROD")</f>
        <v>PLANT_PROD</v>
      </c>
      <c r="I6602" s="136"/>
    </row>
    <row r="6603" ht="15.75" customHeight="1">
      <c r="B6603" s="63">
        <f t="shared" si="1"/>
        <v>16</v>
      </c>
      <c r="C6603" s="134" t="s">
        <v>190</v>
      </c>
      <c r="D6603" s="134" t="s">
        <v>74</v>
      </c>
      <c r="E6603" s="135">
        <f t="shared" si="59"/>
        <v>24</v>
      </c>
      <c r="F6603" s="134" t="s">
        <v>3587</v>
      </c>
      <c r="G6603" s="63" t="str">
        <f>VLOOKUP(C6603, 'Class Def. - General Data'!$C$20:$C$1000,1,false)</f>
        <v>ZSF1_INTD_RAWMAT</v>
      </c>
      <c r="H6603" s="63" t="str">
        <f>IFERROR(__xludf.DUMMYFUNCTION("VLOOKUP(F6603, IMPORTRANGE(""https://docs.google.com/spreadsheets/d/1Lhp9OU0JdFf_VYSMzH5lBcEaU4o8teT1piV-SNzShjg/edit?gid=554141278#gid=554141278"", ""'Char Def. - Attributes'!C20:C2242""), 1,false)"),"PLANT_BUY")</f>
        <v>PLANT_BUY</v>
      </c>
      <c r="I6603" s="136"/>
    </row>
    <row r="6604" ht="15.75" customHeight="1">
      <c r="B6604" s="63">
        <f t="shared" si="1"/>
        <v>16</v>
      </c>
      <c r="C6604" s="134" t="s">
        <v>190</v>
      </c>
      <c r="D6604" s="134" t="s">
        <v>74</v>
      </c>
      <c r="E6604" s="135">
        <f t="shared" si="59"/>
        <v>25</v>
      </c>
      <c r="F6604" s="134" t="s">
        <v>4040</v>
      </c>
      <c r="G6604" s="63" t="str">
        <f>VLOOKUP(C6604, 'Class Def. - General Data'!$C$20:$C$1000,1,false)</f>
        <v>ZSF1_INTD_RAWMAT</v>
      </c>
      <c r="H6604" s="63" t="str">
        <f>IFERROR(__xludf.DUMMYFUNCTION("VLOOKUP(F6604, IMPORTRANGE(""https://docs.google.com/spreadsheets/d/1Lhp9OU0JdFf_VYSMzH5lBcEaU4o8teT1piV-SNzShjg/edit?gid=554141278#gid=554141278"", ""'Char Def. - Attributes'!C20:C2242""), 1,false)"),"OLD_MAT_SFG")</f>
        <v>OLD_MAT_SFG</v>
      </c>
      <c r="I6604" s="136"/>
    </row>
    <row r="6605" ht="15.75" customHeight="1">
      <c r="B6605" s="63">
        <f t="shared" si="1"/>
        <v>16</v>
      </c>
      <c r="C6605" s="134" t="s">
        <v>191</v>
      </c>
      <c r="D6605" s="134" t="s">
        <v>74</v>
      </c>
      <c r="E6605" s="135">
        <f t="shared" si="59"/>
        <v>1</v>
      </c>
      <c r="F6605" s="134" t="s">
        <v>3853</v>
      </c>
      <c r="G6605" s="63" t="str">
        <f>VLOOKUP(C6605, 'Class Def. - General Data'!$C$20:$C$1000,1,false)</f>
        <v>ZSF1_INTD_SAMBAL</v>
      </c>
      <c r="H6605" s="63" t="str">
        <f>IFERROR(__xludf.DUMMYFUNCTION("VLOOKUP(F6605, IMPORTRANGE(""https://docs.google.com/spreadsheets/d/1Lhp9OU0JdFf_VYSMzH5lBcEaU4o8teT1piV-SNzShjg/edit?gid=554141278#gid=554141278"", ""'Char Def. - Attributes'!C20:C2242""), 1,false)"),"BRAND_WINGS")</f>
        <v>BRAND_WINGS</v>
      </c>
      <c r="I6605" s="136"/>
    </row>
    <row r="6606" ht="15.75" customHeight="1">
      <c r="B6606" s="63">
        <f t="shared" si="1"/>
        <v>16</v>
      </c>
      <c r="C6606" s="134" t="s">
        <v>191</v>
      </c>
      <c r="D6606" s="134" t="s">
        <v>74</v>
      </c>
      <c r="E6606" s="135">
        <f t="shared" si="59"/>
        <v>2</v>
      </c>
      <c r="F6606" s="134" t="s">
        <v>3607</v>
      </c>
      <c r="G6606" s="63" t="str">
        <f>VLOOKUP(C6606, 'Class Def. - General Data'!$C$20:$C$1000,1,false)</f>
        <v>ZSF1_INTD_SAMBAL</v>
      </c>
      <c r="H6606" s="63" t="str">
        <f>IFERROR(__xludf.DUMMYFUNCTION("VLOOKUP(F6606, IMPORTRANGE(""https://docs.google.com/spreadsheets/d/1Lhp9OU0JdFf_VYSMzH5lBcEaU4o8teT1piV-SNzShjg/edit?gid=554141278#gid=554141278"", ""'Char Def. - Attributes'!C20:C2242""), 1,false)"),"VARIAN")</f>
        <v>VARIAN</v>
      </c>
      <c r="I6606" s="136"/>
    </row>
    <row r="6607" ht="15.75" customHeight="1">
      <c r="B6607" s="63">
        <f t="shared" si="1"/>
        <v>16</v>
      </c>
      <c r="C6607" s="134" t="s">
        <v>191</v>
      </c>
      <c r="D6607" s="134" t="s">
        <v>74</v>
      </c>
      <c r="E6607" s="135">
        <f t="shared" si="59"/>
        <v>3</v>
      </c>
      <c r="F6607" s="134" t="s">
        <v>4036</v>
      </c>
      <c r="G6607" s="63" t="str">
        <f>VLOOKUP(C6607, 'Class Def. - General Data'!$C$20:$C$1000,1,false)</f>
        <v>ZSF1_INTD_SAMBAL</v>
      </c>
      <c r="H6607" s="63" t="str">
        <f>IFERROR(__xludf.DUMMYFUNCTION("VLOOKUP(F6607, IMPORTRANGE(""https://docs.google.com/spreadsheets/d/1Lhp9OU0JdFf_VYSMzH5lBcEaU4o8teT1piV-SNzShjg/edit?gid=554141278#gid=554141278"", ""'Char Def. - Attributes'!C20:C2242""), 1,false)"),"NAMA_BAHAN")</f>
        <v>NAMA_BAHAN</v>
      </c>
      <c r="I6607" s="136"/>
    </row>
    <row r="6608" ht="15.75" customHeight="1">
      <c r="B6608" s="63">
        <f t="shared" si="1"/>
        <v>16</v>
      </c>
      <c r="C6608" s="134" t="s">
        <v>191</v>
      </c>
      <c r="D6608" s="134" t="s">
        <v>74</v>
      </c>
      <c r="E6608" s="135">
        <f t="shared" si="59"/>
        <v>4</v>
      </c>
      <c r="F6608" s="134" t="s">
        <v>4037</v>
      </c>
      <c r="G6608" s="63" t="str">
        <f>VLOOKUP(C6608, 'Class Def. - General Data'!$C$20:$C$1000,1,false)</f>
        <v>ZSF1_INTD_SAMBAL</v>
      </c>
      <c r="H6608" s="63" t="str">
        <f>IFERROR(__xludf.DUMMYFUNCTION("VLOOKUP(F6608, IMPORTRANGE(""https://docs.google.com/spreadsheets/d/1Lhp9OU0JdFf_VYSMzH5lBcEaU4o8teT1piV-SNzShjg/edit?gid=554141278#gid=554141278"", ""'Char Def. - Attributes'!C20:C2242""), 1,false)"),"VARIAN_BAHAN")</f>
        <v>VARIAN_BAHAN</v>
      </c>
      <c r="I6608" s="136"/>
    </row>
    <row r="6609" ht="15.75" customHeight="1">
      <c r="B6609" s="63">
        <f t="shared" si="1"/>
        <v>16</v>
      </c>
      <c r="C6609" s="160" t="s">
        <v>191</v>
      </c>
      <c r="D6609" s="161" t="s">
        <v>74</v>
      </c>
      <c r="E6609" s="135">
        <f t="shared" si="59"/>
        <v>5</v>
      </c>
      <c r="F6609" s="134" t="s">
        <v>3605</v>
      </c>
      <c r="G6609" s="63" t="str">
        <f>VLOOKUP(C6609, 'Class Def. - General Data'!$C$20:$C$1000,1,false)</f>
        <v>ZSF1_INTD_SAMBAL</v>
      </c>
      <c r="H6609" s="63" t="str">
        <f>IFERROR(__xludf.DUMMYFUNCTION("VLOOKUP(F6609, IMPORTRANGE(""https://docs.google.com/spreadsheets/d/1Lhp9OU0JdFf_VYSMzH5lBcEaU4o8teT1piV-SNzShjg/edit?gid=554141278#gid=554141278"", ""'Char Def. - Attributes'!C20:C2242""), 1,false)"),"PACK_NETTO")</f>
        <v>PACK_NETTO</v>
      </c>
      <c r="I6609" s="136"/>
    </row>
    <row r="6610" ht="15.75" customHeight="1">
      <c r="B6610" s="63">
        <f t="shared" si="1"/>
        <v>16</v>
      </c>
      <c r="C6610" s="160" t="s">
        <v>191</v>
      </c>
      <c r="D6610" s="161" t="s">
        <v>74</v>
      </c>
      <c r="E6610" s="135">
        <f t="shared" si="59"/>
        <v>6</v>
      </c>
      <c r="F6610" s="134" t="s">
        <v>4038</v>
      </c>
      <c r="G6610" s="63" t="str">
        <f>VLOOKUP(C6610, 'Class Def. - General Data'!$C$20:$C$1000,1,false)</f>
        <v>ZSF1_INTD_SAMBAL</v>
      </c>
      <c r="H6610" s="63" t="str">
        <f>IFERROR(__xludf.DUMMYFUNCTION("VLOOKUP(F6610, IMPORTRANGE(""https://docs.google.com/spreadsheets/d/1Lhp9OU0JdFf_VYSMzH5lBcEaU4o8teT1piV-SNzShjg/edit?gid=554141278#gid=554141278"", ""'Char Def. - Attributes'!C20:C2242""), 1,false)"),"SFG_SPEC")</f>
        <v>SFG_SPEC</v>
      </c>
      <c r="I6610" s="136"/>
    </row>
    <row r="6611" ht="15.75" customHeight="1">
      <c r="B6611" s="63">
        <f t="shared" si="1"/>
        <v>16</v>
      </c>
      <c r="C6611" s="134" t="s">
        <v>191</v>
      </c>
      <c r="D6611" s="134" t="s">
        <v>74</v>
      </c>
      <c r="E6611" s="135">
        <f t="shared" si="59"/>
        <v>7</v>
      </c>
      <c r="F6611" s="134" t="s">
        <v>4039</v>
      </c>
      <c r="G6611" s="63" t="str">
        <f>VLOOKUP(C6611, 'Class Def. - General Data'!$C$20:$C$1000,1,false)</f>
        <v>ZSF1_INTD_SAMBAL</v>
      </c>
      <c r="H6611" s="63" t="str">
        <f>IFERROR(__xludf.DUMMYFUNCTION("VLOOKUP(F6611, IMPORTRANGE(""https://docs.google.com/spreadsheets/d/1Lhp9OU0JdFf_VYSMzH5lBcEaU4o8teT1piV-SNzShjg/edit?gid=554141278#gid=554141278"", ""'Char Def. - Attributes'!C20:C2242""), 1,false)"),"SFG_DESTINATION")</f>
        <v>SFG_DESTINATION</v>
      </c>
      <c r="I6611" s="136"/>
    </row>
    <row r="6612" ht="15.75" customHeight="1">
      <c r="B6612" s="63">
        <f t="shared" si="1"/>
        <v>16</v>
      </c>
      <c r="C6612" s="135" t="s">
        <v>191</v>
      </c>
      <c r="D6612" s="141" t="s">
        <v>74</v>
      </c>
      <c r="E6612" s="135">
        <f t="shared" si="59"/>
        <v>8</v>
      </c>
      <c r="F6612" s="134" t="s">
        <v>3611</v>
      </c>
      <c r="G6612" s="63" t="str">
        <f>VLOOKUP(C6612, 'Class Def. - General Data'!$C$20:$C$1000,1,false)</f>
        <v>ZSF1_INTD_SAMBAL</v>
      </c>
      <c r="H6612" s="63" t="str">
        <f>IFERROR(__xludf.DUMMYFUNCTION("VLOOKUP(F6612, IMPORTRANGE(""https://docs.google.com/spreadsheets/d/1Lhp9OU0JdFf_VYSMzH5lBcEaU4o8teT1piV-SNzShjg/edit?gid=554141278#gid=554141278"", ""'Char Def. - Attributes'!C20:C2242""), 1,false)"),"LOKAL_EKSPOR")</f>
        <v>LOKAL_EKSPOR</v>
      </c>
      <c r="I6612" s="136"/>
    </row>
    <row r="6613" ht="15.75" customHeight="1">
      <c r="B6613" s="63">
        <f t="shared" si="1"/>
        <v>16</v>
      </c>
      <c r="C6613" s="135" t="s">
        <v>191</v>
      </c>
      <c r="D6613" s="141" t="s">
        <v>74</v>
      </c>
      <c r="E6613" s="135">
        <f t="shared" si="59"/>
        <v>9</v>
      </c>
      <c r="F6613" s="134" t="s">
        <v>3612</v>
      </c>
      <c r="G6613" s="63" t="str">
        <f>VLOOKUP(C6613, 'Class Def. - General Data'!$C$20:$C$1000,1,false)</f>
        <v>ZSF1_INTD_SAMBAL</v>
      </c>
      <c r="H6613" s="63" t="str">
        <f>IFERROR(__xludf.DUMMYFUNCTION("VLOOKUP(F6613, IMPORTRANGE(""https://docs.google.com/spreadsheets/d/1Lhp9OU0JdFf_VYSMzH5lBcEaU4o8teT1piV-SNzShjg/edit?gid=554141278#gid=554141278"", ""'Char Def. - Attributes'!C20:C2242""), 1,false)"),"COUNTRY_EKSPOR")</f>
        <v>COUNTRY_EKSPOR</v>
      </c>
      <c r="I6613" s="136"/>
    </row>
    <row r="6614" ht="15.75" customHeight="1">
      <c r="B6614" s="63">
        <f t="shared" si="1"/>
        <v>16</v>
      </c>
      <c r="C6614" s="134" t="s">
        <v>191</v>
      </c>
      <c r="D6614" s="134" t="s">
        <v>74</v>
      </c>
      <c r="E6614" s="135">
        <f t="shared" si="59"/>
        <v>10</v>
      </c>
      <c r="F6614" s="134" t="s">
        <v>4041</v>
      </c>
      <c r="G6614" s="63" t="str">
        <f>VLOOKUP(C6614, 'Class Def. - General Data'!$C$20:$C$1000,1,false)</f>
        <v>ZSF1_INTD_SAMBAL</v>
      </c>
      <c r="H6614" s="63" t="str">
        <f>IFERROR(__xludf.DUMMYFUNCTION("VLOOKUP(F6614, IMPORTRANGE(""https://docs.google.com/spreadsheets/d/1Lhp9OU0JdFf_VYSMzH5lBcEaU4o8teT1piV-SNzShjg/edit?gid=554141278#gid=554141278"", ""'Char Def. - Attributes'!C20:C2242""), 1,false)"),"SFG_GRADE")</f>
        <v>SFG_GRADE</v>
      </c>
      <c r="I6614" s="136"/>
    </row>
    <row r="6615" ht="15.75" customHeight="1">
      <c r="B6615" s="63">
        <f t="shared" si="1"/>
        <v>16</v>
      </c>
      <c r="C6615" s="160" t="s">
        <v>191</v>
      </c>
      <c r="D6615" s="161" t="s">
        <v>74</v>
      </c>
      <c r="E6615" s="135">
        <f t="shared" si="59"/>
        <v>11</v>
      </c>
      <c r="F6615" s="134" t="s">
        <v>3881</v>
      </c>
      <c r="G6615" s="63" t="str">
        <f>VLOOKUP(C6615, 'Class Def. - General Data'!$C$20:$C$1000,1,false)</f>
        <v>ZSF1_INTD_SAMBAL</v>
      </c>
      <c r="H6615" s="63" t="str">
        <f>IFERROR(__xludf.DUMMYFUNCTION("VLOOKUP(F6615, IMPORTRANGE(""https://docs.google.com/spreadsheets/d/1Lhp9OU0JdFf_VYSMzH5lBcEaU4o8teT1piV-SNzShjg/edit?gid=554141278#gid=554141278"", ""'Char Def. - Attributes'!C20:C2242""), 1,false)"),"BS_BERSIH")</f>
        <v>BS_BERSIH</v>
      </c>
      <c r="I6615" s="136"/>
    </row>
    <row r="6616" ht="15.75" customHeight="1">
      <c r="B6616" s="63">
        <f t="shared" si="1"/>
        <v>16</v>
      </c>
      <c r="C6616" s="160" t="s">
        <v>191</v>
      </c>
      <c r="D6616" s="161" t="s">
        <v>74</v>
      </c>
      <c r="E6616" s="135">
        <f t="shared" si="59"/>
        <v>12</v>
      </c>
      <c r="F6616" s="134" t="s">
        <v>3882</v>
      </c>
      <c r="G6616" s="63" t="str">
        <f>VLOOKUP(C6616, 'Class Def. - General Data'!$C$20:$C$1000,1,false)</f>
        <v>ZSF1_INTD_SAMBAL</v>
      </c>
      <c r="H6616" s="63" t="str">
        <f>IFERROR(__xludf.DUMMYFUNCTION("VLOOKUP(F6616, IMPORTRANGE(""https://docs.google.com/spreadsheets/d/1Lhp9OU0JdFf_VYSMzH5lBcEaU4o8teT1piV-SNzShjg/edit?gid=554141278#gid=554141278"", ""'Char Def. - Attributes'!C20:C2242""), 1,false)"),"BS_KOTOR")</f>
        <v>BS_KOTOR</v>
      </c>
      <c r="I6616" s="136"/>
    </row>
    <row r="6617" ht="15.75" customHeight="1">
      <c r="B6617" s="63">
        <f t="shared" si="1"/>
        <v>16</v>
      </c>
      <c r="C6617" s="160" t="s">
        <v>191</v>
      </c>
      <c r="D6617" s="161" t="s">
        <v>74</v>
      </c>
      <c r="E6617" s="135">
        <f t="shared" si="59"/>
        <v>13</v>
      </c>
      <c r="F6617" s="134" t="s">
        <v>3883</v>
      </c>
      <c r="G6617" s="63" t="str">
        <f>VLOOKUP(C6617, 'Class Def. - General Data'!$C$20:$C$1000,1,false)</f>
        <v>ZSF1_INTD_SAMBAL</v>
      </c>
      <c r="H6617" s="63" t="str">
        <f>IFERROR(__xludf.DUMMYFUNCTION("VLOOKUP(F6617, IMPORTRANGE(""https://docs.google.com/spreadsheets/d/1Lhp9OU0JdFf_VYSMzH5lBcEaU4o8teT1piV-SNzShjg/edit?gid=554141278#gid=554141278"", ""'Char Def. - Attributes'!C20:C2242""), 1,false)"),"BS_SCRAP")</f>
        <v>BS_SCRAP</v>
      </c>
      <c r="I6617" s="136"/>
    </row>
    <row r="6618" ht="15.75" customHeight="1">
      <c r="B6618" s="63">
        <f t="shared" si="1"/>
        <v>16</v>
      </c>
      <c r="C6618" s="134" t="s">
        <v>191</v>
      </c>
      <c r="D6618" s="134" t="s">
        <v>74</v>
      </c>
      <c r="E6618" s="135">
        <f t="shared" si="59"/>
        <v>14</v>
      </c>
      <c r="F6618" s="134" t="s">
        <v>3582</v>
      </c>
      <c r="G6618" s="63" t="str">
        <f>VLOOKUP(C6618, 'Class Def. - General Data'!$C$20:$C$1000,1,false)</f>
        <v>ZSF1_INTD_SAMBAL</v>
      </c>
      <c r="H6618" s="63" t="str">
        <f>IFERROR(__xludf.DUMMYFUNCTION("VLOOKUP(F6618, IMPORTRANGE(""https://docs.google.com/spreadsheets/d/1Lhp9OU0JdFf_VYSMzH5lBcEaU4o8teT1piV-SNzShjg/edit?gid=554141278#gid=554141278"", ""'Char Def. - Attributes'!C20:C2242""), 1,false)"),"BASE_UNIT")</f>
        <v>BASE_UNIT</v>
      </c>
      <c r="I6618" s="136"/>
    </row>
    <row r="6619" ht="15.75" customHeight="1">
      <c r="B6619" s="63">
        <f t="shared" si="1"/>
        <v>16</v>
      </c>
      <c r="C6619" s="134" t="s">
        <v>191</v>
      </c>
      <c r="D6619" s="134" t="s">
        <v>74</v>
      </c>
      <c r="E6619" s="135">
        <f t="shared" si="59"/>
        <v>15</v>
      </c>
      <c r="F6619" s="134" t="s">
        <v>3595</v>
      </c>
      <c r="G6619" s="63" t="str">
        <f>VLOOKUP(C6619, 'Class Def. - General Data'!$C$20:$C$1000,1,false)</f>
        <v>ZSF1_INTD_SAMBAL</v>
      </c>
      <c r="H6619" s="63" t="str">
        <f>IFERROR(__xludf.DUMMYFUNCTION("VLOOKUP(F6619, IMPORTRANGE(""https://docs.google.com/spreadsheets/d/1Lhp9OU0JdFf_VYSMzH5lBcEaU4o8teT1piV-SNzShjg/edit?gid=554141278#gid=554141278"", ""'Char Def. - Attributes'!C20:C2242""), 1,false)"),"UOM1")</f>
        <v>UOM1</v>
      </c>
      <c r="I6619" s="136"/>
    </row>
    <row r="6620" ht="15.75" customHeight="1">
      <c r="B6620" s="63">
        <f t="shared" si="1"/>
        <v>16</v>
      </c>
      <c r="C6620" s="134" t="s">
        <v>191</v>
      </c>
      <c r="D6620" s="134" t="s">
        <v>74</v>
      </c>
      <c r="E6620" s="135">
        <f t="shared" si="59"/>
        <v>16</v>
      </c>
      <c r="F6620" s="134" t="s">
        <v>3596</v>
      </c>
      <c r="G6620" s="63" t="str">
        <f>VLOOKUP(C6620, 'Class Def. - General Data'!$C$20:$C$1000,1,false)</f>
        <v>ZSF1_INTD_SAMBAL</v>
      </c>
      <c r="H6620" s="63" t="str">
        <f>IFERROR(__xludf.DUMMYFUNCTION("VLOOKUP(F6620, IMPORTRANGE(""https://docs.google.com/spreadsheets/d/1Lhp9OU0JdFf_VYSMzH5lBcEaU4o8teT1piV-SNzShjg/edit?gid=554141278#gid=554141278"", ""'Char Def. - Attributes'!C20:C2242""), 1,false)"),"CONV1")</f>
        <v>CONV1</v>
      </c>
      <c r="I6620" s="136"/>
    </row>
    <row r="6621" ht="15.75" customHeight="1">
      <c r="B6621" s="63">
        <f t="shared" si="1"/>
        <v>16</v>
      </c>
      <c r="C6621" s="134" t="s">
        <v>191</v>
      </c>
      <c r="D6621" s="134" t="s">
        <v>74</v>
      </c>
      <c r="E6621" s="135">
        <f t="shared" si="59"/>
        <v>17</v>
      </c>
      <c r="F6621" s="134" t="s">
        <v>3597</v>
      </c>
      <c r="G6621" s="63" t="str">
        <f>VLOOKUP(C6621, 'Class Def. - General Data'!$C$20:$C$1000,1,false)</f>
        <v>ZSF1_INTD_SAMBAL</v>
      </c>
      <c r="H6621" s="63" t="str">
        <f>IFERROR(__xludf.DUMMYFUNCTION("VLOOKUP(F6621, IMPORTRANGE(""https://docs.google.com/spreadsheets/d/1Lhp9OU0JdFf_VYSMzH5lBcEaU4o8teT1piV-SNzShjg/edit?gid=554141278#gid=554141278"", ""'Char Def. - Attributes'!C20:C2242""), 1,false)"),"UOM2")</f>
        <v>UOM2</v>
      </c>
      <c r="I6621" s="136"/>
    </row>
    <row r="6622" ht="15.75" customHeight="1">
      <c r="B6622" s="63">
        <f t="shared" si="1"/>
        <v>16</v>
      </c>
      <c r="C6622" s="134" t="s">
        <v>191</v>
      </c>
      <c r="D6622" s="134" t="s">
        <v>74</v>
      </c>
      <c r="E6622" s="135">
        <f t="shared" si="59"/>
        <v>18</v>
      </c>
      <c r="F6622" s="134" t="s">
        <v>3598</v>
      </c>
      <c r="G6622" s="63" t="str">
        <f>VLOOKUP(C6622, 'Class Def. - General Data'!$C$20:$C$1000,1,false)</f>
        <v>ZSF1_INTD_SAMBAL</v>
      </c>
      <c r="H6622" s="63" t="str">
        <f>IFERROR(__xludf.DUMMYFUNCTION("VLOOKUP(F6622, IMPORTRANGE(""https://docs.google.com/spreadsheets/d/1Lhp9OU0JdFf_VYSMzH5lBcEaU4o8teT1piV-SNzShjg/edit?gid=554141278#gid=554141278"", ""'Char Def. - Attributes'!C20:C2242""), 1,false)"),"CONV2")</f>
        <v>CONV2</v>
      </c>
      <c r="I6622" s="136"/>
    </row>
    <row r="6623" ht="15.75" customHeight="1">
      <c r="B6623" s="63">
        <f t="shared" si="1"/>
        <v>16</v>
      </c>
      <c r="C6623" s="134" t="s">
        <v>191</v>
      </c>
      <c r="D6623" s="134" t="s">
        <v>74</v>
      </c>
      <c r="E6623" s="135">
        <f t="shared" si="59"/>
        <v>19</v>
      </c>
      <c r="F6623" s="134" t="s">
        <v>3599</v>
      </c>
      <c r="G6623" s="63" t="str">
        <f>VLOOKUP(C6623, 'Class Def. - General Data'!$C$20:$C$1000,1,false)</f>
        <v>ZSF1_INTD_SAMBAL</v>
      </c>
      <c r="H6623" s="63" t="str">
        <f>IFERROR(__xludf.DUMMYFUNCTION("VLOOKUP(F6623, IMPORTRANGE(""https://docs.google.com/spreadsheets/d/1Lhp9OU0JdFf_VYSMzH5lBcEaU4o8teT1piV-SNzShjg/edit?gid=554141278#gid=554141278"", ""'Char Def. - Attributes'!C20:C2242""), 1,false)"),"UOM3")</f>
        <v>UOM3</v>
      </c>
      <c r="I6623" s="136"/>
    </row>
    <row r="6624" ht="15.75" customHeight="1">
      <c r="B6624" s="63">
        <f t="shared" si="1"/>
        <v>16</v>
      </c>
      <c r="C6624" s="134" t="s">
        <v>191</v>
      </c>
      <c r="D6624" s="134" t="s">
        <v>74</v>
      </c>
      <c r="E6624" s="135">
        <f t="shared" si="59"/>
        <v>20</v>
      </c>
      <c r="F6624" s="134" t="s">
        <v>3600</v>
      </c>
      <c r="G6624" s="63" t="str">
        <f>VLOOKUP(C6624, 'Class Def. - General Data'!$C$20:$C$1000,1,false)</f>
        <v>ZSF1_INTD_SAMBAL</v>
      </c>
      <c r="H6624" s="63" t="str">
        <f>IFERROR(__xludf.DUMMYFUNCTION("VLOOKUP(F6624, IMPORTRANGE(""https://docs.google.com/spreadsheets/d/1Lhp9OU0JdFf_VYSMzH5lBcEaU4o8teT1piV-SNzShjg/edit?gid=554141278#gid=554141278"", ""'Char Def. - Attributes'!C20:C2242""), 1,false)"),"CONV3")</f>
        <v>CONV3</v>
      </c>
      <c r="I6624" s="136"/>
    </row>
    <row r="6625" ht="15.75" customHeight="1">
      <c r="B6625" s="63">
        <f t="shared" si="1"/>
        <v>16</v>
      </c>
      <c r="C6625" s="134" t="s">
        <v>191</v>
      </c>
      <c r="D6625" s="134" t="s">
        <v>74</v>
      </c>
      <c r="E6625" s="135">
        <f t="shared" si="59"/>
        <v>21</v>
      </c>
      <c r="F6625" s="134" t="s">
        <v>3601</v>
      </c>
      <c r="G6625" s="63" t="str">
        <f>VLOOKUP(C6625, 'Class Def. - General Data'!$C$20:$C$1000,1,false)</f>
        <v>ZSF1_INTD_SAMBAL</v>
      </c>
      <c r="H6625" s="63" t="str">
        <f>IFERROR(__xludf.DUMMYFUNCTION("VLOOKUP(F6625, IMPORTRANGE(""https://docs.google.com/spreadsheets/d/1Lhp9OU0JdFf_VYSMzH5lBcEaU4o8teT1piV-SNzShjg/edit?gid=554141278#gid=554141278"", ""'Char Def. - Attributes'!C20:C2242""), 1,false)"),"GROSS_WEIGHT")</f>
        <v>GROSS_WEIGHT</v>
      </c>
      <c r="I6625" s="136"/>
    </row>
    <row r="6626" ht="15.75" customHeight="1">
      <c r="B6626" s="63">
        <f t="shared" si="1"/>
        <v>16</v>
      </c>
      <c r="C6626" s="134" t="s">
        <v>191</v>
      </c>
      <c r="D6626" s="134" t="s">
        <v>74</v>
      </c>
      <c r="E6626" s="135">
        <f t="shared" si="59"/>
        <v>22</v>
      </c>
      <c r="F6626" s="134" t="s">
        <v>3602</v>
      </c>
      <c r="G6626" s="63" t="str">
        <f>VLOOKUP(C6626, 'Class Def. - General Data'!$C$20:$C$1000,1,false)</f>
        <v>ZSF1_INTD_SAMBAL</v>
      </c>
      <c r="H6626" s="63" t="str">
        <f>IFERROR(__xludf.DUMMYFUNCTION("VLOOKUP(F6626, IMPORTRANGE(""https://docs.google.com/spreadsheets/d/1Lhp9OU0JdFf_VYSMzH5lBcEaU4o8teT1piV-SNzShjg/edit?gid=554141278#gid=554141278"", ""'Char Def. - Attributes'!C20:C2242""), 1,false)"),"NET_WEIGHT")</f>
        <v>NET_WEIGHT</v>
      </c>
      <c r="I6626" s="136"/>
    </row>
    <row r="6627" ht="15.75" customHeight="1">
      <c r="B6627" s="63">
        <f t="shared" si="1"/>
        <v>16</v>
      </c>
      <c r="C6627" s="134" t="s">
        <v>191</v>
      </c>
      <c r="D6627" s="134" t="s">
        <v>74</v>
      </c>
      <c r="E6627" s="135">
        <f t="shared" si="59"/>
        <v>23</v>
      </c>
      <c r="F6627" s="134" t="s">
        <v>3603</v>
      </c>
      <c r="G6627" s="63" t="str">
        <f>VLOOKUP(C6627, 'Class Def. - General Data'!$C$20:$C$1000,1,false)</f>
        <v>ZSF1_INTD_SAMBAL</v>
      </c>
      <c r="H6627" s="63" t="str">
        <f>IFERROR(__xludf.DUMMYFUNCTION("VLOOKUP(F6627, IMPORTRANGE(""https://docs.google.com/spreadsheets/d/1Lhp9OU0JdFf_VYSMzH5lBcEaU4o8teT1piV-SNzShjg/edit?gid=554141278#gid=554141278"", ""'Char Def. - Attributes'!C20:C2242""), 1,false)"),"VOLUME")</f>
        <v>VOLUME</v>
      </c>
      <c r="I6627" s="136"/>
    </row>
    <row r="6628" ht="15.75" customHeight="1">
      <c r="B6628" s="63">
        <f t="shared" si="1"/>
        <v>16</v>
      </c>
      <c r="C6628" s="134" t="s">
        <v>191</v>
      </c>
      <c r="D6628" s="134" t="s">
        <v>74</v>
      </c>
      <c r="E6628" s="135">
        <f t="shared" si="59"/>
        <v>24</v>
      </c>
      <c r="F6628" s="134" t="s">
        <v>3586</v>
      </c>
      <c r="G6628" s="63" t="str">
        <f>VLOOKUP(C6628, 'Class Def. - General Data'!$C$20:$C$1000,1,false)</f>
        <v>ZSF1_INTD_SAMBAL</v>
      </c>
      <c r="H6628" s="63" t="str">
        <f>IFERROR(__xludf.DUMMYFUNCTION("VLOOKUP(F6628, IMPORTRANGE(""https://docs.google.com/spreadsheets/d/1Lhp9OU0JdFf_VYSMzH5lBcEaU4o8teT1piV-SNzShjg/edit?gid=554141278#gid=554141278"", ""'Char Def. - Attributes'!C20:C2242""), 1,false)"),"PLANT_PROD")</f>
        <v>PLANT_PROD</v>
      </c>
      <c r="I6628" s="136"/>
    </row>
    <row r="6629" ht="15.75" customHeight="1">
      <c r="B6629" s="63">
        <f t="shared" si="1"/>
        <v>16</v>
      </c>
      <c r="C6629" s="134" t="s">
        <v>191</v>
      </c>
      <c r="D6629" s="134" t="s">
        <v>74</v>
      </c>
      <c r="E6629" s="135">
        <f t="shared" si="59"/>
        <v>25</v>
      </c>
      <c r="F6629" s="134" t="s">
        <v>3587</v>
      </c>
      <c r="G6629" s="63" t="str">
        <f>VLOOKUP(C6629, 'Class Def. - General Data'!$C$20:$C$1000,1,false)</f>
        <v>ZSF1_INTD_SAMBAL</v>
      </c>
      <c r="H6629" s="63" t="str">
        <f>IFERROR(__xludf.DUMMYFUNCTION("VLOOKUP(F6629, IMPORTRANGE(""https://docs.google.com/spreadsheets/d/1Lhp9OU0JdFf_VYSMzH5lBcEaU4o8teT1piV-SNzShjg/edit?gid=554141278#gid=554141278"", ""'Char Def. - Attributes'!C20:C2242""), 1,false)"),"PLANT_BUY")</f>
        <v>PLANT_BUY</v>
      </c>
      <c r="I6629" s="136"/>
    </row>
    <row r="6630" ht="15.75" customHeight="1">
      <c r="B6630" s="63">
        <f t="shared" si="1"/>
        <v>16</v>
      </c>
      <c r="C6630" s="134" t="s">
        <v>191</v>
      </c>
      <c r="D6630" s="134" t="s">
        <v>74</v>
      </c>
      <c r="E6630" s="135">
        <f t="shared" si="59"/>
        <v>26</v>
      </c>
      <c r="F6630" s="134" t="s">
        <v>4040</v>
      </c>
      <c r="G6630" s="63" t="str">
        <f>VLOOKUP(C6630, 'Class Def. - General Data'!$C$20:$C$1000,1,false)</f>
        <v>ZSF1_INTD_SAMBAL</v>
      </c>
      <c r="H6630" s="63" t="str">
        <f>IFERROR(__xludf.DUMMYFUNCTION("VLOOKUP(F6630, IMPORTRANGE(""https://docs.google.com/spreadsheets/d/1Lhp9OU0JdFf_VYSMzH5lBcEaU4o8teT1piV-SNzShjg/edit?gid=554141278#gid=554141278"", ""'Char Def. - Attributes'!C20:C2242""), 1,false)"),"OLD_MAT_SFG")</f>
        <v>OLD_MAT_SFG</v>
      </c>
      <c r="I6630" s="136"/>
    </row>
    <row r="6631" ht="15.75" customHeight="1">
      <c r="B6631" s="63">
        <f t="shared" si="1"/>
        <v>16</v>
      </c>
      <c r="C6631" s="134" t="s">
        <v>192</v>
      </c>
      <c r="D6631" s="134" t="s">
        <v>74</v>
      </c>
      <c r="E6631" s="135">
        <f t="shared" si="59"/>
        <v>1</v>
      </c>
      <c r="F6631" s="134" t="s">
        <v>3853</v>
      </c>
      <c r="G6631" s="63" t="str">
        <f>VLOOKUP(C6631, 'Class Def. - General Data'!$C$20:$C$1000,1,false)</f>
        <v>ZSF1_PACK_DRYVEG</v>
      </c>
      <c r="H6631" s="63" t="str">
        <f>IFERROR(__xludf.DUMMYFUNCTION("VLOOKUP(F6631, IMPORTRANGE(""https://docs.google.com/spreadsheets/d/1Lhp9OU0JdFf_VYSMzH5lBcEaU4o8teT1piV-SNzShjg/edit?gid=554141278#gid=554141278"", ""'Char Def. - Attributes'!C20:C2242""), 1,false)"),"BRAND_WINGS")</f>
        <v>BRAND_WINGS</v>
      </c>
      <c r="I6631" s="136"/>
    </row>
    <row r="6632" ht="15.75" customHeight="1">
      <c r="B6632" s="63">
        <f t="shared" si="1"/>
        <v>16</v>
      </c>
      <c r="C6632" s="134" t="s">
        <v>192</v>
      </c>
      <c r="D6632" s="134" t="s">
        <v>74</v>
      </c>
      <c r="E6632" s="135">
        <f t="shared" si="59"/>
        <v>2</v>
      </c>
      <c r="F6632" s="134" t="s">
        <v>3607</v>
      </c>
      <c r="G6632" s="63" t="str">
        <f>VLOOKUP(C6632, 'Class Def. - General Data'!$C$20:$C$1000,1,false)</f>
        <v>ZSF1_PACK_DRYVEG</v>
      </c>
      <c r="H6632" s="63" t="str">
        <f>IFERROR(__xludf.DUMMYFUNCTION("VLOOKUP(F6632, IMPORTRANGE(""https://docs.google.com/spreadsheets/d/1Lhp9OU0JdFf_VYSMzH5lBcEaU4o8teT1piV-SNzShjg/edit?gid=554141278#gid=554141278"", ""'Char Def. - Attributes'!C20:C2242""), 1,false)"),"VARIAN")</f>
        <v>VARIAN</v>
      </c>
      <c r="I6632" s="136"/>
    </row>
    <row r="6633" ht="15.75" customHeight="1">
      <c r="B6633" s="63">
        <f t="shared" si="1"/>
        <v>16</v>
      </c>
      <c r="C6633" s="134" t="s">
        <v>192</v>
      </c>
      <c r="D6633" s="134" t="s">
        <v>74</v>
      </c>
      <c r="E6633" s="135">
        <f t="shared" si="59"/>
        <v>3</v>
      </c>
      <c r="F6633" s="134" t="s">
        <v>4036</v>
      </c>
      <c r="G6633" s="63" t="str">
        <f>VLOOKUP(C6633, 'Class Def. - General Data'!$C$20:$C$1000,1,false)</f>
        <v>ZSF1_PACK_DRYVEG</v>
      </c>
      <c r="H6633" s="63" t="str">
        <f>IFERROR(__xludf.DUMMYFUNCTION("VLOOKUP(F6633, IMPORTRANGE(""https://docs.google.com/spreadsheets/d/1Lhp9OU0JdFf_VYSMzH5lBcEaU4o8teT1piV-SNzShjg/edit?gid=554141278#gid=554141278"", ""'Char Def. - Attributes'!C20:C2242""), 1,false)"),"NAMA_BAHAN")</f>
        <v>NAMA_BAHAN</v>
      </c>
      <c r="I6633" s="136"/>
    </row>
    <row r="6634" ht="15.75" customHeight="1">
      <c r="B6634" s="63">
        <f t="shared" si="1"/>
        <v>16</v>
      </c>
      <c r="C6634" s="134" t="s">
        <v>192</v>
      </c>
      <c r="D6634" s="134" t="s">
        <v>74</v>
      </c>
      <c r="E6634" s="135">
        <f t="shared" si="59"/>
        <v>4</v>
      </c>
      <c r="F6634" s="134" t="s">
        <v>4037</v>
      </c>
      <c r="G6634" s="63" t="str">
        <f>VLOOKUP(C6634, 'Class Def. - General Data'!$C$20:$C$1000,1,false)</f>
        <v>ZSF1_PACK_DRYVEG</v>
      </c>
      <c r="H6634" s="63" t="str">
        <f>IFERROR(__xludf.DUMMYFUNCTION("VLOOKUP(F6634, IMPORTRANGE(""https://docs.google.com/spreadsheets/d/1Lhp9OU0JdFf_VYSMzH5lBcEaU4o8teT1piV-SNzShjg/edit?gid=554141278#gid=554141278"", ""'Char Def. - Attributes'!C20:C2242""), 1,false)"),"VARIAN_BAHAN")</f>
        <v>VARIAN_BAHAN</v>
      </c>
      <c r="I6634" s="136"/>
    </row>
    <row r="6635" ht="15.75" customHeight="1">
      <c r="B6635" s="63">
        <f t="shared" si="1"/>
        <v>16</v>
      </c>
      <c r="C6635" s="160" t="s">
        <v>192</v>
      </c>
      <c r="D6635" s="161" t="s">
        <v>74</v>
      </c>
      <c r="E6635" s="135">
        <f t="shared" si="59"/>
        <v>5</v>
      </c>
      <c r="F6635" s="134" t="s">
        <v>3605</v>
      </c>
      <c r="G6635" s="63" t="str">
        <f>VLOOKUP(C6635, 'Class Def. - General Data'!$C$20:$C$1000,1,false)</f>
        <v>ZSF1_PACK_DRYVEG</v>
      </c>
      <c r="H6635" s="63" t="str">
        <f>IFERROR(__xludf.DUMMYFUNCTION("VLOOKUP(F6635, IMPORTRANGE(""https://docs.google.com/spreadsheets/d/1Lhp9OU0JdFf_VYSMzH5lBcEaU4o8teT1piV-SNzShjg/edit?gid=554141278#gid=554141278"", ""'Char Def. - Attributes'!C20:C2242""), 1,false)"),"PACK_NETTO")</f>
        <v>PACK_NETTO</v>
      </c>
      <c r="I6635" s="136"/>
    </row>
    <row r="6636" ht="15.75" customHeight="1">
      <c r="B6636" s="63">
        <f t="shared" si="1"/>
        <v>16</v>
      </c>
      <c r="C6636" s="160" t="s">
        <v>192</v>
      </c>
      <c r="D6636" s="161" t="s">
        <v>74</v>
      </c>
      <c r="E6636" s="135">
        <f t="shared" si="59"/>
        <v>6</v>
      </c>
      <c r="F6636" s="134" t="s">
        <v>4038</v>
      </c>
      <c r="G6636" s="63" t="str">
        <f>VLOOKUP(C6636, 'Class Def. - General Data'!$C$20:$C$1000,1,false)</f>
        <v>ZSF1_PACK_DRYVEG</v>
      </c>
      <c r="H6636" s="63" t="str">
        <f>IFERROR(__xludf.DUMMYFUNCTION("VLOOKUP(F6636, IMPORTRANGE(""https://docs.google.com/spreadsheets/d/1Lhp9OU0JdFf_VYSMzH5lBcEaU4o8teT1piV-SNzShjg/edit?gid=554141278#gid=554141278"", ""'Char Def. - Attributes'!C20:C2242""), 1,false)"),"SFG_SPEC")</f>
        <v>SFG_SPEC</v>
      </c>
      <c r="I6636" s="136"/>
    </row>
    <row r="6637" ht="15.75" customHeight="1">
      <c r="B6637" s="63">
        <f t="shared" si="1"/>
        <v>16</v>
      </c>
      <c r="C6637" s="134" t="s">
        <v>192</v>
      </c>
      <c r="D6637" s="134" t="s">
        <v>74</v>
      </c>
      <c r="E6637" s="135">
        <f t="shared" si="59"/>
        <v>7</v>
      </c>
      <c r="F6637" s="134" t="s">
        <v>4039</v>
      </c>
      <c r="G6637" s="63" t="str">
        <f>VLOOKUP(C6637, 'Class Def. - General Data'!$C$20:$C$1000,1,false)</f>
        <v>ZSF1_PACK_DRYVEG</v>
      </c>
      <c r="H6637" s="63" t="str">
        <f>IFERROR(__xludf.DUMMYFUNCTION("VLOOKUP(F6637, IMPORTRANGE(""https://docs.google.com/spreadsheets/d/1Lhp9OU0JdFf_VYSMzH5lBcEaU4o8teT1piV-SNzShjg/edit?gid=554141278#gid=554141278"", ""'Char Def. - Attributes'!C20:C2242""), 1,false)"),"SFG_DESTINATION")</f>
        <v>SFG_DESTINATION</v>
      </c>
      <c r="I6637" s="136"/>
    </row>
    <row r="6638" ht="15.75" customHeight="1">
      <c r="B6638" s="63">
        <f t="shared" si="1"/>
        <v>16</v>
      </c>
      <c r="C6638" s="135" t="s">
        <v>192</v>
      </c>
      <c r="D6638" s="141" t="s">
        <v>74</v>
      </c>
      <c r="E6638" s="135">
        <f t="shared" si="59"/>
        <v>8</v>
      </c>
      <c r="F6638" s="134" t="s">
        <v>3611</v>
      </c>
      <c r="G6638" s="63" t="str">
        <f>VLOOKUP(C6638, 'Class Def. - General Data'!$C$20:$C$1000,1,false)</f>
        <v>ZSF1_PACK_DRYVEG</v>
      </c>
      <c r="H6638" s="63" t="str">
        <f>IFERROR(__xludf.DUMMYFUNCTION("VLOOKUP(F6638, IMPORTRANGE(""https://docs.google.com/spreadsheets/d/1Lhp9OU0JdFf_VYSMzH5lBcEaU4o8teT1piV-SNzShjg/edit?gid=554141278#gid=554141278"", ""'Char Def. - Attributes'!C20:C2242""), 1,false)"),"LOKAL_EKSPOR")</f>
        <v>LOKAL_EKSPOR</v>
      </c>
      <c r="I6638" s="136"/>
    </row>
    <row r="6639" ht="15.75" customHeight="1">
      <c r="B6639" s="63">
        <f t="shared" si="1"/>
        <v>16</v>
      </c>
      <c r="C6639" s="135" t="s">
        <v>192</v>
      </c>
      <c r="D6639" s="141" t="s">
        <v>74</v>
      </c>
      <c r="E6639" s="135">
        <f t="shared" si="59"/>
        <v>9</v>
      </c>
      <c r="F6639" s="134" t="s">
        <v>3612</v>
      </c>
      <c r="G6639" s="63" t="str">
        <f>VLOOKUP(C6639, 'Class Def. - General Data'!$C$20:$C$1000,1,false)</f>
        <v>ZSF1_PACK_DRYVEG</v>
      </c>
      <c r="H6639" s="63" t="str">
        <f>IFERROR(__xludf.DUMMYFUNCTION("VLOOKUP(F6639, IMPORTRANGE(""https://docs.google.com/spreadsheets/d/1Lhp9OU0JdFf_VYSMzH5lBcEaU4o8teT1piV-SNzShjg/edit?gid=554141278#gid=554141278"", ""'Char Def. - Attributes'!C20:C2242""), 1,false)"),"COUNTRY_EKSPOR")</f>
        <v>COUNTRY_EKSPOR</v>
      </c>
      <c r="I6639" s="136"/>
    </row>
    <row r="6640" ht="15.75" customHeight="1">
      <c r="B6640" s="63">
        <f t="shared" si="1"/>
        <v>16</v>
      </c>
      <c r="C6640" s="134" t="s">
        <v>192</v>
      </c>
      <c r="D6640" s="134" t="s">
        <v>74</v>
      </c>
      <c r="E6640" s="135">
        <f t="shared" si="59"/>
        <v>10</v>
      </c>
      <c r="F6640" s="134" t="s">
        <v>4041</v>
      </c>
      <c r="G6640" s="63" t="str">
        <f>VLOOKUP(C6640, 'Class Def. - General Data'!$C$20:$C$1000,1,false)</f>
        <v>ZSF1_PACK_DRYVEG</v>
      </c>
      <c r="H6640" s="63" t="str">
        <f>IFERROR(__xludf.DUMMYFUNCTION("VLOOKUP(F6640, IMPORTRANGE(""https://docs.google.com/spreadsheets/d/1Lhp9OU0JdFf_VYSMzH5lBcEaU4o8teT1piV-SNzShjg/edit?gid=554141278#gid=554141278"", ""'Char Def. - Attributes'!C20:C2242""), 1,false)"),"SFG_GRADE")</f>
        <v>SFG_GRADE</v>
      </c>
      <c r="I6640" s="136"/>
    </row>
    <row r="6641" ht="15.75" customHeight="1">
      <c r="B6641" s="63">
        <f t="shared" si="1"/>
        <v>16</v>
      </c>
      <c r="C6641" s="160" t="s">
        <v>192</v>
      </c>
      <c r="D6641" s="161" t="s">
        <v>74</v>
      </c>
      <c r="E6641" s="135">
        <f t="shared" si="59"/>
        <v>11</v>
      </c>
      <c r="F6641" s="134" t="s">
        <v>3881</v>
      </c>
      <c r="G6641" s="63" t="str">
        <f>VLOOKUP(C6641, 'Class Def. - General Data'!$C$20:$C$1000,1,false)</f>
        <v>ZSF1_PACK_DRYVEG</v>
      </c>
      <c r="H6641" s="63" t="str">
        <f>IFERROR(__xludf.DUMMYFUNCTION("VLOOKUP(F6641, IMPORTRANGE(""https://docs.google.com/spreadsheets/d/1Lhp9OU0JdFf_VYSMzH5lBcEaU4o8teT1piV-SNzShjg/edit?gid=554141278#gid=554141278"", ""'Char Def. - Attributes'!C20:C2242""), 1,false)"),"BS_BERSIH")</f>
        <v>BS_BERSIH</v>
      </c>
      <c r="I6641" s="136"/>
    </row>
    <row r="6642" ht="15.75" customHeight="1">
      <c r="B6642" s="63">
        <f t="shared" si="1"/>
        <v>16</v>
      </c>
      <c r="C6642" s="160" t="s">
        <v>192</v>
      </c>
      <c r="D6642" s="161" t="s">
        <v>74</v>
      </c>
      <c r="E6642" s="135">
        <f t="shared" si="59"/>
        <v>12</v>
      </c>
      <c r="F6642" s="134" t="s">
        <v>3882</v>
      </c>
      <c r="G6642" s="63" t="str">
        <f>VLOOKUP(C6642, 'Class Def. - General Data'!$C$20:$C$1000,1,false)</f>
        <v>ZSF1_PACK_DRYVEG</v>
      </c>
      <c r="H6642" s="63" t="str">
        <f>IFERROR(__xludf.DUMMYFUNCTION("VLOOKUP(F6642, IMPORTRANGE(""https://docs.google.com/spreadsheets/d/1Lhp9OU0JdFf_VYSMzH5lBcEaU4o8teT1piV-SNzShjg/edit?gid=554141278#gid=554141278"", ""'Char Def. - Attributes'!C20:C2242""), 1,false)"),"BS_KOTOR")</f>
        <v>BS_KOTOR</v>
      </c>
      <c r="I6642" s="136"/>
    </row>
    <row r="6643" ht="15.75" customHeight="1">
      <c r="B6643" s="63">
        <f t="shared" si="1"/>
        <v>16</v>
      </c>
      <c r="C6643" s="160" t="s">
        <v>192</v>
      </c>
      <c r="D6643" s="161" t="s">
        <v>74</v>
      </c>
      <c r="E6643" s="135">
        <f t="shared" si="59"/>
        <v>13</v>
      </c>
      <c r="F6643" s="134" t="s">
        <v>3883</v>
      </c>
      <c r="G6643" s="63" t="str">
        <f>VLOOKUP(C6643, 'Class Def. - General Data'!$C$20:$C$1000,1,false)</f>
        <v>ZSF1_PACK_DRYVEG</v>
      </c>
      <c r="H6643" s="63" t="str">
        <f>IFERROR(__xludf.DUMMYFUNCTION("VLOOKUP(F6643, IMPORTRANGE(""https://docs.google.com/spreadsheets/d/1Lhp9OU0JdFf_VYSMzH5lBcEaU4o8teT1piV-SNzShjg/edit?gid=554141278#gid=554141278"", ""'Char Def. - Attributes'!C20:C2242""), 1,false)"),"BS_SCRAP")</f>
        <v>BS_SCRAP</v>
      </c>
      <c r="I6643" s="136"/>
    </row>
    <row r="6644" ht="15.75" customHeight="1">
      <c r="B6644" s="63">
        <f t="shared" si="1"/>
        <v>16</v>
      </c>
      <c r="C6644" s="134" t="s">
        <v>192</v>
      </c>
      <c r="D6644" s="134" t="s">
        <v>74</v>
      </c>
      <c r="E6644" s="135">
        <f t="shared" si="59"/>
        <v>14</v>
      </c>
      <c r="F6644" s="134" t="s">
        <v>3582</v>
      </c>
      <c r="G6644" s="63" t="str">
        <f>VLOOKUP(C6644, 'Class Def. - General Data'!$C$20:$C$1000,1,false)</f>
        <v>ZSF1_PACK_DRYVEG</v>
      </c>
      <c r="H6644" s="63" t="str">
        <f>IFERROR(__xludf.DUMMYFUNCTION("VLOOKUP(F6644, IMPORTRANGE(""https://docs.google.com/spreadsheets/d/1Lhp9OU0JdFf_VYSMzH5lBcEaU4o8teT1piV-SNzShjg/edit?gid=554141278#gid=554141278"", ""'Char Def. - Attributes'!C20:C2242""), 1,false)"),"BASE_UNIT")</f>
        <v>BASE_UNIT</v>
      </c>
      <c r="I6644" s="136"/>
    </row>
    <row r="6645" ht="15.75" customHeight="1">
      <c r="B6645" s="63">
        <f t="shared" si="1"/>
        <v>16</v>
      </c>
      <c r="C6645" s="134" t="s">
        <v>192</v>
      </c>
      <c r="D6645" s="134" t="s">
        <v>74</v>
      </c>
      <c r="E6645" s="135">
        <f t="shared" si="59"/>
        <v>15</v>
      </c>
      <c r="F6645" s="134" t="s">
        <v>3595</v>
      </c>
      <c r="G6645" s="63" t="str">
        <f>VLOOKUP(C6645, 'Class Def. - General Data'!$C$20:$C$1000,1,false)</f>
        <v>ZSF1_PACK_DRYVEG</v>
      </c>
      <c r="H6645" s="63" t="str">
        <f>IFERROR(__xludf.DUMMYFUNCTION("VLOOKUP(F6645, IMPORTRANGE(""https://docs.google.com/spreadsheets/d/1Lhp9OU0JdFf_VYSMzH5lBcEaU4o8teT1piV-SNzShjg/edit?gid=554141278#gid=554141278"", ""'Char Def. - Attributes'!C20:C2242""), 1,false)"),"UOM1")</f>
        <v>UOM1</v>
      </c>
      <c r="I6645" s="136"/>
    </row>
    <row r="6646" ht="15.75" customHeight="1">
      <c r="B6646" s="63">
        <f t="shared" si="1"/>
        <v>16</v>
      </c>
      <c r="C6646" s="134" t="s">
        <v>192</v>
      </c>
      <c r="D6646" s="134" t="s">
        <v>74</v>
      </c>
      <c r="E6646" s="135">
        <f t="shared" si="59"/>
        <v>16</v>
      </c>
      <c r="F6646" s="134" t="s">
        <v>3596</v>
      </c>
      <c r="G6646" s="63" t="str">
        <f>VLOOKUP(C6646, 'Class Def. - General Data'!$C$20:$C$1000,1,false)</f>
        <v>ZSF1_PACK_DRYVEG</v>
      </c>
      <c r="H6646" s="63" t="str">
        <f>IFERROR(__xludf.DUMMYFUNCTION("VLOOKUP(F6646, IMPORTRANGE(""https://docs.google.com/spreadsheets/d/1Lhp9OU0JdFf_VYSMzH5lBcEaU4o8teT1piV-SNzShjg/edit?gid=554141278#gid=554141278"", ""'Char Def. - Attributes'!C20:C2242""), 1,false)"),"CONV1")</f>
        <v>CONV1</v>
      </c>
      <c r="I6646" s="136"/>
    </row>
    <row r="6647" ht="15.75" customHeight="1">
      <c r="B6647" s="63">
        <f t="shared" si="1"/>
        <v>16</v>
      </c>
      <c r="C6647" s="134" t="s">
        <v>192</v>
      </c>
      <c r="D6647" s="134" t="s">
        <v>74</v>
      </c>
      <c r="E6647" s="135">
        <f t="shared" si="59"/>
        <v>17</v>
      </c>
      <c r="F6647" s="134" t="s">
        <v>3597</v>
      </c>
      <c r="G6647" s="63" t="str">
        <f>VLOOKUP(C6647, 'Class Def. - General Data'!$C$20:$C$1000,1,false)</f>
        <v>ZSF1_PACK_DRYVEG</v>
      </c>
      <c r="H6647" s="63" t="str">
        <f>IFERROR(__xludf.DUMMYFUNCTION("VLOOKUP(F6647, IMPORTRANGE(""https://docs.google.com/spreadsheets/d/1Lhp9OU0JdFf_VYSMzH5lBcEaU4o8teT1piV-SNzShjg/edit?gid=554141278#gid=554141278"", ""'Char Def. - Attributes'!C20:C2242""), 1,false)"),"UOM2")</f>
        <v>UOM2</v>
      </c>
      <c r="I6647" s="136"/>
    </row>
    <row r="6648" ht="15.75" customHeight="1">
      <c r="B6648" s="63">
        <f t="shared" si="1"/>
        <v>16</v>
      </c>
      <c r="C6648" s="134" t="s">
        <v>192</v>
      </c>
      <c r="D6648" s="134" t="s">
        <v>74</v>
      </c>
      <c r="E6648" s="135">
        <f t="shared" si="59"/>
        <v>18</v>
      </c>
      <c r="F6648" s="134" t="s">
        <v>3598</v>
      </c>
      <c r="G6648" s="63" t="str">
        <f>VLOOKUP(C6648, 'Class Def. - General Data'!$C$20:$C$1000,1,false)</f>
        <v>ZSF1_PACK_DRYVEG</v>
      </c>
      <c r="H6648" s="63" t="str">
        <f>IFERROR(__xludf.DUMMYFUNCTION("VLOOKUP(F6648, IMPORTRANGE(""https://docs.google.com/spreadsheets/d/1Lhp9OU0JdFf_VYSMzH5lBcEaU4o8teT1piV-SNzShjg/edit?gid=554141278#gid=554141278"", ""'Char Def. - Attributes'!C20:C2242""), 1,false)"),"CONV2")</f>
        <v>CONV2</v>
      </c>
      <c r="I6648" s="136"/>
    </row>
    <row r="6649" ht="15.75" customHeight="1">
      <c r="B6649" s="63">
        <f t="shared" si="1"/>
        <v>16</v>
      </c>
      <c r="C6649" s="134" t="s">
        <v>192</v>
      </c>
      <c r="D6649" s="134" t="s">
        <v>74</v>
      </c>
      <c r="E6649" s="135">
        <f t="shared" si="59"/>
        <v>19</v>
      </c>
      <c r="F6649" s="134" t="s">
        <v>3599</v>
      </c>
      <c r="G6649" s="63" t="str">
        <f>VLOOKUP(C6649, 'Class Def. - General Data'!$C$20:$C$1000,1,false)</f>
        <v>ZSF1_PACK_DRYVEG</v>
      </c>
      <c r="H6649" s="63" t="str">
        <f>IFERROR(__xludf.DUMMYFUNCTION("VLOOKUP(F6649, IMPORTRANGE(""https://docs.google.com/spreadsheets/d/1Lhp9OU0JdFf_VYSMzH5lBcEaU4o8teT1piV-SNzShjg/edit?gid=554141278#gid=554141278"", ""'Char Def. - Attributes'!C20:C2242""), 1,false)"),"UOM3")</f>
        <v>UOM3</v>
      </c>
      <c r="I6649" s="136"/>
    </row>
    <row r="6650" ht="15.75" customHeight="1">
      <c r="B6650" s="63">
        <f t="shared" si="1"/>
        <v>16</v>
      </c>
      <c r="C6650" s="134" t="s">
        <v>192</v>
      </c>
      <c r="D6650" s="134" t="s">
        <v>74</v>
      </c>
      <c r="E6650" s="135">
        <f t="shared" si="59"/>
        <v>20</v>
      </c>
      <c r="F6650" s="134" t="s">
        <v>3600</v>
      </c>
      <c r="G6650" s="63" t="str">
        <f>VLOOKUP(C6650, 'Class Def. - General Data'!$C$20:$C$1000,1,false)</f>
        <v>ZSF1_PACK_DRYVEG</v>
      </c>
      <c r="H6650" s="63" t="str">
        <f>IFERROR(__xludf.DUMMYFUNCTION("VLOOKUP(F6650, IMPORTRANGE(""https://docs.google.com/spreadsheets/d/1Lhp9OU0JdFf_VYSMzH5lBcEaU4o8teT1piV-SNzShjg/edit?gid=554141278#gid=554141278"", ""'Char Def. - Attributes'!C20:C2242""), 1,false)"),"CONV3")</f>
        <v>CONV3</v>
      </c>
      <c r="I6650" s="136"/>
    </row>
    <row r="6651" ht="15.75" customHeight="1">
      <c r="B6651" s="63">
        <f t="shared" si="1"/>
        <v>16</v>
      </c>
      <c r="C6651" s="134" t="s">
        <v>192</v>
      </c>
      <c r="D6651" s="134" t="s">
        <v>74</v>
      </c>
      <c r="E6651" s="135">
        <f t="shared" si="59"/>
        <v>21</v>
      </c>
      <c r="F6651" s="134" t="s">
        <v>3601</v>
      </c>
      <c r="G6651" s="63" t="str">
        <f>VLOOKUP(C6651, 'Class Def. - General Data'!$C$20:$C$1000,1,false)</f>
        <v>ZSF1_PACK_DRYVEG</v>
      </c>
      <c r="H6651" s="63" t="str">
        <f>IFERROR(__xludf.DUMMYFUNCTION("VLOOKUP(F6651, IMPORTRANGE(""https://docs.google.com/spreadsheets/d/1Lhp9OU0JdFf_VYSMzH5lBcEaU4o8teT1piV-SNzShjg/edit?gid=554141278#gid=554141278"", ""'Char Def. - Attributes'!C20:C2242""), 1,false)"),"GROSS_WEIGHT")</f>
        <v>GROSS_WEIGHT</v>
      </c>
      <c r="I6651" s="136"/>
    </row>
    <row r="6652" ht="15.75" customHeight="1">
      <c r="B6652" s="63">
        <f t="shared" si="1"/>
        <v>16</v>
      </c>
      <c r="C6652" s="134" t="s">
        <v>192</v>
      </c>
      <c r="D6652" s="134" t="s">
        <v>74</v>
      </c>
      <c r="E6652" s="135">
        <f t="shared" si="59"/>
        <v>22</v>
      </c>
      <c r="F6652" s="134" t="s">
        <v>3602</v>
      </c>
      <c r="G6652" s="63" t="str">
        <f>VLOOKUP(C6652, 'Class Def. - General Data'!$C$20:$C$1000,1,false)</f>
        <v>ZSF1_PACK_DRYVEG</v>
      </c>
      <c r="H6652" s="63" t="str">
        <f>IFERROR(__xludf.DUMMYFUNCTION("VLOOKUP(F6652, IMPORTRANGE(""https://docs.google.com/spreadsheets/d/1Lhp9OU0JdFf_VYSMzH5lBcEaU4o8teT1piV-SNzShjg/edit?gid=554141278#gid=554141278"", ""'Char Def. - Attributes'!C20:C2242""), 1,false)"),"NET_WEIGHT")</f>
        <v>NET_WEIGHT</v>
      </c>
      <c r="I6652" s="136"/>
    </row>
    <row r="6653" ht="15.75" customHeight="1">
      <c r="B6653" s="63">
        <f t="shared" si="1"/>
        <v>16</v>
      </c>
      <c r="C6653" s="134" t="s">
        <v>192</v>
      </c>
      <c r="D6653" s="134" t="s">
        <v>74</v>
      </c>
      <c r="E6653" s="135">
        <f t="shared" si="59"/>
        <v>23</v>
      </c>
      <c r="F6653" s="134" t="s">
        <v>3603</v>
      </c>
      <c r="G6653" s="63" t="str">
        <f>VLOOKUP(C6653, 'Class Def. - General Data'!$C$20:$C$1000,1,false)</f>
        <v>ZSF1_PACK_DRYVEG</v>
      </c>
      <c r="H6653" s="63" t="str">
        <f>IFERROR(__xludf.DUMMYFUNCTION("VLOOKUP(F6653, IMPORTRANGE(""https://docs.google.com/spreadsheets/d/1Lhp9OU0JdFf_VYSMzH5lBcEaU4o8teT1piV-SNzShjg/edit?gid=554141278#gid=554141278"", ""'Char Def. - Attributes'!C20:C2242""), 1,false)"),"VOLUME")</f>
        <v>VOLUME</v>
      </c>
      <c r="I6653" s="136"/>
    </row>
    <row r="6654" ht="15.75" customHeight="1">
      <c r="B6654" s="63">
        <f t="shared" si="1"/>
        <v>16</v>
      </c>
      <c r="C6654" s="134" t="s">
        <v>192</v>
      </c>
      <c r="D6654" s="134" t="s">
        <v>74</v>
      </c>
      <c r="E6654" s="135">
        <f t="shared" si="59"/>
        <v>24</v>
      </c>
      <c r="F6654" s="134" t="s">
        <v>3586</v>
      </c>
      <c r="G6654" s="63" t="str">
        <f>VLOOKUP(C6654, 'Class Def. - General Data'!$C$20:$C$1000,1,false)</f>
        <v>ZSF1_PACK_DRYVEG</v>
      </c>
      <c r="H6654" s="63" t="str">
        <f>IFERROR(__xludf.DUMMYFUNCTION("VLOOKUP(F6654, IMPORTRANGE(""https://docs.google.com/spreadsheets/d/1Lhp9OU0JdFf_VYSMzH5lBcEaU4o8teT1piV-SNzShjg/edit?gid=554141278#gid=554141278"", ""'Char Def. - Attributes'!C20:C2242""), 1,false)"),"PLANT_PROD")</f>
        <v>PLANT_PROD</v>
      </c>
      <c r="I6654" s="136"/>
    </row>
    <row r="6655" ht="15.75" customHeight="1">
      <c r="B6655" s="63">
        <f t="shared" si="1"/>
        <v>16</v>
      </c>
      <c r="C6655" s="134" t="s">
        <v>192</v>
      </c>
      <c r="D6655" s="134" t="s">
        <v>74</v>
      </c>
      <c r="E6655" s="135">
        <f t="shared" si="59"/>
        <v>25</v>
      </c>
      <c r="F6655" s="134" t="s">
        <v>3587</v>
      </c>
      <c r="G6655" s="63" t="str">
        <f>VLOOKUP(C6655, 'Class Def. - General Data'!$C$20:$C$1000,1,false)</f>
        <v>ZSF1_PACK_DRYVEG</v>
      </c>
      <c r="H6655" s="63" t="str">
        <f>IFERROR(__xludf.DUMMYFUNCTION("VLOOKUP(F6655, IMPORTRANGE(""https://docs.google.com/spreadsheets/d/1Lhp9OU0JdFf_VYSMzH5lBcEaU4o8teT1piV-SNzShjg/edit?gid=554141278#gid=554141278"", ""'Char Def. - Attributes'!C20:C2242""), 1,false)"),"PLANT_BUY")</f>
        <v>PLANT_BUY</v>
      </c>
      <c r="I6655" s="136"/>
    </row>
    <row r="6656" ht="15.75" customHeight="1">
      <c r="B6656" s="63">
        <f t="shared" si="1"/>
        <v>16</v>
      </c>
      <c r="C6656" s="134" t="s">
        <v>192</v>
      </c>
      <c r="D6656" s="134" t="s">
        <v>74</v>
      </c>
      <c r="E6656" s="135">
        <f t="shared" si="59"/>
        <v>26</v>
      </c>
      <c r="F6656" s="134" t="s">
        <v>4040</v>
      </c>
      <c r="G6656" s="63" t="str">
        <f>VLOOKUP(C6656, 'Class Def. - General Data'!$C$20:$C$1000,1,false)</f>
        <v>ZSF1_PACK_DRYVEG</v>
      </c>
      <c r="H6656" s="63" t="str">
        <f>IFERROR(__xludf.DUMMYFUNCTION("VLOOKUP(F6656, IMPORTRANGE(""https://docs.google.com/spreadsheets/d/1Lhp9OU0JdFf_VYSMzH5lBcEaU4o8teT1piV-SNzShjg/edit?gid=554141278#gid=554141278"", ""'Char Def. - Attributes'!C20:C2242""), 1,false)"),"OLD_MAT_SFG")</f>
        <v>OLD_MAT_SFG</v>
      </c>
      <c r="I6656" s="136"/>
    </row>
    <row r="6657" ht="15.75" customHeight="1">
      <c r="B6657" s="63">
        <f t="shared" si="1"/>
        <v>17</v>
      </c>
      <c r="C6657" s="135" t="s">
        <v>195</v>
      </c>
      <c r="D6657" s="134" t="s">
        <v>74</v>
      </c>
      <c r="E6657" s="135">
        <f t="shared" si="59"/>
        <v>1</v>
      </c>
      <c r="F6657" s="134" t="s">
        <v>3853</v>
      </c>
      <c r="G6657" s="63" t="str">
        <f>VLOOKUP(C6657, 'Class Def. - General Data'!$C$20:$C$1000,1,false)</f>
        <v>ZSF1_PACK_GARNISH</v>
      </c>
      <c r="H6657" s="63" t="str">
        <f>IFERROR(__xludf.DUMMYFUNCTION("VLOOKUP(F6657, IMPORTRANGE(""https://docs.google.com/spreadsheets/d/1Lhp9OU0JdFf_VYSMzH5lBcEaU4o8teT1piV-SNzShjg/edit?gid=554141278#gid=554141278"", ""'Char Def. - Attributes'!C20:C2242""), 1,false)"),"BRAND_WINGS")</f>
        <v>BRAND_WINGS</v>
      </c>
      <c r="I6657" s="136"/>
    </row>
    <row r="6658" ht="15.75" customHeight="1">
      <c r="B6658" s="63">
        <f t="shared" si="1"/>
        <v>17</v>
      </c>
      <c r="C6658" s="135" t="s">
        <v>195</v>
      </c>
      <c r="D6658" s="134" t="s">
        <v>74</v>
      </c>
      <c r="E6658" s="135">
        <f t="shared" si="59"/>
        <v>2</v>
      </c>
      <c r="F6658" s="134" t="s">
        <v>3607</v>
      </c>
      <c r="G6658" s="63" t="str">
        <f>VLOOKUP(C6658, 'Class Def. - General Data'!$C$20:$C$1000,1,false)</f>
        <v>ZSF1_PACK_GARNISH</v>
      </c>
      <c r="H6658" s="63" t="str">
        <f>IFERROR(__xludf.DUMMYFUNCTION("VLOOKUP(F6658, IMPORTRANGE(""https://docs.google.com/spreadsheets/d/1Lhp9OU0JdFf_VYSMzH5lBcEaU4o8teT1piV-SNzShjg/edit?gid=554141278#gid=554141278"", ""'Char Def. - Attributes'!C20:C2242""), 1,false)"),"VARIAN")</f>
        <v>VARIAN</v>
      </c>
      <c r="I6658" s="136"/>
    </row>
    <row r="6659" ht="15.75" customHeight="1">
      <c r="B6659" s="63">
        <f t="shared" si="1"/>
        <v>17</v>
      </c>
      <c r="C6659" s="135" t="s">
        <v>195</v>
      </c>
      <c r="D6659" s="134" t="s">
        <v>74</v>
      </c>
      <c r="E6659" s="135">
        <f t="shared" si="59"/>
        <v>3</v>
      </c>
      <c r="F6659" s="134" t="s">
        <v>4036</v>
      </c>
      <c r="G6659" s="63" t="str">
        <f>VLOOKUP(C6659, 'Class Def. - General Data'!$C$20:$C$1000,1,false)</f>
        <v>ZSF1_PACK_GARNISH</v>
      </c>
      <c r="H6659" s="63" t="str">
        <f>IFERROR(__xludf.DUMMYFUNCTION("VLOOKUP(F6659, IMPORTRANGE(""https://docs.google.com/spreadsheets/d/1Lhp9OU0JdFf_VYSMzH5lBcEaU4o8teT1piV-SNzShjg/edit?gid=554141278#gid=554141278"", ""'Char Def. - Attributes'!C20:C2242""), 1,false)"),"NAMA_BAHAN")</f>
        <v>NAMA_BAHAN</v>
      </c>
      <c r="I6659" s="136"/>
    </row>
    <row r="6660" ht="15.75" customHeight="1">
      <c r="B6660" s="63">
        <f t="shared" si="1"/>
        <v>17</v>
      </c>
      <c r="C6660" s="160" t="s">
        <v>195</v>
      </c>
      <c r="D6660" s="161" t="s">
        <v>74</v>
      </c>
      <c r="E6660" s="135">
        <f t="shared" si="59"/>
        <v>4</v>
      </c>
      <c r="F6660" s="134" t="s">
        <v>4037</v>
      </c>
      <c r="G6660" s="63" t="str">
        <f>VLOOKUP(C6660, 'Class Def. - General Data'!$C$20:$C$1000,1,false)</f>
        <v>ZSF1_PACK_GARNISH</v>
      </c>
      <c r="H6660" s="63" t="str">
        <f>IFERROR(__xludf.DUMMYFUNCTION("VLOOKUP(F6660, IMPORTRANGE(""https://docs.google.com/spreadsheets/d/1Lhp9OU0JdFf_VYSMzH5lBcEaU4o8teT1piV-SNzShjg/edit?gid=554141278#gid=554141278"", ""'Char Def. - Attributes'!C20:C2242""), 1,false)"),"VARIAN_BAHAN")</f>
        <v>VARIAN_BAHAN</v>
      </c>
      <c r="I6660" s="136"/>
    </row>
    <row r="6661" ht="15.75" customHeight="1">
      <c r="B6661" s="63">
        <f t="shared" si="1"/>
        <v>17</v>
      </c>
      <c r="C6661" s="160" t="s">
        <v>195</v>
      </c>
      <c r="D6661" s="161" t="s">
        <v>74</v>
      </c>
      <c r="E6661" s="135">
        <f t="shared" si="59"/>
        <v>5</v>
      </c>
      <c r="F6661" s="134" t="s">
        <v>3605</v>
      </c>
      <c r="G6661" s="63" t="str">
        <f>VLOOKUP(C6661, 'Class Def. - General Data'!$C$20:$C$1000,1,false)</f>
        <v>ZSF1_PACK_GARNISH</v>
      </c>
      <c r="H6661" s="63" t="str">
        <f>IFERROR(__xludf.DUMMYFUNCTION("VLOOKUP(F6661, IMPORTRANGE(""https://docs.google.com/spreadsheets/d/1Lhp9OU0JdFf_VYSMzH5lBcEaU4o8teT1piV-SNzShjg/edit?gid=554141278#gid=554141278"", ""'Char Def. - Attributes'!C20:C2242""), 1,false)"),"PACK_NETTO")</f>
        <v>PACK_NETTO</v>
      </c>
      <c r="I6661" s="136"/>
    </row>
    <row r="6662" ht="15.75" customHeight="1">
      <c r="B6662" s="63">
        <f t="shared" si="1"/>
        <v>17</v>
      </c>
      <c r="C6662" s="160" t="s">
        <v>195</v>
      </c>
      <c r="D6662" s="161" t="s">
        <v>74</v>
      </c>
      <c r="E6662" s="135">
        <f t="shared" si="59"/>
        <v>6</v>
      </c>
      <c r="F6662" s="134" t="s">
        <v>4038</v>
      </c>
      <c r="G6662" s="63" t="str">
        <f>VLOOKUP(C6662, 'Class Def. - General Data'!$C$20:$C$1000,1,false)</f>
        <v>ZSF1_PACK_GARNISH</v>
      </c>
      <c r="H6662" s="63" t="str">
        <f>IFERROR(__xludf.DUMMYFUNCTION("VLOOKUP(F6662, IMPORTRANGE(""https://docs.google.com/spreadsheets/d/1Lhp9OU0JdFf_VYSMzH5lBcEaU4o8teT1piV-SNzShjg/edit?gid=554141278#gid=554141278"", ""'Char Def. - Attributes'!C20:C2242""), 1,false)"),"SFG_SPEC")</f>
        <v>SFG_SPEC</v>
      </c>
      <c r="I6662" s="136"/>
    </row>
    <row r="6663" ht="15.75" customHeight="1">
      <c r="B6663" s="63">
        <f t="shared" si="1"/>
        <v>17</v>
      </c>
      <c r="C6663" s="135" t="s">
        <v>195</v>
      </c>
      <c r="D6663" s="134" t="s">
        <v>74</v>
      </c>
      <c r="E6663" s="135">
        <f t="shared" si="59"/>
        <v>7</v>
      </c>
      <c r="F6663" s="134" t="s">
        <v>3611</v>
      </c>
      <c r="G6663" s="63" t="str">
        <f>VLOOKUP(C6663, 'Class Def. - General Data'!$C$20:$C$1000,1,false)</f>
        <v>ZSF1_PACK_GARNISH</v>
      </c>
      <c r="H6663" s="63" t="str">
        <f>IFERROR(__xludf.DUMMYFUNCTION("VLOOKUP(F6663, IMPORTRANGE(""https://docs.google.com/spreadsheets/d/1Lhp9OU0JdFf_VYSMzH5lBcEaU4o8teT1piV-SNzShjg/edit?gid=554141278#gid=554141278"", ""'Char Def. - Attributes'!C20:C2242""), 1,false)"),"LOKAL_EKSPOR")</f>
        <v>LOKAL_EKSPOR</v>
      </c>
      <c r="I6663" s="136"/>
    </row>
    <row r="6664" ht="15.75" customHeight="1">
      <c r="B6664" s="63">
        <f t="shared" si="1"/>
        <v>17</v>
      </c>
      <c r="C6664" s="135" t="s">
        <v>195</v>
      </c>
      <c r="D6664" s="134" t="s">
        <v>74</v>
      </c>
      <c r="E6664" s="135">
        <f t="shared" si="59"/>
        <v>8</v>
      </c>
      <c r="F6664" s="134" t="s">
        <v>3612</v>
      </c>
      <c r="G6664" s="63" t="str">
        <f>VLOOKUP(C6664, 'Class Def. - General Data'!$C$20:$C$1000,1,false)</f>
        <v>ZSF1_PACK_GARNISH</v>
      </c>
      <c r="H6664" s="63" t="str">
        <f>IFERROR(__xludf.DUMMYFUNCTION("VLOOKUP(F6664, IMPORTRANGE(""https://docs.google.com/spreadsheets/d/1Lhp9OU0JdFf_VYSMzH5lBcEaU4o8teT1piV-SNzShjg/edit?gid=554141278#gid=554141278"", ""'Char Def. - Attributes'!C20:C2242""), 1,false)"),"COUNTRY_EKSPOR")</f>
        <v>COUNTRY_EKSPOR</v>
      </c>
      <c r="I6664" s="136"/>
    </row>
    <row r="6665" ht="15.75" customHeight="1">
      <c r="B6665" s="63">
        <f t="shared" si="1"/>
        <v>17</v>
      </c>
      <c r="C6665" s="135" t="s">
        <v>195</v>
      </c>
      <c r="D6665" s="134" t="s">
        <v>74</v>
      </c>
      <c r="E6665" s="135">
        <f t="shared" si="59"/>
        <v>9</v>
      </c>
      <c r="F6665" s="134" t="s">
        <v>4041</v>
      </c>
      <c r="G6665" s="63" t="str">
        <f>VLOOKUP(C6665, 'Class Def. - General Data'!$C$20:$C$1000,1,false)</f>
        <v>ZSF1_PACK_GARNISH</v>
      </c>
      <c r="H6665" s="63" t="str">
        <f>IFERROR(__xludf.DUMMYFUNCTION("VLOOKUP(F6665, IMPORTRANGE(""https://docs.google.com/spreadsheets/d/1Lhp9OU0JdFf_VYSMzH5lBcEaU4o8teT1piV-SNzShjg/edit?gid=554141278#gid=554141278"", ""'Char Def. - Attributes'!C20:C2242""), 1,false)"),"SFG_GRADE")</f>
        <v>SFG_GRADE</v>
      </c>
      <c r="I6665" s="136"/>
    </row>
    <row r="6666" ht="15.75" customHeight="1">
      <c r="B6666" s="63">
        <f t="shared" si="1"/>
        <v>17</v>
      </c>
      <c r="C6666" s="160" t="s">
        <v>195</v>
      </c>
      <c r="D6666" s="161" t="s">
        <v>74</v>
      </c>
      <c r="E6666" s="135">
        <f t="shared" si="59"/>
        <v>10</v>
      </c>
      <c r="F6666" s="134" t="s">
        <v>3881</v>
      </c>
      <c r="G6666" s="63" t="str">
        <f>VLOOKUP(C6666, 'Class Def. - General Data'!$C$20:$C$1000,1,false)</f>
        <v>ZSF1_PACK_GARNISH</v>
      </c>
      <c r="H6666" s="63" t="str">
        <f>IFERROR(__xludf.DUMMYFUNCTION("VLOOKUP(F6666, IMPORTRANGE(""https://docs.google.com/spreadsheets/d/1Lhp9OU0JdFf_VYSMzH5lBcEaU4o8teT1piV-SNzShjg/edit?gid=554141278#gid=554141278"", ""'Char Def. - Attributes'!C20:C2242""), 1,false)"),"BS_BERSIH")</f>
        <v>BS_BERSIH</v>
      </c>
      <c r="I6666" s="136"/>
    </row>
    <row r="6667" ht="15.75" customHeight="1">
      <c r="B6667" s="63">
        <f t="shared" si="1"/>
        <v>17</v>
      </c>
      <c r="C6667" s="160" t="s">
        <v>195</v>
      </c>
      <c r="D6667" s="161" t="s">
        <v>74</v>
      </c>
      <c r="E6667" s="135">
        <f t="shared" si="59"/>
        <v>11</v>
      </c>
      <c r="F6667" s="134" t="s">
        <v>3882</v>
      </c>
      <c r="G6667" s="63" t="str">
        <f>VLOOKUP(C6667, 'Class Def. - General Data'!$C$20:$C$1000,1,false)</f>
        <v>ZSF1_PACK_GARNISH</v>
      </c>
      <c r="H6667" s="63" t="str">
        <f>IFERROR(__xludf.DUMMYFUNCTION("VLOOKUP(F6667, IMPORTRANGE(""https://docs.google.com/spreadsheets/d/1Lhp9OU0JdFf_VYSMzH5lBcEaU4o8teT1piV-SNzShjg/edit?gid=554141278#gid=554141278"", ""'Char Def. - Attributes'!C20:C2242""), 1,false)"),"BS_KOTOR")</f>
        <v>BS_KOTOR</v>
      </c>
      <c r="I6667" s="136"/>
    </row>
    <row r="6668" ht="15.75" customHeight="1">
      <c r="B6668" s="63">
        <f t="shared" si="1"/>
        <v>17</v>
      </c>
      <c r="C6668" s="160" t="s">
        <v>195</v>
      </c>
      <c r="D6668" s="161" t="s">
        <v>74</v>
      </c>
      <c r="E6668" s="135">
        <f t="shared" si="59"/>
        <v>12</v>
      </c>
      <c r="F6668" s="134" t="s">
        <v>3883</v>
      </c>
      <c r="G6668" s="63" t="str">
        <f>VLOOKUP(C6668, 'Class Def. - General Data'!$C$20:$C$1000,1,false)</f>
        <v>ZSF1_PACK_GARNISH</v>
      </c>
      <c r="H6668" s="63" t="str">
        <f>IFERROR(__xludf.DUMMYFUNCTION("VLOOKUP(F6668, IMPORTRANGE(""https://docs.google.com/spreadsheets/d/1Lhp9OU0JdFf_VYSMzH5lBcEaU4o8teT1piV-SNzShjg/edit?gid=554141278#gid=554141278"", ""'Char Def. - Attributes'!C20:C2242""), 1,false)"),"BS_SCRAP")</f>
        <v>BS_SCRAP</v>
      </c>
      <c r="I6668" s="136"/>
    </row>
    <row r="6669" ht="15.75" customHeight="1">
      <c r="B6669" s="63">
        <f t="shared" si="1"/>
        <v>17</v>
      </c>
      <c r="C6669" s="135" t="s">
        <v>195</v>
      </c>
      <c r="D6669" s="134" t="s">
        <v>74</v>
      </c>
      <c r="E6669" s="135">
        <f t="shared" si="59"/>
        <v>13</v>
      </c>
      <c r="F6669" s="134" t="s">
        <v>3582</v>
      </c>
      <c r="G6669" s="63" t="str">
        <f>VLOOKUP(C6669, 'Class Def. - General Data'!$C$20:$C$1000,1,false)</f>
        <v>ZSF1_PACK_GARNISH</v>
      </c>
      <c r="H6669" s="63" t="str">
        <f>IFERROR(__xludf.DUMMYFUNCTION("VLOOKUP(F6669, IMPORTRANGE(""https://docs.google.com/spreadsheets/d/1Lhp9OU0JdFf_VYSMzH5lBcEaU4o8teT1piV-SNzShjg/edit?gid=554141278#gid=554141278"", ""'Char Def. - Attributes'!C20:C2242""), 1,false)"),"BASE_UNIT")</f>
        <v>BASE_UNIT</v>
      </c>
      <c r="I6669" s="136"/>
    </row>
    <row r="6670" ht="15.75" customHeight="1">
      <c r="B6670" s="63">
        <f t="shared" si="1"/>
        <v>17</v>
      </c>
      <c r="C6670" s="135" t="s">
        <v>195</v>
      </c>
      <c r="D6670" s="134" t="s">
        <v>74</v>
      </c>
      <c r="E6670" s="135">
        <f t="shared" si="59"/>
        <v>14</v>
      </c>
      <c r="F6670" s="134" t="s">
        <v>3595</v>
      </c>
      <c r="G6670" s="63" t="str">
        <f>VLOOKUP(C6670, 'Class Def. - General Data'!$C$20:$C$1000,1,false)</f>
        <v>ZSF1_PACK_GARNISH</v>
      </c>
      <c r="H6670" s="63" t="str">
        <f>IFERROR(__xludf.DUMMYFUNCTION("VLOOKUP(F6670, IMPORTRANGE(""https://docs.google.com/spreadsheets/d/1Lhp9OU0JdFf_VYSMzH5lBcEaU4o8teT1piV-SNzShjg/edit?gid=554141278#gid=554141278"", ""'Char Def. - Attributes'!C20:C2242""), 1,false)"),"UOM1")</f>
        <v>UOM1</v>
      </c>
      <c r="I6670" s="136"/>
    </row>
    <row r="6671" ht="15.75" customHeight="1">
      <c r="B6671" s="63">
        <f t="shared" si="1"/>
        <v>17</v>
      </c>
      <c r="C6671" s="135" t="s">
        <v>195</v>
      </c>
      <c r="D6671" s="134" t="s">
        <v>74</v>
      </c>
      <c r="E6671" s="135">
        <f t="shared" si="59"/>
        <v>15</v>
      </c>
      <c r="F6671" s="134" t="s">
        <v>3596</v>
      </c>
      <c r="G6671" s="63" t="str">
        <f>VLOOKUP(C6671, 'Class Def. - General Data'!$C$20:$C$1000,1,false)</f>
        <v>ZSF1_PACK_GARNISH</v>
      </c>
      <c r="H6671" s="63" t="str">
        <f>IFERROR(__xludf.DUMMYFUNCTION("VLOOKUP(F6671, IMPORTRANGE(""https://docs.google.com/spreadsheets/d/1Lhp9OU0JdFf_VYSMzH5lBcEaU4o8teT1piV-SNzShjg/edit?gid=554141278#gid=554141278"", ""'Char Def. - Attributes'!C20:C2242""), 1,false)"),"CONV1")</f>
        <v>CONV1</v>
      </c>
      <c r="I6671" s="136"/>
    </row>
    <row r="6672" ht="15.75" customHeight="1">
      <c r="B6672" s="63">
        <f t="shared" si="1"/>
        <v>17</v>
      </c>
      <c r="C6672" s="135" t="s">
        <v>195</v>
      </c>
      <c r="D6672" s="134" t="s">
        <v>74</v>
      </c>
      <c r="E6672" s="135">
        <f t="shared" si="59"/>
        <v>16</v>
      </c>
      <c r="F6672" s="134" t="s">
        <v>3597</v>
      </c>
      <c r="G6672" s="63" t="str">
        <f>VLOOKUP(C6672, 'Class Def. - General Data'!$C$20:$C$1000,1,false)</f>
        <v>ZSF1_PACK_GARNISH</v>
      </c>
      <c r="H6672" s="63" t="str">
        <f>IFERROR(__xludf.DUMMYFUNCTION("VLOOKUP(F6672, IMPORTRANGE(""https://docs.google.com/spreadsheets/d/1Lhp9OU0JdFf_VYSMzH5lBcEaU4o8teT1piV-SNzShjg/edit?gid=554141278#gid=554141278"", ""'Char Def. - Attributes'!C20:C2242""), 1,false)"),"UOM2")</f>
        <v>UOM2</v>
      </c>
      <c r="I6672" s="136"/>
    </row>
    <row r="6673" ht="15.75" customHeight="1">
      <c r="B6673" s="63">
        <f t="shared" si="1"/>
        <v>17</v>
      </c>
      <c r="C6673" s="135" t="s">
        <v>195</v>
      </c>
      <c r="D6673" s="134" t="s">
        <v>74</v>
      </c>
      <c r="E6673" s="135">
        <f t="shared" si="59"/>
        <v>17</v>
      </c>
      <c r="F6673" s="134" t="s">
        <v>3598</v>
      </c>
      <c r="G6673" s="63" t="str">
        <f>VLOOKUP(C6673, 'Class Def. - General Data'!$C$20:$C$1000,1,false)</f>
        <v>ZSF1_PACK_GARNISH</v>
      </c>
      <c r="H6673" s="63" t="str">
        <f>IFERROR(__xludf.DUMMYFUNCTION("VLOOKUP(F6673, IMPORTRANGE(""https://docs.google.com/spreadsheets/d/1Lhp9OU0JdFf_VYSMzH5lBcEaU4o8teT1piV-SNzShjg/edit?gid=554141278#gid=554141278"", ""'Char Def. - Attributes'!C20:C2242""), 1,false)"),"CONV2")</f>
        <v>CONV2</v>
      </c>
      <c r="I6673" s="136"/>
    </row>
    <row r="6674" ht="15.75" customHeight="1">
      <c r="B6674" s="63">
        <f t="shared" si="1"/>
        <v>17</v>
      </c>
      <c r="C6674" s="135" t="s">
        <v>195</v>
      </c>
      <c r="D6674" s="134" t="s">
        <v>74</v>
      </c>
      <c r="E6674" s="135">
        <f t="shared" si="59"/>
        <v>18</v>
      </c>
      <c r="F6674" s="134" t="s">
        <v>3599</v>
      </c>
      <c r="G6674" s="63" t="str">
        <f>VLOOKUP(C6674, 'Class Def. - General Data'!$C$20:$C$1000,1,false)</f>
        <v>ZSF1_PACK_GARNISH</v>
      </c>
      <c r="H6674" s="63" t="str">
        <f>IFERROR(__xludf.DUMMYFUNCTION("VLOOKUP(F6674, IMPORTRANGE(""https://docs.google.com/spreadsheets/d/1Lhp9OU0JdFf_VYSMzH5lBcEaU4o8teT1piV-SNzShjg/edit?gid=554141278#gid=554141278"", ""'Char Def. - Attributes'!C20:C2242""), 1,false)"),"UOM3")</f>
        <v>UOM3</v>
      </c>
      <c r="I6674" s="136"/>
    </row>
    <row r="6675" ht="15.75" customHeight="1">
      <c r="B6675" s="63">
        <f t="shared" si="1"/>
        <v>17</v>
      </c>
      <c r="C6675" s="135" t="s">
        <v>195</v>
      </c>
      <c r="D6675" s="134" t="s">
        <v>74</v>
      </c>
      <c r="E6675" s="135">
        <f t="shared" si="59"/>
        <v>19</v>
      </c>
      <c r="F6675" s="134" t="s">
        <v>3600</v>
      </c>
      <c r="G6675" s="63" t="str">
        <f>VLOOKUP(C6675, 'Class Def. - General Data'!$C$20:$C$1000,1,false)</f>
        <v>ZSF1_PACK_GARNISH</v>
      </c>
      <c r="H6675" s="63" t="str">
        <f>IFERROR(__xludf.DUMMYFUNCTION("VLOOKUP(F6675, IMPORTRANGE(""https://docs.google.com/spreadsheets/d/1Lhp9OU0JdFf_VYSMzH5lBcEaU4o8teT1piV-SNzShjg/edit?gid=554141278#gid=554141278"", ""'Char Def. - Attributes'!C20:C2242""), 1,false)"),"CONV3")</f>
        <v>CONV3</v>
      </c>
      <c r="I6675" s="136"/>
    </row>
    <row r="6676" ht="15.75" customHeight="1">
      <c r="B6676" s="63">
        <f t="shared" si="1"/>
        <v>17</v>
      </c>
      <c r="C6676" s="135" t="s">
        <v>195</v>
      </c>
      <c r="D6676" s="134" t="s">
        <v>74</v>
      </c>
      <c r="E6676" s="135">
        <f t="shared" si="59"/>
        <v>20</v>
      </c>
      <c r="F6676" s="134" t="s">
        <v>3601</v>
      </c>
      <c r="G6676" s="63" t="str">
        <f>VLOOKUP(C6676, 'Class Def. - General Data'!$C$20:$C$1000,1,false)</f>
        <v>ZSF1_PACK_GARNISH</v>
      </c>
      <c r="H6676" s="63" t="str">
        <f>IFERROR(__xludf.DUMMYFUNCTION("VLOOKUP(F6676, IMPORTRANGE(""https://docs.google.com/spreadsheets/d/1Lhp9OU0JdFf_VYSMzH5lBcEaU4o8teT1piV-SNzShjg/edit?gid=554141278#gid=554141278"", ""'Char Def. - Attributes'!C20:C2242""), 1,false)"),"GROSS_WEIGHT")</f>
        <v>GROSS_WEIGHT</v>
      </c>
      <c r="I6676" s="136"/>
    </row>
    <row r="6677" ht="15.75" customHeight="1">
      <c r="B6677" s="63">
        <f t="shared" si="1"/>
        <v>17</v>
      </c>
      <c r="C6677" s="135" t="s">
        <v>195</v>
      </c>
      <c r="D6677" s="134" t="s">
        <v>74</v>
      </c>
      <c r="E6677" s="135">
        <f t="shared" si="59"/>
        <v>21</v>
      </c>
      <c r="F6677" s="134" t="s">
        <v>3602</v>
      </c>
      <c r="G6677" s="63" t="str">
        <f>VLOOKUP(C6677, 'Class Def. - General Data'!$C$20:$C$1000,1,false)</f>
        <v>ZSF1_PACK_GARNISH</v>
      </c>
      <c r="H6677" s="63" t="str">
        <f>IFERROR(__xludf.DUMMYFUNCTION("VLOOKUP(F6677, IMPORTRANGE(""https://docs.google.com/spreadsheets/d/1Lhp9OU0JdFf_VYSMzH5lBcEaU4o8teT1piV-SNzShjg/edit?gid=554141278#gid=554141278"", ""'Char Def. - Attributes'!C20:C2242""), 1,false)"),"NET_WEIGHT")</f>
        <v>NET_WEIGHT</v>
      </c>
      <c r="I6677" s="136"/>
    </row>
    <row r="6678" ht="15.75" customHeight="1">
      <c r="B6678" s="63">
        <f t="shared" si="1"/>
        <v>17</v>
      </c>
      <c r="C6678" s="135" t="s">
        <v>195</v>
      </c>
      <c r="D6678" s="134" t="s">
        <v>74</v>
      </c>
      <c r="E6678" s="135">
        <f t="shared" si="59"/>
        <v>22</v>
      </c>
      <c r="F6678" s="134" t="s">
        <v>3603</v>
      </c>
      <c r="G6678" s="63" t="str">
        <f>VLOOKUP(C6678, 'Class Def. - General Data'!$C$20:$C$1000,1,false)</f>
        <v>ZSF1_PACK_GARNISH</v>
      </c>
      <c r="H6678" s="63" t="str">
        <f>IFERROR(__xludf.DUMMYFUNCTION("VLOOKUP(F6678, IMPORTRANGE(""https://docs.google.com/spreadsheets/d/1Lhp9OU0JdFf_VYSMzH5lBcEaU4o8teT1piV-SNzShjg/edit?gid=554141278#gid=554141278"", ""'Char Def. - Attributes'!C20:C2242""), 1,false)"),"VOLUME")</f>
        <v>VOLUME</v>
      </c>
      <c r="I6678" s="136"/>
    </row>
    <row r="6679" ht="15.75" customHeight="1">
      <c r="B6679" s="63">
        <f t="shared" si="1"/>
        <v>17</v>
      </c>
      <c r="C6679" s="135" t="s">
        <v>195</v>
      </c>
      <c r="D6679" s="134" t="s">
        <v>74</v>
      </c>
      <c r="E6679" s="135">
        <f t="shared" si="59"/>
        <v>23</v>
      </c>
      <c r="F6679" s="134" t="s">
        <v>3586</v>
      </c>
      <c r="G6679" s="63" t="str">
        <f>VLOOKUP(C6679, 'Class Def. - General Data'!$C$20:$C$1000,1,false)</f>
        <v>ZSF1_PACK_GARNISH</v>
      </c>
      <c r="H6679" s="63" t="str">
        <f>IFERROR(__xludf.DUMMYFUNCTION("VLOOKUP(F6679, IMPORTRANGE(""https://docs.google.com/spreadsheets/d/1Lhp9OU0JdFf_VYSMzH5lBcEaU4o8teT1piV-SNzShjg/edit?gid=554141278#gid=554141278"", ""'Char Def. - Attributes'!C20:C2242""), 1,false)"),"PLANT_PROD")</f>
        <v>PLANT_PROD</v>
      </c>
      <c r="I6679" s="136"/>
    </row>
    <row r="6680" ht="15.75" customHeight="1">
      <c r="B6680" s="63">
        <f t="shared" si="1"/>
        <v>17</v>
      </c>
      <c r="C6680" s="135" t="s">
        <v>195</v>
      </c>
      <c r="D6680" s="134" t="s">
        <v>74</v>
      </c>
      <c r="E6680" s="135">
        <f t="shared" si="59"/>
        <v>24</v>
      </c>
      <c r="F6680" s="134" t="s">
        <v>3587</v>
      </c>
      <c r="G6680" s="63" t="str">
        <f>VLOOKUP(C6680, 'Class Def. - General Data'!$C$20:$C$1000,1,false)</f>
        <v>ZSF1_PACK_GARNISH</v>
      </c>
      <c r="H6680" s="63" t="str">
        <f>IFERROR(__xludf.DUMMYFUNCTION("VLOOKUP(F6680, IMPORTRANGE(""https://docs.google.com/spreadsheets/d/1Lhp9OU0JdFf_VYSMzH5lBcEaU4o8teT1piV-SNzShjg/edit?gid=554141278#gid=554141278"", ""'Char Def. - Attributes'!C20:C2242""), 1,false)"),"PLANT_BUY")</f>
        <v>PLANT_BUY</v>
      </c>
      <c r="I6680" s="136"/>
    </row>
    <row r="6681" ht="15.75" customHeight="1">
      <c r="B6681" s="63">
        <f t="shared" si="1"/>
        <v>17</v>
      </c>
      <c r="C6681" s="135" t="s">
        <v>195</v>
      </c>
      <c r="D6681" s="134" t="s">
        <v>74</v>
      </c>
      <c r="E6681" s="135">
        <f t="shared" si="59"/>
        <v>25</v>
      </c>
      <c r="F6681" s="134" t="s">
        <v>4040</v>
      </c>
      <c r="G6681" s="63" t="str">
        <f>VLOOKUP(C6681, 'Class Def. - General Data'!$C$20:$C$1000,1,false)</f>
        <v>ZSF1_PACK_GARNISH</v>
      </c>
      <c r="H6681" s="63" t="str">
        <f>IFERROR(__xludf.DUMMYFUNCTION("VLOOKUP(F6681, IMPORTRANGE(""https://docs.google.com/spreadsheets/d/1Lhp9OU0JdFf_VYSMzH5lBcEaU4o8teT1piV-SNzShjg/edit?gid=554141278#gid=554141278"", ""'Char Def. - Attributes'!C20:C2242""), 1,false)"),"OLD_MAT_SFG")</f>
        <v>OLD_MAT_SFG</v>
      </c>
      <c r="I6681" s="136"/>
    </row>
    <row r="6682" ht="15.75" customHeight="1">
      <c r="B6682" s="63">
        <f t="shared" si="1"/>
        <v>13</v>
      </c>
      <c r="C6682" s="135" t="s">
        <v>196</v>
      </c>
      <c r="D6682" s="134" t="s">
        <v>74</v>
      </c>
      <c r="E6682" s="135">
        <f t="shared" si="59"/>
        <v>1</v>
      </c>
      <c r="F6682" s="134" t="s">
        <v>3853</v>
      </c>
      <c r="G6682" s="63" t="str">
        <f>VLOOKUP(C6682, 'Class Def. - General Data'!$C$20:$C$1000,1,false)</f>
        <v>ZSF1_PACK_OIL</v>
      </c>
      <c r="H6682" s="63" t="str">
        <f>IFERROR(__xludf.DUMMYFUNCTION("VLOOKUP(F6682, IMPORTRANGE(""https://docs.google.com/spreadsheets/d/1Lhp9OU0JdFf_VYSMzH5lBcEaU4o8teT1piV-SNzShjg/edit?gid=554141278#gid=554141278"", ""'Char Def. - Attributes'!C20:C2242""), 1,false)"),"BRAND_WINGS")</f>
        <v>BRAND_WINGS</v>
      </c>
      <c r="I6682" s="136"/>
    </row>
    <row r="6683" ht="15.75" customHeight="1">
      <c r="B6683" s="63">
        <f t="shared" si="1"/>
        <v>13</v>
      </c>
      <c r="C6683" s="135" t="s">
        <v>196</v>
      </c>
      <c r="D6683" s="134" t="s">
        <v>74</v>
      </c>
      <c r="E6683" s="135">
        <f t="shared" si="59"/>
        <v>2</v>
      </c>
      <c r="F6683" s="134" t="s">
        <v>3607</v>
      </c>
      <c r="G6683" s="63" t="str">
        <f>VLOOKUP(C6683, 'Class Def. - General Data'!$C$20:$C$1000,1,false)</f>
        <v>ZSF1_PACK_OIL</v>
      </c>
      <c r="H6683" s="63" t="str">
        <f>IFERROR(__xludf.DUMMYFUNCTION("VLOOKUP(F6683, IMPORTRANGE(""https://docs.google.com/spreadsheets/d/1Lhp9OU0JdFf_VYSMzH5lBcEaU4o8teT1piV-SNzShjg/edit?gid=554141278#gid=554141278"", ""'Char Def. - Attributes'!C20:C2242""), 1,false)"),"VARIAN")</f>
        <v>VARIAN</v>
      </c>
      <c r="I6683" s="136"/>
    </row>
    <row r="6684" ht="15.75" customHeight="1">
      <c r="B6684" s="63">
        <f t="shared" si="1"/>
        <v>13</v>
      </c>
      <c r="C6684" s="135" t="s">
        <v>196</v>
      </c>
      <c r="D6684" s="134" t="s">
        <v>74</v>
      </c>
      <c r="E6684" s="135">
        <f t="shared" si="59"/>
        <v>3</v>
      </c>
      <c r="F6684" s="134" t="s">
        <v>4036</v>
      </c>
      <c r="G6684" s="63" t="str">
        <f>VLOOKUP(C6684, 'Class Def. - General Data'!$C$20:$C$1000,1,false)</f>
        <v>ZSF1_PACK_OIL</v>
      </c>
      <c r="H6684" s="63" t="str">
        <f>IFERROR(__xludf.DUMMYFUNCTION("VLOOKUP(F6684, IMPORTRANGE(""https://docs.google.com/spreadsheets/d/1Lhp9OU0JdFf_VYSMzH5lBcEaU4o8teT1piV-SNzShjg/edit?gid=554141278#gid=554141278"", ""'Char Def. - Attributes'!C20:C2242""), 1,false)"),"NAMA_BAHAN")</f>
        <v>NAMA_BAHAN</v>
      </c>
      <c r="I6684" s="136"/>
    </row>
    <row r="6685" ht="15.75" customHeight="1">
      <c r="B6685" s="63">
        <f t="shared" si="1"/>
        <v>13</v>
      </c>
      <c r="C6685" s="160" t="s">
        <v>196</v>
      </c>
      <c r="D6685" s="161" t="s">
        <v>74</v>
      </c>
      <c r="E6685" s="135">
        <f t="shared" si="59"/>
        <v>4</v>
      </c>
      <c r="F6685" s="134" t="s">
        <v>4037</v>
      </c>
      <c r="G6685" s="63" t="str">
        <f>VLOOKUP(C6685, 'Class Def. - General Data'!$C$20:$C$1000,1,false)</f>
        <v>ZSF1_PACK_OIL</v>
      </c>
      <c r="H6685" s="63" t="str">
        <f>IFERROR(__xludf.DUMMYFUNCTION("VLOOKUP(F6685, IMPORTRANGE(""https://docs.google.com/spreadsheets/d/1Lhp9OU0JdFf_VYSMzH5lBcEaU4o8teT1piV-SNzShjg/edit?gid=554141278#gid=554141278"", ""'Char Def. - Attributes'!C20:C2242""), 1,false)"),"VARIAN_BAHAN")</f>
        <v>VARIAN_BAHAN</v>
      </c>
      <c r="I6685" s="136"/>
    </row>
    <row r="6686" ht="15.75" customHeight="1">
      <c r="B6686" s="63">
        <f t="shared" si="1"/>
        <v>13</v>
      </c>
      <c r="C6686" s="160" t="s">
        <v>196</v>
      </c>
      <c r="D6686" s="161" t="s">
        <v>74</v>
      </c>
      <c r="E6686" s="135">
        <f t="shared" si="59"/>
        <v>5</v>
      </c>
      <c r="F6686" s="134" t="s">
        <v>3605</v>
      </c>
      <c r="G6686" s="63" t="str">
        <f>VLOOKUP(C6686, 'Class Def. - General Data'!$C$20:$C$1000,1,false)</f>
        <v>ZSF1_PACK_OIL</v>
      </c>
      <c r="H6686" s="63" t="str">
        <f>IFERROR(__xludf.DUMMYFUNCTION("VLOOKUP(F6686, IMPORTRANGE(""https://docs.google.com/spreadsheets/d/1Lhp9OU0JdFf_VYSMzH5lBcEaU4o8teT1piV-SNzShjg/edit?gid=554141278#gid=554141278"", ""'Char Def. - Attributes'!C20:C2242""), 1,false)"),"PACK_NETTO")</f>
        <v>PACK_NETTO</v>
      </c>
      <c r="I6686" s="136"/>
    </row>
    <row r="6687" ht="15.75" customHeight="1">
      <c r="B6687" s="63">
        <f t="shared" si="1"/>
        <v>13</v>
      </c>
      <c r="C6687" s="160" t="s">
        <v>196</v>
      </c>
      <c r="D6687" s="161" t="s">
        <v>74</v>
      </c>
      <c r="E6687" s="135">
        <f t="shared" si="59"/>
        <v>6</v>
      </c>
      <c r="F6687" s="134" t="s">
        <v>4038</v>
      </c>
      <c r="G6687" s="63" t="str">
        <f>VLOOKUP(C6687, 'Class Def. - General Data'!$C$20:$C$1000,1,false)</f>
        <v>ZSF1_PACK_OIL</v>
      </c>
      <c r="H6687" s="63" t="str">
        <f>IFERROR(__xludf.DUMMYFUNCTION("VLOOKUP(F6687, IMPORTRANGE(""https://docs.google.com/spreadsheets/d/1Lhp9OU0JdFf_VYSMzH5lBcEaU4o8teT1piV-SNzShjg/edit?gid=554141278#gid=554141278"", ""'Char Def. - Attributes'!C20:C2242""), 1,false)"),"SFG_SPEC")</f>
        <v>SFG_SPEC</v>
      </c>
      <c r="I6687" s="136"/>
    </row>
    <row r="6688" ht="15.75" customHeight="1">
      <c r="B6688" s="63">
        <f t="shared" si="1"/>
        <v>13</v>
      </c>
      <c r="C6688" s="135" t="s">
        <v>196</v>
      </c>
      <c r="D6688" s="134" t="s">
        <v>74</v>
      </c>
      <c r="E6688" s="135">
        <f t="shared" si="59"/>
        <v>7</v>
      </c>
      <c r="F6688" s="134" t="s">
        <v>3611</v>
      </c>
      <c r="G6688" s="63" t="str">
        <f>VLOOKUP(C6688, 'Class Def. - General Data'!$C$20:$C$1000,1,false)</f>
        <v>ZSF1_PACK_OIL</v>
      </c>
      <c r="H6688" s="63" t="str">
        <f>IFERROR(__xludf.DUMMYFUNCTION("VLOOKUP(F6688, IMPORTRANGE(""https://docs.google.com/spreadsheets/d/1Lhp9OU0JdFf_VYSMzH5lBcEaU4o8teT1piV-SNzShjg/edit?gid=554141278#gid=554141278"", ""'Char Def. - Attributes'!C20:C2242""), 1,false)"),"LOKAL_EKSPOR")</f>
        <v>LOKAL_EKSPOR</v>
      </c>
      <c r="I6688" s="136"/>
    </row>
    <row r="6689" ht="15.75" customHeight="1">
      <c r="B6689" s="63">
        <f t="shared" si="1"/>
        <v>13</v>
      </c>
      <c r="C6689" s="135" t="s">
        <v>196</v>
      </c>
      <c r="D6689" s="134" t="s">
        <v>74</v>
      </c>
      <c r="E6689" s="135">
        <f t="shared" si="59"/>
        <v>8</v>
      </c>
      <c r="F6689" s="134" t="s">
        <v>3612</v>
      </c>
      <c r="G6689" s="63" t="str">
        <f>VLOOKUP(C6689, 'Class Def. - General Data'!$C$20:$C$1000,1,false)</f>
        <v>ZSF1_PACK_OIL</v>
      </c>
      <c r="H6689" s="63" t="str">
        <f>IFERROR(__xludf.DUMMYFUNCTION("VLOOKUP(F6689, IMPORTRANGE(""https://docs.google.com/spreadsheets/d/1Lhp9OU0JdFf_VYSMzH5lBcEaU4o8teT1piV-SNzShjg/edit?gid=554141278#gid=554141278"", ""'Char Def. - Attributes'!C20:C2242""), 1,false)"),"COUNTRY_EKSPOR")</f>
        <v>COUNTRY_EKSPOR</v>
      </c>
      <c r="I6689" s="136"/>
    </row>
    <row r="6690" ht="15.75" customHeight="1">
      <c r="B6690" s="63">
        <f t="shared" si="1"/>
        <v>13</v>
      </c>
      <c r="C6690" s="135" t="s">
        <v>196</v>
      </c>
      <c r="D6690" s="134" t="s">
        <v>74</v>
      </c>
      <c r="E6690" s="135">
        <f t="shared" si="59"/>
        <v>9</v>
      </c>
      <c r="F6690" s="134" t="s">
        <v>4041</v>
      </c>
      <c r="G6690" s="63" t="str">
        <f>VLOOKUP(C6690, 'Class Def. - General Data'!$C$20:$C$1000,1,false)</f>
        <v>ZSF1_PACK_OIL</v>
      </c>
      <c r="H6690" s="63" t="str">
        <f>IFERROR(__xludf.DUMMYFUNCTION("VLOOKUP(F6690, IMPORTRANGE(""https://docs.google.com/spreadsheets/d/1Lhp9OU0JdFf_VYSMzH5lBcEaU4o8teT1piV-SNzShjg/edit?gid=554141278#gid=554141278"", ""'Char Def. - Attributes'!C20:C2242""), 1,false)"),"SFG_GRADE")</f>
        <v>SFG_GRADE</v>
      </c>
      <c r="I6690" s="136"/>
    </row>
    <row r="6691" ht="15.75" customHeight="1">
      <c r="B6691" s="63">
        <f t="shared" si="1"/>
        <v>13</v>
      </c>
      <c r="C6691" s="160" t="s">
        <v>196</v>
      </c>
      <c r="D6691" s="161" t="s">
        <v>74</v>
      </c>
      <c r="E6691" s="135">
        <f t="shared" si="59"/>
        <v>10</v>
      </c>
      <c r="F6691" s="134" t="s">
        <v>3881</v>
      </c>
      <c r="G6691" s="63" t="str">
        <f>VLOOKUP(C6691, 'Class Def. - General Data'!$C$20:$C$1000,1,false)</f>
        <v>ZSF1_PACK_OIL</v>
      </c>
      <c r="H6691" s="63" t="str">
        <f>IFERROR(__xludf.DUMMYFUNCTION("VLOOKUP(F6691, IMPORTRANGE(""https://docs.google.com/spreadsheets/d/1Lhp9OU0JdFf_VYSMzH5lBcEaU4o8teT1piV-SNzShjg/edit?gid=554141278#gid=554141278"", ""'Char Def. - Attributes'!C20:C2242""), 1,false)"),"BS_BERSIH")</f>
        <v>BS_BERSIH</v>
      </c>
      <c r="I6691" s="136"/>
    </row>
    <row r="6692" ht="15.75" customHeight="1">
      <c r="B6692" s="63">
        <f t="shared" si="1"/>
        <v>13</v>
      </c>
      <c r="C6692" s="160" t="s">
        <v>196</v>
      </c>
      <c r="D6692" s="161" t="s">
        <v>74</v>
      </c>
      <c r="E6692" s="135">
        <f t="shared" si="59"/>
        <v>11</v>
      </c>
      <c r="F6692" s="134" t="s">
        <v>3882</v>
      </c>
      <c r="G6692" s="63" t="str">
        <f>VLOOKUP(C6692, 'Class Def. - General Data'!$C$20:$C$1000,1,false)</f>
        <v>ZSF1_PACK_OIL</v>
      </c>
      <c r="H6692" s="63" t="str">
        <f>IFERROR(__xludf.DUMMYFUNCTION("VLOOKUP(F6692, IMPORTRANGE(""https://docs.google.com/spreadsheets/d/1Lhp9OU0JdFf_VYSMzH5lBcEaU4o8teT1piV-SNzShjg/edit?gid=554141278#gid=554141278"", ""'Char Def. - Attributes'!C20:C2242""), 1,false)"),"BS_KOTOR")</f>
        <v>BS_KOTOR</v>
      </c>
      <c r="I6692" s="136"/>
    </row>
    <row r="6693" ht="15.75" customHeight="1">
      <c r="B6693" s="63">
        <f t="shared" si="1"/>
        <v>13</v>
      </c>
      <c r="C6693" s="160" t="s">
        <v>196</v>
      </c>
      <c r="D6693" s="161" t="s">
        <v>74</v>
      </c>
      <c r="E6693" s="135">
        <f t="shared" si="59"/>
        <v>12</v>
      </c>
      <c r="F6693" s="134" t="s">
        <v>3883</v>
      </c>
      <c r="G6693" s="63" t="str">
        <f>VLOOKUP(C6693, 'Class Def. - General Data'!$C$20:$C$1000,1,false)</f>
        <v>ZSF1_PACK_OIL</v>
      </c>
      <c r="H6693" s="63" t="str">
        <f>IFERROR(__xludf.DUMMYFUNCTION("VLOOKUP(F6693, IMPORTRANGE(""https://docs.google.com/spreadsheets/d/1Lhp9OU0JdFf_VYSMzH5lBcEaU4o8teT1piV-SNzShjg/edit?gid=554141278#gid=554141278"", ""'Char Def. - Attributes'!C20:C2242""), 1,false)"),"BS_SCRAP")</f>
        <v>BS_SCRAP</v>
      </c>
      <c r="I6693" s="136"/>
    </row>
    <row r="6694" ht="15.75" customHeight="1">
      <c r="B6694" s="63">
        <f t="shared" si="1"/>
        <v>13</v>
      </c>
      <c r="C6694" s="135" t="s">
        <v>196</v>
      </c>
      <c r="D6694" s="134" t="s">
        <v>74</v>
      </c>
      <c r="E6694" s="135">
        <f t="shared" si="59"/>
        <v>13</v>
      </c>
      <c r="F6694" s="134" t="s">
        <v>3582</v>
      </c>
      <c r="G6694" s="63" t="str">
        <f>VLOOKUP(C6694, 'Class Def. - General Data'!$C$20:$C$1000,1,false)</f>
        <v>ZSF1_PACK_OIL</v>
      </c>
      <c r="H6694" s="63" t="str">
        <f>IFERROR(__xludf.DUMMYFUNCTION("VLOOKUP(F6694, IMPORTRANGE(""https://docs.google.com/spreadsheets/d/1Lhp9OU0JdFf_VYSMzH5lBcEaU4o8teT1piV-SNzShjg/edit?gid=554141278#gid=554141278"", ""'Char Def. - Attributes'!C20:C2242""), 1,false)"),"BASE_UNIT")</f>
        <v>BASE_UNIT</v>
      </c>
      <c r="I6694" s="136"/>
    </row>
    <row r="6695" ht="15.75" customHeight="1">
      <c r="B6695" s="63">
        <f t="shared" si="1"/>
        <v>13</v>
      </c>
      <c r="C6695" s="135" t="s">
        <v>196</v>
      </c>
      <c r="D6695" s="134" t="s">
        <v>74</v>
      </c>
      <c r="E6695" s="135">
        <f t="shared" si="59"/>
        <v>14</v>
      </c>
      <c r="F6695" s="134" t="s">
        <v>3595</v>
      </c>
      <c r="G6695" s="63" t="str">
        <f>VLOOKUP(C6695, 'Class Def. - General Data'!$C$20:$C$1000,1,false)</f>
        <v>ZSF1_PACK_OIL</v>
      </c>
      <c r="H6695" s="63" t="str">
        <f>IFERROR(__xludf.DUMMYFUNCTION("VLOOKUP(F6695, IMPORTRANGE(""https://docs.google.com/spreadsheets/d/1Lhp9OU0JdFf_VYSMzH5lBcEaU4o8teT1piV-SNzShjg/edit?gid=554141278#gid=554141278"", ""'Char Def. - Attributes'!C20:C2242""), 1,false)"),"UOM1")</f>
        <v>UOM1</v>
      </c>
      <c r="I6695" s="136"/>
    </row>
    <row r="6696" ht="15.75" customHeight="1">
      <c r="B6696" s="63">
        <f t="shared" si="1"/>
        <v>13</v>
      </c>
      <c r="C6696" s="135" t="s">
        <v>196</v>
      </c>
      <c r="D6696" s="134" t="s">
        <v>74</v>
      </c>
      <c r="E6696" s="135">
        <f t="shared" si="59"/>
        <v>15</v>
      </c>
      <c r="F6696" s="134" t="s">
        <v>3596</v>
      </c>
      <c r="G6696" s="63" t="str">
        <f>VLOOKUP(C6696, 'Class Def. - General Data'!$C$20:$C$1000,1,false)</f>
        <v>ZSF1_PACK_OIL</v>
      </c>
      <c r="H6696" s="63" t="str">
        <f>IFERROR(__xludf.DUMMYFUNCTION("VLOOKUP(F6696, IMPORTRANGE(""https://docs.google.com/spreadsheets/d/1Lhp9OU0JdFf_VYSMzH5lBcEaU4o8teT1piV-SNzShjg/edit?gid=554141278#gid=554141278"", ""'Char Def. - Attributes'!C20:C2242""), 1,false)"),"CONV1")</f>
        <v>CONV1</v>
      </c>
      <c r="I6696" s="136"/>
    </row>
    <row r="6697" ht="15.75" customHeight="1">
      <c r="B6697" s="63">
        <f t="shared" si="1"/>
        <v>13</v>
      </c>
      <c r="C6697" s="135" t="s">
        <v>196</v>
      </c>
      <c r="D6697" s="134" t="s">
        <v>74</v>
      </c>
      <c r="E6697" s="135">
        <f t="shared" si="59"/>
        <v>16</v>
      </c>
      <c r="F6697" s="134" t="s">
        <v>3597</v>
      </c>
      <c r="G6697" s="63" t="str">
        <f>VLOOKUP(C6697, 'Class Def. - General Data'!$C$20:$C$1000,1,false)</f>
        <v>ZSF1_PACK_OIL</v>
      </c>
      <c r="H6697" s="63" t="str">
        <f>IFERROR(__xludf.DUMMYFUNCTION("VLOOKUP(F6697, IMPORTRANGE(""https://docs.google.com/spreadsheets/d/1Lhp9OU0JdFf_VYSMzH5lBcEaU4o8teT1piV-SNzShjg/edit?gid=554141278#gid=554141278"", ""'Char Def. - Attributes'!C20:C2242""), 1,false)"),"UOM2")</f>
        <v>UOM2</v>
      </c>
      <c r="I6697" s="136"/>
    </row>
    <row r="6698" ht="15.75" customHeight="1">
      <c r="B6698" s="63">
        <f t="shared" si="1"/>
        <v>13</v>
      </c>
      <c r="C6698" s="135" t="s">
        <v>196</v>
      </c>
      <c r="D6698" s="134" t="s">
        <v>74</v>
      </c>
      <c r="E6698" s="135">
        <f t="shared" si="59"/>
        <v>17</v>
      </c>
      <c r="F6698" s="134" t="s">
        <v>3598</v>
      </c>
      <c r="G6698" s="63" t="str">
        <f>VLOOKUP(C6698, 'Class Def. - General Data'!$C$20:$C$1000,1,false)</f>
        <v>ZSF1_PACK_OIL</v>
      </c>
      <c r="H6698" s="63" t="str">
        <f>IFERROR(__xludf.DUMMYFUNCTION("VLOOKUP(F6698, IMPORTRANGE(""https://docs.google.com/spreadsheets/d/1Lhp9OU0JdFf_VYSMzH5lBcEaU4o8teT1piV-SNzShjg/edit?gid=554141278#gid=554141278"", ""'Char Def. - Attributes'!C20:C2242""), 1,false)"),"CONV2")</f>
        <v>CONV2</v>
      </c>
      <c r="I6698" s="136"/>
    </row>
    <row r="6699" ht="15.75" customHeight="1">
      <c r="B6699" s="63">
        <f t="shared" si="1"/>
        <v>13</v>
      </c>
      <c r="C6699" s="135" t="s">
        <v>196</v>
      </c>
      <c r="D6699" s="134" t="s">
        <v>74</v>
      </c>
      <c r="E6699" s="135">
        <f t="shared" si="59"/>
        <v>18</v>
      </c>
      <c r="F6699" s="134" t="s">
        <v>3599</v>
      </c>
      <c r="G6699" s="63" t="str">
        <f>VLOOKUP(C6699, 'Class Def. - General Data'!$C$20:$C$1000,1,false)</f>
        <v>ZSF1_PACK_OIL</v>
      </c>
      <c r="H6699" s="63" t="str">
        <f>IFERROR(__xludf.DUMMYFUNCTION("VLOOKUP(F6699, IMPORTRANGE(""https://docs.google.com/spreadsheets/d/1Lhp9OU0JdFf_VYSMzH5lBcEaU4o8teT1piV-SNzShjg/edit?gid=554141278#gid=554141278"", ""'Char Def. - Attributes'!C20:C2242""), 1,false)"),"UOM3")</f>
        <v>UOM3</v>
      </c>
      <c r="I6699" s="136"/>
    </row>
    <row r="6700" ht="15.75" customHeight="1">
      <c r="B6700" s="63">
        <f t="shared" si="1"/>
        <v>13</v>
      </c>
      <c r="C6700" s="135" t="s">
        <v>196</v>
      </c>
      <c r="D6700" s="134" t="s">
        <v>74</v>
      </c>
      <c r="E6700" s="135">
        <f t="shared" si="59"/>
        <v>19</v>
      </c>
      <c r="F6700" s="134" t="s">
        <v>3600</v>
      </c>
      <c r="G6700" s="63" t="str">
        <f>VLOOKUP(C6700, 'Class Def. - General Data'!$C$20:$C$1000,1,false)</f>
        <v>ZSF1_PACK_OIL</v>
      </c>
      <c r="H6700" s="63" t="str">
        <f>IFERROR(__xludf.DUMMYFUNCTION("VLOOKUP(F6700, IMPORTRANGE(""https://docs.google.com/spreadsheets/d/1Lhp9OU0JdFf_VYSMzH5lBcEaU4o8teT1piV-SNzShjg/edit?gid=554141278#gid=554141278"", ""'Char Def. - Attributes'!C20:C2242""), 1,false)"),"CONV3")</f>
        <v>CONV3</v>
      </c>
      <c r="I6700" s="136"/>
    </row>
    <row r="6701" ht="15.75" customHeight="1">
      <c r="B6701" s="63">
        <f t="shared" si="1"/>
        <v>13</v>
      </c>
      <c r="C6701" s="135" t="s">
        <v>196</v>
      </c>
      <c r="D6701" s="134" t="s">
        <v>74</v>
      </c>
      <c r="E6701" s="135">
        <f t="shared" si="59"/>
        <v>20</v>
      </c>
      <c r="F6701" s="134" t="s">
        <v>3601</v>
      </c>
      <c r="G6701" s="63" t="str">
        <f>VLOOKUP(C6701, 'Class Def. - General Data'!$C$20:$C$1000,1,false)</f>
        <v>ZSF1_PACK_OIL</v>
      </c>
      <c r="H6701" s="63" t="str">
        <f>IFERROR(__xludf.DUMMYFUNCTION("VLOOKUP(F6701, IMPORTRANGE(""https://docs.google.com/spreadsheets/d/1Lhp9OU0JdFf_VYSMzH5lBcEaU4o8teT1piV-SNzShjg/edit?gid=554141278#gid=554141278"", ""'Char Def. - Attributes'!C20:C2242""), 1,false)"),"GROSS_WEIGHT")</f>
        <v>GROSS_WEIGHT</v>
      </c>
      <c r="I6701" s="136"/>
    </row>
    <row r="6702" ht="15.75" customHeight="1">
      <c r="B6702" s="63">
        <f t="shared" si="1"/>
        <v>13</v>
      </c>
      <c r="C6702" s="135" t="s">
        <v>196</v>
      </c>
      <c r="D6702" s="134" t="s">
        <v>74</v>
      </c>
      <c r="E6702" s="135">
        <f t="shared" si="59"/>
        <v>21</v>
      </c>
      <c r="F6702" s="134" t="s">
        <v>3602</v>
      </c>
      <c r="G6702" s="63" t="str">
        <f>VLOOKUP(C6702, 'Class Def. - General Data'!$C$20:$C$1000,1,false)</f>
        <v>ZSF1_PACK_OIL</v>
      </c>
      <c r="H6702" s="63" t="str">
        <f>IFERROR(__xludf.DUMMYFUNCTION("VLOOKUP(F6702, IMPORTRANGE(""https://docs.google.com/spreadsheets/d/1Lhp9OU0JdFf_VYSMzH5lBcEaU4o8teT1piV-SNzShjg/edit?gid=554141278#gid=554141278"", ""'Char Def. - Attributes'!C20:C2242""), 1,false)"),"NET_WEIGHT")</f>
        <v>NET_WEIGHT</v>
      </c>
      <c r="I6702" s="136"/>
    </row>
    <row r="6703" ht="15.75" customHeight="1">
      <c r="B6703" s="63">
        <f t="shared" si="1"/>
        <v>13</v>
      </c>
      <c r="C6703" s="135" t="s">
        <v>196</v>
      </c>
      <c r="D6703" s="134" t="s">
        <v>74</v>
      </c>
      <c r="E6703" s="135">
        <f t="shared" si="59"/>
        <v>22</v>
      </c>
      <c r="F6703" s="134" t="s">
        <v>3603</v>
      </c>
      <c r="G6703" s="63" t="str">
        <f>VLOOKUP(C6703, 'Class Def. - General Data'!$C$20:$C$1000,1,false)</f>
        <v>ZSF1_PACK_OIL</v>
      </c>
      <c r="H6703" s="63" t="str">
        <f>IFERROR(__xludf.DUMMYFUNCTION("VLOOKUP(F6703, IMPORTRANGE(""https://docs.google.com/spreadsheets/d/1Lhp9OU0JdFf_VYSMzH5lBcEaU4o8teT1piV-SNzShjg/edit?gid=554141278#gid=554141278"", ""'Char Def. - Attributes'!C20:C2242""), 1,false)"),"VOLUME")</f>
        <v>VOLUME</v>
      </c>
      <c r="I6703" s="136"/>
    </row>
    <row r="6704" ht="15.75" customHeight="1">
      <c r="B6704" s="63">
        <f t="shared" si="1"/>
        <v>13</v>
      </c>
      <c r="C6704" s="135" t="s">
        <v>196</v>
      </c>
      <c r="D6704" s="134" t="s">
        <v>74</v>
      </c>
      <c r="E6704" s="135">
        <f t="shared" si="59"/>
        <v>23</v>
      </c>
      <c r="F6704" s="134" t="s">
        <v>3586</v>
      </c>
      <c r="G6704" s="63" t="str">
        <f>VLOOKUP(C6704, 'Class Def. - General Data'!$C$20:$C$1000,1,false)</f>
        <v>ZSF1_PACK_OIL</v>
      </c>
      <c r="H6704" s="63" t="str">
        <f>IFERROR(__xludf.DUMMYFUNCTION("VLOOKUP(F6704, IMPORTRANGE(""https://docs.google.com/spreadsheets/d/1Lhp9OU0JdFf_VYSMzH5lBcEaU4o8teT1piV-SNzShjg/edit?gid=554141278#gid=554141278"", ""'Char Def. - Attributes'!C20:C2242""), 1,false)"),"PLANT_PROD")</f>
        <v>PLANT_PROD</v>
      </c>
      <c r="I6704" s="136"/>
    </row>
    <row r="6705" ht="15.75" customHeight="1">
      <c r="B6705" s="63">
        <f t="shared" si="1"/>
        <v>13</v>
      </c>
      <c r="C6705" s="135" t="s">
        <v>196</v>
      </c>
      <c r="D6705" s="134" t="s">
        <v>74</v>
      </c>
      <c r="E6705" s="135">
        <f t="shared" si="59"/>
        <v>24</v>
      </c>
      <c r="F6705" s="134" t="s">
        <v>3587</v>
      </c>
      <c r="G6705" s="63" t="str">
        <f>VLOOKUP(C6705, 'Class Def. - General Data'!$C$20:$C$1000,1,false)</f>
        <v>ZSF1_PACK_OIL</v>
      </c>
      <c r="H6705" s="63" t="str">
        <f>IFERROR(__xludf.DUMMYFUNCTION("VLOOKUP(F6705, IMPORTRANGE(""https://docs.google.com/spreadsheets/d/1Lhp9OU0JdFf_VYSMzH5lBcEaU4o8teT1piV-SNzShjg/edit?gid=554141278#gid=554141278"", ""'Char Def. - Attributes'!C20:C2242""), 1,false)"),"PLANT_BUY")</f>
        <v>PLANT_BUY</v>
      </c>
      <c r="I6705" s="136"/>
    </row>
    <row r="6706" ht="15.75" customHeight="1">
      <c r="B6706" s="63">
        <f t="shared" si="1"/>
        <v>13</v>
      </c>
      <c r="C6706" s="135" t="s">
        <v>196</v>
      </c>
      <c r="D6706" s="134" t="s">
        <v>74</v>
      </c>
      <c r="E6706" s="135">
        <f t="shared" si="59"/>
        <v>25</v>
      </c>
      <c r="F6706" s="134" t="s">
        <v>4040</v>
      </c>
      <c r="G6706" s="63" t="str">
        <f>VLOOKUP(C6706, 'Class Def. - General Data'!$C$20:$C$1000,1,false)</f>
        <v>ZSF1_PACK_OIL</v>
      </c>
      <c r="H6706" s="63" t="str">
        <f>IFERROR(__xludf.DUMMYFUNCTION("VLOOKUP(F6706, IMPORTRANGE(""https://docs.google.com/spreadsheets/d/1Lhp9OU0JdFf_VYSMzH5lBcEaU4o8teT1piV-SNzShjg/edit?gid=554141278#gid=554141278"", ""'Char Def. - Attributes'!C20:C2242""), 1,false)"),"OLD_MAT_SFG")</f>
        <v>OLD_MAT_SFG</v>
      </c>
      <c r="I6706" s="136"/>
    </row>
    <row r="6707" ht="15.75" customHeight="1">
      <c r="B6707" s="63">
        <f t="shared" si="1"/>
        <v>16</v>
      </c>
      <c r="C6707" s="134" t="s">
        <v>193</v>
      </c>
      <c r="D6707" s="134" t="s">
        <v>74</v>
      </c>
      <c r="E6707" s="135">
        <f t="shared" si="59"/>
        <v>1</v>
      </c>
      <c r="F6707" s="134" t="s">
        <v>3853</v>
      </c>
      <c r="G6707" s="63" t="str">
        <f>VLOOKUP(C6707, 'Class Def. - General Data'!$C$20:$C$1000,1,false)</f>
        <v>ZSF1_PACK_POWDER</v>
      </c>
      <c r="H6707" s="63" t="str">
        <f>IFERROR(__xludf.DUMMYFUNCTION("VLOOKUP(F6707, IMPORTRANGE(""https://docs.google.com/spreadsheets/d/1Lhp9OU0JdFf_VYSMzH5lBcEaU4o8teT1piV-SNzShjg/edit?gid=554141278#gid=554141278"", ""'Char Def. - Attributes'!C20:C2242""), 1,false)"),"BRAND_WINGS")</f>
        <v>BRAND_WINGS</v>
      </c>
      <c r="I6707" s="136"/>
    </row>
    <row r="6708" ht="15.75" customHeight="1">
      <c r="B6708" s="63">
        <f t="shared" si="1"/>
        <v>16</v>
      </c>
      <c r="C6708" s="134" t="s">
        <v>193</v>
      </c>
      <c r="D6708" s="134" t="s">
        <v>74</v>
      </c>
      <c r="E6708" s="135">
        <f t="shared" si="59"/>
        <v>2</v>
      </c>
      <c r="F6708" s="134" t="s">
        <v>3607</v>
      </c>
      <c r="G6708" s="63" t="str">
        <f>VLOOKUP(C6708, 'Class Def. - General Data'!$C$20:$C$1000,1,false)</f>
        <v>ZSF1_PACK_POWDER</v>
      </c>
      <c r="H6708" s="63" t="str">
        <f>IFERROR(__xludf.DUMMYFUNCTION("VLOOKUP(F6708, IMPORTRANGE(""https://docs.google.com/spreadsheets/d/1Lhp9OU0JdFf_VYSMzH5lBcEaU4o8teT1piV-SNzShjg/edit?gid=554141278#gid=554141278"", ""'Char Def. - Attributes'!C20:C2242""), 1,false)"),"VARIAN")</f>
        <v>VARIAN</v>
      </c>
      <c r="I6708" s="136"/>
    </row>
    <row r="6709" ht="15.75" customHeight="1">
      <c r="B6709" s="63">
        <f t="shared" si="1"/>
        <v>16</v>
      </c>
      <c r="C6709" s="134" t="s">
        <v>193</v>
      </c>
      <c r="D6709" s="134" t="s">
        <v>74</v>
      </c>
      <c r="E6709" s="135">
        <f t="shared" si="59"/>
        <v>3</v>
      </c>
      <c r="F6709" s="134" t="s">
        <v>4036</v>
      </c>
      <c r="G6709" s="63" t="str">
        <f>VLOOKUP(C6709, 'Class Def. - General Data'!$C$20:$C$1000,1,false)</f>
        <v>ZSF1_PACK_POWDER</v>
      </c>
      <c r="H6709" s="63" t="str">
        <f>IFERROR(__xludf.DUMMYFUNCTION("VLOOKUP(F6709, IMPORTRANGE(""https://docs.google.com/spreadsheets/d/1Lhp9OU0JdFf_VYSMzH5lBcEaU4o8teT1piV-SNzShjg/edit?gid=554141278#gid=554141278"", ""'Char Def. - Attributes'!C20:C2242""), 1,false)"),"NAMA_BAHAN")</f>
        <v>NAMA_BAHAN</v>
      </c>
      <c r="I6709" s="136"/>
    </row>
    <row r="6710" ht="15.75" customHeight="1">
      <c r="B6710" s="63">
        <f t="shared" si="1"/>
        <v>16</v>
      </c>
      <c r="C6710" s="160" t="s">
        <v>193</v>
      </c>
      <c r="D6710" s="161" t="s">
        <v>74</v>
      </c>
      <c r="E6710" s="135">
        <f t="shared" si="59"/>
        <v>4</v>
      </c>
      <c r="F6710" s="134" t="s">
        <v>4037</v>
      </c>
      <c r="G6710" s="63" t="str">
        <f>VLOOKUP(C6710, 'Class Def. - General Data'!$C$20:$C$1000,1,false)</f>
        <v>ZSF1_PACK_POWDER</v>
      </c>
      <c r="H6710" s="63" t="str">
        <f>IFERROR(__xludf.DUMMYFUNCTION("VLOOKUP(F6710, IMPORTRANGE(""https://docs.google.com/spreadsheets/d/1Lhp9OU0JdFf_VYSMzH5lBcEaU4o8teT1piV-SNzShjg/edit?gid=554141278#gid=554141278"", ""'Char Def. - Attributes'!C20:C2242""), 1,false)"),"VARIAN_BAHAN")</f>
        <v>VARIAN_BAHAN</v>
      </c>
      <c r="I6710" s="136"/>
    </row>
    <row r="6711" ht="15.75" customHeight="1">
      <c r="B6711" s="63">
        <f t="shared" si="1"/>
        <v>16</v>
      </c>
      <c r="C6711" s="160" t="s">
        <v>193</v>
      </c>
      <c r="D6711" s="161" t="s">
        <v>74</v>
      </c>
      <c r="E6711" s="135">
        <f t="shared" si="59"/>
        <v>5</v>
      </c>
      <c r="F6711" s="134" t="s">
        <v>3605</v>
      </c>
      <c r="G6711" s="63" t="str">
        <f>VLOOKUP(C6711, 'Class Def. - General Data'!$C$20:$C$1000,1,false)</f>
        <v>ZSF1_PACK_POWDER</v>
      </c>
      <c r="H6711" s="63" t="str">
        <f>IFERROR(__xludf.DUMMYFUNCTION("VLOOKUP(F6711, IMPORTRANGE(""https://docs.google.com/spreadsheets/d/1Lhp9OU0JdFf_VYSMzH5lBcEaU4o8teT1piV-SNzShjg/edit?gid=554141278#gid=554141278"", ""'Char Def. - Attributes'!C20:C2242""), 1,false)"),"PACK_NETTO")</f>
        <v>PACK_NETTO</v>
      </c>
      <c r="I6711" s="136"/>
    </row>
    <row r="6712" ht="15.75" customHeight="1">
      <c r="B6712" s="63">
        <f t="shared" si="1"/>
        <v>16</v>
      </c>
      <c r="C6712" s="160" t="s">
        <v>193</v>
      </c>
      <c r="D6712" s="161" t="s">
        <v>74</v>
      </c>
      <c r="E6712" s="135">
        <f t="shared" si="59"/>
        <v>6</v>
      </c>
      <c r="F6712" s="134" t="s">
        <v>4038</v>
      </c>
      <c r="G6712" s="63" t="str">
        <f>VLOOKUP(C6712, 'Class Def. - General Data'!$C$20:$C$1000,1,false)</f>
        <v>ZSF1_PACK_POWDER</v>
      </c>
      <c r="H6712" s="63" t="str">
        <f>IFERROR(__xludf.DUMMYFUNCTION("VLOOKUP(F6712, IMPORTRANGE(""https://docs.google.com/spreadsheets/d/1Lhp9OU0JdFf_VYSMzH5lBcEaU4o8teT1piV-SNzShjg/edit?gid=554141278#gid=554141278"", ""'Char Def. - Attributes'!C20:C2242""), 1,false)"),"SFG_SPEC")</f>
        <v>SFG_SPEC</v>
      </c>
      <c r="I6712" s="136"/>
    </row>
    <row r="6713" ht="15.75" customHeight="1">
      <c r="B6713" s="63">
        <f t="shared" si="1"/>
        <v>16</v>
      </c>
      <c r="C6713" s="135" t="s">
        <v>193</v>
      </c>
      <c r="D6713" s="141" t="s">
        <v>74</v>
      </c>
      <c r="E6713" s="135">
        <f t="shared" si="59"/>
        <v>7</v>
      </c>
      <c r="F6713" s="134" t="s">
        <v>3611</v>
      </c>
      <c r="G6713" s="63" t="str">
        <f>VLOOKUP(C6713, 'Class Def. - General Data'!$C$20:$C$1000,1,false)</f>
        <v>ZSF1_PACK_POWDER</v>
      </c>
      <c r="H6713" s="63" t="str">
        <f>IFERROR(__xludf.DUMMYFUNCTION("VLOOKUP(F6713, IMPORTRANGE(""https://docs.google.com/spreadsheets/d/1Lhp9OU0JdFf_VYSMzH5lBcEaU4o8teT1piV-SNzShjg/edit?gid=554141278#gid=554141278"", ""'Char Def. - Attributes'!C20:C2242""), 1,false)"),"LOKAL_EKSPOR")</f>
        <v>LOKAL_EKSPOR</v>
      </c>
      <c r="I6713" s="136"/>
    </row>
    <row r="6714" ht="15.75" customHeight="1">
      <c r="B6714" s="63">
        <f t="shared" si="1"/>
        <v>16</v>
      </c>
      <c r="C6714" s="135" t="s">
        <v>193</v>
      </c>
      <c r="D6714" s="141" t="s">
        <v>74</v>
      </c>
      <c r="E6714" s="135">
        <f t="shared" si="59"/>
        <v>8</v>
      </c>
      <c r="F6714" s="134" t="s">
        <v>3612</v>
      </c>
      <c r="G6714" s="63" t="str">
        <f>VLOOKUP(C6714, 'Class Def. - General Data'!$C$20:$C$1000,1,false)</f>
        <v>ZSF1_PACK_POWDER</v>
      </c>
      <c r="H6714" s="63" t="str">
        <f>IFERROR(__xludf.DUMMYFUNCTION("VLOOKUP(F6714, IMPORTRANGE(""https://docs.google.com/spreadsheets/d/1Lhp9OU0JdFf_VYSMzH5lBcEaU4o8teT1piV-SNzShjg/edit?gid=554141278#gid=554141278"", ""'Char Def. - Attributes'!C20:C2242""), 1,false)"),"COUNTRY_EKSPOR")</f>
        <v>COUNTRY_EKSPOR</v>
      </c>
      <c r="I6714" s="136"/>
    </row>
    <row r="6715" ht="15.75" customHeight="1">
      <c r="B6715" s="63">
        <f t="shared" si="1"/>
        <v>16</v>
      </c>
      <c r="C6715" s="134" t="s">
        <v>193</v>
      </c>
      <c r="D6715" s="134" t="s">
        <v>74</v>
      </c>
      <c r="E6715" s="135">
        <f t="shared" si="59"/>
        <v>9</v>
      </c>
      <c r="F6715" s="134" t="s">
        <v>4041</v>
      </c>
      <c r="G6715" s="63" t="str">
        <f>VLOOKUP(C6715, 'Class Def. - General Data'!$C$20:$C$1000,1,false)</f>
        <v>ZSF1_PACK_POWDER</v>
      </c>
      <c r="H6715" s="63" t="str">
        <f>IFERROR(__xludf.DUMMYFUNCTION("VLOOKUP(F6715, IMPORTRANGE(""https://docs.google.com/spreadsheets/d/1Lhp9OU0JdFf_VYSMzH5lBcEaU4o8teT1piV-SNzShjg/edit?gid=554141278#gid=554141278"", ""'Char Def. - Attributes'!C20:C2242""), 1,false)"),"SFG_GRADE")</f>
        <v>SFG_GRADE</v>
      </c>
      <c r="I6715" s="136"/>
    </row>
    <row r="6716" ht="15.75" customHeight="1">
      <c r="B6716" s="63">
        <f t="shared" si="1"/>
        <v>16</v>
      </c>
      <c r="C6716" s="160" t="s">
        <v>193</v>
      </c>
      <c r="D6716" s="161" t="s">
        <v>74</v>
      </c>
      <c r="E6716" s="135">
        <f t="shared" si="59"/>
        <v>10</v>
      </c>
      <c r="F6716" s="134" t="s">
        <v>3881</v>
      </c>
      <c r="G6716" s="63" t="str">
        <f>VLOOKUP(C6716, 'Class Def. - General Data'!$C$20:$C$1000,1,false)</f>
        <v>ZSF1_PACK_POWDER</v>
      </c>
      <c r="H6716" s="63" t="str">
        <f>IFERROR(__xludf.DUMMYFUNCTION("VLOOKUP(F6716, IMPORTRANGE(""https://docs.google.com/spreadsheets/d/1Lhp9OU0JdFf_VYSMzH5lBcEaU4o8teT1piV-SNzShjg/edit?gid=554141278#gid=554141278"", ""'Char Def. - Attributes'!C20:C2242""), 1,false)"),"BS_BERSIH")</f>
        <v>BS_BERSIH</v>
      </c>
      <c r="I6716" s="136"/>
    </row>
    <row r="6717" ht="15.75" customHeight="1">
      <c r="B6717" s="63">
        <f t="shared" si="1"/>
        <v>16</v>
      </c>
      <c r="C6717" s="160" t="s">
        <v>193</v>
      </c>
      <c r="D6717" s="161" t="s">
        <v>74</v>
      </c>
      <c r="E6717" s="135">
        <f t="shared" si="59"/>
        <v>11</v>
      </c>
      <c r="F6717" s="134" t="s">
        <v>3882</v>
      </c>
      <c r="G6717" s="63" t="str">
        <f>VLOOKUP(C6717, 'Class Def. - General Data'!$C$20:$C$1000,1,false)</f>
        <v>ZSF1_PACK_POWDER</v>
      </c>
      <c r="H6717" s="63" t="str">
        <f>IFERROR(__xludf.DUMMYFUNCTION("VLOOKUP(F6717, IMPORTRANGE(""https://docs.google.com/spreadsheets/d/1Lhp9OU0JdFf_VYSMzH5lBcEaU4o8teT1piV-SNzShjg/edit?gid=554141278#gid=554141278"", ""'Char Def. - Attributes'!C20:C2242""), 1,false)"),"BS_KOTOR")</f>
        <v>BS_KOTOR</v>
      </c>
      <c r="I6717" s="136"/>
    </row>
    <row r="6718" ht="15.75" customHeight="1">
      <c r="B6718" s="63">
        <f t="shared" si="1"/>
        <v>16</v>
      </c>
      <c r="C6718" s="160" t="s">
        <v>193</v>
      </c>
      <c r="D6718" s="161" t="s">
        <v>74</v>
      </c>
      <c r="E6718" s="135">
        <f t="shared" si="59"/>
        <v>12</v>
      </c>
      <c r="F6718" s="134" t="s">
        <v>3883</v>
      </c>
      <c r="G6718" s="63" t="str">
        <f>VLOOKUP(C6718, 'Class Def. - General Data'!$C$20:$C$1000,1,false)</f>
        <v>ZSF1_PACK_POWDER</v>
      </c>
      <c r="H6718" s="63" t="str">
        <f>IFERROR(__xludf.DUMMYFUNCTION("VLOOKUP(F6718, IMPORTRANGE(""https://docs.google.com/spreadsheets/d/1Lhp9OU0JdFf_VYSMzH5lBcEaU4o8teT1piV-SNzShjg/edit?gid=554141278#gid=554141278"", ""'Char Def. - Attributes'!C20:C2242""), 1,false)"),"BS_SCRAP")</f>
        <v>BS_SCRAP</v>
      </c>
      <c r="I6718" s="136"/>
    </row>
    <row r="6719" ht="15.75" customHeight="1">
      <c r="B6719" s="63">
        <f t="shared" si="1"/>
        <v>16</v>
      </c>
      <c r="C6719" s="134" t="s">
        <v>193</v>
      </c>
      <c r="D6719" s="134" t="s">
        <v>74</v>
      </c>
      <c r="E6719" s="135">
        <f t="shared" si="59"/>
        <v>13</v>
      </c>
      <c r="F6719" s="134" t="s">
        <v>3582</v>
      </c>
      <c r="G6719" s="63" t="str">
        <f>VLOOKUP(C6719, 'Class Def. - General Data'!$C$20:$C$1000,1,false)</f>
        <v>ZSF1_PACK_POWDER</v>
      </c>
      <c r="H6719" s="63" t="str">
        <f>IFERROR(__xludf.DUMMYFUNCTION("VLOOKUP(F6719, IMPORTRANGE(""https://docs.google.com/spreadsheets/d/1Lhp9OU0JdFf_VYSMzH5lBcEaU4o8teT1piV-SNzShjg/edit?gid=554141278#gid=554141278"", ""'Char Def. - Attributes'!C20:C2242""), 1,false)"),"BASE_UNIT")</f>
        <v>BASE_UNIT</v>
      </c>
      <c r="I6719" s="136"/>
    </row>
    <row r="6720" ht="15.75" customHeight="1">
      <c r="B6720" s="63">
        <f t="shared" si="1"/>
        <v>16</v>
      </c>
      <c r="C6720" s="134" t="s">
        <v>193</v>
      </c>
      <c r="D6720" s="134" t="s">
        <v>74</v>
      </c>
      <c r="E6720" s="135">
        <f t="shared" si="59"/>
        <v>14</v>
      </c>
      <c r="F6720" s="134" t="s">
        <v>3595</v>
      </c>
      <c r="G6720" s="63" t="str">
        <f>VLOOKUP(C6720, 'Class Def. - General Data'!$C$20:$C$1000,1,false)</f>
        <v>ZSF1_PACK_POWDER</v>
      </c>
      <c r="H6720" s="63" t="str">
        <f>IFERROR(__xludf.DUMMYFUNCTION("VLOOKUP(F6720, IMPORTRANGE(""https://docs.google.com/spreadsheets/d/1Lhp9OU0JdFf_VYSMzH5lBcEaU4o8teT1piV-SNzShjg/edit?gid=554141278#gid=554141278"", ""'Char Def. - Attributes'!C20:C2242""), 1,false)"),"UOM1")</f>
        <v>UOM1</v>
      </c>
      <c r="I6720" s="136"/>
    </row>
    <row r="6721" ht="15.75" customHeight="1">
      <c r="B6721" s="63">
        <f t="shared" si="1"/>
        <v>16</v>
      </c>
      <c r="C6721" s="134" t="s">
        <v>193</v>
      </c>
      <c r="D6721" s="134" t="s">
        <v>74</v>
      </c>
      <c r="E6721" s="135">
        <f t="shared" si="59"/>
        <v>15</v>
      </c>
      <c r="F6721" s="134" t="s">
        <v>3596</v>
      </c>
      <c r="G6721" s="63" t="str">
        <f>VLOOKUP(C6721, 'Class Def. - General Data'!$C$20:$C$1000,1,false)</f>
        <v>ZSF1_PACK_POWDER</v>
      </c>
      <c r="H6721" s="63" t="str">
        <f>IFERROR(__xludf.DUMMYFUNCTION("VLOOKUP(F6721, IMPORTRANGE(""https://docs.google.com/spreadsheets/d/1Lhp9OU0JdFf_VYSMzH5lBcEaU4o8teT1piV-SNzShjg/edit?gid=554141278#gid=554141278"", ""'Char Def. - Attributes'!C20:C2242""), 1,false)"),"CONV1")</f>
        <v>CONV1</v>
      </c>
      <c r="I6721" s="136"/>
    </row>
    <row r="6722" ht="15.75" customHeight="1">
      <c r="B6722" s="63">
        <f t="shared" si="1"/>
        <v>16</v>
      </c>
      <c r="C6722" s="134" t="s">
        <v>193</v>
      </c>
      <c r="D6722" s="134" t="s">
        <v>74</v>
      </c>
      <c r="E6722" s="135">
        <f t="shared" si="59"/>
        <v>16</v>
      </c>
      <c r="F6722" s="134" t="s">
        <v>3597</v>
      </c>
      <c r="G6722" s="63" t="str">
        <f>VLOOKUP(C6722, 'Class Def. - General Data'!$C$20:$C$1000,1,false)</f>
        <v>ZSF1_PACK_POWDER</v>
      </c>
      <c r="H6722" s="63" t="str">
        <f>IFERROR(__xludf.DUMMYFUNCTION("VLOOKUP(F6722, IMPORTRANGE(""https://docs.google.com/spreadsheets/d/1Lhp9OU0JdFf_VYSMzH5lBcEaU4o8teT1piV-SNzShjg/edit?gid=554141278#gid=554141278"", ""'Char Def. - Attributes'!C20:C2242""), 1,false)"),"UOM2")</f>
        <v>UOM2</v>
      </c>
      <c r="I6722" s="136"/>
    </row>
    <row r="6723" ht="15.75" customHeight="1">
      <c r="B6723" s="63">
        <f t="shared" si="1"/>
        <v>16</v>
      </c>
      <c r="C6723" s="134" t="s">
        <v>193</v>
      </c>
      <c r="D6723" s="134" t="s">
        <v>74</v>
      </c>
      <c r="E6723" s="135">
        <f t="shared" si="59"/>
        <v>17</v>
      </c>
      <c r="F6723" s="134" t="s">
        <v>3598</v>
      </c>
      <c r="G6723" s="63" t="str">
        <f>VLOOKUP(C6723, 'Class Def. - General Data'!$C$20:$C$1000,1,false)</f>
        <v>ZSF1_PACK_POWDER</v>
      </c>
      <c r="H6723" s="63" t="str">
        <f>IFERROR(__xludf.DUMMYFUNCTION("VLOOKUP(F6723, IMPORTRANGE(""https://docs.google.com/spreadsheets/d/1Lhp9OU0JdFf_VYSMzH5lBcEaU4o8teT1piV-SNzShjg/edit?gid=554141278#gid=554141278"", ""'Char Def. - Attributes'!C20:C2242""), 1,false)"),"CONV2")</f>
        <v>CONV2</v>
      </c>
      <c r="I6723" s="136"/>
    </row>
    <row r="6724" ht="15.75" customHeight="1">
      <c r="B6724" s="63">
        <f t="shared" si="1"/>
        <v>16</v>
      </c>
      <c r="C6724" s="134" t="s">
        <v>193</v>
      </c>
      <c r="D6724" s="134" t="s">
        <v>74</v>
      </c>
      <c r="E6724" s="135">
        <f t="shared" si="59"/>
        <v>18</v>
      </c>
      <c r="F6724" s="134" t="s">
        <v>3599</v>
      </c>
      <c r="G6724" s="63" t="str">
        <f>VLOOKUP(C6724, 'Class Def. - General Data'!$C$20:$C$1000,1,false)</f>
        <v>ZSF1_PACK_POWDER</v>
      </c>
      <c r="H6724" s="63" t="str">
        <f>IFERROR(__xludf.DUMMYFUNCTION("VLOOKUP(F6724, IMPORTRANGE(""https://docs.google.com/spreadsheets/d/1Lhp9OU0JdFf_VYSMzH5lBcEaU4o8teT1piV-SNzShjg/edit?gid=554141278#gid=554141278"", ""'Char Def. - Attributes'!C20:C2242""), 1,false)"),"UOM3")</f>
        <v>UOM3</v>
      </c>
      <c r="I6724" s="136"/>
    </row>
    <row r="6725" ht="15.75" customHeight="1">
      <c r="B6725" s="63">
        <f t="shared" si="1"/>
        <v>16</v>
      </c>
      <c r="C6725" s="134" t="s">
        <v>193</v>
      </c>
      <c r="D6725" s="134" t="s">
        <v>74</v>
      </c>
      <c r="E6725" s="135">
        <f t="shared" si="59"/>
        <v>19</v>
      </c>
      <c r="F6725" s="134" t="s">
        <v>3600</v>
      </c>
      <c r="G6725" s="63" t="str">
        <f>VLOOKUP(C6725, 'Class Def. - General Data'!$C$20:$C$1000,1,false)</f>
        <v>ZSF1_PACK_POWDER</v>
      </c>
      <c r="H6725" s="63" t="str">
        <f>IFERROR(__xludf.DUMMYFUNCTION("VLOOKUP(F6725, IMPORTRANGE(""https://docs.google.com/spreadsheets/d/1Lhp9OU0JdFf_VYSMzH5lBcEaU4o8teT1piV-SNzShjg/edit?gid=554141278#gid=554141278"", ""'Char Def. - Attributes'!C20:C2242""), 1,false)"),"CONV3")</f>
        <v>CONV3</v>
      </c>
      <c r="I6725" s="136"/>
    </row>
    <row r="6726" ht="15.75" customHeight="1">
      <c r="B6726" s="63">
        <f t="shared" si="1"/>
        <v>16</v>
      </c>
      <c r="C6726" s="134" t="s">
        <v>193</v>
      </c>
      <c r="D6726" s="134" t="s">
        <v>74</v>
      </c>
      <c r="E6726" s="135">
        <f t="shared" si="59"/>
        <v>20</v>
      </c>
      <c r="F6726" s="134" t="s">
        <v>3601</v>
      </c>
      <c r="G6726" s="63" t="str">
        <f>VLOOKUP(C6726, 'Class Def. - General Data'!$C$20:$C$1000,1,false)</f>
        <v>ZSF1_PACK_POWDER</v>
      </c>
      <c r="H6726" s="63" t="str">
        <f>IFERROR(__xludf.DUMMYFUNCTION("VLOOKUP(F6726, IMPORTRANGE(""https://docs.google.com/spreadsheets/d/1Lhp9OU0JdFf_VYSMzH5lBcEaU4o8teT1piV-SNzShjg/edit?gid=554141278#gid=554141278"", ""'Char Def. - Attributes'!C20:C2242""), 1,false)"),"GROSS_WEIGHT")</f>
        <v>GROSS_WEIGHT</v>
      </c>
      <c r="I6726" s="136"/>
    </row>
    <row r="6727" ht="15.75" customHeight="1">
      <c r="B6727" s="63">
        <f t="shared" si="1"/>
        <v>16</v>
      </c>
      <c r="C6727" s="134" t="s">
        <v>193</v>
      </c>
      <c r="D6727" s="134" t="s">
        <v>74</v>
      </c>
      <c r="E6727" s="135">
        <f t="shared" si="59"/>
        <v>21</v>
      </c>
      <c r="F6727" s="134" t="s">
        <v>3602</v>
      </c>
      <c r="G6727" s="63" t="str">
        <f>VLOOKUP(C6727, 'Class Def. - General Data'!$C$20:$C$1000,1,false)</f>
        <v>ZSF1_PACK_POWDER</v>
      </c>
      <c r="H6727" s="63" t="str">
        <f>IFERROR(__xludf.DUMMYFUNCTION("VLOOKUP(F6727, IMPORTRANGE(""https://docs.google.com/spreadsheets/d/1Lhp9OU0JdFf_VYSMzH5lBcEaU4o8teT1piV-SNzShjg/edit?gid=554141278#gid=554141278"", ""'Char Def. - Attributes'!C20:C2242""), 1,false)"),"NET_WEIGHT")</f>
        <v>NET_WEIGHT</v>
      </c>
      <c r="I6727" s="136"/>
    </row>
    <row r="6728" ht="15.75" customHeight="1">
      <c r="B6728" s="63">
        <f t="shared" si="1"/>
        <v>16</v>
      </c>
      <c r="C6728" s="134" t="s">
        <v>193</v>
      </c>
      <c r="D6728" s="134" t="s">
        <v>74</v>
      </c>
      <c r="E6728" s="135">
        <f t="shared" si="59"/>
        <v>22</v>
      </c>
      <c r="F6728" s="134" t="s">
        <v>3603</v>
      </c>
      <c r="G6728" s="63" t="str">
        <f>VLOOKUP(C6728, 'Class Def. - General Data'!$C$20:$C$1000,1,false)</f>
        <v>ZSF1_PACK_POWDER</v>
      </c>
      <c r="H6728" s="63" t="str">
        <f>IFERROR(__xludf.DUMMYFUNCTION("VLOOKUP(F6728, IMPORTRANGE(""https://docs.google.com/spreadsheets/d/1Lhp9OU0JdFf_VYSMzH5lBcEaU4o8teT1piV-SNzShjg/edit?gid=554141278#gid=554141278"", ""'Char Def. - Attributes'!C20:C2242""), 1,false)"),"VOLUME")</f>
        <v>VOLUME</v>
      </c>
      <c r="I6728" s="136"/>
    </row>
    <row r="6729" ht="15.75" customHeight="1">
      <c r="B6729" s="63">
        <f t="shared" si="1"/>
        <v>16</v>
      </c>
      <c r="C6729" s="134" t="s">
        <v>193</v>
      </c>
      <c r="D6729" s="134" t="s">
        <v>74</v>
      </c>
      <c r="E6729" s="135">
        <f t="shared" si="59"/>
        <v>23</v>
      </c>
      <c r="F6729" s="134" t="s">
        <v>3586</v>
      </c>
      <c r="G6729" s="63" t="str">
        <f>VLOOKUP(C6729, 'Class Def. - General Data'!$C$20:$C$1000,1,false)</f>
        <v>ZSF1_PACK_POWDER</v>
      </c>
      <c r="H6729" s="63" t="str">
        <f>IFERROR(__xludf.DUMMYFUNCTION("VLOOKUP(F6729, IMPORTRANGE(""https://docs.google.com/spreadsheets/d/1Lhp9OU0JdFf_VYSMzH5lBcEaU4o8teT1piV-SNzShjg/edit?gid=554141278#gid=554141278"", ""'Char Def. - Attributes'!C20:C2242""), 1,false)"),"PLANT_PROD")</f>
        <v>PLANT_PROD</v>
      </c>
      <c r="I6729" s="136"/>
    </row>
    <row r="6730" ht="15.75" customHeight="1">
      <c r="B6730" s="63">
        <f t="shared" si="1"/>
        <v>16</v>
      </c>
      <c r="C6730" s="134" t="s">
        <v>193</v>
      </c>
      <c r="D6730" s="134" t="s">
        <v>74</v>
      </c>
      <c r="E6730" s="135">
        <f t="shared" si="59"/>
        <v>24</v>
      </c>
      <c r="F6730" s="134" t="s">
        <v>3587</v>
      </c>
      <c r="G6730" s="63" t="str">
        <f>VLOOKUP(C6730, 'Class Def. - General Data'!$C$20:$C$1000,1,false)</f>
        <v>ZSF1_PACK_POWDER</v>
      </c>
      <c r="H6730" s="63" t="str">
        <f>IFERROR(__xludf.DUMMYFUNCTION("VLOOKUP(F6730, IMPORTRANGE(""https://docs.google.com/spreadsheets/d/1Lhp9OU0JdFf_VYSMzH5lBcEaU4o8teT1piV-SNzShjg/edit?gid=554141278#gid=554141278"", ""'Char Def. - Attributes'!C20:C2242""), 1,false)"),"PLANT_BUY")</f>
        <v>PLANT_BUY</v>
      </c>
      <c r="I6730" s="136"/>
    </row>
    <row r="6731" ht="15.75" customHeight="1">
      <c r="B6731" s="63">
        <f t="shared" si="1"/>
        <v>16</v>
      </c>
      <c r="C6731" s="134" t="s">
        <v>193</v>
      </c>
      <c r="D6731" s="134" t="s">
        <v>74</v>
      </c>
      <c r="E6731" s="135">
        <f t="shared" si="59"/>
        <v>25</v>
      </c>
      <c r="F6731" s="134" t="s">
        <v>4040</v>
      </c>
      <c r="G6731" s="63" t="str">
        <f>VLOOKUP(C6731, 'Class Def. - General Data'!$C$20:$C$1000,1,false)</f>
        <v>ZSF1_PACK_POWDER</v>
      </c>
      <c r="H6731" s="63" t="str">
        <f>IFERROR(__xludf.DUMMYFUNCTION("VLOOKUP(F6731, IMPORTRANGE(""https://docs.google.com/spreadsheets/d/1Lhp9OU0JdFf_VYSMzH5lBcEaU4o8teT1piV-SNzShjg/edit?gid=554141278#gid=554141278"", ""'Char Def. - Attributes'!C20:C2242""), 1,false)"),"OLD_MAT_SFG")</f>
        <v>OLD_MAT_SFG</v>
      </c>
      <c r="I6731" s="136"/>
    </row>
    <row r="6732" ht="15.75" customHeight="1">
      <c r="B6732" s="63">
        <f t="shared" si="1"/>
        <v>16</v>
      </c>
      <c r="C6732" s="134" t="s">
        <v>194</v>
      </c>
      <c r="D6732" s="134" t="s">
        <v>74</v>
      </c>
      <c r="E6732" s="135">
        <f t="shared" si="59"/>
        <v>1</v>
      </c>
      <c r="F6732" s="134" t="s">
        <v>3853</v>
      </c>
      <c r="G6732" s="63" t="str">
        <f>VLOOKUP(C6732, 'Class Def. - General Data'!$C$20:$C$1000,1,false)</f>
        <v>ZSF1_PACK_SAMBAL</v>
      </c>
      <c r="H6732" s="63" t="str">
        <f>IFERROR(__xludf.DUMMYFUNCTION("VLOOKUP(F6732, IMPORTRANGE(""https://docs.google.com/spreadsheets/d/1Lhp9OU0JdFf_VYSMzH5lBcEaU4o8teT1piV-SNzShjg/edit?gid=554141278#gid=554141278"", ""'Char Def. - Attributes'!C20:C2242""), 1,false)"),"BRAND_WINGS")</f>
        <v>BRAND_WINGS</v>
      </c>
      <c r="I6732" s="136"/>
    </row>
    <row r="6733" ht="15.75" customHeight="1">
      <c r="B6733" s="63">
        <f t="shared" si="1"/>
        <v>16</v>
      </c>
      <c r="C6733" s="134" t="s">
        <v>194</v>
      </c>
      <c r="D6733" s="134" t="s">
        <v>74</v>
      </c>
      <c r="E6733" s="135">
        <f t="shared" si="59"/>
        <v>2</v>
      </c>
      <c r="F6733" s="134" t="s">
        <v>3607</v>
      </c>
      <c r="G6733" s="63" t="str">
        <f>VLOOKUP(C6733, 'Class Def. - General Data'!$C$20:$C$1000,1,false)</f>
        <v>ZSF1_PACK_SAMBAL</v>
      </c>
      <c r="H6733" s="63" t="str">
        <f>IFERROR(__xludf.DUMMYFUNCTION("VLOOKUP(F6733, IMPORTRANGE(""https://docs.google.com/spreadsheets/d/1Lhp9OU0JdFf_VYSMzH5lBcEaU4o8teT1piV-SNzShjg/edit?gid=554141278#gid=554141278"", ""'Char Def. - Attributes'!C20:C2242""), 1,false)"),"VARIAN")</f>
        <v>VARIAN</v>
      </c>
      <c r="I6733" s="136"/>
    </row>
    <row r="6734" ht="15.75" customHeight="1">
      <c r="B6734" s="63">
        <f t="shared" si="1"/>
        <v>16</v>
      </c>
      <c r="C6734" s="134" t="s">
        <v>194</v>
      </c>
      <c r="D6734" s="134" t="s">
        <v>74</v>
      </c>
      <c r="E6734" s="135">
        <f t="shared" si="59"/>
        <v>3</v>
      </c>
      <c r="F6734" s="134" t="s">
        <v>4036</v>
      </c>
      <c r="G6734" s="63" t="str">
        <f>VLOOKUP(C6734, 'Class Def. - General Data'!$C$20:$C$1000,1,false)</f>
        <v>ZSF1_PACK_SAMBAL</v>
      </c>
      <c r="H6734" s="63" t="str">
        <f>IFERROR(__xludf.DUMMYFUNCTION("VLOOKUP(F6734, IMPORTRANGE(""https://docs.google.com/spreadsheets/d/1Lhp9OU0JdFf_VYSMzH5lBcEaU4o8teT1piV-SNzShjg/edit?gid=554141278#gid=554141278"", ""'Char Def. - Attributes'!C20:C2242""), 1,false)"),"NAMA_BAHAN")</f>
        <v>NAMA_BAHAN</v>
      </c>
      <c r="I6734" s="136"/>
    </row>
    <row r="6735" ht="15.75" customHeight="1">
      <c r="B6735" s="63">
        <f t="shared" si="1"/>
        <v>16</v>
      </c>
      <c r="C6735" s="160" t="s">
        <v>194</v>
      </c>
      <c r="D6735" s="161" t="s">
        <v>74</v>
      </c>
      <c r="E6735" s="135">
        <f t="shared" si="59"/>
        <v>4</v>
      </c>
      <c r="F6735" s="134" t="s">
        <v>4037</v>
      </c>
      <c r="G6735" s="63" t="str">
        <f>VLOOKUP(C6735, 'Class Def. - General Data'!$C$20:$C$1000,1,false)</f>
        <v>ZSF1_PACK_SAMBAL</v>
      </c>
      <c r="H6735" s="63" t="str">
        <f>IFERROR(__xludf.DUMMYFUNCTION("VLOOKUP(F6735, IMPORTRANGE(""https://docs.google.com/spreadsheets/d/1Lhp9OU0JdFf_VYSMzH5lBcEaU4o8teT1piV-SNzShjg/edit?gid=554141278#gid=554141278"", ""'Char Def. - Attributes'!C20:C2242""), 1,false)"),"VARIAN_BAHAN")</f>
        <v>VARIAN_BAHAN</v>
      </c>
      <c r="I6735" s="136"/>
    </row>
    <row r="6736" ht="15.75" customHeight="1">
      <c r="B6736" s="63">
        <f t="shared" si="1"/>
        <v>16</v>
      </c>
      <c r="C6736" s="160" t="s">
        <v>194</v>
      </c>
      <c r="D6736" s="161" t="s">
        <v>74</v>
      </c>
      <c r="E6736" s="135">
        <f t="shared" si="59"/>
        <v>5</v>
      </c>
      <c r="F6736" s="134" t="s">
        <v>3605</v>
      </c>
      <c r="G6736" s="63" t="str">
        <f>VLOOKUP(C6736, 'Class Def. - General Data'!$C$20:$C$1000,1,false)</f>
        <v>ZSF1_PACK_SAMBAL</v>
      </c>
      <c r="H6736" s="63" t="str">
        <f>IFERROR(__xludf.DUMMYFUNCTION("VLOOKUP(F6736, IMPORTRANGE(""https://docs.google.com/spreadsheets/d/1Lhp9OU0JdFf_VYSMzH5lBcEaU4o8teT1piV-SNzShjg/edit?gid=554141278#gid=554141278"", ""'Char Def. - Attributes'!C20:C2242""), 1,false)"),"PACK_NETTO")</f>
        <v>PACK_NETTO</v>
      </c>
      <c r="I6736" s="136"/>
    </row>
    <row r="6737" ht="15.75" customHeight="1">
      <c r="B6737" s="63">
        <f t="shared" si="1"/>
        <v>16</v>
      </c>
      <c r="C6737" s="160" t="s">
        <v>194</v>
      </c>
      <c r="D6737" s="161" t="s">
        <v>74</v>
      </c>
      <c r="E6737" s="135">
        <f t="shared" si="59"/>
        <v>6</v>
      </c>
      <c r="F6737" s="134" t="s">
        <v>4038</v>
      </c>
      <c r="G6737" s="63" t="str">
        <f>VLOOKUP(C6737, 'Class Def. - General Data'!$C$20:$C$1000,1,false)</f>
        <v>ZSF1_PACK_SAMBAL</v>
      </c>
      <c r="H6737" s="63" t="str">
        <f>IFERROR(__xludf.DUMMYFUNCTION("VLOOKUP(F6737, IMPORTRANGE(""https://docs.google.com/spreadsheets/d/1Lhp9OU0JdFf_VYSMzH5lBcEaU4o8teT1piV-SNzShjg/edit?gid=554141278#gid=554141278"", ""'Char Def. - Attributes'!C20:C2242""), 1,false)"),"SFG_SPEC")</f>
        <v>SFG_SPEC</v>
      </c>
      <c r="I6737" s="136"/>
    </row>
    <row r="6738" ht="15.75" customHeight="1">
      <c r="B6738" s="63">
        <f t="shared" si="1"/>
        <v>16</v>
      </c>
      <c r="C6738" s="135" t="s">
        <v>194</v>
      </c>
      <c r="D6738" s="141" t="s">
        <v>74</v>
      </c>
      <c r="E6738" s="135">
        <f t="shared" si="59"/>
        <v>7</v>
      </c>
      <c r="F6738" s="134" t="s">
        <v>3611</v>
      </c>
      <c r="G6738" s="63" t="str">
        <f>VLOOKUP(C6738, 'Class Def. - General Data'!$C$20:$C$1000,1,false)</f>
        <v>ZSF1_PACK_SAMBAL</v>
      </c>
      <c r="H6738" s="63" t="str">
        <f>IFERROR(__xludf.DUMMYFUNCTION("VLOOKUP(F6738, IMPORTRANGE(""https://docs.google.com/spreadsheets/d/1Lhp9OU0JdFf_VYSMzH5lBcEaU4o8teT1piV-SNzShjg/edit?gid=554141278#gid=554141278"", ""'Char Def. - Attributes'!C20:C2242""), 1,false)"),"LOKAL_EKSPOR")</f>
        <v>LOKAL_EKSPOR</v>
      </c>
      <c r="I6738" s="136"/>
    </row>
    <row r="6739" ht="15.75" customHeight="1">
      <c r="B6739" s="63">
        <f t="shared" si="1"/>
        <v>16</v>
      </c>
      <c r="C6739" s="135" t="s">
        <v>194</v>
      </c>
      <c r="D6739" s="141" t="s">
        <v>74</v>
      </c>
      <c r="E6739" s="135">
        <f t="shared" si="59"/>
        <v>8</v>
      </c>
      <c r="F6739" s="134" t="s">
        <v>3612</v>
      </c>
      <c r="G6739" s="63" t="str">
        <f>VLOOKUP(C6739, 'Class Def. - General Data'!$C$20:$C$1000,1,false)</f>
        <v>ZSF1_PACK_SAMBAL</v>
      </c>
      <c r="H6739" s="63" t="str">
        <f>IFERROR(__xludf.DUMMYFUNCTION("VLOOKUP(F6739, IMPORTRANGE(""https://docs.google.com/spreadsheets/d/1Lhp9OU0JdFf_VYSMzH5lBcEaU4o8teT1piV-SNzShjg/edit?gid=554141278#gid=554141278"", ""'Char Def. - Attributes'!C20:C2242""), 1,false)"),"COUNTRY_EKSPOR")</f>
        <v>COUNTRY_EKSPOR</v>
      </c>
      <c r="I6739" s="136"/>
    </row>
    <row r="6740" ht="15.75" customHeight="1">
      <c r="B6740" s="63">
        <f t="shared" si="1"/>
        <v>16</v>
      </c>
      <c r="C6740" s="134" t="s">
        <v>194</v>
      </c>
      <c r="D6740" s="134" t="s">
        <v>74</v>
      </c>
      <c r="E6740" s="135">
        <f t="shared" si="59"/>
        <v>9</v>
      </c>
      <c r="F6740" s="134" t="s">
        <v>4041</v>
      </c>
      <c r="G6740" s="63" t="str">
        <f>VLOOKUP(C6740, 'Class Def. - General Data'!$C$20:$C$1000,1,false)</f>
        <v>ZSF1_PACK_SAMBAL</v>
      </c>
      <c r="H6740" s="63" t="str">
        <f>IFERROR(__xludf.DUMMYFUNCTION("VLOOKUP(F6740, IMPORTRANGE(""https://docs.google.com/spreadsheets/d/1Lhp9OU0JdFf_VYSMzH5lBcEaU4o8teT1piV-SNzShjg/edit?gid=554141278#gid=554141278"", ""'Char Def. - Attributes'!C20:C2242""), 1,false)"),"SFG_GRADE")</f>
        <v>SFG_GRADE</v>
      </c>
      <c r="I6740" s="136"/>
    </row>
    <row r="6741" ht="15.75" customHeight="1">
      <c r="B6741" s="63">
        <f t="shared" si="1"/>
        <v>16</v>
      </c>
      <c r="C6741" s="160" t="s">
        <v>194</v>
      </c>
      <c r="D6741" s="161" t="s">
        <v>74</v>
      </c>
      <c r="E6741" s="135">
        <f t="shared" si="59"/>
        <v>10</v>
      </c>
      <c r="F6741" s="134" t="s">
        <v>3881</v>
      </c>
      <c r="G6741" s="63" t="str">
        <f>VLOOKUP(C6741, 'Class Def. - General Data'!$C$20:$C$1000,1,false)</f>
        <v>ZSF1_PACK_SAMBAL</v>
      </c>
      <c r="H6741" s="63" t="str">
        <f>IFERROR(__xludf.DUMMYFUNCTION("VLOOKUP(F6741, IMPORTRANGE(""https://docs.google.com/spreadsheets/d/1Lhp9OU0JdFf_VYSMzH5lBcEaU4o8teT1piV-SNzShjg/edit?gid=554141278#gid=554141278"", ""'Char Def. - Attributes'!C20:C2242""), 1,false)"),"BS_BERSIH")</f>
        <v>BS_BERSIH</v>
      </c>
      <c r="I6741" s="136"/>
    </row>
    <row r="6742" ht="15.75" customHeight="1">
      <c r="B6742" s="63">
        <f t="shared" si="1"/>
        <v>16</v>
      </c>
      <c r="C6742" s="160" t="s">
        <v>194</v>
      </c>
      <c r="D6742" s="161" t="s">
        <v>74</v>
      </c>
      <c r="E6742" s="135">
        <f t="shared" si="59"/>
        <v>11</v>
      </c>
      <c r="F6742" s="134" t="s">
        <v>3882</v>
      </c>
      <c r="G6742" s="63" t="str">
        <f>VLOOKUP(C6742, 'Class Def. - General Data'!$C$20:$C$1000,1,false)</f>
        <v>ZSF1_PACK_SAMBAL</v>
      </c>
      <c r="H6742" s="63" t="str">
        <f>IFERROR(__xludf.DUMMYFUNCTION("VLOOKUP(F6742, IMPORTRANGE(""https://docs.google.com/spreadsheets/d/1Lhp9OU0JdFf_VYSMzH5lBcEaU4o8teT1piV-SNzShjg/edit?gid=554141278#gid=554141278"", ""'Char Def. - Attributes'!C20:C2242""), 1,false)"),"BS_KOTOR")</f>
        <v>BS_KOTOR</v>
      </c>
      <c r="I6742" s="136"/>
    </row>
    <row r="6743" ht="15.75" customHeight="1">
      <c r="B6743" s="63">
        <f t="shared" si="1"/>
        <v>16</v>
      </c>
      <c r="C6743" s="160" t="s">
        <v>194</v>
      </c>
      <c r="D6743" s="161" t="s">
        <v>74</v>
      </c>
      <c r="E6743" s="135">
        <f t="shared" si="59"/>
        <v>12</v>
      </c>
      <c r="F6743" s="134" t="s">
        <v>3883</v>
      </c>
      <c r="G6743" s="63" t="str">
        <f>VLOOKUP(C6743, 'Class Def. - General Data'!$C$20:$C$1000,1,false)</f>
        <v>ZSF1_PACK_SAMBAL</v>
      </c>
      <c r="H6743" s="63" t="str">
        <f>IFERROR(__xludf.DUMMYFUNCTION("VLOOKUP(F6743, IMPORTRANGE(""https://docs.google.com/spreadsheets/d/1Lhp9OU0JdFf_VYSMzH5lBcEaU4o8teT1piV-SNzShjg/edit?gid=554141278#gid=554141278"", ""'Char Def. - Attributes'!C20:C2242""), 1,false)"),"BS_SCRAP")</f>
        <v>BS_SCRAP</v>
      </c>
      <c r="I6743" s="136"/>
    </row>
    <row r="6744" ht="15.75" customHeight="1">
      <c r="B6744" s="63">
        <f t="shared" si="1"/>
        <v>16</v>
      </c>
      <c r="C6744" s="134" t="s">
        <v>194</v>
      </c>
      <c r="D6744" s="134" t="s">
        <v>74</v>
      </c>
      <c r="E6744" s="135">
        <f t="shared" si="59"/>
        <v>13</v>
      </c>
      <c r="F6744" s="134" t="s">
        <v>3582</v>
      </c>
      <c r="G6744" s="63" t="str">
        <f>VLOOKUP(C6744, 'Class Def. - General Data'!$C$20:$C$1000,1,false)</f>
        <v>ZSF1_PACK_SAMBAL</v>
      </c>
      <c r="H6744" s="63" t="str">
        <f>IFERROR(__xludf.DUMMYFUNCTION("VLOOKUP(F6744, IMPORTRANGE(""https://docs.google.com/spreadsheets/d/1Lhp9OU0JdFf_VYSMzH5lBcEaU4o8teT1piV-SNzShjg/edit?gid=554141278#gid=554141278"", ""'Char Def. - Attributes'!C20:C2242""), 1,false)"),"BASE_UNIT")</f>
        <v>BASE_UNIT</v>
      </c>
      <c r="I6744" s="136"/>
    </row>
    <row r="6745" ht="15.75" customHeight="1">
      <c r="B6745" s="63">
        <f t="shared" si="1"/>
        <v>16</v>
      </c>
      <c r="C6745" s="134" t="s">
        <v>194</v>
      </c>
      <c r="D6745" s="134" t="s">
        <v>74</v>
      </c>
      <c r="E6745" s="135">
        <f t="shared" si="59"/>
        <v>14</v>
      </c>
      <c r="F6745" s="134" t="s">
        <v>3595</v>
      </c>
      <c r="G6745" s="63" t="str">
        <f>VLOOKUP(C6745, 'Class Def. - General Data'!$C$20:$C$1000,1,false)</f>
        <v>ZSF1_PACK_SAMBAL</v>
      </c>
      <c r="H6745" s="63" t="str">
        <f>IFERROR(__xludf.DUMMYFUNCTION("VLOOKUP(F6745, IMPORTRANGE(""https://docs.google.com/spreadsheets/d/1Lhp9OU0JdFf_VYSMzH5lBcEaU4o8teT1piV-SNzShjg/edit?gid=554141278#gid=554141278"", ""'Char Def. - Attributes'!C20:C2242""), 1,false)"),"UOM1")</f>
        <v>UOM1</v>
      </c>
      <c r="I6745" s="136"/>
    </row>
    <row r="6746" ht="15.75" customHeight="1">
      <c r="B6746" s="63">
        <f t="shared" si="1"/>
        <v>16</v>
      </c>
      <c r="C6746" s="134" t="s">
        <v>194</v>
      </c>
      <c r="D6746" s="134" t="s">
        <v>74</v>
      </c>
      <c r="E6746" s="135">
        <f t="shared" si="59"/>
        <v>15</v>
      </c>
      <c r="F6746" s="134" t="s">
        <v>3596</v>
      </c>
      <c r="G6746" s="63" t="str">
        <f>VLOOKUP(C6746, 'Class Def. - General Data'!$C$20:$C$1000,1,false)</f>
        <v>ZSF1_PACK_SAMBAL</v>
      </c>
      <c r="H6746" s="63" t="str">
        <f>IFERROR(__xludf.DUMMYFUNCTION("VLOOKUP(F6746, IMPORTRANGE(""https://docs.google.com/spreadsheets/d/1Lhp9OU0JdFf_VYSMzH5lBcEaU4o8teT1piV-SNzShjg/edit?gid=554141278#gid=554141278"", ""'Char Def. - Attributes'!C20:C2242""), 1,false)"),"CONV1")</f>
        <v>CONV1</v>
      </c>
      <c r="I6746" s="136"/>
    </row>
    <row r="6747" ht="15.75" customHeight="1">
      <c r="B6747" s="63">
        <f t="shared" si="1"/>
        <v>16</v>
      </c>
      <c r="C6747" s="134" t="s">
        <v>194</v>
      </c>
      <c r="D6747" s="134" t="s">
        <v>74</v>
      </c>
      <c r="E6747" s="135">
        <f t="shared" si="59"/>
        <v>16</v>
      </c>
      <c r="F6747" s="134" t="s">
        <v>3597</v>
      </c>
      <c r="G6747" s="63" t="str">
        <f>VLOOKUP(C6747, 'Class Def. - General Data'!$C$20:$C$1000,1,false)</f>
        <v>ZSF1_PACK_SAMBAL</v>
      </c>
      <c r="H6747" s="63" t="str">
        <f>IFERROR(__xludf.DUMMYFUNCTION("VLOOKUP(F6747, IMPORTRANGE(""https://docs.google.com/spreadsheets/d/1Lhp9OU0JdFf_VYSMzH5lBcEaU4o8teT1piV-SNzShjg/edit?gid=554141278#gid=554141278"", ""'Char Def. - Attributes'!C20:C2242""), 1,false)"),"UOM2")</f>
        <v>UOM2</v>
      </c>
      <c r="I6747" s="136"/>
    </row>
    <row r="6748" ht="15.75" customHeight="1">
      <c r="B6748" s="63">
        <f t="shared" si="1"/>
        <v>16</v>
      </c>
      <c r="C6748" s="134" t="s">
        <v>194</v>
      </c>
      <c r="D6748" s="134" t="s">
        <v>74</v>
      </c>
      <c r="E6748" s="135">
        <f t="shared" si="59"/>
        <v>17</v>
      </c>
      <c r="F6748" s="134" t="s">
        <v>3598</v>
      </c>
      <c r="G6748" s="63" t="str">
        <f>VLOOKUP(C6748, 'Class Def. - General Data'!$C$20:$C$1000,1,false)</f>
        <v>ZSF1_PACK_SAMBAL</v>
      </c>
      <c r="H6748" s="63" t="str">
        <f>IFERROR(__xludf.DUMMYFUNCTION("VLOOKUP(F6748, IMPORTRANGE(""https://docs.google.com/spreadsheets/d/1Lhp9OU0JdFf_VYSMzH5lBcEaU4o8teT1piV-SNzShjg/edit?gid=554141278#gid=554141278"", ""'Char Def. - Attributes'!C20:C2242""), 1,false)"),"CONV2")</f>
        <v>CONV2</v>
      </c>
      <c r="I6748" s="136"/>
    </row>
    <row r="6749" ht="15.75" customHeight="1">
      <c r="B6749" s="63">
        <f t="shared" si="1"/>
        <v>16</v>
      </c>
      <c r="C6749" s="134" t="s">
        <v>194</v>
      </c>
      <c r="D6749" s="134" t="s">
        <v>74</v>
      </c>
      <c r="E6749" s="135">
        <f t="shared" si="59"/>
        <v>18</v>
      </c>
      <c r="F6749" s="134" t="s">
        <v>3599</v>
      </c>
      <c r="G6749" s="63" t="str">
        <f>VLOOKUP(C6749, 'Class Def. - General Data'!$C$20:$C$1000,1,false)</f>
        <v>ZSF1_PACK_SAMBAL</v>
      </c>
      <c r="H6749" s="63" t="str">
        <f>IFERROR(__xludf.DUMMYFUNCTION("VLOOKUP(F6749, IMPORTRANGE(""https://docs.google.com/spreadsheets/d/1Lhp9OU0JdFf_VYSMzH5lBcEaU4o8teT1piV-SNzShjg/edit?gid=554141278#gid=554141278"", ""'Char Def. - Attributes'!C20:C2242""), 1,false)"),"UOM3")</f>
        <v>UOM3</v>
      </c>
      <c r="I6749" s="136"/>
    </row>
    <row r="6750" ht="15.75" customHeight="1">
      <c r="B6750" s="63">
        <f t="shared" si="1"/>
        <v>16</v>
      </c>
      <c r="C6750" s="134" t="s">
        <v>194</v>
      </c>
      <c r="D6750" s="134" t="s">
        <v>74</v>
      </c>
      <c r="E6750" s="135">
        <f t="shared" si="59"/>
        <v>19</v>
      </c>
      <c r="F6750" s="134" t="s">
        <v>3600</v>
      </c>
      <c r="G6750" s="63" t="str">
        <f>VLOOKUP(C6750, 'Class Def. - General Data'!$C$20:$C$1000,1,false)</f>
        <v>ZSF1_PACK_SAMBAL</v>
      </c>
      <c r="H6750" s="63" t="str">
        <f>IFERROR(__xludf.DUMMYFUNCTION("VLOOKUP(F6750, IMPORTRANGE(""https://docs.google.com/spreadsheets/d/1Lhp9OU0JdFf_VYSMzH5lBcEaU4o8teT1piV-SNzShjg/edit?gid=554141278#gid=554141278"", ""'Char Def. - Attributes'!C20:C2242""), 1,false)"),"CONV3")</f>
        <v>CONV3</v>
      </c>
      <c r="I6750" s="136"/>
    </row>
    <row r="6751" ht="15.75" customHeight="1">
      <c r="B6751" s="63">
        <f t="shared" si="1"/>
        <v>16</v>
      </c>
      <c r="C6751" s="134" t="s">
        <v>194</v>
      </c>
      <c r="D6751" s="134" t="s">
        <v>74</v>
      </c>
      <c r="E6751" s="135">
        <f t="shared" si="59"/>
        <v>20</v>
      </c>
      <c r="F6751" s="134" t="s">
        <v>3601</v>
      </c>
      <c r="G6751" s="63" t="str">
        <f>VLOOKUP(C6751, 'Class Def. - General Data'!$C$20:$C$1000,1,false)</f>
        <v>ZSF1_PACK_SAMBAL</v>
      </c>
      <c r="H6751" s="63" t="str">
        <f>IFERROR(__xludf.DUMMYFUNCTION("VLOOKUP(F6751, IMPORTRANGE(""https://docs.google.com/spreadsheets/d/1Lhp9OU0JdFf_VYSMzH5lBcEaU4o8teT1piV-SNzShjg/edit?gid=554141278#gid=554141278"", ""'Char Def. - Attributes'!C20:C2242""), 1,false)"),"GROSS_WEIGHT")</f>
        <v>GROSS_WEIGHT</v>
      </c>
      <c r="I6751" s="136"/>
    </row>
    <row r="6752" ht="15.75" customHeight="1">
      <c r="B6752" s="63">
        <f t="shared" si="1"/>
        <v>16</v>
      </c>
      <c r="C6752" s="134" t="s">
        <v>194</v>
      </c>
      <c r="D6752" s="134" t="s">
        <v>74</v>
      </c>
      <c r="E6752" s="135">
        <f t="shared" si="59"/>
        <v>21</v>
      </c>
      <c r="F6752" s="134" t="s">
        <v>3602</v>
      </c>
      <c r="G6752" s="63" t="str">
        <f>VLOOKUP(C6752, 'Class Def. - General Data'!$C$20:$C$1000,1,false)</f>
        <v>ZSF1_PACK_SAMBAL</v>
      </c>
      <c r="H6752" s="63" t="str">
        <f>IFERROR(__xludf.DUMMYFUNCTION("VLOOKUP(F6752, IMPORTRANGE(""https://docs.google.com/spreadsheets/d/1Lhp9OU0JdFf_VYSMzH5lBcEaU4o8teT1piV-SNzShjg/edit?gid=554141278#gid=554141278"", ""'Char Def. - Attributes'!C20:C2242""), 1,false)"),"NET_WEIGHT")</f>
        <v>NET_WEIGHT</v>
      </c>
      <c r="I6752" s="136"/>
    </row>
    <row r="6753" ht="15.75" customHeight="1">
      <c r="B6753" s="63">
        <f t="shared" si="1"/>
        <v>16</v>
      </c>
      <c r="C6753" s="134" t="s">
        <v>194</v>
      </c>
      <c r="D6753" s="134" t="s">
        <v>74</v>
      </c>
      <c r="E6753" s="135">
        <f t="shared" si="59"/>
        <v>22</v>
      </c>
      <c r="F6753" s="134" t="s">
        <v>3603</v>
      </c>
      <c r="G6753" s="63" t="str">
        <f>VLOOKUP(C6753, 'Class Def. - General Data'!$C$20:$C$1000,1,false)</f>
        <v>ZSF1_PACK_SAMBAL</v>
      </c>
      <c r="H6753" s="63" t="str">
        <f>IFERROR(__xludf.DUMMYFUNCTION("VLOOKUP(F6753, IMPORTRANGE(""https://docs.google.com/spreadsheets/d/1Lhp9OU0JdFf_VYSMzH5lBcEaU4o8teT1piV-SNzShjg/edit?gid=554141278#gid=554141278"", ""'Char Def. - Attributes'!C20:C2242""), 1,false)"),"VOLUME")</f>
        <v>VOLUME</v>
      </c>
      <c r="I6753" s="136"/>
    </row>
    <row r="6754" ht="15.75" customHeight="1">
      <c r="B6754" s="63">
        <f t="shared" si="1"/>
        <v>16</v>
      </c>
      <c r="C6754" s="134" t="s">
        <v>194</v>
      </c>
      <c r="D6754" s="134" t="s">
        <v>74</v>
      </c>
      <c r="E6754" s="135">
        <f t="shared" si="59"/>
        <v>23</v>
      </c>
      <c r="F6754" s="134" t="s">
        <v>3586</v>
      </c>
      <c r="G6754" s="63" t="str">
        <f>VLOOKUP(C6754, 'Class Def. - General Data'!$C$20:$C$1000,1,false)</f>
        <v>ZSF1_PACK_SAMBAL</v>
      </c>
      <c r="H6754" s="63" t="str">
        <f>IFERROR(__xludf.DUMMYFUNCTION("VLOOKUP(F6754, IMPORTRANGE(""https://docs.google.com/spreadsheets/d/1Lhp9OU0JdFf_VYSMzH5lBcEaU4o8teT1piV-SNzShjg/edit?gid=554141278#gid=554141278"", ""'Char Def. - Attributes'!C20:C2242""), 1,false)"),"PLANT_PROD")</f>
        <v>PLANT_PROD</v>
      </c>
      <c r="I6754" s="136"/>
    </row>
    <row r="6755" ht="15.75" customHeight="1">
      <c r="B6755" s="63">
        <f t="shared" si="1"/>
        <v>16</v>
      </c>
      <c r="C6755" s="134" t="s">
        <v>194</v>
      </c>
      <c r="D6755" s="134" t="s">
        <v>74</v>
      </c>
      <c r="E6755" s="135">
        <f t="shared" si="59"/>
        <v>24</v>
      </c>
      <c r="F6755" s="134" t="s">
        <v>3587</v>
      </c>
      <c r="G6755" s="63" t="str">
        <f>VLOOKUP(C6755, 'Class Def. - General Data'!$C$20:$C$1000,1,false)</f>
        <v>ZSF1_PACK_SAMBAL</v>
      </c>
      <c r="H6755" s="63" t="str">
        <f>IFERROR(__xludf.DUMMYFUNCTION("VLOOKUP(F6755, IMPORTRANGE(""https://docs.google.com/spreadsheets/d/1Lhp9OU0JdFf_VYSMzH5lBcEaU4o8teT1piV-SNzShjg/edit?gid=554141278#gid=554141278"", ""'Char Def. - Attributes'!C20:C2242""), 1,false)"),"PLANT_BUY")</f>
        <v>PLANT_BUY</v>
      </c>
      <c r="I6755" s="136"/>
    </row>
    <row r="6756" ht="15.75" customHeight="1">
      <c r="B6756" s="63">
        <f t="shared" si="1"/>
        <v>16</v>
      </c>
      <c r="C6756" s="134" t="s">
        <v>194</v>
      </c>
      <c r="D6756" s="134" t="s">
        <v>74</v>
      </c>
      <c r="E6756" s="135">
        <f t="shared" si="59"/>
        <v>25</v>
      </c>
      <c r="F6756" s="134" t="s">
        <v>4040</v>
      </c>
      <c r="G6756" s="63" t="str">
        <f>VLOOKUP(C6756, 'Class Def. - General Data'!$C$20:$C$1000,1,false)</f>
        <v>ZSF1_PACK_SAMBAL</v>
      </c>
      <c r="H6756" s="63" t="str">
        <f>IFERROR(__xludf.DUMMYFUNCTION("VLOOKUP(F6756, IMPORTRANGE(""https://docs.google.com/spreadsheets/d/1Lhp9OU0JdFf_VYSMzH5lBcEaU4o8teT1piV-SNzShjg/edit?gid=554141278#gid=554141278"", ""'Char Def. - Attributes'!C20:C2242""), 1,false)"),"OLD_MAT_SFG")</f>
        <v>OLD_MAT_SFG</v>
      </c>
      <c r="I6756" s="136"/>
    </row>
    <row r="6757" ht="15.75" customHeight="1">
      <c r="B6757" s="63">
        <f t="shared" si="1"/>
        <v>18</v>
      </c>
      <c r="C6757" s="134" t="s">
        <v>197</v>
      </c>
      <c r="D6757" s="134" t="s">
        <v>74</v>
      </c>
      <c r="E6757" s="135">
        <f t="shared" si="59"/>
        <v>1</v>
      </c>
      <c r="F6757" s="134" t="s">
        <v>4036</v>
      </c>
      <c r="G6757" s="63" t="str">
        <f>VLOOKUP(C6757, 'Class Def. - General Data'!$C$20:$C$1000,1,false)</f>
        <v>ZSF1_PINTD_FRESMAT</v>
      </c>
      <c r="H6757" s="63" t="str">
        <f>IFERROR(__xludf.DUMMYFUNCTION("VLOOKUP(F6757, IMPORTRANGE(""https://docs.google.com/spreadsheets/d/1Lhp9OU0JdFf_VYSMzH5lBcEaU4o8teT1piV-SNzShjg/edit?gid=554141278#gid=554141278"", ""'Char Def. - Attributes'!C20:C2242""), 1,false)"),"NAMA_BAHAN")</f>
        <v>NAMA_BAHAN</v>
      </c>
      <c r="I6757" s="136"/>
    </row>
    <row r="6758" ht="15.75" customHeight="1">
      <c r="B6758" s="63">
        <f t="shared" si="1"/>
        <v>18</v>
      </c>
      <c r="C6758" s="160" t="s">
        <v>197</v>
      </c>
      <c r="D6758" s="161" t="s">
        <v>74</v>
      </c>
      <c r="E6758" s="135">
        <f t="shared" si="59"/>
        <v>2</v>
      </c>
      <c r="F6758" s="134" t="s">
        <v>4037</v>
      </c>
      <c r="G6758" s="63" t="str">
        <f>VLOOKUP(C6758, 'Class Def. - General Data'!$C$20:$C$1000,1,false)</f>
        <v>ZSF1_PINTD_FRESMAT</v>
      </c>
      <c r="H6758" s="63" t="str">
        <f>IFERROR(__xludf.DUMMYFUNCTION("VLOOKUP(F6758, IMPORTRANGE(""https://docs.google.com/spreadsheets/d/1Lhp9OU0JdFf_VYSMzH5lBcEaU4o8teT1piV-SNzShjg/edit?gid=554141278#gid=554141278"", ""'Char Def. - Attributes'!C20:C2242""), 1,false)"),"VARIAN_BAHAN")</f>
        <v>VARIAN_BAHAN</v>
      </c>
      <c r="I6758" s="136"/>
    </row>
    <row r="6759" ht="15.75" customHeight="1">
      <c r="B6759" s="63">
        <f t="shared" si="1"/>
        <v>18</v>
      </c>
      <c r="C6759" s="160" t="s">
        <v>197</v>
      </c>
      <c r="D6759" s="161" t="s">
        <v>74</v>
      </c>
      <c r="E6759" s="135">
        <f t="shared" si="59"/>
        <v>3</v>
      </c>
      <c r="F6759" s="134" t="s">
        <v>3605</v>
      </c>
      <c r="G6759" s="63" t="str">
        <f>VLOOKUP(C6759, 'Class Def. - General Data'!$C$20:$C$1000,1,false)</f>
        <v>ZSF1_PINTD_FRESMAT</v>
      </c>
      <c r="H6759" s="63" t="str">
        <f>IFERROR(__xludf.DUMMYFUNCTION("VLOOKUP(F6759, IMPORTRANGE(""https://docs.google.com/spreadsheets/d/1Lhp9OU0JdFf_VYSMzH5lBcEaU4o8teT1piV-SNzShjg/edit?gid=554141278#gid=554141278"", ""'Char Def. - Attributes'!C20:C2242""), 1,false)"),"PACK_NETTO")</f>
        <v>PACK_NETTO</v>
      </c>
      <c r="I6759" s="136"/>
    </row>
    <row r="6760" ht="15.75" customHeight="1">
      <c r="B6760" s="63">
        <f t="shared" si="1"/>
        <v>18</v>
      </c>
      <c r="C6760" s="160" t="s">
        <v>197</v>
      </c>
      <c r="D6760" s="161" t="s">
        <v>74</v>
      </c>
      <c r="E6760" s="135">
        <f t="shared" si="59"/>
        <v>4</v>
      </c>
      <c r="F6760" s="134" t="s">
        <v>4038</v>
      </c>
      <c r="G6760" s="63" t="str">
        <f>VLOOKUP(C6760, 'Class Def. - General Data'!$C$20:$C$1000,1,false)</f>
        <v>ZSF1_PINTD_FRESMAT</v>
      </c>
      <c r="H6760" s="63" t="str">
        <f>IFERROR(__xludf.DUMMYFUNCTION("VLOOKUP(F6760, IMPORTRANGE(""https://docs.google.com/spreadsheets/d/1Lhp9OU0JdFf_VYSMzH5lBcEaU4o8teT1piV-SNzShjg/edit?gid=554141278#gid=554141278"", ""'Char Def. - Attributes'!C20:C2242""), 1,false)"),"SFG_SPEC")</f>
        <v>SFG_SPEC</v>
      </c>
      <c r="I6760" s="136"/>
    </row>
    <row r="6761" ht="15.75" customHeight="1">
      <c r="B6761" s="63">
        <f t="shared" si="1"/>
        <v>18</v>
      </c>
      <c r="C6761" s="135" t="s">
        <v>197</v>
      </c>
      <c r="D6761" s="141" t="s">
        <v>74</v>
      </c>
      <c r="E6761" s="135">
        <f t="shared" si="59"/>
        <v>5</v>
      </c>
      <c r="F6761" s="134" t="s">
        <v>3611</v>
      </c>
      <c r="G6761" s="63" t="str">
        <f>VLOOKUP(C6761, 'Class Def. - General Data'!$C$20:$C$1000,1,false)</f>
        <v>ZSF1_PINTD_FRESMAT</v>
      </c>
      <c r="H6761" s="63" t="str">
        <f>IFERROR(__xludf.DUMMYFUNCTION("VLOOKUP(F6761, IMPORTRANGE(""https://docs.google.com/spreadsheets/d/1Lhp9OU0JdFf_VYSMzH5lBcEaU4o8teT1piV-SNzShjg/edit?gid=554141278#gid=554141278"", ""'Char Def. - Attributes'!C20:C2242""), 1,false)"),"LOKAL_EKSPOR")</f>
        <v>LOKAL_EKSPOR</v>
      </c>
      <c r="I6761" s="136"/>
    </row>
    <row r="6762" ht="15.75" customHeight="1">
      <c r="B6762" s="63">
        <f t="shared" si="1"/>
        <v>18</v>
      </c>
      <c r="C6762" s="135" t="s">
        <v>197</v>
      </c>
      <c r="D6762" s="141" t="s">
        <v>74</v>
      </c>
      <c r="E6762" s="135">
        <f t="shared" si="59"/>
        <v>6</v>
      </c>
      <c r="F6762" s="134" t="s">
        <v>3612</v>
      </c>
      <c r="G6762" s="63" t="str">
        <f>VLOOKUP(C6762, 'Class Def. - General Data'!$C$20:$C$1000,1,false)</f>
        <v>ZSF1_PINTD_FRESMAT</v>
      </c>
      <c r="H6762" s="63" t="str">
        <f>IFERROR(__xludf.DUMMYFUNCTION("VLOOKUP(F6762, IMPORTRANGE(""https://docs.google.com/spreadsheets/d/1Lhp9OU0JdFf_VYSMzH5lBcEaU4o8teT1piV-SNzShjg/edit?gid=554141278#gid=554141278"", ""'Char Def. - Attributes'!C20:C2242""), 1,false)"),"COUNTRY_EKSPOR")</f>
        <v>COUNTRY_EKSPOR</v>
      </c>
      <c r="I6762" s="136"/>
    </row>
    <row r="6763" ht="15.75" customHeight="1">
      <c r="B6763" s="63">
        <f t="shared" si="1"/>
        <v>18</v>
      </c>
      <c r="C6763" s="134" t="s">
        <v>197</v>
      </c>
      <c r="D6763" s="134" t="s">
        <v>74</v>
      </c>
      <c r="E6763" s="135">
        <f t="shared" si="59"/>
        <v>7</v>
      </c>
      <c r="F6763" s="134" t="s">
        <v>4041</v>
      </c>
      <c r="G6763" s="63" t="str">
        <f>VLOOKUP(C6763, 'Class Def. - General Data'!$C$20:$C$1000,1,false)</f>
        <v>ZSF1_PINTD_FRESMAT</v>
      </c>
      <c r="H6763" s="63" t="str">
        <f>IFERROR(__xludf.DUMMYFUNCTION("VLOOKUP(F6763, IMPORTRANGE(""https://docs.google.com/spreadsheets/d/1Lhp9OU0JdFf_VYSMzH5lBcEaU4o8teT1piV-SNzShjg/edit?gid=554141278#gid=554141278"", ""'Char Def. - Attributes'!C20:C2242""), 1,false)"),"SFG_GRADE")</f>
        <v>SFG_GRADE</v>
      </c>
      <c r="I6763" s="136"/>
    </row>
    <row r="6764" ht="15.75" customHeight="1">
      <c r="B6764" s="63">
        <f t="shared" si="1"/>
        <v>18</v>
      </c>
      <c r="C6764" s="160" t="s">
        <v>197</v>
      </c>
      <c r="D6764" s="161" t="s">
        <v>74</v>
      </c>
      <c r="E6764" s="135">
        <f t="shared" si="59"/>
        <v>8</v>
      </c>
      <c r="F6764" s="134" t="s">
        <v>3881</v>
      </c>
      <c r="G6764" s="63" t="str">
        <f>VLOOKUP(C6764, 'Class Def. - General Data'!$C$20:$C$1000,1,false)</f>
        <v>ZSF1_PINTD_FRESMAT</v>
      </c>
      <c r="H6764" s="63" t="str">
        <f>IFERROR(__xludf.DUMMYFUNCTION("VLOOKUP(F6764, IMPORTRANGE(""https://docs.google.com/spreadsheets/d/1Lhp9OU0JdFf_VYSMzH5lBcEaU4o8teT1piV-SNzShjg/edit?gid=554141278#gid=554141278"", ""'Char Def. - Attributes'!C20:C2242""), 1,false)"),"BS_BERSIH")</f>
        <v>BS_BERSIH</v>
      </c>
      <c r="I6764" s="136"/>
    </row>
    <row r="6765" ht="15.75" customHeight="1">
      <c r="B6765" s="63">
        <f t="shared" si="1"/>
        <v>18</v>
      </c>
      <c r="C6765" s="160" t="s">
        <v>197</v>
      </c>
      <c r="D6765" s="161" t="s">
        <v>74</v>
      </c>
      <c r="E6765" s="135">
        <f t="shared" si="59"/>
        <v>9</v>
      </c>
      <c r="F6765" s="134" t="s">
        <v>3882</v>
      </c>
      <c r="G6765" s="63" t="str">
        <f>VLOOKUP(C6765, 'Class Def. - General Data'!$C$20:$C$1000,1,false)</f>
        <v>ZSF1_PINTD_FRESMAT</v>
      </c>
      <c r="H6765" s="63" t="str">
        <f>IFERROR(__xludf.DUMMYFUNCTION("VLOOKUP(F6765, IMPORTRANGE(""https://docs.google.com/spreadsheets/d/1Lhp9OU0JdFf_VYSMzH5lBcEaU4o8teT1piV-SNzShjg/edit?gid=554141278#gid=554141278"", ""'Char Def. - Attributes'!C20:C2242""), 1,false)"),"BS_KOTOR")</f>
        <v>BS_KOTOR</v>
      </c>
      <c r="I6765" s="136"/>
    </row>
    <row r="6766" ht="15.75" customHeight="1">
      <c r="B6766" s="63">
        <f t="shared" si="1"/>
        <v>18</v>
      </c>
      <c r="C6766" s="160" t="s">
        <v>197</v>
      </c>
      <c r="D6766" s="161" t="s">
        <v>74</v>
      </c>
      <c r="E6766" s="135">
        <f t="shared" si="59"/>
        <v>10</v>
      </c>
      <c r="F6766" s="134" t="s">
        <v>3883</v>
      </c>
      <c r="G6766" s="63" t="str">
        <f>VLOOKUP(C6766, 'Class Def. - General Data'!$C$20:$C$1000,1,false)</f>
        <v>ZSF1_PINTD_FRESMAT</v>
      </c>
      <c r="H6766" s="63" t="str">
        <f>IFERROR(__xludf.DUMMYFUNCTION("VLOOKUP(F6766, IMPORTRANGE(""https://docs.google.com/spreadsheets/d/1Lhp9OU0JdFf_VYSMzH5lBcEaU4o8teT1piV-SNzShjg/edit?gid=554141278#gid=554141278"", ""'Char Def. - Attributes'!C20:C2242""), 1,false)"),"BS_SCRAP")</f>
        <v>BS_SCRAP</v>
      </c>
      <c r="I6766" s="136"/>
    </row>
    <row r="6767" ht="15.75" customHeight="1">
      <c r="B6767" s="63">
        <f t="shared" si="1"/>
        <v>18</v>
      </c>
      <c r="C6767" s="134" t="s">
        <v>197</v>
      </c>
      <c r="D6767" s="134" t="s">
        <v>74</v>
      </c>
      <c r="E6767" s="135">
        <f t="shared" si="59"/>
        <v>11</v>
      </c>
      <c r="F6767" s="134" t="s">
        <v>3582</v>
      </c>
      <c r="G6767" s="63" t="str">
        <f>VLOOKUP(C6767, 'Class Def. - General Data'!$C$20:$C$1000,1,false)</f>
        <v>ZSF1_PINTD_FRESMAT</v>
      </c>
      <c r="H6767" s="63" t="str">
        <f>IFERROR(__xludf.DUMMYFUNCTION("VLOOKUP(F6767, IMPORTRANGE(""https://docs.google.com/spreadsheets/d/1Lhp9OU0JdFf_VYSMzH5lBcEaU4o8teT1piV-SNzShjg/edit?gid=554141278#gid=554141278"", ""'Char Def. - Attributes'!C20:C2242""), 1,false)"),"BASE_UNIT")</f>
        <v>BASE_UNIT</v>
      </c>
      <c r="I6767" s="136"/>
    </row>
    <row r="6768" ht="15.75" customHeight="1">
      <c r="B6768" s="63">
        <f t="shared" si="1"/>
        <v>18</v>
      </c>
      <c r="C6768" s="134" t="s">
        <v>197</v>
      </c>
      <c r="D6768" s="134" t="s">
        <v>74</v>
      </c>
      <c r="E6768" s="135">
        <f t="shared" si="59"/>
        <v>12</v>
      </c>
      <c r="F6768" s="134" t="s">
        <v>3595</v>
      </c>
      <c r="G6768" s="63" t="str">
        <f>VLOOKUP(C6768, 'Class Def. - General Data'!$C$20:$C$1000,1,false)</f>
        <v>ZSF1_PINTD_FRESMAT</v>
      </c>
      <c r="H6768" s="63" t="str">
        <f>IFERROR(__xludf.DUMMYFUNCTION("VLOOKUP(F6768, IMPORTRANGE(""https://docs.google.com/spreadsheets/d/1Lhp9OU0JdFf_VYSMzH5lBcEaU4o8teT1piV-SNzShjg/edit?gid=554141278#gid=554141278"", ""'Char Def. - Attributes'!C20:C2242""), 1,false)"),"UOM1")</f>
        <v>UOM1</v>
      </c>
      <c r="I6768" s="136"/>
    </row>
    <row r="6769" ht="15.75" customHeight="1">
      <c r="B6769" s="63">
        <f t="shared" si="1"/>
        <v>18</v>
      </c>
      <c r="C6769" s="134" t="s">
        <v>197</v>
      </c>
      <c r="D6769" s="134" t="s">
        <v>74</v>
      </c>
      <c r="E6769" s="135">
        <f t="shared" si="59"/>
        <v>13</v>
      </c>
      <c r="F6769" s="134" t="s">
        <v>3596</v>
      </c>
      <c r="G6769" s="63" t="str">
        <f>VLOOKUP(C6769, 'Class Def. - General Data'!$C$20:$C$1000,1,false)</f>
        <v>ZSF1_PINTD_FRESMAT</v>
      </c>
      <c r="H6769" s="63" t="str">
        <f>IFERROR(__xludf.DUMMYFUNCTION("VLOOKUP(F6769, IMPORTRANGE(""https://docs.google.com/spreadsheets/d/1Lhp9OU0JdFf_VYSMzH5lBcEaU4o8teT1piV-SNzShjg/edit?gid=554141278#gid=554141278"", ""'Char Def. - Attributes'!C20:C2242""), 1,false)"),"CONV1")</f>
        <v>CONV1</v>
      </c>
      <c r="I6769" s="136"/>
    </row>
    <row r="6770" ht="15.75" customHeight="1">
      <c r="B6770" s="63">
        <f t="shared" si="1"/>
        <v>18</v>
      </c>
      <c r="C6770" s="134" t="s">
        <v>197</v>
      </c>
      <c r="D6770" s="134" t="s">
        <v>74</v>
      </c>
      <c r="E6770" s="135">
        <f t="shared" si="59"/>
        <v>14</v>
      </c>
      <c r="F6770" s="134" t="s">
        <v>3597</v>
      </c>
      <c r="G6770" s="63" t="str">
        <f>VLOOKUP(C6770, 'Class Def. - General Data'!$C$20:$C$1000,1,false)</f>
        <v>ZSF1_PINTD_FRESMAT</v>
      </c>
      <c r="H6770" s="63" t="str">
        <f>IFERROR(__xludf.DUMMYFUNCTION("VLOOKUP(F6770, IMPORTRANGE(""https://docs.google.com/spreadsheets/d/1Lhp9OU0JdFf_VYSMzH5lBcEaU4o8teT1piV-SNzShjg/edit?gid=554141278#gid=554141278"", ""'Char Def. - Attributes'!C20:C2242""), 1,false)"),"UOM2")</f>
        <v>UOM2</v>
      </c>
      <c r="I6770" s="136"/>
    </row>
    <row r="6771" ht="15.75" customHeight="1">
      <c r="B6771" s="63">
        <f t="shared" si="1"/>
        <v>18</v>
      </c>
      <c r="C6771" s="134" t="s">
        <v>197</v>
      </c>
      <c r="D6771" s="134" t="s">
        <v>74</v>
      </c>
      <c r="E6771" s="135">
        <f t="shared" si="59"/>
        <v>15</v>
      </c>
      <c r="F6771" s="134" t="s">
        <v>3598</v>
      </c>
      <c r="G6771" s="63" t="str">
        <f>VLOOKUP(C6771, 'Class Def. - General Data'!$C$20:$C$1000,1,false)</f>
        <v>ZSF1_PINTD_FRESMAT</v>
      </c>
      <c r="H6771" s="63" t="str">
        <f>IFERROR(__xludf.DUMMYFUNCTION("VLOOKUP(F6771, IMPORTRANGE(""https://docs.google.com/spreadsheets/d/1Lhp9OU0JdFf_VYSMzH5lBcEaU4o8teT1piV-SNzShjg/edit?gid=554141278#gid=554141278"", ""'Char Def. - Attributes'!C20:C2242""), 1,false)"),"CONV2")</f>
        <v>CONV2</v>
      </c>
      <c r="I6771" s="136"/>
    </row>
    <row r="6772" ht="15.75" customHeight="1">
      <c r="B6772" s="63">
        <f t="shared" si="1"/>
        <v>18</v>
      </c>
      <c r="C6772" s="134" t="s">
        <v>197</v>
      </c>
      <c r="D6772" s="134" t="s">
        <v>74</v>
      </c>
      <c r="E6772" s="135">
        <f t="shared" si="59"/>
        <v>16</v>
      </c>
      <c r="F6772" s="134" t="s">
        <v>3599</v>
      </c>
      <c r="G6772" s="63" t="str">
        <f>VLOOKUP(C6772, 'Class Def. - General Data'!$C$20:$C$1000,1,false)</f>
        <v>ZSF1_PINTD_FRESMAT</v>
      </c>
      <c r="H6772" s="63" t="str">
        <f>IFERROR(__xludf.DUMMYFUNCTION("VLOOKUP(F6772, IMPORTRANGE(""https://docs.google.com/spreadsheets/d/1Lhp9OU0JdFf_VYSMzH5lBcEaU4o8teT1piV-SNzShjg/edit?gid=554141278#gid=554141278"", ""'Char Def. - Attributes'!C20:C2242""), 1,false)"),"UOM3")</f>
        <v>UOM3</v>
      </c>
      <c r="I6772" s="136"/>
    </row>
    <row r="6773" ht="15.75" customHeight="1">
      <c r="B6773" s="63">
        <f t="shared" si="1"/>
        <v>18</v>
      </c>
      <c r="C6773" s="134" t="s">
        <v>197</v>
      </c>
      <c r="D6773" s="134" t="s">
        <v>74</v>
      </c>
      <c r="E6773" s="135">
        <f t="shared" si="59"/>
        <v>17</v>
      </c>
      <c r="F6773" s="134" t="s">
        <v>3600</v>
      </c>
      <c r="G6773" s="63" t="str">
        <f>VLOOKUP(C6773, 'Class Def. - General Data'!$C$20:$C$1000,1,false)</f>
        <v>ZSF1_PINTD_FRESMAT</v>
      </c>
      <c r="H6773" s="63" t="str">
        <f>IFERROR(__xludf.DUMMYFUNCTION("VLOOKUP(F6773, IMPORTRANGE(""https://docs.google.com/spreadsheets/d/1Lhp9OU0JdFf_VYSMzH5lBcEaU4o8teT1piV-SNzShjg/edit?gid=554141278#gid=554141278"", ""'Char Def. - Attributes'!C20:C2242""), 1,false)"),"CONV3")</f>
        <v>CONV3</v>
      </c>
      <c r="I6773" s="136"/>
    </row>
    <row r="6774" ht="15.75" customHeight="1">
      <c r="B6774" s="63">
        <f t="shared" si="1"/>
        <v>18</v>
      </c>
      <c r="C6774" s="134" t="s">
        <v>197</v>
      </c>
      <c r="D6774" s="134" t="s">
        <v>74</v>
      </c>
      <c r="E6774" s="135">
        <f t="shared" si="59"/>
        <v>18</v>
      </c>
      <c r="F6774" s="134" t="s">
        <v>3601</v>
      </c>
      <c r="G6774" s="63" t="str">
        <f>VLOOKUP(C6774, 'Class Def. - General Data'!$C$20:$C$1000,1,false)</f>
        <v>ZSF1_PINTD_FRESMAT</v>
      </c>
      <c r="H6774" s="63" t="str">
        <f>IFERROR(__xludf.DUMMYFUNCTION("VLOOKUP(F6774, IMPORTRANGE(""https://docs.google.com/spreadsheets/d/1Lhp9OU0JdFf_VYSMzH5lBcEaU4o8teT1piV-SNzShjg/edit?gid=554141278#gid=554141278"", ""'Char Def. - Attributes'!C20:C2242""), 1,false)"),"GROSS_WEIGHT")</f>
        <v>GROSS_WEIGHT</v>
      </c>
      <c r="I6774" s="136"/>
    </row>
    <row r="6775" ht="15.75" customHeight="1">
      <c r="B6775" s="63">
        <f t="shared" si="1"/>
        <v>18</v>
      </c>
      <c r="C6775" s="134" t="s">
        <v>197</v>
      </c>
      <c r="D6775" s="134" t="s">
        <v>74</v>
      </c>
      <c r="E6775" s="135">
        <f t="shared" si="59"/>
        <v>19</v>
      </c>
      <c r="F6775" s="134" t="s">
        <v>3602</v>
      </c>
      <c r="G6775" s="63" t="str">
        <f>VLOOKUP(C6775, 'Class Def. - General Data'!$C$20:$C$1000,1,false)</f>
        <v>ZSF1_PINTD_FRESMAT</v>
      </c>
      <c r="H6775" s="63" t="str">
        <f>IFERROR(__xludf.DUMMYFUNCTION("VLOOKUP(F6775, IMPORTRANGE(""https://docs.google.com/spreadsheets/d/1Lhp9OU0JdFf_VYSMzH5lBcEaU4o8teT1piV-SNzShjg/edit?gid=554141278#gid=554141278"", ""'Char Def. - Attributes'!C20:C2242""), 1,false)"),"NET_WEIGHT")</f>
        <v>NET_WEIGHT</v>
      </c>
      <c r="I6775" s="136"/>
    </row>
    <row r="6776" ht="15.75" customHeight="1">
      <c r="B6776" s="63">
        <f t="shared" si="1"/>
        <v>18</v>
      </c>
      <c r="C6776" s="134" t="s">
        <v>197</v>
      </c>
      <c r="D6776" s="134" t="s">
        <v>74</v>
      </c>
      <c r="E6776" s="135">
        <f t="shared" si="59"/>
        <v>20</v>
      </c>
      <c r="F6776" s="134" t="s">
        <v>3603</v>
      </c>
      <c r="G6776" s="63" t="str">
        <f>VLOOKUP(C6776, 'Class Def. - General Data'!$C$20:$C$1000,1,false)</f>
        <v>ZSF1_PINTD_FRESMAT</v>
      </c>
      <c r="H6776" s="63" t="str">
        <f>IFERROR(__xludf.DUMMYFUNCTION("VLOOKUP(F6776, IMPORTRANGE(""https://docs.google.com/spreadsheets/d/1Lhp9OU0JdFf_VYSMzH5lBcEaU4o8teT1piV-SNzShjg/edit?gid=554141278#gid=554141278"", ""'Char Def. - Attributes'!C20:C2242""), 1,false)"),"VOLUME")</f>
        <v>VOLUME</v>
      </c>
      <c r="I6776" s="136"/>
    </row>
    <row r="6777" ht="15.75" customHeight="1">
      <c r="B6777" s="63">
        <f t="shared" si="1"/>
        <v>18</v>
      </c>
      <c r="C6777" s="134" t="s">
        <v>197</v>
      </c>
      <c r="D6777" s="134" t="s">
        <v>74</v>
      </c>
      <c r="E6777" s="135">
        <f t="shared" si="59"/>
        <v>21</v>
      </c>
      <c r="F6777" s="134" t="s">
        <v>3586</v>
      </c>
      <c r="G6777" s="63" t="str">
        <f>VLOOKUP(C6777, 'Class Def. - General Data'!$C$20:$C$1000,1,false)</f>
        <v>ZSF1_PINTD_FRESMAT</v>
      </c>
      <c r="H6777" s="63" t="str">
        <f>IFERROR(__xludf.DUMMYFUNCTION("VLOOKUP(F6777, IMPORTRANGE(""https://docs.google.com/spreadsheets/d/1Lhp9OU0JdFf_VYSMzH5lBcEaU4o8teT1piV-SNzShjg/edit?gid=554141278#gid=554141278"", ""'Char Def. - Attributes'!C20:C2242""), 1,false)"),"PLANT_PROD")</f>
        <v>PLANT_PROD</v>
      </c>
      <c r="I6777" s="136"/>
    </row>
    <row r="6778" ht="15.75" customHeight="1">
      <c r="B6778" s="63">
        <f t="shared" si="1"/>
        <v>18</v>
      </c>
      <c r="C6778" s="134" t="s">
        <v>197</v>
      </c>
      <c r="D6778" s="134" t="s">
        <v>74</v>
      </c>
      <c r="E6778" s="135">
        <f t="shared" si="59"/>
        <v>22</v>
      </c>
      <c r="F6778" s="134" t="s">
        <v>3587</v>
      </c>
      <c r="G6778" s="63" t="str">
        <f>VLOOKUP(C6778, 'Class Def. - General Data'!$C$20:$C$1000,1,false)</f>
        <v>ZSF1_PINTD_FRESMAT</v>
      </c>
      <c r="H6778" s="63" t="str">
        <f>IFERROR(__xludf.DUMMYFUNCTION("VLOOKUP(F6778, IMPORTRANGE(""https://docs.google.com/spreadsheets/d/1Lhp9OU0JdFf_VYSMzH5lBcEaU4o8teT1piV-SNzShjg/edit?gid=554141278#gid=554141278"", ""'Char Def. - Attributes'!C20:C2242""), 1,false)"),"PLANT_BUY")</f>
        <v>PLANT_BUY</v>
      </c>
      <c r="I6778" s="136"/>
    </row>
    <row r="6779" ht="15.75" customHeight="1">
      <c r="B6779" s="63">
        <f t="shared" si="1"/>
        <v>18</v>
      </c>
      <c r="C6779" s="134" t="s">
        <v>197</v>
      </c>
      <c r="D6779" s="134" t="s">
        <v>74</v>
      </c>
      <c r="E6779" s="135">
        <f t="shared" si="59"/>
        <v>23</v>
      </c>
      <c r="F6779" s="134" t="s">
        <v>4040</v>
      </c>
      <c r="G6779" s="63" t="str">
        <f>VLOOKUP(C6779, 'Class Def. - General Data'!$C$20:$C$1000,1,false)</f>
        <v>ZSF1_PINTD_FRESMAT</v>
      </c>
      <c r="H6779" s="63" t="str">
        <f>IFERROR(__xludf.DUMMYFUNCTION("VLOOKUP(F6779, IMPORTRANGE(""https://docs.google.com/spreadsheets/d/1Lhp9OU0JdFf_VYSMzH5lBcEaU4o8teT1piV-SNzShjg/edit?gid=554141278#gid=554141278"", ""'Char Def. - Attributes'!C20:C2242""), 1,false)"),"OLD_MAT_SFG")</f>
        <v>OLD_MAT_SFG</v>
      </c>
      <c r="I6779" s="136"/>
    </row>
    <row r="6780" ht="15.75" customHeight="1">
      <c r="B6780" s="63">
        <f t="shared" si="1"/>
        <v>18</v>
      </c>
      <c r="C6780" s="134" t="s">
        <v>198</v>
      </c>
      <c r="D6780" s="134" t="s">
        <v>74</v>
      </c>
      <c r="E6780" s="135">
        <f t="shared" si="59"/>
        <v>1</v>
      </c>
      <c r="F6780" s="134" t="s">
        <v>3853</v>
      </c>
      <c r="G6780" s="63" t="str">
        <f>VLOOKUP(C6780, 'Class Def. - General Data'!$C$20:$C$1000,1,false)</f>
        <v>ZSF1_PINTD_GARNISH</v>
      </c>
      <c r="H6780" s="63" t="str">
        <f>IFERROR(__xludf.DUMMYFUNCTION("VLOOKUP(F6780, IMPORTRANGE(""https://docs.google.com/spreadsheets/d/1Lhp9OU0JdFf_VYSMzH5lBcEaU4o8teT1piV-SNzShjg/edit?gid=554141278#gid=554141278"", ""'Char Def. - Attributes'!C20:C2242""), 1,false)"),"BRAND_WINGS")</f>
        <v>BRAND_WINGS</v>
      </c>
      <c r="I6780" s="136"/>
    </row>
    <row r="6781" ht="15.75" customHeight="1">
      <c r="B6781" s="63">
        <f t="shared" si="1"/>
        <v>18</v>
      </c>
      <c r="C6781" s="134" t="s">
        <v>198</v>
      </c>
      <c r="D6781" s="134" t="s">
        <v>74</v>
      </c>
      <c r="E6781" s="135">
        <f t="shared" si="59"/>
        <v>2</v>
      </c>
      <c r="F6781" s="134" t="s">
        <v>3607</v>
      </c>
      <c r="G6781" s="63" t="str">
        <f>VLOOKUP(C6781, 'Class Def. - General Data'!$C$20:$C$1000,1,false)</f>
        <v>ZSF1_PINTD_GARNISH</v>
      </c>
      <c r="H6781" s="63" t="str">
        <f>IFERROR(__xludf.DUMMYFUNCTION("VLOOKUP(F6781, IMPORTRANGE(""https://docs.google.com/spreadsheets/d/1Lhp9OU0JdFf_VYSMzH5lBcEaU4o8teT1piV-SNzShjg/edit?gid=554141278#gid=554141278"", ""'Char Def. - Attributes'!C20:C2242""), 1,false)"),"VARIAN")</f>
        <v>VARIAN</v>
      </c>
      <c r="I6781" s="136"/>
    </row>
    <row r="6782" ht="15.75" customHeight="1">
      <c r="B6782" s="63">
        <f t="shared" si="1"/>
        <v>18</v>
      </c>
      <c r="C6782" s="134" t="s">
        <v>198</v>
      </c>
      <c r="D6782" s="134" t="s">
        <v>74</v>
      </c>
      <c r="E6782" s="135">
        <f t="shared" si="59"/>
        <v>3</v>
      </c>
      <c r="F6782" s="134" t="s">
        <v>4036</v>
      </c>
      <c r="G6782" s="63" t="str">
        <f>VLOOKUP(C6782, 'Class Def. - General Data'!$C$20:$C$1000,1,false)</f>
        <v>ZSF1_PINTD_GARNISH</v>
      </c>
      <c r="H6782" s="63" t="str">
        <f>IFERROR(__xludf.DUMMYFUNCTION("VLOOKUP(F6782, IMPORTRANGE(""https://docs.google.com/spreadsheets/d/1Lhp9OU0JdFf_VYSMzH5lBcEaU4o8teT1piV-SNzShjg/edit?gid=554141278#gid=554141278"", ""'Char Def. - Attributes'!C20:C2242""), 1,false)"),"NAMA_BAHAN")</f>
        <v>NAMA_BAHAN</v>
      </c>
      <c r="I6782" s="136"/>
    </row>
    <row r="6783" ht="15.75" customHeight="1">
      <c r="B6783" s="63">
        <f t="shared" si="1"/>
        <v>18</v>
      </c>
      <c r="C6783" s="160" t="s">
        <v>198</v>
      </c>
      <c r="D6783" s="161" t="s">
        <v>74</v>
      </c>
      <c r="E6783" s="135">
        <f t="shared" si="59"/>
        <v>4</v>
      </c>
      <c r="F6783" s="134" t="s">
        <v>4037</v>
      </c>
      <c r="G6783" s="63" t="str">
        <f>VLOOKUP(C6783, 'Class Def. - General Data'!$C$20:$C$1000,1,false)</f>
        <v>ZSF1_PINTD_GARNISH</v>
      </c>
      <c r="H6783" s="63" t="str">
        <f>IFERROR(__xludf.DUMMYFUNCTION("VLOOKUP(F6783, IMPORTRANGE(""https://docs.google.com/spreadsheets/d/1Lhp9OU0JdFf_VYSMzH5lBcEaU4o8teT1piV-SNzShjg/edit?gid=554141278#gid=554141278"", ""'Char Def. - Attributes'!C20:C2242""), 1,false)"),"VARIAN_BAHAN")</f>
        <v>VARIAN_BAHAN</v>
      </c>
      <c r="I6783" s="136"/>
    </row>
    <row r="6784" ht="15.75" customHeight="1">
      <c r="B6784" s="63">
        <f t="shared" si="1"/>
        <v>18</v>
      </c>
      <c r="C6784" s="160" t="s">
        <v>198</v>
      </c>
      <c r="D6784" s="161" t="s">
        <v>74</v>
      </c>
      <c r="E6784" s="135">
        <f t="shared" si="59"/>
        <v>5</v>
      </c>
      <c r="F6784" s="134" t="s">
        <v>3605</v>
      </c>
      <c r="G6784" s="63" t="str">
        <f>VLOOKUP(C6784, 'Class Def. - General Data'!$C$20:$C$1000,1,false)</f>
        <v>ZSF1_PINTD_GARNISH</v>
      </c>
      <c r="H6784" s="63" t="str">
        <f>IFERROR(__xludf.DUMMYFUNCTION("VLOOKUP(F6784, IMPORTRANGE(""https://docs.google.com/spreadsheets/d/1Lhp9OU0JdFf_VYSMzH5lBcEaU4o8teT1piV-SNzShjg/edit?gid=554141278#gid=554141278"", ""'Char Def. - Attributes'!C20:C2242""), 1,false)"),"PACK_NETTO")</f>
        <v>PACK_NETTO</v>
      </c>
      <c r="I6784" s="136"/>
    </row>
    <row r="6785" ht="15.75" customHeight="1">
      <c r="B6785" s="63">
        <f t="shared" si="1"/>
        <v>18</v>
      </c>
      <c r="C6785" s="160" t="s">
        <v>198</v>
      </c>
      <c r="D6785" s="161" t="s">
        <v>74</v>
      </c>
      <c r="E6785" s="135">
        <f t="shared" si="59"/>
        <v>6</v>
      </c>
      <c r="F6785" s="134" t="s">
        <v>4038</v>
      </c>
      <c r="G6785" s="63" t="str">
        <f>VLOOKUP(C6785, 'Class Def. - General Data'!$C$20:$C$1000,1,false)</f>
        <v>ZSF1_PINTD_GARNISH</v>
      </c>
      <c r="H6785" s="63" t="str">
        <f>IFERROR(__xludf.DUMMYFUNCTION("VLOOKUP(F6785, IMPORTRANGE(""https://docs.google.com/spreadsheets/d/1Lhp9OU0JdFf_VYSMzH5lBcEaU4o8teT1piV-SNzShjg/edit?gid=554141278#gid=554141278"", ""'Char Def. - Attributes'!C20:C2242""), 1,false)"),"SFG_SPEC")</f>
        <v>SFG_SPEC</v>
      </c>
      <c r="I6785" s="136"/>
    </row>
    <row r="6786" ht="15.75" customHeight="1">
      <c r="B6786" s="63">
        <f t="shared" si="1"/>
        <v>18</v>
      </c>
      <c r="C6786" s="135" t="s">
        <v>198</v>
      </c>
      <c r="D6786" s="141" t="s">
        <v>74</v>
      </c>
      <c r="E6786" s="135">
        <f t="shared" si="59"/>
        <v>7</v>
      </c>
      <c r="F6786" s="134" t="s">
        <v>4039</v>
      </c>
      <c r="G6786" s="63" t="str">
        <f>VLOOKUP(C6786, 'Class Def. - General Data'!$C$20:$C$1000,1,false)</f>
        <v>ZSF1_PINTD_GARNISH</v>
      </c>
      <c r="H6786" s="63" t="str">
        <f>IFERROR(__xludf.DUMMYFUNCTION("VLOOKUP(F6786, IMPORTRANGE(""https://docs.google.com/spreadsheets/d/1Lhp9OU0JdFf_VYSMzH5lBcEaU4o8teT1piV-SNzShjg/edit?gid=554141278#gid=554141278"", ""'Char Def. - Attributes'!C20:C2242""), 1,false)"),"SFG_DESTINATION")</f>
        <v>SFG_DESTINATION</v>
      </c>
      <c r="I6786" s="136"/>
    </row>
    <row r="6787" ht="15.75" customHeight="1">
      <c r="B6787" s="63">
        <f t="shared" si="1"/>
        <v>18</v>
      </c>
      <c r="C6787" s="135" t="s">
        <v>198</v>
      </c>
      <c r="D6787" s="141" t="s">
        <v>74</v>
      </c>
      <c r="E6787" s="135">
        <f t="shared" si="59"/>
        <v>8</v>
      </c>
      <c r="F6787" s="134" t="s">
        <v>3611</v>
      </c>
      <c r="G6787" s="63" t="str">
        <f>VLOOKUP(C6787, 'Class Def. - General Data'!$C$20:$C$1000,1,false)</f>
        <v>ZSF1_PINTD_GARNISH</v>
      </c>
      <c r="H6787" s="63" t="str">
        <f>IFERROR(__xludf.DUMMYFUNCTION("VLOOKUP(F6787, IMPORTRANGE(""https://docs.google.com/spreadsheets/d/1Lhp9OU0JdFf_VYSMzH5lBcEaU4o8teT1piV-SNzShjg/edit?gid=554141278#gid=554141278"", ""'Char Def. - Attributes'!C20:C2242""), 1,false)"),"LOKAL_EKSPOR")</f>
        <v>LOKAL_EKSPOR</v>
      </c>
      <c r="I6787" s="136"/>
    </row>
    <row r="6788" ht="15.75" customHeight="1">
      <c r="B6788" s="63">
        <f t="shared" si="1"/>
        <v>18</v>
      </c>
      <c r="C6788" s="135" t="s">
        <v>198</v>
      </c>
      <c r="D6788" s="141" t="s">
        <v>74</v>
      </c>
      <c r="E6788" s="135">
        <f t="shared" si="59"/>
        <v>9</v>
      </c>
      <c r="F6788" s="134" t="s">
        <v>3612</v>
      </c>
      <c r="G6788" s="63" t="str">
        <f>VLOOKUP(C6788, 'Class Def. - General Data'!$C$20:$C$1000,1,false)</f>
        <v>ZSF1_PINTD_GARNISH</v>
      </c>
      <c r="H6788" s="63" t="str">
        <f>IFERROR(__xludf.DUMMYFUNCTION("VLOOKUP(F6788, IMPORTRANGE(""https://docs.google.com/spreadsheets/d/1Lhp9OU0JdFf_VYSMzH5lBcEaU4o8teT1piV-SNzShjg/edit?gid=554141278#gid=554141278"", ""'Char Def. - Attributes'!C20:C2242""), 1,false)"),"COUNTRY_EKSPOR")</f>
        <v>COUNTRY_EKSPOR</v>
      </c>
      <c r="I6788" s="136"/>
    </row>
    <row r="6789" ht="15.75" customHeight="1">
      <c r="B6789" s="63">
        <f t="shared" si="1"/>
        <v>18</v>
      </c>
      <c r="C6789" s="134" t="s">
        <v>198</v>
      </c>
      <c r="D6789" s="134" t="s">
        <v>74</v>
      </c>
      <c r="E6789" s="135">
        <f t="shared" si="59"/>
        <v>10</v>
      </c>
      <c r="F6789" s="134" t="s">
        <v>4041</v>
      </c>
      <c r="G6789" s="63" t="str">
        <f>VLOOKUP(C6789, 'Class Def. - General Data'!$C$20:$C$1000,1,false)</f>
        <v>ZSF1_PINTD_GARNISH</v>
      </c>
      <c r="H6789" s="63" t="str">
        <f>IFERROR(__xludf.DUMMYFUNCTION("VLOOKUP(F6789, IMPORTRANGE(""https://docs.google.com/spreadsheets/d/1Lhp9OU0JdFf_VYSMzH5lBcEaU4o8teT1piV-SNzShjg/edit?gid=554141278#gid=554141278"", ""'Char Def. - Attributes'!C20:C2242""), 1,false)"),"SFG_GRADE")</f>
        <v>SFG_GRADE</v>
      </c>
      <c r="I6789" s="136"/>
    </row>
    <row r="6790" ht="15.75" customHeight="1">
      <c r="B6790" s="63">
        <f t="shared" si="1"/>
        <v>18</v>
      </c>
      <c r="C6790" s="160" t="s">
        <v>198</v>
      </c>
      <c r="D6790" s="161" t="s">
        <v>74</v>
      </c>
      <c r="E6790" s="135">
        <f t="shared" si="59"/>
        <v>11</v>
      </c>
      <c r="F6790" s="134" t="s">
        <v>3881</v>
      </c>
      <c r="G6790" s="63" t="str">
        <f>VLOOKUP(C6790, 'Class Def. - General Data'!$C$20:$C$1000,1,false)</f>
        <v>ZSF1_PINTD_GARNISH</v>
      </c>
      <c r="H6790" s="63" t="str">
        <f>IFERROR(__xludf.DUMMYFUNCTION("VLOOKUP(F6790, IMPORTRANGE(""https://docs.google.com/spreadsheets/d/1Lhp9OU0JdFf_VYSMzH5lBcEaU4o8teT1piV-SNzShjg/edit?gid=554141278#gid=554141278"", ""'Char Def. - Attributes'!C20:C2242""), 1,false)"),"BS_BERSIH")</f>
        <v>BS_BERSIH</v>
      </c>
      <c r="I6790" s="136"/>
    </row>
    <row r="6791" ht="15.75" customHeight="1">
      <c r="B6791" s="63">
        <f t="shared" si="1"/>
        <v>18</v>
      </c>
      <c r="C6791" s="160" t="s">
        <v>198</v>
      </c>
      <c r="D6791" s="161" t="s">
        <v>74</v>
      </c>
      <c r="E6791" s="135">
        <f t="shared" si="59"/>
        <v>12</v>
      </c>
      <c r="F6791" s="134" t="s">
        <v>3882</v>
      </c>
      <c r="G6791" s="63" t="str">
        <f>VLOOKUP(C6791, 'Class Def. - General Data'!$C$20:$C$1000,1,false)</f>
        <v>ZSF1_PINTD_GARNISH</v>
      </c>
      <c r="H6791" s="63" t="str">
        <f>IFERROR(__xludf.DUMMYFUNCTION("VLOOKUP(F6791, IMPORTRANGE(""https://docs.google.com/spreadsheets/d/1Lhp9OU0JdFf_VYSMzH5lBcEaU4o8teT1piV-SNzShjg/edit?gid=554141278#gid=554141278"", ""'Char Def. - Attributes'!C20:C2242""), 1,false)"),"BS_KOTOR")</f>
        <v>BS_KOTOR</v>
      </c>
      <c r="I6791" s="136"/>
    </row>
    <row r="6792" ht="15.75" customHeight="1">
      <c r="B6792" s="63">
        <f t="shared" si="1"/>
        <v>18</v>
      </c>
      <c r="C6792" s="160" t="s">
        <v>198</v>
      </c>
      <c r="D6792" s="161" t="s">
        <v>74</v>
      </c>
      <c r="E6792" s="135">
        <f t="shared" si="59"/>
        <v>13</v>
      </c>
      <c r="F6792" s="134" t="s">
        <v>3883</v>
      </c>
      <c r="G6792" s="63" t="str">
        <f>VLOOKUP(C6792, 'Class Def. - General Data'!$C$20:$C$1000,1,false)</f>
        <v>ZSF1_PINTD_GARNISH</v>
      </c>
      <c r="H6792" s="63" t="str">
        <f>IFERROR(__xludf.DUMMYFUNCTION("VLOOKUP(F6792, IMPORTRANGE(""https://docs.google.com/spreadsheets/d/1Lhp9OU0JdFf_VYSMzH5lBcEaU4o8teT1piV-SNzShjg/edit?gid=554141278#gid=554141278"", ""'Char Def. - Attributes'!C20:C2242""), 1,false)"),"BS_SCRAP")</f>
        <v>BS_SCRAP</v>
      </c>
      <c r="I6792" s="136"/>
    </row>
    <row r="6793" ht="15.75" customHeight="1">
      <c r="B6793" s="63">
        <f t="shared" si="1"/>
        <v>18</v>
      </c>
      <c r="C6793" s="134" t="s">
        <v>198</v>
      </c>
      <c r="D6793" s="134" t="s">
        <v>74</v>
      </c>
      <c r="E6793" s="135">
        <f t="shared" si="59"/>
        <v>14</v>
      </c>
      <c r="F6793" s="134" t="s">
        <v>3582</v>
      </c>
      <c r="G6793" s="63" t="str">
        <f>VLOOKUP(C6793, 'Class Def. - General Data'!$C$20:$C$1000,1,false)</f>
        <v>ZSF1_PINTD_GARNISH</v>
      </c>
      <c r="H6793" s="63" t="str">
        <f>IFERROR(__xludf.DUMMYFUNCTION("VLOOKUP(F6793, IMPORTRANGE(""https://docs.google.com/spreadsheets/d/1Lhp9OU0JdFf_VYSMzH5lBcEaU4o8teT1piV-SNzShjg/edit?gid=554141278#gid=554141278"", ""'Char Def. - Attributes'!C20:C2242""), 1,false)"),"BASE_UNIT")</f>
        <v>BASE_UNIT</v>
      </c>
      <c r="I6793" s="136"/>
    </row>
    <row r="6794" ht="15.75" customHeight="1">
      <c r="B6794" s="63">
        <f t="shared" si="1"/>
        <v>18</v>
      </c>
      <c r="C6794" s="134" t="s">
        <v>198</v>
      </c>
      <c r="D6794" s="134" t="s">
        <v>74</v>
      </c>
      <c r="E6794" s="135">
        <f t="shared" si="59"/>
        <v>15</v>
      </c>
      <c r="F6794" s="134" t="s">
        <v>3595</v>
      </c>
      <c r="G6794" s="63" t="str">
        <f>VLOOKUP(C6794, 'Class Def. - General Data'!$C$20:$C$1000,1,false)</f>
        <v>ZSF1_PINTD_GARNISH</v>
      </c>
      <c r="H6794" s="63" t="str">
        <f>IFERROR(__xludf.DUMMYFUNCTION("VLOOKUP(F6794, IMPORTRANGE(""https://docs.google.com/spreadsheets/d/1Lhp9OU0JdFf_VYSMzH5lBcEaU4o8teT1piV-SNzShjg/edit?gid=554141278#gid=554141278"", ""'Char Def. - Attributes'!C20:C2242""), 1,false)"),"UOM1")</f>
        <v>UOM1</v>
      </c>
      <c r="I6794" s="136"/>
    </row>
    <row r="6795" ht="15.75" customHeight="1">
      <c r="B6795" s="63">
        <f t="shared" si="1"/>
        <v>18</v>
      </c>
      <c r="C6795" s="134" t="s">
        <v>198</v>
      </c>
      <c r="D6795" s="134" t="s">
        <v>74</v>
      </c>
      <c r="E6795" s="135">
        <f t="shared" si="59"/>
        <v>16</v>
      </c>
      <c r="F6795" s="134" t="s">
        <v>3596</v>
      </c>
      <c r="G6795" s="63" t="str">
        <f>VLOOKUP(C6795, 'Class Def. - General Data'!$C$20:$C$1000,1,false)</f>
        <v>ZSF1_PINTD_GARNISH</v>
      </c>
      <c r="H6795" s="63" t="str">
        <f>IFERROR(__xludf.DUMMYFUNCTION("VLOOKUP(F6795, IMPORTRANGE(""https://docs.google.com/spreadsheets/d/1Lhp9OU0JdFf_VYSMzH5lBcEaU4o8teT1piV-SNzShjg/edit?gid=554141278#gid=554141278"", ""'Char Def. - Attributes'!C20:C2242""), 1,false)"),"CONV1")</f>
        <v>CONV1</v>
      </c>
      <c r="I6795" s="136"/>
    </row>
    <row r="6796" ht="15.75" customHeight="1">
      <c r="B6796" s="63">
        <f t="shared" si="1"/>
        <v>18</v>
      </c>
      <c r="C6796" s="134" t="s">
        <v>198</v>
      </c>
      <c r="D6796" s="134" t="s">
        <v>74</v>
      </c>
      <c r="E6796" s="135">
        <f t="shared" si="59"/>
        <v>17</v>
      </c>
      <c r="F6796" s="134" t="s">
        <v>3597</v>
      </c>
      <c r="G6796" s="63" t="str">
        <f>VLOOKUP(C6796, 'Class Def. - General Data'!$C$20:$C$1000,1,false)</f>
        <v>ZSF1_PINTD_GARNISH</v>
      </c>
      <c r="H6796" s="63" t="str">
        <f>IFERROR(__xludf.DUMMYFUNCTION("VLOOKUP(F6796, IMPORTRANGE(""https://docs.google.com/spreadsheets/d/1Lhp9OU0JdFf_VYSMzH5lBcEaU4o8teT1piV-SNzShjg/edit?gid=554141278#gid=554141278"", ""'Char Def. - Attributes'!C20:C2242""), 1,false)"),"UOM2")</f>
        <v>UOM2</v>
      </c>
      <c r="I6796" s="136"/>
    </row>
    <row r="6797" ht="15.75" customHeight="1">
      <c r="B6797" s="63">
        <f t="shared" si="1"/>
        <v>18</v>
      </c>
      <c r="C6797" s="134" t="s">
        <v>198</v>
      </c>
      <c r="D6797" s="134" t="s">
        <v>74</v>
      </c>
      <c r="E6797" s="135">
        <f t="shared" si="59"/>
        <v>18</v>
      </c>
      <c r="F6797" s="134" t="s">
        <v>3598</v>
      </c>
      <c r="G6797" s="63" t="str">
        <f>VLOOKUP(C6797, 'Class Def. - General Data'!$C$20:$C$1000,1,false)</f>
        <v>ZSF1_PINTD_GARNISH</v>
      </c>
      <c r="H6797" s="63" t="str">
        <f>IFERROR(__xludf.DUMMYFUNCTION("VLOOKUP(F6797, IMPORTRANGE(""https://docs.google.com/spreadsheets/d/1Lhp9OU0JdFf_VYSMzH5lBcEaU4o8teT1piV-SNzShjg/edit?gid=554141278#gid=554141278"", ""'Char Def. - Attributes'!C20:C2242""), 1,false)"),"CONV2")</f>
        <v>CONV2</v>
      </c>
      <c r="I6797" s="136"/>
    </row>
    <row r="6798" ht="15.75" customHeight="1">
      <c r="B6798" s="63">
        <f t="shared" si="1"/>
        <v>18</v>
      </c>
      <c r="C6798" s="134" t="s">
        <v>198</v>
      </c>
      <c r="D6798" s="134" t="s">
        <v>74</v>
      </c>
      <c r="E6798" s="135">
        <f t="shared" si="59"/>
        <v>19</v>
      </c>
      <c r="F6798" s="134" t="s">
        <v>3599</v>
      </c>
      <c r="G6798" s="63" t="str">
        <f>VLOOKUP(C6798, 'Class Def. - General Data'!$C$20:$C$1000,1,false)</f>
        <v>ZSF1_PINTD_GARNISH</v>
      </c>
      <c r="H6798" s="63" t="str">
        <f>IFERROR(__xludf.DUMMYFUNCTION("VLOOKUP(F6798, IMPORTRANGE(""https://docs.google.com/spreadsheets/d/1Lhp9OU0JdFf_VYSMzH5lBcEaU4o8teT1piV-SNzShjg/edit?gid=554141278#gid=554141278"", ""'Char Def. - Attributes'!C20:C2242""), 1,false)"),"UOM3")</f>
        <v>UOM3</v>
      </c>
      <c r="I6798" s="136"/>
    </row>
    <row r="6799" ht="15.75" customHeight="1">
      <c r="B6799" s="63">
        <f t="shared" si="1"/>
        <v>18</v>
      </c>
      <c r="C6799" s="134" t="s">
        <v>198</v>
      </c>
      <c r="D6799" s="134" t="s">
        <v>74</v>
      </c>
      <c r="E6799" s="135">
        <f t="shared" si="59"/>
        <v>20</v>
      </c>
      <c r="F6799" s="134" t="s">
        <v>3600</v>
      </c>
      <c r="G6799" s="63" t="str">
        <f>VLOOKUP(C6799, 'Class Def. - General Data'!$C$20:$C$1000,1,false)</f>
        <v>ZSF1_PINTD_GARNISH</v>
      </c>
      <c r="H6799" s="63" t="str">
        <f>IFERROR(__xludf.DUMMYFUNCTION("VLOOKUP(F6799, IMPORTRANGE(""https://docs.google.com/spreadsheets/d/1Lhp9OU0JdFf_VYSMzH5lBcEaU4o8teT1piV-SNzShjg/edit?gid=554141278#gid=554141278"", ""'Char Def. - Attributes'!C20:C2242""), 1,false)"),"CONV3")</f>
        <v>CONV3</v>
      </c>
      <c r="I6799" s="136"/>
    </row>
    <row r="6800" ht="15.75" customHeight="1">
      <c r="B6800" s="63">
        <f t="shared" si="1"/>
        <v>18</v>
      </c>
      <c r="C6800" s="134" t="s">
        <v>198</v>
      </c>
      <c r="D6800" s="134" t="s">
        <v>74</v>
      </c>
      <c r="E6800" s="135">
        <f t="shared" si="59"/>
        <v>21</v>
      </c>
      <c r="F6800" s="134" t="s">
        <v>3601</v>
      </c>
      <c r="G6800" s="63" t="str">
        <f>VLOOKUP(C6800, 'Class Def. - General Data'!$C$20:$C$1000,1,false)</f>
        <v>ZSF1_PINTD_GARNISH</v>
      </c>
      <c r="H6800" s="63" t="str">
        <f>IFERROR(__xludf.DUMMYFUNCTION("VLOOKUP(F6800, IMPORTRANGE(""https://docs.google.com/spreadsheets/d/1Lhp9OU0JdFf_VYSMzH5lBcEaU4o8teT1piV-SNzShjg/edit?gid=554141278#gid=554141278"", ""'Char Def. - Attributes'!C20:C2242""), 1,false)"),"GROSS_WEIGHT")</f>
        <v>GROSS_WEIGHT</v>
      </c>
      <c r="I6800" s="136"/>
    </row>
    <row r="6801" ht="15.75" customHeight="1">
      <c r="B6801" s="63">
        <f t="shared" si="1"/>
        <v>18</v>
      </c>
      <c r="C6801" s="134" t="s">
        <v>198</v>
      </c>
      <c r="D6801" s="134" t="s">
        <v>74</v>
      </c>
      <c r="E6801" s="135">
        <f t="shared" si="59"/>
        <v>22</v>
      </c>
      <c r="F6801" s="134" t="s">
        <v>3602</v>
      </c>
      <c r="G6801" s="63" t="str">
        <f>VLOOKUP(C6801, 'Class Def. - General Data'!$C$20:$C$1000,1,false)</f>
        <v>ZSF1_PINTD_GARNISH</v>
      </c>
      <c r="H6801" s="63" t="str">
        <f>IFERROR(__xludf.DUMMYFUNCTION("VLOOKUP(F6801, IMPORTRANGE(""https://docs.google.com/spreadsheets/d/1Lhp9OU0JdFf_VYSMzH5lBcEaU4o8teT1piV-SNzShjg/edit?gid=554141278#gid=554141278"", ""'Char Def. - Attributes'!C20:C2242""), 1,false)"),"NET_WEIGHT")</f>
        <v>NET_WEIGHT</v>
      </c>
      <c r="I6801" s="136"/>
    </row>
    <row r="6802" ht="15.75" customHeight="1">
      <c r="B6802" s="63">
        <f t="shared" si="1"/>
        <v>18</v>
      </c>
      <c r="C6802" s="134" t="s">
        <v>198</v>
      </c>
      <c r="D6802" s="134" t="s">
        <v>74</v>
      </c>
      <c r="E6802" s="135">
        <f t="shared" si="59"/>
        <v>23</v>
      </c>
      <c r="F6802" s="134" t="s">
        <v>3603</v>
      </c>
      <c r="G6802" s="63" t="str">
        <f>VLOOKUP(C6802, 'Class Def. - General Data'!$C$20:$C$1000,1,false)</f>
        <v>ZSF1_PINTD_GARNISH</v>
      </c>
      <c r="H6802" s="63" t="str">
        <f>IFERROR(__xludf.DUMMYFUNCTION("VLOOKUP(F6802, IMPORTRANGE(""https://docs.google.com/spreadsheets/d/1Lhp9OU0JdFf_VYSMzH5lBcEaU4o8teT1piV-SNzShjg/edit?gid=554141278#gid=554141278"", ""'Char Def. - Attributes'!C20:C2242""), 1,false)"),"VOLUME")</f>
        <v>VOLUME</v>
      </c>
      <c r="I6802" s="136"/>
    </row>
    <row r="6803" ht="15.75" customHeight="1">
      <c r="B6803" s="63">
        <f t="shared" si="1"/>
        <v>18</v>
      </c>
      <c r="C6803" s="134" t="s">
        <v>198</v>
      </c>
      <c r="D6803" s="134" t="s">
        <v>74</v>
      </c>
      <c r="E6803" s="135">
        <f t="shared" si="59"/>
        <v>24</v>
      </c>
      <c r="F6803" s="134" t="s">
        <v>3586</v>
      </c>
      <c r="G6803" s="63" t="str">
        <f>VLOOKUP(C6803, 'Class Def. - General Data'!$C$20:$C$1000,1,false)</f>
        <v>ZSF1_PINTD_GARNISH</v>
      </c>
      <c r="H6803" s="63" t="str">
        <f>IFERROR(__xludf.DUMMYFUNCTION("VLOOKUP(F6803, IMPORTRANGE(""https://docs.google.com/spreadsheets/d/1Lhp9OU0JdFf_VYSMzH5lBcEaU4o8teT1piV-SNzShjg/edit?gid=554141278#gid=554141278"", ""'Char Def. - Attributes'!C20:C2242""), 1,false)"),"PLANT_PROD")</f>
        <v>PLANT_PROD</v>
      </c>
      <c r="I6803" s="136"/>
    </row>
    <row r="6804" ht="15.75" customHeight="1">
      <c r="B6804" s="63">
        <f t="shared" si="1"/>
        <v>18</v>
      </c>
      <c r="C6804" s="134" t="s">
        <v>198</v>
      </c>
      <c r="D6804" s="134" t="s">
        <v>74</v>
      </c>
      <c r="E6804" s="135">
        <f t="shared" si="59"/>
        <v>25</v>
      </c>
      <c r="F6804" s="134" t="s">
        <v>3587</v>
      </c>
      <c r="G6804" s="63" t="str">
        <f>VLOOKUP(C6804, 'Class Def. - General Data'!$C$20:$C$1000,1,false)</f>
        <v>ZSF1_PINTD_GARNISH</v>
      </c>
      <c r="H6804" s="63" t="str">
        <f>IFERROR(__xludf.DUMMYFUNCTION("VLOOKUP(F6804, IMPORTRANGE(""https://docs.google.com/spreadsheets/d/1Lhp9OU0JdFf_VYSMzH5lBcEaU4o8teT1piV-SNzShjg/edit?gid=554141278#gid=554141278"", ""'Char Def. - Attributes'!C20:C2242""), 1,false)"),"PLANT_BUY")</f>
        <v>PLANT_BUY</v>
      </c>
      <c r="I6804" s="136"/>
    </row>
    <row r="6805" ht="15.75" customHeight="1">
      <c r="B6805" s="63">
        <f t="shared" si="1"/>
        <v>18</v>
      </c>
      <c r="C6805" s="134" t="s">
        <v>198</v>
      </c>
      <c r="D6805" s="134" t="s">
        <v>74</v>
      </c>
      <c r="E6805" s="135">
        <f t="shared" si="59"/>
        <v>26</v>
      </c>
      <c r="F6805" s="134" t="s">
        <v>4040</v>
      </c>
      <c r="G6805" s="63" t="str">
        <f>VLOOKUP(C6805, 'Class Def. - General Data'!$C$20:$C$1000,1,false)</f>
        <v>ZSF1_PINTD_GARNISH</v>
      </c>
      <c r="H6805" s="63" t="str">
        <f>IFERROR(__xludf.DUMMYFUNCTION("VLOOKUP(F6805, IMPORTRANGE(""https://docs.google.com/spreadsheets/d/1Lhp9OU0JdFf_VYSMzH5lBcEaU4o8teT1piV-SNzShjg/edit?gid=554141278#gid=554141278"", ""'Char Def. - Attributes'!C20:C2242""), 1,false)"),"OLD_MAT_SFG")</f>
        <v>OLD_MAT_SFG</v>
      </c>
      <c r="I6805" s="136"/>
    </row>
    <row r="6806" ht="15.75" customHeight="1">
      <c r="B6806" s="63">
        <f t="shared" si="1"/>
        <v>14</v>
      </c>
      <c r="C6806" s="134" t="s">
        <v>199</v>
      </c>
      <c r="D6806" s="134" t="s">
        <v>74</v>
      </c>
      <c r="E6806" s="135">
        <f t="shared" si="59"/>
        <v>1</v>
      </c>
      <c r="F6806" s="134" t="s">
        <v>3853</v>
      </c>
      <c r="G6806" s="63" t="str">
        <f>VLOOKUP(C6806, 'Class Def. - General Data'!$C$20:$C$1000,1,false)</f>
        <v>ZSF1_PINTD_OIL</v>
      </c>
      <c r="H6806" s="63" t="str">
        <f>IFERROR(__xludf.DUMMYFUNCTION("VLOOKUP(F6806, IMPORTRANGE(""https://docs.google.com/spreadsheets/d/1Lhp9OU0JdFf_VYSMzH5lBcEaU4o8teT1piV-SNzShjg/edit?gid=554141278#gid=554141278"", ""'Char Def. - Attributes'!C20:C2242""), 1,false)"),"BRAND_WINGS")</f>
        <v>BRAND_WINGS</v>
      </c>
      <c r="I6806" s="136"/>
    </row>
    <row r="6807" ht="15.75" customHeight="1">
      <c r="B6807" s="63">
        <f t="shared" si="1"/>
        <v>14</v>
      </c>
      <c r="C6807" s="134" t="s">
        <v>199</v>
      </c>
      <c r="D6807" s="134" t="s">
        <v>74</v>
      </c>
      <c r="E6807" s="135">
        <f t="shared" si="59"/>
        <v>2</v>
      </c>
      <c r="F6807" s="134" t="s">
        <v>3607</v>
      </c>
      <c r="G6807" s="63" t="str">
        <f>VLOOKUP(C6807, 'Class Def. - General Data'!$C$20:$C$1000,1,false)</f>
        <v>ZSF1_PINTD_OIL</v>
      </c>
      <c r="H6807" s="63" t="str">
        <f>IFERROR(__xludf.DUMMYFUNCTION("VLOOKUP(F6807, IMPORTRANGE(""https://docs.google.com/spreadsheets/d/1Lhp9OU0JdFf_VYSMzH5lBcEaU4o8teT1piV-SNzShjg/edit?gid=554141278#gid=554141278"", ""'Char Def. - Attributes'!C20:C2242""), 1,false)"),"VARIAN")</f>
        <v>VARIAN</v>
      </c>
      <c r="I6807" s="136"/>
    </row>
    <row r="6808" ht="15.75" customHeight="1">
      <c r="B6808" s="63">
        <f t="shared" si="1"/>
        <v>14</v>
      </c>
      <c r="C6808" s="134" t="s">
        <v>199</v>
      </c>
      <c r="D6808" s="134" t="s">
        <v>74</v>
      </c>
      <c r="E6808" s="135">
        <f t="shared" si="59"/>
        <v>3</v>
      </c>
      <c r="F6808" s="134" t="s">
        <v>4036</v>
      </c>
      <c r="G6808" s="63" t="str">
        <f>VLOOKUP(C6808, 'Class Def. - General Data'!$C$20:$C$1000,1,false)</f>
        <v>ZSF1_PINTD_OIL</v>
      </c>
      <c r="H6808" s="63" t="str">
        <f>IFERROR(__xludf.DUMMYFUNCTION("VLOOKUP(F6808, IMPORTRANGE(""https://docs.google.com/spreadsheets/d/1Lhp9OU0JdFf_VYSMzH5lBcEaU4o8teT1piV-SNzShjg/edit?gid=554141278#gid=554141278"", ""'Char Def. - Attributes'!C20:C2242""), 1,false)"),"NAMA_BAHAN")</f>
        <v>NAMA_BAHAN</v>
      </c>
      <c r="I6808" s="136"/>
    </row>
    <row r="6809" ht="15.75" customHeight="1">
      <c r="B6809" s="63">
        <f t="shared" si="1"/>
        <v>14</v>
      </c>
      <c r="C6809" s="160" t="s">
        <v>199</v>
      </c>
      <c r="D6809" s="161" t="s">
        <v>74</v>
      </c>
      <c r="E6809" s="135">
        <f t="shared" si="59"/>
        <v>4</v>
      </c>
      <c r="F6809" s="134" t="s">
        <v>4037</v>
      </c>
      <c r="G6809" s="63" t="str">
        <f>VLOOKUP(C6809, 'Class Def. - General Data'!$C$20:$C$1000,1,false)</f>
        <v>ZSF1_PINTD_OIL</v>
      </c>
      <c r="H6809" s="63" t="str">
        <f>IFERROR(__xludf.DUMMYFUNCTION("VLOOKUP(F6809, IMPORTRANGE(""https://docs.google.com/spreadsheets/d/1Lhp9OU0JdFf_VYSMzH5lBcEaU4o8teT1piV-SNzShjg/edit?gid=554141278#gid=554141278"", ""'Char Def. - Attributes'!C20:C2242""), 1,false)"),"VARIAN_BAHAN")</f>
        <v>VARIAN_BAHAN</v>
      </c>
      <c r="I6809" s="136"/>
    </row>
    <row r="6810" ht="15.75" customHeight="1">
      <c r="B6810" s="63">
        <f t="shared" si="1"/>
        <v>14</v>
      </c>
      <c r="C6810" s="160" t="s">
        <v>199</v>
      </c>
      <c r="D6810" s="161" t="s">
        <v>74</v>
      </c>
      <c r="E6810" s="135">
        <f t="shared" si="59"/>
        <v>5</v>
      </c>
      <c r="F6810" s="134" t="s">
        <v>3605</v>
      </c>
      <c r="G6810" s="63" t="str">
        <f>VLOOKUP(C6810, 'Class Def. - General Data'!$C$20:$C$1000,1,false)</f>
        <v>ZSF1_PINTD_OIL</v>
      </c>
      <c r="H6810" s="63" t="str">
        <f>IFERROR(__xludf.DUMMYFUNCTION("VLOOKUP(F6810, IMPORTRANGE(""https://docs.google.com/spreadsheets/d/1Lhp9OU0JdFf_VYSMzH5lBcEaU4o8teT1piV-SNzShjg/edit?gid=554141278#gid=554141278"", ""'Char Def. - Attributes'!C20:C2242""), 1,false)"),"PACK_NETTO")</f>
        <v>PACK_NETTO</v>
      </c>
      <c r="I6810" s="136"/>
    </row>
    <row r="6811" ht="15.75" customHeight="1">
      <c r="B6811" s="63">
        <f t="shared" si="1"/>
        <v>14</v>
      </c>
      <c r="C6811" s="162" t="s">
        <v>199</v>
      </c>
      <c r="D6811" s="161" t="s">
        <v>74</v>
      </c>
      <c r="E6811" s="135">
        <f t="shared" si="59"/>
        <v>6</v>
      </c>
      <c r="F6811" s="134" t="s">
        <v>4038</v>
      </c>
      <c r="G6811" s="63" t="str">
        <f>VLOOKUP(C6811, 'Class Def. - General Data'!$C$20:$C$1000,1,false)</f>
        <v>ZSF1_PINTD_OIL</v>
      </c>
      <c r="H6811" s="63" t="str">
        <f>IFERROR(__xludf.DUMMYFUNCTION("VLOOKUP(F6811, IMPORTRANGE(""https://docs.google.com/spreadsheets/d/1Lhp9OU0JdFf_VYSMzH5lBcEaU4o8teT1piV-SNzShjg/edit?gid=554141278#gid=554141278"", ""'Char Def. - Attributes'!C20:C2242""), 1,false)"),"SFG_SPEC")</f>
        <v>SFG_SPEC</v>
      </c>
      <c r="I6811" s="136"/>
    </row>
    <row r="6812" ht="15.75" customHeight="1">
      <c r="B6812" s="63">
        <f t="shared" si="1"/>
        <v>14</v>
      </c>
      <c r="C6812" s="135" t="s">
        <v>199</v>
      </c>
      <c r="D6812" s="141" t="s">
        <v>74</v>
      </c>
      <c r="E6812" s="135">
        <f t="shared" si="59"/>
        <v>7</v>
      </c>
      <c r="F6812" s="134" t="s">
        <v>4039</v>
      </c>
      <c r="G6812" s="63" t="str">
        <f>VLOOKUP(C6812, 'Class Def. - General Data'!$C$20:$C$1000,1,false)</f>
        <v>ZSF1_PINTD_OIL</v>
      </c>
      <c r="H6812" s="63" t="str">
        <f>IFERROR(__xludf.DUMMYFUNCTION("VLOOKUP(F6812, IMPORTRANGE(""https://docs.google.com/spreadsheets/d/1Lhp9OU0JdFf_VYSMzH5lBcEaU4o8teT1piV-SNzShjg/edit?gid=554141278#gid=554141278"", ""'Char Def. - Attributes'!C20:C2242""), 1,false)"),"SFG_DESTINATION")</f>
        <v>SFG_DESTINATION</v>
      </c>
      <c r="I6812" s="136"/>
    </row>
    <row r="6813" ht="15.75" customHeight="1">
      <c r="B6813" s="63">
        <f t="shared" si="1"/>
        <v>14</v>
      </c>
      <c r="C6813" s="164" t="s">
        <v>199</v>
      </c>
      <c r="D6813" s="141" t="s">
        <v>74</v>
      </c>
      <c r="E6813" s="135">
        <f t="shared" si="59"/>
        <v>8</v>
      </c>
      <c r="F6813" s="134" t="s">
        <v>3611</v>
      </c>
      <c r="G6813" s="63" t="str">
        <f>VLOOKUP(C6813, 'Class Def. - General Data'!$C$20:$C$1000,1,false)</f>
        <v>ZSF1_PINTD_OIL</v>
      </c>
      <c r="H6813" s="63" t="str">
        <f>IFERROR(__xludf.DUMMYFUNCTION("VLOOKUP(F6813, IMPORTRANGE(""https://docs.google.com/spreadsheets/d/1Lhp9OU0JdFf_VYSMzH5lBcEaU4o8teT1piV-SNzShjg/edit?gid=554141278#gid=554141278"", ""'Char Def. - Attributes'!C20:C2242""), 1,false)"),"LOKAL_EKSPOR")</f>
        <v>LOKAL_EKSPOR</v>
      </c>
      <c r="I6813" s="136"/>
    </row>
    <row r="6814" ht="15.75" customHeight="1">
      <c r="B6814" s="63">
        <f t="shared" si="1"/>
        <v>14</v>
      </c>
      <c r="C6814" s="135" t="s">
        <v>199</v>
      </c>
      <c r="D6814" s="141" t="s">
        <v>74</v>
      </c>
      <c r="E6814" s="135">
        <f t="shared" si="59"/>
        <v>9</v>
      </c>
      <c r="F6814" s="134" t="s">
        <v>3612</v>
      </c>
      <c r="G6814" s="63" t="str">
        <f>VLOOKUP(C6814, 'Class Def. - General Data'!$C$20:$C$1000,1,false)</f>
        <v>ZSF1_PINTD_OIL</v>
      </c>
      <c r="H6814" s="63" t="str">
        <f>IFERROR(__xludf.DUMMYFUNCTION("VLOOKUP(F6814, IMPORTRANGE(""https://docs.google.com/spreadsheets/d/1Lhp9OU0JdFf_VYSMzH5lBcEaU4o8teT1piV-SNzShjg/edit?gid=554141278#gid=554141278"", ""'Char Def. - Attributes'!C20:C2242""), 1,false)"),"COUNTRY_EKSPOR")</f>
        <v>COUNTRY_EKSPOR</v>
      </c>
      <c r="I6814" s="136"/>
    </row>
    <row r="6815" ht="15.75" customHeight="1">
      <c r="B6815" s="63">
        <f t="shared" si="1"/>
        <v>14</v>
      </c>
      <c r="C6815" s="134" t="s">
        <v>199</v>
      </c>
      <c r="D6815" s="134" t="s">
        <v>74</v>
      </c>
      <c r="E6815" s="135">
        <f t="shared" si="59"/>
        <v>10</v>
      </c>
      <c r="F6815" s="134" t="s">
        <v>4041</v>
      </c>
      <c r="G6815" s="63" t="str">
        <f>VLOOKUP(C6815, 'Class Def. - General Data'!$C$20:$C$1000,1,false)</f>
        <v>ZSF1_PINTD_OIL</v>
      </c>
      <c r="H6815" s="63" t="str">
        <f>IFERROR(__xludf.DUMMYFUNCTION("VLOOKUP(F6815, IMPORTRANGE(""https://docs.google.com/spreadsheets/d/1Lhp9OU0JdFf_VYSMzH5lBcEaU4o8teT1piV-SNzShjg/edit?gid=554141278#gid=554141278"", ""'Char Def. - Attributes'!C20:C2242""), 1,false)"),"SFG_GRADE")</f>
        <v>SFG_GRADE</v>
      </c>
      <c r="I6815" s="136"/>
    </row>
    <row r="6816" ht="15.75" customHeight="1">
      <c r="B6816" s="63">
        <f t="shared" si="1"/>
        <v>14</v>
      </c>
      <c r="C6816" s="160" t="s">
        <v>199</v>
      </c>
      <c r="D6816" s="161" t="s">
        <v>74</v>
      </c>
      <c r="E6816" s="135">
        <f t="shared" si="59"/>
        <v>11</v>
      </c>
      <c r="F6816" s="134" t="s">
        <v>3881</v>
      </c>
      <c r="G6816" s="63" t="str">
        <f>VLOOKUP(C6816, 'Class Def. - General Data'!$C$20:$C$1000,1,false)</f>
        <v>ZSF1_PINTD_OIL</v>
      </c>
      <c r="H6816" s="63" t="str">
        <f>IFERROR(__xludf.DUMMYFUNCTION("VLOOKUP(F6816, IMPORTRANGE(""https://docs.google.com/spreadsheets/d/1Lhp9OU0JdFf_VYSMzH5lBcEaU4o8teT1piV-SNzShjg/edit?gid=554141278#gid=554141278"", ""'Char Def. - Attributes'!C20:C2242""), 1,false)"),"BS_BERSIH")</f>
        <v>BS_BERSIH</v>
      </c>
      <c r="I6816" s="136"/>
    </row>
    <row r="6817" ht="15.75" customHeight="1">
      <c r="B6817" s="63">
        <f t="shared" si="1"/>
        <v>14</v>
      </c>
      <c r="C6817" s="160" t="s">
        <v>199</v>
      </c>
      <c r="D6817" s="161" t="s">
        <v>74</v>
      </c>
      <c r="E6817" s="135">
        <f t="shared" si="59"/>
        <v>12</v>
      </c>
      <c r="F6817" s="134" t="s">
        <v>3882</v>
      </c>
      <c r="G6817" s="63" t="str">
        <f>VLOOKUP(C6817, 'Class Def. - General Data'!$C$20:$C$1000,1,false)</f>
        <v>ZSF1_PINTD_OIL</v>
      </c>
      <c r="H6817" s="63" t="str">
        <f>IFERROR(__xludf.DUMMYFUNCTION("VLOOKUP(F6817, IMPORTRANGE(""https://docs.google.com/spreadsheets/d/1Lhp9OU0JdFf_VYSMzH5lBcEaU4o8teT1piV-SNzShjg/edit?gid=554141278#gid=554141278"", ""'Char Def. - Attributes'!C20:C2242""), 1,false)"),"BS_KOTOR")</f>
        <v>BS_KOTOR</v>
      </c>
      <c r="I6817" s="136"/>
    </row>
    <row r="6818" ht="15.75" customHeight="1">
      <c r="B6818" s="63">
        <f t="shared" si="1"/>
        <v>14</v>
      </c>
      <c r="C6818" s="160" t="s">
        <v>199</v>
      </c>
      <c r="D6818" s="161" t="s">
        <v>74</v>
      </c>
      <c r="E6818" s="135">
        <f t="shared" si="59"/>
        <v>13</v>
      </c>
      <c r="F6818" s="134" t="s">
        <v>3883</v>
      </c>
      <c r="G6818" s="63" t="str">
        <f>VLOOKUP(C6818, 'Class Def. - General Data'!$C$20:$C$1000,1,false)</f>
        <v>ZSF1_PINTD_OIL</v>
      </c>
      <c r="H6818" s="63" t="str">
        <f>IFERROR(__xludf.DUMMYFUNCTION("VLOOKUP(F6818, IMPORTRANGE(""https://docs.google.com/spreadsheets/d/1Lhp9OU0JdFf_VYSMzH5lBcEaU4o8teT1piV-SNzShjg/edit?gid=554141278#gid=554141278"", ""'Char Def. - Attributes'!C20:C2242""), 1,false)"),"BS_SCRAP")</f>
        <v>BS_SCRAP</v>
      </c>
      <c r="I6818" s="136"/>
    </row>
    <row r="6819" ht="15.75" customHeight="1">
      <c r="B6819" s="63">
        <f t="shared" si="1"/>
        <v>14</v>
      </c>
      <c r="C6819" s="134" t="s">
        <v>199</v>
      </c>
      <c r="D6819" s="134" t="s">
        <v>74</v>
      </c>
      <c r="E6819" s="135">
        <f t="shared" si="59"/>
        <v>14</v>
      </c>
      <c r="F6819" s="134" t="s">
        <v>3582</v>
      </c>
      <c r="G6819" s="63" t="str">
        <f>VLOOKUP(C6819, 'Class Def. - General Data'!$C$20:$C$1000,1,false)</f>
        <v>ZSF1_PINTD_OIL</v>
      </c>
      <c r="H6819" s="63" t="str">
        <f>IFERROR(__xludf.DUMMYFUNCTION("VLOOKUP(F6819, IMPORTRANGE(""https://docs.google.com/spreadsheets/d/1Lhp9OU0JdFf_VYSMzH5lBcEaU4o8teT1piV-SNzShjg/edit?gid=554141278#gid=554141278"", ""'Char Def. - Attributes'!C20:C2242""), 1,false)"),"BASE_UNIT")</f>
        <v>BASE_UNIT</v>
      </c>
      <c r="I6819" s="136"/>
    </row>
    <row r="6820" ht="15.75" customHeight="1">
      <c r="B6820" s="63">
        <f t="shared" si="1"/>
        <v>14</v>
      </c>
      <c r="C6820" s="134" t="s">
        <v>199</v>
      </c>
      <c r="D6820" s="134" t="s">
        <v>74</v>
      </c>
      <c r="E6820" s="135">
        <f t="shared" si="59"/>
        <v>15</v>
      </c>
      <c r="F6820" s="134" t="s">
        <v>3595</v>
      </c>
      <c r="G6820" s="63" t="str">
        <f>VLOOKUP(C6820, 'Class Def. - General Data'!$C$20:$C$1000,1,false)</f>
        <v>ZSF1_PINTD_OIL</v>
      </c>
      <c r="H6820" s="63" t="str">
        <f>IFERROR(__xludf.DUMMYFUNCTION("VLOOKUP(F6820, IMPORTRANGE(""https://docs.google.com/spreadsheets/d/1Lhp9OU0JdFf_VYSMzH5lBcEaU4o8teT1piV-SNzShjg/edit?gid=554141278#gid=554141278"", ""'Char Def. - Attributes'!C20:C2242""), 1,false)"),"UOM1")</f>
        <v>UOM1</v>
      </c>
      <c r="I6820" s="136"/>
    </row>
    <row r="6821" ht="15.75" customHeight="1">
      <c r="B6821" s="63">
        <f t="shared" si="1"/>
        <v>14</v>
      </c>
      <c r="C6821" s="134" t="s">
        <v>199</v>
      </c>
      <c r="D6821" s="134" t="s">
        <v>74</v>
      </c>
      <c r="E6821" s="135">
        <f t="shared" si="59"/>
        <v>16</v>
      </c>
      <c r="F6821" s="134" t="s">
        <v>3596</v>
      </c>
      <c r="G6821" s="63" t="str">
        <f>VLOOKUP(C6821, 'Class Def. - General Data'!$C$20:$C$1000,1,false)</f>
        <v>ZSF1_PINTD_OIL</v>
      </c>
      <c r="H6821" s="63" t="str">
        <f>IFERROR(__xludf.DUMMYFUNCTION("VLOOKUP(F6821, IMPORTRANGE(""https://docs.google.com/spreadsheets/d/1Lhp9OU0JdFf_VYSMzH5lBcEaU4o8teT1piV-SNzShjg/edit?gid=554141278#gid=554141278"", ""'Char Def. - Attributes'!C20:C2242""), 1,false)"),"CONV1")</f>
        <v>CONV1</v>
      </c>
      <c r="I6821" s="136"/>
    </row>
    <row r="6822" ht="15.75" customHeight="1">
      <c r="B6822" s="63">
        <f t="shared" si="1"/>
        <v>14</v>
      </c>
      <c r="C6822" s="134" t="s">
        <v>199</v>
      </c>
      <c r="D6822" s="134" t="s">
        <v>74</v>
      </c>
      <c r="E6822" s="135">
        <f t="shared" si="59"/>
        <v>17</v>
      </c>
      <c r="F6822" s="134" t="s">
        <v>3597</v>
      </c>
      <c r="G6822" s="63" t="str">
        <f>VLOOKUP(C6822, 'Class Def. - General Data'!$C$20:$C$1000,1,false)</f>
        <v>ZSF1_PINTD_OIL</v>
      </c>
      <c r="H6822" s="63" t="str">
        <f>IFERROR(__xludf.DUMMYFUNCTION("VLOOKUP(F6822, IMPORTRANGE(""https://docs.google.com/spreadsheets/d/1Lhp9OU0JdFf_VYSMzH5lBcEaU4o8teT1piV-SNzShjg/edit?gid=554141278#gid=554141278"", ""'Char Def. - Attributes'!C20:C2242""), 1,false)"),"UOM2")</f>
        <v>UOM2</v>
      </c>
      <c r="I6822" s="136"/>
    </row>
    <row r="6823" ht="15.75" customHeight="1">
      <c r="B6823" s="63">
        <f t="shared" si="1"/>
        <v>14</v>
      </c>
      <c r="C6823" s="134" t="s">
        <v>199</v>
      </c>
      <c r="D6823" s="134" t="s">
        <v>74</v>
      </c>
      <c r="E6823" s="135">
        <f t="shared" si="59"/>
        <v>18</v>
      </c>
      <c r="F6823" s="134" t="s">
        <v>3598</v>
      </c>
      <c r="G6823" s="63" t="str">
        <f>VLOOKUP(C6823, 'Class Def. - General Data'!$C$20:$C$1000,1,false)</f>
        <v>ZSF1_PINTD_OIL</v>
      </c>
      <c r="H6823" s="63" t="str">
        <f>IFERROR(__xludf.DUMMYFUNCTION("VLOOKUP(F6823, IMPORTRANGE(""https://docs.google.com/spreadsheets/d/1Lhp9OU0JdFf_VYSMzH5lBcEaU4o8teT1piV-SNzShjg/edit?gid=554141278#gid=554141278"", ""'Char Def. - Attributes'!C20:C2242""), 1,false)"),"CONV2")</f>
        <v>CONV2</v>
      </c>
      <c r="I6823" s="136"/>
    </row>
    <row r="6824" ht="15.75" customHeight="1">
      <c r="B6824" s="63">
        <f t="shared" si="1"/>
        <v>14</v>
      </c>
      <c r="C6824" s="134" t="s">
        <v>199</v>
      </c>
      <c r="D6824" s="134" t="s">
        <v>74</v>
      </c>
      <c r="E6824" s="135">
        <f t="shared" si="59"/>
        <v>19</v>
      </c>
      <c r="F6824" s="134" t="s">
        <v>3599</v>
      </c>
      <c r="G6824" s="63" t="str">
        <f>VLOOKUP(C6824, 'Class Def. - General Data'!$C$20:$C$1000,1,false)</f>
        <v>ZSF1_PINTD_OIL</v>
      </c>
      <c r="H6824" s="63" t="str">
        <f>IFERROR(__xludf.DUMMYFUNCTION("VLOOKUP(F6824, IMPORTRANGE(""https://docs.google.com/spreadsheets/d/1Lhp9OU0JdFf_VYSMzH5lBcEaU4o8teT1piV-SNzShjg/edit?gid=554141278#gid=554141278"", ""'Char Def. - Attributes'!C20:C2242""), 1,false)"),"UOM3")</f>
        <v>UOM3</v>
      </c>
      <c r="I6824" s="136"/>
    </row>
    <row r="6825" ht="15.75" customHeight="1">
      <c r="B6825" s="63">
        <f t="shared" si="1"/>
        <v>14</v>
      </c>
      <c r="C6825" s="134" t="s">
        <v>199</v>
      </c>
      <c r="D6825" s="134" t="s">
        <v>74</v>
      </c>
      <c r="E6825" s="135">
        <f t="shared" si="59"/>
        <v>20</v>
      </c>
      <c r="F6825" s="134" t="s">
        <v>3600</v>
      </c>
      <c r="G6825" s="63" t="str">
        <f>VLOOKUP(C6825, 'Class Def. - General Data'!$C$20:$C$1000,1,false)</f>
        <v>ZSF1_PINTD_OIL</v>
      </c>
      <c r="H6825" s="63" t="str">
        <f>IFERROR(__xludf.DUMMYFUNCTION("VLOOKUP(F6825, IMPORTRANGE(""https://docs.google.com/spreadsheets/d/1Lhp9OU0JdFf_VYSMzH5lBcEaU4o8teT1piV-SNzShjg/edit?gid=554141278#gid=554141278"", ""'Char Def. - Attributes'!C20:C2242""), 1,false)"),"CONV3")</f>
        <v>CONV3</v>
      </c>
      <c r="I6825" s="136"/>
    </row>
    <row r="6826" ht="15.75" customHeight="1">
      <c r="B6826" s="63">
        <f t="shared" si="1"/>
        <v>14</v>
      </c>
      <c r="C6826" s="134" t="s">
        <v>199</v>
      </c>
      <c r="D6826" s="134" t="s">
        <v>74</v>
      </c>
      <c r="E6826" s="135">
        <f t="shared" si="59"/>
        <v>21</v>
      </c>
      <c r="F6826" s="134" t="s">
        <v>3601</v>
      </c>
      <c r="G6826" s="63" t="str">
        <f>VLOOKUP(C6826, 'Class Def. - General Data'!$C$20:$C$1000,1,false)</f>
        <v>ZSF1_PINTD_OIL</v>
      </c>
      <c r="H6826" s="63" t="str">
        <f>IFERROR(__xludf.DUMMYFUNCTION("VLOOKUP(F6826, IMPORTRANGE(""https://docs.google.com/spreadsheets/d/1Lhp9OU0JdFf_VYSMzH5lBcEaU4o8teT1piV-SNzShjg/edit?gid=554141278#gid=554141278"", ""'Char Def. - Attributes'!C20:C2242""), 1,false)"),"GROSS_WEIGHT")</f>
        <v>GROSS_WEIGHT</v>
      </c>
      <c r="I6826" s="136"/>
    </row>
    <row r="6827" ht="15.75" customHeight="1">
      <c r="B6827" s="63">
        <f t="shared" si="1"/>
        <v>14</v>
      </c>
      <c r="C6827" s="134" t="s">
        <v>199</v>
      </c>
      <c r="D6827" s="134" t="s">
        <v>74</v>
      </c>
      <c r="E6827" s="135">
        <f t="shared" si="59"/>
        <v>22</v>
      </c>
      <c r="F6827" s="134" t="s">
        <v>3602</v>
      </c>
      <c r="G6827" s="63" t="str">
        <f>VLOOKUP(C6827, 'Class Def. - General Data'!$C$20:$C$1000,1,false)</f>
        <v>ZSF1_PINTD_OIL</v>
      </c>
      <c r="H6827" s="63" t="str">
        <f>IFERROR(__xludf.DUMMYFUNCTION("VLOOKUP(F6827, IMPORTRANGE(""https://docs.google.com/spreadsheets/d/1Lhp9OU0JdFf_VYSMzH5lBcEaU4o8teT1piV-SNzShjg/edit?gid=554141278#gid=554141278"", ""'Char Def. - Attributes'!C20:C2242""), 1,false)"),"NET_WEIGHT")</f>
        <v>NET_WEIGHT</v>
      </c>
      <c r="I6827" s="136"/>
    </row>
    <row r="6828" ht="15.75" customHeight="1">
      <c r="B6828" s="63">
        <f t="shared" si="1"/>
        <v>14</v>
      </c>
      <c r="C6828" s="134" t="s">
        <v>199</v>
      </c>
      <c r="D6828" s="134" t="s">
        <v>74</v>
      </c>
      <c r="E6828" s="135">
        <f t="shared" si="59"/>
        <v>23</v>
      </c>
      <c r="F6828" s="134" t="s">
        <v>3603</v>
      </c>
      <c r="G6828" s="63" t="str">
        <f>VLOOKUP(C6828, 'Class Def. - General Data'!$C$20:$C$1000,1,false)</f>
        <v>ZSF1_PINTD_OIL</v>
      </c>
      <c r="H6828" s="63" t="str">
        <f>IFERROR(__xludf.DUMMYFUNCTION("VLOOKUP(F6828, IMPORTRANGE(""https://docs.google.com/spreadsheets/d/1Lhp9OU0JdFf_VYSMzH5lBcEaU4o8teT1piV-SNzShjg/edit?gid=554141278#gid=554141278"", ""'Char Def. - Attributes'!C20:C2242""), 1,false)"),"VOLUME")</f>
        <v>VOLUME</v>
      </c>
      <c r="I6828" s="136"/>
    </row>
    <row r="6829" ht="15.75" customHeight="1">
      <c r="B6829" s="63">
        <f t="shared" si="1"/>
        <v>14</v>
      </c>
      <c r="C6829" s="134" t="s">
        <v>199</v>
      </c>
      <c r="D6829" s="134" t="s">
        <v>74</v>
      </c>
      <c r="E6829" s="135">
        <f t="shared" si="59"/>
        <v>24</v>
      </c>
      <c r="F6829" s="134" t="s">
        <v>3586</v>
      </c>
      <c r="G6829" s="63" t="str">
        <f>VLOOKUP(C6829, 'Class Def. - General Data'!$C$20:$C$1000,1,false)</f>
        <v>ZSF1_PINTD_OIL</v>
      </c>
      <c r="H6829" s="63" t="str">
        <f>IFERROR(__xludf.DUMMYFUNCTION("VLOOKUP(F6829, IMPORTRANGE(""https://docs.google.com/spreadsheets/d/1Lhp9OU0JdFf_VYSMzH5lBcEaU4o8teT1piV-SNzShjg/edit?gid=554141278#gid=554141278"", ""'Char Def. - Attributes'!C20:C2242""), 1,false)"),"PLANT_PROD")</f>
        <v>PLANT_PROD</v>
      </c>
      <c r="I6829" s="136"/>
    </row>
    <row r="6830" ht="15.75" customHeight="1">
      <c r="B6830" s="63">
        <f t="shared" si="1"/>
        <v>14</v>
      </c>
      <c r="C6830" s="134" t="s">
        <v>199</v>
      </c>
      <c r="D6830" s="134" t="s">
        <v>74</v>
      </c>
      <c r="E6830" s="135">
        <f t="shared" si="59"/>
        <v>25</v>
      </c>
      <c r="F6830" s="134" t="s">
        <v>3587</v>
      </c>
      <c r="G6830" s="63" t="str">
        <f>VLOOKUP(C6830, 'Class Def. - General Data'!$C$20:$C$1000,1,false)</f>
        <v>ZSF1_PINTD_OIL</v>
      </c>
      <c r="H6830" s="63" t="str">
        <f>IFERROR(__xludf.DUMMYFUNCTION("VLOOKUP(F6830, IMPORTRANGE(""https://docs.google.com/spreadsheets/d/1Lhp9OU0JdFf_VYSMzH5lBcEaU4o8teT1piV-SNzShjg/edit?gid=554141278#gid=554141278"", ""'Char Def. - Attributes'!C20:C2242""), 1,false)"),"PLANT_BUY")</f>
        <v>PLANT_BUY</v>
      </c>
      <c r="I6830" s="136"/>
    </row>
    <row r="6831" ht="15.75" customHeight="1">
      <c r="B6831" s="63">
        <f t="shared" si="1"/>
        <v>14</v>
      </c>
      <c r="C6831" s="134" t="s">
        <v>199</v>
      </c>
      <c r="D6831" s="134" t="s">
        <v>74</v>
      </c>
      <c r="E6831" s="135">
        <f t="shared" si="59"/>
        <v>26</v>
      </c>
      <c r="F6831" s="134" t="s">
        <v>4040</v>
      </c>
      <c r="G6831" s="63" t="str">
        <f>VLOOKUP(C6831, 'Class Def. - General Data'!$C$20:$C$1000,1,false)</f>
        <v>ZSF1_PINTD_OIL</v>
      </c>
      <c r="H6831" s="63" t="str">
        <f>IFERROR(__xludf.DUMMYFUNCTION("VLOOKUP(F6831, IMPORTRANGE(""https://docs.google.com/spreadsheets/d/1Lhp9OU0JdFf_VYSMzH5lBcEaU4o8teT1piV-SNzShjg/edit?gid=554141278#gid=554141278"", ""'Char Def. - Attributes'!C20:C2242""), 1,false)"),"OLD_MAT_SFG")</f>
        <v>OLD_MAT_SFG</v>
      </c>
      <c r="I6831" s="136"/>
    </row>
    <row r="6832" ht="15.75" customHeight="1">
      <c r="B6832" s="63">
        <f t="shared" si="1"/>
        <v>17</v>
      </c>
      <c r="C6832" s="134" t="s">
        <v>200</v>
      </c>
      <c r="D6832" s="134" t="s">
        <v>74</v>
      </c>
      <c r="E6832" s="135">
        <f t="shared" si="59"/>
        <v>1</v>
      </c>
      <c r="F6832" s="134" t="s">
        <v>3853</v>
      </c>
      <c r="G6832" s="63" t="str">
        <f>VLOOKUP(C6832, 'Class Def. - General Data'!$C$20:$C$1000,1,false)</f>
        <v>ZSF1_PINTD_PREMIX</v>
      </c>
      <c r="H6832" s="63" t="str">
        <f>IFERROR(__xludf.DUMMYFUNCTION("VLOOKUP(F6832, IMPORTRANGE(""https://docs.google.com/spreadsheets/d/1Lhp9OU0JdFf_VYSMzH5lBcEaU4o8teT1piV-SNzShjg/edit?gid=554141278#gid=554141278"", ""'Char Def. - Attributes'!C20:C2242""), 1,false)"),"BRAND_WINGS")</f>
        <v>BRAND_WINGS</v>
      </c>
      <c r="I6832" s="136"/>
    </row>
    <row r="6833" ht="15.75" customHeight="1">
      <c r="B6833" s="63">
        <f t="shared" si="1"/>
        <v>17</v>
      </c>
      <c r="C6833" s="134" t="s">
        <v>200</v>
      </c>
      <c r="D6833" s="134" t="s">
        <v>74</v>
      </c>
      <c r="E6833" s="135">
        <f t="shared" si="59"/>
        <v>2</v>
      </c>
      <c r="F6833" s="134" t="s">
        <v>3607</v>
      </c>
      <c r="G6833" s="63" t="str">
        <f>VLOOKUP(C6833, 'Class Def. - General Data'!$C$20:$C$1000,1,false)</f>
        <v>ZSF1_PINTD_PREMIX</v>
      </c>
      <c r="H6833" s="63" t="str">
        <f>IFERROR(__xludf.DUMMYFUNCTION("VLOOKUP(F6833, IMPORTRANGE(""https://docs.google.com/spreadsheets/d/1Lhp9OU0JdFf_VYSMzH5lBcEaU4o8teT1piV-SNzShjg/edit?gid=554141278#gid=554141278"", ""'Char Def. - Attributes'!C20:C2242""), 1,false)"),"VARIAN")</f>
        <v>VARIAN</v>
      </c>
      <c r="I6833" s="136"/>
    </row>
    <row r="6834" ht="15.75" customHeight="1">
      <c r="B6834" s="63">
        <f t="shared" si="1"/>
        <v>17</v>
      </c>
      <c r="C6834" s="134" t="s">
        <v>200</v>
      </c>
      <c r="D6834" s="134" t="s">
        <v>74</v>
      </c>
      <c r="E6834" s="135">
        <f t="shared" si="59"/>
        <v>3</v>
      </c>
      <c r="F6834" s="134" t="s">
        <v>4036</v>
      </c>
      <c r="G6834" s="63" t="str">
        <f>VLOOKUP(C6834, 'Class Def. - General Data'!$C$20:$C$1000,1,false)</f>
        <v>ZSF1_PINTD_PREMIX</v>
      </c>
      <c r="H6834" s="63" t="str">
        <f>IFERROR(__xludf.DUMMYFUNCTION("VLOOKUP(F6834, IMPORTRANGE(""https://docs.google.com/spreadsheets/d/1Lhp9OU0JdFf_VYSMzH5lBcEaU4o8teT1piV-SNzShjg/edit?gid=554141278#gid=554141278"", ""'Char Def. - Attributes'!C20:C2242""), 1,false)"),"NAMA_BAHAN")</f>
        <v>NAMA_BAHAN</v>
      </c>
      <c r="I6834" s="136"/>
    </row>
    <row r="6835" ht="15.75" customHeight="1">
      <c r="B6835" s="63">
        <f t="shared" si="1"/>
        <v>17</v>
      </c>
      <c r="C6835" s="160" t="s">
        <v>200</v>
      </c>
      <c r="D6835" s="161" t="s">
        <v>74</v>
      </c>
      <c r="E6835" s="135">
        <f t="shared" si="59"/>
        <v>4</v>
      </c>
      <c r="F6835" s="134" t="s">
        <v>4037</v>
      </c>
      <c r="G6835" s="63" t="str">
        <f>VLOOKUP(C6835, 'Class Def. - General Data'!$C$20:$C$1000,1,false)</f>
        <v>ZSF1_PINTD_PREMIX</v>
      </c>
      <c r="H6835" s="63" t="str">
        <f>IFERROR(__xludf.DUMMYFUNCTION("VLOOKUP(F6835, IMPORTRANGE(""https://docs.google.com/spreadsheets/d/1Lhp9OU0JdFf_VYSMzH5lBcEaU4o8teT1piV-SNzShjg/edit?gid=554141278#gid=554141278"", ""'Char Def. - Attributes'!C20:C2242""), 1,false)"),"VARIAN_BAHAN")</f>
        <v>VARIAN_BAHAN</v>
      </c>
      <c r="I6835" s="136"/>
    </row>
    <row r="6836" ht="15.75" customHeight="1">
      <c r="B6836" s="63">
        <f t="shared" si="1"/>
        <v>17</v>
      </c>
      <c r="C6836" s="160" t="s">
        <v>200</v>
      </c>
      <c r="D6836" s="161" t="s">
        <v>74</v>
      </c>
      <c r="E6836" s="135">
        <f t="shared" si="59"/>
        <v>5</v>
      </c>
      <c r="F6836" s="134" t="s">
        <v>3605</v>
      </c>
      <c r="G6836" s="63" t="str">
        <f>VLOOKUP(C6836, 'Class Def. - General Data'!$C$20:$C$1000,1,false)</f>
        <v>ZSF1_PINTD_PREMIX</v>
      </c>
      <c r="H6836" s="63" t="str">
        <f>IFERROR(__xludf.DUMMYFUNCTION("VLOOKUP(F6836, IMPORTRANGE(""https://docs.google.com/spreadsheets/d/1Lhp9OU0JdFf_VYSMzH5lBcEaU4o8teT1piV-SNzShjg/edit?gid=554141278#gid=554141278"", ""'Char Def. - Attributes'!C20:C2242""), 1,false)"),"PACK_NETTO")</f>
        <v>PACK_NETTO</v>
      </c>
      <c r="I6836" s="136"/>
    </row>
    <row r="6837" ht="15.75" customHeight="1">
      <c r="B6837" s="63">
        <f t="shared" si="1"/>
        <v>17</v>
      </c>
      <c r="C6837" s="160" t="s">
        <v>200</v>
      </c>
      <c r="D6837" s="161" t="s">
        <v>74</v>
      </c>
      <c r="E6837" s="135">
        <f t="shared" si="59"/>
        <v>6</v>
      </c>
      <c r="F6837" s="134" t="s">
        <v>4038</v>
      </c>
      <c r="G6837" s="63" t="str">
        <f>VLOOKUP(C6837, 'Class Def. - General Data'!$C$20:$C$1000,1,false)</f>
        <v>ZSF1_PINTD_PREMIX</v>
      </c>
      <c r="H6837" s="63" t="str">
        <f>IFERROR(__xludf.DUMMYFUNCTION("VLOOKUP(F6837, IMPORTRANGE(""https://docs.google.com/spreadsheets/d/1Lhp9OU0JdFf_VYSMzH5lBcEaU4o8teT1piV-SNzShjg/edit?gid=554141278#gid=554141278"", ""'Char Def. - Attributes'!C20:C2242""), 1,false)"),"SFG_SPEC")</f>
        <v>SFG_SPEC</v>
      </c>
      <c r="I6837" s="136"/>
    </row>
    <row r="6838" ht="15.75" customHeight="1">
      <c r="B6838" s="63">
        <f t="shared" si="1"/>
        <v>17</v>
      </c>
      <c r="C6838" s="134" t="s">
        <v>200</v>
      </c>
      <c r="D6838" s="134" t="s">
        <v>74</v>
      </c>
      <c r="E6838" s="135">
        <f t="shared" si="59"/>
        <v>7</v>
      </c>
      <c r="F6838" s="134" t="s">
        <v>4039</v>
      </c>
      <c r="G6838" s="63" t="str">
        <f>VLOOKUP(C6838, 'Class Def. - General Data'!$C$20:$C$1000,1,false)</f>
        <v>ZSF1_PINTD_PREMIX</v>
      </c>
      <c r="H6838" s="63" t="str">
        <f>IFERROR(__xludf.DUMMYFUNCTION("VLOOKUP(F6838, IMPORTRANGE(""https://docs.google.com/spreadsheets/d/1Lhp9OU0JdFf_VYSMzH5lBcEaU4o8teT1piV-SNzShjg/edit?gid=554141278#gid=554141278"", ""'Char Def. - Attributes'!C20:C2242""), 1,false)"),"SFG_DESTINATION")</f>
        <v>SFG_DESTINATION</v>
      </c>
      <c r="I6838" s="136"/>
    </row>
    <row r="6839" ht="15.75" customHeight="1">
      <c r="B6839" s="63">
        <f t="shared" si="1"/>
        <v>17</v>
      </c>
      <c r="C6839" s="135" t="s">
        <v>200</v>
      </c>
      <c r="D6839" s="141" t="s">
        <v>74</v>
      </c>
      <c r="E6839" s="135">
        <f t="shared" si="59"/>
        <v>8</v>
      </c>
      <c r="F6839" s="134" t="s">
        <v>3611</v>
      </c>
      <c r="G6839" s="63" t="str">
        <f>VLOOKUP(C6839, 'Class Def. - General Data'!$C$20:$C$1000,1,false)</f>
        <v>ZSF1_PINTD_PREMIX</v>
      </c>
      <c r="H6839" s="63" t="str">
        <f>IFERROR(__xludf.DUMMYFUNCTION("VLOOKUP(F6839, IMPORTRANGE(""https://docs.google.com/spreadsheets/d/1Lhp9OU0JdFf_VYSMzH5lBcEaU4o8teT1piV-SNzShjg/edit?gid=554141278#gid=554141278"", ""'Char Def. - Attributes'!C20:C2242""), 1,false)"),"LOKAL_EKSPOR")</f>
        <v>LOKAL_EKSPOR</v>
      </c>
      <c r="I6839" s="136"/>
    </row>
    <row r="6840" ht="15.75" customHeight="1">
      <c r="B6840" s="63">
        <f t="shared" si="1"/>
        <v>17</v>
      </c>
      <c r="C6840" s="135" t="s">
        <v>200</v>
      </c>
      <c r="D6840" s="141" t="s">
        <v>74</v>
      </c>
      <c r="E6840" s="135">
        <f t="shared" si="59"/>
        <v>9</v>
      </c>
      <c r="F6840" s="134" t="s">
        <v>3612</v>
      </c>
      <c r="G6840" s="63" t="str">
        <f>VLOOKUP(C6840, 'Class Def. - General Data'!$C$20:$C$1000,1,false)</f>
        <v>ZSF1_PINTD_PREMIX</v>
      </c>
      <c r="H6840" s="63" t="str">
        <f>IFERROR(__xludf.DUMMYFUNCTION("VLOOKUP(F6840, IMPORTRANGE(""https://docs.google.com/spreadsheets/d/1Lhp9OU0JdFf_VYSMzH5lBcEaU4o8teT1piV-SNzShjg/edit?gid=554141278#gid=554141278"", ""'Char Def. - Attributes'!C20:C2242""), 1,false)"),"COUNTRY_EKSPOR")</f>
        <v>COUNTRY_EKSPOR</v>
      </c>
      <c r="I6840" s="136"/>
    </row>
    <row r="6841" ht="15.75" customHeight="1">
      <c r="B6841" s="63">
        <f t="shared" si="1"/>
        <v>17</v>
      </c>
      <c r="C6841" s="134" t="s">
        <v>200</v>
      </c>
      <c r="D6841" s="134" t="s">
        <v>74</v>
      </c>
      <c r="E6841" s="135">
        <f t="shared" si="59"/>
        <v>10</v>
      </c>
      <c r="F6841" s="134" t="s">
        <v>4041</v>
      </c>
      <c r="G6841" s="63" t="str">
        <f>VLOOKUP(C6841, 'Class Def. - General Data'!$C$20:$C$1000,1,false)</f>
        <v>ZSF1_PINTD_PREMIX</v>
      </c>
      <c r="H6841" s="63" t="str">
        <f>IFERROR(__xludf.DUMMYFUNCTION("VLOOKUP(F6841, IMPORTRANGE(""https://docs.google.com/spreadsheets/d/1Lhp9OU0JdFf_VYSMzH5lBcEaU4o8teT1piV-SNzShjg/edit?gid=554141278#gid=554141278"", ""'Char Def. - Attributes'!C20:C2242""), 1,false)"),"SFG_GRADE")</f>
        <v>SFG_GRADE</v>
      </c>
      <c r="I6841" s="136"/>
    </row>
    <row r="6842" ht="15.75" customHeight="1">
      <c r="B6842" s="63">
        <f t="shared" si="1"/>
        <v>17</v>
      </c>
      <c r="C6842" s="160" t="s">
        <v>200</v>
      </c>
      <c r="D6842" s="161" t="s">
        <v>74</v>
      </c>
      <c r="E6842" s="135">
        <f t="shared" si="59"/>
        <v>11</v>
      </c>
      <c r="F6842" s="134" t="s">
        <v>3881</v>
      </c>
      <c r="G6842" s="63" t="str">
        <f>VLOOKUP(C6842, 'Class Def. - General Data'!$C$20:$C$1000,1,false)</f>
        <v>ZSF1_PINTD_PREMIX</v>
      </c>
      <c r="H6842" s="63" t="str">
        <f>IFERROR(__xludf.DUMMYFUNCTION("VLOOKUP(F6842, IMPORTRANGE(""https://docs.google.com/spreadsheets/d/1Lhp9OU0JdFf_VYSMzH5lBcEaU4o8teT1piV-SNzShjg/edit?gid=554141278#gid=554141278"", ""'Char Def. - Attributes'!C20:C2242""), 1,false)"),"BS_BERSIH")</f>
        <v>BS_BERSIH</v>
      </c>
      <c r="I6842" s="136"/>
    </row>
    <row r="6843" ht="15.75" customHeight="1">
      <c r="B6843" s="63">
        <f t="shared" si="1"/>
        <v>17</v>
      </c>
      <c r="C6843" s="160" t="s">
        <v>200</v>
      </c>
      <c r="D6843" s="161" t="s">
        <v>74</v>
      </c>
      <c r="E6843" s="135">
        <f t="shared" si="59"/>
        <v>12</v>
      </c>
      <c r="F6843" s="134" t="s">
        <v>3882</v>
      </c>
      <c r="G6843" s="63" t="str">
        <f>VLOOKUP(C6843, 'Class Def. - General Data'!$C$20:$C$1000,1,false)</f>
        <v>ZSF1_PINTD_PREMIX</v>
      </c>
      <c r="H6843" s="63" t="str">
        <f>IFERROR(__xludf.DUMMYFUNCTION("VLOOKUP(F6843, IMPORTRANGE(""https://docs.google.com/spreadsheets/d/1Lhp9OU0JdFf_VYSMzH5lBcEaU4o8teT1piV-SNzShjg/edit?gid=554141278#gid=554141278"", ""'Char Def. - Attributes'!C20:C2242""), 1,false)"),"BS_KOTOR")</f>
        <v>BS_KOTOR</v>
      </c>
      <c r="I6843" s="136"/>
    </row>
    <row r="6844" ht="15.75" customHeight="1">
      <c r="B6844" s="63">
        <f t="shared" si="1"/>
        <v>17</v>
      </c>
      <c r="C6844" s="162" t="s">
        <v>200</v>
      </c>
      <c r="D6844" s="161" t="s">
        <v>74</v>
      </c>
      <c r="E6844" s="135">
        <f t="shared" si="59"/>
        <v>13</v>
      </c>
      <c r="F6844" s="134" t="s">
        <v>3883</v>
      </c>
      <c r="G6844" s="63" t="str">
        <f>VLOOKUP(C6844, 'Class Def. - General Data'!$C$20:$C$1000,1,false)</f>
        <v>ZSF1_PINTD_PREMIX</v>
      </c>
      <c r="H6844" s="63" t="str">
        <f>IFERROR(__xludf.DUMMYFUNCTION("VLOOKUP(F6844, IMPORTRANGE(""https://docs.google.com/spreadsheets/d/1Lhp9OU0JdFf_VYSMzH5lBcEaU4o8teT1piV-SNzShjg/edit?gid=554141278#gid=554141278"", ""'Char Def. - Attributes'!C20:C2242""), 1,false)"),"BS_SCRAP")</f>
        <v>BS_SCRAP</v>
      </c>
      <c r="I6844" s="136"/>
    </row>
    <row r="6845" ht="15.75" customHeight="1">
      <c r="B6845" s="63">
        <f t="shared" si="1"/>
        <v>17</v>
      </c>
      <c r="C6845" s="134" t="s">
        <v>200</v>
      </c>
      <c r="D6845" s="134" t="s">
        <v>74</v>
      </c>
      <c r="E6845" s="135">
        <f t="shared" si="59"/>
        <v>14</v>
      </c>
      <c r="F6845" s="134" t="s">
        <v>3582</v>
      </c>
      <c r="G6845" s="63" t="str">
        <f>VLOOKUP(C6845, 'Class Def. - General Data'!$C$20:$C$1000,1,false)</f>
        <v>ZSF1_PINTD_PREMIX</v>
      </c>
      <c r="H6845" s="63" t="str">
        <f>IFERROR(__xludf.DUMMYFUNCTION("VLOOKUP(F6845, IMPORTRANGE(""https://docs.google.com/spreadsheets/d/1Lhp9OU0JdFf_VYSMzH5lBcEaU4o8teT1piV-SNzShjg/edit?gid=554141278#gid=554141278"", ""'Char Def. - Attributes'!C20:C2242""), 1,false)"),"BASE_UNIT")</f>
        <v>BASE_UNIT</v>
      </c>
      <c r="I6845" s="136"/>
    </row>
    <row r="6846" ht="15.75" customHeight="1">
      <c r="B6846" s="63">
        <f t="shared" si="1"/>
        <v>17</v>
      </c>
      <c r="C6846" s="134" t="s">
        <v>200</v>
      </c>
      <c r="D6846" s="134" t="s">
        <v>74</v>
      </c>
      <c r="E6846" s="135">
        <f t="shared" si="59"/>
        <v>15</v>
      </c>
      <c r="F6846" s="134" t="s">
        <v>3595</v>
      </c>
      <c r="G6846" s="63" t="str">
        <f>VLOOKUP(C6846, 'Class Def. - General Data'!$C$20:$C$1000,1,false)</f>
        <v>ZSF1_PINTD_PREMIX</v>
      </c>
      <c r="H6846" s="63" t="str">
        <f>IFERROR(__xludf.DUMMYFUNCTION("VLOOKUP(F6846, IMPORTRANGE(""https://docs.google.com/spreadsheets/d/1Lhp9OU0JdFf_VYSMzH5lBcEaU4o8teT1piV-SNzShjg/edit?gid=554141278#gid=554141278"", ""'Char Def. - Attributes'!C20:C2242""), 1,false)"),"UOM1")</f>
        <v>UOM1</v>
      </c>
      <c r="I6846" s="136"/>
    </row>
    <row r="6847" ht="15.75" customHeight="1">
      <c r="B6847" s="63">
        <f t="shared" si="1"/>
        <v>17</v>
      </c>
      <c r="C6847" s="134" t="s">
        <v>200</v>
      </c>
      <c r="D6847" s="134" t="s">
        <v>74</v>
      </c>
      <c r="E6847" s="135">
        <f t="shared" si="59"/>
        <v>16</v>
      </c>
      <c r="F6847" s="134" t="s">
        <v>3596</v>
      </c>
      <c r="G6847" s="63" t="str">
        <f>VLOOKUP(C6847, 'Class Def. - General Data'!$C$20:$C$1000,1,false)</f>
        <v>ZSF1_PINTD_PREMIX</v>
      </c>
      <c r="H6847" s="63" t="str">
        <f>IFERROR(__xludf.DUMMYFUNCTION("VLOOKUP(F6847, IMPORTRANGE(""https://docs.google.com/spreadsheets/d/1Lhp9OU0JdFf_VYSMzH5lBcEaU4o8teT1piV-SNzShjg/edit?gid=554141278#gid=554141278"", ""'Char Def. - Attributes'!C20:C2242""), 1,false)"),"CONV1")</f>
        <v>CONV1</v>
      </c>
      <c r="I6847" s="136"/>
    </row>
    <row r="6848" ht="15.75" customHeight="1">
      <c r="B6848" s="63">
        <f t="shared" si="1"/>
        <v>17</v>
      </c>
      <c r="C6848" s="134" t="s">
        <v>200</v>
      </c>
      <c r="D6848" s="134" t="s">
        <v>74</v>
      </c>
      <c r="E6848" s="135">
        <f t="shared" si="59"/>
        <v>17</v>
      </c>
      <c r="F6848" s="134" t="s">
        <v>3597</v>
      </c>
      <c r="G6848" s="63" t="str">
        <f>VLOOKUP(C6848, 'Class Def. - General Data'!$C$20:$C$1000,1,false)</f>
        <v>ZSF1_PINTD_PREMIX</v>
      </c>
      <c r="H6848" s="63" t="str">
        <f>IFERROR(__xludf.DUMMYFUNCTION("VLOOKUP(F6848, IMPORTRANGE(""https://docs.google.com/spreadsheets/d/1Lhp9OU0JdFf_VYSMzH5lBcEaU4o8teT1piV-SNzShjg/edit?gid=554141278#gid=554141278"", ""'Char Def. - Attributes'!C20:C2242""), 1,false)"),"UOM2")</f>
        <v>UOM2</v>
      </c>
      <c r="I6848" s="136"/>
    </row>
    <row r="6849" ht="15.75" customHeight="1">
      <c r="B6849" s="63">
        <f t="shared" si="1"/>
        <v>17</v>
      </c>
      <c r="C6849" s="134" t="s">
        <v>200</v>
      </c>
      <c r="D6849" s="134" t="s">
        <v>74</v>
      </c>
      <c r="E6849" s="135">
        <f t="shared" si="59"/>
        <v>18</v>
      </c>
      <c r="F6849" s="134" t="s">
        <v>3598</v>
      </c>
      <c r="G6849" s="63" t="str">
        <f>VLOOKUP(C6849, 'Class Def. - General Data'!$C$20:$C$1000,1,false)</f>
        <v>ZSF1_PINTD_PREMIX</v>
      </c>
      <c r="H6849" s="63" t="str">
        <f>IFERROR(__xludf.DUMMYFUNCTION("VLOOKUP(F6849, IMPORTRANGE(""https://docs.google.com/spreadsheets/d/1Lhp9OU0JdFf_VYSMzH5lBcEaU4o8teT1piV-SNzShjg/edit?gid=554141278#gid=554141278"", ""'Char Def. - Attributes'!C20:C2242""), 1,false)"),"CONV2")</f>
        <v>CONV2</v>
      </c>
      <c r="I6849" s="136"/>
    </row>
    <row r="6850" ht="15.75" customHeight="1">
      <c r="B6850" s="63">
        <f t="shared" si="1"/>
        <v>17</v>
      </c>
      <c r="C6850" s="134" t="s">
        <v>200</v>
      </c>
      <c r="D6850" s="134" t="s">
        <v>74</v>
      </c>
      <c r="E6850" s="135">
        <f t="shared" si="59"/>
        <v>19</v>
      </c>
      <c r="F6850" s="134" t="s">
        <v>3599</v>
      </c>
      <c r="G6850" s="63" t="str">
        <f>VLOOKUP(C6850, 'Class Def. - General Data'!$C$20:$C$1000,1,false)</f>
        <v>ZSF1_PINTD_PREMIX</v>
      </c>
      <c r="H6850" s="63" t="str">
        <f>IFERROR(__xludf.DUMMYFUNCTION("VLOOKUP(F6850, IMPORTRANGE(""https://docs.google.com/spreadsheets/d/1Lhp9OU0JdFf_VYSMzH5lBcEaU4o8teT1piV-SNzShjg/edit?gid=554141278#gid=554141278"", ""'Char Def. - Attributes'!C20:C2242""), 1,false)"),"UOM3")</f>
        <v>UOM3</v>
      </c>
      <c r="I6850" s="136"/>
    </row>
    <row r="6851" ht="15.75" customHeight="1">
      <c r="B6851" s="63">
        <f t="shared" si="1"/>
        <v>17</v>
      </c>
      <c r="C6851" s="134" t="s">
        <v>200</v>
      </c>
      <c r="D6851" s="134" t="s">
        <v>74</v>
      </c>
      <c r="E6851" s="135">
        <f t="shared" si="59"/>
        <v>20</v>
      </c>
      <c r="F6851" s="134" t="s">
        <v>3600</v>
      </c>
      <c r="G6851" s="63" t="str">
        <f>VLOOKUP(C6851, 'Class Def. - General Data'!$C$20:$C$1000,1,false)</f>
        <v>ZSF1_PINTD_PREMIX</v>
      </c>
      <c r="H6851" s="63" t="str">
        <f>IFERROR(__xludf.DUMMYFUNCTION("VLOOKUP(F6851, IMPORTRANGE(""https://docs.google.com/spreadsheets/d/1Lhp9OU0JdFf_VYSMzH5lBcEaU4o8teT1piV-SNzShjg/edit?gid=554141278#gid=554141278"", ""'Char Def. - Attributes'!C20:C2242""), 1,false)"),"CONV3")</f>
        <v>CONV3</v>
      </c>
      <c r="I6851" s="136"/>
    </row>
    <row r="6852" ht="15.75" customHeight="1">
      <c r="B6852" s="63">
        <f t="shared" si="1"/>
        <v>17</v>
      </c>
      <c r="C6852" s="134" t="s">
        <v>200</v>
      </c>
      <c r="D6852" s="134" t="s">
        <v>74</v>
      </c>
      <c r="E6852" s="135">
        <f t="shared" si="59"/>
        <v>21</v>
      </c>
      <c r="F6852" s="134" t="s">
        <v>3601</v>
      </c>
      <c r="G6852" s="63" t="str">
        <f>VLOOKUP(C6852, 'Class Def. - General Data'!$C$20:$C$1000,1,false)</f>
        <v>ZSF1_PINTD_PREMIX</v>
      </c>
      <c r="H6852" s="63" t="str">
        <f>IFERROR(__xludf.DUMMYFUNCTION("VLOOKUP(F6852, IMPORTRANGE(""https://docs.google.com/spreadsheets/d/1Lhp9OU0JdFf_VYSMzH5lBcEaU4o8teT1piV-SNzShjg/edit?gid=554141278#gid=554141278"", ""'Char Def. - Attributes'!C20:C2242""), 1,false)"),"GROSS_WEIGHT")</f>
        <v>GROSS_WEIGHT</v>
      </c>
      <c r="I6852" s="136"/>
    </row>
    <row r="6853" ht="15.75" customHeight="1">
      <c r="B6853" s="63">
        <f t="shared" si="1"/>
        <v>17</v>
      </c>
      <c r="C6853" s="134" t="s">
        <v>200</v>
      </c>
      <c r="D6853" s="134" t="s">
        <v>74</v>
      </c>
      <c r="E6853" s="135">
        <f t="shared" si="59"/>
        <v>22</v>
      </c>
      <c r="F6853" s="134" t="s">
        <v>3602</v>
      </c>
      <c r="G6853" s="63" t="str">
        <f>VLOOKUP(C6853, 'Class Def. - General Data'!$C$20:$C$1000,1,false)</f>
        <v>ZSF1_PINTD_PREMIX</v>
      </c>
      <c r="H6853" s="63" t="str">
        <f>IFERROR(__xludf.DUMMYFUNCTION("VLOOKUP(F6853, IMPORTRANGE(""https://docs.google.com/spreadsheets/d/1Lhp9OU0JdFf_VYSMzH5lBcEaU4o8teT1piV-SNzShjg/edit?gid=554141278#gid=554141278"", ""'Char Def. - Attributes'!C20:C2242""), 1,false)"),"NET_WEIGHT")</f>
        <v>NET_WEIGHT</v>
      </c>
      <c r="I6853" s="136"/>
    </row>
    <row r="6854" ht="15.75" customHeight="1">
      <c r="B6854" s="63">
        <f t="shared" si="1"/>
        <v>17</v>
      </c>
      <c r="C6854" s="134" t="s">
        <v>200</v>
      </c>
      <c r="D6854" s="134" t="s">
        <v>74</v>
      </c>
      <c r="E6854" s="135">
        <f t="shared" si="59"/>
        <v>23</v>
      </c>
      <c r="F6854" s="134" t="s">
        <v>3603</v>
      </c>
      <c r="G6854" s="63" t="str">
        <f>VLOOKUP(C6854, 'Class Def. - General Data'!$C$20:$C$1000,1,false)</f>
        <v>ZSF1_PINTD_PREMIX</v>
      </c>
      <c r="H6854" s="63" t="str">
        <f>IFERROR(__xludf.DUMMYFUNCTION("VLOOKUP(F6854, IMPORTRANGE(""https://docs.google.com/spreadsheets/d/1Lhp9OU0JdFf_VYSMzH5lBcEaU4o8teT1piV-SNzShjg/edit?gid=554141278#gid=554141278"", ""'Char Def. - Attributes'!C20:C2242""), 1,false)"),"VOLUME")</f>
        <v>VOLUME</v>
      </c>
      <c r="I6854" s="136"/>
    </row>
    <row r="6855" ht="15.75" customHeight="1">
      <c r="B6855" s="63">
        <f t="shared" si="1"/>
        <v>17</v>
      </c>
      <c r="C6855" s="134" t="s">
        <v>200</v>
      </c>
      <c r="D6855" s="134" t="s">
        <v>74</v>
      </c>
      <c r="E6855" s="135">
        <f t="shared" si="59"/>
        <v>24</v>
      </c>
      <c r="F6855" s="134" t="s">
        <v>3586</v>
      </c>
      <c r="G6855" s="63" t="str">
        <f>VLOOKUP(C6855, 'Class Def. - General Data'!$C$20:$C$1000,1,false)</f>
        <v>ZSF1_PINTD_PREMIX</v>
      </c>
      <c r="H6855" s="63" t="str">
        <f>IFERROR(__xludf.DUMMYFUNCTION("VLOOKUP(F6855, IMPORTRANGE(""https://docs.google.com/spreadsheets/d/1Lhp9OU0JdFf_VYSMzH5lBcEaU4o8teT1piV-SNzShjg/edit?gid=554141278#gid=554141278"", ""'Char Def. - Attributes'!C20:C2242""), 1,false)"),"PLANT_PROD")</f>
        <v>PLANT_PROD</v>
      </c>
      <c r="I6855" s="136"/>
    </row>
    <row r="6856" ht="15.75" customHeight="1">
      <c r="B6856" s="63">
        <f t="shared" si="1"/>
        <v>17</v>
      </c>
      <c r="C6856" s="134" t="s">
        <v>200</v>
      </c>
      <c r="D6856" s="134" t="s">
        <v>74</v>
      </c>
      <c r="E6856" s="135">
        <f t="shared" si="59"/>
        <v>25</v>
      </c>
      <c r="F6856" s="134" t="s">
        <v>3587</v>
      </c>
      <c r="G6856" s="63" t="str">
        <f>VLOOKUP(C6856, 'Class Def. - General Data'!$C$20:$C$1000,1,false)</f>
        <v>ZSF1_PINTD_PREMIX</v>
      </c>
      <c r="H6856" s="63" t="str">
        <f>IFERROR(__xludf.DUMMYFUNCTION("VLOOKUP(F6856, IMPORTRANGE(""https://docs.google.com/spreadsheets/d/1Lhp9OU0JdFf_VYSMzH5lBcEaU4o8teT1piV-SNzShjg/edit?gid=554141278#gid=554141278"", ""'Char Def. - Attributes'!C20:C2242""), 1,false)"),"PLANT_BUY")</f>
        <v>PLANT_BUY</v>
      </c>
      <c r="I6856" s="136"/>
    </row>
    <row r="6857" ht="15.75" customHeight="1">
      <c r="B6857" s="63">
        <f t="shared" si="1"/>
        <v>17</v>
      </c>
      <c r="C6857" s="134" t="s">
        <v>200</v>
      </c>
      <c r="D6857" s="134" t="s">
        <v>74</v>
      </c>
      <c r="E6857" s="135">
        <f t="shared" si="59"/>
        <v>26</v>
      </c>
      <c r="F6857" s="134" t="s">
        <v>4040</v>
      </c>
      <c r="G6857" s="63" t="str">
        <f>VLOOKUP(C6857, 'Class Def. - General Data'!$C$20:$C$1000,1,false)</f>
        <v>ZSF1_PINTD_PREMIX</v>
      </c>
      <c r="H6857" s="63" t="str">
        <f>IFERROR(__xludf.DUMMYFUNCTION("VLOOKUP(F6857, IMPORTRANGE(""https://docs.google.com/spreadsheets/d/1Lhp9OU0JdFf_VYSMzH5lBcEaU4o8teT1piV-SNzShjg/edit?gid=554141278#gid=554141278"", ""'Char Def. - Attributes'!C20:C2242""), 1,false)"),"OLD_MAT_SFG")</f>
        <v>OLD_MAT_SFG</v>
      </c>
      <c r="I6857" s="136"/>
    </row>
    <row r="6858" ht="15.75" customHeight="1">
      <c r="B6858" s="63">
        <f t="shared" si="1"/>
        <v>18</v>
      </c>
      <c r="C6858" s="134" t="s">
        <v>202</v>
      </c>
      <c r="D6858" s="134" t="s">
        <v>74</v>
      </c>
      <c r="E6858" s="135">
        <f t="shared" si="59"/>
        <v>1</v>
      </c>
      <c r="F6858" s="134" t="s">
        <v>4036</v>
      </c>
      <c r="G6858" s="63" t="str">
        <f>VLOOKUP(C6858, 'Class Def. - General Data'!$C$20:$C$1000,1,false)</f>
        <v>ZSF1_REUSEABLE_PCK</v>
      </c>
      <c r="H6858" s="63" t="str">
        <f>IFERROR(__xludf.DUMMYFUNCTION("VLOOKUP(F6858, IMPORTRANGE(""https://docs.google.com/spreadsheets/d/1Lhp9OU0JdFf_VYSMzH5lBcEaU4o8teT1piV-SNzShjg/edit?gid=554141278#gid=554141278"", ""'Char Def. - Attributes'!C20:C2242""), 1,false)"),"NAMA_BAHAN")</f>
        <v>NAMA_BAHAN</v>
      </c>
      <c r="I6858" s="136"/>
    </row>
    <row r="6859" ht="15.75" customHeight="1">
      <c r="B6859" s="63">
        <f t="shared" si="1"/>
        <v>18</v>
      </c>
      <c r="C6859" s="134" t="s">
        <v>202</v>
      </c>
      <c r="D6859" s="134" t="s">
        <v>74</v>
      </c>
      <c r="E6859" s="135">
        <f t="shared" si="59"/>
        <v>2</v>
      </c>
      <c r="F6859" s="134" t="s">
        <v>4037</v>
      </c>
      <c r="G6859" s="63" t="str">
        <f>VLOOKUP(C6859, 'Class Def. - General Data'!$C$20:$C$1000,1,false)</f>
        <v>ZSF1_REUSEABLE_PCK</v>
      </c>
      <c r="H6859" s="63" t="str">
        <f>IFERROR(__xludf.DUMMYFUNCTION("VLOOKUP(F6859, IMPORTRANGE(""https://docs.google.com/spreadsheets/d/1Lhp9OU0JdFf_VYSMzH5lBcEaU4o8teT1piV-SNzShjg/edit?gid=554141278#gid=554141278"", ""'Char Def. - Attributes'!C20:C2242""), 1,false)"),"VARIAN_BAHAN")</f>
        <v>VARIAN_BAHAN</v>
      </c>
      <c r="I6859" s="136"/>
    </row>
    <row r="6860" ht="15.75" customHeight="1">
      <c r="B6860" s="63">
        <f t="shared" si="1"/>
        <v>18</v>
      </c>
      <c r="C6860" s="160" t="s">
        <v>202</v>
      </c>
      <c r="D6860" s="161" t="s">
        <v>74</v>
      </c>
      <c r="E6860" s="135">
        <f t="shared" si="59"/>
        <v>3</v>
      </c>
      <c r="F6860" s="134" t="s">
        <v>3605</v>
      </c>
      <c r="G6860" s="63" t="str">
        <f>VLOOKUP(C6860, 'Class Def. - General Data'!$C$20:$C$1000,1,false)</f>
        <v>ZSF1_REUSEABLE_PCK</v>
      </c>
      <c r="H6860" s="63" t="str">
        <f>IFERROR(__xludf.DUMMYFUNCTION("VLOOKUP(F6860, IMPORTRANGE(""https://docs.google.com/spreadsheets/d/1Lhp9OU0JdFf_VYSMzH5lBcEaU4o8teT1piV-SNzShjg/edit?gid=554141278#gid=554141278"", ""'Char Def. - Attributes'!C20:C2242""), 1,false)"),"PACK_NETTO")</f>
        <v>PACK_NETTO</v>
      </c>
      <c r="I6860" s="136"/>
    </row>
    <row r="6861" ht="15.75" customHeight="1">
      <c r="B6861" s="63">
        <f t="shared" si="1"/>
        <v>18</v>
      </c>
      <c r="C6861" s="160" t="s">
        <v>202</v>
      </c>
      <c r="D6861" s="161" t="s">
        <v>74</v>
      </c>
      <c r="E6861" s="135">
        <f t="shared" si="59"/>
        <v>4</v>
      </c>
      <c r="F6861" s="134" t="s">
        <v>4038</v>
      </c>
      <c r="G6861" s="63" t="str">
        <f>VLOOKUP(C6861, 'Class Def. - General Data'!$C$20:$C$1000,1,false)</f>
        <v>ZSF1_REUSEABLE_PCK</v>
      </c>
      <c r="H6861" s="63" t="str">
        <f>IFERROR(__xludf.DUMMYFUNCTION("VLOOKUP(F6861, IMPORTRANGE(""https://docs.google.com/spreadsheets/d/1Lhp9OU0JdFf_VYSMzH5lBcEaU4o8teT1piV-SNzShjg/edit?gid=554141278#gid=554141278"", ""'Char Def. - Attributes'!C20:C2242""), 1,false)"),"SFG_SPEC")</f>
        <v>SFG_SPEC</v>
      </c>
      <c r="I6861" s="136"/>
    </row>
    <row r="6862" ht="15.75" customHeight="1">
      <c r="B6862" s="63">
        <f t="shared" si="1"/>
        <v>18</v>
      </c>
      <c r="C6862" s="134" t="s">
        <v>202</v>
      </c>
      <c r="D6862" s="134" t="s">
        <v>74</v>
      </c>
      <c r="E6862" s="135">
        <f t="shared" si="59"/>
        <v>5</v>
      </c>
      <c r="F6862" s="134" t="s">
        <v>4039</v>
      </c>
      <c r="G6862" s="63" t="str">
        <f>VLOOKUP(C6862, 'Class Def. - General Data'!$C$20:$C$1000,1,false)</f>
        <v>ZSF1_REUSEABLE_PCK</v>
      </c>
      <c r="H6862" s="63" t="str">
        <f>IFERROR(__xludf.DUMMYFUNCTION("VLOOKUP(F6862, IMPORTRANGE(""https://docs.google.com/spreadsheets/d/1Lhp9OU0JdFf_VYSMzH5lBcEaU4o8teT1piV-SNzShjg/edit?gid=554141278#gid=554141278"", ""'Char Def. - Attributes'!C20:C2242""), 1,false)"),"SFG_DESTINATION")</f>
        <v>SFG_DESTINATION</v>
      </c>
      <c r="I6862" s="136"/>
    </row>
    <row r="6863" ht="15.75" customHeight="1">
      <c r="B6863" s="63">
        <f t="shared" si="1"/>
        <v>18</v>
      </c>
      <c r="C6863" s="135" t="s">
        <v>202</v>
      </c>
      <c r="D6863" s="141" t="s">
        <v>74</v>
      </c>
      <c r="E6863" s="135">
        <f t="shared" si="59"/>
        <v>6</v>
      </c>
      <c r="F6863" s="134" t="s">
        <v>3611</v>
      </c>
      <c r="G6863" s="63" t="str">
        <f>VLOOKUP(C6863, 'Class Def. - General Data'!$C$20:$C$1000,1,false)</f>
        <v>ZSF1_REUSEABLE_PCK</v>
      </c>
      <c r="H6863" s="63" t="str">
        <f>IFERROR(__xludf.DUMMYFUNCTION("VLOOKUP(F6863, IMPORTRANGE(""https://docs.google.com/spreadsheets/d/1Lhp9OU0JdFf_VYSMzH5lBcEaU4o8teT1piV-SNzShjg/edit?gid=554141278#gid=554141278"", ""'Char Def. - Attributes'!C20:C2242""), 1,false)"),"LOKAL_EKSPOR")</f>
        <v>LOKAL_EKSPOR</v>
      </c>
      <c r="I6863" s="136"/>
    </row>
    <row r="6864" ht="15.75" customHeight="1">
      <c r="B6864" s="63">
        <f t="shared" si="1"/>
        <v>18</v>
      </c>
      <c r="C6864" s="135" t="s">
        <v>202</v>
      </c>
      <c r="D6864" s="141" t="s">
        <v>74</v>
      </c>
      <c r="E6864" s="135">
        <f t="shared" si="59"/>
        <v>7</v>
      </c>
      <c r="F6864" s="134" t="s">
        <v>3612</v>
      </c>
      <c r="G6864" s="63" t="str">
        <f>VLOOKUP(C6864, 'Class Def. - General Data'!$C$20:$C$1000,1,false)</f>
        <v>ZSF1_REUSEABLE_PCK</v>
      </c>
      <c r="H6864" s="63" t="str">
        <f>IFERROR(__xludf.DUMMYFUNCTION("VLOOKUP(F6864, IMPORTRANGE(""https://docs.google.com/spreadsheets/d/1Lhp9OU0JdFf_VYSMzH5lBcEaU4o8teT1piV-SNzShjg/edit?gid=554141278#gid=554141278"", ""'Char Def. - Attributes'!C20:C2242""), 1,false)"),"COUNTRY_EKSPOR")</f>
        <v>COUNTRY_EKSPOR</v>
      </c>
      <c r="I6864" s="136"/>
    </row>
    <row r="6865" ht="15.75" customHeight="1">
      <c r="B6865" s="63">
        <f t="shared" si="1"/>
        <v>18</v>
      </c>
      <c r="C6865" s="134" t="s">
        <v>202</v>
      </c>
      <c r="D6865" s="134" t="s">
        <v>74</v>
      </c>
      <c r="E6865" s="135">
        <f t="shared" si="59"/>
        <v>8</v>
      </c>
      <c r="F6865" s="134" t="s">
        <v>4041</v>
      </c>
      <c r="G6865" s="63" t="str">
        <f>VLOOKUP(C6865, 'Class Def. - General Data'!$C$20:$C$1000,1,false)</f>
        <v>ZSF1_REUSEABLE_PCK</v>
      </c>
      <c r="H6865" s="63" t="str">
        <f>IFERROR(__xludf.DUMMYFUNCTION("VLOOKUP(F6865, IMPORTRANGE(""https://docs.google.com/spreadsheets/d/1Lhp9OU0JdFf_VYSMzH5lBcEaU4o8teT1piV-SNzShjg/edit?gid=554141278#gid=554141278"", ""'Char Def. - Attributes'!C20:C2242""), 1,false)"),"SFG_GRADE")</f>
        <v>SFG_GRADE</v>
      </c>
      <c r="I6865" s="136"/>
    </row>
    <row r="6866" ht="15.75" customHeight="1">
      <c r="B6866" s="63">
        <f t="shared" si="1"/>
        <v>18</v>
      </c>
      <c r="C6866" s="160" t="s">
        <v>202</v>
      </c>
      <c r="D6866" s="161" t="s">
        <v>74</v>
      </c>
      <c r="E6866" s="135">
        <f t="shared" si="59"/>
        <v>9</v>
      </c>
      <c r="F6866" s="134" t="s">
        <v>3881</v>
      </c>
      <c r="G6866" s="63" t="str">
        <f>VLOOKUP(C6866, 'Class Def. - General Data'!$C$20:$C$1000,1,false)</f>
        <v>ZSF1_REUSEABLE_PCK</v>
      </c>
      <c r="H6866" s="63" t="str">
        <f>IFERROR(__xludf.DUMMYFUNCTION("VLOOKUP(F6866, IMPORTRANGE(""https://docs.google.com/spreadsheets/d/1Lhp9OU0JdFf_VYSMzH5lBcEaU4o8teT1piV-SNzShjg/edit?gid=554141278#gid=554141278"", ""'Char Def. - Attributes'!C20:C2242""), 1,false)"),"BS_BERSIH")</f>
        <v>BS_BERSIH</v>
      </c>
      <c r="I6866" s="136"/>
    </row>
    <row r="6867" ht="15.75" customHeight="1">
      <c r="B6867" s="63">
        <f t="shared" si="1"/>
        <v>18</v>
      </c>
      <c r="C6867" s="160" t="s">
        <v>202</v>
      </c>
      <c r="D6867" s="161" t="s">
        <v>74</v>
      </c>
      <c r="E6867" s="135">
        <f t="shared" si="59"/>
        <v>10</v>
      </c>
      <c r="F6867" s="134" t="s">
        <v>3882</v>
      </c>
      <c r="G6867" s="63" t="str">
        <f>VLOOKUP(C6867, 'Class Def. - General Data'!$C$20:$C$1000,1,false)</f>
        <v>ZSF1_REUSEABLE_PCK</v>
      </c>
      <c r="H6867" s="63" t="str">
        <f>IFERROR(__xludf.DUMMYFUNCTION("VLOOKUP(F6867, IMPORTRANGE(""https://docs.google.com/spreadsheets/d/1Lhp9OU0JdFf_VYSMzH5lBcEaU4o8teT1piV-SNzShjg/edit?gid=554141278#gid=554141278"", ""'Char Def. - Attributes'!C20:C2242""), 1,false)"),"BS_KOTOR")</f>
        <v>BS_KOTOR</v>
      </c>
      <c r="I6867" s="136"/>
    </row>
    <row r="6868" ht="15.75" customHeight="1">
      <c r="B6868" s="63">
        <f t="shared" si="1"/>
        <v>18</v>
      </c>
      <c r="C6868" s="160" t="s">
        <v>202</v>
      </c>
      <c r="D6868" s="161" t="s">
        <v>74</v>
      </c>
      <c r="E6868" s="135">
        <f t="shared" si="59"/>
        <v>11</v>
      </c>
      <c r="F6868" s="134" t="s">
        <v>3883</v>
      </c>
      <c r="G6868" s="63" t="str">
        <f>VLOOKUP(C6868, 'Class Def. - General Data'!$C$20:$C$1000,1,false)</f>
        <v>ZSF1_REUSEABLE_PCK</v>
      </c>
      <c r="H6868" s="63" t="str">
        <f>IFERROR(__xludf.DUMMYFUNCTION("VLOOKUP(F6868, IMPORTRANGE(""https://docs.google.com/spreadsheets/d/1Lhp9OU0JdFf_VYSMzH5lBcEaU4o8teT1piV-SNzShjg/edit?gid=554141278#gid=554141278"", ""'Char Def. - Attributes'!C20:C2242""), 1,false)"),"BS_SCRAP")</f>
        <v>BS_SCRAP</v>
      </c>
      <c r="I6868" s="136"/>
    </row>
    <row r="6869" ht="15.75" customHeight="1">
      <c r="B6869" s="63">
        <f t="shared" si="1"/>
        <v>18</v>
      </c>
      <c r="C6869" s="134" t="s">
        <v>202</v>
      </c>
      <c r="D6869" s="134" t="s">
        <v>74</v>
      </c>
      <c r="E6869" s="135">
        <f t="shared" si="59"/>
        <v>12</v>
      </c>
      <c r="F6869" s="134" t="s">
        <v>3582</v>
      </c>
      <c r="G6869" s="63" t="str">
        <f>VLOOKUP(C6869, 'Class Def. - General Data'!$C$20:$C$1000,1,false)</f>
        <v>ZSF1_REUSEABLE_PCK</v>
      </c>
      <c r="H6869" s="63" t="str">
        <f>IFERROR(__xludf.DUMMYFUNCTION("VLOOKUP(F6869, IMPORTRANGE(""https://docs.google.com/spreadsheets/d/1Lhp9OU0JdFf_VYSMzH5lBcEaU4o8teT1piV-SNzShjg/edit?gid=554141278#gid=554141278"", ""'Char Def. - Attributes'!C20:C2242""), 1,false)"),"BASE_UNIT")</f>
        <v>BASE_UNIT</v>
      </c>
      <c r="I6869" s="136"/>
    </row>
    <row r="6870" ht="15.75" customHeight="1">
      <c r="B6870" s="63">
        <f t="shared" si="1"/>
        <v>18</v>
      </c>
      <c r="C6870" s="134" t="s">
        <v>202</v>
      </c>
      <c r="D6870" s="134" t="s">
        <v>74</v>
      </c>
      <c r="E6870" s="135">
        <f t="shared" si="59"/>
        <v>13</v>
      </c>
      <c r="F6870" s="134" t="s">
        <v>3595</v>
      </c>
      <c r="G6870" s="63" t="str">
        <f>VLOOKUP(C6870, 'Class Def. - General Data'!$C$20:$C$1000,1,false)</f>
        <v>ZSF1_REUSEABLE_PCK</v>
      </c>
      <c r="H6870" s="63" t="str">
        <f>IFERROR(__xludf.DUMMYFUNCTION("VLOOKUP(F6870, IMPORTRANGE(""https://docs.google.com/spreadsheets/d/1Lhp9OU0JdFf_VYSMzH5lBcEaU4o8teT1piV-SNzShjg/edit?gid=554141278#gid=554141278"", ""'Char Def. - Attributes'!C20:C2242""), 1,false)"),"UOM1")</f>
        <v>UOM1</v>
      </c>
      <c r="I6870" s="136"/>
    </row>
    <row r="6871" ht="15.75" customHeight="1">
      <c r="B6871" s="63">
        <f t="shared" si="1"/>
        <v>18</v>
      </c>
      <c r="C6871" s="134" t="s">
        <v>202</v>
      </c>
      <c r="D6871" s="134" t="s">
        <v>74</v>
      </c>
      <c r="E6871" s="135">
        <f t="shared" si="59"/>
        <v>14</v>
      </c>
      <c r="F6871" s="134" t="s">
        <v>3596</v>
      </c>
      <c r="G6871" s="63" t="str">
        <f>VLOOKUP(C6871, 'Class Def. - General Data'!$C$20:$C$1000,1,false)</f>
        <v>ZSF1_REUSEABLE_PCK</v>
      </c>
      <c r="H6871" s="63" t="str">
        <f>IFERROR(__xludf.DUMMYFUNCTION("VLOOKUP(F6871, IMPORTRANGE(""https://docs.google.com/spreadsheets/d/1Lhp9OU0JdFf_VYSMzH5lBcEaU4o8teT1piV-SNzShjg/edit?gid=554141278#gid=554141278"", ""'Char Def. - Attributes'!C20:C2242""), 1,false)"),"CONV1")</f>
        <v>CONV1</v>
      </c>
      <c r="I6871" s="136"/>
    </row>
    <row r="6872" ht="15.75" customHeight="1">
      <c r="B6872" s="63">
        <f t="shared" si="1"/>
        <v>18</v>
      </c>
      <c r="C6872" s="134" t="s">
        <v>202</v>
      </c>
      <c r="D6872" s="134" t="s">
        <v>74</v>
      </c>
      <c r="E6872" s="135">
        <f t="shared" si="59"/>
        <v>15</v>
      </c>
      <c r="F6872" s="134" t="s">
        <v>3597</v>
      </c>
      <c r="G6872" s="63" t="str">
        <f>VLOOKUP(C6872, 'Class Def. - General Data'!$C$20:$C$1000,1,false)</f>
        <v>ZSF1_REUSEABLE_PCK</v>
      </c>
      <c r="H6872" s="63" t="str">
        <f>IFERROR(__xludf.DUMMYFUNCTION("VLOOKUP(F6872, IMPORTRANGE(""https://docs.google.com/spreadsheets/d/1Lhp9OU0JdFf_VYSMzH5lBcEaU4o8teT1piV-SNzShjg/edit?gid=554141278#gid=554141278"", ""'Char Def. - Attributes'!C20:C2242""), 1,false)"),"UOM2")</f>
        <v>UOM2</v>
      </c>
      <c r="I6872" s="136"/>
    </row>
    <row r="6873" ht="15.75" customHeight="1">
      <c r="B6873" s="63">
        <f t="shared" si="1"/>
        <v>18</v>
      </c>
      <c r="C6873" s="134" t="s">
        <v>202</v>
      </c>
      <c r="D6873" s="134" t="s">
        <v>74</v>
      </c>
      <c r="E6873" s="135">
        <f t="shared" si="59"/>
        <v>16</v>
      </c>
      <c r="F6873" s="134" t="s">
        <v>3598</v>
      </c>
      <c r="G6873" s="63" t="str">
        <f>VLOOKUP(C6873, 'Class Def. - General Data'!$C$20:$C$1000,1,false)</f>
        <v>ZSF1_REUSEABLE_PCK</v>
      </c>
      <c r="H6873" s="63" t="str">
        <f>IFERROR(__xludf.DUMMYFUNCTION("VLOOKUP(F6873, IMPORTRANGE(""https://docs.google.com/spreadsheets/d/1Lhp9OU0JdFf_VYSMzH5lBcEaU4o8teT1piV-SNzShjg/edit?gid=554141278#gid=554141278"", ""'Char Def. - Attributes'!C20:C2242""), 1,false)"),"CONV2")</f>
        <v>CONV2</v>
      </c>
      <c r="I6873" s="136"/>
    </row>
    <row r="6874" ht="15.75" customHeight="1">
      <c r="B6874" s="63">
        <f t="shared" si="1"/>
        <v>18</v>
      </c>
      <c r="C6874" s="134" t="s">
        <v>202</v>
      </c>
      <c r="D6874" s="134" t="s">
        <v>74</v>
      </c>
      <c r="E6874" s="135">
        <f t="shared" si="59"/>
        <v>17</v>
      </c>
      <c r="F6874" s="134" t="s">
        <v>3599</v>
      </c>
      <c r="G6874" s="63" t="str">
        <f>VLOOKUP(C6874, 'Class Def. - General Data'!$C$20:$C$1000,1,false)</f>
        <v>ZSF1_REUSEABLE_PCK</v>
      </c>
      <c r="H6874" s="63" t="str">
        <f>IFERROR(__xludf.DUMMYFUNCTION("VLOOKUP(F6874, IMPORTRANGE(""https://docs.google.com/spreadsheets/d/1Lhp9OU0JdFf_VYSMzH5lBcEaU4o8teT1piV-SNzShjg/edit?gid=554141278#gid=554141278"", ""'Char Def. - Attributes'!C20:C2242""), 1,false)"),"UOM3")</f>
        <v>UOM3</v>
      </c>
      <c r="I6874" s="136"/>
    </row>
    <row r="6875" ht="15.75" customHeight="1">
      <c r="B6875" s="63">
        <f t="shared" si="1"/>
        <v>18</v>
      </c>
      <c r="C6875" s="134" t="s">
        <v>202</v>
      </c>
      <c r="D6875" s="134" t="s">
        <v>74</v>
      </c>
      <c r="E6875" s="135">
        <f t="shared" si="59"/>
        <v>18</v>
      </c>
      <c r="F6875" s="134" t="s">
        <v>3600</v>
      </c>
      <c r="G6875" s="63" t="str">
        <f>VLOOKUP(C6875, 'Class Def. - General Data'!$C$20:$C$1000,1,false)</f>
        <v>ZSF1_REUSEABLE_PCK</v>
      </c>
      <c r="H6875" s="63" t="str">
        <f>IFERROR(__xludf.DUMMYFUNCTION("VLOOKUP(F6875, IMPORTRANGE(""https://docs.google.com/spreadsheets/d/1Lhp9OU0JdFf_VYSMzH5lBcEaU4o8teT1piV-SNzShjg/edit?gid=554141278#gid=554141278"", ""'Char Def. - Attributes'!C20:C2242""), 1,false)"),"CONV3")</f>
        <v>CONV3</v>
      </c>
      <c r="I6875" s="136"/>
    </row>
    <row r="6876" ht="15.75" customHeight="1">
      <c r="B6876" s="63">
        <f t="shared" si="1"/>
        <v>18</v>
      </c>
      <c r="C6876" s="134" t="s">
        <v>202</v>
      </c>
      <c r="D6876" s="134" t="s">
        <v>74</v>
      </c>
      <c r="E6876" s="135">
        <f t="shared" si="59"/>
        <v>19</v>
      </c>
      <c r="F6876" s="134" t="s">
        <v>3601</v>
      </c>
      <c r="G6876" s="63" t="str">
        <f>VLOOKUP(C6876, 'Class Def. - General Data'!$C$20:$C$1000,1,false)</f>
        <v>ZSF1_REUSEABLE_PCK</v>
      </c>
      <c r="H6876" s="63" t="str">
        <f>IFERROR(__xludf.DUMMYFUNCTION("VLOOKUP(F6876, IMPORTRANGE(""https://docs.google.com/spreadsheets/d/1Lhp9OU0JdFf_VYSMzH5lBcEaU4o8teT1piV-SNzShjg/edit?gid=554141278#gid=554141278"", ""'Char Def. - Attributes'!C20:C2242""), 1,false)"),"GROSS_WEIGHT")</f>
        <v>GROSS_WEIGHT</v>
      </c>
      <c r="I6876" s="136"/>
    </row>
    <row r="6877" ht="15.75" customHeight="1">
      <c r="B6877" s="63">
        <f t="shared" si="1"/>
        <v>18</v>
      </c>
      <c r="C6877" s="134" t="s">
        <v>202</v>
      </c>
      <c r="D6877" s="134" t="s">
        <v>74</v>
      </c>
      <c r="E6877" s="135">
        <f t="shared" si="59"/>
        <v>20</v>
      </c>
      <c r="F6877" s="134" t="s">
        <v>3602</v>
      </c>
      <c r="G6877" s="63" t="str">
        <f>VLOOKUP(C6877, 'Class Def. - General Data'!$C$20:$C$1000,1,false)</f>
        <v>ZSF1_REUSEABLE_PCK</v>
      </c>
      <c r="H6877" s="63" t="str">
        <f>IFERROR(__xludf.DUMMYFUNCTION("VLOOKUP(F6877, IMPORTRANGE(""https://docs.google.com/spreadsheets/d/1Lhp9OU0JdFf_VYSMzH5lBcEaU4o8teT1piV-SNzShjg/edit?gid=554141278#gid=554141278"", ""'Char Def. - Attributes'!C20:C2242""), 1,false)"),"NET_WEIGHT")</f>
        <v>NET_WEIGHT</v>
      </c>
      <c r="I6877" s="136"/>
    </row>
    <row r="6878" ht="15.75" customHeight="1">
      <c r="B6878" s="63">
        <f t="shared" si="1"/>
        <v>18</v>
      </c>
      <c r="C6878" s="134" t="s">
        <v>202</v>
      </c>
      <c r="D6878" s="134" t="s">
        <v>74</v>
      </c>
      <c r="E6878" s="135">
        <f t="shared" si="59"/>
        <v>21</v>
      </c>
      <c r="F6878" s="134" t="s">
        <v>3603</v>
      </c>
      <c r="G6878" s="63" t="str">
        <f>VLOOKUP(C6878, 'Class Def. - General Data'!$C$20:$C$1000,1,false)</f>
        <v>ZSF1_REUSEABLE_PCK</v>
      </c>
      <c r="H6878" s="63" t="str">
        <f>IFERROR(__xludf.DUMMYFUNCTION("VLOOKUP(F6878, IMPORTRANGE(""https://docs.google.com/spreadsheets/d/1Lhp9OU0JdFf_VYSMzH5lBcEaU4o8teT1piV-SNzShjg/edit?gid=554141278#gid=554141278"", ""'Char Def. - Attributes'!C20:C2242""), 1,false)"),"VOLUME")</f>
        <v>VOLUME</v>
      </c>
      <c r="I6878" s="136"/>
    </row>
    <row r="6879" ht="15.75" customHeight="1">
      <c r="B6879" s="63">
        <f t="shared" si="1"/>
        <v>18</v>
      </c>
      <c r="C6879" s="134" t="s">
        <v>202</v>
      </c>
      <c r="D6879" s="134" t="s">
        <v>74</v>
      </c>
      <c r="E6879" s="135">
        <f t="shared" si="59"/>
        <v>22</v>
      </c>
      <c r="F6879" s="134" t="s">
        <v>3586</v>
      </c>
      <c r="G6879" s="63" t="str">
        <f>VLOOKUP(C6879, 'Class Def. - General Data'!$C$20:$C$1000,1,false)</f>
        <v>ZSF1_REUSEABLE_PCK</v>
      </c>
      <c r="H6879" s="63" t="str">
        <f>IFERROR(__xludf.DUMMYFUNCTION("VLOOKUP(F6879, IMPORTRANGE(""https://docs.google.com/spreadsheets/d/1Lhp9OU0JdFf_VYSMzH5lBcEaU4o8teT1piV-SNzShjg/edit?gid=554141278#gid=554141278"", ""'Char Def. - Attributes'!C20:C2242""), 1,false)"),"PLANT_PROD")</f>
        <v>PLANT_PROD</v>
      </c>
      <c r="I6879" s="136"/>
    </row>
    <row r="6880" ht="15.75" customHeight="1">
      <c r="B6880" s="63">
        <f t="shared" si="1"/>
        <v>18</v>
      </c>
      <c r="C6880" s="134" t="s">
        <v>202</v>
      </c>
      <c r="D6880" s="134" t="s">
        <v>74</v>
      </c>
      <c r="E6880" s="135">
        <f t="shared" si="59"/>
        <v>23</v>
      </c>
      <c r="F6880" s="134" t="s">
        <v>3587</v>
      </c>
      <c r="G6880" s="63" t="str">
        <f>VLOOKUP(C6880, 'Class Def. - General Data'!$C$20:$C$1000,1,false)</f>
        <v>ZSF1_REUSEABLE_PCK</v>
      </c>
      <c r="H6880" s="63" t="str">
        <f>IFERROR(__xludf.DUMMYFUNCTION("VLOOKUP(F6880, IMPORTRANGE(""https://docs.google.com/spreadsheets/d/1Lhp9OU0JdFf_VYSMzH5lBcEaU4o8teT1piV-SNzShjg/edit?gid=554141278#gid=554141278"", ""'Char Def. - Attributes'!C20:C2242""), 1,false)"),"PLANT_BUY")</f>
        <v>PLANT_BUY</v>
      </c>
      <c r="I6880" s="136"/>
    </row>
    <row r="6881" ht="15.75" customHeight="1">
      <c r="B6881" s="63">
        <f t="shared" si="1"/>
        <v>18</v>
      </c>
      <c r="C6881" s="134" t="s">
        <v>202</v>
      </c>
      <c r="D6881" s="134" t="s">
        <v>74</v>
      </c>
      <c r="E6881" s="135">
        <f t="shared" si="59"/>
        <v>24</v>
      </c>
      <c r="F6881" s="134" t="s">
        <v>4040</v>
      </c>
      <c r="G6881" s="63" t="str">
        <f>VLOOKUP(C6881, 'Class Def. - General Data'!$C$20:$C$1000,1,false)</f>
        <v>ZSF1_REUSEABLE_PCK</v>
      </c>
      <c r="H6881" s="63" t="str">
        <f>IFERROR(__xludf.DUMMYFUNCTION("VLOOKUP(F6881, IMPORTRANGE(""https://docs.google.com/spreadsheets/d/1Lhp9OU0JdFf_VYSMzH5lBcEaU4o8teT1piV-SNzShjg/edit?gid=554141278#gid=554141278"", ""'Char Def. - Attributes'!C20:C2242""), 1,false)"),"OLD_MAT_SFG")</f>
        <v>OLD_MAT_SFG</v>
      </c>
      <c r="I6881" s="136"/>
    </row>
    <row r="6882" ht="15.75" customHeight="1">
      <c r="B6882" s="63">
        <f t="shared" si="1"/>
        <v>14</v>
      </c>
      <c r="C6882" s="134" t="s">
        <v>203</v>
      </c>
      <c r="D6882" s="134" t="s">
        <v>74</v>
      </c>
      <c r="E6882" s="135">
        <f t="shared" si="59"/>
        <v>1</v>
      </c>
      <c r="F6882" s="134" t="s">
        <v>4036</v>
      </c>
      <c r="G6882" s="63" t="str">
        <f>VLOOKUP(C6882, 'Class Def. - General Data'!$C$20:$C$1000,1,false)</f>
        <v>ZSF1_SECONDARY</v>
      </c>
      <c r="H6882" s="63" t="str">
        <f>IFERROR(__xludf.DUMMYFUNCTION("VLOOKUP(F6882, IMPORTRANGE(""https://docs.google.com/spreadsheets/d/1Lhp9OU0JdFf_VYSMzH5lBcEaU4o8teT1piV-SNzShjg/edit?gid=554141278#gid=554141278"", ""'Char Def. - Attributes'!C20:C2242""), 1,false)"),"NAMA_BAHAN")</f>
        <v>NAMA_BAHAN</v>
      </c>
      <c r="I6882" s="136"/>
    </row>
    <row r="6883" ht="15.75" customHeight="1">
      <c r="B6883" s="63">
        <f t="shared" si="1"/>
        <v>14</v>
      </c>
      <c r="C6883" s="134" t="s">
        <v>203</v>
      </c>
      <c r="D6883" s="134" t="s">
        <v>74</v>
      </c>
      <c r="E6883" s="135">
        <f t="shared" si="59"/>
        <v>2</v>
      </c>
      <c r="F6883" s="134" t="s">
        <v>4037</v>
      </c>
      <c r="G6883" s="63" t="str">
        <f>VLOOKUP(C6883, 'Class Def. - General Data'!$C$20:$C$1000,1,false)</f>
        <v>ZSF1_SECONDARY</v>
      </c>
      <c r="H6883" s="63" t="str">
        <f>IFERROR(__xludf.DUMMYFUNCTION("VLOOKUP(F6883, IMPORTRANGE(""https://docs.google.com/spreadsheets/d/1Lhp9OU0JdFf_VYSMzH5lBcEaU4o8teT1piV-SNzShjg/edit?gid=554141278#gid=554141278"", ""'Char Def. - Attributes'!C20:C2242""), 1,false)"),"VARIAN_BAHAN")</f>
        <v>VARIAN_BAHAN</v>
      </c>
      <c r="I6883" s="136"/>
    </row>
    <row r="6884" ht="15.75" customHeight="1">
      <c r="B6884" s="63">
        <f t="shared" si="1"/>
        <v>14</v>
      </c>
      <c r="C6884" s="160" t="s">
        <v>203</v>
      </c>
      <c r="D6884" s="161" t="s">
        <v>74</v>
      </c>
      <c r="E6884" s="135">
        <f t="shared" si="59"/>
        <v>3</v>
      </c>
      <c r="F6884" s="134" t="s">
        <v>3605</v>
      </c>
      <c r="G6884" s="63" t="str">
        <f>VLOOKUP(C6884, 'Class Def. - General Data'!$C$20:$C$1000,1,false)</f>
        <v>ZSF1_SECONDARY</v>
      </c>
      <c r="H6884" s="63" t="str">
        <f>IFERROR(__xludf.DUMMYFUNCTION("VLOOKUP(F6884, IMPORTRANGE(""https://docs.google.com/spreadsheets/d/1Lhp9OU0JdFf_VYSMzH5lBcEaU4o8teT1piV-SNzShjg/edit?gid=554141278#gid=554141278"", ""'Char Def. - Attributes'!C20:C2242""), 1,false)"),"PACK_NETTO")</f>
        <v>PACK_NETTO</v>
      </c>
      <c r="I6884" s="136"/>
    </row>
    <row r="6885" ht="15.75" customHeight="1">
      <c r="B6885" s="63">
        <f t="shared" si="1"/>
        <v>14</v>
      </c>
      <c r="C6885" s="160" t="s">
        <v>203</v>
      </c>
      <c r="D6885" s="161" t="s">
        <v>74</v>
      </c>
      <c r="E6885" s="135">
        <f t="shared" si="59"/>
        <v>4</v>
      </c>
      <c r="F6885" s="134" t="s">
        <v>4038</v>
      </c>
      <c r="G6885" s="63" t="str">
        <f>VLOOKUP(C6885, 'Class Def. - General Data'!$C$20:$C$1000,1,false)</f>
        <v>ZSF1_SECONDARY</v>
      </c>
      <c r="H6885" s="63" t="str">
        <f>IFERROR(__xludf.DUMMYFUNCTION("VLOOKUP(F6885, IMPORTRANGE(""https://docs.google.com/spreadsheets/d/1Lhp9OU0JdFf_VYSMzH5lBcEaU4o8teT1piV-SNzShjg/edit?gid=554141278#gid=554141278"", ""'Char Def. - Attributes'!C20:C2242""), 1,false)"),"SFG_SPEC")</f>
        <v>SFG_SPEC</v>
      </c>
      <c r="I6885" s="136"/>
    </row>
    <row r="6886" ht="15.75" customHeight="1">
      <c r="B6886" s="63">
        <f t="shared" si="1"/>
        <v>14</v>
      </c>
      <c r="C6886" s="135" t="s">
        <v>203</v>
      </c>
      <c r="D6886" s="141" t="s">
        <v>74</v>
      </c>
      <c r="E6886" s="135">
        <f t="shared" si="59"/>
        <v>5</v>
      </c>
      <c r="F6886" s="134" t="s">
        <v>4039</v>
      </c>
      <c r="G6886" s="63" t="str">
        <f>VLOOKUP(C6886, 'Class Def. - General Data'!$C$20:$C$1000,1,false)</f>
        <v>ZSF1_SECONDARY</v>
      </c>
      <c r="H6886" s="63" t="str">
        <f>IFERROR(__xludf.DUMMYFUNCTION("VLOOKUP(F6886, IMPORTRANGE(""https://docs.google.com/spreadsheets/d/1Lhp9OU0JdFf_VYSMzH5lBcEaU4o8teT1piV-SNzShjg/edit?gid=554141278#gid=554141278"", ""'Char Def. - Attributes'!C20:C2242""), 1,false)"),"SFG_DESTINATION")</f>
        <v>SFG_DESTINATION</v>
      </c>
      <c r="I6886" s="136"/>
    </row>
    <row r="6887" ht="15.75" customHeight="1">
      <c r="B6887" s="63">
        <f t="shared" si="1"/>
        <v>14</v>
      </c>
      <c r="C6887" s="135" t="s">
        <v>203</v>
      </c>
      <c r="D6887" s="141" t="s">
        <v>74</v>
      </c>
      <c r="E6887" s="135">
        <f t="shared" si="59"/>
        <v>6</v>
      </c>
      <c r="F6887" s="134" t="s">
        <v>3611</v>
      </c>
      <c r="G6887" s="63" t="str">
        <f>VLOOKUP(C6887, 'Class Def. - General Data'!$C$20:$C$1000,1,false)</f>
        <v>ZSF1_SECONDARY</v>
      </c>
      <c r="H6887" s="63" t="str">
        <f>IFERROR(__xludf.DUMMYFUNCTION("VLOOKUP(F6887, IMPORTRANGE(""https://docs.google.com/spreadsheets/d/1Lhp9OU0JdFf_VYSMzH5lBcEaU4o8teT1piV-SNzShjg/edit?gid=554141278#gid=554141278"", ""'Char Def. - Attributes'!C20:C2242""), 1,false)"),"LOKAL_EKSPOR")</f>
        <v>LOKAL_EKSPOR</v>
      </c>
      <c r="I6887" s="136"/>
    </row>
    <row r="6888" ht="15.75" customHeight="1">
      <c r="B6888" s="63">
        <f t="shared" si="1"/>
        <v>14</v>
      </c>
      <c r="C6888" s="135" t="s">
        <v>203</v>
      </c>
      <c r="D6888" s="141" t="s">
        <v>74</v>
      </c>
      <c r="E6888" s="135">
        <f t="shared" si="59"/>
        <v>7</v>
      </c>
      <c r="F6888" s="134" t="s">
        <v>3612</v>
      </c>
      <c r="G6888" s="63" t="str">
        <f>VLOOKUP(C6888, 'Class Def. - General Data'!$C$20:$C$1000,1,false)</f>
        <v>ZSF1_SECONDARY</v>
      </c>
      <c r="H6888" s="63" t="str">
        <f>IFERROR(__xludf.DUMMYFUNCTION("VLOOKUP(F6888, IMPORTRANGE(""https://docs.google.com/spreadsheets/d/1Lhp9OU0JdFf_VYSMzH5lBcEaU4o8teT1piV-SNzShjg/edit?gid=554141278#gid=554141278"", ""'Char Def. - Attributes'!C20:C2242""), 1,false)"),"COUNTRY_EKSPOR")</f>
        <v>COUNTRY_EKSPOR</v>
      </c>
      <c r="I6888" s="136"/>
    </row>
    <row r="6889" ht="15.75" customHeight="1">
      <c r="B6889" s="63">
        <f t="shared" si="1"/>
        <v>14</v>
      </c>
      <c r="C6889" s="134" t="s">
        <v>203</v>
      </c>
      <c r="D6889" s="134" t="s">
        <v>74</v>
      </c>
      <c r="E6889" s="135">
        <f t="shared" si="59"/>
        <v>8</v>
      </c>
      <c r="F6889" s="134" t="s">
        <v>4041</v>
      </c>
      <c r="G6889" s="63" t="str">
        <f>VLOOKUP(C6889, 'Class Def. - General Data'!$C$20:$C$1000,1,false)</f>
        <v>ZSF1_SECONDARY</v>
      </c>
      <c r="H6889" s="63" t="str">
        <f>IFERROR(__xludf.DUMMYFUNCTION("VLOOKUP(F6889, IMPORTRANGE(""https://docs.google.com/spreadsheets/d/1Lhp9OU0JdFf_VYSMzH5lBcEaU4o8teT1piV-SNzShjg/edit?gid=554141278#gid=554141278"", ""'Char Def. - Attributes'!C20:C2242""), 1,false)"),"SFG_GRADE")</f>
        <v>SFG_GRADE</v>
      </c>
      <c r="I6889" s="136"/>
    </row>
    <row r="6890" ht="15.75" customHeight="1">
      <c r="B6890" s="63">
        <f t="shared" si="1"/>
        <v>14</v>
      </c>
      <c r="C6890" s="160" t="s">
        <v>203</v>
      </c>
      <c r="D6890" s="161" t="s">
        <v>74</v>
      </c>
      <c r="E6890" s="135">
        <f t="shared" si="59"/>
        <v>9</v>
      </c>
      <c r="F6890" s="134" t="s">
        <v>3881</v>
      </c>
      <c r="G6890" s="63" t="str">
        <f>VLOOKUP(C6890, 'Class Def. - General Data'!$C$20:$C$1000,1,false)</f>
        <v>ZSF1_SECONDARY</v>
      </c>
      <c r="H6890" s="63" t="str">
        <f>IFERROR(__xludf.DUMMYFUNCTION("VLOOKUP(F6890, IMPORTRANGE(""https://docs.google.com/spreadsheets/d/1Lhp9OU0JdFf_VYSMzH5lBcEaU4o8teT1piV-SNzShjg/edit?gid=554141278#gid=554141278"", ""'Char Def. - Attributes'!C20:C2242""), 1,false)"),"BS_BERSIH")</f>
        <v>BS_BERSIH</v>
      </c>
      <c r="I6890" s="136"/>
    </row>
    <row r="6891" ht="15.75" customHeight="1">
      <c r="B6891" s="63">
        <f t="shared" si="1"/>
        <v>14</v>
      </c>
      <c r="C6891" s="160" t="s">
        <v>203</v>
      </c>
      <c r="D6891" s="161" t="s">
        <v>74</v>
      </c>
      <c r="E6891" s="135">
        <f t="shared" si="59"/>
        <v>10</v>
      </c>
      <c r="F6891" s="134" t="s">
        <v>3882</v>
      </c>
      <c r="G6891" s="63" t="str">
        <f>VLOOKUP(C6891, 'Class Def. - General Data'!$C$20:$C$1000,1,false)</f>
        <v>ZSF1_SECONDARY</v>
      </c>
      <c r="H6891" s="63" t="str">
        <f>IFERROR(__xludf.DUMMYFUNCTION("VLOOKUP(F6891, IMPORTRANGE(""https://docs.google.com/spreadsheets/d/1Lhp9OU0JdFf_VYSMzH5lBcEaU4o8teT1piV-SNzShjg/edit?gid=554141278#gid=554141278"", ""'Char Def. - Attributes'!C20:C2242""), 1,false)"),"BS_KOTOR")</f>
        <v>BS_KOTOR</v>
      </c>
      <c r="I6891" s="136"/>
    </row>
    <row r="6892" ht="15.75" customHeight="1">
      <c r="B6892" s="63">
        <f t="shared" si="1"/>
        <v>14</v>
      </c>
      <c r="C6892" s="160" t="s">
        <v>203</v>
      </c>
      <c r="D6892" s="161" t="s">
        <v>74</v>
      </c>
      <c r="E6892" s="135">
        <f t="shared" si="59"/>
        <v>11</v>
      </c>
      <c r="F6892" s="134" t="s">
        <v>3883</v>
      </c>
      <c r="G6892" s="63" t="str">
        <f>VLOOKUP(C6892, 'Class Def. - General Data'!$C$20:$C$1000,1,false)</f>
        <v>ZSF1_SECONDARY</v>
      </c>
      <c r="H6892" s="63" t="str">
        <f>IFERROR(__xludf.DUMMYFUNCTION("VLOOKUP(F6892, IMPORTRANGE(""https://docs.google.com/spreadsheets/d/1Lhp9OU0JdFf_VYSMzH5lBcEaU4o8teT1piV-SNzShjg/edit?gid=554141278#gid=554141278"", ""'Char Def. - Attributes'!C20:C2242""), 1,false)"),"BS_SCRAP")</f>
        <v>BS_SCRAP</v>
      </c>
      <c r="I6892" s="136"/>
    </row>
    <row r="6893" ht="15.75" customHeight="1">
      <c r="B6893" s="63">
        <f t="shared" si="1"/>
        <v>14</v>
      </c>
      <c r="C6893" s="134" t="s">
        <v>203</v>
      </c>
      <c r="D6893" s="134" t="s">
        <v>74</v>
      </c>
      <c r="E6893" s="135">
        <f t="shared" si="59"/>
        <v>12</v>
      </c>
      <c r="F6893" s="134" t="s">
        <v>3582</v>
      </c>
      <c r="G6893" s="63" t="str">
        <f>VLOOKUP(C6893, 'Class Def. - General Data'!$C$20:$C$1000,1,false)</f>
        <v>ZSF1_SECONDARY</v>
      </c>
      <c r="H6893" s="63" t="str">
        <f>IFERROR(__xludf.DUMMYFUNCTION("VLOOKUP(F6893, IMPORTRANGE(""https://docs.google.com/spreadsheets/d/1Lhp9OU0JdFf_VYSMzH5lBcEaU4o8teT1piV-SNzShjg/edit?gid=554141278#gid=554141278"", ""'Char Def. - Attributes'!C20:C2242""), 1,false)"),"BASE_UNIT")</f>
        <v>BASE_UNIT</v>
      </c>
      <c r="I6893" s="136"/>
    </row>
    <row r="6894" ht="15.75" customHeight="1">
      <c r="B6894" s="63">
        <f t="shared" si="1"/>
        <v>14</v>
      </c>
      <c r="C6894" s="134" t="s">
        <v>203</v>
      </c>
      <c r="D6894" s="134" t="s">
        <v>74</v>
      </c>
      <c r="E6894" s="135">
        <f t="shared" si="59"/>
        <v>13</v>
      </c>
      <c r="F6894" s="134" t="s">
        <v>3595</v>
      </c>
      <c r="G6894" s="63" t="str">
        <f>VLOOKUP(C6894, 'Class Def. - General Data'!$C$20:$C$1000,1,false)</f>
        <v>ZSF1_SECONDARY</v>
      </c>
      <c r="H6894" s="63" t="str">
        <f>IFERROR(__xludf.DUMMYFUNCTION("VLOOKUP(F6894, IMPORTRANGE(""https://docs.google.com/spreadsheets/d/1Lhp9OU0JdFf_VYSMzH5lBcEaU4o8teT1piV-SNzShjg/edit?gid=554141278#gid=554141278"", ""'Char Def. - Attributes'!C20:C2242""), 1,false)"),"UOM1")</f>
        <v>UOM1</v>
      </c>
      <c r="I6894" s="136"/>
    </row>
    <row r="6895" ht="15.75" customHeight="1">
      <c r="B6895" s="63">
        <f t="shared" si="1"/>
        <v>14</v>
      </c>
      <c r="C6895" s="134" t="s">
        <v>203</v>
      </c>
      <c r="D6895" s="134" t="s">
        <v>74</v>
      </c>
      <c r="E6895" s="135">
        <f t="shared" si="59"/>
        <v>14</v>
      </c>
      <c r="F6895" s="134" t="s">
        <v>3596</v>
      </c>
      <c r="G6895" s="63" t="str">
        <f>VLOOKUP(C6895, 'Class Def. - General Data'!$C$20:$C$1000,1,false)</f>
        <v>ZSF1_SECONDARY</v>
      </c>
      <c r="H6895" s="63" t="str">
        <f>IFERROR(__xludf.DUMMYFUNCTION("VLOOKUP(F6895, IMPORTRANGE(""https://docs.google.com/spreadsheets/d/1Lhp9OU0JdFf_VYSMzH5lBcEaU4o8teT1piV-SNzShjg/edit?gid=554141278#gid=554141278"", ""'Char Def. - Attributes'!C20:C2242""), 1,false)"),"CONV1")</f>
        <v>CONV1</v>
      </c>
      <c r="I6895" s="136"/>
    </row>
    <row r="6896" ht="15.75" customHeight="1">
      <c r="B6896" s="63">
        <f t="shared" si="1"/>
        <v>14</v>
      </c>
      <c r="C6896" s="134" t="s">
        <v>203</v>
      </c>
      <c r="D6896" s="134" t="s">
        <v>74</v>
      </c>
      <c r="E6896" s="135">
        <f t="shared" si="59"/>
        <v>15</v>
      </c>
      <c r="F6896" s="134" t="s">
        <v>3597</v>
      </c>
      <c r="G6896" s="63" t="str">
        <f>VLOOKUP(C6896, 'Class Def. - General Data'!$C$20:$C$1000,1,false)</f>
        <v>ZSF1_SECONDARY</v>
      </c>
      <c r="H6896" s="63" t="str">
        <f>IFERROR(__xludf.DUMMYFUNCTION("VLOOKUP(F6896, IMPORTRANGE(""https://docs.google.com/spreadsheets/d/1Lhp9OU0JdFf_VYSMzH5lBcEaU4o8teT1piV-SNzShjg/edit?gid=554141278#gid=554141278"", ""'Char Def. - Attributes'!C20:C2242""), 1,false)"),"UOM2")</f>
        <v>UOM2</v>
      </c>
      <c r="I6896" s="136"/>
    </row>
    <row r="6897" ht="15.75" customHeight="1">
      <c r="B6897" s="63">
        <f t="shared" si="1"/>
        <v>14</v>
      </c>
      <c r="C6897" s="134" t="s">
        <v>203</v>
      </c>
      <c r="D6897" s="134" t="s">
        <v>74</v>
      </c>
      <c r="E6897" s="135">
        <f t="shared" si="59"/>
        <v>16</v>
      </c>
      <c r="F6897" s="134" t="s">
        <v>3598</v>
      </c>
      <c r="G6897" s="63" t="str">
        <f>VLOOKUP(C6897, 'Class Def. - General Data'!$C$20:$C$1000,1,false)</f>
        <v>ZSF1_SECONDARY</v>
      </c>
      <c r="H6897" s="63" t="str">
        <f>IFERROR(__xludf.DUMMYFUNCTION("VLOOKUP(F6897, IMPORTRANGE(""https://docs.google.com/spreadsheets/d/1Lhp9OU0JdFf_VYSMzH5lBcEaU4o8teT1piV-SNzShjg/edit?gid=554141278#gid=554141278"", ""'Char Def. - Attributes'!C20:C2242""), 1,false)"),"CONV2")</f>
        <v>CONV2</v>
      </c>
      <c r="I6897" s="136"/>
    </row>
    <row r="6898" ht="15.75" customHeight="1">
      <c r="B6898" s="63">
        <f t="shared" si="1"/>
        <v>14</v>
      </c>
      <c r="C6898" s="134" t="s">
        <v>203</v>
      </c>
      <c r="D6898" s="134" t="s">
        <v>74</v>
      </c>
      <c r="E6898" s="135">
        <f t="shared" si="59"/>
        <v>17</v>
      </c>
      <c r="F6898" s="134" t="s">
        <v>3599</v>
      </c>
      <c r="G6898" s="63" t="str">
        <f>VLOOKUP(C6898, 'Class Def. - General Data'!$C$20:$C$1000,1,false)</f>
        <v>ZSF1_SECONDARY</v>
      </c>
      <c r="H6898" s="63" t="str">
        <f>IFERROR(__xludf.DUMMYFUNCTION("VLOOKUP(F6898, IMPORTRANGE(""https://docs.google.com/spreadsheets/d/1Lhp9OU0JdFf_VYSMzH5lBcEaU4o8teT1piV-SNzShjg/edit?gid=554141278#gid=554141278"", ""'Char Def. - Attributes'!C20:C2242""), 1,false)"),"UOM3")</f>
        <v>UOM3</v>
      </c>
      <c r="I6898" s="136"/>
    </row>
    <row r="6899" ht="15.75" customHeight="1">
      <c r="B6899" s="63">
        <f t="shared" si="1"/>
        <v>14</v>
      </c>
      <c r="C6899" s="134" t="s">
        <v>203</v>
      </c>
      <c r="D6899" s="134" t="s">
        <v>74</v>
      </c>
      <c r="E6899" s="135">
        <f t="shared" si="59"/>
        <v>18</v>
      </c>
      <c r="F6899" s="134" t="s">
        <v>3600</v>
      </c>
      <c r="G6899" s="63" t="str">
        <f>VLOOKUP(C6899, 'Class Def. - General Data'!$C$20:$C$1000,1,false)</f>
        <v>ZSF1_SECONDARY</v>
      </c>
      <c r="H6899" s="63" t="str">
        <f>IFERROR(__xludf.DUMMYFUNCTION("VLOOKUP(F6899, IMPORTRANGE(""https://docs.google.com/spreadsheets/d/1Lhp9OU0JdFf_VYSMzH5lBcEaU4o8teT1piV-SNzShjg/edit?gid=554141278#gid=554141278"", ""'Char Def. - Attributes'!C20:C2242""), 1,false)"),"CONV3")</f>
        <v>CONV3</v>
      </c>
      <c r="I6899" s="136"/>
    </row>
    <row r="6900" ht="15.75" customHeight="1">
      <c r="B6900" s="63">
        <f t="shared" si="1"/>
        <v>14</v>
      </c>
      <c r="C6900" s="134" t="s">
        <v>203</v>
      </c>
      <c r="D6900" s="134" t="s">
        <v>74</v>
      </c>
      <c r="E6900" s="135">
        <f t="shared" si="59"/>
        <v>19</v>
      </c>
      <c r="F6900" s="134" t="s">
        <v>3601</v>
      </c>
      <c r="G6900" s="63" t="str">
        <f>VLOOKUP(C6900, 'Class Def. - General Data'!$C$20:$C$1000,1,false)</f>
        <v>ZSF1_SECONDARY</v>
      </c>
      <c r="H6900" s="63" t="str">
        <f>IFERROR(__xludf.DUMMYFUNCTION("VLOOKUP(F6900, IMPORTRANGE(""https://docs.google.com/spreadsheets/d/1Lhp9OU0JdFf_VYSMzH5lBcEaU4o8teT1piV-SNzShjg/edit?gid=554141278#gid=554141278"", ""'Char Def. - Attributes'!C20:C2242""), 1,false)"),"GROSS_WEIGHT")</f>
        <v>GROSS_WEIGHT</v>
      </c>
      <c r="I6900" s="136"/>
    </row>
    <row r="6901" ht="15.75" customHeight="1">
      <c r="B6901" s="63">
        <f t="shared" si="1"/>
        <v>14</v>
      </c>
      <c r="C6901" s="134" t="s">
        <v>203</v>
      </c>
      <c r="D6901" s="134" t="s">
        <v>74</v>
      </c>
      <c r="E6901" s="135">
        <f t="shared" si="59"/>
        <v>20</v>
      </c>
      <c r="F6901" s="134" t="s">
        <v>3602</v>
      </c>
      <c r="G6901" s="63" t="str">
        <f>VLOOKUP(C6901, 'Class Def. - General Data'!$C$20:$C$1000,1,false)</f>
        <v>ZSF1_SECONDARY</v>
      </c>
      <c r="H6901" s="63" t="str">
        <f>IFERROR(__xludf.DUMMYFUNCTION("VLOOKUP(F6901, IMPORTRANGE(""https://docs.google.com/spreadsheets/d/1Lhp9OU0JdFf_VYSMzH5lBcEaU4o8teT1piV-SNzShjg/edit?gid=554141278#gid=554141278"", ""'Char Def. - Attributes'!C20:C2242""), 1,false)"),"NET_WEIGHT")</f>
        <v>NET_WEIGHT</v>
      </c>
      <c r="I6901" s="136"/>
    </row>
    <row r="6902" ht="15.75" customHeight="1">
      <c r="B6902" s="63">
        <f t="shared" si="1"/>
        <v>14</v>
      </c>
      <c r="C6902" s="134" t="s">
        <v>203</v>
      </c>
      <c r="D6902" s="134" t="s">
        <v>74</v>
      </c>
      <c r="E6902" s="135">
        <f t="shared" si="59"/>
        <v>21</v>
      </c>
      <c r="F6902" s="134" t="s">
        <v>3603</v>
      </c>
      <c r="G6902" s="63" t="str">
        <f>VLOOKUP(C6902, 'Class Def. - General Data'!$C$20:$C$1000,1,false)</f>
        <v>ZSF1_SECONDARY</v>
      </c>
      <c r="H6902" s="63" t="str">
        <f>IFERROR(__xludf.DUMMYFUNCTION("VLOOKUP(F6902, IMPORTRANGE(""https://docs.google.com/spreadsheets/d/1Lhp9OU0JdFf_VYSMzH5lBcEaU4o8teT1piV-SNzShjg/edit?gid=554141278#gid=554141278"", ""'Char Def. - Attributes'!C20:C2242""), 1,false)"),"VOLUME")</f>
        <v>VOLUME</v>
      </c>
      <c r="I6902" s="136"/>
    </row>
    <row r="6903" ht="15.75" customHeight="1">
      <c r="B6903" s="63">
        <f t="shared" si="1"/>
        <v>14</v>
      </c>
      <c r="C6903" s="134" t="s">
        <v>203</v>
      </c>
      <c r="D6903" s="134" t="s">
        <v>74</v>
      </c>
      <c r="E6903" s="135">
        <f t="shared" si="59"/>
        <v>22</v>
      </c>
      <c r="F6903" s="134" t="s">
        <v>3586</v>
      </c>
      <c r="G6903" s="63" t="str">
        <f>VLOOKUP(C6903, 'Class Def. - General Data'!$C$20:$C$1000,1,false)</f>
        <v>ZSF1_SECONDARY</v>
      </c>
      <c r="H6903" s="63" t="str">
        <f>IFERROR(__xludf.DUMMYFUNCTION("VLOOKUP(F6903, IMPORTRANGE(""https://docs.google.com/spreadsheets/d/1Lhp9OU0JdFf_VYSMzH5lBcEaU4o8teT1piV-SNzShjg/edit?gid=554141278#gid=554141278"", ""'Char Def. - Attributes'!C20:C2242""), 1,false)"),"PLANT_PROD")</f>
        <v>PLANT_PROD</v>
      </c>
      <c r="I6903" s="136"/>
    </row>
    <row r="6904" ht="15.75" customHeight="1">
      <c r="B6904" s="63">
        <f t="shared" si="1"/>
        <v>14</v>
      </c>
      <c r="C6904" s="134" t="s">
        <v>203</v>
      </c>
      <c r="D6904" s="134" t="s">
        <v>74</v>
      </c>
      <c r="E6904" s="135">
        <f t="shared" si="59"/>
        <v>23</v>
      </c>
      <c r="F6904" s="134" t="s">
        <v>3587</v>
      </c>
      <c r="G6904" s="63" t="str">
        <f>VLOOKUP(C6904, 'Class Def. - General Data'!$C$20:$C$1000,1,false)</f>
        <v>ZSF1_SECONDARY</v>
      </c>
      <c r="H6904" s="63" t="str">
        <f>IFERROR(__xludf.DUMMYFUNCTION("VLOOKUP(F6904, IMPORTRANGE(""https://docs.google.com/spreadsheets/d/1Lhp9OU0JdFf_VYSMzH5lBcEaU4o8teT1piV-SNzShjg/edit?gid=554141278#gid=554141278"", ""'Char Def. - Attributes'!C20:C2242""), 1,false)"),"PLANT_BUY")</f>
        <v>PLANT_BUY</v>
      </c>
      <c r="I6904" s="136"/>
    </row>
    <row r="6905" ht="15.75" customHeight="1">
      <c r="B6905" s="63">
        <f t="shared" si="1"/>
        <v>14</v>
      </c>
      <c r="C6905" s="134" t="s">
        <v>203</v>
      </c>
      <c r="D6905" s="134" t="s">
        <v>74</v>
      </c>
      <c r="E6905" s="135">
        <f t="shared" si="59"/>
        <v>24</v>
      </c>
      <c r="F6905" s="134" t="s">
        <v>4040</v>
      </c>
      <c r="G6905" s="63" t="str">
        <f>VLOOKUP(C6905, 'Class Def. - General Data'!$C$20:$C$1000,1,false)</f>
        <v>ZSF1_SECONDARY</v>
      </c>
      <c r="H6905" s="63" t="str">
        <f>IFERROR(__xludf.DUMMYFUNCTION("VLOOKUP(F6905, IMPORTRANGE(""https://docs.google.com/spreadsheets/d/1Lhp9OU0JdFf_VYSMzH5lBcEaU4o8teT1piV-SNzShjg/edit?gid=554141278#gid=554141278"", ""'Char Def. - Attributes'!C20:C2242""), 1,false)"),"OLD_MAT_SFG")</f>
        <v>OLD_MAT_SFG</v>
      </c>
      <c r="I6905" s="136"/>
    </row>
    <row r="6906" ht="15.75" customHeight="1">
      <c r="B6906" s="63">
        <f t="shared" si="1"/>
        <v>16</v>
      </c>
      <c r="C6906" s="134" t="s">
        <v>204</v>
      </c>
      <c r="D6906" s="134" t="s">
        <v>74</v>
      </c>
      <c r="E6906" s="135">
        <f t="shared" si="59"/>
        <v>1</v>
      </c>
      <c r="F6906" s="134" t="s">
        <v>4036</v>
      </c>
      <c r="G6906" s="63" t="str">
        <f>VLOOKUP(C6906, 'Class Def. - General Data'!$C$20:$C$1000,1,false)</f>
        <v>ZSF1_SIDEPRODUCT</v>
      </c>
      <c r="H6906" s="63" t="str">
        <f>IFERROR(__xludf.DUMMYFUNCTION("VLOOKUP(F6906, IMPORTRANGE(""https://docs.google.com/spreadsheets/d/1Lhp9OU0JdFf_VYSMzH5lBcEaU4o8teT1piV-SNzShjg/edit?gid=554141278#gid=554141278"", ""'Char Def. - Attributes'!C20:C2242""), 1,false)"),"NAMA_BAHAN")</f>
        <v>NAMA_BAHAN</v>
      </c>
      <c r="I6906" s="136"/>
    </row>
    <row r="6907" ht="15.75" customHeight="1">
      <c r="B6907" s="63">
        <f t="shared" si="1"/>
        <v>16</v>
      </c>
      <c r="C6907" s="134" t="s">
        <v>204</v>
      </c>
      <c r="D6907" s="134" t="s">
        <v>74</v>
      </c>
      <c r="E6907" s="135">
        <f t="shared" si="59"/>
        <v>2</v>
      </c>
      <c r="F6907" s="134" t="s">
        <v>4037</v>
      </c>
      <c r="G6907" s="63" t="str">
        <f>VLOOKUP(C6907, 'Class Def. - General Data'!$C$20:$C$1000,1,false)</f>
        <v>ZSF1_SIDEPRODUCT</v>
      </c>
      <c r="H6907" s="63" t="str">
        <f>IFERROR(__xludf.DUMMYFUNCTION("VLOOKUP(F6907, IMPORTRANGE(""https://docs.google.com/spreadsheets/d/1Lhp9OU0JdFf_VYSMzH5lBcEaU4o8teT1piV-SNzShjg/edit?gid=554141278#gid=554141278"", ""'Char Def. - Attributes'!C20:C2242""), 1,false)"),"VARIAN_BAHAN")</f>
        <v>VARIAN_BAHAN</v>
      </c>
      <c r="I6907" s="136"/>
    </row>
    <row r="6908" ht="15.75" customHeight="1">
      <c r="B6908" s="63">
        <f t="shared" si="1"/>
        <v>16</v>
      </c>
      <c r="C6908" s="160" t="s">
        <v>204</v>
      </c>
      <c r="D6908" s="161" t="s">
        <v>74</v>
      </c>
      <c r="E6908" s="135">
        <f t="shared" si="59"/>
        <v>3</v>
      </c>
      <c r="F6908" s="134" t="s">
        <v>3605</v>
      </c>
      <c r="G6908" s="63" t="str">
        <f>VLOOKUP(C6908, 'Class Def. - General Data'!$C$20:$C$1000,1,false)</f>
        <v>ZSF1_SIDEPRODUCT</v>
      </c>
      <c r="H6908" s="63" t="str">
        <f>IFERROR(__xludf.DUMMYFUNCTION("VLOOKUP(F6908, IMPORTRANGE(""https://docs.google.com/spreadsheets/d/1Lhp9OU0JdFf_VYSMzH5lBcEaU4o8teT1piV-SNzShjg/edit?gid=554141278#gid=554141278"", ""'Char Def. - Attributes'!C20:C2242""), 1,false)"),"PACK_NETTO")</f>
        <v>PACK_NETTO</v>
      </c>
      <c r="I6908" s="136"/>
    </row>
    <row r="6909" ht="15.75" customHeight="1">
      <c r="B6909" s="63">
        <f t="shared" si="1"/>
        <v>16</v>
      </c>
      <c r="C6909" s="160" t="s">
        <v>204</v>
      </c>
      <c r="D6909" s="161" t="s">
        <v>74</v>
      </c>
      <c r="E6909" s="135">
        <f t="shared" si="59"/>
        <v>4</v>
      </c>
      <c r="F6909" s="134" t="s">
        <v>4038</v>
      </c>
      <c r="G6909" s="63" t="str">
        <f>VLOOKUP(C6909, 'Class Def. - General Data'!$C$20:$C$1000,1,false)</f>
        <v>ZSF1_SIDEPRODUCT</v>
      </c>
      <c r="H6909" s="63" t="str">
        <f>IFERROR(__xludf.DUMMYFUNCTION("VLOOKUP(F6909, IMPORTRANGE(""https://docs.google.com/spreadsheets/d/1Lhp9OU0JdFf_VYSMzH5lBcEaU4o8teT1piV-SNzShjg/edit?gid=554141278#gid=554141278"", ""'Char Def. - Attributes'!C20:C2242""), 1,false)"),"SFG_SPEC")</f>
        <v>SFG_SPEC</v>
      </c>
      <c r="I6909" s="136"/>
    </row>
    <row r="6910" ht="15.75" customHeight="1">
      <c r="B6910" s="63">
        <f t="shared" si="1"/>
        <v>16</v>
      </c>
      <c r="C6910" s="135" t="s">
        <v>204</v>
      </c>
      <c r="D6910" s="141" t="s">
        <v>74</v>
      </c>
      <c r="E6910" s="135">
        <f t="shared" si="59"/>
        <v>5</v>
      </c>
      <c r="F6910" s="134" t="s">
        <v>3611</v>
      </c>
      <c r="G6910" s="63" t="str">
        <f>VLOOKUP(C6910, 'Class Def. - General Data'!$C$20:$C$1000,1,false)</f>
        <v>ZSF1_SIDEPRODUCT</v>
      </c>
      <c r="H6910" s="63" t="str">
        <f>IFERROR(__xludf.DUMMYFUNCTION("VLOOKUP(F6910, IMPORTRANGE(""https://docs.google.com/spreadsheets/d/1Lhp9OU0JdFf_VYSMzH5lBcEaU4o8teT1piV-SNzShjg/edit?gid=554141278#gid=554141278"", ""'Char Def. - Attributes'!C20:C2242""), 1,false)"),"LOKAL_EKSPOR")</f>
        <v>LOKAL_EKSPOR</v>
      </c>
      <c r="I6910" s="136"/>
    </row>
    <row r="6911" ht="15.75" customHeight="1">
      <c r="B6911" s="63">
        <f t="shared" si="1"/>
        <v>16</v>
      </c>
      <c r="C6911" s="135" t="s">
        <v>204</v>
      </c>
      <c r="D6911" s="141" t="s">
        <v>74</v>
      </c>
      <c r="E6911" s="135">
        <f t="shared" si="59"/>
        <v>6</v>
      </c>
      <c r="F6911" s="134" t="s">
        <v>3612</v>
      </c>
      <c r="G6911" s="63" t="str">
        <f>VLOOKUP(C6911, 'Class Def. - General Data'!$C$20:$C$1000,1,false)</f>
        <v>ZSF1_SIDEPRODUCT</v>
      </c>
      <c r="H6911" s="63" t="str">
        <f>IFERROR(__xludf.DUMMYFUNCTION("VLOOKUP(F6911, IMPORTRANGE(""https://docs.google.com/spreadsheets/d/1Lhp9OU0JdFf_VYSMzH5lBcEaU4o8teT1piV-SNzShjg/edit?gid=554141278#gid=554141278"", ""'Char Def. - Attributes'!C20:C2242""), 1,false)"),"COUNTRY_EKSPOR")</f>
        <v>COUNTRY_EKSPOR</v>
      </c>
      <c r="I6911" s="136"/>
    </row>
    <row r="6912" ht="15.75" customHeight="1">
      <c r="B6912" s="63">
        <f t="shared" si="1"/>
        <v>16</v>
      </c>
      <c r="C6912" s="134" t="s">
        <v>204</v>
      </c>
      <c r="D6912" s="134" t="s">
        <v>74</v>
      </c>
      <c r="E6912" s="135">
        <f t="shared" si="59"/>
        <v>7</v>
      </c>
      <c r="F6912" s="134" t="s">
        <v>4041</v>
      </c>
      <c r="G6912" s="63" t="str">
        <f>VLOOKUP(C6912, 'Class Def. - General Data'!$C$20:$C$1000,1,false)</f>
        <v>ZSF1_SIDEPRODUCT</v>
      </c>
      <c r="H6912" s="63" t="str">
        <f>IFERROR(__xludf.DUMMYFUNCTION("VLOOKUP(F6912, IMPORTRANGE(""https://docs.google.com/spreadsheets/d/1Lhp9OU0JdFf_VYSMzH5lBcEaU4o8teT1piV-SNzShjg/edit?gid=554141278#gid=554141278"", ""'Char Def. - Attributes'!C20:C2242""), 1,false)"),"SFG_GRADE")</f>
        <v>SFG_GRADE</v>
      </c>
      <c r="I6912" s="136"/>
    </row>
    <row r="6913" ht="15.75" customHeight="1">
      <c r="B6913" s="63">
        <f t="shared" si="1"/>
        <v>16</v>
      </c>
      <c r="C6913" s="160" t="s">
        <v>204</v>
      </c>
      <c r="D6913" s="161" t="s">
        <v>74</v>
      </c>
      <c r="E6913" s="135">
        <f t="shared" si="59"/>
        <v>8</v>
      </c>
      <c r="F6913" s="134" t="s">
        <v>3881</v>
      </c>
      <c r="G6913" s="63" t="str">
        <f>VLOOKUP(C6913, 'Class Def. - General Data'!$C$20:$C$1000,1,false)</f>
        <v>ZSF1_SIDEPRODUCT</v>
      </c>
      <c r="H6913" s="63" t="str">
        <f>IFERROR(__xludf.DUMMYFUNCTION("VLOOKUP(F6913, IMPORTRANGE(""https://docs.google.com/spreadsheets/d/1Lhp9OU0JdFf_VYSMzH5lBcEaU4o8teT1piV-SNzShjg/edit?gid=554141278#gid=554141278"", ""'Char Def. - Attributes'!C20:C2242""), 1,false)"),"BS_BERSIH")</f>
        <v>BS_BERSIH</v>
      </c>
      <c r="I6913" s="136"/>
    </row>
    <row r="6914" ht="15.75" customHeight="1">
      <c r="B6914" s="63">
        <f t="shared" si="1"/>
        <v>16</v>
      </c>
      <c r="C6914" s="160" t="s">
        <v>204</v>
      </c>
      <c r="D6914" s="161" t="s">
        <v>74</v>
      </c>
      <c r="E6914" s="135">
        <f t="shared" si="59"/>
        <v>9</v>
      </c>
      <c r="F6914" s="134" t="s">
        <v>3882</v>
      </c>
      <c r="G6914" s="63" t="str">
        <f>VLOOKUP(C6914, 'Class Def. - General Data'!$C$20:$C$1000,1,false)</f>
        <v>ZSF1_SIDEPRODUCT</v>
      </c>
      <c r="H6914" s="63" t="str">
        <f>IFERROR(__xludf.DUMMYFUNCTION("VLOOKUP(F6914, IMPORTRANGE(""https://docs.google.com/spreadsheets/d/1Lhp9OU0JdFf_VYSMzH5lBcEaU4o8teT1piV-SNzShjg/edit?gid=554141278#gid=554141278"", ""'Char Def. - Attributes'!C20:C2242""), 1,false)"),"BS_KOTOR")</f>
        <v>BS_KOTOR</v>
      </c>
      <c r="I6914" s="136"/>
    </row>
    <row r="6915" ht="15.75" customHeight="1">
      <c r="B6915" s="63">
        <f t="shared" si="1"/>
        <v>16</v>
      </c>
      <c r="C6915" s="160" t="s">
        <v>204</v>
      </c>
      <c r="D6915" s="161" t="s">
        <v>74</v>
      </c>
      <c r="E6915" s="135">
        <f t="shared" si="59"/>
        <v>10</v>
      </c>
      <c r="F6915" s="134" t="s">
        <v>3883</v>
      </c>
      <c r="G6915" s="63" t="str">
        <f>VLOOKUP(C6915, 'Class Def. - General Data'!$C$20:$C$1000,1,false)</f>
        <v>ZSF1_SIDEPRODUCT</v>
      </c>
      <c r="H6915" s="63" t="str">
        <f>IFERROR(__xludf.DUMMYFUNCTION("VLOOKUP(F6915, IMPORTRANGE(""https://docs.google.com/spreadsheets/d/1Lhp9OU0JdFf_VYSMzH5lBcEaU4o8teT1piV-SNzShjg/edit?gid=554141278#gid=554141278"", ""'Char Def. - Attributes'!C20:C2242""), 1,false)"),"BS_SCRAP")</f>
        <v>BS_SCRAP</v>
      </c>
      <c r="I6915" s="136"/>
    </row>
    <row r="6916" ht="15.75" customHeight="1">
      <c r="B6916" s="63">
        <f t="shared" si="1"/>
        <v>16</v>
      </c>
      <c r="C6916" s="134" t="s">
        <v>204</v>
      </c>
      <c r="D6916" s="134" t="s">
        <v>74</v>
      </c>
      <c r="E6916" s="135">
        <f t="shared" si="59"/>
        <v>11</v>
      </c>
      <c r="F6916" s="134" t="s">
        <v>3582</v>
      </c>
      <c r="G6916" s="63" t="str">
        <f>VLOOKUP(C6916, 'Class Def. - General Data'!$C$20:$C$1000,1,false)</f>
        <v>ZSF1_SIDEPRODUCT</v>
      </c>
      <c r="H6916" s="63" t="str">
        <f>IFERROR(__xludf.DUMMYFUNCTION("VLOOKUP(F6916, IMPORTRANGE(""https://docs.google.com/spreadsheets/d/1Lhp9OU0JdFf_VYSMzH5lBcEaU4o8teT1piV-SNzShjg/edit?gid=554141278#gid=554141278"", ""'Char Def. - Attributes'!C20:C2242""), 1,false)"),"BASE_UNIT")</f>
        <v>BASE_UNIT</v>
      </c>
      <c r="I6916" s="136"/>
    </row>
    <row r="6917" ht="15.75" customHeight="1">
      <c r="B6917" s="63">
        <f t="shared" si="1"/>
        <v>16</v>
      </c>
      <c r="C6917" s="134" t="s">
        <v>204</v>
      </c>
      <c r="D6917" s="134" t="s">
        <v>74</v>
      </c>
      <c r="E6917" s="135">
        <f t="shared" si="59"/>
        <v>12</v>
      </c>
      <c r="F6917" s="134" t="s">
        <v>3595</v>
      </c>
      <c r="G6917" s="63" t="str">
        <f>VLOOKUP(C6917, 'Class Def. - General Data'!$C$20:$C$1000,1,false)</f>
        <v>ZSF1_SIDEPRODUCT</v>
      </c>
      <c r="H6917" s="63" t="str">
        <f>IFERROR(__xludf.DUMMYFUNCTION("VLOOKUP(F6917, IMPORTRANGE(""https://docs.google.com/spreadsheets/d/1Lhp9OU0JdFf_VYSMzH5lBcEaU4o8teT1piV-SNzShjg/edit?gid=554141278#gid=554141278"", ""'Char Def. - Attributes'!C20:C2242""), 1,false)"),"UOM1")</f>
        <v>UOM1</v>
      </c>
      <c r="I6917" s="136"/>
    </row>
    <row r="6918" ht="15.75" customHeight="1">
      <c r="B6918" s="63">
        <f t="shared" si="1"/>
        <v>16</v>
      </c>
      <c r="C6918" s="134" t="s">
        <v>204</v>
      </c>
      <c r="D6918" s="134" t="s">
        <v>74</v>
      </c>
      <c r="E6918" s="135">
        <f t="shared" si="59"/>
        <v>13</v>
      </c>
      <c r="F6918" s="134" t="s">
        <v>3596</v>
      </c>
      <c r="G6918" s="63" t="str">
        <f>VLOOKUP(C6918, 'Class Def. - General Data'!$C$20:$C$1000,1,false)</f>
        <v>ZSF1_SIDEPRODUCT</v>
      </c>
      <c r="H6918" s="63" t="str">
        <f>IFERROR(__xludf.DUMMYFUNCTION("VLOOKUP(F6918, IMPORTRANGE(""https://docs.google.com/spreadsheets/d/1Lhp9OU0JdFf_VYSMzH5lBcEaU4o8teT1piV-SNzShjg/edit?gid=554141278#gid=554141278"", ""'Char Def. - Attributes'!C20:C2242""), 1,false)"),"CONV1")</f>
        <v>CONV1</v>
      </c>
      <c r="I6918" s="136"/>
    </row>
    <row r="6919" ht="15.75" customHeight="1">
      <c r="B6919" s="63">
        <f t="shared" si="1"/>
        <v>16</v>
      </c>
      <c r="C6919" s="134" t="s">
        <v>204</v>
      </c>
      <c r="D6919" s="134" t="s">
        <v>74</v>
      </c>
      <c r="E6919" s="135">
        <f t="shared" si="59"/>
        <v>14</v>
      </c>
      <c r="F6919" s="134" t="s">
        <v>3597</v>
      </c>
      <c r="G6919" s="63" t="str">
        <f>VLOOKUP(C6919, 'Class Def. - General Data'!$C$20:$C$1000,1,false)</f>
        <v>ZSF1_SIDEPRODUCT</v>
      </c>
      <c r="H6919" s="63" t="str">
        <f>IFERROR(__xludf.DUMMYFUNCTION("VLOOKUP(F6919, IMPORTRANGE(""https://docs.google.com/spreadsheets/d/1Lhp9OU0JdFf_VYSMzH5lBcEaU4o8teT1piV-SNzShjg/edit?gid=554141278#gid=554141278"", ""'Char Def. - Attributes'!C20:C2242""), 1,false)"),"UOM2")</f>
        <v>UOM2</v>
      </c>
      <c r="I6919" s="136"/>
    </row>
    <row r="6920" ht="15.75" customHeight="1">
      <c r="B6920" s="63">
        <f t="shared" si="1"/>
        <v>16</v>
      </c>
      <c r="C6920" s="134" t="s">
        <v>204</v>
      </c>
      <c r="D6920" s="134" t="s">
        <v>74</v>
      </c>
      <c r="E6920" s="135">
        <f t="shared" si="59"/>
        <v>15</v>
      </c>
      <c r="F6920" s="134" t="s">
        <v>3598</v>
      </c>
      <c r="G6920" s="63" t="str">
        <f>VLOOKUP(C6920, 'Class Def. - General Data'!$C$20:$C$1000,1,false)</f>
        <v>ZSF1_SIDEPRODUCT</v>
      </c>
      <c r="H6920" s="63" t="str">
        <f>IFERROR(__xludf.DUMMYFUNCTION("VLOOKUP(F6920, IMPORTRANGE(""https://docs.google.com/spreadsheets/d/1Lhp9OU0JdFf_VYSMzH5lBcEaU4o8teT1piV-SNzShjg/edit?gid=554141278#gid=554141278"", ""'Char Def. - Attributes'!C20:C2242""), 1,false)"),"CONV2")</f>
        <v>CONV2</v>
      </c>
      <c r="I6920" s="136"/>
    </row>
    <row r="6921" ht="15.75" customHeight="1">
      <c r="B6921" s="63">
        <f t="shared" si="1"/>
        <v>16</v>
      </c>
      <c r="C6921" s="134" t="s">
        <v>204</v>
      </c>
      <c r="D6921" s="134" t="s">
        <v>74</v>
      </c>
      <c r="E6921" s="135">
        <f t="shared" si="59"/>
        <v>16</v>
      </c>
      <c r="F6921" s="134" t="s">
        <v>3599</v>
      </c>
      <c r="G6921" s="63" t="str">
        <f>VLOOKUP(C6921, 'Class Def. - General Data'!$C$20:$C$1000,1,false)</f>
        <v>ZSF1_SIDEPRODUCT</v>
      </c>
      <c r="H6921" s="63" t="str">
        <f>IFERROR(__xludf.DUMMYFUNCTION("VLOOKUP(F6921, IMPORTRANGE(""https://docs.google.com/spreadsheets/d/1Lhp9OU0JdFf_VYSMzH5lBcEaU4o8teT1piV-SNzShjg/edit?gid=554141278#gid=554141278"", ""'Char Def. - Attributes'!C20:C2242""), 1,false)"),"UOM3")</f>
        <v>UOM3</v>
      </c>
      <c r="I6921" s="136"/>
    </row>
    <row r="6922" ht="15.75" customHeight="1">
      <c r="B6922" s="63">
        <f t="shared" si="1"/>
        <v>16</v>
      </c>
      <c r="C6922" s="134" t="s">
        <v>204</v>
      </c>
      <c r="D6922" s="134" t="s">
        <v>74</v>
      </c>
      <c r="E6922" s="135">
        <f t="shared" si="59"/>
        <v>17</v>
      </c>
      <c r="F6922" s="134" t="s">
        <v>3600</v>
      </c>
      <c r="G6922" s="63" t="str">
        <f>VLOOKUP(C6922, 'Class Def. - General Data'!$C$20:$C$1000,1,false)</f>
        <v>ZSF1_SIDEPRODUCT</v>
      </c>
      <c r="H6922" s="63" t="str">
        <f>IFERROR(__xludf.DUMMYFUNCTION("VLOOKUP(F6922, IMPORTRANGE(""https://docs.google.com/spreadsheets/d/1Lhp9OU0JdFf_VYSMzH5lBcEaU4o8teT1piV-SNzShjg/edit?gid=554141278#gid=554141278"", ""'Char Def. - Attributes'!C20:C2242""), 1,false)"),"CONV3")</f>
        <v>CONV3</v>
      </c>
      <c r="I6922" s="136"/>
    </row>
    <row r="6923" ht="15.75" customHeight="1">
      <c r="B6923" s="63">
        <f t="shared" si="1"/>
        <v>16</v>
      </c>
      <c r="C6923" s="134" t="s">
        <v>204</v>
      </c>
      <c r="D6923" s="134" t="s">
        <v>74</v>
      </c>
      <c r="E6923" s="135">
        <f t="shared" si="59"/>
        <v>18</v>
      </c>
      <c r="F6923" s="134" t="s">
        <v>3601</v>
      </c>
      <c r="G6923" s="63" t="str">
        <f>VLOOKUP(C6923, 'Class Def. - General Data'!$C$20:$C$1000,1,false)</f>
        <v>ZSF1_SIDEPRODUCT</v>
      </c>
      <c r="H6923" s="63" t="str">
        <f>IFERROR(__xludf.DUMMYFUNCTION("VLOOKUP(F6923, IMPORTRANGE(""https://docs.google.com/spreadsheets/d/1Lhp9OU0JdFf_VYSMzH5lBcEaU4o8teT1piV-SNzShjg/edit?gid=554141278#gid=554141278"", ""'Char Def. - Attributes'!C20:C2242""), 1,false)"),"GROSS_WEIGHT")</f>
        <v>GROSS_WEIGHT</v>
      </c>
      <c r="I6923" s="136"/>
    </row>
    <row r="6924" ht="15.75" customHeight="1">
      <c r="B6924" s="63">
        <f t="shared" si="1"/>
        <v>16</v>
      </c>
      <c r="C6924" s="134" t="s">
        <v>204</v>
      </c>
      <c r="D6924" s="134" t="s">
        <v>74</v>
      </c>
      <c r="E6924" s="135">
        <f t="shared" si="59"/>
        <v>19</v>
      </c>
      <c r="F6924" s="134" t="s">
        <v>3602</v>
      </c>
      <c r="G6924" s="63" t="str">
        <f>VLOOKUP(C6924, 'Class Def. - General Data'!$C$20:$C$1000,1,false)</f>
        <v>ZSF1_SIDEPRODUCT</v>
      </c>
      <c r="H6924" s="63" t="str">
        <f>IFERROR(__xludf.DUMMYFUNCTION("VLOOKUP(F6924, IMPORTRANGE(""https://docs.google.com/spreadsheets/d/1Lhp9OU0JdFf_VYSMzH5lBcEaU4o8teT1piV-SNzShjg/edit?gid=554141278#gid=554141278"", ""'Char Def. - Attributes'!C20:C2242""), 1,false)"),"NET_WEIGHT")</f>
        <v>NET_WEIGHT</v>
      </c>
      <c r="I6924" s="136"/>
    </row>
    <row r="6925" ht="15.75" customHeight="1">
      <c r="B6925" s="63">
        <f t="shared" si="1"/>
        <v>16</v>
      </c>
      <c r="C6925" s="134" t="s">
        <v>204</v>
      </c>
      <c r="D6925" s="134" t="s">
        <v>74</v>
      </c>
      <c r="E6925" s="135">
        <f t="shared" si="59"/>
        <v>20</v>
      </c>
      <c r="F6925" s="134" t="s">
        <v>3603</v>
      </c>
      <c r="G6925" s="63" t="str">
        <f>VLOOKUP(C6925, 'Class Def. - General Data'!$C$20:$C$1000,1,false)</f>
        <v>ZSF1_SIDEPRODUCT</v>
      </c>
      <c r="H6925" s="63" t="str">
        <f>IFERROR(__xludf.DUMMYFUNCTION("VLOOKUP(F6925, IMPORTRANGE(""https://docs.google.com/spreadsheets/d/1Lhp9OU0JdFf_VYSMzH5lBcEaU4o8teT1piV-SNzShjg/edit?gid=554141278#gid=554141278"", ""'Char Def. - Attributes'!C20:C2242""), 1,false)"),"VOLUME")</f>
        <v>VOLUME</v>
      </c>
      <c r="I6925" s="136"/>
    </row>
    <row r="6926" ht="15.75" customHeight="1">
      <c r="B6926" s="63">
        <f t="shared" si="1"/>
        <v>16</v>
      </c>
      <c r="C6926" s="134" t="s">
        <v>204</v>
      </c>
      <c r="D6926" s="134" t="s">
        <v>74</v>
      </c>
      <c r="E6926" s="135">
        <f t="shared" si="59"/>
        <v>21</v>
      </c>
      <c r="F6926" s="134" t="s">
        <v>3586</v>
      </c>
      <c r="G6926" s="63" t="str">
        <f>VLOOKUP(C6926, 'Class Def. - General Data'!$C$20:$C$1000,1,false)</f>
        <v>ZSF1_SIDEPRODUCT</v>
      </c>
      <c r="H6926" s="63" t="str">
        <f>IFERROR(__xludf.DUMMYFUNCTION("VLOOKUP(F6926, IMPORTRANGE(""https://docs.google.com/spreadsheets/d/1Lhp9OU0JdFf_VYSMzH5lBcEaU4o8teT1piV-SNzShjg/edit?gid=554141278#gid=554141278"", ""'Char Def. - Attributes'!C20:C2242""), 1,false)"),"PLANT_PROD")</f>
        <v>PLANT_PROD</v>
      </c>
      <c r="I6926" s="136"/>
    </row>
    <row r="6927" ht="15.75" customHeight="1">
      <c r="B6927" s="63">
        <f t="shared" si="1"/>
        <v>16</v>
      </c>
      <c r="C6927" s="134" t="s">
        <v>204</v>
      </c>
      <c r="D6927" s="134" t="s">
        <v>74</v>
      </c>
      <c r="E6927" s="135">
        <f t="shared" si="59"/>
        <v>22</v>
      </c>
      <c r="F6927" s="134" t="s">
        <v>3587</v>
      </c>
      <c r="G6927" s="63" t="str">
        <f>VLOOKUP(C6927, 'Class Def. - General Data'!$C$20:$C$1000,1,false)</f>
        <v>ZSF1_SIDEPRODUCT</v>
      </c>
      <c r="H6927" s="63" t="str">
        <f>IFERROR(__xludf.DUMMYFUNCTION("VLOOKUP(F6927, IMPORTRANGE(""https://docs.google.com/spreadsheets/d/1Lhp9OU0JdFf_VYSMzH5lBcEaU4o8teT1piV-SNzShjg/edit?gid=554141278#gid=554141278"", ""'Char Def. - Attributes'!C20:C2242""), 1,false)"),"PLANT_BUY")</f>
        <v>PLANT_BUY</v>
      </c>
      <c r="I6927" s="136"/>
    </row>
    <row r="6928" ht="15.75" customHeight="1">
      <c r="B6928" s="63">
        <f t="shared" si="1"/>
        <v>16</v>
      </c>
      <c r="C6928" s="134" t="s">
        <v>204</v>
      </c>
      <c r="D6928" s="134" t="s">
        <v>74</v>
      </c>
      <c r="E6928" s="135">
        <f t="shared" si="59"/>
        <v>23</v>
      </c>
      <c r="F6928" s="134" t="s">
        <v>4040</v>
      </c>
      <c r="G6928" s="63" t="str">
        <f>VLOOKUP(C6928, 'Class Def. - General Data'!$C$20:$C$1000,1,false)</f>
        <v>ZSF1_SIDEPRODUCT</v>
      </c>
      <c r="H6928" s="63" t="str">
        <f>IFERROR(__xludf.DUMMYFUNCTION("VLOOKUP(F6928, IMPORTRANGE(""https://docs.google.com/spreadsheets/d/1Lhp9OU0JdFf_VYSMzH5lBcEaU4o8teT1piV-SNzShjg/edit?gid=554141278#gid=554141278"", ""'Char Def. - Attributes'!C20:C2242""), 1,false)"),"OLD_MAT_SFG")</f>
        <v>OLD_MAT_SFG</v>
      </c>
      <c r="I6928" s="136"/>
    </row>
    <row r="6929" ht="15.75" customHeight="1">
      <c r="B6929" s="63">
        <f t="shared" si="1"/>
        <v>13</v>
      </c>
      <c r="C6929" s="135" t="s">
        <v>487</v>
      </c>
      <c r="D6929" s="161" t="s">
        <v>74</v>
      </c>
      <c r="E6929" s="135">
        <f t="shared" si="59"/>
        <v>1</v>
      </c>
      <c r="F6929" s="134" t="s">
        <v>4043</v>
      </c>
      <c r="G6929" s="63" t="str">
        <f>VLOOKUP(C6929, 'Class Def. - General Data'!$C$20:$C$1000,1,false)</f>
        <v>ZSI1_AC_MOTOR</v>
      </c>
      <c r="H6929" s="63" t="str">
        <f>IFERROR(__xludf.DUMMYFUNCTION("VLOOKUP(F6929, IMPORTRANGE(""https://docs.google.com/spreadsheets/d/1Lhp9OU0JdFf_VYSMzH5lBcEaU4o8teT1piV-SNzShjg/edit?gid=554141278#gid=554141278"", ""'Char Def. - Attributes'!C20:C2242""), 1,false)"),"ITEM_NAME_AC_MOTOR")</f>
        <v>ITEM_NAME_AC_MOTOR</v>
      </c>
      <c r="I6929" s="136"/>
      <c r="R6929" s="63" t="str">
        <f t="shared" ref="R6929:R14872" si="60">C6929&amp;F6929</f>
        <v>ZSI1_AC_MOTORITEM_NAME_AC_MOTOR</v>
      </c>
    </row>
    <row r="6930" ht="15.75" customHeight="1">
      <c r="B6930" s="63">
        <f t="shared" si="1"/>
        <v>13</v>
      </c>
      <c r="C6930" s="135" t="s">
        <v>487</v>
      </c>
      <c r="D6930" s="161" t="s">
        <v>74</v>
      </c>
      <c r="E6930" s="135">
        <f t="shared" si="59"/>
        <v>2</v>
      </c>
      <c r="F6930" s="134" t="s">
        <v>4044</v>
      </c>
      <c r="G6930" s="63" t="str">
        <f>VLOOKUP(C6930, 'Class Def. - General Data'!$C$20:$C$1000,1,false)</f>
        <v>ZSI1_AC_MOTOR</v>
      </c>
      <c r="H6930" s="63" t="str">
        <f>IFERROR(__xludf.DUMMYFUNCTION("VLOOKUP(F6930, IMPORTRANGE(""https://docs.google.com/spreadsheets/d/1Lhp9OU0JdFf_VYSMzH5lBcEaU4o8teT1piV-SNzShjg/edit?gid=554141278#gid=554141278"", ""'Char Def. - Attributes'!C20:C2242""), 1,false)"),"MFR_NO_AC_MOTOR")</f>
        <v>MFR_NO_AC_MOTOR</v>
      </c>
      <c r="I6930" s="136"/>
      <c r="R6930" s="63" t="str">
        <f t="shared" si="60"/>
        <v>ZSI1_AC_MOTORMFR_NO_AC_MOTOR</v>
      </c>
    </row>
    <row r="6931" ht="15.75" customHeight="1">
      <c r="B6931" s="63">
        <f t="shared" si="1"/>
        <v>13</v>
      </c>
      <c r="C6931" s="135" t="s">
        <v>487</v>
      </c>
      <c r="D6931" s="161" t="s">
        <v>74</v>
      </c>
      <c r="E6931" s="135">
        <f t="shared" si="59"/>
        <v>3</v>
      </c>
      <c r="F6931" s="134" t="s">
        <v>3782</v>
      </c>
      <c r="G6931" s="63" t="str">
        <f>VLOOKUP(C6931, 'Class Def. - General Data'!$C$20:$C$1000,1,false)</f>
        <v>ZSI1_AC_MOTOR</v>
      </c>
      <c r="H6931" s="63" t="str">
        <f>IFERROR(__xludf.DUMMYFUNCTION("VLOOKUP(F6931, IMPORTRANGE(""https://docs.google.com/spreadsheets/d/1Lhp9OU0JdFf_VYSMzH5lBcEaU4o8teT1piV-SNzShjg/edit?gid=554141278#gid=554141278"", ""'Char Def. - Attributes'!C20:C2242""), 1,false)"),"BRAND_EXTERNAL")</f>
        <v>BRAND_EXTERNAL</v>
      </c>
      <c r="I6931" s="136"/>
      <c r="R6931" s="63" t="str">
        <f t="shared" si="60"/>
        <v>ZSI1_AC_MOTORBRAND_EXTERNAL</v>
      </c>
    </row>
    <row r="6932" ht="15.75" customHeight="1">
      <c r="B6932" s="63">
        <f t="shared" si="1"/>
        <v>13</v>
      </c>
      <c r="C6932" s="135" t="s">
        <v>487</v>
      </c>
      <c r="D6932" s="161" t="s">
        <v>74</v>
      </c>
      <c r="E6932" s="135">
        <f t="shared" si="59"/>
        <v>4</v>
      </c>
      <c r="F6932" s="134" t="s">
        <v>4045</v>
      </c>
      <c r="G6932" s="63" t="str">
        <f>VLOOKUP(C6932, 'Class Def. - General Data'!$C$20:$C$1000,1,false)</f>
        <v>ZSI1_AC_MOTOR</v>
      </c>
      <c r="H6932" s="63" t="str">
        <f>IFERROR(__xludf.DUMMYFUNCTION("VLOOKUP(F6932, IMPORTRANGE(""https://docs.google.com/spreadsheets/d/1Lhp9OU0JdFf_VYSMzH5lBcEaU4o8teT1piV-SNzShjg/edit?gid=554141278#gid=554141278"", ""'Char Def. - Attributes'!C20:C2242""), 1,false)"),"FREQUENCY_HZ_AC_MOTOR")</f>
        <v>FREQUENCY_HZ_AC_MOTOR</v>
      </c>
      <c r="I6932" s="136"/>
      <c r="R6932" s="63" t="str">
        <f t="shared" si="60"/>
        <v>ZSI1_AC_MOTORFREQUENCY_HZ_AC_MOTOR</v>
      </c>
    </row>
    <row r="6933" ht="15.75" customHeight="1">
      <c r="B6933" s="63">
        <f t="shared" si="1"/>
        <v>13</v>
      </c>
      <c r="C6933" s="135" t="s">
        <v>487</v>
      </c>
      <c r="D6933" s="161" t="s">
        <v>74</v>
      </c>
      <c r="E6933" s="135">
        <f t="shared" si="59"/>
        <v>5</v>
      </c>
      <c r="F6933" s="134" t="s">
        <v>4046</v>
      </c>
      <c r="G6933" s="63" t="str">
        <f>VLOOKUP(C6933, 'Class Def. - General Data'!$C$20:$C$1000,1,false)</f>
        <v>ZSI1_AC_MOTOR</v>
      </c>
      <c r="H6933" s="63" t="str">
        <f>IFERROR(__xludf.DUMMYFUNCTION("VLOOKUP(F6933, IMPORTRANGE(""https://docs.google.com/spreadsheets/d/1Lhp9OU0JdFf_VYSMzH5lBcEaU4o8teT1piV-SNzShjg/edit?gid=554141278#gid=554141278"", ""'Char Def. - Attributes'!C20:C2242""), 1,false)"),"VOLTAGE_V_AC_MOTOR")</f>
        <v>VOLTAGE_V_AC_MOTOR</v>
      </c>
      <c r="I6933" s="136"/>
      <c r="R6933" s="63" t="str">
        <f t="shared" si="60"/>
        <v>ZSI1_AC_MOTORVOLTAGE_V_AC_MOTOR</v>
      </c>
    </row>
    <row r="6934" ht="15.75" customHeight="1">
      <c r="B6934" s="63">
        <f t="shared" si="1"/>
        <v>13</v>
      </c>
      <c r="C6934" s="135" t="s">
        <v>487</v>
      </c>
      <c r="D6934" s="161" t="s">
        <v>74</v>
      </c>
      <c r="E6934" s="135">
        <f t="shared" si="59"/>
        <v>6</v>
      </c>
      <c r="F6934" s="134" t="s">
        <v>4047</v>
      </c>
      <c r="G6934" s="63" t="str">
        <f>VLOOKUP(C6934, 'Class Def. - General Data'!$C$20:$C$1000,1,false)</f>
        <v>ZSI1_AC_MOTOR</v>
      </c>
      <c r="H6934" s="63" t="str">
        <f>IFERROR(__xludf.DUMMYFUNCTION("VLOOKUP(F6934, IMPORTRANGE(""https://docs.google.com/spreadsheets/d/1Lhp9OU0JdFf_VYSMzH5lBcEaU4o8teT1piV-SNzShjg/edit?gid=554141278#gid=554141278"", ""'Char Def. - Attributes'!C20:C2242""), 1,false)"),"POWER_KW_AC_MOTOR")</f>
        <v>POWER_KW_AC_MOTOR</v>
      </c>
      <c r="I6934" s="136"/>
      <c r="R6934" s="63" t="str">
        <f t="shared" si="60"/>
        <v>ZSI1_AC_MOTORPOWER_KW_AC_MOTOR</v>
      </c>
    </row>
    <row r="6935" ht="15.75" customHeight="1">
      <c r="B6935" s="63">
        <f t="shared" si="1"/>
        <v>13</v>
      </c>
      <c r="C6935" s="135" t="s">
        <v>487</v>
      </c>
      <c r="D6935" s="161" t="s">
        <v>74</v>
      </c>
      <c r="E6935" s="135">
        <f t="shared" si="59"/>
        <v>7</v>
      </c>
      <c r="F6935" s="134" t="s">
        <v>4048</v>
      </c>
      <c r="G6935" s="63" t="str">
        <f>VLOOKUP(C6935, 'Class Def. - General Data'!$C$20:$C$1000,1,false)</f>
        <v>ZSI1_AC_MOTOR</v>
      </c>
      <c r="H6935" s="63" t="str">
        <f>IFERROR(__xludf.DUMMYFUNCTION("VLOOKUP(F6935, IMPORTRANGE(""https://docs.google.com/spreadsheets/d/1Lhp9OU0JdFf_VYSMzH5lBcEaU4o8teT1piV-SNzShjg/edit?gid=554141278#gid=554141278"", ""'Char Def. - Attributes'!C20:C2242""), 1,false)"),"NUMBER_OF_POLE_P_AC_MOTOR")</f>
        <v>NUMBER_OF_POLE_P_AC_MOTOR</v>
      </c>
      <c r="I6935" s="136"/>
      <c r="R6935" s="63" t="str">
        <f t="shared" si="60"/>
        <v>ZSI1_AC_MOTORNUMBER_OF_POLE_P_AC_MOTOR</v>
      </c>
    </row>
    <row r="6936" ht="15.75" customHeight="1">
      <c r="B6936" s="63">
        <f t="shared" si="1"/>
        <v>13</v>
      </c>
      <c r="C6936" s="135" t="s">
        <v>487</v>
      </c>
      <c r="D6936" s="161" t="s">
        <v>74</v>
      </c>
      <c r="E6936" s="135">
        <f t="shared" si="59"/>
        <v>8</v>
      </c>
      <c r="F6936" s="134" t="s">
        <v>4049</v>
      </c>
      <c r="G6936" s="63" t="str">
        <f>VLOOKUP(C6936, 'Class Def. - General Data'!$C$20:$C$1000,1,false)</f>
        <v>ZSI1_AC_MOTOR</v>
      </c>
      <c r="H6936" s="63" t="str">
        <f>IFERROR(__xludf.DUMMYFUNCTION("VLOOKUP(F6936, IMPORTRANGE(""https://docs.google.com/spreadsheets/d/1Lhp9OU0JdFf_VYSMzH5lBcEaU4o8teT1piV-SNzShjg/edit?gid=554141278#gid=554141278"", ""'Char Def. - Attributes'!C20:C2242""), 1,false)"),"FRAME_SIZE_AC_MOTOR")</f>
        <v>FRAME_SIZE_AC_MOTOR</v>
      </c>
      <c r="I6936" s="136"/>
      <c r="R6936" s="63" t="str">
        <f t="shared" si="60"/>
        <v>ZSI1_AC_MOTORFRAME_SIZE_AC_MOTOR</v>
      </c>
    </row>
    <row r="6937" ht="15.75" customHeight="1">
      <c r="B6937" s="63">
        <f t="shared" si="1"/>
        <v>13</v>
      </c>
      <c r="C6937" s="135" t="s">
        <v>487</v>
      </c>
      <c r="D6937" s="161" t="s">
        <v>74</v>
      </c>
      <c r="E6937" s="135">
        <f t="shared" si="59"/>
        <v>9</v>
      </c>
      <c r="F6937" s="134" t="s">
        <v>4050</v>
      </c>
      <c r="G6937" s="63" t="str">
        <f>VLOOKUP(C6937, 'Class Def. - General Data'!$C$20:$C$1000,1,false)</f>
        <v>ZSI1_AC_MOTOR</v>
      </c>
      <c r="H6937" s="63" t="str">
        <f>IFERROR(__xludf.DUMMYFUNCTION("VLOOKUP(F6937, IMPORTRANGE(""https://docs.google.com/spreadsheets/d/1Lhp9OU0JdFf_VYSMzH5lBcEaU4o8teT1piV-SNzShjg/edit?gid=554141278#gid=554141278"", ""'Char Def. - Attributes'!C20:C2242""), 1,false)"),"MOUNTING_AC_MOTOR")</f>
        <v>MOUNTING_AC_MOTOR</v>
      </c>
      <c r="I6937" s="136"/>
      <c r="R6937" s="63" t="str">
        <f t="shared" si="60"/>
        <v>ZSI1_AC_MOTORMOUNTING_AC_MOTOR</v>
      </c>
    </row>
    <row r="6938" ht="15.75" customHeight="1">
      <c r="B6938" s="63">
        <f t="shared" si="1"/>
        <v>13</v>
      </c>
      <c r="C6938" s="135" t="s">
        <v>487</v>
      </c>
      <c r="D6938" s="161" t="s">
        <v>74</v>
      </c>
      <c r="E6938" s="135">
        <f t="shared" si="59"/>
        <v>10</v>
      </c>
      <c r="F6938" s="134" t="s">
        <v>4051</v>
      </c>
      <c r="G6938" s="63" t="str">
        <f>VLOOKUP(C6938, 'Class Def. - General Data'!$C$20:$C$1000,1,false)</f>
        <v>ZSI1_AC_MOTOR</v>
      </c>
      <c r="H6938" s="63" t="str">
        <f>IFERROR(__xludf.DUMMYFUNCTION("VLOOKUP(F6938, IMPORTRANGE(""https://docs.google.com/spreadsheets/d/1Lhp9OU0JdFf_VYSMzH5lBcEaU4o8teT1piV-SNzShjg/edit?gid=554141278#gid=554141278"", ""'Char Def. - Attributes'!C20:C2242""), 1,false)"),"EFFICIENCY_CLASS_AC_MOTOR")</f>
        <v>EFFICIENCY_CLASS_AC_MOTOR</v>
      </c>
      <c r="I6938" s="136"/>
      <c r="R6938" s="63" t="str">
        <f t="shared" si="60"/>
        <v>ZSI1_AC_MOTOREFFICIENCY_CLASS_AC_MOTOR</v>
      </c>
    </row>
    <row r="6939" ht="15.75" customHeight="1">
      <c r="B6939" s="63">
        <f t="shared" si="1"/>
        <v>13</v>
      </c>
      <c r="C6939" s="135" t="s">
        <v>487</v>
      </c>
      <c r="D6939" s="161" t="s">
        <v>74</v>
      </c>
      <c r="E6939" s="135">
        <f t="shared" si="59"/>
        <v>11</v>
      </c>
      <c r="F6939" s="134" t="s">
        <v>4052</v>
      </c>
      <c r="G6939" s="63" t="str">
        <f>VLOOKUP(C6939, 'Class Def. - General Data'!$C$20:$C$1000,1,false)</f>
        <v>ZSI1_AC_MOTOR</v>
      </c>
      <c r="H6939" s="63" t="str">
        <f>IFERROR(__xludf.DUMMYFUNCTION("VLOOKUP(F6939, IMPORTRANGE(""https://docs.google.com/spreadsheets/d/1Lhp9OU0JdFf_VYSMzH5lBcEaU4o8teT1piV-SNzShjg/edit?gid=554141278#gid=554141278"", ""'Char Def. - Attributes'!C20:C2242""), 1,false)"),"SPEED_RPM_AC_MOTOR")</f>
        <v>SPEED_RPM_AC_MOTOR</v>
      </c>
      <c r="I6939" s="136"/>
      <c r="R6939" s="63" t="str">
        <f t="shared" si="60"/>
        <v>ZSI1_AC_MOTORSPEED_RPM_AC_MOTOR</v>
      </c>
    </row>
    <row r="6940" ht="15.75" customHeight="1">
      <c r="B6940" s="63">
        <f t="shared" si="1"/>
        <v>13</v>
      </c>
      <c r="C6940" s="135" t="s">
        <v>487</v>
      </c>
      <c r="D6940" s="161" t="s">
        <v>74</v>
      </c>
      <c r="E6940" s="135">
        <f t="shared" si="59"/>
        <v>12</v>
      </c>
      <c r="F6940" s="134" t="s">
        <v>4053</v>
      </c>
      <c r="G6940" s="63" t="str">
        <f>VLOOKUP(C6940, 'Class Def. - General Data'!$C$20:$C$1000,1,false)</f>
        <v>ZSI1_AC_MOTOR</v>
      </c>
      <c r="H6940" s="63" t="str">
        <f>IFERROR(__xludf.DUMMYFUNCTION("VLOOKUP(F6940, IMPORTRANGE(""https://docs.google.com/spreadsheets/d/1Lhp9OU0JdFf_VYSMzH5lBcEaU4o8teT1piV-SNzShjg/edit?gid=554141278#gid=554141278"", ""'Char Def. - Attributes'!C20:C2242""), 1,false)"),"MAINTENANCE_ORDER_TYPE")</f>
        <v>MAINTENANCE_ORDER_TYPE</v>
      </c>
      <c r="I6940" s="136"/>
      <c r="R6940" s="63" t="str">
        <f t="shared" si="60"/>
        <v>ZSI1_AC_MOTORMAINTENANCE_ORDER_TYPE</v>
      </c>
    </row>
    <row r="6941" ht="15.75" customHeight="1">
      <c r="B6941" s="63">
        <f t="shared" si="1"/>
        <v>13</v>
      </c>
      <c r="C6941" s="135" t="s">
        <v>487</v>
      </c>
      <c r="D6941" s="161" t="s">
        <v>74</v>
      </c>
      <c r="E6941" s="135">
        <f t="shared" si="59"/>
        <v>13</v>
      </c>
      <c r="F6941" s="134" t="s">
        <v>3585</v>
      </c>
      <c r="G6941" s="63" t="str">
        <f>VLOOKUP(C6941, 'Class Def. - General Data'!$C$20:$C$1000,1,false)</f>
        <v>ZSI1_AC_MOTOR</v>
      </c>
      <c r="H6941" s="63" t="str">
        <f>IFERROR(__xludf.DUMMYFUNCTION("VLOOKUP(F6941, IMPORTRANGE(""https://docs.google.com/spreadsheets/d/1Lhp9OU0JdFf_VYSMzH5lBcEaU4o8teT1piV-SNzShjg/edit?gid=554141278#gid=554141278"", ""'Char Def. - Attributes'!C20:C2242""), 1,false)"),"HS_CODE")</f>
        <v>HS_CODE</v>
      </c>
      <c r="I6941" s="136"/>
      <c r="R6941" s="63" t="str">
        <f t="shared" si="60"/>
        <v>ZSI1_AC_MOTORHS_CODE</v>
      </c>
    </row>
    <row r="6942" ht="15.75" customHeight="1">
      <c r="B6942" s="63">
        <f t="shared" si="1"/>
        <v>13</v>
      </c>
      <c r="C6942" s="135" t="s">
        <v>487</v>
      </c>
      <c r="D6942" s="161" t="s">
        <v>74</v>
      </c>
      <c r="E6942" s="135">
        <f t="shared" si="59"/>
        <v>14</v>
      </c>
      <c r="F6942" s="134" t="s">
        <v>3587</v>
      </c>
      <c r="G6942" s="63" t="str">
        <f>VLOOKUP(C6942, 'Class Def. - General Data'!$C$20:$C$1000,1,false)</f>
        <v>ZSI1_AC_MOTOR</v>
      </c>
      <c r="H6942" s="63" t="str">
        <f>IFERROR(__xludf.DUMMYFUNCTION("VLOOKUP(F6942, IMPORTRANGE(""https://docs.google.com/spreadsheets/d/1Lhp9OU0JdFf_VYSMzH5lBcEaU4o8teT1piV-SNzShjg/edit?gid=554141278#gid=554141278"", ""'Char Def. - Attributes'!C20:C2242""), 1,false)"),"PLANT_BUY")</f>
        <v>PLANT_BUY</v>
      </c>
      <c r="I6942" s="136"/>
      <c r="R6942" s="63" t="str">
        <f t="shared" si="60"/>
        <v>ZSI1_AC_MOTORPLANT_BUY</v>
      </c>
    </row>
    <row r="6943" ht="15.75" customHeight="1">
      <c r="B6943" s="63">
        <f t="shared" si="1"/>
        <v>13</v>
      </c>
      <c r="C6943" s="135" t="s">
        <v>487</v>
      </c>
      <c r="D6943" s="161" t="s">
        <v>74</v>
      </c>
      <c r="E6943" s="135">
        <f t="shared" si="59"/>
        <v>15</v>
      </c>
      <c r="F6943" s="134" t="s">
        <v>4054</v>
      </c>
      <c r="G6943" s="63" t="str">
        <f>VLOOKUP(C6943, 'Class Def. - General Data'!$C$20:$C$1000,1,false)</f>
        <v>ZSI1_AC_MOTOR</v>
      </c>
      <c r="H6943" s="63" t="str">
        <f>IFERROR(__xludf.DUMMYFUNCTION("VLOOKUP(F6943, IMPORTRANGE(""https://docs.google.com/spreadsheets/d/1Lhp9OU0JdFf_VYSMzH5lBcEaU4o8teT1piV-SNzShjg/edit?gid=554141278#gid=554141278"", ""'Char Def. - Attributes'!C20:C2242""), 1,false)"),"BASE_UOM_AC_MOTOR")</f>
        <v>BASE_UOM_AC_MOTOR</v>
      </c>
      <c r="I6943" s="136"/>
      <c r="R6943" s="63" t="str">
        <f t="shared" si="60"/>
        <v>ZSI1_AC_MOTORBASE_UOM_AC_MOTOR</v>
      </c>
    </row>
    <row r="6944" ht="15.75" customHeight="1">
      <c r="B6944" s="63">
        <f t="shared" si="1"/>
        <v>13</v>
      </c>
      <c r="C6944" s="135" t="s">
        <v>487</v>
      </c>
      <c r="D6944" s="161" t="s">
        <v>74</v>
      </c>
      <c r="E6944" s="135">
        <f t="shared" si="59"/>
        <v>16</v>
      </c>
      <c r="F6944" s="134" t="s">
        <v>4055</v>
      </c>
      <c r="G6944" s="63" t="str">
        <f>VLOOKUP(C6944, 'Class Def. - General Data'!$C$20:$C$1000,1,false)</f>
        <v>ZSI1_AC_MOTOR</v>
      </c>
      <c r="H6944" s="63" t="str">
        <f>IFERROR(__xludf.DUMMYFUNCTION("VLOOKUP(F6944, IMPORTRANGE(""https://docs.google.com/spreadsheets/d/1Lhp9OU0JdFf_VYSMzH5lBcEaU4o8teT1piV-SNzShjg/edit?gid=554141278#gid=554141278"", ""'Char Def. - Attributes'!C20:C2242""), 1,false)"),"ORDER_UNIT_AC_MOTOR")</f>
        <v>ORDER_UNIT_AC_MOTOR</v>
      </c>
      <c r="I6944" s="136"/>
      <c r="R6944" s="63" t="str">
        <f t="shared" si="60"/>
        <v>ZSI1_AC_MOTORORDER_UNIT_AC_MOTOR</v>
      </c>
    </row>
    <row r="6945" ht="15.75" customHeight="1">
      <c r="B6945" s="63">
        <f t="shared" si="1"/>
        <v>13</v>
      </c>
      <c r="C6945" s="135" t="s">
        <v>487</v>
      </c>
      <c r="D6945" s="161" t="s">
        <v>74</v>
      </c>
      <c r="E6945" s="135">
        <f t="shared" si="59"/>
        <v>17</v>
      </c>
      <c r="F6945" s="134" t="s">
        <v>4056</v>
      </c>
      <c r="G6945" s="63" t="str">
        <f>VLOOKUP(C6945, 'Class Def. - General Data'!$C$20:$C$1000,1,false)</f>
        <v>ZSI1_AC_MOTOR</v>
      </c>
      <c r="H6945" s="63" t="str">
        <f>IFERROR(__xludf.DUMMYFUNCTION("VLOOKUP(F6945, IMPORTRANGE(""https://docs.google.com/spreadsheets/d/1Lhp9OU0JdFf_VYSMzH5lBcEaU4o8teT1piV-SNzShjg/edit?gid=554141278#gid=554141278"", ""'Char Def. - Attributes'!C20:C2242""), 1,false)"),"GROSS_WEIGHT_OPT")</f>
        <v>GROSS_WEIGHT_OPT</v>
      </c>
      <c r="I6945" s="136"/>
      <c r="R6945" s="63" t="str">
        <f t="shared" si="60"/>
        <v>ZSI1_AC_MOTORGROSS_WEIGHT_OPT</v>
      </c>
    </row>
    <row r="6946" ht="15.75" customHeight="1">
      <c r="B6946" s="63">
        <f t="shared" si="1"/>
        <v>13</v>
      </c>
      <c r="C6946" s="135" t="s">
        <v>487</v>
      </c>
      <c r="D6946" s="161" t="s">
        <v>74</v>
      </c>
      <c r="E6946" s="135">
        <f t="shared" si="59"/>
        <v>18</v>
      </c>
      <c r="F6946" s="134" t="s">
        <v>4057</v>
      </c>
      <c r="G6946" s="63" t="str">
        <f>VLOOKUP(C6946, 'Class Def. - General Data'!$C$20:$C$1000,1,false)</f>
        <v>ZSI1_AC_MOTOR</v>
      </c>
      <c r="H6946" s="63" t="str">
        <f>IFERROR(__xludf.DUMMYFUNCTION("VLOOKUP(F6946, IMPORTRANGE(""https://docs.google.com/spreadsheets/d/1Lhp9OU0JdFf_VYSMzH5lBcEaU4o8teT1piV-SNzShjg/edit?gid=554141278#gid=554141278"", ""'Char Def. - Attributes'!C20:C2242""), 1,false)"),"NET_WEIGHT_OPT")</f>
        <v>NET_WEIGHT_OPT</v>
      </c>
      <c r="I6946" s="136"/>
      <c r="R6946" s="63" t="str">
        <f t="shared" si="60"/>
        <v>ZSI1_AC_MOTORNET_WEIGHT_OPT</v>
      </c>
    </row>
    <row r="6947" ht="15.75" customHeight="1">
      <c r="B6947" s="63">
        <f t="shared" si="1"/>
        <v>13</v>
      </c>
      <c r="C6947" s="135" t="s">
        <v>487</v>
      </c>
      <c r="D6947" s="161" t="s">
        <v>74</v>
      </c>
      <c r="E6947" s="135">
        <f t="shared" si="59"/>
        <v>19</v>
      </c>
      <c r="F6947" s="134" t="s">
        <v>4058</v>
      </c>
      <c r="G6947" s="63" t="str">
        <f>VLOOKUP(C6947, 'Class Def. - General Data'!$C$20:$C$1000,1,false)</f>
        <v>ZSI1_AC_MOTOR</v>
      </c>
      <c r="H6947" s="63" t="str">
        <f>IFERROR(__xludf.DUMMYFUNCTION("VLOOKUP(F6947, IMPORTRANGE(""https://docs.google.com/spreadsheets/d/1Lhp9OU0JdFf_VYSMzH5lBcEaU4o8teT1piV-SNzShjg/edit?gid=554141278#gid=554141278"", ""'Char Def. - Attributes'!C20:C2242""), 1,false)"),"WEIGHT_UNIT_SI")</f>
        <v>WEIGHT_UNIT_SI</v>
      </c>
      <c r="I6947" s="136"/>
      <c r="R6947" s="63" t="str">
        <f t="shared" si="60"/>
        <v>ZSI1_AC_MOTORWEIGHT_UNIT_SI</v>
      </c>
    </row>
    <row r="6948" ht="15.75" customHeight="1">
      <c r="B6948" s="63">
        <f t="shared" si="1"/>
        <v>13</v>
      </c>
      <c r="C6948" s="135" t="s">
        <v>487</v>
      </c>
      <c r="D6948" s="161" t="s">
        <v>74</v>
      </c>
      <c r="E6948" s="135">
        <f t="shared" si="59"/>
        <v>20</v>
      </c>
      <c r="F6948" s="134" t="s">
        <v>3877</v>
      </c>
      <c r="G6948" s="63" t="str">
        <f>VLOOKUP(C6948, 'Class Def. - General Data'!$C$20:$C$1000,1,false)</f>
        <v>ZSI1_AC_MOTOR</v>
      </c>
      <c r="H6948" s="63" t="str">
        <f>IFERROR(__xludf.DUMMYFUNCTION("VLOOKUP(F6948, IMPORTRANGE(""https://docs.google.com/spreadsheets/d/1Lhp9OU0JdFf_VYSMzH5lBcEaU4o8teT1piV-SNzShjg/edit?gid=554141278#gid=554141278"", ""'Char Def. - Attributes'!C20:C2242""), 1,false)"),"VOLUME_OPT")</f>
        <v>VOLUME_OPT</v>
      </c>
      <c r="I6948" s="136"/>
      <c r="R6948" s="63" t="str">
        <f t="shared" si="60"/>
        <v>ZSI1_AC_MOTORVOLUME_OPT</v>
      </c>
    </row>
    <row r="6949" ht="15.75" customHeight="1">
      <c r="B6949" s="63">
        <f t="shared" si="1"/>
        <v>13</v>
      </c>
      <c r="C6949" s="135" t="s">
        <v>487</v>
      </c>
      <c r="D6949" s="161" t="s">
        <v>74</v>
      </c>
      <c r="E6949" s="135">
        <f t="shared" si="59"/>
        <v>21</v>
      </c>
      <c r="F6949" s="134" t="s">
        <v>4059</v>
      </c>
      <c r="G6949" s="63" t="str">
        <f>VLOOKUP(C6949, 'Class Def. - General Data'!$C$20:$C$1000,1,false)</f>
        <v>ZSI1_AC_MOTOR</v>
      </c>
      <c r="H6949" s="63" t="str">
        <f>IFERROR(__xludf.DUMMYFUNCTION("VLOOKUP(F6949, IMPORTRANGE(""https://docs.google.com/spreadsheets/d/1Lhp9OU0JdFf_VYSMzH5lBcEaU4o8teT1piV-SNzShjg/edit?gid=554141278#gid=554141278"", ""'Char Def. - Attributes'!C20:C2242""), 1,false)"),"VOLUME_UNIT_SI")</f>
        <v>VOLUME_UNIT_SI</v>
      </c>
      <c r="I6949" s="136"/>
      <c r="R6949" s="63" t="str">
        <f t="shared" si="60"/>
        <v>ZSI1_AC_MOTORVOLUME_UNIT_SI</v>
      </c>
    </row>
    <row r="6950" ht="15.75" customHeight="1">
      <c r="B6950" s="63">
        <f t="shared" si="1"/>
        <v>13</v>
      </c>
      <c r="C6950" s="135" t="s">
        <v>487</v>
      </c>
      <c r="D6950" s="161" t="s">
        <v>74</v>
      </c>
      <c r="E6950" s="135">
        <f t="shared" si="59"/>
        <v>22</v>
      </c>
      <c r="F6950" s="134" t="s">
        <v>3804</v>
      </c>
      <c r="G6950" s="63" t="str">
        <f>VLOOKUP(C6950, 'Class Def. - General Data'!$C$20:$C$1000,1,false)</f>
        <v>ZSI1_AC_MOTOR</v>
      </c>
      <c r="H6950" s="63" t="str">
        <f>IFERROR(__xludf.DUMMYFUNCTION("VLOOKUP(F6950, IMPORTRANGE(""https://docs.google.com/spreadsheets/d/1Lhp9OU0JdFf_VYSMzH5lBcEaU4o8teT1piV-SNzShjg/edit?gid=554141278#gid=554141278"", ""'Char Def. - Attributes'!C20:C2242""), 1,false)"),"ALT_UOM1_SIPI")</f>
        <v>ALT_UOM1_SIPI</v>
      </c>
      <c r="I6950" s="136"/>
      <c r="R6950" s="63" t="str">
        <f t="shared" si="60"/>
        <v>ZSI1_AC_MOTORALT_UOM1_SIPI</v>
      </c>
    </row>
    <row r="6951" ht="15.75" customHeight="1">
      <c r="B6951" s="63">
        <f t="shared" si="1"/>
        <v>13</v>
      </c>
      <c r="C6951" s="135" t="s">
        <v>487</v>
      </c>
      <c r="D6951" s="161" t="s">
        <v>74</v>
      </c>
      <c r="E6951" s="135">
        <f t="shared" si="59"/>
        <v>23</v>
      </c>
      <c r="F6951" s="134" t="s">
        <v>3805</v>
      </c>
      <c r="G6951" s="63" t="str">
        <f>VLOOKUP(C6951, 'Class Def. - General Data'!$C$20:$C$1000,1,false)</f>
        <v>ZSI1_AC_MOTOR</v>
      </c>
      <c r="H6951" s="63" t="str">
        <f>IFERROR(__xludf.DUMMYFUNCTION("VLOOKUP(F6951, IMPORTRANGE(""https://docs.google.com/spreadsheets/d/1Lhp9OU0JdFf_VYSMzH5lBcEaU4o8teT1piV-SNzShjg/edit?gid=554141278#gid=554141278"", ""'Char Def. - Attributes'!C20:C2242""), 1,false)"),"ALT_DENUM_UOM1")</f>
        <v>ALT_DENUM_UOM1</v>
      </c>
      <c r="I6951" s="136"/>
      <c r="R6951" s="63" t="str">
        <f t="shared" si="60"/>
        <v>ZSI1_AC_MOTORALT_DENUM_UOM1</v>
      </c>
    </row>
    <row r="6952" ht="15.75" customHeight="1">
      <c r="B6952" s="63">
        <f t="shared" si="1"/>
        <v>13</v>
      </c>
      <c r="C6952" s="135" t="s">
        <v>487</v>
      </c>
      <c r="D6952" s="161" t="s">
        <v>74</v>
      </c>
      <c r="E6952" s="135">
        <f t="shared" si="59"/>
        <v>24</v>
      </c>
      <c r="F6952" s="134" t="s">
        <v>3806</v>
      </c>
      <c r="G6952" s="63" t="str">
        <f>VLOOKUP(C6952, 'Class Def. - General Data'!$C$20:$C$1000,1,false)</f>
        <v>ZSI1_AC_MOTOR</v>
      </c>
      <c r="H6952" s="63" t="str">
        <f>IFERROR(__xludf.DUMMYFUNCTION("VLOOKUP(F6952, IMPORTRANGE(""https://docs.google.com/spreadsheets/d/1Lhp9OU0JdFf_VYSMzH5lBcEaU4o8teT1piV-SNzShjg/edit?gid=554141278#gid=554141278"", ""'Char Def. - Attributes'!C20:C2242""), 1,false)"),"ALT_NUM_UOM1")</f>
        <v>ALT_NUM_UOM1</v>
      </c>
      <c r="I6952" s="136"/>
      <c r="R6952" s="63" t="str">
        <f t="shared" si="60"/>
        <v>ZSI1_AC_MOTORALT_NUM_UOM1</v>
      </c>
    </row>
    <row r="6953" ht="15.75" customHeight="1">
      <c r="B6953" s="63">
        <f t="shared" si="1"/>
        <v>13</v>
      </c>
      <c r="C6953" s="135" t="s">
        <v>487</v>
      </c>
      <c r="D6953" s="161" t="s">
        <v>74</v>
      </c>
      <c r="E6953" s="135">
        <f t="shared" si="59"/>
        <v>25</v>
      </c>
      <c r="F6953" s="134" t="s">
        <v>3807</v>
      </c>
      <c r="G6953" s="63" t="str">
        <f>VLOOKUP(C6953, 'Class Def. - General Data'!$C$20:$C$1000,1,false)</f>
        <v>ZSI1_AC_MOTOR</v>
      </c>
      <c r="H6953" s="63" t="str">
        <f>IFERROR(__xludf.DUMMYFUNCTION("VLOOKUP(F6953, IMPORTRANGE(""https://docs.google.com/spreadsheets/d/1Lhp9OU0JdFf_VYSMzH5lBcEaU4o8teT1piV-SNzShjg/edit?gid=554141278#gid=554141278"", ""'Char Def. - Attributes'!C20:C2242""), 1,false)"),"ALT_UOM2_SIPI")</f>
        <v>ALT_UOM2_SIPI</v>
      </c>
      <c r="I6953" s="136"/>
      <c r="R6953" s="63" t="str">
        <f t="shared" si="60"/>
        <v>ZSI1_AC_MOTORALT_UOM2_SIPI</v>
      </c>
    </row>
    <row r="6954" ht="15.75" customHeight="1">
      <c r="B6954" s="63">
        <f t="shared" si="1"/>
        <v>13</v>
      </c>
      <c r="C6954" s="135" t="s">
        <v>487</v>
      </c>
      <c r="D6954" s="161" t="s">
        <v>74</v>
      </c>
      <c r="E6954" s="135">
        <f t="shared" si="59"/>
        <v>26</v>
      </c>
      <c r="F6954" s="134" t="s">
        <v>3808</v>
      </c>
      <c r="G6954" s="63" t="str">
        <f>VLOOKUP(C6954, 'Class Def. - General Data'!$C$20:$C$1000,1,false)</f>
        <v>ZSI1_AC_MOTOR</v>
      </c>
      <c r="H6954" s="63" t="str">
        <f>IFERROR(__xludf.DUMMYFUNCTION("VLOOKUP(F6954, IMPORTRANGE(""https://docs.google.com/spreadsheets/d/1Lhp9OU0JdFf_VYSMzH5lBcEaU4o8teT1piV-SNzShjg/edit?gid=554141278#gid=554141278"", ""'Char Def. - Attributes'!C20:C2242""), 1,false)"),"ALT_DENUM_UOM2")</f>
        <v>ALT_DENUM_UOM2</v>
      </c>
      <c r="I6954" s="136"/>
      <c r="R6954" s="63" t="str">
        <f t="shared" si="60"/>
        <v>ZSI1_AC_MOTORALT_DENUM_UOM2</v>
      </c>
    </row>
    <row r="6955" ht="15.75" customHeight="1">
      <c r="B6955" s="63">
        <f t="shared" si="1"/>
        <v>13</v>
      </c>
      <c r="C6955" s="135" t="s">
        <v>487</v>
      </c>
      <c r="D6955" s="161" t="s">
        <v>74</v>
      </c>
      <c r="E6955" s="135">
        <f t="shared" si="59"/>
        <v>27</v>
      </c>
      <c r="F6955" s="134" t="s">
        <v>3809</v>
      </c>
      <c r="G6955" s="63" t="str">
        <f>VLOOKUP(C6955, 'Class Def. - General Data'!$C$20:$C$1000,1,false)</f>
        <v>ZSI1_AC_MOTOR</v>
      </c>
      <c r="H6955" s="63" t="str">
        <f>IFERROR(__xludf.DUMMYFUNCTION("VLOOKUP(F6955, IMPORTRANGE(""https://docs.google.com/spreadsheets/d/1Lhp9OU0JdFf_VYSMzH5lBcEaU4o8teT1piV-SNzShjg/edit?gid=554141278#gid=554141278"", ""'Char Def. - Attributes'!C20:C2242""), 1,false)"),"ALT_NUM_UOM2")</f>
        <v>ALT_NUM_UOM2</v>
      </c>
      <c r="I6955" s="136"/>
      <c r="R6955" s="63" t="str">
        <f t="shared" si="60"/>
        <v>ZSI1_AC_MOTORALT_NUM_UOM2</v>
      </c>
    </row>
    <row r="6956" ht="15.75" customHeight="1">
      <c r="B6956" s="63">
        <f t="shared" si="1"/>
        <v>13</v>
      </c>
      <c r="C6956" s="135" t="s">
        <v>487</v>
      </c>
      <c r="D6956" s="161" t="s">
        <v>74</v>
      </c>
      <c r="E6956" s="135">
        <f t="shared" si="59"/>
        <v>28</v>
      </c>
      <c r="F6956" s="134" t="s">
        <v>3810</v>
      </c>
      <c r="G6956" s="63" t="str">
        <f>VLOOKUP(C6956, 'Class Def. - General Data'!$C$20:$C$1000,1,false)</f>
        <v>ZSI1_AC_MOTOR</v>
      </c>
      <c r="H6956" s="63" t="str">
        <f>IFERROR(__xludf.DUMMYFUNCTION("VLOOKUP(F6956, IMPORTRANGE(""https://docs.google.com/spreadsheets/d/1Lhp9OU0JdFf_VYSMzH5lBcEaU4o8teT1piV-SNzShjg/edit?gid=554141278#gid=554141278"", ""'Char Def. - Attributes'!C20:C2242""), 1,false)"),"ALT_UOM3_SIPI")</f>
        <v>ALT_UOM3_SIPI</v>
      </c>
      <c r="I6956" s="136"/>
      <c r="R6956" s="63" t="str">
        <f t="shared" si="60"/>
        <v>ZSI1_AC_MOTORALT_UOM3_SIPI</v>
      </c>
    </row>
    <row r="6957" ht="15.75" customHeight="1">
      <c r="B6957" s="63">
        <f t="shared" si="1"/>
        <v>13</v>
      </c>
      <c r="C6957" s="135" t="s">
        <v>487</v>
      </c>
      <c r="D6957" s="161" t="s">
        <v>74</v>
      </c>
      <c r="E6957" s="135">
        <f t="shared" si="59"/>
        <v>29</v>
      </c>
      <c r="F6957" s="134" t="s">
        <v>3811</v>
      </c>
      <c r="G6957" s="63" t="str">
        <f>VLOOKUP(C6957, 'Class Def. - General Data'!$C$20:$C$1000,1,false)</f>
        <v>ZSI1_AC_MOTOR</v>
      </c>
      <c r="H6957" s="63" t="str">
        <f>IFERROR(__xludf.DUMMYFUNCTION("VLOOKUP(F6957, IMPORTRANGE(""https://docs.google.com/spreadsheets/d/1Lhp9OU0JdFf_VYSMzH5lBcEaU4o8teT1piV-SNzShjg/edit?gid=554141278#gid=554141278"", ""'Char Def. - Attributes'!C20:C2242""), 1,false)"),"ALT_DENUM_UOM3")</f>
        <v>ALT_DENUM_UOM3</v>
      </c>
      <c r="I6957" s="136"/>
      <c r="R6957" s="63" t="str">
        <f t="shared" si="60"/>
        <v>ZSI1_AC_MOTORALT_DENUM_UOM3</v>
      </c>
    </row>
    <row r="6958" ht="15.75" customHeight="1">
      <c r="B6958" s="63">
        <f t="shared" si="1"/>
        <v>13</v>
      </c>
      <c r="C6958" s="135" t="s">
        <v>487</v>
      </c>
      <c r="D6958" s="161" t="s">
        <v>74</v>
      </c>
      <c r="E6958" s="135">
        <f t="shared" si="59"/>
        <v>30</v>
      </c>
      <c r="F6958" s="134" t="s">
        <v>3812</v>
      </c>
      <c r="G6958" s="63" t="str">
        <f>VLOOKUP(C6958, 'Class Def. - General Data'!$C$20:$C$1000,1,false)</f>
        <v>ZSI1_AC_MOTOR</v>
      </c>
      <c r="H6958" s="63" t="str">
        <f>IFERROR(__xludf.DUMMYFUNCTION("VLOOKUP(F6958, IMPORTRANGE(""https://docs.google.com/spreadsheets/d/1Lhp9OU0JdFf_VYSMzH5lBcEaU4o8teT1piV-SNzShjg/edit?gid=554141278#gid=554141278"", ""'Char Def. - Attributes'!C20:C2242""), 1,false)"),"ALT_NUM_UOM3")</f>
        <v>ALT_NUM_UOM3</v>
      </c>
      <c r="I6958" s="136"/>
      <c r="R6958" s="63" t="str">
        <f t="shared" si="60"/>
        <v>ZSI1_AC_MOTORALT_NUM_UOM3</v>
      </c>
    </row>
    <row r="6959" ht="15.75" customHeight="1">
      <c r="B6959" s="63">
        <f t="shared" si="1"/>
        <v>13</v>
      </c>
      <c r="C6959" s="135" t="s">
        <v>487</v>
      </c>
      <c r="D6959" s="161" t="s">
        <v>74</v>
      </c>
      <c r="E6959" s="135">
        <f t="shared" si="59"/>
        <v>31</v>
      </c>
      <c r="F6959" s="134" t="s">
        <v>3813</v>
      </c>
      <c r="G6959" s="63" t="str">
        <f>VLOOKUP(C6959, 'Class Def. - General Data'!$C$20:$C$1000,1,false)</f>
        <v>ZSI1_AC_MOTOR</v>
      </c>
      <c r="H6959" s="63" t="str">
        <f>IFERROR(__xludf.DUMMYFUNCTION("VLOOKUP(F6959, IMPORTRANGE(""https://docs.google.com/spreadsheets/d/1Lhp9OU0JdFf_VYSMzH5lBcEaU4o8teT1piV-SNzShjg/edit?gid=554141278#gid=554141278"", ""'Char Def. - Attributes'!C20:C2242""), 1,false)"),"ALT_UOM4_SIPI")</f>
        <v>ALT_UOM4_SIPI</v>
      </c>
      <c r="I6959" s="136"/>
      <c r="R6959" s="63" t="str">
        <f t="shared" si="60"/>
        <v>ZSI1_AC_MOTORALT_UOM4_SIPI</v>
      </c>
    </row>
    <row r="6960" ht="15.75" customHeight="1">
      <c r="B6960" s="63">
        <f t="shared" si="1"/>
        <v>13</v>
      </c>
      <c r="C6960" s="135" t="s">
        <v>487</v>
      </c>
      <c r="D6960" s="161" t="s">
        <v>74</v>
      </c>
      <c r="E6960" s="135">
        <f t="shared" si="59"/>
        <v>32</v>
      </c>
      <c r="F6960" s="134" t="s">
        <v>3814</v>
      </c>
      <c r="G6960" s="63" t="str">
        <f>VLOOKUP(C6960, 'Class Def. - General Data'!$C$20:$C$1000,1,false)</f>
        <v>ZSI1_AC_MOTOR</v>
      </c>
      <c r="H6960" s="63" t="str">
        <f>IFERROR(__xludf.DUMMYFUNCTION("VLOOKUP(F6960, IMPORTRANGE(""https://docs.google.com/spreadsheets/d/1Lhp9OU0JdFf_VYSMzH5lBcEaU4o8teT1piV-SNzShjg/edit?gid=554141278#gid=554141278"", ""'Char Def. - Attributes'!C20:C2242""), 1,false)"),"ALT_DENUM_UOM4")</f>
        <v>ALT_DENUM_UOM4</v>
      </c>
      <c r="I6960" s="136"/>
      <c r="R6960" s="63" t="str">
        <f t="shared" si="60"/>
        <v>ZSI1_AC_MOTORALT_DENUM_UOM4</v>
      </c>
    </row>
    <row r="6961" ht="15.75" customHeight="1">
      <c r="B6961" s="63">
        <f t="shared" si="1"/>
        <v>13</v>
      </c>
      <c r="C6961" s="135" t="s">
        <v>487</v>
      </c>
      <c r="D6961" s="161" t="s">
        <v>74</v>
      </c>
      <c r="E6961" s="135">
        <f t="shared" si="59"/>
        <v>33</v>
      </c>
      <c r="F6961" s="134" t="s">
        <v>3815</v>
      </c>
      <c r="G6961" s="63" t="str">
        <f>VLOOKUP(C6961, 'Class Def. - General Data'!$C$20:$C$1000,1,false)</f>
        <v>ZSI1_AC_MOTOR</v>
      </c>
      <c r="H6961" s="63" t="str">
        <f>IFERROR(__xludf.DUMMYFUNCTION("VLOOKUP(F6961, IMPORTRANGE(""https://docs.google.com/spreadsheets/d/1Lhp9OU0JdFf_VYSMzH5lBcEaU4o8teT1piV-SNzShjg/edit?gid=554141278#gid=554141278"", ""'Char Def. - Attributes'!C20:C2242""), 1,false)"),"ALT_NUM_UOM4")</f>
        <v>ALT_NUM_UOM4</v>
      </c>
      <c r="I6961" s="136"/>
      <c r="R6961" s="63" t="str">
        <f t="shared" si="60"/>
        <v>ZSI1_AC_MOTORALT_NUM_UOM4</v>
      </c>
    </row>
    <row r="6962" ht="15.75" customHeight="1">
      <c r="B6962" s="63">
        <f t="shared" si="1"/>
        <v>13</v>
      </c>
      <c r="C6962" s="135" t="s">
        <v>487</v>
      </c>
      <c r="D6962" s="161" t="s">
        <v>74</v>
      </c>
      <c r="E6962" s="135">
        <f t="shared" si="59"/>
        <v>34</v>
      </c>
      <c r="F6962" s="134" t="s">
        <v>3816</v>
      </c>
      <c r="G6962" s="63" t="str">
        <f>VLOOKUP(C6962, 'Class Def. - General Data'!$C$20:$C$1000,1,false)</f>
        <v>ZSI1_AC_MOTOR</v>
      </c>
      <c r="H6962" s="63" t="str">
        <f>IFERROR(__xludf.DUMMYFUNCTION("VLOOKUP(F6962, IMPORTRANGE(""https://docs.google.com/spreadsheets/d/1Lhp9OU0JdFf_VYSMzH5lBcEaU4o8teT1piV-SNzShjg/edit?gid=554141278#gid=554141278"", ""'Char Def. - Attributes'!C20:C2242""), 1,false)"),"ALT_UOM5_SIPI")</f>
        <v>ALT_UOM5_SIPI</v>
      </c>
      <c r="I6962" s="136"/>
      <c r="R6962" s="63" t="str">
        <f t="shared" si="60"/>
        <v>ZSI1_AC_MOTORALT_UOM5_SIPI</v>
      </c>
    </row>
    <row r="6963" ht="15.75" customHeight="1">
      <c r="B6963" s="63">
        <f t="shared" si="1"/>
        <v>13</v>
      </c>
      <c r="C6963" s="135" t="s">
        <v>487</v>
      </c>
      <c r="D6963" s="161" t="s">
        <v>74</v>
      </c>
      <c r="E6963" s="135">
        <f t="shared" si="59"/>
        <v>35</v>
      </c>
      <c r="F6963" s="134" t="s">
        <v>3817</v>
      </c>
      <c r="G6963" s="63" t="str">
        <f>VLOOKUP(C6963, 'Class Def. - General Data'!$C$20:$C$1000,1,false)</f>
        <v>ZSI1_AC_MOTOR</v>
      </c>
      <c r="H6963" s="63" t="str">
        <f>IFERROR(__xludf.DUMMYFUNCTION("VLOOKUP(F6963, IMPORTRANGE(""https://docs.google.com/spreadsheets/d/1Lhp9OU0JdFf_VYSMzH5lBcEaU4o8teT1piV-SNzShjg/edit?gid=554141278#gid=554141278"", ""'Char Def. - Attributes'!C20:C2242""), 1,false)"),"ALT_DENUM_UOM5")</f>
        <v>ALT_DENUM_UOM5</v>
      </c>
      <c r="I6963" s="136"/>
      <c r="R6963" s="63" t="str">
        <f t="shared" si="60"/>
        <v>ZSI1_AC_MOTORALT_DENUM_UOM5</v>
      </c>
    </row>
    <row r="6964" ht="15.75" customHeight="1">
      <c r="B6964" s="63">
        <f t="shared" si="1"/>
        <v>13</v>
      </c>
      <c r="C6964" s="135" t="s">
        <v>487</v>
      </c>
      <c r="D6964" s="161" t="s">
        <v>74</v>
      </c>
      <c r="E6964" s="135">
        <f t="shared" si="59"/>
        <v>36</v>
      </c>
      <c r="F6964" s="134" t="s">
        <v>3818</v>
      </c>
      <c r="G6964" s="63" t="str">
        <f>VLOOKUP(C6964, 'Class Def. - General Data'!$C$20:$C$1000,1,false)</f>
        <v>ZSI1_AC_MOTOR</v>
      </c>
      <c r="H6964" s="63" t="str">
        <f>IFERROR(__xludf.DUMMYFUNCTION("VLOOKUP(F6964, IMPORTRANGE(""https://docs.google.com/spreadsheets/d/1Lhp9OU0JdFf_VYSMzH5lBcEaU4o8teT1piV-SNzShjg/edit?gid=554141278#gid=554141278"", ""'Char Def. - Attributes'!C20:C2242""), 1,false)"),"ALT_NUM_UOM5")</f>
        <v>ALT_NUM_UOM5</v>
      </c>
      <c r="I6964" s="136"/>
      <c r="R6964" s="63" t="str">
        <f t="shared" si="60"/>
        <v>ZSI1_AC_MOTORALT_NUM_UOM5</v>
      </c>
    </row>
    <row r="6965" ht="15.75" customHeight="1">
      <c r="B6965" s="63">
        <f t="shared" si="1"/>
        <v>13</v>
      </c>
      <c r="C6965" s="135" t="s">
        <v>510</v>
      </c>
      <c r="D6965" s="161" t="s">
        <v>74</v>
      </c>
      <c r="E6965" s="135">
        <f t="shared" si="59"/>
        <v>1</v>
      </c>
      <c r="F6965" s="134" t="s">
        <v>4060</v>
      </c>
      <c r="G6965" s="63" t="str">
        <f>VLOOKUP(C6965, 'Class Def. - General Data'!$C$20:$C$1000,1,false)</f>
        <v>ZSI1_ACTUATOR</v>
      </c>
      <c r="H6965" s="63" t="str">
        <f>IFERROR(__xludf.DUMMYFUNCTION("VLOOKUP(F6965, IMPORTRANGE(""https://docs.google.com/spreadsheets/d/1Lhp9OU0JdFf_VYSMzH5lBcEaU4o8teT1piV-SNzShjg/edit?gid=554141278#gid=554141278"", ""'Char Def. - Attributes'!C20:C2242""), 1,false)"),"ITEM_NAME_ACTUATOR")</f>
        <v>ITEM_NAME_ACTUATOR</v>
      </c>
      <c r="I6965" s="136"/>
      <c r="R6965" s="63" t="str">
        <f t="shared" si="60"/>
        <v>ZSI1_ACTUATORITEM_NAME_ACTUATOR</v>
      </c>
    </row>
    <row r="6966" ht="15.75" customHeight="1">
      <c r="B6966" s="63">
        <f t="shared" si="1"/>
        <v>13</v>
      </c>
      <c r="C6966" s="135" t="s">
        <v>510</v>
      </c>
      <c r="D6966" s="161" t="s">
        <v>74</v>
      </c>
      <c r="E6966" s="135">
        <f t="shared" si="59"/>
        <v>2</v>
      </c>
      <c r="F6966" s="134" t="s">
        <v>4061</v>
      </c>
      <c r="G6966" s="63" t="str">
        <f>VLOOKUP(C6966, 'Class Def. - General Data'!$C$20:$C$1000,1,false)</f>
        <v>ZSI1_ACTUATOR</v>
      </c>
      <c r="H6966" s="63" t="str">
        <f>IFERROR(__xludf.DUMMYFUNCTION("VLOOKUP(F6966, IMPORTRANGE(""https://docs.google.com/spreadsheets/d/1Lhp9OU0JdFf_VYSMzH5lBcEaU4o8teT1piV-SNzShjg/edit?gid=554141278#gid=554141278"", ""'Char Def. - Attributes'!C20:C2242""), 1,false)"),"MFR_NO_ACTUATOR")</f>
        <v>MFR_NO_ACTUATOR</v>
      </c>
      <c r="I6966" s="136"/>
      <c r="R6966" s="63" t="str">
        <f t="shared" si="60"/>
        <v>ZSI1_ACTUATORMFR_NO_ACTUATOR</v>
      </c>
    </row>
    <row r="6967" ht="15.75" customHeight="1">
      <c r="B6967" s="63">
        <f t="shared" si="1"/>
        <v>13</v>
      </c>
      <c r="C6967" s="135" t="s">
        <v>510</v>
      </c>
      <c r="D6967" s="161" t="s">
        <v>74</v>
      </c>
      <c r="E6967" s="135">
        <f t="shared" si="59"/>
        <v>3</v>
      </c>
      <c r="F6967" s="134" t="s">
        <v>3782</v>
      </c>
      <c r="G6967" s="63" t="str">
        <f>VLOOKUP(C6967, 'Class Def. - General Data'!$C$20:$C$1000,1,false)</f>
        <v>ZSI1_ACTUATOR</v>
      </c>
      <c r="H6967" s="63" t="str">
        <f>IFERROR(__xludf.DUMMYFUNCTION("VLOOKUP(F6967, IMPORTRANGE(""https://docs.google.com/spreadsheets/d/1Lhp9OU0JdFf_VYSMzH5lBcEaU4o8teT1piV-SNzShjg/edit?gid=554141278#gid=554141278"", ""'Char Def. - Attributes'!C20:C2242""), 1,false)"),"BRAND_EXTERNAL")</f>
        <v>BRAND_EXTERNAL</v>
      </c>
      <c r="I6967" s="136"/>
      <c r="R6967" s="63" t="str">
        <f t="shared" si="60"/>
        <v>ZSI1_ACTUATORBRAND_EXTERNAL</v>
      </c>
    </row>
    <row r="6968" ht="15.75" customHeight="1">
      <c r="B6968" s="63">
        <f t="shared" si="1"/>
        <v>13</v>
      </c>
      <c r="C6968" s="135" t="s">
        <v>510</v>
      </c>
      <c r="D6968" s="161" t="s">
        <v>74</v>
      </c>
      <c r="E6968" s="135">
        <f t="shared" si="59"/>
        <v>4</v>
      </c>
      <c r="F6968" s="134" t="s">
        <v>4062</v>
      </c>
      <c r="G6968" s="63" t="str">
        <f>VLOOKUP(C6968, 'Class Def. - General Data'!$C$20:$C$1000,1,false)</f>
        <v>ZSI1_ACTUATOR</v>
      </c>
      <c r="H6968" s="63" t="str">
        <f>IFERROR(__xludf.DUMMYFUNCTION("VLOOKUP(F6968, IMPORTRANGE(""https://docs.google.com/spreadsheets/d/1Lhp9OU0JdFf_VYSMzH5lBcEaU4o8teT1piV-SNzShjg/edit?gid=554141278#gid=554141278"", ""'Char Def. - Attributes'!C20:C2242""), 1,false)"),"#N/A")</f>
        <v>#N/A</v>
      </c>
      <c r="I6968" s="136"/>
      <c r="R6968" s="63" t="str">
        <f t="shared" si="60"/>
        <v>ZSI1_ACTUATORADDTIONAL_SPECIFICATION</v>
      </c>
    </row>
    <row r="6969" ht="15.75" customHeight="1">
      <c r="B6969" s="63">
        <f t="shared" si="1"/>
        <v>13</v>
      </c>
      <c r="C6969" s="135" t="s">
        <v>510</v>
      </c>
      <c r="D6969" s="161" t="s">
        <v>74</v>
      </c>
      <c r="E6969" s="135">
        <f t="shared" si="59"/>
        <v>5</v>
      </c>
      <c r="F6969" s="134" t="s">
        <v>4053</v>
      </c>
      <c r="G6969" s="63" t="str">
        <f>VLOOKUP(C6969, 'Class Def. - General Data'!$C$20:$C$1000,1,false)</f>
        <v>ZSI1_ACTUATOR</v>
      </c>
      <c r="H6969" s="63" t="str">
        <f>IFERROR(__xludf.DUMMYFUNCTION("VLOOKUP(F6969, IMPORTRANGE(""https://docs.google.com/spreadsheets/d/1Lhp9OU0JdFf_VYSMzH5lBcEaU4o8teT1piV-SNzShjg/edit?gid=554141278#gid=554141278"", ""'Char Def. - Attributes'!C20:C2242""), 1,false)"),"MAINTENANCE_ORDER_TYPE")</f>
        <v>MAINTENANCE_ORDER_TYPE</v>
      </c>
      <c r="I6969" s="136"/>
      <c r="R6969" s="63" t="str">
        <f t="shared" si="60"/>
        <v>ZSI1_ACTUATORMAINTENANCE_ORDER_TYPE</v>
      </c>
    </row>
    <row r="6970" ht="15.75" customHeight="1">
      <c r="B6970" s="63">
        <f t="shared" si="1"/>
        <v>13</v>
      </c>
      <c r="C6970" s="135" t="s">
        <v>510</v>
      </c>
      <c r="D6970" s="161" t="s">
        <v>74</v>
      </c>
      <c r="E6970" s="135">
        <f t="shared" si="59"/>
        <v>6</v>
      </c>
      <c r="F6970" s="134" t="s">
        <v>3585</v>
      </c>
      <c r="G6970" s="63" t="str">
        <f>VLOOKUP(C6970, 'Class Def. - General Data'!$C$20:$C$1000,1,false)</f>
        <v>ZSI1_ACTUATOR</v>
      </c>
      <c r="H6970" s="63" t="str">
        <f>IFERROR(__xludf.DUMMYFUNCTION("VLOOKUP(F6970, IMPORTRANGE(""https://docs.google.com/spreadsheets/d/1Lhp9OU0JdFf_VYSMzH5lBcEaU4o8teT1piV-SNzShjg/edit?gid=554141278#gid=554141278"", ""'Char Def. - Attributes'!C20:C2242""), 1,false)"),"HS_CODE")</f>
        <v>HS_CODE</v>
      </c>
      <c r="I6970" s="136"/>
      <c r="R6970" s="63" t="str">
        <f t="shared" si="60"/>
        <v>ZSI1_ACTUATORHS_CODE</v>
      </c>
    </row>
    <row r="6971" ht="15.75" customHeight="1">
      <c r="B6971" s="63">
        <f t="shared" si="1"/>
        <v>13</v>
      </c>
      <c r="C6971" s="135" t="s">
        <v>510</v>
      </c>
      <c r="D6971" s="161" t="s">
        <v>74</v>
      </c>
      <c r="E6971" s="135">
        <f t="shared" si="59"/>
        <v>7</v>
      </c>
      <c r="F6971" s="134" t="s">
        <v>3587</v>
      </c>
      <c r="G6971" s="63" t="str">
        <f>VLOOKUP(C6971, 'Class Def. - General Data'!$C$20:$C$1000,1,false)</f>
        <v>ZSI1_ACTUATOR</v>
      </c>
      <c r="H6971" s="63" t="str">
        <f>IFERROR(__xludf.DUMMYFUNCTION("VLOOKUP(F6971, IMPORTRANGE(""https://docs.google.com/spreadsheets/d/1Lhp9OU0JdFf_VYSMzH5lBcEaU4o8teT1piV-SNzShjg/edit?gid=554141278#gid=554141278"", ""'Char Def. - Attributes'!C20:C2242""), 1,false)"),"PLANT_BUY")</f>
        <v>PLANT_BUY</v>
      </c>
      <c r="I6971" s="136"/>
      <c r="R6971" s="63" t="str">
        <f t="shared" si="60"/>
        <v>ZSI1_ACTUATORPLANT_BUY</v>
      </c>
    </row>
    <row r="6972" ht="15.75" customHeight="1">
      <c r="B6972" s="63">
        <f t="shared" si="1"/>
        <v>13</v>
      </c>
      <c r="C6972" s="135" t="s">
        <v>510</v>
      </c>
      <c r="D6972" s="161" t="s">
        <v>74</v>
      </c>
      <c r="E6972" s="135">
        <f t="shared" si="59"/>
        <v>8</v>
      </c>
      <c r="F6972" s="134" t="s">
        <v>4063</v>
      </c>
      <c r="G6972" s="63" t="str">
        <f>VLOOKUP(C6972, 'Class Def. - General Data'!$C$20:$C$1000,1,false)</f>
        <v>ZSI1_ACTUATOR</v>
      </c>
      <c r="H6972" s="63" t="str">
        <f>IFERROR(__xludf.DUMMYFUNCTION("VLOOKUP(F6972, IMPORTRANGE(""https://docs.google.com/spreadsheets/d/1Lhp9OU0JdFf_VYSMzH5lBcEaU4o8teT1piV-SNzShjg/edit?gid=554141278#gid=554141278"", ""'Char Def. - Attributes'!C20:C2242""), 1,false)"),"BASE_UOM_ACTUATOR")</f>
        <v>BASE_UOM_ACTUATOR</v>
      </c>
      <c r="I6972" s="136"/>
      <c r="R6972" s="63" t="str">
        <f t="shared" si="60"/>
        <v>ZSI1_ACTUATORBASE_UOM_ACTUATOR</v>
      </c>
    </row>
    <row r="6973" ht="15.75" customHeight="1">
      <c r="B6973" s="63">
        <f t="shared" si="1"/>
        <v>13</v>
      </c>
      <c r="C6973" s="135" t="s">
        <v>510</v>
      </c>
      <c r="D6973" s="161" t="s">
        <v>74</v>
      </c>
      <c r="E6973" s="135">
        <f t="shared" si="59"/>
        <v>9</v>
      </c>
      <c r="F6973" s="134" t="s">
        <v>4064</v>
      </c>
      <c r="G6973" s="63" t="str">
        <f>VLOOKUP(C6973, 'Class Def. - General Data'!$C$20:$C$1000,1,false)</f>
        <v>ZSI1_ACTUATOR</v>
      </c>
      <c r="H6973" s="63" t="str">
        <f>IFERROR(__xludf.DUMMYFUNCTION("VLOOKUP(F6973, IMPORTRANGE(""https://docs.google.com/spreadsheets/d/1Lhp9OU0JdFf_VYSMzH5lBcEaU4o8teT1piV-SNzShjg/edit?gid=554141278#gid=554141278"", ""'Char Def. - Attributes'!C20:C2242""), 1,false)"),"ORDER_UNIT_ACTUATOR")</f>
        <v>ORDER_UNIT_ACTUATOR</v>
      </c>
      <c r="I6973" s="136"/>
      <c r="R6973" s="63" t="str">
        <f t="shared" si="60"/>
        <v>ZSI1_ACTUATORORDER_UNIT_ACTUATOR</v>
      </c>
    </row>
    <row r="6974" ht="15.75" customHeight="1">
      <c r="B6974" s="63">
        <f t="shared" si="1"/>
        <v>13</v>
      </c>
      <c r="C6974" s="135" t="s">
        <v>510</v>
      </c>
      <c r="D6974" s="161" t="s">
        <v>74</v>
      </c>
      <c r="E6974" s="135">
        <f t="shared" si="59"/>
        <v>10</v>
      </c>
      <c r="F6974" s="134" t="s">
        <v>4056</v>
      </c>
      <c r="G6974" s="63" t="str">
        <f>VLOOKUP(C6974, 'Class Def. - General Data'!$C$20:$C$1000,1,false)</f>
        <v>ZSI1_ACTUATOR</v>
      </c>
      <c r="H6974" s="63" t="str">
        <f>IFERROR(__xludf.DUMMYFUNCTION("VLOOKUP(F6974, IMPORTRANGE(""https://docs.google.com/spreadsheets/d/1Lhp9OU0JdFf_VYSMzH5lBcEaU4o8teT1piV-SNzShjg/edit?gid=554141278#gid=554141278"", ""'Char Def. - Attributes'!C20:C2242""), 1,false)"),"GROSS_WEIGHT_OPT")</f>
        <v>GROSS_WEIGHT_OPT</v>
      </c>
      <c r="I6974" s="136"/>
      <c r="R6974" s="63" t="str">
        <f t="shared" si="60"/>
        <v>ZSI1_ACTUATORGROSS_WEIGHT_OPT</v>
      </c>
    </row>
    <row r="6975" ht="15.75" customHeight="1">
      <c r="B6975" s="63">
        <f t="shared" si="1"/>
        <v>13</v>
      </c>
      <c r="C6975" s="135" t="s">
        <v>510</v>
      </c>
      <c r="D6975" s="161" t="s">
        <v>74</v>
      </c>
      <c r="E6975" s="135">
        <f t="shared" si="59"/>
        <v>11</v>
      </c>
      <c r="F6975" s="134" t="s">
        <v>4057</v>
      </c>
      <c r="G6975" s="63" t="str">
        <f>VLOOKUP(C6975, 'Class Def. - General Data'!$C$20:$C$1000,1,false)</f>
        <v>ZSI1_ACTUATOR</v>
      </c>
      <c r="H6975" s="63" t="str">
        <f>IFERROR(__xludf.DUMMYFUNCTION("VLOOKUP(F6975, IMPORTRANGE(""https://docs.google.com/spreadsheets/d/1Lhp9OU0JdFf_VYSMzH5lBcEaU4o8teT1piV-SNzShjg/edit?gid=554141278#gid=554141278"", ""'Char Def. - Attributes'!C20:C2242""), 1,false)"),"NET_WEIGHT_OPT")</f>
        <v>NET_WEIGHT_OPT</v>
      </c>
      <c r="I6975" s="136"/>
      <c r="R6975" s="63" t="str">
        <f t="shared" si="60"/>
        <v>ZSI1_ACTUATORNET_WEIGHT_OPT</v>
      </c>
    </row>
    <row r="6976" ht="15.75" customHeight="1">
      <c r="B6976" s="63">
        <f t="shared" si="1"/>
        <v>13</v>
      </c>
      <c r="C6976" s="135" t="s">
        <v>510</v>
      </c>
      <c r="D6976" s="161" t="s">
        <v>74</v>
      </c>
      <c r="E6976" s="135">
        <f t="shared" si="59"/>
        <v>12</v>
      </c>
      <c r="F6976" s="134" t="s">
        <v>4058</v>
      </c>
      <c r="G6976" s="63" t="str">
        <f>VLOOKUP(C6976, 'Class Def. - General Data'!$C$20:$C$1000,1,false)</f>
        <v>ZSI1_ACTUATOR</v>
      </c>
      <c r="H6976" s="63" t="str">
        <f>IFERROR(__xludf.DUMMYFUNCTION("VLOOKUP(F6976, IMPORTRANGE(""https://docs.google.com/spreadsheets/d/1Lhp9OU0JdFf_VYSMzH5lBcEaU4o8teT1piV-SNzShjg/edit?gid=554141278#gid=554141278"", ""'Char Def. - Attributes'!C20:C2242""), 1,false)"),"WEIGHT_UNIT_SI")</f>
        <v>WEIGHT_UNIT_SI</v>
      </c>
      <c r="I6976" s="136"/>
      <c r="R6976" s="63" t="str">
        <f t="shared" si="60"/>
        <v>ZSI1_ACTUATORWEIGHT_UNIT_SI</v>
      </c>
    </row>
    <row r="6977" ht="15.75" customHeight="1">
      <c r="B6977" s="63">
        <f t="shared" si="1"/>
        <v>13</v>
      </c>
      <c r="C6977" s="135" t="s">
        <v>510</v>
      </c>
      <c r="D6977" s="161" t="s">
        <v>74</v>
      </c>
      <c r="E6977" s="135">
        <f t="shared" si="59"/>
        <v>13</v>
      </c>
      <c r="F6977" s="134" t="s">
        <v>3877</v>
      </c>
      <c r="G6977" s="63" t="str">
        <f>VLOOKUP(C6977, 'Class Def. - General Data'!$C$20:$C$1000,1,false)</f>
        <v>ZSI1_ACTUATOR</v>
      </c>
      <c r="H6977" s="63" t="str">
        <f>IFERROR(__xludf.DUMMYFUNCTION("VLOOKUP(F6977, IMPORTRANGE(""https://docs.google.com/spreadsheets/d/1Lhp9OU0JdFf_VYSMzH5lBcEaU4o8teT1piV-SNzShjg/edit?gid=554141278#gid=554141278"", ""'Char Def. - Attributes'!C20:C2242""), 1,false)"),"VOLUME_OPT")</f>
        <v>VOLUME_OPT</v>
      </c>
      <c r="I6977" s="136"/>
      <c r="R6977" s="63" t="str">
        <f t="shared" si="60"/>
        <v>ZSI1_ACTUATORVOLUME_OPT</v>
      </c>
    </row>
    <row r="6978" ht="15.75" customHeight="1">
      <c r="B6978" s="63">
        <f t="shared" si="1"/>
        <v>13</v>
      </c>
      <c r="C6978" s="135" t="s">
        <v>510</v>
      </c>
      <c r="D6978" s="161" t="s">
        <v>74</v>
      </c>
      <c r="E6978" s="135">
        <f t="shared" si="59"/>
        <v>14</v>
      </c>
      <c r="F6978" s="134" t="s">
        <v>4059</v>
      </c>
      <c r="G6978" s="63" t="str">
        <f>VLOOKUP(C6978, 'Class Def. - General Data'!$C$20:$C$1000,1,false)</f>
        <v>ZSI1_ACTUATOR</v>
      </c>
      <c r="H6978" s="63" t="str">
        <f>IFERROR(__xludf.DUMMYFUNCTION("VLOOKUP(F6978, IMPORTRANGE(""https://docs.google.com/spreadsheets/d/1Lhp9OU0JdFf_VYSMzH5lBcEaU4o8teT1piV-SNzShjg/edit?gid=554141278#gid=554141278"", ""'Char Def. - Attributes'!C20:C2242""), 1,false)"),"VOLUME_UNIT_SI")</f>
        <v>VOLUME_UNIT_SI</v>
      </c>
      <c r="I6978" s="136"/>
      <c r="R6978" s="63" t="str">
        <f t="shared" si="60"/>
        <v>ZSI1_ACTUATORVOLUME_UNIT_SI</v>
      </c>
    </row>
    <row r="6979" ht="15.75" customHeight="1">
      <c r="B6979" s="63">
        <f t="shared" si="1"/>
        <v>13</v>
      </c>
      <c r="C6979" s="135" t="s">
        <v>510</v>
      </c>
      <c r="D6979" s="161" t="s">
        <v>74</v>
      </c>
      <c r="E6979" s="135">
        <f t="shared" si="59"/>
        <v>15</v>
      </c>
      <c r="F6979" s="134" t="s">
        <v>3804</v>
      </c>
      <c r="G6979" s="63" t="str">
        <f>VLOOKUP(C6979, 'Class Def. - General Data'!$C$20:$C$1000,1,false)</f>
        <v>ZSI1_ACTUATOR</v>
      </c>
      <c r="H6979" s="63" t="str">
        <f>IFERROR(__xludf.DUMMYFUNCTION("VLOOKUP(F6979, IMPORTRANGE(""https://docs.google.com/spreadsheets/d/1Lhp9OU0JdFf_VYSMzH5lBcEaU4o8teT1piV-SNzShjg/edit?gid=554141278#gid=554141278"", ""'Char Def. - Attributes'!C20:C2242""), 1,false)"),"ALT_UOM1_SIPI")</f>
        <v>ALT_UOM1_SIPI</v>
      </c>
      <c r="I6979" s="136"/>
      <c r="R6979" s="63" t="str">
        <f t="shared" si="60"/>
        <v>ZSI1_ACTUATORALT_UOM1_SIPI</v>
      </c>
    </row>
    <row r="6980" ht="15.75" customHeight="1">
      <c r="B6980" s="63">
        <f t="shared" si="1"/>
        <v>13</v>
      </c>
      <c r="C6980" s="135" t="s">
        <v>510</v>
      </c>
      <c r="D6980" s="161" t="s">
        <v>74</v>
      </c>
      <c r="E6980" s="135">
        <f t="shared" si="59"/>
        <v>16</v>
      </c>
      <c r="F6980" s="134" t="s">
        <v>3805</v>
      </c>
      <c r="G6980" s="63" t="str">
        <f>VLOOKUP(C6980, 'Class Def. - General Data'!$C$20:$C$1000,1,false)</f>
        <v>ZSI1_ACTUATOR</v>
      </c>
      <c r="H6980" s="63" t="str">
        <f>IFERROR(__xludf.DUMMYFUNCTION("VLOOKUP(F6980, IMPORTRANGE(""https://docs.google.com/spreadsheets/d/1Lhp9OU0JdFf_VYSMzH5lBcEaU4o8teT1piV-SNzShjg/edit?gid=554141278#gid=554141278"", ""'Char Def. - Attributes'!C20:C2242""), 1,false)"),"ALT_DENUM_UOM1")</f>
        <v>ALT_DENUM_UOM1</v>
      </c>
      <c r="I6980" s="136"/>
      <c r="R6980" s="63" t="str">
        <f t="shared" si="60"/>
        <v>ZSI1_ACTUATORALT_DENUM_UOM1</v>
      </c>
    </row>
    <row r="6981" ht="15.75" customHeight="1">
      <c r="B6981" s="63">
        <f t="shared" si="1"/>
        <v>13</v>
      </c>
      <c r="C6981" s="135" t="s">
        <v>510</v>
      </c>
      <c r="D6981" s="161" t="s">
        <v>74</v>
      </c>
      <c r="E6981" s="135">
        <f t="shared" si="59"/>
        <v>17</v>
      </c>
      <c r="F6981" s="134" t="s">
        <v>3806</v>
      </c>
      <c r="G6981" s="63" t="str">
        <f>VLOOKUP(C6981, 'Class Def. - General Data'!$C$20:$C$1000,1,false)</f>
        <v>ZSI1_ACTUATOR</v>
      </c>
      <c r="H6981" s="63" t="str">
        <f>IFERROR(__xludf.DUMMYFUNCTION("VLOOKUP(F6981, IMPORTRANGE(""https://docs.google.com/spreadsheets/d/1Lhp9OU0JdFf_VYSMzH5lBcEaU4o8teT1piV-SNzShjg/edit?gid=554141278#gid=554141278"", ""'Char Def. - Attributes'!C20:C2242""), 1,false)"),"ALT_NUM_UOM1")</f>
        <v>ALT_NUM_UOM1</v>
      </c>
      <c r="I6981" s="136"/>
      <c r="R6981" s="63" t="str">
        <f t="shared" si="60"/>
        <v>ZSI1_ACTUATORALT_NUM_UOM1</v>
      </c>
    </row>
    <row r="6982" ht="15.75" customHeight="1">
      <c r="B6982" s="63">
        <f t="shared" si="1"/>
        <v>13</v>
      </c>
      <c r="C6982" s="135" t="s">
        <v>510</v>
      </c>
      <c r="D6982" s="161" t="s">
        <v>74</v>
      </c>
      <c r="E6982" s="135">
        <f t="shared" si="59"/>
        <v>18</v>
      </c>
      <c r="F6982" s="134" t="s">
        <v>3807</v>
      </c>
      <c r="G6982" s="63" t="str">
        <f>VLOOKUP(C6982, 'Class Def. - General Data'!$C$20:$C$1000,1,false)</f>
        <v>ZSI1_ACTUATOR</v>
      </c>
      <c r="H6982" s="63" t="str">
        <f>IFERROR(__xludf.DUMMYFUNCTION("VLOOKUP(F6982, IMPORTRANGE(""https://docs.google.com/spreadsheets/d/1Lhp9OU0JdFf_VYSMzH5lBcEaU4o8teT1piV-SNzShjg/edit?gid=554141278#gid=554141278"", ""'Char Def. - Attributes'!C20:C2242""), 1,false)"),"ALT_UOM2_SIPI")</f>
        <v>ALT_UOM2_SIPI</v>
      </c>
      <c r="I6982" s="136"/>
      <c r="R6982" s="63" t="str">
        <f t="shared" si="60"/>
        <v>ZSI1_ACTUATORALT_UOM2_SIPI</v>
      </c>
    </row>
    <row r="6983" ht="15.75" customHeight="1">
      <c r="B6983" s="63">
        <f t="shared" si="1"/>
        <v>13</v>
      </c>
      <c r="C6983" s="135" t="s">
        <v>510</v>
      </c>
      <c r="D6983" s="161" t="s">
        <v>74</v>
      </c>
      <c r="E6983" s="135">
        <f t="shared" si="59"/>
        <v>19</v>
      </c>
      <c r="F6983" s="134" t="s">
        <v>3808</v>
      </c>
      <c r="G6983" s="63" t="str">
        <f>VLOOKUP(C6983, 'Class Def. - General Data'!$C$20:$C$1000,1,false)</f>
        <v>ZSI1_ACTUATOR</v>
      </c>
      <c r="H6983" s="63" t="str">
        <f>IFERROR(__xludf.DUMMYFUNCTION("VLOOKUP(F6983, IMPORTRANGE(""https://docs.google.com/spreadsheets/d/1Lhp9OU0JdFf_VYSMzH5lBcEaU4o8teT1piV-SNzShjg/edit?gid=554141278#gid=554141278"", ""'Char Def. - Attributes'!C20:C2242""), 1,false)"),"ALT_DENUM_UOM2")</f>
        <v>ALT_DENUM_UOM2</v>
      </c>
      <c r="I6983" s="136"/>
      <c r="R6983" s="63" t="str">
        <f t="shared" si="60"/>
        <v>ZSI1_ACTUATORALT_DENUM_UOM2</v>
      </c>
    </row>
    <row r="6984" ht="15.75" customHeight="1">
      <c r="B6984" s="63">
        <f t="shared" si="1"/>
        <v>13</v>
      </c>
      <c r="C6984" s="135" t="s">
        <v>510</v>
      </c>
      <c r="D6984" s="161" t="s">
        <v>74</v>
      </c>
      <c r="E6984" s="135">
        <f t="shared" si="59"/>
        <v>20</v>
      </c>
      <c r="F6984" s="134" t="s">
        <v>3809</v>
      </c>
      <c r="G6984" s="63" t="str">
        <f>VLOOKUP(C6984, 'Class Def. - General Data'!$C$20:$C$1000,1,false)</f>
        <v>ZSI1_ACTUATOR</v>
      </c>
      <c r="H6984" s="63" t="str">
        <f>IFERROR(__xludf.DUMMYFUNCTION("VLOOKUP(F6984, IMPORTRANGE(""https://docs.google.com/spreadsheets/d/1Lhp9OU0JdFf_VYSMzH5lBcEaU4o8teT1piV-SNzShjg/edit?gid=554141278#gid=554141278"", ""'Char Def. - Attributes'!C20:C2242""), 1,false)"),"ALT_NUM_UOM2")</f>
        <v>ALT_NUM_UOM2</v>
      </c>
      <c r="I6984" s="136"/>
      <c r="R6984" s="63" t="str">
        <f t="shared" si="60"/>
        <v>ZSI1_ACTUATORALT_NUM_UOM2</v>
      </c>
    </row>
    <row r="6985" ht="15.75" customHeight="1">
      <c r="B6985" s="63">
        <f t="shared" si="1"/>
        <v>13</v>
      </c>
      <c r="C6985" s="135" t="s">
        <v>510</v>
      </c>
      <c r="D6985" s="161" t="s">
        <v>74</v>
      </c>
      <c r="E6985" s="135">
        <f t="shared" si="59"/>
        <v>21</v>
      </c>
      <c r="F6985" s="134" t="s">
        <v>3810</v>
      </c>
      <c r="G6985" s="63" t="str">
        <f>VLOOKUP(C6985, 'Class Def. - General Data'!$C$20:$C$1000,1,false)</f>
        <v>ZSI1_ACTUATOR</v>
      </c>
      <c r="H6985" s="63" t="str">
        <f>IFERROR(__xludf.DUMMYFUNCTION("VLOOKUP(F6985, IMPORTRANGE(""https://docs.google.com/spreadsheets/d/1Lhp9OU0JdFf_VYSMzH5lBcEaU4o8teT1piV-SNzShjg/edit?gid=554141278#gid=554141278"", ""'Char Def. - Attributes'!C20:C2242""), 1,false)"),"ALT_UOM3_SIPI")</f>
        <v>ALT_UOM3_SIPI</v>
      </c>
      <c r="I6985" s="136"/>
      <c r="R6985" s="63" t="str">
        <f t="shared" si="60"/>
        <v>ZSI1_ACTUATORALT_UOM3_SIPI</v>
      </c>
    </row>
    <row r="6986" ht="15.75" customHeight="1">
      <c r="B6986" s="63">
        <f t="shared" si="1"/>
        <v>13</v>
      </c>
      <c r="C6986" s="135" t="s">
        <v>510</v>
      </c>
      <c r="D6986" s="161" t="s">
        <v>74</v>
      </c>
      <c r="E6986" s="135">
        <f t="shared" si="59"/>
        <v>22</v>
      </c>
      <c r="F6986" s="134" t="s">
        <v>3811</v>
      </c>
      <c r="G6986" s="63" t="str">
        <f>VLOOKUP(C6986, 'Class Def. - General Data'!$C$20:$C$1000,1,false)</f>
        <v>ZSI1_ACTUATOR</v>
      </c>
      <c r="H6986" s="63" t="str">
        <f>IFERROR(__xludf.DUMMYFUNCTION("VLOOKUP(F6986, IMPORTRANGE(""https://docs.google.com/spreadsheets/d/1Lhp9OU0JdFf_VYSMzH5lBcEaU4o8teT1piV-SNzShjg/edit?gid=554141278#gid=554141278"", ""'Char Def. - Attributes'!C20:C2242""), 1,false)"),"ALT_DENUM_UOM3")</f>
        <v>ALT_DENUM_UOM3</v>
      </c>
      <c r="I6986" s="136"/>
      <c r="R6986" s="63" t="str">
        <f t="shared" si="60"/>
        <v>ZSI1_ACTUATORALT_DENUM_UOM3</v>
      </c>
    </row>
    <row r="6987" ht="15.75" customHeight="1">
      <c r="B6987" s="63">
        <f t="shared" si="1"/>
        <v>13</v>
      </c>
      <c r="C6987" s="135" t="s">
        <v>510</v>
      </c>
      <c r="D6987" s="161" t="s">
        <v>74</v>
      </c>
      <c r="E6987" s="135">
        <f t="shared" si="59"/>
        <v>23</v>
      </c>
      <c r="F6987" s="134" t="s">
        <v>3812</v>
      </c>
      <c r="G6987" s="63" t="str">
        <f>VLOOKUP(C6987, 'Class Def. - General Data'!$C$20:$C$1000,1,false)</f>
        <v>ZSI1_ACTUATOR</v>
      </c>
      <c r="H6987" s="63" t="str">
        <f>IFERROR(__xludf.DUMMYFUNCTION("VLOOKUP(F6987, IMPORTRANGE(""https://docs.google.com/spreadsheets/d/1Lhp9OU0JdFf_VYSMzH5lBcEaU4o8teT1piV-SNzShjg/edit?gid=554141278#gid=554141278"", ""'Char Def. - Attributes'!C20:C2242""), 1,false)"),"ALT_NUM_UOM3")</f>
        <v>ALT_NUM_UOM3</v>
      </c>
      <c r="I6987" s="136"/>
      <c r="R6987" s="63" t="str">
        <f t="shared" si="60"/>
        <v>ZSI1_ACTUATORALT_NUM_UOM3</v>
      </c>
    </row>
    <row r="6988" ht="15.75" customHeight="1">
      <c r="B6988" s="63">
        <f t="shared" si="1"/>
        <v>13</v>
      </c>
      <c r="C6988" s="135" t="s">
        <v>510</v>
      </c>
      <c r="D6988" s="161" t="s">
        <v>74</v>
      </c>
      <c r="E6988" s="135">
        <f t="shared" si="59"/>
        <v>24</v>
      </c>
      <c r="F6988" s="134" t="s">
        <v>3813</v>
      </c>
      <c r="G6988" s="63" t="str">
        <f>VLOOKUP(C6988, 'Class Def. - General Data'!$C$20:$C$1000,1,false)</f>
        <v>ZSI1_ACTUATOR</v>
      </c>
      <c r="H6988" s="63" t="str">
        <f>IFERROR(__xludf.DUMMYFUNCTION("VLOOKUP(F6988, IMPORTRANGE(""https://docs.google.com/spreadsheets/d/1Lhp9OU0JdFf_VYSMzH5lBcEaU4o8teT1piV-SNzShjg/edit?gid=554141278#gid=554141278"", ""'Char Def. - Attributes'!C20:C2242""), 1,false)"),"ALT_UOM4_SIPI")</f>
        <v>ALT_UOM4_SIPI</v>
      </c>
      <c r="I6988" s="136"/>
      <c r="R6988" s="63" t="str">
        <f t="shared" si="60"/>
        <v>ZSI1_ACTUATORALT_UOM4_SIPI</v>
      </c>
    </row>
    <row r="6989" ht="15.75" customHeight="1">
      <c r="B6989" s="63">
        <f t="shared" si="1"/>
        <v>13</v>
      </c>
      <c r="C6989" s="135" t="s">
        <v>510</v>
      </c>
      <c r="D6989" s="161" t="s">
        <v>74</v>
      </c>
      <c r="E6989" s="135">
        <f t="shared" si="59"/>
        <v>25</v>
      </c>
      <c r="F6989" s="134" t="s">
        <v>3814</v>
      </c>
      <c r="G6989" s="63" t="str">
        <f>VLOOKUP(C6989, 'Class Def. - General Data'!$C$20:$C$1000,1,false)</f>
        <v>ZSI1_ACTUATOR</v>
      </c>
      <c r="H6989" s="63" t="str">
        <f>IFERROR(__xludf.DUMMYFUNCTION("VLOOKUP(F6989, IMPORTRANGE(""https://docs.google.com/spreadsheets/d/1Lhp9OU0JdFf_VYSMzH5lBcEaU4o8teT1piV-SNzShjg/edit?gid=554141278#gid=554141278"", ""'Char Def. - Attributes'!C20:C2242""), 1,false)"),"ALT_DENUM_UOM4")</f>
        <v>ALT_DENUM_UOM4</v>
      </c>
      <c r="I6989" s="136"/>
      <c r="R6989" s="63" t="str">
        <f t="shared" si="60"/>
        <v>ZSI1_ACTUATORALT_DENUM_UOM4</v>
      </c>
    </row>
    <row r="6990" ht="15.75" customHeight="1">
      <c r="B6990" s="63">
        <f t="shared" si="1"/>
        <v>13</v>
      </c>
      <c r="C6990" s="135" t="s">
        <v>510</v>
      </c>
      <c r="D6990" s="161" t="s">
        <v>74</v>
      </c>
      <c r="E6990" s="135">
        <f t="shared" si="59"/>
        <v>26</v>
      </c>
      <c r="F6990" s="134" t="s">
        <v>3815</v>
      </c>
      <c r="G6990" s="63" t="str">
        <f>VLOOKUP(C6990, 'Class Def. - General Data'!$C$20:$C$1000,1,false)</f>
        <v>ZSI1_ACTUATOR</v>
      </c>
      <c r="H6990" s="63" t="str">
        <f>IFERROR(__xludf.DUMMYFUNCTION("VLOOKUP(F6990, IMPORTRANGE(""https://docs.google.com/spreadsheets/d/1Lhp9OU0JdFf_VYSMzH5lBcEaU4o8teT1piV-SNzShjg/edit?gid=554141278#gid=554141278"", ""'Char Def. - Attributes'!C20:C2242""), 1,false)"),"ALT_NUM_UOM4")</f>
        <v>ALT_NUM_UOM4</v>
      </c>
      <c r="I6990" s="136"/>
      <c r="R6990" s="63" t="str">
        <f t="shared" si="60"/>
        <v>ZSI1_ACTUATORALT_NUM_UOM4</v>
      </c>
    </row>
    <row r="6991" ht="15.75" customHeight="1">
      <c r="B6991" s="63">
        <f t="shared" si="1"/>
        <v>13</v>
      </c>
      <c r="C6991" s="135" t="s">
        <v>510</v>
      </c>
      <c r="D6991" s="161" t="s">
        <v>74</v>
      </c>
      <c r="E6991" s="135">
        <f t="shared" si="59"/>
        <v>27</v>
      </c>
      <c r="F6991" s="134" t="s">
        <v>3816</v>
      </c>
      <c r="G6991" s="63" t="str">
        <f>VLOOKUP(C6991, 'Class Def. - General Data'!$C$20:$C$1000,1,false)</f>
        <v>ZSI1_ACTUATOR</v>
      </c>
      <c r="H6991" s="63" t="str">
        <f>IFERROR(__xludf.DUMMYFUNCTION("VLOOKUP(F6991, IMPORTRANGE(""https://docs.google.com/spreadsheets/d/1Lhp9OU0JdFf_VYSMzH5lBcEaU4o8teT1piV-SNzShjg/edit?gid=554141278#gid=554141278"", ""'Char Def. - Attributes'!C20:C2242""), 1,false)"),"ALT_UOM5_SIPI")</f>
        <v>ALT_UOM5_SIPI</v>
      </c>
      <c r="I6991" s="136"/>
      <c r="R6991" s="63" t="str">
        <f t="shared" si="60"/>
        <v>ZSI1_ACTUATORALT_UOM5_SIPI</v>
      </c>
    </row>
    <row r="6992" ht="15.75" customHeight="1">
      <c r="B6992" s="63">
        <f t="shared" si="1"/>
        <v>13</v>
      </c>
      <c r="C6992" s="135" t="s">
        <v>510</v>
      </c>
      <c r="D6992" s="161" t="s">
        <v>74</v>
      </c>
      <c r="E6992" s="135">
        <f t="shared" si="59"/>
        <v>28</v>
      </c>
      <c r="F6992" s="134" t="s">
        <v>3817</v>
      </c>
      <c r="G6992" s="63" t="str">
        <f>VLOOKUP(C6992, 'Class Def. - General Data'!$C$20:$C$1000,1,false)</f>
        <v>ZSI1_ACTUATOR</v>
      </c>
      <c r="H6992" s="63" t="str">
        <f>IFERROR(__xludf.DUMMYFUNCTION("VLOOKUP(F6992, IMPORTRANGE(""https://docs.google.com/spreadsheets/d/1Lhp9OU0JdFf_VYSMzH5lBcEaU4o8teT1piV-SNzShjg/edit?gid=554141278#gid=554141278"", ""'Char Def. - Attributes'!C20:C2242""), 1,false)"),"ALT_DENUM_UOM5")</f>
        <v>ALT_DENUM_UOM5</v>
      </c>
      <c r="I6992" s="136"/>
      <c r="R6992" s="63" t="str">
        <f t="shared" si="60"/>
        <v>ZSI1_ACTUATORALT_DENUM_UOM5</v>
      </c>
    </row>
    <row r="6993" ht="15.75" customHeight="1">
      <c r="B6993" s="63">
        <f t="shared" si="1"/>
        <v>13</v>
      </c>
      <c r="C6993" s="135" t="s">
        <v>510</v>
      </c>
      <c r="D6993" s="161" t="s">
        <v>74</v>
      </c>
      <c r="E6993" s="135">
        <f t="shared" si="59"/>
        <v>29</v>
      </c>
      <c r="F6993" s="134" t="s">
        <v>3818</v>
      </c>
      <c r="G6993" s="63" t="str">
        <f>VLOOKUP(C6993, 'Class Def. - General Data'!$C$20:$C$1000,1,false)</f>
        <v>ZSI1_ACTUATOR</v>
      </c>
      <c r="H6993" s="63" t="str">
        <f>IFERROR(__xludf.DUMMYFUNCTION("VLOOKUP(F6993, IMPORTRANGE(""https://docs.google.com/spreadsheets/d/1Lhp9OU0JdFf_VYSMzH5lBcEaU4o8teT1piV-SNzShjg/edit?gid=554141278#gid=554141278"", ""'Char Def. - Attributes'!C20:C2242""), 1,false)"),"ALT_NUM_UOM5")</f>
        <v>ALT_NUM_UOM5</v>
      </c>
      <c r="I6993" s="136"/>
      <c r="R6993" s="63" t="str">
        <f t="shared" si="60"/>
        <v>ZSI1_ACTUATORALT_NUM_UOM5</v>
      </c>
    </row>
    <row r="6994" ht="15.75" customHeight="1">
      <c r="B6994" s="63">
        <f t="shared" si="1"/>
        <v>17</v>
      </c>
      <c r="C6994" s="135" t="s">
        <v>350</v>
      </c>
      <c r="D6994" s="161" t="s">
        <v>74</v>
      </c>
      <c r="E6994" s="135">
        <f t="shared" si="59"/>
        <v>1</v>
      </c>
      <c r="F6994" s="134" t="s">
        <v>4065</v>
      </c>
      <c r="G6994" s="63" t="str">
        <f>VLOOKUP(C6994, 'Class Def. - General Data'!$C$20:$C$1000,1,false)</f>
        <v>ZSI1_ADHESIVE_LEM</v>
      </c>
      <c r="H6994" s="63" t="str">
        <f>IFERROR(__xludf.DUMMYFUNCTION("VLOOKUP(F6994, IMPORTRANGE(""https://docs.google.com/spreadsheets/d/1Lhp9OU0JdFf_VYSMzH5lBcEaU4o8teT1piV-SNzShjg/edit?gid=554141278#gid=554141278"", ""'Char Def. - Attributes'!C20:C2242""), 1,false)"),"ITEM_NAME_ADHESIVE_LEM")</f>
        <v>ITEM_NAME_ADHESIVE_LEM</v>
      </c>
      <c r="I6994" s="136"/>
      <c r="R6994" s="63" t="str">
        <f t="shared" si="60"/>
        <v>ZSI1_ADHESIVE_LEMITEM_NAME_ADHESIVE_LEM</v>
      </c>
    </row>
    <row r="6995" ht="15.75" customHeight="1">
      <c r="B6995" s="63">
        <f t="shared" si="1"/>
        <v>17</v>
      </c>
      <c r="C6995" s="135" t="s">
        <v>350</v>
      </c>
      <c r="D6995" s="161" t="s">
        <v>74</v>
      </c>
      <c r="E6995" s="135">
        <f t="shared" si="59"/>
        <v>2</v>
      </c>
      <c r="F6995" s="134" t="s">
        <v>4066</v>
      </c>
      <c r="G6995" s="63" t="str">
        <f>VLOOKUP(C6995, 'Class Def. - General Data'!$C$20:$C$1000,1,false)</f>
        <v>ZSI1_ADHESIVE_LEM</v>
      </c>
      <c r="H6995" s="63" t="str">
        <f>IFERROR(__xludf.DUMMYFUNCTION("VLOOKUP(F6995, IMPORTRANGE(""https://docs.google.com/spreadsheets/d/1Lhp9OU0JdFf_VYSMzH5lBcEaU4o8teT1piV-SNzShjg/edit?gid=554141278#gid=554141278"", ""'Char Def. - Attributes'!C20:C2242""), 1,false)"),"SERIES_ADHESIVE_LEM")</f>
        <v>SERIES_ADHESIVE_LEM</v>
      </c>
      <c r="I6995" s="136"/>
      <c r="R6995" s="63" t="str">
        <f t="shared" si="60"/>
        <v>ZSI1_ADHESIVE_LEMSERIES_ADHESIVE_LEM</v>
      </c>
    </row>
    <row r="6996" ht="15.75" customHeight="1">
      <c r="B6996" s="63">
        <f t="shared" si="1"/>
        <v>17</v>
      </c>
      <c r="C6996" s="135" t="s">
        <v>350</v>
      </c>
      <c r="D6996" s="161" t="s">
        <v>74</v>
      </c>
      <c r="E6996" s="135">
        <f t="shared" si="59"/>
        <v>3</v>
      </c>
      <c r="F6996" s="134" t="s">
        <v>3782</v>
      </c>
      <c r="G6996" s="63" t="str">
        <f>VLOOKUP(C6996, 'Class Def. - General Data'!$C$20:$C$1000,1,false)</f>
        <v>ZSI1_ADHESIVE_LEM</v>
      </c>
      <c r="H6996" s="63" t="str">
        <f>IFERROR(__xludf.DUMMYFUNCTION("VLOOKUP(F6996, IMPORTRANGE(""https://docs.google.com/spreadsheets/d/1Lhp9OU0JdFf_VYSMzH5lBcEaU4o8teT1piV-SNzShjg/edit?gid=554141278#gid=554141278"", ""'Char Def. - Attributes'!C20:C2242""), 1,false)"),"BRAND_EXTERNAL")</f>
        <v>BRAND_EXTERNAL</v>
      </c>
      <c r="I6996" s="136"/>
      <c r="R6996" s="63" t="str">
        <f t="shared" si="60"/>
        <v>ZSI1_ADHESIVE_LEMBRAND_EXTERNAL</v>
      </c>
    </row>
    <row r="6997" ht="15.75" customHeight="1">
      <c r="B6997" s="63">
        <f t="shared" si="1"/>
        <v>17</v>
      </c>
      <c r="C6997" s="135" t="s">
        <v>350</v>
      </c>
      <c r="D6997" s="161" t="s">
        <v>74</v>
      </c>
      <c r="E6997" s="135">
        <f t="shared" si="59"/>
        <v>4</v>
      </c>
      <c r="F6997" s="134" t="s">
        <v>4067</v>
      </c>
      <c r="G6997" s="63" t="str">
        <f>VLOOKUP(C6997, 'Class Def. - General Data'!$C$20:$C$1000,1,false)</f>
        <v>ZSI1_ADHESIVE_LEM</v>
      </c>
      <c r="H6997" s="63" t="str">
        <f>IFERROR(__xludf.DUMMYFUNCTION("VLOOKUP(F6997, IMPORTRANGE(""https://docs.google.com/spreadsheets/d/1Lhp9OU0JdFf_VYSMzH5lBcEaU4o8teT1piV-SNzShjg/edit?gid=554141278#gid=554141278"", ""'Char Def. - Attributes'!C20:C2242""), 1,false)"),"DIMENSION_ADHESIVE_LEM")</f>
        <v>DIMENSION_ADHESIVE_LEM</v>
      </c>
      <c r="I6997" s="136"/>
      <c r="R6997" s="63" t="str">
        <f t="shared" si="60"/>
        <v>ZSI1_ADHESIVE_LEMDIMENSION_ADHESIVE_LEM</v>
      </c>
    </row>
    <row r="6998" ht="15.75" customHeight="1">
      <c r="B6998" s="63">
        <f t="shared" si="1"/>
        <v>17</v>
      </c>
      <c r="C6998" s="135" t="s">
        <v>350</v>
      </c>
      <c r="D6998" s="161" t="s">
        <v>74</v>
      </c>
      <c r="E6998" s="135">
        <f t="shared" si="59"/>
        <v>5</v>
      </c>
      <c r="F6998" s="134" t="s">
        <v>4068</v>
      </c>
      <c r="G6998" s="63" t="str">
        <f>VLOOKUP(C6998, 'Class Def. - General Data'!$C$20:$C$1000,1,false)</f>
        <v>ZSI1_ADHESIVE_LEM</v>
      </c>
      <c r="H6998" s="63" t="str">
        <f>IFERROR(__xludf.DUMMYFUNCTION("VLOOKUP(F6998, IMPORTRANGE(""https://docs.google.com/spreadsheets/d/1Lhp9OU0JdFf_VYSMzH5lBcEaU4o8teT1piV-SNzShjg/edit?gid=554141278#gid=554141278"", ""'Char Def. - Attributes'!C20:C2242""), 1,false)"),"VOLUME_CONTENT_ML_ADHESIVE_LEM")</f>
        <v>VOLUME_CONTENT_ML_ADHESIVE_LEM</v>
      </c>
      <c r="I6998" s="136"/>
      <c r="R6998" s="63" t="str">
        <f t="shared" si="60"/>
        <v>ZSI1_ADHESIVE_LEMVOLUME_CONTENT_ML_ADHESIVE_LEM</v>
      </c>
    </row>
    <row r="6999" ht="15.75" customHeight="1">
      <c r="B6999" s="63">
        <f t="shared" si="1"/>
        <v>17</v>
      </c>
      <c r="C6999" s="135" t="s">
        <v>350</v>
      </c>
      <c r="D6999" s="161" t="s">
        <v>74</v>
      </c>
      <c r="E6999" s="135">
        <f t="shared" si="59"/>
        <v>6</v>
      </c>
      <c r="F6999" s="134" t="s">
        <v>4069</v>
      </c>
      <c r="G6999" s="63" t="str">
        <f>VLOOKUP(C6999, 'Class Def. - General Data'!$C$20:$C$1000,1,false)</f>
        <v>ZSI1_ADHESIVE_LEM</v>
      </c>
      <c r="H6999" s="63" t="str">
        <f>IFERROR(__xludf.DUMMYFUNCTION("VLOOKUP(F6999, IMPORTRANGE(""https://docs.google.com/spreadsheets/d/1Lhp9OU0JdFf_VYSMzH5lBcEaU4o8teT1piV-SNzShjg/edit?gid=554141278#gid=554141278"", ""'Char Def. - Attributes'!C20:C2242""), 1,false)"),"WEIGHT_CONTENT_G_ADHESIVE_LEM")</f>
        <v>WEIGHT_CONTENT_G_ADHESIVE_LEM</v>
      </c>
      <c r="I6999" s="136"/>
      <c r="R6999" s="63" t="str">
        <f t="shared" si="60"/>
        <v>ZSI1_ADHESIVE_LEMWEIGHT_CONTENT_G_ADHESIVE_LEM</v>
      </c>
    </row>
    <row r="7000" ht="15.75" customHeight="1">
      <c r="B7000" s="63">
        <f t="shared" si="1"/>
        <v>17</v>
      </c>
      <c r="C7000" s="135" t="s">
        <v>350</v>
      </c>
      <c r="D7000" s="161" t="s">
        <v>74</v>
      </c>
      <c r="E7000" s="135">
        <f t="shared" si="59"/>
        <v>7</v>
      </c>
      <c r="F7000" s="134" t="s">
        <v>3585</v>
      </c>
      <c r="G7000" s="63" t="str">
        <f>VLOOKUP(C7000, 'Class Def. - General Data'!$C$20:$C$1000,1,false)</f>
        <v>ZSI1_ADHESIVE_LEM</v>
      </c>
      <c r="H7000" s="63" t="str">
        <f>IFERROR(__xludf.DUMMYFUNCTION("VLOOKUP(F7000, IMPORTRANGE(""https://docs.google.com/spreadsheets/d/1Lhp9OU0JdFf_VYSMzH5lBcEaU4o8teT1piV-SNzShjg/edit?gid=554141278#gid=554141278"", ""'Char Def. - Attributes'!C20:C2242""), 1,false)"),"HS_CODE")</f>
        <v>HS_CODE</v>
      </c>
      <c r="I7000" s="136"/>
      <c r="R7000" s="63" t="str">
        <f t="shared" si="60"/>
        <v>ZSI1_ADHESIVE_LEMHS_CODE</v>
      </c>
    </row>
    <row r="7001" ht="15.75" customHeight="1">
      <c r="B7001" s="63">
        <f t="shared" si="1"/>
        <v>17</v>
      </c>
      <c r="C7001" s="135" t="s">
        <v>350</v>
      </c>
      <c r="D7001" s="161" t="s">
        <v>74</v>
      </c>
      <c r="E7001" s="135">
        <f t="shared" si="59"/>
        <v>8</v>
      </c>
      <c r="F7001" s="134" t="s">
        <v>3587</v>
      </c>
      <c r="G7001" s="63" t="str">
        <f>VLOOKUP(C7001, 'Class Def. - General Data'!$C$20:$C$1000,1,false)</f>
        <v>ZSI1_ADHESIVE_LEM</v>
      </c>
      <c r="H7001" s="63" t="str">
        <f>IFERROR(__xludf.DUMMYFUNCTION("VLOOKUP(F7001, IMPORTRANGE(""https://docs.google.com/spreadsheets/d/1Lhp9OU0JdFf_VYSMzH5lBcEaU4o8teT1piV-SNzShjg/edit?gid=554141278#gid=554141278"", ""'Char Def. - Attributes'!C20:C2242""), 1,false)"),"PLANT_BUY")</f>
        <v>PLANT_BUY</v>
      </c>
      <c r="I7001" s="136"/>
      <c r="R7001" s="63" t="str">
        <f t="shared" si="60"/>
        <v>ZSI1_ADHESIVE_LEMPLANT_BUY</v>
      </c>
    </row>
    <row r="7002" ht="15.75" customHeight="1">
      <c r="B7002" s="63">
        <f t="shared" si="1"/>
        <v>17</v>
      </c>
      <c r="C7002" s="135" t="s">
        <v>350</v>
      </c>
      <c r="D7002" s="161" t="s">
        <v>74</v>
      </c>
      <c r="E7002" s="135">
        <f t="shared" si="59"/>
        <v>9</v>
      </c>
      <c r="F7002" s="134" t="s">
        <v>4070</v>
      </c>
      <c r="G7002" s="63" t="str">
        <f>VLOOKUP(C7002, 'Class Def. - General Data'!$C$20:$C$1000,1,false)</f>
        <v>ZSI1_ADHESIVE_LEM</v>
      </c>
      <c r="H7002" s="63" t="str">
        <f>IFERROR(__xludf.DUMMYFUNCTION("VLOOKUP(F7002, IMPORTRANGE(""https://docs.google.com/spreadsheets/d/1Lhp9OU0JdFf_VYSMzH5lBcEaU4o8teT1piV-SNzShjg/edit?gid=554141278#gid=554141278"", ""'Char Def. - Attributes'!C20:C2242""), 1,false)"),"BASE_UOM_ADHESIVE_LEM")</f>
        <v>BASE_UOM_ADHESIVE_LEM</v>
      </c>
      <c r="I7002" s="136"/>
      <c r="R7002" s="63" t="str">
        <f t="shared" si="60"/>
        <v>ZSI1_ADHESIVE_LEMBASE_UOM_ADHESIVE_LEM</v>
      </c>
    </row>
    <row r="7003" ht="15.75" customHeight="1">
      <c r="B7003" s="63">
        <f t="shared" si="1"/>
        <v>17</v>
      </c>
      <c r="C7003" s="135" t="s">
        <v>350</v>
      </c>
      <c r="D7003" s="161" t="s">
        <v>74</v>
      </c>
      <c r="E7003" s="135">
        <f t="shared" si="59"/>
        <v>10</v>
      </c>
      <c r="F7003" s="134" t="s">
        <v>4071</v>
      </c>
      <c r="G7003" s="63" t="str">
        <f>VLOOKUP(C7003, 'Class Def. - General Data'!$C$20:$C$1000,1,false)</f>
        <v>ZSI1_ADHESIVE_LEM</v>
      </c>
      <c r="H7003" s="63" t="str">
        <f>IFERROR(__xludf.DUMMYFUNCTION("VLOOKUP(F7003, IMPORTRANGE(""https://docs.google.com/spreadsheets/d/1Lhp9OU0JdFf_VYSMzH5lBcEaU4o8teT1piV-SNzShjg/edit?gid=554141278#gid=554141278"", ""'Char Def. - Attributes'!C20:C2242""), 1,false)"),"ORDER_UNIT_ADHESIVE_LEM")</f>
        <v>ORDER_UNIT_ADHESIVE_LEM</v>
      </c>
      <c r="I7003" s="136"/>
      <c r="R7003" s="63" t="str">
        <f t="shared" si="60"/>
        <v>ZSI1_ADHESIVE_LEMORDER_UNIT_ADHESIVE_LEM</v>
      </c>
    </row>
    <row r="7004" ht="15.75" customHeight="1">
      <c r="B7004" s="63">
        <f t="shared" si="1"/>
        <v>17</v>
      </c>
      <c r="C7004" s="135" t="s">
        <v>350</v>
      </c>
      <c r="D7004" s="161" t="s">
        <v>74</v>
      </c>
      <c r="E7004" s="135">
        <f t="shared" si="59"/>
        <v>11</v>
      </c>
      <c r="F7004" s="134" t="s">
        <v>4056</v>
      </c>
      <c r="G7004" s="63" t="str">
        <f>VLOOKUP(C7004, 'Class Def. - General Data'!$C$20:$C$1000,1,false)</f>
        <v>ZSI1_ADHESIVE_LEM</v>
      </c>
      <c r="H7004" s="63" t="str">
        <f>IFERROR(__xludf.DUMMYFUNCTION("VLOOKUP(F7004, IMPORTRANGE(""https://docs.google.com/spreadsheets/d/1Lhp9OU0JdFf_VYSMzH5lBcEaU4o8teT1piV-SNzShjg/edit?gid=554141278#gid=554141278"", ""'Char Def. - Attributes'!C20:C2242""), 1,false)"),"GROSS_WEIGHT_OPT")</f>
        <v>GROSS_WEIGHT_OPT</v>
      </c>
      <c r="I7004" s="136"/>
      <c r="R7004" s="63" t="str">
        <f t="shared" si="60"/>
        <v>ZSI1_ADHESIVE_LEMGROSS_WEIGHT_OPT</v>
      </c>
    </row>
    <row r="7005" ht="15.75" customHeight="1">
      <c r="B7005" s="63">
        <f t="shared" si="1"/>
        <v>17</v>
      </c>
      <c r="C7005" s="135" t="s">
        <v>350</v>
      </c>
      <c r="D7005" s="161" t="s">
        <v>74</v>
      </c>
      <c r="E7005" s="135">
        <f t="shared" si="59"/>
        <v>12</v>
      </c>
      <c r="F7005" s="134" t="s">
        <v>4057</v>
      </c>
      <c r="G7005" s="63" t="str">
        <f>VLOOKUP(C7005, 'Class Def. - General Data'!$C$20:$C$1000,1,false)</f>
        <v>ZSI1_ADHESIVE_LEM</v>
      </c>
      <c r="H7005" s="63" t="str">
        <f>IFERROR(__xludf.DUMMYFUNCTION("VLOOKUP(F7005, IMPORTRANGE(""https://docs.google.com/spreadsheets/d/1Lhp9OU0JdFf_VYSMzH5lBcEaU4o8teT1piV-SNzShjg/edit?gid=554141278#gid=554141278"", ""'Char Def. - Attributes'!C20:C2242""), 1,false)"),"NET_WEIGHT_OPT")</f>
        <v>NET_WEIGHT_OPT</v>
      </c>
      <c r="I7005" s="136"/>
      <c r="R7005" s="63" t="str">
        <f t="shared" si="60"/>
        <v>ZSI1_ADHESIVE_LEMNET_WEIGHT_OPT</v>
      </c>
    </row>
    <row r="7006" ht="15.75" customHeight="1">
      <c r="B7006" s="63">
        <f t="shared" si="1"/>
        <v>17</v>
      </c>
      <c r="C7006" s="135" t="s">
        <v>350</v>
      </c>
      <c r="D7006" s="161" t="s">
        <v>74</v>
      </c>
      <c r="E7006" s="135">
        <f t="shared" si="59"/>
        <v>13</v>
      </c>
      <c r="F7006" s="134" t="s">
        <v>4058</v>
      </c>
      <c r="G7006" s="63" t="str">
        <f>VLOOKUP(C7006, 'Class Def. - General Data'!$C$20:$C$1000,1,false)</f>
        <v>ZSI1_ADHESIVE_LEM</v>
      </c>
      <c r="H7006" s="63" t="str">
        <f>IFERROR(__xludf.DUMMYFUNCTION("VLOOKUP(F7006, IMPORTRANGE(""https://docs.google.com/spreadsheets/d/1Lhp9OU0JdFf_VYSMzH5lBcEaU4o8teT1piV-SNzShjg/edit?gid=554141278#gid=554141278"", ""'Char Def. - Attributes'!C20:C2242""), 1,false)"),"WEIGHT_UNIT_SI")</f>
        <v>WEIGHT_UNIT_SI</v>
      </c>
      <c r="I7006" s="136"/>
      <c r="R7006" s="63" t="str">
        <f t="shared" si="60"/>
        <v>ZSI1_ADHESIVE_LEMWEIGHT_UNIT_SI</v>
      </c>
    </row>
    <row r="7007" ht="15.75" customHeight="1">
      <c r="B7007" s="63">
        <f t="shared" si="1"/>
        <v>17</v>
      </c>
      <c r="C7007" s="135" t="s">
        <v>350</v>
      </c>
      <c r="D7007" s="161" t="s">
        <v>74</v>
      </c>
      <c r="E7007" s="135">
        <f t="shared" si="59"/>
        <v>14</v>
      </c>
      <c r="F7007" s="134" t="s">
        <v>3877</v>
      </c>
      <c r="G7007" s="63" t="str">
        <f>VLOOKUP(C7007, 'Class Def. - General Data'!$C$20:$C$1000,1,false)</f>
        <v>ZSI1_ADHESIVE_LEM</v>
      </c>
      <c r="H7007" s="63" t="str">
        <f>IFERROR(__xludf.DUMMYFUNCTION("VLOOKUP(F7007, IMPORTRANGE(""https://docs.google.com/spreadsheets/d/1Lhp9OU0JdFf_VYSMzH5lBcEaU4o8teT1piV-SNzShjg/edit?gid=554141278#gid=554141278"", ""'Char Def. - Attributes'!C20:C2242""), 1,false)"),"VOLUME_OPT")</f>
        <v>VOLUME_OPT</v>
      </c>
      <c r="I7007" s="136"/>
      <c r="R7007" s="63" t="str">
        <f t="shared" si="60"/>
        <v>ZSI1_ADHESIVE_LEMVOLUME_OPT</v>
      </c>
    </row>
    <row r="7008" ht="15.75" customHeight="1">
      <c r="B7008" s="63">
        <f t="shared" si="1"/>
        <v>17</v>
      </c>
      <c r="C7008" s="135" t="s">
        <v>350</v>
      </c>
      <c r="D7008" s="161" t="s">
        <v>74</v>
      </c>
      <c r="E7008" s="135">
        <f t="shared" si="59"/>
        <v>15</v>
      </c>
      <c r="F7008" s="134" t="s">
        <v>4059</v>
      </c>
      <c r="G7008" s="63" t="str">
        <f>VLOOKUP(C7008, 'Class Def. - General Data'!$C$20:$C$1000,1,false)</f>
        <v>ZSI1_ADHESIVE_LEM</v>
      </c>
      <c r="H7008" s="63" t="str">
        <f>IFERROR(__xludf.DUMMYFUNCTION("VLOOKUP(F7008, IMPORTRANGE(""https://docs.google.com/spreadsheets/d/1Lhp9OU0JdFf_VYSMzH5lBcEaU4o8teT1piV-SNzShjg/edit?gid=554141278#gid=554141278"", ""'Char Def. - Attributes'!C20:C2242""), 1,false)"),"VOLUME_UNIT_SI")</f>
        <v>VOLUME_UNIT_SI</v>
      </c>
      <c r="I7008" s="136"/>
      <c r="R7008" s="63" t="str">
        <f t="shared" si="60"/>
        <v>ZSI1_ADHESIVE_LEMVOLUME_UNIT_SI</v>
      </c>
    </row>
    <row r="7009" ht="15.75" customHeight="1">
      <c r="B7009" s="63">
        <f t="shared" si="1"/>
        <v>17</v>
      </c>
      <c r="C7009" s="135" t="s">
        <v>350</v>
      </c>
      <c r="D7009" s="161" t="s">
        <v>74</v>
      </c>
      <c r="E7009" s="135">
        <f t="shared" si="59"/>
        <v>16</v>
      </c>
      <c r="F7009" s="134" t="s">
        <v>3804</v>
      </c>
      <c r="G7009" s="63" t="str">
        <f>VLOOKUP(C7009, 'Class Def. - General Data'!$C$20:$C$1000,1,false)</f>
        <v>ZSI1_ADHESIVE_LEM</v>
      </c>
      <c r="H7009" s="63" t="str">
        <f>IFERROR(__xludf.DUMMYFUNCTION("VLOOKUP(F7009, IMPORTRANGE(""https://docs.google.com/spreadsheets/d/1Lhp9OU0JdFf_VYSMzH5lBcEaU4o8teT1piV-SNzShjg/edit?gid=554141278#gid=554141278"", ""'Char Def. - Attributes'!C20:C2242""), 1,false)"),"ALT_UOM1_SIPI")</f>
        <v>ALT_UOM1_SIPI</v>
      </c>
      <c r="I7009" s="136"/>
      <c r="R7009" s="63" t="str">
        <f t="shared" si="60"/>
        <v>ZSI1_ADHESIVE_LEMALT_UOM1_SIPI</v>
      </c>
    </row>
    <row r="7010" ht="15.75" customHeight="1">
      <c r="B7010" s="63">
        <f t="shared" si="1"/>
        <v>17</v>
      </c>
      <c r="C7010" s="135" t="s">
        <v>350</v>
      </c>
      <c r="D7010" s="161" t="s">
        <v>74</v>
      </c>
      <c r="E7010" s="135">
        <f t="shared" si="59"/>
        <v>17</v>
      </c>
      <c r="F7010" s="134" t="s">
        <v>3805</v>
      </c>
      <c r="G7010" s="63" t="str">
        <f>VLOOKUP(C7010, 'Class Def. - General Data'!$C$20:$C$1000,1,false)</f>
        <v>ZSI1_ADHESIVE_LEM</v>
      </c>
      <c r="H7010" s="63" t="str">
        <f>IFERROR(__xludf.DUMMYFUNCTION("VLOOKUP(F7010, IMPORTRANGE(""https://docs.google.com/spreadsheets/d/1Lhp9OU0JdFf_VYSMzH5lBcEaU4o8teT1piV-SNzShjg/edit?gid=554141278#gid=554141278"", ""'Char Def. - Attributes'!C20:C2242""), 1,false)"),"ALT_DENUM_UOM1")</f>
        <v>ALT_DENUM_UOM1</v>
      </c>
      <c r="I7010" s="136"/>
      <c r="R7010" s="63" t="str">
        <f t="shared" si="60"/>
        <v>ZSI1_ADHESIVE_LEMALT_DENUM_UOM1</v>
      </c>
    </row>
    <row r="7011" ht="15.75" customHeight="1">
      <c r="B7011" s="63">
        <f t="shared" si="1"/>
        <v>17</v>
      </c>
      <c r="C7011" s="135" t="s">
        <v>350</v>
      </c>
      <c r="D7011" s="161" t="s">
        <v>74</v>
      </c>
      <c r="E7011" s="135">
        <f t="shared" si="59"/>
        <v>18</v>
      </c>
      <c r="F7011" s="134" t="s">
        <v>3806</v>
      </c>
      <c r="G7011" s="63" t="str">
        <f>VLOOKUP(C7011, 'Class Def. - General Data'!$C$20:$C$1000,1,false)</f>
        <v>ZSI1_ADHESIVE_LEM</v>
      </c>
      <c r="H7011" s="63" t="str">
        <f>IFERROR(__xludf.DUMMYFUNCTION("VLOOKUP(F7011, IMPORTRANGE(""https://docs.google.com/spreadsheets/d/1Lhp9OU0JdFf_VYSMzH5lBcEaU4o8teT1piV-SNzShjg/edit?gid=554141278#gid=554141278"", ""'Char Def. - Attributes'!C20:C2242""), 1,false)"),"ALT_NUM_UOM1")</f>
        <v>ALT_NUM_UOM1</v>
      </c>
      <c r="I7011" s="136"/>
      <c r="R7011" s="63" t="str">
        <f t="shared" si="60"/>
        <v>ZSI1_ADHESIVE_LEMALT_NUM_UOM1</v>
      </c>
    </row>
    <row r="7012" ht="15.75" customHeight="1">
      <c r="B7012" s="63">
        <f t="shared" si="1"/>
        <v>17</v>
      </c>
      <c r="C7012" s="135" t="s">
        <v>350</v>
      </c>
      <c r="D7012" s="161" t="s">
        <v>74</v>
      </c>
      <c r="E7012" s="135">
        <f t="shared" si="59"/>
        <v>19</v>
      </c>
      <c r="F7012" s="134" t="s">
        <v>3807</v>
      </c>
      <c r="G7012" s="63" t="str">
        <f>VLOOKUP(C7012, 'Class Def. - General Data'!$C$20:$C$1000,1,false)</f>
        <v>ZSI1_ADHESIVE_LEM</v>
      </c>
      <c r="H7012" s="63" t="str">
        <f>IFERROR(__xludf.DUMMYFUNCTION("VLOOKUP(F7012, IMPORTRANGE(""https://docs.google.com/spreadsheets/d/1Lhp9OU0JdFf_VYSMzH5lBcEaU4o8teT1piV-SNzShjg/edit?gid=554141278#gid=554141278"", ""'Char Def. - Attributes'!C20:C2242""), 1,false)"),"ALT_UOM2_SIPI")</f>
        <v>ALT_UOM2_SIPI</v>
      </c>
      <c r="I7012" s="136"/>
      <c r="R7012" s="63" t="str">
        <f t="shared" si="60"/>
        <v>ZSI1_ADHESIVE_LEMALT_UOM2_SIPI</v>
      </c>
    </row>
    <row r="7013" ht="15.75" customHeight="1">
      <c r="B7013" s="63">
        <f t="shared" si="1"/>
        <v>17</v>
      </c>
      <c r="C7013" s="135" t="s">
        <v>350</v>
      </c>
      <c r="D7013" s="161" t="s">
        <v>74</v>
      </c>
      <c r="E7013" s="135">
        <f t="shared" si="59"/>
        <v>20</v>
      </c>
      <c r="F7013" s="134" t="s">
        <v>3808</v>
      </c>
      <c r="G7013" s="63" t="str">
        <f>VLOOKUP(C7013, 'Class Def. - General Data'!$C$20:$C$1000,1,false)</f>
        <v>ZSI1_ADHESIVE_LEM</v>
      </c>
      <c r="H7013" s="63" t="str">
        <f>IFERROR(__xludf.DUMMYFUNCTION("VLOOKUP(F7013, IMPORTRANGE(""https://docs.google.com/spreadsheets/d/1Lhp9OU0JdFf_VYSMzH5lBcEaU4o8teT1piV-SNzShjg/edit?gid=554141278#gid=554141278"", ""'Char Def. - Attributes'!C20:C2242""), 1,false)"),"ALT_DENUM_UOM2")</f>
        <v>ALT_DENUM_UOM2</v>
      </c>
      <c r="I7013" s="136"/>
      <c r="R7013" s="63" t="str">
        <f t="shared" si="60"/>
        <v>ZSI1_ADHESIVE_LEMALT_DENUM_UOM2</v>
      </c>
    </row>
    <row r="7014" ht="15.75" customHeight="1">
      <c r="B7014" s="63">
        <f t="shared" si="1"/>
        <v>17</v>
      </c>
      <c r="C7014" s="135" t="s">
        <v>350</v>
      </c>
      <c r="D7014" s="161" t="s">
        <v>74</v>
      </c>
      <c r="E7014" s="135">
        <f t="shared" si="59"/>
        <v>21</v>
      </c>
      <c r="F7014" s="134" t="s">
        <v>3809</v>
      </c>
      <c r="G7014" s="63" t="str">
        <f>VLOOKUP(C7014, 'Class Def. - General Data'!$C$20:$C$1000,1,false)</f>
        <v>ZSI1_ADHESIVE_LEM</v>
      </c>
      <c r="H7014" s="63" t="str">
        <f>IFERROR(__xludf.DUMMYFUNCTION("VLOOKUP(F7014, IMPORTRANGE(""https://docs.google.com/spreadsheets/d/1Lhp9OU0JdFf_VYSMzH5lBcEaU4o8teT1piV-SNzShjg/edit?gid=554141278#gid=554141278"", ""'Char Def. - Attributes'!C20:C2242""), 1,false)"),"ALT_NUM_UOM2")</f>
        <v>ALT_NUM_UOM2</v>
      </c>
      <c r="I7014" s="136"/>
      <c r="R7014" s="63" t="str">
        <f t="shared" si="60"/>
        <v>ZSI1_ADHESIVE_LEMALT_NUM_UOM2</v>
      </c>
    </row>
    <row r="7015" ht="15.75" customHeight="1">
      <c r="B7015" s="63">
        <f t="shared" si="1"/>
        <v>17</v>
      </c>
      <c r="C7015" s="135" t="s">
        <v>350</v>
      </c>
      <c r="D7015" s="161" t="s">
        <v>74</v>
      </c>
      <c r="E7015" s="135">
        <f t="shared" si="59"/>
        <v>22</v>
      </c>
      <c r="F7015" s="134" t="s">
        <v>3810</v>
      </c>
      <c r="G7015" s="63" t="str">
        <f>VLOOKUP(C7015, 'Class Def. - General Data'!$C$20:$C$1000,1,false)</f>
        <v>ZSI1_ADHESIVE_LEM</v>
      </c>
      <c r="H7015" s="63" t="str">
        <f>IFERROR(__xludf.DUMMYFUNCTION("VLOOKUP(F7015, IMPORTRANGE(""https://docs.google.com/spreadsheets/d/1Lhp9OU0JdFf_VYSMzH5lBcEaU4o8teT1piV-SNzShjg/edit?gid=554141278#gid=554141278"", ""'Char Def. - Attributes'!C20:C2242""), 1,false)"),"ALT_UOM3_SIPI")</f>
        <v>ALT_UOM3_SIPI</v>
      </c>
      <c r="I7015" s="136"/>
      <c r="R7015" s="63" t="str">
        <f t="shared" si="60"/>
        <v>ZSI1_ADHESIVE_LEMALT_UOM3_SIPI</v>
      </c>
    </row>
    <row r="7016" ht="15.75" customHeight="1">
      <c r="B7016" s="63">
        <f t="shared" si="1"/>
        <v>17</v>
      </c>
      <c r="C7016" s="135" t="s">
        <v>350</v>
      </c>
      <c r="D7016" s="161" t="s">
        <v>74</v>
      </c>
      <c r="E7016" s="135">
        <f t="shared" si="59"/>
        <v>23</v>
      </c>
      <c r="F7016" s="134" t="s">
        <v>3811</v>
      </c>
      <c r="G7016" s="63" t="str">
        <f>VLOOKUP(C7016, 'Class Def. - General Data'!$C$20:$C$1000,1,false)</f>
        <v>ZSI1_ADHESIVE_LEM</v>
      </c>
      <c r="H7016" s="63" t="str">
        <f>IFERROR(__xludf.DUMMYFUNCTION("VLOOKUP(F7016, IMPORTRANGE(""https://docs.google.com/spreadsheets/d/1Lhp9OU0JdFf_VYSMzH5lBcEaU4o8teT1piV-SNzShjg/edit?gid=554141278#gid=554141278"", ""'Char Def. - Attributes'!C20:C2242""), 1,false)"),"ALT_DENUM_UOM3")</f>
        <v>ALT_DENUM_UOM3</v>
      </c>
      <c r="I7016" s="136"/>
      <c r="R7016" s="63" t="str">
        <f t="shared" si="60"/>
        <v>ZSI1_ADHESIVE_LEMALT_DENUM_UOM3</v>
      </c>
    </row>
    <row r="7017" ht="15.75" customHeight="1">
      <c r="B7017" s="63">
        <f t="shared" si="1"/>
        <v>17</v>
      </c>
      <c r="C7017" s="135" t="s">
        <v>350</v>
      </c>
      <c r="D7017" s="161" t="s">
        <v>74</v>
      </c>
      <c r="E7017" s="135">
        <f t="shared" si="59"/>
        <v>24</v>
      </c>
      <c r="F7017" s="134" t="s">
        <v>3812</v>
      </c>
      <c r="G7017" s="63" t="str">
        <f>VLOOKUP(C7017, 'Class Def. - General Data'!$C$20:$C$1000,1,false)</f>
        <v>ZSI1_ADHESIVE_LEM</v>
      </c>
      <c r="H7017" s="63" t="str">
        <f>IFERROR(__xludf.DUMMYFUNCTION("VLOOKUP(F7017, IMPORTRANGE(""https://docs.google.com/spreadsheets/d/1Lhp9OU0JdFf_VYSMzH5lBcEaU4o8teT1piV-SNzShjg/edit?gid=554141278#gid=554141278"", ""'Char Def. - Attributes'!C20:C2242""), 1,false)"),"ALT_NUM_UOM3")</f>
        <v>ALT_NUM_UOM3</v>
      </c>
      <c r="I7017" s="136"/>
      <c r="R7017" s="63" t="str">
        <f t="shared" si="60"/>
        <v>ZSI1_ADHESIVE_LEMALT_NUM_UOM3</v>
      </c>
    </row>
    <row r="7018" ht="15.75" customHeight="1">
      <c r="B7018" s="63">
        <f t="shared" si="1"/>
        <v>17</v>
      </c>
      <c r="C7018" s="135" t="s">
        <v>350</v>
      </c>
      <c r="D7018" s="161" t="s">
        <v>74</v>
      </c>
      <c r="E7018" s="135">
        <f t="shared" si="59"/>
        <v>25</v>
      </c>
      <c r="F7018" s="134" t="s">
        <v>3813</v>
      </c>
      <c r="G7018" s="63" t="str">
        <f>VLOOKUP(C7018, 'Class Def. - General Data'!$C$20:$C$1000,1,false)</f>
        <v>ZSI1_ADHESIVE_LEM</v>
      </c>
      <c r="H7018" s="63" t="str">
        <f>IFERROR(__xludf.DUMMYFUNCTION("VLOOKUP(F7018, IMPORTRANGE(""https://docs.google.com/spreadsheets/d/1Lhp9OU0JdFf_VYSMzH5lBcEaU4o8teT1piV-SNzShjg/edit?gid=554141278#gid=554141278"", ""'Char Def. - Attributes'!C20:C2242""), 1,false)"),"ALT_UOM4_SIPI")</f>
        <v>ALT_UOM4_SIPI</v>
      </c>
      <c r="I7018" s="136"/>
      <c r="R7018" s="63" t="str">
        <f t="shared" si="60"/>
        <v>ZSI1_ADHESIVE_LEMALT_UOM4_SIPI</v>
      </c>
    </row>
    <row r="7019" ht="15.75" customHeight="1">
      <c r="B7019" s="63">
        <f t="shared" si="1"/>
        <v>17</v>
      </c>
      <c r="C7019" s="135" t="s">
        <v>350</v>
      </c>
      <c r="D7019" s="161" t="s">
        <v>74</v>
      </c>
      <c r="E7019" s="135">
        <f t="shared" si="59"/>
        <v>26</v>
      </c>
      <c r="F7019" s="134" t="s">
        <v>3814</v>
      </c>
      <c r="G7019" s="63" t="str">
        <f>VLOOKUP(C7019, 'Class Def. - General Data'!$C$20:$C$1000,1,false)</f>
        <v>ZSI1_ADHESIVE_LEM</v>
      </c>
      <c r="H7019" s="63" t="str">
        <f>IFERROR(__xludf.DUMMYFUNCTION("VLOOKUP(F7019, IMPORTRANGE(""https://docs.google.com/spreadsheets/d/1Lhp9OU0JdFf_VYSMzH5lBcEaU4o8teT1piV-SNzShjg/edit?gid=554141278#gid=554141278"", ""'Char Def. - Attributes'!C20:C2242""), 1,false)"),"ALT_DENUM_UOM4")</f>
        <v>ALT_DENUM_UOM4</v>
      </c>
      <c r="I7019" s="136"/>
      <c r="R7019" s="63" t="str">
        <f t="shared" si="60"/>
        <v>ZSI1_ADHESIVE_LEMALT_DENUM_UOM4</v>
      </c>
    </row>
    <row r="7020" ht="15.75" customHeight="1">
      <c r="B7020" s="63">
        <f t="shared" si="1"/>
        <v>17</v>
      </c>
      <c r="C7020" s="135" t="s">
        <v>350</v>
      </c>
      <c r="D7020" s="161" t="s">
        <v>74</v>
      </c>
      <c r="E7020" s="135">
        <f t="shared" si="59"/>
        <v>27</v>
      </c>
      <c r="F7020" s="134" t="s">
        <v>3815</v>
      </c>
      <c r="G7020" s="63" t="str">
        <f>VLOOKUP(C7020, 'Class Def. - General Data'!$C$20:$C$1000,1,false)</f>
        <v>ZSI1_ADHESIVE_LEM</v>
      </c>
      <c r="H7020" s="63" t="str">
        <f>IFERROR(__xludf.DUMMYFUNCTION("VLOOKUP(F7020, IMPORTRANGE(""https://docs.google.com/spreadsheets/d/1Lhp9OU0JdFf_VYSMzH5lBcEaU4o8teT1piV-SNzShjg/edit?gid=554141278#gid=554141278"", ""'Char Def. - Attributes'!C20:C2242""), 1,false)"),"ALT_NUM_UOM4")</f>
        <v>ALT_NUM_UOM4</v>
      </c>
      <c r="I7020" s="136"/>
      <c r="R7020" s="63" t="str">
        <f t="shared" si="60"/>
        <v>ZSI1_ADHESIVE_LEMALT_NUM_UOM4</v>
      </c>
    </row>
    <row r="7021" ht="15.75" customHeight="1">
      <c r="B7021" s="63">
        <f t="shared" si="1"/>
        <v>17</v>
      </c>
      <c r="C7021" s="135" t="s">
        <v>350</v>
      </c>
      <c r="D7021" s="161" t="s">
        <v>74</v>
      </c>
      <c r="E7021" s="135">
        <f t="shared" si="59"/>
        <v>28</v>
      </c>
      <c r="F7021" s="134" t="s">
        <v>3816</v>
      </c>
      <c r="G7021" s="63" t="str">
        <f>VLOOKUP(C7021, 'Class Def. - General Data'!$C$20:$C$1000,1,false)</f>
        <v>ZSI1_ADHESIVE_LEM</v>
      </c>
      <c r="H7021" s="63" t="str">
        <f>IFERROR(__xludf.DUMMYFUNCTION("VLOOKUP(F7021, IMPORTRANGE(""https://docs.google.com/spreadsheets/d/1Lhp9OU0JdFf_VYSMzH5lBcEaU4o8teT1piV-SNzShjg/edit?gid=554141278#gid=554141278"", ""'Char Def. - Attributes'!C20:C2242""), 1,false)"),"ALT_UOM5_SIPI")</f>
        <v>ALT_UOM5_SIPI</v>
      </c>
      <c r="I7021" s="136"/>
      <c r="R7021" s="63" t="str">
        <f t="shared" si="60"/>
        <v>ZSI1_ADHESIVE_LEMALT_UOM5_SIPI</v>
      </c>
    </row>
    <row r="7022" ht="15.75" customHeight="1">
      <c r="B7022" s="63">
        <f t="shared" si="1"/>
        <v>17</v>
      </c>
      <c r="C7022" s="135" t="s">
        <v>350</v>
      </c>
      <c r="D7022" s="161" t="s">
        <v>74</v>
      </c>
      <c r="E7022" s="135">
        <f t="shared" si="59"/>
        <v>29</v>
      </c>
      <c r="F7022" s="134" t="s">
        <v>3817</v>
      </c>
      <c r="G7022" s="63" t="str">
        <f>VLOOKUP(C7022, 'Class Def. - General Data'!$C$20:$C$1000,1,false)</f>
        <v>ZSI1_ADHESIVE_LEM</v>
      </c>
      <c r="H7022" s="63" t="str">
        <f>IFERROR(__xludf.DUMMYFUNCTION("VLOOKUP(F7022, IMPORTRANGE(""https://docs.google.com/spreadsheets/d/1Lhp9OU0JdFf_VYSMzH5lBcEaU4o8teT1piV-SNzShjg/edit?gid=554141278#gid=554141278"", ""'Char Def. - Attributes'!C20:C2242""), 1,false)"),"ALT_DENUM_UOM5")</f>
        <v>ALT_DENUM_UOM5</v>
      </c>
      <c r="I7022" s="136"/>
      <c r="R7022" s="63" t="str">
        <f t="shared" si="60"/>
        <v>ZSI1_ADHESIVE_LEMALT_DENUM_UOM5</v>
      </c>
    </row>
    <row r="7023" ht="15.75" customHeight="1">
      <c r="B7023" s="63">
        <f t="shared" si="1"/>
        <v>17</v>
      </c>
      <c r="C7023" s="135" t="s">
        <v>350</v>
      </c>
      <c r="D7023" s="161" t="s">
        <v>74</v>
      </c>
      <c r="E7023" s="135">
        <f t="shared" si="59"/>
        <v>30</v>
      </c>
      <c r="F7023" s="134" t="s">
        <v>3818</v>
      </c>
      <c r="G7023" s="63" t="str">
        <f>VLOOKUP(C7023, 'Class Def. - General Data'!$C$20:$C$1000,1,false)</f>
        <v>ZSI1_ADHESIVE_LEM</v>
      </c>
      <c r="H7023" s="63" t="str">
        <f>IFERROR(__xludf.DUMMYFUNCTION("VLOOKUP(F7023, IMPORTRANGE(""https://docs.google.com/spreadsheets/d/1Lhp9OU0JdFf_VYSMzH5lBcEaU4o8teT1piV-SNzShjg/edit?gid=554141278#gid=554141278"", ""'Char Def. - Attributes'!C20:C2242""), 1,false)"),"ALT_NUM_UOM5")</f>
        <v>ALT_NUM_UOM5</v>
      </c>
      <c r="I7023" s="136"/>
      <c r="R7023" s="63" t="str">
        <f t="shared" si="60"/>
        <v>ZSI1_ADHESIVE_LEMALT_NUM_UOM5</v>
      </c>
    </row>
    <row r="7024" ht="15.75" customHeight="1">
      <c r="B7024" s="63">
        <f t="shared" si="1"/>
        <v>18</v>
      </c>
      <c r="C7024" s="135" t="s">
        <v>351</v>
      </c>
      <c r="D7024" s="161" t="s">
        <v>74</v>
      </c>
      <c r="E7024" s="135">
        <f t="shared" si="59"/>
        <v>1</v>
      </c>
      <c r="F7024" s="134" t="s">
        <v>4072</v>
      </c>
      <c r="G7024" s="63" t="str">
        <f>VLOOKUP(C7024, 'Class Def. - General Data'!$C$20:$C$1000,1,false)</f>
        <v>ZSI1_ADHESIVE_TAPE</v>
      </c>
      <c r="H7024" s="63" t="str">
        <f>IFERROR(__xludf.DUMMYFUNCTION("VLOOKUP(F7024, IMPORTRANGE(""https://docs.google.com/spreadsheets/d/1Lhp9OU0JdFf_VYSMzH5lBcEaU4o8teT1piV-SNzShjg/edit?gid=554141278#gid=554141278"", ""'Char Def. - Attributes'!C20:C2242""), 1,false)"),"ITEM_NAME_ADHESIVE_TAPE")</f>
        <v>ITEM_NAME_ADHESIVE_TAPE</v>
      </c>
      <c r="I7024" s="136"/>
      <c r="R7024" s="63" t="str">
        <f t="shared" si="60"/>
        <v>ZSI1_ADHESIVE_TAPEITEM_NAME_ADHESIVE_TAPE</v>
      </c>
    </row>
    <row r="7025" ht="15.75" customHeight="1">
      <c r="B7025" s="63">
        <f t="shared" si="1"/>
        <v>18</v>
      </c>
      <c r="C7025" s="135" t="s">
        <v>351</v>
      </c>
      <c r="D7025" s="161" t="s">
        <v>74</v>
      </c>
      <c r="E7025" s="135">
        <f t="shared" si="59"/>
        <v>2</v>
      </c>
      <c r="F7025" s="134" t="s">
        <v>4073</v>
      </c>
      <c r="G7025" s="63" t="str">
        <f>VLOOKUP(C7025, 'Class Def. - General Data'!$C$20:$C$1000,1,false)</f>
        <v>ZSI1_ADHESIVE_TAPE</v>
      </c>
      <c r="H7025" s="63" t="str">
        <f>IFERROR(__xludf.DUMMYFUNCTION("VLOOKUP(F7025, IMPORTRANGE(""https://docs.google.com/spreadsheets/d/1Lhp9OU0JdFf_VYSMzH5lBcEaU4o8teT1piV-SNzShjg/edit?gid=554141278#gid=554141278"", ""'Char Def. - Attributes'!C20:C2242""), 1,false)"),"MATERIAL_ADHESIVE_TAPE")</f>
        <v>MATERIAL_ADHESIVE_TAPE</v>
      </c>
      <c r="I7025" s="136"/>
      <c r="R7025" s="63" t="str">
        <f t="shared" si="60"/>
        <v>ZSI1_ADHESIVE_TAPEMATERIAL_ADHESIVE_TAPE</v>
      </c>
    </row>
    <row r="7026" ht="15.75" customHeight="1">
      <c r="B7026" s="63">
        <f t="shared" si="1"/>
        <v>18</v>
      </c>
      <c r="C7026" s="135" t="s">
        <v>351</v>
      </c>
      <c r="D7026" s="161" t="s">
        <v>74</v>
      </c>
      <c r="E7026" s="135">
        <v>3.0</v>
      </c>
      <c r="F7026" s="134" t="s">
        <v>4074</v>
      </c>
      <c r="G7026" s="63" t="str">
        <f>VLOOKUP(C7026, 'Class Def. - General Data'!$C$20:$C$1000,1,false)</f>
        <v>ZSI1_ADHESIVE_TAPE</v>
      </c>
      <c r="H7026" s="63" t="str">
        <f>IFERROR(__xludf.DUMMYFUNCTION("VLOOKUP(F7026, IMPORTRANGE(""https://docs.google.com/spreadsheets/d/1Lhp9OU0JdFf_VYSMzH5lBcEaU4o8teT1piV-SNzShjg/edit?gid=554141278#gid=554141278"", ""'Char Def. - Attributes'!C20:C2242""), 1,false)"),"#N/A")</f>
        <v>#N/A</v>
      </c>
      <c r="I7026" s="136"/>
      <c r="R7026" s="63" t="str">
        <f t="shared" si="60"/>
        <v>ZSI1_ADHESIVE_TAPEDESIGN_ADHESIVE_TAPE</v>
      </c>
    </row>
    <row r="7027" ht="15.75" customHeight="1">
      <c r="B7027" s="63">
        <f t="shared" si="1"/>
        <v>18</v>
      </c>
      <c r="C7027" s="135" t="s">
        <v>351</v>
      </c>
      <c r="D7027" s="161" t="s">
        <v>74</v>
      </c>
      <c r="E7027" s="135">
        <v>4.0</v>
      </c>
      <c r="F7027" s="134" t="s">
        <v>4075</v>
      </c>
      <c r="G7027" s="63" t="str">
        <f>VLOOKUP(C7027, 'Class Def. - General Data'!$C$20:$C$1000,1,false)</f>
        <v>ZSI1_ADHESIVE_TAPE</v>
      </c>
      <c r="H7027" s="63" t="str">
        <f>IFERROR(__xludf.DUMMYFUNCTION("VLOOKUP(F7027, IMPORTRANGE(""https://docs.google.com/spreadsheets/d/1Lhp9OU0JdFf_VYSMzH5lBcEaU4o8teT1piV-SNzShjg/edit?gid=554141278#gid=554141278"", ""'Char Def. - Attributes'!C20:C2242""), 1,false)"),"WIDTH_DIMENSION_ADHESIVE_TAPE")</f>
        <v>WIDTH_DIMENSION_ADHESIVE_TAPE</v>
      </c>
      <c r="I7027" s="136"/>
      <c r="R7027" s="63" t="str">
        <f t="shared" si="60"/>
        <v>ZSI1_ADHESIVE_TAPEWIDTH_DIMENSION_ADHESIVE_TAPE</v>
      </c>
    </row>
    <row r="7028" ht="15.75" customHeight="1">
      <c r="B7028" s="63">
        <f t="shared" si="1"/>
        <v>18</v>
      </c>
      <c r="C7028" s="135" t="s">
        <v>351</v>
      </c>
      <c r="D7028" s="161" t="s">
        <v>74</v>
      </c>
      <c r="E7028" s="135">
        <v>5.0</v>
      </c>
      <c r="F7028" s="134" t="s">
        <v>4076</v>
      </c>
      <c r="G7028" s="63" t="str">
        <f>VLOOKUP(C7028, 'Class Def. - General Data'!$C$20:$C$1000,1,false)</f>
        <v>ZSI1_ADHESIVE_TAPE</v>
      </c>
      <c r="H7028" s="63" t="str">
        <f>IFERROR(__xludf.DUMMYFUNCTION("VLOOKUP(F7028, IMPORTRANGE(""https://docs.google.com/spreadsheets/d/1Lhp9OU0JdFf_VYSMzH5lBcEaU4o8teT1piV-SNzShjg/edit?gid=554141278#gid=554141278"", ""'Char Def. - Attributes'!C20:C2242""), 1,false)"),"WIDTH_MM_ADHESIVE_TAPE")</f>
        <v>WIDTH_MM_ADHESIVE_TAPE</v>
      </c>
      <c r="I7028" s="136"/>
      <c r="R7028" s="63" t="str">
        <f t="shared" si="60"/>
        <v>ZSI1_ADHESIVE_TAPEWIDTH_MM_ADHESIVE_TAPE</v>
      </c>
    </row>
    <row r="7029" ht="15.75" customHeight="1">
      <c r="B7029" s="63">
        <f t="shared" si="1"/>
        <v>18</v>
      </c>
      <c r="C7029" s="135" t="s">
        <v>351</v>
      </c>
      <c r="D7029" s="161" t="s">
        <v>74</v>
      </c>
      <c r="E7029" s="135">
        <f t="shared" ref="E7029:E8116" si="61">COUNTIF($C$20:C7029,C7029)</f>
        <v>6</v>
      </c>
      <c r="F7029" s="134" t="s">
        <v>4077</v>
      </c>
      <c r="G7029" s="63" t="str">
        <f>VLOOKUP(C7029, 'Class Def. - General Data'!$C$20:$C$1000,1,false)</f>
        <v>ZSI1_ADHESIVE_TAPE</v>
      </c>
      <c r="H7029" s="63" t="str">
        <f>IFERROR(__xludf.DUMMYFUNCTION("VLOOKUP(F7029, IMPORTRANGE(""https://docs.google.com/spreadsheets/d/1Lhp9OU0JdFf_VYSMzH5lBcEaU4o8teT1piV-SNzShjg/edit?gid=554141278#gid=554141278"", ""'Char Def. - Attributes'!C20:C2242""), 1,false)"),"WIDTH_INCH_ADHESIVE_TAPE")</f>
        <v>WIDTH_INCH_ADHESIVE_TAPE</v>
      </c>
      <c r="I7029" s="136"/>
      <c r="R7029" s="63" t="str">
        <f t="shared" si="60"/>
        <v>ZSI1_ADHESIVE_TAPEWIDTH_INCH_ADHESIVE_TAPE</v>
      </c>
    </row>
    <row r="7030" ht="15.75" customHeight="1">
      <c r="B7030" s="63">
        <f t="shared" si="1"/>
        <v>18</v>
      </c>
      <c r="C7030" s="135" t="s">
        <v>351</v>
      </c>
      <c r="D7030" s="161" t="s">
        <v>74</v>
      </c>
      <c r="E7030" s="135">
        <f t="shared" si="61"/>
        <v>7</v>
      </c>
      <c r="F7030" s="134" t="s">
        <v>3782</v>
      </c>
      <c r="G7030" s="63" t="str">
        <f>VLOOKUP(C7030, 'Class Def. - General Data'!$C$20:$C$1000,1,false)</f>
        <v>ZSI1_ADHESIVE_TAPE</v>
      </c>
      <c r="H7030" s="63" t="str">
        <f>IFERROR(__xludf.DUMMYFUNCTION("VLOOKUP(F7030, IMPORTRANGE(""https://docs.google.com/spreadsheets/d/1Lhp9OU0JdFf_VYSMzH5lBcEaU4o8teT1piV-SNzShjg/edit?gid=554141278#gid=554141278"", ""'Char Def. - Attributes'!C20:C2242""), 1,false)"),"BRAND_EXTERNAL")</f>
        <v>BRAND_EXTERNAL</v>
      </c>
      <c r="I7030" s="136"/>
      <c r="R7030" s="63" t="str">
        <f t="shared" si="60"/>
        <v>ZSI1_ADHESIVE_TAPEBRAND_EXTERNAL</v>
      </c>
    </row>
    <row r="7031" ht="15.75" customHeight="1">
      <c r="B7031" s="63">
        <f t="shared" si="1"/>
        <v>18</v>
      </c>
      <c r="C7031" s="135" t="s">
        <v>351</v>
      </c>
      <c r="D7031" s="161" t="s">
        <v>74</v>
      </c>
      <c r="E7031" s="135">
        <f t="shared" si="61"/>
        <v>8</v>
      </c>
      <c r="F7031" s="134" t="s">
        <v>3585</v>
      </c>
      <c r="G7031" s="63" t="str">
        <f>VLOOKUP(C7031, 'Class Def. - General Data'!$C$20:$C$1000,1,false)</f>
        <v>ZSI1_ADHESIVE_TAPE</v>
      </c>
      <c r="H7031" s="63" t="str">
        <f>IFERROR(__xludf.DUMMYFUNCTION("VLOOKUP(F7031, IMPORTRANGE(""https://docs.google.com/spreadsheets/d/1Lhp9OU0JdFf_VYSMzH5lBcEaU4o8teT1piV-SNzShjg/edit?gid=554141278#gid=554141278"", ""'Char Def. - Attributes'!C20:C2242""), 1,false)"),"HS_CODE")</f>
        <v>HS_CODE</v>
      </c>
      <c r="I7031" s="136"/>
      <c r="R7031" s="63" t="str">
        <f t="shared" si="60"/>
        <v>ZSI1_ADHESIVE_TAPEHS_CODE</v>
      </c>
    </row>
    <row r="7032" ht="15.75" customHeight="1">
      <c r="B7032" s="63">
        <f t="shared" si="1"/>
        <v>18</v>
      </c>
      <c r="C7032" s="135" t="s">
        <v>351</v>
      </c>
      <c r="D7032" s="161" t="s">
        <v>74</v>
      </c>
      <c r="E7032" s="135">
        <f t="shared" si="61"/>
        <v>9</v>
      </c>
      <c r="F7032" s="134" t="s">
        <v>3587</v>
      </c>
      <c r="G7032" s="63" t="str">
        <f>VLOOKUP(C7032, 'Class Def. - General Data'!$C$20:$C$1000,1,false)</f>
        <v>ZSI1_ADHESIVE_TAPE</v>
      </c>
      <c r="H7032" s="63" t="str">
        <f>IFERROR(__xludf.DUMMYFUNCTION("VLOOKUP(F7032, IMPORTRANGE(""https://docs.google.com/spreadsheets/d/1Lhp9OU0JdFf_VYSMzH5lBcEaU4o8teT1piV-SNzShjg/edit?gid=554141278#gid=554141278"", ""'Char Def. - Attributes'!C20:C2242""), 1,false)"),"PLANT_BUY")</f>
        <v>PLANT_BUY</v>
      </c>
      <c r="I7032" s="136"/>
      <c r="R7032" s="63" t="str">
        <f t="shared" si="60"/>
        <v>ZSI1_ADHESIVE_TAPEPLANT_BUY</v>
      </c>
    </row>
    <row r="7033" ht="15.75" customHeight="1">
      <c r="B7033" s="63">
        <f t="shared" si="1"/>
        <v>18</v>
      </c>
      <c r="C7033" s="135" t="s">
        <v>351</v>
      </c>
      <c r="D7033" s="161" t="s">
        <v>74</v>
      </c>
      <c r="E7033" s="135">
        <f t="shared" si="61"/>
        <v>10</v>
      </c>
      <c r="F7033" s="134" t="s">
        <v>4078</v>
      </c>
      <c r="G7033" s="63" t="str">
        <f>VLOOKUP(C7033, 'Class Def. - General Data'!$C$20:$C$1000,1,false)</f>
        <v>ZSI1_ADHESIVE_TAPE</v>
      </c>
      <c r="H7033" s="63" t="str">
        <f>IFERROR(__xludf.DUMMYFUNCTION("VLOOKUP(F7033, IMPORTRANGE(""https://docs.google.com/spreadsheets/d/1Lhp9OU0JdFf_VYSMzH5lBcEaU4o8teT1piV-SNzShjg/edit?gid=554141278#gid=554141278"", ""'Char Def. - Attributes'!C20:C2242""), 1,false)"),"BASE_UOM_ADHESIVE_TAPE")</f>
        <v>BASE_UOM_ADHESIVE_TAPE</v>
      </c>
      <c r="I7033" s="136"/>
      <c r="R7033" s="63" t="str">
        <f t="shared" si="60"/>
        <v>ZSI1_ADHESIVE_TAPEBASE_UOM_ADHESIVE_TAPE</v>
      </c>
    </row>
    <row r="7034" ht="15.75" customHeight="1">
      <c r="B7034" s="63">
        <f t="shared" si="1"/>
        <v>18</v>
      </c>
      <c r="C7034" s="135" t="s">
        <v>351</v>
      </c>
      <c r="D7034" s="161" t="s">
        <v>74</v>
      </c>
      <c r="E7034" s="135">
        <f t="shared" si="61"/>
        <v>11</v>
      </c>
      <c r="F7034" s="134" t="s">
        <v>4079</v>
      </c>
      <c r="G7034" s="63" t="str">
        <f>VLOOKUP(C7034, 'Class Def. - General Data'!$C$20:$C$1000,1,false)</f>
        <v>ZSI1_ADHESIVE_TAPE</v>
      </c>
      <c r="H7034" s="63" t="str">
        <f>IFERROR(__xludf.DUMMYFUNCTION("VLOOKUP(F7034, IMPORTRANGE(""https://docs.google.com/spreadsheets/d/1Lhp9OU0JdFf_VYSMzH5lBcEaU4o8teT1piV-SNzShjg/edit?gid=554141278#gid=554141278"", ""'Char Def. - Attributes'!C20:C2242""), 1,false)"),"ORDER_UNIT_ADHESIVE_TAPE")</f>
        <v>ORDER_UNIT_ADHESIVE_TAPE</v>
      </c>
      <c r="I7034" s="136"/>
      <c r="R7034" s="63" t="str">
        <f t="shared" si="60"/>
        <v>ZSI1_ADHESIVE_TAPEORDER_UNIT_ADHESIVE_TAPE</v>
      </c>
    </row>
    <row r="7035" ht="15.75" customHeight="1">
      <c r="B7035" s="63">
        <f t="shared" si="1"/>
        <v>18</v>
      </c>
      <c r="C7035" s="135" t="s">
        <v>351</v>
      </c>
      <c r="D7035" s="161" t="s">
        <v>74</v>
      </c>
      <c r="E7035" s="135">
        <f t="shared" si="61"/>
        <v>12</v>
      </c>
      <c r="F7035" s="134" t="s">
        <v>4056</v>
      </c>
      <c r="G7035" s="63" t="str">
        <f>VLOOKUP(C7035, 'Class Def. - General Data'!$C$20:$C$1000,1,false)</f>
        <v>ZSI1_ADHESIVE_TAPE</v>
      </c>
      <c r="H7035" s="63" t="str">
        <f>IFERROR(__xludf.DUMMYFUNCTION("VLOOKUP(F7035, IMPORTRANGE(""https://docs.google.com/spreadsheets/d/1Lhp9OU0JdFf_VYSMzH5lBcEaU4o8teT1piV-SNzShjg/edit?gid=554141278#gid=554141278"", ""'Char Def. - Attributes'!C20:C2242""), 1,false)"),"GROSS_WEIGHT_OPT")</f>
        <v>GROSS_WEIGHT_OPT</v>
      </c>
      <c r="I7035" s="136"/>
      <c r="R7035" s="63" t="str">
        <f t="shared" si="60"/>
        <v>ZSI1_ADHESIVE_TAPEGROSS_WEIGHT_OPT</v>
      </c>
    </row>
    <row r="7036" ht="15.75" customHeight="1">
      <c r="B7036" s="63">
        <f t="shared" si="1"/>
        <v>18</v>
      </c>
      <c r="C7036" s="135" t="s">
        <v>351</v>
      </c>
      <c r="D7036" s="161" t="s">
        <v>74</v>
      </c>
      <c r="E7036" s="135">
        <f t="shared" si="61"/>
        <v>13</v>
      </c>
      <c r="F7036" s="134" t="s">
        <v>4057</v>
      </c>
      <c r="G7036" s="63" t="str">
        <f>VLOOKUP(C7036, 'Class Def. - General Data'!$C$20:$C$1000,1,false)</f>
        <v>ZSI1_ADHESIVE_TAPE</v>
      </c>
      <c r="H7036" s="63" t="str">
        <f>IFERROR(__xludf.DUMMYFUNCTION("VLOOKUP(F7036, IMPORTRANGE(""https://docs.google.com/spreadsheets/d/1Lhp9OU0JdFf_VYSMzH5lBcEaU4o8teT1piV-SNzShjg/edit?gid=554141278#gid=554141278"", ""'Char Def. - Attributes'!C20:C2242""), 1,false)"),"NET_WEIGHT_OPT")</f>
        <v>NET_WEIGHT_OPT</v>
      </c>
      <c r="I7036" s="136"/>
      <c r="R7036" s="63" t="str">
        <f t="shared" si="60"/>
        <v>ZSI1_ADHESIVE_TAPENET_WEIGHT_OPT</v>
      </c>
    </row>
    <row r="7037" ht="15.75" customHeight="1">
      <c r="B7037" s="63">
        <f t="shared" si="1"/>
        <v>18</v>
      </c>
      <c r="C7037" s="135" t="s">
        <v>351</v>
      </c>
      <c r="D7037" s="161" t="s">
        <v>74</v>
      </c>
      <c r="E7037" s="135">
        <f t="shared" si="61"/>
        <v>14</v>
      </c>
      <c r="F7037" s="134" t="s">
        <v>4058</v>
      </c>
      <c r="G7037" s="63" t="str">
        <f>VLOOKUP(C7037, 'Class Def. - General Data'!$C$20:$C$1000,1,false)</f>
        <v>ZSI1_ADHESIVE_TAPE</v>
      </c>
      <c r="H7037" s="63" t="str">
        <f>IFERROR(__xludf.DUMMYFUNCTION("VLOOKUP(F7037, IMPORTRANGE(""https://docs.google.com/spreadsheets/d/1Lhp9OU0JdFf_VYSMzH5lBcEaU4o8teT1piV-SNzShjg/edit?gid=554141278#gid=554141278"", ""'Char Def. - Attributes'!C20:C2242""), 1,false)"),"WEIGHT_UNIT_SI")</f>
        <v>WEIGHT_UNIT_SI</v>
      </c>
      <c r="I7037" s="136"/>
      <c r="R7037" s="63" t="str">
        <f t="shared" si="60"/>
        <v>ZSI1_ADHESIVE_TAPEWEIGHT_UNIT_SI</v>
      </c>
    </row>
    <row r="7038" ht="15.75" customHeight="1">
      <c r="B7038" s="63">
        <f t="shared" si="1"/>
        <v>18</v>
      </c>
      <c r="C7038" s="135" t="s">
        <v>351</v>
      </c>
      <c r="D7038" s="161" t="s">
        <v>74</v>
      </c>
      <c r="E7038" s="135">
        <f t="shared" si="61"/>
        <v>15</v>
      </c>
      <c r="F7038" s="134" t="s">
        <v>3877</v>
      </c>
      <c r="G7038" s="63" t="str">
        <f>VLOOKUP(C7038, 'Class Def. - General Data'!$C$20:$C$1000,1,false)</f>
        <v>ZSI1_ADHESIVE_TAPE</v>
      </c>
      <c r="H7038" s="63" t="str">
        <f>IFERROR(__xludf.DUMMYFUNCTION("VLOOKUP(F7038, IMPORTRANGE(""https://docs.google.com/spreadsheets/d/1Lhp9OU0JdFf_VYSMzH5lBcEaU4o8teT1piV-SNzShjg/edit?gid=554141278#gid=554141278"", ""'Char Def. - Attributes'!C20:C2242""), 1,false)"),"VOLUME_OPT")</f>
        <v>VOLUME_OPT</v>
      </c>
      <c r="I7038" s="136"/>
      <c r="R7038" s="63" t="str">
        <f t="shared" si="60"/>
        <v>ZSI1_ADHESIVE_TAPEVOLUME_OPT</v>
      </c>
    </row>
    <row r="7039" ht="15.75" customHeight="1">
      <c r="B7039" s="63">
        <f t="shared" si="1"/>
        <v>18</v>
      </c>
      <c r="C7039" s="135" t="s">
        <v>351</v>
      </c>
      <c r="D7039" s="161" t="s">
        <v>74</v>
      </c>
      <c r="E7039" s="135">
        <f t="shared" si="61"/>
        <v>16</v>
      </c>
      <c r="F7039" s="134" t="s">
        <v>4059</v>
      </c>
      <c r="G7039" s="63" t="str">
        <f>VLOOKUP(C7039, 'Class Def. - General Data'!$C$20:$C$1000,1,false)</f>
        <v>ZSI1_ADHESIVE_TAPE</v>
      </c>
      <c r="H7039" s="63" t="str">
        <f>IFERROR(__xludf.DUMMYFUNCTION("VLOOKUP(F7039, IMPORTRANGE(""https://docs.google.com/spreadsheets/d/1Lhp9OU0JdFf_VYSMzH5lBcEaU4o8teT1piV-SNzShjg/edit?gid=554141278#gid=554141278"", ""'Char Def. - Attributes'!C20:C2242""), 1,false)"),"VOLUME_UNIT_SI")</f>
        <v>VOLUME_UNIT_SI</v>
      </c>
      <c r="I7039" s="136"/>
      <c r="R7039" s="63" t="str">
        <f t="shared" si="60"/>
        <v>ZSI1_ADHESIVE_TAPEVOLUME_UNIT_SI</v>
      </c>
    </row>
    <row r="7040" ht="15.75" customHeight="1">
      <c r="B7040" s="63">
        <f t="shared" si="1"/>
        <v>18</v>
      </c>
      <c r="C7040" s="135" t="s">
        <v>351</v>
      </c>
      <c r="D7040" s="161" t="s">
        <v>74</v>
      </c>
      <c r="E7040" s="135">
        <f t="shared" si="61"/>
        <v>17</v>
      </c>
      <c r="F7040" s="134" t="s">
        <v>3804</v>
      </c>
      <c r="G7040" s="63" t="str">
        <f>VLOOKUP(C7040, 'Class Def. - General Data'!$C$20:$C$1000,1,false)</f>
        <v>ZSI1_ADHESIVE_TAPE</v>
      </c>
      <c r="H7040" s="63" t="str">
        <f>IFERROR(__xludf.DUMMYFUNCTION("VLOOKUP(F7040, IMPORTRANGE(""https://docs.google.com/spreadsheets/d/1Lhp9OU0JdFf_VYSMzH5lBcEaU4o8teT1piV-SNzShjg/edit?gid=554141278#gid=554141278"", ""'Char Def. - Attributes'!C20:C2242""), 1,false)"),"ALT_UOM1_SIPI")</f>
        <v>ALT_UOM1_SIPI</v>
      </c>
      <c r="I7040" s="136"/>
      <c r="R7040" s="63" t="str">
        <f t="shared" si="60"/>
        <v>ZSI1_ADHESIVE_TAPEALT_UOM1_SIPI</v>
      </c>
    </row>
    <row r="7041" ht="15.75" customHeight="1">
      <c r="B7041" s="63">
        <f t="shared" si="1"/>
        <v>18</v>
      </c>
      <c r="C7041" s="135" t="s">
        <v>351</v>
      </c>
      <c r="D7041" s="161" t="s">
        <v>74</v>
      </c>
      <c r="E7041" s="135">
        <f t="shared" si="61"/>
        <v>18</v>
      </c>
      <c r="F7041" s="134" t="s">
        <v>3805</v>
      </c>
      <c r="G7041" s="63" t="str">
        <f>VLOOKUP(C7041, 'Class Def. - General Data'!$C$20:$C$1000,1,false)</f>
        <v>ZSI1_ADHESIVE_TAPE</v>
      </c>
      <c r="H7041" s="63" t="str">
        <f>IFERROR(__xludf.DUMMYFUNCTION("VLOOKUP(F7041, IMPORTRANGE(""https://docs.google.com/spreadsheets/d/1Lhp9OU0JdFf_VYSMzH5lBcEaU4o8teT1piV-SNzShjg/edit?gid=554141278#gid=554141278"", ""'Char Def. - Attributes'!C20:C2242""), 1,false)"),"ALT_DENUM_UOM1")</f>
        <v>ALT_DENUM_UOM1</v>
      </c>
      <c r="I7041" s="136"/>
      <c r="R7041" s="63" t="str">
        <f t="shared" si="60"/>
        <v>ZSI1_ADHESIVE_TAPEALT_DENUM_UOM1</v>
      </c>
    </row>
    <row r="7042" ht="15.75" customHeight="1">
      <c r="B7042" s="63">
        <f t="shared" si="1"/>
        <v>18</v>
      </c>
      <c r="C7042" s="135" t="s">
        <v>351</v>
      </c>
      <c r="D7042" s="161" t="s">
        <v>74</v>
      </c>
      <c r="E7042" s="135">
        <f t="shared" si="61"/>
        <v>19</v>
      </c>
      <c r="F7042" s="134" t="s">
        <v>3806</v>
      </c>
      <c r="G7042" s="63" t="str">
        <f>VLOOKUP(C7042, 'Class Def. - General Data'!$C$20:$C$1000,1,false)</f>
        <v>ZSI1_ADHESIVE_TAPE</v>
      </c>
      <c r="H7042" s="63" t="str">
        <f>IFERROR(__xludf.DUMMYFUNCTION("VLOOKUP(F7042, IMPORTRANGE(""https://docs.google.com/spreadsheets/d/1Lhp9OU0JdFf_VYSMzH5lBcEaU4o8teT1piV-SNzShjg/edit?gid=554141278#gid=554141278"", ""'Char Def. - Attributes'!C20:C2242""), 1,false)"),"ALT_NUM_UOM1")</f>
        <v>ALT_NUM_UOM1</v>
      </c>
      <c r="I7042" s="136"/>
      <c r="R7042" s="63" t="str">
        <f t="shared" si="60"/>
        <v>ZSI1_ADHESIVE_TAPEALT_NUM_UOM1</v>
      </c>
    </row>
    <row r="7043" ht="15.75" customHeight="1">
      <c r="B7043" s="63">
        <f t="shared" si="1"/>
        <v>18</v>
      </c>
      <c r="C7043" s="135" t="s">
        <v>351</v>
      </c>
      <c r="D7043" s="161" t="s">
        <v>74</v>
      </c>
      <c r="E7043" s="135">
        <f t="shared" si="61"/>
        <v>20</v>
      </c>
      <c r="F7043" s="134" t="s">
        <v>3807</v>
      </c>
      <c r="G7043" s="63" t="str">
        <f>VLOOKUP(C7043, 'Class Def. - General Data'!$C$20:$C$1000,1,false)</f>
        <v>ZSI1_ADHESIVE_TAPE</v>
      </c>
      <c r="H7043" s="63" t="str">
        <f>IFERROR(__xludf.DUMMYFUNCTION("VLOOKUP(F7043, IMPORTRANGE(""https://docs.google.com/spreadsheets/d/1Lhp9OU0JdFf_VYSMzH5lBcEaU4o8teT1piV-SNzShjg/edit?gid=554141278#gid=554141278"", ""'Char Def. - Attributes'!C20:C2242""), 1,false)"),"ALT_UOM2_SIPI")</f>
        <v>ALT_UOM2_SIPI</v>
      </c>
      <c r="I7043" s="136"/>
      <c r="R7043" s="63" t="str">
        <f t="shared" si="60"/>
        <v>ZSI1_ADHESIVE_TAPEALT_UOM2_SIPI</v>
      </c>
    </row>
    <row r="7044" ht="15.75" customHeight="1">
      <c r="B7044" s="63">
        <f t="shared" si="1"/>
        <v>18</v>
      </c>
      <c r="C7044" s="135" t="s">
        <v>351</v>
      </c>
      <c r="D7044" s="161" t="s">
        <v>74</v>
      </c>
      <c r="E7044" s="135">
        <f t="shared" si="61"/>
        <v>21</v>
      </c>
      <c r="F7044" s="134" t="s">
        <v>3808</v>
      </c>
      <c r="G7044" s="63" t="str">
        <f>VLOOKUP(C7044, 'Class Def. - General Data'!$C$20:$C$1000,1,false)</f>
        <v>ZSI1_ADHESIVE_TAPE</v>
      </c>
      <c r="H7044" s="63" t="str">
        <f>IFERROR(__xludf.DUMMYFUNCTION("VLOOKUP(F7044, IMPORTRANGE(""https://docs.google.com/spreadsheets/d/1Lhp9OU0JdFf_VYSMzH5lBcEaU4o8teT1piV-SNzShjg/edit?gid=554141278#gid=554141278"", ""'Char Def. - Attributes'!C20:C2242""), 1,false)"),"ALT_DENUM_UOM2")</f>
        <v>ALT_DENUM_UOM2</v>
      </c>
      <c r="I7044" s="136"/>
      <c r="R7044" s="63" t="str">
        <f t="shared" si="60"/>
        <v>ZSI1_ADHESIVE_TAPEALT_DENUM_UOM2</v>
      </c>
    </row>
    <row r="7045" ht="15.75" customHeight="1">
      <c r="B7045" s="63">
        <f t="shared" si="1"/>
        <v>18</v>
      </c>
      <c r="C7045" s="135" t="s">
        <v>351</v>
      </c>
      <c r="D7045" s="161" t="s">
        <v>74</v>
      </c>
      <c r="E7045" s="135">
        <f t="shared" si="61"/>
        <v>22</v>
      </c>
      <c r="F7045" s="134" t="s">
        <v>3809</v>
      </c>
      <c r="G7045" s="63" t="str">
        <f>VLOOKUP(C7045, 'Class Def. - General Data'!$C$20:$C$1000,1,false)</f>
        <v>ZSI1_ADHESIVE_TAPE</v>
      </c>
      <c r="H7045" s="63" t="str">
        <f>IFERROR(__xludf.DUMMYFUNCTION("VLOOKUP(F7045, IMPORTRANGE(""https://docs.google.com/spreadsheets/d/1Lhp9OU0JdFf_VYSMzH5lBcEaU4o8teT1piV-SNzShjg/edit?gid=554141278#gid=554141278"", ""'Char Def. - Attributes'!C20:C2242""), 1,false)"),"ALT_NUM_UOM2")</f>
        <v>ALT_NUM_UOM2</v>
      </c>
      <c r="I7045" s="136"/>
      <c r="R7045" s="63" t="str">
        <f t="shared" si="60"/>
        <v>ZSI1_ADHESIVE_TAPEALT_NUM_UOM2</v>
      </c>
    </row>
    <row r="7046" ht="15.75" customHeight="1">
      <c r="B7046" s="63">
        <f t="shared" si="1"/>
        <v>18</v>
      </c>
      <c r="C7046" s="135" t="s">
        <v>351</v>
      </c>
      <c r="D7046" s="161" t="s">
        <v>74</v>
      </c>
      <c r="E7046" s="135">
        <f t="shared" si="61"/>
        <v>23</v>
      </c>
      <c r="F7046" s="134" t="s">
        <v>3810</v>
      </c>
      <c r="G7046" s="63" t="str">
        <f>VLOOKUP(C7046, 'Class Def. - General Data'!$C$20:$C$1000,1,false)</f>
        <v>ZSI1_ADHESIVE_TAPE</v>
      </c>
      <c r="H7046" s="63" t="str">
        <f>IFERROR(__xludf.DUMMYFUNCTION("VLOOKUP(F7046, IMPORTRANGE(""https://docs.google.com/spreadsheets/d/1Lhp9OU0JdFf_VYSMzH5lBcEaU4o8teT1piV-SNzShjg/edit?gid=554141278#gid=554141278"", ""'Char Def. - Attributes'!C20:C2242""), 1,false)"),"ALT_UOM3_SIPI")</f>
        <v>ALT_UOM3_SIPI</v>
      </c>
      <c r="I7046" s="136"/>
      <c r="R7046" s="63" t="str">
        <f t="shared" si="60"/>
        <v>ZSI1_ADHESIVE_TAPEALT_UOM3_SIPI</v>
      </c>
    </row>
    <row r="7047" ht="15.75" customHeight="1">
      <c r="B7047" s="63">
        <f t="shared" si="1"/>
        <v>18</v>
      </c>
      <c r="C7047" s="135" t="s">
        <v>351</v>
      </c>
      <c r="D7047" s="161" t="s">
        <v>74</v>
      </c>
      <c r="E7047" s="135">
        <f t="shared" si="61"/>
        <v>24</v>
      </c>
      <c r="F7047" s="134" t="s">
        <v>3811</v>
      </c>
      <c r="G7047" s="63" t="str">
        <f>VLOOKUP(C7047, 'Class Def. - General Data'!$C$20:$C$1000,1,false)</f>
        <v>ZSI1_ADHESIVE_TAPE</v>
      </c>
      <c r="H7047" s="63" t="str">
        <f>IFERROR(__xludf.DUMMYFUNCTION("VLOOKUP(F7047, IMPORTRANGE(""https://docs.google.com/spreadsheets/d/1Lhp9OU0JdFf_VYSMzH5lBcEaU4o8teT1piV-SNzShjg/edit?gid=554141278#gid=554141278"", ""'Char Def. - Attributes'!C20:C2242""), 1,false)"),"ALT_DENUM_UOM3")</f>
        <v>ALT_DENUM_UOM3</v>
      </c>
      <c r="I7047" s="136"/>
      <c r="R7047" s="63" t="str">
        <f t="shared" si="60"/>
        <v>ZSI1_ADHESIVE_TAPEALT_DENUM_UOM3</v>
      </c>
    </row>
    <row r="7048" ht="15.75" customHeight="1">
      <c r="B7048" s="63">
        <f t="shared" si="1"/>
        <v>18</v>
      </c>
      <c r="C7048" s="135" t="s">
        <v>351</v>
      </c>
      <c r="D7048" s="161" t="s">
        <v>74</v>
      </c>
      <c r="E7048" s="135">
        <f t="shared" si="61"/>
        <v>25</v>
      </c>
      <c r="F7048" s="134" t="s">
        <v>3812</v>
      </c>
      <c r="G7048" s="63" t="str">
        <f>VLOOKUP(C7048, 'Class Def. - General Data'!$C$20:$C$1000,1,false)</f>
        <v>ZSI1_ADHESIVE_TAPE</v>
      </c>
      <c r="H7048" s="63" t="str">
        <f>IFERROR(__xludf.DUMMYFUNCTION("VLOOKUP(F7048, IMPORTRANGE(""https://docs.google.com/spreadsheets/d/1Lhp9OU0JdFf_VYSMzH5lBcEaU4o8teT1piV-SNzShjg/edit?gid=554141278#gid=554141278"", ""'Char Def. - Attributes'!C20:C2242""), 1,false)"),"ALT_NUM_UOM3")</f>
        <v>ALT_NUM_UOM3</v>
      </c>
      <c r="I7048" s="136"/>
      <c r="R7048" s="63" t="str">
        <f t="shared" si="60"/>
        <v>ZSI1_ADHESIVE_TAPEALT_NUM_UOM3</v>
      </c>
    </row>
    <row r="7049" ht="15.75" customHeight="1">
      <c r="B7049" s="63">
        <f t="shared" si="1"/>
        <v>18</v>
      </c>
      <c r="C7049" s="135" t="s">
        <v>351</v>
      </c>
      <c r="D7049" s="161" t="s">
        <v>74</v>
      </c>
      <c r="E7049" s="135">
        <f t="shared" si="61"/>
        <v>26</v>
      </c>
      <c r="F7049" s="134" t="s">
        <v>3813</v>
      </c>
      <c r="G7049" s="63" t="str">
        <f>VLOOKUP(C7049, 'Class Def. - General Data'!$C$20:$C$1000,1,false)</f>
        <v>ZSI1_ADHESIVE_TAPE</v>
      </c>
      <c r="H7049" s="63" t="str">
        <f>IFERROR(__xludf.DUMMYFUNCTION("VLOOKUP(F7049, IMPORTRANGE(""https://docs.google.com/spreadsheets/d/1Lhp9OU0JdFf_VYSMzH5lBcEaU4o8teT1piV-SNzShjg/edit?gid=554141278#gid=554141278"", ""'Char Def. - Attributes'!C20:C2242""), 1,false)"),"ALT_UOM4_SIPI")</f>
        <v>ALT_UOM4_SIPI</v>
      </c>
      <c r="I7049" s="136"/>
      <c r="R7049" s="63" t="str">
        <f t="shared" si="60"/>
        <v>ZSI1_ADHESIVE_TAPEALT_UOM4_SIPI</v>
      </c>
    </row>
    <row r="7050" ht="15.75" customHeight="1">
      <c r="B7050" s="63">
        <f t="shared" si="1"/>
        <v>18</v>
      </c>
      <c r="C7050" s="135" t="s">
        <v>351</v>
      </c>
      <c r="D7050" s="161" t="s">
        <v>74</v>
      </c>
      <c r="E7050" s="135">
        <f t="shared" si="61"/>
        <v>27</v>
      </c>
      <c r="F7050" s="134" t="s">
        <v>3814</v>
      </c>
      <c r="G7050" s="63" t="str">
        <f>VLOOKUP(C7050, 'Class Def. - General Data'!$C$20:$C$1000,1,false)</f>
        <v>ZSI1_ADHESIVE_TAPE</v>
      </c>
      <c r="H7050" s="63" t="str">
        <f>IFERROR(__xludf.DUMMYFUNCTION("VLOOKUP(F7050, IMPORTRANGE(""https://docs.google.com/spreadsheets/d/1Lhp9OU0JdFf_VYSMzH5lBcEaU4o8teT1piV-SNzShjg/edit?gid=554141278#gid=554141278"", ""'Char Def. - Attributes'!C20:C2242""), 1,false)"),"ALT_DENUM_UOM4")</f>
        <v>ALT_DENUM_UOM4</v>
      </c>
      <c r="I7050" s="136"/>
      <c r="R7050" s="63" t="str">
        <f t="shared" si="60"/>
        <v>ZSI1_ADHESIVE_TAPEALT_DENUM_UOM4</v>
      </c>
    </row>
    <row r="7051" ht="15.75" customHeight="1">
      <c r="B7051" s="63">
        <f t="shared" si="1"/>
        <v>18</v>
      </c>
      <c r="C7051" s="135" t="s">
        <v>351</v>
      </c>
      <c r="D7051" s="161" t="s">
        <v>74</v>
      </c>
      <c r="E7051" s="135">
        <f t="shared" si="61"/>
        <v>28</v>
      </c>
      <c r="F7051" s="134" t="s">
        <v>3815</v>
      </c>
      <c r="G7051" s="63" t="str">
        <f>VLOOKUP(C7051, 'Class Def. - General Data'!$C$20:$C$1000,1,false)</f>
        <v>ZSI1_ADHESIVE_TAPE</v>
      </c>
      <c r="H7051" s="63" t="str">
        <f>IFERROR(__xludf.DUMMYFUNCTION("VLOOKUP(F7051, IMPORTRANGE(""https://docs.google.com/spreadsheets/d/1Lhp9OU0JdFf_VYSMzH5lBcEaU4o8teT1piV-SNzShjg/edit?gid=554141278#gid=554141278"", ""'Char Def. - Attributes'!C20:C2242""), 1,false)"),"ALT_NUM_UOM4")</f>
        <v>ALT_NUM_UOM4</v>
      </c>
      <c r="I7051" s="136"/>
      <c r="R7051" s="63" t="str">
        <f t="shared" si="60"/>
        <v>ZSI1_ADHESIVE_TAPEALT_NUM_UOM4</v>
      </c>
    </row>
    <row r="7052" ht="15.75" customHeight="1">
      <c r="B7052" s="63">
        <f t="shared" si="1"/>
        <v>18</v>
      </c>
      <c r="C7052" s="135" t="s">
        <v>351</v>
      </c>
      <c r="D7052" s="161" t="s">
        <v>74</v>
      </c>
      <c r="E7052" s="135">
        <f t="shared" si="61"/>
        <v>29</v>
      </c>
      <c r="F7052" s="134" t="s">
        <v>3816</v>
      </c>
      <c r="G7052" s="63" t="str">
        <f>VLOOKUP(C7052, 'Class Def. - General Data'!$C$20:$C$1000,1,false)</f>
        <v>ZSI1_ADHESIVE_TAPE</v>
      </c>
      <c r="H7052" s="63" t="str">
        <f>IFERROR(__xludf.DUMMYFUNCTION("VLOOKUP(F7052, IMPORTRANGE(""https://docs.google.com/spreadsheets/d/1Lhp9OU0JdFf_VYSMzH5lBcEaU4o8teT1piV-SNzShjg/edit?gid=554141278#gid=554141278"", ""'Char Def. - Attributes'!C20:C2242""), 1,false)"),"ALT_UOM5_SIPI")</f>
        <v>ALT_UOM5_SIPI</v>
      </c>
      <c r="I7052" s="136"/>
      <c r="R7052" s="63" t="str">
        <f t="shared" si="60"/>
        <v>ZSI1_ADHESIVE_TAPEALT_UOM5_SIPI</v>
      </c>
    </row>
    <row r="7053" ht="15.75" customHeight="1">
      <c r="B7053" s="63">
        <f t="shared" si="1"/>
        <v>18</v>
      </c>
      <c r="C7053" s="135" t="s">
        <v>351</v>
      </c>
      <c r="D7053" s="161" t="s">
        <v>74</v>
      </c>
      <c r="E7053" s="135">
        <f t="shared" si="61"/>
        <v>30</v>
      </c>
      <c r="F7053" s="134" t="s">
        <v>3817</v>
      </c>
      <c r="G7053" s="63" t="str">
        <f>VLOOKUP(C7053, 'Class Def. - General Data'!$C$20:$C$1000,1,false)</f>
        <v>ZSI1_ADHESIVE_TAPE</v>
      </c>
      <c r="H7053" s="63" t="str">
        <f>IFERROR(__xludf.DUMMYFUNCTION("VLOOKUP(F7053, IMPORTRANGE(""https://docs.google.com/spreadsheets/d/1Lhp9OU0JdFf_VYSMzH5lBcEaU4o8teT1piV-SNzShjg/edit?gid=554141278#gid=554141278"", ""'Char Def. - Attributes'!C20:C2242""), 1,false)"),"ALT_DENUM_UOM5")</f>
        <v>ALT_DENUM_UOM5</v>
      </c>
      <c r="I7053" s="136"/>
      <c r="R7053" s="63" t="str">
        <f t="shared" si="60"/>
        <v>ZSI1_ADHESIVE_TAPEALT_DENUM_UOM5</v>
      </c>
    </row>
    <row r="7054" ht="15.75" customHeight="1">
      <c r="B7054" s="63">
        <f t="shared" si="1"/>
        <v>18</v>
      </c>
      <c r="C7054" s="135" t="s">
        <v>351</v>
      </c>
      <c r="D7054" s="161" t="s">
        <v>74</v>
      </c>
      <c r="E7054" s="135">
        <f t="shared" si="61"/>
        <v>31</v>
      </c>
      <c r="F7054" s="134" t="s">
        <v>3818</v>
      </c>
      <c r="G7054" s="63" t="str">
        <f>VLOOKUP(C7054, 'Class Def. - General Data'!$C$20:$C$1000,1,false)</f>
        <v>ZSI1_ADHESIVE_TAPE</v>
      </c>
      <c r="H7054" s="63" t="str">
        <f>IFERROR(__xludf.DUMMYFUNCTION("VLOOKUP(F7054, IMPORTRANGE(""https://docs.google.com/spreadsheets/d/1Lhp9OU0JdFf_VYSMzH5lBcEaU4o8teT1piV-SNzShjg/edit?gid=554141278#gid=554141278"", ""'Char Def. - Attributes'!C20:C2242""), 1,false)"),"ALT_NUM_UOM5")</f>
        <v>ALT_NUM_UOM5</v>
      </c>
      <c r="I7054" s="136"/>
      <c r="R7054" s="63" t="str">
        <f t="shared" si="60"/>
        <v>ZSI1_ADHESIVE_TAPEALT_NUM_UOM5</v>
      </c>
    </row>
    <row r="7055" ht="15.75" customHeight="1">
      <c r="B7055" s="63">
        <f t="shared" si="1"/>
        <v>16</v>
      </c>
      <c r="C7055" s="135" t="s">
        <v>352</v>
      </c>
      <c r="D7055" s="161" t="s">
        <v>74</v>
      </c>
      <c r="E7055" s="135">
        <f t="shared" si="61"/>
        <v>1</v>
      </c>
      <c r="F7055" s="134" t="s">
        <v>4080</v>
      </c>
      <c r="G7055" s="63" t="str">
        <f>VLOOKUP(C7055, 'Class Def. - General Data'!$C$20:$C$1000,1,false)</f>
        <v>ZSI1_AIR_COOLANT</v>
      </c>
      <c r="H7055" s="63" t="str">
        <f>IFERROR(__xludf.DUMMYFUNCTION("VLOOKUP(F7055, IMPORTRANGE(""https://docs.google.com/spreadsheets/d/1Lhp9OU0JdFf_VYSMzH5lBcEaU4o8teT1piV-SNzShjg/edit?gid=554141278#gid=554141278"", ""'Char Def. - Attributes'!C20:C2242""), 1,false)"),"ITEM_NAME_AIR_COOLANT")</f>
        <v>ITEM_NAME_AIR_COOLANT</v>
      </c>
      <c r="I7055" s="136"/>
      <c r="R7055" s="63" t="str">
        <f t="shared" si="60"/>
        <v>ZSI1_AIR_COOLANTITEM_NAME_AIR_COOLANT</v>
      </c>
    </row>
    <row r="7056" ht="15.75" customHeight="1">
      <c r="B7056" s="63">
        <f t="shared" si="1"/>
        <v>16</v>
      </c>
      <c r="C7056" s="135" t="s">
        <v>352</v>
      </c>
      <c r="D7056" s="161" t="s">
        <v>74</v>
      </c>
      <c r="E7056" s="135">
        <f t="shared" si="61"/>
        <v>2</v>
      </c>
      <c r="F7056" s="134" t="s">
        <v>4081</v>
      </c>
      <c r="G7056" s="63" t="str">
        <f>VLOOKUP(C7056, 'Class Def. - General Data'!$C$20:$C$1000,1,false)</f>
        <v>ZSI1_AIR_COOLANT</v>
      </c>
      <c r="H7056" s="63" t="str">
        <f>IFERROR(__xludf.DUMMYFUNCTION("VLOOKUP(F7056, IMPORTRANGE(""https://docs.google.com/spreadsheets/d/1Lhp9OU0JdFf_VYSMzH5lBcEaU4o8teT1piV-SNzShjg/edit?gid=554141278#gid=554141278"", ""'Char Def. - Attributes'!C20:C2242""), 1,false)"),"SERIES_AIR_COOLANT")</f>
        <v>SERIES_AIR_COOLANT</v>
      </c>
      <c r="I7056" s="136"/>
      <c r="R7056" s="63" t="str">
        <f t="shared" si="60"/>
        <v>ZSI1_AIR_COOLANTSERIES_AIR_COOLANT</v>
      </c>
    </row>
    <row r="7057" ht="15.75" customHeight="1">
      <c r="B7057" s="63">
        <f t="shared" si="1"/>
        <v>16</v>
      </c>
      <c r="C7057" s="135" t="s">
        <v>352</v>
      </c>
      <c r="D7057" s="161" t="s">
        <v>74</v>
      </c>
      <c r="E7057" s="135">
        <f t="shared" si="61"/>
        <v>3</v>
      </c>
      <c r="F7057" s="134" t="s">
        <v>3782</v>
      </c>
      <c r="G7057" s="63" t="str">
        <f>VLOOKUP(C7057, 'Class Def. - General Data'!$C$20:$C$1000,1,false)</f>
        <v>ZSI1_AIR_COOLANT</v>
      </c>
      <c r="H7057" s="63" t="str">
        <f>IFERROR(__xludf.DUMMYFUNCTION("VLOOKUP(F7057, IMPORTRANGE(""https://docs.google.com/spreadsheets/d/1Lhp9OU0JdFf_VYSMzH5lBcEaU4o8teT1piV-SNzShjg/edit?gid=554141278#gid=554141278"", ""'Char Def. - Attributes'!C20:C2242""), 1,false)"),"BRAND_EXTERNAL")</f>
        <v>BRAND_EXTERNAL</v>
      </c>
      <c r="I7057" s="136"/>
      <c r="R7057" s="63" t="str">
        <f t="shared" si="60"/>
        <v>ZSI1_AIR_COOLANTBRAND_EXTERNAL</v>
      </c>
    </row>
    <row r="7058" ht="15.75" customHeight="1">
      <c r="B7058" s="63">
        <f t="shared" si="1"/>
        <v>16</v>
      </c>
      <c r="C7058" s="135" t="s">
        <v>352</v>
      </c>
      <c r="D7058" s="161" t="s">
        <v>74</v>
      </c>
      <c r="E7058" s="135">
        <f t="shared" si="61"/>
        <v>4</v>
      </c>
      <c r="F7058" s="134" t="s">
        <v>4082</v>
      </c>
      <c r="G7058" s="63" t="str">
        <f>VLOOKUP(C7058, 'Class Def. - General Data'!$C$20:$C$1000,1,false)</f>
        <v>ZSI1_AIR_COOLANT</v>
      </c>
      <c r="H7058" s="63" t="str">
        <f>IFERROR(__xludf.DUMMYFUNCTION("VLOOKUP(F7058, IMPORTRANGE(""https://docs.google.com/spreadsheets/d/1Lhp9OU0JdFf_VYSMzH5lBcEaU4o8teT1piV-SNzShjg/edit?gid=554141278#gid=554141278"", ""'Char Def. - Attributes'!C20:C2242""), 1,false)"),"VOLUME_ML_AIR_COOLANT")</f>
        <v>VOLUME_ML_AIR_COOLANT</v>
      </c>
      <c r="I7058" s="136"/>
      <c r="R7058" s="63" t="str">
        <f t="shared" si="60"/>
        <v>ZSI1_AIR_COOLANTVOLUME_ML_AIR_COOLANT</v>
      </c>
    </row>
    <row r="7059" ht="15.75" customHeight="1">
      <c r="B7059" s="63">
        <f t="shared" si="1"/>
        <v>16</v>
      </c>
      <c r="C7059" s="135" t="s">
        <v>352</v>
      </c>
      <c r="D7059" s="161" t="s">
        <v>74</v>
      </c>
      <c r="E7059" s="135">
        <f t="shared" si="61"/>
        <v>5</v>
      </c>
      <c r="F7059" s="134" t="s">
        <v>3585</v>
      </c>
      <c r="G7059" s="63" t="str">
        <f>VLOOKUP(C7059, 'Class Def. - General Data'!$C$20:$C$1000,1,false)</f>
        <v>ZSI1_AIR_COOLANT</v>
      </c>
      <c r="H7059" s="63" t="str">
        <f>IFERROR(__xludf.DUMMYFUNCTION("VLOOKUP(F7059, IMPORTRANGE(""https://docs.google.com/spreadsheets/d/1Lhp9OU0JdFf_VYSMzH5lBcEaU4o8teT1piV-SNzShjg/edit?gid=554141278#gid=554141278"", ""'Char Def. - Attributes'!C20:C2242""), 1,false)"),"HS_CODE")</f>
        <v>HS_CODE</v>
      </c>
      <c r="I7059" s="136"/>
      <c r="R7059" s="63" t="str">
        <f t="shared" si="60"/>
        <v>ZSI1_AIR_COOLANTHS_CODE</v>
      </c>
    </row>
    <row r="7060" ht="15.75" customHeight="1">
      <c r="B7060" s="63">
        <f t="shared" si="1"/>
        <v>16</v>
      </c>
      <c r="C7060" s="135" t="s">
        <v>352</v>
      </c>
      <c r="D7060" s="161" t="s">
        <v>74</v>
      </c>
      <c r="E7060" s="135">
        <f t="shared" si="61"/>
        <v>6</v>
      </c>
      <c r="F7060" s="134" t="s">
        <v>3587</v>
      </c>
      <c r="G7060" s="63" t="str">
        <f>VLOOKUP(C7060, 'Class Def. - General Data'!$C$20:$C$1000,1,false)</f>
        <v>ZSI1_AIR_COOLANT</v>
      </c>
      <c r="H7060" s="63" t="str">
        <f>IFERROR(__xludf.DUMMYFUNCTION("VLOOKUP(F7060, IMPORTRANGE(""https://docs.google.com/spreadsheets/d/1Lhp9OU0JdFf_VYSMzH5lBcEaU4o8teT1piV-SNzShjg/edit?gid=554141278#gid=554141278"", ""'Char Def. - Attributes'!C20:C2242""), 1,false)"),"PLANT_BUY")</f>
        <v>PLANT_BUY</v>
      </c>
      <c r="I7060" s="136"/>
      <c r="R7060" s="63" t="str">
        <f t="shared" si="60"/>
        <v>ZSI1_AIR_COOLANTPLANT_BUY</v>
      </c>
    </row>
    <row r="7061" ht="15.75" customHeight="1">
      <c r="B7061" s="63">
        <f t="shared" si="1"/>
        <v>16</v>
      </c>
      <c r="C7061" s="135" t="s">
        <v>352</v>
      </c>
      <c r="D7061" s="161" t="s">
        <v>74</v>
      </c>
      <c r="E7061" s="135">
        <f t="shared" si="61"/>
        <v>7</v>
      </c>
      <c r="F7061" s="134" t="s">
        <v>4083</v>
      </c>
      <c r="G7061" s="63" t="str">
        <f>VLOOKUP(C7061, 'Class Def. - General Data'!$C$20:$C$1000,1,false)</f>
        <v>ZSI1_AIR_COOLANT</v>
      </c>
      <c r="H7061" s="63" t="str">
        <f>IFERROR(__xludf.DUMMYFUNCTION("VLOOKUP(F7061, IMPORTRANGE(""https://docs.google.com/spreadsheets/d/1Lhp9OU0JdFf_VYSMzH5lBcEaU4o8teT1piV-SNzShjg/edit?gid=554141278#gid=554141278"", ""'Char Def. - Attributes'!C20:C2242""), 1,false)"),"BASE_UOM_AIR_COOLANT")</f>
        <v>BASE_UOM_AIR_COOLANT</v>
      </c>
      <c r="I7061" s="136"/>
      <c r="R7061" s="63" t="str">
        <f t="shared" si="60"/>
        <v>ZSI1_AIR_COOLANTBASE_UOM_AIR_COOLANT</v>
      </c>
    </row>
    <row r="7062" ht="15.75" customHeight="1">
      <c r="B7062" s="63">
        <f t="shared" si="1"/>
        <v>16</v>
      </c>
      <c r="C7062" s="135" t="s">
        <v>352</v>
      </c>
      <c r="D7062" s="161" t="s">
        <v>74</v>
      </c>
      <c r="E7062" s="135">
        <f t="shared" si="61"/>
        <v>8</v>
      </c>
      <c r="F7062" s="134" t="s">
        <v>4084</v>
      </c>
      <c r="G7062" s="63" t="str">
        <f>VLOOKUP(C7062, 'Class Def. - General Data'!$C$20:$C$1000,1,false)</f>
        <v>ZSI1_AIR_COOLANT</v>
      </c>
      <c r="H7062" s="63" t="str">
        <f>IFERROR(__xludf.DUMMYFUNCTION("VLOOKUP(F7062, IMPORTRANGE(""https://docs.google.com/spreadsheets/d/1Lhp9OU0JdFf_VYSMzH5lBcEaU4o8teT1piV-SNzShjg/edit?gid=554141278#gid=554141278"", ""'Char Def. - Attributes'!C20:C2242""), 1,false)"),"ORDER_UNIT_AIR_COOLANT")</f>
        <v>ORDER_UNIT_AIR_COOLANT</v>
      </c>
      <c r="I7062" s="136"/>
      <c r="R7062" s="63" t="str">
        <f t="shared" si="60"/>
        <v>ZSI1_AIR_COOLANTORDER_UNIT_AIR_COOLANT</v>
      </c>
    </row>
    <row r="7063" ht="15.75" customHeight="1">
      <c r="B7063" s="63">
        <f t="shared" si="1"/>
        <v>16</v>
      </c>
      <c r="C7063" s="135" t="s">
        <v>352</v>
      </c>
      <c r="D7063" s="161" t="s">
        <v>74</v>
      </c>
      <c r="E7063" s="135">
        <f t="shared" si="61"/>
        <v>9</v>
      </c>
      <c r="F7063" s="134" t="s">
        <v>4056</v>
      </c>
      <c r="G7063" s="63" t="str">
        <f>VLOOKUP(C7063, 'Class Def. - General Data'!$C$20:$C$1000,1,false)</f>
        <v>ZSI1_AIR_COOLANT</v>
      </c>
      <c r="H7063" s="63" t="str">
        <f>IFERROR(__xludf.DUMMYFUNCTION("VLOOKUP(F7063, IMPORTRANGE(""https://docs.google.com/spreadsheets/d/1Lhp9OU0JdFf_VYSMzH5lBcEaU4o8teT1piV-SNzShjg/edit?gid=554141278#gid=554141278"", ""'Char Def. - Attributes'!C20:C2242""), 1,false)"),"GROSS_WEIGHT_OPT")</f>
        <v>GROSS_WEIGHT_OPT</v>
      </c>
      <c r="I7063" s="136"/>
      <c r="R7063" s="63" t="str">
        <f t="shared" si="60"/>
        <v>ZSI1_AIR_COOLANTGROSS_WEIGHT_OPT</v>
      </c>
    </row>
    <row r="7064" ht="15.75" customHeight="1">
      <c r="B7064" s="63">
        <f t="shared" si="1"/>
        <v>16</v>
      </c>
      <c r="C7064" s="135" t="s">
        <v>352</v>
      </c>
      <c r="D7064" s="161" t="s">
        <v>74</v>
      </c>
      <c r="E7064" s="135">
        <f t="shared" si="61"/>
        <v>10</v>
      </c>
      <c r="F7064" s="134" t="s">
        <v>4057</v>
      </c>
      <c r="G7064" s="63" t="str">
        <f>VLOOKUP(C7064, 'Class Def. - General Data'!$C$20:$C$1000,1,false)</f>
        <v>ZSI1_AIR_COOLANT</v>
      </c>
      <c r="H7064" s="63" t="str">
        <f>IFERROR(__xludf.DUMMYFUNCTION("VLOOKUP(F7064, IMPORTRANGE(""https://docs.google.com/spreadsheets/d/1Lhp9OU0JdFf_VYSMzH5lBcEaU4o8teT1piV-SNzShjg/edit?gid=554141278#gid=554141278"", ""'Char Def. - Attributes'!C20:C2242""), 1,false)"),"NET_WEIGHT_OPT")</f>
        <v>NET_WEIGHT_OPT</v>
      </c>
      <c r="I7064" s="136"/>
      <c r="R7064" s="63" t="str">
        <f t="shared" si="60"/>
        <v>ZSI1_AIR_COOLANTNET_WEIGHT_OPT</v>
      </c>
    </row>
    <row r="7065" ht="15.75" customHeight="1">
      <c r="B7065" s="63">
        <f t="shared" si="1"/>
        <v>16</v>
      </c>
      <c r="C7065" s="135" t="s">
        <v>352</v>
      </c>
      <c r="D7065" s="161" t="s">
        <v>74</v>
      </c>
      <c r="E7065" s="135">
        <f t="shared" si="61"/>
        <v>11</v>
      </c>
      <c r="F7065" s="134" t="s">
        <v>4058</v>
      </c>
      <c r="G7065" s="63" t="str">
        <f>VLOOKUP(C7065, 'Class Def. - General Data'!$C$20:$C$1000,1,false)</f>
        <v>ZSI1_AIR_COOLANT</v>
      </c>
      <c r="H7065" s="63" t="str">
        <f>IFERROR(__xludf.DUMMYFUNCTION("VLOOKUP(F7065, IMPORTRANGE(""https://docs.google.com/spreadsheets/d/1Lhp9OU0JdFf_VYSMzH5lBcEaU4o8teT1piV-SNzShjg/edit?gid=554141278#gid=554141278"", ""'Char Def. - Attributes'!C20:C2242""), 1,false)"),"WEIGHT_UNIT_SI")</f>
        <v>WEIGHT_UNIT_SI</v>
      </c>
      <c r="I7065" s="136"/>
      <c r="R7065" s="63" t="str">
        <f t="shared" si="60"/>
        <v>ZSI1_AIR_COOLANTWEIGHT_UNIT_SI</v>
      </c>
    </row>
    <row r="7066" ht="15.75" customHeight="1">
      <c r="B7066" s="63">
        <f t="shared" si="1"/>
        <v>16</v>
      </c>
      <c r="C7066" s="135" t="s">
        <v>352</v>
      </c>
      <c r="D7066" s="161" t="s">
        <v>74</v>
      </c>
      <c r="E7066" s="135">
        <f t="shared" si="61"/>
        <v>12</v>
      </c>
      <c r="F7066" s="134" t="s">
        <v>3877</v>
      </c>
      <c r="G7066" s="63" t="str">
        <f>VLOOKUP(C7066, 'Class Def. - General Data'!$C$20:$C$1000,1,false)</f>
        <v>ZSI1_AIR_COOLANT</v>
      </c>
      <c r="H7066" s="63" t="str">
        <f>IFERROR(__xludf.DUMMYFUNCTION("VLOOKUP(F7066, IMPORTRANGE(""https://docs.google.com/spreadsheets/d/1Lhp9OU0JdFf_VYSMzH5lBcEaU4o8teT1piV-SNzShjg/edit?gid=554141278#gid=554141278"", ""'Char Def. - Attributes'!C20:C2242""), 1,false)"),"VOLUME_OPT")</f>
        <v>VOLUME_OPT</v>
      </c>
      <c r="I7066" s="136"/>
      <c r="R7066" s="63" t="str">
        <f t="shared" si="60"/>
        <v>ZSI1_AIR_COOLANTVOLUME_OPT</v>
      </c>
    </row>
    <row r="7067" ht="15.75" customHeight="1">
      <c r="B7067" s="63">
        <f t="shared" si="1"/>
        <v>16</v>
      </c>
      <c r="C7067" s="135" t="s">
        <v>352</v>
      </c>
      <c r="D7067" s="161" t="s">
        <v>74</v>
      </c>
      <c r="E7067" s="135">
        <f t="shared" si="61"/>
        <v>13</v>
      </c>
      <c r="F7067" s="134" t="s">
        <v>4059</v>
      </c>
      <c r="G7067" s="63" t="str">
        <f>VLOOKUP(C7067, 'Class Def. - General Data'!$C$20:$C$1000,1,false)</f>
        <v>ZSI1_AIR_COOLANT</v>
      </c>
      <c r="H7067" s="63" t="str">
        <f>IFERROR(__xludf.DUMMYFUNCTION("VLOOKUP(F7067, IMPORTRANGE(""https://docs.google.com/spreadsheets/d/1Lhp9OU0JdFf_VYSMzH5lBcEaU4o8teT1piV-SNzShjg/edit?gid=554141278#gid=554141278"", ""'Char Def. - Attributes'!C20:C2242""), 1,false)"),"VOLUME_UNIT_SI")</f>
        <v>VOLUME_UNIT_SI</v>
      </c>
      <c r="I7067" s="136"/>
      <c r="R7067" s="63" t="str">
        <f t="shared" si="60"/>
        <v>ZSI1_AIR_COOLANTVOLUME_UNIT_SI</v>
      </c>
    </row>
    <row r="7068" ht="15.75" customHeight="1">
      <c r="B7068" s="63">
        <f t="shared" si="1"/>
        <v>16</v>
      </c>
      <c r="C7068" s="135" t="s">
        <v>352</v>
      </c>
      <c r="D7068" s="161" t="s">
        <v>74</v>
      </c>
      <c r="E7068" s="135">
        <f t="shared" si="61"/>
        <v>14</v>
      </c>
      <c r="F7068" s="134" t="s">
        <v>3804</v>
      </c>
      <c r="G7068" s="63" t="str">
        <f>VLOOKUP(C7068, 'Class Def. - General Data'!$C$20:$C$1000,1,false)</f>
        <v>ZSI1_AIR_COOLANT</v>
      </c>
      <c r="H7068" s="63" t="str">
        <f>IFERROR(__xludf.DUMMYFUNCTION("VLOOKUP(F7068, IMPORTRANGE(""https://docs.google.com/spreadsheets/d/1Lhp9OU0JdFf_VYSMzH5lBcEaU4o8teT1piV-SNzShjg/edit?gid=554141278#gid=554141278"", ""'Char Def. - Attributes'!C20:C2242""), 1,false)"),"ALT_UOM1_SIPI")</f>
        <v>ALT_UOM1_SIPI</v>
      </c>
      <c r="I7068" s="136"/>
      <c r="R7068" s="63" t="str">
        <f t="shared" si="60"/>
        <v>ZSI1_AIR_COOLANTALT_UOM1_SIPI</v>
      </c>
    </row>
    <row r="7069" ht="15.75" customHeight="1">
      <c r="B7069" s="63">
        <f t="shared" si="1"/>
        <v>16</v>
      </c>
      <c r="C7069" s="135" t="s">
        <v>352</v>
      </c>
      <c r="D7069" s="161" t="s">
        <v>74</v>
      </c>
      <c r="E7069" s="135">
        <f t="shared" si="61"/>
        <v>15</v>
      </c>
      <c r="F7069" s="134" t="s">
        <v>3805</v>
      </c>
      <c r="G7069" s="63" t="str">
        <f>VLOOKUP(C7069, 'Class Def. - General Data'!$C$20:$C$1000,1,false)</f>
        <v>ZSI1_AIR_COOLANT</v>
      </c>
      <c r="H7069" s="63" t="str">
        <f>IFERROR(__xludf.DUMMYFUNCTION("VLOOKUP(F7069, IMPORTRANGE(""https://docs.google.com/spreadsheets/d/1Lhp9OU0JdFf_VYSMzH5lBcEaU4o8teT1piV-SNzShjg/edit?gid=554141278#gid=554141278"", ""'Char Def. - Attributes'!C20:C2242""), 1,false)"),"ALT_DENUM_UOM1")</f>
        <v>ALT_DENUM_UOM1</v>
      </c>
      <c r="I7069" s="136"/>
      <c r="R7069" s="63" t="str">
        <f t="shared" si="60"/>
        <v>ZSI1_AIR_COOLANTALT_DENUM_UOM1</v>
      </c>
    </row>
    <row r="7070" ht="15.75" customHeight="1">
      <c r="B7070" s="63">
        <f t="shared" si="1"/>
        <v>16</v>
      </c>
      <c r="C7070" s="135" t="s">
        <v>352</v>
      </c>
      <c r="D7070" s="161" t="s">
        <v>74</v>
      </c>
      <c r="E7070" s="135">
        <f t="shared" si="61"/>
        <v>16</v>
      </c>
      <c r="F7070" s="134" t="s">
        <v>3806</v>
      </c>
      <c r="G7070" s="63" t="str">
        <f>VLOOKUP(C7070, 'Class Def. - General Data'!$C$20:$C$1000,1,false)</f>
        <v>ZSI1_AIR_COOLANT</v>
      </c>
      <c r="H7070" s="63" t="str">
        <f>IFERROR(__xludf.DUMMYFUNCTION("VLOOKUP(F7070, IMPORTRANGE(""https://docs.google.com/spreadsheets/d/1Lhp9OU0JdFf_VYSMzH5lBcEaU4o8teT1piV-SNzShjg/edit?gid=554141278#gid=554141278"", ""'Char Def. - Attributes'!C20:C2242""), 1,false)"),"ALT_NUM_UOM1")</f>
        <v>ALT_NUM_UOM1</v>
      </c>
      <c r="I7070" s="136"/>
      <c r="R7070" s="63" t="str">
        <f t="shared" si="60"/>
        <v>ZSI1_AIR_COOLANTALT_NUM_UOM1</v>
      </c>
    </row>
    <row r="7071" ht="15.75" customHeight="1">
      <c r="B7071" s="63">
        <f t="shared" si="1"/>
        <v>16</v>
      </c>
      <c r="C7071" s="135" t="s">
        <v>352</v>
      </c>
      <c r="D7071" s="161" t="s">
        <v>74</v>
      </c>
      <c r="E7071" s="135">
        <f t="shared" si="61"/>
        <v>17</v>
      </c>
      <c r="F7071" s="134" t="s">
        <v>3807</v>
      </c>
      <c r="G7071" s="63" t="str">
        <f>VLOOKUP(C7071, 'Class Def. - General Data'!$C$20:$C$1000,1,false)</f>
        <v>ZSI1_AIR_COOLANT</v>
      </c>
      <c r="H7071" s="63" t="str">
        <f>IFERROR(__xludf.DUMMYFUNCTION("VLOOKUP(F7071, IMPORTRANGE(""https://docs.google.com/spreadsheets/d/1Lhp9OU0JdFf_VYSMzH5lBcEaU4o8teT1piV-SNzShjg/edit?gid=554141278#gid=554141278"", ""'Char Def. - Attributes'!C20:C2242""), 1,false)"),"ALT_UOM2_SIPI")</f>
        <v>ALT_UOM2_SIPI</v>
      </c>
      <c r="I7071" s="136"/>
      <c r="R7071" s="63" t="str">
        <f t="shared" si="60"/>
        <v>ZSI1_AIR_COOLANTALT_UOM2_SIPI</v>
      </c>
    </row>
    <row r="7072" ht="15.75" customHeight="1">
      <c r="B7072" s="63">
        <f t="shared" si="1"/>
        <v>16</v>
      </c>
      <c r="C7072" s="135" t="s">
        <v>352</v>
      </c>
      <c r="D7072" s="161" t="s">
        <v>74</v>
      </c>
      <c r="E7072" s="135">
        <f t="shared" si="61"/>
        <v>18</v>
      </c>
      <c r="F7072" s="134" t="s">
        <v>3808</v>
      </c>
      <c r="G7072" s="63" t="str">
        <f>VLOOKUP(C7072, 'Class Def. - General Data'!$C$20:$C$1000,1,false)</f>
        <v>ZSI1_AIR_COOLANT</v>
      </c>
      <c r="H7072" s="63" t="str">
        <f>IFERROR(__xludf.DUMMYFUNCTION("VLOOKUP(F7072, IMPORTRANGE(""https://docs.google.com/spreadsheets/d/1Lhp9OU0JdFf_VYSMzH5lBcEaU4o8teT1piV-SNzShjg/edit?gid=554141278#gid=554141278"", ""'Char Def. - Attributes'!C20:C2242""), 1,false)"),"ALT_DENUM_UOM2")</f>
        <v>ALT_DENUM_UOM2</v>
      </c>
      <c r="I7072" s="136"/>
      <c r="R7072" s="63" t="str">
        <f t="shared" si="60"/>
        <v>ZSI1_AIR_COOLANTALT_DENUM_UOM2</v>
      </c>
    </row>
    <row r="7073" ht="15.75" customHeight="1">
      <c r="B7073" s="63">
        <f t="shared" si="1"/>
        <v>16</v>
      </c>
      <c r="C7073" s="135" t="s">
        <v>352</v>
      </c>
      <c r="D7073" s="161" t="s">
        <v>74</v>
      </c>
      <c r="E7073" s="135">
        <f t="shared" si="61"/>
        <v>19</v>
      </c>
      <c r="F7073" s="134" t="s">
        <v>3809</v>
      </c>
      <c r="G7073" s="63" t="str">
        <f>VLOOKUP(C7073, 'Class Def. - General Data'!$C$20:$C$1000,1,false)</f>
        <v>ZSI1_AIR_COOLANT</v>
      </c>
      <c r="H7073" s="63" t="str">
        <f>IFERROR(__xludf.DUMMYFUNCTION("VLOOKUP(F7073, IMPORTRANGE(""https://docs.google.com/spreadsheets/d/1Lhp9OU0JdFf_VYSMzH5lBcEaU4o8teT1piV-SNzShjg/edit?gid=554141278#gid=554141278"", ""'Char Def. - Attributes'!C20:C2242""), 1,false)"),"ALT_NUM_UOM2")</f>
        <v>ALT_NUM_UOM2</v>
      </c>
      <c r="I7073" s="136"/>
      <c r="R7073" s="63" t="str">
        <f t="shared" si="60"/>
        <v>ZSI1_AIR_COOLANTALT_NUM_UOM2</v>
      </c>
    </row>
    <row r="7074" ht="15.75" customHeight="1">
      <c r="B7074" s="63">
        <f t="shared" si="1"/>
        <v>16</v>
      </c>
      <c r="C7074" s="135" t="s">
        <v>352</v>
      </c>
      <c r="D7074" s="161" t="s">
        <v>74</v>
      </c>
      <c r="E7074" s="135">
        <f t="shared" si="61"/>
        <v>20</v>
      </c>
      <c r="F7074" s="134" t="s">
        <v>3810</v>
      </c>
      <c r="G7074" s="63" t="str">
        <f>VLOOKUP(C7074, 'Class Def. - General Data'!$C$20:$C$1000,1,false)</f>
        <v>ZSI1_AIR_COOLANT</v>
      </c>
      <c r="H7074" s="63" t="str">
        <f>IFERROR(__xludf.DUMMYFUNCTION("VLOOKUP(F7074, IMPORTRANGE(""https://docs.google.com/spreadsheets/d/1Lhp9OU0JdFf_VYSMzH5lBcEaU4o8teT1piV-SNzShjg/edit?gid=554141278#gid=554141278"", ""'Char Def. - Attributes'!C20:C2242""), 1,false)"),"ALT_UOM3_SIPI")</f>
        <v>ALT_UOM3_SIPI</v>
      </c>
      <c r="I7074" s="136"/>
      <c r="R7074" s="63" t="str">
        <f t="shared" si="60"/>
        <v>ZSI1_AIR_COOLANTALT_UOM3_SIPI</v>
      </c>
    </row>
    <row r="7075" ht="15.75" customHeight="1">
      <c r="B7075" s="63">
        <f t="shared" si="1"/>
        <v>16</v>
      </c>
      <c r="C7075" s="135" t="s">
        <v>352</v>
      </c>
      <c r="D7075" s="161" t="s">
        <v>74</v>
      </c>
      <c r="E7075" s="135">
        <f t="shared" si="61"/>
        <v>21</v>
      </c>
      <c r="F7075" s="134" t="s">
        <v>3811</v>
      </c>
      <c r="G7075" s="63" t="str">
        <f>VLOOKUP(C7075, 'Class Def. - General Data'!$C$20:$C$1000,1,false)</f>
        <v>ZSI1_AIR_COOLANT</v>
      </c>
      <c r="H7075" s="63" t="str">
        <f>IFERROR(__xludf.DUMMYFUNCTION("VLOOKUP(F7075, IMPORTRANGE(""https://docs.google.com/spreadsheets/d/1Lhp9OU0JdFf_VYSMzH5lBcEaU4o8teT1piV-SNzShjg/edit?gid=554141278#gid=554141278"", ""'Char Def. - Attributes'!C20:C2242""), 1,false)"),"ALT_DENUM_UOM3")</f>
        <v>ALT_DENUM_UOM3</v>
      </c>
      <c r="I7075" s="136"/>
      <c r="R7075" s="63" t="str">
        <f t="shared" si="60"/>
        <v>ZSI1_AIR_COOLANTALT_DENUM_UOM3</v>
      </c>
    </row>
    <row r="7076" ht="15.75" customHeight="1">
      <c r="B7076" s="63">
        <f t="shared" si="1"/>
        <v>16</v>
      </c>
      <c r="C7076" s="135" t="s">
        <v>352</v>
      </c>
      <c r="D7076" s="161" t="s">
        <v>74</v>
      </c>
      <c r="E7076" s="135">
        <f t="shared" si="61"/>
        <v>22</v>
      </c>
      <c r="F7076" s="134" t="s">
        <v>3812</v>
      </c>
      <c r="G7076" s="63" t="str">
        <f>VLOOKUP(C7076, 'Class Def. - General Data'!$C$20:$C$1000,1,false)</f>
        <v>ZSI1_AIR_COOLANT</v>
      </c>
      <c r="H7076" s="63" t="str">
        <f>IFERROR(__xludf.DUMMYFUNCTION("VLOOKUP(F7076, IMPORTRANGE(""https://docs.google.com/spreadsheets/d/1Lhp9OU0JdFf_VYSMzH5lBcEaU4o8teT1piV-SNzShjg/edit?gid=554141278#gid=554141278"", ""'Char Def. - Attributes'!C20:C2242""), 1,false)"),"ALT_NUM_UOM3")</f>
        <v>ALT_NUM_UOM3</v>
      </c>
      <c r="I7076" s="136"/>
      <c r="R7076" s="63" t="str">
        <f t="shared" si="60"/>
        <v>ZSI1_AIR_COOLANTALT_NUM_UOM3</v>
      </c>
    </row>
    <row r="7077" ht="15.75" customHeight="1">
      <c r="B7077" s="63">
        <f t="shared" si="1"/>
        <v>16</v>
      </c>
      <c r="C7077" s="135" t="s">
        <v>352</v>
      </c>
      <c r="D7077" s="161" t="s">
        <v>74</v>
      </c>
      <c r="E7077" s="135">
        <f t="shared" si="61"/>
        <v>23</v>
      </c>
      <c r="F7077" s="134" t="s">
        <v>3813</v>
      </c>
      <c r="G7077" s="63" t="str">
        <f>VLOOKUP(C7077, 'Class Def. - General Data'!$C$20:$C$1000,1,false)</f>
        <v>ZSI1_AIR_COOLANT</v>
      </c>
      <c r="H7077" s="63" t="str">
        <f>IFERROR(__xludf.DUMMYFUNCTION("VLOOKUP(F7077, IMPORTRANGE(""https://docs.google.com/spreadsheets/d/1Lhp9OU0JdFf_VYSMzH5lBcEaU4o8teT1piV-SNzShjg/edit?gid=554141278#gid=554141278"", ""'Char Def. - Attributes'!C20:C2242""), 1,false)"),"ALT_UOM4_SIPI")</f>
        <v>ALT_UOM4_SIPI</v>
      </c>
      <c r="I7077" s="136"/>
      <c r="R7077" s="63" t="str">
        <f t="shared" si="60"/>
        <v>ZSI1_AIR_COOLANTALT_UOM4_SIPI</v>
      </c>
    </row>
    <row r="7078" ht="15.75" customHeight="1">
      <c r="B7078" s="63">
        <f t="shared" si="1"/>
        <v>16</v>
      </c>
      <c r="C7078" s="135" t="s">
        <v>352</v>
      </c>
      <c r="D7078" s="161" t="s">
        <v>74</v>
      </c>
      <c r="E7078" s="135">
        <f t="shared" si="61"/>
        <v>24</v>
      </c>
      <c r="F7078" s="134" t="s">
        <v>3814</v>
      </c>
      <c r="G7078" s="63" t="str">
        <f>VLOOKUP(C7078, 'Class Def. - General Data'!$C$20:$C$1000,1,false)</f>
        <v>ZSI1_AIR_COOLANT</v>
      </c>
      <c r="H7078" s="63" t="str">
        <f>IFERROR(__xludf.DUMMYFUNCTION("VLOOKUP(F7078, IMPORTRANGE(""https://docs.google.com/spreadsheets/d/1Lhp9OU0JdFf_VYSMzH5lBcEaU4o8teT1piV-SNzShjg/edit?gid=554141278#gid=554141278"", ""'Char Def. - Attributes'!C20:C2242""), 1,false)"),"ALT_DENUM_UOM4")</f>
        <v>ALT_DENUM_UOM4</v>
      </c>
      <c r="I7078" s="136"/>
      <c r="R7078" s="63" t="str">
        <f t="shared" si="60"/>
        <v>ZSI1_AIR_COOLANTALT_DENUM_UOM4</v>
      </c>
    </row>
    <row r="7079" ht="15.75" customHeight="1">
      <c r="B7079" s="63">
        <f t="shared" si="1"/>
        <v>16</v>
      </c>
      <c r="C7079" s="135" t="s">
        <v>352</v>
      </c>
      <c r="D7079" s="161" t="s">
        <v>74</v>
      </c>
      <c r="E7079" s="135">
        <f t="shared" si="61"/>
        <v>25</v>
      </c>
      <c r="F7079" s="134" t="s">
        <v>3815</v>
      </c>
      <c r="G7079" s="63" t="str">
        <f>VLOOKUP(C7079, 'Class Def. - General Data'!$C$20:$C$1000,1,false)</f>
        <v>ZSI1_AIR_COOLANT</v>
      </c>
      <c r="H7079" s="63" t="str">
        <f>IFERROR(__xludf.DUMMYFUNCTION("VLOOKUP(F7079, IMPORTRANGE(""https://docs.google.com/spreadsheets/d/1Lhp9OU0JdFf_VYSMzH5lBcEaU4o8teT1piV-SNzShjg/edit?gid=554141278#gid=554141278"", ""'Char Def. - Attributes'!C20:C2242""), 1,false)"),"ALT_NUM_UOM4")</f>
        <v>ALT_NUM_UOM4</v>
      </c>
      <c r="I7079" s="136"/>
      <c r="R7079" s="63" t="str">
        <f t="shared" si="60"/>
        <v>ZSI1_AIR_COOLANTALT_NUM_UOM4</v>
      </c>
    </row>
    <row r="7080" ht="15.75" customHeight="1">
      <c r="B7080" s="63">
        <f t="shared" si="1"/>
        <v>16</v>
      </c>
      <c r="C7080" s="135" t="s">
        <v>352</v>
      </c>
      <c r="D7080" s="161" t="s">
        <v>74</v>
      </c>
      <c r="E7080" s="135">
        <f t="shared" si="61"/>
        <v>26</v>
      </c>
      <c r="F7080" s="134" t="s">
        <v>3816</v>
      </c>
      <c r="G7080" s="63" t="str">
        <f>VLOOKUP(C7080, 'Class Def. - General Data'!$C$20:$C$1000,1,false)</f>
        <v>ZSI1_AIR_COOLANT</v>
      </c>
      <c r="H7080" s="63" t="str">
        <f>IFERROR(__xludf.DUMMYFUNCTION("VLOOKUP(F7080, IMPORTRANGE(""https://docs.google.com/spreadsheets/d/1Lhp9OU0JdFf_VYSMzH5lBcEaU4o8teT1piV-SNzShjg/edit?gid=554141278#gid=554141278"", ""'Char Def. - Attributes'!C20:C2242""), 1,false)"),"ALT_UOM5_SIPI")</f>
        <v>ALT_UOM5_SIPI</v>
      </c>
      <c r="I7080" s="136"/>
      <c r="R7080" s="63" t="str">
        <f t="shared" si="60"/>
        <v>ZSI1_AIR_COOLANTALT_UOM5_SIPI</v>
      </c>
    </row>
    <row r="7081" ht="15.75" customHeight="1">
      <c r="B7081" s="63">
        <f t="shared" si="1"/>
        <v>16</v>
      </c>
      <c r="C7081" s="135" t="s">
        <v>352</v>
      </c>
      <c r="D7081" s="161" t="s">
        <v>74</v>
      </c>
      <c r="E7081" s="135">
        <f t="shared" si="61"/>
        <v>27</v>
      </c>
      <c r="F7081" s="134" t="s">
        <v>3817</v>
      </c>
      <c r="G7081" s="63" t="str">
        <f>VLOOKUP(C7081, 'Class Def. - General Data'!$C$20:$C$1000,1,false)</f>
        <v>ZSI1_AIR_COOLANT</v>
      </c>
      <c r="H7081" s="63" t="str">
        <f>IFERROR(__xludf.DUMMYFUNCTION("VLOOKUP(F7081, IMPORTRANGE(""https://docs.google.com/spreadsheets/d/1Lhp9OU0JdFf_VYSMzH5lBcEaU4o8teT1piV-SNzShjg/edit?gid=554141278#gid=554141278"", ""'Char Def. - Attributes'!C20:C2242""), 1,false)"),"ALT_DENUM_UOM5")</f>
        <v>ALT_DENUM_UOM5</v>
      </c>
      <c r="I7081" s="136"/>
      <c r="R7081" s="63" t="str">
        <f t="shared" si="60"/>
        <v>ZSI1_AIR_COOLANTALT_DENUM_UOM5</v>
      </c>
    </row>
    <row r="7082" ht="15.75" customHeight="1">
      <c r="B7082" s="63">
        <f t="shared" si="1"/>
        <v>16</v>
      </c>
      <c r="C7082" s="135" t="s">
        <v>352</v>
      </c>
      <c r="D7082" s="161" t="s">
        <v>74</v>
      </c>
      <c r="E7082" s="135">
        <f t="shared" si="61"/>
        <v>28</v>
      </c>
      <c r="F7082" s="134" t="s">
        <v>3818</v>
      </c>
      <c r="G7082" s="63" t="str">
        <f>VLOOKUP(C7082, 'Class Def. - General Data'!$C$20:$C$1000,1,false)</f>
        <v>ZSI1_AIR_COOLANT</v>
      </c>
      <c r="H7082" s="63" t="str">
        <f>IFERROR(__xludf.DUMMYFUNCTION("VLOOKUP(F7082, IMPORTRANGE(""https://docs.google.com/spreadsheets/d/1Lhp9OU0JdFf_VYSMzH5lBcEaU4o8teT1piV-SNzShjg/edit?gid=554141278#gid=554141278"", ""'Char Def. - Attributes'!C20:C2242""), 1,false)"),"ALT_NUM_UOM5")</f>
        <v>ALT_NUM_UOM5</v>
      </c>
      <c r="I7082" s="136"/>
      <c r="R7082" s="63" t="str">
        <f t="shared" si="60"/>
        <v>ZSI1_AIR_COOLANTALT_NUM_UOM5</v>
      </c>
    </row>
    <row r="7083" ht="15.75" customHeight="1">
      <c r="B7083" s="63">
        <f t="shared" si="1"/>
        <v>14</v>
      </c>
      <c r="C7083" s="135" t="s">
        <v>538</v>
      </c>
      <c r="D7083" s="161" t="s">
        <v>74</v>
      </c>
      <c r="E7083" s="135">
        <f t="shared" si="61"/>
        <v>1</v>
      </c>
      <c r="F7083" s="134" t="s">
        <v>4085</v>
      </c>
      <c r="G7083" s="63" t="str">
        <f>VLOOKUP(C7083, 'Class Def. - General Data'!$C$20:$C$1000,1,false)</f>
        <v>ZSI1_AIR_PURIF</v>
      </c>
      <c r="H7083" s="63" t="str">
        <f>IFERROR(__xludf.DUMMYFUNCTION("VLOOKUP(F7083, IMPORTRANGE(""https://docs.google.com/spreadsheets/d/1Lhp9OU0JdFf_VYSMzH5lBcEaU4o8teT1piV-SNzShjg/edit?gid=554141278#gid=554141278"", ""'Char Def. - Attributes'!C20:C2242""), 1,false)"),"ITEM_NAME_AIR_PURIF")</f>
        <v>ITEM_NAME_AIR_PURIF</v>
      </c>
      <c r="I7083" s="136"/>
      <c r="R7083" s="63" t="str">
        <f t="shared" si="60"/>
        <v>ZSI1_AIR_PURIFITEM_NAME_AIR_PURIF</v>
      </c>
    </row>
    <row r="7084" ht="15.75" customHeight="1">
      <c r="B7084" s="63">
        <f t="shared" si="1"/>
        <v>14</v>
      </c>
      <c r="C7084" s="135" t="s">
        <v>538</v>
      </c>
      <c r="D7084" s="161" t="s">
        <v>74</v>
      </c>
      <c r="E7084" s="135">
        <f t="shared" si="61"/>
        <v>2</v>
      </c>
      <c r="F7084" s="134" t="s">
        <v>4086</v>
      </c>
      <c r="G7084" s="63" t="str">
        <f>VLOOKUP(C7084, 'Class Def. - General Data'!$C$20:$C$1000,1,false)</f>
        <v>ZSI1_AIR_PURIF</v>
      </c>
      <c r="H7084" s="63" t="str">
        <f>IFERROR(__xludf.DUMMYFUNCTION("VLOOKUP(F7084, IMPORTRANGE(""https://docs.google.com/spreadsheets/d/1Lhp9OU0JdFf_VYSMzH5lBcEaU4o8teT1piV-SNzShjg/edit?gid=554141278#gid=554141278"", ""'Char Def. - Attributes'!C20:C2242""), 1,false)"),"SERIES_AIR_PURIF")</f>
        <v>SERIES_AIR_PURIF</v>
      </c>
      <c r="I7084" s="136"/>
      <c r="R7084" s="63" t="str">
        <f t="shared" si="60"/>
        <v>ZSI1_AIR_PURIFSERIES_AIR_PURIF</v>
      </c>
    </row>
    <row r="7085" ht="15.75" customHeight="1">
      <c r="B7085" s="63">
        <f t="shared" si="1"/>
        <v>14</v>
      </c>
      <c r="C7085" s="135" t="s">
        <v>538</v>
      </c>
      <c r="D7085" s="161" t="s">
        <v>74</v>
      </c>
      <c r="E7085" s="135">
        <f t="shared" si="61"/>
        <v>3</v>
      </c>
      <c r="F7085" s="134" t="s">
        <v>3782</v>
      </c>
      <c r="G7085" s="63" t="str">
        <f>VLOOKUP(C7085, 'Class Def. - General Data'!$C$20:$C$1000,1,false)</f>
        <v>ZSI1_AIR_PURIF</v>
      </c>
      <c r="H7085" s="63" t="str">
        <f>IFERROR(__xludf.DUMMYFUNCTION("VLOOKUP(F7085, IMPORTRANGE(""https://docs.google.com/spreadsheets/d/1Lhp9OU0JdFf_VYSMzH5lBcEaU4o8teT1piV-SNzShjg/edit?gid=554141278#gid=554141278"", ""'Char Def. - Attributes'!C20:C2242""), 1,false)"),"BRAND_EXTERNAL")</f>
        <v>BRAND_EXTERNAL</v>
      </c>
      <c r="I7085" s="136"/>
      <c r="R7085" s="63" t="str">
        <f t="shared" si="60"/>
        <v>ZSI1_AIR_PURIFBRAND_EXTERNAL</v>
      </c>
    </row>
    <row r="7086" ht="15.75" customHeight="1">
      <c r="B7086" s="63">
        <f t="shared" si="1"/>
        <v>14</v>
      </c>
      <c r="C7086" s="135" t="s">
        <v>538</v>
      </c>
      <c r="D7086" s="161" t="s">
        <v>74</v>
      </c>
      <c r="E7086" s="135">
        <f t="shared" si="61"/>
        <v>4</v>
      </c>
      <c r="F7086" s="134" t="s">
        <v>4062</v>
      </c>
      <c r="G7086" s="63" t="str">
        <f>VLOOKUP(C7086, 'Class Def. - General Data'!$C$20:$C$1000,1,false)</f>
        <v>ZSI1_AIR_PURIF</v>
      </c>
      <c r="H7086" s="63" t="str">
        <f>IFERROR(__xludf.DUMMYFUNCTION("VLOOKUP(F7086, IMPORTRANGE(""https://docs.google.com/spreadsheets/d/1Lhp9OU0JdFf_VYSMzH5lBcEaU4o8teT1piV-SNzShjg/edit?gid=554141278#gid=554141278"", ""'Char Def. - Attributes'!C20:C2242""), 1,false)"),"#N/A")</f>
        <v>#N/A</v>
      </c>
      <c r="I7086" s="136"/>
      <c r="R7086" s="63" t="str">
        <f t="shared" si="60"/>
        <v>ZSI1_AIR_PURIFADDTIONAL_SPECIFICATION</v>
      </c>
    </row>
    <row r="7087" ht="15.75" customHeight="1">
      <c r="B7087" s="63">
        <f t="shared" si="1"/>
        <v>14</v>
      </c>
      <c r="C7087" s="135" t="s">
        <v>538</v>
      </c>
      <c r="D7087" s="161" t="s">
        <v>74</v>
      </c>
      <c r="E7087" s="135">
        <f t="shared" si="61"/>
        <v>5</v>
      </c>
      <c r="F7087" s="134" t="s">
        <v>3585</v>
      </c>
      <c r="G7087" s="63" t="str">
        <f>VLOOKUP(C7087, 'Class Def. - General Data'!$C$20:$C$1000,1,false)</f>
        <v>ZSI1_AIR_PURIF</v>
      </c>
      <c r="H7087" s="63" t="str">
        <f>IFERROR(__xludf.DUMMYFUNCTION("VLOOKUP(F7087, IMPORTRANGE(""https://docs.google.com/spreadsheets/d/1Lhp9OU0JdFf_VYSMzH5lBcEaU4o8teT1piV-SNzShjg/edit?gid=554141278#gid=554141278"", ""'Char Def. - Attributes'!C20:C2242""), 1,false)"),"HS_CODE")</f>
        <v>HS_CODE</v>
      </c>
      <c r="I7087" s="136"/>
      <c r="R7087" s="63" t="str">
        <f t="shared" si="60"/>
        <v>ZSI1_AIR_PURIFHS_CODE</v>
      </c>
    </row>
    <row r="7088" ht="15.75" customHeight="1">
      <c r="B7088" s="63">
        <f t="shared" si="1"/>
        <v>14</v>
      </c>
      <c r="C7088" s="135" t="s">
        <v>538</v>
      </c>
      <c r="D7088" s="161" t="s">
        <v>74</v>
      </c>
      <c r="E7088" s="135">
        <f t="shared" si="61"/>
        <v>6</v>
      </c>
      <c r="F7088" s="134" t="s">
        <v>3587</v>
      </c>
      <c r="G7088" s="63" t="str">
        <f>VLOOKUP(C7088, 'Class Def. - General Data'!$C$20:$C$1000,1,false)</f>
        <v>ZSI1_AIR_PURIF</v>
      </c>
      <c r="H7088" s="63" t="str">
        <f>IFERROR(__xludf.DUMMYFUNCTION("VLOOKUP(F7088, IMPORTRANGE(""https://docs.google.com/spreadsheets/d/1Lhp9OU0JdFf_VYSMzH5lBcEaU4o8teT1piV-SNzShjg/edit?gid=554141278#gid=554141278"", ""'Char Def. - Attributes'!C20:C2242""), 1,false)"),"PLANT_BUY")</f>
        <v>PLANT_BUY</v>
      </c>
      <c r="I7088" s="136"/>
      <c r="R7088" s="63" t="str">
        <f t="shared" si="60"/>
        <v>ZSI1_AIR_PURIFPLANT_BUY</v>
      </c>
    </row>
    <row r="7089" ht="15.75" customHeight="1">
      <c r="B7089" s="63">
        <f t="shared" si="1"/>
        <v>14</v>
      </c>
      <c r="C7089" s="135" t="s">
        <v>538</v>
      </c>
      <c r="D7089" s="161" t="s">
        <v>74</v>
      </c>
      <c r="E7089" s="135">
        <f t="shared" si="61"/>
        <v>7</v>
      </c>
      <c r="F7089" s="134" t="s">
        <v>4087</v>
      </c>
      <c r="G7089" s="63" t="str">
        <f>VLOOKUP(C7089, 'Class Def. - General Data'!$C$20:$C$1000,1,false)</f>
        <v>ZSI1_AIR_PURIF</v>
      </c>
      <c r="H7089" s="63" t="str">
        <f>IFERROR(__xludf.DUMMYFUNCTION("VLOOKUP(F7089, IMPORTRANGE(""https://docs.google.com/spreadsheets/d/1Lhp9OU0JdFf_VYSMzH5lBcEaU4o8teT1piV-SNzShjg/edit?gid=554141278#gid=554141278"", ""'Char Def. - Attributes'!C20:C2242""), 1,false)"),"BASE_UOM_AIR_PURIF")</f>
        <v>BASE_UOM_AIR_PURIF</v>
      </c>
      <c r="I7089" s="136"/>
      <c r="R7089" s="63" t="str">
        <f t="shared" si="60"/>
        <v>ZSI1_AIR_PURIFBASE_UOM_AIR_PURIF</v>
      </c>
    </row>
    <row r="7090" ht="15.75" customHeight="1">
      <c r="B7090" s="63">
        <f t="shared" si="1"/>
        <v>14</v>
      </c>
      <c r="C7090" s="135" t="s">
        <v>538</v>
      </c>
      <c r="D7090" s="161" t="s">
        <v>74</v>
      </c>
      <c r="E7090" s="135">
        <f t="shared" si="61"/>
        <v>8</v>
      </c>
      <c r="F7090" s="134" t="s">
        <v>4088</v>
      </c>
      <c r="G7090" s="63" t="str">
        <f>VLOOKUP(C7090, 'Class Def. - General Data'!$C$20:$C$1000,1,false)</f>
        <v>ZSI1_AIR_PURIF</v>
      </c>
      <c r="H7090" s="63" t="str">
        <f>IFERROR(__xludf.DUMMYFUNCTION("VLOOKUP(F7090, IMPORTRANGE(""https://docs.google.com/spreadsheets/d/1Lhp9OU0JdFf_VYSMzH5lBcEaU4o8teT1piV-SNzShjg/edit?gid=554141278#gid=554141278"", ""'Char Def. - Attributes'!C20:C2242""), 1,false)"),"ORDER_UNIT_AIR_PURIF")</f>
        <v>ORDER_UNIT_AIR_PURIF</v>
      </c>
      <c r="I7090" s="136"/>
      <c r="R7090" s="63" t="str">
        <f t="shared" si="60"/>
        <v>ZSI1_AIR_PURIFORDER_UNIT_AIR_PURIF</v>
      </c>
    </row>
    <row r="7091" ht="15.75" customHeight="1">
      <c r="B7091" s="63">
        <f t="shared" si="1"/>
        <v>14</v>
      </c>
      <c r="C7091" s="135" t="s">
        <v>538</v>
      </c>
      <c r="D7091" s="161" t="s">
        <v>74</v>
      </c>
      <c r="E7091" s="135">
        <f t="shared" si="61"/>
        <v>9</v>
      </c>
      <c r="F7091" s="134" t="s">
        <v>4056</v>
      </c>
      <c r="G7091" s="63" t="str">
        <f>VLOOKUP(C7091, 'Class Def. - General Data'!$C$20:$C$1000,1,false)</f>
        <v>ZSI1_AIR_PURIF</v>
      </c>
      <c r="H7091" s="63" t="str">
        <f>IFERROR(__xludf.DUMMYFUNCTION("VLOOKUP(F7091, IMPORTRANGE(""https://docs.google.com/spreadsheets/d/1Lhp9OU0JdFf_VYSMzH5lBcEaU4o8teT1piV-SNzShjg/edit?gid=554141278#gid=554141278"", ""'Char Def. - Attributes'!C20:C2242""), 1,false)"),"GROSS_WEIGHT_OPT")</f>
        <v>GROSS_WEIGHT_OPT</v>
      </c>
      <c r="I7091" s="136"/>
      <c r="R7091" s="63" t="str">
        <f t="shared" si="60"/>
        <v>ZSI1_AIR_PURIFGROSS_WEIGHT_OPT</v>
      </c>
    </row>
    <row r="7092" ht="15.75" customHeight="1">
      <c r="B7092" s="63">
        <f t="shared" si="1"/>
        <v>14</v>
      </c>
      <c r="C7092" s="135" t="s">
        <v>538</v>
      </c>
      <c r="D7092" s="161" t="s">
        <v>74</v>
      </c>
      <c r="E7092" s="135">
        <f t="shared" si="61"/>
        <v>10</v>
      </c>
      <c r="F7092" s="134" t="s">
        <v>4057</v>
      </c>
      <c r="G7092" s="63" t="str">
        <f>VLOOKUP(C7092, 'Class Def. - General Data'!$C$20:$C$1000,1,false)</f>
        <v>ZSI1_AIR_PURIF</v>
      </c>
      <c r="H7092" s="63" t="str">
        <f>IFERROR(__xludf.DUMMYFUNCTION("VLOOKUP(F7092, IMPORTRANGE(""https://docs.google.com/spreadsheets/d/1Lhp9OU0JdFf_VYSMzH5lBcEaU4o8teT1piV-SNzShjg/edit?gid=554141278#gid=554141278"", ""'Char Def. - Attributes'!C20:C2242""), 1,false)"),"NET_WEIGHT_OPT")</f>
        <v>NET_WEIGHT_OPT</v>
      </c>
      <c r="I7092" s="136"/>
      <c r="R7092" s="63" t="str">
        <f t="shared" si="60"/>
        <v>ZSI1_AIR_PURIFNET_WEIGHT_OPT</v>
      </c>
    </row>
    <row r="7093" ht="15.75" customHeight="1">
      <c r="B7093" s="63">
        <f t="shared" si="1"/>
        <v>14</v>
      </c>
      <c r="C7093" s="135" t="s">
        <v>538</v>
      </c>
      <c r="D7093" s="161" t="s">
        <v>74</v>
      </c>
      <c r="E7093" s="135">
        <f t="shared" si="61"/>
        <v>11</v>
      </c>
      <c r="F7093" s="134" t="s">
        <v>4058</v>
      </c>
      <c r="G7093" s="63" t="str">
        <f>VLOOKUP(C7093, 'Class Def. - General Data'!$C$20:$C$1000,1,false)</f>
        <v>ZSI1_AIR_PURIF</v>
      </c>
      <c r="H7093" s="63" t="str">
        <f>IFERROR(__xludf.DUMMYFUNCTION("VLOOKUP(F7093, IMPORTRANGE(""https://docs.google.com/spreadsheets/d/1Lhp9OU0JdFf_VYSMzH5lBcEaU4o8teT1piV-SNzShjg/edit?gid=554141278#gid=554141278"", ""'Char Def. - Attributes'!C20:C2242""), 1,false)"),"WEIGHT_UNIT_SI")</f>
        <v>WEIGHT_UNIT_SI</v>
      </c>
      <c r="I7093" s="136"/>
      <c r="R7093" s="63" t="str">
        <f t="shared" si="60"/>
        <v>ZSI1_AIR_PURIFWEIGHT_UNIT_SI</v>
      </c>
    </row>
    <row r="7094" ht="15.75" customHeight="1">
      <c r="B7094" s="63">
        <f t="shared" si="1"/>
        <v>14</v>
      </c>
      <c r="C7094" s="135" t="s">
        <v>538</v>
      </c>
      <c r="D7094" s="161" t="s">
        <v>74</v>
      </c>
      <c r="E7094" s="135">
        <f t="shared" si="61"/>
        <v>12</v>
      </c>
      <c r="F7094" s="134" t="s">
        <v>3877</v>
      </c>
      <c r="G7094" s="63" t="str">
        <f>VLOOKUP(C7094, 'Class Def. - General Data'!$C$20:$C$1000,1,false)</f>
        <v>ZSI1_AIR_PURIF</v>
      </c>
      <c r="H7094" s="63" t="str">
        <f>IFERROR(__xludf.DUMMYFUNCTION("VLOOKUP(F7094, IMPORTRANGE(""https://docs.google.com/spreadsheets/d/1Lhp9OU0JdFf_VYSMzH5lBcEaU4o8teT1piV-SNzShjg/edit?gid=554141278#gid=554141278"", ""'Char Def. - Attributes'!C20:C2242""), 1,false)"),"VOLUME_OPT")</f>
        <v>VOLUME_OPT</v>
      </c>
      <c r="I7094" s="136"/>
      <c r="R7094" s="63" t="str">
        <f t="shared" si="60"/>
        <v>ZSI1_AIR_PURIFVOLUME_OPT</v>
      </c>
    </row>
    <row r="7095" ht="15.75" customHeight="1">
      <c r="B7095" s="63">
        <f t="shared" si="1"/>
        <v>14</v>
      </c>
      <c r="C7095" s="135" t="s">
        <v>538</v>
      </c>
      <c r="D7095" s="161" t="s">
        <v>74</v>
      </c>
      <c r="E7095" s="135">
        <f t="shared" si="61"/>
        <v>13</v>
      </c>
      <c r="F7095" s="134" t="s">
        <v>4059</v>
      </c>
      <c r="G7095" s="63" t="str">
        <f>VLOOKUP(C7095, 'Class Def. - General Data'!$C$20:$C$1000,1,false)</f>
        <v>ZSI1_AIR_PURIF</v>
      </c>
      <c r="H7095" s="63" t="str">
        <f>IFERROR(__xludf.DUMMYFUNCTION("VLOOKUP(F7095, IMPORTRANGE(""https://docs.google.com/spreadsheets/d/1Lhp9OU0JdFf_VYSMzH5lBcEaU4o8teT1piV-SNzShjg/edit?gid=554141278#gid=554141278"", ""'Char Def. - Attributes'!C20:C2242""), 1,false)"),"VOLUME_UNIT_SI")</f>
        <v>VOLUME_UNIT_SI</v>
      </c>
      <c r="I7095" s="136"/>
      <c r="R7095" s="63" t="str">
        <f t="shared" si="60"/>
        <v>ZSI1_AIR_PURIFVOLUME_UNIT_SI</v>
      </c>
    </row>
    <row r="7096" ht="15.75" customHeight="1">
      <c r="B7096" s="63">
        <f t="shared" si="1"/>
        <v>14</v>
      </c>
      <c r="C7096" s="135" t="s">
        <v>538</v>
      </c>
      <c r="D7096" s="161" t="s">
        <v>74</v>
      </c>
      <c r="E7096" s="135">
        <f t="shared" si="61"/>
        <v>14</v>
      </c>
      <c r="F7096" s="134" t="s">
        <v>3804</v>
      </c>
      <c r="G7096" s="63" t="str">
        <f>VLOOKUP(C7096, 'Class Def. - General Data'!$C$20:$C$1000,1,false)</f>
        <v>ZSI1_AIR_PURIF</v>
      </c>
      <c r="H7096" s="63" t="str">
        <f>IFERROR(__xludf.DUMMYFUNCTION("VLOOKUP(F7096, IMPORTRANGE(""https://docs.google.com/spreadsheets/d/1Lhp9OU0JdFf_VYSMzH5lBcEaU4o8teT1piV-SNzShjg/edit?gid=554141278#gid=554141278"", ""'Char Def. - Attributes'!C20:C2242""), 1,false)"),"ALT_UOM1_SIPI")</f>
        <v>ALT_UOM1_SIPI</v>
      </c>
      <c r="I7096" s="136"/>
      <c r="R7096" s="63" t="str">
        <f t="shared" si="60"/>
        <v>ZSI1_AIR_PURIFALT_UOM1_SIPI</v>
      </c>
    </row>
    <row r="7097" ht="15.75" customHeight="1">
      <c r="B7097" s="63">
        <f t="shared" si="1"/>
        <v>14</v>
      </c>
      <c r="C7097" s="135" t="s">
        <v>538</v>
      </c>
      <c r="D7097" s="161" t="s">
        <v>74</v>
      </c>
      <c r="E7097" s="135">
        <f t="shared" si="61"/>
        <v>15</v>
      </c>
      <c r="F7097" s="134" t="s">
        <v>3805</v>
      </c>
      <c r="G7097" s="63" t="str">
        <f>VLOOKUP(C7097, 'Class Def. - General Data'!$C$20:$C$1000,1,false)</f>
        <v>ZSI1_AIR_PURIF</v>
      </c>
      <c r="H7097" s="63" t="str">
        <f>IFERROR(__xludf.DUMMYFUNCTION("VLOOKUP(F7097, IMPORTRANGE(""https://docs.google.com/spreadsheets/d/1Lhp9OU0JdFf_VYSMzH5lBcEaU4o8teT1piV-SNzShjg/edit?gid=554141278#gid=554141278"", ""'Char Def. - Attributes'!C20:C2242""), 1,false)"),"ALT_DENUM_UOM1")</f>
        <v>ALT_DENUM_UOM1</v>
      </c>
      <c r="I7097" s="136"/>
      <c r="R7097" s="63" t="str">
        <f t="shared" si="60"/>
        <v>ZSI1_AIR_PURIFALT_DENUM_UOM1</v>
      </c>
    </row>
    <row r="7098" ht="15.75" customHeight="1">
      <c r="B7098" s="63">
        <f t="shared" si="1"/>
        <v>14</v>
      </c>
      <c r="C7098" s="135" t="s">
        <v>538</v>
      </c>
      <c r="D7098" s="161" t="s">
        <v>74</v>
      </c>
      <c r="E7098" s="135">
        <f t="shared" si="61"/>
        <v>16</v>
      </c>
      <c r="F7098" s="134" t="s">
        <v>3806</v>
      </c>
      <c r="G7098" s="63" t="str">
        <f>VLOOKUP(C7098, 'Class Def. - General Data'!$C$20:$C$1000,1,false)</f>
        <v>ZSI1_AIR_PURIF</v>
      </c>
      <c r="H7098" s="63" t="str">
        <f>IFERROR(__xludf.DUMMYFUNCTION("VLOOKUP(F7098, IMPORTRANGE(""https://docs.google.com/spreadsheets/d/1Lhp9OU0JdFf_VYSMzH5lBcEaU4o8teT1piV-SNzShjg/edit?gid=554141278#gid=554141278"", ""'Char Def. - Attributes'!C20:C2242""), 1,false)"),"ALT_NUM_UOM1")</f>
        <v>ALT_NUM_UOM1</v>
      </c>
      <c r="I7098" s="136"/>
      <c r="R7098" s="63" t="str">
        <f t="shared" si="60"/>
        <v>ZSI1_AIR_PURIFALT_NUM_UOM1</v>
      </c>
    </row>
    <row r="7099" ht="15.75" customHeight="1">
      <c r="B7099" s="63">
        <f t="shared" si="1"/>
        <v>14</v>
      </c>
      <c r="C7099" s="135" t="s">
        <v>538</v>
      </c>
      <c r="D7099" s="161" t="s">
        <v>74</v>
      </c>
      <c r="E7099" s="135">
        <f t="shared" si="61"/>
        <v>17</v>
      </c>
      <c r="F7099" s="134" t="s">
        <v>3807</v>
      </c>
      <c r="G7099" s="63" t="str">
        <f>VLOOKUP(C7099, 'Class Def. - General Data'!$C$20:$C$1000,1,false)</f>
        <v>ZSI1_AIR_PURIF</v>
      </c>
      <c r="H7099" s="63" t="str">
        <f>IFERROR(__xludf.DUMMYFUNCTION("VLOOKUP(F7099, IMPORTRANGE(""https://docs.google.com/spreadsheets/d/1Lhp9OU0JdFf_VYSMzH5lBcEaU4o8teT1piV-SNzShjg/edit?gid=554141278#gid=554141278"", ""'Char Def. - Attributes'!C20:C2242""), 1,false)"),"ALT_UOM2_SIPI")</f>
        <v>ALT_UOM2_SIPI</v>
      </c>
      <c r="I7099" s="136"/>
      <c r="R7099" s="63" t="str">
        <f t="shared" si="60"/>
        <v>ZSI1_AIR_PURIFALT_UOM2_SIPI</v>
      </c>
    </row>
    <row r="7100" ht="15.75" customHeight="1">
      <c r="B7100" s="63">
        <f t="shared" si="1"/>
        <v>14</v>
      </c>
      <c r="C7100" s="135" t="s">
        <v>538</v>
      </c>
      <c r="D7100" s="161" t="s">
        <v>74</v>
      </c>
      <c r="E7100" s="135">
        <f t="shared" si="61"/>
        <v>18</v>
      </c>
      <c r="F7100" s="134" t="s">
        <v>3808</v>
      </c>
      <c r="G7100" s="63" t="str">
        <f>VLOOKUP(C7100, 'Class Def. - General Data'!$C$20:$C$1000,1,false)</f>
        <v>ZSI1_AIR_PURIF</v>
      </c>
      <c r="H7100" s="63" t="str">
        <f>IFERROR(__xludf.DUMMYFUNCTION("VLOOKUP(F7100, IMPORTRANGE(""https://docs.google.com/spreadsheets/d/1Lhp9OU0JdFf_VYSMzH5lBcEaU4o8teT1piV-SNzShjg/edit?gid=554141278#gid=554141278"", ""'Char Def. - Attributes'!C20:C2242""), 1,false)"),"ALT_DENUM_UOM2")</f>
        <v>ALT_DENUM_UOM2</v>
      </c>
      <c r="I7100" s="136"/>
      <c r="R7100" s="63" t="str">
        <f t="shared" si="60"/>
        <v>ZSI1_AIR_PURIFALT_DENUM_UOM2</v>
      </c>
    </row>
    <row r="7101" ht="15.75" customHeight="1">
      <c r="B7101" s="63">
        <f t="shared" si="1"/>
        <v>14</v>
      </c>
      <c r="C7101" s="135" t="s">
        <v>538</v>
      </c>
      <c r="D7101" s="161" t="s">
        <v>74</v>
      </c>
      <c r="E7101" s="135">
        <f t="shared" si="61"/>
        <v>19</v>
      </c>
      <c r="F7101" s="134" t="s">
        <v>3809</v>
      </c>
      <c r="G7101" s="63" t="str">
        <f>VLOOKUP(C7101, 'Class Def. - General Data'!$C$20:$C$1000,1,false)</f>
        <v>ZSI1_AIR_PURIF</v>
      </c>
      <c r="H7101" s="63" t="str">
        <f>IFERROR(__xludf.DUMMYFUNCTION("VLOOKUP(F7101, IMPORTRANGE(""https://docs.google.com/spreadsheets/d/1Lhp9OU0JdFf_VYSMzH5lBcEaU4o8teT1piV-SNzShjg/edit?gid=554141278#gid=554141278"", ""'Char Def. - Attributes'!C20:C2242""), 1,false)"),"ALT_NUM_UOM2")</f>
        <v>ALT_NUM_UOM2</v>
      </c>
      <c r="I7101" s="136"/>
      <c r="R7101" s="63" t="str">
        <f t="shared" si="60"/>
        <v>ZSI1_AIR_PURIFALT_NUM_UOM2</v>
      </c>
    </row>
    <row r="7102" ht="15.75" customHeight="1">
      <c r="B7102" s="63">
        <f t="shared" si="1"/>
        <v>14</v>
      </c>
      <c r="C7102" s="135" t="s">
        <v>538</v>
      </c>
      <c r="D7102" s="161" t="s">
        <v>74</v>
      </c>
      <c r="E7102" s="135">
        <f t="shared" si="61"/>
        <v>20</v>
      </c>
      <c r="F7102" s="134" t="s">
        <v>3810</v>
      </c>
      <c r="G7102" s="63" t="str">
        <f>VLOOKUP(C7102, 'Class Def. - General Data'!$C$20:$C$1000,1,false)</f>
        <v>ZSI1_AIR_PURIF</v>
      </c>
      <c r="H7102" s="63" t="str">
        <f>IFERROR(__xludf.DUMMYFUNCTION("VLOOKUP(F7102, IMPORTRANGE(""https://docs.google.com/spreadsheets/d/1Lhp9OU0JdFf_VYSMzH5lBcEaU4o8teT1piV-SNzShjg/edit?gid=554141278#gid=554141278"", ""'Char Def. - Attributes'!C20:C2242""), 1,false)"),"ALT_UOM3_SIPI")</f>
        <v>ALT_UOM3_SIPI</v>
      </c>
      <c r="I7102" s="136"/>
      <c r="R7102" s="63" t="str">
        <f t="shared" si="60"/>
        <v>ZSI1_AIR_PURIFALT_UOM3_SIPI</v>
      </c>
    </row>
    <row r="7103" ht="15.75" customHeight="1">
      <c r="B7103" s="63">
        <f t="shared" si="1"/>
        <v>14</v>
      </c>
      <c r="C7103" s="135" t="s">
        <v>538</v>
      </c>
      <c r="D7103" s="161" t="s">
        <v>74</v>
      </c>
      <c r="E7103" s="135">
        <f t="shared" si="61"/>
        <v>21</v>
      </c>
      <c r="F7103" s="134" t="s">
        <v>3811</v>
      </c>
      <c r="G7103" s="63" t="str">
        <f>VLOOKUP(C7103, 'Class Def. - General Data'!$C$20:$C$1000,1,false)</f>
        <v>ZSI1_AIR_PURIF</v>
      </c>
      <c r="H7103" s="63" t="str">
        <f>IFERROR(__xludf.DUMMYFUNCTION("VLOOKUP(F7103, IMPORTRANGE(""https://docs.google.com/spreadsheets/d/1Lhp9OU0JdFf_VYSMzH5lBcEaU4o8teT1piV-SNzShjg/edit?gid=554141278#gid=554141278"", ""'Char Def. - Attributes'!C20:C2242""), 1,false)"),"ALT_DENUM_UOM3")</f>
        <v>ALT_DENUM_UOM3</v>
      </c>
      <c r="I7103" s="136"/>
      <c r="R7103" s="63" t="str">
        <f t="shared" si="60"/>
        <v>ZSI1_AIR_PURIFALT_DENUM_UOM3</v>
      </c>
    </row>
    <row r="7104" ht="15.75" customHeight="1">
      <c r="B7104" s="63">
        <f t="shared" si="1"/>
        <v>14</v>
      </c>
      <c r="C7104" s="135" t="s">
        <v>538</v>
      </c>
      <c r="D7104" s="161" t="s">
        <v>74</v>
      </c>
      <c r="E7104" s="135">
        <f t="shared" si="61"/>
        <v>22</v>
      </c>
      <c r="F7104" s="134" t="s">
        <v>3812</v>
      </c>
      <c r="G7104" s="63" t="str">
        <f>VLOOKUP(C7104, 'Class Def. - General Data'!$C$20:$C$1000,1,false)</f>
        <v>ZSI1_AIR_PURIF</v>
      </c>
      <c r="H7104" s="63" t="str">
        <f>IFERROR(__xludf.DUMMYFUNCTION("VLOOKUP(F7104, IMPORTRANGE(""https://docs.google.com/spreadsheets/d/1Lhp9OU0JdFf_VYSMzH5lBcEaU4o8teT1piV-SNzShjg/edit?gid=554141278#gid=554141278"", ""'Char Def. - Attributes'!C20:C2242""), 1,false)"),"ALT_NUM_UOM3")</f>
        <v>ALT_NUM_UOM3</v>
      </c>
      <c r="I7104" s="136"/>
      <c r="R7104" s="63" t="str">
        <f t="shared" si="60"/>
        <v>ZSI1_AIR_PURIFALT_NUM_UOM3</v>
      </c>
    </row>
    <row r="7105" ht="15.75" customHeight="1">
      <c r="B7105" s="63">
        <f t="shared" si="1"/>
        <v>14</v>
      </c>
      <c r="C7105" s="135" t="s">
        <v>538</v>
      </c>
      <c r="D7105" s="161" t="s">
        <v>74</v>
      </c>
      <c r="E7105" s="135">
        <f t="shared" si="61"/>
        <v>23</v>
      </c>
      <c r="F7105" s="134" t="s">
        <v>3813</v>
      </c>
      <c r="G7105" s="63" t="str">
        <f>VLOOKUP(C7105, 'Class Def. - General Data'!$C$20:$C$1000,1,false)</f>
        <v>ZSI1_AIR_PURIF</v>
      </c>
      <c r="H7105" s="63" t="str">
        <f>IFERROR(__xludf.DUMMYFUNCTION("VLOOKUP(F7105, IMPORTRANGE(""https://docs.google.com/spreadsheets/d/1Lhp9OU0JdFf_VYSMzH5lBcEaU4o8teT1piV-SNzShjg/edit?gid=554141278#gid=554141278"", ""'Char Def. - Attributes'!C20:C2242""), 1,false)"),"ALT_UOM4_SIPI")</f>
        <v>ALT_UOM4_SIPI</v>
      </c>
      <c r="I7105" s="136"/>
      <c r="R7105" s="63" t="str">
        <f t="shared" si="60"/>
        <v>ZSI1_AIR_PURIFALT_UOM4_SIPI</v>
      </c>
    </row>
    <row r="7106" ht="15.75" customHeight="1">
      <c r="B7106" s="63">
        <f t="shared" si="1"/>
        <v>14</v>
      </c>
      <c r="C7106" s="135" t="s">
        <v>538</v>
      </c>
      <c r="D7106" s="161" t="s">
        <v>74</v>
      </c>
      <c r="E7106" s="135">
        <f t="shared" si="61"/>
        <v>24</v>
      </c>
      <c r="F7106" s="134" t="s">
        <v>3814</v>
      </c>
      <c r="G7106" s="63" t="str">
        <f>VLOOKUP(C7106, 'Class Def. - General Data'!$C$20:$C$1000,1,false)</f>
        <v>ZSI1_AIR_PURIF</v>
      </c>
      <c r="H7106" s="63" t="str">
        <f>IFERROR(__xludf.DUMMYFUNCTION("VLOOKUP(F7106, IMPORTRANGE(""https://docs.google.com/spreadsheets/d/1Lhp9OU0JdFf_VYSMzH5lBcEaU4o8teT1piV-SNzShjg/edit?gid=554141278#gid=554141278"", ""'Char Def. - Attributes'!C20:C2242""), 1,false)"),"ALT_DENUM_UOM4")</f>
        <v>ALT_DENUM_UOM4</v>
      </c>
      <c r="I7106" s="136"/>
      <c r="R7106" s="63" t="str">
        <f t="shared" si="60"/>
        <v>ZSI1_AIR_PURIFALT_DENUM_UOM4</v>
      </c>
    </row>
    <row r="7107" ht="15.75" customHeight="1">
      <c r="B7107" s="63">
        <f t="shared" si="1"/>
        <v>14</v>
      </c>
      <c r="C7107" s="135" t="s">
        <v>538</v>
      </c>
      <c r="D7107" s="161" t="s">
        <v>74</v>
      </c>
      <c r="E7107" s="135">
        <f t="shared" si="61"/>
        <v>25</v>
      </c>
      <c r="F7107" s="134" t="s">
        <v>3815</v>
      </c>
      <c r="G7107" s="63" t="str">
        <f>VLOOKUP(C7107, 'Class Def. - General Data'!$C$20:$C$1000,1,false)</f>
        <v>ZSI1_AIR_PURIF</v>
      </c>
      <c r="H7107" s="63" t="str">
        <f>IFERROR(__xludf.DUMMYFUNCTION("VLOOKUP(F7107, IMPORTRANGE(""https://docs.google.com/spreadsheets/d/1Lhp9OU0JdFf_VYSMzH5lBcEaU4o8teT1piV-SNzShjg/edit?gid=554141278#gid=554141278"", ""'Char Def. - Attributes'!C20:C2242""), 1,false)"),"ALT_NUM_UOM4")</f>
        <v>ALT_NUM_UOM4</v>
      </c>
      <c r="I7107" s="136"/>
      <c r="R7107" s="63" t="str">
        <f t="shared" si="60"/>
        <v>ZSI1_AIR_PURIFALT_NUM_UOM4</v>
      </c>
    </row>
    <row r="7108" ht="15.75" customHeight="1">
      <c r="B7108" s="63">
        <f t="shared" si="1"/>
        <v>14</v>
      </c>
      <c r="C7108" s="135" t="s">
        <v>538</v>
      </c>
      <c r="D7108" s="161" t="s">
        <v>74</v>
      </c>
      <c r="E7108" s="135">
        <f t="shared" si="61"/>
        <v>26</v>
      </c>
      <c r="F7108" s="134" t="s">
        <v>3816</v>
      </c>
      <c r="G7108" s="63" t="str">
        <f>VLOOKUP(C7108, 'Class Def. - General Data'!$C$20:$C$1000,1,false)</f>
        <v>ZSI1_AIR_PURIF</v>
      </c>
      <c r="H7108" s="63" t="str">
        <f>IFERROR(__xludf.DUMMYFUNCTION("VLOOKUP(F7108, IMPORTRANGE(""https://docs.google.com/spreadsheets/d/1Lhp9OU0JdFf_VYSMzH5lBcEaU4o8teT1piV-SNzShjg/edit?gid=554141278#gid=554141278"", ""'Char Def. - Attributes'!C20:C2242""), 1,false)"),"ALT_UOM5_SIPI")</f>
        <v>ALT_UOM5_SIPI</v>
      </c>
      <c r="I7108" s="136"/>
      <c r="R7108" s="63" t="str">
        <f t="shared" si="60"/>
        <v>ZSI1_AIR_PURIFALT_UOM5_SIPI</v>
      </c>
    </row>
    <row r="7109" ht="15.75" customHeight="1">
      <c r="B7109" s="63">
        <f t="shared" si="1"/>
        <v>14</v>
      </c>
      <c r="C7109" s="135" t="s">
        <v>538</v>
      </c>
      <c r="D7109" s="161" t="s">
        <v>74</v>
      </c>
      <c r="E7109" s="135">
        <f t="shared" si="61"/>
        <v>27</v>
      </c>
      <c r="F7109" s="134" t="s">
        <v>3817</v>
      </c>
      <c r="G7109" s="63" t="str">
        <f>VLOOKUP(C7109, 'Class Def. - General Data'!$C$20:$C$1000,1,false)</f>
        <v>ZSI1_AIR_PURIF</v>
      </c>
      <c r="H7109" s="63" t="str">
        <f>IFERROR(__xludf.DUMMYFUNCTION("VLOOKUP(F7109, IMPORTRANGE(""https://docs.google.com/spreadsheets/d/1Lhp9OU0JdFf_VYSMzH5lBcEaU4o8teT1piV-SNzShjg/edit?gid=554141278#gid=554141278"", ""'Char Def. - Attributes'!C20:C2242""), 1,false)"),"ALT_DENUM_UOM5")</f>
        <v>ALT_DENUM_UOM5</v>
      </c>
      <c r="I7109" s="136"/>
      <c r="R7109" s="63" t="str">
        <f t="shared" si="60"/>
        <v>ZSI1_AIR_PURIFALT_DENUM_UOM5</v>
      </c>
    </row>
    <row r="7110" ht="15.75" customHeight="1">
      <c r="B7110" s="63">
        <f t="shared" si="1"/>
        <v>14</v>
      </c>
      <c r="C7110" s="135" t="s">
        <v>538</v>
      </c>
      <c r="D7110" s="161" t="s">
        <v>74</v>
      </c>
      <c r="E7110" s="135">
        <f t="shared" si="61"/>
        <v>28</v>
      </c>
      <c r="F7110" s="134" t="s">
        <v>3818</v>
      </c>
      <c r="G7110" s="63" t="str">
        <f>VLOOKUP(C7110, 'Class Def. - General Data'!$C$20:$C$1000,1,false)</f>
        <v>ZSI1_AIR_PURIF</v>
      </c>
      <c r="H7110" s="63" t="str">
        <f>IFERROR(__xludf.DUMMYFUNCTION("VLOOKUP(F7110, IMPORTRANGE(""https://docs.google.com/spreadsheets/d/1Lhp9OU0JdFf_VYSMzH5lBcEaU4o8teT1piV-SNzShjg/edit?gid=554141278#gid=554141278"", ""'Char Def. - Attributes'!C20:C2242""), 1,false)"),"ALT_NUM_UOM5")</f>
        <v>ALT_NUM_UOM5</v>
      </c>
      <c r="I7110" s="136"/>
      <c r="R7110" s="63" t="str">
        <f t="shared" si="60"/>
        <v>ZSI1_AIR_PURIFALT_NUM_UOM5</v>
      </c>
    </row>
    <row r="7111" ht="15.75" customHeight="1">
      <c r="B7111" s="63">
        <f t="shared" si="1"/>
        <v>11</v>
      </c>
      <c r="C7111" s="135" t="s">
        <v>353</v>
      </c>
      <c r="D7111" s="161" t="s">
        <v>74</v>
      </c>
      <c r="E7111" s="135">
        <f t="shared" si="61"/>
        <v>1</v>
      </c>
      <c r="F7111" s="134" t="s">
        <v>4089</v>
      </c>
      <c r="G7111" s="63" t="str">
        <f>VLOOKUP(C7111, 'Class Def. - General Data'!$C$20:$C$1000,1,false)</f>
        <v>ZSI1_AMPLAS</v>
      </c>
      <c r="H7111" s="63" t="str">
        <f>IFERROR(__xludf.DUMMYFUNCTION("VLOOKUP(F7111, IMPORTRANGE(""https://docs.google.com/spreadsheets/d/1Lhp9OU0JdFf_VYSMzH5lBcEaU4o8teT1piV-SNzShjg/edit?gid=554141278#gid=554141278"", ""'Char Def. - Attributes'!C20:C2242""), 1,false)"),"ITEM_NAME_AMPLAS")</f>
        <v>ITEM_NAME_AMPLAS</v>
      </c>
      <c r="I7111" s="136"/>
      <c r="R7111" s="63" t="str">
        <f t="shared" si="60"/>
        <v>ZSI1_AMPLASITEM_NAME_AMPLAS</v>
      </c>
    </row>
    <row r="7112" ht="15.75" customHeight="1">
      <c r="B7112" s="63">
        <f t="shared" si="1"/>
        <v>11</v>
      </c>
      <c r="C7112" s="135" t="s">
        <v>353</v>
      </c>
      <c r="D7112" s="161" t="s">
        <v>74</v>
      </c>
      <c r="E7112" s="135">
        <f t="shared" si="61"/>
        <v>2</v>
      </c>
      <c r="F7112" s="134" t="s">
        <v>4090</v>
      </c>
      <c r="G7112" s="63" t="str">
        <f>VLOOKUP(C7112, 'Class Def. - General Data'!$C$20:$C$1000,1,false)</f>
        <v>ZSI1_AMPLAS</v>
      </c>
      <c r="H7112" s="63" t="str">
        <f>IFERROR(__xludf.DUMMYFUNCTION("VLOOKUP(F7112, IMPORTRANGE(""https://docs.google.com/spreadsheets/d/1Lhp9OU0JdFf_VYSMzH5lBcEaU4o8teT1piV-SNzShjg/edit?gid=554141278#gid=554141278"", ""'Char Def. - Attributes'!C20:C2242""), 1,false)"),"GRIT_NUMBER_AMPLAS")</f>
        <v>GRIT_NUMBER_AMPLAS</v>
      </c>
      <c r="I7112" s="136"/>
      <c r="R7112" s="63" t="str">
        <f t="shared" si="60"/>
        <v>ZSI1_AMPLASGRIT_NUMBER_AMPLAS</v>
      </c>
    </row>
    <row r="7113" ht="15.75" customHeight="1">
      <c r="B7113" s="63">
        <f t="shared" si="1"/>
        <v>11</v>
      </c>
      <c r="C7113" s="135" t="s">
        <v>353</v>
      </c>
      <c r="D7113" s="161" t="s">
        <v>74</v>
      </c>
      <c r="E7113" s="135">
        <f t="shared" si="61"/>
        <v>3</v>
      </c>
      <c r="F7113" s="134" t="s">
        <v>4091</v>
      </c>
      <c r="G7113" s="63" t="str">
        <f>VLOOKUP(C7113, 'Class Def. - General Data'!$C$20:$C$1000,1,false)</f>
        <v>ZSI1_AMPLAS</v>
      </c>
      <c r="H7113" s="63" t="str">
        <f>IFERROR(__xludf.DUMMYFUNCTION("VLOOKUP(F7113, IMPORTRANGE(""https://docs.google.com/spreadsheets/d/1Lhp9OU0JdFf_VYSMzH5lBcEaU4o8teT1piV-SNzShjg/edit?gid=554141278#gid=554141278"", ""'Char Def. - Attributes'!C20:C2242""), 1,false)"),"MATERIAL_AMPLAS")</f>
        <v>MATERIAL_AMPLAS</v>
      </c>
      <c r="I7113" s="136"/>
      <c r="R7113" s="63" t="str">
        <f t="shared" si="60"/>
        <v>ZSI1_AMPLASMATERIAL_AMPLAS</v>
      </c>
    </row>
    <row r="7114" ht="15.75" customHeight="1">
      <c r="B7114" s="63">
        <f t="shared" si="1"/>
        <v>11</v>
      </c>
      <c r="C7114" s="135" t="s">
        <v>353</v>
      </c>
      <c r="D7114" s="161" t="s">
        <v>74</v>
      </c>
      <c r="E7114" s="135">
        <f t="shared" si="61"/>
        <v>4</v>
      </c>
      <c r="F7114" s="134" t="s">
        <v>4053</v>
      </c>
      <c r="G7114" s="63" t="str">
        <f>VLOOKUP(C7114, 'Class Def. - General Data'!$C$20:$C$1000,1,false)</f>
        <v>ZSI1_AMPLAS</v>
      </c>
      <c r="H7114" s="63" t="str">
        <f>IFERROR(__xludf.DUMMYFUNCTION("VLOOKUP(F7114, IMPORTRANGE(""https://docs.google.com/spreadsheets/d/1Lhp9OU0JdFf_VYSMzH5lBcEaU4o8teT1piV-SNzShjg/edit?gid=554141278#gid=554141278"", ""'Char Def. - Attributes'!C20:C2242""), 1,false)"),"MAINTENANCE_ORDER_TYPE")</f>
        <v>MAINTENANCE_ORDER_TYPE</v>
      </c>
      <c r="I7114" s="136"/>
      <c r="R7114" s="63" t="str">
        <f t="shared" si="60"/>
        <v>ZSI1_AMPLASMAINTENANCE_ORDER_TYPE</v>
      </c>
    </row>
    <row r="7115" ht="15.75" customHeight="1">
      <c r="B7115" s="63">
        <f t="shared" si="1"/>
        <v>11</v>
      </c>
      <c r="C7115" s="135" t="s">
        <v>353</v>
      </c>
      <c r="D7115" s="161" t="s">
        <v>74</v>
      </c>
      <c r="E7115" s="135">
        <f t="shared" si="61"/>
        <v>5</v>
      </c>
      <c r="F7115" s="134" t="s">
        <v>3585</v>
      </c>
      <c r="G7115" s="63" t="str">
        <f>VLOOKUP(C7115, 'Class Def. - General Data'!$C$20:$C$1000,1,false)</f>
        <v>ZSI1_AMPLAS</v>
      </c>
      <c r="H7115" s="63" t="str">
        <f>IFERROR(__xludf.DUMMYFUNCTION("VLOOKUP(F7115, IMPORTRANGE(""https://docs.google.com/spreadsheets/d/1Lhp9OU0JdFf_VYSMzH5lBcEaU4o8teT1piV-SNzShjg/edit?gid=554141278#gid=554141278"", ""'Char Def. - Attributes'!C20:C2242""), 1,false)"),"HS_CODE")</f>
        <v>HS_CODE</v>
      </c>
      <c r="I7115" s="136"/>
      <c r="R7115" s="63" t="str">
        <f t="shared" si="60"/>
        <v>ZSI1_AMPLASHS_CODE</v>
      </c>
    </row>
    <row r="7116" ht="15.75" customHeight="1">
      <c r="B7116" s="63">
        <f t="shared" si="1"/>
        <v>11</v>
      </c>
      <c r="C7116" s="135" t="s">
        <v>353</v>
      </c>
      <c r="D7116" s="161" t="s">
        <v>74</v>
      </c>
      <c r="E7116" s="135">
        <f t="shared" si="61"/>
        <v>6</v>
      </c>
      <c r="F7116" s="134" t="s">
        <v>3587</v>
      </c>
      <c r="G7116" s="63" t="str">
        <f>VLOOKUP(C7116, 'Class Def. - General Data'!$C$20:$C$1000,1,false)</f>
        <v>ZSI1_AMPLAS</v>
      </c>
      <c r="H7116" s="63" t="str">
        <f>IFERROR(__xludf.DUMMYFUNCTION("VLOOKUP(F7116, IMPORTRANGE(""https://docs.google.com/spreadsheets/d/1Lhp9OU0JdFf_VYSMzH5lBcEaU4o8teT1piV-SNzShjg/edit?gid=554141278#gid=554141278"", ""'Char Def. - Attributes'!C20:C2242""), 1,false)"),"PLANT_BUY")</f>
        <v>PLANT_BUY</v>
      </c>
      <c r="I7116" s="136"/>
      <c r="R7116" s="63" t="str">
        <f t="shared" si="60"/>
        <v>ZSI1_AMPLASPLANT_BUY</v>
      </c>
    </row>
    <row r="7117" ht="15.75" customHeight="1">
      <c r="B7117" s="63">
        <f t="shared" si="1"/>
        <v>11</v>
      </c>
      <c r="C7117" s="135" t="s">
        <v>353</v>
      </c>
      <c r="D7117" s="161" t="s">
        <v>74</v>
      </c>
      <c r="E7117" s="135">
        <f t="shared" si="61"/>
        <v>7</v>
      </c>
      <c r="F7117" s="134" t="s">
        <v>4092</v>
      </c>
      <c r="G7117" s="63" t="str">
        <f>VLOOKUP(C7117, 'Class Def. - General Data'!$C$20:$C$1000,1,false)</f>
        <v>ZSI1_AMPLAS</v>
      </c>
      <c r="H7117" s="63" t="str">
        <f>IFERROR(__xludf.DUMMYFUNCTION("VLOOKUP(F7117, IMPORTRANGE(""https://docs.google.com/spreadsheets/d/1Lhp9OU0JdFf_VYSMzH5lBcEaU4o8teT1piV-SNzShjg/edit?gid=554141278#gid=554141278"", ""'Char Def. - Attributes'!C20:C2242""), 1,false)"),"BASE_UOM_AMPLAS")</f>
        <v>BASE_UOM_AMPLAS</v>
      </c>
      <c r="I7117" s="136"/>
      <c r="R7117" s="63" t="str">
        <f t="shared" si="60"/>
        <v>ZSI1_AMPLASBASE_UOM_AMPLAS</v>
      </c>
    </row>
    <row r="7118" ht="15.75" customHeight="1">
      <c r="B7118" s="63">
        <f t="shared" si="1"/>
        <v>11</v>
      </c>
      <c r="C7118" s="135" t="s">
        <v>353</v>
      </c>
      <c r="D7118" s="161" t="s">
        <v>74</v>
      </c>
      <c r="E7118" s="135">
        <f t="shared" si="61"/>
        <v>8</v>
      </c>
      <c r="F7118" s="134" t="s">
        <v>4093</v>
      </c>
      <c r="G7118" s="63" t="str">
        <f>VLOOKUP(C7118, 'Class Def. - General Data'!$C$20:$C$1000,1,false)</f>
        <v>ZSI1_AMPLAS</v>
      </c>
      <c r="H7118" s="63" t="str">
        <f>IFERROR(__xludf.DUMMYFUNCTION("VLOOKUP(F7118, IMPORTRANGE(""https://docs.google.com/spreadsheets/d/1Lhp9OU0JdFf_VYSMzH5lBcEaU4o8teT1piV-SNzShjg/edit?gid=554141278#gid=554141278"", ""'Char Def. - Attributes'!C20:C2242""), 1,false)"),"ORDER_UNIT_AMPLAS")</f>
        <v>ORDER_UNIT_AMPLAS</v>
      </c>
      <c r="I7118" s="136"/>
      <c r="R7118" s="63" t="str">
        <f t="shared" si="60"/>
        <v>ZSI1_AMPLASORDER_UNIT_AMPLAS</v>
      </c>
    </row>
    <row r="7119" ht="15.75" customHeight="1">
      <c r="B7119" s="63">
        <f t="shared" si="1"/>
        <v>11</v>
      </c>
      <c r="C7119" s="135" t="s">
        <v>353</v>
      </c>
      <c r="D7119" s="161" t="s">
        <v>74</v>
      </c>
      <c r="E7119" s="135">
        <f t="shared" si="61"/>
        <v>9</v>
      </c>
      <c r="F7119" s="134" t="s">
        <v>4056</v>
      </c>
      <c r="G7119" s="63" t="str">
        <f>VLOOKUP(C7119, 'Class Def. - General Data'!$C$20:$C$1000,1,false)</f>
        <v>ZSI1_AMPLAS</v>
      </c>
      <c r="H7119" s="63" t="str">
        <f>IFERROR(__xludf.DUMMYFUNCTION("VLOOKUP(F7119, IMPORTRANGE(""https://docs.google.com/spreadsheets/d/1Lhp9OU0JdFf_VYSMzH5lBcEaU4o8teT1piV-SNzShjg/edit?gid=554141278#gid=554141278"", ""'Char Def. - Attributes'!C20:C2242""), 1,false)"),"GROSS_WEIGHT_OPT")</f>
        <v>GROSS_WEIGHT_OPT</v>
      </c>
      <c r="I7119" s="136"/>
      <c r="R7119" s="63" t="str">
        <f t="shared" si="60"/>
        <v>ZSI1_AMPLASGROSS_WEIGHT_OPT</v>
      </c>
    </row>
    <row r="7120" ht="15.75" customHeight="1">
      <c r="B7120" s="63">
        <f t="shared" si="1"/>
        <v>11</v>
      </c>
      <c r="C7120" s="135" t="s">
        <v>353</v>
      </c>
      <c r="D7120" s="161" t="s">
        <v>74</v>
      </c>
      <c r="E7120" s="135">
        <f t="shared" si="61"/>
        <v>10</v>
      </c>
      <c r="F7120" s="134" t="s">
        <v>4057</v>
      </c>
      <c r="G7120" s="63" t="str">
        <f>VLOOKUP(C7120, 'Class Def. - General Data'!$C$20:$C$1000,1,false)</f>
        <v>ZSI1_AMPLAS</v>
      </c>
      <c r="H7120" s="63" t="str">
        <f>IFERROR(__xludf.DUMMYFUNCTION("VLOOKUP(F7120, IMPORTRANGE(""https://docs.google.com/spreadsheets/d/1Lhp9OU0JdFf_VYSMzH5lBcEaU4o8teT1piV-SNzShjg/edit?gid=554141278#gid=554141278"", ""'Char Def. - Attributes'!C20:C2242""), 1,false)"),"NET_WEIGHT_OPT")</f>
        <v>NET_WEIGHT_OPT</v>
      </c>
      <c r="I7120" s="136"/>
      <c r="R7120" s="63" t="str">
        <f t="shared" si="60"/>
        <v>ZSI1_AMPLASNET_WEIGHT_OPT</v>
      </c>
    </row>
    <row r="7121" ht="15.75" customHeight="1">
      <c r="B7121" s="63">
        <f t="shared" si="1"/>
        <v>11</v>
      </c>
      <c r="C7121" s="135" t="s">
        <v>353</v>
      </c>
      <c r="D7121" s="161" t="s">
        <v>74</v>
      </c>
      <c r="E7121" s="135">
        <f t="shared" si="61"/>
        <v>11</v>
      </c>
      <c r="F7121" s="134" t="s">
        <v>4058</v>
      </c>
      <c r="G7121" s="63" t="str">
        <f>VLOOKUP(C7121, 'Class Def. - General Data'!$C$20:$C$1000,1,false)</f>
        <v>ZSI1_AMPLAS</v>
      </c>
      <c r="H7121" s="63" t="str">
        <f>IFERROR(__xludf.DUMMYFUNCTION("VLOOKUP(F7121, IMPORTRANGE(""https://docs.google.com/spreadsheets/d/1Lhp9OU0JdFf_VYSMzH5lBcEaU4o8teT1piV-SNzShjg/edit?gid=554141278#gid=554141278"", ""'Char Def. - Attributes'!C20:C2242""), 1,false)"),"WEIGHT_UNIT_SI")</f>
        <v>WEIGHT_UNIT_SI</v>
      </c>
      <c r="I7121" s="136"/>
      <c r="R7121" s="63" t="str">
        <f t="shared" si="60"/>
        <v>ZSI1_AMPLASWEIGHT_UNIT_SI</v>
      </c>
    </row>
    <row r="7122" ht="15.75" customHeight="1">
      <c r="B7122" s="63">
        <f t="shared" si="1"/>
        <v>11</v>
      </c>
      <c r="C7122" s="135" t="s">
        <v>353</v>
      </c>
      <c r="D7122" s="161" t="s">
        <v>74</v>
      </c>
      <c r="E7122" s="135">
        <f t="shared" si="61"/>
        <v>12</v>
      </c>
      <c r="F7122" s="134" t="s">
        <v>3877</v>
      </c>
      <c r="G7122" s="63" t="str">
        <f>VLOOKUP(C7122, 'Class Def. - General Data'!$C$20:$C$1000,1,false)</f>
        <v>ZSI1_AMPLAS</v>
      </c>
      <c r="H7122" s="63" t="str">
        <f>IFERROR(__xludf.DUMMYFUNCTION("VLOOKUP(F7122, IMPORTRANGE(""https://docs.google.com/spreadsheets/d/1Lhp9OU0JdFf_VYSMzH5lBcEaU4o8teT1piV-SNzShjg/edit?gid=554141278#gid=554141278"", ""'Char Def. - Attributes'!C20:C2242""), 1,false)"),"VOLUME_OPT")</f>
        <v>VOLUME_OPT</v>
      </c>
      <c r="I7122" s="136"/>
      <c r="R7122" s="63" t="str">
        <f t="shared" si="60"/>
        <v>ZSI1_AMPLASVOLUME_OPT</v>
      </c>
    </row>
    <row r="7123" ht="15.75" customHeight="1">
      <c r="B7123" s="63">
        <f t="shared" si="1"/>
        <v>11</v>
      </c>
      <c r="C7123" s="135" t="s">
        <v>353</v>
      </c>
      <c r="D7123" s="161" t="s">
        <v>74</v>
      </c>
      <c r="E7123" s="135">
        <f t="shared" si="61"/>
        <v>13</v>
      </c>
      <c r="F7123" s="134" t="s">
        <v>4059</v>
      </c>
      <c r="G7123" s="63" t="str">
        <f>VLOOKUP(C7123, 'Class Def. - General Data'!$C$20:$C$1000,1,false)</f>
        <v>ZSI1_AMPLAS</v>
      </c>
      <c r="H7123" s="63" t="str">
        <f>IFERROR(__xludf.DUMMYFUNCTION("VLOOKUP(F7123, IMPORTRANGE(""https://docs.google.com/spreadsheets/d/1Lhp9OU0JdFf_VYSMzH5lBcEaU4o8teT1piV-SNzShjg/edit?gid=554141278#gid=554141278"", ""'Char Def. - Attributes'!C20:C2242""), 1,false)"),"VOLUME_UNIT_SI")</f>
        <v>VOLUME_UNIT_SI</v>
      </c>
      <c r="I7123" s="136"/>
      <c r="R7123" s="63" t="str">
        <f t="shared" si="60"/>
        <v>ZSI1_AMPLASVOLUME_UNIT_SI</v>
      </c>
    </row>
    <row r="7124" ht="15.75" customHeight="1">
      <c r="B7124" s="63">
        <f t="shared" si="1"/>
        <v>11</v>
      </c>
      <c r="C7124" s="135" t="s">
        <v>353</v>
      </c>
      <c r="D7124" s="161" t="s">
        <v>74</v>
      </c>
      <c r="E7124" s="135">
        <f t="shared" si="61"/>
        <v>14</v>
      </c>
      <c r="F7124" s="134" t="s">
        <v>3804</v>
      </c>
      <c r="G7124" s="63" t="str">
        <f>VLOOKUP(C7124, 'Class Def. - General Data'!$C$20:$C$1000,1,false)</f>
        <v>ZSI1_AMPLAS</v>
      </c>
      <c r="H7124" s="63" t="str">
        <f>IFERROR(__xludf.DUMMYFUNCTION("VLOOKUP(F7124, IMPORTRANGE(""https://docs.google.com/spreadsheets/d/1Lhp9OU0JdFf_VYSMzH5lBcEaU4o8teT1piV-SNzShjg/edit?gid=554141278#gid=554141278"", ""'Char Def. - Attributes'!C20:C2242""), 1,false)"),"ALT_UOM1_SIPI")</f>
        <v>ALT_UOM1_SIPI</v>
      </c>
      <c r="I7124" s="136"/>
      <c r="R7124" s="63" t="str">
        <f t="shared" si="60"/>
        <v>ZSI1_AMPLASALT_UOM1_SIPI</v>
      </c>
    </row>
    <row r="7125" ht="15.75" customHeight="1">
      <c r="B7125" s="63">
        <f t="shared" si="1"/>
        <v>11</v>
      </c>
      <c r="C7125" s="135" t="s">
        <v>353</v>
      </c>
      <c r="D7125" s="161" t="s">
        <v>74</v>
      </c>
      <c r="E7125" s="135">
        <f t="shared" si="61"/>
        <v>15</v>
      </c>
      <c r="F7125" s="134" t="s">
        <v>3805</v>
      </c>
      <c r="G7125" s="63" t="str">
        <f>VLOOKUP(C7125, 'Class Def. - General Data'!$C$20:$C$1000,1,false)</f>
        <v>ZSI1_AMPLAS</v>
      </c>
      <c r="H7125" s="63" t="str">
        <f>IFERROR(__xludf.DUMMYFUNCTION("VLOOKUP(F7125, IMPORTRANGE(""https://docs.google.com/spreadsheets/d/1Lhp9OU0JdFf_VYSMzH5lBcEaU4o8teT1piV-SNzShjg/edit?gid=554141278#gid=554141278"", ""'Char Def. - Attributes'!C20:C2242""), 1,false)"),"ALT_DENUM_UOM1")</f>
        <v>ALT_DENUM_UOM1</v>
      </c>
      <c r="I7125" s="136"/>
      <c r="R7125" s="63" t="str">
        <f t="shared" si="60"/>
        <v>ZSI1_AMPLASALT_DENUM_UOM1</v>
      </c>
    </row>
    <row r="7126" ht="15.75" customHeight="1">
      <c r="B7126" s="63">
        <f t="shared" si="1"/>
        <v>11</v>
      </c>
      <c r="C7126" s="135" t="s">
        <v>353</v>
      </c>
      <c r="D7126" s="161" t="s">
        <v>74</v>
      </c>
      <c r="E7126" s="135">
        <f t="shared" si="61"/>
        <v>16</v>
      </c>
      <c r="F7126" s="134" t="s">
        <v>3806</v>
      </c>
      <c r="G7126" s="63" t="str">
        <f>VLOOKUP(C7126, 'Class Def. - General Data'!$C$20:$C$1000,1,false)</f>
        <v>ZSI1_AMPLAS</v>
      </c>
      <c r="H7126" s="63" t="str">
        <f>IFERROR(__xludf.DUMMYFUNCTION("VLOOKUP(F7126, IMPORTRANGE(""https://docs.google.com/spreadsheets/d/1Lhp9OU0JdFf_VYSMzH5lBcEaU4o8teT1piV-SNzShjg/edit?gid=554141278#gid=554141278"", ""'Char Def. - Attributes'!C20:C2242""), 1,false)"),"ALT_NUM_UOM1")</f>
        <v>ALT_NUM_UOM1</v>
      </c>
      <c r="I7126" s="136"/>
      <c r="R7126" s="63" t="str">
        <f t="shared" si="60"/>
        <v>ZSI1_AMPLASALT_NUM_UOM1</v>
      </c>
    </row>
    <row r="7127" ht="15.75" customHeight="1">
      <c r="B7127" s="63">
        <f t="shared" si="1"/>
        <v>11</v>
      </c>
      <c r="C7127" s="135" t="s">
        <v>353</v>
      </c>
      <c r="D7127" s="161" t="s">
        <v>74</v>
      </c>
      <c r="E7127" s="135">
        <f t="shared" si="61"/>
        <v>17</v>
      </c>
      <c r="F7127" s="134" t="s">
        <v>3807</v>
      </c>
      <c r="G7127" s="63" t="str">
        <f>VLOOKUP(C7127, 'Class Def. - General Data'!$C$20:$C$1000,1,false)</f>
        <v>ZSI1_AMPLAS</v>
      </c>
      <c r="H7127" s="63" t="str">
        <f>IFERROR(__xludf.DUMMYFUNCTION("VLOOKUP(F7127, IMPORTRANGE(""https://docs.google.com/spreadsheets/d/1Lhp9OU0JdFf_VYSMzH5lBcEaU4o8teT1piV-SNzShjg/edit?gid=554141278#gid=554141278"", ""'Char Def. - Attributes'!C20:C2242""), 1,false)"),"ALT_UOM2_SIPI")</f>
        <v>ALT_UOM2_SIPI</v>
      </c>
      <c r="I7127" s="136"/>
      <c r="R7127" s="63" t="str">
        <f t="shared" si="60"/>
        <v>ZSI1_AMPLASALT_UOM2_SIPI</v>
      </c>
    </row>
    <row r="7128" ht="15.75" customHeight="1">
      <c r="B7128" s="63">
        <f t="shared" si="1"/>
        <v>11</v>
      </c>
      <c r="C7128" s="135" t="s">
        <v>353</v>
      </c>
      <c r="D7128" s="161" t="s">
        <v>74</v>
      </c>
      <c r="E7128" s="135">
        <f t="shared" si="61"/>
        <v>18</v>
      </c>
      <c r="F7128" s="134" t="s">
        <v>3808</v>
      </c>
      <c r="G7128" s="63" t="str">
        <f>VLOOKUP(C7128, 'Class Def. - General Data'!$C$20:$C$1000,1,false)</f>
        <v>ZSI1_AMPLAS</v>
      </c>
      <c r="H7128" s="63" t="str">
        <f>IFERROR(__xludf.DUMMYFUNCTION("VLOOKUP(F7128, IMPORTRANGE(""https://docs.google.com/spreadsheets/d/1Lhp9OU0JdFf_VYSMzH5lBcEaU4o8teT1piV-SNzShjg/edit?gid=554141278#gid=554141278"", ""'Char Def. - Attributes'!C20:C2242""), 1,false)"),"ALT_DENUM_UOM2")</f>
        <v>ALT_DENUM_UOM2</v>
      </c>
      <c r="I7128" s="136"/>
      <c r="R7128" s="63" t="str">
        <f t="shared" si="60"/>
        <v>ZSI1_AMPLASALT_DENUM_UOM2</v>
      </c>
    </row>
    <row r="7129" ht="15.75" customHeight="1">
      <c r="B7129" s="63">
        <f t="shared" si="1"/>
        <v>11</v>
      </c>
      <c r="C7129" s="135" t="s">
        <v>353</v>
      </c>
      <c r="D7129" s="161" t="s">
        <v>74</v>
      </c>
      <c r="E7129" s="135">
        <f t="shared" si="61"/>
        <v>19</v>
      </c>
      <c r="F7129" s="134" t="s">
        <v>3809</v>
      </c>
      <c r="G7129" s="63" t="str">
        <f>VLOOKUP(C7129, 'Class Def. - General Data'!$C$20:$C$1000,1,false)</f>
        <v>ZSI1_AMPLAS</v>
      </c>
      <c r="H7129" s="63" t="str">
        <f>IFERROR(__xludf.DUMMYFUNCTION("VLOOKUP(F7129, IMPORTRANGE(""https://docs.google.com/spreadsheets/d/1Lhp9OU0JdFf_VYSMzH5lBcEaU4o8teT1piV-SNzShjg/edit?gid=554141278#gid=554141278"", ""'Char Def. - Attributes'!C20:C2242""), 1,false)"),"ALT_NUM_UOM2")</f>
        <v>ALT_NUM_UOM2</v>
      </c>
      <c r="I7129" s="136"/>
      <c r="R7129" s="63" t="str">
        <f t="shared" si="60"/>
        <v>ZSI1_AMPLASALT_NUM_UOM2</v>
      </c>
    </row>
    <row r="7130" ht="15.75" customHeight="1">
      <c r="B7130" s="63">
        <f t="shared" si="1"/>
        <v>11</v>
      </c>
      <c r="C7130" s="135" t="s">
        <v>353</v>
      </c>
      <c r="D7130" s="161" t="s">
        <v>74</v>
      </c>
      <c r="E7130" s="135">
        <f t="shared" si="61"/>
        <v>20</v>
      </c>
      <c r="F7130" s="134" t="s">
        <v>3810</v>
      </c>
      <c r="G7130" s="63" t="str">
        <f>VLOOKUP(C7130, 'Class Def. - General Data'!$C$20:$C$1000,1,false)</f>
        <v>ZSI1_AMPLAS</v>
      </c>
      <c r="H7130" s="63" t="str">
        <f>IFERROR(__xludf.DUMMYFUNCTION("VLOOKUP(F7130, IMPORTRANGE(""https://docs.google.com/spreadsheets/d/1Lhp9OU0JdFf_VYSMzH5lBcEaU4o8teT1piV-SNzShjg/edit?gid=554141278#gid=554141278"", ""'Char Def. - Attributes'!C20:C2242""), 1,false)"),"ALT_UOM3_SIPI")</f>
        <v>ALT_UOM3_SIPI</v>
      </c>
      <c r="I7130" s="136"/>
      <c r="R7130" s="63" t="str">
        <f t="shared" si="60"/>
        <v>ZSI1_AMPLASALT_UOM3_SIPI</v>
      </c>
    </row>
    <row r="7131" ht="15.75" customHeight="1">
      <c r="B7131" s="63">
        <f t="shared" si="1"/>
        <v>11</v>
      </c>
      <c r="C7131" s="135" t="s">
        <v>353</v>
      </c>
      <c r="D7131" s="161" t="s">
        <v>74</v>
      </c>
      <c r="E7131" s="135">
        <f t="shared" si="61"/>
        <v>21</v>
      </c>
      <c r="F7131" s="134" t="s">
        <v>3811</v>
      </c>
      <c r="G7131" s="63" t="str">
        <f>VLOOKUP(C7131, 'Class Def. - General Data'!$C$20:$C$1000,1,false)</f>
        <v>ZSI1_AMPLAS</v>
      </c>
      <c r="H7131" s="63" t="str">
        <f>IFERROR(__xludf.DUMMYFUNCTION("VLOOKUP(F7131, IMPORTRANGE(""https://docs.google.com/spreadsheets/d/1Lhp9OU0JdFf_VYSMzH5lBcEaU4o8teT1piV-SNzShjg/edit?gid=554141278#gid=554141278"", ""'Char Def. - Attributes'!C20:C2242""), 1,false)"),"ALT_DENUM_UOM3")</f>
        <v>ALT_DENUM_UOM3</v>
      </c>
      <c r="I7131" s="136"/>
      <c r="R7131" s="63" t="str">
        <f t="shared" si="60"/>
        <v>ZSI1_AMPLASALT_DENUM_UOM3</v>
      </c>
    </row>
    <row r="7132" ht="15.75" customHeight="1">
      <c r="B7132" s="63">
        <f t="shared" si="1"/>
        <v>11</v>
      </c>
      <c r="C7132" s="135" t="s">
        <v>353</v>
      </c>
      <c r="D7132" s="161" t="s">
        <v>74</v>
      </c>
      <c r="E7132" s="135">
        <f t="shared" si="61"/>
        <v>22</v>
      </c>
      <c r="F7132" s="134" t="s">
        <v>3812</v>
      </c>
      <c r="G7132" s="63" t="str">
        <f>VLOOKUP(C7132, 'Class Def. - General Data'!$C$20:$C$1000,1,false)</f>
        <v>ZSI1_AMPLAS</v>
      </c>
      <c r="H7132" s="63" t="str">
        <f>IFERROR(__xludf.DUMMYFUNCTION("VLOOKUP(F7132, IMPORTRANGE(""https://docs.google.com/spreadsheets/d/1Lhp9OU0JdFf_VYSMzH5lBcEaU4o8teT1piV-SNzShjg/edit?gid=554141278#gid=554141278"", ""'Char Def. - Attributes'!C20:C2242""), 1,false)"),"ALT_NUM_UOM3")</f>
        <v>ALT_NUM_UOM3</v>
      </c>
      <c r="I7132" s="136"/>
      <c r="R7132" s="63" t="str">
        <f t="shared" si="60"/>
        <v>ZSI1_AMPLASALT_NUM_UOM3</v>
      </c>
    </row>
    <row r="7133" ht="15.75" customHeight="1">
      <c r="B7133" s="63">
        <f t="shared" si="1"/>
        <v>11</v>
      </c>
      <c r="C7133" s="135" t="s">
        <v>353</v>
      </c>
      <c r="D7133" s="161" t="s">
        <v>74</v>
      </c>
      <c r="E7133" s="135">
        <f t="shared" si="61"/>
        <v>23</v>
      </c>
      <c r="F7133" s="134" t="s">
        <v>3813</v>
      </c>
      <c r="G7133" s="63" t="str">
        <f>VLOOKUP(C7133, 'Class Def. - General Data'!$C$20:$C$1000,1,false)</f>
        <v>ZSI1_AMPLAS</v>
      </c>
      <c r="H7133" s="63" t="str">
        <f>IFERROR(__xludf.DUMMYFUNCTION("VLOOKUP(F7133, IMPORTRANGE(""https://docs.google.com/spreadsheets/d/1Lhp9OU0JdFf_VYSMzH5lBcEaU4o8teT1piV-SNzShjg/edit?gid=554141278#gid=554141278"", ""'Char Def. - Attributes'!C20:C2242""), 1,false)"),"ALT_UOM4_SIPI")</f>
        <v>ALT_UOM4_SIPI</v>
      </c>
      <c r="I7133" s="136"/>
      <c r="R7133" s="63" t="str">
        <f t="shared" si="60"/>
        <v>ZSI1_AMPLASALT_UOM4_SIPI</v>
      </c>
    </row>
    <row r="7134" ht="15.75" customHeight="1">
      <c r="B7134" s="63">
        <f t="shared" si="1"/>
        <v>11</v>
      </c>
      <c r="C7134" s="135" t="s">
        <v>353</v>
      </c>
      <c r="D7134" s="161" t="s">
        <v>74</v>
      </c>
      <c r="E7134" s="135">
        <f t="shared" si="61"/>
        <v>24</v>
      </c>
      <c r="F7134" s="134" t="s">
        <v>3814</v>
      </c>
      <c r="G7134" s="63" t="str">
        <f>VLOOKUP(C7134, 'Class Def. - General Data'!$C$20:$C$1000,1,false)</f>
        <v>ZSI1_AMPLAS</v>
      </c>
      <c r="H7134" s="63" t="str">
        <f>IFERROR(__xludf.DUMMYFUNCTION("VLOOKUP(F7134, IMPORTRANGE(""https://docs.google.com/spreadsheets/d/1Lhp9OU0JdFf_VYSMzH5lBcEaU4o8teT1piV-SNzShjg/edit?gid=554141278#gid=554141278"", ""'Char Def. - Attributes'!C20:C2242""), 1,false)"),"ALT_DENUM_UOM4")</f>
        <v>ALT_DENUM_UOM4</v>
      </c>
      <c r="I7134" s="136"/>
      <c r="R7134" s="63" t="str">
        <f t="shared" si="60"/>
        <v>ZSI1_AMPLASALT_DENUM_UOM4</v>
      </c>
    </row>
    <row r="7135" ht="15.75" customHeight="1">
      <c r="B7135" s="63">
        <f t="shared" si="1"/>
        <v>11</v>
      </c>
      <c r="C7135" s="135" t="s">
        <v>353</v>
      </c>
      <c r="D7135" s="161" t="s">
        <v>74</v>
      </c>
      <c r="E7135" s="135">
        <f t="shared" si="61"/>
        <v>25</v>
      </c>
      <c r="F7135" s="134" t="s">
        <v>3815</v>
      </c>
      <c r="G7135" s="63" t="str">
        <f>VLOOKUP(C7135, 'Class Def. - General Data'!$C$20:$C$1000,1,false)</f>
        <v>ZSI1_AMPLAS</v>
      </c>
      <c r="H7135" s="63" t="str">
        <f>IFERROR(__xludf.DUMMYFUNCTION("VLOOKUP(F7135, IMPORTRANGE(""https://docs.google.com/spreadsheets/d/1Lhp9OU0JdFf_VYSMzH5lBcEaU4o8teT1piV-SNzShjg/edit?gid=554141278#gid=554141278"", ""'Char Def. - Attributes'!C20:C2242""), 1,false)"),"ALT_NUM_UOM4")</f>
        <v>ALT_NUM_UOM4</v>
      </c>
      <c r="I7135" s="136"/>
      <c r="R7135" s="63" t="str">
        <f t="shared" si="60"/>
        <v>ZSI1_AMPLASALT_NUM_UOM4</v>
      </c>
    </row>
    <row r="7136" ht="15.75" customHeight="1">
      <c r="B7136" s="63">
        <f t="shared" si="1"/>
        <v>11</v>
      </c>
      <c r="C7136" s="135" t="s">
        <v>353</v>
      </c>
      <c r="D7136" s="161" t="s">
        <v>74</v>
      </c>
      <c r="E7136" s="135">
        <f t="shared" si="61"/>
        <v>26</v>
      </c>
      <c r="F7136" s="134" t="s">
        <v>3816</v>
      </c>
      <c r="G7136" s="63" t="str">
        <f>VLOOKUP(C7136, 'Class Def. - General Data'!$C$20:$C$1000,1,false)</f>
        <v>ZSI1_AMPLAS</v>
      </c>
      <c r="H7136" s="63" t="str">
        <f>IFERROR(__xludf.DUMMYFUNCTION("VLOOKUP(F7136, IMPORTRANGE(""https://docs.google.com/spreadsheets/d/1Lhp9OU0JdFf_VYSMzH5lBcEaU4o8teT1piV-SNzShjg/edit?gid=554141278#gid=554141278"", ""'Char Def. - Attributes'!C20:C2242""), 1,false)"),"ALT_UOM5_SIPI")</f>
        <v>ALT_UOM5_SIPI</v>
      </c>
      <c r="I7136" s="136"/>
      <c r="R7136" s="63" t="str">
        <f t="shared" si="60"/>
        <v>ZSI1_AMPLASALT_UOM5_SIPI</v>
      </c>
    </row>
    <row r="7137" ht="15.75" customHeight="1">
      <c r="B7137" s="63">
        <f t="shared" si="1"/>
        <v>11</v>
      </c>
      <c r="C7137" s="135" t="s">
        <v>353</v>
      </c>
      <c r="D7137" s="161" t="s">
        <v>74</v>
      </c>
      <c r="E7137" s="135">
        <f t="shared" si="61"/>
        <v>27</v>
      </c>
      <c r="F7137" s="134" t="s">
        <v>3817</v>
      </c>
      <c r="G7137" s="63" t="str">
        <f>VLOOKUP(C7137, 'Class Def. - General Data'!$C$20:$C$1000,1,false)</f>
        <v>ZSI1_AMPLAS</v>
      </c>
      <c r="H7137" s="63" t="str">
        <f>IFERROR(__xludf.DUMMYFUNCTION("VLOOKUP(F7137, IMPORTRANGE(""https://docs.google.com/spreadsheets/d/1Lhp9OU0JdFf_VYSMzH5lBcEaU4o8teT1piV-SNzShjg/edit?gid=554141278#gid=554141278"", ""'Char Def. - Attributes'!C20:C2242""), 1,false)"),"ALT_DENUM_UOM5")</f>
        <v>ALT_DENUM_UOM5</v>
      </c>
      <c r="I7137" s="136"/>
      <c r="R7137" s="63" t="str">
        <f t="shared" si="60"/>
        <v>ZSI1_AMPLASALT_DENUM_UOM5</v>
      </c>
    </row>
    <row r="7138" ht="15.75" customHeight="1">
      <c r="B7138" s="63">
        <f t="shared" si="1"/>
        <v>11</v>
      </c>
      <c r="C7138" s="135" t="s">
        <v>353</v>
      </c>
      <c r="D7138" s="161" t="s">
        <v>74</v>
      </c>
      <c r="E7138" s="135">
        <f t="shared" si="61"/>
        <v>28</v>
      </c>
      <c r="F7138" s="134" t="s">
        <v>3818</v>
      </c>
      <c r="G7138" s="63" t="str">
        <f>VLOOKUP(C7138, 'Class Def. - General Data'!$C$20:$C$1000,1,false)</f>
        <v>ZSI1_AMPLAS</v>
      </c>
      <c r="H7138" s="63" t="str">
        <f>IFERROR(__xludf.DUMMYFUNCTION("VLOOKUP(F7138, IMPORTRANGE(""https://docs.google.com/spreadsheets/d/1Lhp9OU0JdFf_VYSMzH5lBcEaU4o8teT1piV-SNzShjg/edit?gid=554141278#gid=554141278"", ""'Char Def. - Attributes'!C20:C2242""), 1,false)"),"ALT_NUM_UOM5")</f>
        <v>ALT_NUM_UOM5</v>
      </c>
      <c r="I7138" s="136"/>
      <c r="R7138" s="63" t="str">
        <f t="shared" si="60"/>
        <v>ZSI1_AMPLASALT_NUM_UOM5</v>
      </c>
    </row>
    <row r="7139" ht="15.75" customHeight="1">
      <c r="B7139" s="63">
        <f t="shared" si="1"/>
        <v>11</v>
      </c>
      <c r="C7139" s="135" t="s">
        <v>354</v>
      </c>
      <c r="D7139" s="161" t="s">
        <v>74</v>
      </c>
      <c r="E7139" s="135">
        <f t="shared" si="61"/>
        <v>1</v>
      </c>
      <c r="F7139" s="134" t="s">
        <v>4094</v>
      </c>
      <c r="G7139" s="63" t="str">
        <f>VLOOKUP(C7139, 'Class Def. - General Data'!$C$20:$C$1000,1,false)</f>
        <v>ZSI1_ANCHOR</v>
      </c>
      <c r="H7139" s="63" t="str">
        <f>IFERROR(__xludf.DUMMYFUNCTION("VLOOKUP(F7139, IMPORTRANGE(""https://docs.google.com/spreadsheets/d/1Lhp9OU0JdFf_VYSMzH5lBcEaU4o8teT1piV-SNzShjg/edit?gid=554141278#gid=554141278"", ""'Char Def. - Attributes'!C20:C2242""), 1,false)"),"ITEM_NAME_ANCHOR")</f>
        <v>ITEM_NAME_ANCHOR</v>
      </c>
      <c r="I7139" s="136"/>
      <c r="R7139" s="63" t="str">
        <f t="shared" si="60"/>
        <v>ZSI1_ANCHORITEM_NAME_ANCHOR</v>
      </c>
    </row>
    <row r="7140" ht="15.75" customHeight="1">
      <c r="B7140" s="63">
        <f t="shared" si="1"/>
        <v>11</v>
      </c>
      <c r="C7140" s="135" t="s">
        <v>354</v>
      </c>
      <c r="D7140" s="161" t="s">
        <v>74</v>
      </c>
      <c r="E7140" s="135">
        <f t="shared" si="61"/>
        <v>2</v>
      </c>
      <c r="F7140" s="134" t="s">
        <v>4095</v>
      </c>
      <c r="G7140" s="63" t="str">
        <f>VLOOKUP(C7140, 'Class Def. - General Data'!$C$20:$C$1000,1,false)</f>
        <v>ZSI1_ANCHOR</v>
      </c>
      <c r="H7140" s="63" t="str">
        <f>IFERROR(__xludf.DUMMYFUNCTION("VLOOKUP(F7140, IMPORTRANGE(""https://docs.google.com/spreadsheets/d/1Lhp9OU0JdFf_VYSMzH5lBcEaU4o8teT1piV-SNzShjg/edit?gid=554141278#gid=554141278"", ""'Char Def. - Attributes'!C20:C2242""), 1,false)"),"SIZE_ANCHOR")</f>
        <v>SIZE_ANCHOR</v>
      </c>
      <c r="I7140" s="136"/>
      <c r="R7140" s="63" t="str">
        <f t="shared" si="60"/>
        <v>ZSI1_ANCHORSIZE_ANCHOR</v>
      </c>
    </row>
    <row r="7141" ht="15.75" customHeight="1">
      <c r="B7141" s="63">
        <f t="shared" si="1"/>
        <v>11</v>
      </c>
      <c r="C7141" s="135" t="s">
        <v>354</v>
      </c>
      <c r="D7141" s="161" t="s">
        <v>74</v>
      </c>
      <c r="E7141" s="135">
        <f t="shared" si="61"/>
        <v>3</v>
      </c>
      <c r="F7141" s="134" t="s">
        <v>4062</v>
      </c>
      <c r="G7141" s="63" t="str">
        <f>VLOOKUP(C7141, 'Class Def. - General Data'!$C$20:$C$1000,1,false)</f>
        <v>ZSI1_ANCHOR</v>
      </c>
      <c r="H7141" s="63" t="str">
        <f>IFERROR(__xludf.DUMMYFUNCTION("VLOOKUP(F7141, IMPORTRANGE(""https://docs.google.com/spreadsheets/d/1Lhp9OU0JdFf_VYSMzH5lBcEaU4o8teT1piV-SNzShjg/edit?gid=554141278#gid=554141278"", ""'Char Def. - Attributes'!C20:C2242""), 1,false)"),"#N/A")</f>
        <v>#N/A</v>
      </c>
      <c r="I7141" s="136"/>
      <c r="R7141" s="63" t="str">
        <f t="shared" si="60"/>
        <v>ZSI1_ANCHORADDTIONAL_SPECIFICATION</v>
      </c>
    </row>
    <row r="7142" ht="15.75" customHeight="1">
      <c r="B7142" s="63">
        <f t="shared" si="1"/>
        <v>11</v>
      </c>
      <c r="C7142" s="135" t="s">
        <v>354</v>
      </c>
      <c r="D7142" s="161" t="s">
        <v>74</v>
      </c>
      <c r="E7142" s="135">
        <f t="shared" si="61"/>
        <v>4</v>
      </c>
      <c r="F7142" s="134" t="s">
        <v>3585</v>
      </c>
      <c r="G7142" s="63" t="str">
        <f>VLOOKUP(C7142, 'Class Def. - General Data'!$C$20:$C$1000,1,false)</f>
        <v>ZSI1_ANCHOR</v>
      </c>
      <c r="H7142" s="63" t="str">
        <f>IFERROR(__xludf.DUMMYFUNCTION("VLOOKUP(F7142, IMPORTRANGE(""https://docs.google.com/spreadsheets/d/1Lhp9OU0JdFf_VYSMzH5lBcEaU4o8teT1piV-SNzShjg/edit?gid=554141278#gid=554141278"", ""'Char Def. - Attributes'!C20:C2242""), 1,false)"),"HS_CODE")</f>
        <v>HS_CODE</v>
      </c>
      <c r="I7142" s="136"/>
      <c r="R7142" s="63" t="str">
        <f t="shared" si="60"/>
        <v>ZSI1_ANCHORHS_CODE</v>
      </c>
    </row>
    <row r="7143" ht="15.75" customHeight="1">
      <c r="B7143" s="63">
        <f t="shared" si="1"/>
        <v>11</v>
      </c>
      <c r="C7143" s="135" t="s">
        <v>354</v>
      </c>
      <c r="D7143" s="161" t="s">
        <v>74</v>
      </c>
      <c r="E7143" s="135">
        <f t="shared" si="61"/>
        <v>5</v>
      </c>
      <c r="F7143" s="134" t="s">
        <v>3587</v>
      </c>
      <c r="G7143" s="63" t="str">
        <f>VLOOKUP(C7143, 'Class Def. - General Data'!$C$20:$C$1000,1,false)</f>
        <v>ZSI1_ANCHOR</v>
      </c>
      <c r="H7143" s="63" t="str">
        <f>IFERROR(__xludf.DUMMYFUNCTION("VLOOKUP(F7143, IMPORTRANGE(""https://docs.google.com/spreadsheets/d/1Lhp9OU0JdFf_VYSMzH5lBcEaU4o8teT1piV-SNzShjg/edit?gid=554141278#gid=554141278"", ""'Char Def. - Attributes'!C20:C2242""), 1,false)"),"PLANT_BUY")</f>
        <v>PLANT_BUY</v>
      </c>
      <c r="I7143" s="136"/>
      <c r="R7143" s="63" t="str">
        <f t="shared" si="60"/>
        <v>ZSI1_ANCHORPLANT_BUY</v>
      </c>
    </row>
    <row r="7144" ht="15.75" customHeight="1">
      <c r="B7144" s="63">
        <f t="shared" si="1"/>
        <v>11</v>
      </c>
      <c r="C7144" s="135" t="s">
        <v>354</v>
      </c>
      <c r="D7144" s="161" t="s">
        <v>74</v>
      </c>
      <c r="E7144" s="135">
        <f t="shared" si="61"/>
        <v>6</v>
      </c>
      <c r="F7144" s="134" t="s">
        <v>4096</v>
      </c>
      <c r="G7144" s="63" t="str">
        <f>VLOOKUP(C7144, 'Class Def. - General Data'!$C$20:$C$1000,1,false)</f>
        <v>ZSI1_ANCHOR</v>
      </c>
      <c r="H7144" s="63" t="str">
        <f>IFERROR(__xludf.DUMMYFUNCTION("VLOOKUP(F7144, IMPORTRANGE(""https://docs.google.com/spreadsheets/d/1Lhp9OU0JdFf_VYSMzH5lBcEaU4o8teT1piV-SNzShjg/edit?gid=554141278#gid=554141278"", ""'Char Def. - Attributes'!C20:C2242""), 1,false)"),"BASE_UOM_ANCHOR")</f>
        <v>BASE_UOM_ANCHOR</v>
      </c>
      <c r="I7144" s="136"/>
      <c r="R7144" s="63" t="str">
        <f t="shared" si="60"/>
        <v>ZSI1_ANCHORBASE_UOM_ANCHOR</v>
      </c>
    </row>
    <row r="7145" ht="15.75" customHeight="1">
      <c r="B7145" s="63">
        <f t="shared" si="1"/>
        <v>11</v>
      </c>
      <c r="C7145" s="135" t="s">
        <v>354</v>
      </c>
      <c r="D7145" s="161" t="s">
        <v>74</v>
      </c>
      <c r="E7145" s="135">
        <f t="shared" si="61"/>
        <v>7</v>
      </c>
      <c r="F7145" s="134" t="s">
        <v>4097</v>
      </c>
      <c r="G7145" s="63" t="str">
        <f>VLOOKUP(C7145, 'Class Def. - General Data'!$C$20:$C$1000,1,false)</f>
        <v>ZSI1_ANCHOR</v>
      </c>
      <c r="H7145" s="63" t="str">
        <f>IFERROR(__xludf.DUMMYFUNCTION("VLOOKUP(F7145, IMPORTRANGE(""https://docs.google.com/spreadsheets/d/1Lhp9OU0JdFf_VYSMzH5lBcEaU4o8teT1piV-SNzShjg/edit?gid=554141278#gid=554141278"", ""'Char Def. - Attributes'!C20:C2242""), 1,false)"),"ORDER_UNIT_ANCHOR")</f>
        <v>ORDER_UNIT_ANCHOR</v>
      </c>
      <c r="I7145" s="136"/>
      <c r="R7145" s="63" t="str">
        <f t="shared" si="60"/>
        <v>ZSI1_ANCHORORDER_UNIT_ANCHOR</v>
      </c>
    </row>
    <row r="7146" ht="15.75" customHeight="1">
      <c r="B7146" s="63">
        <f t="shared" si="1"/>
        <v>11</v>
      </c>
      <c r="C7146" s="135" t="s">
        <v>354</v>
      </c>
      <c r="D7146" s="161" t="s">
        <v>74</v>
      </c>
      <c r="E7146" s="135">
        <f t="shared" si="61"/>
        <v>8</v>
      </c>
      <c r="F7146" s="134" t="s">
        <v>4056</v>
      </c>
      <c r="G7146" s="63" t="str">
        <f>VLOOKUP(C7146, 'Class Def. - General Data'!$C$20:$C$1000,1,false)</f>
        <v>ZSI1_ANCHOR</v>
      </c>
      <c r="H7146" s="63" t="str">
        <f>IFERROR(__xludf.DUMMYFUNCTION("VLOOKUP(F7146, IMPORTRANGE(""https://docs.google.com/spreadsheets/d/1Lhp9OU0JdFf_VYSMzH5lBcEaU4o8teT1piV-SNzShjg/edit?gid=554141278#gid=554141278"", ""'Char Def. - Attributes'!C20:C2242""), 1,false)"),"GROSS_WEIGHT_OPT")</f>
        <v>GROSS_WEIGHT_OPT</v>
      </c>
      <c r="I7146" s="136"/>
      <c r="R7146" s="63" t="str">
        <f t="shared" si="60"/>
        <v>ZSI1_ANCHORGROSS_WEIGHT_OPT</v>
      </c>
    </row>
    <row r="7147" ht="15.75" customHeight="1">
      <c r="B7147" s="63">
        <f t="shared" si="1"/>
        <v>11</v>
      </c>
      <c r="C7147" s="135" t="s">
        <v>354</v>
      </c>
      <c r="D7147" s="161" t="s">
        <v>74</v>
      </c>
      <c r="E7147" s="135">
        <f t="shared" si="61"/>
        <v>9</v>
      </c>
      <c r="F7147" s="134" t="s">
        <v>4057</v>
      </c>
      <c r="G7147" s="63" t="str">
        <f>VLOOKUP(C7147, 'Class Def. - General Data'!$C$20:$C$1000,1,false)</f>
        <v>ZSI1_ANCHOR</v>
      </c>
      <c r="H7147" s="63" t="str">
        <f>IFERROR(__xludf.DUMMYFUNCTION("VLOOKUP(F7147, IMPORTRANGE(""https://docs.google.com/spreadsheets/d/1Lhp9OU0JdFf_VYSMzH5lBcEaU4o8teT1piV-SNzShjg/edit?gid=554141278#gid=554141278"", ""'Char Def. - Attributes'!C20:C2242""), 1,false)"),"NET_WEIGHT_OPT")</f>
        <v>NET_WEIGHT_OPT</v>
      </c>
      <c r="I7147" s="136"/>
      <c r="R7147" s="63" t="str">
        <f t="shared" si="60"/>
        <v>ZSI1_ANCHORNET_WEIGHT_OPT</v>
      </c>
    </row>
    <row r="7148" ht="15.75" customHeight="1">
      <c r="B7148" s="63">
        <f t="shared" si="1"/>
        <v>11</v>
      </c>
      <c r="C7148" s="135" t="s">
        <v>354</v>
      </c>
      <c r="D7148" s="161" t="s">
        <v>74</v>
      </c>
      <c r="E7148" s="135">
        <f t="shared" si="61"/>
        <v>10</v>
      </c>
      <c r="F7148" s="134" t="s">
        <v>4058</v>
      </c>
      <c r="G7148" s="63" t="str">
        <f>VLOOKUP(C7148, 'Class Def. - General Data'!$C$20:$C$1000,1,false)</f>
        <v>ZSI1_ANCHOR</v>
      </c>
      <c r="H7148" s="63" t="str">
        <f>IFERROR(__xludf.DUMMYFUNCTION("VLOOKUP(F7148, IMPORTRANGE(""https://docs.google.com/spreadsheets/d/1Lhp9OU0JdFf_VYSMzH5lBcEaU4o8teT1piV-SNzShjg/edit?gid=554141278#gid=554141278"", ""'Char Def. - Attributes'!C20:C2242""), 1,false)"),"WEIGHT_UNIT_SI")</f>
        <v>WEIGHT_UNIT_SI</v>
      </c>
      <c r="I7148" s="136"/>
      <c r="R7148" s="63" t="str">
        <f t="shared" si="60"/>
        <v>ZSI1_ANCHORWEIGHT_UNIT_SI</v>
      </c>
    </row>
    <row r="7149" ht="15.75" customHeight="1">
      <c r="B7149" s="63">
        <f t="shared" si="1"/>
        <v>11</v>
      </c>
      <c r="C7149" s="135" t="s">
        <v>354</v>
      </c>
      <c r="D7149" s="161" t="s">
        <v>74</v>
      </c>
      <c r="E7149" s="135">
        <f t="shared" si="61"/>
        <v>11</v>
      </c>
      <c r="F7149" s="134" t="s">
        <v>3877</v>
      </c>
      <c r="G7149" s="63" t="str">
        <f>VLOOKUP(C7149, 'Class Def. - General Data'!$C$20:$C$1000,1,false)</f>
        <v>ZSI1_ANCHOR</v>
      </c>
      <c r="H7149" s="63" t="str">
        <f>IFERROR(__xludf.DUMMYFUNCTION("VLOOKUP(F7149, IMPORTRANGE(""https://docs.google.com/spreadsheets/d/1Lhp9OU0JdFf_VYSMzH5lBcEaU4o8teT1piV-SNzShjg/edit?gid=554141278#gid=554141278"", ""'Char Def. - Attributes'!C20:C2242""), 1,false)"),"VOLUME_OPT")</f>
        <v>VOLUME_OPT</v>
      </c>
      <c r="I7149" s="136"/>
      <c r="R7149" s="63" t="str">
        <f t="shared" si="60"/>
        <v>ZSI1_ANCHORVOLUME_OPT</v>
      </c>
    </row>
    <row r="7150" ht="15.75" customHeight="1">
      <c r="B7150" s="63">
        <f t="shared" si="1"/>
        <v>11</v>
      </c>
      <c r="C7150" s="135" t="s">
        <v>354</v>
      </c>
      <c r="D7150" s="161" t="s">
        <v>74</v>
      </c>
      <c r="E7150" s="135">
        <f t="shared" si="61"/>
        <v>12</v>
      </c>
      <c r="F7150" s="134" t="s">
        <v>4059</v>
      </c>
      <c r="G7150" s="63" t="str">
        <f>VLOOKUP(C7150, 'Class Def. - General Data'!$C$20:$C$1000,1,false)</f>
        <v>ZSI1_ANCHOR</v>
      </c>
      <c r="H7150" s="63" t="str">
        <f>IFERROR(__xludf.DUMMYFUNCTION("VLOOKUP(F7150, IMPORTRANGE(""https://docs.google.com/spreadsheets/d/1Lhp9OU0JdFf_VYSMzH5lBcEaU4o8teT1piV-SNzShjg/edit?gid=554141278#gid=554141278"", ""'Char Def. - Attributes'!C20:C2242""), 1,false)"),"VOLUME_UNIT_SI")</f>
        <v>VOLUME_UNIT_SI</v>
      </c>
      <c r="I7150" s="136"/>
      <c r="R7150" s="63" t="str">
        <f t="shared" si="60"/>
        <v>ZSI1_ANCHORVOLUME_UNIT_SI</v>
      </c>
    </row>
    <row r="7151" ht="15.75" customHeight="1">
      <c r="B7151" s="63">
        <f t="shared" si="1"/>
        <v>11</v>
      </c>
      <c r="C7151" s="135" t="s">
        <v>354</v>
      </c>
      <c r="D7151" s="161" t="s">
        <v>74</v>
      </c>
      <c r="E7151" s="135">
        <f t="shared" si="61"/>
        <v>13</v>
      </c>
      <c r="F7151" s="134" t="s">
        <v>3804</v>
      </c>
      <c r="G7151" s="63" t="str">
        <f>VLOOKUP(C7151, 'Class Def. - General Data'!$C$20:$C$1000,1,false)</f>
        <v>ZSI1_ANCHOR</v>
      </c>
      <c r="H7151" s="63" t="str">
        <f>IFERROR(__xludf.DUMMYFUNCTION("VLOOKUP(F7151, IMPORTRANGE(""https://docs.google.com/spreadsheets/d/1Lhp9OU0JdFf_VYSMzH5lBcEaU4o8teT1piV-SNzShjg/edit?gid=554141278#gid=554141278"", ""'Char Def. - Attributes'!C20:C2242""), 1,false)"),"ALT_UOM1_SIPI")</f>
        <v>ALT_UOM1_SIPI</v>
      </c>
      <c r="I7151" s="136"/>
      <c r="R7151" s="63" t="str">
        <f t="shared" si="60"/>
        <v>ZSI1_ANCHORALT_UOM1_SIPI</v>
      </c>
    </row>
    <row r="7152" ht="15.75" customHeight="1">
      <c r="B7152" s="63">
        <f t="shared" si="1"/>
        <v>11</v>
      </c>
      <c r="C7152" s="135" t="s">
        <v>354</v>
      </c>
      <c r="D7152" s="161" t="s">
        <v>74</v>
      </c>
      <c r="E7152" s="135">
        <f t="shared" si="61"/>
        <v>14</v>
      </c>
      <c r="F7152" s="134" t="s">
        <v>3805</v>
      </c>
      <c r="G7152" s="63" t="str">
        <f>VLOOKUP(C7152, 'Class Def. - General Data'!$C$20:$C$1000,1,false)</f>
        <v>ZSI1_ANCHOR</v>
      </c>
      <c r="H7152" s="63" t="str">
        <f>IFERROR(__xludf.DUMMYFUNCTION("VLOOKUP(F7152, IMPORTRANGE(""https://docs.google.com/spreadsheets/d/1Lhp9OU0JdFf_VYSMzH5lBcEaU4o8teT1piV-SNzShjg/edit?gid=554141278#gid=554141278"", ""'Char Def. - Attributes'!C20:C2242""), 1,false)"),"ALT_DENUM_UOM1")</f>
        <v>ALT_DENUM_UOM1</v>
      </c>
      <c r="I7152" s="136"/>
      <c r="R7152" s="63" t="str">
        <f t="shared" si="60"/>
        <v>ZSI1_ANCHORALT_DENUM_UOM1</v>
      </c>
    </row>
    <row r="7153" ht="15.75" customHeight="1">
      <c r="B7153" s="63">
        <f t="shared" si="1"/>
        <v>11</v>
      </c>
      <c r="C7153" s="135" t="s">
        <v>354</v>
      </c>
      <c r="D7153" s="161" t="s">
        <v>74</v>
      </c>
      <c r="E7153" s="135">
        <f t="shared" si="61"/>
        <v>15</v>
      </c>
      <c r="F7153" s="134" t="s">
        <v>3806</v>
      </c>
      <c r="G7153" s="63" t="str">
        <f>VLOOKUP(C7153, 'Class Def. - General Data'!$C$20:$C$1000,1,false)</f>
        <v>ZSI1_ANCHOR</v>
      </c>
      <c r="H7153" s="63" t="str">
        <f>IFERROR(__xludf.DUMMYFUNCTION("VLOOKUP(F7153, IMPORTRANGE(""https://docs.google.com/spreadsheets/d/1Lhp9OU0JdFf_VYSMzH5lBcEaU4o8teT1piV-SNzShjg/edit?gid=554141278#gid=554141278"", ""'Char Def. - Attributes'!C20:C2242""), 1,false)"),"ALT_NUM_UOM1")</f>
        <v>ALT_NUM_UOM1</v>
      </c>
      <c r="I7153" s="136"/>
      <c r="R7153" s="63" t="str">
        <f t="shared" si="60"/>
        <v>ZSI1_ANCHORALT_NUM_UOM1</v>
      </c>
    </row>
    <row r="7154" ht="15.75" customHeight="1">
      <c r="B7154" s="63">
        <f t="shared" si="1"/>
        <v>11</v>
      </c>
      <c r="C7154" s="135" t="s">
        <v>354</v>
      </c>
      <c r="D7154" s="161" t="s">
        <v>74</v>
      </c>
      <c r="E7154" s="135">
        <f t="shared" si="61"/>
        <v>16</v>
      </c>
      <c r="F7154" s="134" t="s">
        <v>3807</v>
      </c>
      <c r="G7154" s="63" t="str">
        <f>VLOOKUP(C7154, 'Class Def. - General Data'!$C$20:$C$1000,1,false)</f>
        <v>ZSI1_ANCHOR</v>
      </c>
      <c r="H7154" s="63" t="str">
        <f>IFERROR(__xludf.DUMMYFUNCTION("VLOOKUP(F7154, IMPORTRANGE(""https://docs.google.com/spreadsheets/d/1Lhp9OU0JdFf_VYSMzH5lBcEaU4o8teT1piV-SNzShjg/edit?gid=554141278#gid=554141278"", ""'Char Def. - Attributes'!C20:C2242""), 1,false)"),"ALT_UOM2_SIPI")</f>
        <v>ALT_UOM2_SIPI</v>
      </c>
      <c r="I7154" s="136"/>
      <c r="R7154" s="63" t="str">
        <f t="shared" si="60"/>
        <v>ZSI1_ANCHORALT_UOM2_SIPI</v>
      </c>
    </row>
    <row r="7155" ht="15.75" customHeight="1">
      <c r="B7155" s="63">
        <f t="shared" si="1"/>
        <v>11</v>
      </c>
      <c r="C7155" s="135" t="s">
        <v>354</v>
      </c>
      <c r="D7155" s="161" t="s">
        <v>74</v>
      </c>
      <c r="E7155" s="135">
        <f t="shared" si="61"/>
        <v>17</v>
      </c>
      <c r="F7155" s="134" t="s">
        <v>3808</v>
      </c>
      <c r="G7155" s="63" t="str">
        <f>VLOOKUP(C7155, 'Class Def. - General Data'!$C$20:$C$1000,1,false)</f>
        <v>ZSI1_ANCHOR</v>
      </c>
      <c r="H7155" s="63" t="str">
        <f>IFERROR(__xludf.DUMMYFUNCTION("VLOOKUP(F7155, IMPORTRANGE(""https://docs.google.com/spreadsheets/d/1Lhp9OU0JdFf_VYSMzH5lBcEaU4o8teT1piV-SNzShjg/edit?gid=554141278#gid=554141278"", ""'Char Def. - Attributes'!C20:C2242""), 1,false)"),"ALT_DENUM_UOM2")</f>
        <v>ALT_DENUM_UOM2</v>
      </c>
      <c r="I7155" s="136"/>
      <c r="R7155" s="63" t="str">
        <f t="shared" si="60"/>
        <v>ZSI1_ANCHORALT_DENUM_UOM2</v>
      </c>
    </row>
    <row r="7156" ht="15.75" customHeight="1">
      <c r="B7156" s="63">
        <f t="shared" si="1"/>
        <v>11</v>
      </c>
      <c r="C7156" s="135" t="s">
        <v>354</v>
      </c>
      <c r="D7156" s="161" t="s">
        <v>74</v>
      </c>
      <c r="E7156" s="135">
        <f t="shared" si="61"/>
        <v>18</v>
      </c>
      <c r="F7156" s="134" t="s">
        <v>3809</v>
      </c>
      <c r="G7156" s="63" t="str">
        <f>VLOOKUP(C7156, 'Class Def. - General Data'!$C$20:$C$1000,1,false)</f>
        <v>ZSI1_ANCHOR</v>
      </c>
      <c r="H7156" s="63" t="str">
        <f>IFERROR(__xludf.DUMMYFUNCTION("VLOOKUP(F7156, IMPORTRANGE(""https://docs.google.com/spreadsheets/d/1Lhp9OU0JdFf_VYSMzH5lBcEaU4o8teT1piV-SNzShjg/edit?gid=554141278#gid=554141278"", ""'Char Def. - Attributes'!C20:C2242""), 1,false)"),"ALT_NUM_UOM2")</f>
        <v>ALT_NUM_UOM2</v>
      </c>
      <c r="I7156" s="136"/>
      <c r="R7156" s="63" t="str">
        <f t="shared" si="60"/>
        <v>ZSI1_ANCHORALT_NUM_UOM2</v>
      </c>
    </row>
    <row r="7157" ht="15.75" customHeight="1">
      <c r="B7157" s="63">
        <f t="shared" si="1"/>
        <v>11</v>
      </c>
      <c r="C7157" s="135" t="s">
        <v>354</v>
      </c>
      <c r="D7157" s="161" t="s">
        <v>74</v>
      </c>
      <c r="E7157" s="135">
        <f t="shared" si="61"/>
        <v>19</v>
      </c>
      <c r="F7157" s="134" t="s">
        <v>3810</v>
      </c>
      <c r="G7157" s="63" t="str">
        <f>VLOOKUP(C7157, 'Class Def. - General Data'!$C$20:$C$1000,1,false)</f>
        <v>ZSI1_ANCHOR</v>
      </c>
      <c r="H7157" s="63" t="str">
        <f>IFERROR(__xludf.DUMMYFUNCTION("VLOOKUP(F7157, IMPORTRANGE(""https://docs.google.com/spreadsheets/d/1Lhp9OU0JdFf_VYSMzH5lBcEaU4o8teT1piV-SNzShjg/edit?gid=554141278#gid=554141278"", ""'Char Def. - Attributes'!C20:C2242""), 1,false)"),"ALT_UOM3_SIPI")</f>
        <v>ALT_UOM3_SIPI</v>
      </c>
      <c r="I7157" s="136"/>
      <c r="R7157" s="63" t="str">
        <f t="shared" si="60"/>
        <v>ZSI1_ANCHORALT_UOM3_SIPI</v>
      </c>
    </row>
    <row r="7158" ht="15.75" customHeight="1">
      <c r="B7158" s="63">
        <f t="shared" si="1"/>
        <v>11</v>
      </c>
      <c r="C7158" s="135" t="s">
        <v>354</v>
      </c>
      <c r="D7158" s="161" t="s">
        <v>74</v>
      </c>
      <c r="E7158" s="135">
        <f t="shared" si="61"/>
        <v>20</v>
      </c>
      <c r="F7158" s="134" t="s">
        <v>3811</v>
      </c>
      <c r="G7158" s="63" t="str">
        <f>VLOOKUP(C7158, 'Class Def. - General Data'!$C$20:$C$1000,1,false)</f>
        <v>ZSI1_ANCHOR</v>
      </c>
      <c r="H7158" s="63" t="str">
        <f>IFERROR(__xludf.DUMMYFUNCTION("VLOOKUP(F7158, IMPORTRANGE(""https://docs.google.com/spreadsheets/d/1Lhp9OU0JdFf_VYSMzH5lBcEaU4o8teT1piV-SNzShjg/edit?gid=554141278#gid=554141278"", ""'Char Def. - Attributes'!C20:C2242""), 1,false)"),"ALT_DENUM_UOM3")</f>
        <v>ALT_DENUM_UOM3</v>
      </c>
      <c r="I7158" s="136"/>
      <c r="R7158" s="63" t="str">
        <f t="shared" si="60"/>
        <v>ZSI1_ANCHORALT_DENUM_UOM3</v>
      </c>
    </row>
    <row r="7159" ht="15.75" customHeight="1">
      <c r="B7159" s="63">
        <f t="shared" si="1"/>
        <v>11</v>
      </c>
      <c r="C7159" s="135" t="s">
        <v>354</v>
      </c>
      <c r="D7159" s="161" t="s">
        <v>74</v>
      </c>
      <c r="E7159" s="135">
        <f t="shared" si="61"/>
        <v>21</v>
      </c>
      <c r="F7159" s="134" t="s">
        <v>3812</v>
      </c>
      <c r="G7159" s="63" t="str">
        <f>VLOOKUP(C7159, 'Class Def. - General Data'!$C$20:$C$1000,1,false)</f>
        <v>ZSI1_ANCHOR</v>
      </c>
      <c r="H7159" s="63" t="str">
        <f>IFERROR(__xludf.DUMMYFUNCTION("VLOOKUP(F7159, IMPORTRANGE(""https://docs.google.com/spreadsheets/d/1Lhp9OU0JdFf_VYSMzH5lBcEaU4o8teT1piV-SNzShjg/edit?gid=554141278#gid=554141278"", ""'Char Def. - Attributes'!C20:C2242""), 1,false)"),"ALT_NUM_UOM3")</f>
        <v>ALT_NUM_UOM3</v>
      </c>
      <c r="I7159" s="136"/>
      <c r="R7159" s="63" t="str">
        <f t="shared" si="60"/>
        <v>ZSI1_ANCHORALT_NUM_UOM3</v>
      </c>
    </row>
    <row r="7160" ht="15.75" customHeight="1">
      <c r="B7160" s="63">
        <f t="shared" si="1"/>
        <v>11</v>
      </c>
      <c r="C7160" s="135" t="s">
        <v>354</v>
      </c>
      <c r="D7160" s="161" t="s">
        <v>74</v>
      </c>
      <c r="E7160" s="135">
        <f t="shared" si="61"/>
        <v>22</v>
      </c>
      <c r="F7160" s="134" t="s">
        <v>3813</v>
      </c>
      <c r="G7160" s="63" t="str">
        <f>VLOOKUP(C7160, 'Class Def. - General Data'!$C$20:$C$1000,1,false)</f>
        <v>ZSI1_ANCHOR</v>
      </c>
      <c r="H7160" s="63" t="str">
        <f>IFERROR(__xludf.DUMMYFUNCTION("VLOOKUP(F7160, IMPORTRANGE(""https://docs.google.com/spreadsheets/d/1Lhp9OU0JdFf_VYSMzH5lBcEaU4o8teT1piV-SNzShjg/edit?gid=554141278#gid=554141278"", ""'Char Def. - Attributes'!C20:C2242""), 1,false)"),"ALT_UOM4_SIPI")</f>
        <v>ALT_UOM4_SIPI</v>
      </c>
      <c r="I7160" s="136"/>
      <c r="R7160" s="63" t="str">
        <f t="shared" si="60"/>
        <v>ZSI1_ANCHORALT_UOM4_SIPI</v>
      </c>
    </row>
    <row r="7161" ht="15.75" customHeight="1">
      <c r="B7161" s="63">
        <f t="shared" si="1"/>
        <v>11</v>
      </c>
      <c r="C7161" s="135" t="s">
        <v>354</v>
      </c>
      <c r="D7161" s="161" t="s">
        <v>74</v>
      </c>
      <c r="E7161" s="135">
        <f t="shared" si="61"/>
        <v>23</v>
      </c>
      <c r="F7161" s="134" t="s">
        <v>3814</v>
      </c>
      <c r="G7161" s="63" t="str">
        <f>VLOOKUP(C7161, 'Class Def. - General Data'!$C$20:$C$1000,1,false)</f>
        <v>ZSI1_ANCHOR</v>
      </c>
      <c r="H7161" s="63" t="str">
        <f>IFERROR(__xludf.DUMMYFUNCTION("VLOOKUP(F7161, IMPORTRANGE(""https://docs.google.com/spreadsheets/d/1Lhp9OU0JdFf_VYSMzH5lBcEaU4o8teT1piV-SNzShjg/edit?gid=554141278#gid=554141278"", ""'Char Def. - Attributes'!C20:C2242""), 1,false)"),"ALT_DENUM_UOM4")</f>
        <v>ALT_DENUM_UOM4</v>
      </c>
      <c r="I7161" s="136"/>
      <c r="R7161" s="63" t="str">
        <f t="shared" si="60"/>
        <v>ZSI1_ANCHORALT_DENUM_UOM4</v>
      </c>
    </row>
    <row r="7162" ht="15.75" customHeight="1">
      <c r="B7162" s="63">
        <f t="shared" si="1"/>
        <v>11</v>
      </c>
      <c r="C7162" s="135" t="s">
        <v>354</v>
      </c>
      <c r="D7162" s="161" t="s">
        <v>74</v>
      </c>
      <c r="E7162" s="135">
        <f t="shared" si="61"/>
        <v>24</v>
      </c>
      <c r="F7162" s="134" t="s">
        <v>3815</v>
      </c>
      <c r="G7162" s="63" t="str">
        <f>VLOOKUP(C7162, 'Class Def. - General Data'!$C$20:$C$1000,1,false)</f>
        <v>ZSI1_ANCHOR</v>
      </c>
      <c r="H7162" s="63" t="str">
        <f>IFERROR(__xludf.DUMMYFUNCTION("VLOOKUP(F7162, IMPORTRANGE(""https://docs.google.com/spreadsheets/d/1Lhp9OU0JdFf_VYSMzH5lBcEaU4o8teT1piV-SNzShjg/edit?gid=554141278#gid=554141278"", ""'Char Def. - Attributes'!C20:C2242""), 1,false)"),"ALT_NUM_UOM4")</f>
        <v>ALT_NUM_UOM4</v>
      </c>
      <c r="I7162" s="136"/>
      <c r="R7162" s="63" t="str">
        <f t="shared" si="60"/>
        <v>ZSI1_ANCHORALT_NUM_UOM4</v>
      </c>
    </row>
    <row r="7163" ht="15.75" customHeight="1">
      <c r="B7163" s="63">
        <f t="shared" si="1"/>
        <v>11</v>
      </c>
      <c r="C7163" s="135" t="s">
        <v>354</v>
      </c>
      <c r="D7163" s="161" t="s">
        <v>74</v>
      </c>
      <c r="E7163" s="135">
        <f t="shared" si="61"/>
        <v>25</v>
      </c>
      <c r="F7163" s="134" t="s">
        <v>3816</v>
      </c>
      <c r="G7163" s="63" t="str">
        <f>VLOOKUP(C7163, 'Class Def. - General Data'!$C$20:$C$1000,1,false)</f>
        <v>ZSI1_ANCHOR</v>
      </c>
      <c r="H7163" s="63" t="str">
        <f>IFERROR(__xludf.DUMMYFUNCTION("VLOOKUP(F7163, IMPORTRANGE(""https://docs.google.com/spreadsheets/d/1Lhp9OU0JdFf_VYSMzH5lBcEaU4o8teT1piV-SNzShjg/edit?gid=554141278#gid=554141278"", ""'Char Def. - Attributes'!C20:C2242""), 1,false)"),"ALT_UOM5_SIPI")</f>
        <v>ALT_UOM5_SIPI</v>
      </c>
      <c r="I7163" s="136"/>
      <c r="R7163" s="63" t="str">
        <f t="shared" si="60"/>
        <v>ZSI1_ANCHORALT_UOM5_SIPI</v>
      </c>
    </row>
    <row r="7164" ht="15.75" customHeight="1">
      <c r="B7164" s="63">
        <f t="shared" si="1"/>
        <v>11</v>
      </c>
      <c r="C7164" s="135" t="s">
        <v>354</v>
      </c>
      <c r="D7164" s="161" t="s">
        <v>74</v>
      </c>
      <c r="E7164" s="135">
        <f t="shared" si="61"/>
        <v>26</v>
      </c>
      <c r="F7164" s="134" t="s">
        <v>3817</v>
      </c>
      <c r="G7164" s="63" t="str">
        <f>VLOOKUP(C7164, 'Class Def. - General Data'!$C$20:$C$1000,1,false)</f>
        <v>ZSI1_ANCHOR</v>
      </c>
      <c r="H7164" s="63" t="str">
        <f>IFERROR(__xludf.DUMMYFUNCTION("VLOOKUP(F7164, IMPORTRANGE(""https://docs.google.com/spreadsheets/d/1Lhp9OU0JdFf_VYSMzH5lBcEaU4o8teT1piV-SNzShjg/edit?gid=554141278#gid=554141278"", ""'Char Def. - Attributes'!C20:C2242""), 1,false)"),"ALT_DENUM_UOM5")</f>
        <v>ALT_DENUM_UOM5</v>
      </c>
      <c r="I7164" s="136"/>
      <c r="R7164" s="63" t="str">
        <f t="shared" si="60"/>
        <v>ZSI1_ANCHORALT_DENUM_UOM5</v>
      </c>
    </row>
    <row r="7165" ht="15.75" customHeight="1">
      <c r="B7165" s="63">
        <f t="shared" si="1"/>
        <v>11</v>
      </c>
      <c r="C7165" s="135" t="s">
        <v>354</v>
      </c>
      <c r="D7165" s="161" t="s">
        <v>74</v>
      </c>
      <c r="E7165" s="135">
        <f t="shared" si="61"/>
        <v>27</v>
      </c>
      <c r="F7165" s="134" t="s">
        <v>3818</v>
      </c>
      <c r="G7165" s="63" t="str">
        <f>VLOOKUP(C7165, 'Class Def. - General Data'!$C$20:$C$1000,1,false)</f>
        <v>ZSI1_ANCHOR</v>
      </c>
      <c r="H7165" s="63" t="str">
        <f>IFERROR(__xludf.DUMMYFUNCTION("VLOOKUP(F7165, IMPORTRANGE(""https://docs.google.com/spreadsheets/d/1Lhp9OU0JdFf_VYSMzH5lBcEaU4o8teT1piV-SNzShjg/edit?gid=554141278#gid=554141278"", ""'Char Def. - Attributes'!C20:C2242""), 1,false)"),"ALT_NUM_UOM5")</f>
        <v>ALT_NUM_UOM5</v>
      </c>
      <c r="I7165" s="136"/>
      <c r="R7165" s="63" t="str">
        <f t="shared" si="60"/>
        <v>ZSI1_ANCHORALT_NUM_UOM5</v>
      </c>
    </row>
    <row r="7166" ht="15.75" customHeight="1">
      <c r="B7166" s="63">
        <f t="shared" si="1"/>
        <v>14</v>
      </c>
      <c r="C7166" s="135" t="s">
        <v>344</v>
      </c>
      <c r="D7166" s="161" t="s">
        <v>74</v>
      </c>
      <c r="E7166" s="135">
        <f t="shared" si="61"/>
        <v>1</v>
      </c>
      <c r="F7166" s="134" t="s">
        <v>4098</v>
      </c>
      <c r="G7166" s="63" t="str">
        <f>VLOOKUP(C7166, 'Class Def. - General Data'!$C$20:$C$1000,1,false)</f>
        <v>ZSI1_ANGLE_BAR</v>
      </c>
      <c r="H7166" s="63" t="str">
        <f>IFERROR(__xludf.DUMMYFUNCTION("VLOOKUP(F7166, IMPORTRANGE(""https://docs.google.com/spreadsheets/d/1Lhp9OU0JdFf_VYSMzH5lBcEaU4o8teT1piV-SNzShjg/edit?gid=554141278#gid=554141278"", ""'Char Def. - Attributes'!C20:C2242""), 1,false)"),"ITEM_NAME_ANGLE_BAR")</f>
        <v>ITEM_NAME_ANGLE_BAR</v>
      </c>
      <c r="I7166" s="136"/>
      <c r="R7166" s="63" t="str">
        <f t="shared" si="60"/>
        <v>ZSI1_ANGLE_BARITEM_NAME_ANGLE_BAR</v>
      </c>
    </row>
    <row r="7167" ht="15.75" customHeight="1">
      <c r="B7167" s="63">
        <f t="shared" si="1"/>
        <v>14</v>
      </c>
      <c r="C7167" s="135" t="s">
        <v>344</v>
      </c>
      <c r="D7167" s="161" t="s">
        <v>74</v>
      </c>
      <c r="E7167" s="135">
        <f t="shared" si="61"/>
        <v>2</v>
      </c>
      <c r="F7167" s="134" t="s">
        <v>4099</v>
      </c>
      <c r="G7167" s="63" t="str">
        <f>VLOOKUP(C7167, 'Class Def. - General Data'!$C$20:$C$1000,1,false)</f>
        <v>ZSI1_ANGLE_BAR</v>
      </c>
      <c r="H7167" s="63" t="str">
        <f>IFERROR(__xludf.DUMMYFUNCTION("VLOOKUP(F7167, IMPORTRANGE(""https://docs.google.com/spreadsheets/d/1Lhp9OU0JdFf_VYSMzH5lBcEaU4o8teT1piV-SNzShjg/edit?gid=554141278#gid=554141278"", ""'Char Def. - Attributes'!C20:C2242""), 1,false)"),"BAR_PROFILE_ANGLE_BAR")</f>
        <v>BAR_PROFILE_ANGLE_BAR</v>
      </c>
      <c r="I7167" s="136"/>
      <c r="R7167" s="63" t="str">
        <f t="shared" si="60"/>
        <v>ZSI1_ANGLE_BARBAR_PROFILE_ANGLE_BAR</v>
      </c>
    </row>
    <row r="7168" ht="15.75" customHeight="1">
      <c r="B7168" s="63">
        <f t="shared" si="1"/>
        <v>14</v>
      </c>
      <c r="C7168" s="135" t="s">
        <v>344</v>
      </c>
      <c r="D7168" s="161" t="s">
        <v>74</v>
      </c>
      <c r="E7168" s="135">
        <f t="shared" si="61"/>
        <v>3</v>
      </c>
      <c r="F7168" s="134" t="s">
        <v>4100</v>
      </c>
      <c r="G7168" s="63" t="str">
        <f>VLOOKUP(C7168, 'Class Def. - General Data'!$C$20:$C$1000,1,false)</f>
        <v>ZSI1_ANGLE_BAR</v>
      </c>
      <c r="H7168" s="63" t="str">
        <f>IFERROR(__xludf.DUMMYFUNCTION("VLOOKUP(F7168, IMPORTRANGE(""https://docs.google.com/spreadsheets/d/1Lhp9OU0JdFf_VYSMzH5lBcEaU4o8teT1piV-SNzShjg/edit?gid=554141278#gid=554141278"", ""'Char Def. - Attributes'!C20:C2242""), 1,false)"),"LEG_WIDTH_MM_ANGLE_BAR")</f>
        <v>LEG_WIDTH_MM_ANGLE_BAR</v>
      </c>
      <c r="I7168" s="136"/>
      <c r="R7168" s="63" t="str">
        <f t="shared" si="60"/>
        <v>ZSI1_ANGLE_BARLEG_WIDTH_MM_ANGLE_BAR</v>
      </c>
    </row>
    <row r="7169" ht="15.75" customHeight="1">
      <c r="B7169" s="63">
        <f t="shared" si="1"/>
        <v>14</v>
      </c>
      <c r="C7169" s="135" t="s">
        <v>344</v>
      </c>
      <c r="D7169" s="161" t="s">
        <v>74</v>
      </c>
      <c r="E7169" s="135">
        <f t="shared" si="61"/>
        <v>4</v>
      </c>
      <c r="F7169" s="134" t="s">
        <v>4101</v>
      </c>
      <c r="G7169" s="63" t="str">
        <f>VLOOKUP(C7169, 'Class Def. - General Data'!$C$20:$C$1000,1,false)</f>
        <v>ZSI1_ANGLE_BAR</v>
      </c>
      <c r="H7169" s="63" t="str">
        <f>IFERROR(__xludf.DUMMYFUNCTION("VLOOKUP(F7169, IMPORTRANGE(""https://docs.google.com/spreadsheets/d/1Lhp9OU0JdFf_VYSMzH5lBcEaU4o8teT1piV-SNzShjg/edit?gid=554141278#gid=554141278"", ""'Char Def. - Attributes'!C20:C2242""), 1,false)"),"LEG_THICKNESS_MM_ANGLE_BAR")</f>
        <v>LEG_THICKNESS_MM_ANGLE_BAR</v>
      </c>
      <c r="I7169" s="136"/>
      <c r="R7169" s="63" t="str">
        <f t="shared" si="60"/>
        <v>ZSI1_ANGLE_BARLEG_THICKNESS_MM_ANGLE_BAR</v>
      </c>
    </row>
    <row r="7170" ht="15.75" customHeight="1">
      <c r="B7170" s="63">
        <f t="shared" si="1"/>
        <v>14</v>
      </c>
      <c r="C7170" s="135" t="s">
        <v>344</v>
      </c>
      <c r="D7170" s="161" t="s">
        <v>74</v>
      </c>
      <c r="E7170" s="135">
        <f t="shared" si="61"/>
        <v>5</v>
      </c>
      <c r="F7170" s="134" t="s">
        <v>4102</v>
      </c>
      <c r="G7170" s="63" t="str">
        <f>VLOOKUP(C7170, 'Class Def. - General Data'!$C$20:$C$1000,1,false)</f>
        <v>ZSI1_ANGLE_BAR</v>
      </c>
      <c r="H7170" s="63" t="str">
        <f>IFERROR(__xludf.DUMMYFUNCTION("VLOOKUP(F7170, IMPORTRANGE(""https://docs.google.com/spreadsheets/d/1Lhp9OU0JdFf_VYSMzH5lBcEaU4o8teT1piV-SNzShjg/edit?gid=554141278#gid=554141278"", ""'Char Def. - Attributes'!C20:C2242""), 1,false)"),"BAR_LENGTH_M_ANGLE_BAR")</f>
        <v>BAR_LENGTH_M_ANGLE_BAR</v>
      </c>
      <c r="I7170" s="136"/>
      <c r="R7170" s="63" t="str">
        <f t="shared" si="60"/>
        <v>ZSI1_ANGLE_BARBAR_LENGTH_M_ANGLE_BAR</v>
      </c>
    </row>
    <row r="7171" ht="15.75" customHeight="1">
      <c r="B7171" s="63">
        <f t="shared" si="1"/>
        <v>14</v>
      </c>
      <c r="C7171" s="135" t="s">
        <v>344</v>
      </c>
      <c r="D7171" s="161" t="s">
        <v>74</v>
      </c>
      <c r="E7171" s="135">
        <f t="shared" si="61"/>
        <v>6</v>
      </c>
      <c r="F7171" s="134" t="s">
        <v>4103</v>
      </c>
      <c r="G7171" s="63" t="str">
        <f>VLOOKUP(C7171, 'Class Def. - General Data'!$C$20:$C$1000,1,false)</f>
        <v>ZSI1_ANGLE_BAR</v>
      </c>
      <c r="H7171" s="63" t="str">
        <f>IFERROR(__xludf.DUMMYFUNCTION("VLOOKUP(F7171, IMPORTRANGE(""https://docs.google.com/spreadsheets/d/1Lhp9OU0JdFf_VYSMzH5lBcEaU4o8teT1piV-SNzShjg/edit?gid=554141278#gid=554141278"", ""'Char Def. - Attributes'!C20:C2242""), 1,false)"),"BAR_MATERIAL_ANGLE_BAR")</f>
        <v>BAR_MATERIAL_ANGLE_BAR</v>
      </c>
      <c r="I7171" s="136"/>
      <c r="R7171" s="63" t="str">
        <f t="shared" si="60"/>
        <v>ZSI1_ANGLE_BARBAR_MATERIAL_ANGLE_BAR</v>
      </c>
    </row>
    <row r="7172" ht="15.75" customHeight="1">
      <c r="B7172" s="63">
        <f t="shared" si="1"/>
        <v>14</v>
      </c>
      <c r="C7172" s="135" t="s">
        <v>344</v>
      </c>
      <c r="D7172" s="161" t="s">
        <v>74</v>
      </c>
      <c r="E7172" s="135">
        <f t="shared" si="61"/>
        <v>7</v>
      </c>
      <c r="F7172" s="134" t="s">
        <v>4104</v>
      </c>
      <c r="G7172" s="63" t="str">
        <f>VLOOKUP(C7172, 'Class Def. - General Data'!$C$20:$C$1000,1,false)</f>
        <v>ZSI1_ANGLE_BAR</v>
      </c>
      <c r="H7172" s="63" t="str">
        <f>IFERROR(__xludf.DUMMYFUNCTION("VLOOKUP(F7172, IMPORTRANGE(""https://docs.google.com/spreadsheets/d/1Lhp9OU0JdFf_VYSMzH5lBcEaU4o8teT1piV-SNzShjg/edit?gid=554141278#gid=554141278"", ""'Char Def. - Attributes'!C20:C2242""), 1,false)"),"FINISHING_MATERIAL_ANGLE_BAR")</f>
        <v>FINISHING_MATERIAL_ANGLE_BAR</v>
      </c>
      <c r="I7172" s="136"/>
      <c r="R7172" s="63" t="str">
        <f t="shared" si="60"/>
        <v>ZSI1_ANGLE_BARFINISHING_MATERIAL_ANGLE_BAR</v>
      </c>
    </row>
    <row r="7173" ht="15.75" customHeight="1">
      <c r="B7173" s="63">
        <f t="shared" si="1"/>
        <v>14</v>
      </c>
      <c r="C7173" s="135" t="s">
        <v>344</v>
      </c>
      <c r="D7173" s="161" t="s">
        <v>74</v>
      </c>
      <c r="E7173" s="135">
        <f t="shared" si="61"/>
        <v>8</v>
      </c>
      <c r="F7173" s="134" t="s">
        <v>4053</v>
      </c>
      <c r="G7173" s="63" t="str">
        <f>VLOOKUP(C7173, 'Class Def. - General Data'!$C$20:$C$1000,1,false)</f>
        <v>ZSI1_ANGLE_BAR</v>
      </c>
      <c r="H7173" s="63" t="str">
        <f>IFERROR(__xludf.DUMMYFUNCTION("VLOOKUP(F7173, IMPORTRANGE(""https://docs.google.com/spreadsheets/d/1Lhp9OU0JdFf_VYSMzH5lBcEaU4o8teT1piV-SNzShjg/edit?gid=554141278#gid=554141278"", ""'Char Def. - Attributes'!C20:C2242""), 1,false)"),"MAINTENANCE_ORDER_TYPE")</f>
        <v>MAINTENANCE_ORDER_TYPE</v>
      </c>
      <c r="I7173" s="136"/>
      <c r="R7173" s="63" t="str">
        <f t="shared" si="60"/>
        <v>ZSI1_ANGLE_BARMAINTENANCE_ORDER_TYPE</v>
      </c>
    </row>
    <row r="7174" ht="15.75" customHeight="1">
      <c r="B7174" s="63">
        <f t="shared" si="1"/>
        <v>14</v>
      </c>
      <c r="C7174" s="135" t="s">
        <v>344</v>
      </c>
      <c r="D7174" s="161" t="s">
        <v>74</v>
      </c>
      <c r="E7174" s="135">
        <f t="shared" si="61"/>
        <v>9</v>
      </c>
      <c r="F7174" s="134" t="s">
        <v>3585</v>
      </c>
      <c r="G7174" s="63" t="str">
        <f>VLOOKUP(C7174, 'Class Def. - General Data'!$C$20:$C$1000,1,false)</f>
        <v>ZSI1_ANGLE_BAR</v>
      </c>
      <c r="H7174" s="63" t="str">
        <f>IFERROR(__xludf.DUMMYFUNCTION("VLOOKUP(F7174, IMPORTRANGE(""https://docs.google.com/spreadsheets/d/1Lhp9OU0JdFf_VYSMzH5lBcEaU4o8teT1piV-SNzShjg/edit?gid=554141278#gid=554141278"", ""'Char Def. - Attributes'!C20:C2242""), 1,false)"),"HS_CODE")</f>
        <v>HS_CODE</v>
      </c>
      <c r="I7174" s="136"/>
      <c r="R7174" s="63" t="str">
        <f t="shared" si="60"/>
        <v>ZSI1_ANGLE_BARHS_CODE</v>
      </c>
    </row>
    <row r="7175" ht="15.75" customHeight="1">
      <c r="B7175" s="63">
        <f t="shared" si="1"/>
        <v>14</v>
      </c>
      <c r="C7175" s="135" t="s">
        <v>344</v>
      </c>
      <c r="D7175" s="161" t="s">
        <v>74</v>
      </c>
      <c r="E7175" s="135">
        <f t="shared" si="61"/>
        <v>10</v>
      </c>
      <c r="F7175" s="134" t="s">
        <v>3587</v>
      </c>
      <c r="G7175" s="63" t="str">
        <f>VLOOKUP(C7175, 'Class Def. - General Data'!$C$20:$C$1000,1,false)</f>
        <v>ZSI1_ANGLE_BAR</v>
      </c>
      <c r="H7175" s="63" t="str">
        <f>IFERROR(__xludf.DUMMYFUNCTION("VLOOKUP(F7175, IMPORTRANGE(""https://docs.google.com/spreadsheets/d/1Lhp9OU0JdFf_VYSMzH5lBcEaU4o8teT1piV-SNzShjg/edit?gid=554141278#gid=554141278"", ""'Char Def. - Attributes'!C20:C2242""), 1,false)"),"PLANT_BUY")</f>
        <v>PLANT_BUY</v>
      </c>
      <c r="I7175" s="136"/>
      <c r="R7175" s="63" t="str">
        <f t="shared" si="60"/>
        <v>ZSI1_ANGLE_BARPLANT_BUY</v>
      </c>
    </row>
    <row r="7176" ht="15.75" customHeight="1">
      <c r="B7176" s="63">
        <f t="shared" si="1"/>
        <v>14</v>
      </c>
      <c r="C7176" s="135" t="s">
        <v>344</v>
      </c>
      <c r="D7176" s="161" t="s">
        <v>74</v>
      </c>
      <c r="E7176" s="135">
        <f t="shared" si="61"/>
        <v>11</v>
      </c>
      <c r="F7176" s="134" t="s">
        <v>4105</v>
      </c>
      <c r="G7176" s="63" t="str">
        <f>VLOOKUP(C7176, 'Class Def. - General Data'!$C$20:$C$1000,1,false)</f>
        <v>ZSI1_ANGLE_BAR</v>
      </c>
      <c r="H7176" s="63" t="str">
        <f>IFERROR(__xludf.DUMMYFUNCTION("VLOOKUP(F7176, IMPORTRANGE(""https://docs.google.com/spreadsheets/d/1Lhp9OU0JdFf_VYSMzH5lBcEaU4o8teT1piV-SNzShjg/edit?gid=554141278#gid=554141278"", ""'Char Def. - Attributes'!C20:C2242""), 1,false)"),"BASE_UOM_ANGLE_BAR")</f>
        <v>BASE_UOM_ANGLE_BAR</v>
      </c>
      <c r="I7176" s="136"/>
      <c r="R7176" s="63" t="str">
        <f t="shared" si="60"/>
        <v>ZSI1_ANGLE_BARBASE_UOM_ANGLE_BAR</v>
      </c>
    </row>
    <row r="7177" ht="15.75" customHeight="1">
      <c r="B7177" s="63">
        <f t="shared" si="1"/>
        <v>14</v>
      </c>
      <c r="C7177" s="135" t="s">
        <v>344</v>
      </c>
      <c r="D7177" s="161" t="s">
        <v>74</v>
      </c>
      <c r="E7177" s="135">
        <f t="shared" si="61"/>
        <v>12</v>
      </c>
      <c r="F7177" s="134" t="s">
        <v>4106</v>
      </c>
      <c r="G7177" s="63" t="str">
        <f>VLOOKUP(C7177, 'Class Def. - General Data'!$C$20:$C$1000,1,false)</f>
        <v>ZSI1_ANGLE_BAR</v>
      </c>
      <c r="H7177" s="63" t="str">
        <f>IFERROR(__xludf.DUMMYFUNCTION("VLOOKUP(F7177, IMPORTRANGE(""https://docs.google.com/spreadsheets/d/1Lhp9OU0JdFf_VYSMzH5lBcEaU4o8teT1piV-SNzShjg/edit?gid=554141278#gid=554141278"", ""'Char Def. - Attributes'!C20:C2242""), 1,false)"),"ORDER_UNIT_ANGLE_BAR")</f>
        <v>ORDER_UNIT_ANGLE_BAR</v>
      </c>
      <c r="I7177" s="136"/>
      <c r="R7177" s="63" t="str">
        <f t="shared" si="60"/>
        <v>ZSI1_ANGLE_BARORDER_UNIT_ANGLE_BAR</v>
      </c>
    </row>
    <row r="7178" ht="15.75" customHeight="1">
      <c r="B7178" s="63">
        <f t="shared" si="1"/>
        <v>14</v>
      </c>
      <c r="C7178" s="135" t="s">
        <v>344</v>
      </c>
      <c r="D7178" s="161" t="s">
        <v>74</v>
      </c>
      <c r="E7178" s="135">
        <f t="shared" si="61"/>
        <v>13</v>
      </c>
      <c r="F7178" s="134" t="s">
        <v>4056</v>
      </c>
      <c r="G7178" s="63" t="str">
        <f>VLOOKUP(C7178, 'Class Def. - General Data'!$C$20:$C$1000,1,false)</f>
        <v>ZSI1_ANGLE_BAR</v>
      </c>
      <c r="H7178" s="63" t="str">
        <f>IFERROR(__xludf.DUMMYFUNCTION("VLOOKUP(F7178, IMPORTRANGE(""https://docs.google.com/spreadsheets/d/1Lhp9OU0JdFf_VYSMzH5lBcEaU4o8teT1piV-SNzShjg/edit?gid=554141278#gid=554141278"", ""'Char Def. - Attributes'!C20:C2242""), 1,false)"),"GROSS_WEIGHT_OPT")</f>
        <v>GROSS_WEIGHT_OPT</v>
      </c>
      <c r="I7178" s="136"/>
      <c r="R7178" s="63" t="str">
        <f t="shared" si="60"/>
        <v>ZSI1_ANGLE_BARGROSS_WEIGHT_OPT</v>
      </c>
    </row>
    <row r="7179" ht="15.75" customHeight="1">
      <c r="B7179" s="63">
        <f t="shared" si="1"/>
        <v>14</v>
      </c>
      <c r="C7179" s="135" t="s">
        <v>344</v>
      </c>
      <c r="D7179" s="161" t="s">
        <v>74</v>
      </c>
      <c r="E7179" s="135">
        <f t="shared" si="61"/>
        <v>14</v>
      </c>
      <c r="F7179" s="134" t="s">
        <v>4057</v>
      </c>
      <c r="G7179" s="63" t="str">
        <f>VLOOKUP(C7179, 'Class Def. - General Data'!$C$20:$C$1000,1,false)</f>
        <v>ZSI1_ANGLE_BAR</v>
      </c>
      <c r="H7179" s="63" t="str">
        <f>IFERROR(__xludf.DUMMYFUNCTION("VLOOKUP(F7179, IMPORTRANGE(""https://docs.google.com/spreadsheets/d/1Lhp9OU0JdFf_VYSMzH5lBcEaU4o8teT1piV-SNzShjg/edit?gid=554141278#gid=554141278"", ""'Char Def. - Attributes'!C20:C2242""), 1,false)"),"NET_WEIGHT_OPT")</f>
        <v>NET_WEIGHT_OPT</v>
      </c>
      <c r="I7179" s="136"/>
      <c r="R7179" s="63" t="str">
        <f t="shared" si="60"/>
        <v>ZSI1_ANGLE_BARNET_WEIGHT_OPT</v>
      </c>
    </row>
    <row r="7180" ht="15.75" customHeight="1">
      <c r="B7180" s="63">
        <f t="shared" si="1"/>
        <v>14</v>
      </c>
      <c r="C7180" s="135" t="s">
        <v>344</v>
      </c>
      <c r="D7180" s="161" t="s">
        <v>74</v>
      </c>
      <c r="E7180" s="135">
        <f t="shared" si="61"/>
        <v>15</v>
      </c>
      <c r="F7180" s="134" t="s">
        <v>4058</v>
      </c>
      <c r="G7180" s="63" t="str">
        <f>VLOOKUP(C7180, 'Class Def. - General Data'!$C$20:$C$1000,1,false)</f>
        <v>ZSI1_ANGLE_BAR</v>
      </c>
      <c r="H7180" s="63" t="str">
        <f>IFERROR(__xludf.DUMMYFUNCTION("VLOOKUP(F7180, IMPORTRANGE(""https://docs.google.com/spreadsheets/d/1Lhp9OU0JdFf_VYSMzH5lBcEaU4o8teT1piV-SNzShjg/edit?gid=554141278#gid=554141278"", ""'Char Def. - Attributes'!C20:C2242""), 1,false)"),"WEIGHT_UNIT_SI")</f>
        <v>WEIGHT_UNIT_SI</v>
      </c>
      <c r="I7180" s="136"/>
      <c r="R7180" s="63" t="str">
        <f t="shared" si="60"/>
        <v>ZSI1_ANGLE_BARWEIGHT_UNIT_SI</v>
      </c>
    </row>
    <row r="7181" ht="15.75" customHeight="1">
      <c r="B7181" s="63">
        <f t="shared" si="1"/>
        <v>14</v>
      </c>
      <c r="C7181" s="135" t="s">
        <v>344</v>
      </c>
      <c r="D7181" s="161" t="s">
        <v>74</v>
      </c>
      <c r="E7181" s="135">
        <f t="shared" si="61"/>
        <v>16</v>
      </c>
      <c r="F7181" s="134" t="s">
        <v>3877</v>
      </c>
      <c r="G7181" s="63" t="str">
        <f>VLOOKUP(C7181, 'Class Def. - General Data'!$C$20:$C$1000,1,false)</f>
        <v>ZSI1_ANGLE_BAR</v>
      </c>
      <c r="H7181" s="63" t="str">
        <f>IFERROR(__xludf.DUMMYFUNCTION("VLOOKUP(F7181, IMPORTRANGE(""https://docs.google.com/spreadsheets/d/1Lhp9OU0JdFf_VYSMzH5lBcEaU4o8teT1piV-SNzShjg/edit?gid=554141278#gid=554141278"", ""'Char Def. - Attributes'!C20:C2242""), 1,false)"),"VOLUME_OPT")</f>
        <v>VOLUME_OPT</v>
      </c>
      <c r="I7181" s="136"/>
      <c r="R7181" s="63" t="str">
        <f t="shared" si="60"/>
        <v>ZSI1_ANGLE_BARVOLUME_OPT</v>
      </c>
    </row>
    <row r="7182" ht="15.75" customHeight="1">
      <c r="B7182" s="63">
        <f t="shared" si="1"/>
        <v>14</v>
      </c>
      <c r="C7182" s="135" t="s">
        <v>344</v>
      </c>
      <c r="D7182" s="161" t="s">
        <v>74</v>
      </c>
      <c r="E7182" s="135">
        <f t="shared" si="61"/>
        <v>17</v>
      </c>
      <c r="F7182" s="134" t="s">
        <v>4059</v>
      </c>
      <c r="G7182" s="63" t="str">
        <f>VLOOKUP(C7182, 'Class Def. - General Data'!$C$20:$C$1000,1,false)</f>
        <v>ZSI1_ANGLE_BAR</v>
      </c>
      <c r="H7182" s="63" t="str">
        <f>IFERROR(__xludf.DUMMYFUNCTION("VLOOKUP(F7182, IMPORTRANGE(""https://docs.google.com/spreadsheets/d/1Lhp9OU0JdFf_VYSMzH5lBcEaU4o8teT1piV-SNzShjg/edit?gid=554141278#gid=554141278"", ""'Char Def. - Attributes'!C20:C2242""), 1,false)"),"VOLUME_UNIT_SI")</f>
        <v>VOLUME_UNIT_SI</v>
      </c>
      <c r="I7182" s="136"/>
      <c r="R7182" s="63" t="str">
        <f t="shared" si="60"/>
        <v>ZSI1_ANGLE_BARVOLUME_UNIT_SI</v>
      </c>
    </row>
    <row r="7183" ht="15.75" customHeight="1">
      <c r="B7183" s="63">
        <f t="shared" si="1"/>
        <v>14</v>
      </c>
      <c r="C7183" s="135" t="s">
        <v>344</v>
      </c>
      <c r="D7183" s="161" t="s">
        <v>74</v>
      </c>
      <c r="E7183" s="135">
        <f t="shared" si="61"/>
        <v>18</v>
      </c>
      <c r="F7183" s="134" t="s">
        <v>3804</v>
      </c>
      <c r="G7183" s="63" t="str">
        <f>VLOOKUP(C7183, 'Class Def. - General Data'!$C$20:$C$1000,1,false)</f>
        <v>ZSI1_ANGLE_BAR</v>
      </c>
      <c r="H7183" s="63" t="str">
        <f>IFERROR(__xludf.DUMMYFUNCTION("VLOOKUP(F7183, IMPORTRANGE(""https://docs.google.com/spreadsheets/d/1Lhp9OU0JdFf_VYSMzH5lBcEaU4o8teT1piV-SNzShjg/edit?gid=554141278#gid=554141278"", ""'Char Def. - Attributes'!C20:C2242""), 1,false)"),"ALT_UOM1_SIPI")</f>
        <v>ALT_UOM1_SIPI</v>
      </c>
      <c r="I7183" s="136"/>
      <c r="R7183" s="63" t="str">
        <f t="shared" si="60"/>
        <v>ZSI1_ANGLE_BARALT_UOM1_SIPI</v>
      </c>
    </row>
    <row r="7184" ht="15.75" customHeight="1">
      <c r="B7184" s="63">
        <f t="shared" si="1"/>
        <v>14</v>
      </c>
      <c r="C7184" s="135" t="s">
        <v>344</v>
      </c>
      <c r="D7184" s="161" t="s">
        <v>74</v>
      </c>
      <c r="E7184" s="135">
        <f t="shared" si="61"/>
        <v>19</v>
      </c>
      <c r="F7184" s="134" t="s">
        <v>3805</v>
      </c>
      <c r="G7184" s="63" t="str">
        <f>VLOOKUP(C7184, 'Class Def. - General Data'!$C$20:$C$1000,1,false)</f>
        <v>ZSI1_ANGLE_BAR</v>
      </c>
      <c r="H7184" s="63" t="str">
        <f>IFERROR(__xludf.DUMMYFUNCTION("VLOOKUP(F7184, IMPORTRANGE(""https://docs.google.com/spreadsheets/d/1Lhp9OU0JdFf_VYSMzH5lBcEaU4o8teT1piV-SNzShjg/edit?gid=554141278#gid=554141278"", ""'Char Def. - Attributes'!C20:C2242""), 1,false)"),"ALT_DENUM_UOM1")</f>
        <v>ALT_DENUM_UOM1</v>
      </c>
      <c r="I7184" s="136"/>
      <c r="R7184" s="63" t="str">
        <f t="shared" si="60"/>
        <v>ZSI1_ANGLE_BARALT_DENUM_UOM1</v>
      </c>
    </row>
    <row r="7185" ht="15.75" customHeight="1">
      <c r="B7185" s="63">
        <f t="shared" si="1"/>
        <v>14</v>
      </c>
      <c r="C7185" s="135" t="s">
        <v>344</v>
      </c>
      <c r="D7185" s="161" t="s">
        <v>74</v>
      </c>
      <c r="E7185" s="135">
        <f t="shared" si="61"/>
        <v>20</v>
      </c>
      <c r="F7185" s="134" t="s">
        <v>3806</v>
      </c>
      <c r="G7185" s="63" t="str">
        <f>VLOOKUP(C7185, 'Class Def. - General Data'!$C$20:$C$1000,1,false)</f>
        <v>ZSI1_ANGLE_BAR</v>
      </c>
      <c r="H7185" s="63" t="str">
        <f>IFERROR(__xludf.DUMMYFUNCTION("VLOOKUP(F7185, IMPORTRANGE(""https://docs.google.com/spreadsheets/d/1Lhp9OU0JdFf_VYSMzH5lBcEaU4o8teT1piV-SNzShjg/edit?gid=554141278#gid=554141278"", ""'Char Def. - Attributes'!C20:C2242""), 1,false)"),"ALT_NUM_UOM1")</f>
        <v>ALT_NUM_UOM1</v>
      </c>
      <c r="I7185" s="136"/>
      <c r="R7185" s="63" t="str">
        <f t="shared" si="60"/>
        <v>ZSI1_ANGLE_BARALT_NUM_UOM1</v>
      </c>
    </row>
    <row r="7186" ht="15.75" customHeight="1">
      <c r="B7186" s="63">
        <f t="shared" si="1"/>
        <v>14</v>
      </c>
      <c r="C7186" s="135" t="s">
        <v>344</v>
      </c>
      <c r="D7186" s="161" t="s">
        <v>74</v>
      </c>
      <c r="E7186" s="135">
        <f t="shared" si="61"/>
        <v>21</v>
      </c>
      <c r="F7186" s="134" t="s">
        <v>3807</v>
      </c>
      <c r="G7186" s="63" t="str">
        <f>VLOOKUP(C7186, 'Class Def. - General Data'!$C$20:$C$1000,1,false)</f>
        <v>ZSI1_ANGLE_BAR</v>
      </c>
      <c r="H7186" s="63" t="str">
        <f>IFERROR(__xludf.DUMMYFUNCTION("VLOOKUP(F7186, IMPORTRANGE(""https://docs.google.com/spreadsheets/d/1Lhp9OU0JdFf_VYSMzH5lBcEaU4o8teT1piV-SNzShjg/edit?gid=554141278#gid=554141278"", ""'Char Def. - Attributes'!C20:C2242""), 1,false)"),"ALT_UOM2_SIPI")</f>
        <v>ALT_UOM2_SIPI</v>
      </c>
      <c r="I7186" s="136"/>
      <c r="R7186" s="63" t="str">
        <f t="shared" si="60"/>
        <v>ZSI1_ANGLE_BARALT_UOM2_SIPI</v>
      </c>
    </row>
    <row r="7187" ht="15.75" customHeight="1">
      <c r="B7187" s="63">
        <f t="shared" si="1"/>
        <v>14</v>
      </c>
      <c r="C7187" s="135" t="s">
        <v>344</v>
      </c>
      <c r="D7187" s="161" t="s">
        <v>74</v>
      </c>
      <c r="E7187" s="135">
        <f t="shared" si="61"/>
        <v>22</v>
      </c>
      <c r="F7187" s="134" t="s">
        <v>3808</v>
      </c>
      <c r="G7187" s="63" t="str">
        <f>VLOOKUP(C7187, 'Class Def. - General Data'!$C$20:$C$1000,1,false)</f>
        <v>ZSI1_ANGLE_BAR</v>
      </c>
      <c r="H7187" s="63" t="str">
        <f>IFERROR(__xludf.DUMMYFUNCTION("VLOOKUP(F7187, IMPORTRANGE(""https://docs.google.com/spreadsheets/d/1Lhp9OU0JdFf_VYSMzH5lBcEaU4o8teT1piV-SNzShjg/edit?gid=554141278#gid=554141278"", ""'Char Def. - Attributes'!C20:C2242""), 1,false)"),"ALT_DENUM_UOM2")</f>
        <v>ALT_DENUM_UOM2</v>
      </c>
      <c r="I7187" s="136"/>
      <c r="R7187" s="63" t="str">
        <f t="shared" si="60"/>
        <v>ZSI1_ANGLE_BARALT_DENUM_UOM2</v>
      </c>
    </row>
    <row r="7188" ht="15.75" customHeight="1">
      <c r="B7188" s="63">
        <f t="shared" si="1"/>
        <v>14</v>
      </c>
      <c r="C7188" s="135" t="s">
        <v>344</v>
      </c>
      <c r="D7188" s="161" t="s">
        <v>74</v>
      </c>
      <c r="E7188" s="135">
        <f t="shared" si="61"/>
        <v>23</v>
      </c>
      <c r="F7188" s="134" t="s">
        <v>3809</v>
      </c>
      <c r="G7188" s="63" t="str">
        <f>VLOOKUP(C7188, 'Class Def. - General Data'!$C$20:$C$1000,1,false)</f>
        <v>ZSI1_ANGLE_BAR</v>
      </c>
      <c r="H7188" s="63" t="str">
        <f>IFERROR(__xludf.DUMMYFUNCTION("VLOOKUP(F7188, IMPORTRANGE(""https://docs.google.com/spreadsheets/d/1Lhp9OU0JdFf_VYSMzH5lBcEaU4o8teT1piV-SNzShjg/edit?gid=554141278#gid=554141278"", ""'Char Def. - Attributes'!C20:C2242""), 1,false)"),"ALT_NUM_UOM2")</f>
        <v>ALT_NUM_UOM2</v>
      </c>
      <c r="I7188" s="136"/>
      <c r="R7188" s="63" t="str">
        <f t="shared" si="60"/>
        <v>ZSI1_ANGLE_BARALT_NUM_UOM2</v>
      </c>
    </row>
    <row r="7189" ht="15.75" customHeight="1">
      <c r="B7189" s="63">
        <f t="shared" si="1"/>
        <v>14</v>
      </c>
      <c r="C7189" s="135" t="s">
        <v>344</v>
      </c>
      <c r="D7189" s="161" t="s">
        <v>74</v>
      </c>
      <c r="E7189" s="135">
        <f t="shared" si="61"/>
        <v>24</v>
      </c>
      <c r="F7189" s="134" t="s">
        <v>3810</v>
      </c>
      <c r="G7189" s="63" t="str">
        <f>VLOOKUP(C7189, 'Class Def. - General Data'!$C$20:$C$1000,1,false)</f>
        <v>ZSI1_ANGLE_BAR</v>
      </c>
      <c r="H7189" s="63" t="str">
        <f>IFERROR(__xludf.DUMMYFUNCTION("VLOOKUP(F7189, IMPORTRANGE(""https://docs.google.com/spreadsheets/d/1Lhp9OU0JdFf_VYSMzH5lBcEaU4o8teT1piV-SNzShjg/edit?gid=554141278#gid=554141278"", ""'Char Def. - Attributes'!C20:C2242""), 1,false)"),"ALT_UOM3_SIPI")</f>
        <v>ALT_UOM3_SIPI</v>
      </c>
      <c r="I7189" s="136"/>
      <c r="R7189" s="63" t="str">
        <f t="shared" si="60"/>
        <v>ZSI1_ANGLE_BARALT_UOM3_SIPI</v>
      </c>
    </row>
    <row r="7190" ht="15.75" customHeight="1">
      <c r="B7190" s="63">
        <f t="shared" si="1"/>
        <v>14</v>
      </c>
      <c r="C7190" s="135" t="s">
        <v>344</v>
      </c>
      <c r="D7190" s="161" t="s">
        <v>74</v>
      </c>
      <c r="E7190" s="135">
        <f t="shared" si="61"/>
        <v>25</v>
      </c>
      <c r="F7190" s="134" t="s">
        <v>3811</v>
      </c>
      <c r="G7190" s="63" t="str">
        <f>VLOOKUP(C7190, 'Class Def. - General Data'!$C$20:$C$1000,1,false)</f>
        <v>ZSI1_ANGLE_BAR</v>
      </c>
      <c r="H7190" s="63" t="str">
        <f>IFERROR(__xludf.DUMMYFUNCTION("VLOOKUP(F7190, IMPORTRANGE(""https://docs.google.com/spreadsheets/d/1Lhp9OU0JdFf_VYSMzH5lBcEaU4o8teT1piV-SNzShjg/edit?gid=554141278#gid=554141278"", ""'Char Def. - Attributes'!C20:C2242""), 1,false)"),"ALT_DENUM_UOM3")</f>
        <v>ALT_DENUM_UOM3</v>
      </c>
      <c r="I7190" s="136"/>
      <c r="R7190" s="63" t="str">
        <f t="shared" si="60"/>
        <v>ZSI1_ANGLE_BARALT_DENUM_UOM3</v>
      </c>
    </row>
    <row r="7191" ht="15.75" customHeight="1">
      <c r="B7191" s="63">
        <f t="shared" si="1"/>
        <v>14</v>
      </c>
      <c r="C7191" s="135" t="s">
        <v>344</v>
      </c>
      <c r="D7191" s="161" t="s">
        <v>74</v>
      </c>
      <c r="E7191" s="135">
        <f t="shared" si="61"/>
        <v>26</v>
      </c>
      <c r="F7191" s="134" t="s">
        <v>3812</v>
      </c>
      <c r="G7191" s="63" t="str">
        <f>VLOOKUP(C7191, 'Class Def. - General Data'!$C$20:$C$1000,1,false)</f>
        <v>ZSI1_ANGLE_BAR</v>
      </c>
      <c r="H7191" s="63" t="str">
        <f>IFERROR(__xludf.DUMMYFUNCTION("VLOOKUP(F7191, IMPORTRANGE(""https://docs.google.com/spreadsheets/d/1Lhp9OU0JdFf_VYSMzH5lBcEaU4o8teT1piV-SNzShjg/edit?gid=554141278#gid=554141278"", ""'Char Def. - Attributes'!C20:C2242""), 1,false)"),"ALT_NUM_UOM3")</f>
        <v>ALT_NUM_UOM3</v>
      </c>
      <c r="I7191" s="136"/>
      <c r="R7191" s="63" t="str">
        <f t="shared" si="60"/>
        <v>ZSI1_ANGLE_BARALT_NUM_UOM3</v>
      </c>
    </row>
    <row r="7192" ht="15.75" customHeight="1">
      <c r="B7192" s="63">
        <f t="shared" si="1"/>
        <v>14</v>
      </c>
      <c r="C7192" s="135" t="s">
        <v>344</v>
      </c>
      <c r="D7192" s="161" t="s">
        <v>74</v>
      </c>
      <c r="E7192" s="135">
        <f t="shared" si="61"/>
        <v>27</v>
      </c>
      <c r="F7192" s="134" t="s">
        <v>3813</v>
      </c>
      <c r="G7192" s="63" t="str">
        <f>VLOOKUP(C7192, 'Class Def. - General Data'!$C$20:$C$1000,1,false)</f>
        <v>ZSI1_ANGLE_BAR</v>
      </c>
      <c r="H7192" s="63" t="str">
        <f>IFERROR(__xludf.DUMMYFUNCTION("VLOOKUP(F7192, IMPORTRANGE(""https://docs.google.com/spreadsheets/d/1Lhp9OU0JdFf_VYSMzH5lBcEaU4o8teT1piV-SNzShjg/edit?gid=554141278#gid=554141278"", ""'Char Def. - Attributes'!C20:C2242""), 1,false)"),"ALT_UOM4_SIPI")</f>
        <v>ALT_UOM4_SIPI</v>
      </c>
      <c r="I7192" s="136"/>
      <c r="R7192" s="63" t="str">
        <f t="shared" si="60"/>
        <v>ZSI1_ANGLE_BARALT_UOM4_SIPI</v>
      </c>
    </row>
    <row r="7193" ht="15.75" customHeight="1">
      <c r="B7193" s="63">
        <f t="shared" si="1"/>
        <v>14</v>
      </c>
      <c r="C7193" s="135" t="s">
        <v>344</v>
      </c>
      <c r="D7193" s="161" t="s">
        <v>74</v>
      </c>
      <c r="E7193" s="135">
        <f t="shared" si="61"/>
        <v>28</v>
      </c>
      <c r="F7193" s="134" t="s">
        <v>3814</v>
      </c>
      <c r="G7193" s="63" t="str">
        <f>VLOOKUP(C7193, 'Class Def. - General Data'!$C$20:$C$1000,1,false)</f>
        <v>ZSI1_ANGLE_BAR</v>
      </c>
      <c r="H7193" s="63" t="str">
        <f>IFERROR(__xludf.DUMMYFUNCTION("VLOOKUP(F7193, IMPORTRANGE(""https://docs.google.com/spreadsheets/d/1Lhp9OU0JdFf_VYSMzH5lBcEaU4o8teT1piV-SNzShjg/edit?gid=554141278#gid=554141278"", ""'Char Def. - Attributes'!C20:C2242""), 1,false)"),"ALT_DENUM_UOM4")</f>
        <v>ALT_DENUM_UOM4</v>
      </c>
      <c r="I7193" s="136"/>
      <c r="R7193" s="63" t="str">
        <f t="shared" si="60"/>
        <v>ZSI1_ANGLE_BARALT_DENUM_UOM4</v>
      </c>
    </row>
    <row r="7194" ht="15.75" customHeight="1">
      <c r="B7194" s="63">
        <f t="shared" si="1"/>
        <v>14</v>
      </c>
      <c r="C7194" s="135" t="s">
        <v>344</v>
      </c>
      <c r="D7194" s="161" t="s">
        <v>74</v>
      </c>
      <c r="E7194" s="135">
        <f t="shared" si="61"/>
        <v>29</v>
      </c>
      <c r="F7194" s="134" t="s">
        <v>3815</v>
      </c>
      <c r="G7194" s="63" t="str">
        <f>VLOOKUP(C7194, 'Class Def. - General Data'!$C$20:$C$1000,1,false)</f>
        <v>ZSI1_ANGLE_BAR</v>
      </c>
      <c r="H7194" s="63" t="str">
        <f>IFERROR(__xludf.DUMMYFUNCTION("VLOOKUP(F7194, IMPORTRANGE(""https://docs.google.com/spreadsheets/d/1Lhp9OU0JdFf_VYSMzH5lBcEaU4o8teT1piV-SNzShjg/edit?gid=554141278#gid=554141278"", ""'Char Def. - Attributes'!C20:C2242""), 1,false)"),"ALT_NUM_UOM4")</f>
        <v>ALT_NUM_UOM4</v>
      </c>
      <c r="I7194" s="136"/>
      <c r="R7194" s="63" t="str">
        <f t="shared" si="60"/>
        <v>ZSI1_ANGLE_BARALT_NUM_UOM4</v>
      </c>
    </row>
    <row r="7195" ht="15.75" customHeight="1">
      <c r="B7195" s="63">
        <f t="shared" si="1"/>
        <v>14</v>
      </c>
      <c r="C7195" s="135" t="s">
        <v>344</v>
      </c>
      <c r="D7195" s="161" t="s">
        <v>74</v>
      </c>
      <c r="E7195" s="135">
        <f t="shared" si="61"/>
        <v>30</v>
      </c>
      <c r="F7195" s="134" t="s">
        <v>3816</v>
      </c>
      <c r="G7195" s="63" t="str">
        <f>VLOOKUP(C7195, 'Class Def. - General Data'!$C$20:$C$1000,1,false)</f>
        <v>ZSI1_ANGLE_BAR</v>
      </c>
      <c r="H7195" s="63" t="str">
        <f>IFERROR(__xludf.DUMMYFUNCTION("VLOOKUP(F7195, IMPORTRANGE(""https://docs.google.com/spreadsheets/d/1Lhp9OU0JdFf_VYSMzH5lBcEaU4o8teT1piV-SNzShjg/edit?gid=554141278#gid=554141278"", ""'Char Def. - Attributes'!C20:C2242""), 1,false)"),"ALT_UOM5_SIPI")</f>
        <v>ALT_UOM5_SIPI</v>
      </c>
      <c r="I7195" s="136"/>
      <c r="R7195" s="63" t="str">
        <f t="shared" si="60"/>
        <v>ZSI1_ANGLE_BARALT_UOM5_SIPI</v>
      </c>
    </row>
    <row r="7196" ht="15.75" customHeight="1">
      <c r="B7196" s="63">
        <f t="shared" si="1"/>
        <v>14</v>
      </c>
      <c r="C7196" s="135" t="s">
        <v>344</v>
      </c>
      <c r="D7196" s="161" t="s">
        <v>74</v>
      </c>
      <c r="E7196" s="135">
        <f t="shared" si="61"/>
        <v>31</v>
      </c>
      <c r="F7196" s="134" t="s">
        <v>3817</v>
      </c>
      <c r="G7196" s="63" t="str">
        <f>VLOOKUP(C7196, 'Class Def. - General Data'!$C$20:$C$1000,1,false)</f>
        <v>ZSI1_ANGLE_BAR</v>
      </c>
      <c r="H7196" s="63" t="str">
        <f>IFERROR(__xludf.DUMMYFUNCTION("VLOOKUP(F7196, IMPORTRANGE(""https://docs.google.com/spreadsheets/d/1Lhp9OU0JdFf_VYSMzH5lBcEaU4o8teT1piV-SNzShjg/edit?gid=554141278#gid=554141278"", ""'Char Def. - Attributes'!C20:C2242""), 1,false)"),"ALT_DENUM_UOM5")</f>
        <v>ALT_DENUM_UOM5</v>
      </c>
      <c r="I7196" s="136"/>
      <c r="R7196" s="63" t="str">
        <f t="shared" si="60"/>
        <v>ZSI1_ANGLE_BARALT_DENUM_UOM5</v>
      </c>
    </row>
    <row r="7197" ht="15.75" customHeight="1">
      <c r="B7197" s="63">
        <f t="shared" si="1"/>
        <v>14</v>
      </c>
      <c r="C7197" s="135" t="s">
        <v>344</v>
      </c>
      <c r="D7197" s="161" t="s">
        <v>74</v>
      </c>
      <c r="E7197" s="135">
        <f t="shared" si="61"/>
        <v>32</v>
      </c>
      <c r="F7197" s="134" t="s">
        <v>3818</v>
      </c>
      <c r="G7197" s="63" t="str">
        <f>VLOOKUP(C7197, 'Class Def. - General Data'!$C$20:$C$1000,1,false)</f>
        <v>ZSI1_ANGLE_BAR</v>
      </c>
      <c r="H7197" s="63" t="str">
        <f>IFERROR(__xludf.DUMMYFUNCTION("VLOOKUP(F7197, IMPORTRANGE(""https://docs.google.com/spreadsheets/d/1Lhp9OU0JdFf_VYSMzH5lBcEaU4o8teT1piV-SNzShjg/edit?gid=554141278#gid=554141278"", ""'Char Def. - Attributes'!C20:C2242""), 1,false)"),"ALT_NUM_UOM5")</f>
        <v>ALT_NUM_UOM5</v>
      </c>
      <c r="I7197" s="136"/>
      <c r="R7197" s="63" t="str">
        <f t="shared" si="60"/>
        <v>ZSI1_ANGLE_BARALT_NUM_UOM5</v>
      </c>
    </row>
    <row r="7198" ht="15.75" customHeight="1">
      <c r="B7198" s="63">
        <f t="shared" si="1"/>
        <v>15</v>
      </c>
      <c r="C7198" s="135" t="s">
        <v>489</v>
      </c>
      <c r="D7198" s="161" t="s">
        <v>74</v>
      </c>
      <c r="E7198" s="135">
        <f t="shared" si="61"/>
        <v>1</v>
      </c>
      <c r="F7198" s="134" t="s">
        <v>4107</v>
      </c>
      <c r="G7198" s="63" t="str">
        <f>VLOOKUP(C7198, 'Class Def. - General Data'!$C$20:$C$1000,1,false)</f>
        <v>ZSI1_ANTI_KARAT</v>
      </c>
      <c r="H7198" s="63" t="str">
        <f>IFERROR(__xludf.DUMMYFUNCTION("VLOOKUP(F7198, IMPORTRANGE(""https://docs.google.com/spreadsheets/d/1Lhp9OU0JdFf_VYSMzH5lBcEaU4o8teT1piV-SNzShjg/edit?gid=554141278#gid=554141278"", ""'Char Def. - Attributes'!C20:C2242""), 1,false)"),"ITEM_NAME_ANTI_KARAT")</f>
        <v>ITEM_NAME_ANTI_KARAT</v>
      </c>
      <c r="I7198" s="136"/>
      <c r="R7198" s="63" t="str">
        <f t="shared" si="60"/>
        <v>ZSI1_ANTI_KARATITEM_NAME_ANTI_KARAT</v>
      </c>
    </row>
    <row r="7199" ht="15.75" customHeight="1">
      <c r="B7199" s="63">
        <f t="shared" si="1"/>
        <v>15</v>
      </c>
      <c r="C7199" s="135" t="s">
        <v>489</v>
      </c>
      <c r="D7199" s="161" t="s">
        <v>74</v>
      </c>
      <c r="E7199" s="135">
        <f t="shared" si="61"/>
        <v>2</v>
      </c>
      <c r="F7199" s="134" t="s">
        <v>4108</v>
      </c>
      <c r="G7199" s="63" t="str">
        <f>VLOOKUP(C7199, 'Class Def. - General Data'!$C$20:$C$1000,1,false)</f>
        <v>ZSI1_ANTI_KARAT</v>
      </c>
      <c r="H7199" s="63" t="str">
        <f>IFERROR(__xludf.DUMMYFUNCTION("VLOOKUP(F7199, IMPORTRANGE(""https://docs.google.com/spreadsheets/d/1Lhp9OU0JdFf_VYSMzH5lBcEaU4o8teT1piV-SNzShjg/edit?gid=554141278#gid=554141278"", ""'Char Def. - Attributes'!C20:C2242""), 1,false)"),"SERIES_ANTI_KARAT")</f>
        <v>SERIES_ANTI_KARAT</v>
      </c>
      <c r="I7199" s="136"/>
      <c r="R7199" s="63" t="str">
        <f t="shared" si="60"/>
        <v>ZSI1_ANTI_KARATSERIES_ANTI_KARAT</v>
      </c>
    </row>
    <row r="7200" ht="15.75" customHeight="1">
      <c r="B7200" s="63">
        <f t="shared" si="1"/>
        <v>15</v>
      </c>
      <c r="C7200" s="135" t="s">
        <v>489</v>
      </c>
      <c r="D7200" s="161" t="s">
        <v>74</v>
      </c>
      <c r="E7200" s="135">
        <f t="shared" si="61"/>
        <v>3</v>
      </c>
      <c r="F7200" s="134" t="s">
        <v>3782</v>
      </c>
      <c r="G7200" s="63" t="str">
        <f>VLOOKUP(C7200, 'Class Def. - General Data'!$C$20:$C$1000,1,false)</f>
        <v>ZSI1_ANTI_KARAT</v>
      </c>
      <c r="H7200" s="63" t="str">
        <f>IFERROR(__xludf.DUMMYFUNCTION("VLOOKUP(F7200, IMPORTRANGE(""https://docs.google.com/spreadsheets/d/1Lhp9OU0JdFf_VYSMzH5lBcEaU4o8teT1piV-SNzShjg/edit?gid=554141278#gid=554141278"", ""'Char Def. - Attributes'!C20:C2242""), 1,false)"),"BRAND_EXTERNAL")</f>
        <v>BRAND_EXTERNAL</v>
      </c>
      <c r="I7200" s="136"/>
      <c r="R7200" s="63" t="str">
        <f t="shared" si="60"/>
        <v>ZSI1_ANTI_KARATBRAND_EXTERNAL</v>
      </c>
    </row>
    <row r="7201" ht="15.75" customHeight="1">
      <c r="B7201" s="63">
        <f t="shared" si="1"/>
        <v>15</v>
      </c>
      <c r="C7201" s="135" t="s">
        <v>489</v>
      </c>
      <c r="D7201" s="161" t="s">
        <v>74</v>
      </c>
      <c r="E7201" s="135">
        <f t="shared" si="61"/>
        <v>4</v>
      </c>
      <c r="F7201" s="134" t="s">
        <v>4109</v>
      </c>
      <c r="G7201" s="63" t="str">
        <f>VLOOKUP(C7201, 'Class Def. - General Data'!$C$20:$C$1000,1,false)</f>
        <v>ZSI1_ANTI_KARAT</v>
      </c>
      <c r="H7201" s="63" t="str">
        <f>IFERROR(__xludf.DUMMYFUNCTION("VLOOKUP(F7201, IMPORTRANGE(""https://docs.google.com/spreadsheets/d/1Lhp9OU0JdFf_VYSMzH5lBcEaU4o8teT1piV-SNzShjg/edit?gid=554141278#gid=554141278"", ""'Char Def. - Attributes'!C20:C2242""), 1,false)"),"DIMENSION_ANTI_KARAT")</f>
        <v>DIMENSION_ANTI_KARAT</v>
      </c>
      <c r="I7201" s="136"/>
      <c r="R7201" s="63" t="str">
        <f t="shared" si="60"/>
        <v>ZSI1_ANTI_KARATDIMENSION_ANTI_KARAT</v>
      </c>
    </row>
    <row r="7202" ht="15.75" customHeight="1">
      <c r="B7202" s="63">
        <f t="shared" si="1"/>
        <v>15</v>
      </c>
      <c r="C7202" s="135" t="s">
        <v>489</v>
      </c>
      <c r="D7202" s="161" t="s">
        <v>74</v>
      </c>
      <c r="E7202" s="135">
        <f t="shared" si="61"/>
        <v>5</v>
      </c>
      <c r="F7202" s="134" t="s">
        <v>4110</v>
      </c>
      <c r="G7202" s="63" t="str">
        <f>VLOOKUP(C7202, 'Class Def. - General Data'!$C$20:$C$1000,1,false)</f>
        <v>ZSI1_ANTI_KARAT</v>
      </c>
      <c r="H7202" s="63" t="str">
        <f>IFERROR(__xludf.DUMMYFUNCTION("VLOOKUP(F7202, IMPORTRANGE(""https://docs.google.com/spreadsheets/d/1Lhp9OU0JdFf_VYSMzH5lBcEaU4o8teT1piV-SNzShjg/edit?gid=554141278#gid=554141278"", ""'Char Def. - Attributes'!C20:C2242""), 1,false)"),"VOLUME_ML_ANTI_KARAT")</f>
        <v>VOLUME_ML_ANTI_KARAT</v>
      </c>
      <c r="I7202" s="136"/>
      <c r="R7202" s="63" t="str">
        <f t="shared" si="60"/>
        <v>ZSI1_ANTI_KARATVOLUME_ML_ANTI_KARAT</v>
      </c>
    </row>
    <row r="7203" ht="15.75" customHeight="1">
      <c r="B7203" s="63">
        <f t="shared" si="1"/>
        <v>15</v>
      </c>
      <c r="C7203" s="135" t="s">
        <v>489</v>
      </c>
      <c r="D7203" s="161" t="s">
        <v>74</v>
      </c>
      <c r="E7203" s="135">
        <f t="shared" si="61"/>
        <v>6</v>
      </c>
      <c r="F7203" s="134" t="s">
        <v>4111</v>
      </c>
      <c r="G7203" s="63" t="str">
        <f>VLOOKUP(C7203, 'Class Def. - General Data'!$C$20:$C$1000,1,false)</f>
        <v>ZSI1_ANTI_KARAT</v>
      </c>
      <c r="H7203" s="63" t="str">
        <f>IFERROR(__xludf.DUMMYFUNCTION("VLOOKUP(F7203, IMPORTRANGE(""https://docs.google.com/spreadsheets/d/1Lhp9OU0JdFf_VYSMzH5lBcEaU4o8teT1piV-SNzShjg/edit?gid=554141278#gid=554141278"", ""'Char Def. - Attributes'!C20:C2242""), 1,false)"),"WEIGHT_G_ANTI_KARAT")</f>
        <v>WEIGHT_G_ANTI_KARAT</v>
      </c>
      <c r="I7203" s="136"/>
      <c r="R7203" s="63" t="str">
        <f t="shared" si="60"/>
        <v>ZSI1_ANTI_KARATWEIGHT_G_ANTI_KARAT</v>
      </c>
    </row>
    <row r="7204" ht="15.75" customHeight="1">
      <c r="B7204" s="63">
        <f t="shared" si="1"/>
        <v>15</v>
      </c>
      <c r="C7204" s="135" t="s">
        <v>489</v>
      </c>
      <c r="D7204" s="161" t="s">
        <v>74</v>
      </c>
      <c r="E7204" s="135">
        <f t="shared" si="61"/>
        <v>7</v>
      </c>
      <c r="F7204" s="134" t="s">
        <v>3585</v>
      </c>
      <c r="G7204" s="63" t="str">
        <f>VLOOKUP(C7204, 'Class Def. - General Data'!$C$20:$C$1000,1,false)</f>
        <v>ZSI1_ANTI_KARAT</v>
      </c>
      <c r="H7204" s="63" t="str">
        <f>IFERROR(__xludf.DUMMYFUNCTION("VLOOKUP(F7204, IMPORTRANGE(""https://docs.google.com/spreadsheets/d/1Lhp9OU0JdFf_VYSMzH5lBcEaU4o8teT1piV-SNzShjg/edit?gid=554141278#gid=554141278"", ""'Char Def. - Attributes'!C20:C2242""), 1,false)"),"HS_CODE")</f>
        <v>HS_CODE</v>
      </c>
      <c r="I7204" s="136"/>
      <c r="R7204" s="63" t="str">
        <f t="shared" si="60"/>
        <v>ZSI1_ANTI_KARATHS_CODE</v>
      </c>
    </row>
    <row r="7205" ht="15.75" customHeight="1">
      <c r="B7205" s="63">
        <f t="shared" si="1"/>
        <v>15</v>
      </c>
      <c r="C7205" s="135" t="s">
        <v>489</v>
      </c>
      <c r="D7205" s="161" t="s">
        <v>74</v>
      </c>
      <c r="E7205" s="135">
        <f t="shared" si="61"/>
        <v>8</v>
      </c>
      <c r="F7205" s="134" t="s">
        <v>3587</v>
      </c>
      <c r="G7205" s="63" t="str">
        <f>VLOOKUP(C7205, 'Class Def. - General Data'!$C$20:$C$1000,1,false)</f>
        <v>ZSI1_ANTI_KARAT</v>
      </c>
      <c r="H7205" s="63" t="str">
        <f>IFERROR(__xludf.DUMMYFUNCTION("VLOOKUP(F7205, IMPORTRANGE(""https://docs.google.com/spreadsheets/d/1Lhp9OU0JdFf_VYSMzH5lBcEaU4o8teT1piV-SNzShjg/edit?gid=554141278#gid=554141278"", ""'Char Def. - Attributes'!C20:C2242""), 1,false)"),"PLANT_BUY")</f>
        <v>PLANT_BUY</v>
      </c>
      <c r="I7205" s="136"/>
      <c r="R7205" s="63" t="str">
        <f t="shared" si="60"/>
        <v>ZSI1_ANTI_KARATPLANT_BUY</v>
      </c>
    </row>
    <row r="7206" ht="15.75" customHeight="1">
      <c r="B7206" s="63">
        <f t="shared" si="1"/>
        <v>15</v>
      </c>
      <c r="C7206" s="135" t="s">
        <v>489</v>
      </c>
      <c r="D7206" s="161" t="s">
        <v>74</v>
      </c>
      <c r="E7206" s="135">
        <f t="shared" si="61"/>
        <v>9</v>
      </c>
      <c r="F7206" s="134" t="s">
        <v>4112</v>
      </c>
      <c r="G7206" s="63" t="str">
        <f>VLOOKUP(C7206, 'Class Def. - General Data'!$C$20:$C$1000,1,false)</f>
        <v>ZSI1_ANTI_KARAT</v>
      </c>
      <c r="H7206" s="63" t="str">
        <f>IFERROR(__xludf.DUMMYFUNCTION("VLOOKUP(F7206, IMPORTRANGE(""https://docs.google.com/spreadsheets/d/1Lhp9OU0JdFf_VYSMzH5lBcEaU4o8teT1piV-SNzShjg/edit?gid=554141278#gid=554141278"", ""'Char Def. - Attributes'!C20:C2242""), 1,false)"),"BASE_UOM_ANTI_KARAT")</f>
        <v>BASE_UOM_ANTI_KARAT</v>
      </c>
      <c r="I7206" s="136"/>
      <c r="R7206" s="63" t="str">
        <f t="shared" si="60"/>
        <v>ZSI1_ANTI_KARATBASE_UOM_ANTI_KARAT</v>
      </c>
    </row>
    <row r="7207" ht="15.75" customHeight="1">
      <c r="B7207" s="63">
        <f t="shared" si="1"/>
        <v>15</v>
      </c>
      <c r="C7207" s="135" t="s">
        <v>489</v>
      </c>
      <c r="D7207" s="161" t="s">
        <v>74</v>
      </c>
      <c r="E7207" s="135">
        <f t="shared" si="61"/>
        <v>10</v>
      </c>
      <c r="F7207" s="134" t="s">
        <v>4113</v>
      </c>
      <c r="G7207" s="63" t="str">
        <f>VLOOKUP(C7207, 'Class Def. - General Data'!$C$20:$C$1000,1,false)</f>
        <v>ZSI1_ANTI_KARAT</v>
      </c>
      <c r="H7207" s="63" t="str">
        <f>IFERROR(__xludf.DUMMYFUNCTION("VLOOKUP(F7207, IMPORTRANGE(""https://docs.google.com/spreadsheets/d/1Lhp9OU0JdFf_VYSMzH5lBcEaU4o8teT1piV-SNzShjg/edit?gid=554141278#gid=554141278"", ""'Char Def. - Attributes'!C20:C2242""), 1,false)"),"ORDER_UNIT_ANTI_KARAT")</f>
        <v>ORDER_UNIT_ANTI_KARAT</v>
      </c>
      <c r="I7207" s="136"/>
      <c r="R7207" s="63" t="str">
        <f t="shared" si="60"/>
        <v>ZSI1_ANTI_KARATORDER_UNIT_ANTI_KARAT</v>
      </c>
    </row>
    <row r="7208" ht="15.75" customHeight="1">
      <c r="B7208" s="63">
        <f t="shared" si="1"/>
        <v>15</v>
      </c>
      <c r="C7208" s="135" t="s">
        <v>489</v>
      </c>
      <c r="D7208" s="161" t="s">
        <v>74</v>
      </c>
      <c r="E7208" s="135">
        <f t="shared" si="61"/>
        <v>11</v>
      </c>
      <c r="F7208" s="134" t="s">
        <v>4056</v>
      </c>
      <c r="G7208" s="63" t="str">
        <f>VLOOKUP(C7208, 'Class Def. - General Data'!$C$20:$C$1000,1,false)</f>
        <v>ZSI1_ANTI_KARAT</v>
      </c>
      <c r="H7208" s="63" t="str">
        <f>IFERROR(__xludf.DUMMYFUNCTION("VLOOKUP(F7208, IMPORTRANGE(""https://docs.google.com/spreadsheets/d/1Lhp9OU0JdFf_VYSMzH5lBcEaU4o8teT1piV-SNzShjg/edit?gid=554141278#gid=554141278"", ""'Char Def. - Attributes'!C20:C2242""), 1,false)"),"GROSS_WEIGHT_OPT")</f>
        <v>GROSS_WEIGHT_OPT</v>
      </c>
      <c r="I7208" s="136"/>
      <c r="R7208" s="63" t="str">
        <f t="shared" si="60"/>
        <v>ZSI1_ANTI_KARATGROSS_WEIGHT_OPT</v>
      </c>
    </row>
    <row r="7209" ht="15.75" customHeight="1">
      <c r="B7209" s="63">
        <f t="shared" si="1"/>
        <v>15</v>
      </c>
      <c r="C7209" s="135" t="s">
        <v>489</v>
      </c>
      <c r="D7209" s="161" t="s">
        <v>74</v>
      </c>
      <c r="E7209" s="135">
        <f t="shared" si="61"/>
        <v>12</v>
      </c>
      <c r="F7209" s="134" t="s">
        <v>4057</v>
      </c>
      <c r="G7209" s="63" t="str">
        <f>VLOOKUP(C7209, 'Class Def. - General Data'!$C$20:$C$1000,1,false)</f>
        <v>ZSI1_ANTI_KARAT</v>
      </c>
      <c r="H7209" s="63" t="str">
        <f>IFERROR(__xludf.DUMMYFUNCTION("VLOOKUP(F7209, IMPORTRANGE(""https://docs.google.com/spreadsheets/d/1Lhp9OU0JdFf_VYSMzH5lBcEaU4o8teT1piV-SNzShjg/edit?gid=554141278#gid=554141278"", ""'Char Def. - Attributes'!C20:C2242""), 1,false)"),"NET_WEIGHT_OPT")</f>
        <v>NET_WEIGHT_OPT</v>
      </c>
      <c r="I7209" s="136"/>
      <c r="R7209" s="63" t="str">
        <f t="shared" si="60"/>
        <v>ZSI1_ANTI_KARATNET_WEIGHT_OPT</v>
      </c>
    </row>
    <row r="7210" ht="15.75" customHeight="1">
      <c r="B7210" s="63">
        <f t="shared" si="1"/>
        <v>15</v>
      </c>
      <c r="C7210" s="135" t="s">
        <v>489</v>
      </c>
      <c r="D7210" s="161" t="s">
        <v>74</v>
      </c>
      <c r="E7210" s="135">
        <f t="shared" si="61"/>
        <v>13</v>
      </c>
      <c r="F7210" s="134" t="s">
        <v>4058</v>
      </c>
      <c r="G7210" s="63" t="str">
        <f>VLOOKUP(C7210, 'Class Def. - General Data'!$C$20:$C$1000,1,false)</f>
        <v>ZSI1_ANTI_KARAT</v>
      </c>
      <c r="H7210" s="63" t="str">
        <f>IFERROR(__xludf.DUMMYFUNCTION("VLOOKUP(F7210, IMPORTRANGE(""https://docs.google.com/spreadsheets/d/1Lhp9OU0JdFf_VYSMzH5lBcEaU4o8teT1piV-SNzShjg/edit?gid=554141278#gid=554141278"", ""'Char Def. - Attributes'!C20:C2242""), 1,false)"),"WEIGHT_UNIT_SI")</f>
        <v>WEIGHT_UNIT_SI</v>
      </c>
      <c r="I7210" s="136"/>
      <c r="R7210" s="63" t="str">
        <f t="shared" si="60"/>
        <v>ZSI1_ANTI_KARATWEIGHT_UNIT_SI</v>
      </c>
    </row>
    <row r="7211" ht="15.75" customHeight="1">
      <c r="B7211" s="63">
        <f t="shared" si="1"/>
        <v>15</v>
      </c>
      <c r="C7211" s="135" t="s">
        <v>489</v>
      </c>
      <c r="D7211" s="161" t="s">
        <v>74</v>
      </c>
      <c r="E7211" s="135">
        <f t="shared" si="61"/>
        <v>14</v>
      </c>
      <c r="F7211" s="134" t="s">
        <v>3877</v>
      </c>
      <c r="G7211" s="63" t="str">
        <f>VLOOKUP(C7211, 'Class Def. - General Data'!$C$20:$C$1000,1,false)</f>
        <v>ZSI1_ANTI_KARAT</v>
      </c>
      <c r="H7211" s="63" t="str">
        <f>IFERROR(__xludf.DUMMYFUNCTION("VLOOKUP(F7211, IMPORTRANGE(""https://docs.google.com/spreadsheets/d/1Lhp9OU0JdFf_VYSMzH5lBcEaU4o8teT1piV-SNzShjg/edit?gid=554141278#gid=554141278"", ""'Char Def. - Attributes'!C20:C2242""), 1,false)"),"VOLUME_OPT")</f>
        <v>VOLUME_OPT</v>
      </c>
      <c r="I7211" s="136"/>
      <c r="R7211" s="63" t="str">
        <f t="shared" si="60"/>
        <v>ZSI1_ANTI_KARATVOLUME_OPT</v>
      </c>
    </row>
    <row r="7212" ht="15.75" customHeight="1">
      <c r="B7212" s="63">
        <f t="shared" si="1"/>
        <v>15</v>
      </c>
      <c r="C7212" s="135" t="s">
        <v>489</v>
      </c>
      <c r="D7212" s="161" t="s">
        <v>74</v>
      </c>
      <c r="E7212" s="135">
        <f t="shared" si="61"/>
        <v>15</v>
      </c>
      <c r="F7212" s="134" t="s">
        <v>4059</v>
      </c>
      <c r="G7212" s="63" t="str">
        <f>VLOOKUP(C7212, 'Class Def. - General Data'!$C$20:$C$1000,1,false)</f>
        <v>ZSI1_ANTI_KARAT</v>
      </c>
      <c r="H7212" s="63" t="str">
        <f>IFERROR(__xludf.DUMMYFUNCTION("VLOOKUP(F7212, IMPORTRANGE(""https://docs.google.com/spreadsheets/d/1Lhp9OU0JdFf_VYSMzH5lBcEaU4o8teT1piV-SNzShjg/edit?gid=554141278#gid=554141278"", ""'Char Def. - Attributes'!C20:C2242""), 1,false)"),"VOLUME_UNIT_SI")</f>
        <v>VOLUME_UNIT_SI</v>
      </c>
      <c r="I7212" s="136"/>
      <c r="R7212" s="63" t="str">
        <f t="shared" si="60"/>
        <v>ZSI1_ANTI_KARATVOLUME_UNIT_SI</v>
      </c>
    </row>
    <row r="7213" ht="15.75" customHeight="1">
      <c r="B7213" s="63">
        <f t="shared" si="1"/>
        <v>15</v>
      </c>
      <c r="C7213" s="135" t="s">
        <v>489</v>
      </c>
      <c r="D7213" s="161" t="s">
        <v>74</v>
      </c>
      <c r="E7213" s="135">
        <f t="shared" si="61"/>
        <v>16</v>
      </c>
      <c r="F7213" s="134" t="s">
        <v>3804</v>
      </c>
      <c r="G7213" s="63" t="str">
        <f>VLOOKUP(C7213, 'Class Def. - General Data'!$C$20:$C$1000,1,false)</f>
        <v>ZSI1_ANTI_KARAT</v>
      </c>
      <c r="H7213" s="63" t="str">
        <f>IFERROR(__xludf.DUMMYFUNCTION("VLOOKUP(F7213, IMPORTRANGE(""https://docs.google.com/spreadsheets/d/1Lhp9OU0JdFf_VYSMzH5lBcEaU4o8teT1piV-SNzShjg/edit?gid=554141278#gid=554141278"", ""'Char Def. - Attributes'!C20:C2242""), 1,false)"),"ALT_UOM1_SIPI")</f>
        <v>ALT_UOM1_SIPI</v>
      </c>
      <c r="I7213" s="136"/>
      <c r="R7213" s="63" t="str">
        <f t="shared" si="60"/>
        <v>ZSI1_ANTI_KARATALT_UOM1_SIPI</v>
      </c>
    </row>
    <row r="7214" ht="15.75" customHeight="1">
      <c r="B7214" s="63">
        <f t="shared" si="1"/>
        <v>15</v>
      </c>
      <c r="C7214" s="135" t="s">
        <v>489</v>
      </c>
      <c r="D7214" s="161" t="s">
        <v>74</v>
      </c>
      <c r="E7214" s="135">
        <f t="shared" si="61"/>
        <v>17</v>
      </c>
      <c r="F7214" s="134" t="s">
        <v>3805</v>
      </c>
      <c r="G7214" s="63" t="str">
        <f>VLOOKUP(C7214, 'Class Def. - General Data'!$C$20:$C$1000,1,false)</f>
        <v>ZSI1_ANTI_KARAT</v>
      </c>
      <c r="H7214" s="63" t="str">
        <f>IFERROR(__xludf.DUMMYFUNCTION("VLOOKUP(F7214, IMPORTRANGE(""https://docs.google.com/spreadsheets/d/1Lhp9OU0JdFf_VYSMzH5lBcEaU4o8teT1piV-SNzShjg/edit?gid=554141278#gid=554141278"", ""'Char Def. - Attributes'!C20:C2242""), 1,false)"),"ALT_DENUM_UOM1")</f>
        <v>ALT_DENUM_UOM1</v>
      </c>
      <c r="I7214" s="136"/>
      <c r="R7214" s="63" t="str">
        <f t="shared" si="60"/>
        <v>ZSI1_ANTI_KARATALT_DENUM_UOM1</v>
      </c>
    </row>
    <row r="7215" ht="15.75" customHeight="1">
      <c r="B7215" s="63">
        <f t="shared" si="1"/>
        <v>15</v>
      </c>
      <c r="C7215" s="135" t="s">
        <v>489</v>
      </c>
      <c r="D7215" s="161" t="s">
        <v>74</v>
      </c>
      <c r="E7215" s="135">
        <f t="shared" si="61"/>
        <v>18</v>
      </c>
      <c r="F7215" s="134" t="s">
        <v>3806</v>
      </c>
      <c r="G7215" s="63" t="str">
        <f>VLOOKUP(C7215, 'Class Def. - General Data'!$C$20:$C$1000,1,false)</f>
        <v>ZSI1_ANTI_KARAT</v>
      </c>
      <c r="H7215" s="63" t="str">
        <f>IFERROR(__xludf.DUMMYFUNCTION("VLOOKUP(F7215, IMPORTRANGE(""https://docs.google.com/spreadsheets/d/1Lhp9OU0JdFf_VYSMzH5lBcEaU4o8teT1piV-SNzShjg/edit?gid=554141278#gid=554141278"", ""'Char Def. - Attributes'!C20:C2242""), 1,false)"),"ALT_NUM_UOM1")</f>
        <v>ALT_NUM_UOM1</v>
      </c>
      <c r="I7215" s="136"/>
      <c r="R7215" s="63" t="str">
        <f t="shared" si="60"/>
        <v>ZSI1_ANTI_KARATALT_NUM_UOM1</v>
      </c>
    </row>
    <row r="7216" ht="15.75" customHeight="1">
      <c r="B7216" s="63">
        <f t="shared" si="1"/>
        <v>15</v>
      </c>
      <c r="C7216" s="135" t="s">
        <v>489</v>
      </c>
      <c r="D7216" s="161" t="s">
        <v>74</v>
      </c>
      <c r="E7216" s="135">
        <f t="shared" si="61"/>
        <v>19</v>
      </c>
      <c r="F7216" s="134" t="s">
        <v>3807</v>
      </c>
      <c r="G7216" s="63" t="str">
        <f>VLOOKUP(C7216, 'Class Def. - General Data'!$C$20:$C$1000,1,false)</f>
        <v>ZSI1_ANTI_KARAT</v>
      </c>
      <c r="H7216" s="63" t="str">
        <f>IFERROR(__xludf.DUMMYFUNCTION("VLOOKUP(F7216, IMPORTRANGE(""https://docs.google.com/spreadsheets/d/1Lhp9OU0JdFf_VYSMzH5lBcEaU4o8teT1piV-SNzShjg/edit?gid=554141278#gid=554141278"", ""'Char Def. - Attributes'!C20:C2242""), 1,false)"),"ALT_UOM2_SIPI")</f>
        <v>ALT_UOM2_SIPI</v>
      </c>
      <c r="I7216" s="136"/>
      <c r="R7216" s="63" t="str">
        <f t="shared" si="60"/>
        <v>ZSI1_ANTI_KARATALT_UOM2_SIPI</v>
      </c>
    </row>
    <row r="7217" ht="15.75" customHeight="1">
      <c r="B7217" s="63">
        <f t="shared" si="1"/>
        <v>15</v>
      </c>
      <c r="C7217" s="135" t="s">
        <v>489</v>
      </c>
      <c r="D7217" s="161" t="s">
        <v>74</v>
      </c>
      <c r="E7217" s="135">
        <f t="shared" si="61"/>
        <v>20</v>
      </c>
      <c r="F7217" s="134" t="s">
        <v>3808</v>
      </c>
      <c r="G7217" s="63" t="str">
        <f>VLOOKUP(C7217, 'Class Def. - General Data'!$C$20:$C$1000,1,false)</f>
        <v>ZSI1_ANTI_KARAT</v>
      </c>
      <c r="H7217" s="63" t="str">
        <f>IFERROR(__xludf.DUMMYFUNCTION("VLOOKUP(F7217, IMPORTRANGE(""https://docs.google.com/spreadsheets/d/1Lhp9OU0JdFf_VYSMzH5lBcEaU4o8teT1piV-SNzShjg/edit?gid=554141278#gid=554141278"", ""'Char Def. - Attributes'!C20:C2242""), 1,false)"),"ALT_DENUM_UOM2")</f>
        <v>ALT_DENUM_UOM2</v>
      </c>
      <c r="I7217" s="136"/>
      <c r="R7217" s="63" t="str">
        <f t="shared" si="60"/>
        <v>ZSI1_ANTI_KARATALT_DENUM_UOM2</v>
      </c>
    </row>
    <row r="7218" ht="15.75" customHeight="1">
      <c r="B7218" s="63">
        <f t="shared" si="1"/>
        <v>15</v>
      </c>
      <c r="C7218" s="135" t="s">
        <v>489</v>
      </c>
      <c r="D7218" s="161" t="s">
        <v>74</v>
      </c>
      <c r="E7218" s="135">
        <f t="shared" si="61"/>
        <v>21</v>
      </c>
      <c r="F7218" s="134" t="s">
        <v>3809</v>
      </c>
      <c r="G7218" s="63" t="str">
        <f>VLOOKUP(C7218, 'Class Def. - General Data'!$C$20:$C$1000,1,false)</f>
        <v>ZSI1_ANTI_KARAT</v>
      </c>
      <c r="H7218" s="63" t="str">
        <f>IFERROR(__xludf.DUMMYFUNCTION("VLOOKUP(F7218, IMPORTRANGE(""https://docs.google.com/spreadsheets/d/1Lhp9OU0JdFf_VYSMzH5lBcEaU4o8teT1piV-SNzShjg/edit?gid=554141278#gid=554141278"", ""'Char Def. - Attributes'!C20:C2242""), 1,false)"),"ALT_NUM_UOM2")</f>
        <v>ALT_NUM_UOM2</v>
      </c>
      <c r="I7218" s="136"/>
      <c r="R7218" s="63" t="str">
        <f t="shared" si="60"/>
        <v>ZSI1_ANTI_KARATALT_NUM_UOM2</v>
      </c>
    </row>
    <row r="7219" ht="15.75" customHeight="1">
      <c r="B7219" s="63">
        <f t="shared" si="1"/>
        <v>15</v>
      </c>
      <c r="C7219" s="135" t="s">
        <v>489</v>
      </c>
      <c r="D7219" s="161" t="s">
        <v>74</v>
      </c>
      <c r="E7219" s="135">
        <f t="shared" si="61"/>
        <v>22</v>
      </c>
      <c r="F7219" s="134" t="s">
        <v>3810</v>
      </c>
      <c r="G7219" s="63" t="str">
        <f>VLOOKUP(C7219, 'Class Def. - General Data'!$C$20:$C$1000,1,false)</f>
        <v>ZSI1_ANTI_KARAT</v>
      </c>
      <c r="H7219" s="63" t="str">
        <f>IFERROR(__xludf.DUMMYFUNCTION("VLOOKUP(F7219, IMPORTRANGE(""https://docs.google.com/spreadsheets/d/1Lhp9OU0JdFf_VYSMzH5lBcEaU4o8teT1piV-SNzShjg/edit?gid=554141278#gid=554141278"", ""'Char Def. - Attributes'!C20:C2242""), 1,false)"),"ALT_UOM3_SIPI")</f>
        <v>ALT_UOM3_SIPI</v>
      </c>
      <c r="I7219" s="136"/>
      <c r="R7219" s="63" t="str">
        <f t="shared" si="60"/>
        <v>ZSI1_ANTI_KARATALT_UOM3_SIPI</v>
      </c>
    </row>
    <row r="7220" ht="15.75" customHeight="1">
      <c r="B7220" s="63">
        <f t="shared" si="1"/>
        <v>15</v>
      </c>
      <c r="C7220" s="135" t="s">
        <v>489</v>
      </c>
      <c r="D7220" s="161" t="s">
        <v>74</v>
      </c>
      <c r="E7220" s="135">
        <f t="shared" si="61"/>
        <v>23</v>
      </c>
      <c r="F7220" s="134" t="s">
        <v>3811</v>
      </c>
      <c r="G7220" s="63" t="str">
        <f>VLOOKUP(C7220, 'Class Def. - General Data'!$C$20:$C$1000,1,false)</f>
        <v>ZSI1_ANTI_KARAT</v>
      </c>
      <c r="H7220" s="63" t="str">
        <f>IFERROR(__xludf.DUMMYFUNCTION("VLOOKUP(F7220, IMPORTRANGE(""https://docs.google.com/spreadsheets/d/1Lhp9OU0JdFf_VYSMzH5lBcEaU4o8teT1piV-SNzShjg/edit?gid=554141278#gid=554141278"", ""'Char Def. - Attributes'!C20:C2242""), 1,false)"),"ALT_DENUM_UOM3")</f>
        <v>ALT_DENUM_UOM3</v>
      </c>
      <c r="I7220" s="136"/>
      <c r="R7220" s="63" t="str">
        <f t="shared" si="60"/>
        <v>ZSI1_ANTI_KARATALT_DENUM_UOM3</v>
      </c>
    </row>
    <row r="7221" ht="15.75" customHeight="1">
      <c r="B7221" s="63">
        <f t="shared" si="1"/>
        <v>15</v>
      </c>
      <c r="C7221" s="135" t="s">
        <v>489</v>
      </c>
      <c r="D7221" s="161" t="s">
        <v>74</v>
      </c>
      <c r="E7221" s="135">
        <f t="shared" si="61"/>
        <v>24</v>
      </c>
      <c r="F7221" s="134" t="s">
        <v>3812</v>
      </c>
      <c r="G7221" s="63" t="str">
        <f>VLOOKUP(C7221, 'Class Def. - General Data'!$C$20:$C$1000,1,false)</f>
        <v>ZSI1_ANTI_KARAT</v>
      </c>
      <c r="H7221" s="63" t="str">
        <f>IFERROR(__xludf.DUMMYFUNCTION("VLOOKUP(F7221, IMPORTRANGE(""https://docs.google.com/spreadsheets/d/1Lhp9OU0JdFf_VYSMzH5lBcEaU4o8teT1piV-SNzShjg/edit?gid=554141278#gid=554141278"", ""'Char Def. - Attributes'!C20:C2242""), 1,false)"),"ALT_NUM_UOM3")</f>
        <v>ALT_NUM_UOM3</v>
      </c>
      <c r="I7221" s="136"/>
      <c r="R7221" s="63" t="str">
        <f t="shared" si="60"/>
        <v>ZSI1_ANTI_KARATALT_NUM_UOM3</v>
      </c>
    </row>
    <row r="7222" ht="15.75" customHeight="1">
      <c r="B7222" s="63">
        <f t="shared" si="1"/>
        <v>15</v>
      </c>
      <c r="C7222" s="135" t="s">
        <v>489</v>
      </c>
      <c r="D7222" s="161" t="s">
        <v>74</v>
      </c>
      <c r="E7222" s="135">
        <f t="shared" si="61"/>
        <v>25</v>
      </c>
      <c r="F7222" s="134" t="s">
        <v>3813</v>
      </c>
      <c r="G7222" s="63" t="str">
        <f>VLOOKUP(C7222, 'Class Def. - General Data'!$C$20:$C$1000,1,false)</f>
        <v>ZSI1_ANTI_KARAT</v>
      </c>
      <c r="H7222" s="63" t="str">
        <f>IFERROR(__xludf.DUMMYFUNCTION("VLOOKUP(F7222, IMPORTRANGE(""https://docs.google.com/spreadsheets/d/1Lhp9OU0JdFf_VYSMzH5lBcEaU4o8teT1piV-SNzShjg/edit?gid=554141278#gid=554141278"", ""'Char Def. - Attributes'!C20:C2242""), 1,false)"),"ALT_UOM4_SIPI")</f>
        <v>ALT_UOM4_SIPI</v>
      </c>
      <c r="I7222" s="136"/>
      <c r="R7222" s="63" t="str">
        <f t="shared" si="60"/>
        <v>ZSI1_ANTI_KARATALT_UOM4_SIPI</v>
      </c>
    </row>
    <row r="7223" ht="15.75" customHeight="1">
      <c r="B7223" s="63">
        <f t="shared" si="1"/>
        <v>15</v>
      </c>
      <c r="C7223" s="135" t="s">
        <v>489</v>
      </c>
      <c r="D7223" s="161" t="s">
        <v>74</v>
      </c>
      <c r="E7223" s="135">
        <f t="shared" si="61"/>
        <v>26</v>
      </c>
      <c r="F7223" s="134" t="s">
        <v>3814</v>
      </c>
      <c r="G7223" s="63" t="str">
        <f>VLOOKUP(C7223, 'Class Def. - General Data'!$C$20:$C$1000,1,false)</f>
        <v>ZSI1_ANTI_KARAT</v>
      </c>
      <c r="H7223" s="63" t="str">
        <f>IFERROR(__xludf.DUMMYFUNCTION("VLOOKUP(F7223, IMPORTRANGE(""https://docs.google.com/spreadsheets/d/1Lhp9OU0JdFf_VYSMzH5lBcEaU4o8teT1piV-SNzShjg/edit?gid=554141278#gid=554141278"", ""'Char Def. - Attributes'!C20:C2242""), 1,false)"),"ALT_DENUM_UOM4")</f>
        <v>ALT_DENUM_UOM4</v>
      </c>
      <c r="I7223" s="136"/>
      <c r="R7223" s="63" t="str">
        <f t="shared" si="60"/>
        <v>ZSI1_ANTI_KARATALT_DENUM_UOM4</v>
      </c>
    </row>
    <row r="7224" ht="15.75" customHeight="1">
      <c r="B7224" s="63">
        <f t="shared" si="1"/>
        <v>15</v>
      </c>
      <c r="C7224" s="135" t="s">
        <v>489</v>
      </c>
      <c r="D7224" s="161" t="s">
        <v>74</v>
      </c>
      <c r="E7224" s="135">
        <f t="shared" si="61"/>
        <v>27</v>
      </c>
      <c r="F7224" s="134" t="s">
        <v>3815</v>
      </c>
      <c r="G7224" s="63" t="str">
        <f>VLOOKUP(C7224, 'Class Def. - General Data'!$C$20:$C$1000,1,false)</f>
        <v>ZSI1_ANTI_KARAT</v>
      </c>
      <c r="H7224" s="63" t="str">
        <f>IFERROR(__xludf.DUMMYFUNCTION("VLOOKUP(F7224, IMPORTRANGE(""https://docs.google.com/spreadsheets/d/1Lhp9OU0JdFf_VYSMzH5lBcEaU4o8teT1piV-SNzShjg/edit?gid=554141278#gid=554141278"", ""'Char Def. - Attributes'!C20:C2242""), 1,false)"),"ALT_NUM_UOM4")</f>
        <v>ALT_NUM_UOM4</v>
      </c>
      <c r="I7224" s="136"/>
      <c r="R7224" s="63" t="str">
        <f t="shared" si="60"/>
        <v>ZSI1_ANTI_KARATALT_NUM_UOM4</v>
      </c>
    </row>
    <row r="7225" ht="15.75" customHeight="1">
      <c r="B7225" s="63">
        <f t="shared" si="1"/>
        <v>15</v>
      </c>
      <c r="C7225" s="135" t="s">
        <v>489</v>
      </c>
      <c r="D7225" s="161" t="s">
        <v>74</v>
      </c>
      <c r="E7225" s="135">
        <f t="shared" si="61"/>
        <v>28</v>
      </c>
      <c r="F7225" s="134" t="s">
        <v>3816</v>
      </c>
      <c r="G7225" s="63" t="str">
        <f>VLOOKUP(C7225, 'Class Def. - General Data'!$C$20:$C$1000,1,false)</f>
        <v>ZSI1_ANTI_KARAT</v>
      </c>
      <c r="H7225" s="63" t="str">
        <f>IFERROR(__xludf.DUMMYFUNCTION("VLOOKUP(F7225, IMPORTRANGE(""https://docs.google.com/spreadsheets/d/1Lhp9OU0JdFf_VYSMzH5lBcEaU4o8teT1piV-SNzShjg/edit?gid=554141278#gid=554141278"", ""'Char Def. - Attributes'!C20:C2242""), 1,false)"),"ALT_UOM5_SIPI")</f>
        <v>ALT_UOM5_SIPI</v>
      </c>
      <c r="I7225" s="136"/>
      <c r="R7225" s="63" t="str">
        <f t="shared" si="60"/>
        <v>ZSI1_ANTI_KARATALT_UOM5_SIPI</v>
      </c>
    </row>
    <row r="7226" ht="15.75" customHeight="1">
      <c r="B7226" s="63">
        <f t="shared" si="1"/>
        <v>15</v>
      </c>
      <c r="C7226" s="135" t="s">
        <v>489</v>
      </c>
      <c r="D7226" s="161" t="s">
        <v>74</v>
      </c>
      <c r="E7226" s="135">
        <f t="shared" si="61"/>
        <v>29</v>
      </c>
      <c r="F7226" s="134" t="s">
        <v>3817</v>
      </c>
      <c r="G7226" s="63" t="str">
        <f>VLOOKUP(C7226, 'Class Def. - General Data'!$C$20:$C$1000,1,false)</f>
        <v>ZSI1_ANTI_KARAT</v>
      </c>
      <c r="H7226" s="63" t="str">
        <f>IFERROR(__xludf.DUMMYFUNCTION("VLOOKUP(F7226, IMPORTRANGE(""https://docs.google.com/spreadsheets/d/1Lhp9OU0JdFf_VYSMzH5lBcEaU4o8teT1piV-SNzShjg/edit?gid=554141278#gid=554141278"", ""'Char Def. - Attributes'!C20:C2242""), 1,false)"),"ALT_DENUM_UOM5")</f>
        <v>ALT_DENUM_UOM5</v>
      </c>
      <c r="I7226" s="136"/>
      <c r="R7226" s="63" t="str">
        <f t="shared" si="60"/>
        <v>ZSI1_ANTI_KARATALT_DENUM_UOM5</v>
      </c>
    </row>
    <row r="7227" ht="15.75" customHeight="1">
      <c r="B7227" s="63">
        <f t="shared" si="1"/>
        <v>15</v>
      </c>
      <c r="C7227" s="135" t="s">
        <v>489</v>
      </c>
      <c r="D7227" s="161" t="s">
        <v>74</v>
      </c>
      <c r="E7227" s="135">
        <f t="shared" si="61"/>
        <v>30</v>
      </c>
      <c r="F7227" s="134" t="s">
        <v>3818</v>
      </c>
      <c r="G7227" s="63" t="str">
        <f>VLOOKUP(C7227, 'Class Def. - General Data'!$C$20:$C$1000,1,false)</f>
        <v>ZSI1_ANTI_KARAT</v>
      </c>
      <c r="H7227" s="63" t="str">
        <f>IFERROR(__xludf.DUMMYFUNCTION("VLOOKUP(F7227, IMPORTRANGE(""https://docs.google.com/spreadsheets/d/1Lhp9OU0JdFf_VYSMzH5lBcEaU4o8teT1piV-SNzShjg/edit?gid=554141278#gid=554141278"", ""'Char Def. - Attributes'!C20:C2242""), 1,false)"),"ALT_NUM_UOM5")</f>
        <v>ALT_NUM_UOM5</v>
      </c>
      <c r="I7227" s="136"/>
      <c r="R7227" s="63" t="str">
        <f t="shared" si="60"/>
        <v>ZSI1_ANTI_KARATALT_NUM_UOM5</v>
      </c>
    </row>
    <row r="7228" ht="15.75" customHeight="1">
      <c r="B7228" s="63">
        <f t="shared" si="1"/>
        <v>17</v>
      </c>
      <c r="C7228" s="135" t="s">
        <v>308</v>
      </c>
      <c r="D7228" s="161" t="s">
        <v>74</v>
      </c>
      <c r="E7228" s="135">
        <f t="shared" si="61"/>
        <v>1</v>
      </c>
      <c r="F7228" s="134" t="s">
        <v>4114</v>
      </c>
      <c r="G7228" s="63" t="str">
        <f>VLOOKUP(C7228, 'Class Def. - General Data'!$C$20:$C$1000,1,false)</f>
        <v>ZSI1_BATTERY_ACCU</v>
      </c>
      <c r="H7228" s="63" t="str">
        <f>IFERROR(__xludf.DUMMYFUNCTION("VLOOKUP(F7228, IMPORTRANGE(""https://docs.google.com/spreadsheets/d/1Lhp9OU0JdFf_VYSMzH5lBcEaU4o8teT1piV-SNzShjg/edit?gid=554141278#gid=554141278"", ""'Char Def. - Attributes'!C20:C2242""), 1,false)"),"ITEM_NAME_BATTERY_ACCU")</f>
        <v>ITEM_NAME_BATTERY_ACCU</v>
      </c>
      <c r="I7228" s="136"/>
      <c r="R7228" s="63" t="str">
        <f t="shared" si="60"/>
        <v>ZSI1_BATTERY_ACCUITEM_NAME_BATTERY_ACCU</v>
      </c>
    </row>
    <row r="7229" ht="15.75" customHeight="1">
      <c r="B7229" s="63">
        <f t="shared" si="1"/>
        <v>17</v>
      </c>
      <c r="C7229" s="135" t="s">
        <v>308</v>
      </c>
      <c r="D7229" s="161" t="s">
        <v>74</v>
      </c>
      <c r="E7229" s="135">
        <f t="shared" si="61"/>
        <v>2</v>
      </c>
      <c r="F7229" s="134" t="s">
        <v>4115</v>
      </c>
      <c r="G7229" s="63" t="str">
        <f>VLOOKUP(C7229, 'Class Def. - General Data'!$C$20:$C$1000,1,false)</f>
        <v>ZSI1_BATTERY_ACCU</v>
      </c>
      <c r="H7229" s="63" t="str">
        <f>IFERROR(__xludf.DUMMYFUNCTION("VLOOKUP(F7229, IMPORTRANGE(""https://docs.google.com/spreadsheets/d/1Lhp9OU0JdFf_VYSMzH5lBcEaU4o8teT1piV-SNzShjg/edit?gid=554141278#gid=554141278"", ""'Char Def. - Attributes'!C20:C2242""), 1,false)"),"MFR_NO_BATTERY_ACCU")</f>
        <v>MFR_NO_BATTERY_ACCU</v>
      </c>
      <c r="I7229" s="136"/>
      <c r="R7229" s="63" t="str">
        <f t="shared" si="60"/>
        <v>ZSI1_BATTERY_ACCUMFR_NO_BATTERY_ACCU</v>
      </c>
    </row>
    <row r="7230" ht="15.75" customHeight="1">
      <c r="B7230" s="63">
        <f t="shared" si="1"/>
        <v>17</v>
      </c>
      <c r="C7230" s="135" t="s">
        <v>308</v>
      </c>
      <c r="D7230" s="161" t="s">
        <v>74</v>
      </c>
      <c r="E7230" s="135">
        <f t="shared" si="61"/>
        <v>3</v>
      </c>
      <c r="F7230" s="134" t="s">
        <v>3782</v>
      </c>
      <c r="G7230" s="63" t="str">
        <f>VLOOKUP(C7230, 'Class Def. - General Data'!$C$20:$C$1000,1,false)</f>
        <v>ZSI1_BATTERY_ACCU</v>
      </c>
      <c r="H7230" s="63" t="str">
        <f>IFERROR(__xludf.DUMMYFUNCTION("VLOOKUP(F7230, IMPORTRANGE(""https://docs.google.com/spreadsheets/d/1Lhp9OU0JdFf_VYSMzH5lBcEaU4o8teT1piV-SNzShjg/edit?gid=554141278#gid=554141278"", ""'Char Def. - Attributes'!C20:C2242""), 1,false)"),"BRAND_EXTERNAL")</f>
        <v>BRAND_EXTERNAL</v>
      </c>
      <c r="I7230" s="136"/>
      <c r="R7230" s="63" t="str">
        <f t="shared" si="60"/>
        <v>ZSI1_BATTERY_ACCUBRAND_EXTERNAL</v>
      </c>
    </row>
    <row r="7231" ht="15.75" customHeight="1">
      <c r="B7231" s="63">
        <f t="shared" si="1"/>
        <v>17</v>
      </c>
      <c r="C7231" s="135" t="s">
        <v>308</v>
      </c>
      <c r="D7231" s="161" t="s">
        <v>74</v>
      </c>
      <c r="E7231" s="135">
        <f t="shared" si="61"/>
        <v>4</v>
      </c>
      <c r="F7231" s="134" t="s">
        <v>4062</v>
      </c>
      <c r="G7231" s="63" t="str">
        <f>VLOOKUP(C7231, 'Class Def. - General Data'!$C$20:$C$1000,1,false)</f>
        <v>ZSI1_BATTERY_ACCU</v>
      </c>
      <c r="H7231" s="63" t="str">
        <f>IFERROR(__xludf.DUMMYFUNCTION("VLOOKUP(F7231, IMPORTRANGE(""https://docs.google.com/spreadsheets/d/1Lhp9OU0JdFf_VYSMzH5lBcEaU4o8teT1piV-SNzShjg/edit?gid=554141278#gid=554141278"", ""'Char Def. - Attributes'!C20:C2242""), 1,false)"),"#N/A")</f>
        <v>#N/A</v>
      </c>
      <c r="I7231" s="136"/>
      <c r="R7231" s="63" t="str">
        <f t="shared" si="60"/>
        <v>ZSI1_BATTERY_ACCUADDTIONAL_SPECIFICATION</v>
      </c>
    </row>
    <row r="7232" ht="15.75" customHeight="1">
      <c r="B7232" s="63">
        <f t="shared" si="1"/>
        <v>17</v>
      </c>
      <c r="C7232" s="135" t="s">
        <v>308</v>
      </c>
      <c r="D7232" s="161" t="s">
        <v>74</v>
      </c>
      <c r="E7232" s="135">
        <f t="shared" si="61"/>
        <v>5</v>
      </c>
      <c r="F7232" s="134" t="s">
        <v>4053</v>
      </c>
      <c r="G7232" s="63" t="str">
        <f>VLOOKUP(C7232, 'Class Def. - General Data'!$C$20:$C$1000,1,false)</f>
        <v>ZSI1_BATTERY_ACCU</v>
      </c>
      <c r="H7232" s="63" t="str">
        <f>IFERROR(__xludf.DUMMYFUNCTION("VLOOKUP(F7232, IMPORTRANGE(""https://docs.google.com/spreadsheets/d/1Lhp9OU0JdFf_VYSMzH5lBcEaU4o8teT1piV-SNzShjg/edit?gid=554141278#gid=554141278"", ""'Char Def. - Attributes'!C20:C2242""), 1,false)"),"MAINTENANCE_ORDER_TYPE")</f>
        <v>MAINTENANCE_ORDER_TYPE</v>
      </c>
      <c r="I7232" s="136"/>
      <c r="R7232" s="63" t="str">
        <f t="shared" si="60"/>
        <v>ZSI1_BATTERY_ACCUMAINTENANCE_ORDER_TYPE</v>
      </c>
    </row>
    <row r="7233" ht="15.75" customHeight="1">
      <c r="B7233" s="63">
        <f t="shared" si="1"/>
        <v>17</v>
      </c>
      <c r="C7233" s="135" t="s">
        <v>308</v>
      </c>
      <c r="D7233" s="161" t="s">
        <v>74</v>
      </c>
      <c r="E7233" s="135">
        <f t="shared" si="61"/>
        <v>6</v>
      </c>
      <c r="F7233" s="134" t="s">
        <v>3585</v>
      </c>
      <c r="G7233" s="63" t="str">
        <f>VLOOKUP(C7233, 'Class Def. - General Data'!$C$20:$C$1000,1,false)</f>
        <v>ZSI1_BATTERY_ACCU</v>
      </c>
      <c r="H7233" s="63" t="str">
        <f>IFERROR(__xludf.DUMMYFUNCTION("VLOOKUP(F7233, IMPORTRANGE(""https://docs.google.com/spreadsheets/d/1Lhp9OU0JdFf_VYSMzH5lBcEaU4o8teT1piV-SNzShjg/edit?gid=554141278#gid=554141278"", ""'Char Def. - Attributes'!C20:C2242""), 1,false)"),"HS_CODE")</f>
        <v>HS_CODE</v>
      </c>
      <c r="I7233" s="136"/>
      <c r="R7233" s="63" t="str">
        <f t="shared" si="60"/>
        <v>ZSI1_BATTERY_ACCUHS_CODE</v>
      </c>
    </row>
    <row r="7234" ht="15.75" customHeight="1">
      <c r="B7234" s="63">
        <f t="shared" si="1"/>
        <v>17</v>
      </c>
      <c r="C7234" s="135" t="s">
        <v>308</v>
      </c>
      <c r="D7234" s="161" t="s">
        <v>74</v>
      </c>
      <c r="E7234" s="135">
        <f t="shared" si="61"/>
        <v>7</v>
      </c>
      <c r="F7234" s="134" t="s">
        <v>3587</v>
      </c>
      <c r="G7234" s="63" t="str">
        <f>VLOOKUP(C7234, 'Class Def. - General Data'!$C$20:$C$1000,1,false)</f>
        <v>ZSI1_BATTERY_ACCU</v>
      </c>
      <c r="H7234" s="63" t="str">
        <f>IFERROR(__xludf.DUMMYFUNCTION("VLOOKUP(F7234, IMPORTRANGE(""https://docs.google.com/spreadsheets/d/1Lhp9OU0JdFf_VYSMzH5lBcEaU4o8teT1piV-SNzShjg/edit?gid=554141278#gid=554141278"", ""'Char Def. - Attributes'!C20:C2242""), 1,false)"),"PLANT_BUY")</f>
        <v>PLANT_BUY</v>
      </c>
      <c r="I7234" s="136"/>
      <c r="R7234" s="63" t="str">
        <f t="shared" si="60"/>
        <v>ZSI1_BATTERY_ACCUPLANT_BUY</v>
      </c>
    </row>
    <row r="7235" ht="15.75" customHeight="1">
      <c r="B7235" s="63">
        <f t="shared" si="1"/>
        <v>17</v>
      </c>
      <c r="C7235" s="135" t="s">
        <v>308</v>
      </c>
      <c r="D7235" s="161" t="s">
        <v>74</v>
      </c>
      <c r="E7235" s="135">
        <f t="shared" si="61"/>
        <v>8</v>
      </c>
      <c r="F7235" s="134" t="s">
        <v>4116</v>
      </c>
      <c r="G7235" s="63" t="str">
        <f>VLOOKUP(C7235, 'Class Def. - General Data'!$C$20:$C$1000,1,false)</f>
        <v>ZSI1_BATTERY_ACCU</v>
      </c>
      <c r="H7235" s="63" t="str">
        <f>IFERROR(__xludf.DUMMYFUNCTION("VLOOKUP(F7235, IMPORTRANGE(""https://docs.google.com/spreadsheets/d/1Lhp9OU0JdFf_VYSMzH5lBcEaU4o8teT1piV-SNzShjg/edit?gid=554141278#gid=554141278"", ""'Char Def. - Attributes'!C20:C2242""), 1,false)"),"BASE_UOM_BATTERY_ACCU")</f>
        <v>BASE_UOM_BATTERY_ACCU</v>
      </c>
      <c r="I7235" s="136"/>
      <c r="R7235" s="63" t="str">
        <f t="shared" si="60"/>
        <v>ZSI1_BATTERY_ACCUBASE_UOM_BATTERY_ACCU</v>
      </c>
    </row>
    <row r="7236" ht="15.75" customHeight="1">
      <c r="B7236" s="63">
        <f t="shared" si="1"/>
        <v>17</v>
      </c>
      <c r="C7236" s="135" t="s">
        <v>308</v>
      </c>
      <c r="D7236" s="161" t="s">
        <v>74</v>
      </c>
      <c r="E7236" s="135">
        <f t="shared" si="61"/>
        <v>9</v>
      </c>
      <c r="F7236" s="134" t="s">
        <v>4117</v>
      </c>
      <c r="G7236" s="63" t="str">
        <f>VLOOKUP(C7236, 'Class Def. - General Data'!$C$20:$C$1000,1,false)</f>
        <v>ZSI1_BATTERY_ACCU</v>
      </c>
      <c r="H7236" s="63" t="str">
        <f>IFERROR(__xludf.DUMMYFUNCTION("VLOOKUP(F7236, IMPORTRANGE(""https://docs.google.com/spreadsheets/d/1Lhp9OU0JdFf_VYSMzH5lBcEaU4o8teT1piV-SNzShjg/edit?gid=554141278#gid=554141278"", ""'Char Def. - Attributes'!C20:C2242""), 1,false)"),"ORDER_UNIT_BATTERY_ACCU")</f>
        <v>ORDER_UNIT_BATTERY_ACCU</v>
      </c>
      <c r="I7236" s="136"/>
      <c r="R7236" s="63" t="str">
        <f t="shared" si="60"/>
        <v>ZSI1_BATTERY_ACCUORDER_UNIT_BATTERY_ACCU</v>
      </c>
    </row>
    <row r="7237" ht="15.75" customHeight="1">
      <c r="B7237" s="63">
        <f t="shared" si="1"/>
        <v>17</v>
      </c>
      <c r="C7237" s="135" t="s">
        <v>308</v>
      </c>
      <c r="D7237" s="161" t="s">
        <v>74</v>
      </c>
      <c r="E7237" s="135">
        <f t="shared" si="61"/>
        <v>10</v>
      </c>
      <c r="F7237" s="134" t="s">
        <v>4056</v>
      </c>
      <c r="G7237" s="63" t="str">
        <f>VLOOKUP(C7237, 'Class Def. - General Data'!$C$20:$C$1000,1,false)</f>
        <v>ZSI1_BATTERY_ACCU</v>
      </c>
      <c r="H7237" s="63" t="str">
        <f>IFERROR(__xludf.DUMMYFUNCTION("VLOOKUP(F7237, IMPORTRANGE(""https://docs.google.com/spreadsheets/d/1Lhp9OU0JdFf_VYSMzH5lBcEaU4o8teT1piV-SNzShjg/edit?gid=554141278#gid=554141278"", ""'Char Def. - Attributes'!C20:C2242""), 1,false)"),"GROSS_WEIGHT_OPT")</f>
        <v>GROSS_WEIGHT_OPT</v>
      </c>
      <c r="I7237" s="136"/>
      <c r="R7237" s="63" t="str">
        <f t="shared" si="60"/>
        <v>ZSI1_BATTERY_ACCUGROSS_WEIGHT_OPT</v>
      </c>
    </row>
    <row r="7238" ht="15.75" customHeight="1">
      <c r="B7238" s="63">
        <f t="shared" si="1"/>
        <v>17</v>
      </c>
      <c r="C7238" s="135" t="s">
        <v>308</v>
      </c>
      <c r="D7238" s="161" t="s">
        <v>74</v>
      </c>
      <c r="E7238" s="135">
        <f t="shared" si="61"/>
        <v>11</v>
      </c>
      <c r="F7238" s="134" t="s">
        <v>4057</v>
      </c>
      <c r="G7238" s="63" t="str">
        <f>VLOOKUP(C7238, 'Class Def. - General Data'!$C$20:$C$1000,1,false)</f>
        <v>ZSI1_BATTERY_ACCU</v>
      </c>
      <c r="H7238" s="63" t="str">
        <f>IFERROR(__xludf.DUMMYFUNCTION("VLOOKUP(F7238, IMPORTRANGE(""https://docs.google.com/spreadsheets/d/1Lhp9OU0JdFf_VYSMzH5lBcEaU4o8teT1piV-SNzShjg/edit?gid=554141278#gid=554141278"", ""'Char Def. - Attributes'!C20:C2242""), 1,false)"),"NET_WEIGHT_OPT")</f>
        <v>NET_WEIGHT_OPT</v>
      </c>
      <c r="I7238" s="136"/>
      <c r="R7238" s="63" t="str">
        <f t="shared" si="60"/>
        <v>ZSI1_BATTERY_ACCUNET_WEIGHT_OPT</v>
      </c>
    </row>
    <row r="7239" ht="15.75" customHeight="1">
      <c r="B7239" s="63">
        <f t="shared" si="1"/>
        <v>17</v>
      </c>
      <c r="C7239" s="135" t="s">
        <v>308</v>
      </c>
      <c r="D7239" s="161" t="s">
        <v>74</v>
      </c>
      <c r="E7239" s="135">
        <f t="shared" si="61"/>
        <v>12</v>
      </c>
      <c r="F7239" s="134" t="s">
        <v>4058</v>
      </c>
      <c r="G7239" s="63" t="str">
        <f>VLOOKUP(C7239, 'Class Def. - General Data'!$C$20:$C$1000,1,false)</f>
        <v>ZSI1_BATTERY_ACCU</v>
      </c>
      <c r="H7239" s="63" t="str">
        <f>IFERROR(__xludf.DUMMYFUNCTION("VLOOKUP(F7239, IMPORTRANGE(""https://docs.google.com/spreadsheets/d/1Lhp9OU0JdFf_VYSMzH5lBcEaU4o8teT1piV-SNzShjg/edit?gid=554141278#gid=554141278"", ""'Char Def. - Attributes'!C20:C2242""), 1,false)"),"WEIGHT_UNIT_SI")</f>
        <v>WEIGHT_UNIT_SI</v>
      </c>
      <c r="I7239" s="136"/>
      <c r="R7239" s="63" t="str">
        <f t="shared" si="60"/>
        <v>ZSI1_BATTERY_ACCUWEIGHT_UNIT_SI</v>
      </c>
    </row>
    <row r="7240" ht="15.75" customHeight="1">
      <c r="B7240" s="63">
        <f t="shared" si="1"/>
        <v>17</v>
      </c>
      <c r="C7240" s="135" t="s">
        <v>308</v>
      </c>
      <c r="D7240" s="161" t="s">
        <v>74</v>
      </c>
      <c r="E7240" s="135">
        <f t="shared" si="61"/>
        <v>13</v>
      </c>
      <c r="F7240" s="134" t="s">
        <v>3877</v>
      </c>
      <c r="G7240" s="63" t="str">
        <f>VLOOKUP(C7240, 'Class Def. - General Data'!$C$20:$C$1000,1,false)</f>
        <v>ZSI1_BATTERY_ACCU</v>
      </c>
      <c r="H7240" s="63" t="str">
        <f>IFERROR(__xludf.DUMMYFUNCTION("VLOOKUP(F7240, IMPORTRANGE(""https://docs.google.com/spreadsheets/d/1Lhp9OU0JdFf_VYSMzH5lBcEaU4o8teT1piV-SNzShjg/edit?gid=554141278#gid=554141278"", ""'Char Def. - Attributes'!C20:C2242""), 1,false)"),"VOLUME_OPT")</f>
        <v>VOLUME_OPT</v>
      </c>
      <c r="I7240" s="136"/>
      <c r="R7240" s="63" t="str">
        <f t="shared" si="60"/>
        <v>ZSI1_BATTERY_ACCUVOLUME_OPT</v>
      </c>
    </row>
    <row r="7241" ht="15.75" customHeight="1">
      <c r="B7241" s="63">
        <f t="shared" si="1"/>
        <v>17</v>
      </c>
      <c r="C7241" s="135" t="s">
        <v>308</v>
      </c>
      <c r="D7241" s="161" t="s">
        <v>74</v>
      </c>
      <c r="E7241" s="135">
        <f t="shared" si="61"/>
        <v>14</v>
      </c>
      <c r="F7241" s="134" t="s">
        <v>4059</v>
      </c>
      <c r="G7241" s="63" t="str">
        <f>VLOOKUP(C7241, 'Class Def. - General Data'!$C$20:$C$1000,1,false)</f>
        <v>ZSI1_BATTERY_ACCU</v>
      </c>
      <c r="H7241" s="63" t="str">
        <f>IFERROR(__xludf.DUMMYFUNCTION("VLOOKUP(F7241, IMPORTRANGE(""https://docs.google.com/spreadsheets/d/1Lhp9OU0JdFf_VYSMzH5lBcEaU4o8teT1piV-SNzShjg/edit?gid=554141278#gid=554141278"", ""'Char Def. - Attributes'!C20:C2242""), 1,false)"),"VOLUME_UNIT_SI")</f>
        <v>VOLUME_UNIT_SI</v>
      </c>
      <c r="I7241" s="136"/>
      <c r="R7241" s="63" t="str">
        <f t="shared" si="60"/>
        <v>ZSI1_BATTERY_ACCUVOLUME_UNIT_SI</v>
      </c>
    </row>
    <row r="7242" ht="15.75" customHeight="1">
      <c r="B7242" s="63">
        <f t="shared" si="1"/>
        <v>17</v>
      </c>
      <c r="C7242" s="135" t="s">
        <v>308</v>
      </c>
      <c r="D7242" s="161" t="s">
        <v>74</v>
      </c>
      <c r="E7242" s="135">
        <f t="shared" si="61"/>
        <v>15</v>
      </c>
      <c r="F7242" s="134" t="s">
        <v>3804</v>
      </c>
      <c r="G7242" s="63" t="str">
        <f>VLOOKUP(C7242, 'Class Def. - General Data'!$C$20:$C$1000,1,false)</f>
        <v>ZSI1_BATTERY_ACCU</v>
      </c>
      <c r="H7242" s="63" t="str">
        <f>IFERROR(__xludf.DUMMYFUNCTION("VLOOKUP(F7242, IMPORTRANGE(""https://docs.google.com/spreadsheets/d/1Lhp9OU0JdFf_VYSMzH5lBcEaU4o8teT1piV-SNzShjg/edit?gid=554141278#gid=554141278"", ""'Char Def. - Attributes'!C20:C2242""), 1,false)"),"ALT_UOM1_SIPI")</f>
        <v>ALT_UOM1_SIPI</v>
      </c>
      <c r="I7242" s="136"/>
      <c r="R7242" s="63" t="str">
        <f t="shared" si="60"/>
        <v>ZSI1_BATTERY_ACCUALT_UOM1_SIPI</v>
      </c>
    </row>
    <row r="7243" ht="15.75" customHeight="1">
      <c r="B7243" s="63">
        <f t="shared" si="1"/>
        <v>17</v>
      </c>
      <c r="C7243" s="135" t="s">
        <v>308</v>
      </c>
      <c r="D7243" s="161" t="s">
        <v>74</v>
      </c>
      <c r="E7243" s="135">
        <f t="shared" si="61"/>
        <v>16</v>
      </c>
      <c r="F7243" s="134" t="s">
        <v>3805</v>
      </c>
      <c r="G7243" s="63" t="str">
        <f>VLOOKUP(C7243, 'Class Def. - General Data'!$C$20:$C$1000,1,false)</f>
        <v>ZSI1_BATTERY_ACCU</v>
      </c>
      <c r="H7243" s="63" t="str">
        <f>IFERROR(__xludf.DUMMYFUNCTION("VLOOKUP(F7243, IMPORTRANGE(""https://docs.google.com/spreadsheets/d/1Lhp9OU0JdFf_VYSMzH5lBcEaU4o8teT1piV-SNzShjg/edit?gid=554141278#gid=554141278"", ""'Char Def. - Attributes'!C20:C2242""), 1,false)"),"ALT_DENUM_UOM1")</f>
        <v>ALT_DENUM_UOM1</v>
      </c>
      <c r="I7243" s="136"/>
      <c r="R7243" s="63" t="str">
        <f t="shared" si="60"/>
        <v>ZSI1_BATTERY_ACCUALT_DENUM_UOM1</v>
      </c>
    </row>
    <row r="7244" ht="15.75" customHeight="1">
      <c r="B7244" s="63">
        <f t="shared" si="1"/>
        <v>17</v>
      </c>
      <c r="C7244" s="135" t="s">
        <v>308</v>
      </c>
      <c r="D7244" s="161" t="s">
        <v>74</v>
      </c>
      <c r="E7244" s="135">
        <f t="shared" si="61"/>
        <v>17</v>
      </c>
      <c r="F7244" s="134" t="s">
        <v>3806</v>
      </c>
      <c r="G7244" s="63" t="str">
        <f>VLOOKUP(C7244, 'Class Def. - General Data'!$C$20:$C$1000,1,false)</f>
        <v>ZSI1_BATTERY_ACCU</v>
      </c>
      <c r="H7244" s="63" t="str">
        <f>IFERROR(__xludf.DUMMYFUNCTION("VLOOKUP(F7244, IMPORTRANGE(""https://docs.google.com/spreadsheets/d/1Lhp9OU0JdFf_VYSMzH5lBcEaU4o8teT1piV-SNzShjg/edit?gid=554141278#gid=554141278"", ""'Char Def. - Attributes'!C20:C2242""), 1,false)"),"ALT_NUM_UOM1")</f>
        <v>ALT_NUM_UOM1</v>
      </c>
      <c r="I7244" s="136"/>
      <c r="R7244" s="63" t="str">
        <f t="shared" si="60"/>
        <v>ZSI1_BATTERY_ACCUALT_NUM_UOM1</v>
      </c>
    </row>
    <row r="7245" ht="15.75" customHeight="1">
      <c r="B7245" s="63">
        <f t="shared" si="1"/>
        <v>17</v>
      </c>
      <c r="C7245" s="135" t="s">
        <v>308</v>
      </c>
      <c r="D7245" s="161" t="s">
        <v>74</v>
      </c>
      <c r="E7245" s="135">
        <f t="shared" si="61"/>
        <v>18</v>
      </c>
      <c r="F7245" s="134" t="s">
        <v>3807</v>
      </c>
      <c r="G7245" s="63" t="str">
        <f>VLOOKUP(C7245, 'Class Def. - General Data'!$C$20:$C$1000,1,false)</f>
        <v>ZSI1_BATTERY_ACCU</v>
      </c>
      <c r="H7245" s="63" t="str">
        <f>IFERROR(__xludf.DUMMYFUNCTION("VLOOKUP(F7245, IMPORTRANGE(""https://docs.google.com/spreadsheets/d/1Lhp9OU0JdFf_VYSMzH5lBcEaU4o8teT1piV-SNzShjg/edit?gid=554141278#gid=554141278"", ""'Char Def. - Attributes'!C20:C2242""), 1,false)"),"ALT_UOM2_SIPI")</f>
        <v>ALT_UOM2_SIPI</v>
      </c>
      <c r="I7245" s="136"/>
      <c r="R7245" s="63" t="str">
        <f t="shared" si="60"/>
        <v>ZSI1_BATTERY_ACCUALT_UOM2_SIPI</v>
      </c>
    </row>
    <row r="7246" ht="15.75" customHeight="1">
      <c r="B7246" s="63">
        <f t="shared" si="1"/>
        <v>17</v>
      </c>
      <c r="C7246" s="135" t="s">
        <v>308</v>
      </c>
      <c r="D7246" s="161" t="s">
        <v>74</v>
      </c>
      <c r="E7246" s="135">
        <f t="shared" si="61"/>
        <v>19</v>
      </c>
      <c r="F7246" s="134" t="s">
        <v>3808</v>
      </c>
      <c r="G7246" s="63" t="str">
        <f>VLOOKUP(C7246, 'Class Def. - General Data'!$C$20:$C$1000,1,false)</f>
        <v>ZSI1_BATTERY_ACCU</v>
      </c>
      <c r="H7246" s="63" t="str">
        <f>IFERROR(__xludf.DUMMYFUNCTION("VLOOKUP(F7246, IMPORTRANGE(""https://docs.google.com/spreadsheets/d/1Lhp9OU0JdFf_VYSMzH5lBcEaU4o8teT1piV-SNzShjg/edit?gid=554141278#gid=554141278"", ""'Char Def. - Attributes'!C20:C2242""), 1,false)"),"ALT_DENUM_UOM2")</f>
        <v>ALT_DENUM_UOM2</v>
      </c>
      <c r="I7246" s="136"/>
      <c r="R7246" s="63" t="str">
        <f t="shared" si="60"/>
        <v>ZSI1_BATTERY_ACCUALT_DENUM_UOM2</v>
      </c>
    </row>
    <row r="7247" ht="15.75" customHeight="1">
      <c r="B7247" s="63">
        <f t="shared" si="1"/>
        <v>17</v>
      </c>
      <c r="C7247" s="135" t="s">
        <v>308</v>
      </c>
      <c r="D7247" s="161" t="s">
        <v>74</v>
      </c>
      <c r="E7247" s="135">
        <f t="shared" si="61"/>
        <v>20</v>
      </c>
      <c r="F7247" s="134" t="s">
        <v>3809</v>
      </c>
      <c r="G7247" s="63" t="str">
        <f>VLOOKUP(C7247, 'Class Def. - General Data'!$C$20:$C$1000,1,false)</f>
        <v>ZSI1_BATTERY_ACCU</v>
      </c>
      <c r="H7247" s="63" t="str">
        <f>IFERROR(__xludf.DUMMYFUNCTION("VLOOKUP(F7247, IMPORTRANGE(""https://docs.google.com/spreadsheets/d/1Lhp9OU0JdFf_VYSMzH5lBcEaU4o8teT1piV-SNzShjg/edit?gid=554141278#gid=554141278"", ""'Char Def. - Attributes'!C20:C2242""), 1,false)"),"ALT_NUM_UOM2")</f>
        <v>ALT_NUM_UOM2</v>
      </c>
      <c r="I7247" s="136"/>
      <c r="R7247" s="63" t="str">
        <f t="shared" si="60"/>
        <v>ZSI1_BATTERY_ACCUALT_NUM_UOM2</v>
      </c>
    </row>
    <row r="7248" ht="15.75" customHeight="1">
      <c r="B7248" s="63">
        <f t="shared" si="1"/>
        <v>17</v>
      </c>
      <c r="C7248" s="135" t="s">
        <v>308</v>
      </c>
      <c r="D7248" s="161" t="s">
        <v>74</v>
      </c>
      <c r="E7248" s="135">
        <f t="shared" si="61"/>
        <v>21</v>
      </c>
      <c r="F7248" s="134" t="s">
        <v>3810</v>
      </c>
      <c r="G7248" s="63" t="str">
        <f>VLOOKUP(C7248, 'Class Def. - General Data'!$C$20:$C$1000,1,false)</f>
        <v>ZSI1_BATTERY_ACCU</v>
      </c>
      <c r="H7248" s="63" t="str">
        <f>IFERROR(__xludf.DUMMYFUNCTION("VLOOKUP(F7248, IMPORTRANGE(""https://docs.google.com/spreadsheets/d/1Lhp9OU0JdFf_VYSMzH5lBcEaU4o8teT1piV-SNzShjg/edit?gid=554141278#gid=554141278"", ""'Char Def. - Attributes'!C20:C2242""), 1,false)"),"ALT_UOM3_SIPI")</f>
        <v>ALT_UOM3_SIPI</v>
      </c>
      <c r="I7248" s="136"/>
      <c r="R7248" s="63" t="str">
        <f t="shared" si="60"/>
        <v>ZSI1_BATTERY_ACCUALT_UOM3_SIPI</v>
      </c>
    </row>
    <row r="7249" ht="15.75" customHeight="1">
      <c r="B7249" s="63">
        <f t="shared" si="1"/>
        <v>17</v>
      </c>
      <c r="C7249" s="135" t="s">
        <v>308</v>
      </c>
      <c r="D7249" s="161" t="s">
        <v>74</v>
      </c>
      <c r="E7249" s="135">
        <f t="shared" si="61"/>
        <v>22</v>
      </c>
      <c r="F7249" s="134" t="s">
        <v>3811</v>
      </c>
      <c r="G7249" s="63" t="str">
        <f>VLOOKUP(C7249, 'Class Def. - General Data'!$C$20:$C$1000,1,false)</f>
        <v>ZSI1_BATTERY_ACCU</v>
      </c>
      <c r="H7249" s="63" t="str">
        <f>IFERROR(__xludf.DUMMYFUNCTION("VLOOKUP(F7249, IMPORTRANGE(""https://docs.google.com/spreadsheets/d/1Lhp9OU0JdFf_VYSMzH5lBcEaU4o8teT1piV-SNzShjg/edit?gid=554141278#gid=554141278"", ""'Char Def. - Attributes'!C20:C2242""), 1,false)"),"ALT_DENUM_UOM3")</f>
        <v>ALT_DENUM_UOM3</v>
      </c>
      <c r="I7249" s="136"/>
      <c r="R7249" s="63" t="str">
        <f t="shared" si="60"/>
        <v>ZSI1_BATTERY_ACCUALT_DENUM_UOM3</v>
      </c>
    </row>
    <row r="7250" ht="15.75" customHeight="1">
      <c r="B7250" s="63">
        <f t="shared" si="1"/>
        <v>17</v>
      </c>
      <c r="C7250" s="135" t="s">
        <v>308</v>
      </c>
      <c r="D7250" s="161" t="s">
        <v>74</v>
      </c>
      <c r="E7250" s="135">
        <f t="shared" si="61"/>
        <v>23</v>
      </c>
      <c r="F7250" s="134" t="s">
        <v>3812</v>
      </c>
      <c r="G7250" s="63" t="str">
        <f>VLOOKUP(C7250, 'Class Def. - General Data'!$C$20:$C$1000,1,false)</f>
        <v>ZSI1_BATTERY_ACCU</v>
      </c>
      <c r="H7250" s="63" t="str">
        <f>IFERROR(__xludf.DUMMYFUNCTION("VLOOKUP(F7250, IMPORTRANGE(""https://docs.google.com/spreadsheets/d/1Lhp9OU0JdFf_VYSMzH5lBcEaU4o8teT1piV-SNzShjg/edit?gid=554141278#gid=554141278"", ""'Char Def. - Attributes'!C20:C2242""), 1,false)"),"ALT_NUM_UOM3")</f>
        <v>ALT_NUM_UOM3</v>
      </c>
      <c r="I7250" s="136"/>
      <c r="R7250" s="63" t="str">
        <f t="shared" si="60"/>
        <v>ZSI1_BATTERY_ACCUALT_NUM_UOM3</v>
      </c>
    </row>
    <row r="7251" ht="15.75" customHeight="1">
      <c r="B7251" s="63">
        <f t="shared" si="1"/>
        <v>17</v>
      </c>
      <c r="C7251" s="135" t="s">
        <v>308</v>
      </c>
      <c r="D7251" s="161" t="s">
        <v>74</v>
      </c>
      <c r="E7251" s="135">
        <f t="shared" si="61"/>
        <v>24</v>
      </c>
      <c r="F7251" s="134" t="s">
        <v>3813</v>
      </c>
      <c r="G7251" s="63" t="str">
        <f>VLOOKUP(C7251, 'Class Def. - General Data'!$C$20:$C$1000,1,false)</f>
        <v>ZSI1_BATTERY_ACCU</v>
      </c>
      <c r="H7251" s="63" t="str">
        <f>IFERROR(__xludf.DUMMYFUNCTION("VLOOKUP(F7251, IMPORTRANGE(""https://docs.google.com/spreadsheets/d/1Lhp9OU0JdFf_VYSMzH5lBcEaU4o8teT1piV-SNzShjg/edit?gid=554141278#gid=554141278"", ""'Char Def. - Attributes'!C20:C2242""), 1,false)"),"ALT_UOM4_SIPI")</f>
        <v>ALT_UOM4_SIPI</v>
      </c>
      <c r="I7251" s="136"/>
      <c r="R7251" s="63" t="str">
        <f t="shared" si="60"/>
        <v>ZSI1_BATTERY_ACCUALT_UOM4_SIPI</v>
      </c>
    </row>
    <row r="7252" ht="15.75" customHeight="1">
      <c r="B7252" s="63">
        <f t="shared" si="1"/>
        <v>17</v>
      </c>
      <c r="C7252" s="135" t="s">
        <v>308</v>
      </c>
      <c r="D7252" s="161" t="s">
        <v>74</v>
      </c>
      <c r="E7252" s="135">
        <f t="shared" si="61"/>
        <v>25</v>
      </c>
      <c r="F7252" s="134" t="s">
        <v>3814</v>
      </c>
      <c r="G7252" s="63" t="str">
        <f>VLOOKUP(C7252, 'Class Def. - General Data'!$C$20:$C$1000,1,false)</f>
        <v>ZSI1_BATTERY_ACCU</v>
      </c>
      <c r="H7252" s="63" t="str">
        <f>IFERROR(__xludf.DUMMYFUNCTION("VLOOKUP(F7252, IMPORTRANGE(""https://docs.google.com/spreadsheets/d/1Lhp9OU0JdFf_VYSMzH5lBcEaU4o8teT1piV-SNzShjg/edit?gid=554141278#gid=554141278"", ""'Char Def. - Attributes'!C20:C2242""), 1,false)"),"ALT_DENUM_UOM4")</f>
        <v>ALT_DENUM_UOM4</v>
      </c>
      <c r="I7252" s="136"/>
      <c r="R7252" s="63" t="str">
        <f t="shared" si="60"/>
        <v>ZSI1_BATTERY_ACCUALT_DENUM_UOM4</v>
      </c>
    </row>
    <row r="7253" ht="15.75" customHeight="1">
      <c r="B7253" s="63">
        <f t="shared" si="1"/>
        <v>17</v>
      </c>
      <c r="C7253" s="135" t="s">
        <v>308</v>
      </c>
      <c r="D7253" s="161" t="s">
        <v>74</v>
      </c>
      <c r="E7253" s="135">
        <f t="shared" si="61"/>
        <v>26</v>
      </c>
      <c r="F7253" s="134" t="s">
        <v>3815</v>
      </c>
      <c r="G7253" s="63" t="str">
        <f>VLOOKUP(C7253, 'Class Def. - General Data'!$C$20:$C$1000,1,false)</f>
        <v>ZSI1_BATTERY_ACCU</v>
      </c>
      <c r="H7253" s="63" t="str">
        <f>IFERROR(__xludf.DUMMYFUNCTION("VLOOKUP(F7253, IMPORTRANGE(""https://docs.google.com/spreadsheets/d/1Lhp9OU0JdFf_VYSMzH5lBcEaU4o8teT1piV-SNzShjg/edit?gid=554141278#gid=554141278"", ""'Char Def. - Attributes'!C20:C2242""), 1,false)"),"ALT_NUM_UOM4")</f>
        <v>ALT_NUM_UOM4</v>
      </c>
      <c r="I7253" s="136"/>
      <c r="R7253" s="63" t="str">
        <f t="shared" si="60"/>
        <v>ZSI1_BATTERY_ACCUALT_NUM_UOM4</v>
      </c>
    </row>
    <row r="7254" ht="15.75" customHeight="1">
      <c r="B7254" s="63">
        <f t="shared" si="1"/>
        <v>17</v>
      </c>
      <c r="C7254" s="135" t="s">
        <v>308</v>
      </c>
      <c r="D7254" s="161" t="s">
        <v>74</v>
      </c>
      <c r="E7254" s="135">
        <f t="shared" si="61"/>
        <v>27</v>
      </c>
      <c r="F7254" s="134" t="s">
        <v>3816</v>
      </c>
      <c r="G7254" s="63" t="str">
        <f>VLOOKUP(C7254, 'Class Def. - General Data'!$C$20:$C$1000,1,false)</f>
        <v>ZSI1_BATTERY_ACCU</v>
      </c>
      <c r="H7254" s="63" t="str">
        <f>IFERROR(__xludf.DUMMYFUNCTION("VLOOKUP(F7254, IMPORTRANGE(""https://docs.google.com/spreadsheets/d/1Lhp9OU0JdFf_VYSMzH5lBcEaU4o8teT1piV-SNzShjg/edit?gid=554141278#gid=554141278"", ""'Char Def. - Attributes'!C20:C2242""), 1,false)"),"ALT_UOM5_SIPI")</f>
        <v>ALT_UOM5_SIPI</v>
      </c>
      <c r="I7254" s="136"/>
      <c r="R7254" s="63" t="str">
        <f t="shared" si="60"/>
        <v>ZSI1_BATTERY_ACCUALT_UOM5_SIPI</v>
      </c>
    </row>
    <row r="7255" ht="15.75" customHeight="1">
      <c r="B7255" s="63">
        <f t="shared" si="1"/>
        <v>17</v>
      </c>
      <c r="C7255" s="135" t="s">
        <v>308</v>
      </c>
      <c r="D7255" s="161" t="s">
        <v>74</v>
      </c>
      <c r="E7255" s="135">
        <f t="shared" si="61"/>
        <v>28</v>
      </c>
      <c r="F7255" s="134" t="s">
        <v>3817</v>
      </c>
      <c r="G7255" s="63" t="str">
        <f>VLOOKUP(C7255, 'Class Def. - General Data'!$C$20:$C$1000,1,false)</f>
        <v>ZSI1_BATTERY_ACCU</v>
      </c>
      <c r="H7255" s="63" t="str">
        <f>IFERROR(__xludf.DUMMYFUNCTION("VLOOKUP(F7255, IMPORTRANGE(""https://docs.google.com/spreadsheets/d/1Lhp9OU0JdFf_VYSMzH5lBcEaU4o8teT1piV-SNzShjg/edit?gid=554141278#gid=554141278"", ""'Char Def. - Attributes'!C20:C2242""), 1,false)"),"ALT_DENUM_UOM5")</f>
        <v>ALT_DENUM_UOM5</v>
      </c>
      <c r="I7255" s="136"/>
      <c r="R7255" s="63" t="str">
        <f t="shared" si="60"/>
        <v>ZSI1_BATTERY_ACCUALT_DENUM_UOM5</v>
      </c>
    </row>
    <row r="7256" ht="15.75" customHeight="1">
      <c r="B7256" s="63">
        <f t="shared" si="1"/>
        <v>17</v>
      </c>
      <c r="C7256" s="135" t="s">
        <v>308</v>
      </c>
      <c r="D7256" s="161" t="s">
        <v>74</v>
      </c>
      <c r="E7256" s="135">
        <f t="shared" si="61"/>
        <v>29</v>
      </c>
      <c r="F7256" s="134" t="s">
        <v>3818</v>
      </c>
      <c r="G7256" s="63" t="str">
        <f>VLOOKUP(C7256, 'Class Def. - General Data'!$C$20:$C$1000,1,false)</f>
        <v>ZSI1_BATTERY_ACCU</v>
      </c>
      <c r="H7256" s="63" t="str">
        <f>IFERROR(__xludf.DUMMYFUNCTION("VLOOKUP(F7256, IMPORTRANGE(""https://docs.google.com/spreadsheets/d/1Lhp9OU0JdFf_VYSMzH5lBcEaU4o8teT1piV-SNzShjg/edit?gid=554141278#gid=554141278"", ""'Char Def. - Attributes'!C20:C2242""), 1,false)"),"ALT_NUM_UOM5")</f>
        <v>ALT_NUM_UOM5</v>
      </c>
      <c r="I7256" s="136"/>
      <c r="R7256" s="63" t="str">
        <f t="shared" si="60"/>
        <v>ZSI1_BATTERY_ACCUALT_NUM_UOM5</v>
      </c>
    </row>
    <row r="7257" ht="15.75" customHeight="1">
      <c r="B7257" s="63">
        <f t="shared" si="1"/>
        <v>12</v>
      </c>
      <c r="C7257" s="135" t="s">
        <v>296</v>
      </c>
      <c r="D7257" s="161" t="s">
        <v>74</v>
      </c>
      <c r="E7257" s="135">
        <f t="shared" si="61"/>
        <v>1</v>
      </c>
      <c r="F7257" s="134" t="s">
        <v>4118</v>
      </c>
      <c r="G7257" s="63" t="str">
        <f>VLOOKUP(C7257, 'Class Def. - General Data'!$C$20:$C$1000,1,false)</f>
        <v>ZSI1_BEARING</v>
      </c>
      <c r="H7257" s="63" t="str">
        <f>IFERROR(__xludf.DUMMYFUNCTION("VLOOKUP(F7257, IMPORTRANGE(""https://docs.google.com/spreadsheets/d/1Lhp9OU0JdFf_VYSMzH5lBcEaU4o8teT1piV-SNzShjg/edit?gid=554141278#gid=554141278"", ""'Char Def. - Attributes'!C20:C2242""), 1,false)"),"ITEM_NAME_BEARING")</f>
        <v>ITEM_NAME_BEARING</v>
      </c>
      <c r="I7257" s="136"/>
      <c r="R7257" s="63" t="str">
        <f t="shared" si="60"/>
        <v>ZSI1_BEARINGITEM_NAME_BEARING</v>
      </c>
    </row>
    <row r="7258" ht="15.75" customHeight="1">
      <c r="B7258" s="63">
        <f t="shared" si="1"/>
        <v>12</v>
      </c>
      <c r="C7258" s="135" t="s">
        <v>296</v>
      </c>
      <c r="D7258" s="161" t="s">
        <v>74</v>
      </c>
      <c r="E7258" s="135">
        <f t="shared" si="61"/>
        <v>2</v>
      </c>
      <c r="F7258" s="134" t="s">
        <v>4119</v>
      </c>
      <c r="G7258" s="63" t="str">
        <f>VLOOKUP(C7258, 'Class Def. - General Data'!$C$20:$C$1000,1,false)</f>
        <v>ZSI1_BEARING</v>
      </c>
      <c r="H7258" s="63" t="str">
        <f>IFERROR(__xludf.DUMMYFUNCTION("VLOOKUP(F7258, IMPORTRANGE(""https://docs.google.com/spreadsheets/d/1Lhp9OU0JdFf_VYSMzH5lBcEaU4o8teT1piV-SNzShjg/edit?gid=554141278#gid=554141278"", ""'Char Def. - Attributes'!C20:C2242""), 1,false)"),"MFR_NO_BEARING")</f>
        <v>MFR_NO_BEARING</v>
      </c>
      <c r="I7258" s="136"/>
      <c r="R7258" s="63" t="str">
        <f t="shared" si="60"/>
        <v>ZSI1_BEARINGMFR_NO_BEARING</v>
      </c>
    </row>
    <row r="7259" ht="15.75" customHeight="1">
      <c r="B7259" s="63">
        <f t="shared" si="1"/>
        <v>12</v>
      </c>
      <c r="C7259" s="135" t="s">
        <v>296</v>
      </c>
      <c r="D7259" s="161" t="s">
        <v>74</v>
      </c>
      <c r="E7259" s="135">
        <f t="shared" si="61"/>
        <v>3</v>
      </c>
      <c r="F7259" s="134" t="s">
        <v>3782</v>
      </c>
      <c r="G7259" s="63" t="str">
        <f>VLOOKUP(C7259, 'Class Def. - General Data'!$C$20:$C$1000,1,false)</f>
        <v>ZSI1_BEARING</v>
      </c>
      <c r="H7259" s="63" t="str">
        <f>IFERROR(__xludf.DUMMYFUNCTION("VLOOKUP(F7259, IMPORTRANGE(""https://docs.google.com/spreadsheets/d/1Lhp9OU0JdFf_VYSMzH5lBcEaU4o8teT1piV-SNzShjg/edit?gid=554141278#gid=554141278"", ""'Char Def. - Attributes'!C20:C2242""), 1,false)"),"BRAND_EXTERNAL")</f>
        <v>BRAND_EXTERNAL</v>
      </c>
      <c r="I7259" s="136"/>
      <c r="R7259" s="63" t="str">
        <f t="shared" si="60"/>
        <v>ZSI1_BEARINGBRAND_EXTERNAL</v>
      </c>
    </row>
    <row r="7260" ht="15.75" customHeight="1">
      <c r="B7260" s="63">
        <f t="shared" si="1"/>
        <v>12</v>
      </c>
      <c r="C7260" s="135" t="s">
        <v>296</v>
      </c>
      <c r="D7260" s="161" t="s">
        <v>74</v>
      </c>
      <c r="E7260" s="135">
        <f t="shared" si="61"/>
        <v>4</v>
      </c>
      <c r="F7260" s="134" t="s">
        <v>4062</v>
      </c>
      <c r="G7260" s="63" t="str">
        <f>VLOOKUP(C7260, 'Class Def. - General Data'!$C$20:$C$1000,1,false)</f>
        <v>ZSI1_BEARING</v>
      </c>
      <c r="H7260" s="63" t="str">
        <f>IFERROR(__xludf.DUMMYFUNCTION("VLOOKUP(F7260, IMPORTRANGE(""https://docs.google.com/spreadsheets/d/1Lhp9OU0JdFf_VYSMzH5lBcEaU4o8teT1piV-SNzShjg/edit?gid=554141278#gid=554141278"", ""'Char Def. - Attributes'!C20:C2242""), 1,false)"),"#N/A")</f>
        <v>#N/A</v>
      </c>
      <c r="I7260" s="136"/>
      <c r="R7260" s="63" t="str">
        <f t="shared" si="60"/>
        <v>ZSI1_BEARINGADDTIONAL_SPECIFICATION</v>
      </c>
    </row>
    <row r="7261" ht="15.75" customHeight="1">
      <c r="B7261" s="63">
        <f t="shared" si="1"/>
        <v>12</v>
      </c>
      <c r="C7261" s="135" t="s">
        <v>296</v>
      </c>
      <c r="D7261" s="161" t="s">
        <v>74</v>
      </c>
      <c r="E7261" s="135">
        <f t="shared" si="61"/>
        <v>5</v>
      </c>
      <c r="F7261" s="134" t="s">
        <v>4053</v>
      </c>
      <c r="G7261" s="63" t="str">
        <f>VLOOKUP(C7261, 'Class Def. - General Data'!$C$20:$C$1000,1,false)</f>
        <v>ZSI1_BEARING</v>
      </c>
      <c r="H7261" s="63" t="str">
        <f>IFERROR(__xludf.DUMMYFUNCTION("VLOOKUP(F7261, IMPORTRANGE(""https://docs.google.com/spreadsheets/d/1Lhp9OU0JdFf_VYSMzH5lBcEaU4o8teT1piV-SNzShjg/edit?gid=554141278#gid=554141278"", ""'Char Def. - Attributes'!C20:C2242""), 1,false)"),"MAINTENANCE_ORDER_TYPE")</f>
        <v>MAINTENANCE_ORDER_TYPE</v>
      </c>
      <c r="I7261" s="136"/>
      <c r="R7261" s="63" t="str">
        <f t="shared" si="60"/>
        <v>ZSI1_BEARINGMAINTENANCE_ORDER_TYPE</v>
      </c>
    </row>
    <row r="7262" ht="15.75" customHeight="1">
      <c r="B7262" s="63">
        <f t="shared" si="1"/>
        <v>12</v>
      </c>
      <c r="C7262" s="135" t="s">
        <v>296</v>
      </c>
      <c r="D7262" s="161" t="s">
        <v>74</v>
      </c>
      <c r="E7262" s="135">
        <f t="shared" si="61"/>
        <v>6</v>
      </c>
      <c r="F7262" s="134" t="s">
        <v>3585</v>
      </c>
      <c r="G7262" s="63" t="str">
        <f>VLOOKUP(C7262, 'Class Def. - General Data'!$C$20:$C$1000,1,false)</f>
        <v>ZSI1_BEARING</v>
      </c>
      <c r="H7262" s="63" t="str">
        <f>IFERROR(__xludf.DUMMYFUNCTION("VLOOKUP(F7262, IMPORTRANGE(""https://docs.google.com/spreadsheets/d/1Lhp9OU0JdFf_VYSMzH5lBcEaU4o8teT1piV-SNzShjg/edit?gid=554141278#gid=554141278"", ""'Char Def. - Attributes'!C20:C2242""), 1,false)"),"HS_CODE")</f>
        <v>HS_CODE</v>
      </c>
      <c r="I7262" s="136"/>
      <c r="R7262" s="63" t="str">
        <f t="shared" si="60"/>
        <v>ZSI1_BEARINGHS_CODE</v>
      </c>
    </row>
    <row r="7263" ht="15.75" customHeight="1">
      <c r="B7263" s="63">
        <f t="shared" si="1"/>
        <v>12</v>
      </c>
      <c r="C7263" s="135" t="s">
        <v>296</v>
      </c>
      <c r="D7263" s="161" t="s">
        <v>74</v>
      </c>
      <c r="E7263" s="135">
        <f t="shared" si="61"/>
        <v>7</v>
      </c>
      <c r="F7263" s="134" t="s">
        <v>3587</v>
      </c>
      <c r="G7263" s="63" t="str">
        <f>VLOOKUP(C7263, 'Class Def. - General Data'!$C$20:$C$1000,1,false)</f>
        <v>ZSI1_BEARING</v>
      </c>
      <c r="H7263" s="63" t="str">
        <f>IFERROR(__xludf.DUMMYFUNCTION("VLOOKUP(F7263, IMPORTRANGE(""https://docs.google.com/spreadsheets/d/1Lhp9OU0JdFf_VYSMzH5lBcEaU4o8teT1piV-SNzShjg/edit?gid=554141278#gid=554141278"", ""'Char Def. - Attributes'!C20:C2242""), 1,false)"),"PLANT_BUY")</f>
        <v>PLANT_BUY</v>
      </c>
      <c r="I7263" s="136"/>
      <c r="R7263" s="63" t="str">
        <f t="shared" si="60"/>
        <v>ZSI1_BEARINGPLANT_BUY</v>
      </c>
    </row>
    <row r="7264" ht="15.75" customHeight="1">
      <c r="B7264" s="63">
        <f t="shared" si="1"/>
        <v>12</v>
      </c>
      <c r="C7264" s="135" t="s">
        <v>296</v>
      </c>
      <c r="D7264" s="161" t="s">
        <v>74</v>
      </c>
      <c r="E7264" s="135">
        <f t="shared" si="61"/>
        <v>8</v>
      </c>
      <c r="F7264" s="134" t="s">
        <v>4120</v>
      </c>
      <c r="G7264" s="63" t="str">
        <f>VLOOKUP(C7264, 'Class Def. - General Data'!$C$20:$C$1000,1,false)</f>
        <v>ZSI1_BEARING</v>
      </c>
      <c r="H7264" s="63" t="str">
        <f>IFERROR(__xludf.DUMMYFUNCTION("VLOOKUP(F7264, IMPORTRANGE(""https://docs.google.com/spreadsheets/d/1Lhp9OU0JdFf_VYSMzH5lBcEaU4o8teT1piV-SNzShjg/edit?gid=554141278#gid=554141278"", ""'Char Def. - Attributes'!C20:C2242""), 1,false)"),"BASE_UOM_BEARING")</f>
        <v>BASE_UOM_BEARING</v>
      </c>
      <c r="I7264" s="136"/>
      <c r="R7264" s="63" t="str">
        <f t="shared" si="60"/>
        <v>ZSI1_BEARINGBASE_UOM_BEARING</v>
      </c>
    </row>
    <row r="7265" ht="15.75" customHeight="1">
      <c r="B7265" s="63">
        <f t="shared" si="1"/>
        <v>12</v>
      </c>
      <c r="C7265" s="135" t="s">
        <v>296</v>
      </c>
      <c r="D7265" s="161" t="s">
        <v>74</v>
      </c>
      <c r="E7265" s="135">
        <f t="shared" si="61"/>
        <v>9</v>
      </c>
      <c r="F7265" s="134" t="s">
        <v>4121</v>
      </c>
      <c r="G7265" s="63" t="str">
        <f>VLOOKUP(C7265, 'Class Def. - General Data'!$C$20:$C$1000,1,false)</f>
        <v>ZSI1_BEARING</v>
      </c>
      <c r="H7265" s="63" t="str">
        <f>IFERROR(__xludf.DUMMYFUNCTION("VLOOKUP(F7265, IMPORTRANGE(""https://docs.google.com/spreadsheets/d/1Lhp9OU0JdFf_VYSMzH5lBcEaU4o8teT1piV-SNzShjg/edit?gid=554141278#gid=554141278"", ""'Char Def. - Attributes'!C20:C2242""), 1,false)"),"ORDER_UNIT_BEARING")</f>
        <v>ORDER_UNIT_BEARING</v>
      </c>
      <c r="I7265" s="136"/>
      <c r="R7265" s="63" t="str">
        <f t="shared" si="60"/>
        <v>ZSI1_BEARINGORDER_UNIT_BEARING</v>
      </c>
    </row>
    <row r="7266" ht="15.75" customHeight="1">
      <c r="B7266" s="63">
        <f t="shared" si="1"/>
        <v>12</v>
      </c>
      <c r="C7266" s="135" t="s">
        <v>296</v>
      </c>
      <c r="D7266" s="161" t="s">
        <v>74</v>
      </c>
      <c r="E7266" s="135">
        <f t="shared" si="61"/>
        <v>10</v>
      </c>
      <c r="F7266" s="134" t="s">
        <v>4056</v>
      </c>
      <c r="G7266" s="63" t="str">
        <f>VLOOKUP(C7266, 'Class Def. - General Data'!$C$20:$C$1000,1,false)</f>
        <v>ZSI1_BEARING</v>
      </c>
      <c r="H7266" s="63" t="str">
        <f>IFERROR(__xludf.DUMMYFUNCTION("VLOOKUP(F7266, IMPORTRANGE(""https://docs.google.com/spreadsheets/d/1Lhp9OU0JdFf_VYSMzH5lBcEaU4o8teT1piV-SNzShjg/edit?gid=554141278#gid=554141278"", ""'Char Def. - Attributes'!C20:C2242""), 1,false)"),"GROSS_WEIGHT_OPT")</f>
        <v>GROSS_WEIGHT_OPT</v>
      </c>
      <c r="I7266" s="136"/>
      <c r="R7266" s="63" t="str">
        <f t="shared" si="60"/>
        <v>ZSI1_BEARINGGROSS_WEIGHT_OPT</v>
      </c>
    </row>
    <row r="7267" ht="15.75" customHeight="1">
      <c r="B7267" s="63">
        <f t="shared" si="1"/>
        <v>12</v>
      </c>
      <c r="C7267" s="135" t="s">
        <v>296</v>
      </c>
      <c r="D7267" s="161" t="s">
        <v>74</v>
      </c>
      <c r="E7267" s="135">
        <f t="shared" si="61"/>
        <v>11</v>
      </c>
      <c r="F7267" s="134" t="s">
        <v>4057</v>
      </c>
      <c r="G7267" s="63" t="str">
        <f>VLOOKUP(C7267, 'Class Def. - General Data'!$C$20:$C$1000,1,false)</f>
        <v>ZSI1_BEARING</v>
      </c>
      <c r="H7267" s="63" t="str">
        <f>IFERROR(__xludf.DUMMYFUNCTION("VLOOKUP(F7267, IMPORTRANGE(""https://docs.google.com/spreadsheets/d/1Lhp9OU0JdFf_VYSMzH5lBcEaU4o8teT1piV-SNzShjg/edit?gid=554141278#gid=554141278"", ""'Char Def. - Attributes'!C20:C2242""), 1,false)"),"NET_WEIGHT_OPT")</f>
        <v>NET_WEIGHT_OPT</v>
      </c>
      <c r="I7267" s="136"/>
      <c r="R7267" s="63" t="str">
        <f t="shared" si="60"/>
        <v>ZSI1_BEARINGNET_WEIGHT_OPT</v>
      </c>
    </row>
    <row r="7268" ht="15.75" customHeight="1">
      <c r="B7268" s="63">
        <f t="shared" si="1"/>
        <v>12</v>
      </c>
      <c r="C7268" s="135" t="s">
        <v>296</v>
      </c>
      <c r="D7268" s="161" t="s">
        <v>74</v>
      </c>
      <c r="E7268" s="135">
        <f t="shared" si="61"/>
        <v>12</v>
      </c>
      <c r="F7268" s="134" t="s">
        <v>4058</v>
      </c>
      <c r="G7268" s="63" t="str">
        <f>VLOOKUP(C7268, 'Class Def. - General Data'!$C$20:$C$1000,1,false)</f>
        <v>ZSI1_BEARING</v>
      </c>
      <c r="H7268" s="63" t="str">
        <f>IFERROR(__xludf.DUMMYFUNCTION("VLOOKUP(F7268, IMPORTRANGE(""https://docs.google.com/spreadsheets/d/1Lhp9OU0JdFf_VYSMzH5lBcEaU4o8teT1piV-SNzShjg/edit?gid=554141278#gid=554141278"", ""'Char Def. - Attributes'!C20:C2242""), 1,false)"),"WEIGHT_UNIT_SI")</f>
        <v>WEIGHT_UNIT_SI</v>
      </c>
      <c r="I7268" s="136"/>
      <c r="R7268" s="63" t="str">
        <f t="shared" si="60"/>
        <v>ZSI1_BEARINGWEIGHT_UNIT_SI</v>
      </c>
    </row>
    <row r="7269" ht="15.75" customHeight="1">
      <c r="B7269" s="63">
        <f t="shared" si="1"/>
        <v>12</v>
      </c>
      <c r="C7269" s="135" t="s">
        <v>296</v>
      </c>
      <c r="D7269" s="161" t="s">
        <v>74</v>
      </c>
      <c r="E7269" s="135">
        <f t="shared" si="61"/>
        <v>13</v>
      </c>
      <c r="F7269" s="134" t="s">
        <v>3877</v>
      </c>
      <c r="G7269" s="63" t="str">
        <f>VLOOKUP(C7269, 'Class Def. - General Data'!$C$20:$C$1000,1,false)</f>
        <v>ZSI1_BEARING</v>
      </c>
      <c r="H7269" s="63" t="str">
        <f>IFERROR(__xludf.DUMMYFUNCTION("VLOOKUP(F7269, IMPORTRANGE(""https://docs.google.com/spreadsheets/d/1Lhp9OU0JdFf_VYSMzH5lBcEaU4o8teT1piV-SNzShjg/edit?gid=554141278#gid=554141278"", ""'Char Def. - Attributes'!C20:C2242""), 1,false)"),"VOLUME_OPT")</f>
        <v>VOLUME_OPT</v>
      </c>
      <c r="I7269" s="136"/>
      <c r="R7269" s="63" t="str">
        <f t="shared" si="60"/>
        <v>ZSI1_BEARINGVOLUME_OPT</v>
      </c>
    </row>
    <row r="7270" ht="15.75" customHeight="1">
      <c r="B7270" s="63">
        <f t="shared" si="1"/>
        <v>12</v>
      </c>
      <c r="C7270" s="135" t="s">
        <v>296</v>
      </c>
      <c r="D7270" s="161" t="s">
        <v>74</v>
      </c>
      <c r="E7270" s="135">
        <f t="shared" si="61"/>
        <v>14</v>
      </c>
      <c r="F7270" s="134" t="s">
        <v>4059</v>
      </c>
      <c r="G7270" s="63" t="str">
        <f>VLOOKUP(C7270, 'Class Def. - General Data'!$C$20:$C$1000,1,false)</f>
        <v>ZSI1_BEARING</v>
      </c>
      <c r="H7270" s="63" t="str">
        <f>IFERROR(__xludf.DUMMYFUNCTION("VLOOKUP(F7270, IMPORTRANGE(""https://docs.google.com/spreadsheets/d/1Lhp9OU0JdFf_VYSMzH5lBcEaU4o8teT1piV-SNzShjg/edit?gid=554141278#gid=554141278"", ""'Char Def. - Attributes'!C20:C2242""), 1,false)"),"VOLUME_UNIT_SI")</f>
        <v>VOLUME_UNIT_SI</v>
      </c>
      <c r="I7270" s="136"/>
      <c r="R7270" s="63" t="str">
        <f t="shared" si="60"/>
        <v>ZSI1_BEARINGVOLUME_UNIT_SI</v>
      </c>
    </row>
    <row r="7271" ht="15.75" customHeight="1">
      <c r="B7271" s="63">
        <f t="shared" si="1"/>
        <v>12</v>
      </c>
      <c r="C7271" s="135" t="s">
        <v>296</v>
      </c>
      <c r="D7271" s="161" t="s">
        <v>74</v>
      </c>
      <c r="E7271" s="135">
        <f t="shared" si="61"/>
        <v>15</v>
      </c>
      <c r="F7271" s="134" t="s">
        <v>3804</v>
      </c>
      <c r="G7271" s="63" t="str">
        <f>VLOOKUP(C7271, 'Class Def. - General Data'!$C$20:$C$1000,1,false)</f>
        <v>ZSI1_BEARING</v>
      </c>
      <c r="H7271" s="63" t="str">
        <f>IFERROR(__xludf.DUMMYFUNCTION("VLOOKUP(F7271, IMPORTRANGE(""https://docs.google.com/spreadsheets/d/1Lhp9OU0JdFf_VYSMzH5lBcEaU4o8teT1piV-SNzShjg/edit?gid=554141278#gid=554141278"", ""'Char Def. - Attributes'!C20:C2242""), 1,false)"),"ALT_UOM1_SIPI")</f>
        <v>ALT_UOM1_SIPI</v>
      </c>
      <c r="I7271" s="136"/>
      <c r="R7271" s="63" t="str">
        <f t="shared" si="60"/>
        <v>ZSI1_BEARINGALT_UOM1_SIPI</v>
      </c>
    </row>
    <row r="7272" ht="15.75" customHeight="1">
      <c r="B7272" s="63">
        <f t="shared" si="1"/>
        <v>12</v>
      </c>
      <c r="C7272" s="135" t="s">
        <v>296</v>
      </c>
      <c r="D7272" s="161" t="s">
        <v>74</v>
      </c>
      <c r="E7272" s="135">
        <f t="shared" si="61"/>
        <v>16</v>
      </c>
      <c r="F7272" s="134" t="s">
        <v>3805</v>
      </c>
      <c r="G7272" s="63" t="str">
        <f>VLOOKUP(C7272, 'Class Def. - General Data'!$C$20:$C$1000,1,false)</f>
        <v>ZSI1_BEARING</v>
      </c>
      <c r="H7272" s="63" t="str">
        <f>IFERROR(__xludf.DUMMYFUNCTION("VLOOKUP(F7272, IMPORTRANGE(""https://docs.google.com/spreadsheets/d/1Lhp9OU0JdFf_VYSMzH5lBcEaU4o8teT1piV-SNzShjg/edit?gid=554141278#gid=554141278"", ""'Char Def. - Attributes'!C20:C2242""), 1,false)"),"ALT_DENUM_UOM1")</f>
        <v>ALT_DENUM_UOM1</v>
      </c>
      <c r="I7272" s="136"/>
      <c r="R7272" s="63" t="str">
        <f t="shared" si="60"/>
        <v>ZSI1_BEARINGALT_DENUM_UOM1</v>
      </c>
    </row>
    <row r="7273" ht="15.75" customHeight="1">
      <c r="B7273" s="63">
        <f t="shared" si="1"/>
        <v>12</v>
      </c>
      <c r="C7273" s="135" t="s">
        <v>296</v>
      </c>
      <c r="D7273" s="161" t="s">
        <v>74</v>
      </c>
      <c r="E7273" s="135">
        <f t="shared" si="61"/>
        <v>17</v>
      </c>
      <c r="F7273" s="134" t="s">
        <v>3806</v>
      </c>
      <c r="G7273" s="63" t="str">
        <f>VLOOKUP(C7273, 'Class Def. - General Data'!$C$20:$C$1000,1,false)</f>
        <v>ZSI1_BEARING</v>
      </c>
      <c r="H7273" s="63" t="str">
        <f>IFERROR(__xludf.DUMMYFUNCTION("VLOOKUP(F7273, IMPORTRANGE(""https://docs.google.com/spreadsheets/d/1Lhp9OU0JdFf_VYSMzH5lBcEaU4o8teT1piV-SNzShjg/edit?gid=554141278#gid=554141278"", ""'Char Def. - Attributes'!C20:C2242""), 1,false)"),"ALT_NUM_UOM1")</f>
        <v>ALT_NUM_UOM1</v>
      </c>
      <c r="I7273" s="136"/>
      <c r="R7273" s="63" t="str">
        <f t="shared" si="60"/>
        <v>ZSI1_BEARINGALT_NUM_UOM1</v>
      </c>
    </row>
    <row r="7274" ht="15.75" customHeight="1">
      <c r="B7274" s="63">
        <f t="shared" si="1"/>
        <v>12</v>
      </c>
      <c r="C7274" s="135" t="s">
        <v>296</v>
      </c>
      <c r="D7274" s="161" t="s">
        <v>74</v>
      </c>
      <c r="E7274" s="135">
        <f t="shared" si="61"/>
        <v>18</v>
      </c>
      <c r="F7274" s="134" t="s">
        <v>3807</v>
      </c>
      <c r="G7274" s="63" t="str">
        <f>VLOOKUP(C7274, 'Class Def. - General Data'!$C$20:$C$1000,1,false)</f>
        <v>ZSI1_BEARING</v>
      </c>
      <c r="H7274" s="63" t="str">
        <f>IFERROR(__xludf.DUMMYFUNCTION("VLOOKUP(F7274, IMPORTRANGE(""https://docs.google.com/spreadsheets/d/1Lhp9OU0JdFf_VYSMzH5lBcEaU4o8teT1piV-SNzShjg/edit?gid=554141278#gid=554141278"", ""'Char Def. - Attributes'!C20:C2242""), 1,false)"),"ALT_UOM2_SIPI")</f>
        <v>ALT_UOM2_SIPI</v>
      </c>
      <c r="I7274" s="136"/>
      <c r="R7274" s="63" t="str">
        <f t="shared" si="60"/>
        <v>ZSI1_BEARINGALT_UOM2_SIPI</v>
      </c>
    </row>
    <row r="7275" ht="15.75" customHeight="1">
      <c r="B7275" s="63">
        <f t="shared" si="1"/>
        <v>12</v>
      </c>
      <c r="C7275" s="135" t="s">
        <v>296</v>
      </c>
      <c r="D7275" s="161" t="s">
        <v>74</v>
      </c>
      <c r="E7275" s="135">
        <f t="shared" si="61"/>
        <v>19</v>
      </c>
      <c r="F7275" s="134" t="s">
        <v>3808</v>
      </c>
      <c r="G7275" s="63" t="str">
        <f>VLOOKUP(C7275, 'Class Def. - General Data'!$C$20:$C$1000,1,false)</f>
        <v>ZSI1_BEARING</v>
      </c>
      <c r="H7275" s="63" t="str">
        <f>IFERROR(__xludf.DUMMYFUNCTION("VLOOKUP(F7275, IMPORTRANGE(""https://docs.google.com/spreadsheets/d/1Lhp9OU0JdFf_VYSMzH5lBcEaU4o8teT1piV-SNzShjg/edit?gid=554141278#gid=554141278"", ""'Char Def. - Attributes'!C20:C2242""), 1,false)"),"ALT_DENUM_UOM2")</f>
        <v>ALT_DENUM_UOM2</v>
      </c>
      <c r="I7275" s="136"/>
      <c r="R7275" s="63" t="str">
        <f t="shared" si="60"/>
        <v>ZSI1_BEARINGALT_DENUM_UOM2</v>
      </c>
    </row>
    <row r="7276" ht="15.75" customHeight="1">
      <c r="B7276" s="63">
        <f t="shared" si="1"/>
        <v>12</v>
      </c>
      <c r="C7276" s="135" t="s">
        <v>296</v>
      </c>
      <c r="D7276" s="161" t="s">
        <v>74</v>
      </c>
      <c r="E7276" s="135">
        <f t="shared" si="61"/>
        <v>20</v>
      </c>
      <c r="F7276" s="134" t="s">
        <v>3809</v>
      </c>
      <c r="G7276" s="63" t="str">
        <f>VLOOKUP(C7276, 'Class Def. - General Data'!$C$20:$C$1000,1,false)</f>
        <v>ZSI1_BEARING</v>
      </c>
      <c r="H7276" s="63" t="str">
        <f>IFERROR(__xludf.DUMMYFUNCTION("VLOOKUP(F7276, IMPORTRANGE(""https://docs.google.com/spreadsheets/d/1Lhp9OU0JdFf_VYSMzH5lBcEaU4o8teT1piV-SNzShjg/edit?gid=554141278#gid=554141278"", ""'Char Def. - Attributes'!C20:C2242""), 1,false)"),"ALT_NUM_UOM2")</f>
        <v>ALT_NUM_UOM2</v>
      </c>
      <c r="I7276" s="136"/>
      <c r="R7276" s="63" t="str">
        <f t="shared" si="60"/>
        <v>ZSI1_BEARINGALT_NUM_UOM2</v>
      </c>
    </row>
    <row r="7277" ht="15.75" customHeight="1">
      <c r="B7277" s="63">
        <f t="shared" si="1"/>
        <v>12</v>
      </c>
      <c r="C7277" s="135" t="s">
        <v>296</v>
      </c>
      <c r="D7277" s="161" t="s">
        <v>74</v>
      </c>
      <c r="E7277" s="135">
        <f t="shared" si="61"/>
        <v>21</v>
      </c>
      <c r="F7277" s="134" t="s">
        <v>3810</v>
      </c>
      <c r="G7277" s="63" t="str">
        <f>VLOOKUP(C7277, 'Class Def. - General Data'!$C$20:$C$1000,1,false)</f>
        <v>ZSI1_BEARING</v>
      </c>
      <c r="H7277" s="63" t="str">
        <f>IFERROR(__xludf.DUMMYFUNCTION("VLOOKUP(F7277, IMPORTRANGE(""https://docs.google.com/spreadsheets/d/1Lhp9OU0JdFf_VYSMzH5lBcEaU4o8teT1piV-SNzShjg/edit?gid=554141278#gid=554141278"", ""'Char Def. - Attributes'!C20:C2242""), 1,false)"),"ALT_UOM3_SIPI")</f>
        <v>ALT_UOM3_SIPI</v>
      </c>
      <c r="I7277" s="136"/>
      <c r="R7277" s="63" t="str">
        <f t="shared" si="60"/>
        <v>ZSI1_BEARINGALT_UOM3_SIPI</v>
      </c>
    </row>
    <row r="7278" ht="15.75" customHeight="1">
      <c r="B7278" s="63">
        <f t="shared" si="1"/>
        <v>12</v>
      </c>
      <c r="C7278" s="135" t="s">
        <v>296</v>
      </c>
      <c r="D7278" s="161" t="s">
        <v>74</v>
      </c>
      <c r="E7278" s="135">
        <f t="shared" si="61"/>
        <v>22</v>
      </c>
      <c r="F7278" s="134" t="s">
        <v>3811</v>
      </c>
      <c r="G7278" s="63" t="str">
        <f>VLOOKUP(C7278, 'Class Def. - General Data'!$C$20:$C$1000,1,false)</f>
        <v>ZSI1_BEARING</v>
      </c>
      <c r="H7278" s="63" t="str">
        <f>IFERROR(__xludf.DUMMYFUNCTION("VLOOKUP(F7278, IMPORTRANGE(""https://docs.google.com/spreadsheets/d/1Lhp9OU0JdFf_VYSMzH5lBcEaU4o8teT1piV-SNzShjg/edit?gid=554141278#gid=554141278"", ""'Char Def. - Attributes'!C20:C2242""), 1,false)"),"ALT_DENUM_UOM3")</f>
        <v>ALT_DENUM_UOM3</v>
      </c>
      <c r="I7278" s="136"/>
      <c r="R7278" s="63" t="str">
        <f t="shared" si="60"/>
        <v>ZSI1_BEARINGALT_DENUM_UOM3</v>
      </c>
    </row>
    <row r="7279" ht="15.75" customHeight="1">
      <c r="B7279" s="63">
        <f t="shared" si="1"/>
        <v>12</v>
      </c>
      <c r="C7279" s="135" t="s">
        <v>296</v>
      </c>
      <c r="D7279" s="161" t="s">
        <v>74</v>
      </c>
      <c r="E7279" s="135">
        <f t="shared" si="61"/>
        <v>23</v>
      </c>
      <c r="F7279" s="134" t="s">
        <v>3812</v>
      </c>
      <c r="G7279" s="63" t="str">
        <f>VLOOKUP(C7279, 'Class Def. - General Data'!$C$20:$C$1000,1,false)</f>
        <v>ZSI1_BEARING</v>
      </c>
      <c r="H7279" s="63" t="str">
        <f>IFERROR(__xludf.DUMMYFUNCTION("VLOOKUP(F7279, IMPORTRANGE(""https://docs.google.com/spreadsheets/d/1Lhp9OU0JdFf_VYSMzH5lBcEaU4o8teT1piV-SNzShjg/edit?gid=554141278#gid=554141278"", ""'Char Def. - Attributes'!C20:C2242""), 1,false)"),"ALT_NUM_UOM3")</f>
        <v>ALT_NUM_UOM3</v>
      </c>
      <c r="I7279" s="136"/>
      <c r="R7279" s="63" t="str">
        <f t="shared" si="60"/>
        <v>ZSI1_BEARINGALT_NUM_UOM3</v>
      </c>
    </row>
    <row r="7280" ht="15.75" customHeight="1">
      <c r="B7280" s="63">
        <f t="shared" si="1"/>
        <v>12</v>
      </c>
      <c r="C7280" s="135" t="s">
        <v>296</v>
      </c>
      <c r="D7280" s="161" t="s">
        <v>74</v>
      </c>
      <c r="E7280" s="135">
        <f t="shared" si="61"/>
        <v>24</v>
      </c>
      <c r="F7280" s="134" t="s">
        <v>3813</v>
      </c>
      <c r="G7280" s="63" t="str">
        <f>VLOOKUP(C7280, 'Class Def. - General Data'!$C$20:$C$1000,1,false)</f>
        <v>ZSI1_BEARING</v>
      </c>
      <c r="H7280" s="63" t="str">
        <f>IFERROR(__xludf.DUMMYFUNCTION("VLOOKUP(F7280, IMPORTRANGE(""https://docs.google.com/spreadsheets/d/1Lhp9OU0JdFf_VYSMzH5lBcEaU4o8teT1piV-SNzShjg/edit?gid=554141278#gid=554141278"", ""'Char Def. - Attributes'!C20:C2242""), 1,false)"),"ALT_UOM4_SIPI")</f>
        <v>ALT_UOM4_SIPI</v>
      </c>
      <c r="I7280" s="136"/>
      <c r="R7280" s="63" t="str">
        <f t="shared" si="60"/>
        <v>ZSI1_BEARINGALT_UOM4_SIPI</v>
      </c>
    </row>
    <row r="7281" ht="15.75" customHeight="1">
      <c r="B7281" s="63">
        <f t="shared" si="1"/>
        <v>12</v>
      </c>
      <c r="C7281" s="135" t="s">
        <v>296</v>
      </c>
      <c r="D7281" s="161" t="s">
        <v>74</v>
      </c>
      <c r="E7281" s="135">
        <f t="shared" si="61"/>
        <v>25</v>
      </c>
      <c r="F7281" s="134" t="s">
        <v>3814</v>
      </c>
      <c r="G7281" s="63" t="str">
        <f>VLOOKUP(C7281, 'Class Def. - General Data'!$C$20:$C$1000,1,false)</f>
        <v>ZSI1_BEARING</v>
      </c>
      <c r="H7281" s="63" t="str">
        <f>IFERROR(__xludf.DUMMYFUNCTION("VLOOKUP(F7281, IMPORTRANGE(""https://docs.google.com/spreadsheets/d/1Lhp9OU0JdFf_VYSMzH5lBcEaU4o8teT1piV-SNzShjg/edit?gid=554141278#gid=554141278"", ""'Char Def. - Attributes'!C20:C2242""), 1,false)"),"ALT_DENUM_UOM4")</f>
        <v>ALT_DENUM_UOM4</v>
      </c>
      <c r="I7281" s="136"/>
      <c r="R7281" s="63" t="str">
        <f t="shared" si="60"/>
        <v>ZSI1_BEARINGALT_DENUM_UOM4</v>
      </c>
    </row>
    <row r="7282" ht="15.75" customHeight="1">
      <c r="B7282" s="63">
        <f t="shared" si="1"/>
        <v>12</v>
      </c>
      <c r="C7282" s="135" t="s">
        <v>296</v>
      </c>
      <c r="D7282" s="161" t="s">
        <v>74</v>
      </c>
      <c r="E7282" s="135">
        <f t="shared" si="61"/>
        <v>26</v>
      </c>
      <c r="F7282" s="134" t="s">
        <v>3815</v>
      </c>
      <c r="G7282" s="63" t="str">
        <f>VLOOKUP(C7282, 'Class Def. - General Data'!$C$20:$C$1000,1,false)</f>
        <v>ZSI1_BEARING</v>
      </c>
      <c r="H7282" s="63" t="str">
        <f>IFERROR(__xludf.DUMMYFUNCTION("VLOOKUP(F7282, IMPORTRANGE(""https://docs.google.com/spreadsheets/d/1Lhp9OU0JdFf_VYSMzH5lBcEaU4o8teT1piV-SNzShjg/edit?gid=554141278#gid=554141278"", ""'Char Def. - Attributes'!C20:C2242""), 1,false)"),"ALT_NUM_UOM4")</f>
        <v>ALT_NUM_UOM4</v>
      </c>
      <c r="I7282" s="136"/>
      <c r="R7282" s="63" t="str">
        <f t="shared" si="60"/>
        <v>ZSI1_BEARINGALT_NUM_UOM4</v>
      </c>
    </row>
    <row r="7283" ht="15.75" customHeight="1">
      <c r="B7283" s="63">
        <f t="shared" si="1"/>
        <v>12</v>
      </c>
      <c r="C7283" s="135" t="s">
        <v>296</v>
      </c>
      <c r="D7283" s="161" t="s">
        <v>74</v>
      </c>
      <c r="E7283" s="135">
        <f t="shared" si="61"/>
        <v>27</v>
      </c>
      <c r="F7283" s="134" t="s">
        <v>3816</v>
      </c>
      <c r="G7283" s="63" t="str">
        <f>VLOOKUP(C7283, 'Class Def. - General Data'!$C$20:$C$1000,1,false)</f>
        <v>ZSI1_BEARING</v>
      </c>
      <c r="H7283" s="63" t="str">
        <f>IFERROR(__xludf.DUMMYFUNCTION("VLOOKUP(F7283, IMPORTRANGE(""https://docs.google.com/spreadsheets/d/1Lhp9OU0JdFf_VYSMzH5lBcEaU4o8teT1piV-SNzShjg/edit?gid=554141278#gid=554141278"", ""'Char Def. - Attributes'!C20:C2242""), 1,false)"),"ALT_UOM5_SIPI")</f>
        <v>ALT_UOM5_SIPI</v>
      </c>
      <c r="I7283" s="136"/>
      <c r="R7283" s="63" t="str">
        <f t="shared" si="60"/>
        <v>ZSI1_BEARINGALT_UOM5_SIPI</v>
      </c>
    </row>
    <row r="7284" ht="15.75" customHeight="1">
      <c r="B7284" s="63">
        <f t="shared" si="1"/>
        <v>12</v>
      </c>
      <c r="C7284" s="135" t="s">
        <v>296</v>
      </c>
      <c r="D7284" s="161" t="s">
        <v>74</v>
      </c>
      <c r="E7284" s="135">
        <f t="shared" si="61"/>
        <v>28</v>
      </c>
      <c r="F7284" s="134" t="s">
        <v>3817</v>
      </c>
      <c r="G7284" s="63" t="str">
        <f>VLOOKUP(C7284, 'Class Def. - General Data'!$C$20:$C$1000,1,false)</f>
        <v>ZSI1_BEARING</v>
      </c>
      <c r="H7284" s="63" t="str">
        <f>IFERROR(__xludf.DUMMYFUNCTION("VLOOKUP(F7284, IMPORTRANGE(""https://docs.google.com/spreadsheets/d/1Lhp9OU0JdFf_VYSMzH5lBcEaU4o8teT1piV-SNzShjg/edit?gid=554141278#gid=554141278"", ""'Char Def. - Attributes'!C20:C2242""), 1,false)"),"ALT_DENUM_UOM5")</f>
        <v>ALT_DENUM_UOM5</v>
      </c>
      <c r="I7284" s="136"/>
      <c r="R7284" s="63" t="str">
        <f t="shared" si="60"/>
        <v>ZSI1_BEARINGALT_DENUM_UOM5</v>
      </c>
    </row>
    <row r="7285" ht="15.75" customHeight="1">
      <c r="B7285" s="63">
        <f t="shared" si="1"/>
        <v>12</v>
      </c>
      <c r="C7285" s="135" t="s">
        <v>296</v>
      </c>
      <c r="D7285" s="161" t="s">
        <v>74</v>
      </c>
      <c r="E7285" s="135">
        <f t="shared" si="61"/>
        <v>29</v>
      </c>
      <c r="F7285" s="134" t="s">
        <v>3818</v>
      </c>
      <c r="G7285" s="63" t="str">
        <f>VLOOKUP(C7285, 'Class Def. - General Data'!$C$20:$C$1000,1,false)</f>
        <v>ZSI1_BEARING</v>
      </c>
      <c r="H7285" s="63" t="str">
        <f>IFERROR(__xludf.DUMMYFUNCTION("VLOOKUP(F7285, IMPORTRANGE(""https://docs.google.com/spreadsheets/d/1Lhp9OU0JdFf_VYSMzH5lBcEaU4o8teT1piV-SNzShjg/edit?gid=554141278#gid=554141278"", ""'Char Def. - Attributes'!C20:C2242""), 1,false)"),"ALT_NUM_UOM5")</f>
        <v>ALT_NUM_UOM5</v>
      </c>
      <c r="I7285" s="136"/>
      <c r="R7285" s="63" t="str">
        <f t="shared" si="60"/>
        <v>ZSI1_BEARINGALT_NUM_UOM5</v>
      </c>
    </row>
    <row r="7286" ht="15.75" customHeight="1">
      <c r="B7286" s="63">
        <f t="shared" si="1"/>
        <v>16</v>
      </c>
      <c r="C7286" s="135" t="s">
        <v>356</v>
      </c>
      <c r="D7286" s="161" t="s">
        <v>74</v>
      </c>
      <c r="E7286" s="135">
        <f t="shared" si="61"/>
        <v>1</v>
      </c>
      <c r="F7286" s="134" t="s">
        <v>4122</v>
      </c>
      <c r="G7286" s="63" t="str">
        <f>VLOOKUP(C7286, 'Class Def. - General Data'!$C$20:$C$1000,1,false)</f>
        <v>ZSI1_BINDER_CLIP</v>
      </c>
      <c r="H7286" s="63" t="str">
        <f>IFERROR(__xludf.DUMMYFUNCTION("VLOOKUP(F7286, IMPORTRANGE(""https://docs.google.com/spreadsheets/d/1Lhp9OU0JdFf_VYSMzH5lBcEaU4o8teT1piV-SNzShjg/edit?gid=554141278#gid=554141278"", ""'Char Def. - Attributes'!C20:C2242""), 1,false)"),"ITEM_NAME_BINDER_CLIP")</f>
        <v>ITEM_NAME_BINDER_CLIP</v>
      </c>
      <c r="I7286" s="136"/>
      <c r="R7286" s="63" t="str">
        <f t="shared" si="60"/>
        <v>ZSI1_BINDER_CLIPITEM_NAME_BINDER_CLIP</v>
      </c>
    </row>
    <row r="7287" ht="15.75" customHeight="1">
      <c r="B7287" s="63">
        <f t="shared" si="1"/>
        <v>16</v>
      </c>
      <c r="C7287" s="135" t="s">
        <v>356</v>
      </c>
      <c r="D7287" s="161" t="s">
        <v>74</v>
      </c>
      <c r="E7287" s="135">
        <f t="shared" si="61"/>
        <v>2</v>
      </c>
      <c r="F7287" s="134" t="s">
        <v>4123</v>
      </c>
      <c r="G7287" s="63" t="str">
        <f>VLOOKUP(C7287, 'Class Def. - General Data'!$C$20:$C$1000,1,false)</f>
        <v>ZSI1_BINDER_CLIP</v>
      </c>
      <c r="H7287" s="63" t="str">
        <f>IFERROR(__xludf.DUMMYFUNCTION("VLOOKUP(F7287, IMPORTRANGE(""https://docs.google.com/spreadsheets/d/1Lhp9OU0JdFf_VYSMzH5lBcEaU4o8teT1piV-SNzShjg/edit?gid=554141278#gid=554141278"", ""'Char Def. - Attributes'!C20:C2242""), 1,false)"),"BINDER_CLIP_NO_BINDER_CLIP")</f>
        <v>BINDER_CLIP_NO_BINDER_CLIP</v>
      </c>
      <c r="I7287" s="136"/>
      <c r="R7287" s="63" t="str">
        <f t="shared" si="60"/>
        <v>ZSI1_BINDER_CLIPBINDER_CLIP_NO_BINDER_CLIP</v>
      </c>
    </row>
    <row r="7288" ht="15.75" customHeight="1">
      <c r="B7288" s="63">
        <f t="shared" si="1"/>
        <v>16</v>
      </c>
      <c r="C7288" s="135" t="s">
        <v>356</v>
      </c>
      <c r="D7288" s="161" t="s">
        <v>74</v>
      </c>
      <c r="E7288" s="135">
        <f t="shared" si="61"/>
        <v>3</v>
      </c>
      <c r="F7288" s="134" t="s">
        <v>3782</v>
      </c>
      <c r="G7288" s="63" t="str">
        <f>VLOOKUP(C7288, 'Class Def. - General Data'!$C$20:$C$1000,1,false)</f>
        <v>ZSI1_BINDER_CLIP</v>
      </c>
      <c r="H7288" s="63" t="str">
        <f>IFERROR(__xludf.DUMMYFUNCTION("VLOOKUP(F7288, IMPORTRANGE(""https://docs.google.com/spreadsheets/d/1Lhp9OU0JdFf_VYSMzH5lBcEaU4o8teT1piV-SNzShjg/edit?gid=554141278#gid=554141278"", ""'Char Def. - Attributes'!C20:C2242""), 1,false)"),"BRAND_EXTERNAL")</f>
        <v>BRAND_EXTERNAL</v>
      </c>
      <c r="I7288" s="136"/>
      <c r="R7288" s="63" t="str">
        <f t="shared" si="60"/>
        <v>ZSI1_BINDER_CLIPBRAND_EXTERNAL</v>
      </c>
    </row>
    <row r="7289" ht="15.75" customHeight="1">
      <c r="B7289" s="63">
        <f t="shared" si="1"/>
        <v>16</v>
      </c>
      <c r="C7289" s="135" t="s">
        <v>356</v>
      </c>
      <c r="D7289" s="161" t="s">
        <v>74</v>
      </c>
      <c r="E7289" s="135">
        <f t="shared" si="61"/>
        <v>4</v>
      </c>
      <c r="F7289" s="134" t="s">
        <v>4053</v>
      </c>
      <c r="G7289" s="63" t="str">
        <f>VLOOKUP(C7289, 'Class Def. - General Data'!$C$20:$C$1000,1,false)</f>
        <v>ZSI1_BINDER_CLIP</v>
      </c>
      <c r="H7289" s="63" t="str">
        <f>IFERROR(__xludf.DUMMYFUNCTION("VLOOKUP(F7289, IMPORTRANGE(""https://docs.google.com/spreadsheets/d/1Lhp9OU0JdFf_VYSMzH5lBcEaU4o8teT1piV-SNzShjg/edit?gid=554141278#gid=554141278"", ""'Char Def. - Attributes'!C20:C2242""), 1,false)"),"MAINTENANCE_ORDER_TYPE")</f>
        <v>MAINTENANCE_ORDER_TYPE</v>
      </c>
      <c r="I7289" s="136"/>
      <c r="R7289" s="63" t="str">
        <f t="shared" si="60"/>
        <v>ZSI1_BINDER_CLIPMAINTENANCE_ORDER_TYPE</v>
      </c>
    </row>
    <row r="7290" ht="15.75" customHeight="1">
      <c r="B7290" s="63">
        <f t="shared" si="1"/>
        <v>16</v>
      </c>
      <c r="C7290" s="135" t="s">
        <v>356</v>
      </c>
      <c r="D7290" s="161" t="s">
        <v>74</v>
      </c>
      <c r="E7290" s="135">
        <f t="shared" si="61"/>
        <v>5</v>
      </c>
      <c r="F7290" s="134" t="s">
        <v>3585</v>
      </c>
      <c r="G7290" s="63" t="str">
        <f>VLOOKUP(C7290, 'Class Def. - General Data'!$C$20:$C$1000,1,false)</f>
        <v>ZSI1_BINDER_CLIP</v>
      </c>
      <c r="H7290" s="63" t="str">
        <f>IFERROR(__xludf.DUMMYFUNCTION("VLOOKUP(F7290, IMPORTRANGE(""https://docs.google.com/spreadsheets/d/1Lhp9OU0JdFf_VYSMzH5lBcEaU4o8teT1piV-SNzShjg/edit?gid=554141278#gid=554141278"", ""'Char Def. - Attributes'!C20:C2242""), 1,false)"),"HS_CODE")</f>
        <v>HS_CODE</v>
      </c>
      <c r="I7290" s="136"/>
      <c r="R7290" s="63" t="str">
        <f t="shared" si="60"/>
        <v>ZSI1_BINDER_CLIPHS_CODE</v>
      </c>
    </row>
    <row r="7291" ht="15.75" customHeight="1">
      <c r="B7291" s="63">
        <f t="shared" si="1"/>
        <v>16</v>
      </c>
      <c r="C7291" s="135" t="s">
        <v>356</v>
      </c>
      <c r="D7291" s="161" t="s">
        <v>74</v>
      </c>
      <c r="E7291" s="135">
        <f t="shared" si="61"/>
        <v>6</v>
      </c>
      <c r="F7291" s="134" t="s">
        <v>3587</v>
      </c>
      <c r="G7291" s="63" t="str">
        <f>VLOOKUP(C7291, 'Class Def. - General Data'!$C$20:$C$1000,1,false)</f>
        <v>ZSI1_BINDER_CLIP</v>
      </c>
      <c r="H7291" s="63" t="str">
        <f>IFERROR(__xludf.DUMMYFUNCTION("VLOOKUP(F7291, IMPORTRANGE(""https://docs.google.com/spreadsheets/d/1Lhp9OU0JdFf_VYSMzH5lBcEaU4o8teT1piV-SNzShjg/edit?gid=554141278#gid=554141278"", ""'Char Def. - Attributes'!C20:C2242""), 1,false)"),"PLANT_BUY")</f>
        <v>PLANT_BUY</v>
      </c>
      <c r="I7291" s="136"/>
      <c r="R7291" s="63" t="str">
        <f t="shared" si="60"/>
        <v>ZSI1_BINDER_CLIPPLANT_BUY</v>
      </c>
    </row>
    <row r="7292" ht="15.75" customHeight="1">
      <c r="B7292" s="63">
        <f t="shared" si="1"/>
        <v>16</v>
      </c>
      <c r="C7292" s="135" t="s">
        <v>356</v>
      </c>
      <c r="D7292" s="161" t="s">
        <v>74</v>
      </c>
      <c r="E7292" s="135">
        <f t="shared" si="61"/>
        <v>7</v>
      </c>
      <c r="F7292" s="134" t="s">
        <v>4124</v>
      </c>
      <c r="G7292" s="63" t="str">
        <f>VLOOKUP(C7292, 'Class Def. - General Data'!$C$20:$C$1000,1,false)</f>
        <v>ZSI1_BINDER_CLIP</v>
      </c>
      <c r="H7292" s="63" t="str">
        <f>IFERROR(__xludf.DUMMYFUNCTION("VLOOKUP(F7292, IMPORTRANGE(""https://docs.google.com/spreadsheets/d/1Lhp9OU0JdFf_VYSMzH5lBcEaU4o8teT1piV-SNzShjg/edit?gid=554141278#gid=554141278"", ""'Char Def. - Attributes'!C20:C2242""), 1,false)"),"BASE_UOM_BINDER_CLIP")</f>
        <v>BASE_UOM_BINDER_CLIP</v>
      </c>
      <c r="I7292" s="136"/>
      <c r="R7292" s="63" t="str">
        <f t="shared" si="60"/>
        <v>ZSI1_BINDER_CLIPBASE_UOM_BINDER_CLIP</v>
      </c>
    </row>
    <row r="7293" ht="15.75" customHeight="1">
      <c r="B7293" s="63">
        <f t="shared" si="1"/>
        <v>16</v>
      </c>
      <c r="C7293" s="135" t="s">
        <v>356</v>
      </c>
      <c r="D7293" s="161" t="s">
        <v>74</v>
      </c>
      <c r="E7293" s="135">
        <f t="shared" si="61"/>
        <v>8</v>
      </c>
      <c r="F7293" s="134" t="s">
        <v>4125</v>
      </c>
      <c r="G7293" s="63" t="str">
        <f>VLOOKUP(C7293, 'Class Def. - General Data'!$C$20:$C$1000,1,false)</f>
        <v>ZSI1_BINDER_CLIP</v>
      </c>
      <c r="H7293" s="63" t="str">
        <f>IFERROR(__xludf.DUMMYFUNCTION("VLOOKUP(F7293, IMPORTRANGE(""https://docs.google.com/spreadsheets/d/1Lhp9OU0JdFf_VYSMzH5lBcEaU4o8teT1piV-SNzShjg/edit?gid=554141278#gid=554141278"", ""'Char Def. - Attributes'!C20:C2242""), 1,false)"),"ORDER_UNIT_BINDER_CLIP")</f>
        <v>ORDER_UNIT_BINDER_CLIP</v>
      </c>
      <c r="I7293" s="136"/>
      <c r="R7293" s="63" t="str">
        <f t="shared" si="60"/>
        <v>ZSI1_BINDER_CLIPORDER_UNIT_BINDER_CLIP</v>
      </c>
    </row>
    <row r="7294" ht="15.75" customHeight="1">
      <c r="B7294" s="63">
        <f t="shared" si="1"/>
        <v>16</v>
      </c>
      <c r="C7294" s="135" t="s">
        <v>356</v>
      </c>
      <c r="D7294" s="161" t="s">
        <v>74</v>
      </c>
      <c r="E7294" s="135">
        <f t="shared" si="61"/>
        <v>9</v>
      </c>
      <c r="F7294" s="134" t="s">
        <v>4056</v>
      </c>
      <c r="G7294" s="63" t="str">
        <f>VLOOKUP(C7294, 'Class Def. - General Data'!$C$20:$C$1000,1,false)</f>
        <v>ZSI1_BINDER_CLIP</v>
      </c>
      <c r="H7294" s="63" t="str">
        <f>IFERROR(__xludf.DUMMYFUNCTION("VLOOKUP(F7294, IMPORTRANGE(""https://docs.google.com/spreadsheets/d/1Lhp9OU0JdFf_VYSMzH5lBcEaU4o8teT1piV-SNzShjg/edit?gid=554141278#gid=554141278"", ""'Char Def. - Attributes'!C20:C2242""), 1,false)"),"GROSS_WEIGHT_OPT")</f>
        <v>GROSS_WEIGHT_OPT</v>
      </c>
      <c r="I7294" s="136"/>
      <c r="R7294" s="63" t="str">
        <f t="shared" si="60"/>
        <v>ZSI1_BINDER_CLIPGROSS_WEIGHT_OPT</v>
      </c>
    </row>
    <row r="7295" ht="15.75" customHeight="1">
      <c r="B7295" s="63">
        <f t="shared" si="1"/>
        <v>16</v>
      </c>
      <c r="C7295" s="135" t="s">
        <v>356</v>
      </c>
      <c r="D7295" s="161" t="s">
        <v>74</v>
      </c>
      <c r="E7295" s="135">
        <f t="shared" si="61"/>
        <v>10</v>
      </c>
      <c r="F7295" s="134" t="s">
        <v>4057</v>
      </c>
      <c r="G7295" s="63" t="str">
        <f>VLOOKUP(C7295, 'Class Def. - General Data'!$C$20:$C$1000,1,false)</f>
        <v>ZSI1_BINDER_CLIP</v>
      </c>
      <c r="H7295" s="63" t="str">
        <f>IFERROR(__xludf.DUMMYFUNCTION("VLOOKUP(F7295, IMPORTRANGE(""https://docs.google.com/spreadsheets/d/1Lhp9OU0JdFf_VYSMzH5lBcEaU4o8teT1piV-SNzShjg/edit?gid=554141278#gid=554141278"", ""'Char Def. - Attributes'!C20:C2242""), 1,false)"),"NET_WEIGHT_OPT")</f>
        <v>NET_WEIGHT_OPT</v>
      </c>
      <c r="I7295" s="136"/>
      <c r="R7295" s="63" t="str">
        <f t="shared" si="60"/>
        <v>ZSI1_BINDER_CLIPNET_WEIGHT_OPT</v>
      </c>
    </row>
    <row r="7296" ht="15.75" customHeight="1">
      <c r="B7296" s="63">
        <f t="shared" si="1"/>
        <v>16</v>
      </c>
      <c r="C7296" s="135" t="s">
        <v>356</v>
      </c>
      <c r="D7296" s="161" t="s">
        <v>74</v>
      </c>
      <c r="E7296" s="135">
        <f t="shared" si="61"/>
        <v>11</v>
      </c>
      <c r="F7296" s="134" t="s">
        <v>4058</v>
      </c>
      <c r="G7296" s="63" t="str">
        <f>VLOOKUP(C7296, 'Class Def. - General Data'!$C$20:$C$1000,1,false)</f>
        <v>ZSI1_BINDER_CLIP</v>
      </c>
      <c r="H7296" s="63" t="str">
        <f>IFERROR(__xludf.DUMMYFUNCTION("VLOOKUP(F7296, IMPORTRANGE(""https://docs.google.com/spreadsheets/d/1Lhp9OU0JdFf_VYSMzH5lBcEaU4o8teT1piV-SNzShjg/edit?gid=554141278#gid=554141278"", ""'Char Def. - Attributes'!C20:C2242""), 1,false)"),"WEIGHT_UNIT_SI")</f>
        <v>WEIGHT_UNIT_SI</v>
      </c>
      <c r="I7296" s="136"/>
      <c r="R7296" s="63" t="str">
        <f t="shared" si="60"/>
        <v>ZSI1_BINDER_CLIPWEIGHT_UNIT_SI</v>
      </c>
    </row>
    <row r="7297" ht="15.75" customHeight="1">
      <c r="B7297" s="63">
        <f t="shared" si="1"/>
        <v>16</v>
      </c>
      <c r="C7297" s="135" t="s">
        <v>356</v>
      </c>
      <c r="D7297" s="161" t="s">
        <v>74</v>
      </c>
      <c r="E7297" s="135">
        <f t="shared" si="61"/>
        <v>12</v>
      </c>
      <c r="F7297" s="134" t="s">
        <v>3877</v>
      </c>
      <c r="G7297" s="63" t="str">
        <f>VLOOKUP(C7297, 'Class Def. - General Data'!$C$20:$C$1000,1,false)</f>
        <v>ZSI1_BINDER_CLIP</v>
      </c>
      <c r="H7297" s="63" t="str">
        <f>IFERROR(__xludf.DUMMYFUNCTION("VLOOKUP(F7297, IMPORTRANGE(""https://docs.google.com/spreadsheets/d/1Lhp9OU0JdFf_VYSMzH5lBcEaU4o8teT1piV-SNzShjg/edit?gid=554141278#gid=554141278"", ""'Char Def. - Attributes'!C20:C2242""), 1,false)"),"VOLUME_OPT")</f>
        <v>VOLUME_OPT</v>
      </c>
      <c r="I7297" s="136"/>
      <c r="R7297" s="63" t="str">
        <f t="shared" si="60"/>
        <v>ZSI1_BINDER_CLIPVOLUME_OPT</v>
      </c>
    </row>
    <row r="7298" ht="15.75" customHeight="1">
      <c r="B7298" s="63">
        <f t="shared" si="1"/>
        <v>16</v>
      </c>
      <c r="C7298" s="135" t="s">
        <v>356</v>
      </c>
      <c r="D7298" s="161" t="s">
        <v>74</v>
      </c>
      <c r="E7298" s="135">
        <f t="shared" si="61"/>
        <v>13</v>
      </c>
      <c r="F7298" s="134" t="s">
        <v>4059</v>
      </c>
      <c r="G7298" s="63" t="str">
        <f>VLOOKUP(C7298, 'Class Def. - General Data'!$C$20:$C$1000,1,false)</f>
        <v>ZSI1_BINDER_CLIP</v>
      </c>
      <c r="H7298" s="63" t="str">
        <f>IFERROR(__xludf.DUMMYFUNCTION("VLOOKUP(F7298, IMPORTRANGE(""https://docs.google.com/spreadsheets/d/1Lhp9OU0JdFf_VYSMzH5lBcEaU4o8teT1piV-SNzShjg/edit?gid=554141278#gid=554141278"", ""'Char Def. - Attributes'!C20:C2242""), 1,false)"),"VOLUME_UNIT_SI")</f>
        <v>VOLUME_UNIT_SI</v>
      </c>
      <c r="I7298" s="136"/>
      <c r="R7298" s="63" t="str">
        <f t="shared" si="60"/>
        <v>ZSI1_BINDER_CLIPVOLUME_UNIT_SI</v>
      </c>
    </row>
    <row r="7299" ht="15.75" customHeight="1">
      <c r="B7299" s="63">
        <f t="shared" si="1"/>
        <v>16</v>
      </c>
      <c r="C7299" s="135" t="s">
        <v>356</v>
      </c>
      <c r="D7299" s="161" t="s">
        <v>74</v>
      </c>
      <c r="E7299" s="135">
        <f t="shared" si="61"/>
        <v>14</v>
      </c>
      <c r="F7299" s="134" t="s">
        <v>3804</v>
      </c>
      <c r="G7299" s="63" t="str">
        <f>VLOOKUP(C7299, 'Class Def. - General Data'!$C$20:$C$1000,1,false)</f>
        <v>ZSI1_BINDER_CLIP</v>
      </c>
      <c r="H7299" s="63" t="str">
        <f>IFERROR(__xludf.DUMMYFUNCTION("VLOOKUP(F7299, IMPORTRANGE(""https://docs.google.com/spreadsheets/d/1Lhp9OU0JdFf_VYSMzH5lBcEaU4o8teT1piV-SNzShjg/edit?gid=554141278#gid=554141278"", ""'Char Def. - Attributes'!C20:C2242""), 1,false)"),"ALT_UOM1_SIPI")</f>
        <v>ALT_UOM1_SIPI</v>
      </c>
      <c r="I7299" s="136"/>
      <c r="R7299" s="63" t="str">
        <f t="shared" si="60"/>
        <v>ZSI1_BINDER_CLIPALT_UOM1_SIPI</v>
      </c>
    </row>
    <row r="7300" ht="15.75" customHeight="1">
      <c r="B7300" s="63">
        <f t="shared" si="1"/>
        <v>16</v>
      </c>
      <c r="C7300" s="135" t="s">
        <v>356</v>
      </c>
      <c r="D7300" s="161" t="s">
        <v>74</v>
      </c>
      <c r="E7300" s="135">
        <f t="shared" si="61"/>
        <v>15</v>
      </c>
      <c r="F7300" s="134" t="s">
        <v>3805</v>
      </c>
      <c r="G7300" s="63" t="str">
        <f>VLOOKUP(C7300, 'Class Def. - General Data'!$C$20:$C$1000,1,false)</f>
        <v>ZSI1_BINDER_CLIP</v>
      </c>
      <c r="H7300" s="63" t="str">
        <f>IFERROR(__xludf.DUMMYFUNCTION("VLOOKUP(F7300, IMPORTRANGE(""https://docs.google.com/spreadsheets/d/1Lhp9OU0JdFf_VYSMzH5lBcEaU4o8teT1piV-SNzShjg/edit?gid=554141278#gid=554141278"", ""'Char Def. - Attributes'!C20:C2242""), 1,false)"),"ALT_DENUM_UOM1")</f>
        <v>ALT_DENUM_UOM1</v>
      </c>
      <c r="I7300" s="136"/>
      <c r="R7300" s="63" t="str">
        <f t="shared" si="60"/>
        <v>ZSI1_BINDER_CLIPALT_DENUM_UOM1</v>
      </c>
    </row>
    <row r="7301" ht="15.75" customHeight="1">
      <c r="B7301" s="63">
        <f t="shared" si="1"/>
        <v>16</v>
      </c>
      <c r="C7301" s="135" t="s">
        <v>356</v>
      </c>
      <c r="D7301" s="161" t="s">
        <v>74</v>
      </c>
      <c r="E7301" s="135">
        <f t="shared" si="61"/>
        <v>16</v>
      </c>
      <c r="F7301" s="134" t="s">
        <v>3806</v>
      </c>
      <c r="G7301" s="63" t="str">
        <f>VLOOKUP(C7301, 'Class Def. - General Data'!$C$20:$C$1000,1,false)</f>
        <v>ZSI1_BINDER_CLIP</v>
      </c>
      <c r="H7301" s="63" t="str">
        <f>IFERROR(__xludf.DUMMYFUNCTION("VLOOKUP(F7301, IMPORTRANGE(""https://docs.google.com/spreadsheets/d/1Lhp9OU0JdFf_VYSMzH5lBcEaU4o8teT1piV-SNzShjg/edit?gid=554141278#gid=554141278"", ""'Char Def. - Attributes'!C20:C2242""), 1,false)"),"ALT_NUM_UOM1")</f>
        <v>ALT_NUM_UOM1</v>
      </c>
      <c r="I7301" s="136"/>
      <c r="R7301" s="63" t="str">
        <f t="shared" si="60"/>
        <v>ZSI1_BINDER_CLIPALT_NUM_UOM1</v>
      </c>
    </row>
    <row r="7302" ht="15.75" customHeight="1">
      <c r="B7302" s="63">
        <f t="shared" si="1"/>
        <v>16</v>
      </c>
      <c r="C7302" s="135" t="s">
        <v>356</v>
      </c>
      <c r="D7302" s="161" t="s">
        <v>74</v>
      </c>
      <c r="E7302" s="135">
        <f t="shared" si="61"/>
        <v>17</v>
      </c>
      <c r="F7302" s="134" t="s">
        <v>3807</v>
      </c>
      <c r="G7302" s="63" t="str">
        <f>VLOOKUP(C7302, 'Class Def. - General Data'!$C$20:$C$1000,1,false)</f>
        <v>ZSI1_BINDER_CLIP</v>
      </c>
      <c r="H7302" s="63" t="str">
        <f>IFERROR(__xludf.DUMMYFUNCTION("VLOOKUP(F7302, IMPORTRANGE(""https://docs.google.com/spreadsheets/d/1Lhp9OU0JdFf_VYSMzH5lBcEaU4o8teT1piV-SNzShjg/edit?gid=554141278#gid=554141278"", ""'Char Def. - Attributes'!C20:C2242""), 1,false)"),"ALT_UOM2_SIPI")</f>
        <v>ALT_UOM2_SIPI</v>
      </c>
      <c r="I7302" s="136"/>
      <c r="R7302" s="63" t="str">
        <f t="shared" si="60"/>
        <v>ZSI1_BINDER_CLIPALT_UOM2_SIPI</v>
      </c>
    </row>
    <row r="7303" ht="15.75" customHeight="1">
      <c r="B7303" s="63">
        <f t="shared" si="1"/>
        <v>16</v>
      </c>
      <c r="C7303" s="135" t="s">
        <v>356</v>
      </c>
      <c r="D7303" s="161" t="s">
        <v>74</v>
      </c>
      <c r="E7303" s="135">
        <f t="shared" si="61"/>
        <v>18</v>
      </c>
      <c r="F7303" s="134" t="s">
        <v>3808</v>
      </c>
      <c r="G7303" s="63" t="str">
        <f>VLOOKUP(C7303, 'Class Def. - General Data'!$C$20:$C$1000,1,false)</f>
        <v>ZSI1_BINDER_CLIP</v>
      </c>
      <c r="H7303" s="63" t="str">
        <f>IFERROR(__xludf.DUMMYFUNCTION("VLOOKUP(F7303, IMPORTRANGE(""https://docs.google.com/spreadsheets/d/1Lhp9OU0JdFf_VYSMzH5lBcEaU4o8teT1piV-SNzShjg/edit?gid=554141278#gid=554141278"", ""'Char Def. - Attributes'!C20:C2242""), 1,false)"),"ALT_DENUM_UOM2")</f>
        <v>ALT_DENUM_UOM2</v>
      </c>
      <c r="I7303" s="136"/>
      <c r="R7303" s="63" t="str">
        <f t="shared" si="60"/>
        <v>ZSI1_BINDER_CLIPALT_DENUM_UOM2</v>
      </c>
    </row>
    <row r="7304" ht="15.75" customHeight="1">
      <c r="B7304" s="63">
        <f t="shared" si="1"/>
        <v>16</v>
      </c>
      <c r="C7304" s="135" t="s">
        <v>356</v>
      </c>
      <c r="D7304" s="161" t="s">
        <v>74</v>
      </c>
      <c r="E7304" s="135">
        <f t="shared" si="61"/>
        <v>19</v>
      </c>
      <c r="F7304" s="134" t="s">
        <v>3809</v>
      </c>
      <c r="G7304" s="63" t="str">
        <f>VLOOKUP(C7304, 'Class Def. - General Data'!$C$20:$C$1000,1,false)</f>
        <v>ZSI1_BINDER_CLIP</v>
      </c>
      <c r="H7304" s="63" t="str">
        <f>IFERROR(__xludf.DUMMYFUNCTION("VLOOKUP(F7304, IMPORTRANGE(""https://docs.google.com/spreadsheets/d/1Lhp9OU0JdFf_VYSMzH5lBcEaU4o8teT1piV-SNzShjg/edit?gid=554141278#gid=554141278"", ""'Char Def. - Attributes'!C20:C2242""), 1,false)"),"ALT_NUM_UOM2")</f>
        <v>ALT_NUM_UOM2</v>
      </c>
      <c r="I7304" s="136"/>
      <c r="R7304" s="63" t="str">
        <f t="shared" si="60"/>
        <v>ZSI1_BINDER_CLIPALT_NUM_UOM2</v>
      </c>
    </row>
    <row r="7305" ht="15.75" customHeight="1">
      <c r="B7305" s="63">
        <f t="shared" si="1"/>
        <v>16</v>
      </c>
      <c r="C7305" s="135" t="s">
        <v>356</v>
      </c>
      <c r="D7305" s="161" t="s">
        <v>74</v>
      </c>
      <c r="E7305" s="135">
        <f t="shared" si="61"/>
        <v>20</v>
      </c>
      <c r="F7305" s="134" t="s">
        <v>3810</v>
      </c>
      <c r="G7305" s="63" t="str">
        <f>VLOOKUP(C7305, 'Class Def. - General Data'!$C$20:$C$1000,1,false)</f>
        <v>ZSI1_BINDER_CLIP</v>
      </c>
      <c r="H7305" s="63" t="str">
        <f>IFERROR(__xludf.DUMMYFUNCTION("VLOOKUP(F7305, IMPORTRANGE(""https://docs.google.com/spreadsheets/d/1Lhp9OU0JdFf_VYSMzH5lBcEaU4o8teT1piV-SNzShjg/edit?gid=554141278#gid=554141278"", ""'Char Def. - Attributes'!C20:C2242""), 1,false)"),"ALT_UOM3_SIPI")</f>
        <v>ALT_UOM3_SIPI</v>
      </c>
      <c r="I7305" s="136"/>
      <c r="R7305" s="63" t="str">
        <f t="shared" si="60"/>
        <v>ZSI1_BINDER_CLIPALT_UOM3_SIPI</v>
      </c>
    </row>
    <row r="7306" ht="15.75" customHeight="1">
      <c r="B7306" s="63">
        <f t="shared" si="1"/>
        <v>16</v>
      </c>
      <c r="C7306" s="135" t="s">
        <v>356</v>
      </c>
      <c r="D7306" s="161" t="s">
        <v>74</v>
      </c>
      <c r="E7306" s="135">
        <f t="shared" si="61"/>
        <v>21</v>
      </c>
      <c r="F7306" s="134" t="s">
        <v>3811</v>
      </c>
      <c r="G7306" s="63" t="str">
        <f>VLOOKUP(C7306, 'Class Def. - General Data'!$C$20:$C$1000,1,false)</f>
        <v>ZSI1_BINDER_CLIP</v>
      </c>
      <c r="H7306" s="63" t="str">
        <f>IFERROR(__xludf.DUMMYFUNCTION("VLOOKUP(F7306, IMPORTRANGE(""https://docs.google.com/spreadsheets/d/1Lhp9OU0JdFf_VYSMzH5lBcEaU4o8teT1piV-SNzShjg/edit?gid=554141278#gid=554141278"", ""'Char Def. - Attributes'!C20:C2242""), 1,false)"),"ALT_DENUM_UOM3")</f>
        <v>ALT_DENUM_UOM3</v>
      </c>
      <c r="I7306" s="136"/>
      <c r="R7306" s="63" t="str">
        <f t="shared" si="60"/>
        <v>ZSI1_BINDER_CLIPALT_DENUM_UOM3</v>
      </c>
    </row>
    <row r="7307" ht="15.75" customHeight="1">
      <c r="B7307" s="63">
        <f t="shared" si="1"/>
        <v>16</v>
      </c>
      <c r="C7307" s="135" t="s">
        <v>356</v>
      </c>
      <c r="D7307" s="161" t="s">
        <v>74</v>
      </c>
      <c r="E7307" s="135">
        <f t="shared" si="61"/>
        <v>22</v>
      </c>
      <c r="F7307" s="134" t="s">
        <v>3812</v>
      </c>
      <c r="G7307" s="63" t="str">
        <f>VLOOKUP(C7307, 'Class Def. - General Data'!$C$20:$C$1000,1,false)</f>
        <v>ZSI1_BINDER_CLIP</v>
      </c>
      <c r="H7307" s="63" t="str">
        <f>IFERROR(__xludf.DUMMYFUNCTION("VLOOKUP(F7307, IMPORTRANGE(""https://docs.google.com/spreadsheets/d/1Lhp9OU0JdFf_VYSMzH5lBcEaU4o8teT1piV-SNzShjg/edit?gid=554141278#gid=554141278"", ""'Char Def. - Attributes'!C20:C2242""), 1,false)"),"ALT_NUM_UOM3")</f>
        <v>ALT_NUM_UOM3</v>
      </c>
      <c r="I7307" s="136"/>
      <c r="R7307" s="63" t="str">
        <f t="shared" si="60"/>
        <v>ZSI1_BINDER_CLIPALT_NUM_UOM3</v>
      </c>
    </row>
    <row r="7308" ht="15.75" customHeight="1">
      <c r="B7308" s="63">
        <f t="shared" si="1"/>
        <v>16</v>
      </c>
      <c r="C7308" s="135" t="s">
        <v>356</v>
      </c>
      <c r="D7308" s="161" t="s">
        <v>74</v>
      </c>
      <c r="E7308" s="135">
        <f t="shared" si="61"/>
        <v>23</v>
      </c>
      <c r="F7308" s="134" t="s">
        <v>3813</v>
      </c>
      <c r="G7308" s="63" t="str">
        <f>VLOOKUP(C7308, 'Class Def. - General Data'!$C$20:$C$1000,1,false)</f>
        <v>ZSI1_BINDER_CLIP</v>
      </c>
      <c r="H7308" s="63" t="str">
        <f>IFERROR(__xludf.DUMMYFUNCTION("VLOOKUP(F7308, IMPORTRANGE(""https://docs.google.com/spreadsheets/d/1Lhp9OU0JdFf_VYSMzH5lBcEaU4o8teT1piV-SNzShjg/edit?gid=554141278#gid=554141278"", ""'Char Def. - Attributes'!C20:C2242""), 1,false)"),"ALT_UOM4_SIPI")</f>
        <v>ALT_UOM4_SIPI</v>
      </c>
      <c r="I7308" s="136"/>
      <c r="R7308" s="63" t="str">
        <f t="shared" si="60"/>
        <v>ZSI1_BINDER_CLIPALT_UOM4_SIPI</v>
      </c>
    </row>
    <row r="7309" ht="15.75" customHeight="1">
      <c r="B7309" s="63">
        <f t="shared" si="1"/>
        <v>16</v>
      </c>
      <c r="C7309" s="135" t="s">
        <v>356</v>
      </c>
      <c r="D7309" s="161" t="s">
        <v>74</v>
      </c>
      <c r="E7309" s="135">
        <f t="shared" si="61"/>
        <v>24</v>
      </c>
      <c r="F7309" s="134" t="s">
        <v>3814</v>
      </c>
      <c r="G7309" s="63" t="str">
        <f>VLOOKUP(C7309, 'Class Def. - General Data'!$C$20:$C$1000,1,false)</f>
        <v>ZSI1_BINDER_CLIP</v>
      </c>
      <c r="H7309" s="63" t="str">
        <f>IFERROR(__xludf.DUMMYFUNCTION("VLOOKUP(F7309, IMPORTRANGE(""https://docs.google.com/spreadsheets/d/1Lhp9OU0JdFf_VYSMzH5lBcEaU4o8teT1piV-SNzShjg/edit?gid=554141278#gid=554141278"", ""'Char Def. - Attributes'!C20:C2242""), 1,false)"),"ALT_DENUM_UOM4")</f>
        <v>ALT_DENUM_UOM4</v>
      </c>
      <c r="I7309" s="136"/>
      <c r="R7309" s="63" t="str">
        <f t="shared" si="60"/>
        <v>ZSI1_BINDER_CLIPALT_DENUM_UOM4</v>
      </c>
    </row>
    <row r="7310" ht="15.75" customHeight="1">
      <c r="B7310" s="63">
        <f t="shared" si="1"/>
        <v>16</v>
      </c>
      <c r="C7310" s="135" t="s">
        <v>356</v>
      </c>
      <c r="D7310" s="161" t="s">
        <v>74</v>
      </c>
      <c r="E7310" s="135">
        <f t="shared" si="61"/>
        <v>25</v>
      </c>
      <c r="F7310" s="134" t="s">
        <v>3815</v>
      </c>
      <c r="G7310" s="63" t="str">
        <f>VLOOKUP(C7310, 'Class Def. - General Data'!$C$20:$C$1000,1,false)</f>
        <v>ZSI1_BINDER_CLIP</v>
      </c>
      <c r="H7310" s="63" t="str">
        <f>IFERROR(__xludf.DUMMYFUNCTION("VLOOKUP(F7310, IMPORTRANGE(""https://docs.google.com/spreadsheets/d/1Lhp9OU0JdFf_VYSMzH5lBcEaU4o8teT1piV-SNzShjg/edit?gid=554141278#gid=554141278"", ""'Char Def. - Attributes'!C20:C2242""), 1,false)"),"ALT_NUM_UOM4")</f>
        <v>ALT_NUM_UOM4</v>
      </c>
      <c r="I7310" s="136"/>
      <c r="R7310" s="63" t="str">
        <f t="shared" si="60"/>
        <v>ZSI1_BINDER_CLIPALT_NUM_UOM4</v>
      </c>
    </row>
    <row r="7311" ht="15.75" customHeight="1">
      <c r="B7311" s="63">
        <f t="shared" si="1"/>
        <v>16</v>
      </c>
      <c r="C7311" s="135" t="s">
        <v>356</v>
      </c>
      <c r="D7311" s="161" t="s">
        <v>74</v>
      </c>
      <c r="E7311" s="135">
        <f t="shared" si="61"/>
        <v>26</v>
      </c>
      <c r="F7311" s="134" t="s">
        <v>3816</v>
      </c>
      <c r="G7311" s="63" t="str">
        <f>VLOOKUP(C7311, 'Class Def. - General Data'!$C$20:$C$1000,1,false)</f>
        <v>ZSI1_BINDER_CLIP</v>
      </c>
      <c r="H7311" s="63" t="str">
        <f>IFERROR(__xludf.DUMMYFUNCTION("VLOOKUP(F7311, IMPORTRANGE(""https://docs.google.com/spreadsheets/d/1Lhp9OU0JdFf_VYSMzH5lBcEaU4o8teT1piV-SNzShjg/edit?gid=554141278#gid=554141278"", ""'Char Def. - Attributes'!C20:C2242""), 1,false)"),"ALT_UOM5_SIPI")</f>
        <v>ALT_UOM5_SIPI</v>
      </c>
      <c r="I7311" s="136"/>
      <c r="R7311" s="63" t="str">
        <f t="shared" si="60"/>
        <v>ZSI1_BINDER_CLIPALT_UOM5_SIPI</v>
      </c>
    </row>
    <row r="7312" ht="15.75" customHeight="1">
      <c r="B7312" s="63">
        <f t="shared" si="1"/>
        <v>16</v>
      </c>
      <c r="C7312" s="135" t="s">
        <v>356</v>
      </c>
      <c r="D7312" s="161" t="s">
        <v>74</v>
      </c>
      <c r="E7312" s="135">
        <f t="shared" si="61"/>
        <v>27</v>
      </c>
      <c r="F7312" s="134" t="s">
        <v>3817</v>
      </c>
      <c r="G7312" s="63" t="str">
        <f>VLOOKUP(C7312, 'Class Def. - General Data'!$C$20:$C$1000,1,false)</f>
        <v>ZSI1_BINDER_CLIP</v>
      </c>
      <c r="H7312" s="63" t="str">
        <f>IFERROR(__xludf.DUMMYFUNCTION("VLOOKUP(F7312, IMPORTRANGE(""https://docs.google.com/spreadsheets/d/1Lhp9OU0JdFf_VYSMzH5lBcEaU4o8teT1piV-SNzShjg/edit?gid=554141278#gid=554141278"", ""'Char Def. - Attributes'!C20:C2242""), 1,false)"),"ALT_DENUM_UOM5")</f>
        <v>ALT_DENUM_UOM5</v>
      </c>
      <c r="I7312" s="136"/>
      <c r="R7312" s="63" t="str">
        <f t="shared" si="60"/>
        <v>ZSI1_BINDER_CLIPALT_DENUM_UOM5</v>
      </c>
    </row>
    <row r="7313" ht="15.75" customHeight="1">
      <c r="B7313" s="63">
        <f t="shared" si="1"/>
        <v>16</v>
      </c>
      <c r="C7313" s="135" t="s">
        <v>356</v>
      </c>
      <c r="D7313" s="161" t="s">
        <v>74</v>
      </c>
      <c r="E7313" s="135">
        <f t="shared" si="61"/>
        <v>28</v>
      </c>
      <c r="F7313" s="134" t="s">
        <v>3818</v>
      </c>
      <c r="G7313" s="63" t="str">
        <f>VLOOKUP(C7313, 'Class Def. - General Data'!$C$20:$C$1000,1,false)</f>
        <v>ZSI1_BINDER_CLIP</v>
      </c>
      <c r="H7313" s="63" t="str">
        <f>IFERROR(__xludf.DUMMYFUNCTION("VLOOKUP(F7313, IMPORTRANGE(""https://docs.google.com/spreadsheets/d/1Lhp9OU0JdFf_VYSMzH5lBcEaU4o8teT1piV-SNzShjg/edit?gid=554141278#gid=554141278"", ""'Char Def. - Attributes'!C20:C2242""), 1,false)"),"ALT_NUM_UOM5")</f>
        <v>ALT_NUM_UOM5</v>
      </c>
      <c r="I7313" s="136"/>
      <c r="R7313" s="63" t="str">
        <f t="shared" si="60"/>
        <v>ZSI1_BINDER_CLIPALT_NUM_UOM5</v>
      </c>
    </row>
    <row r="7314" ht="15.75" customHeight="1">
      <c r="B7314" s="63">
        <f t="shared" si="1"/>
        <v>18</v>
      </c>
      <c r="C7314" s="135" t="s">
        <v>357</v>
      </c>
      <c r="D7314" s="161" t="s">
        <v>74</v>
      </c>
      <c r="E7314" s="135">
        <f t="shared" si="61"/>
        <v>1</v>
      </c>
      <c r="F7314" s="134" t="s">
        <v>4126</v>
      </c>
      <c r="G7314" s="63" t="str">
        <f>VLOOKUP(C7314, 'Class Def. - General Data'!$C$20:$C$1000,1,false)</f>
        <v>ZSI1_BLIND_CURTAIN</v>
      </c>
      <c r="H7314" s="63" t="str">
        <f>IFERROR(__xludf.DUMMYFUNCTION("VLOOKUP(F7314, IMPORTRANGE(""https://docs.google.com/spreadsheets/d/1Lhp9OU0JdFf_VYSMzH5lBcEaU4o8teT1piV-SNzShjg/edit?gid=554141278#gid=554141278"", ""'Char Def. - Attributes'!C20:C2242""), 1,false)"),"ITEM_NAME_BLIND_CURTAIN")</f>
        <v>ITEM_NAME_BLIND_CURTAIN</v>
      </c>
      <c r="I7314" s="136"/>
      <c r="R7314" s="63" t="str">
        <f t="shared" si="60"/>
        <v>ZSI1_BLIND_CURTAINITEM_NAME_BLIND_CURTAIN</v>
      </c>
    </row>
    <row r="7315" ht="15.75" customHeight="1">
      <c r="B7315" s="63">
        <f t="shared" si="1"/>
        <v>18</v>
      </c>
      <c r="C7315" s="135" t="s">
        <v>357</v>
      </c>
      <c r="D7315" s="161" t="s">
        <v>74</v>
      </c>
      <c r="E7315" s="135">
        <f t="shared" si="61"/>
        <v>2</v>
      </c>
      <c r="F7315" s="134" t="s">
        <v>4127</v>
      </c>
      <c r="G7315" s="63" t="str">
        <f>VLOOKUP(C7315, 'Class Def. - General Data'!$C$20:$C$1000,1,false)</f>
        <v>ZSI1_BLIND_CURTAIN</v>
      </c>
      <c r="H7315" s="63" t="str">
        <f>IFERROR(__xludf.DUMMYFUNCTION("VLOOKUP(F7315, IMPORTRANGE(""https://docs.google.com/spreadsheets/d/1Lhp9OU0JdFf_VYSMzH5lBcEaU4o8teT1piV-SNzShjg/edit?gid=554141278#gid=554141278"", ""'Char Def. - Attributes'!C20:C2242""), 1,false)"),"MATERIAL_BLIND_CURTAIN")</f>
        <v>MATERIAL_BLIND_CURTAIN</v>
      </c>
      <c r="I7315" s="136"/>
      <c r="R7315" s="63" t="str">
        <f t="shared" si="60"/>
        <v>ZSI1_BLIND_CURTAINMATERIAL_BLIND_CURTAIN</v>
      </c>
    </row>
    <row r="7316" ht="15.75" customHeight="1">
      <c r="B7316" s="63">
        <f t="shared" si="1"/>
        <v>18</v>
      </c>
      <c r="C7316" s="135" t="s">
        <v>357</v>
      </c>
      <c r="D7316" s="161" t="s">
        <v>74</v>
      </c>
      <c r="E7316" s="135">
        <f t="shared" si="61"/>
        <v>3</v>
      </c>
      <c r="F7316" s="134" t="s">
        <v>4128</v>
      </c>
      <c r="G7316" s="63" t="str">
        <f>VLOOKUP(C7316, 'Class Def. - General Data'!$C$20:$C$1000,1,false)</f>
        <v>ZSI1_BLIND_CURTAIN</v>
      </c>
      <c r="H7316" s="63" t="str">
        <f>IFERROR(__xludf.DUMMYFUNCTION("VLOOKUP(F7316, IMPORTRANGE(""https://docs.google.com/spreadsheets/d/1Lhp9OU0JdFf_VYSMzH5lBcEaU4o8teT1piV-SNzShjg/edit?gid=554141278#gid=554141278"", ""'Char Def. - Attributes'!C20:C2242""), 1,false)"),"SERIES_BLIND_CURTAIN")</f>
        <v>SERIES_BLIND_CURTAIN</v>
      </c>
      <c r="I7316" s="136"/>
      <c r="R7316" s="63" t="str">
        <f t="shared" si="60"/>
        <v>ZSI1_BLIND_CURTAINSERIES_BLIND_CURTAIN</v>
      </c>
    </row>
    <row r="7317" ht="15.75" customHeight="1">
      <c r="B7317" s="63">
        <f t="shared" si="1"/>
        <v>18</v>
      </c>
      <c r="C7317" s="135" t="s">
        <v>357</v>
      </c>
      <c r="D7317" s="161" t="s">
        <v>74</v>
      </c>
      <c r="E7317" s="135">
        <f t="shared" si="61"/>
        <v>4</v>
      </c>
      <c r="F7317" s="134" t="s">
        <v>3782</v>
      </c>
      <c r="G7317" s="63" t="str">
        <f>VLOOKUP(C7317, 'Class Def. - General Data'!$C$20:$C$1000,1,false)</f>
        <v>ZSI1_BLIND_CURTAIN</v>
      </c>
      <c r="H7317" s="63" t="str">
        <f>IFERROR(__xludf.DUMMYFUNCTION("VLOOKUP(F7317, IMPORTRANGE(""https://docs.google.com/spreadsheets/d/1Lhp9OU0JdFf_VYSMzH5lBcEaU4o8teT1piV-SNzShjg/edit?gid=554141278#gid=554141278"", ""'Char Def. - Attributes'!C20:C2242""), 1,false)"),"BRAND_EXTERNAL")</f>
        <v>BRAND_EXTERNAL</v>
      </c>
      <c r="I7317" s="136"/>
      <c r="R7317" s="63" t="str">
        <f t="shared" si="60"/>
        <v>ZSI1_BLIND_CURTAINBRAND_EXTERNAL</v>
      </c>
    </row>
    <row r="7318" ht="15.75" customHeight="1">
      <c r="B7318" s="63">
        <f t="shared" si="1"/>
        <v>18</v>
      </c>
      <c r="C7318" s="135" t="s">
        <v>357</v>
      </c>
      <c r="D7318" s="161" t="s">
        <v>74</v>
      </c>
      <c r="E7318" s="135">
        <f t="shared" si="61"/>
        <v>5</v>
      </c>
      <c r="F7318" s="134" t="s">
        <v>3585</v>
      </c>
      <c r="G7318" s="63" t="str">
        <f>VLOOKUP(C7318, 'Class Def. - General Data'!$C$20:$C$1000,1,false)</f>
        <v>ZSI1_BLIND_CURTAIN</v>
      </c>
      <c r="H7318" s="63" t="str">
        <f>IFERROR(__xludf.DUMMYFUNCTION("VLOOKUP(F7318, IMPORTRANGE(""https://docs.google.com/spreadsheets/d/1Lhp9OU0JdFf_VYSMzH5lBcEaU4o8teT1piV-SNzShjg/edit?gid=554141278#gid=554141278"", ""'Char Def. - Attributes'!C20:C2242""), 1,false)"),"HS_CODE")</f>
        <v>HS_CODE</v>
      </c>
      <c r="I7318" s="136"/>
      <c r="R7318" s="63" t="str">
        <f t="shared" si="60"/>
        <v>ZSI1_BLIND_CURTAINHS_CODE</v>
      </c>
    </row>
    <row r="7319" ht="15.75" customHeight="1">
      <c r="B7319" s="63">
        <f t="shared" si="1"/>
        <v>18</v>
      </c>
      <c r="C7319" s="135" t="s">
        <v>357</v>
      </c>
      <c r="D7319" s="161" t="s">
        <v>74</v>
      </c>
      <c r="E7319" s="135">
        <f t="shared" si="61"/>
        <v>6</v>
      </c>
      <c r="F7319" s="134" t="s">
        <v>3587</v>
      </c>
      <c r="G7319" s="63" t="str">
        <f>VLOOKUP(C7319, 'Class Def. - General Data'!$C$20:$C$1000,1,false)</f>
        <v>ZSI1_BLIND_CURTAIN</v>
      </c>
      <c r="H7319" s="63" t="str">
        <f>IFERROR(__xludf.DUMMYFUNCTION("VLOOKUP(F7319, IMPORTRANGE(""https://docs.google.com/spreadsheets/d/1Lhp9OU0JdFf_VYSMzH5lBcEaU4o8teT1piV-SNzShjg/edit?gid=554141278#gid=554141278"", ""'Char Def. - Attributes'!C20:C2242""), 1,false)"),"PLANT_BUY")</f>
        <v>PLANT_BUY</v>
      </c>
      <c r="I7319" s="136"/>
      <c r="R7319" s="63" t="str">
        <f t="shared" si="60"/>
        <v>ZSI1_BLIND_CURTAINPLANT_BUY</v>
      </c>
    </row>
    <row r="7320" ht="15.75" customHeight="1">
      <c r="B7320" s="63">
        <f t="shared" si="1"/>
        <v>18</v>
      </c>
      <c r="C7320" s="135" t="s">
        <v>357</v>
      </c>
      <c r="D7320" s="161" t="s">
        <v>74</v>
      </c>
      <c r="E7320" s="135">
        <f t="shared" si="61"/>
        <v>7</v>
      </c>
      <c r="F7320" s="134" t="s">
        <v>4129</v>
      </c>
      <c r="G7320" s="63" t="str">
        <f>VLOOKUP(C7320, 'Class Def. - General Data'!$C$20:$C$1000,1,false)</f>
        <v>ZSI1_BLIND_CURTAIN</v>
      </c>
      <c r="H7320" s="63" t="str">
        <f>IFERROR(__xludf.DUMMYFUNCTION("VLOOKUP(F7320, IMPORTRANGE(""https://docs.google.com/spreadsheets/d/1Lhp9OU0JdFf_VYSMzH5lBcEaU4o8teT1piV-SNzShjg/edit?gid=554141278#gid=554141278"", ""'Char Def. - Attributes'!C20:C2242""), 1,false)"),"BASE_UOM_BLIND_CURTAIN")</f>
        <v>BASE_UOM_BLIND_CURTAIN</v>
      </c>
      <c r="I7320" s="136"/>
      <c r="R7320" s="63" t="str">
        <f t="shared" si="60"/>
        <v>ZSI1_BLIND_CURTAINBASE_UOM_BLIND_CURTAIN</v>
      </c>
    </row>
    <row r="7321" ht="15.75" customHeight="1">
      <c r="B7321" s="63">
        <f t="shared" si="1"/>
        <v>18</v>
      </c>
      <c r="C7321" s="135" t="s">
        <v>357</v>
      </c>
      <c r="D7321" s="161" t="s">
        <v>74</v>
      </c>
      <c r="E7321" s="135">
        <f t="shared" si="61"/>
        <v>8</v>
      </c>
      <c r="F7321" s="134" t="s">
        <v>4130</v>
      </c>
      <c r="G7321" s="63" t="str">
        <f>VLOOKUP(C7321, 'Class Def. - General Data'!$C$20:$C$1000,1,false)</f>
        <v>ZSI1_BLIND_CURTAIN</v>
      </c>
      <c r="H7321" s="63" t="str">
        <f>IFERROR(__xludf.DUMMYFUNCTION("VLOOKUP(F7321, IMPORTRANGE(""https://docs.google.com/spreadsheets/d/1Lhp9OU0JdFf_VYSMzH5lBcEaU4o8teT1piV-SNzShjg/edit?gid=554141278#gid=554141278"", ""'Char Def. - Attributes'!C20:C2242""), 1,false)"),"ORDER_UNIT_BLIND_CURTAIN")</f>
        <v>ORDER_UNIT_BLIND_CURTAIN</v>
      </c>
      <c r="I7321" s="136"/>
      <c r="R7321" s="63" t="str">
        <f t="shared" si="60"/>
        <v>ZSI1_BLIND_CURTAINORDER_UNIT_BLIND_CURTAIN</v>
      </c>
    </row>
    <row r="7322" ht="15.75" customHeight="1">
      <c r="B7322" s="63">
        <f t="shared" si="1"/>
        <v>18</v>
      </c>
      <c r="C7322" s="135" t="s">
        <v>357</v>
      </c>
      <c r="D7322" s="161" t="s">
        <v>74</v>
      </c>
      <c r="E7322" s="135">
        <f t="shared" si="61"/>
        <v>9</v>
      </c>
      <c r="F7322" s="134" t="s">
        <v>4056</v>
      </c>
      <c r="G7322" s="63" t="str">
        <f>VLOOKUP(C7322, 'Class Def. - General Data'!$C$20:$C$1000,1,false)</f>
        <v>ZSI1_BLIND_CURTAIN</v>
      </c>
      <c r="H7322" s="63" t="str">
        <f>IFERROR(__xludf.DUMMYFUNCTION("VLOOKUP(F7322, IMPORTRANGE(""https://docs.google.com/spreadsheets/d/1Lhp9OU0JdFf_VYSMzH5lBcEaU4o8teT1piV-SNzShjg/edit?gid=554141278#gid=554141278"", ""'Char Def. - Attributes'!C20:C2242""), 1,false)"),"GROSS_WEIGHT_OPT")</f>
        <v>GROSS_WEIGHT_OPT</v>
      </c>
      <c r="I7322" s="136"/>
      <c r="R7322" s="63" t="str">
        <f t="shared" si="60"/>
        <v>ZSI1_BLIND_CURTAINGROSS_WEIGHT_OPT</v>
      </c>
    </row>
    <row r="7323" ht="15.75" customHeight="1">
      <c r="B7323" s="63">
        <f t="shared" si="1"/>
        <v>18</v>
      </c>
      <c r="C7323" s="135" t="s">
        <v>357</v>
      </c>
      <c r="D7323" s="161" t="s">
        <v>74</v>
      </c>
      <c r="E7323" s="135">
        <f t="shared" si="61"/>
        <v>10</v>
      </c>
      <c r="F7323" s="134" t="s">
        <v>4057</v>
      </c>
      <c r="G7323" s="63" t="str">
        <f>VLOOKUP(C7323, 'Class Def. - General Data'!$C$20:$C$1000,1,false)</f>
        <v>ZSI1_BLIND_CURTAIN</v>
      </c>
      <c r="H7323" s="63" t="str">
        <f>IFERROR(__xludf.DUMMYFUNCTION("VLOOKUP(F7323, IMPORTRANGE(""https://docs.google.com/spreadsheets/d/1Lhp9OU0JdFf_VYSMzH5lBcEaU4o8teT1piV-SNzShjg/edit?gid=554141278#gid=554141278"", ""'Char Def. - Attributes'!C20:C2242""), 1,false)"),"NET_WEIGHT_OPT")</f>
        <v>NET_WEIGHT_OPT</v>
      </c>
      <c r="I7323" s="136"/>
      <c r="R7323" s="63" t="str">
        <f t="shared" si="60"/>
        <v>ZSI1_BLIND_CURTAINNET_WEIGHT_OPT</v>
      </c>
    </row>
    <row r="7324" ht="15.75" customHeight="1">
      <c r="B7324" s="63">
        <f t="shared" si="1"/>
        <v>18</v>
      </c>
      <c r="C7324" s="135" t="s">
        <v>357</v>
      </c>
      <c r="D7324" s="161" t="s">
        <v>74</v>
      </c>
      <c r="E7324" s="135">
        <f t="shared" si="61"/>
        <v>11</v>
      </c>
      <c r="F7324" s="134" t="s">
        <v>4058</v>
      </c>
      <c r="G7324" s="63" t="str">
        <f>VLOOKUP(C7324, 'Class Def. - General Data'!$C$20:$C$1000,1,false)</f>
        <v>ZSI1_BLIND_CURTAIN</v>
      </c>
      <c r="H7324" s="63" t="str">
        <f>IFERROR(__xludf.DUMMYFUNCTION("VLOOKUP(F7324, IMPORTRANGE(""https://docs.google.com/spreadsheets/d/1Lhp9OU0JdFf_VYSMzH5lBcEaU4o8teT1piV-SNzShjg/edit?gid=554141278#gid=554141278"", ""'Char Def. - Attributes'!C20:C2242""), 1,false)"),"WEIGHT_UNIT_SI")</f>
        <v>WEIGHT_UNIT_SI</v>
      </c>
      <c r="I7324" s="136"/>
      <c r="R7324" s="63" t="str">
        <f t="shared" si="60"/>
        <v>ZSI1_BLIND_CURTAINWEIGHT_UNIT_SI</v>
      </c>
    </row>
    <row r="7325" ht="15.75" customHeight="1">
      <c r="B7325" s="63">
        <f t="shared" si="1"/>
        <v>18</v>
      </c>
      <c r="C7325" s="135" t="s">
        <v>357</v>
      </c>
      <c r="D7325" s="161" t="s">
        <v>74</v>
      </c>
      <c r="E7325" s="135">
        <f t="shared" si="61"/>
        <v>12</v>
      </c>
      <c r="F7325" s="134" t="s">
        <v>3877</v>
      </c>
      <c r="G7325" s="63" t="str">
        <f>VLOOKUP(C7325, 'Class Def. - General Data'!$C$20:$C$1000,1,false)</f>
        <v>ZSI1_BLIND_CURTAIN</v>
      </c>
      <c r="H7325" s="63" t="str">
        <f>IFERROR(__xludf.DUMMYFUNCTION("VLOOKUP(F7325, IMPORTRANGE(""https://docs.google.com/spreadsheets/d/1Lhp9OU0JdFf_VYSMzH5lBcEaU4o8teT1piV-SNzShjg/edit?gid=554141278#gid=554141278"", ""'Char Def. - Attributes'!C20:C2242""), 1,false)"),"VOLUME_OPT")</f>
        <v>VOLUME_OPT</v>
      </c>
      <c r="I7325" s="136"/>
      <c r="R7325" s="63" t="str">
        <f t="shared" si="60"/>
        <v>ZSI1_BLIND_CURTAINVOLUME_OPT</v>
      </c>
    </row>
    <row r="7326" ht="15.75" customHeight="1">
      <c r="B7326" s="63">
        <f t="shared" si="1"/>
        <v>18</v>
      </c>
      <c r="C7326" s="135" t="s">
        <v>357</v>
      </c>
      <c r="D7326" s="161" t="s">
        <v>74</v>
      </c>
      <c r="E7326" s="135">
        <f t="shared" si="61"/>
        <v>13</v>
      </c>
      <c r="F7326" s="134" t="s">
        <v>4059</v>
      </c>
      <c r="G7326" s="63" t="str">
        <f>VLOOKUP(C7326, 'Class Def. - General Data'!$C$20:$C$1000,1,false)</f>
        <v>ZSI1_BLIND_CURTAIN</v>
      </c>
      <c r="H7326" s="63" t="str">
        <f>IFERROR(__xludf.DUMMYFUNCTION("VLOOKUP(F7326, IMPORTRANGE(""https://docs.google.com/spreadsheets/d/1Lhp9OU0JdFf_VYSMzH5lBcEaU4o8teT1piV-SNzShjg/edit?gid=554141278#gid=554141278"", ""'Char Def. - Attributes'!C20:C2242""), 1,false)"),"VOLUME_UNIT_SI")</f>
        <v>VOLUME_UNIT_SI</v>
      </c>
      <c r="I7326" s="136"/>
      <c r="R7326" s="63" t="str">
        <f t="shared" si="60"/>
        <v>ZSI1_BLIND_CURTAINVOLUME_UNIT_SI</v>
      </c>
    </row>
    <row r="7327" ht="15.75" customHeight="1">
      <c r="B7327" s="63">
        <f t="shared" si="1"/>
        <v>18</v>
      </c>
      <c r="C7327" s="135" t="s">
        <v>357</v>
      </c>
      <c r="D7327" s="161" t="s">
        <v>74</v>
      </c>
      <c r="E7327" s="135">
        <f t="shared" si="61"/>
        <v>14</v>
      </c>
      <c r="F7327" s="134" t="s">
        <v>3804</v>
      </c>
      <c r="G7327" s="63" t="str">
        <f>VLOOKUP(C7327, 'Class Def. - General Data'!$C$20:$C$1000,1,false)</f>
        <v>ZSI1_BLIND_CURTAIN</v>
      </c>
      <c r="H7327" s="63" t="str">
        <f>IFERROR(__xludf.DUMMYFUNCTION("VLOOKUP(F7327, IMPORTRANGE(""https://docs.google.com/spreadsheets/d/1Lhp9OU0JdFf_VYSMzH5lBcEaU4o8teT1piV-SNzShjg/edit?gid=554141278#gid=554141278"", ""'Char Def. - Attributes'!C20:C2242""), 1,false)"),"ALT_UOM1_SIPI")</f>
        <v>ALT_UOM1_SIPI</v>
      </c>
      <c r="I7327" s="136"/>
      <c r="R7327" s="63" t="str">
        <f t="shared" si="60"/>
        <v>ZSI1_BLIND_CURTAINALT_UOM1_SIPI</v>
      </c>
    </row>
    <row r="7328" ht="15.75" customHeight="1">
      <c r="B7328" s="63">
        <f t="shared" si="1"/>
        <v>18</v>
      </c>
      <c r="C7328" s="135" t="s">
        <v>357</v>
      </c>
      <c r="D7328" s="161" t="s">
        <v>74</v>
      </c>
      <c r="E7328" s="135">
        <f t="shared" si="61"/>
        <v>15</v>
      </c>
      <c r="F7328" s="134" t="s">
        <v>3805</v>
      </c>
      <c r="G7328" s="63" t="str">
        <f>VLOOKUP(C7328, 'Class Def. - General Data'!$C$20:$C$1000,1,false)</f>
        <v>ZSI1_BLIND_CURTAIN</v>
      </c>
      <c r="H7328" s="63" t="str">
        <f>IFERROR(__xludf.DUMMYFUNCTION("VLOOKUP(F7328, IMPORTRANGE(""https://docs.google.com/spreadsheets/d/1Lhp9OU0JdFf_VYSMzH5lBcEaU4o8teT1piV-SNzShjg/edit?gid=554141278#gid=554141278"", ""'Char Def. - Attributes'!C20:C2242""), 1,false)"),"ALT_DENUM_UOM1")</f>
        <v>ALT_DENUM_UOM1</v>
      </c>
      <c r="I7328" s="136"/>
      <c r="R7328" s="63" t="str">
        <f t="shared" si="60"/>
        <v>ZSI1_BLIND_CURTAINALT_DENUM_UOM1</v>
      </c>
    </row>
    <row r="7329" ht="15.75" customHeight="1">
      <c r="B7329" s="63">
        <f t="shared" si="1"/>
        <v>18</v>
      </c>
      <c r="C7329" s="135" t="s">
        <v>357</v>
      </c>
      <c r="D7329" s="161" t="s">
        <v>74</v>
      </c>
      <c r="E7329" s="135">
        <f t="shared" si="61"/>
        <v>16</v>
      </c>
      <c r="F7329" s="134" t="s">
        <v>3806</v>
      </c>
      <c r="G7329" s="63" t="str">
        <f>VLOOKUP(C7329, 'Class Def. - General Data'!$C$20:$C$1000,1,false)</f>
        <v>ZSI1_BLIND_CURTAIN</v>
      </c>
      <c r="H7329" s="63" t="str">
        <f>IFERROR(__xludf.DUMMYFUNCTION("VLOOKUP(F7329, IMPORTRANGE(""https://docs.google.com/spreadsheets/d/1Lhp9OU0JdFf_VYSMzH5lBcEaU4o8teT1piV-SNzShjg/edit?gid=554141278#gid=554141278"", ""'Char Def. - Attributes'!C20:C2242""), 1,false)"),"ALT_NUM_UOM1")</f>
        <v>ALT_NUM_UOM1</v>
      </c>
      <c r="I7329" s="136"/>
      <c r="R7329" s="63" t="str">
        <f t="shared" si="60"/>
        <v>ZSI1_BLIND_CURTAINALT_NUM_UOM1</v>
      </c>
    </row>
    <row r="7330" ht="15.75" customHeight="1">
      <c r="B7330" s="63">
        <f t="shared" si="1"/>
        <v>18</v>
      </c>
      <c r="C7330" s="135" t="s">
        <v>357</v>
      </c>
      <c r="D7330" s="161" t="s">
        <v>74</v>
      </c>
      <c r="E7330" s="135">
        <f t="shared" si="61"/>
        <v>17</v>
      </c>
      <c r="F7330" s="134" t="s">
        <v>3807</v>
      </c>
      <c r="G7330" s="63" t="str">
        <f>VLOOKUP(C7330, 'Class Def. - General Data'!$C$20:$C$1000,1,false)</f>
        <v>ZSI1_BLIND_CURTAIN</v>
      </c>
      <c r="H7330" s="63" t="str">
        <f>IFERROR(__xludf.DUMMYFUNCTION("VLOOKUP(F7330, IMPORTRANGE(""https://docs.google.com/spreadsheets/d/1Lhp9OU0JdFf_VYSMzH5lBcEaU4o8teT1piV-SNzShjg/edit?gid=554141278#gid=554141278"", ""'Char Def. - Attributes'!C20:C2242""), 1,false)"),"ALT_UOM2_SIPI")</f>
        <v>ALT_UOM2_SIPI</v>
      </c>
      <c r="I7330" s="136"/>
      <c r="R7330" s="63" t="str">
        <f t="shared" si="60"/>
        <v>ZSI1_BLIND_CURTAINALT_UOM2_SIPI</v>
      </c>
    </row>
    <row r="7331" ht="15.75" customHeight="1">
      <c r="B7331" s="63">
        <f t="shared" si="1"/>
        <v>18</v>
      </c>
      <c r="C7331" s="135" t="s">
        <v>357</v>
      </c>
      <c r="D7331" s="161" t="s">
        <v>74</v>
      </c>
      <c r="E7331" s="135">
        <f t="shared" si="61"/>
        <v>18</v>
      </c>
      <c r="F7331" s="134" t="s">
        <v>3808</v>
      </c>
      <c r="G7331" s="63" t="str">
        <f>VLOOKUP(C7331, 'Class Def. - General Data'!$C$20:$C$1000,1,false)</f>
        <v>ZSI1_BLIND_CURTAIN</v>
      </c>
      <c r="H7331" s="63" t="str">
        <f>IFERROR(__xludf.DUMMYFUNCTION("VLOOKUP(F7331, IMPORTRANGE(""https://docs.google.com/spreadsheets/d/1Lhp9OU0JdFf_VYSMzH5lBcEaU4o8teT1piV-SNzShjg/edit?gid=554141278#gid=554141278"", ""'Char Def. - Attributes'!C20:C2242""), 1,false)"),"ALT_DENUM_UOM2")</f>
        <v>ALT_DENUM_UOM2</v>
      </c>
      <c r="I7331" s="136"/>
      <c r="R7331" s="63" t="str">
        <f t="shared" si="60"/>
        <v>ZSI1_BLIND_CURTAINALT_DENUM_UOM2</v>
      </c>
    </row>
    <row r="7332" ht="15.75" customHeight="1">
      <c r="B7332" s="63">
        <f t="shared" si="1"/>
        <v>18</v>
      </c>
      <c r="C7332" s="135" t="s">
        <v>357</v>
      </c>
      <c r="D7332" s="161" t="s">
        <v>74</v>
      </c>
      <c r="E7332" s="135">
        <f t="shared" si="61"/>
        <v>19</v>
      </c>
      <c r="F7332" s="134" t="s">
        <v>3809</v>
      </c>
      <c r="G7332" s="63" t="str">
        <f>VLOOKUP(C7332, 'Class Def. - General Data'!$C$20:$C$1000,1,false)</f>
        <v>ZSI1_BLIND_CURTAIN</v>
      </c>
      <c r="H7332" s="63" t="str">
        <f>IFERROR(__xludf.DUMMYFUNCTION("VLOOKUP(F7332, IMPORTRANGE(""https://docs.google.com/spreadsheets/d/1Lhp9OU0JdFf_VYSMzH5lBcEaU4o8teT1piV-SNzShjg/edit?gid=554141278#gid=554141278"", ""'Char Def. - Attributes'!C20:C2242""), 1,false)"),"ALT_NUM_UOM2")</f>
        <v>ALT_NUM_UOM2</v>
      </c>
      <c r="I7332" s="136"/>
      <c r="R7332" s="63" t="str">
        <f t="shared" si="60"/>
        <v>ZSI1_BLIND_CURTAINALT_NUM_UOM2</v>
      </c>
    </row>
    <row r="7333" ht="15.75" customHeight="1">
      <c r="B7333" s="63">
        <f t="shared" si="1"/>
        <v>18</v>
      </c>
      <c r="C7333" s="135" t="s">
        <v>357</v>
      </c>
      <c r="D7333" s="161" t="s">
        <v>74</v>
      </c>
      <c r="E7333" s="135">
        <f t="shared" si="61"/>
        <v>20</v>
      </c>
      <c r="F7333" s="134" t="s">
        <v>3810</v>
      </c>
      <c r="G7333" s="63" t="str">
        <f>VLOOKUP(C7333, 'Class Def. - General Data'!$C$20:$C$1000,1,false)</f>
        <v>ZSI1_BLIND_CURTAIN</v>
      </c>
      <c r="H7333" s="63" t="str">
        <f>IFERROR(__xludf.DUMMYFUNCTION("VLOOKUP(F7333, IMPORTRANGE(""https://docs.google.com/spreadsheets/d/1Lhp9OU0JdFf_VYSMzH5lBcEaU4o8teT1piV-SNzShjg/edit?gid=554141278#gid=554141278"", ""'Char Def. - Attributes'!C20:C2242""), 1,false)"),"ALT_UOM3_SIPI")</f>
        <v>ALT_UOM3_SIPI</v>
      </c>
      <c r="I7333" s="136"/>
      <c r="R7333" s="63" t="str">
        <f t="shared" si="60"/>
        <v>ZSI1_BLIND_CURTAINALT_UOM3_SIPI</v>
      </c>
    </row>
    <row r="7334" ht="15.75" customHeight="1">
      <c r="B7334" s="63">
        <f t="shared" si="1"/>
        <v>18</v>
      </c>
      <c r="C7334" s="135" t="s">
        <v>357</v>
      </c>
      <c r="D7334" s="161" t="s">
        <v>74</v>
      </c>
      <c r="E7334" s="135">
        <f t="shared" si="61"/>
        <v>21</v>
      </c>
      <c r="F7334" s="134" t="s">
        <v>3811</v>
      </c>
      <c r="G7334" s="63" t="str">
        <f>VLOOKUP(C7334, 'Class Def. - General Data'!$C$20:$C$1000,1,false)</f>
        <v>ZSI1_BLIND_CURTAIN</v>
      </c>
      <c r="H7334" s="63" t="str">
        <f>IFERROR(__xludf.DUMMYFUNCTION("VLOOKUP(F7334, IMPORTRANGE(""https://docs.google.com/spreadsheets/d/1Lhp9OU0JdFf_VYSMzH5lBcEaU4o8teT1piV-SNzShjg/edit?gid=554141278#gid=554141278"", ""'Char Def. - Attributes'!C20:C2242""), 1,false)"),"ALT_DENUM_UOM3")</f>
        <v>ALT_DENUM_UOM3</v>
      </c>
      <c r="I7334" s="136"/>
      <c r="R7334" s="63" t="str">
        <f t="shared" si="60"/>
        <v>ZSI1_BLIND_CURTAINALT_DENUM_UOM3</v>
      </c>
    </row>
    <row r="7335" ht="15.75" customHeight="1">
      <c r="B7335" s="63">
        <f t="shared" si="1"/>
        <v>18</v>
      </c>
      <c r="C7335" s="135" t="s">
        <v>357</v>
      </c>
      <c r="D7335" s="161" t="s">
        <v>74</v>
      </c>
      <c r="E7335" s="135">
        <f t="shared" si="61"/>
        <v>22</v>
      </c>
      <c r="F7335" s="134" t="s">
        <v>3812</v>
      </c>
      <c r="G7335" s="63" t="str">
        <f>VLOOKUP(C7335, 'Class Def. - General Data'!$C$20:$C$1000,1,false)</f>
        <v>ZSI1_BLIND_CURTAIN</v>
      </c>
      <c r="H7335" s="63" t="str">
        <f>IFERROR(__xludf.DUMMYFUNCTION("VLOOKUP(F7335, IMPORTRANGE(""https://docs.google.com/spreadsheets/d/1Lhp9OU0JdFf_VYSMzH5lBcEaU4o8teT1piV-SNzShjg/edit?gid=554141278#gid=554141278"", ""'Char Def. - Attributes'!C20:C2242""), 1,false)"),"ALT_NUM_UOM3")</f>
        <v>ALT_NUM_UOM3</v>
      </c>
      <c r="I7335" s="136"/>
      <c r="R7335" s="63" t="str">
        <f t="shared" si="60"/>
        <v>ZSI1_BLIND_CURTAINALT_NUM_UOM3</v>
      </c>
    </row>
    <row r="7336" ht="15.75" customHeight="1">
      <c r="B7336" s="63">
        <f t="shared" si="1"/>
        <v>18</v>
      </c>
      <c r="C7336" s="135" t="s">
        <v>357</v>
      </c>
      <c r="D7336" s="161" t="s">
        <v>74</v>
      </c>
      <c r="E7336" s="135">
        <f t="shared" si="61"/>
        <v>23</v>
      </c>
      <c r="F7336" s="134" t="s">
        <v>3813</v>
      </c>
      <c r="G7336" s="63" t="str">
        <f>VLOOKUP(C7336, 'Class Def. - General Data'!$C$20:$C$1000,1,false)</f>
        <v>ZSI1_BLIND_CURTAIN</v>
      </c>
      <c r="H7336" s="63" t="str">
        <f>IFERROR(__xludf.DUMMYFUNCTION("VLOOKUP(F7336, IMPORTRANGE(""https://docs.google.com/spreadsheets/d/1Lhp9OU0JdFf_VYSMzH5lBcEaU4o8teT1piV-SNzShjg/edit?gid=554141278#gid=554141278"", ""'Char Def. - Attributes'!C20:C2242""), 1,false)"),"ALT_UOM4_SIPI")</f>
        <v>ALT_UOM4_SIPI</v>
      </c>
      <c r="I7336" s="136"/>
      <c r="R7336" s="63" t="str">
        <f t="shared" si="60"/>
        <v>ZSI1_BLIND_CURTAINALT_UOM4_SIPI</v>
      </c>
    </row>
    <row r="7337" ht="15.75" customHeight="1">
      <c r="B7337" s="63">
        <f t="shared" si="1"/>
        <v>18</v>
      </c>
      <c r="C7337" s="135" t="s">
        <v>357</v>
      </c>
      <c r="D7337" s="161" t="s">
        <v>74</v>
      </c>
      <c r="E7337" s="135">
        <f t="shared" si="61"/>
        <v>24</v>
      </c>
      <c r="F7337" s="134" t="s">
        <v>3814</v>
      </c>
      <c r="G7337" s="63" t="str">
        <f>VLOOKUP(C7337, 'Class Def. - General Data'!$C$20:$C$1000,1,false)</f>
        <v>ZSI1_BLIND_CURTAIN</v>
      </c>
      <c r="H7337" s="63" t="str">
        <f>IFERROR(__xludf.DUMMYFUNCTION("VLOOKUP(F7337, IMPORTRANGE(""https://docs.google.com/spreadsheets/d/1Lhp9OU0JdFf_VYSMzH5lBcEaU4o8teT1piV-SNzShjg/edit?gid=554141278#gid=554141278"", ""'Char Def. - Attributes'!C20:C2242""), 1,false)"),"ALT_DENUM_UOM4")</f>
        <v>ALT_DENUM_UOM4</v>
      </c>
      <c r="I7337" s="136"/>
      <c r="R7337" s="63" t="str">
        <f t="shared" si="60"/>
        <v>ZSI1_BLIND_CURTAINALT_DENUM_UOM4</v>
      </c>
    </row>
    <row r="7338" ht="15.75" customHeight="1">
      <c r="B7338" s="63">
        <f t="shared" si="1"/>
        <v>18</v>
      </c>
      <c r="C7338" s="135" t="s">
        <v>357</v>
      </c>
      <c r="D7338" s="161" t="s">
        <v>74</v>
      </c>
      <c r="E7338" s="135">
        <f t="shared" si="61"/>
        <v>25</v>
      </c>
      <c r="F7338" s="134" t="s">
        <v>3815</v>
      </c>
      <c r="G7338" s="63" t="str">
        <f>VLOOKUP(C7338, 'Class Def. - General Data'!$C$20:$C$1000,1,false)</f>
        <v>ZSI1_BLIND_CURTAIN</v>
      </c>
      <c r="H7338" s="63" t="str">
        <f>IFERROR(__xludf.DUMMYFUNCTION("VLOOKUP(F7338, IMPORTRANGE(""https://docs.google.com/spreadsheets/d/1Lhp9OU0JdFf_VYSMzH5lBcEaU4o8teT1piV-SNzShjg/edit?gid=554141278#gid=554141278"", ""'Char Def. - Attributes'!C20:C2242""), 1,false)"),"ALT_NUM_UOM4")</f>
        <v>ALT_NUM_UOM4</v>
      </c>
      <c r="I7338" s="136"/>
      <c r="R7338" s="63" t="str">
        <f t="shared" si="60"/>
        <v>ZSI1_BLIND_CURTAINALT_NUM_UOM4</v>
      </c>
    </row>
    <row r="7339" ht="15.75" customHeight="1">
      <c r="B7339" s="63">
        <f t="shared" si="1"/>
        <v>18</v>
      </c>
      <c r="C7339" s="135" t="s">
        <v>357</v>
      </c>
      <c r="D7339" s="161" t="s">
        <v>74</v>
      </c>
      <c r="E7339" s="135">
        <f t="shared" si="61"/>
        <v>26</v>
      </c>
      <c r="F7339" s="134" t="s">
        <v>3816</v>
      </c>
      <c r="G7339" s="63" t="str">
        <f>VLOOKUP(C7339, 'Class Def. - General Data'!$C$20:$C$1000,1,false)</f>
        <v>ZSI1_BLIND_CURTAIN</v>
      </c>
      <c r="H7339" s="63" t="str">
        <f>IFERROR(__xludf.DUMMYFUNCTION("VLOOKUP(F7339, IMPORTRANGE(""https://docs.google.com/spreadsheets/d/1Lhp9OU0JdFf_VYSMzH5lBcEaU4o8teT1piV-SNzShjg/edit?gid=554141278#gid=554141278"", ""'Char Def. - Attributes'!C20:C2242""), 1,false)"),"ALT_UOM5_SIPI")</f>
        <v>ALT_UOM5_SIPI</v>
      </c>
      <c r="I7339" s="136"/>
      <c r="R7339" s="63" t="str">
        <f t="shared" si="60"/>
        <v>ZSI1_BLIND_CURTAINALT_UOM5_SIPI</v>
      </c>
    </row>
    <row r="7340" ht="15.75" customHeight="1">
      <c r="B7340" s="63">
        <f t="shared" si="1"/>
        <v>18</v>
      </c>
      <c r="C7340" s="135" t="s">
        <v>357</v>
      </c>
      <c r="D7340" s="161" t="s">
        <v>74</v>
      </c>
      <c r="E7340" s="135">
        <f t="shared" si="61"/>
        <v>27</v>
      </c>
      <c r="F7340" s="134" t="s">
        <v>3817</v>
      </c>
      <c r="G7340" s="63" t="str">
        <f>VLOOKUP(C7340, 'Class Def. - General Data'!$C$20:$C$1000,1,false)</f>
        <v>ZSI1_BLIND_CURTAIN</v>
      </c>
      <c r="H7340" s="63" t="str">
        <f>IFERROR(__xludf.DUMMYFUNCTION("VLOOKUP(F7340, IMPORTRANGE(""https://docs.google.com/spreadsheets/d/1Lhp9OU0JdFf_VYSMzH5lBcEaU4o8teT1piV-SNzShjg/edit?gid=554141278#gid=554141278"", ""'Char Def. - Attributes'!C20:C2242""), 1,false)"),"ALT_DENUM_UOM5")</f>
        <v>ALT_DENUM_UOM5</v>
      </c>
      <c r="I7340" s="136"/>
      <c r="R7340" s="63" t="str">
        <f t="shared" si="60"/>
        <v>ZSI1_BLIND_CURTAINALT_DENUM_UOM5</v>
      </c>
    </row>
    <row r="7341" ht="15.75" customHeight="1">
      <c r="B7341" s="63">
        <f t="shared" si="1"/>
        <v>18</v>
      </c>
      <c r="C7341" s="135" t="s">
        <v>357</v>
      </c>
      <c r="D7341" s="161" t="s">
        <v>74</v>
      </c>
      <c r="E7341" s="135">
        <f t="shared" si="61"/>
        <v>28</v>
      </c>
      <c r="F7341" s="134" t="s">
        <v>3818</v>
      </c>
      <c r="G7341" s="63" t="str">
        <f>VLOOKUP(C7341, 'Class Def. - General Data'!$C$20:$C$1000,1,false)</f>
        <v>ZSI1_BLIND_CURTAIN</v>
      </c>
      <c r="H7341" s="63" t="str">
        <f>IFERROR(__xludf.DUMMYFUNCTION("VLOOKUP(F7341, IMPORTRANGE(""https://docs.google.com/spreadsheets/d/1Lhp9OU0JdFf_VYSMzH5lBcEaU4o8teT1piV-SNzShjg/edit?gid=554141278#gid=554141278"", ""'Char Def. - Attributes'!C20:C2242""), 1,false)"),"ALT_NUM_UOM5")</f>
        <v>ALT_NUM_UOM5</v>
      </c>
      <c r="I7341" s="136"/>
      <c r="R7341" s="63" t="str">
        <f t="shared" si="60"/>
        <v>ZSI1_BLIND_CURTAINALT_NUM_UOM5</v>
      </c>
    </row>
    <row r="7342" ht="15.75" customHeight="1">
      <c r="B7342" s="63">
        <f t="shared" si="1"/>
        <v>11</v>
      </c>
      <c r="C7342" s="135" t="s">
        <v>533</v>
      </c>
      <c r="D7342" s="161" t="s">
        <v>74</v>
      </c>
      <c r="E7342" s="135">
        <f t="shared" si="61"/>
        <v>1</v>
      </c>
      <c r="F7342" s="134" t="s">
        <v>4131</v>
      </c>
      <c r="G7342" s="63" t="str">
        <f>VLOOKUP(C7342, 'Class Def. - General Data'!$C$20:$C$1000,1,false)</f>
        <v>ZSI1_BLOCKS</v>
      </c>
      <c r="H7342" s="63" t="str">
        <f>IFERROR(__xludf.DUMMYFUNCTION("VLOOKUP(F7342, IMPORTRANGE(""https://docs.google.com/spreadsheets/d/1Lhp9OU0JdFf_VYSMzH5lBcEaU4o8teT1piV-SNzShjg/edit?gid=554141278#gid=554141278"", ""'Char Def. - Attributes'!C20:C2242""), 1,false)"),"ITEM_NAME_BLOCKS")</f>
        <v>ITEM_NAME_BLOCKS</v>
      </c>
      <c r="I7342" s="136"/>
      <c r="R7342" s="63" t="str">
        <f t="shared" si="60"/>
        <v>ZSI1_BLOCKSITEM_NAME_BLOCKS</v>
      </c>
    </row>
    <row r="7343" ht="15.75" customHeight="1">
      <c r="B7343" s="63">
        <f t="shared" si="1"/>
        <v>11</v>
      </c>
      <c r="C7343" s="135" t="s">
        <v>533</v>
      </c>
      <c r="D7343" s="161" t="s">
        <v>74</v>
      </c>
      <c r="E7343" s="135">
        <f t="shared" si="61"/>
        <v>2</v>
      </c>
      <c r="F7343" s="134" t="s">
        <v>4132</v>
      </c>
      <c r="G7343" s="63" t="str">
        <f>VLOOKUP(C7343, 'Class Def. - General Data'!$C$20:$C$1000,1,false)</f>
        <v>ZSI1_BLOCKS</v>
      </c>
      <c r="H7343" s="63" t="str">
        <f>IFERROR(__xludf.DUMMYFUNCTION("VLOOKUP(F7343, IMPORTRANGE(""https://docs.google.com/spreadsheets/d/1Lhp9OU0JdFf_VYSMzH5lBcEaU4o8teT1piV-SNzShjg/edit?gid=554141278#gid=554141278"", ""'Char Def. - Attributes'!C20:C2242""), 1,false)"),"TYPE_BLOCKS")</f>
        <v>TYPE_BLOCKS</v>
      </c>
      <c r="I7343" s="136"/>
      <c r="R7343" s="63" t="str">
        <f t="shared" si="60"/>
        <v>ZSI1_BLOCKSTYPE_BLOCKS</v>
      </c>
    </row>
    <row r="7344" ht="15.75" customHeight="1">
      <c r="B7344" s="63">
        <f t="shared" si="1"/>
        <v>11</v>
      </c>
      <c r="C7344" s="135" t="s">
        <v>533</v>
      </c>
      <c r="D7344" s="161" t="s">
        <v>74</v>
      </c>
      <c r="E7344" s="135">
        <f t="shared" si="61"/>
        <v>3</v>
      </c>
      <c r="F7344" s="134" t="s">
        <v>4133</v>
      </c>
      <c r="G7344" s="63" t="str">
        <f>VLOOKUP(C7344, 'Class Def. - General Data'!$C$20:$C$1000,1,false)</f>
        <v>ZSI1_BLOCKS</v>
      </c>
      <c r="H7344" s="63" t="str">
        <f>IFERROR(__xludf.DUMMYFUNCTION("VLOOKUP(F7344, IMPORTRANGE(""https://docs.google.com/spreadsheets/d/1Lhp9OU0JdFf_VYSMzH5lBcEaU4o8teT1piV-SNzShjg/edit?gid=554141278#gid=554141278"", ""'Char Def. - Attributes'!C20:C2242""), 1,false)"),"LENGTH_MM_BLOCKS")</f>
        <v>LENGTH_MM_BLOCKS</v>
      </c>
      <c r="I7344" s="136"/>
      <c r="R7344" s="63" t="str">
        <f t="shared" si="60"/>
        <v>ZSI1_BLOCKSLENGTH_MM_BLOCKS</v>
      </c>
    </row>
    <row r="7345" ht="15.75" customHeight="1">
      <c r="B7345" s="63">
        <f t="shared" si="1"/>
        <v>11</v>
      </c>
      <c r="C7345" s="135" t="s">
        <v>533</v>
      </c>
      <c r="D7345" s="161" t="s">
        <v>74</v>
      </c>
      <c r="E7345" s="135">
        <f t="shared" si="61"/>
        <v>4</v>
      </c>
      <c r="F7345" s="134" t="s">
        <v>4134</v>
      </c>
      <c r="G7345" s="63" t="str">
        <f>VLOOKUP(C7345, 'Class Def. - General Data'!$C$20:$C$1000,1,false)</f>
        <v>ZSI1_BLOCKS</v>
      </c>
      <c r="H7345" s="63" t="str">
        <f>IFERROR(__xludf.DUMMYFUNCTION("VLOOKUP(F7345, IMPORTRANGE(""https://docs.google.com/spreadsheets/d/1Lhp9OU0JdFf_VYSMzH5lBcEaU4o8teT1piV-SNzShjg/edit?gid=554141278#gid=554141278"", ""'Char Def. - Attributes'!C20:C2242""), 1,false)"),"WIDTH_MM_BLOCKS")</f>
        <v>WIDTH_MM_BLOCKS</v>
      </c>
      <c r="I7345" s="136"/>
      <c r="R7345" s="63" t="str">
        <f t="shared" si="60"/>
        <v>ZSI1_BLOCKSWIDTH_MM_BLOCKS</v>
      </c>
    </row>
    <row r="7346" ht="15.75" customHeight="1">
      <c r="B7346" s="63">
        <f t="shared" si="1"/>
        <v>11</v>
      </c>
      <c r="C7346" s="135" t="s">
        <v>533</v>
      </c>
      <c r="D7346" s="161" t="s">
        <v>74</v>
      </c>
      <c r="E7346" s="135">
        <f t="shared" si="61"/>
        <v>5</v>
      </c>
      <c r="F7346" s="134" t="s">
        <v>4135</v>
      </c>
      <c r="G7346" s="63" t="str">
        <f>VLOOKUP(C7346, 'Class Def. - General Data'!$C$20:$C$1000,1,false)</f>
        <v>ZSI1_BLOCKS</v>
      </c>
      <c r="H7346" s="63" t="str">
        <f>IFERROR(__xludf.DUMMYFUNCTION("VLOOKUP(F7346, IMPORTRANGE(""https://docs.google.com/spreadsheets/d/1Lhp9OU0JdFf_VYSMzH5lBcEaU4o8teT1piV-SNzShjg/edit?gid=554141278#gid=554141278"", ""'Char Def. - Attributes'!C20:C2242""), 1,false)"),"HEIGHT_MM_BLOCKS")</f>
        <v>HEIGHT_MM_BLOCKS</v>
      </c>
      <c r="I7346" s="136"/>
      <c r="R7346" s="63" t="str">
        <f t="shared" si="60"/>
        <v>ZSI1_BLOCKSHEIGHT_MM_BLOCKS</v>
      </c>
    </row>
    <row r="7347" ht="15.75" customHeight="1">
      <c r="B7347" s="63">
        <f t="shared" si="1"/>
        <v>11</v>
      </c>
      <c r="C7347" s="135" t="s">
        <v>533</v>
      </c>
      <c r="D7347" s="161" t="s">
        <v>74</v>
      </c>
      <c r="E7347" s="135">
        <f t="shared" si="61"/>
        <v>6</v>
      </c>
      <c r="F7347" s="134" t="s">
        <v>3585</v>
      </c>
      <c r="G7347" s="63" t="str">
        <f>VLOOKUP(C7347, 'Class Def. - General Data'!$C$20:$C$1000,1,false)</f>
        <v>ZSI1_BLOCKS</v>
      </c>
      <c r="H7347" s="63" t="str">
        <f>IFERROR(__xludf.DUMMYFUNCTION("VLOOKUP(F7347, IMPORTRANGE(""https://docs.google.com/spreadsheets/d/1Lhp9OU0JdFf_VYSMzH5lBcEaU4o8teT1piV-SNzShjg/edit?gid=554141278#gid=554141278"", ""'Char Def. - Attributes'!C20:C2242""), 1,false)"),"HS_CODE")</f>
        <v>HS_CODE</v>
      </c>
      <c r="I7347" s="136"/>
      <c r="R7347" s="63" t="str">
        <f t="shared" si="60"/>
        <v>ZSI1_BLOCKSHS_CODE</v>
      </c>
    </row>
    <row r="7348" ht="15.75" customHeight="1">
      <c r="B7348" s="63">
        <f t="shared" si="1"/>
        <v>11</v>
      </c>
      <c r="C7348" s="135" t="s">
        <v>533</v>
      </c>
      <c r="D7348" s="161" t="s">
        <v>74</v>
      </c>
      <c r="E7348" s="135">
        <f t="shared" si="61"/>
        <v>7</v>
      </c>
      <c r="F7348" s="134" t="s">
        <v>3587</v>
      </c>
      <c r="G7348" s="63" t="str">
        <f>VLOOKUP(C7348, 'Class Def. - General Data'!$C$20:$C$1000,1,false)</f>
        <v>ZSI1_BLOCKS</v>
      </c>
      <c r="H7348" s="63" t="str">
        <f>IFERROR(__xludf.DUMMYFUNCTION("VLOOKUP(F7348, IMPORTRANGE(""https://docs.google.com/spreadsheets/d/1Lhp9OU0JdFf_VYSMzH5lBcEaU4o8teT1piV-SNzShjg/edit?gid=554141278#gid=554141278"", ""'Char Def. - Attributes'!C20:C2242""), 1,false)"),"PLANT_BUY")</f>
        <v>PLANT_BUY</v>
      </c>
      <c r="I7348" s="136"/>
      <c r="R7348" s="63" t="str">
        <f t="shared" si="60"/>
        <v>ZSI1_BLOCKSPLANT_BUY</v>
      </c>
    </row>
    <row r="7349" ht="15.75" customHeight="1">
      <c r="B7349" s="63">
        <f t="shared" si="1"/>
        <v>11</v>
      </c>
      <c r="C7349" s="135" t="s">
        <v>533</v>
      </c>
      <c r="D7349" s="161" t="s">
        <v>74</v>
      </c>
      <c r="E7349" s="135">
        <f t="shared" si="61"/>
        <v>8</v>
      </c>
      <c r="F7349" s="134" t="s">
        <v>4136</v>
      </c>
      <c r="G7349" s="63" t="str">
        <f>VLOOKUP(C7349, 'Class Def. - General Data'!$C$20:$C$1000,1,false)</f>
        <v>ZSI1_BLOCKS</v>
      </c>
      <c r="H7349" s="63" t="str">
        <f>IFERROR(__xludf.DUMMYFUNCTION("VLOOKUP(F7349, IMPORTRANGE(""https://docs.google.com/spreadsheets/d/1Lhp9OU0JdFf_VYSMzH5lBcEaU4o8teT1piV-SNzShjg/edit?gid=554141278#gid=554141278"", ""'Char Def. - Attributes'!C20:C2242""), 1,false)"),"BASE_UOM_BLOCKS")</f>
        <v>BASE_UOM_BLOCKS</v>
      </c>
      <c r="I7349" s="136"/>
      <c r="R7349" s="63" t="str">
        <f t="shared" si="60"/>
        <v>ZSI1_BLOCKSBASE_UOM_BLOCKS</v>
      </c>
    </row>
    <row r="7350" ht="15.75" customHeight="1">
      <c r="B7350" s="63">
        <f t="shared" si="1"/>
        <v>11</v>
      </c>
      <c r="C7350" s="135" t="s">
        <v>533</v>
      </c>
      <c r="D7350" s="161" t="s">
        <v>74</v>
      </c>
      <c r="E7350" s="135">
        <f t="shared" si="61"/>
        <v>9</v>
      </c>
      <c r="F7350" s="134" t="s">
        <v>4137</v>
      </c>
      <c r="G7350" s="63" t="str">
        <f>VLOOKUP(C7350, 'Class Def. - General Data'!$C$20:$C$1000,1,false)</f>
        <v>ZSI1_BLOCKS</v>
      </c>
      <c r="H7350" s="63" t="str">
        <f>IFERROR(__xludf.DUMMYFUNCTION("VLOOKUP(F7350, IMPORTRANGE(""https://docs.google.com/spreadsheets/d/1Lhp9OU0JdFf_VYSMzH5lBcEaU4o8teT1piV-SNzShjg/edit?gid=554141278#gid=554141278"", ""'Char Def. - Attributes'!C20:C2242""), 1,false)"),"ORDER_UNIT_BLOCKS")</f>
        <v>ORDER_UNIT_BLOCKS</v>
      </c>
      <c r="I7350" s="136"/>
      <c r="R7350" s="63" t="str">
        <f t="shared" si="60"/>
        <v>ZSI1_BLOCKSORDER_UNIT_BLOCKS</v>
      </c>
    </row>
    <row r="7351" ht="15.75" customHeight="1">
      <c r="B7351" s="63">
        <f t="shared" si="1"/>
        <v>11</v>
      </c>
      <c r="C7351" s="135" t="s">
        <v>533</v>
      </c>
      <c r="D7351" s="161" t="s">
        <v>74</v>
      </c>
      <c r="E7351" s="135">
        <f t="shared" si="61"/>
        <v>10</v>
      </c>
      <c r="F7351" s="134" t="s">
        <v>4056</v>
      </c>
      <c r="G7351" s="63" t="str">
        <f>VLOOKUP(C7351, 'Class Def. - General Data'!$C$20:$C$1000,1,false)</f>
        <v>ZSI1_BLOCKS</v>
      </c>
      <c r="H7351" s="63" t="str">
        <f>IFERROR(__xludf.DUMMYFUNCTION("VLOOKUP(F7351, IMPORTRANGE(""https://docs.google.com/spreadsheets/d/1Lhp9OU0JdFf_VYSMzH5lBcEaU4o8teT1piV-SNzShjg/edit?gid=554141278#gid=554141278"", ""'Char Def. - Attributes'!C20:C2242""), 1,false)"),"GROSS_WEIGHT_OPT")</f>
        <v>GROSS_WEIGHT_OPT</v>
      </c>
      <c r="I7351" s="136"/>
      <c r="R7351" s="63" t="str">
        <f t="shared" si="60"/>
        <v>ZSI1_BLOCKSGROSS_WEIGHT_OPT</v>
      </c>
    </row>
    <row r="7352" ht="15.75" customHeight="1">
      <c r="B7352" s="63">
        <f t="shared" si="1"/>
        <v>11</v>
      </c>
      <c r="C7352" s="135" t="s">
        <v>533</v>
      </c>
      <c r="D7352" s="161" t="s">
        <v>74</v>
      </c>
      <c r="E7352" s="135">
        <f t="shared" si="61"/>
        <v>11</v>
      </c>
      <c r="F7352" s="134" t="s">
        <v>4057</v>
      </c>
      <c r="G7352" s="63" t="str">
        <f>VLOOKUP(C7352, 'Class Def. - General Data'!$C$20:$C$1000,1,false)</f>
        <v>ZSI1_BLOCKS</v>
      </c>
      <c r="H7352" s="63" t="str">
        <f>IFERROR(__xludf.DUMMYFUNCTION("VLOOKUP(F7352, IMPORTRANGE(""https://docs.google.com/spreadsheets/d/1Lhp9OU0JdFf_VYSMzH5lBcEaU4o8teT1piV-SNzShjg/edit?gid=554141278#gid=554141278"", ""'Char Def. - Attributes'!C20:C2242""), 1,false)"),"NET_WEIGHT_OPT")</f>
        <v>NET_WEIGHT_OPT</v>
      </c>
      <c r="I7352" s="136"/>
      <c r="R7352" s="63" t="str">
        <f t="shared" si="60"/>
        <v>ZSI1_BLOCKSNET_WEIGHT_OPT</v>
      </c>
    </row>
    <row r="7353" ht="15.75" customHeight="1">
      <c r="B7353" s="63">
        <f t="shared" si="1"/>
        <v>11</v>
      </c>
      <c r="C7353" s="135" t="s">
        <v>533</v>
      </c>
      <c r="D7353" s="161" t="s">
        <v>74</v>
      </c>
      <c r="E7353" s="135">
        <f t="shared" si="61"/>
        <v>12</v>
      </c>
      <c r="F7353" s="134" t="s">
        <v>4058</v>
      </c>
      <c r="G7353" s="63" t="str">
        <f>VLOOKUP(C7353, 'Class Def. - General Data'!$C$20:$C$1000,1,false)</f>
        <v>ZSI1_BLOCKS</v>
      </c>
      <c r="H7353" s="63" t="str">
        <f>IFERROR(__xludf.DUMMYFUNCTION("VLOOKUP(F7353, IMPORTRANGE(""https://docs.google.com/spreadsheets/d/1Lhp9OU0JdFf_VYSMzH5lBcEaU4o8teT1piV-SNzShjg/edit?gid=554141278#gid=554141278"", ""'Char Def. - Attributes'!C20:C2242""), 1,false)"),"WEIGHT_UNIT_SI")</f>
        <v>WEIGHT_UNIT_SI</v>
      </c>
      <c r="I7353" s="136"/>
      <c r="R7353" s="63" t="str">
        <f t="shared" si="60"/>
        <v>ZSI1_BLOCKSWEIGHT_UNIT_SI</v>
      </c>
    </row>
    <row r="7354" ht="15.75" customHeight="1">
      <c r="B7354" s="63">
        <f t="shared" si="1"/>
        <v>11</v>
      </c>
      <c r="C7354" s="135" t="s">
        <v>533</v>
      </c>
      <c r="D7354" s="161" t="s">
        <v>74</v>
      </c>
      <c r="E7354" s="135">
        <f t="shared" si="61"/>
        <v>13</v>
      </c>
      <c r="F7354" s="134" t="s">
        <v>3877</v>
      </c>
      <c r="G7354" s="63" t="str">
        <f>VLOOKUP(C7354, 'Class Def. - General Data'!$C$20:$C$1000,1,false)</f>
        <v>ZSI1_BLOCKS</v>
      </c>
      <c r="H7354" s="63" t="str">
        <f>IFERROR(__xludf.DUMMYFUNCTION("VLOOKUP(F7354, IMPORTRANGE(""https://docs.google.com/spreadsheets/d/1Lhp9OU0JdFf_VYSMzH5lBcEaU4o8teT1piV-SNzShjg/edit?gid=554141278#gid=554141278"", ""'Char Def. - Attributes'!C20:C2242""), 1,false)"),"VOLUME_OPT")</f>
        <v>VOLUME_OPT</v>
      </c>
      <c r="I7354" s="136"/>
      <c r="R7354" s="63" t="str">
        <f t="shared" si="60"/>
        <v>ZSI1_BLOCKSVOLUME_OPT</v>
      </c>
    </row>
    <row r="7355" ht="15.75" customHeight="1">
      <c r="B7355" s="63">
        <f t="shared" si="1"/>
        <v>11</v>
      </c>
      <c r="C7355" s="135" t="s">
        <v>533</v>
      </c>
      <c r="D7355" s="161" t="s">
        <v>74</v>
      </c>
      <c r="E7355" s="135">
        <f t="shared" si="61"/>
        <v>14</v>
      </c>
      <c r="F7355" s="134" t="s">
        <v>4059</v>
      </c>
      <c r="G7355" s="63" t="str">
        <f>VLOOKUP(C7355, 'Class Def. - General Data'!$C$20:$C$1000,1,false)</f>
        <v>ZSI1_BLOCKS</v>
      </c>
      <c r="H7355" s="63" t="str">
        <f>IFERROR(__xludf.DUMMYFUNCTION("VLOOKUP(F7355, IMPORTRANGE(""https://docs.google.com/spreadsheets/d/1Lhp9OU0JdFf_VYSMzH5lBcEaU4o8teT1piV-SNzShjg/edit?gid=554141278#gid=554141278"", ""'Char Def. - Attributes'!C20:C2242""), 1,false)"),"VOLUME_UNIT_SI")</f>
        <v>VOLUME_UNIT_SI</v>
      </c>
      <c r="I7355" s="136"/>
      <c r="R7355" s="63" t="str">
        <f t="shared" si="60"/>
        <v>ZSI1_BLOCKSVOLUME_UNIT_SI</v>
      </c>
    </row>
    <row r="7356" ht="15.75" customHeight="1">
      <c r="B7356" s="63">
        <f t="shared" si="1"/>
        <v>11</v>
      </c>
      <c r="C7356" s="135" t="s">
        <v>533</v>
      </c>
      <c r="D7356" s="161" t="s">
        <v>74</v>
      </c>
      <c r="E7356" s="135">
        <f t="shared" si="61"/>
        <v>15</v>
      </c>
      <c r="F7356" s="134" t="s">
        <v>3804</v>
      </c>
      <c r="G7356" s="63" t="str">
        <f>VLOOKUP(C7356, 'Class Def. - General Data'!$C$20:$C$1000,1,false)</f>
        <v>ZSI1_BLOCKS</v>
      </c>
      <c r="H7356" s="63" t="str">
        <f>IFERROR(__xludf.DUMMYFUNCTION("VLOOKUP(F7356, IMPORTRANGE(""https://docs.google.com/spreadsheets/d/1Lhp9OU0JdFf_VYSMzH5lBcEaU4o8teT1piV-SNzShjg/edit?gid=554141278#gid=554141278"", ""'Char Def. - Attributes'!C20:C2242""), 1,false)"),"ALT_UOM1_SIPI")</f>
        <v>ALT_UOM1_SIPI</v>
      </c>
      <c r="I7356" s="136"/>
      <c r="R7356" s="63" t="str">
        <f t="shared" si="60"/>
        <v>ZSI1_BLOCKSALT_UOM1_SIPI</v>
      </c>
    </row>
    <row r="7357" ht="15.75" customHeight="1">
      <c r="B7357" s="63">
        <f t="shared" si="1"/>
        <v>11</v>
      </c>
      <c r="C7357" s="135" t="s">
        <v>533</v>
      </c>
      <c r="D7357" s="161" t="s">
        <v>74</v>
      </c>
      <c r="E7357" s="135">
        <f t="shared" si="61"/>
        <v>16</v>
      </c>
      <c r="F7357" s="134" t="s">
        <v>3805</v>
      </c>
      <c r="G7357" s="63" t="str">
        <f>VLOOKUP(C7357, 'Class Def. - General Data'!$C$20:$C$1000,1,false)</f>
        <v>ZSI1_BLOCKS</v>
      </c>
      <c r="H7357" s="63" t="str">
        <f>IFERROR(__xludf.DUMMYFUNCTION("VLOOKUP(F7357, IMPORTRANGE(""https://docs.google.com/spreadsheets/d/1Lhp9OU0JdFf_VYSMzH5lBcEaU4o8teT1piV-SNzShjg/edit?gid=554141278#gid=554141278"", ""'Char Def. - Attributes'!C20:C2242""), 1,false)"),"ALT_DENUM_UOM1")</f>
        <v>ALT_DENUM_UOM1</v>
      </c>
      <c r="I7357" s="136"/>
      <c r="R7357" s="63" t="str">
        <f t="shared" si="60"/>
        <v>ZSI1_BLOCKSALT_DENUM_UOM1</v>
      </c>
    </row>
    <row r="7358" ht="15.75" customHeight="1">
      <c r="B7358" s="63">
        <f t="shared" si="1"/>
        <v>11</v>
      </c>
      <c r="C7358" s="135" t="s">
        <v>533</v>
      </c>
      <c r="D7358" s="161" t="s">
        <v>74</v>
      </c>
      <c r="E7358" s="135">
        <f t="shared" si="61"/>
        <v>17</v>
      </c>
      <c r="F7358" s="134" t="s">
        <v>3806</v>
      </c>
      <c r="G7358" s="63" t="str">
        <f>VLOOKUP(C7358, 'Class Def. - General Data'!$C$20:$C$1000,1,false)</f>
        <v>ZSI1_BLOCKS</v>
      </c>
      <c r="H7358" s="63" t="str">
        <f>IFERROR(__xludf.DUMMYFUNCTION("VLOOKUP(F7358, IMPORTRANGE(""https://docs.google.com/spreadsheets/d/1Lhp9OU0JdFf_VYSMzH5lBcEaU4o8teT1piV-SNzShjg/edit?gid=554141278#gid=554141278"", ""'Char Def. - Attributes'!C20:C2242""), 1,false)"),"ALT_NUM_UOM1")</f>
        <v>ALT_NUM_UOM1</v>
      </c>
      <c r="I7358" s="136"/>
      <c r="R7358" s="63" t="str">
        <f t="shared" si="60"/>
        <v>ZSI1_BLOCKSALT_NUM_UOM1</v>
      </c>
    </row>
    <row r="7359" ht="15.75" customHeight="1">
      <c r="B7359" s="63">
        <f t="shared" si="1"/>
        <v>11</v>
      </c>
      <c r="C7359" s="135" t="s">
        <v>533</v>
      </c>
      <c r="D7359" s="161" t="s">
        <v>74</v>
      </c>
      <c r="E7359" s="135">
        <f t="shared" si="61"/>
        <v>18</v>
      </c>
      <c r="F7359" s="134" t="s">
        <v>3807</v>
      </c>
      <c r="G7359" s="63" t="str">
        <f>VLOOKUP(C7359, 'Class Def. - General Data'!$C$20:$C$1000,1,false)</f>
        <v>ZSI1_BLOCKS</v>
      </c>
      <c r="H7359" s="63" t="str">
        <f>IFERROR(__xludf.DUMMYFUNCTION("VLOOKUP(F7359, IMPORTRANGE(""https://docs.google.com/spreadsheets/d/1Lhp9OU0JdFf_VYSMzH5lBcEaU4o8teT1piV-SNzShjg/edit?gid=554141278#gid=554141278"", ""'Char Def. - Attributes'!C20:C2242""), 1,false)"),"ALT_UOM2_SIPI")</f>
        <v>ALT_UOM2_SIPI</v>
      </c>
      <c r="I7359" s="136"/>
      <c r="R7359" s="63" t="str">
        <f t="shared" si="60"/>
        <v>ZSI1_BLOCKSALT_UOM2_SIPI</v>
      </c>
    </row>
    <row r="7360" ht="15.75" customHeight="1">
      <c r="B7360" s="63">
        <f t="shared" si="1"/>
        <v>11</v>
      </c>
      <c r="C7360" s="135" t="s">
        <v>533</v>
      </c>
      <c r="D7360" s="161" t="s">
        <v>74</v>
      </c>
      <c r="E7360" s="135">
        <f t="shared" si="61"/>
        <v>19</v>
      </c>
      <c r="F7360" s="134" t="s">
        <v>3808</v>
      </c>
      <c r="G7360" s="63" t="str">
        <f>VLOOKUP(C7360, 'Class Def. - General Data'!$C$20:$C$1000,1,false)</f>
        <v>ZSI1_BLOCKS</v>
      </c>
      <c r="H7360" s="63" t="str">
        <f>IFERROR(__xludf.DUMMYFUNCTION("VLOOKUP(F7360, IMPORTRANGE(""https://docs.google.com/spreadsheets/d/1Lhp9OU0JdFf_VYSMzH5lBcEaU4o8teT1piV-SNzShjg/edit?gid=554141278#gid=554141278"", ""'Char Def. - Attributes'!C20:C2242""), 1,false)"),"ALT_DENUM_UOM2")</f>
        <v>ALT_DENUM_UOM2</v>
      </c>
      <c r="I7360" s="136"/>
      <c r="R7360" s="63" t="str">
        <f t="shared" si="60"/>
        <v>ZSI1_BLOCKSALT_DENUM_UOM2</v>
      </c>
    </row>
    <row r="7361" ht="15.75" customHeight="1">
      <c r="B7361" s="63">
        <f t="shared" si="1"/>
        <v>11</v>
      </c>
      <c r="C7361" s="135" t="s">
        <v>533</v>
      </c>
      <c r="D7361" s="161" t="s">
        <v>74</v>
      </c>
      <c r="E7361" s="135">
        <f t="shared" si="61"/>
        <v>20</v>
      </c>
      <c r="F7361" s="134" t="s">
        <v>3809</v>
      </c>
      <c r="G7361" s="63" t="str">
        <f>VLOOKUP(C7361, 'Class Def. - General Data'!$C$20:$C$1000,1,false)</f>
        <v>ZSI1_BLOCKS</v>
      </c>
      <c r="H7361" s="63" t="str">
        <f>IFERROR(__xludf.DUMMYFUNCTION("VLOOKUP(F7361, IMPORTRANGE(""https://docs.google.com/spreadsheets/d/1Lhp9OU0JdFf_VYSMzH5lBcEaU4o8teT1piV-SNzShjg/edit?gid=554141278#gid=554141278"", ""'Char Def. - Attributes'!C20:C2242""), 1,false)"),"ALT_NUM_UOM2")</f>
        <v>ALT_NUM_UOM2</v>
      </c>
      <c r="I7361" s="136"/>
      <c r="R7361" s="63" t="str">
        <f t="shared" si="60"/>
        <v>ZSI1_BLOCKSALT_NUM_UOM2</v>
      </c>
    </row>
    <row r="7362" ht="15.75" customHeight="1">
      <c r="B7362" s="63">
        <f t="shared" si="1"/>
        <v>11</v>
      </c>
      <c r="C7362" s="135" t="s">
        <v>533</v>
      </c>
      <c r="D7362" s="161" t="s">
        <v>74</v>
      </c>
      <c r="E7362" s="135">
        <f t="shared" si="61"/>
        <v>21</v>
      </c>
      <c r="F7362" s="134" t="s">
        <v>3810</v>
      </c>
      <c r="G7362" s="63" t="str">
        <f>VLOOKUP(C7362, 'Class Def. - General Data'!$C$20:$C$1000,1,false)</f>
        <v>ZSI1_BLOCKS</v>
      </c>
      <c r="H7362" s="63" t="str">
        <f>IFERROR(__xludf.DUMMYFUNCTION("VLOOKUP(F7362, IMPORTRANGE(""https://docs.google.com/spreadsheets/d/1Lhp9OU0JdFf_VYSMzH5lBcEaU4o8teT1piV-SNzShjg/edit?gid=554141278#gid=554141278"", ""'Char Def. - Attributes'!C20:C2242""), 1,false)"),"ALT_UOM3_SIPI")</f>
        <v>ALT_UOM3_SIPI</v>
      </c>
      <c r="I7362" s="136"/>
      <c r="R7362" s="63" t="str">
        <f t="shared" si="60"/>
        <v>ZSI1_BLOCKSALT_UOM3_SIPI</v>
      </c>
    </row>
    <row r="7363" ht="15.75" customHeight="1">
      <c r="B7363" s="63">
        <f t="shared" si="1"/>
        <v>11</v>
      </c>
      <c r="C7363" s="135" t="s">
        <v>533</v>
      </c>
      <c r="D7363" s="161" t="s">
        <v>74</v>
      </c>
      <c r="E7363" s="135">
        <f t="shared" si="61"/>
        <v>22</v>
      </c>
      <c r="F7363" s="134" t="s">
        <v>3811</v>
      </c>
      <c r="G7363" s="63" t="str">
        <f>VLOOKUP(C7363, 'Class Def. - General Data'!$C$20:$C$1000,1,false)</f>
        <v>ZSI1_BLOCKS</v>
      </c>
      <c r="H7363" s="63" t="str">
        <f>IFERROR(__xludf.DUMMYFUNCTION("VLOOKUP(F7363, IMPORTRANGE(""https://docs.google.com/spreadsheets/d/1Lhp9OU0JdFf_VYSMzH5lBcEaU4o8teT1piV-SNzShjg/edit?gid=554141278#gid=554141278"", ""'Char Def. - Attributes'!C20:C2242""), 1,false)"),"ALT_DENUM_UOM3")</f>
        <v>ALT_DENUM_UOM3</v>
      </c>
      <c r="I7363" s="136"/>
      <c r="R7363" s="63" t="str">
        <f t="shared" si="60"/>
        <v>ZSI1_BLOCKSALT_DENUM_UOM3</v>
      </c>
    </row>
    <row r="7364" ht="15.75" customHeight="1">
      <c r="B7364" s="63">
        <f t="shared" si="1"/>
        <v>11</v>
      </c>
      <c r="C7364" s="135" t="s">
        <v>533</v>
      </c>
      <c r="D7364" s="161" t="s">
        <v>74</v>
      </c>
      <c r="E7364" s="135">
        <f t="shared" si="61"/>
        <v>23</v>
      </c>
      <c r="F7364" s="134" t="s">
        <v>3812</v>
      </c>
      <c r="G7364" s="63" t="str">
        <f>VLOOKUP(C7364, 'Class Def. - General Data'!$C$20:$C$1000,1,false)</f>
        <v>ZSI1_BLOCKS</v>
      </c>
      <c r="H7364" s="63" t="str">
        <f>IFERROR(__xludf.DUMMYFUNCTION("VLOOKUP(F7364, IMPORTRANGE(""https://docs.google.com/spreadsheets/d/1Lhp9OU0JdFf_VYSMzH5lBcEaU4o8teT1piV-SNzShjg/edit?gid=554141278#gid=554141278"", ""'Char Def. - Attributes'!C20:C2242""), 1,false)"),"ALT_NUM_UOM3")</f>
        <v>ALT_NUM_UOM3</v>
      </c>
      <c r="I7364" s="136"/>
      <c r="R7364" s="63" t="str">
        <f t="shared" si="60"/>
        <v>ZSI1_BLOCKSALT_NUM_UOM3</v>
      </c>
    </row>
    <row r="7365" ht="15.75" customHeight="1">
      <c r="B7365" s="63">
        <f t="shared" si="1"/>
        <v>11</v>
      </c>
      <c r="C7365" s="135" t="s">
        <v>533</v>
      </c>
      <c r="D7365" s="161" t="s">
        <v>74</v>
      </c>
      <c r="E7365" s="135">
        <f t="shared" si="61"/>
        <v>24</v>
      </c>
      <c r="F7365" s="134" t="s">
        <v>3813</v>
      </c>
      <c r="G7365" s="63" t="str">
        <f>VLOOKUP(C7365, 'Class Def. - General Data'!$C$20:$C$1000,1,false)</f>
        <v>ZSI1_BLOCKS</v>
      </c>
      <c r="H7365" s="63" t="str">
        <f>IFERROR(__xludf.DUMMYFUNCTION("VLOOKUP(F7365, IMPORTRANGE(""https://docs.google.com/spreadsheets/d/1Lhp9OU0JdFf_VYSMzH5lBcEaU4o8teT1piV-SNzShjg/edit?gid=554141278#gid=554141278"", ""'Char Def. - Attributes'!C20:C2242""), 1,false)"),"ALT_UOM4_SIPI")</f>
        <v>ALT_UOM4_SIPI</v>
      </c>
      <c r="I7365" s="136"/>
      <c r="R7365" s="63" t="str">
        <f t="shared" si="60"/>
        <v>ZSI1_BLOCKSALT_UOM4_SIPI</v>
      </c>
    </row>
    <row r="7366" ht="15.75" customHeight="1">
      <c r="B7366" s="63">
        <f t="shared" si="1"/>
        <v>11</v>
      </c>
      <c r="C7366" s="135" t="s">
        <v>533</v>
      </c>
      <c r="D7366" s="161" t="s">
        <v>74</v>
      </c>
      <c r="E7366" s="135">
        <f t="shared" si="61"/>
        <v>25</v>
      </c>
      <c r="F7366" s="134" t="s">
        <v>3814</v>
      </c>
      <c r="G7366" s="63" t="str">
        <f>VLOOKUP(C7366, 'Class Def. - General Data'!$C$20:$C$1000,1,false)</f>
        <v>ZSI1_BLOCKS</v>
      </c>
      <c r="H7366" s="63" t="str">
        <f>IFERROR(__xludf.DUMMYFUNCTION("VLOOKUP(F7366, IMPORTRANGE(""https://docs.google.com/spreadsheets/d/1Lhp9OU0JdFf_VYSMzH5lBcEaU4o8teT1piV-SNzShjg/edit?gid=554141278#gid=554141278"", ""'Char Def. - Attributes'!C20:C2242""), 1,false)"),"ALT_DENUM_UOM4")</f>
        <v>ALT_DENUM_UOM4</v>
      </c>
      <c r="I7366" s="136"/>
      <c r="R7366" s="63" t="str">
        <f t="shared" si="60"/>
        <v>ZSI1_BLOCKSALT_DENUM_UOM4</v>
      </c>
    </row>
    <row r="7367" ht="15.75" customHeight="1">
      <c r="B7367" s="63">
        <f t="shared" si="1"/>
        <v>11</v>
      </c>
      <c r="C7367" s="135" t="s">
        <v>533</v>
      </c>
      <c r="D7367" s="161" t="s">
        <v>74</v>
      </c>
      <c r="E7367" s="135">
        <f t="shared" si="61"/>
        <v>26</v>
      </c>
      <c r="F7367" s="134" t="s">
        <v>3815</v>
      </c>
      <c r="G7367" s="63" t="str">
        <f>VLOOKUP(C7367, 'Class Def. - General Data'!$C$20:$C$1000,1,false)</f>
        <v>ZSI1_BLOCKS</v>
      </c>
      <c r="H7367" s="63" t="str">
        <f>IFERROR(__xludf.DUMMYFUNCTION("VLOOKUP(F7367, IMPORTRANGE(""https://docs.google.com/spreadsheets/d/1Lhp9OU0JdFf_VYSMzH5lBcEaU4o8teT1piV-SNzShjg/edit?gid=554141278#gid=554141278"", ""'Char Def. - Attributes'!C20:C2242""), 1,false)"),"ALT_NUM_UOM4")</f>
        <v>ALT_NUM_UOM4</v>
      </c>
      <c r="I7367" s="136"/>
      <c r="R7367" s="63" t="str">
        <f t="shared" si="60"/>
        <v>ZSI1_BLOCKSALT_NUM_UOM4</v>
      </c>
    </row>
    <row r="7368" ht="15.75" customHeight="1">
      <c r="B7368" s="63">
        <f t="shared" si="1"/>
        <v>11</v>
      </c>
      <c r="C7368" s="135" t="s">
        <v>533</v>
      </c>
      <c r="D7368" s="161" t="s">
        <v>74</v>
      </c>
      <c r="E7368" s="135">
        <f t="shared" si="61"/>
        <v>27</v>
      </c>
      <c r="F7368" s="134" t="s">
        <v>3816</v>
      </c>
      <c r="G7368" s="63" t="str">
        <f>VLOOKUP(C7368, 'Class Def. - General Data'!$C$20:$C$1000,1,false)</f>
        <v>ZSI1_BLOCKS</v>
      </c>
      <c r="H7368" s="63" t="str">
        <f>IFERROR(__xludf.DUMMYFUNCTION("VLOOKUP(F7368, IMPORTRANGE(""https://docs.google.com/spreadsheets/d/1Lhp9OU0JdFf_VYSMzH5lBcEaU4o8teT1piV-SNzShjg/edit?gid=554141278#gid=554141278"", ""'Char Def. - Attributes'!C20:C2242""), 1,false)"),"ALT_UOM5_SIPI")</f>
        <v>ALT_UOM5_SIPI</v>
      </c>
      <c r="I7368" s="136"/>
      <c r="R7368" s="63" t="str">
        <f t="shared" si="60"/>
        <v>ZSI1_BLOCKSALT_UOM5_SIPI</v>
      </c>
    </row>
    <row r="7369" ht="15.75" customHeight="1">
      <c r="B7369" s="63">
        <f t="shared" si="1"/>
        <v>11</v>
      </c>
      <c r="C7369" s="135" t="s">
        <v>533</v>
      </c>
      <c r="D7369" s="161" t="s">
        <v>74</v>
      </c>
      <c r="E7369" s="135">
        <f t="shared" si="61"/>
        <v>28</v>
      </c>
      <c r="F7369" s="134" t="s">
        <v>3817</v>
      </c>
      <c r="G7369" s="63" t="str">
        <f>VLOOKUP(C7369, 'Class Def. - General Data'!$C$20:$C$1000,1,false)</f>
        <v>ZSI1_BLOCKS</v>
      </c>
      <c r="H7369" s="63" t="str">
        <f>IFERROR(__xludf.DUMMYFUNCTION("VLOOKUP(F7369, IMPORTRANGE(""https://docs.google.com/spreadsheets/d/1Lhp9OU0JdFf_VYSMzH5lBcEaU4o8teT1piV-SNzShjg/edit?gid=554141278#gid=554141278"", ""'Char Def. - Attributes'!C20:C2242""), 1,false)"),"ALT_DENUM_UOM5")</f>
        <v>ALT_DENUM_UOM5</v>
      </c>
      <c r="I7369" s="136"/>
      <c r="R7369" s="63" t="str">
        <f t="shared" si="60"/>
        <v>ZSI1_BLOCKSALT_DENUM_UOM5</v>
      </c>
    </row>
    <row r="7370" ht="15.75" customHeight="1">
      <c r="B7370" s="63">
        <f t="shared" si="1"/>
        <v>11</v>
      </c>
      <c r="C7370" s="135" t="s">
        <v>533</v>
      </c>
      <c r="D7370" s="161" t="s">
        <v>74</v>
      </c>
      <c r="E7370" s="135">
        <f t="shared" si="61"/>
        <v>29</v>
      </c>
      <c r="F7370" s="134" t="s">
        <v>3818</v>
      </c>
      <c r="G7370" s="63" t="str">
        <f>VLOOKUP(C7370, 'Class Def. - General Data'!$C$20:$C$1000,1,false)</f>
        <v>ZSI1_BLOCKS</v>
      </c>
      <c r="H7370" s="63" t="str">
        <f>IFERROR(__xludf.DUMMYFUNCTION("VLOOKUP(F7370, IMPORTRANGE(""https://docs.google.com/spreadsheets/d/1Lhp9OU0JdFf_VYSMzH5lBcEaU4o8teT1piV-SNzShjg/edit?gid=554141278#gid=554141278"", ""'Char Def. - Attributes'!C20:C2242""), 1,false)"),"ALT_NUM_UOM5")</f>
        <v>ALT_NUM_UOM5</v>
      </c>
      <c r="I7370" s="136"/>
      <c r="R7370" s="63" t="str">
        <f t="shared" si="60"/>
        <v>ZSI1_BLOCKSALT_NUM_UOM5</v>
      </c>
    </row>
    <row r="7371" ht="15.75" customHeight="1">
      <c r="B7371" s="63">
        <f t="shared" si="1"/>
        <v>12</v>
      </c>
      <c r="C7371" s="135" t="s">
        <v>490</v>
      </c>
      <c r="D7371" s="161" t="s">
        <v>74</v>
      </c>
      <c r="E7371" s="135">
        <f t="shared" si="61"/>
        <v>1</v>
      </c>
      <c r="F7371" s="134" t="s">
        <v>4138</v>
      </c>
      <c r="G7371" s="63" t="str">
        <f>VLOOKUP(C7371, 'Class Def. - General Data'!$C$20:$C$1000,1,false)</f>
        <v>ZSI1_BOILERS</v>
      </c>
      <c r="H7371" s="63" t="str">
        <f>IFERROR(__xludf.DUMMYFUNCTION("VLOOKUP(F7371, IMPORTRANGE(""https://docs.google.com/spreadsheets/d/1Lhp9OU0JdFf_VYSMzH5lBcEaU4o8teT1piV-SNzShjg/edit?gid=554141278#gid=554141278"", ""'Char Def. - Attributes'!C20:C2242""), 1,false)"),"ITEM_NAME_BOILERS")</f>
        <v>ITEM_NAME_BOILERS</v>
      </c>
      <c r="I7371" s="136"/>
      <c r="R7371" s="63" t="str">
        <f t="shared" si="60"/>
        <v>ZSI1_BOILERSITEM_NAME_BOILERS</v>
      </c>
    </row>
    <row r="7372" ht="15.75" customHeight="1">
      <c r="B7372" s="63">
        <f t="shared" si="1"/>
        <v>12</v>
      </c>
      <c r="C7372" s="135" t="s">
        <v>490</v>
      </c>
      <c r="D7372" s="161" t="s">
        <v>74</v>
      </c>
      <c r="E7372" s="135">
        <f t="shared" si="61"/>
        <v>2</v>
      </c>
      <c r="F7372" s="134" t="s">
        <v>4139</v>
      </c>
      <c r="G7372" s="63" t="str">
        <f>VLOOKUP(C7372, 'Class Def. - General Data'!$C$20:$C$1000,1,false)</f>
        <v>ZSI1_BOILERS</v>
      </c>
      <c r="H7372" s="63" t="str">
        <f>IFERROR(__xludf.DUMMYFUNCTION("VLOOKUP(F7372, IMPORTRANGE(""https://docs.google.com/spreadsheets/d/1Lhp9OU0JdFf_VYSMzH5lBcEaU4o8teT1piV-SNzShjg/edit?gid=554141278#gid=554141278"", ""'Char Def. - Attributes'!C20:C2242""), 1,false)"),"MFR_NO_BOILERS")</f>
        <v>MFR_NO_BOILERS</v>
      </c>
      <c r="I7372" s="136"/>
      <c r="R7372" s="63" t="str">
        <f t="shared" si="60"/>
        <v>ZSI1_BOILERSMFR_NO_BOILERS</v>
      </c>
    </row>
    <row r="7373" ht="15.75" customHeight="1">
      <c r="B7373" s="63">
        <f t="shared" si="1"/>
        <v>12</v>
      </c>
      <c r="C7373" s="135" t="s">
        <v>490</v>
      </c>
      <c r="D7373" s="161" t="s">
        <v>74</v>
      </c>
      <c r="E7373" s="135">
        <f t="shared" si="61"/>
        <v>3</v>
      </c>
      <c r="F7373" s="134" t="s">
        <v>3782</v>
      </c>
      <c r="G7373" s="63" t="str">
        <f>VLOOKUP(C7373, 'Class Def. - General Data'!$C$20:$C$1000,1,false)</f>
        <v>ZSI1_BOILERS</v>
      </c>
      <c r="H7373" s="63" t="str">
        <f>IFERROR(__xludf.DUMMYFUNCTION("VLOOKUP(F7373, IMPORTRANGE(""https://docs.google.com/spreadsheets/d/1Lhp9OU0JdFf_VYSMzH5lBcEaU4o8teT1piV-SNzShjg/edit?gid=554141278#gid=554141278"", ""'Char Def. - Attributes'!C20:C2242""), 1,false)"),"BRAND_EXTERNAL")</f>
        <v>BRAND_EXTERNAL</v>
      </c>
      <c r="I7373" s="136"/>
      <c r="R7373" s="63" t="str">
        <f t="shared" si="60"/>
        <v>ZSI1_BOILERSBRAND_EXTERNAL</v>
      </c>
    </row>
    <row r="7374" ht="15.75" customHeight="1">
      <c r="B7374" s="63">
        <f t="shared" si="1"/>
        <v>12</v>
      </c>
      <c r="C7374" s="135" t="s">
        <v>490</v>
      </c>
      <c r="D7374" s="161" t="s">
        <v>74</v>
      </c>
      <c r="E7374" s="135">
        <f t="shared" si="61"/>
        <v>4</v>
      </c>
      <c r="F7374" s="134" t="s">
        <v>4140</v>
      </c>
      <c r="G7374" s="63" t="str">
        <f>VLOOKUP(C7374, 'Class Def. - General Data'!$C$20:$C$1000,1,false)</f>
        <v>ZSI1_BOILERS</v>
      </c>
      <c r="H7374" s="63" t="str">
        <f>IFERROR(__xludf.DUMMYFUNCTION("VLOOKUP(F7374, IMPORTRANGE(""https://docs.google.com/spreadsheets/d/1Lhp9OU0JdFf_VYSMzH5lBcEaU4o8teT1piV-SNzShjg/edit?gid=554141278#gid=554141278"", ""'Char Def. - Attributes'!C20:C2242""), 1,false)"),"SIZE_DIMENSION_BOILERS")</f>
        <v>SIZE_DIMENSION_BOILERS</v>
      </c>
      <c r="I7374" s="136"/>
      <c r="R7374" s="63" t="str">
        <f t="shared" si="60"/>
        <v>ZSI1_BOILERSSIZE_DIMENSION_BOILERS</v>
      </c>
    </row>
    <row r="7375" ht="15.75" customHeight="1">
      <c r="B7375" s="63">
        <f t="shared" si="1"/>
        <v>12</v>
      </c>
      <c r="C7375" s="135" t="s">
        <v>490</v>
      </c>
      <c r="D7375" s="161" t="s">
        <v>74</v>
      </c>
      <c r="E7375" s="135">
        <f t="shared" si="61"/>
        <v>5</v>
      </c>
      <c r="F7375" s="134" t="s">
        <v>4141</v>
      </c>
      <c r="G7375" s="63" t="str">
        <f>VLOOKUP(C7375, 'Class Def. - General Data'!$C$20:$C$1000,1,false)</f>
        <v>ZSI1_BOILERS</v>
      </c>
      <c r="H7375" s="63" t="str">
        <f>IFERROR(__xludf.DUMMYFUNCTION("VLOOKUP(F7375, IMPORTRANGE(""https://docs.google.com/spreadsheets/d/1Lhp9OU0JdFf_VYSMzH5lBcEaU4o8teT1piV-SNzShjg/edit?gid=554141278#gid=554141278"", ""'Char Def. - Attributes'!C20:C2242""), 1,false)"),"SIZE_BOILERS_L")</f>
        <v>SIZE_BOILERS_L</v>
      </c>
      <c r="I7375" s="136"/>
      <c r="R7375" s="63" t="str">
        <f t="shared" si="60"/>
        <v>ZSI1_BOILERSSIZE_BOILERS_L</v>
      </c>
    </row>
    <row r="7376" ht="15.75" customHeight="1">
      <c r="B7376" s="63">
        <f t="shared" si="1"/>
        <v>12</v>
      </c>
      <c r="C7376" s="135" t="s">
        <v>490</v>
      </c>
      <c r="D7376" s="161" t="s">
        <v>74</v>
      </c>
      <c r="E7376" s="135">
        <f t="shared" si="61"/>
        <v>6</v>
      </c>
      <c r="F7376" s="134" t="s">
        <v>4142</v>
      </c>
      <c r="G7376" s="63" t="str">
        <f>VLOOKUP(C7376, 'Class Def. - General Data'!$C$20:$C$1000,1,false)</f>
        <v>ZSI1_BOILERS</v>
      </c>
      <c r="H7376" s="63" t="str">
        <f>IFERROR(__xludf.DUMMYFUNCTION("VLOOKUP(F7376, IMPORTRANGE(""https://docs.google.com/spreadsheets/d/1Lhp9OU0JdFf_VYSMzH5lBcEaU4o8teT1piV-SNzShjg/edit?gid=554141278#gid=554141278"", ""'Char Def. - Attributes'!C20:C2242""), 1,false)"),"SIZE_BOILERS_TON")</f>
        <v>SIZE_BOILERS_TON</v>
      </c>
      <c r="I7376" s="136"/>
      <c r="R7376" s="63" t="str">
        <f t="shared" si="60"/>
        <v>ZSI1_BOILERSSIZE_BOILERS_TON</v>
      </c>
    </row>
    <row r="7377" ht="15.75" customHeight="1">
      <c r="B7377" s="63">
        <f t="shared" si="1"/>
        <v>12</v>
      </c>
      <c r="C7377" s="135" t="s">
        <v>490</v>
      </c>
      <c r="D7377" s="161" t="s">
        <v>74</v>
      </c>
      <c r="E7377" s="135">
        <f t="shared" si="61"/>
        <v>7</v>
      </c>
      <c r="F7377" s="134" t="s">
        <v>4053</v>
      </c>
      <c r="G7377" s="63" t="str">
        <f>VLOOKUP(C7377, 'Class Def. - General Data'!$C$20:$C$1000,1,false)</f>
        <v>ZSI1_BOILERS</v>
      </c>
      <c r="H7377" s="63" t="str">
        <f>IFERROR(__xludf.DUMMYFUNCTION("VLOOKUP(F7377, IMPORTRANGE(""https://docs.google.com/spreadsheets/d/1Lhp9OU0JdFf_VYSMzH5lBcEaU4o8teT1piV-SNzShjg/edit?gid=554141278#gid=554141278"", ""'Char Def. - Attributes'!C20:C2242""), 1,false)"),"MAINTENANCE_ORDER_TYPE")</f>
        <v>MAINTENANCE_ORDER_TYPE</v>
      </c>
      <c r="I7377" s="136"/>
      <c r="R7377" s="63" t="str">
        <f t="shared" si="60"/>
        <v>ZSI1_BOILERSMAINTENANCE_ORDER_TYPE</v>
      </c>
    </row>
    <row r="7378" ht="15.75" customHeight="1">
      <c r="B7378" s="63">
        <f t="shared" si="1"/>
        <v>12</v>
      </c>
      <c r="C7378" s="135" t="s">
        <v>490</v>
      </c>
      <c r="D7378" s="161" t="s">
        <v>74</v>
      </c>
      <c r="E7378" s="135">
        <f t="shared" si="61"/>
        <v>8</v>
      </c>
      <c r="F7378" s="134" t="s">
        <v>3585</v>
      </c>
      <c r="G7378" s="63" t="str">
        <f>VLOOKUP(C7378, 'Class Def. - General Data'!$C$20:$C$1000,1,false)</f>
        <v>ZSI1_BOILERS</v>
      </c>
      <c r="H7378" s="63" t="str">
        <f>IFERROR(__xludf.DUMMYFUNCTION("VLOOKUP(F7378, IMPORTRANGE(""https://docs.google.com/spreadsheets/d/1Lhp9OU0JdFf_VYSMzH5lBcEaU4o8teT1piV-SNzShjg/edit?gid=554141278#gid=554141278"", ""'Char Def. - Attributes'!C20:C2242""), 1,false)"),"HS_CODE")</f>
        <v>HS_CODE</v>
      </c>
      <c r="I7378" s="136"/>
      <c r="R7378" s="63" t="str">
        <f t="shared" si="60"/>
        <v>ZSI1_BOILERSHS_CODE</v>
      </c>
    </row>
    <row r="7379" ht="15.75" customHeight="1">
      <c r="B7379" s="63">
        <f t="shared" si="1"/>
        <v>12</v>
      </c>
      <c r="C7379" s="135" t="s">
        <v>490</v>
      </c>
      <c r="D7379" s="161" t="s">
        <v>74</v>
      </c>
      <c r="E7379" s="135">
        <f t="shared" si="61"/>
        <v>9</v>
      </c>
      <c r="F7379" s="134" t="s">
        <v>3587</v>
      </c>
      <c r="G7379" s="63" t="str">
        <f>VLOOKUP(C7379, 'Class Def. - General Data'!$C$20:$C$1000,1,false)</f>
        <v>ZSI1_BOILERS</v>
      </c>
      <c r="H7379" s="63" t="str">
        <f>IFERROR(__xludf.DUMMYFUNCTION("VLOOKUP(F7379, IMPORTRANGE(""https://docs.google.com/spreadsheets/d/1Lhp9OU0JdFf_VYSMzH5lBcEaU4o8teT1piV-SNzShjg/edit?gid=554141278#gid=554141278"", ""'Char Def. - Attributes'!C20:C2242""), 1,false)"),"PLANT_BUY")</f>
        <v>PLANT_BUY</v>
      </c>
      <c r="I7379" s="136"/>
      <c r="R7379" s="63" t="str">
        <f t="shared" si="60"/>
        <v>ZSI1_BOILERSPLANT_BUY</v>
      </c>
    </row>
    <row r="7380" ht="15.75" customHeight="1">
      <c r="B7380" s="63">
        <f t="shared" si="1"/>
        <v>12</v>
      </c>
      <c r="C7380" s="135" t="s">
        <v>490</v>
      </c>
      <c r="D7380" s="161" t="s">
        <v>74</v>
      </c>
      <c r="E7380" s="135">
        <f t="shared" si="61"/>
        <v>10</v>
      </c>
      <c r="F7380" s="134" t="s">
        <v>4143</v>
      </c>
      <c r="G7380" s="63" t="str">
        <f>VLOOKUP(C7380, 'Class Def. - General Data'!$C$20:$C$1000,1,false)</f>
        <v>ZSI1_BOILERS</v>
      </c>
      <c r="H7380" s="63" t="str">
        <f>IFERROR(__xludf.DUMMYFUNCTION("VLOOKUP(F7380, IMPORTRANGE(""https://docs.google.com/spreadsheets/d/1Lhp9OU0JdFf_VYSMzH5lBcEaU4o8teT1piV-SNzShjg/edit?gid=554141278#gid=554141278"", ""'Char Def. - Attributes'!C20:C2242""), 1,false)"),"BASE_UOM_BOILERS")</f>
        <v>BASE_UOM_BOILERS</v>
      </c>
      <c r="I7380" s="136"/>
      <c r="R7380" s="63" t="str">
        <f t="shared" si="60"/>
        <v>ZSI1_BOILERSBASE_UOM_BOILERS</v>
      </c>
    </row>
    <row r="7381" ht="15.75" customHeight="1">
      <c r="B7381" s="63">
        <f t="shared" si="1"/>
        <v>12</v>
      </c>
      <c r="C7381" s="135" t="s">
        <v>490</v>
      </c>
      <c r="D7381" s="161" t="s">
        <v>74</v>
      </c>
      <c r="E7381" s="135">
        <f t="shared" si="61"/>
        <v>11</v>
      </c>
      <c r="F7381" s="134" t="s">
        <v>4144</v>
      </c>
      <c r="G7381" s="63" t="str">
        <f>VLOOKUP(C7381, 'Class Def. - General Data'!$C$20:$C$1000,1,false)</f>
        <v>ZSI1_BOILERS</v>
      </c>
      <c r="H7381" s="63" t="str">
        <f>IFERROR(__xludf.DUMMYFUNCTION("VLOOKUP(F7381, IMPORTRANGE(""https://docs.google.com/spreadsheets/d/1Lhp9OU0JdFf_VYSMzH5lBcEaU4o8teT1piV-SNzShjg/edit?gid=554141278#gid=554141278"", ""'Char Def. - Attributes'!C20:C2242""), 1,false)"),"ORDER_UNIT_BOILERS")</f>
        <v>ORDER_UNIT_BOILERS</v>
      </c>
      <c r="I7381" s="136"/>
      <c r="R7381" s="63" t="str">
        <f t="shared" si="60"/>
        <v>ZSI1_BOILERSORDER_UNIT_BOILERS</v>
      </c>
    </row>
    <row r="7382" ht="15.75" customHeight="1">
      <c r="B7382" s="63">
        <f t="shared" si="1"/>
        <v>12</v>
      </c>
      <c r="C7382" s="135" t="s">
        <v>490</v>
      </c>
      <c r="D7382" s="161" t="s">
        <v>74</v>
      </c>
      <c r="E7382" s="135">
        <f t="shared" si="61"/>
        <v>12</v>
      </c>
      <c r="F7382" s="134" t="s">
        <v>4056</v>
      </c>
      <c r="G7382" s="63" t="str">
        <f>VLOOKUP(C7382, 'Class Def. - General Data'!$C$20:$C$1000,1,false)</f>
        <v>ZSI1_BOILERS</v>
      </c>
      <c r="H7382" s="63" t="str">
        <f>IFERROR(__xludf.DUMMYFUNCTION("VLOOKUP(F7382, IMPORTRANGE(""https://docs.google.com/spreadsheets/d/1Lhp9OU0JdFf_VYSMzH5lBcEaU4o8teT1piV-SNzShjg/edit?gid=554141278#gid=554141278"", ""'Char Def. - Attributes'!C20:C2242""), 1,false)"),"GROSS_WEIGHT_OPT")</f>
        <v>GROSS_WEIGHT_OPT</v>
      </c>
      <c r="I7382" s="136"/>
      <c r="R7382" s="63" t="str">
        <f t="shared" si="60"/>
        <v>ZSI1_BOILERSGROSS_WEIGHT_OPT</v>
      </c>
    </row>
    <row r="7383" ht="15.75" customHeight="1">
      <c r="B7383" s="63">
        <f t="shared" si="1"/>
        <v>12</v>
      </c>
      <c r="C7383" s="135" t="s">
        <v>490</v>
      </c>
      <c r="D7383" s="161" t="s">
        <v>74</v>
      </c>
      <c r="E7383" s="135">
        <f t="shared" si="61"/>
        <v>13</v>
      </c>
      <c r="F7383" s="134" t="s">
        <v>4057</v>
      </c>
      <c r="G7383" s="63" t="str">
        <f>VLOOKUP(C7383, 'Class Def. - General Data'!$C$20:$C$1000,1,false)</f>
        <v>ZSI1_BOILERS</v>
      </c>
      <c r="H7383" s="63" t="str">
        <f>IFERROR(__xludf.DUMMYFUNCTION("VLOOKUP(F7383, IMPORTRANGE(""https://docs.google.com/spreadsheets/d/1Lhp9OU0JdFf_VYSMzH5lBcEaU4o8teT1piV-SNzShjg/edit?gid=554141278#gid=554141278"", ""'Char Def. - Attributes'!C20:C2242""), 1,false)"),"NET_WEIGHT_OPT")</f>
        <v>NET_WEIGHT_OPT</v>
      </c>
      <c r="I7383" s="136"/>
      <c r="R7383" s="63" t="str">
        <f t="shared" si="60"/>
        <v>ZSI1_BOILERSNET_WEIGHT_OPT</v>
      </c>
    </row>
    <row r="7384" ht="15.75" customHeight="1">
      <c r="B7384" s="63">
        <f t="shared" si="1"/>
        <v>12</v>
      </c>
      <c r="C7384" s="135" t="s">
        <v>490</v>
      </c>
      <c r="D7384" s="161" t="s">
        <v>74</v>
      </c>
      <c r="E7384" s="135">
        <f t="shared" si="61"/>
        <v>14</v>
      </c>
      <c r="F7384" s="134" t="s">
        <v>4058</v>
      </c>
      <c r="G7384" s="63" t="str">
        <f>VLOOKUP(C7384, 'Class Def. - General Data'!$C$20:$C$1000,1,false)</f>
        <v>ZSI1_BOILERS</v>
      </c>
      <c r="H7384" s="63" t="str">
        <f>IFERROR(__xludf.DUMMYFUNCTION("VLOOKUP(F7384, IMPORTRANGE(""https://docs.google.com/spreadsheets/d/1Lhp9OU0JdFf_VYSMzH5lBcEaU4o8teT1piV-SNzShjg/edit?gid=554141278#gid=554141278"", ""'Char Def. - Attributes'!C20:C2242""), 1,false)"),"WEIGHT_UNIT_SI")</f>
        <v>WEIGHT_UNIT_SI</v>
      </c>
      <c r="I7384" s="136"/>
      <c r="R7384" s="63" t="str">
        <f t="shared" si="60"/>
        <v>ZSI1_BOILERSWEIGHT_UNIT_SI</v>
      </c>
    </row>
    <row r="7385" ht="15.75" customHeight="1">
      <c r="B7385" s="63">
        <f t="shared" si="1"/>
        <v>12</v>
      </c>
      <c r="C7385" s="135" t="s">
        <v>490</v>
      </c>
      <c r="D7385" s="161" t="s">
        <v>74</v>
      </c>
      <c r="E7385" s="135">
        <f t="shared" si="61"/>
        <v>15</v>
      </c>
      <c r="F7385" s="134" t="s">
        <v>3877</v>
      </c>
      <c r="G7385" s="63" t="str">
        <f>VLOOKUP(C7385, 'Class Def. - General Data'!$C$20:$C$1000,1,false)</f>
        <v>ZSI1_BOILERS</v>
      </c>
      <c r="H7385" s="63" t="str">
        <f>IFERROR(__xludf.DUMMYFUNCTION("VLOOKUP(F7385, IMPORTRANGE(""https://docs.google.com/spreadsheets/d/1Lhp9OU0JdFf_VYSMzH5lBcEaU4o8teT1piV-SNzShjg/edit?gid=554141278#gid=554141278"", ""'Char Def. - Attributes'!C20:C2242""), 1,false)"),"VOLUME_OPT")</f>
        <v>VOLUME_OPT</v>
      </c>
      <c r="I7385" s="136"/>
      <c r="R7385" s="63" t="str">
        <f t="shared" si="60"/>
        <v>ZSI1_BOILERSVOLUME_OPT</v>
      </c>
    </row>
    <row r="7386" ht="15.75" customHeight="1">
      <c r="B7386" s="63">
        <f t="shared" si="1"/>
        <v>12</v>
      </c>
      <c r="C7386" s="135" t="s">
        <v>490</v>
      </c>
      <c r="D7386" s="161" t="s">
        <v>74</v>
      </c>
      <c r="E7386" s="135">
        <f t="shared" si="61"/>
        <v>16</v>
      </c>
      <c r="F7386" s="134" t="s">
        <v>4059</v>
      </c>
      <c r="G7386" s="63" t="str">
        <f>VLOOKUP(C7386, 'Class Def. - General Data'!$C$20:$C$1000,1,false)</f>
        <v>ZSI1_BOILERS</v>
      </c>
      <c r="H7386" s="63" t="str">
        <f>IFERROR(__xludf.DUMMYFUNCTION("VLOOKUP(F7386, IMPORTRANGE(""https://docs.google.com/spreadsheets/d/1Lhp9OU0JdFf_VYSMzH5lBcEaU4o8teT1piV-SNzShjg/edit?gid=554141278#gid=554141278"", ""'Char Def. - Attributes'!C20:C2242""), 1,false)"),"VOLUME_UNIT_SI")</f>
        <v>VOLUME_UNIT_SI</v>
      </c>
      <c r="I7386" s="136"/>
      <c r="R7386" s="63" t="str">
        <f t="shared" si="60"/>
        <v>ZSI1_BOILERSVOLUME_UNIT_SI</v>
      </c>
    </row>
    <row r="7387" ht="15.75" customHeight="1">
      <c r="B7387" s="63">
        <f t="shared" si="1"/>
        <v>12</v>
      </c>
      <c r="C7387" s="135" t="s">
        <v>490</v>
      </c>
      <c r="D7387" s="161" t="s">
        <v>74</v>
      </c>
      <c r="E7387" s="135">
        <f t="shared" si="61"/>
        <v>17</v>
      </c>
      <c r="F7387" s="134" t="s">
        <v>3804</v>
      </c>
      <c r="G7387" s="63" t="str">
        <f>VLOOKUP(C7387, 'Class Def. - General Data'!$C$20:$C$1000,1,false)</f>
        <v>ZSI1_BOILERS</v>
      </c>
      <c r="H7387" s="63" t="str">
        <f>IFERROR(__xludf.DUMMYFUNCTION("VLOOKUP(F7387, IMPORTRANGE(""https://docs.google.com/spreadsheets/d/1Lhp9OU0JdFf_VYSMzH5lBcEaU4o8teT1piV-SNzShjg/edit?gid=554141278#gid=554141278"", ""'Char Def. - Attributes'!C20:C2242""), 1,false)"),"ALT_UOM1_SIPI")</f>
        <v>ALT_UOM1_SIPI</v>
      </c>
      <c r="I7387" s="136"/>
      <c r="R7387" s="63" t="str">
        <f t="shared" si="60"/>
        <v>ZSI1_BOILERSALT_UOM1_SIPI</v>
      </c>
    </row>
    <row r="7388" ht="15.75" customHeight="1">
      <c r="B7388" s="63">
        <f t="shared" si="1"/>
        <v>12</v>
      </c>
      <c r="C7388" s="135" t="s">
        <v>490</v>
      </c>
      <c r="D7388" s="161" t="s">
        <v>74</v>
      </c>
      <c r="E7388" s="135">
        <f t="shared" si="61"/>
        <v>18</v>
      </c>
      <c r="F7388" s="134" t="s">
        <v>3805</v>
      </c>
      <c r="G7388" s="63" t="str">
        <f>VLOOKUP(C7388, 'Class Def. - General Data'!$C$20:$C$1000,1,false)</f>
        <v>ZSI1_BOILERS</v>
      </c>
      <c r="H7388" s="63" t="str">
        <f>IFERROR(__xludf.DUMMYFUNCTION("VLOOKUP(F7388, IMPORTRANGE(""https://docs.google.com/spreadsheets/d/1Lhp9OU0JdFf_VYSMzH5lBcEaU4o8teT1piV-SNzShjg/edit?gid=554141278#gid=554141278"", ""'Char Def. - Attributes'!C20:C2242""), 1,false)"),"ALT_DENUM_UOM1")</f>
        <v>ALT_DENUM_UOM1</v>
      </c>
      <c r="I7388" s="136"/>
      <c r="R7388" s="63" t="str">
        <f t="shared" si="60"/>
        <v>ZSI1_BOILERSALT_DENUM_UOM1</v>
      </c>
    </row>
    <row r="7389" ht="15.75" customHeight="1">
      <c r="B7389" s="63">
        <f t="shared" si="1"/>
        <v>12</v>
      </c>
      <c r="C7389" s="135" t="s">
        <v>490</v>
      </c>
      <c r="D7389" s="161" t="s">
        <v>74</v>
      </c>
      <c r="E7389" s="135">
        <f t="shared" si="61"/>
        <v>19</v>
      </c>
      <c r="F7389" s="134" t="s">
        <v>3806</v>
      </c>
      <c r="G7389" s="63" t="str">
        <f>VLOOKUP(C7389, 'Class Def. - General Data'!$C$20:$C$1000,1,false)</f>
        <v>ZSI1_BOILERS</v>
      </c>
      <c r="H7389" s="63" t="str">
        <f>IFERROR(__xludf.DUMMYFUNCTION("VLOOKUP(F7389, IMPORTRANGE(""https://docs.google.com/spreadsheets/d/1Lhp9OU0JdFf_VYSMzH5lBcEaU4o8teT1piV-SNzShjg/edit?gid=554141278#gid=554141278"", ""'Char Def. - Attributes'!C20:C2242""), 1,false)"),"ALT_NUM_UOM1")</f>
        <v>ALT_NUM_UOM1</v>
      </c>
      <c r="I7389" s="136"/>
      <c r="R7389" s="63" t="str">
        <f t="shared" si="60"/>
        <v>ZSI1_BOILERSALT_NUM_UOM1</v>
      </c>
    </row>
    <row r="7390" ht="15.75" customHeight="1">
      <c r="B7390" s="63">
        <f t="shared" si="1"/>
        <v>12</v>
      </c>
      <c r="C7390" s="135" t="s">
        <v>490</v>
      </c>
      <c r="D7390" s="161" t="s">
        <v>74</v>
      </c>
      <c r="E7390" s="135">
        <f t="shared" si="61"/>
        <v>20</v>
      </c>
      <c r="F7390" s="134" t="s">
        <v>3807</v>
      </c>
      <c r="G7390" s="63" t="str">
        <f>VLOOKUP(C7390, 'Class Def. - General Data'!$C$20:$C$1000,1,false)</f>
        <v>ZSI1_BOILERS</v>
      </c>
      <c r="H7390" s="63" t="str">
        <f>IFERROR(__xludf.DUMMYFUNCTION("VLOOKUP(F7390, IMPORTRANGE(""https://docs.google.com/spreadsheets/d/1Lhp9OU0JdFf_VYSMzH5lBcEaU4o8teT1piV-SNzShjg/edit?gid=554141278#gid=554141278"", ""'Char Def. - Attributes'!C20:C2242""), 1,false)"),"ALT_UOM2_SIPI")</f>
        <v>ALT_UOM2_SIPI</v>
      </c>
      <c r="I7390" s="136"/>
      <c r="R7390" s="63" t="str">
        <f t="shared" si="60"/>
        <v>ZSI1_BOILERSALT_UOM2_SIPI</v>
      </c>
    </row>
    <row r="7391" ht="15.75" customHeight="1">
      <c r="B7391" s="63">
        <f t="shared" si="1"/>
        <v>12</v>
      </c>
      <c r="C7391" s="135" t="s">
        <v>490</v>
      </c>
      <c r="D7391" s="161" t="s">
        <v>74</v>
      </c>
      <c r="E7391" s="135">
        <f t="shared" si="61"/>
        <v>21</v>
      </c>
      <c r="F7391" s="134" t="s">
        <v>3808</v>
      </c>
      <c r="G7391" s="63" t="str">
        <f>VLOOKUP(C7391, 'Class Def. - General Data'!$C$20:$C$1000,1,false)</f>
        <v>ZSI1_BOILERS</v>
      </c>
      <c r="H7391" s="63" t="str">
        <f>IFERROR(__xludf.DUMMYFUNCTION("VLOOKUP(F7391, IMPORTRANGE(""https://docs.google.com/spreadsheets/d/1Lhp9OU0JdFf_VYSMzH5lBcEaU4o8teT1piV-SNzShjg/edit?gid=554141278#gid=554141278"", ""'Char Def. - Attributes'!C20:C2242""), 1,false)"),"ALT_DENUM_UOM2")</f>
        <v>ALT_DENUM_UOM2</v>
      </c>
      <c r="I7391" s="136"/>
      <c r="R7391" s="63" t="str">
        <f t="shared" si="60"/>
        <v>ZSI1_BOILERSALT_DENUM_UOM2</v>
      </c>
    </row>
    <row r="7392" ht="15.75" customHeight="1">
      <c r="B7392" s="63">
        <f t="shared" si="1"/>
        <v>12</v>
      </c>
      <c r="C7392" s="135" t="s">
        <v>490</v>
      </c>
      <c r="D7392" s="161" t="s">
        <v>74</v>
      </c>
      <c r="E7392" s="135">
        <f t="shared" si="61"/>
        <v>22</v>
      </c>
      <c r="F7392" s="134" t="s">
        <v>3809</v>
      </c>
      <c r="G7392" s="63" t="str">
        <f>VLOOKUP(C7392, 'Class Def. - General Data'!$C$20:$C$1000,1,false)</f>
        <v>ZSI1_BOILERS</v>
      </c>
      <c r="H7392" s="63" t="str">
        <f>IFERROR(__xludf.DUMMYFUNCTION("VLOOKUP(F7392, IMPORTRANGE(""https://docs.google.com/spreadsheets/d/1Lhp9OU0JdFf_VYSMzH5lBcEaU4o8teT1piV-SNzShjg/edit?gid=554141278#gid=554141278"", ""'Char Def. - Attributes'!C20:C2242""), 1,false)"),"ALT_NUM_UOM2")</f>
        <v>ALT_NUM_UOM2</v>
      </c>
      <c r="I7392" s="136"/>
      <c r="R7392" s="63" t="str">
        <f t="shared" si="60"/>
        <v>ZSI1_BOILERSALT_NUM_UOM2</v>
      </c>
    </row>
    <row r="7393" ht="15.75" customHeight="1">
      <c r="B7393" s="63">
        <f t="shared" si="1"/>
        <v>12</v>
      </c>
      <c r="C7393" s="135" t="s">
        <v>490</v>
      </c>
      <c r="D7393" s="161" t="s">
        <v>74</v>
      </c>
      <c r="E7393" s="135">
        <f t="shared" si="61"/>
        <v>23</v>
      </c>
      <c r="F7393" s="134" t="s">
        <v>3810</v>
      </c>
      <c r="G7393" s="63" t="str">
        <f>VLOOKUP(C7393, 'Class Def. - General Data'!$C$20:$C$1000,1,false)</f>
        <v>ZSI1_BOILERS</v>
      </c>
      <c r="H7393" s="63" t="str">
        <f>IFERROR(__xludf.DUMMYFUNCTION("VLOOKUP(F7393, IMPORTRANGE(""https://docs.google.com/spreadsheets/d/1Lhp9OU0JdFf_VYSMzH5lBcEaU4o8teT1piV-SNzShjg/edit?gid=554141278#gid=554141278"", ""'Char Def. - Attributes'!C20:C2242""), 1,false)"),"ALT_UOM3_SIPI")</f>
        <v>ALT_UOM3_SIPI</v>
      </c>
      <c r="I7393" s="136"/>
      <c r="R7393" s="63" t="str">
        <f t="shared" si="60"/>
        <v>ZSI1_BOILERSALT_UOM3_SIPI</v>
      </c>
    </row>
    <row r="7394" ht="15.75" customHeight="1">
      <c r="B7394" s="63">
        <f t="shared" si="1"/>
        <v>12</v>
      </c>
      <c r="C7394" s="135" t="s">
        <v>490</v>
      </c>
      <c r="D7394" s="161" t="s">
        <v>74</v>
      </c>
      <c r="E7394" s="135">
        <f t="shared" si="61"/>
        <v>24</v>
      </c>
      <c r="F7394" s="134" t="s">
        <v>3811</v>
      </c>
      <c r="G7394" s="63" t="str">
        <f>VLOOKUP(C7394, 'Class Def. - General Data'!$C$20:$C$1000,1,false)</f>
        <v>ZSI1_BOILERS</v>
      </c>
      <c r="H7394" s="63" t="str">
        <f>IFERROR(__xludf.DUMMYFUNCTION("VLOOKUP(F7394, IMPORTRANGE(""https://docs.google.com/spreadsheets/d/1Lhp9OU0JdFf_VYSMzH5lBcEaU4o8teT1piV-SNzShjg/edit?gid=554141278#gid=554141278"", ""'Char Def. - Attributes'!C20:C2242""), 1,false)"),"ALT_DENUM_UOM3")</f>
        <v>ALT_DENUM_UOM3</v>
      </c>
      <c r="I7394" s="136"/>
      <c r="R7394" s="63" t="str">
        <f t="shared" si="60"/>
        <v>ZSI1_BOILERSALT_DENUM_UOM3</v>
      </c>
    </row>
    <row r="7395" ht="15.75" customHeight="1">
      <c r="B7395" s="63">
        <f t="shared" si="1"/>
        <v>12</v>
      </c>
      <c r="C7395" s="135" t="s">
        <v>490</v>
      </c>
      <c r="D7395" s="161" t="s">
        <v>74</v>
      </c>
      <c r="E7395" s="135">
        <f t="shared" si="61"/>
        <v>25</v>
      </c>
      <c r="F7395" s="134" t="s">
        <v>3812</v>
      </c>
      <c r="G7395" s="63" t="str">
        <f>VLOOKUP(C7395, 'Class Def. - General Data'!$C$20:$C$1000,1,false)</f>
        <v>ZSI1_BOILERS</v>
      </c>
      <c r="H7395" s="63" t="str">
        <f>IFERROR(__xludf.DUMMYFUNCTION("VLOOKUP(F7395, IMPORTRANGE(""https://docs.google.com/spreadsheets/d/1Lhp9OU0JdFf_VYSMzH5lBcEaU4o8teT1piV-SNzShjg/edit?gid=554141278#gid=554141278"", ""'Char Def. - Attributes'!C20:C2242""), 1,false)"),"ALT_NUM_UOM3")</f>
        <v>ALT_NUM_UOM3</v>
      </c>
      <c r="I7395" s="136"/>
      <c r="R7395" s="63" t="str">
        <f t="shared" si="60"/>
        <v>ZSI1_BOILERSALT_NUM_UOM3</v>
      </c>
    </row>
    <row r="7396" ht="15.75" customHeight="1">
      <c r="B7396" s="63">
        <f t="shared" si="1"/>
        <v>12</v>
      </c>
      <c r="C7396" s="135" t="s">
        <v>490</v>
      </c>
      <c r="D7396" s="161" t="s">
        <v>74</v>
      </c>
      <c r="E7396" s="135">
        <f t="shared" si="61"/>
        <v>26</v>
      </c>
      <c r="F7396" s="134" t="s">
        <v>3813</v>
      </c>
      <c r="G7396" s="63" t="str">
        <f>VLOOKUP(C7396, 'Class Def. - General Data'!$C$20:$C$1000,1,false)</f>
        <v>ZSI1_BOILERS</v>
      </c>
      <c r="H7396" s="63" t="str">
        <f>IFERROR(__xludf.DUMMYFUNCTION("VLOOKUP(F7396, IMPORTRANGE(""https://docs.google.com/spreadsheets/d/1Lhp9OU0JdFf_VYSMzH5lBcEaU4o8teT1piV-SNzShjg/edit?gid=554141278#gid=554141278"", ""'Char Def. - Attributes'!C20:C2242""), 1,false)"),"ALT_UOM4_SIPI")</f>
        <v>ALT_UOM4_SIPI</v>
      </c>
      <c r="I7396" s="136"/>
      <c r="R7396" s="63" t="str">
        <f t="shared" si="60"/>
        <v>ZSI1_BOILERSALT_UOM4_SIPI</v>
      </c>
    </row>
    <row r="7397" ht="15.75" customHeight="1">
      <c r="B7397" s="63">
        <f t="shared" si="1"/>
        <v>12</v>
      </c>
      <c r="C7397" s="135" t="s">
        <v>490</v>
      </c>
      <c r="D7397" s="161" t="s">
        <v>74</v>
      </c>
      <c r="E7397" s="135">
        <f t="shared" si="61"/>
        <v>27</v>
      </c>
      <c r="F7397" s="134" t="s">
        <v>3814</v>
      </c>
      <c r="G7397" s="63" t="str">
        <f>VLOOKUP(C7397, 'Class Def. - General Data'!$C$20:$C$1000,1,false)</f>
        <v>ZSI1_BOILERS</v>
      </c>
      <c r="H7397" s="63" t="str">
        <f>IFERROR(__xludf.DUMMYFUNCTION("VLOOKUP(F7397, IMPORTRANGE(""https://docs.google.com/spreadsheets/d/1Lhp9OU0JdFf_VYSMzH5lBcEaU4o8teT1piV-SNzShjg/edit?gid=554141278#gid=554141278"", ""'Char Def. - Attributes'!C20:C2242""), 1,false)"),"ALT_DENUM_UOM4")</f>
        <v>ALT_DENUM_UOM4</v>
      </c>
      <c r="I7397" s="136"/>
      <c r="R7397" s="63" t="str">
        <f t="shared" si="60"/>
        <v>ZSI1_BOILERSALT_DENUM_UOM4</v>
      </c>
    </row>
    <row r="7398" ht="15.75" customHeight="1">
      <c r="B7398" s="63">
        <f t="shared" si="1"/>
        <v>12</v>
      </c>
      <c r="C7398" s="135" t="s">
        <v>490</v>
      </c>
      <c r="D7398" s="161" t="s">
        <v>74</v>
      </c>
      <c r="E7398" s="135">
        <f t="shared" si="61"/>
        <v>28</v>
      </c>
      <c r="F7398" s="134" t="s">
        <v>3815</v>
      </c>
      <c r="G7398" s="63" t="str">
        <f>VLOOKUP(C7398, 'Class Def. - General Data'!$C$20:$C$1000,1,false)</f>
        <v>ZSI1_BOILERS</v>
      </c>
      <c r="H7398" s="63" t="str">
        <f>IFERROR(__xludf.DUMMYFUNCTION("VLOOKUP(F7398, IMPORTRANGE(""https://docs.google.com/spreadsheets/d/1Lhp9OU0JdFf_VYSMzH5lBcEaU4o8teT1piV-SNzShjg/edit?gid=554141278#gid=554141278"", ""'Char Def. - Attributes'!C20:C2242""), 1,false)"),"ALT_NUM_UOM4")</f>
        <v>ALT_NUM_UOM4</v>
      </c>
      <c r="I7398" s="136"/>
      <c r="R7398" s="63" t="str">
        <f t="shared" si="60"/>
        <v>ZSI1_BOILERSALT_NUM_UOM4</v>
      </c>
    </row>
    <row r="7399" ht="15.75" customHeight="1">
      <c r="B7399" s="63">
        <f t="shared" si="1"/>
        <v>12</v>
      </c>
      <c r="C7399" s="135" t="s">
        <v>490</v>
      </c>
      <c r="D7399" s="161" t="s">
        <v>74</v>
      </c>
      <c r="E7399" s="135">
        <f t="shared" si="61"/>
        <v>29</v>
      </c>
      <c r="F7399" s="134" t="s">
        <v>3816</v>
      </c>
      <c r="G7399" s="63" t="str">
        <f>VLOOKUP(C7399, 'Class Def. - General Data'!$C$20:$C$1000,1,false)</f>
        <v>ZSI1_BOILERS</v>
      </c>
      <c r="H7399" s="63" t="str">
        <f>IFERROR(__xludf.DUMMYFUNCTION("VLOOKUP(F7399, IMPORTRANGE(""https://docs.google.com/spreadsheets/d/1Lhp9OU0JdFf_VYSMzH5lBcEaU4o8teT1piV-SNzShjg/edit?gid=554141278#gid=554141278"", ""'Char Def. - Attributes'!C20:C2242""), 1,false)"),"ALT_UOM5_SIPI")</f>
        <v>ALT_UOM5_SIPI</v>
      </c>
      <c r="I7399" s="136"/>
      <c r="R7399" s="63" t="str">
        <f t="shared" si="60"/>
        <v>ZSI1_BOILERSALT_UOM5_SIPI</v>
      </c>
    </row>
    <row r="7400" ht="15.75" customHeight="1">
      <c r="B7400" s="63">
        <f t="shared" si="1"/>
        <v>12</v>
      </c>
      <c r="C7400" s="135" t="s">
        <v>490</v>
      </c>
      <c r="D7400" s="161" t="s">
        <v>74</v>
      </c>
      <c r="E7400" s="135">
        <f t="shared" si="61"/>
        <v>30</v>
      </c>
      <c r="F7400" s="134" t="s">
        <v>3817</v>
      </c>
      <c r="G7400" s="63" t="str">
        <f>VLOOKUP(C7400, 'Class Def. - General Data'!$C$20:$C$1000,1,false)</f>
        <v>ZSI1_BOILERS</v>
      </c>
      <c r="H7400" s="63" t="str">
        <f>IFERROR(__xludf.DUMMYFUNCTION("VLOOKUP(F7400, IMPORTRANGE(""https://docs.google.com/spreadsheets/d/1Lhp9OU0JdFf_VYSMzH5lBcEaU4o8teT1piV-SNzShjg/edit?gid=554141278#gid=554141278"", ""'Char Def. - Attributes'!C20:C2242""), 1,false)"),"ALT_DENUM_UOM5")</f>
        <v>ALT_DENUM_UOM5</v>
      </c>
      <c r="I7400" s="136"/>
      <c r="R7400" s="63" t="str">
        <f t="shared" si="60"/>
        <v>ZSI1_BOILERSALT_DENUM_UOM5</v>
      </c>
    </row>
    <row r="7401" ht="15.75" customHeight="1">
      <c r="B7401" s="63">
        <f t="shared" si="1"/>
        <v>12</v>
      </c>
      <c r="C7401" s="135" t="s">
        <v>490</v>
      </c>
      <c r="D7401" s="161" t="s">
        <v>74</v>
      </c>
      <c r="E7401" s="135">
        <f t="shared" si="61"/>
        <v>31</v>
      </c>
      <c r="F7401" s="134" t="s">
        <v>3818</v>
      </c>
      <c r="G7401" s="63" t="str">
        <f>VLOOKUP(C7401, 'Class Def. - General Data'!$C$20:$C$1000,1,false)</f>
        <v>ZSI1_BOILERS</v>
      </c>
      <c r="H7401" s="63" t="str">
        <f>IFERROR(__xludf.DUMMYFUNCTION("VLOOKUP(F7401, IMPORTRANGE(""https://docs.google.com/spreadsheets/d/1Lhp9OU0JdFf_VYSMzH5lBcEaU4o8teT1piV-SNzShjg/edit?gid=554141278#gid=554141278"", ""'Char Def. - Attributes'!C20:C2242""), 1,false)"),"ALT_NUM_UOM5")</f>
        <v>ALT_NUM_UOM5</v>
      </c>
      <c r="I7401" s="136"/>
      <c r="R7401" s="63" t="str">
        <f t="shared" si="60"/>
        <v>ZSI1_BOILERSALT_NUM_UOM5</v>
      </c>
    </row>
    <row r="7402" ht="15.75" customHeight="1">
      <c r="B7402" s="63">
        <f t="shared" si="1"/>
        <v>9</v>
      </c>
      <c r="C7402" s="135" t="s">
        <v>339</v>
      </c>
      <c r="D7402" s="161" t="s">
        <v>74</v>
      </c>
      <c r="E7402" s="135">
        <f t="shared" si="61"/>
        <v>1</v>
      </c>
      <c r="F7402" s="134" t="s">
        <v>4145</v>
      </c>
      <c r="G7402" s="63" t="str">
        <f>VLOOKUP(C7402, 'Class Def. - General Data'!$C$20:$C$1000,1,false)</f>
        <v>ZSI1_BOLT</v>
      </c>
      <c r="H7402" s="63" t="str">
        <f>IFERROR(__xludf.DUMMYFUNCTION("VLOOKUP(F7402, IMPORTRANGE(""https://docs.google.com/spreadsheets/d/1Lhp9OU0JdFf_VYSMzH5lBcEaU4o8teT1piV-SNzShjg/edit?gid=554141278#gid=554141278"", ""'Char Def. - Attributes'!C20:C2242""), 1,false)"),"ITEM_NAME_BOLT")</f>
        <v>ITEM_NAME_BOLT</v>
      </c>
      <c r="I7402" s="136"/>
      <c r="R7402" s="63" t="str">
        <f t="shared" si="60"/>
        <v>ZSI1_BOLTITEM_NAME_BOLT</v>
      </c>
    </row>
    <row r="7403" ht="15.75" customHeight="1">
      <c r="B7403" s="63">
        <f t="shared" si="1"/>
        <v>9</v>
      </c>
      <c r="C7403" s="135" t="s">
        <v>339</v>
      </c>
      <c r="D7403" s="161" t="s">
        <v>74</v>
      </c>
      <c r="E7403" s="135">
        <f t="shared" si="61"/>
        <v>2</v>
      </c>
      <c r="F7403" s="134" t="s">
        <v>4146</v>
      </c>
      <c r="G7403" s="63" t="str">
        <f>VLOOKUP(C7403, 'Class Def. - General Data'!$C$20:$C$1000,1,false)</f>
        <v>ZSI1_BOLT</v>
      </c>
      <c r="H7403" s="63" t="str">
        <f>IFERROR(__xludf.DUMMYFUNCTION("VLOOKUP(F7403, IMPORTRANGE(""https://docs.google.com/spreadsheets/d/1Lhp9OU0JdFf_VYSMzH5lBcEaU4o8teT1piV-SNzShjg/edit?gid=554141278#gid=554141278"", ""'Char Def. - Attributes'!C20:C2242""), 1,false)"),"DIMENSION_BOLT")</f>
        <v>DIMENSION_BOLT</v>
      </c>
      <c r="I7403" s="136"/>
      <c r="R7403" s="63" t="str">
        <f t="shared" si="60"/>
        <v>ZSI1_BOLTDIMENSION_BOLT</v>
      </c>
    </row>
    <row r="7404" ht="15.75" customHeight="1">
      <c r="B7404" s="63">
        <f t="shared" si="1"/>
        <v>9</v>
      </c>
      <c r="C7404" s="135" t="s">
        <v>339</v>
      </c>
      <c r="D7404" s="161" t="s">
        <v>74</v>
      </c>
      <c r="E7404" s="135">
        <f t="shared" si="61"/>
        <v>3</v>
      </c>
      <c r="F7404" s="134" t="s">
        <v>4147</v>
      </c>
      <c r="G7404" s="63" t="str">
        <f>VLOOKUP(C7404, 'Class Def. - General Data'!$C$20:$C$1000,1,false)</f>
        <v>ZSI1_BOLT</v>
      </c>
      <c r="H7404" s="63" t="str">
        <f>IFERROR(__xludf.DUMMYFUNCTION("VLOOKUP(F7404, IMPORTRANGE(""https://docs.google.com/spreadsheets/d/1Lhp9OU0JdFf_VYSMzH5lBcEaU4o8teT1piV-SNzShjg/edit?gid=554141278#gid=554141278"", ""'Char Def. - Attributes'!C20:C2242""), 1,false)"),"DIAMETER_MM_BOLT")</f>
        <v>DIAMETER_MM_BOLT</v>
      </c>
      <c r="I7404" s="136"/>
      <c r="R7404" s="63" t="str">
        <f t="shared" si="60"/>
        <v>ZSI1_BOLTDIAMETER_MM_BOLT</v>
      </c>
    </row>
    <row r="7405" ht="15.75" customHeight="1">
      <c r="B7405" s="63">
        <f t="shared" si="1"/>
        <v>9</v>
      </c>
      <c r="C7405" s="135" t="s">
        <v>339</v>
      </c>
      <c r="D7405" s="161" t="s">
        <v>74</v>
      </c>
      <c r="E7405" s="135">
        <f t="shared" si="61"/>
        <v>4</v>
      </c>
      <c r="F7405" s="134" t="s">
        <v>4148</v>
      </c>
      <c r="G7405" s="63" t="str">
        <f>VLOOKUP(C7405, 'Class Def. - General Data'!$C$20:$C$1000,1,false)</f>
        <v>ZSI1_BOLT</v>
      </c>
      <c r="H7405" s="63" t="str">
        <f>IFERROR(__xludf.DUMMYFUNCTION("VLOOKUP(F7405, IMPORTRANGE(""https://docs.google.com/spreadsheets/d/1Lhp9OU0JdFf_VYSMzH5lBcEaU4o8teT1piV-SNzShjg/edit?gid=554141278#gid=554141278"", ""'Char Def. - Attributes'!C20:C2242""), 1,false)"),"DIAMETER_INCH_BOLT")</f>
        <v>DIAMETER_INCH_BOLT</v>
      </c>
      <c r="I7405" s="136"/>
      <c r="R7405" s="63" t="str">
        <f t="shared" si="60"/>
        <v>ZSI1_BOLTDIAMETER_INCH_BOLT</v>
      </c>
    </row>
    <row r="7406" ht="15.75" customHeight="1">
      <c r="B7406" s="63">
        <f t="shared" si="1"/>
        <v>9</v>
      </c>
      <c r="C7406" s="135" t="s">
        <v>339</v>
      </c>
      <c r="D7406" s="161" t="s">
        <v>74</v>
      </c>
      <c r="E7406" s="135">
        <f t="shared" si="61"/>
        <v>5</v>
      </c>
      <c r="F7406" s="134" t="s">
        <v>4149</v>
      </c>
      <c r="G7406" s="63" t="str">
        <f>VLOOKUP(C7406, 'Class Def. - General Data'!$C$20:$C$1000,1,false)</f>
        <v>ZSI1_BOLT</v>
      </c>
      <c r="H7406" s="63" t="str">
        <f>IFERROR(__xludf.DUMMYFUNCTION("VLOOKUP(F7406, IMPORTRANGE(""https://docs.google.com/spreadsheets/d/1Lhp9OU0JdFf_VYSMzH5lBcEaU4o8teT1piV-SNzShjg/edit?gid=554141278#gid=554141278"", ""'Char Def. - Attributes'!C20:C2242""), 1,false)"),"THREADS_MM_BOLT")</f>
        <v>THREADS_MM_BOLT</v>
      </c>
      <c r="I7406" s="136"/>
      <c r="R7406" s="63" t="str">
        <f t="shared" si="60"/>
        <v>ZSI1_BOLTTHREADS_MM_BOLT</v>
      </c>
    </row>
    <row r="7407" ht="15.75" customHeight="1">
      <c r="B7407" s="63">
        <f t="shared" si="1"/>
        <v>9</v>
      </c>
      <c r="C7407" s="135" t="s">
        <v>339</v>
      </c>
      <c r="D7407" s="161" t="s">
        <v>74</v>
      </c>
      <c r="E7407" s="135">
        <f t="shared" si="61"/>
        <v>6</v>
      </c>
      <c r="F7407" s="134" t="s">
        <v>4150</v>
      </c>
      <c r="G7407" s="63" t="str">
        <f>VLOOKUP(C7407, 'Class Def. - General Data'!$C$20:$C$1000,1,false)</f>
        <v>ZSI1_BOLT</v>
      </c>
      <c r="H7407" s="63" t="str">
        <f>IFERROR(__xludf.DUMMYFUNCTION("VLOOKUP(F7407, IMPORTRANGE(""https://docs.google.com/spreadsheets/d/1Lhp9OU0JdFf_VYSMzH5lBcEaU4o8teT1piV-SNzShjg/edit?gid=554141278#gid=554141278"", ""'Char Def. - Attributes'!C20:C2242""), 1,false)"),"THREADS_INCH_BOLT")</f>
        <v>THREADS_INCH_BOLT</v>
      </c>
      <c r="I7407" s="136"/>
      <c r="R7407" s="63" t="str">
        <f t="shared" si="60"/>
        <v>ZSI1_BOLTTHREADS_INCH_BOLT</v>
      </c>
    </row>
    <row r="7408" ht="15.75" customHeight="1">
      <c r="B7408" s="63">
        <f t="shared" si="1"/>
        <v>9</v>
      </c>
      <c r="C7408" s="135" t="s">
        <v>339</v>
      </c>
      <c r="D7408" s="161" t="s">
        <v>74</v>
      </c>
      <c r="E7408" s="135">
        <f t="shared" si="61"/>
        <v>7</v>
      </c>
      <c r="F7408" s="134" t="s">
        <v>4151</v>
      </c>
      <c r="G7408" s="63" t="str">
        <f>VLOOKUP(C7408, 'Class Def. - General Data'!$C$20:$C$1000,1,false)</f>
        <v>ZSI1_BOLT</v>
      </c>
      <c r="H7408" s="63" t="str">
        <f>IFERROR(__xludf.DUMMYFUNCTION("VLOOKUP(F7408, IMPORTRANGE(""https://docs.google.com/spreadsheets/d/1Lhp9OU0JdFf_VYSMzH5lBcEaU4o8teT1piV-SNzShjg/edit?gid=554141278#gid=554141278"", ""'Char Def. - Attributes'!C20:C2242""), 1,false)"),"LENGTH_INCH_BOLT")</f>
        <v>LENGTH_INCH_BOLT</v>
      </c>
      <c r="I7408" s="136"/>
      <c r="R7408" s="63" t="str">
        <f t="shared" si="60"/>
        <v>ZSI1_BOLTLENGTH_INCH_BOLT</v>
      </c>
    </row>
    <row r="7409" ht="15.75" customHeight="1">
      <c r="B7409" s="63">
        <f t="shared" si="1"/>
        <v>9</v>
      </c>
      <c r="C7409" s="135" t="s">
        <v>339</v>
      </c>
      <c r="D7409" s="161" t="s">
        <v>74</v>
      </c>
      <c r="E7409" s="135">
        <f t="shared" si="61"/>
        <v>8</v>
      </c>
      <c r="F7409" s="134" t="s">
        <v>4152</v>
      </c>
      <c r="G7409" s="63" t="str">
        <f>VLOOKUP(C7409, 'Class Def. - General Data'!$C$20:$C$1000,1,false)</f>
        <v>ZSI1_BOLT</v>
      </c>
      <c r="H7409" s="63" t="str">
        <f>IFERROR(__xludf.DUMMYFUNCTION("VLOOKUP(F7409, IMPORTRANGE(""https://docs.google.com/spreadsheets/d/1Lhp9OU0JdFf_VYSMzH5lBcEaU4o8teT1piV-SNzShjg/edit?gid=554141278#gid=554141278"", ""'Char Def. - Attributes'!C20:C2242""), 1,false)"),"LENGTH_MM_BOLT")</f>
        <v>LENGTH_MM_BOLT</v>
      </c>
      <c r="I7409" s="136"/>
      <c r="R7409" s="63" t="str">
        <f t="shared" si="60"/>
        <v>ZSI1_BOLTLENGTH_MM_BOLT</v>
      </c>
    </row>
    <row r="7410" ht="15.75" customHeight="1">
      <c r="B7410" s="63">
        <f t="shared" si="1"/>
        <v>9</v>
      </c>
      <c r="C7410" s="135" t="s">
        <v>339</v>
      </c>
      <c r="D7410" s="161" t="s">
        <v>74</v>
      </c>
      <c r="E7410" s="135">
        <f t="shared" si="61"/>
        <v>9</v>
      </c>
      <c r="F7410" s="134" t="s">
        <v>4153</v>
      </c>
      <c r="G7410" s="63" t="str">
        <f>VLOOKUP(C7410, 'Class Def. - General Data'!$C$20:$C$1000,1,false)</f>
        <v>ZSI1_BOLT</v>
      </c>
      <c r="H7410" s="63" t="str">
        <f>IFERROR(__xludf.DUMMYFUNCTION("VLOOKUP(F7410, IMPORTRANGE(""https://docs.google.com/spreadsheets/d/1Lhp9OU0JdFf_VYSMzH5lBcEaU4o8teT1piV-SNzShjg/edit?gid=554141278#gid=554141278"", ""'Char Def. - Attributes'!C20:C2242""), 1,false)"),"MATERIAL_BOLT")</f>
        <v>MATERIAL_BOLT</v>
      </c>
      <c r="I7410" s="136"/>
      <c r="R7410" s="63" t="str">
        <f t="shared" si="60"/>
        <v>ZSI1_BOLTMATERIAL_BOLT</v>
      </c>
    </row>
    <row r="7411" ht="15.75" customHeight="1">
      <c r="B7411" s="63">
        <f t="shared" si="1"/>
        <v>9</v>
      </c>
      <c r="C7411" s="135" t="s">
        <v>339</v>
      </c>
      <c r="D7411" s="161" t="s">
        <v>74</v>
      </c>
      <c r="E7411" s="135">
        <f t="shared" si="61"/>
        <v>10</v>
      </c>
      <c r="F7411" s="134" t="s">
        <v>4154</v>
      </c>
      <c r="G7411" s="63" t="str">
        <f>VLOOKUP(C7411, 'Class Def. - General Data'!$C$20:$C$1000,1,false)</f>
        <v>ZSI1_BOLT</v>
      </c>
      <c r="H7411" s="63" t="str">
        <f>IFERROR(__xludf.DUMMYFUNCTION("VLOOKUP(F7411, IMPORTRANGE(""https://docs.google.com/spreadsheets/d/1Lhp9OU0JdFf_VYSMzH5lBcEaU4o8teT1piV-SNzShjg/edit?gid=554141278#gid=554141278"", ""'Char Def. - Attributes'!C20:C2242""), 1,false)"),"FINISHING_BOLT")</f>
        <v>FINISHING_BOLT</v>
      </c>
      <c r="I7411" s="136"/>
      <c r="R7411" s="63" t="str">
        <f t="shared" si="60"/>
        <v>ZSI1_BOLTFINISHING_BOLT</v>
      </c>
    </row>
    <row r="7412" ht="15.75" customHeight="1">
      <c r="B7412" s="63">
        <f t="shared" si="1"/>
        <v>9</v>
      </c>
      <c r="C7412" s="135" t="s">
        <v>339</v>
      </c>
      <c r="D7412" s="161" t="s">
        <v>74</v>
      </c>
      <c r="E7412" s="135">
        <f t="shared" si="61"/>
        <v>11</v>
      </c>
      <c r="F7412" s="134" t="s">
        <v>4155</v>
      </c>
      <c r="G7412" s="63" t="str">
        <f>VLOOKUP(C7412, 'Class Def. - General Data'!$C$20:$C$1000,1,false)</f>
        <v>ZSI1_BOLT</v>
      </c>
      <c r="H7412" s="63" t="str">
        <f>IFERROR(__xludf.DUMMYFUNCTION("VLOOKUP(F7412, IMPORTRANGE(""https://docs.google.com/spreadsheets/d/1Lhp9OU0JdFf_VYSMzH5lBcEaU4o8teT1piV-SNzShjg/edit?gid=554141278#gid=554141278"", ""'Char Def. - Attributes'!C20:C2242""), 1,false)"),"THREAD_DESIGN_BOLT")</f>
        <v>THREAD_DESIGN_BOLT</v>
      </c>
      <c r="I7412" s="136"/>
      <c r="R7412" s="63" t="str">
        <f t="shared" si="60"/>
        <v>ZSI1_BOLTTHREAD_DESIGN_BOLT</v>
      </c>
    </row>
    <row r="7413" ht="15.75" customHeight="1">
      <c r="B7413" s="63">
        <f t="shared" si="1"/>
        <v>9</v>
      </c>
      <c r="C7413" s="135" t="s">
        <v>339</v>
      </c>
      <c r="D7413" s="161" t="s">
        <v>74</v>
      </c>
      <c r="E7413" s="135">
        <f t="shared" si="61"/>
        <v>12</v>
      </c>
      <c r="F7413" s="134" t="s">
        <v>4156</v>
      </c>
      <c r="G7413" s="63" t="str">
        <f>VLOOKUP(C7413, 'Class Def. - General Data'!$C$20:$C$1000,1,false)</f>
        <v>ZSI1_BOLT</v>
      </c>
      <c r="H7413" s="63" t="str">
        <f>IFERROR(__xludf.DUMMYFUNCTION("VLOOKUP(F7413, IMPORTRANGE(""https://docs.google.com/spreadsheets/d/1Lhp9OU0JdFf_VYSMzH5lBcEaU4o8teT1piV-SNzShjg/edit?gid=554141278#gid=554141278"", ""'Char Def. - Attributes'!C20:C2242""), 1,false)"),"ADDITIONAL_INFO_BOLT")</f>
        <v>ADDITIONAL_INFO_BOLT</v>
      </c>
      <c r="I7413" s="136"/>
      <c r="R7413" s="63" t="str">
        <f t="shared" si="60"/>
        <v>ZSI1_BOLTADDITIONAL_INFO_BOLT</v>
      </c>
    </row>
    <row r="7414" ht="15.75" customHeight="1">
      <c r="B7414" s="63">
        <f t="shared" si="1"/>
        <v>9</v>
      </c>
      <c r="C7414" s="135" t="s">
        <v>339</v>
      </c>
      <c r="D7414" s="161" t="s">
        <v>74</v>
      </c>
      <c r="E7414" s="135">
        <f t="shared" si="61"/>
        <v>13</v>
      </c>
      <c r="F7414" s="134" t="s">
        <v>4053</v>
      </c>
      <c r="G7414" s="63" t="str">
        <f>VLOOKUP(C7414, 'Class Def. - General Data'!$C$20:$C$1000,1,false)</f>
        <v>ZSI1_BOLT</v>
      </c>
      <c r="H7414" s="63" t="str">
        <f>IFERROR(__xludf.DUMMYFUNCTION("VLOOKUP(F7414, IMPORTRANGE(""https://docs.google.com/spreadsheets/d/1Lhp9OU0JdFf_VYSMzH5lBcEaU4o8teT1piV-SNzShjg/edit?gid=554141278#gid=554141278"", ""'Char Def. - Attributes'!C20:C2242""), 1,false)"),"MAINTENANCE_ORDER_TYPE")</f>
        <v>MAINTENANCE_ORDER_TYPE</v>
      </c>
      <c r="I7414" s="136"/>
      <c r="R7414" s="63" t="str">
        <f t="shared" si="60"/>
        <v>ZSI1_BOLTMAINTENANCE_ORDER_TYPE</v>
      </c>
    </row>
    <row r="7415" ht="15.75" customHeight="1">
      <c r="B7415" s="63">
        <f t="shared" si="1"/>
        <v>9</v>
      </c>
      <c r="C7415" s="135" t="s">
        <v>339</v>
      </c>
      <c r="D7415" s="161" t="s">
        <v>74</v>
      </c>
      <c r="E7415" s="135">
        <f t="shared" si="61"/>
        <v>14</v>
      </c>
      <c r="F7415" s="134" t="s">
        <v>3585</v>
      </c>
      <c r="G7415" s="63" t="str">
        <f>VLOOKUP(C7415, 'Class Def. - General Data'!$C$20:$C$1000,1,false)</f>
        <v>ZSI1_BOLT</v>
      </c>
      <c r="H7415" s="63" t="str">
        <f>IFERROR(__xludf.DUMMYFUNCTION("VLOOKUP(F7415, IMPORTRANGE(""https://docs.google.com/spreadsheets/d/1Lhp9OU0JdFf_VYSMzH5lBcEaU4o8teT1piV-SNzShjg/edit?gid=554141278#gid=554141278"", ""'Char Def. - Attributes'!C20:C2242""), 1,false)"),"HS_CODE")</f>
        <v>HS_CODE</v>
      </c>
      <c r="I7415" s="136"/>
      <c r="R7415" s="63" t="str">
        <f t="shared" si="60"/>
        <v>ZSI1_BOLTHS_CODE</v>
      </c>
    </row>
    <row r="7416" ht="15.75" customHeight="1">
      <c r="B7416" s="63">
        <f t="shared" si="1"/>
        <v>9</v>
      </c>
      <c r="C7416" s="135" t="s">
        <v>339</v>
      </c>
      <c r="D7416" s="161" t="s">
        <v>74</v>
      </c>
      <c r="E7416" s="135">
        <f t="shared" si="61"/>
        <v>15</v>
      </c>
      <c r="F7416" s="134" t="s">
        <v>3587</v>
      </c>
      <c r="G7416" s="63" t="str">
        <f>VLOOKUP(C7416, 'Class Def. - General Data'!$C$20:$C$1000,1,false)</f>
        <v>ZSI1_BOLT</v>
      </c>
      <c r="H7416" s="63" t="str">
        <f>IFERROR(__xludf.DUMMYFUNCTION("VLOOKUP(F7416, IMPORTRANGE(""https://docs.google.com/spreadsheets/d/1Lhp9OU0JdFf_VYSMzH5lBcEaU4o8teT1piV-SNzShjg/edit?gid=554141278#gid=554141278"", ""'Char Def. - Attributes'!C20:C2242""), 1,false)"),"PLANT_BUY")</f>
        <v>PLANT_BUY</v>
      </c>
      <c r="I7416" s="136"/>
      <c r="R7416" s="63" t="str">
        <f t="shared" si="60"/>
        <v>ZSI1_BOLTPLANT_BUY</v>
      </c>
    </row>
    <row r="7417" ht="15.75" customHeight="1">
      <c r="B7417" s="63">
        <f t="shared" si="1"/>
        <v>9</v>
      </c>
      <c r="C7417" s="135" t="s">
        <v>339</v>
      </c>
      <c r="D7417" s="161" t="s">
        <v>74</v>
      </c>
      <c r="E7417" s="135">
        <f t="shared" si="61"/>
        <v>16</v>
      </c>
      <c r="F7417" s="134" t="s">
        <v>4157</v>
      </c>
      <c r="G7417" s="63" t="str">
        <f>VLOOKUP(C7417, 'Class Def. - General Data'!$C$20:$C$1000,1,false)</f>
        <v>ZSI1_BOLT</v>
      </c>
      <c r="H7417" s="63" t="str">
        <f>IFERROR(__xludf.DUMMYFUNCTION("VLOOKUP(F7417, IMPORTRANGE(""https://docs.google.com/spreadsheets/d/1Lhp9OU0JdFf_VYSMzH5lBcEaU4o8teT1piV-SNzShjg/edit?gid=554141278#gid=554141278"", ""'Char Def. - Attributes'!C20:C2242""), 1,false)"),"BASE_UOM_BOLT")</f>
        <v>BASE_UOM_BOLT</v>
      </c>
      <c r="I7417" s="136"/>
      <c r="R7417" s="63" t="str">
        <f t="shared" si="60"/>
        <v>ZSI1_BOLTBASE_UOM_BOLT</v>
      </c>
    </row>
    <row r="7418" ht="15.75" customHeight="1">
      <c r="B7418" s="63">
        <f t="shared" si="1"/>
        <v>9</v>
      </c>
      <c r="C7418" s="135" t="s">
        <v>339</v>
      </c>
      <c r="D7418" s="161" t="s">
        <v>74</v>
      </c>
      <c r="E7418" s="135">
        <f t="shared" si="61"/>
        <v>17</v>
      </c>
      <c r="F7418" s="134" t="s">
        <v>4158</v>
      </c>
      <c r="G7418" s="63" t="str">
        <f>VLOOKUP(C7418, 'Class Def. - General Data'!$C$20:$C$1000,1,false)</f>
        <v>ZSI1_BOLT</v>
      </c>
      <c r="H7418" s="63" t="str">
        <f>IFERROR(__xludf.DUMMYFUNCTION("VLOOKUP(F7418, IMPORTRANGE(""https://docs.google.com/spreadsheets/d/1Lhp9OU0JdFf_VYSMzH5lBcEaU4o8teT1piV-SNzShjg/edit?gid=554141278#gid=554141278"", ""'Char Def. - Attributes'!C20:C2242""), 1,false)"),"ORDER_UNIT_BOLT")</f>
        <v>ORDER_UNIT_BOLT</v>
      </c>
      <c r="I7418" s="136"/>
      <c r="R7418" s="63" t="str">
        <f t="shared" si="60"/>
        <v>ZSI1_BOLTORDER_UNIT_BOLT</v>
      </c>
    </row>
    <row r="7419" ht="15.75" customHeight="1">
      <c r="B7419" s="63">
        <f t="shared" si="1"/>
        <v>9</v>
      </c>
      <c r="C7419" s="135" t="s">
        <v>339</v>
      </c>
      <c r="D7419" s="161" t="s">
        <v>74</v>
      </c>
      <c r="E7419" s="135">
        <f t="shared" si="61"/>
        <v>18</v>
      </c>
      <c r="F7419" s="134" t="s">
        <v>4056</v>
      </c>
      <c r="G7419" s="63" t="str">
        <f>VLOOKUP(C7419, 'Class Def. - General Data'!$C$20:$C$1000,1,false)</f>
        <v>ZSI1_BOLT</v>
      </c>
      <c r="H7419" s="63" t="str">
        <f>IFERROR(__xludf.DUMMYFUNCTION("VLOOKUP(F7419, IMPORTRANGE(""https://docs.google.com/spreadsheets/d/1Lhp9OU0JdFf_VYSMzH5lBcEaU4o8teT1piV-SNzShjg/edit?gid=554141278#gid=554141278"", ""'Char Def. - Attributes'!C20:C2242""), 1,false)"),"GROSS_WEIGHT_OPT")</f>
        <v>GROSS_WEIGHT_OPT</v>
      </c>
      <c r="I7419" s="136"/>
      <c r="R7419" s="63" t="str">
        <f t="shared" si="60"/>
        <v>ZSI1_BOLTGROSS_WEIGHT_OPT</v>
      </c>
    </row>
    <row r="7420" ht="15.75" customHeight="1">
      <c r="B7420" s="63">
        <f t="shared" si="1"/>
        <v>9</v>
      </c>
      <c r="C7420" s="135" t="s">
        <v>339</v>
      </c>
      <c r="D7420" s="161" t="s">
        <v>74</v>
      </c>
      <c r="E7420" s="135">
        <f t="shared" si="61"/>
        <v>19</v>
      </c>
      <c r="F7420" s="134" t="s">
        <v>4057</v>
      </c>
      <c r="G7420" s="63" t="str">
        <f>VLOOKUP(C7420, 'Class Def. - General Data'!$C$20:$C$1000,1,false)</f>
        <v>ZSI1_BOLT</v>
      </c>
      <c r="H7420" s="63" t="str">
        <f>IFERROR(__xludf.DUMMYFUNCTION("VLOOKUP(F7420, IMPORTRANGE(""https://docs.google.com/spreadsheets/d/1Lhp9OU0JdFf_VYSMzH5lBcEaU4o8teT1piV-SNzShjg/edit?gid=554141278#gid=554141278"", ""'Char Def. - Attributes'!C20:C2242""), 1,false)"),"NET_WEIGHT_OPT")</f>
        <v>NET_WEIGHT_OPT</v>
      </c>
      <c r="I7420" s="136"/>
      <c r="R7420" s="63" t="str">
        <f t="shared" si="60"/>
        <v>ZSI1_BOLTNET_WEIGHT_OPT</v>
      </c>
    </row>
    <row r="7421" ht="15.75" customHeight="1">
      <c r="B7421" s="63">
        <f t="shared" si="1"/>
        <v>9</v>
      </c>
      <c r="C7421" s="135" t="s">
        <v>339</v>
      </c>
      <c r="D7421" s="161" t="s">
        <v>74</v>
      </c>
      <c r="E7421" s="135">
        <f t="shared" si="61"/>
        <v>20</v>
      </c>
      <c r="F7421" s="134" t="s">
        <v>4058</v>
      </c>
      <c r="G7421" s="63" t="str">
        <f>VLOOKUP(C7421, 'Class Def. - General Data'!$C$20:$C$1000,1,false)</f>
        <v>ZSI1_BOLT</v>
      </c>
      <c r="H7421" s="63" t="str">
        <f>IFERROR(__xludf.DUMMYFUNCTION("VLOOKUP(F7421, IMPORTRANGE(""https://docs.google.com/spreadsheets/d/1Lhp9OU0JdFf_VYSMzH5lBcEaU4o8teT1piV-SNzShjg/edit?gid=554141278#gid=554141278"", ""'Char Def. - Attributes'!C20:C2242""), 1,false)"),"WEIGHT_UNIT_SI")</f>
        <v>WEIGHT_UNIT_SI</v>
      </c>
      <c r="I7421" s="136"/>
      <c r="R7421" s="63" t="str">
        <f t="shared" si="60"/>
        <v>ZSI1_BOLTWEIGHT_UNIT_SI</v>
      </c>
    </row>
    <row r="7422" ht="15.75" customHeight="1">
      <c r="B7422" s="63">
        <f t="shared" si="1"/>
        <v>9</v>
      </c>
      <c r="C7422" s="135" t="s">
        <v>339</v>
      </c>
      <c r="D7422" s="161" t="s">
        <v>74</v>
      </c>
      <c r="E7422" s="135">
        <f t="shared" si="61"/>
        <v>21</v>
      </c>
      <c r="F7422" s="134" t="s">
        <v>3877</v>
      </c>
      <c r="G7422" s="63" t="str">
        <f>VLOOKUP(C7422, 'Class Def. - General Data'!$C$20:$C$1000,1,false)</f>
        <v>ZSI1_BOLT</v>
      </c>
      <c r="H7422" s="63" t="str">
        <f>IFERROR(__xludf.DUMMYFUNCTION("VLOOKUP(F7422, IMPORTRANGE(""https://docs.google.com/spreadsheets/d/1Lhp9OU0JdFf_VYSMzH5lBcEaU4o8teT1piV-SNzShjg/edit?gid=554141278#gid=554141278"", ""'Char Def. - Attributes'!C20:C2242""), 1,false)"),"VOLUME_OPT")</f>
        <v>VOLUME_OPT</v>
      </c>
      <c r="I7422" s="136"/>
      <c r="R7422" s="63" t="str">
        <f t="shared" si="60"/>
        <v>ZSI1_BOLTVOLUME_OPT</v>
      </c>
    </row>
    <row r="7423" ht="15.75" customHeight="1">
      <c r="B7423" s="63">
        <f t="shared" si="1"/>
        <v>9</v>
      </c>
      <c r="C7423" s="135" t="s">
        <v>339</v>
      </c>
      <c r="D7423" s="161" t="s">
        <v>74</v>
      </c>
      <c r="E7423" s="135">
        <f t="shared" si="61"/>
        <v>22</v>
      </c>
      <c r="F7423" s="134" t="s">
        <v>4059</v>
      </c>
      <c r="G7423" s="63" t="str">
        <f>VLOOKUP(C7423, 'Class Def. - General Data'!$C$20:$C$1000,1,false)</f>
        <v>ZSI1_BOLT</v>
      </c>
      <c r="H7423" s="63" t="str">
        <f>IFERROR(__xludf.DUMMYFUNCTION("VLOOKUP(F7423, IMPORTRANGE(""https://docs.google.com/spreadsheets/d/1Lhp9OU0JdFf_VYSMzH5lBcEaU4o8teT1piV-SNzShjg/edit?gid=554141278#gid=554141278"", ""'Char Def. - Attributes'!C20:C2242""), 1,false)"),"VOLUME_UNIT_SI")</f>
        <v>VOLUME_UNIT_SI</v>
      </c>
      <c r="I7423" s="136"/>
      <c r="R7423" s="63" t="str">
        <f t="shared" si="60"/>
        <v>ZSI1_BOLTVOLUME_UNIT_SI</v>
      </c>
    </row>
    <row r="7424" ht="15.75" customHeight="1">
      <c r="B7424" s="63">
        <f t="shared" si="1"/>
        <v>9</v>
      </c>
      <c r="C7424" s="135" t="s">
        <v>339</v>
      </c>
      <c r="D7424" s="161" t="s">
        <v>74</v>
      </c>
      <c r="E7424" s="135">
        <f t="shared" si="61"/>
        <v>23</v>
      </c>
      <c r="F7424" s="134" t="s">
        <v>3804</v>
      </c>
      <c r="G7424" s="63" t="str">
        <f>VLOOKUP(C7424, 'Class Def. - General Data'!$C$20:$C$1000,1,false)</f>
        <v>ZSI1_BOLT</v>
      </c>
      <c r="H7424" s="63" t="str">
        <f>IFERROR(__xludf.DUMMYFUNCTION("VLOOKUP(F7424, IMPORTRANGE(""https://docs.google.com/spreadsheets/d/1Lhp9OU0JdFf_VYSMzH5lBcEaU4o8teT1piV-SNzShjg/edit?gid=554141278#gid=554141278"", ""'Char Def. - Attributes'!C20:C2242""), 1,false)"),"ALT_UOM1_SIPI")</f>
        <v>ALT_UOM1_SIPI</v>
      </c>
      <c r="I7424" s="136"/>
      <c r="R7424" s="63" t="str">
        <f t="shared" si="60"/>
        <v>ZSI1_BOLTALT_UOM1_SIPI</v>
      </c>
    </row>
    <row r="7425" ht="15.75" customHeight="1">
      <c r="B7425" s="63">
        <f t="shared" si="1"/>
        <v>9</v>
      </c>
      <c r="C7425" s="135" t="s">
        <v>339</v>
      </c>
      <c r="D7425" s="161" t="s">
        <v>74</v>
      </c>
      <c r="E7425" s="135">
        <f t="shared" si="61"/>
        <v>24</v>
      </c>
      <c r="F7425" s="134" t="s">
        <v>3805</v>
      </c>
      <c r="G7425" s="63" t="str">
        <f>VLOOKUP(C7425, 'Class Def. - General Data'!$C$20:$C$1000,1,false)</f>
        <v>ZSI1_BOLT</v>
      </c>
      <c r="H7425" s="63" t="str">
        <f>IFERROR(__xludf.DUMMYFUNCTION("VLOOKUP(F7425, IMPORTRANGE(""https://docs.google.com/spreadsheets/d/1Lhp9OU0JdFf_VYSMzH5lBcEaU4o8teT1piV-SNzShjg/edit?gid=554141278#gid=554141278"", ""'Char Def. - Attributes'!C20:C2242""), 1,false)"),"ALT_DENUM_UOM1")</f>
        <v>ALT_DENUM_UOM1</v>
      </c>
      <c r="I7425" s="136"/>
      <c r="R7425" s="63" t="str">
        <f t="shared" si="60"/>
        <v>ZSI1_BOLTALT_DENUM_UOM1</v>
      </c>
    </row>
    <row r="7426" ht="15.75" customHeight="1">
      <c r="B7426" s="63">
        <f t="shared" si="1"/>
        <v>9</v>
      </c>
      <c r="C7426" s="135" t="s">
        <v>339</v>
      </c>
      <c r="D7426" s="161" t="s">
        <v>74</v>
      </c>
      <c r="E7426" s="135">
        <f t="shared" si="61"/>
        <v>25</v>
      </c>
      <c r="F7426" s="134" t="s">
        <v>3806</v>
      </c>
      <c r="G7426" s="63" t="str">
        <f>VLOOKUP(C7426, 'Class Def. - General Data'!$C$20:$C$1000,1,false)</f>
        <v>ZSI1_BOLT</v>
      </c>
      <c r="H7426" s="63" t="str">
        <f>IFERROR(__xludf.DUMMYFUNCTION("VLOOKUP(F7426, IMPORTRANGE(""https://docs.google.com/spreadsheets/d/1Lhp9OU0JdFf_VYSMzH5lBcEaU4o8teT1piV-SNzShjg/edit?gid=554141278#gid=554141278"", ""'Char Def. - Attributes'!C20:C2242""), 1,false)"),"ALT_NUM_UOM1")</f>
        <v>ALT_NUM_UOM1</v>
      </c>
      <c r="I7426" s="136"/>
      <c r="R7426" s="63" t="str">
        <f t="shared" si="60"/>
        <v>ZSI1_BOLTALT_NUM_UOM1</v>
      </c>
    </row>
    <row r="7427" ht="15.75" customHeight="1">
      <c r="B7427" s="63">
        <f t="shared" si="1"/>
        <v>9</v>
      </c>
      <c r="C7427" s="135" t="s">
        <v>339</v>
      </c>
      <c r="D7427" s="161" t="s">
        <v>74</v>
      </c>
      <c r="E7427" s="135">
        <f t="shared" si="61"/>
        <v>26</v>
      </c>
      <c r="F7427" s="134" t="s">
        <v>3807</v>
      </c>
      <c r="G7427" s="63" t="str">
        <f>VLOOKUP(C7427, 'Class Def. - General Data'!$C$20:$C$1000,1,false)</f>
        <v>ZSI1_BOLT</v>
      </c>
      <c r="H7427" s="63" t="str">
        <f>IFERROR(__xludf.DUMMYFUNCTION("VLOOKUP(F7427, IMPORTRANGE(""https://docs.google.com/spreadsheets/d/1Lhp9OU0JdFf_VYSMzH5lBcEaU4o8teT1piV-SNzShjg/edit?gid=554141278#gid=554141278"", ""'Char Def. - Attributes'!C20:C2242""), 1,false)"),"ALT_UOM2_SIPI")</f>
        <v>ALT_UOM2_SIPI</v>
      </c>
      <c r="I7427" s="136"/>
      <c r="R7427" s="63" t="str">
        <f t="shared" si="60"/>
        <v>ZSI1_BOLTALT_UOM2_SIPI</v>
      </c>
    </row>
    <row r="7428" ht="15.75" customHeight="1">
      <c r="B7428" s="63">
        <f t="shared" si="1"/>
        <v>9</v>
      </c>
      <c r="C7428" s="135" t="s">
        <v>339</v>
      </c>
      <c r="D7428" s="161" t="s">
        <v>74</v>
      </c>
      <c r="E7428" s="135">
        <f t="shared" si="61"/>
        <v>27</v>
      </c>
      <c r="F7428" s="134" t="s">
        <v>3808</v>
      </c>
      <c r="G7428" s="63" t="str">
        <f>VLOOKUP(C7428, 'Class Def. - General Data'!$C$20:$C$1000,1,false)</f>
        <v>ZSI1_BOLT</v>
      </c>
      <c r="H7428" s="63" t="str">
        <f>IFERROR(__xludf.DUMMYFUNCTION("VLOOKUP(F7428, IMPORTRANGE(""https://docs.google.com/spreadsheets/d/1Lhp9OU0JdFf_VYSMzH5lBcEaU4o8teT1piV-SNzShjg/edit?gid=554141278#gid=554141278"", ""'Char Def. - Attributes'!C20:C2242""), 1,false)"),"ALT_DENUM_UOM2")</f>
        <v>ALT_DENUM_UOM2</v>
      </c>
      <c r="I7428" s="136"/>
      <c r="R7428" s="63" t="str">
        <f t="shared" si="60"/>
        <v>ZSI1_BOLTALT_DENUM_UOM2</v>
      </c>
    </row>
    <row r="7429" ht="15.75" customHeight="1">
      <c r="B7429" s="63">
        <f t="shared" si="1"/>
        <v>9</v>
      </c>
      <c r="C7429" s="135" t="s">
        <v>339</v>
      </c>
      <c r="D7429" s="161" t="s">
        <v>74</v>
      </c>
      <c r="E7429" s="135">
        <f t="shared" si="61"/>
        <v>28</v>
      </c>
      <c r="F7429" s="134" t="s">
        <v>3809</v>
      </c>
      <c r="G7429" s="63" t="str">
        <f>VLOOKUP(C7429, 'Class Def. - General Data'!$C$20:$C$1000,1,false)</f>
        <v>ZSI1_BOLT</v>
      </c>
      <c r="H7429" s="63" t="str">
        <f>IFERROR(__xludf.DUMMYFUNCTION("VLOOKUP(F7429, IMPORTRANGE(""https://docs.google.com/spreadsheets/d/1Lhp9OU0JdFf_VYSMzH5lBcEaU4o8teT1piV-SNzShjg/edit?gid=554141278#gid=554141278"", ""'Char Def. - Attributes'!C20:C2242""), 1,false)"),"ALT_NUM_UOM2")</f>
        <v>ALT_NUM_UOM2</v>
      </c>
      <c r="I7429" s="136"/>
      <c r="R7429" s="63" t="str">
        <f t="shared" si="60"/>
        <v>ZSI1_BOLTALT_NUM_UOM2</v>
      </c>
    </row>
    <row r="7430" ht="15.75" customHeight="1">
      <c r="B7430" s="63">
        <f t="shared" si="1"/>
        <v>9</v>
      </c>
      <c r="C7430" s="135" t="s">
        <v>339</v>
      </c>
      <c r="D7430" s="161" t="s">
        <v>74</v>
      </c>
      <c r="E7430" s="135">
        <f t="shared" si="61"/>
        <v>29</v>
      </c>
      <c r="F7430" s="134" t="s">
        <v>3810</v>
      </c>
      <c r="G7430" s="63" t="str">
        <f>VLOOKUP(C7430, 'Class Def. - General Data'!$C$20:$C$1000,1,false)</f>
        <v>ZSI1_BOLT</v>
      </c>
      <c r="H7430" s="63" t="str">
        <f>IFERROR(__xludf.DUMMYFUNCTION("VLOOKUP(F7430, IMPORTRANGE(""https://docs.google.com/spreadsheets/d/1Lhp9OU0JdFf_VYSMzH5lBcEaU4o8teT1piV-SNzShjg/edit?gid=554141278#gid=554141278"", ""'Char Def. - Attributes'!C20:C2242""), 1,false)"),"ALT_UOM3_SIPI")</f>
        <v>ALT_UOM3_SIPI</v>
      </c>
      <c r="I7430" s="136"/>
      <c r="R7430" s="63" t="str">
        <f t="shared" si="60"/>
        <v>ZSI1_BOLTALT_UOM3_SIPI</v>
      </c>
    </row>
    <row r="7431" ht="15.75" customHeight="1">
      <c r="B7431" s="63">
        <f t="shared" si="1"/>
        <v>9</v>
      </c>
      <c r="C7431" s="135" t="s">
        <v>339</v>
      </c>
      <c r="D7431" s="161" t="s">
        <v>74</v>
      </c>
      <c r="E7431" s="135">
        <f t="shared" si="61"/>
        <v>30</v>
      </c>
      <c r="F7431" s="134" t="s">
        <v>3811</v>
      </c>
      <c r="G7431" s="63" t="str">
        <f>VLOOKUP(C7431, 'Class Def. - General Data'!$C$20:$C$1000,1,false)</f>
        <v>ZSI1_BOLT</v>
      </c>
      <c r="H7431" s="63" t="str">
        <f>IFERROR(__xludf.DUMMYFUNCTION("VLOOKUP(F7431, IMPORTRANGE(""https://docs.google.com/spreadsheets/d/1Lhp9OU0JdFf_VYSMzH5lBcEaU4o8teT1piV-SNzShjg/edit?gid=554141278#gid=554141278"", ""'Char Def. - Attributes'!C20:C2242""), 1,false)"),"ALT_DENUM_UOM3")</f>
        <v>ALT_DENUM_UOM3</v>
      </c>
      <c r="I7431" s="136"/>
      <c r="R7431" s="63" t="str">
        <f t="shared" si="60"/>
        <v>ZSI1_BOLTALT_DENUM_UOM3</v>
      </c>
    </row>
    <row r="7432" ht="15.75" customHeight="1">
      <c r="B7432" s="63">
        <f t="shared" si="1"/>
        <v>9</v>
      </c>
      <c r="C7432" s="135" t="s">
        <v>339</v>
      </c>
      <c r="D7432" s="161" t="s">
        <v>74</v>
      </c>
      <c r="E7432" s="135">
        <f t="shared" si="61"/>
        <v>31</v>
      </c>
      <c r="F7432" s="134" t="s">
        <v>3812</v>
      </c>
      <c r="G7432" s="63" t="str">
        <f>VLOOKUP(C7432, 'Class Def. - General Data'!$C$20:$C$1000,1,false)</f>
        <v>ZSI1_BOLT</v>
      </c>
      <c r="H7432" s="63" t="str">
        <f>IFERROR(__xludf.DUMMYFUNCTION("VLOOKUP(F7432, IMPORTRANGE(""https://docs.google.com/spreadsheets/d/1Lhp9OU0JdFf_VYSMzH5lBcEaU4o8teT1piV-SNzShjg/edit?gid=554141278#gid=554141278"", ""'Char Def. - Attributes'!C20:C2242""), 1,false)"),"ALT_NUM_UOM3")</f>
        <v>ALT_NUM_UOM3</v>
      </c>
      <c r="I7432" s="136"/>
      <c r="R7432" s="63" t="str">
        <f t="shared" si="60"/>
        <v>ZSI1_BOLTALT_NUM_UOM3</v>
      </c>
    </row>
    <row r="7433" ht="15.75" customHeight="1">
      <c r="B7433" s="63">
        <f t="shared" si="1"/>
        <v>9</v>
      </c>
      <c r="C7433" s="135" t="s">
        <v>339</v>
      </c>
      <c r="D7433" s="161" t="s">
        <v>74</v>
      </c>
      <c r="E7433" s="135">
        <f t="shared" si="61"/>
        <v>32</v>
      </c>
      <c r="F7433" s="134" t="s">
        <v>3813</v>
      </c>
      <c r="G7433" s="63" t="str">
        <f>VLOOKUP(C7433, 'Class Def. - General Data'!$C$20:$C$1000,1,false)</f>
        <v>ZSI1_BOLT</v>
      </c>
      <c r="H7433" s="63" t="str">
        <f>IFERROR(__xludf.DUMMYFUNCTION("VLOOKUP(F7433, IMPORTRANGE(""https://docs.google.com/spreadsheets/d/1Lhp9OU0JdFf_VYSMzH5lBcEaU4o8teT1piV-SNzShjg/edit?gid=554141278#gid=554141278"", ""'Char Def. - Attributes'!C20:C2242""), 1,false)"),"ALT_UOM4_SIPI")</f>
        <v>ALT_UOM4_SIPI</v>
      </c>
      <c r="I7433" s="136"/>
      <c r="R7433" s="63" t="str">
        <f t="shared" si="60"/>
        <v>ZSI1_BOLTALT_UOM4_SIPI</v>
      </c>
    </row>
    <row r="7434" ht="15.75" customHeight="1">
      <c r="B7434" s="63">
        <f t="shared" si="1"/>
        <v>9</v>
      </c>
      <c r="C7434" s="135" t="s">
        <v>339</v>
      </c>
      <c r="D7434" s="161" t="s">
        <v>74</v>
      </c>
      <c r="E7434" s="135">
        <f t="shared" si="61"/>
        <v>33</v>
      </c>
      <c r="F7434" s="134" t="s">
        <v>3814</v>
      </c>
      <c r="G7434" s="63" t="str">
        <f>VLOOKUP(C7434, 'Class Def. - General Data'!$C$20:$C$1000,1,false)</f>
        <v>ZSI1_BOLT</v>
      </c>
      <c r="H7434" s="63" t="str">
        <f>IFERROR(__xludf.DUMMYFUNCTION("VLOOKUP(F7434, IMPORTRANGE(""https://docs.google.com/spreadsheets/d/1Lhp9OU0JdFf_VYSMzH5lBcEaU4o8teT1piV-SNzShjg/edit?gid=554141278#gid=554141278"", ""'Char Def. - Attributes'!C20:C2242""), 1,false)"),"ALT_DENUM_UOM4")</f>
        <v>ALT_DENUM_UOM4</v>
      </c>
      <c r="I7434" s="136"/>
      <c r="R7434" s="63" t="str">
        <f t="shared" si="60"/>
        <v>ZSI1_BOLTALT_DENUM_UOM4</v>
      </c>
    </row>
    <row r="7435" ht="15.75" customHeight="1">
      <c r="B7435" s="63">
        <f t="shared" si="1"/>
        <v>9</v>
      </c>
      <c r="C7435" s="135" t="s">
        <v>339</v>
      </c>
      <c r="D7435" s="161" t="s">
        <v>74</v>
      </c>
      <c r="E7435" s="135">
        <f t="shared" si="61"/>
        <v>34</v>
      </c>
      <c r="F7435" s="134" t="s">
        <v>3815</v>
      </c>
      <c r="G7435" s="63" t="str">
        <f>VLOOKUP(C7435, 'Class Def. - General Data'!$C$20:$C$1000,1,false)</f>
        <v>ZSI1_BOLT</v>
      </c>
      <c r="H7435" s="63" t="str">
        <f>IFERROR(__xludf.DUMMYFUNCTION("VLOOKUP(F7435, IMPORTRANGE(""https://docs.google.com/spreadsheets/d/1Lhp9OU0JdFf_VYSMzH5lBcEaU4o8teT1piV-SNzShjg/edit?gid=554141278#gid=554141278"", ""'Char Def. - Attributes'!C20:C2242""), 1,false)"),"ALT_NUM_UOM4")</f>
        <v>ALT_NUM_UOM4</v>
      </c>
      <c r="I7435" s="136"/>
      <c r="R7435" s="63" t="str">
        <f t="shared" si="60"/>
        <v>ZSI1_BOLTALT_NUM_UOM4</v>
      </c>
    </row>
    <row r="7436" ht="15.75" customHeight="1">
      <c r="B7436" s="63">
        <f t="shared" si="1"/>
        <v>9</v>
      </c>
      <c r="C7436" s="135" t="s">
        <v>339</v>
      </c>
      <c r="D7436" s="161" t="s">
        <v>74</v>
      </c>
      <c r="E7436" s="135">
        <f t="shared" si="61"/>
        <v>35</v>
      </c>
      <c r="F7436" s="134" t="s">
        <v>3816</v>
      </c>
      <c r="G7436" s="63" t="str">
        <f>VLOOKUP(C7436, 'Class Def. - General Data'!$C$20:$C$1000,1,false)</f>
        <v>ZSI1_BOLT</v>
      </c>
      <c r="H7436" s="63" t="str">
        <f>IFERROR(__xludf.DUMMYFUNCTION("VLOOKUP(F7436, IMPORTRANGE(""https://docs.google.com/spreadsheets/d/1Lhp9OU0JdFf_VYSMzH5lBcEaU4o8teT1piV-SNzShjg/edit?gid=554141278#gid=554141278"", ""'Char Def. - Attributes'!C20:C2242""), 1,false)"),"ALT_UOM5_SIPI")</f>
        <v>ALT_UOM5_SIPI</v>
      </c>
      <c r="I7436" s="136"/>
      <c r="R7436" s="63" t="str">
        <f t="shared" si="60"/>
        <v>ZSI1_BOLTALT_UOM5_SIPI</v>
      </c>
    </row>
    <row r="7437" ht="15.75" customHeight="1">
      <c r="B7437" s="63">
        <f t="shared" si="1"/>
        <v>9</v>
      </c>
      <c r="C7437" s="135" t="s">
        <v>339</v>
      </c>
      <c r="D7437" s="161" t="s">
        <v>74</v>
      </c>
      <c r="E7437" s="135">
        <f t="shared" si="61"/>
        <v>36</v>
      </c>
      <c r="F7437" s="134" t="s">
        <v>3817</v>
      </c>
      <c r="G7437" s="63" t="str">
        <f>VLOOKUP(C7437, 'Class Def. - General Data'!$C$20:$C$1000,1,false)</f>
        <v>ZSI1_BOLT</v>
      </c>
      <c r="H7437" s="63" t="str">
        <f>IFERROR(__xludf.DUMMYFUNCTION("VLOOKUP(F7437, IMPORTRANGE(""https://docs.google.com/spreadsheets/d/1Lhp9OU0JdFf_VYSMzH5lBcEaU4o8teT1piV-SNzShjg/edit?gid=554141278#gid=554141278"", ""'Char Def. - Attributes'!C20:C2242""), 1,false)"),"ALT_DENUM_UOM5")</f>
        <v>ALT_DENUM_UOM5</v>
      </c>
      <c r="I7437" s="136"/>
      <c r="R7437" s="63" t="str">
        <f t="shared" si="60"/>
        <v>ZSI1_BOLTALT_DENUM_UOM5</v>
      </c>
    </row>
    <row r="7438" ht="15.75" customHeight="1">
      <c r="B7438" s="63">
        <f t="shared" si="1"/>
        <v>9</v>
      </c>
      <c r="C7438" s="135" t="s">
        <v>339</v>
      </c>
      <c r="D7438" s="161" t="s">
        <v>74</v>
      </c>
      <c r="E7438" s="135">
        <f t="shared" si="61"/>
        <v>37</v>
      </c>
      <c r="F7438" s="134" t="s">
        <v>3818</v>
      </c>
      <c r="G7438" s="63" t="str">
        <f>VLOOKUP(C7438, 'Class Def. - General Data'!$C$20:$C$1000,1,false)</f>
        <v>ZSI1_BOLT</v>
      </c>
      <c r="H7438" s="63" t="str">
        <f>IFERROR(__xludf.DUMMYFUNCTION("VLOOKUP(F7438, IMPORTRANGE(""https://docs.google.com/spreadsheets/d/1Lhp9OU0JdFf_VYSMzH5lBcEaU4o8teT1piV-SNzShjg/edit?gid=554141278#gid=554141278"", ""'Char Def. - Attributes'!C20:C2242""), 1,false)"),"ALT_NUM_UOM5")</f>
        <v>ALT_NUM_UOM5</v>
      </c>
      <c r="I7438" s="136"/>
      <c r="R7438" s="63" t="str">
        <f t="shared" si="60"/>
        <v>ZSI1_BOLTALT_NUM_UOM5</v>
      </c>
    </row>
    <row r="7439" ht="15.75" customHeight="1">
      <c r="B7439" s="63">
        <f t="shared" si="1"/>
        <v>18</v>
      </c>
      <c r="C7439" s="135" t="s">
        <v>4159</v>
      </c>
      <c r="D7439" s="161" t="s">
        <v>74</v>
      </c>
      <c r="E7439" s="135">
        <f t="shared" si="61"/>
        <v>1</v>
      </c>
      <c r="F7439" s="134" t="s">
        <v>4160</v>
      </c>
      <c r="G7439" s="63" t="str">
        <f>VLOOKUP(C7439, 'Class Def. - General Data'!$C$20:$C$1000,1,false)</f>
        <v>#N/A</v>
      </c>
      <c r="H7439" s="63" t="str">
        <f>IFERROR(__xludf.DUMMYFUNCTION("VLOOKUP(F7439, IMPORTRANGE(""https://docs.google.com/spreadsheets/d/1Lhp9OU0JdFf_VYSMzH5lBcEaU4o8teT1piV-SNzShjg/edit?gid=554141278#gid=554141278"", ""'Char Def. - Attributes'!C20:C2242""), 1,false)"),"ITEM_NAME_BRACKET")</f>
        <v>ITEM_NAME_BRACKET</v>
      </c>
      <c r="I7439" s="136"/>
      <c r="R7439" s="63" t="str">
        <f t="shared" si="60"/>
        <v>ZSI1_BRACKET_TRIPDITEM_NAME_BRACKET</v>
      </c>
    </row>
    <row r="7440" ht="15.75" customHeight="1">
      <c r="B7440" s="63">
        <f t="shared" si="1"/>
        <v>18</v>
      </c>
      <c r="C7440" s="135" t="s">
        <v>4159</v>
      </c>
      <c r="D7440" s="161" t="s">
        <v>74</v>
      </c>
      <c r="E7440" s="135">
        <f t="shared" si="61"/>
        <v>2</v>
      </c>
      <c r="F7440" s="135" t="s">
        <v>3781</v>
      </c>
      <c r="G7440" s="63" t="str">
        <f>VLOOKUP(C7440, 'Class Def. - General Data'!$C$20:$C$1000,1,false)</f>
        <v>#N/A</v>
      </c>
      <c r="H7440" s="63" t="str">
        <f>IFERROR(__xludf.DUMMYFUNCTION("VLOOKUP(F7440, IMPORTRANGE(""https://docs.google.com/spreadsheets/d/1Lhp9OU0JdFf_VYSMzH5lBcEaU4o8teT1piV-SNzShjg/edit?gid=554141278#gid=554141278"", ""'Char Def. - Attributes'!C20:C2242""), 1,false)"),"EXTERNAL_BRAND")</f>
        <v>EXTERNAL_BRAND</v>
      </c>
      <c r="I7440" s="136"/>
      <c r="R7440" s="63" t="str">
        <f t="shared" si="60"/>
        <v>ZSI1_BRACKET_TRIPDEXTERNAL_BRAND</v>
      </c>
    </row>
    <row r="7441" ht="15.75" customHeight="1">
      <c r="B7441" s="63">
        <f t="shared" si="1"/>
        <v>18</v>
      </c>
      <c r="C7441" s="135" t="s">
        <v>4159</v>
      </c>
      <c r="D7441" s="161" t="s">
        <v>74</v>
      </c>
      <c r="E7441" s="135">
        <f t="shared" si="61"/>
        <v>3</v>
      </c>
      <c r="F7441" s="135" t="s">
        <v>4161</v>
      </c>
      <c r="G7441" s="63" t="str">
        <f>VLOOKUP(C7441, 'Class Def. - General Data'!$C$20:$C$1000,1,false)</f>
        <v>#N/A</v>
      </c>
      <c r="H7441" s="63" t="str">
        <f>IFERROR(__xludf.DUMMYFUNCTION("VLOOKUP(F7441, IMPORTRANGE(""https://docs.google.com/spreadsheets/d/1Lhp9OU0JdFf_VYSMzH5lBcEaU4o8teT1piV-SNzShjg/edit?gid=554141278#gid=554141278"", ""'Char Def. - Attributes'!C20:C2242""), 1,false)"),"#N/A")</f>
        <v>#N/A</v>
      </c>
      <c r="I7441" s="136"/>
      <c r="R7441" s="63" t="str">
        <f t="shared" si="60"/>
        <v>ZSI1_BRACKET_TRIPDTIPE_BRACKET</v>
      </c>
    </row>
    <row r="7442" ht="15.75" customHeight="1">
      <c r="B7442" s="63">
        <f t="shared" si="1"/>
        <v>18</v>
      </c>
      <c r="C7442" s="135" t="s">
        <v>4159</v>
      </c>
      <c r="D7442" s="161" t="s">
        <v>74</v>
      </c>
      <c r="E7442" s="135">
        <f t="shared" si="61"/>
        <v>4</v>
      </c>
      <c r="F7442" s="135" t="s">
        <v>3782</v>
      </c>
      <c r="G7442" s="63" t="str">
        <f>VLOOKUP(C7442, 'Class Def. - General Data'!$C$20:$C$1000,1,false)</f>
        <v>#N/A</v>
      </c>
      <c r="H7442" s="63" t="str">
        <f>IFERROR(__xludf.DUMMYFUNCTION("VLOOKUP(F7442, IMPORTRANGE(""https://docs.google.com/spreadsheets/d/1Lhp9OU0JdFf_VYSMzH5lBcEaU4o8teT1piV-SNzShjg/edit?gid=554141278#gid=554141278"", ""'Char Def. - Attributes'!C20:C2242""), 1,false)"),"BRAND_EXTERNAL")</f>
        <v>BRAND_EXTERNAL</v>
      </c>
      <c r="I7442" s="136"/>
      <c r="R7442" s="63" t="str">
        <f t="shared" si="60"/>
        <v>ZSI1_BRACKET_TRIPDBRAND_EXTERNAL</v>
      </c>
    </row>
    <row r="7443" ht="15.75" customHeight="1">
      <c r="B7443" s="63">
        <f t="shared" si="1"/>
        <v>18</v>
      </c>
      <c r="C7443" s="135" t="s">
        <v>4159</v>
      </c>
      <c r="D7443" s="161" t="s">
        <v>74</v>
      </c>
      <c r="E7443" s="135">
        <f t="shared" si="61"/>
        <v>5</v>
      </c>
      <c r="F7443" s="135" t="s">
        <v>4162</v>
      </c>
      <c r="G7443" s="63" t="str">
        <f>VLOOKUP(C7443, 'Class Def. - General Data'!$C$20:$C$1000,1,false)</f>
        <v>#N/A</v>
      </c>
      <c r="H7443" s="63" t="str">
        <f>IFERROR(__xludf.DUMMYFUNCTION("VLOOKUP(F7443, IMPORTRANGE(""https://docs.google.com/spreadsheets/d/1Lhp9OU0JdFf_VYSMzH5lBcEaU4o8teT1piV-SNzShjg/edit?gid=554141278#gid=554141278"", ""'Char Def. - Attributes'!C20:C2242""), 1,false)"),"#N/A")</f>
        <v>#N/A</v>
      </c>
      <c r="I7443" s="136"/>
      <c r="R7443" s="63" t="str">
        <f t="shared" si="60"/>
        <v>ZSI1_BRACKET_TRIPDBRACKET_ITEM_APA</v>
      </c>
    </row>
    <row r="7444" ht="15.75" customHeight="1">
      <c r="B7444" s="63">
        <f t="shared" si="1"/>
        <v>18</v>
      </c>
      <c r="C7444" s="135" t="s">
        <v>4159</v>
      </c>
      <c r="D7444" s="161" t="s">
        <v>74</v>
      </c>
      <c r="E7444" s="135">
        <f t="shared" si="61"/>
        <v>6</v>
      </c>
      <c r="F7444" s="134" t="s">
        <v>4163</v>
      </c>
      <c r="G7444" s="63" t="str">
        <f>VLOOKUP(C7444, 'Class Def. - General Data'!$C$20:$C$1000,1,false)</f>
        <v>#N/A</v>
      </c>
      <c r="H7444" s="63" t="str">
        <f>IFERROR(__xludf.DUMMYFUNCTION("VLOOKUP(F7444, IMPORTRANGE(""https://docs.google.com/spreadsheets/d/1Lhp9OU0JdFf_VYSMzH5lBcEaU4o8teT1piV-SNzShjg/edit?gid=554141278#gid=554141278"", ""'Char Def. - Attributes'!C20:C2242""), 1,false)"),"USAGE_BRACKET")</f>
        <v>USAGE_BRACKET</v>
      </c>
      <c r="I7444" s="136"/>
      <c r="R7444" s="63" t="str">
        <f t="shared" si="60"/>
        <v>ZSI1_BRACKET_TRIPDUSAGE_BRACKET</v>
      </c>
    </row>
    <row r="7445" ht="15.75" customHeight="1">
      <c r="B7445" s="63">
        <f t="shared" si="1"/>
        <v>18</v>
      </c>
      <c r="C7445" s="135" t="s">
        <v>4159</v>
      </c>
      <c r="D7445" s="161" t="s">
        <v>74</v>
      </c>
      <c r="E7445" s="135">
        <f t="shared" si="61"/>
        <v>7</v>
      </c>
      <c r="F7445" s="134" t="s">
        <v>3585</v>
      </c>
      <c r="G7445" s="63" t="str">
        <f>VLOOKUP(C7445, 'Class Def. - General Data'!$C$20:$C$1000,1,false)</f>
        <v>#N/A</v>
      </c>
      <c r="H7445" s="63" t="str">
        <f>IFERROR(__xludf.DUMMYFUNCTION("VLOOKUP(F7445, IMPORTRANGE(""https://docs.google.com/spreadsheets/d/1Lhp9OU0JdFf_VYSMzH5lBcEaU4o8teT1piV-SNzShjg/edit?gid=554141278#gid=554141278"", ""'Char Def. - Attributes'!C20:C2242""), 1,false)"),"HS_CODE")</f>
        <v>HS_CODE</v>
      </c>
      <c r="I7445" s="136"/>
      <c r="R7445" s="63" t="str">
        <f t="shared" si="60"/>
        <v>ZSI1_BRACKET_TRIPDHS_CODE</v>
      </c>
    </row>
    <row r="7446" ht="15.75" customHeight="1">
      <c r="B7446" s="63">
        <f t="shared" si="1"/>
        <v>18</v>
      </c>
      <c r="C7446" s="135" t="s">
        <v>4159</v>
      </c>
      <c r="D7446" s="161" t="s">
        <v>74</v>
      </c>
      <c r="E7446" s="135">
        <f t="shared" si="61"/>
        <v>8</v>
      </c>
      <c r="F7446" s="134" t="s">
        <v>3587</v>
      </c>
      <c r="G7446" s="63" t="str">
        <f>VLOOKUP(C7446, 'Class Def. - General Data'!$C$20:$C$1000,1,false)</f>
        <v>#N/A</v>
      </c>
      <c r="H7446" s="63" t="str">
        <f>IFERROR(__xludf.DUMMYFUNCTION("VLOOKUP(F7446, IMPORTRANGE(""https://docs.google.com/spreadsheets/d/1Lhp9OU0JdFf_VYSMzH5lBcEaU4o8teT1piV-SNzShjg/edit?gid=554141278#gid=554141278"", ""'Char Def. - Attributes'!C20:C2242""), 1,false)"),"PLANT_BUY")</f>
        <v>PLANT_BUY</v>
      </c>
      <c r="I7446" s="136"/>
      <c r="R7446" s="63" t="str">
        <f t="shared" si="60"/>
        <v>ZSI1_BRACKET_TRIPDPLANT_BUY</v>
      </c>
    </row>
    <row r="7447" ht="15.75" customHeight="1">
      <c r="B7447" s="63">
        <f t="shared" si="1"/>
        <v>18</v>
      </c>
      <c r="C7447" s="135" t="s">
        <v>4159</v>
      </c>
      <c r="D7447" s="161" t="s">
        <v>74</v>
      </c>
      <c r="E7447" s="135">
        <f t="shared" si="61"/>
        <v>9</v>
      </c>
      <c r="F7447" s="134" t="s">
        <v>4164</v>
      </c>
      <c r="G7447" s="63" t="str">
        <f>VLOOKUP(C7447, 'Class Def. - General Data'!$C$20:$C$1000,1,false)</f>
        <v>#N/A</v>
      </c>
      <c r="H7447" s="63" t="str">
        <f>IFERROR(__xludf.DUMMYFUNCTION("VLOOKUP(F7447, IMPORTRANGE(""https://docs.google.com/spreadsheets/d/1Lhp9OU0JdFf_VYSMzH5lBcEaU4o8teT1piV-SNzShjg/edit?gid=554141278#gid=554141278"", ""'Char Def. - Attributes'!C20:C2242""), 1,false)"),"BASE_UOM_BRACKET")</f>
        <v>BASE_UOM_BRACKET</v>
      </c>
      <c r="I7447" s="136"/>
      <c r="R7447" s="63" t="str">
        <f t="shared" si="60"/>
        <v>ZSI1_BRACKET_TRIPDBASE_UOM_BRACKET</v>
      </c>
    </row>
    <row r="7448" ht="15.75" customHeight="1">
      <c r="B7448" s="63">
        <f t="shared" si="1"/>
        <v>18</v>
      </c>
      <c r="C7448" s="135" t="s">
        <v>4159</v>
      </c>
      <c r="D7448" s="161" t="s">
        <v>74</v>
      </c>
      <c r="E7448" s="135">
        <f t="shared" si="61"/>
        <v>10</v>
      </c>
      <c r="F7448" s="134" t="s">
        <v>4165</v>
      </c>
      <c r="G7448" s="63" t="str">
        <f>VLOOKUP(C7448, 'Class Def. - General Data'!$C$20:$C$1000,1,false)</f>
        <v>#N/A</v>
      </c>
      <c r="H7448" s="63" t="str">
        <f>IFERROR(__xludf.DUMMYFUNCTION("VLOOKUP(F7448, IMPORTRANGE(""https://docs.google.com/spreadsheets/d/1Lhp9OU0JdFf_VYSMzH5lBcEaU4o8teT1piV-SNzShjg/edit?gid=554141278#gid=554141278"", ""'Char Def. - Attributes'!C20:C2242""), 1,false)"),"ORDER_UNIT_BRACKET")</f>
        <v>ORDER_UNIT_BRACKET</v>
      </c>
      <c r="I7448" s="136"/>
      <c r="R7448" s="63" t="str">
        <f t="shared" si="60"/>
        <v>ZSI1_BRACKET_TRIPDORDER_UNIT_BRACKET</v>
      </c>
    </row>
    <row r="7449" ht="15.75" customHeight="1">
      <c r="B7449" s="63">
        <f t="shared" si="1"/>
        <v>18</v>
      </c>
      <c r="C7449" s="135" t="s">
        <v>4159</v>
      </c>
      <c r="D7449" s="161" t="s">
        <v>74</v>
      </c>
      <c r="E7449" s="135">
        <f t="shared" si="61"/>
        <v>11</v>
      </c>
      <c r="F7449" s="134" t="s">
        <v>4056</v>
      </c>
      <c r="G7449" s="63" t="str">
        <f>VLOOKUP(C7449, 'Class Def. - General Data'!$C$20:$C$1000,1,false)</f>
        <v>#N/A</v>
      </c>
      <c r="H7449" s="63" t="str">
        <f>IFERROR(__xludf.DUMMYFUNCTION("VLOOKUP(F7449, IMPORTRANGE(""https://docs.google.com/spreadsheets/d/1Lhp9OU0JdFf_VYSMzH5lBcEaU4o8teT1piV-SNzShjg/edit?gid=554141278#gid=554141278"", ""'Char Def. - Attributes'!C20:C2242""), 1,false)"),"GROSS_WEIGHT_OPT")</f>
        <v>GROSS_WEIGHT_OPT</v>
      </c>
      <c r="I7449" s="136"/>
      <c r="R7449" s="63" t="str">
        <f t="shared" si="60"/>
        <v>ZSI1_BRACKET_TRIPDGROSS_WEIGHT_OPT</v>
      </c>
    </row>
    <row r="7450" ht="15.75" customHeight="1">
      <c r="B7450" s="63">
        <f t="shared" si="1"/>
        <v>18</v>
      </c>
      <c r="C7450" s="135" t="s">
        <v>4159</v>
      </c>
      <c r="D7450" s="161" t="s">
        <v>74</v>
      </c>
      <c r="E7450" s="135">
        <f t="shared" si="61"/>
        <v>12</v>
      </c>
      <c r="F7450" s="134" t="s">
        <v>4057</v>
      </c>
      <c r="G7450" s="63" t="str">
        <f>VLOOKUP(C7450, 'Class Def. - General Data'!$C$20:$C$1000,1,false)</f>
        <v>#N/A</v>
      </c>
      <c r="H7450" s="63" t="str">
        <f>IFERROR(__xludf.DUMMYFUNCTION("VLOOKUP(F7450, IMPORTRANGE(""https://docs.google.com/spreadsheets/d/1Lhp9OU0JdFf_VYSMzH5lBcEaU4o8teT1piV-SNzShjg/edit?gid=554141278#gid=554141278"", ""'Char Def. - Attributes'!C20:C2242""), 1,false)"),"NET_WEIGHT_OPT")</f>
        <v>NET_WEIGHT_OPT</v>
      </c>
      <c r="I7450" s="136"/>
      <c r="R7450" s="63" t="str">
        <f t="shared" si="60"/>
        <v>ZSI1_BRACKET_TRIPDNET_WEIGHT_OPT</v>
      </c>
    </row>
    <row r="7451" ht="15.75" customHeight="1">
      <c r="B7451" s="63">
        <f t="shared" si="1"/>
        <v>18</v>
      </c>
      <c r="C7451" s="135" t="s">
        <v>4159</v>
      </c>
      <c r="D7451" s="161" t="s">
        <v>74</v>
      </c>
      <c r="E7451" s="135">
        <f t="shared" si="61"/>
        <v>13</v>
      </c>
      <c r="F7451" s="134" t="s">
        <v>4058</v>
      </c>
      <c r="G7451" s="63" t="str">
        <f>VLOOKUP(C7451, 'Class Def. - General Data'!$C$20:$C$1000,1,false)</f>
        <v>#N/A</v>
      </c>
      <c r="H7451" s="63" t="str">
        <f>IFERROR(__xludf.DUMMYFUNCTION("VLOOKUP(F7451, IMPORTRANGE(""https://docs.google.com/spreadsheets/d/1Lhp9OU0JdFf_VYSMzH5lBcEaU4o8teT1piV-SNzShjg/edit?gid=554141278#gid=554141278"", ""'Char Def. - Attributes'!C20:C2242""), 1,false)"),"WEIGHT_UNIT_SI")</f>
        <v>WEIGHT_UNIT_SI</v>
      </c>
      <c r="I7451" s="136"/>
      <c r="R7451" s="63" t="str">
        <f t="shared" si="60"/>
        <v>ZSI1_BRACKET_TRIPDWEIGHT_UNIT_SI</v>
      </c>
    </row>
    <row r="7452" ht="15.75" customHeight="1">
      <c r="B7452" s="63">
        <f t="shared" si="1"/>
        <v>18</v>
      </c>
      <c r="C7452" s="135" t="s">
        <v>4159</v>
      </c>
      <c r="D7452" s="161" t="s">
        <v>74</v>
      </c>
      <c r="E7452" s="135">
        <f t="shared" si="61"/>
        <v>14</v>
      </c>
      <c r="F7452" s="134" t="s">
        <v>3877</v>
      </c>
      <c r="G7452" s="63" t="str">
        <f>VLOOKUP(C7452, 'Class Def. - General Data'!$C$20:$C$1000,1,false)</f>
        <v>#N/A</v>
      </c>
      <c r="H7452" s="63" t="str">
        <f>IFERROR(__xludf.DUMMYFUNCTION("VLOOKUP(F7452, IMPORTRANGE(""https://docs.google.com/spreadsheets/d/1Lhp9OU0JdFf_VYSMzH5lBcEaU4o8teT1piV-SNzShjg/edit?gid=554141278#gid=554141278"", ""'Char Def. - Attributes'!C20:C2242""), 1,false)"),"VOLUME_OPT")</f>
        <v>VOLUME_OPT</v>
      </c>
      <c r="I7452" s="136"/>
      <c r="R7452" s="63" t="str">
        <f t="shared" si="60"/>
        <v>ZSI1_BRACKET_TRIPDVOLUME_OPT</v>
      </c>
    </row>
    <row r="7453" ht="15.75" customHeight="1">
      <c r="B7453" s="63">
        <f t="shared" si="1"/>
        <v>18</v>
      </c>
      <c r="C7453" s="135" t="s">
        <v>4159</v>
      </c>
      <c r="D7453" s="161" t="s">
        <v>74</v>
      </c>
      <c r="E7453" s="135">
        <f t="shared" si="61"/>
        <v>15</v>
      </c>
      <c r="F7453" s="134" t="s">
        <v>4059</v>
      </c>
      <c r="G7453" s="63" t="str">
        <f>VLOOKUP(C7453, 'Class Def. - General Data'!$C$20:$C$1000,1,false)</f>
        <v>#N/A</v>
      </c>
      <c r="H7453" s="63" t="str">
        <f>IFERROR(__xludf.DUMMYFUNCTION("VLOOKUP(F7453, IMPORTRANGE(""https://docs.google.com/spreadsheets/d/1Lhp9OU0JdFf_VYSMzH5lBcEaU4o8teT1piV-SNzShjg/edit?gid=554141278#gid=554141278"", ""'Char Def. - Attributes'!C20:C2242""), 1,false)"),"VOLUME_UNIT_SI")</f>
        <v>VOLUME_UNIT_SI</v>
      </c>
      <c r="I7453" s="136"/>
      <c r="R7453" s="63" t="str">
        <f t="shared" si="60"/>
        <v>ZSI1_BRACKET_TRIPDVOLUME_UNIT_SI</v>
      </c>
    </row>
    <row r="7454" ht="15.75" customHeight="1">
      <c r="B7454" s="63">
        <f t="shared" si="1"/>
        <v>18</v>
      </c>
      <c r="C7454" s="135" t="s">
        <v>4159</v>
      </c>
      <c r="D7454" s="161" t="s">
        <v>74</v>
      </c>
      <c r="E7454" s="135">
        <f t="shared" si="61"/>
        <v>16</v>
      </c>
      <c r="F7454" s="134" t="s">
        <v>3804</v>
      </c>
      <c r="G7454" s="63" t="str">
        <f>VLOOKUP(C7454, 'Class Def. - General Data'!$C$20:$C$1000,1,false)</f>
        <v>#N/A</v>
      </c>
      <c r="H7454" s="63" t="str">
        <f>IFERROR(__xludf.DUMMYFUNCTION("VLOOKUP(F7454, IMPORTRANGE(""https://docs.google.com/spreadsheets/d/1Lhp9OU0JdFf_VYSMzH5lBcEaU4o8teT1piV-SNzShjg/edit?gid=554141278#gid=554141278"", ""'Char Def. - Attributes'!C20:C2242""), 1,false)"),"ALT_UOM1_SIPI")</f>
        <v>ALT_UOM1_SIPI</v>
      </c>
      <c r="I7454" s="136"/>
      <c r="R7454" s="63" t="str">
        <f t="shared" si="60"/>
        <v>ZSI1_BRACKET_TRIPDALT_UOM1_SIPI</v>
      </c>
    </row>
    <row r="7455" ht="15.75" customHeight="1">
      <c r="B7455" s="63">
        <f t="shared" si="1"/>
        <v>18</v>
      </c>
      <c r="C7455" s="135" t="s">
        <v>4159</v>
      </c>
      <c r="D7455" s="161" t="s">
        <v>74</v>
      </c>
      <c r="E7455" s="135">
        <f t="shared" si="61"/>
        <v>17</v>
      </c>
      <c r="F7455" s="134" t="s">
        <v>3805</v>
      </c>
      <c r="G7455" s="63" t="str">
        <f>VLOOKUP(C7455, 'Class Def. - General Data'!$C$20:$C$1000,1,false)</f>
        <v>#N/A</v>
      </c>
      <c r="H7455" s="63" t="str">
        <f>IFERROR(__xludf.DUMMYFUNCTION("VLOOKUP(F7455, IMPORTRANGE(""https://docs.google.com/spreadsheets/d/1Lhp9OU0JdFf_VYSMzH5lBcEaU4o8teT1piV-SNzShjg/edit?gid=554141278#gid=554141278"", ""'Char Def. - Attributes'!C20:C2242""), 1,false)"),"ALT_DENUM_UOM1")</f>
        <v>ALT_DENUM_UOM1</v>
      </c>
      <c r="I7455" s="136"/>
      <c r="R7455" s="63" t="str">
        <f t="shared" si="60"/>
        <v>ZSI1_BRACKET_TRIPDALT_DENUM_UOM1</v>
      </c>
    </row>
    <row r="7456" ht="15.75" customHeight="1">
      <c r="B7456" s="63">
        <f t="shared" si="1"/>
        <v>18</v>
      </c>
      <c r="C7456" s="135" t="s">
        <v>4159</v>
      </c>
      <c r="D7456" s="161" t="s">
        <v>74</v>
      </c>
      <c r="E7456" s="135">
        <f t="shared" si="61"/>
        <v>18</v>
      </c>
      <c r="F7456" s="134" t="s">
        <v>3806</v>
      </c>
      <c r="G7456" s="63" t="str">
        <f>VLOOKUP(C7456, 'Class Def. - General Data'!$C$20:$C$1000,1,false)</f>
        <v>#N/A</v>
      </c>
      <c r="H7456" s="63" t="str">
        <f>IFERROR(__xludf.DUMMYFUNCTION("VLOOKUP(F7456, IMPORTRANGE(""https://docs.google.com/spreadsheets/d/1Lhp9OU0JdFf_VYSMzH5lBcEaU4o8teT1piV-SNzShjg/edit?gid=554141278#gid=554141278"", ""'Char Def. - Attributes'!C20:C2242""), 1,false)"),"ALT_NUM_UOM1")</f>
        <v>ALT_NUM_UOM1</v>
      </c>
      <c r="I7456" s="136"/>
      <c r="R7456" s="63" t="str">
        <f t="shared" si="60"/>
        <v>ZSI1_BRACKET_TRIPDALT_NUM_UOM1</v>
      </c>
    </row>
    <row r="7457" ht="15.75" customHeight="1">
      <c r="B7457" s="63">
        <f t="shared" si="1"/>
        <v>18</v>
      </c>
      <c r="C7457" s="135" t="s">
        <v>4159</v>
      </c>
      <c r="D7457" s="161" t="s">
        <v>74</v>
      </c>
      <c r="E7457" s="135">
        <f t="shared" si="61"/>
        <v>19</v>
      </c>
      <c r="F7457" s="134" t="s">
        <v>3807</v>
      </c>
      <c r="G7457" s="63" t="str">
        <f>VLOOKUP(C7457, 'Class Def. - General Data'!$C$20:$C$1000,1,false)</f>
        <v>#N/A</v>
      </c>
      <c r="H7457" s="63" t="str">
        <f>IFERROR(__xludf.DUMMYFUNCTION("VLOOKUP(F7457, IMPORTRANGE(""https://docs.google.com/spreadsheets/d/1Lhp9OU0JdFf_VYSMzH5lBcEaU4o8teT1piV-SNzShjg/edit?gid=554141278#gid=554141278"", ""'Char Def. - Attributes'!C20:C2242""), 1,false)"),"ALT_UOM2_SIPI")</f>
        <v>ALT_UOM2_SIPI</v>
      </c>
      <c r="I7457" s="136"/>
      <c r="R7457" s="63" t="str">
        <f t="shared" si="60"/>
        <v>ZSI1_BRACKET_TRIPDALT_UOM2_SIPI</v>
      </c>
    </row>
    <row r="7458" ht="15.75" customHeight="1">
      <c r="B7458" s="63">
        <f t="shared" si="1"/>
        <v>18</v>
      </c>
      <c r="C7458" s="135" t="s">
        <v>4159</v>
      </c>
      <c r="D7458" s="161" t="s">
        <v>74</v>
      </c>
      <c r="E7458" s="135">
        <f t="shared" si="61"/>
        <v>20</v>
      </c>
      <c r="F7458" s="134" t="s">
        <v>3808</v>
      </c>
      <c r="G7458" s="63" t="str">
        <f>VLOOKUP(C7458, 'Class Def. - General Data'!$C$20:$C$1000,1,false)</f>
        <v>#N/A</v>
      </c>
      <c r="H7458" s="63" t="str">
        <f>IFERROR(__xludf.DUMMYFUNCTION("VLOOKUP(F7458, IMPORTRANGE(""https://docs.google.com/spreadsheets/d/1Lhp9OU0JdFf_VYSMzH5lBcEaU4o8teT1piV-SNzShjg/edit?gid=554141278#gid=554141278"", ""'Char Def. - Attributes'!C20:C2242""), 1,false)"),"ALT_DENUM_UOM2")</f>
        <v>ALT_DENUM_UOM2</v>
      </c>
      <c r="I7458" s="136"/>
      <c r="R7458" s="63" t="str">
        <f t="shared" si="60"/>
        <v>ZSI1_BRACKET_TRIPDALT_DENUM_UOM2</v>
      </c>
    </row>
    <row r="7459" ht="15.75" customHeight="1">
      <c r="B7459" s="63">
        <f t="shared" si="1"/>
        <v>18</v>
      </c>
      <c r="C7459" s="135" t="s">
        <v>4159</v>
      </c>
      <c r="D7459" s="161" t="s">
        <v>74</v>
      </c>
      <c r="E7459" s="135">
        <f t="shared" si="61"/>
        <v>21</v>
      </c>
      <c r="F7459" s="134" t="s">
        <v>3809</v>
      </c>
      <c r="G7459" s="63" t="str">
        <f>VLOOKUP(C7459, 'Class Def. - General Data'!$C$20:$C$1000,1,false)</f>
        <v>#N/A</v>
      </c>
      <c r="H7459" s="63" t="str">
        <f>IFERROR(__xludf.DUMMYFUNCTION("VLOOKUP(F7459, IMPORTRANGE(""https://docs.google.com/spreadsheets/d/1Lhp9OU0JdFf_VYSMzH5lBcEaU4o8teT1piV-SNzShjg/edit?gid=554141278#gid=554141278"", ""'Char Def. - Attributes'!C20:C2242""), 1,false)"),"ALT_NUM_UOM2")</f>
        <v>ALT_NUM_UOM2</v>
      </c>
      <c r="I7459" s="136"/>
      <c r="R7459" s="63" t="str">
        <f t="shared" si="60"/>
        <v>ZSI1_BRACKET_TRIPDALT_NUM_UOM2</v>
      </c>
    </row>
    <row r="7460" ht="15.75" customHeight="1">
      <c r="B7460" s="63">
        <f t="shared" si="1"/>
        <v>18</v>
      </c>
      <c r="C7460" s="135" t="s">
        <v>4159</v>
      </c>
      <c r="D7460" s="161" t="s">
        <v>74</v>
      </c>
      <c r="E7460" s="135">
        <f t="shared" si="61"/>
        <v>22</v>
      </c>
      <c r="F7460" s="134" t="s">
        <v>3810</v>
      </c>
      <c r="G7460" s="63" t="str">
        <f>VLOOKUP(C7460, 'Class Def. - General Data'!$C$20:$C$1000,1,false)</f>
        <v>#N/A</v>
      </c>
      <c r="H7460" s="63" t="str">
        <f>IFERROR(__xludf.DUMMYFUNCTION("VLOOKUP(F7460, IMPORTRANGE(""https://docs.google.com/spreadsheets/d/1Lhp9OU0JdFf_VYSMzH5lBcEaU4o8teT1piV-SNzShjg/edit?gid=554141278#gid=554141278"", ""'Char Def. - Attributes'!C20:C2242""), 1,false)"),"ALT_UOM3_SIPI")</f>
        <v>ALT_UOM3_SIPI</v>
      </c>
      <c r="I7460" s="136"/>
      <c r="R7460" s="63" t="str">
        <f t="shared" si="60"/>
        <v>ZSI1_BRACKET_TRIPDALT_UOM3_SIPI</v>
      </c>
    </row>
    <row r="7461" ht="15.75" customHeight="1">
      <c r="B7461" s="63">
        <f t="shared" si="1"/>
        <v>18</v>
      </c>
      <c r="C7461" s="135" t="s">
        <v>4159</v>
      </c>
      <c r="D7461" s="161" t="s">
        <v>74</v>
      </c>
      <c r="E7461" s="135">
        <f t="shared" si="61"/>
        <v>23</v>
      </c>
      <c r="F7461" s="134" t="s">
        <v>3811</v>
      </c>
      <c r="G7461" s="63" t="str">
        <f>VLOOKUP(C7461, 'Class Def. - General Data'!$C$20:$C$1000,1,false)</f>
        <v>#N/A</v>
      </c>
      <c r="H7461" s="63" t="str">
        <f>IFERROR(__xludf.DUMMYFUNCTION("VLOOKUP(F7461, IMPORTRANGE(""https://docs.google.com/spreadsheets/d/1Lhp9OU0JdFf_VYSMzH5lBcEaU4o8teT1piV-SNzShjg/edit?gid=554141278#gid=554141278"", ""'Char Def. - Attributes'!C20:C2242""), 1,false)"),"ALT_DENUM_UOM3")</f>
        <v>ALT_DENUM_UOM3</v>
      </c>
      <c r="I7461" s="136"/>
      <c r="R7461" s="63" t="str">
        <f t="shared" si="60"/>
        <v>ZSI1_BRACKET_TRIPDALT_DENUM_UOM3</v>
      </c>
    </row>
    <row r="7462" ht="15.75" customHeight="1">
      <c r="B7462" s="63">
        <f t="shared" si="1"/>
        <v>18</v>
      </c>
      <c r="C7462" s="135" t="s">
        <v>4159</v>
      </c>
      <c r="D7462" s="161" t="s">
        <v>74</v>
      </c>
      <c r="E7462" s="135">
        <f t="shared" si="61"/>
        <v>24</v>
      </c>
      <c r="F7462" s="134" t="s">
        <v>3812</v>
      </c>
      <c r="G7462" s="63" t="str">
        <f>VLOOKUP(C7462, 'Class Def. - General Data'!$C$20:$C$1000,1,false)</f>
        <v>#N/A</v>
      </c>
      <c r="H7462" s="63" t="str">
        <f>IFERROR(__xludf.DUMMYFUNCTION("VLOOKUP(F7462, IMPORTRANGE(""https://docs.google.com/spreadsheets/d/1Lhp9OU0JdFf_VYSMzH5lBcEaU4o8teT1piV-SNzShjg/edit?gid=554141278#gid=554141278"", ""'Char Def. - Attributes'!C20:C2242""), 1,false)"),"ALT_NUM_UOM3")</f>
        <v>ALT_NUM_UOM3</v>
      </c>
      <c r="I7462" s="136"/>
      <c r="R7462" s="63" t="str">
        <f t="shared" si="60"/>
        <v>ZSI1_BRACKET_TRIPDALT_NUM_UOM3</v>
      </c>
    </row>
    <row r="7463" ht="15.75" customHeight="1">
      <c r="B7463" s="63">
        <f t="shared" si="1"/>
        <v>18</v>
      </c>
      <c r="C7463" s="135" t="s">
        <v>4159</v>
      </c>
      <c r="D7463" s="161" t="s">
        <v>74</v>
      </c>
      <c r="E7463" s="135">
        <f t="shared" si="61"/>
        <v>25</v>
      </c>
      <c r="F7463" s="134" t="s">
        <v>3813</v>
      </c>
      <c r="G7463" s="63" t="str">
        <f>VLOOKUP(C7463, 'Class Def. - General Data'!$C$20:$C$1000,1,false)</f>
        <v>#N/A</v>
      </c>
      <c r="H7463" s="63" t="str">
        <f>IFERROR(__xludf.DUMMYFUNCTION("VLOOKUP(F7463, IMPORTRANGE(""https://docs.google.com/spreadsheets/d/1Lhp9OU0JdFf_VYSMzH5lBcEaU4o8teT1piV-SNzShjg/edit?gid=554141278#gid=554141278"", ""'Char Def. - Attributes'!C20:C2242""), 1,false)"),"ALT_UOM4_SIPI")</f>
        <v>ALT_UOM4_SIPI</v>
      </c>
      <c r="I7463" s="136"/>
      <c r="R7463" s="63" t="str">
        <f t="shared" si="60"/>
        <v>ZSI1_BRACKET_TRIPDALT_UOM4_SIPI</v>
      </c>
    </row>
    <row r="7464" ht="15.75" customHeight="1">
      <c r="B7464" s="63">
        <f t="shared" si="1"/>
        <v>18</v>
      </c>
      <c r="C7464" s="135" t="s">
        <v>4159</v>
      </c>
      <c r="D7464" s="161" t="s">
        <v>74</v>
      </c>
      <c r="E7464" s="135">
        <f t="shared" si="61"/>
        <v>26</v>
      </c>
      <c r="F7464" s="134" t="s">
        <v>3814</v>
      </c>
      <c r="G7464" s="63" t="str">
        <f>VLOOKUP(C7464, 'Class Def. - General Data'!$C$20:$C$1000,1,false)</f>
        <v>#N/A</v>
      </c>
      <c r="H7464" s="63" t="str">
        <f>IFERROR(__xludf.DUMMYFUNCTION("VLOOKUP(F7464, IMPORTRANGE(""https://docs.google.com/spreadsheets/d/1Lhp9OU0JdFf_VYSMzH5lBcEaU4o8teT1piV-SNzShjg/edit?gid=554141278#gid=554141278"", ""'Char Def. - Attributes'!C20:C2242""), 1,false)"),"ALT_DENUM_UOM4")</f>
        <v>ALT_DENUM_UOM4</v>
      </c>
      <c r="I7464" s="136"/>
      <c r="R7464" s="63" t="str">
        <f t="shared" si="60"/>
        <v>ZSI1_BRACKET_TRIPDALT_DENUM_UOM4</v>
      </c>
    </row>
    <row r="7465" ht="15.75" customHeight="1">
      <c r="B7465" s="63">
        <f t="shared" si="1"/>
        <v>18</v>
      </c>
      <c r="C7465" s="135" t="s">
        <v>4159</v>
      </c>
      <c r="D7465" s="161" t="s">
        <v>74</v>
      </c>
      <c r="E7465" s="135">
        <f t="shared" si="61"/>
        <v>27</v>
      </c>
      <c r="F7465" s="134" t="s">
        <v>3815</v>
      </c>
      <c r="G7465" s="63" t="str">
        <f>VLOOKUP(C7465, 'Class Def. - General Data'!$C$20:$C$1000,1,false)</f>
        <v>#N/A</v>
      </c>
      <c r="H7465" s="63" t="str">
        <f>IFERROR(__xludf.DUMMYFUNCTION("VLOOKUP(F7465, IMPORTRANGE(""https://docs.google.com/spreadsheets/d/1Lhp9OU0JdFf_VYSMzH5lBcEaU4o8teT1piV-SNzShjg/edit?gid=554141278#gid=554141278"", ""'Char Def. - Attributes'!C20:C2242""), 1,false)"),"ALT_NUM_UOM4")</f>
        <v>ALT_NUM_UOM4</v>
      </c>
      <c r="I7465" s="136"/>
      <c r="R7465" s="63" t="str">
        <f t="shared" si="60"/>
        <v>ZSI1_BRACKET_TRIPDALT_NUM_UOM4</v>
      </c>
    </row>
    <row r="7466" ht="15.75" customHeight="1">
      <c r="B7466" s="63">
        <f t="shared" si="1"/>
        <v>18</v>
      </c>
      <c r="C7466" s="135" t="s">
        <v>4159</v>
      </c>
      <c r="D7466" s="161" t="s">
        <v>74</v>
      </c>
      <c r="E7466" s="135">
        <f t="shared" si="61"/>
        <v>28</v>
      </c>
      <c r="F7466" s="134" t="s">
        <v>3816</v>
      </c>
      <c r="G7466" s="63" t="str">
        <f>VLOOKUP(C7466, 'Class Def. - General Data'!$C$20:$C$1000,1,false)</f>
        <v>#N/A</v>
      </c>
      <c r="H7466" s="63" t="str">
        <f>IFERROR(__xludf.DUMMYFUNCTION("VLOOKUP(F7466, IMPORTRANGE(""https://docs.google.com/spreadsheets/d/1Lhp9OU0JdFf_VYSMzH5lBcEaU4o8teT1piV-SNzShjg/edit?gid=554141278#gid=554141278"", ""'Char Def. - Attributes'!C20:C2242""), 1,false)"),"ALT_UOM5_SIPI")</f>
        <v>ALT_UOM5_SIPI</v>
      </c>
      <c r="I7466" s="136"/>
      <c r="R7466" s="63" t="str">
        <f t="shared" si="60"/>
        <v>ZSI1_BRACKET_TRIPDALT_UOM5_SIPI</v>
      </c>
    </row>
    <row r="7467" ht="15.75" customHeight="1">
      <c r="B7467" s="63">
        <f t="shared" si="1"/>
        <v>18</v>
      </c>
      <c r="C7467" s="135" t="s">
        <v>4159</v>
      </c>
      <c r="D7467" s="161" t="s">
        <v>74</v>
      </c>
      <c r="E7467" s="135">
        <f t="shared" si="61"/>
        <v>29</v>
      </c>
      <c r="F7467" s="134" t="s">
        <v>3817</v>
      </c>
      <c r="G7467" s="63" t="str">
        <f>VLOOKUP(C7467, 'Class Def. - General Data'!$C$20:$C$1000,1,false)</f>
        <v>#N/A</v>
      </c>
      <c r="H7467" s="63" t="str">
        <f>IFERROR(__xludf.DUMMYFUNCTION("VLOOKUP(F7467, IMPORTRANGE(""https://docs.google.com/spreadsheets/d/1Lhp9OU0JdFf_VYSMzH5lBcEaU4o8teT1piV-SNzShjg/edit?gid=554141278#gid=554141278"", ""'Char Def. - Attributes'!C20:C2242""), 1,false)"),"ALT_DENUM_UOM5")</f>
        <v>ALT_DENUM_UOM5</v>
      </c>
      <c r="I7467" s="136"/>
      <c r="R7467" s="63" t="str">
        <f t="shared" si="60"/>
        <v>ZSI1_BRACKET_TRIPDALT_DENUM_UOM5</v>
      </c>
    </row>
    <row r="7468" ht="15.75" customHeight="1">
      <c r="B7468" s="63">
        <f t="shared" si="1"/>
        <v>18</v>
      </c>
      <c r="C7468" s="135" t="s">
        <v>4159</v>
      </c>
      <c r="D7468" s="161" t="s">
        <v>74</v>
      </c>
      <c r="E7468" s="135">
        <f t="shared" si="61"/>
        <v>30</v>
      </c>
      <c r="F7468" s="134" t="s">
        <v>3818</v>
      </c>
      <c r="G7468" s="63" t="str">
        <f>VLOOKUP(C7468, 'Class Def. - General Data'!$C$20:$C$1000,1,false)</f>
        <v>#N/A</v>
      </c>
      <c r="H7468" s="63" t="str">
        <f>IFERROR(__xludf.DUMMYFUNCTION("VLOOKUP(F7468, IMPORTRANGE(""https://docs.google.com/spreadsheets/d/1Lhp9OU0JdFf_VYSMzH5lBcEaU4o8teT1piV-SNzShjg/edit?gid=554141278#gid=554141278"", ""'Char Def. - Attributes'!C20:C2242""), 1,false)"),"ALT_NUM_UOM5")</f>
        <v>ALT_NUM_UOM5</v>
      </c>
      <c r="I7468" s="136"/>
      <c r="R7468" s="63" t="str">
        <f t="shared" si="60"/>
        <v>ZSI1_BRACKET_TRIPDALT_NUM_UOM5</v>
      </c>
    </row>
    <row r="7469" ht="15.75" customHeight="1">
      <c r="B7469" s="63">
        <f t="shared" si="1"/>
        <v>15</v>
      </c>
      <c r="C7469" s="135" t="s">
        <v>511</v>
      </c>
      <c r="D7469" s="161" t="s">
        <v>74</v>
      </c>
      <c r="E7469" s="135">
        <f t="shared" si="61"/>
        <v>1</v>
      </c>
      <c r="F7469" s="134" t="s">
        <v>4166</v>
      </c>
      <c r="G7469" s="63" t="str">
        <f>VLOOKUP(C7469, 'Class Def. - General Data'!$C$20:$C$1000,1,false)</f>
        <v>ZSI1_BRAKE_COMP</v>
      </c>
      <c r="H7469" s="63" t="str">
        <f>IFERROR(__xludf.DUMMYFUNCTION("VLOOKUP(F7469, IMPORTRANGE(""https://docs.google.com/spreadsheets/d/1Lhp9OU0JdFf_VYSMzH5lBcEaU4o8teT1piV-SNzShjg/edit?gid=554141278#gid=554141278"", ""'Char Def. - Attributes'!C20:C2242""), 1,false)"),"ITEM_NAME_BRAKE_COMP")</f>
        <v>ITEM_NAME_BRAKE_COMP</v>
      </c>
      <c r="I7469" s="136"/>
      <c r="R7469" s="63" t="str">
        <f t="shared" si="60"/>
        <v>ZSI1_BRAKE_COMPITEM_NAME_BRAKE_COMP</v>
      </c>
    </row>
    <row r="7470" ht="15.75" customHeight="1">
      <c r="B7470" s="63">
        <f t="shared" si="1"/>
        <v>15</v>
      </c>
      <c r="C7470" s="135" t="s">
        <v>511</v>
      </c>
      <c r="D7470" s="161" t="s">
        <v>74</v>
      </c>
      <c r="E7470" s="135">
        <f t="shared" si="61"/>
        <v>2</v>
      </c>
      <c r="F7470" s="134" t="s">
        <v>4167</v>
      </c>
      <c r="G7470" s="63" t="str">
        <f>VLOOKUP(C7470, 'Class Def. - General Data'!$C$20:$C$1000,1,false)</f>
        <v>ZSI1_BRAKE_COMP</v>
      </c>
      <c r="H7470" s="63" t="str">
        <f>IFERROR(__xludf.DUMMYFUNCTION("VLOOKUP(F7470, IMPORTRANGE(""https://docs.google.com/spreadsheets/d/1Lhp9OU0JdFf_VYSMzH5lBcEaU4o8teT1piV-SNzShjg/edit?gid=554141278#gid=554141278"", ""'Char Def. - Attributes'!C20:C2242""), 1,false)"),"SIZE_BRAKE_COMP")</f>
        <v>SIZE_BRAKE_COMP</v>
      </c>
      <c r="I7470" s="136"/>
      <c r="R7470" s="63" t="str">
        <f t="shared" si="60"/>
        <v>ZSI1_BRAKE_COMPSIZE_BRAKE_COMP</v>
      </c>
    </row>
    <row r="7471" ht="15.75" customHeight="1">
      <c r="B7471" s="63">
        <f t="shared" si="1"/>
        <v>15</v>
      </c>
      <c r="C7471" s="135" t="s">
        <v>511</v>
      </c>
      <c r="D7471" s="161" t="s">
        <v>74</v>
      </c>
      <c r="E7471" s="135">
        <f t="shared" si="61"/>
        <v>3</v>
      </c>
      <c r="F7471" s="134" t="s">
        <v>4168</v>
      </c>
      <c r="G7471" s="63" t="str">
        <f>VLOOKUP(C7471, 'Class Def. - General Data'!$C$20:$C$1000,1,false)</f>
        <v>ZSI1_BRAKE_COMP</v>
      </c>
      <c r="H7471" s="63" t="str">
        <f>IFERROR(__xludf.DUMMYFUNCTION("VLOOKUP(F7471, IMPORTRANGE(""https://docs.google.com/spreadsheets/d/1Lhp9OU0JdFf_VYSMzH5lBcEaU4o8teT1piV-SNzShjg/edit?gid=554141278#gid=554141278"", ""'Char Def. - Attributes'!C20:C2242""), 1,false)"),"MATERIAL_BRAKE_COMP")</f>
        <v>MATERIAL_BRAKE_COMP</v>
      </c>
      <c r="I7471" s="136"/>
      <c r="R7471" s="63" t="str">
        <f t="shared" si="60"/>
        <v>ZSI1_BRAKE_COMPMATERIAL_BRAKE_COMP</v>
      </c>
    </row>
    <row r="7472" ht="15.75" customHeight="1">
      <c r="B7472" s="63">
        <f t="shared" si="1"/>
        <v>15</v>
      </c>
      <c r="C7472" s="135" t="s">
        <v>511</v>
      </c>
      <c r="D7472" s="161" t="s">
        <v>74</v>
      </c>
      <c r="E7472" s="135">
        <f t="shared" si="61"/>
        <v>4</v>
      </c>
      <c r="F7472" s="134" t="s">
        <v>4169</v>
      </c>
      <c r="G7472" s="63" t="str">
        <f>VLOOKUP(C7472, 'Class Def. - General Data'!$C$20:$C$1000,1,false)</f>
        <v>ZSI1_BRAKE_COMP</v>
      </c>
      <c r="H7472" s="63" t="str">
        <f>IFERROR(__xludf.DUMMYFUNCTION("VLOOKUP(F7472, IMPORTRANGE(""https://docs.google.com/spreadsheets/d/1Lhp9OU0JdFf_VYSMzH5lBcEaU4o8teT1piV-SNzShjg/edit?gid=554141278#gid=554141278"", ""'Char Def. - Attributes'!C20:C2242""), 1,false)"),"MFR_NO_BRAKE_COMP")</f>
        <v>MFR_NO_BRAKE_COMP</v>
      </c>
      <c r="I7472" s="136"/>
      <c r="R7472" s="63" t="str">
        <f t="shared" si="60"/>
        <v>ZSI1_BRAKE_COMPMFR_NO_BRAKE_COMP</v>
      </c>
    </row>
    <row r="7473" ht="15.75" customHeight="1">
      <c r="B7473" s="63">
        <f t="shared" si="1"/>
        <v>15</v>
      </c>
      <c r="C7473" s="135" t="s">
        <v>511</v>
      </c>
      <c r="D7473" s="161" t="s">
        <v>74</v>
      </c>
      <c r="E7473" s="135">
        <f t="shared" si="61"/>
        <v>5</v>
      </c>
      <c r="F7473" s="134" t="s">
        <v>3782</v>
      </c>
      <c r="G7473" s="63" t="str">
        <f>VLOOKUP(C7473, 'Class Def. - General Data'!$C$20:$C$1000,1,false)</f>
        <v>ZSI1_BRAKE_COMP</v>
      </c>
      <c r="H7473" s="63" t="str">
        <f>IFERROR(__xludf.DUMMYFUNCTION("VLOOKUP(F7473, IMPORTRANGE(""https://docs.google.com/spreadsheets/d/1Lhp9OU0JdFf_VYSMzH5lBcEaU4o8teT1piV-SNzShjg/edit?gid=554141278#gid=554141278"", ""'Char Def. - Attributes'!C20:C2242""), 1,false)"),"BRAND_EXTERNAL")</f>
        <v>BRAND_EXTERNAL</v>
      </c>
      <c r="I7473" s="136"/>
      <c r="R7473" s="63" t="str">
        <f t="shared" si="60"/>
        <v>ZSI1_BRAKE_COMPBRAND_EXTERNAL</v>
      </c>
    </row>
    <row r="7474" ht="15.75" customHeight="1">
      <c r="B7474" s="63">
        <f t="shared" si="1"/>
        <v>15</v>
      </c>
      <c r="C7474" s="135" t="s">
        <v>511</v>
      </c>
      <c r="D7474" s="161" t="s">
        <v>74</v>
      </c>
      <c r="E7474" s="135">
        <f t="shared" si="61"/>
        <v>6</v>
      </c>
      <c r="F7474" s="134" t="s">
        <v>4062</v>
      </c>
      <c r="G7474" s="63" t="str">
        <f>VLOOKUP(C7474, 'Class Def. - General Data'!$C$20:$C$1000,1,false)</f>
        <v>ZSI1_BRAKE_COMP</v>
      </c>
      <c r="H7474" s="63" t="str">
        <f>IFERROR(__xludf.DUMMYFUNCTION("VLOOKUP(F7474, IMPORTRANGE(""https://docs.google.com/spreadsheets/d/1Lhp9OU0JdFf_VYSMzH5lBcEaU4o8teT1piV-SNzShjg/edit?gid=554141278#gid=554141278"", ""'Char Def. - Attributes'!C20:C2242""), 1,false)"),"#N/A")</f>
        <v>#N/A</v>
      </c>
      <c r="I7474" s="136"/>
      <c r="R7474" s="63" t="str">
        <f t="shared" si="60"/>
        <v>ZSI1_BRAKE_COMPADDTIONAL_SPECIFICATION</v>
      </c>
    </row>
    <row r="7475" ht="15.75" customHeight="1">
      <c r="B7475" s="63">
        <f t="shared" si="1"/>
        <v>15</v>
      </c>
      <c r="C7475" s="135" t="s">
        <v>511</v>
      </c>
      <c r="D7475" s="161" t="s">
        <v>74</v>
      </c>
      <c r="E7475" s="135">
        <f t="shared" si="61"/>
        <v>7</v>
      </c>
      <c r="F7475" s="134" t="s">
        <v>4053</v>
      </c>
      <c r="G7475" s="63" t="str">
        <f>VLOOKUP(C7475, 'Class Def. - General Data'!$C$20:$C$1000,1,false)</f>
        <v>ZSI1_BRAKE_COMP</v>
      </c>
      <c r="H7475" s="63" t="str">
        <f>IFERROR(__xludf.DUMMYFUNCTION("VLOOKUP(F7475, IMPORTRANGE(""https://docs.google.com/spreadsheets/d/1Lhp9OU0JdFf_VYSMzH5lBcEaU4o8teT1piV-SNzShjg/edit?gid=554141278#gid=554141278"", ""'Char Def. - Attributes'!C20:C2242""), 1,false)"),"MAINTENANCE_ORDER_TYPE")</f>
        <v>MAINTENANCE_ORDER_TYPE</v>
      </c>
      <c r="I7475" s="136"/>
      <c r="R7475" s="63" t="str">
        <f t="shared" si="60"/>
        <v>ZSI1_BRAKE_COMPMAINTENANCE_ORDER_TYPE</v>
      </c>
    </row>
    <row r="7476" ht="15.75" customHeight="1">
      <c r="B7476" s="63">
        <f t="shared" si="1"/>
        <v>15</v>
      </c>
      <c r="C7476" s="135" t="s">
        <v>511</v>
      </c>
      <c r="D7476" s="161" t="s">
        <v>74</v>
      </c>
      <c r="E7476" s="135">
        <f t="shared" si="61"/>
        <v>8</v>
      </c>
      <c r="F7476" s="134" t="s">
        <v>3585</v>
      </c>
      <c r="G7476" s="63" t="str">
        <f>VLOOKUP(C7476, 'Class Def. - General Data'!$C$20:$C$1000,1,false)</f>
        <v>ZSI1_BRAKE_COMP</v>
      </c>
      <c r="H7476" s="63" t="str">
        <f>IFERROR(__xludf.DUMMYFUNCTION("VLOOKUP(F7476, IMPORTRANGE(""https://docs.google.com/spreadsheets/d/1Lhp9OU0JdFf_VYSMzH5lBcEaU4o8teT1piV-SNzShjg/edit?gid=554141278#gid=554141278"", ""'Char Def. - Attributes'!C20:C2242""), 1,false)"),"HS_CODE")</f>
        <v>HS_CODE</v>
      </c>
      <c r="I7476" s="136"/>
      <c r="R7476" s="63" t="str">
        <f t="shared" si="60"/>
        <v>ZSI1_BRAKE_COMPHS_CODE</v>
      </c>
    </row>
    <row r="7477" ht="15.75" customHeight="1">
      <c r="B7477" s="63">
        <f t="shared" si="1"/>
        <v>15</v>
      </c>
      <c r="C7477" s="135" t="s">
        <v>511</v>
      </c>
      <c r="D7477" s="161" t="s">
        <v>74</v>
      </c>
      <c r="E7477" s="135">
        <f t="shared" si="61"/>
        <v>9</v>
      </c>
      <c r="F7477" s="134" t="s">
        <v>3587</v>
      </c>
      <c r="G7477" s="63" t="str">
        <f>VLOOKUP(C7477, 'Class Def. - General Data'!$C$20:$C$1000,1,false)</f>
        <v>ZSI1_BRAKE_COMP</v>
      </c>
      <c r="H7477" s="63" t="str">
        <f>IFERROR(__xludf.DUMMYFUNCTION("VLOOKUP(F7477, IMPORTRANGE(""https://docs.google.com/spreadsheets/d/1Lhp9OU0JdFf_VYSMzH5lBcEaU4o8teT1piV-SNzShjg/edit?gid=554141278#gid=554141278"", ""'Char Def. - Attributes'!C20:C2242""), 1,false)"),"PLANT_BUY")</f>
        <v>PLANT_BUY</v>
      </c>
      <c r="I7477" s="136"/>
      <c r="R7477" s="63" t="str">
        <f t="shared" si="60"/>
        <v>ZSI1_BRAKE_COMPPLANT_BUY</v>
      </c>
    </row>
    <row r="7478" ht="15.75" customHeight="1">
      <c r="B7478" s="63">
        <f t="shared" si="1"/>
        <v>15</v>
      </c>
      <c r="C7478" s="135" t="s">
        <v>511</v>
      </c>
      <c r="D7478" s="161" t="s">
        <v>74</v>
      </c>
      <c r="E7478" s="135">
        <f t="shared" si="61"/>
        <v>10</v>
      </c>
      <c r="F7478" s="134" t="s">
        <v>4170</v>
      </c>
      <c r="G7478" s="63" t="str">
        <f>VLOOKUP(C7478, 'Class Def. - General Data'!$C$20:$C$1000,1,false)</f>
        <v>ZSI1_BRAKE_COMP</v>
      </c>
      <c r="H7478" s="63" t="str">
        <f>IFERROR(__xludf.DUMMYFUNCTION("VLOOKUP(F7478, IMPORTRANGE(""https://docs.google.com/spreadsheets/d/1Lhp9OU0JdFf_VYSMzH5lBcEaU4o8teT1piV-SNzShjg/edit?gid=554141278#gid=554141278"", ""'Char Def. - Attributes'!C20:C2242""), 1,false)"),"BASE_UOM_BRAKE_COMP")</f>
        <v>BASE_UOM_BRAKE_COMP</v>
      </c>
      <c r="I7478" s="136"/>
      <c r="R7478" s="63" t="str">
        <f t="shared" si="60"/>
        <v>ZSI1_BRAKE_COMPBASE_UOM_BRAKE_COMP</v>
      </c>
    </row>
    <row r="7479" ht="15.75" customHeight="1">
      <c r="B7479" s="63">
        <f t="shared" si="1"/>
        <v>15</v>
      </c>
      <c r="C7479" s="135" t="s">
        <v>511</v>
      </c>
      <c r="D7479" s="161" t="s">
        <v>74</v>
      </c>
      <c r="E7479" s="135">
        <f t="shared" si="61"/>
        <v>11</v>
      </c>
      <c r="F7479" s="134" t="s">
        <v>4171</v>
      </c>
      <c r="G7479" s="63" t="str">
        <f>VLOOKUP(C7479, 'Class Def. - General Data'!$C$20:$C$1000,1,false)</f>
        <v>ZSI1_BRAKE_COMP</v>
      </c>
      <c r="H7479" s="63" t="str">
        <f>IFERROR(__xludf.DUMMYFUNCTION("VLOOKUP(F7479, IMPORTRANGE(""https://docs.google.com/spreadsheets/d/1Lhp9OU0JdFf_VYSMzH5lBcEaU4o8teT1piV-SNzShjg/edit?gid=554141278#gid=554141278"", ""'Char Def. - Attributes'!C20:C2242""), 1,false)"),"ORDER_UNIT_BRAKE_COMP")</f>
        <v>ORDER_UNIT_BRAKE_COMP</v>
      </c>
      <c r="I7479" s="136"/>
      <c r="R7479" s="63" t="str">
        <f t="shared" si="60"/>
        <v>ZSI1_BRAKE_COMPORDER_UNIT_BRAKE_COMP</v>
      </c>
    </row>
    <row r="7480" ht="15.75" customHeight="1">
      <c r="B7480" s="63">
        <f t="shared" si="1"/>
        <v>15</v>
      </c>
      <c r="C7480" s="135" t="s">
        <v>511</v>
      </c>
      <c r="D7480" s="161" t="s">
        <v>74</v>
      </c>
      <c r="E7480" s="135">
        <f t="shared" si="61"/>
        <v>12</v>
      </c>
      <c r="F7480" s="134" t="s">
        <v>4056</v>
      </c>
      <c r="G7480" s="63" t="str">
        <f>VLOOKUP(C7480, 'Class Def. - General Data'!$C$20:$C$1000,1,false)</f>
        <v>ZSI1_BRAKE_COMP</v>
      </c>
      <c r="H7480" s="63" t="str">
        <f>IFERROR(__xludf.DUMMYFUNCTION("VLOOKUP(F7480, IMPORTRANGE(""https://docs.google.com/spreadsheets/d/1Lhp9OU0JdFf_VYSMzH5lBcEaU4o8teT1piV-SNzShjg/edit?gid=554141278#gid=554141278"", ""'Char Def. - Attributes'!C20:C2242""), 1,false)"),"GROSS_WEIGHT_OPT")</f>
        <v>GROSS_WEIGHT_OPT</v>
      </c>
      <c r="I7480" s="136"/>
      <c r="R7480" s="63" t="str">
        <f t="shared" si="60"/>
        <v>ZSI1_BRAKE_COMPGROSS_WEIGHT_OPT</v>
      </c>
    </row>
    <row r="7481" ht="15.75" customHeight="1">
      <c r="B7481" s="63">
        <f t="shared" si="1"/>
        <v>15</v>
      </c>
      <c r="C7481" s="135" t="s">
        <v>511</v>
      </c>
      <c r="D7481" s="161" t="s">
        <v>74</v>
      </c>
      <c r="E7481" s="135">
        <f t="shared" si="61"/>
        <v>13</v>
      </c>
      <c r="F7481" s="134" t="s">
        <v>4057</v>
      </c>
      <c r="G7481" s="63" t="str">
        <f>VLOOKUP(C7481, 'Class Def. - General Data'!$C$20:$C$1000,1,false)</f>
        <v>ZSI1_BRAKE_COMP</v>
      </c>
      <c r="H7481" s="63" t="str">
        <f>IFERROR(__xludf.DUMMYFUNCTION("VLOOKUP(F7481, IMPORTRANGE(""https://docs.google.com/spreadsheets/d/1Lhp9OU0JdFf_VYSMzH5lBcEaU4o8teT1piV-SNzShjg/edit?gid=554141278#gid=554141278"", ""'Char Def. - Attributes'!C20:C2242""), 1,false)"),"NET_WEIGHT_OPT")</f>
        <v>NET_WEIGHT_OPT</v>
      </c>
      <c r="I7481" s="136"/>
      <c r="R7481" s="63" t="str">
        <f t="shared" si="60"/>
        <v>ZSI1_BRAKE_COMPNET_WEIGHT_OPT</v>
      </c>
    </row>
    <row r="7482" ht="15.75" customHeight="1">
      <c r="B7482" s="63">
        <f t="shared" si="1"/>
        <v>15</v>
      </c>
      <c r="C7482" s="135" t="s">
        <v>511</v>
      </c>
      <c r="D7482" s="161" t="s">
        <v>74</v>
      </c>
      <c r="E7482" s="135">
        <f t="shared" si="61"/>
        <v>14</v>
      </c>
      <c r="F7482" s="134" t="s">
        <v>4058</v>
      </c>
      <c r="G7482" s="63" t="str">
        <f>VLOOKUP(C7482, 'Class Def. - General Data'!$C$20:$C$1000,1,false)</f>
        <v>ZSI1_BRAKE_COMP</v>
      </c>
      <c r="H7482" s="63" t="str">
        <f>IFERROR(__xludf.DUMMYFUNCTION("VLOOKUP(F7482, IMPORTRANGE(""https://docs.google.com/spreadsheets/d/1Lhp9OU0JdFf_VYSMzH5lBcEaU4o8teT1piV-SNzShjg/edit?gid=554141278#gid=554141278"", ""'Char Def. - Attributes'!C20:C2242""), 1,false)"),"WEIGHT_UNIT_SI")</f>
        <v>WEIGHT_UNIT_SI</v>
      </c>
      <c r="I7482" s="136"/>
      <c r="R7482" s="63" t="str">
        <f t="shared" si="60"/>
        <v>ZSI1_BRAKE_COMPWEIGHT_UNIT_SI</v>
      </c>
    </row>
    <row r="7483" ht="15.75" customHeight="1">
      <c r="B7483" s="63">
        <f t="shared" si="1"/>
        <v>15</v>
      </c>
      <c r="C7483" s="135" t="s">
        <v>511</v>
      </c>
      <c r="D7483" s="161" t="s">
        <v>74</v>
      </c>
      <c r="E7483" s="135">
        <f t="shared" si="61"/>
        <v>15</v>
      </c>
      <c r="F7483" s="134" t="s">
        <v>3877</v>
      </c>
      <c r="G7483" s="63" t="str">
        <f>VLOOKUP(C7483, 'Class Def. - General Data'!$C$20:$C$1000,1,false)</f>
        <v>ZSI1_BRAKE_COMP</v>
      </c>
      <c r="H7483" s="63" t="str">
        <f>IFERROR(__xludf.DUMMYFUNCTION("VLOOKUP(F7483, IMPORTRANGE(""https://docs.google.com/spreadsheets/d/1Lhp9OU0JdFf_VYSMzH5lBcEaU4o8teT1piV-SNzShjg/edit?gid=554141278#gid=554141278"", ""'Char Def. - Attributes'!C20:C2242""), 1,false)"),"VOLUME_OPT")</f>
        <v>VOLUME_OPT</v>
      </c>
      <c r="I7483" s="136"/>
      <c r="R7483" s="63" t="str">
        <f t="shared" si="60"/>
        <v>ZSI1_BRAKE_COMPVOLUME_OPT</v>
      </c>
    </row>
    <row r="7484" ht="15.75" customHeight="1">
      <c r="B7484" s="63">
        <f t="shared" si="1"/>
        <v>15</v>
      </c>
      <c r="C7484" s="135" t="s">
        <v>511</v>
      </c>
      <c r="D7484" s="161" t="s">
        <v>74</v>
      </c>
      <c r="E7484" s="135">
        <f t="shared" si="61"/>
        <v>16</v>
      </c>
      <c r="F7484" s="134" t="s">
        <v>4059</v>
      </c>
      <c r="G7484" s="63" t="str">
        <f>VLOOKUP(C7484, 'Class Def. - General Data'!$C$20:$C$1000,1,false)</f>
        <v>ZSI1_BRAKE_COMP</v>
      </c>
      <c r="H7484" s="63" t="str">
        <f>IFERROR(__xludf.DUMMYFUNCTION("VLOOKUP(F7484, IMPORTRANGE(""https://docs.google.com/spreadsheets/d/1Lhp9OU0JdFf_VYSMzH5lBcEaU4o8teT1piV-SNzShjg/edit?gid=554141278#gid=554141278"", ""'Char Def. - Attributes'!C20:C2242""), 1,false)"),"VOLUME_UNIT_SI")</f>
        <v>VOLUME_UNIT_SI</v>
      </c>
      <c r="I7484" s="136"/>
      <c r="R7484" s="63" t="str">
        <f t="shared" si="60"/>
        <v>ZSI1_BRAKE_COMPVOLUME_UNIT_SI</v>
      </c>
    </row>
    <row r="7485" ht="15.75" customHeight="1">
      <c r="B7485" s="63">
        <f t="shared" si="1"/>
        <v>15</v>
      </c>
      <c r="C7485" s="135" t="s">
        <v>511</v>
      </c>
      <c r="D7485" s="161" t="s">
        <v>74</v>
      </c>
      <c r="E7485" s="135">
        <f t="shared" si="61"/>
        <v>17</v>
      </c>
      <c r="F7485" s="134" t="s">
        <v>3804</v>
      </c>
      <c r="G7485" s="63" t="str">
        <f>VLOOKUP(C7485, 'Class Def. - General Data'!$C$20:$C$1000,1,false)</f>
        <v>ZSI1_BRAKE_COMP</v>
      </c>
      <c r="H7485" s="63" t="str">
        <f>IFERROR(__xludf.DUMMYFUNCTION("VLOOKUP(F7485, IMPORTRANGE(""https://docs.google.com/spreadsheets/d/1Lhp9OU0JdFf_VYSMzH5lBcEaU4o8teT1piV-SNzShjg/edit?gid=554141278#gid=554141278"", ""'Char Def. - Attributes'!C20:C2242""), 1,false)"),"ALT_UOM1_SIPI")</f>
        <v>ALT_UOM1_SIPI</v>
      </c>
      <c r="I7485" s="136"/>
      <c r="R7485" s="63" t="str">
        <f t="shared" si="60"/>
        <v>ZSI1_BRAKE_COMPALT_UOM1_SIPI</v>
      </c>
    </row>
    <row r="7486" ht="15.75" customHeight="1">
      <c r="B7486" s="63">
        <f t="shared" si="1"/>
        <v>15</v>
      </c>
      <c r="C7486" s="135" t="s">
        <v>511</v>
      </c>
      <c r="D7486" s="161" t="s">
        <v>74</v>
      </c>
      <c r="E7486" s="135">
        <f t="shared" si="61"/>
        <v>18</v>
      </c>
      <c r="F7486" s="134" t="s">
        <v>3805</v>
      </c>
      <c r="G7486" s="63" t="str">
        <f>VLOOKUP(C7486, 'Class Def. - General Data'!$C$20:$C$1000,1,false)</f>
        <v>ZSI1_BRAKE_COMP</v>
      </c>
      <c r="H7486" s="63" t="str">
        <f>IFERROR(__xludf.DUMMYFUNCTION("VLOOKUP(F7486, IMPORTRANGE(""https://docs.google.com/spreadsheets/d/1Lhp9OU0JdFf_VYSMzH5lBcEaU4o8teT1piV-SNzShjg/edit?gid=554141278#gid=554141278"", ""'Char Def. - Attributes'!C20:C2242""), 1,false)"),"ALT_DENUM_UOM1")</f>
        <v>ALT_DENUM_UOM1</v>
      </c>
      <c r="I7486" s="136"/>
      <c r="R7486" s="63" t="str">
        <f t="shared" si="60"/>
        <v>ZSI1_BRAKE_COMPALT_DENUM_UOM1</v>
      </c>
    </row>
    <row r="7487" ht="15.75" customHeight="1">
      <c r="B7487" s="63">
        <f t="shared" si="1"/>
        <v>15</v>
      </c>
      <c r="C7487" s="135" t="s">
        <v>511</v>
      </c>
      <c r="D7487" s="161" t="s">
        <v>74</v>
      </c>
      <c r="E7487" s="135">
        <f t="shared" si="61"/>
        <v>19</v>
      </c>
      <c r="F7487" s="134" t="s">
        <v>3806</v>
      </c>
      <c r="G7487" s="63" t="str">
        <f>VLOOKUP(C7487, 'Class Def. - General Data'!$C$20:$C$1000,1,false)</f>
        <v>ZSI1_BRAKE_COMP</v>
      </c>
      <c r="H7487" s="63" t="str">
        <f>IFERROR(__xludf.DUMMYFUNCTION("VLOOKUP(F7487, IMPORTRANGE(""https://docs.google.com/spreadsheets/d/1Lhp9OU0JdFf_VYSMzH5lBcEaU4o8teT1piV-SNzShjg/edit?gid=554141278#gid=554141278"", ""'Char Def. - Attributes'!C20:C2242""), 1,false)"),"ALT_NUM_UOM1")</f>
        <v>ALT_NUM_UOM1</v>
      </c>
      <c r="I7487" s="136"/>
      <c r="R7487" s="63" t="str">
        <f t="shared" si="60"/>
        <v>ZSI1_BRAKE_COMPALT_NUM_UOM1</v>
      </c>
    </row>
    <row r="7488" ht="15.75" customHeight="1">
      <c r="B7488" s="63">
        <f t="shared" si="1"/>
        <v>15</v>
      </c>
      <c r="C7488" s="135" t="s">
        <v>511</v>
      </c>
      <c r="D7488" s="161" t="s">
        <v>74</v>
      </c>
      <c r="E7488" s="135">
        <f t="shared" si="61"/>
        <v>20</v>
      </c>
      <c r="F7488" s="134" t="s">
        <v>3807</v>
      </c>
      <c r="G7488" s="63" t="str">
        <f>VLOOKUP(C7488, 'Class Def. - General Data'!$C$20:$C$1000,1,false)</f>
        <v>ZSI1_BRAKE_COMP</v>
      </c>
      <c r="H7488" s="63" t="str">
        <f>IFERROR(__xludf.DUMMYFUNCTION("VLOOKUP(F7488, IMPORTRANGE(""https://docs.google.com/spreadsheets/d/1Lhp9OU0JdFf_VYSMzH5lBcEaU4o8teT1piV-SNzShjg/edit?gid=554141278#gid=554141278"", ""'Char Def. - Attributes'!C20:C2242""), 1,false)"),"ALT_UOM2_SIPI")</f>
        <v>ALT_UOM2_SIPI</v>
      </c>
      <c r="I7488" s="136"/>
      <c r="R7488" s="63" t="str">
        <f t="shared" si="60"/>
        <v>ZSI1_BRAKE_COMPALT_UOM2_SIPI</v>
      </c>
    </row>
    <row r="7489" ht="15.75" customHeight="1">
      <c r="B7489" s="63">
        <f t="shared" si="1"/>
        <v>15</v>
      </c>
      <c r="C7489" s="135" t="s">
        <v>511</v>
      </c>
      <c r="D7489" s="161" t="s">
        <v>74</v>
      </c>
      <c r="E7489" s="135">
        <f t="shared" si="61"/>
        <v>21</v>
      </c>
      <c r="F7489" s="134" t="s">
        <v>3808</v>
      </c>
      <c r="G7489" s="63" t="str">
        <f>VLOOKUP(C7489, 'Class Def. - General Data'!$C$20:$C$1000,1,false)</f>
        <v>ZSI1_BRAKE_COMP</v>
      </c>
      <c r="H7489" s="63" t="str">
        <f>IFERROR(__xludf.DUMMYFUNCTION("VLOOKUP(F7489, IMPORTRANGE(""https://docs.google.com/spreadsheets/d/1Lhp9OU0JdFf_VYSMzH5lBcEaU4o8teT1piV-SNzShjg/edit?gid=554141278#gid=554141278"", ""'Char Def. - Attributes'!C20:C2242""), 1,false)"),"ALT_DENUM_UOM2")</f>
        <v>ALT_DENUM_UOM2</v>
      </c>
      <c r="I7489" s="136"/>
      <c r="R7489" s="63" t="str">
        <f t="shared" si="60"/>
        <v>ZSI1_BRAKE_COMPALT_DENUM_UOM2</v>
      </c>
    </row>
    <row r="7490" ht="15.75" customHeight="1">
      <c r="B7490" s="63">
        <f t="shared" si="1"/>
        <v>15</v>
      </c>
      <c r="C7490" s="135" t="s">
        <v>511</v>
      </c>
      <c r="D7490" s="161" t="s">
        <v>74</v>
      </c>
      <c r="E7490" s="135">
        <f t="shared" si="61"/>
        <v>22</v>
      </c>
      <c r="F7490" s="134" t="s">
        <v>3809</v>
      </c>
      <c r="G7490" s="63" t="str">
        <f>VLOOKUP(C7490, 'Class Def. - General Data'!$C$20:$C$1000,1,false)</f>
        <v>ZSI1_BRAKE_COMP</v>
      </c>
      <c r="H7490" s="63" t="str">
        <f>IFERROR(__xludf.DUMMYFUNCTION("VLOOKUP(F7490, IMPORTRANGE(""https://docs.google.com/spreadsheets/d/1Lhp9OU0JdFf_VYSMzH5lBcEaU4o8teT1piV-SNzShjg/edit?gid=554141278#gid=554141278"", ""'Char Def. - Attributes'!C20:C2242""), 1,false)"),"ALT_NUM_UOM2")</f>
        <v>ALT_NUM_UOM2</v>
      </c>
      <c r="I7490" s="136"/>
      <c r="R7490" s="63" t="str">
        <f t="shared" si="60"/>
        <v>ZSI1_BRAKE_COMPALT_NUM_UOM2</v>
      </c>
    </row>
    <row r="7491" ht="15.75" customHeight="1">
      <c r="B7491" s="63">
        <f t="shared" si="1"/>
        <v>15</v>
      </c>
      <c r="C7491" s="135" t="s">
        <v>511</v>
      </c>
      <c r="D7491" s="161" t="s">
        <v>74</v>
      </c>
      <c r="E7491" s="135">
        <f t="shared" si="61"/>
        <v>23</v>
      </c>
      <c r="F7491" s="134" t="s">
        <v>3810</v>
      </c>
      <c r="G7491" s="63" t="str">
        <f>VLOOKUP(C7491, 'Class Def. - General Data'!$C$20:$C$1000,1,false)</f>
        <v>ZSI1_BRAKE_COMP</v>
      </c>
      <c r="H7491" s="63" t="str">
        <f>IFERROR(__xludf.DUMMYFUNCTION("VLOOKUP(F7491, IMPORTRANGE(""https://docs.google.com/spreadsheets/d/1Lhp9OU0JdFf_VYSMzH5lBcEaU4o8teT1piV-SNzShjg/edit?gid=554141278#gid=554141278"", ""'Char Def. - Attributes'!C20:C2242""), 1,false)"),"ALT_UOM3_SIPI")</f>
        <v>ALT_UOM3_SIPI</v>
      </c>
      <c r="I7491" s="136"/>
      <c r="R7491" s="63" t="str">
        <f t="shared" si="60"/>
        <v>ZSI1_BRAKE_COMPALT_UOM3_SIPI</v>
      </c>
    </row>
    <row r="7492" ht="15.75" customHeight="1">
      <c r="B7492" s="63">
        <f t="shared" si="1"/>
        <v>15</v>
      </c>
      <c r="C7492" s="135" t="s">
        <v>511</v>
      </c>
      <c r="D7492" s="161" t="s">
        <v>74</v>
      </c>
      <c r="E7492" s="135">
        <f t="shared" si="61"/>
        <v>24</v>
      </c>
      <c r="F7492" s="134" t="s">
        <v>3811</v>
      </c>
      <c r="G7492" s="63" t="str">
        <f>VLOOKUP(C7492, 'Class Def. - General Data'!$C$20:$C$1000,1,false)</f>
        <v>ZSI1_BRAKE_COMP</v>
      </c>
      <c r="H7492" s="63" t="str">
        <f>IFERROR(__xludf.DUMMYFUNCTION("VLOOKUP(F7492, IMPORTRANGE(""https://docs.google.com/spreadsheets/d/1Lhp9OU0JdFf_VYSMzH5lBcEaU4o8teT1piV-SNzShjg/edit?gid=554141278#gid=554141278"", ""'Char Def. - Attributes'!C20:C2242""), 1,false)"),"ALT_DENUM_UOM3")</f>
        <v>ALT_DENUM_UOM3</v>
      </c>
      <c r="I7492" s="136"/>
      <c r="R7492" s="63" t="str">
        <f t="shared" si="60"/>
        <v>ZSI1_BRAKE_COMPALT_DENUM_UOM3</v>
      </c>
    </row>
    <row r="7493" ht="15.75" customHeight="1">
      <c r="B7493" s="63">
        <f t="shared" si="1"/>
        <v>15</v>
      </c>
      <c r="C7493" s="135" t="s">
        <v>511</v>
      </c>
      <c r="D7493" s="161" t="s">
        <v>74</v>
      </c>
      <c r="E7493" s="135">
        <f t="shared" si="61"/>
        <v>25</v>
      </c>
      <c r="F7493" s="134" t="s">
        <v>3812</v>
      </c>
      <c r="G7493" s="63" t="str">
        <f>VLOOKUP(C7493, 'Class Def. - General Data'!$C$20:$C$1000,1,false)</f>
        <v>ZSI1_BRAKE_COMP</v>
      </c>
      <c r="H7493" s="63" t="str">
        <f>IFERROR(__xludf.DUMMYFUNCTION("VLOOKUP(F7493, IMPORTRANGE(""https://docs.google.com/spreadsheets/d/1Lhp9OU0JdFf_VYSMzH5lBcEaU4o8teT1piV-SNzShjg/edit?gid=554141278#gid=554141278"", ""'Char Def. - Attributes'!C20:C2242""), 1,false)"),"ALT_NUM_UOM3")</f>
        <v>ALT_NUM_UOM3</v>
      </c>
      <c r="I7493" s="136"/>
      <c r="R7493" s="63" t="str">
        <f t="shared" si="60"/>
        <v>ZSI1_BRAKE_COMPALT_NUM_UOM3</v>
      </c>
    </row>
    <row r="7494" ht="15.75" customHeight="1">
      <c r="B7494" s="63">
        <f t="shared" si="1"/>
        <v>15</v>
      </c>
      <c r="C7494" s="135" t="s">
        <v>511</v>
      </c>
      <c r="D7494" s="161" t="s">
        <v>74</v>
      </c>
      <c r="E7494" s="135">
        <f t="shared" si="61"/>
        <v>26</v>
      </c>
      <c r="F7494" s="134" t="s">
        <v>3813</v>
      </c>
      <c r="G7494" s="63" t="str">
        <f>VLOOKUP(C7494, 'Class Def. - General Data'!$C$20:$C$1000,1,false)</f>
        <v>ZSI1_BRAKE_COMP</v>
      </c>
      <c r="H7494" s="63" t="str">
        <f>IFERROR(__xludf.DUMMYFUNCTION("VLOOKUP(F7494, IMPORTRANGE(""https://docs.google.com/spreadsheets/d/1Lhp9OU0JdFf_VYSMzH5lBcEaU4o8teT1piV-SNzShjg/edit?gid=554141278#gid=554141278"", ""'Char Def. - Attributes'!C20:C2242""), 1,false)"),"ALT_UOM4_SIPI")</f>
        <v>ALT_UOM4_SIPI</v>
      </c>
      <c r="I7494" s="136"/>
      <c r="R7494" s="63" t="str">
        <f t="shared" si="60"/>
        <v>ZSI1_BRAKE_COMPALT_UOM4_SIPI</v>
      </c>
    </row>
    <row r="7495" ht="15.75" customHeight="1">
      <c r="B7495" s="63">
        <f t="shared" si="1"/>
        <v>15</v>
      </c>
      <c r="C7495" s="135" t="s">
        <v>511</v>
      </c>
      <c r="D7495" s="161" t="s">
        <v>74</v>
      </c>
      <c r="E7495" s="135">
        <f t="shared" si="61"/>
        <v>27</v>
      </c>
      <c r="F7495" s="134" t="s">
        <v>3814</v>
      </c>
      <c r="G7495" s="63" t="str">
        <f>VLOOKUP(C7495, 'Class Def. - General Data'!$C$20:$C$1000,1,false)</f>
        <v>ZSI1_BRAKE_COMP</v>
      </c>
      <c r="H7495" s="63" t="str">
        <f>IFERROR(__xludf.DUMMYFUNCTION("VLOOKUP(F7495, IMPORTRANGE(""https://docs.google.com/spreadsheets/d/1Lhp9OU0JdFf_VYSMzH5lBcEaU4o8teT1piV-SNzShjg/edit?gid=554141278#gid=554141278"", ""'Char Def. - Attributes'!C20:C2242""), 1,false)"),"ALT_DENUM_UOM4")</f>
        <v>ALT_DENUM_UOM4</v>
      </c>
      <c r="I7495" s="136"/>
      <c r="R7495" s="63" t="str">
        <f t="shared" si="60"/>
        <v>ZSI1_BRAKE_COMPALT_DENUM_UOM4</v>
      </c>
    </row>
    <row r="7496" ht="15.75" customHeight="1">
      <c r="B7496" s="63">
        <f t="shared" si="1"/>
        <v>15</v>
      </c>
      <c r="C7496" s="135" t="s">
        <v>511</v>
      </c>
      <c r="D7496" s="161" t="s">
        <v>74</v>
      </c>
      <c r="E7496" s="135">
        <f t="shared" si="61"/>
        <v>28</v>
      </c>
      <c r="F7496" s="134" t="s">
        <v>3815</v>
      </c>
      <c r="G7496" s="63" t="str">
        <f>VLOOKUP(C7496, 'Class Def. - General Data'!$C$20:$C$1000,1,false)</f>
        <v>ZSI1_BRAKE_COMP</v>
      </c>
      <c r="H7496" s="63" t="str">
        <f>IFERROR(__xludf.DUMMYFUNCTION("VLOOKUP(F7496, IMPORTRANGE(""https://docs.google.com/spreadsheets/d/1Lhp9OU0JdFf_VYSMzH5lBcEaU4o8teT1piV-SNzShjg/edit?gid=554141278#gid=554141278"", ""'Char Def. - Attributes'!C20:C2242""), 1,false)"),"ALT_NUM_UOM4")</f>
        <v>ALT_NUM_UOM4</v>
      </c>
      <c r="I7496" s="136"/>
      <c r="R7496" s="63" t="str">
        <f t="shared" si="60"/>
        <v>ZSI1_BRAKE_COMPALT_NUM_UOM4</v>
      </c>
    </row>
    <row r="7497" ht="15.75" customHeight="1">
      <c r="B7497" s="63">
        <f t="shared" si="1"/>
        <v>15</v>
      </c>
      <c r="C7497" s="135" t="s">
        <v>511</v>
      </c>
      <c r="D7497" s="161" t="s">
        <v>74</v>
      </c>
      <c r="E7497" s="135">
        <f t="shared" si="61"/>
        <v>29</v>
      </c>
      <c r="F7497" s="134" t="s">
        <v>3816</v>
      </c>
      <c r="G7497" s="63" t="str">
        <f>VLOOKUP(C7497, 'Class Def. - General Data'!$C$20:$C$1000,1,false)</f>
        <v>ZSI1_BRAKE_COMP</v>
      </c>
      <c r="H7497" s="63" t="str">
        <f>IFERROR(__xludf.DUMMYFUNCTION("VLOOKUP(F7497, IMPORTRANGE(""https://docs.google.com/spreadsheets/d/1Lhp9OU0JdFf_VYSMzH5lBcEaU4o8teT1piV-SNzShjg/edit?gid=554141278#gid=554141278"", ""'Char Def. - Attributes'!C20:C2242""), 1,false)"),"ALT_UOM5_SIPI")</f>
        <v>ALT_UOM5_SIPI</v>
      </c>
      <c r="I7497" s="136"/>
      <c r="R7497" s="63" t="str">
        <f t="shared" si="60"/>
        <v>ZSI1_BRAKE_COMPALT_UOM5_SIPI</v>
      </c>
    </row>
    <row r="7498" ht="15.75" customHeight="1">
      <c r="B7498" s="63">
        <f t="shared" si="1"/>
        <v>15</v>
      </c>
      <c r="C7498" s="135" t="s">
        <v>511</v>
      </c>
      <c r="D7498" s="161" t="s">
        <v>74</v>
      </c>
      <c r="E7498" s="135">
        <f t="shared" si="61"/>
        <v>30</v>
      </c>
      <c r="F7498" s="134" t="s">
        <v>3817</v>
      </c>
      <c r="G7498" s="63" t="str">
        <f>VLOOKUP(C7498, 'Class Def. - General Data'!$C$20:$C$1000,1,false)</f>
        <v>ZSI1_BRAKE_COMP</v>
      </c>
      <c r="H7498" s="63" t="str">
        <f>IFERROR(__xludf.DUMMYFUNCTION("VLOOKUP(F7498, IMPORTRANGE(""https://docs.google.com/spreadsheets/d/1Lhp9OU0JdFf_VYSMzH5lBcEaU4o8teT1piV-SNzShjg/edit?gid=554141278#gid=554141278"", ""'Char Def. - Attributes'!C20:C2242""), 1,false)"),"ALT_DENUM_UOM5")</f>
        <v>ALT_DENUM_UOM5</v>
      </c>
      <c r="I7498" s="136"/>
      <c r="R7498" s="63" t="str">
        <f t="shared" si="60"/>
        <v>ZSI1_BRAKE_COMPALT_DENUM_UOM5</v>
      </c>
    </row>
    <row r="7499" ht="15.75" customHeight="1">
      <c r="B7499" s="63">
        <f t="shared" si="1"/>
        <v>15</v>
      </c>
      <c r="C7499" s="135" t="s">
        <v>511</v>
      </c>
      <c r="D7499" s="161" t="s">
        <v>74</v>
      </c>
      <c r="E7499" s="135">
        <f t="shared" si="61"/>
        <v>31</v>
      </c>
      <c r="F7499" s="134" t="s">
        <v>3818</v>
      </c>
      <c r="G7499" s="63" t="str">
        <f>VLOOKUP(C7499, 'Class Def. - General Data'!$C$20:$C$1000,1,false)</f>
        <v>ZSI1_BRAKE_COMP</v>
      </c>
      <c r="H7499" s="63" t="str">
        <f>IFERROR(__xludf.DUMMYFUNCTION("VLOOKUP(F7499, IMPORTRANGE(""https://docs.google.com/spreadsheets/d/1Lhp9OU0JdFf_VYSMzH5lBcEaU4o8teT1piV-SNzShjg/edit?gid=554141278#gid=554141278"", ""'Char Def. - Attributes'!C20:C2242""), 1,false)"),"ALT_NUM_UOM5")</f>
        <v>ALT_NUM_UOM5</v>
      </c>
      <c r="I7499" s="136"/>
      <c r="R7499" s="63" t="str">
        <f t="shared" si="60"/>
        <v>ZSI1_BRAKE_COMPALT_NUM_UOM5</v>
      </c>
    </row>
    <row r="7500" ht="15.75" customHeight="1">
      <c r="B7500" s="63">
        <f t="shared" si="1"/>
        <v>11</v>
      </c>
      <c r="C7500" s="135" t="s">
        <v>360</v>
      </c>
      <c r="D7500" s="161" t="s">
        <v>74</v>
      </c>
      <c r="E7500" s="135">
        <f t="shared" si="61"/>
        <v>1</v>
      </c>
      <c r="F7500" s="134" t="s">
        <v>4172</v>
      </c>
      <c r="G7500" s="63" t="str">
        <f>VLOOKUP(C7500, 'Class Def. - General Data'!$C$20:$C$1000,1,false)</f>
        <v>ZSI1_BRICKS</v>
      </c>
      <c r="H7500" s="63" t="str">
        <f>IFERROR(__xludf.DUMMYFUNCTION("VLOOKUP(F7500, IMPORTRANGE(""https://docs.google.com/spreadsheets/d/1Lhp9OU0JdFf_VYSMzH5lBcEaU4o8teT1piV-SNzShjg/edit?gid=554141278#gid=554141278"", ""'Char Def. - Attributes'!C20:C2242""), 1,false)"),"ITEM_NAME_BRICKS")</f>
        <v>ITEM_NAME_BRICKS</v>
      </c>
      <c r="I7500" s="136"/>
      <c r="R7500" s="63" t="str">
        <f t="shared" si="60"/>
        <v>ZSI1_BRICKSITEM_NAME_BRICKS</v>
      </c>
    </row>
    <row r="7501" ht="15.75" customHeight="1">
      <c r="B7501" s="63">
        <f t="shared" si="1"/>
        <v>11</v>
      </c>
      <c r="C7501" s="135" t="s">
        <v>360</v>
      </c>
      <c r="D7501" s="161" t="s">
        <v>74</v>
      </c>
      <c r="E7501" s="135">
        <f t="shared" si="61"/>
        <v>2</v>
      </c>
      <c r="F7501" s="134" t="s">
        <v>4173</v>
      </c>
      <c r="G7501" s="63" t="str">
        <f>VLOOKUP(C7501, 'Class Def. - General Data'!$C$20:$C$1000,1,false)</f>
        <v>ZSI1_BRICKS</v>
      </c>
      <c r="H7501" s="63" t="str">
        <f>IFERROR(__xludf.DUMMYFUNCTION("VLOOKUP(F7501, IMPORTRANGE(""https://docs.google.com/spreadsheets/d/1Lhp9OU0JdFf_VYSMzH5lBcEaU4o8teT1piV-SNzShjg/edit?gid=554141278#gid=554141278"", ""'Char Def. - Attributes'!C20:C2242""), 1,false)"),"TYPE_BRICKS")</f>
        <v>TYPE_BRICKS</v>
      </c>
      <c r="I7501" s="136"/>
      <c r="R7501" s="63" t="str">
        <f t="shared" si="60"/>
        <v>ZSI1_BRICKSTYPE_BRICKS</v>
      </c>
    </row>
    <row r="7502" ht="15.75" customHeight="1">
      <c r="B7502" s="63">
        <f t="shared" si="1"/>
        <v>11</v>
      </c>
      <c r="C7502" s="135" t="s">
        <v>360</v>
      </c>
      <c r="D7502" s="161" t="s">
        <v>74</v>
      </c>
      <c r="E7502" s="135">
        <f t="shared" si="61"/>
        <v>3</v>
      </c>
      <c r="F7502" s="134" t="s">
        <v>4174</v>
      </c>
      <c r="G7502" s="63" t="str">
        <f>VLOOKUP(C7502, 'Class Def. - General Data'!$C$20:$C$1000,1,false)</f>
        <v>ZSI1_BRICKS</v>
      </c>
      <c r="H7502" s="63" t="str">
        <f>IFERROR(__xludf.DUMMYFUNCTION("VLOOKUP(F7502, IMPORTRANGE(""https://docs.google.com/spreadsheets/d/1Lhp9OU0JdFf_VYSMzH5lBcEaU4o8teT1piV-SNzShjg/edit?gid=554141278#gid=554141278"", ""'Char Def. - Attributes'!C20:C2242""), 1,false)"),"HEIGHT_MM_BRICKS")</f>
        <v>HEIGHT_MM_BRICKS</v>
      </c>
      <c r="I7502" s="136"/>
      <c r="R7502" s="63" t="str">
        <f t="shared" si="60"/>
        <v>ZSI1_BRICKSHEIGHT_MM_BRICKS</v>
      </c>
    </row>
    <row r="7503" ht="15.75" customHeight="1">
      <c r="B7503" s="63">
        <f t="shared" si="1"/>
        <v>11</v>
      </c>
      <c r="C7503" s="135" t="s">
        <v>360</v>
      </c>
      <c r="D7503" s="161" t="s">
        <v>74</v>
      </c>
      <c r="E7503" s="135">
        <f t="shared" si="61"/>
        <v>4</v>
      </c>
      <c r="F7503" s="134" t="s">
        <v>4175</v>
      </c>
      <c r="G7503" s="63" t="str">
        <f>VLOOKUP(C7503, 'Class Def. - General Data'!$C$20:$C$1000,1,false)</f>
        <v>ZSI1_BRICKS</v>
      </c>
      <c r="H7503" s="63" t="str">
        <f>IFERROR(__xludf.DUMMYFUNCTION("VLOOKUP(F7503, IMPORTRANGE(""https://docs.google.com/spreadsheets/d/1Lhp9OU0JdFf_VYSMzH5lBcEaU4o8teT1piV-SNzShjg/edit?gid=554141278#gid=554141278"", ""'Char Def. - Attributes'!C20:C2242""), 1,false)"),"WIDTH_MM_BRICKS")</f>
        <v>WIDTH_MM_BRICKS</v>
      </c>
      <c r="I7503" s="136"/>
      <c r="R7503" s="63" t="str">
        <f t="shared" si="60"/>
        <v>ZSI1_BRICKSWIDTH_MM_BRICKS</v>
      </c>
    </row>
    <row r="7504" ht="15.75" customHeight="1">
      <c r="B7504" s="63">
        <f t="shared" si="1"/>
        <v>11</v>
      </c>
      <c r="C7504" s="135" t="s">
        <v>360</v>
      </c>
      <c r="D7504" s="161" t="s">
        <v>74</v>
      </c>
      <c r="E7504" s="135">
        <f t="shared" si="61"/>
        <v>5</v>
      </c>
      <c r="F7504" s="134" t="s">
        <v>4176</v>
      </c>
      <c r="G7504" s="63" t="str">
        <f>VLOOKUP(C7504, 'Class Def. - General Data'!$C$20:$C$1000,1,false)</f>
        <v>ZSI1_BRICKS</v>
      </c>
      <c r="H7504" s="63" t="str">
        <f>IFERROR(__xludf.DUMMYFUNCTION("VLOOKUP(F7504, IMPORTRANGE(""https://docs.google.com/spreadsheets/d/1Lhp9OU0JdFf_VYSMzH5lBcEaU4o8teT1piV-SNzShjg/edit?gid=554141278#gid=554141278"", ""'Char Def. - Attributes'!C20:C2242""), 1,false)"),"LENGTH_MM_BRICKS")</f>
        <v>LENGTH_MM_BRICKS</v>
      </c>
      <c r="I7504" s="136"/>
      <c r="R7504" s="63" t="str">
        <f t="shared" si="60"/>
        <v>ZSI1_BRICKSLENGTH_MM_BRICKS</v>
      </c>
    </row>
    <row r="7505" ht="15.75" customHeight="1">
      <c r="B7505" s="63">
        <f t="shared" si="1"/>
        <v>11</v>
      </c>
      <c r="C7505" s="135" t="s">
        <v>360</v>
      </c>
      <c r="D7505" s="161" t="s">
        <v>74</v>
      </c>
      <c r="E7505" s="135">
        <f t="shared" si="61"/>
        <v>6</v>
      </c>
      <c r="F7505" s="134" t="s">
        <v>3585</v>
      </c>
      <c r="G7505" s="63" t="str">
        <f>VLOOKUP(C7505, 'Class Def. - General Data'!$C$20:$C$1000,1,false)</f>
        <v>ZSI1_BRICKS</v>
      </c>
      <c r="H7505" s="63" t="str">
        <f>IFERROR(__xludf.DUMMYFUNCTION("VLOOKUP(F7505, IMPORTRANGE(""https://docs.google.com/spreadsheets/d/1Lhp9OU0JdFf_VYSMzH5lBcEaU4o8teT1piV-SNzShjg/edit?gid=554141278#gid=554141278"", ""'Char Def. - Attributes'!C20:C2242""), 1,false)"),"HS_CODE")</f>
        <v>HS_CODE</v>
      </c>
      <c r="I7505" s="136"/>
      <c r="R7505" s="63" t="str">
        <f t="shared" si="60"/>
        <v>ZSI1_BRICKSHS_CODE</v>
      </c>
    </row>
    <row r="7506" ht="15.75" customHeight="1">
      <c r="B7506" s="63">
        <f t="shared" si="1"/>
        <v>11</v>
      </c>
      <c r="C7506" s="135" t="s">
        <v>360</v>
      </c>
      <c r="D7506" s="161" t="s">
        <v>74</v>
      </c>
      <c r="E7506" s="135">
        <f t="shared" si="61"/>
        <v>7</v>
      </c>
      <c r="F7506" s="134" t="s">
        <v>3587</v>
      </c>
      <c r="G7506" s="63" t="str">
        <f>VLOOKUP(C7506, 'Class Def. - General Data'!$C$20:$C$1000,1,false)</f>
        <v>ZSI1_BRICKS</v>
      </c>
      <c r="H7506" s="63" t="str">
        <f>IFERROR(__xludf.DUMMYFUNCTION("VLOOKUP(F7506, IMPORTRANGE(""https://docs.google.com/spreadsheets/d/1Lhp9OU0JdFf_VYSMzH5lBcEaU4o8teT1piV-SNzShjg/edit?gid=554141278#gid=554141278"", ""'Char Def. - Attributes'!C20:C2242""), 1,false)"),"PLANT_BUY")</f>
        <v>PLANT_BUY</v>
      </c>
      <c r="I7506" s="136"/>
      <c r="R7506" s="63" t="str">
        <f t="shared" si="60"/>
        <v>ZSI1_BRICKSPLANT_BUY</v>
      </c>
    </row>
    <row r="7507" ht="15.75" customHeight="1">
      <c r="B7507" s="63">
        <f t="shared" si="1"/>
        <v>11</v>
      </c>
      <c r="C7507" s="135" t="s">
        <v>360</v>
      </c>
      <c r="D7507" s="161" t="s">
        <v>74</v>
      </c>
      <c r="E7507" s="135">
        <f t="shared" si="61"/>
        <v>8</v>
      </c>
      <c r="F7507" s="134" t="s">
        <v>4177</v>
      </c>
      <c r="G7507" s="63" t="str">
        <f>VLOOKUP(C7507, 'Class Def. - General Data'!$C$20:$C$1000,1,false)</f>
        <v>ZSI1_BRICKS</v>
      </c>
      <c r="H7507" s="63" t="str">
        <f>IFERROR(__xludf.DUMMYFUNCTION("VLOOKUP(F7507, IMPORTRANGE(""https://docs.google.com/spreadsheets/d/1Lhp9OU0JdFf_VYSMzH5lBcEaU4o8teT1piV-SNzShjg/edit?gid=554141278#gid=554141278"", ""'Char Def. - Attributes'!C20:C2242""), 1,false)"),"BASE_UOM_BRICKS")</f>
        <v>BASE_UOM_BRICKS</v>
      </c>
      <c r="I7507" s="136"/>
      <c r="R7507" s="63" t="str">
        <f t="shared" si="60"/>
        <v>ZSI1_BRICKSBASE_UOM_BRICKS</v>
      </c>
    </row>
    <row r="7508" ht="15.75" customHeight="1">
      <c r="B7508" s="63">
        <f t="shared" si="1"/>
        <v>11</v>
      </c>
      <c r="C7508" s="135" t="s">
        <v>360</v>
      </c>
      <c r="D7508" s="161" t="s">
        <v>74</v>
      </c>
      <c r="E7508" s="135">
        <f t="shared" si="61"/>
        <v>9</v>
      </c>
      <c r="F7508" s="134" t="s">
        <v>4178</v>
      </c>
      <c r="G7508" s="63" t="str">
        <f>VLOOKUP(C7508, 'Class Def. - General Data'!$C$20:$C$1000,1,false)</f>
        <v>ZSI1_BRICKS</v>
      </c>
      <c r="H7508" s="63" t="str">
        <f>IFERROR(__xludf.DUMMYFUNCTION("VLOOKUP(F7508, IMPORTRANGE(""https://docs.google.com/spreadsheets/d/1Lhp9OU0JdFf_VYSMzH5lBcEaU4o8teT1piV-SNzShjg/edit?gid=554141278#gid=554141278"", ""'Char Def. - Attributes'!C20:C2242""), 1,false)"),"ORDER_UNIT_BRICKS")</f>
        <v>ORDER_UNIT_BRICKS</v>
      </c>
      <c r="I7508" s="136"/>
      <c r="R7508" s="63" t="str">
        <f t="shared" si="60"/>
        <v>ZSI1_BRICKSORDER_UNIT_BRICKS</v>
      </c>
    </row>
    <row r="7509" ht="15.75" customHeight="1">
      <c r="B7509" s="63">
        <f t="shared" si="1"/>
        <v>11</v>
      </c>
      <c r="C7509" s="135" t="s">
        <v>360</v>
      </c>
      <c r="D7509" s="161" t="s">
        <v>74</v>
      </c>
      <c r="E7509" s="135">
        <f t="shared" si="61"/>
        <v>10</v>
      </c>
      <c r="F7509" s="134" t="s">
        <v>4056</v>
      </c>
      <c r="G7509" s="63" t="str">
        <f>VLOOKUP(C7509, 'Class Def. - General Data'!$C$20:$C$1000,1,false)</f>
        <v>ZSI1_BRICKS</v>
      </c>
      <c r="H7509" s="63" t="str">
        <f>IFERROR(__xludf.DUMMYFUNCTION("VLOOKUP(F7509, IMPORTRANGE(""https://docs.google.com/spreadsheets/d/1Lhp9OU0JdFf_VYSMzH5lBcEaU4o8teT1piV-SNzShjg/edit?gid=554141278#gid=554141278"", ""'Char Def. - Attributes'!C20:C2242""), 1,false)"),"GROSS_WEIGHT_OPT")</f>
        <v>GROSS_WEIGHT_OPT</v>
      </c>
      <c r="I7509" s="136"/>
      <c r="R7509" s="63" t="str">
        <f t="shared" si="60"/>
        <v>ZSI1_BRICKSGROSS_WEIGHT_OPT</v>
      </c>
    </row>
    <row r="7510" ht="15.75" customHeight="1">
      <c r="B7510" s="63">
        <f t="shared" si="1"/>
        <v>11</v>
      </c>
      <c r="C7510" s="135" t="s">
        <v>360</v>
      </c>
      <c r="D7510" s="161" t="s">
        <v>74</v>
      </c>
      <c r="E7510" s="135">
        <f t="shared" si="61"/>
        <v>11</v>
      </c>
      <c r="F7510" s="134" t="s">
        <v>4057</v>
      </c>
      <c r="G7510" s="63" t="str">
        <f>VLOOKUP(C7510, 'Class Def. - General Data'!$C$20:$C$1000,1,false)</f>
        <v>ZSI1_BRICKS</v>
      </c>
      <c r="H7510" s="63" t="str">
        <f>IFERROR(__xludf.DUMMYFUNCTION("VLOOKUP(F7510, IMPORTRANGE(""https://docs.google.com/spreadsheets/d/1Lhp9OU0JdFf_VYSMzH5lBcEaU4o8teT1piV-SNzShjg/edit?gid=554141278#gid=554141278"", ""'Char Def. - Attributes'!C20:C2242""), 1,false)"),"NET_WEIGHT_OPT")</f>
        <v>NET_WEIGHT_OPT</v>
      </c>
      <c r="I7510" s="136"/>
      <c r="R7510" s="63" t="str">
        <f t="shared" si="60"/>
        <v>ZSI1_BRICKSNET_WEIGHT_OPT</v>
      </c>
    </row>
    <row r="7511" ht="15.75" customHeight="1">
      <c r="B7511" s="63">
        <f t="shared" si="1"/>
        <v>11</v>
      </c>
      <c r="C7511" s="135" t="s">
        <v>360</v>
      </c>
      <c r="D7511" s="161" t="s">
        <v>74</v>
      </c>
      <c r="E7511" s="135">
        <f t="shared" si="61"/>
        <v>12</v>
      </c>
      <c r="F7511" s="134" t="s">
        <v>4058</v>
      </c>
      <c r="G7511" s="63" t="str">
        <f>VLOOKUP(C7511, 'Class Def. - General Data'!$C$20:$C$1000,1,false)</f>
        <v>ZSI1_BRICKS</v>
      </c>
      <c r="H7511" s="63" t="str">
        <f>IFERROR(__xludf.DUMMYFUNCTION("VLOOKUP(F7511, IMPORTRANGE(""https://docs.google.com/spreadsheets/d/1Lhp9OU0JdFf_VYSMzH5lBcEaU4o8teT1piV-SNzShjg/edit?gid=554141278#gid=554141278"", ""'Char Def. - Attributes'!C20:C2242""), 1,false)"),"WEIGHT_UNIT_SI")</f>
        <v>WEIGHT_UNIT_SI</v>
      </c>
      <c r="I7511" s="136"/>
      <c r="R7511" s="63" t="str">
        <f t="shared" si="60"/>
        <v>ZSI1_BRICKSWEIGHT_UNIT_SI</v>
      </c>
    </row>
    <row r="7512" ht="15.75" customHeight="1">
      <c r="B7512" s="63">
        <f t="shared" si="1"/>
        <v>11</v>
      </c>
      <c r="C7512" s="135" t="s">
        <v>360</v>
      </c>
      <c r="D7512" s="161" t="s">
        <v>74</v>
      </c>
      <c r="E7512" s="135">
        <f t="shared" si="61"/>
        <v>13</v>
      </c>
      <c r="F7512" s="134" t="s">
        <v>3877</v>
      </c>
      <c r="G7512" s="63" t="str">
        <f>VLOOKUP(C7512, 'Class Def. - General Data'!$C$20:$C$1000,1,false)</f>
        <v>ZSI1_BRICKS</v>
      </c>
      <c r="H7512" s="63" t="str">
        <f>IFERROR(__xludf.DUMMYFUNCTION("VLOOKUP(F7512, IMPORTRANGE(""https://docs.google.com/spreadsheets/d/1Lhp9OU0JdFf_VYSMzH5lBcEaU4o8teT1piV-SNzShjg/edit?gid=554141278#gid=554141278"", ""'Char Def. - Attributes'!C20:C2242""), 1,false)"),"VOLUME_OPT")</f>
        <v>VOLUME_OPT</v>
      </c>
      <c r="I7512" s="136"/>
      <c r="R7512" s="63" t="str">
        <f t="shared" si="60"/>
        <v>ZSI1_BRICKSVOLUME_OPT</v>
      </c>
    </row>
    <row r="7513" ht="15.75" customHeight="1">
      <c r="B7513" s="63">
        <f t="shared" si="1"/>
        <v>11</v>
      </c>
      <c r="C7513" s="135" t="s">
        <v>360</v>
      </c>
      <c r="D7513" s="161" t="s">
        <v>74</v>
      </c>
      <c r="E7513" s="135">
        <f t="shared" si="61"/>
        <v>14</v>
      </c>
      <c r="F7513" s="134" t="s">
        <v>4059</v>
      </c>
      <c r="G7513" s="63" t="str">
        <f>VLOOKUP(C7513, 'Class Def. - General Data'!$C$20:$C$1000,1,false)</f>
        <v>ZSI1_BRICKS</v>
      </c>
      <c r="H7513" s="63" t="str">
        <f>IFERROR(__xludf.DUMMYFUNCTION("VLOOKUP(F7513, IMPORTRANGE(""https://docs.google.com/spreadsheets/d/1Lhp9OU0JdFf_VYSMzH5lBcEaU4o8teT1piV-SNzShjg/edit?gid=554141278#gid=554141278"", ""'Char Def. - Attributes'!C20:C2242""), 1,false)"),"VOLUME_UNIT_SI")</f>
        <v>VOLUME_UNIT_SI</v>
      </c>
      <c r="I7513" s="136"/>
      <c r="R7513" s="63" t="str">
        <f t="shared" si="60"/>
        <v>ZSI1_BRICKSVOLUME_UNIT_SI</v>
      </c>
    </row>
    <row r="7514" ht="15.75" customHeight="1">
      <c r="B7514" s="63">
        <f t="shared" si="1"/>
        <v>11</v>
      </c>
      <c r="C7514" s="135" t="s">
        <v>360</v>
      </c>
      <c r="D7514" s="161" t="s">
        <v>74</v>
      </c>
      <c r="E7514" s="135">
        <f t="shared" si="61"/>
        <v>15</v>
      </c>
      <c r="F7514" s="134" t="s">
        <v>3804</v>
      </c>
      <c r="G7514" s="63" t="str">
        <f>VLOOKUP(C7514, 'Class Def. - General Data'!$C$20:$C$1000,1,false)</f>
        <v>ZSI1_BRICKS</v>
      </c>
      <c r="H7514" s="63" t="str">
        <f>IFERROR(__xludf.DUMMYFUNCTION("VLOOKUP(F7514, IMPORTRANGE(""https://docs.google.com/spreadsheets/d/1Lhp9OU0JdFf_VYSMzH5lBcEaU4o8teT1piV-SNzShjg/edit?gid=554141278#gid=554141278"", ""'Char Def. - Attributes'!C20:C2242""), 1,false)"),"ALT_UOM1_SIPI")</f>
        <v>ALT_UOM1_SIPI</v>
      </c>
      <c r="I7514" s="136"/>
      <c r="R7514" s="63" t="str">
        <f t="shared" si="60"/>
        <v>ZSI1_BRICKSALT_UOM1_SIPI</v>
      </c>
    </row>
    <row r="7515" ht="15.75" customHeight="1">
      <c r="B7515" s="63">
        <f t="shared" si="1"/>
        <v>11</v>
      </c>
      <c r="C7515" s="135" t="s">
        <v>360</v>
      </c>
      <c r="D7515" s="161" t="s">
        <v>74</v>
      </c>
      <c r="E7515" s="135">
        <f t="shared" si="61"/>
        <v>16</v>
      </c>
      <c r="F7515" s="134" t="s">
        <v>3805</v>
      </c>
      <c r="G7515" s="63" t="str">
        <f>VLOOKUP(C7515, 'Class Def. - General Data'!$C$20:$C$1000,1,false)</f>
        <v>ZSI1_BRICKS</v>
      </c>
      <c r="H7515" s="63" t="str">
        <f>IFERROR(__xludf.DUMMYFUNCTION("VLOOKUP(F7515, IMPORTRANGE(""https://docs.google.com/spreadsheets/d/1Lhp9OU0JdFf_VYSMzH5lBcEaU4o8teT1piV-SNzShjg/edit?gid=554141278#gid=554141278"", ""'Char Def. - Attributes'!C20:C2242""), 1,false)"),"ALT_DENUM_UOM1")</f>
        <v>ALT_DENUM_UOM1</v>
      </c>
      <c r="I7515" s="136"/>
      <c r="R7515" s="63" t="str">
        <f t="shared" si="60"/>
        <v>ZSI1_BRICKSALT_DENUM_UOM1</v>
      </c>
    </row>
    <row r="7516" ht="15.75" customHeight="1">
      <c r="B7516" s="63">
        <f t="shared" si="1"/>
        <v>11</v>
      </c>
      <c r="C7516" s="135" t="s">
        <v>360</v>
      </c>
      <c r="D7516" s="161" t="s">
        <v>74</v>
      </c>
      <c r="E7516" s="135">
        <f t="shared" si="61"/>
        <v>17</v>
      </c>
      <c r="F7516" s="134" t="s">
        <v>3806</v>
      </c>
      <c r="G7516" s="63" t="str">
        <f>VLOOKUP(C7516, 'Class Def. - General Data'!$C$20:$C$1000,1,false)</f>
        <v>ZSI1_BRICKS</v>
      </c>
      <c r="H7516" s="63" t="str">
        <f>IFERROR(__xludf.DUMMYFUNCTION("VLOOKUP(F7516, IMPORTRANGE(""https://docs.google.com/spreadsheets/d/1Lhp9OU0JdFf_VYSMzH5lBcEaU4o8teT1piV-SNzShjg/edit?gid=554141278#gid=554141278"", ""'Char Def. - Attributes'!C20:C2242""), 1,false)"),"ALT_NUM_UOM1")</f>
        <v>ALT_NUM_UOM1</v>
      </c>
      <c r="I7516" s="136"/>
      <c r="R7516" s="63" t="str">
        <f t="shared" si="60"/>
        <v>ZSI1_BRICKSALT_NUM_UOM1</v>
      </c>
    </row>
    <row r="7517" ht="15.75" customHeight="1">
      <c r="B7517" s="63">
        <f t="shared" si="1"/>
        <v>11</v>
      </c>
      <c r="C7517" s="135" t="s">
        <v>360</v>
      </c>
      <c r="D7517" s="161" t="s">
        <v>74</v>
      </c>
      <c r="E7517" s="135">
        <f t="shared" si="61"/>
        <v>18</v>
      </c>
      <c r="F7517" s="134" t="s">
        <v>3807</v>
      </c>
      <c r="G7517" s="63" t="str">
        <f>VLOOKUP(C7517, 'Class Def. - General Data'!$C$20:$C$1000,1,false)</f>
        <v>ZSI1_BRICKS</v>
      </c>
      <c r="H7517" s="63" t="str">
        <f>IFERROR(__xludf.DUMMYFUNCTION("VLOOKUP(F7517, IMPORTRANGE(""https://docs.google.com/spreadsheets/d/1Lhp9OU0JdFf_VYSMzH5lBcEaU4o8teT1piV-SNzShjg/edit?gid=554141278#gid=554141278"", ""'Char Def. - Attributes'!C20:C2242""), 1,false)"),"ALT_UOM2_SIPI")</f>
        <v>ALT_UOM2_SIPI</v>
      </c>
      <c r="I7517" s="136"/>
      <c r="R7517" s="63" t="str">
        <f t="shared" si="60"/>
        <v>ZSI1_BRICKSALT_UOM2_SIPI</v>
      </c>
    </row>
    <row r="7518" ht="15.75" customHeight="1">
      <c r="B7518" s="63">
        <f t="shared" si="1"/>
        <v>11</v>
      </c>
      <c r="C7518" s="135" t="s">
        <v>360</v>
      </c>
      <c r="D7518" s="161" t="s">
        <v>74</v>
      </c>
      <c r="E7518" s="135">
        <f t="shared" si="61"/>
        <v>19</v>
      </c>
      <c r="F7518" s="134" t="s">
        <v>3808</v>
      </c>
      <c r="G7518" s="63" t="str">
        <f>VLOOKUP(C7518, 'Class Def. - General Data'!$C$20:$C$1000,1,false)</f>
        <v>ZSI1_BRICKS</v>
      </c>
      <c r="H7518" s="63" t="str">
        <f>IFERROR(__xludf.DUMMYFUNCTION("VLOOKUP(F7518, IMPORTRANGE(""https://docs.google.com/spreadsheets/d/1Lhp9OU0JdFf_VYSMzH5lBcEaU4o8teT1piV-SNzShjg/edit?gid=554141278#gid=554141278"", ""'Char Def. - Attributes'!C20:C2242""), 1,false)"),"ALT_DENUM_UOM2")</f>
        <v>ALT_DENUM_UOM2</v>
      </c>
      <c r="I7518" s="136"/>
      <c r="R7518" s="63" t="str">
        <f t="shared" si="60"/>
        <v>ZSI1_BRICKSALT_DENUM_UOM2</v>
      </c>
    </row>
    <row r="7519" ht="15.75" customHeight="1">
      <c r="B7519" s="63">
        <f t="shared" si="1"/>
        <v>11</v>
      </c>
      <c r="C7519" s="135" t="s">
        <v>360</v>
      </c>
      <c r="D7519" s="161" t="s">
        <v>74</v>
      </c>
      <c r="E7519" s="135">
        <f t="shared" si="61"/>
        <v>20</v>
      </c>
      <c r="F7519" s="134" t="s">
        <v>3809</v>
      </c>
      <c r="G7519" s="63" t="str">
        <f>VLOOKUP(C7519, 'Class Def. - General Data'!$C$20:$C$1000,1,false)</f>
        <v>ZSI1_BRICKS</v>
      </c>
      <c r="H7519" s="63" t="str">
        <f>IFERROR(__xludf.DUMMYFUNCTION("VLOOKUP(F7519, IMPORTRANGE(""https://docs.google.com/spreadsheets/d/1Lhp9OU0JdFf_VYSMzH5lBcEaU4o8teT1piV-SNzShjg/edit?gid=554141278#gid=554141278"", ""'Char Def. - Attributes'!C20:C2242""), 1,false)"),"ALT_NUM_UOM2")</f>
        <v>ALT_NUM_UOM2</v>
      </c>
      <c r="I7519" s="136"/>
      <c r="R7519" s="63" t="str">
        <f t="shared" si="60"/>
        <v>ZSI1_BRICKSALT_NUM_UOM2</v>
      </c>
    </row>
    <row r="7520" ht="15.75" customHeight="1">
      <c r="B7520" s="63">
        <f t="shared" si="1"/>
        <v>11</v>
      </c>
      <c r="C7520" s="135" t="s">
        <v>360</v>
      </c>
      <c r="D7520" s="161" t="s">
        <v>74</v>
      </c>
      <c r="E7520" s="135">
        <f t="shared" si="61"/>
        <v>21</v>
      </c>
      <c r="F7520" s="134" t="s">
        <v>3810</v>
      </c>
      <c r="G7520" s="63" t="str">
        <f>VLOOKUP(C7520, 'Class Def. - General Data'!$C$20:$C$1000,1,false)</f>
        <v>ZSI1_BRICKS</v>
      </c>
      <c r="H7520" s="63" t="str">
        <f>IFERROR(__xludf.DUMMYFUNCTION("VLOOKUP(F7520, IMPORTRANGE(""https://docs.google.com/spreadsheets/d/1Lhp9OU0JdFf_VYSMzH5lBcEaU4o8teT1piV-SNzShjg/edit?gid=554141278#gid=554141278"", ""'Char Def. - Attributes'!C20:C2242""), 1,false)"),"ALT_UOM3_SIPI")</f>
        <v>ALT_UOM3_SIPI</v>
      </c>
      <c r="I7520" s="136"/>
      <c r="R7520" s="63" t="str">
        <f t="shared" si="60"/>
        <v>ZSI1_BRICKSALT_UOM3_SIPI</v>
      </c>
    </row>
    <row r="7521" ht="15.75" customHeight="1">
      <c r="B7521" s="63">
        <f t="shared" si="1"/>
        <v>11</v>
      </c>
      <c r="C7521" s="135" t="s">
        <v>360</v>
      </c>
      <c r="D7521" s="161" t="s">
        <v>74</v>
      </c>
      <c r="E7521" s="135">
        <f t="shared" si="61"/>
        <v>22</v>
      </c>
      <c r="F7521" s="134" t="s">
        <v>3811</v>
      </c>
      <c r="G7521" s="63" t="str">
        <f>VLOOKUP(C7521, 'Class Def. - General Data'!$C$20:$C$1000,1,false)</f>
        <v>ZSI1_BRICKS</v>
      </c>
      <c r="H7521" s="63" t="str">
        <f>IFERROR(__xludf.DUMMYFUNCTION("VLOOKUP(F7521, IMPORTRANGE(""https://docs.google.com/spreadsheets/d/1Lhp9OU0JdFf_VYSMzH5lBcEaU4o8teT1piV-SNzShjg/edit?gid=554141278#gid=554141278"", ""'Char Def. - Attributes'!C20:C2242""), 1,false)"),"ALT_DENUM_UOM3")</f>
        <v>ALT_DENUM_UOM3</v>
      </c>
      <c r="I7521" s="136"/>
      <c r="R7521" s="63" t="str">
        <f t="shared" si="60"/>
        <v>ZSI1_BRICKSALT_DENUM_UOM3</v>
      </c>
    </row>
    <row r="7522" ht="15.75" customHeight="1">
      <c r="B7522" s="63">
        <f t="shared" si="1"/>
        <v>11</v>
      </c>
      <c r="C7522" s="135" t="s">
        <v>360</v>
      </c>
      <c r="D7522" s="161" t="s">
        <v>74</v>
      </c>
      <c r="E7522" s="135">
        <f t="shared" si="61"/>
        <v>23</v>
      </c>
      <c r="F7522" s="134" t="s">
        <v>3812</v>
      </c>
      <c r="G7522" s="63" t="str">
        <f>VLOOKUP(C7522, 'Class Def. - General Data'!$C$20:$C$1000,1,false)</f>
        <v>ZSI1_BRICKS</v>
      </c>
      <c r="H7522" s="63" t="str">
        <f>IFERROR(__xludf.DUMMYFUNCTION("VLOOKUP(F7522, IMPORTRANGE(""https://docs.google.com/spreadsheets/d/1Lhp9OU0JdFf_VYSMzH5lBcEaU4o8teT1piV-SNzShjg/edit?gid=554141278#gid=554141278"", ""'Char Def. - Attributes'!C20:C2242""), 1,false)"),"ALT_NUM_UOM3")</f>
        <v>ALT_NUM_UOM3</v>
      </c>
      <c r="I7522" s="136"/>
      <c r="R7522" s="63" t="str">
        <f t="shared" si="60"/>
        <v>ZSI1_BRICKSALT_NUM_UOM3</v>
      </c>
    </row>
    <row r="7523" ht="15.75" customHeight="1">
      <c r="B7523" s="63">
        <f t="shared" si="1"/>
        <v>11</v>
      </c>
      <c r="C7523" s="135" t="s">
        <v>360</v>
      </c>
      <c r="D7523" s="161" t="s">
        <v>74</v>
      </c>
      <c r="E7523" s="135">
        <f t="shared" si="61"/>
        <v>24</v>
      </c>
      <c r="F7523" s="134" t="s">
        <v>3813</v>
      </c>
      <c r="G7523" s="63" t="str">
        <f>VLOOKUP(C7523, 'Class Def. - General Data'!$C$20:$C$1000,1,false)</f>
        <v>ZSI1_BRICKS</v>
      </c>
      <c r="H7523" s="63" t="str">
        <f>IFERROR(__xludf.DUMMYFUNCTION("VLOOKUP(F7523, IMPORTRANGE(""https://docs.google.com/spreadsheets/d/1Lhp9OU0JdFf_VYSMzH5lBcEaU4o8teT1piV-SNzShjg/edit?gid=554141278#gid=554141278"", ""'Char Def. - Attributes'!C20:C2242""), 1,false)"),"ALT_UOM4_SIPI")</f>
        <v>ALT_UOM4_SIPI</v>
      </c>
      <c r="I7523" s="136"/>
      <c r="R7523" s="63" t="str">
        <f t="shared" si="60"/>
        <v>ZSI1_BRICKSALT_UOM4_SIPI</v>
      </c>
    </row>
    <row r="7524" ht="15.75" customHeight="1">
      <c r="B7524" s="63">
        <f t="shared" si="1"/>
        <v>11</v>
      </c>
      <c r="C7524" s="135" t="s">
        <v>360</v>
      </c>
      <c r="D7524" s="161" t="s">
        <v>74</v>
      </c>
      <c r="E7524" s="135">
        <f t="shared" si="61"/>
        <v>25</v>
      </c>
      <c r="F7524" s="134" t="s">
        <v>3814</v>
      </c>
      <c r="G7524" s="63" t="str">
        <f>VLOOKUP(C7524, 'Class Def. - General Data'!$C$20:$C$1000,1,false)</f>
        <v>ZSI1_BRICKS</v>
      </c>
      <c r="H7524" s="63" t="str">
        <f>IFERROR(__xludf.DUMMYFUNCTION("VLOOKUP(F7524, IMPORTRANGE(""https://docs.google.com/spreadsheets/d/1Lhp9OU0JdFf_VYSMzH5lBcEaU4o8teT1piV-SNzShjg/edit?gid=554141278#gid=554141278"", ""'Char Def. - Attributes'!C20:C2242""), 1,false)"),"ALT_DENUM_UOM4")</f>
        <v>ALT_DENUM_UOM4</v>
      </c>
      <c r="I7524" s="136"/>
      <c r="R7524" s="63" t="str">
        <f t="shared" si="60"/>
        <v>ZSI1_BRICKSALT_DENUM_UOM4</v>
      </c>
    </row>
    <row r="7525" ht="15.75" customHeight="1">
      <c r="B7525" s="63">
        <f t="shared" si="1"/>
        <v>11</v>
      </c>
      <c r="C7525" s="135" t="s">
        <v>360</v>
      </c>
      <c r="D7525" s="161" t="s">
        <v>74</v>
      </c>
      <c r="E7525" s="135">
        <f t="shared" si="61"/>
        <v>26</v>
      </c>
      <c r="F7525" s="134" t="s">
        <v>3815</v>
      </c>
      <c r="G7525" s="63" t="str">
        <f>VLOOKUP(C7525, 'Class Def. - General Data'!$C$20:$C$1000,1,false)</f>
        <v>ZSI1_BRICKS</v>
      </c>
      <c r="H7525" s="63" t="str">
        <f>IFERROR(__xludf.DUMMYFUNCTION("VLOOKUP(F7525, IMPORTRANGE(""https://docs.google.com/spreadsheets/d/1Lhp9OU0JdFf_VYSMzH5lBcEaU4o8teT1piV-SNzShjg/edit?gid=554141278#gid=554141278"", ""'Char Def. - Attributes'!C20:C2242""), 1,false)"),"ALT_NUM_UOM4")</f>
        <v>ALT_NUM_UOM4</v>
      </c>
      <c r="I7525" s="136"/>
      <c r="R7525" s="63" t="str">
        <f t="shared" si="60"/>
        <v>ZSI1_BRICKSALT_NUM_UOM4</v>
      </c>
    </row>
    <row r="7526" ht="15.75" customHeight="1">
      <c r="B7526" s="63">
        <f t="shared" si="1"/>
        <v>11</v>
      </c>
      <c r="C7526" s="135" t="s">
        <v>360</v>
      </c>
      <c r="D7526" s="161" t="s">
        <v>74</v>
      </c>
      <c r="E7526" s="135">
        <f t="shared" si="61"/>
        <v>27</v>
      </c>
      <c r="F7526" s="134" t="s">
        <v>3816</v>
      </c>
      <c r="G7526" s="63" t="str">
        <f>VLOOKUP(C7526, 'Class Def. - General Data'!$C$20:$C$1000,1,false)</f>
        <v>ZSI1_BRICKS</v>
      </c>
      <c r="H7526" s="63" t="str">
        <f>IFERROR(__xludf.DUMMYFUNCTION("VLOOKUP(F7526, IMPORTRANGE(""https://docs.google.com/spreadsheets/d/1Lhp9OU0JdFf_VYSMzH5lBcEaU4o8teT1piV-SNzShjg/edit?gid=554141278#gid=554141278"", ""'Char Def. - Attributes'!C20:C2242""), 1,false)"),"ALT_UOM5_SIPI")</f>
        <v>ALT_UOM5_SIPI</v>
      </c>
      <c r="I7526" s="136"/>
      <c r="R7526" s="63" t="str">
        <f t="shared" si="60"/>
        <v>ZSI1_BRICKSALT_UOM5_SIPI</v>
      </c>
    </row>
    <row r="7527" ht="15.75" customHeight="1">
      <c r="B7527" s="63">
        <f t="shared" si="1"/>
        <v>11</v>
      </c>
      <c r="C7527" s="135" t="s">
        <v>360</v>
      </c>
      <c r="D7527" s="161" t="s">
        <v>74</v>
      </c>
      <c r="E7527" s="135">
        <f t="shared" si="61"/>
        <v>28</v>
      </c>
      <c r="F7527" s="134" t="s">
        <v>3817</v>
      </c>
      <c r="G7527" s="63" t="str">
        <f>VLOOKUP(C7527, 'Class Def. - General Data'!$C$20:$C$1000,1,false)</f>
        <v>ZSI1_BRICKS</v>
      </c>
      <c r="H7527" s="63" t="str">
        <f>IFERROR(__xludf.DUMMYFUNCTION("VLOOKUP(F7527, IMPORTRANGE(""https://docs.google.com/spreadsheets/d/1Lhp9OU0JdFf_VYSMzH5lBcEaU4o8teT1piV-SNzShjg/edit?gid=554141278#gid=554141278"", ""'Char Def. - Attributes'!C20:C2242""), 1,false)"),"ALT_DENUM_UOM5")</f>
        <v>ALT_DENUM_UOM5</v>
      </c>
      <c r="I7527" s="136"/>
      <c r="R7527" s="63" t="str">
        <f t="shared" si="60"/>
        <v>ZSI1_BRICKSALT_DENUM_UOM5</v>
      </c>
    </row>
    <row r="7528" ht="15.75" customHeight="1">
      <c r="B7528" s="63">
        <f t="shared" si="1"/>
        <v>11</v>
      </c>
      <c r="C7528" s="135" t="s">
        <v>360</v>
      </c>
      <c r="D7528" s="161" t="s">
        <v>74</v>
      </c>
      <c r="E7528" s="135">
        <f t="shared" si="61"/>
        <v>29</v>
      </c>
      <c r="F7528" s="134" t="s">
        <v>3818</v>
      </c>
      <c r="G7528" s="63" t="str">
        <f>VLOOKUP(C7528, 'Class Def. - General Data'!$C$20:$C$1000,1,false)</f>
        <v>ZSI1_BRICKS</v>
      </c>
      <c r="H7528" s="63" t="str">
        <f>IFERROR(__xludf.DUMMYFUNCTION("VLOOKUP(F7528, IMPORTRANGE(""https://docs.google.com/spreadsheets/d/1Lhp9OU0JdFf_VYSMzH5lBcEaU4o8teT1piV-SNzShjg/edit?gid=554141278#gid=554141278"", ""'Char Def. - Attributes'!C20:C2242""), 1,false)"),"ALT_NUM_UOM5")</f>
        <v>ALT_NUM_UOM5</v>
      </c>
      <c r="I7528" s="136"/>
      <c r="R7528" s="63" t="str">
        <f t="shared" si="60"/>
        <v>ZSI1_BRICKSALT_NUM_UOM5</v>
      </c>
    </row>
    <row r="7529" ht="15.75" customHeight="1">
      <c r="B7529" s="63">
        <f t="shared" si="1"/>
        <v>13</v>
      </c>
      <c r="C7529" s="135" t="s">
        <v>4179</v>
      </c>
      <c r="D7529" s="161" t="s">
        <v>74</v>
      </c>
      <c r="E7529" s="135">
        <f t="shared" si="61"/>
        <v>1</v>
      </c>
      <c r="F7529" s="135" t="s">
        <v>4180</v>
      </c>
      <c r="G7529" s="63" t="str">
        <f>VLOOKUP(C7529, 'Class Def. - General Data'!$C$20:$C$1000,1,false)</f>
        <v>#N/A</v>
      </c>
      <c r="H7529" s="63" t="str">
        <f>IFERROR(__xludf.DUMMYFUNCTION("VLOOKUP(F7529, IMPORTRANGE(""https://docs.google.com/spreadsheets/d/1Lhp9OU0JdFf_VYSMzH5lBcEaU4o8teT1piV-SNzShjg/edit?gid=554141278#gid=554141278"", ""'Char Def. - Attributes'!C20:C2242""), 1,false)"),"#N/A")</f>
        <v>#N/A</v>
      </c>
      <c r="I7529" s="136"/>
      <c r="R7529" s="63" t="str">
        <f t="shared" si="60"/>
        <v>ZSI1_BUILDINGITEM_NAME_BUILDING</v>
      </c>
    </row>
    <row r="7530" ht="15.75" customHeight="1">
      <c r="B7530" s="63">
        <f t="shared" si="1"/>
        <v>13</v>
      </c>
      <c r="C7530" s="135" t="s">
        <v>4179</v>
      </c>
      <c r="D7530" s="161" t="s">
        <v>74</v>
      </c>
      <c r="E7530" s="135">
        <f t="shared" si="61"/>
        <v>2</v>
      </c>
      <c r="F7530" s="135" t="s">
        <v>4181</v>
      </c>
      <c r="G7530" s="63" t="str">
        <f>VLOOKUP(C7530, 'Class Def. - General Data'!$C$20:$C$1000,1,false)</f>
        <v>#N/A</v>
      </c>
      <c r="H7530" s="63" t="str">
        <f>IFERROR(__xludf.DUMMYFUNCTION("VLOOKUP(F7530, IMPORTRANGE(""https://docs.google.com/spreadsheets/d/1Lhp9OU0JdFf_VYSMzH5lBcEaU4o8teT1piV-SNzShjg/edit?gid=554141278#gid=554141278"", ""'Char Def. - Attributes'!C20:C2242""), 1,false)"),"#N/A")</f>
        <v>#N/A</v>
      </c>
      <c r="I7530" s="136"/>
      <c r="R7530" s="63" t="str">
        <f t="shared" si="60"/>
        <v>ZSI1_BUILDINGDESIGN_BUILDING</v>
      </c>
    </row>
    <row r="7531" ht="15.75" customHeight="1">
      <c r="B7531" s="63">
        <f t="shared" si="1"/>
        <v>13</v>
      </c>
      <c r="C7531" s="135" t="s">
        <v>4179</v>
      </c>
      <c r="D7531" s="161" t="s">
        <v>74</v>
      </c>
      <c r="E7531" s="135">
        <f t="shared" si="61"/>
        <v>3</v>
      </c>
      <c r="F7531" s="135" t="s">
        <v>4182</v>
      </c>
      <c r="G7531" s="63" t="str">
        <f>VLOOKUP(C7531, 'Class Def. - General Data'!$C$20:$C$1000,1,false)</f>
        <v>#N/A</v>
      </c>
      <c r="H7531" s="63" t="str">
        <f>IFERROR(__xludf.DUMMYFUNCTION("VLOOKUP(F7531, IMPORTRANGE(""https://docs.google.com/spreadsheets/d/1Lhp9OU0JdFf_VYSMzH5lBcEaU4o8teT1piV-SNzShjg/edit?gid=554141278#gid=554141278"", ""'Char Def. - Attributes'!C20:C2242""), 1,false)"),"#N/A")</f>
        <v>#N/A</v>
      </c>
      <c r="I7531" s="136"/>
      <c r="R7531" s="63" t="str">
        <f t="shared" si="60"/>
        <v>ZSI1_BUILDINGLENGTH_M_BUILDING</v>
      </c>
    </row>
    <row r="7532" ht="15.75" customHeight="1">
      <c r="B7532" s="63">
        <f t="shared" si="1"/>
        <v>13</v>
      </c>
      <c r="C7532" s="135" t="s">
        <v>4179</v>
      </c>
      <c r="D7532" s="161" t="s">
        <v>74</v>
      </c>
      <c r="E7532" s="135">
        <f t="shared" si="61"/>
        <v>4</v>
      </c>
      <c r="F7532" s="135" t="s">
        <v>4183</v>
      </c>
      <c r="G7532" s="63" t="str">
        <f>VLOOKUP(C7532, 'Class Def. - General Data'!$C$20:$C$1000,1,false)</f>
        <v>#N/A</v>
      </c>
      <c r="H7532" s="63" t="str">
        <f>IFERROR(__xludf.DUMMYFUNCTION("VLOOKUP(F7532, IMPORTRANGE(""https://docs.google.com/spreadsheets/d/1Lhp9OU0JdFf_VYSMzH5lBcEaU4o8teT1piV-SNzShjg/edit?gid=554141278#gid=554141278"", ""'Char Def. - Attributes'!C20:C2242""), 1,false)"),"#N/A")</f>
        <v>#N/A</v>
      </c>
      <c r="I7532" s="136"/>
      <c r="R7532" s="63" t="str">
        <f t="shared" si="60"/>
        <v>ZSI1_BUILDINGWIDTH_M_BUILDING</v>
      </c>
    </row>
    <row r="7533" ht="15.75" customHeight="1">
      <c r="B7533" s="63">
        <f t="shared" si="1"/>
        <v>13</v>
      </c>
      <c r="C7533" s="135" t="s">
        <v>4179</v>
      </c>
      <c r="D7533" s="161" t="s">
        <v>74</v>
      </c>
      <c r="E7533" s="135">
        <f t="shared" si="61"/>
        <v>5</v>
      </c>
      <c r="F7533" s="135" t="s">
        <v>4184</v>
      </c>
      <c r="G7533" s="63" t="str">
        <f>VLOOKUP(C7533, 'Class Def. - General Data'!$C$20:$C$1000,1,false)</f>
        <v>#N/A</v>
      </c>
      <c r="H7533" s="63" t="str">
        <f>IFERROR(__xludf.DUMMYFUNCTION("VLOOKUP(F7533, IMPORTRANGE(""https://docs.google.com/spreadsheets/d/1Lhp9OU0JdFf_VYSMzH5lBcEaU4o8teT1piV-SNzShjg/edit?gid=554141278#gid=554141278"", ""'Char Def. - Attributes'!C20:C2242""), 1,false)"),"#N/A")</f>
        <v>#N/A</v>
      </c>
      <c r="I7533" s="136"/>
      <c r="R7533" s="63" t="str">
        <f t="shared" si="60"/>
        <v>ZSI1_BUILDINGHEIGHT_M_BUILDING</v>
      </c>
    </row>
    <row r="7534" ht="15.75" customHeight="1">
      <c r="B7534" s="63">
        <f t="shared" si="1"/>
        <v>13</v>
      </c>
      <c r="C7534" s="135" t="s">
        <v>4179</v>
      </c>
      <c r="D7534" s="161" t="s">
        <v>74</v>
      </c>
      <c r="E7534" s="135">
        <f t="shared" si="61"/>
        <v>6</v>
      </c>
      <c r="F7534" s="134" t="s">
        <v>3585</v>
      </c>
      <c r="G7534" s="63" t="str">
        <f>VLOOKUP(C7534, 'Class Def. - General Data'!$C$20:$C$1000,1,false)</f>
        <v>#N/A</v>
      </c>
      <c r="H7534" s="63" t="str">
        <f>IFERROR(__xludf.DUMMYFUNCTION("VLOOKUP(F7534, IMPORTRANGE(""https://docs.google.com/spreadsheets/d/1Lhp9OU0JdFf_VYSMzH5lBcEaU4o8teT1piV-SNzShjg/edit?gid=554141278#gid=554141278"", ""'Char Def. - Attributes'!C20:C2242""), 1,false)"),"HS_CODE")</f>
        <v>HS_CODE</v>
      </c>
      <c r="I7534" s="136"/>
      <c r="R7534" s="63" t="str">
        <f t="shared" si="60"/>
        <v>ZSI1_BUILDINGHS_CODE</v>
      </c>
    </row>
    <row r="7535" ht="15.75" customHeight="1">
      <c r="B7535" s="63">
        <f t="shared" si="1"/>
        <v>13</v>
      </c>
      <c r="C7535" s="135" t="s">
        <v>4179</v>
      </c>
      <c r="D7535" s="161" t="s">
        <v>74</v>
      </c>
      <c r="E7535" s="135">
        <f t="shared" si="61"/>
        <v>7</v>
      </c>
      <c r="F7535" s="134" t="s">
        <v>3587</v>
      </c>
      <c r="G7535" s="63" t="str">
        <f>VLOOKUP(C7535, 'Class Def. - General Data'!$C$20:$C$1000,1,false)</f>
        <v>#N/A</v>
      </c>
      <c r="H7535" s="63" t="str">
        <f>IFERROR(__xludf.DUMMYFUNCTION("VLOOKUP(F7535, IMPORTRANGE(""https://docs.google.com/spreadsheets/d/1Lhp9OU0JdFf_VYSMzH5lBcEaU4o8teT1piV-SNzShjg/edit?gid=554141278#gid=554141278"", ""'Char Def. - Attributes'!C20:C2242""), 1,false)"),"PLANT_BUY")</f>
        <v>PLANT_BUY</v>
      </c>
      <c r="I7535" s="136"/>
      <c r="R7535" s="63" t="str">
        <f t="shared" si="60"/>
        <v>ZSI1_BUILDINGPLANT_BUY</v>
      </c>
    </row>
    <row r="7536" ht="15.75" customHeight="1">
      <c r="B7536" s="63">
        <f t="shared" si="1"/>
        <v>13</v>
      </c>
      <c r="C7536" s="135" t="s">
        <v>4179</v>
      </c>
      <c r="D7536" s="161" t="s">
        <v>74</v>
      </c>
      <c r="E7536" s="135">
        <f t="shared" si="61"/>
        <v>8</v>
      </c>
      <c r="F7536" s="135" t="s">
        <v>4185</v>
      </c>
      <c r="G7536" s="63" t="str">
        <f>VLOOKUP(C7536, 'Class Def. - General Data'!$C$20:$C$1000,1,false)</f>
        <v>#N/A</v>
      </c>
      <c r="H7536" s="63" t="str">
        <f>IFERROR(__xludf.DUMMYFUNCTION("VLOOKUP(F7536, IMPORTRANGE(""https://docs.google.com/spreadsheets/d/1Lhp9OU0JdFf_VYSMzH5lBcEaU4o8teT1piV-SNzShjg/edit?gid=554141278#gid=554141278"", ""'Char Def. - Attributes'!C20:C2242""), 1,false)"),"#N/A")</f>
        <v>#N/A</v>
      </c>
      <c r="I7536" s="136"/>
      <c r="R7536" s="63" t="str">
        <f t="shared" si="60"/>
        <v>ZSI1_BUILDINGBASE_UOM_BUILDING</v>
      </c>
    </row>
    <row r="7537" ht="15.75" customHeight="1">
      <c r="B7537" s="63">
        <f t="shared" si="1"/>
        <v>13</v>
      </c>
      <c r="C7537" s="135" t="s">
        <v>4179</v>
      </c>
      <c r="D7537" s="161" t="s">
        <v>74</v>
      </c>
      <c r="E7537" s="135">
        <f t="shared" si="61"/>
        <v>9</v>
      </c>
      <c r="F7537" s="135" t="s">
        <v>4186</v>
      </c>
      <c r="G7537" s="63" t="str">
        <f>VLOOKUP(C7537, 'Class Def. - General Data'!$C$20:$C$1000,1,false)</f>
        <v>#N/A</v>
      </c>
      <c r="H7537" s="63" t="str">
        <f>IFERROR(__xludf.DUMMYFUNCTION("VLOOKUP(F7537, IMPORTRANGE(""https://docs.google.com/spreadsheets/d/1Lhp9OU0JdFf_VYSMzH5lBcEaU4o8teT1piV-SNzShjg/edit?gid=554141278#gid=554141278"", ""'Char Def. - Attributes'!C20:C2242""), 1,false)"),"#N/A")</f>
        <v>#N/A</v>
      </c>
      <c r="I7537" s="136"/>
      <c r="R7537" s="63" t="str">
        <f t="shared" si="60"/>
        <v>ZSI1_BUILDINGORDER_UNIT_BUILDING</v>
      </c>
    </row>
    <row r="7538" ht="15.75" customHeight="1">
      <c r="B7538" s="63">
        <f t="shared" si="1"/>
        <v>13</v>
      </c>
      <c r="C7538" s="135" t="s">
        <v>4179</v>
      </c>
      <c r="D7538" s="161" t="s">
        <v>74</v>
      </c>
      <c r="E7538" s="135">
        <f t="shared" si="61"/>
        <v>10</v>
      </c>
      <c r="F7538" s="134" t="s">
        <v>4056</v>
      </c>
      <c r="G7538" s="63" t="str">
        <f>VLOOKUP(C7538, 'Class Def. - General Data'!$C$20:$C$1000,1,false)</f>
        <v>#N/A</v>
      </c>
      <c r="H7538" s="63" t="str">
        <f>IFERROR(__xludf.DUMMYFUNCTION("VLOOKUP(F7538, IMPORTRANGE(""https://docs.google.com/spreadsheets/d/1Lhp9OU0JdFf_VYSMzH5lBcEaU4o8teT1piV-SNzShjg/edit?gid=554141278#gid=554141278"", ""'Char Def. - Attributes'!C20:C2242""), 1,false)"),"GROSS_WEIGHT_OPT")</f>
        <v>GROSS_WEIGHT_OPT</v>
      </c>
      <c r="I7538" s="136"/>
      <c r="R7538" s="63" t="str">
        <f t="shared" si="60"/>
        <v>ZSI1_BUILDINGGROSS_WEIGHT_OPT</v>
      </c>
    </row>
    <row r="7539" ht="15.75" customHeight="1">
      <c r="B7539" s="63">
        <f t="shared" si="1"/>
        <v>13</v>
      </c>
      <c r="C7539" s="135" t="s">
        <v>4179</v>
      </c>
      <c r="D7539" s="161" t="s">
        <v>74</v>
      </c>
      <c r="E7539" s="135">
        <f t="shared" si="61"/>
        <v>11</v>
      </c>
      <c r="F7539" s="134" t="s">
        <v>4057</v>
      </c>
      <c r="G7539" s="63" t="str">
        <f>VLOOKUP(C7539, 'Class Def. - General Data'!$C$20:$C$1000,1,false)</f>
        <v>#N/A</v>
      </c>
      <c r="H7539" s="63" t="str">
        <f>IFERROR(__xludf.DUMMYFUNCTION("VLOOKUP(F7539, IMPORTRANGE(""https://docs.google.com/spreadsheets/d/1Lhp9OU0JdFf_VYSMzH5lBcEaU4o8teT1piV-SNzShjg/edit?gid=554141278#gid=554141278"", ""'Char Def. - Attributes'!C20:C2242""), 1,false)"),"NET_WEIGHT_OPT")</f>
        <v>NET_WEIGHT_OPT</v>
      </c>
      <c r="I7539" s="136"/>
      <c r="R7539" s="63" t="str">
        <f t="shared" si="60"/>
        <v>ZSI1_BUILDINGNET_WEIGHT_OPT</v>
      </c>
    </row>
    <row r="7540" ht="15.75" customHeight="1">
      <c r="B7540" s="63">
        <f t="shared" si="1"/>
        <v>13</v>
      </c>
      <c r="C7540" s="135" t="s">
        <v>4179</v>
      </c>
      <c r="D7540" s="161" t="s">
        <v>74</v>
      </c>
      <c r="E7540" s="135">
        <f t="shared" si="61"/>
        <v>12</v>
      </c>
      <c r="F7540" s="134" t="s">
        <v>4058</v>
      </c>
      <c r="G7540" s="63" t="str">
        <f>VLOOKUP(C7540, 'Class Def. - General Data'!$C$20:$C$1000,1,false)</f>
        <v>#N/A</v>
      </c>
      <c r="H7540" s="63" t="str">
        <f>IFERROR(__xludf.DUMMYFUNCTION("VLOOKUP(F7540, IMPORTRANGE(""https://docs.google.com/spreadsheets/d/1Lhp9OU0JdFf_VYSMzH5lBcEaU4o8teT1piV-SNzShjg/edit?gid=554141278#gid=554141278"", ""'Char Def. - Attributes'!C20:C2242""), 1,false)"),"WEIGHT_UNIT_SI")</f>
        <v>WEIGHT_UNIT_SI</v>
      </c>
      <c r="I7540" s="136"/>
      <c r="R7540" s="63" t="str">
        <f t="shared" si="60"/>
        <v>ZSI1_BUILDINGWEIGHT_UNIT_SI</v>
      </c>
    </row>
    <row r="7541" ht="15.75" customHeight="1">
      <c r="B7541" s="63">
        <f t="shared" si="1"/>
        <v>13</v>
      </c>
      <c r="C7541" s="135" t="s">
        <v>4179</v>
      </c>
      <c r="D7541" s="161" t="s">
        <v>74</v>
      </c>
      <c r="E7541" s="135">
        <f t="shared" si="61"/>
        <v>13</v>
      </c>
      <c r="F7541" s="134" t="s">
        <v>3877</v>
      </c>
      <c r="G7541" s="63" t="str">
        <f>VLOOKUP(C7541, 'Class Def. - General Data'!$C$20:$C$1000,1,false)</f>
        <v>#N/A</v>
      </c>
      <c r="H7541" s="63" t="str">
        <f>IFERROR(__xludf.DUMMYFUNCTION("VLOOKUP(F7541, IMPORTRANGE(""https://docs.google.com/spreadsheets/d/1Lhp9OU0JdFf_VYSMzH5lBcEaU4o8teT1piV-SNzShjg/edit?gid=554141278#gid=554141278"", ""'Char Def. - Attributes'!C20:C2242""), 1,false)"),"VOLUME_OPT")</f>
        <v>VOLUME_OPT</v>
      </c>
      <c r="I7541" s="136"/>
      <c r="R7541" s="63" t="str">
        <f t="shared" si="60"/>
        <v>ZSI1_BUILDINGVOLUME_OPT</v>
      </c>
    </row>
    <row r="7542" ht="15.75" customHeight="1">
      <c r="B7542" s="63">
        <f t="shared" si="1"/>
        <v>13</v>
      </c>
      <c r="C7542" s="135" t="s">
        <v>4179</v>
      </c>
      <c r="D7542" s="161" t="s">
        <v>74</v>
      </c>
      <c r="E7542" s="135">
        <f t="shared" si="61"/>
        <v>14</v>
      </c>
      <c r="F7542" s="134" t="s">
        <v>4059</v>
      </c>
      <c r="G7542" s="63" t="str">
        <f>VLOOKUP(C7542, 'Class Def. - General Data'!$C$20:$C$1000,1,false)</f>
        <v>#N/A</v>
      </c>
      <c r="H7542" s="63" t="str">
        <f>IFERROR(__xludf.DUMMYFUNCTION("VLOOKUP(F7542, IMPORTRANGE(""https://docs.google.com/spreadsheets/d/1Lhp9OU0JdFf_VYSMzH5lBcEaU4o8teT1piV-SNzShjg/edit?gid=554141278#gid=554141278"", ""'Char Def. - Attributes'!C20:C2242""), 1,false)"),"VOLUME_UNIT_SI")</f>
        <v>VOLUME_UNIT_SI</v>
      </c>
      <c r="I7542" s="136"/>
      <c r="R7542" s="63" t="str">
        <f t="shared" si="60"/>
        <v>ZSI1_BUILDINGVOLUME_UNIT_SI</v>
      </c>
    </row>
    <row r="7543" ht="15.75" customHeight="1">
      <c r="B7543" s="63">
        <f t="shared" si="1"/>
        <v>13</v>
      </c>
      <c r="C7543" s="135" t="s">
        <v>4179</v>
      </c>
      <c r="D7543" s="161" t="s">
        <v>74</v>
      </c>
      <c r="E7543" s="135">
        <f t="shared" si="61"/>
        <v>15</v>
      </c>
      <c r="F7543" s="134" t="s">
        <v>3804</v>
      </c>
      <c r="G7543" s="63" t="str">
        <f>VLOOKUP(C7543, 'Class Def. - General Data'!$C$20:$C$1000,1,false)</f>
        <v>#N/A</v>
      </c>
      <c r="H7543" s="63" t="str">
        <f>IFERROR(__xludf.DUMMYFUNCTION("VLOOKUP(F7543, IMPORTRANGE(""https://docs.google.com/spreadsheets/d/1Lhp9OU0JdFf_VYSMzH5lBcEaU4o8teT1piV-SNzShjg/edit?gid=554141278#gid=554141278"", ""'Char Def. - Attributes'!C20:C2242""), 1,false)"),"ALT_UOM1_SIPI")</f>
        <v>ALT_UOM1_SIPI</v>
      </c>
      <c r="I7543" s="136"/>
      <c r="R7543" s="63" t="str">
        <f t="shared" si="60"/>
        <v>ZSI1_BUILDINGALT_UOM1_SIPI</v>
      </c>
    </row>
    <row r="7544" ht="15.75" customHeight="1">
      <c r="B7544" s="63">
        <f t="shared" si="1"/>
        <v>13</v>
      </c>
      <c r="C7544" s="135" t="s">
        <v>4179</v>
      </c>
      <c r="D7544" s="161" t="s">
        <v>74</v>
      </c>
      <c r="E7544" s="135">
        <f t="shared" si="61"/>
        <v>16</v>
      </c>
      <c r="F7544" s="134" t="s">
        <v>3805</v>
      </c>
      <c r="G7544" s="63" t="str">
        <f>VLOOKUP(C7544, 'Class Def. - General Data'!$C$20:$C$1000,1,false)</f>
        <v>#N/A</v>
      </c>
      <c r="H7544" s="63" t="str">
        <f>IFERROR(__xludf.DUMMYFUNCTION("VLOOKUP(F7544, IMPORTRANGE(""https://docs.google.com/spreadsheets/d/1Lhp9OU0JdFf_VYSMzH5lBcEaU4o8teT1piV-SNzShjg/edit?gid=554141278#gid=554141278"", ""'Char Def. - Attributes'!C20:C2242""), 1,false)"),"ALT_DENUM_UOM1")</f>
        <v>ALT_DENUM_UOM1</v>
      </c>
      <c r="I7544" s="136"/>
      <c r="R7544" s="63" t="str">
        <f t="shared" si="60"/>
        <v>ZSI1_BUILDINGALT_DENUM_UOM1</v>
      </c>
    </row>
    <row r="7545" ht="15.75" customHeight="1">
      <c r="B7545" s="63">
        <f t="shared" si="1"/>
        <v>13</v>
      </c>
      <c r="C7545" s="135" t="s">
        <v>4179</v>
      </c>
      <c r="D7545" s="161" t="s">
        <v>74</v>
      </c>
      <c r="E7545" s="135">
        <f t="shared" si="61"/>
        <v>17</v>
      </c>
      <c r="F7545" s="134" t="s">
        <v>3806</v>
      </c>
      <c r="G7545" s="63" t="str">
        <f>VLOOKUP(C7545, 'Class Def. - General Data'!$C$20:$C$1000,1,false)</f>
        <v>#N/A</v>
      </c>
      <c r="H7545" s="63" t="str">
        <f>IFERROR(__xludf.DUMMYFUNCTION("VLOOKUP(F7545, IMPORTRANGE(""https://docs.google.com/spreadsheets/d/1Lhp9OU0JdFf_VYSMzH5lBcEaU4o8teT1piV-SNzShjg/edit?gid=554141278#gid=554141278"", ""'Char Def. - Attributes'!C20:C2242""), 1,false)"),"ALT_NUM_UOM1")</f>
        <v>ALT_NUM_UOM1</v>
      </c>
      <c r="I7545" s="136"/>
      <c r="R7545" s="63" t="str">
        <f t="shared" si="60"/>
        <v>ZSI1_BUILDINGALT_NUM_UOM1</v>
      </c>
    </row>
    <row r="7546" ht="15.75" customHeight="1">
      <c r="B7546" s="63">
        <f t="shared" si="1"/>
        <v>13</v>
      </c>
      <c r="C7546" s="135" t="s">
        <v>4179</v>
      </c>
      <c r="D7546" s="161" t="s">
        <v>74</v>
      </c>
      <c r="E7546" s="135">
        <f t="shared" si="61"/>
        <v>18</v>
      </c>
      <c r="F7546" s="134" t="s">
        <v>3807</v>
      </c>
      <c r="G7546" s="63" t="str">
        <f>VLOOKUP(C7546, 'Class Def. - General Data'!$C$20:$C$1000,1,false)</f>
        <v>#N/A</v>
      </c>
      <c r="H7546" s="63" t="str">
        <f>IFERROR(__xludf.DUMMYFUNCTION("VLOOKUP(F7546, IMPORTRANGE(""https://docs.google.com/spreadsheets/d/1Lhp9OU0JdFf_VYSMzH5lBcEaU4o8teT1piV-SNzShjg/edit?gid=554141278#gid=554141278"", ""'Char Def. - Attributes'!C20:C2242""), 1,false)"),"ALT_UOM2_SIPI")</f>
        <v>ALT_UOM2_SIPI</v>
      </c>
      <c r="I7546" s="136"/>
      <c r="R7546" s="63" t="str">
        <f t="shared" si="60"/>
        <v>ZSI1_BUILDINGALT_UOM2_SIPI</v>
      </c>
    </row>
    <row r="7547" ht="15.75" customHeight="1">
      <c r="B7547" s="63">
        <f t="shared" si="1"/>
        <v>13</v>
      </c>
      <c r="C7547" s="135" t="s">
        <v>4179</v>
      </c>
      <c r="D7547" s="161" t="s">
        <v>74</v>
      </c>
      <c r="E7547" s="135">
        <f t="shared" si="61"/>
        <v>19</v>
      </c>
      <c r="F7547" s="134" t="s">
        <v>3808</v>
      </c>
      <c r="G7547" s="63" t="str">
        <f>VLOOKUP(C7547, 'Class Def. - General Data'!$C$20:$C$1000,1,false)</f>
        <v>#N/A</v>
      </c>
      <c r="H7547" s="63" t="str">
        <f>IFERROR(__xludf.DUMMYFUNCTION("VLOOKUP(F7547, IMPORTRANGE(""https://docs.google.com/spreadsheets/d/1Lhp9OU0JdFf_VYSMzH5lBcEaU4o8teT1piV-SNzShjg/edit?gid=554141278#gid=554141278"", ""'Char Def. - Attributes'!C20:C2242""), 1,false)"),"ALT_DENUM_UOM2")</f>
        <v>ALT_DENUM_UOM2</v>
      </c>
      <c r="I7547" s="136"/>
      <c r="R7547" s="63" t="str">
        <f t="shared" si="60"/>
        <v>ZSI1_BUILDINGALT_DENUM_UOM2</v>
      </c>
    </row>
    <row r="7548" ht="15.75" customHeight="1">
      <c r="B7548" s="63">
        <f t="shared" si="1"/>
        <v>13</v>
      </c>
      <c r="C7548" s="135" t="s">
        <v>4179</v>
      </c>
      <c r="D7548" s="161" t="s">
        <v>74</v>
      </c>
      <c r="E7548" s="135">
        <f t="shared" si="61"/>
        <v>20</v>
      </c>
      <c r="F7548" s="134" t="s">
        <v>3809</v>
      </c>
      <c r="G7548" s="63" t="str">
        <f>VLOOKUP(C7548, 'Class Def. - General Data'!$C$20:$C$1000,1,false)</f>
        <v>#N/A</v>
      </c>
      <c r="H7548" s="63" t="str">
        <f>IFERROR(__xludf.DUMMYFUNCTION("VLOOKUP(F7548, IMPORTRANGE(""https://docs.google.com/spreadsheets/d/1Lhp9OU0JdFf_VYSMzH5lBcEaU4o8teT1piV-SNzShjg/edit?gid=554141278#gid=554141278"", ""'Char Def. - Attributes'!C20:C2242""), 1,false)"),"ALT_NUM_UOM2")</f>
        <v>ALT_NUM_UOM2</v>
      </c>
      <c r="I7548" s="136"/>
      <c r="R7548" s="63" t="str">
        <f t="shared" si="60"/>
        <v>ZSI1_BUILDINGALT_NUM_UOM2</v>
      </c>
    </row>
    <row r="7549" ht="15.75" customHeight="1">
      <c r="B7549" s="63">
        <f t="shared" si="1"/>
        <v>13</v>
      </c>
      <c r="C7549" s="135" t="s">
        <v>4179</v>
      </c>
      <c r="D7549" s="161" t="s">
        <v>74</v>
      </c>
      <c r="E7549" s="135">
        <f t="shared" si="61"/>
        <v>21</v>
      </c>
      <c r="F7549" s="134" t="s">
        <v>3810</v>
      </c>
      <c r="G7549" s="63" t="str">
        <f>VLOOKUP(C7549, 'Class Def. - General Data'!$C$20:$C$1000,1,false)</f>
        <v>#N/A</v>
      </c>
      <c r="H7549" s="63" t="str">
        <f>IFERROR(__xludf.DUMMYFUNCTION("VLOOKUP(F7549, IMPORTRANGE(""https://docs.google.com/spreadsheets/d/1Lhp9OU0JdFf_VYSMzH5lBcEaU4o8teT1piV-SNzShjg/edit?gid=554141278#gid=554141278"", ""'Char Def. - Attributes'!C20:C2242""), 1,false)"),"ALT_UOM3_SIPI")</f>
        <v>ALT_UOM3_SIPI</v>
      </c>
      <c r="I7549" s="136"/>
      <c r="R7549" s="63" t="str">
        <f t="shared" si="60"/>
        <v>ZSI1_BUILDINGALT_UOM3_SIPI</v>
      </c>
    </row>
    <row r="7550" ht="15.75" customHeight="1">
      <c r="B7550" s="63">
        <f t="shared" si="1"/>
        <v>13</v>
      </c>
      <c r="C7550" s="135" t="s">
        <v>4179</v>
      </c>
      <c r="D7550" s="161" t="s">
        <v>74</v>
      </c>
      <c r="E7550" s="135">
        <f t="shared" si="61"/>
        <v>22</v>
      </c>
      <c r="F7550" s="134" t="s">
        <v>3811</v>
      </c>
      <c r="G7550" s="63" t="str">
        <f>VLOOKUP(C7550, 'Class Def. - General Data'!$C$20:$C$1000,1,false)</f>
        <v>#N/A</v>
      </c>
      <c r="H7550" s="63" t="str">
        <f>IFERROR(__xludf.DUMMYFUNCTION("VLOOKUP(F7550, IMPORTRANGE(""https://docs.google.com/spreadsheets/d/1Lhp9OU0JdFf_VYSMzH5lBcEaU4o8teT1piV-SNzShjg/edit?gid=554141278#gid=554141278"", ""'Char Def. - Attributes'!C20:C2242""), 1,false)"),"ALT_DENUM_UOM3")</f>
        <v>ALT_DENUM_UOM3</v>
      </c>
      <c r="I7550" s="136"/>
      <c r="R7550" s="63" t="str">
        <f t="shared" si="60"/>
        <v>ZSI1_BUILDINGALT_DENUM_UOM3</v>
      </c>
    </row>
    <row r="7551" ht="15.75" customHeight="1">
      <c r="B7551" s="63">
        <f t="shared" si="1"/>
        <v>13</v>
      </c>
      <c r="C7551" s="135" t="s">
        <v>4179</v>
      </c>
      <c r="D7551" s="161" t="s">
        <v>74</v>
      </c>
      <c r="E7551" s="135">
        <f t="shared" si="61"/>
        <v>23</v>
      </c>
      <c r="F7551" s="134" t="s">
        <v>3812</v>
      </c>
      <c r="G7551" s="63" t="str">
        <f>VLOOKUP(C7551, 'Class Def. - General Data'!$C$20:$C$1000,1,false)</f>
        <v>#N/A</v>
      </c>
      <c r="H7551" s="63" t="str">
        <f>IFERROR(__xludf.DUMMYFUNCTION("VLOOKUP(F7551, IMPORTRANGE(""https://docs.google.com/spreadsheets/d/1Lhp9OU0JdFf_VYSMzH5lBcEaU4o8teT1piV-SNzShjg/edit?gid=554141278#gid=554141278"", ""'Char Def. - Attributes'!C20:C2242""), 1,false)"),"ALT_NUM_UOM3")</f>
        <v>ALT_NUM_UOM3</v>
      </c>
      <c r="I7551" s="136"/>
      <c r="R7551" s="63" t="str">
        <f t="shared" si="60"/>
        <v>ZSI1_BUILDINGALT_NUM_UOM3</v>
      </c>
    </row>
    <row r="7552" ht="15.75" customHeight="1">
      <c r="B7552" s="63">
        <f t="shared" si="1"/>
        <v>13</v>
      </c>
      <c r="C7552" s="135" t="s">
        <v>4179</v>
      </c>
      <c r="D7552" s="161" t="s">
        <v>74</v>
      </c>
      <c r="E7552" s="135">
        <f t="shared" si="61"/>
        <v>24</v>
      </c>
      <c r="F7552" s="134" t="s">
        <v>3813</v>
      </c>
      <c r="G7552" s="63" t="str">
        <f>VLOOKUP(C7552, 'Class Def. - General Data'!$C$20:$C$1000,1,false)</f>
        <v>#N/A</v>
      </c>
      <c r="H7552" s="63" t="str">
        <f>IFERROR(__xludf.DUMMYFUNCTION("VLOOKUP(F7552, IMPORTRANGE(""https://docs.google.com/spreadsheets/d/1Lhp9OU0JdFf_VYSMzH5lBcEaU4o8teT1piV-SNzShjg/edit?gid=554141278#gid=554141278"", ""'Char Def. - Attributes'!C20:C2242""), 1,false)"),"ALT_UOM4_SIPI")</f>
        <v>ALT_UOM4_SIPI</v>
      </c>
      <c r="I7552" s="136"/>
      <c r="R7552" s="63" t="str">
        <f t="shared" si="60"/>
        <v>ZSI1_BUILDINGALT_UOM4_SIPI</v>
      </c>
    </row>
    <row r="7553" ht="15.75" customHeight="1">
      <c r="B7553" s="63">
        <f t="shared" si="1"/>
        <v>13</v>
      </c>
      <c r="C7553" s="135" t="s">
        <v>4179</v>
      </c>
      <c r="D7553" s="161" t="s">
        <v>74</v>
      </c>
      <c r="E7553" s="135">
        <f t="shared" si="61"/>
        <v>25</v>
      </c>
      <c r="F7553" s="134" t="s">
        <v>3814</v>
      </c>
      <c r="G7553" s="63" t="str">
        <f>VLOOKUP(C7553, 'Class Def. - General Data'!$C$20:$C$1000,1,false)</f>
        <v>#N/A</v>
      </c>
      <c r="H7553" s="63" t="str">
        <f>IFERROR(__xludf.DUMMYFUNCTION("VLOOKUP(F7553, IMPORTRANGE(""https://docs.google.com/spreadsheets/d/1Lhp9OU0JdFf_VYSMzH5lBcEaU4o8teT1piV-SNzShjg/edit?gid=554141278#gid=554141278"", ""'Char Def. - Attributes'!C20:C2242""), 1,false)"),"ALT_DENUM_UOM4")</f>
        <v>ALT_DENUM_UOM4</v>
      </c>
      <c r="I7553" s="136"/>
      <c r="R7553" s="63" t="str">
        <f t="shared" si="60"/>
        <v>ZSI1_BUILDINGALT_DENUM_UOM4</v>
      </c>
    </row>
    <row r="7554" ht="15.75" customHeight="1">
      <c r="B7554" s="63">
        <f t="shared" si="1"/>
        <v>13</v>
      </c>
      <c r="C7554" s="135" t="s">
        <v>4179</v>
      </c>
      <c r="D7554" s="161" t="s">
        <v>74</v>
      </c>
      <c r="E7554" s="135">
        <f t="shared" si="61"/>
        <v>26</v>
      </c>
      <c r="F7554" s="134" t="s">
        <v>3815</v>
      </c>
      <c r="G7554" s="63" t="str">
        <f>VLOOKUP(C7554, 'Class Def. - General Data'!$C$20:$C$1000,1,false)</f>
        <v>#N/A</v>
      </c>
      <c r="H7554" s="63" t="str">
        <f>IFERROR(__xludf.DUMMYFUNCTION("VLOOKUP(F7554, IMPORTRANGE(""https://docs.google.com/spreadsheets/d/1Lhp9OU0JdFf_VYSMzH5lBcEaU4o8teT1piV-SNzShjg/edit?gid=554141278#gid=554141278"", ""'Char Def. - Attributes'!C20:C2242""), 1,false)"),"ALT_NUM_UOM4")</f>
        <v>ALT_NUM_UOM4</v>
      </c>
      <c r="I7554" s="136"/>
      <c r="R7554" s="63" t="str">
        <f t="shared" si="60"/>
        <v>ZSI1_BUILDINGALT_NUM_UOM4</v>
      </c>
    </row>
    <row r="7555" ht="15.75" customHeight="1">
      <c r="B7555" s="63">
        <f t="shared" si="1"/>
        <v>13</v>
      </c>
      <c r="C7555" s="135" t="s">
        <v>4179</v>
      </c>
      <c r="D7555" s="161" t="s">
        <v>74</v>
      </c>
      <c r="E7555" s="135">
        <f t="shared" si="61"/>
        <v>27</v>
      </c>
      <c r="F7555" s="134" t="s">
        <v>3816</v>
      </c>
      <c r="G7555" s="63" t="str">
        <f>VLOOKUP(C7555, 'Class Def. - General Data'!$C$20:$C$1000,1,false)</f>
        <v>#N/A</v>
      </c>
      <c r="H7555" s="63" t="str">
        <f>IFERROR(__xludf.DUMMYFUNCTION("VLOOKUP(F7555, IMPORTRANGE(""https://docs.google.com/spreadsheets/d/1Lhp9OU0JdFf_VYSMzH5lBcEaU4o8teT1piV-SNzShjg/edit?gid=554141278#gid=554141278"", ""'Char Def. - Attributes'!C20:C2242""), 1,false)"),"ALT_UOM5_SIPI")</f>
        <v>ALT_UOM5_SIPI</v>
      </c>
      <c r="I7555" s="136"/>
      <c r="R7555" s="63" t="str">
        <f t="shared" si="60"/>
        <v>ZSI1_BUILDINGALT_UOM5_SIPI</v>
      </c>
    </row>
    <row r="7556" ht="15.75" customHeight="1">
      <c r="B7556" s="63">
        <f t="shared" si="1"/>
        <v>13</v>
      </c>
      <c r="C7556" s="135" t="s">
        <v>4179</v>
      </c>
      <c r="D7556" s="161" t="s">
        <v>74</v>
      </c>
      <c r="E7556" s="135">
        <f t="shared" si="61"/>
        <v>28</v>
      </c>
      <c r="F7556" s="134" t="s">
        <v>3817</v>
      </c>
      <c r="G7556" s="63" t="str">
        <f>VLOOKUP(C7556, 'Class Def. - General Data'!$C$20:$C$1000,1,false)</f>
        <v>#N/A</v>
      </c>
      <c r="H7556" s="63" t="str">
        <f>IFERROR(__xludf.DUMMYFUNCTION("VLOOKUP(F7556, IMPORTRANGE(""https://docs.google.com/spreadsheets/d/1Lhp9OU0JdFf_VYSMzH5lBcEaU4o8teT1piV-SNzShjg/edit?gid=554141278#gid=554141278"", ""'Char Def. - Attributes'!C20:C2242""), 1,false)"),"ALT_DENUM_UOM5")</f>
        <v>ALT_DENUM_UOM5</v>
      </c>
      <c r="I7556" s="136"/>
      <c r="R7556" s="63" t="str">
        <f t="shared" si="60"/>
        <v>ZSI1_BUILDINGALT_DENUM_UOM5</v>
      </c>
    </row>
    <row r="7557" ht="15.75" customHeight="1">
      <c r="B7557" s="63">
        <f t="shared" si="1"/>
        <v>13</v>
      </c>
      <c r="C7557" s="135" t="s">
        <v>4179</v>
      </c>
      <c r="D7557" s="161" t="s">
        <v>74</v>
      </c>
      <c r="E7557" s="135">
        <f t="shared" si="61"/>
        <v>29</v>
      </c>
      <c r="F7557" s="134" t="s">
        <v>3818</v>
      </c>
      <c r="G7557" s="63" t="str">
        <f>VLOOKUP(C7557, 'Class Def. - General Data'!$C$20:$C$1000,1,false)</f>
        <v>#N/A</v>
      </c>
      <c r="H7557" s="63" t="str">
        <f>IFERROR(__xludf.DUMMYFUNCTION("VLOOKUP(F7557, IMPORTRANGE(""https://docs.google.com/spreadsheets/d/1Lhp9OU0JdFf_VYSMzH5lBcEaU4o8teT1piV-SNzShjg/edit?gid=554141278#gid=554141278"", ""'Char Def. - Attributes'!C20:C2242""), 1,false)"),"ALT_NUM_UOM5")</f>
        <v>ALT_NUM_UOM5</v>
      </c>
      <c r="I7557" s="136"/>
      <c r="R7557" s="63" t="str">
        <f t="shared" si="60"/>
        <v>ZSI1_BUILDINGALT_NUM_UOM5</v>
      </c>
    </row>
    <row r="7558" ht="15.75" customHeight="1">
      <c r="B7558" s="63">
        <f t="shared" si="1"/>
        <v>12</v>
      </c>
      <c r="C7558" s="135" t="s">
        <v>512</v>
      </c>
      <c r="D7558" s="161" t="s">
        <v>74</v>
      </c>
      <c r="E7558" s="135">
        <f t="shared" si="61"/>
        <v>1</v>
      </c>
      <c r="F7558" s="134" t="s">
        <v>4187</v>
      </c>
      <c r="G7558" s="63" t="str">
        <f>VLOOKUP(C7558, 'Class Def. - General Data'!$C$20:$C$1000,1,false)</f>
        <v>ZSI1_BUSHING</v>
      </c>
      <c r="H7558" s="63" t="str">
        <f>IFERROR(__xludf.DUMMYFUNCTION("VLOOKUP(F7558, IMPORTRANGE(""https://docs.google.com/spreadsheets/d/1Lhp9OU0JdFf_VYSMzH5lBcEaU4o8teT1piV-SNzShjg/edit?gid=554141278#gid=554141278"", ""'Char Def. - Attributes'!C20:C2242""), 1,false)"),"ITEM_NAME_BUSHING")</f>
        <v>ITEM_NAME_BUSHING</v>
      </c>
      <c r="I7558" s="136"/>
      <c r="R7558" s="63" t="str">
        <f t="shared" si="60"/>
        <v>ZSI1_BUSHINGITEM_NAME_BUSHING</v>
      </c>
    </row>
    <row r="7559" ht="15.75" customHeight="1">
      <c r="B7559" s="63">
        <f t="shared" si="1"/>
        <v>12</v>
      </c>
      <c r="C7559" s="135" t="s">
        <v>512</v>
      </c>
      <c r="D7559" s="161" t="s">
        <v>74</v>
      </c>
      <c r="E7559" s="135">
        <f t="shared" si="61"/>
        <v>2</v>
      </c>
      <c r="F7559" s="134" t="s">
        <v>4188</v>
      </c>
      <c r="G7559" s="63" t="str">
        <f>VLOOKUP(C7559, 'Class Def. - General Data'!$C$20:$C$1000,1,false)</f>
        <v>ZSI1_BUSHING</v>
      </c>
      <c r="H7559" s="63" t="str">
        <f>IFERROR(__xludf.DUMMYFUNCTION("VLOOKUP(F7559, IMPORTRANGE(""https://docs.google.com/spreadsheets/d/1Lhp9OU0JdFf_VYSMzH5lBcEaU4o8teT1piV-SNzShjg/edit?gid=554141278#gid=554141278"", ""'Char Def. - Attributes'!C20:C2242""), 1,false)"),"MFR_NO_BUSHING")</f>
        <v>MFR_NO_BUSHING</v>
      </c>
      <c r="I7559" s="136"/>
      <c r="R7559" s="63" t="str">
        <f t="shared" si="60"/>
        <v>ZSI1_BUSHINGMFR_NO_BUSHING</v>
      </c>
    </row>
    <row r="7560" ht="15.75" customHeight="1">
      <c r="B7560" s="63">
        <f t="shared" si="1"/>
        <v>12</v>
      </c>
      <c r="C7560" s="135" t="s">
        <v>512</v>
      </c>
      <c r="D7560" s="161" t="s">
        <v>74</v>
      </c>
      <c r="E7560" s="135">
        <f t="shared" si="61"/>
        <v>3</v>
      </c>
      <c r="F7560" s="134" t="s">
        <v>3782</v>
      </c>
      <c r="G7560" s="63" t="str">
        <f>VLOOKUP(C7560, 'Class Def. - General Data'!$C$20:$C$1000,1,false)</f>
        <v>ZSI1_BUSHING</v>
      </c>
      <c r="H7560" s="63" t="str">
        <f>IFERROR(__xludf.DUMMYFUNCTION("VLOOKUP(F7560, IMPORTRANGE(""https://docs.google.com/spreadsheets/d/1Lhp9OU0JdFf_VYSMzH5lBcEaU4o8teT1piV-SNzShjg/edit?gid=554141278#gid=554141278"", ""'Char Def. - Attributes'!C20:C2242""), 1,false)"),"BRAND_EXTERNAL")</f>
        <v>BRAND_EXTERNAL</v>
      </c>
      <c r="I7560" s="136"/>
      <c r="R7560" s="63" t="str">
        <f t="shared" si="60"/>
        <v>ZSI1_BUSHINGBRAND_EXTERNAL</v>
      </c>
    </row>
    <row r="7561" ht="15.75" customHeight="1">
      <c r="B7561" s="63">
        <f t="shared" si="1"/>
        <v>12</v>
      </c>
      <c r="C7561" s="135" t="s">
        <v>512</v>
      </c>
      <c r="D7561" s="161" t="s">
        <v>74</v>
      </c>
      <c r="E7561" s="135">
        <f t="shared" si="61"/>
        <v>4</v>
      </c>
      <c r="F7561" s="134" t="s">
        <v>4062</v>
      </c>
      <c r="G7561" s="63" t="str">
        <f>VLOOKUP(C7561, 'Class Def. - General Data'!$C$20:$C$1000,1,false)</f>
        <v>ZSI1_BUSHING</v>
      </c>
      <c r="H7561" s="63" t="str">
        <f>IFERROR(__xludf.DUMMYFUNCTION("VLOOKUP(F7561, IMPORTRANGE(""https://docs.google.com/spreadsheets/d/1Lhp9OU0JdFf_VYSMzH5lBcEaU4o8teT1piV-SNzShjg/edit?gid=554141278#gid=554141278"", ""'Char Def. - Attributes'!C20:C2242""), 1,false)"),"#N/A")</f>
        <v>#N/A</v>
      </c>
      <c r="I7561" s="136"/>
      <c r="R7561" s="63" t="str">
        <f t="shared" si="60"/>
        <v>ZSI1_BUSHINGADDTIONAL_SPECIFICATION</v>
      </c>
    </row>
    <row r="7562" ht="15.75" customHeight="1">
      <c r="B7562" s="63">
        <f t="shared" si="1"/>
        <v>12</v>
      </c>
      <c r="C7562" s="135" t="s">
        <v>512</v>
      </c>
      <c r="D7562" s="161" t="s">
        <v>74</v>
      </c>
      <c r="E7562" s="135">
        <f t="shared" si="61"/>
        <v>5</v>
      </c>
      <c r="F7562" s="134" t="s">
        <v>4053</v>
      </c>
      <c r="G7562" s="63" t="str">
        <f>VLOOKUP(C7562, 'Class Def. - General Data'!$C$20:$C$1000,1,false)</f>
        <v>ZSI1_BUSHING</v>
      </c>
      <c r="H7562" s="63" t="str">
        <f>IFERROR(__xludf.DUMMYFUNCTION("VLOOKUP(F7562, IMPORTRANGE(""https://docs.google.com/spreadsheets/d/1Lhp9OU0JdFf_VYSMzH5lBcEaU4o8teT1piV-SNzShjg/edit?gid=554141278#gid=554141278"", ""'Char Def. - Attributes'!C20:C2242""), 1,false)"),"MAINTENANCE_ORDER_TYPE")</f>
        <v>MAINTENANCE_ORDER_TYPE</v>
      </c>
      <c r="I7562" s="136"/>
      <c r="R7562" s="63" t="str">
        <f t="shared" si="60"/>
        <v>ZSI1_BUSHINGMAINTENANCE_ORDER_TYPE</v>
      </c>
    </row>
    <row r="7563" ht="15.75" customHeight="1">
      <c r="B7563" s="63">
        <f t="shared" si="1"/>
        <v>12</v>
      </c>
      <c r="C7563" s="135" t="s">
        <v>512</v>
      </c>
      <c r="D7563" s="161" t="s">
        <v>74</v>
      </c>
      <c r="E7563" s="135">
        <f t="shared" si="61"/>
        <v>6</v>
      </c>
      <c r="F7563" s="134" t="s">
        <v>3585</v>
      </c>
      <c r="G7563" s="63" t="str">
        <f>VLOOKUP(C7563, 'Class Def. - General Data'!$C$20:$C$1000,1,false)</f>
        <v>ZSI1_BUSHING</v>
      </c>
      <c r="H7563" s="63" t="str">
        <f>IFERROR(__xludf.DUMMYFUNCTION("VLOOKUP(F7563, IMPORTRANGE(""https://docs.google.com/spreadsheets/d/1Lhp9OU0JdFf_VYSMzH5lBcEaU4o8teT1piV-SNzShjg/edit?gid=554141278#gid=554141278"", ""'Char Def. - Attributes'!C20:C2242""), 1,false)"),"HS_CODE")</f>
        <v>HS_CODE</v>
      </c>
      <c r="I7563" s="136"/>
      <c r="R7563" s="63" t="str">
        <f t="shared" si="60"/>
        <v>ZSI1_BUSHINGHS_CODE</v>
      </c>
    </row>
    <row r="7564" ht="15.75" customHeight="1">
      <c r="B7564" s="63">
        <f t="shared" si="1"/>
        <v>12</v>
      </c>
      <c r="C7564" s="135" t="s">
        <v>512</v>
      </c>
      <c r="D7564" s="161" t="s">
        <v>74</v>
      </c>
      <c r="E7564" s="135">
        <f t="shared" si="61"/>
        <v>7</v>
      </c>
      <c r="F7564" s="134" t="s">
        <v>3587</v>
      </c>
      <c r="G7564" s="63" t="str">
        <f>VLOOKUP(C7564, 'Class Def. - General Data'!$C$20:$C$1000,1,false)</f>
        <v>ZSI1_BUSHING</v>
      </c>
      <c r="H7564" s="63" t="str">
        <f>IFERROR(__xludf.DUMMYFUNCTION("VLOOKUP(F7564, IMPORTRANGE(""https://docs.google.com/spreadsheets/d/1Lhp9OU0JdFf_VYSMzH5lBcEaU4o8teT1piV-SNzShjg/edit?gid=554141278#gid=554141278"", ""'Char Def. - Attributes'!C20:C2242""), 1,false)"),"PLANT_BUY")</f>
        <v>PLANT_BUY</v>
      </c>
      <c r="I7564" s="136"/>
      <c r="R7564" s="63" t="str">
        <f t="shared" si="60"/>
        <v>ZSI1_BUSHINGPLANT_BUY</v>
      </c>
    </row>
    <row r="7565" ht="15.75" customHeight="1">
      <c r="B7565" s="63">
        <f t="shared" si="1"/>
        <v>12</v>
      </c>
      <c r="C7565" s="135" t="s">
        <v>512</v>
      </c>
      <c r="D7565" s="161" t="s">
        <v>74</v>
      </c>
      <c r="E7565" s="135">
        <f t="shared" si="61"/>
        <v>8</v>
      </c>
      <c r="F7565" s="134" t="s">
        <v>4189</v>
      </c>
      <c r="G7565" s="63" t="str">
        <f>VLOOKUP(C7565, 'Class Def. - General Data'!$C$20:$C$1000,1,false)</f>
        <v>ZSI1_BUSHING</v>
      </c>
      <c r="H7565" s="63" t="str">
        <f>IFERROR(__xludf.DUMMYFUNCTION("VLOOKUP(F7565, IMPORTRANGE(""https://docs.google.com/spreadsheets/d/1Lhp9OU0JdFf_VYSMzH5lBcEaU4o8teT1piV-SNzShjg/edit?gid=554141278#gid=554141278"", ""'Char Def. - Attributes'!C20:C2242""), 1,false)"),"BASE_UOM_BUSHING")</f>
        <v>BASE_UOM_BUSHING</v>
      </c>
      <c r="I7565" s="136"/>
      <c r="R7565" s="63" t="str">
        <f t="shared" si="60"/>
        <v>ZSI1_BUSHINGBASE_UOM_BUSHING</v>
      </c>
    </row>
    <row r="7566" ht="15.75" customHeight="1">
      <c r="B7566" s="63">
        <f t="shared" si="1"/>
        <v>12</v>
      </c>
      <c r="C7566" s="135" t="s">
        <v>512</v>
      </c>
      <c r="D7566" s="161" t="s">
        <v>74</v>
      </c>
      <c r="E7566" s="135">
        <f t="shared" si="61"/>
        <v>9</v>
      </c>
      <c r="F7566" s="134" t="s">
        <v>4190</v>
      </c>
      <c r="G7566" s="63" t="str">
        <f>VLOOKUP(C7566, 'Class Def. - General Data'!$C$20:$C$1000,1,false)</f>
        <v>ZSI1_BUSHING</v>
      </c>
      <c r="H7566" s="63" t="str">
        <f>IFERROR(__xludf.DUMMYFUNCTION("VLOOKUP(F7566, IMPORTRANGE(""https://docs.google.com/spreadsheets/d/1Lhp9OU0JdFf_VYSMzH5lBcEaU4o8teT1piV-SNzShjg/edit?gid=554141278#gid=554141278"", ""'Char Def. - Attributes'!C20:C2242""), 1,false)"),"ORDER_UNIT_BUSHING")</f>
        <v>ORDER_UNIT_BUSHING</v>
      </c>
      <c r="I7566" s="136"/>
      <c r="R7566" s="63" t="str">
        <f t="shared" si="60"/>
        <v>ZSI1_BUSHINGORDER_UNIT_BUSHING</v>
      </c>
    </row>
    <row r="7567" ht="15.75" customHeight="1">
      <c r="B7567" s="63">
        <f t="shared" si="1"/>
        <v>12</v>
      </c>
      <c r="C7567" s="135" t="s">
        <v>512</v>
      </c>
      <c r="D7567" s="161" t="s">
        <v>74</v>
      </c>
      <c r="E7567" s="135">
        <f t="shared" si="61"/>
        <v>10</v>
      </c>
      <c r="F7567" s="134" t="s">
        <v>4056</v>
      </c>
      <c r="G7567" s="63" t="str">
        <f>VLOOKUP(C7567, 'Class Def. - General Data'!$C$20:$C$1000,1,false)</f>
        <v>ZSI1_BUSHING</v>
      </c>
      <c r="H7567" s="63" t="str">
        <f>IFERROR(__xludf.DUMMYFUNCTION("VLOOKUP(F7567, IMPORTRANGE(""https://docs.google.com/spreadsheets/d/1Lhp9OU0JdFf_VYSMzH5lBcEaU4o8teT1piV-SNzShjg/edit?gid=554141278#gid=554141278"", ""'Char Def. - Attributes'!C20:C2242""), 1,false)"),"GROSS_WEIGHT_OPT")</f>
        <v>GROSS_WEIGHT_OPT</v>
      </c>
      <c r="I7567" s="136"/>
      <c r="R7567" s="63" t="str">
        <f t="shared" si="60"/>
        <v>ZSI1_BUSHINGGROSS_WEIGHT_OPT</v>
      </c>
    </row>
    <row r="7568" ht="15.75" customHeight="1">
      <c r="B7568" s="63">
        <f t="shared" si="1"/>
        <v>12</v>
      </c>
      <c r="C7568" s="135" t="s">
        <v>512</v>
      </c>
      <c r="D7568" s="161" t="s">
        <v>74</v>
      </c>
      <c r="E7568" s="135">
        <f t="shared" si="61"/>
        <v>11</v>
      </c>
      <c r="F7568" s="134" t="s">
        <v>4057</v>
      </c>
      <c r="G7568" s="63" t="str">
        <f>VLOOKUP(C7568, 'Class Def. - General Data'!$C$20:$C$1000,1,false)</f>
        <v>ZSI1_BUSHING</v>
      </c>
      <c r="H7568" s="63" t="str">
        <f>IFERROR(__xludf.DUMMYFUNCTION("VLOOKUP(F7568, IMPORTRANGE(""https://docs.google.com/spreadsheets/d/1Lhp9OU0JdFf_VYSMzH5lBcEaU4o8teT1piV-SNzShjg/edit?gid=554141278#gid=554141278"", ""'Char Def. - Attributes'!C20:C2242""), 1,false)"),"NET_WEIGHT_OPT")</f>
        <v>NET_WEIGHT_OPT</v>
      </c>
      <c r="I7568" s="136"/>
      <c r="R7568" s="63" t="str">
        <f t="shared" si="60"/>
        <v>ZSI1_BUSHINGNET_WEIGHT_OPT</v>
      </c>
    </row>
    <row r="7569" ht="15.75" customHeight="1">
      <c r="B7569" s="63">
        <f t="shared" si="1"/>
        <v>12</v>
      </c>
      <c r="C7569" s="135" t="s">
        <v>512</v>
      </c>
      <c r="D7569" s="161" t="s">
        <v>74</v>
      </c>
      <c r="E7569" s="135">
        <f t="shared" si="61"/>
        <v>12</v>
      </c>
      <c r="F7569" s="134" t="s">
        <v>4058</v>
      </c>
      <c r="G7569" s="63" t="str">
        <f>VLOOKUP(C7569, 'Class Def. - General Data'!$C$20:$C$1000,1,false)</f>
        <v>ZSI1_BUSHING</v>
      </c>
      <c r="H7569" s="63" t="str">
        <f>IFERROR(__xludf.DUMMYFUNCTION("VLOOKUP(F7569, IMPORTRANGE(""https://docs.google.com/spreadsheets/d/1Lhp9OU0JdFf_VYSMzH5lBcEaU4o8teT1piV-SNzShjg/edit?gid=554141278#gid=554141278"", ""'Char Def. - Attributes'!C20:C2242""), 1,false)"),"WEIGHT_UNIT_SI")</f>
        <v>WEIGHT_UNIT_SI</v>
      </c>
      <c r="I7569" s="136"/>
      <c r="R7569" s="63" t="str">
        <f t="shared" si="60"/>
        <v>ZSI1_BUSHINGWEIGHT_UNIT_SI</v>
      </c>
    </row>
    <row r="7570" ht="15.75" customHeight="1">
      <c r="B7570" s="63">
        <f t="shared" si="1"/>
        <v>12</v>
      </c>
      <c r="C7570" s="135" t="s">
        <v>512</v>
      </c>
      <c r="D7570" s="161" t="s">
        <v>74</v>
      </c>
      <c r="E7570" s="135">
        <f t="shared" si="61"/>
        <v>13</v>
      </c>
      <c r="F7570" s="134" t="s">
        <v>3877</v>
      </c>
      <c r="G7570" s="63" t="str">
        <f>VLOOKUP(C7570, 'Class Def. - General Data'!$C$20:$C$1000,1,false)</f>
        <v>ZSI1_BUSHING</v>
      </c>
      <c r="H7570" s="63" t="str">
        <f>IFERROR(__xludf.DUMMYFUNCTION("VLOOKUP(F7570, IMPORTRANGE(""https://docs.google.com/spreadsheets/d/1Lhp9OU0JdFf_VYSMzH5lBcEaU4o8teT1piV-SNzShjg/edit?gid=554141278#gid=554141278"", ""'Char Def. - Attributes'!C20:C2242""), 1,false)"),"VOLUME_OPT")</f>
        <v>VOLUME_OPT</v>
      </c>
      <c r="I7570" s="136"/>
      <c r="R7570" s="63" t="str">
        <f t="shared" si="60"/>
        <v>ZSI1_BUSHINGVOLUME_OPT</v>
      </c>
    </row>
    <row r="7571" ht="15.75" customHeight="1">
      <c r="B7571" s="63">
        <f t="shared" si="1"/>
        <v>12</v>
      </c>
      <c r="C7571" s="135" t="s">
        <v>512</v>
      </c>
      <c r="D7571" s="161" t="s">
        <v>74</v>
      </c>
      <c r="E7571" s="135">
        <f t="shared" si="61"/>
        <v>14</v>
      </c>
      <c r="F7571" s="134" t="s">
        <v>4059</v>
      </c>
      <c r="G7571" s="63" t="str">
        <f>VLOOKUP(C7571, 'Class Def. - General Data'!$C$20:$C$1000,1,false)</f>
        <v>ZSI1_BUSHING</v>
      </c>
      <c r="H7571" s="63" t="str">
        <f>IFERROR(__xludf.DUMMYFUNCTION("VLOOKUP(F7571, IMPORTRANGE(""https://docs.google.com/spreadsheets/d/1Lhp9OU0JdFf_VYSMzH5lBcEaU4o8teT1piV-SNzShjg/edit?gid=554141278#gid=554141278"", ""'Char Def. - Attributes'!C20:C2242""), 1,false)"),"VOLUME_UNIT_SI")</f>
        <v>VOLUME_UNIT_SI</v>
      </c>
      <c r="I7571" s="136"/>
      <c r="R7571" s="63" t="str">
        <f t="shared" si="60"/>
        <v>ZSI1_BUSHINGVOLUME_UNIT_SI</v>
      </c>
    </row>
    <row r="7572" ht="15.75" customHeight="1">
      <c r="B7572" s="63">
        <f t="shared" si="1"/>
        <v>12</v>
      </c>
      <c r="C7572" s="135" t="s">
        <v>512</v>
      </c>
      <c r="D7572" s="161" t="s">
        <v>74</v>
      </c>
      <c r="E7572" s="135">
        <f t="shared" si="61"/>
        <v>15</v>
      </c>
      <c r="F7572" s="134" t="s">
        <v>3804</v>
      </c>
      <c r="G7572" s="63" t="str">
        <f>VLOOKUP(C7572, 'Class Def. - General Data'!$C$20:$C$1000,1,false)</f>
        <v>ZSI1_BUSHING</v>
      </c>
      <c r="H7572" s="63" t="str">
        <f>IFERROR(__xludf.DUMMYFUNCTION("VLOOKUP(F7572, IMPORTRANGE(""https://docs.google.com/spreadsheets/d/1Lhp9OU0JdFf_VYSMzH5lBcEaU4o8teT1piV-SNzShjg/edit?gid=554141278#gid=554141278"", ""'Char Def. - Attributes'!C20:C2242""), 1,false)"),"ALT_UOM1_SIPI")</f>
        <v>ALT_UOM1_SIPI</v>
      </c>
      <c r="I7572" s="136"/>
      <c r="R7572" s="63" t="str">
        <f t="shared" si="60"/>
        <v>ZSI1_BUSHINGALT_UOM1_SIPI</v>
      </c>
    </row>
    <row r="7573" ht="15.75" customHeight="1">
      <c r="B7573" s="63">
        <f t="shared" si="1"/>
        <v>12</v>
      </c>
      <c r="C7573" s="135" t="s">
        <v>512</v>
      </c>
      <c r="D7573" s="161" t="s">
        <v>74</v>
      </c>
      <c r="E7573" s="135">
        <f t="shared" si="61"/>
        <v>16</v>
      </c>
      <c r="F7573" s="134" t="s">
        <v>3805</v>
      </c>
      <c r="G7573" s="63" t="str">
        <f>VLOOKUP(C7573, 'Class Def. - General Data'!$C$20:$C$1000,1,false)</f>
        <v>ZSI1_BUSHING</v>
      </c>
      <c r="H7573" s="63" t="str">
        <f>IFERROR(__xludf.DUMMYFUNCTION("VLOOKUP(F7573, IMPORTRANGE(""https://docs.google.com/spreadsheets/d/1Lhp9OU0JdFf_VYSMzH5lBcEaU4o8teT1piV-SNzShjg/edit?gid=554141278#gid=554141278"", ""'Char Def. - Attributes'!C20:C2242""), 1,false)"),"ALT_DENUM_UOM1")</f>
        <v>ALT_DENUM_UOM1</v>
      </c>
      <c r="I7573" s="136"/>
      <c r="R7573" s="63" t="str">
        <f t="shared" si="60"/>
        <v>ZSI1_BUSHINGALT_DENUM_UOM1</v>
      </c>
    </row>
    <row r="7574" ht="15.75" customHeight="1">
      <c r="B7574" s="63">
        <f t="shared" si="1"/>
        <v>12</v>
      </c>
      <c r="C7574" s="135" t="s">
        <v>512</v>
      </c>
      <c r="D7574" s="161" t="s">
        <v>74</v>
      </c>
      <c r="E7574" s="135">
        <f t="shared" si="61"/>
        <v>17</v>
      </c>
      <c r="F7574" s="134" t="s">
        <v>3806</v>
      </c>
      <c r="G7574" s="63" t="str">
        <f>VLOOKUP(C7574, 'Class Def. - General Data'!$C$20:$C$1000,1,false)</f>
        <v>ZSI1_BUSHING</v>
      </c>
      <c r="H7574" s="63" t="str">
        <f>IFERROR(__xludf.DUMMYFUNCTION("VLOOKUP(F7574, IMPORTRANGE(""https://docs.google.com/spreadsheets/d/1Lhp9OU0JdFf_VYSMzH5lBcEaU4o8teT1piV-SNzShjg/edit?gid=554141278#gid=554141278"", ""'Char Def. - Attributes'!C20:C2242""), 1,false)"),"ALT_NUM_UOM1")</f>
        <v>ALT_NUM_UOM1</v>
      </c>
      <c r="I7574" s="136"/>
      <c r="R7574" s="63" t="str">
        <f t="shared" si="60"/>
        <v>ZSI1_BUSHINGALT_NUM_UOM1</v>
      </c>
    </row>
    <row r="7575" ht="15.75" customHeight="1">
      <c r="B7575" s="63">
        <f t="shared" si="1"/>
        <v>12</v>
      </c>
      <c r="C7575" s="135" t="s">
        <v>512</v>
      </c>
      <c r="D7575" s="161" t="s">
        <v>74</v>
      </c>
      <c r="E7575" s="135">
        <f t="shared" si="61"/>
        <v>18</v>
      </c>
      <c r="F7575" s="134" t="s">
        <v>3807</v>
      </c>
      <c r="G7575" s="63" t="str">
        <f>VLOOKUP(C7575, 'Class Def. - General Data'!$C$20:$C$1000,1,false)</f>
        <v>ZSI1_BUSHING</v>
      </c>
      <c r="H7575" s="63" t="str">
        <f>IFERROR(__xludf.DUMMYFUNCTION("VLOOKUP(F7575, IMPORTRANGE(""https://docs.google.com/spreadsheets/d/1Lhp9OU0JdFf_VYSMzH5lBcEaU4o8teT1piV-SNzShjg/edit?gid=554141278#gid=554141278"", ""'Char Def. - Attributes'!C20:C2242""), 1,false)"),"ALT_UOM2_SIPI")</f>
        <v>ALT_UOM2_SIPI</v>
      </c>
      <c r="I7575" s="136"/>
      <c r="R7575" s="63" t="str">
        <f t="shared" si="60"/>
        <v>ZSI1_BUSHINGALT_UOM2_SIPI</v>
      </c>
    </row>
    <row r="7576" ht="15.75" customHeight="1">
      <c r="B7576" s="63">
        <f t="shared" si="1"/>
        <v>12</v>
      </c>
      <c r="C7576" s="135" t="s">
        <v>512</v>
      </c>
      <c r="D7576" s="161" t="s">
        <v>74</v>
      </c>
      <c r="E7576" s="135">
        <f t="shared" si="61"/>
        <v>19</v>
      </c>
      <c r="F7576" s="134" t="s">
        <v>3808</v>
      </c>
      <c r="G7576" s="63" t="str">
        <f>VLOOKUP(C7576, 'Class Def. - General Data'!$C$20:$C$1000,1,false)</f>
        <v>ZSI1_BUSHING</v>
      </c>
      <c r="H7576" s="63" t="str">
        <f>IFERROR(__xludf.DUMMYFUNCTION("VLOOKUP(F7576, IMPORTRANGE(""https://docs.google.com/spreadsheets/d/1Lhp9OU0JdFf_VYSMzH5lBcEaU4o8teT1piV-SNzShjg/edit?gid=554141278#gid=554141278"", ""'Char Def. - Attributes'!C20:C2242""), 1,false)"),"ALT_DENUM_UOM2")</f>
        <v>ALT_DENUM_UOM2</v>
      </c>
      <c r="I7576" s="136"/>
      <c r="R7576" s="63" t="str">
        <f t="shared" si="60"/>
        <v>ZSI1_BUSHINGALT_DENUM_UOM2</v>
      </c>
    </row>
    <row r="7577" ht="15.75" customHeight="1">
      <c r="B7577" s="63">
        <f t="shared" si="1"/>
        <v>12</v>
      </c>
      <c r="C7577" s="135" t="s">
        <v>512</v>
      </c>
      <c r="D7577" s="161" t="s">
        <v>74</v>
      </c>
      <c r="E7577" s="135">
        <f t="shared" si="61"/>
        <v>20</v>
      </c>
      <c r="F7577" s="134" t="s">
        <v>3809</v>
      </c>
      <c r="G7577" s="63" t="str">
        <f>VLOOKUP(C7577, 'Class Def. - General Data'!$C$20:$C$1000,1,false)</f>
        <v>ZSI1_BUSHING</v>
      </c>
      <c r="H7577" s="63" t="str">
        <f>IFERROR(__xludf.DUMMYFUNCTION("VLOOKUP(F7577, IMPORTRANGE(""https://docs.google.com/spreadsheets/d/1Lhp9OU0JdFf_VYSMzH5lBcEaU4o8teT1piV-SNzShjg/edit?gid=554141278#gid=554141278"", ""'Char Def. - Attributes'!C20:C2242""), 1,false)"),"ALT_NUM_UOM2")</f>
        <v>ALT_NUM_UOM2</v>
      </c>
      <c r="I7577" s="136"/>
      <c r="R7577" s="63" t="str">
        <f t="shared" si="60"/>
        <v>ZSI1_BUSHINGALT_NUM_UOM2</v>
      </c>
    </row>
    <row r="7578" ht="15.75" customHeight="1">
      <c r="B7578" s="63">
        <f t="shared" si="1"/>
        <v>12</v>
      </c>
      <c r="C7578" s="135" t="s">
        <v>512</v>
      </c>
      <c r="D7578" s="161" t="s">
        <v>74</v>
      </c>
      <c r="E7578" s="135">
        <f t="shared" si="61"/>
        <v>21</v>
      </c>
      <c r="F7578" s="134" t="s">
        <v>3810</v>
      </c>
      <c r="G7578" s="63" t="str">
        <f>VLOOKUP(C7578, 'Class Def. - General Data'!$C$20:$C$1000,1,false)</f>
        <v>ZSI1_BUSHING</v>
      </c>
      <c r="H7578" s="63" t="str">
        <f>IFERROR(__xludf.DUMMYFUNCTION("VLOOKUP(F7578, IMPORTRANGE(""https://docs.google.com/spreadsheets/d/1Lhp9OU0JdFf_VYSMzH5lBcEaU4o8teT1piV-SNzShjg/edit?gid=554141278#gid=554141278"", ""'Char Def. - Attributes'!C20:C2242""), 1,false)"),"ALT_UOM3_SIPI")</f>
        <v>ALT_UOM3_SIPI</v>
      </c>
      <c r="I7578" s="136"/>
      <c r="R7578" s="63" t="str">
        <f t="shared" si="60"/>
        <v>ZSI1_BUSHINGALT_UOM3_SIPI</v>
      </c>
    </row>
    <row r="7579" ht="15.75" customHeight="1">
      <c r="B7579" s="63">
        <f t="shared" si="1"/>
        <v>12</v>
      </c>
      <c r="C7579" s="135" t="s">
        <v>512</v>
      </c>
      <c r="D7579" s="161" t="s">
        <v>74</v>
      </c>
      <c r="E7579" s="135">
        <f t="shared" si="61"/>
        <v>22</v>
      </c>
      <c r="F7579" s="134" t="s">
        <v>3811</v>
      </c>
      <c r="G7579" s="63" t="str">
        <f>VLOOKUP(C7579, 'Class Def. - General Data'!$C$20:$C$1000,1,false)</f>
        <v>ZSI1_BUSHING</v>
      </c>
      <c r="H7579" s="63" t="str">
        <f>IFERROR(__xludf.DUMMYFUNCTION("VLOOKUP(F7579, IMPORTRANGE(""https://docs.google.com/spreadsheets/d/1Lhp9OU0JdFf_VYSMzH5lBcEaU4o8teT1piV-SNzShjg/edit?gid=554141278#gid=554141278"", ""'Char Def. - Attributes'!C20:C2242""), 1,false)"),"ALT_DENUM_UOM3")</f>
        <v>ALT_DENUM_UOM3</v>
      </c>
      <c r="I7579" s="136"/>
      <c r="R7579" s="63" t="str">
        <f t="shared" si="60"/>
        <v>ZSI1_BUSHINGALT_DENUM_UOM3</v>
      </c>
    </row>
    <row r="7580" ht="15.75" customHeight="1">
      <c r="B7580" s="63">
        <f t="shared" si="1"/>
        <v>12</v>
      </c>
      <c r="C7580" s="135" t="s">
        <v>512</v>
      </c>
      <c r="D7580" s="161" t="s">
        <v>74</v>
      </c>
      <c r="E7580" s="135">
        <f t="shared" si="61"/>
        <v>23</v>
      </c>
      <c r="F7580" s="134" t="s">
        <v>3812</v>
      </c>
      <c r="G7580" s="63" t="str">
        <f>VLOOKUP(C7580, 'Class Def. - General Data'!$C$20:$C$1000,1,false)</f>
        <v>ZSI1_BUSHING</v>
      </c>
      <c r="H7580" s="63" t="str">
        <f>IFERROR(__xludf.DUMMYFUNCTION("VLOOKUP(F7580, IMPORTRANGE(""https://docs.google.com/spreadsheets/d/1Lhp9OU0JdFf_VYSMzH5lBcEaU4o8teT1piV-SNzShjg/edit?gid=554141278#gid=554141278"", ""'Char Def. - Attributes'!C20:C2242""), 1,false)"),"ALT_NUM_UOM3")</f>
        <v>ALT_NUM_UOM3</v>
      </c>
      <c r="I7580" s="136"/>
      <c r="R7580" s="63" t="str">
        <f t="shared" si="60"/>
        <v>ZSI1_BUSHINGALT_NUM_UOM3</v>
      </c>
    </row>
    <row r="7581" ht="15.75" customHeight="1">
      <c r="B7581" s="63">
        <f t="shared" si="1"/>
        <v>12</v>
      </c>
      <c r="C7581" s="135" t="s">
        <v>512</v>
      </c>
      <c r="D7581" s="161" t="s">
        <v>74</v>
      </c>
      <c r="E7581" s="135">
        <f t="shared" si="61"/>
        <v>24</v>
      </c>
      <c r="F7581" s="134" t="s">
        <v>3813</v>
      </c>
      <c r="G7581" s="63" t="str">
        <f>VLOOKUP(C7581, 'Class Def. - General Data'!$C$20:$C$1000,1,false)</f>
        <v>ZSI1_BUSHING</v>
      </c>
      <c r="H7581" s="63" t="str">
        <f>IFERROR(__xludf.DUMMYFUNCTION("VLOOKUP(F7581, IMPORTRANGE(""https://docs.google.com/spreadsheets/d/1Lhp9OU0JdFf_VYSMzH5lBcEaU4o8teT1piV-SNzShjg/edit?gid=554141278#gid=554141278"", ""'Char Def. - Attributes'!C20:C2242""), 1,false)"),"ALT_UOM4_SIPI")</f>
        <v>ALT_UOM4_SIPI</v>
      </c>
      <c r="I7581" s="136"/>
      <c r="R7581" s="63" t="str">
        <f t="shared" si="60"/>
        <v>ZSI1_BUSHINGALT_UOM4_SIPI</v>
      </c>
    </row>
    <row r="7582" ht="15.75" customHeight="1">
      <c r="B7582" s="63">
        <f t="shared" si="1"/>
        <v>12</v>
      </c>
      <c r="C7582" s="135" t="s">
        <v>512</v>
      </c>
      <c r="D7582" s="161" t="s">
        <v>74</v>
      </c>
      <c r="E7582" s="135">
        <f t="shared" si="61"/>
        <v>25</v>
      </c>
      <c r="F7582" s="134" t="s">
        <v>3814</v>
      </c>
      <c r="G7582" s="63" t="str">
        <f>VLOOKUP(C7582, 'Class Def. - General Data'!$C$20:$C$1000,1,false)</f>
        <v>ZSI1_BUSHING</v>
      </c>
      <c r="H7582" s="63" t="str">
        <f>IFERROR(__xludf.DUMMYFUNCTION("VLOOKUP(F7582, IMPORTRANGE(""https://docs.google.com/spreadsheets/d/1Lhp9OU0JdFf_VYSMzH5lBcEaU4o8teT1piV-SNzShjg/edit?gid=554141278#gid=554141278"", ""'Char Def. - Attributes'!C20:C2242""), 1,false)"),"ALT_DENUM_UOM4")</f>
        <v>ALT_DENUM_UOM4</v>
      </c>
      <c r="I7582" s="136"/>
      <c r="R7582" s="63" t="str">
        <f t="shared" si="60"/>
        <v>ZSI1_BUSHINGALT_DENUM_UOM4</v>
      </c>
    </row>
    <row r="7583" ht="15.75" customHeight="1">
      <c r="B7583" s="63">
        <f t="shared" si="1"/>
        <v>12</v>
      </c>
      <c r="C7583" s="135" t="s">
        <v>512</v>
      </c>
      <c r="D7583" s="161" t="s">
        <v>74</v>
      </c>
      <c r="E7583" s="135">
        <f t="shared" si="61"/>
        <v>26</v>
      </c>
      <c r="F7583" s="134" t="s">
        <v>3815</v>
      </c>
      <c r="G7583" s="63" t="str">
        <f>VLOOKUP(C7583, 'Class Def. - General Data'!$C$20:$C$1000,1,false)</f>
        <v>ZSI1_BUSHING</v>
      </c>
      <c r="H7583" s="63" t="str">
        <f>IFERROR(__xludf.DUMMYFUNCTION("VLOOKUP(F7583, IMPORTRANGE(""https://docs.google.com/spreadsheets/d/1Lhp9OU0JdFf_VYSMzH5lBcEaU4o8teT1piV-SNzShjg/edit?gid=554141278#gid=554141278"", ""'Char Def. - Attributes'!C20:C2242""), 1,false)"),"ALT_NUM_UOM4")</f>
        <v>ALT_NUM_UOM4</v>
      </c>
      <c r="I7583" s="136"/>
      <c r="R7583" s="63" t="str">
        <f t="shared" si="60"/>
        <v>ZSI1_BUSHINGALT_NUM_UOM4</v>
      </c>
    </row>
    <row r="7584" ht="15.75" customHeight="1">
      <c r="B7584" s="63">
        <f t="shared" si="1"/>
        <v>12</v>
      </c>
      <c r="C7584" s="135" t="s">
        <v>512</v>
      </c>
      <c r="D7584" s="161" t="s">
        <v>74</v>
      </c>
      <c r="E7584" s="135">
        <f t="shared" si="61"/>
        <v>27</v>
      </c>
      <c r="F7584" s="134" t="s">
        <v>3816</v>
      </c>
      <c r="G7584" s="63" t="str">
        <f>VLOOKUP(C7584, 'Class Def. - General Data'!$C$20:$C$1000,1,false)</f>
        <v>ZSI1_BUSHING</v>
      </c>
      <c r="H7584" s="63" t="str">
        <f>IFERROR(__xludf.DUMMYFUNCTION("VLOOKUP(F7584, IMPORTRANGE(""https://docs.google.com/spreadsheets/d/1Lhp9OU0JdFf_VYSMzH5lBcEaU4o8teT1piV-SNzShjg/edit?gid=554141278#gid=554141278"", ""'Char Def. - Attributes'!C20:C2242""), 1,false)"),"ALT_UOM5_SIPI")</f>
        <v>ALT_UOM5_SIPI</v>
      </c>
      <c r="I7584" s="136"/>
      <c r="R7584" s="63" t="str">
        <f t="shared" si="60"/>
        <v>ZSI1_BUSHINGALT_UOM5_SIPI</v>
      </c>
    </row>
    <row r="7585" ht="15.75" customHeight="1">
      <c r="B7585" s="63">
        <f t="shared" si="1"/>
        <v>12</v>
      </c>
      <c r="C7585" s="135" t="s">
        <v>512</v>
      </c>
      <c r="D7585" s="161" t="s">
        <v>74</v>
      </c>
      <c r="E7585" s="135">
        <f t="shared" si="61"/>
        <v>28</v>
      </c>
      <c r="F7585" s="134" t="s">
        <v>3817</v>
      </c>
      <c r="G7585" s="63" t="str">
        <f>VLOOKUP(C7585, 'Class Def. - General Data'!$C$20:$C$1000,1,false)</f>
        <v>ZSI1_BUSHING</v>
      </c>
      <c r="H7585" s="63" t="str">
        <f>IFERROR(__xludf.DUMMYFUNCTION("VLOOKUP(F7585, IMPORTRANGE(""https://docs.google.com/spreadsheets/d/1Lhp9OU0JdFf_VYSMzH5lBcEaU4o8teT1piV-SNzShjg/edit?gid=554141278#gid=554141278"", ""'Char Def. - Attributes'!C20:C2242""), 1,false)"),"ALT_DENUM_UOM5")</f>
        <v>ALT_DENUM_UOM5</v>
      </c>
      <c r="I7585" s="136"/>
      <c r="R7585" s="63" t="str">
        <f t="shared" si="60"/>
        <v>ZSI1_BUSHINGALT_DENUM_UOM5</v>
      </c>
    </row>
    <row r="7586" ht="15.75" customHeight="1">
      <c r="B7586" s="63">
        <f t="shared" si="1"/>
        <v>12</v>
      </c>
      <c r="C7586" s="135" t="s">
        <v>512</v>
      </c>
      <c r="D7586" s="161" t="s">
        <v>74</v>
      </c>
      <c r="E7586" s="135">
        <f t="shared" si="61"/>
        <v>29</v>
      </c>
      <c r="F7586" s="134" t="s">
        <v>3818</v>
      </c>
      <c r="G7586" s="63" t="str">
        <f>VLOOKUP(C7586, 'Class Def. - General Data'!$C$20:$C$1000,1,false)</f>
        <v>ZSI1_BUSHING</v>
      </c>
      <c r="H7586" s="63" t="str">
        <f>IFERROR(__xludf.DUMMYFUNCTION("VLOOKUP(F7586, IMPORTRANGE(""https://docs.google.com/spreadsheets/d/1Lhp9OU0JdFf_VYSMzH5lBcEaU4o8teT1piV-SNzShjg/edit?gid=554141278#gid=554141278"", ""'Char Def. - Attributes'!C20:C2242""), 1,false)"),"ALT_NUM_UOM5")</f>
        <v>ALT_NUM_UOM5</v>
      </c>
      <c r="I7586" s="136"/>
      <c r="R7586" s="63" t="str">
        <f t="shared" si="60"/>
        <v>ZSI1_BUSHINGALT_NUM_UOM5</v>
      </c>
    </row>
    <row r="7587" ht="15.75" customHeight="1">
      <c r="B7587" s="63">
        <f t="shared" si="1"/>
        <v>14</v>
      </c>
      <c r="C7587" s="135" t="s">
        <v>361</v>
      </c>
      <c r="D7587" s="161" t="s">
        <v>74</v>
      </c>
      <c r="E7587" s="135">
        <f t="shared" si="61"/>
        <v>1</v>
      </c>
      <c r="F7587" s="134" t="s">
        <v>4191</v>
      </c>
      <c r="G7587" s="63" t="str">
        <f>VLOOKUP(C7587, 'Class Def. - General Data'!$C$20:$C$1000,1,false)</f>
        <v>ZSI1_C_CHANNEL</v>
      </c>
      <c r="H7587" s="63" t="str">
        <f>IFERROR(__xludf.DUMMYFUNCTION("VLOOKUP(F7587, IMPORTRANGE(""https://docs.google.com/spreadsheets/d/1Lhp9OU0JdFf_VYSMzH5lBcEaU4o8teT1piV-SNzShjg/edit?gid=554141278#gid=554141278"", ""'Char Def. - Attributes'!C20:C2242""), 1,false)"),"ITEM_NAME_C_CHANNEL")</f>
        <v>ITEM_NAME_C_CHANNEL</v>
      </c>
      <c r="I7587" s="136"/>
      <c r="R7587" s="63" t="str">
        <f t="shared" si="60"/>
        <v>ZSI1_C_CHANNELITEM_NAME_C_CHANNEL</v>
      </c>
    </row>
    <row r="7588" ht="15.75" customHeight="1">
      <c r="B7588" s="63">
        <f t="shared" si="1"/>
        <v>14</v>
      </c>
      <c r="C7588" s="135" t="s">
        <v>361</v>
      </c>
      <c r="D7588" s="161" t="s">
        <v>74</v>
      </c>
      <c r="E7588" s="135">
        <f t="shared" si="61"/>
        <v>2</v>
      </c>
      <c r="F7588" s="134" t="s">
        <v>4192</v>
      </c>
      <c r="G7588" s="63" t="str">
        <f>VLOOKUP(C7588, 'Class Def. - General Data'!$C$20:$C$1000,1,false)</f>
        <v>ZSI1_C_CHANNEL</v>
      </c>
      <c r="H7588" s="63" t="str">
        <f>IFERROR(__xludf.DUMMYFUNCTION("VLOOKUP(F7588, IMPORTRANGE(""https://docs.google.com/spreadsheets/d/1Lhp9OU0JdFf_VYSMzH5lBcEaU4o8teT1piV-SNzShjg/edit?gid=554141278#gid=554141278"", ""'Char Def. - Attributes'!C20:C2242""), 1,false)"),"CHANNEL_MATERIAL_C_CHANNEL")</f>
        <v>CHANNEL_MATERIAL_C_CHANNEL</v>
      </c>
      <c r="I7588" s="136"/>
      <c r="R7588" s="63" t="str">
        <f t="shared" si="60"/>
        <v>ZSI1_C_CHANNELCHANNEL_MATERIAL_C_CHANNEL</v>
      </c>
    </row>
    <row r="7589" ht="15.75" customHeight="1">
      <c r="B7589" s="63">
        <f t="shared" si="1"/>
        <v>14</v>
      </c>
      <c r="C7589" s="135" t="s">
        <v>361</v>
      </c>
      <c r="D7589" s="161" t="s">
        <v>74</v>
      </c>
      <c r="E7589" s="135">
        <f t="shared" si="61"/>
        <v>3</v>
      </c>
      <c r="F7589" s="134" t="s">
        <v>4193</v>
      </c>
      <c r="G7589" s="63" t="str">
        <f>VLOOKUP(C7589, 'Class Def. - General Data'!$C$20:$C$1000,1,false)</f>
        <v>ZSI1_C_CHANNEL</v>
      </c>
      <c r="H7589" s="63" t="str">
        <f>IFERROR(__xludf.DUMMYFUNCTION("VLOOKUP(F7589, IMPORTRANGE(""https://docs.google.com/spreadsheets/d/1Lhp9OU0JdFf_VYSMzH5lBcEaU4o8teT1piV-SNzShjg/edit?gid=554141278#gid=554141278"", ""'Char Def. - Attributes'!C20:C2242""), 1,false)"),"BASE_HEIGHT_MM_C_CHANNEL")</f>
        <v>BASE_HEIGHT_MM_C_CHANNEL</v>
      </c>
      <c r="I7589" s="136"/>
      <c r="R7589" s="63" t="str">
        <f t="shared" si="60"/>
        <v>ZSI1_C_CHANNELBASE_HEIGHT_MM_C_CHANNEL</v>
      </c>
    </row>
    <row r="7590" ht="15.75" customHeight="1">
      <c r="B7590" s="63">
        <f t="shared" si="1"/>
        <v>14</v>
      </c>
      <c r="C7590" s="135" t="s">
        <v>361</v>
      </c>
      <c r="D7590" s="161" t="s">
        <v>74</v>
      </c>
      <c r="E7590" s="135">
        <f t="shared" si="61"/>
        <v>4</v>
      </c>
      <c r="F7590" s="134" t="s">
        <v>4194</v>
      </c>
      <c r="G7590" s="63" t="str">
        <f>VLOOKUP(C7590, 'Class Def. - General Data'!$C$20:$C$1000,1,false)</f>
        <v>ZSI1_C_CHANNEL</v>
      </c>
      <c r="H7590" s="63" t="str">
        <f>IFERROR(__xludf.DUMMYFUNCTION("VLOOKUP(F7590, IMPORTRANGE(""https://docs.google.com/spreadsheets/d/1Lhp9OU0JdFf_VYSMzH5lBcEaU4o8teT1piV-SNzShjg/edit?gid=554141278#gid=554141278"", ""'Char Def. - Attributes'!C20:C2242""), 1,false)"),"LEG_WIDTH_MM_C_CHANNEL")</f>
        <v>LEG_WIDTH_MM_C_CHANNEL</v>
      </c>
      <c r="I7590" s="136"/>
      <c r="R7590" s="63" t="str">
        <f t="shared" si="60"/>
        <v>ZSI1_C_CHANNELLEG_WIDTH_MM_C_CHANNEL</v>
      </c>
    </row>
    <row r="7591" ht="15.75" customHeight="1">
      <c r="B7591" s="63">
        <f t="shared" si="1"/>
        <v>14</v>
      </c>
      <c r="C7591" s="135" t="s">
        <v>361</v>
      </c>
      <c r="D7591" s="161" t="s">
        <v>74</v>
      </c>
      <c r="E7591" s="135">
        <f t="shared" si="61"/>
        <v>5</v>
      </c>
      <c r="F7591" s="134" t="s">
        <v>4195</v>
      </c>
      <c r="G7591" s="63" t="str">
        <f>VLOOKUP(C7591, 'Class Def. - General Data'!$C$20:$C$1000,1,false)</f>
        <v>ZSI1_C_CHANNEL</v>
      </c>
      <c r="H7591" s="63" t="str">
        <f>IFERROR(__xludf.DUMMYFUNCTION("VLOOKUP(F7591, IMPORTRANGE(""https://docs.google.com/spreadsheets/d/1Lhp9OU0JdFf_VYSMzH5lBcEaU4o8teT1piV-SNzShjg/edit?gid=554141278#gid=554141278"", ""'Char Def. - Attributes'!C20:C2242""), 1,false)"),"CHANNEL_THICKNESS_MM_C_CHANNEL")</f>
        <v>CHANNEL_THICKNESS_MM_C_CHANNEL</v>
      </c>
      <c r="I7591" s="136"/>
      <c r="R7591" s="63" t="str">
        <f t="shared" si="60"/>
        <v>ZSI1_C_CHANNELCHANNEL_THICKNESS_MM_C_CHANNEL</v>
      </c>
    </row>
    <row r="7592" ht="15.75" customHeight="1">
      <c r="B7592" s="63">
        <f t="shared" si="1"/>
        <v>14</v>
      </c>
      <c r="C7592" s="135" t="s">
        <v>361</v>
      </c>
      <c r="D7592" s="161" t="s">
        <v>74</v>
      </c>
      <c r="E7592" s="135">
        <f t="shared" si="61"/>
        <v>6</v>
      </c>
      <c r="F7592" s="134" t="s">
        <v>4196</v>
      </c>
      <c r="G7592" s="63" t="str">
        <f>VLOOKUP(C7592, 'Class Def. - General Data'!$C$20:$C$1000,1,false)</f>
        <v>ZSI1_C_CHANNEL</v>
      </c>
      <c r="H7592" s="63" t="str">
        <f>IFERROR(__xludf.DUMMYFUNCTION("VLOOKUP(F7592, IMPORTRANGE(""https://docs.google.com/spreadsheets/d/1Lhp9OU0JdFf_VYSMzH5lBcEaU4o8teT1piV-SNzShjg/edit?gid=554141278#gid=554141278"", ""'Char Def. - Attributes'!C20:C2242""), 1,false)"),"FILLET_HEIGHT_MM_C_CHANNEL")</f>
        <v>FILLET_HEIGHT_MM_C_CHANNEL</v>
      </c>
      <c r="I7592" s="136"/>
      <c r="R7592" s="63" t="str">
        <f t="shared" si="60"/>
        <v>ZSI1_C_CHANNELFILLET_HEIGHT_MM_C_CHANNEL</v>
      </c>
    </row>
    <row r="7593" ht="15.75" customHeight="1">
      <c r="B7593" s="63">
        <f t="shared" si="1"/>
        <v>14</v>
      </c>
      <c r="C7593" s="135" t="s">
        <v>361</v>
      </c>
      <c r="D7593" s="161" t="s">
        <v>74</v>
      </c>
      <c r="E7593" s="135">
        <f t="shared" si="61"/>
        <v>7</v>
      </c>
      <c r="F7593" s="134" t="s">
        <v>4197</v>
      </c>
      <c r="G7593" s="63" t="str">
        <f>VLOOKUP(C7593, 'Class Def. - General Data'!$C$20:$C$1000,1,false)</f>
        <v>ZSI1_C_CHANNEL</v>
      </c>
      <c r="H7593" s="63" t="str">
        <f>IFERROR(__xludf.DUMMYFUNCTION("VLOOKUP(F7593, IMPORTRANGE(""https://docs.google.com/spreadsheets/d/1Lhp9OU0JdFf_VYSMzH5lBcEaU4o8teT1piV-SNzShjg/edit?gid=554141278#gid=554141278"", ""'Char Def. - Attributes'!C20:C2242""), 1,false)"),"OVERALL_LENGTH_M_C_CHANNEL")</f>
        <v>OVERALL_LENGTH_M_C_CHANNEL</v>
      </c>
      <c r="I7593" s="136"/>
      <c r="R7593" s="63" t="str">
        <f t="shared" si="60"/>
        <v>ZSI1_C_CHANNELOVERALL_LENGTH_M_C_CHANNEL</v>
      </c>
    </row>
    <row r="7594" ht="15.75" customHeight="1">
      <c r="B7594" s="63">
        <f t="shared" si="1"/>
        <v>14</v>
      </c>
      <c r="C7594" s="135" t="s">
        <v>361</v>
      </c>
      <c r="D7594" s="161" t="s">
        <v>74</v>
      </c>
      <c r="E7594" s="135">
        <f t="shared" si="61"/>
        <v>8</v>
      </c>
      <c r="F7594" s="134" t="s">
        <v>4053</v>
      </c>
      <c r="G7594" s="63" t="str">
        <f>VLOOKUP(C7594, 'Class Def. - General Data'!$C$20:$C$1000,1,false)</f>
        <v>ZSI1_C_CHANNEL</v>
      </c>
      <c r="H7594" s="63" t="str">
        <f>IFERROR(__xludf.DUMMYFUNCTION("VLOOKUP(F7594, IMPORTRANGE(""https://docs.google.com/spreadsheets/d/1Lhp9OU0JdFf_VYSMzH5lBcEaU4o8teT1piV-SNzShjg/edit?gid=554141278#gid=554141278"", ""'Char Def. - Attributes'!C20:C2242""), 1,false)"),"MAINTENANCE_ORDER_TYPE")</f>
        <v>MAINTENANCE_ORDER_TYPE</v>
      </c>
      <c r="I7594" s="136"/>
      <c r="R7594" s="63" t="str">
        <f t="shared" si="60"/>
        <v>ZSI1_C_CHANNELMAINTENANCE_ORDER_TYPE</v>
      </c>
    </row>
    <row r="7595" ht="15.75" customHeight="1">
      <c r="B7595" s="63">
        <f t="shared" si="1"/>
        <v>14</v>
      </c>
      <c r="C7595" s="135" t="s">
        <v>361</v>
      </c>
      <c r="D7595" s="161" t="s">
        <v>74</v>
      </c>
      <c r="E7595" s="135">
        <f t="shared" si="61"/>
        <v>9</v>
      </c>
      <c r="F7595" s="134" t="s">
        <v>3585</v>
      </c>
      <c r="G7595" s="63" t="str">
        <f>VLOOKUP(C7595, 'Class Def. - General Data'!$C$20:$C$1000,1,false)</f>
        <v>ZSI1_C_CHANNEL</v>
      </c>
      <c r="H7595" s="63" t="str">
        <f>IFERROR(__xludf.DUMMYFUNCTION("VLOOKUP(F7595, IMPORTRANGE(""https://docs.google.com/spreadsheets/d/1Lhp9OU0JdFf_VYSMzH5lBcEaU4o8teT1piV-SNzShjg/edit?gid=554141278#gid=554141278"", ""'Char Def. - Attributes'!C20:C2242""), 1,false)"),"HS_CODE")</f>
        <v>HS_CODE</v>
      </c>
      <c r="I7595" s="136"/>
      <c r="R7595" s="63" t="str">
        <f t="shared" si="60"/>
        <v>ZSI1_C_CHANNELHS_CODE</v>
      </c>
    </row>
    <row r="7596" ht="15.75" customHeight="1">
      <c r="B7596" s="63">
        <f t="shared" si="1"/>
        <v>14</v>
      </c>
      <c r="C7596" s="135" t="s">
        <v>361</v>
      </c>
      <c r="D7596" s="161" t="s">
        <v>74</v>
      </c>
      <c r="E7596" s="135">
        <f t="shared" si="61"/>
        <v>10</v>
      </c>
      <c r="F7596" s="134" t="s">
        <v>3587</v>
      </c>
      <c r="G7596" s="63" t="str">
        <f>VLOOKUP(C7596, 'Class Def. - General Data'!$C$20:$C$1000,1,false)</f>
        <v>ZSI1_C_CHANNEL</v>
      </c>
      <c r="H7596" s="63" t="str">
        <f>IFERROR(__xludf.DUMMYFUNCTION("VLOOKUP(F7596, IMPORTRANGE(""https://docs.google.com/spreadsheets/d/1Lhp9OU0JdFf_VYSMzH5lBcEaU4o8teT1piV-SNzShjg/edit?gid=554141278#gid=554141278"", ""'Char Def. - Attributes'!C20:C2242""), 1,false)"),"PLANT_BUY")</f>
        <v>PLANT_BUY</v>
      </c>
      <c r="I7596" s="136"/>
      <c r="R7596" s="63" t="str">
        <f t="shared" si="60"/>
        <v>ZSI1_C_CHANNELPLANT_BUY</v>
      </c>
    </row>
    <row r="7597" ht="15.75" customHeight="1">
      <c r="B7597" s="63">
        <f t="shared" si="1"/>
        <v>14</v>
      </c>
      <c r="C7597" s="135" t="s">
        <v>361</v>
      </c>
      <c r="D7597" s="161" t="s">
        <v>74</v>
      </c>
      <c r="E7597" s="135">
        <f t="shared" si="61"/>
        <v>11</v>
      </c>
      <c r="F7597" s="134" t="s">
        <v>4198</v>
      </c>
      <c r="G7597" s="63" t="str">
        <f>VLOOKUP(C7597, 'Class Def. - General Data'!$C$20:$C$1000,1,false)</f>
        <v>ZSI1_C_CHANNEL</v>
      </c>
      <c r="H7597" s="63" t="str">
        <f>IFERROR(__xludf.DUMMYFUNCTION("VLOOKUP(F7597, IMPORTRANGE(""https://docs.google.com/spreadsheets/d/1Lhp9OU0JdFf_VYSMzH5lBcEaU4o8teT1piV-SNzShjg/edit?gid=554141278#gid=554141278"", ""'Char Def. - Attributes'!C20:C2242""), 1,false)"),"BASE_UOM_C_CHANNEL")</f>
        <v>BASE_UOM_C_CHANNEL</v>
      </c>
      <c r="I7597" s="136"/>
      <c r="R7597" s="63" t="str">
        <f t="shared" si="60"/>
        <v>ZSI1_C_CHANNELBASE_UOM_C_CHANNEL</v>
      </c>
    </row>
    <row r="7598" ht="15.75" customHeight="1">
      <c r="B7598" s="63">
        <f t="shared" si="1"/>
        <v>14</v>
      </c>
      <c r="C7598" s="135" t="s">
        <v>361</v>
      </c>
      <c r="D7598" s="161" t="s">
        <v>74</v>
      </c>
      <c r="E7598" s="135">
        <f t="shared" si="61"/>
        <v>12</v>
      </c>
      <c r="F7598" s="134" t="s">
        <v>4199</v>
      </c>
      <c r="G7598" s="63" t="str">
        <f>VLOOKUP(C7598, 'Class Def. - General Data'!$C$20:$C$1000,1,false)</f>
        <v>ZSI1_C_CHANNEL</v>
      </c>
      <c r="H7598" s="63" t="str">
        <f>IFERROR(__xludf.DUMMYFUNCTION("VLOOKUP(F7598, IMPORTRANGE(""https://docs.google.com/spreadsheets/d/1Lhp9OU0JdFf_VYSMzH5lBcEaU4o8teT1piV-SNzShjg/edit?gid=554141278#gid=554141278"", ""'Char Def. - Attributes'!C20:C2242""), 1,false)"),"ORDER_UNIT_C_CHANNEL")</f>
        <v>ORDER_UNIT_C_CHANNEL</v>
      </c>
      <c r="I7598" s="136"/>
      <c r="R7598" s="63" t="str">
        <f t="shared" si="60"/>
        <v>ZSI1_C_CHANNELORDER_UNIT_C_CHANNEL</v>
      </c>
    </row>
    <row r="7599" ht="15.75" customHeight="1">
      <c r="B7599" s="63">
        <f t="shared" si="1"/>
        <v>14</v>
      </c>
      <c r="C7599" s="135" t="s">
        <v>361</v>
      </c>
      <c r="D7599" s="161" t="s">
        <v>74</v>
      </c>
      <c r="E7599" s="135">
        <f t="shared" si="61"/>
        <v>13</v>
      </c>
      <c r="F7599" s="134" t="s">
        <v>4056</v>
      </c>
      <c r="G7599" s="63" t="str">
        <f>VLOOKUP(C7599, 'Class Def. - General Data'!$C$20:$C$1000,1,false)</f>
        <v>ZSI1_C_CHANNEL</v>
      </c>
      <c r="H7599" s="63" t="str">
        <f>IFERROR(__xludf.DUMMYFUNCTION("VLOOKUP(F7599, IMPORTRANGE(""https://docs.google.com/spreadsheets/d/1Lhp9OU0JdFf_VYSMzH5lBcEaU4o8teT1piV-SNzShjg/edit?gid=554141278#gid=554141278"", ""'Char Def. - Attributes'!C20:C2242""), 1,false)"),"GROSS_WEIGHT_OPT")</f>
        <v>GROSS_WEIGHT_OPT</v>
      </c>
      <c r="I7599" s="136"/>
      <c r="R7599" s="63" t="str">
        <f t="shared" si="60"/>
        <v>ZSI1_C_CHANNELGROSS_WEIGHT_OPT</v>
      </c>
    </row>
    <row r="7600" ht="15.75" customHeight="1">
      <c r="B7600" s="63">
        <f t="shared" si="1"/>
        <v>14</v>
      </c>
      <c r="C7600" s="135" t="s">
        <v>361</v>
      </c>
      <c r="D7600" s="161" t="s">
        <v>74</v>
      </c>
      <c r="E7600" s="135">
        <f t="shared" si="61"/>
        <v>14</v>
      </c>
      <c r="F7600" s="134" t="s">
        <v>4057</v>
      </c>
      <c r="G7600" s="63" t="str">
        <f>VLOOKUP(C7600, 'Class Def. - General Data'!$C$20:$C$1000,1,false)</f>
        <v>ZSI1_C_CHANNEL</v>
      </c>
      <c r="H7600" s="63" t="str">
        <f>IFERROR(__xludf.DUMMYFUNCTION("VLOOKUP(F7600, IMPORTRANGE(""https://docs.google.com/spreadsheets/d/1Lhp9OU0JdFf_VYSMzH5lBcEaU4o8teT1piV-SNzShjg/edit?gid=554141278#gid=554141278"", ""'Char Def. - Attributes'!C20:C2242""), 1,false)"),"NET_WEIGHT_OPT")</f>
        <v>NET_WEIGHT_OPT</v>
      </c>
      <c r="I7600" s="136"/>
      <c r="R7600" s="63" t="str">
        <f t="shared" si="60"/>
        <v>ZSI1_C_CHANNELNET_WEIGHT_OPT</v>
      </c>
    </row>
    <row r="7601" ht="15.75" customHeight="1">
      <c r="B7601" s="63">
        <f t="shared" si="1"/>
        <v>14</v>
      </c>
      <c r="C7601" s="135" t="s">
        <v>361</v>
      </c>
      <c r="D7601" s="161" t="s">
        <v>74</v>
      </c>
      <c r="E7601" s="135">
        <f t="shared" si="61"/>
        <v>15</v>
      </c>
      <c r="F7601" s="134" t="s">
        <v>4058</v>
      </c>
      <c r="G7601" s="63" t="str">
        <f>VLOOKUP(C7601, 'Class Def. - General Data'!$C$20:$C$1000,1,false)</f>
        <v>ZSI1_C_CHANNEL</v>
      </c>
      <c r="H7601" s="63" t="str">
        <f>IFERROR(__xludf.DUMMYFUNCTION("VLOOKUP(F7601, IMPORTRANGE(""https://docs.google.com/spreadsheets/d/1Lhp9OU0JdFf_VYSMzH5lBcEaU4o8teT1piV-SNzShjg/edit?gid=554141278#gid=554141278"", ""'Char Def. - Attributes'!C20:C2242""), 1,false)"),"WEIGHT_UNIT_SI")</f>
        <v>WEIGHT_UNIT_SI</v>
      </c>
      <c r="I7601" s="136"/>
      <c r="R7601" s="63" t="str">
        <f t="shared" si="60"/>
        <v>ZSI1_C_CHANNELWEIGHT_UNIT_SI</v>
      </c>
    </row>
    <row r="7602" ht="15.75" customHeight="1">
      <c r="B7602" s="63">
        <f t="shared" si="1"/>
        <v>14</v>
      </c>
      <c r="C7602" s="135" t="s">
        <v>361</v>
      </c>
      <c r="D7602" s="161" t="s">
        <v>74</v>
      </c>
      <c r="E7602" s="135">
        <f t="shared" si="61"/>
        <v>16</v>
      </c>
      <c r="F7602" s="134" t="s">
        <v>3877</v>
      </c>
      <c r="G7602" s="63" t="str">
        <f>VLOOKUP(C7602, 'Class Def. - General Data'!$C$20:$C$1000,1,false)</f>
        <v>ZSI1_C_CHANNEL</v>
      </c>
      <c r="H7602" s="63" t="str">
        <f>IFERROR(__xludf.DUMMYFUNCTION("VLOOKUP(F7602, IMPORTRANGE(""https://docs.google.com/spreadsheets/d/1Lhp9OU0JdFf_VYSMzH5lBcEaU4o8teT1piV-SNzShjg/edit?gid=554141278#gid=554141278"", ""'Char Def. - Attributes'!C20:C2242""), 1,false)"),"VOLUME_OPT")</f>
        <v>VOLUME_OPT</v>
      </c>
      <c r="I7602" s="136"/>
      <c r="R7602" s="63" t="str">
        <f t="shared" si="60"/>
        <v>ZSI1_C_CHANNELVOLUME_OPT</v>
      </c>
    </row>
    <row r="7603" ht="15.75" customHeight="1">
      <c r="B7603" s="63">
        <f t="shared" si="1"/>
        <v>14</v>
      </c>
      <c r="C7603" s="135" t="s">
        <v>361</v>
      </c>
      <c r="D7603" s="161" t="s">
        <v>74</v>
      </c>
      <c r="E7603" s="135">
        <f t="shared" si="61"/>
        <v>17</v>
      </c>
      <c r="F7603" s="134" t="s">
        <v>4059</v>
      </c>
      <c r="G7603" s="63" t="str">
        <f>VLOOKUP(C7603, 'Class Def. - General Data'!$C$20:$C$1000,1,false)</f>
        <v>ZSI1_C_CHANNEL</v>
      </c>
      <c r="H7603" s="63" t="str">
        <f>IFERROR(__xludf.DUMMYFUNCTION("VLOOKUP(F7603, IMPORTRANGE(""https://docs.google.com/spreadsheets/d/1Lhp9OU0JdFf_VYSMzH5lBcEaU4o8teT1piV-SNzShjg/edit?gid=554141278#gid=554141278"", ""'Char Def. - Attributes'!C20:C2242""), 1,false)"),"VOLUME_UNIT_SI")</f>
        <v>VOLUME_UNIT_SI</v>
      </c>
      <c r="I7603" s="136"/>
      <c r="R7603" s="63" t="str">
        <f t="shared" si="60"/>
        <v>ZSI1_C_CHANNELVOLUME_UNIT_SI</v>
      </c>
    </row>
    <row r="7604" ht="15.75" customHeight="1">
      <c r="B7604" s="63">
        <f t="shared" si="1"/>
        <v>14</v>
      </c>
      <c r="C7604" s="135" t="s">
        <v>361</v>
      </c>
      <c r="D7604" s="161" t="s">
        <v>74</v>
      </c>
      <c r="E7604" s="135">
        <f t="shared" si="61"/>
        <v>18</v>
      </c>
      <c r="F7604" s="134" t="s">
        <v>3804</v>
      </c>
      <c r="G7604" s="63" t="str">
        <f>VLOOKUP(C7604, 'Class Def. - General Data'!$C$20:$C$1000,1,false)</f>
        <v>ZSI1_C_CHANNEL</v>
      </c>
      <c r="H7604" s="63" t="str">
        <f>IFERROR(__xludf.DUMMYFUNCTION("VLOOKUP(F7604, IMPORTRANGE(""https://docs.google.com/spreadsheets/d/1Lhp9OU0JdFf_VYSMzH5lBcEaU4o8teT1piV-SNzShjg/edit?gid=554141278#gid=554141278"", ""'Char Def. - Attributes'!C20:C2242""), 1,false)"),"ALT_UOM1_SIPI")</f>
        <v>ALT_UOM1_SIPI</v>
      </c>
      <c r="I7604" s="136"/>
      <c r="R7604" s="63" t="str">
        <f t="shared" si="60"/>
        <v>ZSI1_C_CHANNELALT_UOM1_SIPI</v>
      </c>
    </row>
    <row r="7605" ht="15.75" customHeight="1">
      <c r="B7605" s="63">
        <f t="shared" si="1"/>
        <v>14</v>
      </c>
      <c r="C7605" s="135" t="s">
        <v>361</v>
      </c>
      <c r="D7605" s="161" t="s">
        <v>74</v>
      </c>
      <c r="E7605" s="135">
        <f t="shared" si="61"/>
        <v>19</v>
      </c>
      <c r="F7605" s="134" t="s">
        <v>3805</v>
      </c>
      <c r="G7605" s="63" t="str">
        <f>VLOOKUP(C7605, 'Class Def. - General Data'!$C$20:$C$1000,1,false)</f>
        <v>ZSI1_C_CHANNEL</v>
      </c>
      <c r="H7605" s="63" t="str">
        <f>IFERROR(__xludf.DUMMYFUNCTION("VLOOKUP(F7605, IMPORTRANGE(""https://docs.google.com/spreadsheets/d/1Lhp9OU0JdFf_VYSMzH5lBcEaU4o8teT1piV-SNzShjg/edit?gid=554141278#gid=554141278"", ""'Char Def. - Attributes'!C20:C2242""), 1,false)"),"ALT_DENUM_UOM1")</f>
        <v>ALT_DENUM_UOM1</v>
      </c>
      <c r="I7605" s="136"/>
      <c r="R7605" s="63" t="str">
        <f t="shared" si="60"/>
        <v>ZSI1_C_CHANNELALT_DENUM_UOM1</v>
      </c>
    </row>
    <row r="7606" ht="15.75" customHeight="1">
      <c r="B7606" s="63">
        <f t="shared" si="1"/>
        <v>14</v>
      </c>
      <c r="C7606" s="135" t="s">
        <v>361</v>
      </c>
      <c r="D7606" s="161" t="s">
        <v>74</v>
      </c>
      <c r="E7606" s="135">
        <f t="shared" si="61"/>
        <v>20</v>
      </c>
      <c r="F7606" s="134" t="s">
        <v>3806</v>
      </c>
      <c r="G7606" s="63" t="str">
        <f>VLOOKUP(C7606, 'Class Def. - General Data'!$C$20:$C$1000,1,false)</f>
        <v>ZSI1_C_CHANNEL</v>
      </c>
      <c r="H7606" s="63" t="str">
        <f>IFERROR(__xludf.DUMMYFUNCTION("VLOOKUP(F7606, IMPORTRANGE(""https://docs.google.com/spreadsheets/d/1Lhp9OU0JdFf_VYSMzH5lBcEaU4o8teT1piV-SNzShjg/edit?gid=554141278#gid=554141278"", ""'Char Def. - Attributes'!C20:C2242""), 1,false)"),"ALT_NUM_UOM1")</f>
        <v>ALT_NUM_UOM1</v>
      </c>
      <c r="I7606" s="136"/>
      <c r="R7606" s="63" t="str">
        <f t="shared" si="60"/>
        <v>ZSI1_C_CHANNELALT_NUM_UOM1</v>
      </c>
    </row>
    <row r="7607" ht="15.75" customHeight="1">
      <c r="B7607" s="63">
        <f t="shared" si="1"/>
        <v>14</v>
      </c>
      <c r="C7607" s="135" t="s">
        <v>361</v>
      </c>
      <c r="D7607" s="161" t="s">
        <v>74</v>
      </c>
      <c r="E7607" s="135">
        <f t="shared" si="61"/>
        <v>21</v>
      </c>
      <c r="F7607" s="134" t="s">
        <v>3807</v>
      </c>
      <c r="G7607" s="63" t="str">
        <f>VLOOKUP(C7607, 'Class Def. - General Data'!$C$20:$C$1000,1,false)</f>
        <v>ZSI1_C_CHANNEL</v>
      </c>
      <c r="H7607" s="63" t="str">
        <f>IFERROR(__xludf.DUMMYFUNCTION("VLOOKUP(F7607, IMPORTRANGE(""https://docs.google.com/spreadsheets/d/1Lhp9OU0JdFf_VYSMzH5lBcEaU4o8teT1piV-SNzShjg/edit?gid=554141278#gid=554141278"", ""'Char Def. - Attributes'!C20:C2242""), 1,false)"),"ALT_UOM2_SIPI")</f>
        <v>ALT_UOM2_SIPI</v>
      </c>
      <c r="I7607" s="136"/>
      <c r="R7607" s="63" t="str">
        <f t="shared" si="60"/>
        <v>ZSI1_C_CHANNELALT_UOM2_SIPI</v>
      </c>
    </row>
    <row r="7608" ht="15.75" customHeight="1">
      <c r="B7608" s="63">
        <f t="shared" si="1"/>
        <v>14</v>
      </c>
      <c r="C7608" s="135" t="s">
        <v>361</v>
      </c>
      <c r="D7608" s="161" t="s">
        <v>74</v>
      </c>
      <c r="E7608" s="135">
        <f t="shared" si="61"/>
        <v>22</v>
      </c>
      <c r="F7608" s="134" t="s">
        <v>3808</v>
      </c>
      <c r="G7608" s="63" t="str">
        <f>VLOOKUP(C7608, 'Class Def. - General Data'!$C$20:$C$1000,1,false)</f>
        <v>ZSI1_C_CHANNEL</v>
      </c>
      <c r="H7608" s="63" t="str">
        <f>IFERROR(__xludf.DUMMYFUNCTION("VLOOKUP(F7608, IMPORTRANGE(""https://docs.google.com/spreadsheets/d/1Lhp9OU0JdFf_VYSMzH5lBcEaU4o8teT1piV-SNzShjg/edit?gid=554141278#gid=554141278"", ""'Char Def. - Attributes'!C20:C2242""), 1,false)"),"ALT_DENUM_UOM2")</f>
        <v>ALT_DENUM_UOM2</v>
      </c>
      <c r="I7608" s="136"/>
      <c r="R7608" s="63" t="str">
        <f t="shared" si="60"/>
        <v>ZSI1_C_CHANNELALT_DENUM_UOM2</v>
      </c>
    </row>
    <row r="7609" ht="15.75" customHeight="1">
      <c r="B7609" s="63">
        <f t="shared" si="1"/>
        <v>14</v>
      </c>
      <c r="C7609" s="135" t="s">
        <v>361</v>
      </c>
      <c r="D7609" s="161" t="s">
        <v>74</v>
      </c>
      <c r="E7609" s="135">
        <f t="shared" si="61"/>
        <v>23</v>
      </c>
      <c r="F7609" s="134" t="s">
        <v>3809</v>
      </c>
      <c r="G7609" s="63" t="str">
        <f>VLOOKUP(C7609, 'Class Def. - General Data'!$C$20:$C$1000,1,false)</f>
        <v>ZSI1_C_CHANNEL</v>
      </c>
      <c r="H7609" s="63" t="str">
        <f>IFERROR(__xludf.DUMMYFUNCTION("VLOOKUP(F7609, IMPORTRANGE(""https://docs.google.com/spreadsheets/d/1Lhp9OU0JdFf_VYSMzH5lBcEaU4o8teT1piV-SNzShjg/edit?gid=554141278#gid=554141278"", ""'Char Def. - Attributes'!C20:C2242""), 1,false)"),"ALT_NUM_UOM2")</f>
        <v>ALT_NUM_UOM2</v>
      </c>
      <c r="I7609" s="136"/>
      <c r="R7609" s="63" t="str">
        <f t="shared" si="60"/>
        <v>ZSI1_C_CHANNELALT_NUM_UOM2</v>
      </c>
    </row>
    <row r="7610" ht="15.75" customHeight="1">
      <c r="B7610" s="63">
        <f t="shared" si="1"/>
        <v>14</v>
      </c>
      <c r="C7610" s="135" t="s">
        <v>361</v>
      </c>
      <c r="D7610" s="161" t="s">
        <v>74</v>
      </c>
      <c r="E7610" s="135">
        <f t="shared" si="61"/>
        <v>24</v>
      </c>
      <c r="F7610" s="134" t="s">
        <v>3810</v>
      </c>
      <c r="G7610" s="63" t="str">
        <f>VLOOKUP(C7610, 'Class Def. - General Data'!$C$20:$C$1000,1,false)</f>
        <v>ZSI1_C_CHANNEL</v>
      </c>
      <c r="H7610" s="63" t="str">
        <f>IFERROR(__xludf.DUMMYFUNCTION("VLOOKUP(F7610, IMPORTRANGE(""https://docs.google.com/spreadsheets/d/1Lhp9OU0JdFf_VYSMzH5lBcEaU4o8teT1piV-SNzShjg/edit?gid=554141278#gid=554141278"", ""'Char Def. - Attributes'!C20:C2242""), 1,false)"),"ALT_UOM3_SIPI")</f>
        <v>ALT_UOM3_SIPI</v>
      </c>
      <c r="I7610" s="136"/>
      <c r="R7610" s="63" t="str">
        <f t="shared" si="60"/>
        <v>ZSI1_C_CHANNELALT_UOM3_SIPI</v>
      </c>
    </row>
    <row r="7611" ht="15.75" customHeight="1">
      <c r="B7611" s="63">
        <f t="shared" si="1"/>
        <v>14</v>
      </c>
      <c r="C7611" s="135" t="s">
        <v>361</v>
      </c>
      <c r="D7611" s="161" t="s">
        <v>74</v>
      </c>
      <c r="E7611" s="135">
        <f t="shared" si="61"/>
        <v>25</v>
      </c>
      <c r="F7611" s="134" t="s">
        <v>3811</v>
      </c>
      <c r="G7611" s="63" t="str">
        <f>VLOOKUP(C7611, 'Class Def. - General Data'!$C$20:$C$1000,1,false)</f>
        <v>ZSI1_C_CHANNEL</v>
      </c>
      <c r="H7611" s="63" t="str">
        <f>IFERROR(__xludf.DUMMYFUNCTION("VLOOKUP(F7611, IMPORTRANGE(""https://docs.google.com/spreadsheets/d/1Lhp9OU0JdFf_VYSMzH5lBcEaU4o8teT1piV-SNzShjg/edit?gid=554141278#gid=554141278"", ""'Char Def. - Attributes'!C20:C2242""), 1,false)"),"ALT_DENUM_UOM3")</f>
        <v>ALT_DENUM_UOM3</v>
      </c>
      <c r="I7611" s="136"/>
      <c r="R7611" s="63" t="str">
        <f t="shared" si="60"/>
        <v>ZSI1_C_CHANNELALT_DENUM_UOM3</v>
      </c>
    </row>
    <row r="7612" ht="15.75" customHeight="1">
      <c r="B7612" s="63">
        <f t="shared" si="1"/>
        <v>14</v>
      </c>
      <c r="C7612" s="135" t="s">
        <v>361</v>
      </c>
      <c r="D7612" s="161" t="s">
        <v>74</v>
      </c>
      <c r="E7612" s="135">
        <f t="shared" si="61"/>
        <v>26</v>
      </c>
      <c r="F7612" s="134" t="s">
        <v>3812</v>
      </c>
      <c r="G7612" s="63" t="str">
        <f>VLOOKUP(C7612, 'Class Def. - General Data'!$C$20:$C$1000,1,false)</f>
        <v>ZSI1_C_CHANNEL</v>
      </c>
      <c r="H7612" s="63" t="str">
        <f>IFERROR(__xludf.DUMMYFUNCTION("VLOOKUP(F7612, IMPORTRANGE(""https://docs.google.com/spreadsheets/d/1Lhp9OU0JdFf_VYSMzH5lBcEaU4o8teT1piV-SNzShjg/edit?gid=554141278#gid=554141278"", ""'Char Def. - Attributes'!C20:C2242""), 1,false)"),"ALT_NUM_UOM3")</f>
        <v>ALT_NUM_UOM3</v>
      </c>
      <c r="I7612" s="136"/>
      <c r="R7612" s="63" t="str">
        <f t="shared" si="60"/>
        <v>ZSI1_C_CHANNELALT_NUM_UOM3</v>
      </c>
    </row>
    <row r="7613" ht="15.75" customHeight="1">
      <c r="B7613" s="63">
        <f t="shared" si="1"/>
        <v>14</v>
      </c>
      <c r="C7613" s="135" t="s">
        <v>361</v>
      </c>
      <c r="D7613" s="161" t="s">
        <v>74</v>
      </c>
      <c r="E7613" s="135">
        <f t="shared" si="61"/>
        <v>27</v>
      </c>
      <c r="F7613" s="134" t="s">
        <v>3813</v>
      </c>
      <c r="G7613" s="63" t="str">
        <f>VLOOKUP(C7613, 'Class Def. - General Data'!$C$20:$C$1000,1,false)</f>
        <v>ZSI1_C_CHANNEL</v>
      </c>
      <c r="H7613" s="63" t="str">
        <f>IFERROR(__xludf.DUMMYFUNCTION("VLOOKUP(F7613, IMPORTRANGE(""https://docs.google.com/spreadsheets/d/1Lhp9OU0JdFf_VYSMzH5lBcEaU4o8teT1piV-SNzShjg/edit?gid=554141278#gid=554141278"", ""'Char Def. - Attributes'!C20:C2242""), 1,false)"),"ALT_UOM4_SIPI")</f>
        <v>ALT_UOM4_SIPI</v>
      </c>
      <c r="I7613" s="136"/>
      <c r="R7613" s="63" t="str">
        <f t="shared" si="60"/>
        <v>ZSI1_C_CHANNELALT_UOM4_SIPI</v>
      </c>
    </row>
    <row r="7614" ht="15.75" customHeight="1">
      <c r="B7614" s="63">
        <f t="shared" si="1"/>
        <v>14</v>
      </c>
      <c r="C7614" s="135" t="s">
        <v>361</v>
      </c>
      <c r="D7614" s="161" t="s">
        <v>74</v>
      </c>
      <c r="E7614" s="135">
        <f t="shared" si="61"/>
        <v>28</v>
      </c>
      <c r="F7614" s="134" t="s">
        <v>3814</v>
      </c>
      <c r="G7614" s="63" t="str">
        <f>VLOOKUP(C7614, 'Class Def. - General Data'!$C$20:$C$1000,1,false)</f>
        <v>ZSI1_C_CHANNEL</v>
      </c>
      <c r="H7614" s="63" t="str">
        <f>IFERROR(__xludf.DUMMYFUNCTION("VLOOKUP(F7614, IMPORTRANGE(""https://docs.google.com/spreadsheets/d/1Lhp9OU0JdFf_VYSMzH5lBcEaU4o8teT1piV-SNzShjg/edit?gid=554141278#gid=554141278"", ""'Char Def. - Attributes'!C20:C2242""), 1,false)"),"ALT_DENUM_UOM4")</f>
        <v>ALT_DENUM_UOM4</v>
      </c>
      <c r="I7614" s="136"/>
      <c r="R7614" s="63" t="str">
        <f t="shared" si="60"/>
        <v>ZSI1_C_CHANNELALT_DENUM_UOM4</v>
      </c>
    </row>
    <row r="7615" ht="15.75" customHeight="1">
      <c r="B7615" s="63">
        <f t="shared" si="1"/>
        <v>14</v>
      </c>
      <c r="C7615" s="135" t="s">
        <v>361</v>
      </c>
      <c r="D7615" s="161" t="s">
        <v>74</v>
      </c>
      <c r="E7615" s="135">
        <f t="shared" si="61"/>
        <v>29</v>
      </c>
      <c r="F7615" s="134" t="s">
        <v>3815</v>
      </c>
      <c r="G7615" s="63" t="str">
        <f>VLOOKUP(C7615, 'Class Def. - General Data'!$C$20:$C$1000,1,false)</f>
        <v>ZSI1_C_CHANNEL</v>
      </c>
      <c r="H7615" s="63" t="str">
        <f>IFERROR(__xludf.DUMMYFUNCTION("VLOOKUP(F7615, IMPORTRANGE(""https://docs.google.com/spreadsheets/d/1Lhp9OU0JdFf_VYSMzH5lBcEaU4o8teT1piV-SNzShjg/edit?gid=554141278#gid=554141278"", ""'Char Def. - Attributes'!C20:C2242""), 1,false)"),"ALT_NUM_UOM4")</f>
        <v>ALT_NUM_UOM4</v>
      </c>
      <c r="I7615" s="136"/>
      <c r="R7615" s="63" t="str">
        <f t="shared" si="60"/>
        <v>ZSI1_C_CHANNELALT_NUM_UOM4</v>
      </c>
    </row>
    <row r="7616" ht="15.75" customHeight="1">
      <c r="B7616" s="63">
        <f t="shared" si="1"/>
        <v>14</v>
      </c>
      <c r="C7616" s="135" t="s">
        <v>361</v>
      </c>
      <c r="D7616" s="161" t="s">
        <v>74</v>
      </c>
      <c r="E7616" s="135">
        <f t="shared" si="61"/>
        <v>30</v>
      </c>
      <c r="F7616" s="134" t="s">
        <v>3816</v>
      </c>
      <c r="G7616" s="63" t="str">
        <f>VLOOKUP(C7616, 'Class Def. - General Data'!$C$20:$C$1000,1,false)</f>
        <v>ZSI1_C_CHANNEL</v>
      </c>
      <c r="H7616" s="63" t="str">
        <f>IFERROR(__xludf.DUMMYFUNCTION("VLOOKUP(F7616, IMPORTRANGE(""https://docs.google.com/spreadsheets/d/1Lhp9OU0JdFf_VYSMzH5lBcEaU4o8teT1piV-SNzShjg/edit?gid=554141278#gid=554141278"", ""'Char Def. - Attributes'!C20:C2242""), 1,false)"),"ALT_UOM5_SIPI")</f>
        <v>ALT_UOM5_SIPI</v>
      </c>
      <c r="I7616" s="136"/>
      <c r="R7616" s="63" t="str">
        <f t="shared" si="60"/>
        <v>ZSI1_C_CHANNELALT_UOM5_SIPI</v>
      </c>
    </row>
    <row r="7617" ht="15.75" customHeight="1">
      <c r="B7617" s="63">
        <f t="shared" si="1"/>
        <v>14</v>
      </c>
      <c r="C7617" s="135" t="s">
        <v>361</v>
      </c>
      <c r="D7617" s="161" t="s">
        <v>74</v>
      </c>
      <c r="E7617" s="135">
        <f t="shared" si="61"/>
        <v>31</v>
      </c>
      <c r="F7617" s="134" t="s">
        <v>3817</v>
      </c>
      <c r="G7617" s="63" t="str">
        <f>VLOOKUP(C7617, 'Class Def. - General Data'!$C$20:$C$1000,1,false)</f>
        <v>ZSI1_C_CHANNEL</v>
      </c>
      <c r="H7617" s="63" t="str">
        <f>IFERROR(__xludf.DUMMYFUNCTION("VLOOKUP(F7617, IMPORTRANGE(""https://docs.google.com/spreadsheets/d/1Lhp9OU0JdFf_VYSMzH5lBcEaU4o8teT1piV-SNzShjg/edit?gid=554141278#gid=554141278"", ""'Char Def. - Attributes'!C20:C2242""), 1,false)"),"ALT_DENUM_UOM5")</f>
        <v>ALT_DENUM_UOM5</v>
      </c>
      <c r="I7617" s="136"/>
      <c r="R7617" s="63" t="str">
        <f t="shared" si="60"/>
        <v>ZSI1_C_CHANNELALT_DENUM_UOM5</v>
      </c>
    </row>
    <row r="7618" ht="15.75" customHeight="1">
      <c r="B7618" s="63">
        <f t="shared" si="1"/>
        <v>14</v>
      </c>
      <c r="C7618" s="135" t="s">
        <v>361</v>
      </c>
      <c r="D7618" s="161" t="s">
        <v>74</v>
      </c>
      <c r="E7618" s="135">
        <f t="shared" si="61"/>
        <v>32</v>
      </c>
      <c r="F7618" s="134" t="s">
        <v>3818</v>
      </c>
      <c r="G7618" s="63" t="str">
        <f>VLOOKUP(C7618, 'Class Def. - General Data'!$C$20:$C$1000,1,false)</f>
        <v>ZSI1_C_CHANNEL</v>
      </c>
      <c r="H7618" s="63" t="str">
        <f>IFERROR(__xludf.DUMMYFUNCTION("VLOOKUP(F7618, IMPORTRANGE(""https://docs.google.com/spreadsheets/d/1Lhp9OU0JdFf_VYSMzH5lBcEaU4o8teT1piV-SNzShjg/edit?gid=554141278#gid=554141278"", ""'Char Def. - Attributes'!C20:C2242""), 1,false)"),"ALT_NUM_UOM5")</f>
        <v>ALT_NUM_UOM5</v>
      </c>
      <c r="I7618" s="136"/>
      <c r="R7618" s="63" t="str">
        <f t="shared" si="60"/>
        <v>ZSI1_C_CHANNELALT_NUM_UOM5</v>
      </c>
    </row>
    <row r="7619" ht="15.75" customHeight="1">
      <c r="B7619" s="63">
        <f t="shared" si="1"/>
        <v>15</v>
      </c>
      <c r="C7619" s="135" t="s">
        <v>362</v>
      </c>
      <c r="D7619" s="161" t="s">
        <v>74</v>
      </c>
      <c r="E7619" s="135">
        <f t="shared" si="61"/>
        <v>1</v>
      </c>
      <c r="F7619" s="134" t="s">
        <v>4200</v>
      </c>
      <c r="G7619" s="63" t="str">
        <f>VLOOKUP(C7619, 'Class Def. - General Data'!$C$20:$C$1000,1,false)</f>
        <v>ZSI1_CABLE_DUCT</v>
      </c>
      <c r="H7619" s="63" t="str">
        <f>IFERROR(__xludf.DUMMYFUNCTION("VLOOKUP(F7619, IMPORTRANGE(""https://docs.google.com/spreadsheets/d/1Lhp9OU0JdFf_VYSMzH5lBcEaU4o8teT1piV-SNzShjg/edit?gid=554141278#gid=554141278"", ""'Char Def. - Attributes'!C20:C2242""), 1,false)"),"ITEM_NAME_CABLE_DUCT")</f>
        <v>ITEM_NAME_CABLE_DUCT</v>
      </c>
      <c r="I7619" s="136"/>
      <c r="R7619" s="63" t="str">
        <f t="shared" si="60"/>
        <v>ZSI1_CABLE_DUCTITEM_NAME_CABLE_DUCT</v>
      </c>
    </row>
    <row r="7620" ht="15.75" customHeight="1">
      <c r="B7620" s="63">
        <f t="shared" si="1"/>
        <v>15</v>
      </c>
      <c r="C7620" s="135" t="s">
        <v>362</v>
      </c>
      <c r="D7620" s="161" t="s">
        <v>74</v>
      </c>
      <c r="E7620" s="135">
        <f t="shared" si="61"/>
        <v>2</v>
      </c>
      <c r="F7620" s="134" t="s">
        <v>4201</v>
      </c>
      <c r="G7620" s="63" t="str">
        <f>VLOOKUP(C7620, 'Class Def. - General Data'!$C$20:$C$1000,1,false)</f>
        <v>ZSI1_CABLE_DUCT</v>
      </c>
      <c r="H7620" s="63" t="str">
        <f>IFERROR(__xludf.DUMMYFUNCTION("VLOOKUP(F7620, IMPORTRANGE(""https://docs.google.com/spreadsheets/d/1Lhp9OU0JdFf_VYSMzH5lBcEaU4o8teT1piV-SNzShjg/edit?gid=554141278#gid=554141278"", ""'Char Def. - Attributes'!C20:C2242""), 1,false)"),"MATERIAL_CABLE_DUCT")</f>
        <v>MATERIAL_CABLE_DUCT</v>
      </c>
      <c r="I7620" s="136"/>
      <c r="R7620" s="63" t="str">
        <f t="shared" si="60"/>
        <v>ZSI1_CABLE_DUCTMATERIAL_CABLE_DUCT</v>
      </c>
    </row>
    <row r="7621" ht="15.75" customHeight="1">
      <c r="B7621" s="63">
        <f t="shared" si="1"/>
        <v>15</v>
      </c>
      <c r="C7621" s="135" t="s">
        <v>362</v>
      </c>
      <c r="D7621" s="161" t="s">
        <v>74</v>
      </c>
      <c r="E7621" s="135">
        <f t="shared" si="61"/>
        <v>3</v>
      </c>
      <c r="F7621" s="134" t="s">
        <v>4202</v>
      </c>
      <c r="G7621" s="63" t="str">
        <f>VLOOKUP(C7621, 'Class Def. - General Data'!$C$20:$C$1000,1,false)</f>
        <v>ZSI1_CABLE_DUCT</v>
      </c>
      <c r="H7621" s="63" t="str">
        <f>IFERROR(__xludf.DUMMYFUNCTION("VLOOKUP(F7621, IMPORTRANGE(""https://docs.google.com/spreadsheets/d/1Lhp9OU0JdFf_VYSMzH5lBcEaU4o8teT1piV-SNzShjg/edit?gid=554141278#gid=554141278"", ""'Char Def. - Attributes'!C20:C2242""), 1,false)"),"WIDTH_MM_CABLE_DUCT")</f>
        <v>WIDTH_MM_CABLE_DUCT</v>
      </c>
      <c r="I7621" s="136"/>
      <c r="R7621" s="63" t="str">
        <f t="shared" si="60"/>
        <v>ZSI1_CABLE_DUCTWIDTH_MM_CABLE_DUCT</v>
      </c>
    </row>
    <row r="7622" ht="15.75" customHeight="1">
      <c r="B7622" s="63">
        <f t="shared" si="1"/>
        <v>15</v>
      </c>
      <c r="C7622" s="135" t="s">
        <v>362</v>
      </c>
      <c r="D7622" s="161" t="s">
        <v>74</v>
      </c>
      <c r="E7622" s="135">
        <f t="shared" si="61"/>
        <v>4</v>
      </c>
      <c r="F7622" s="134" t="s">
        <v>4203</v>
      </c>
      <c r="G7622" s="63" t="str">
        <f>VLOOKUP(C7622, 'Class Def. - General Data'!$C$20:$C$1000,1,false)</f>
        <v>ZSI1_CABLE_DUCT</v>
      </c>
      <c r="H7622" s="63" t="str">
        <f>IFERROR(__xludf.DUMMYFUNCTION("VLOOKUP(F7622, IMPORTRANGE(""https://docs.google.com/spreadsheets/d/1Lhp9OU0JdFf_VYSMzH5lBcEaU4o8teT1piV-SNzShjg/edit?gid=554141278#gid=554141278"", ""'Char Def. - Attributes'!C20:C2242""), 1,false)"),"HEIGHT_MM_CABLE_DUCT")</f>
        <v>HEIGHT_MM_CABLE_DUCT</v>
      </c>
      <c r="I7622" s="136"/>
      <c r="R7622" s="63" t="str">
        <f t="shared" si="60"/>
        <v>ZSI1_CABLE_DUCTHEIGHT_MM_CABLE_DUCT</v>
      </c>
    </row>
    <row r="7623" ht="15.75" customHeight="1">
      <c r="B7623" s="63">
        <f t="shared" si="1"/>
        <v>15</v>
      </c>
      <c r="C7623" s="135" t="s">
        <v>362</v>
      </c>
      <c r="D7623" s="161" t="s">
        <v>74</v>
      </c>
      <c r="E7623" s="135">
        <f t="shared" si="61"/>
        <v>5</v>
      </c>
      <c r="F7623" s="134" t="s">
        <v>4204</v>
      </c>
      <c r="G7623" s="63" t="str">
        <f>VLOOKUP(C7623, 'Class Def. - General Data'!$C$20:$C$1000,1,false)</f>
        <v>ZSI1_CABLE_DUCT</v>
      </c>
      <c r="H7623" s="63" t="str">
        <f>IFERROR(__xludf.DUMMYFUNCTION("VLOOKUP(F7623, IMPORTRANGE(""https://docs.google.com/spreadsheets/d/1Lhp9OU0JdFf_VYSMzH5lBcEaU4o8teT1piV-SNzShjg/edit?gid=554141278#gid=554141278"", ""'Char Def. - Attributes'!C20:C2242""), 1,false)"),"LENGTH_MM_CABLE_DUCT")</f>
        <v>LENGTH_MM_CABLE_DUCT</v>
      </c>
      <c r="I7623" s="136"/>
      <c r="R7623" s="63" t="str">
        <f t="shared" si="60"/>
        <v>ZSI1_CABLE_DUCTLENGTH_MM_CABLE_DUCT</v>
      </c>
    </row>
    <row r="7624" ht="15.75" customHeight="1">
      <c r="B7624" s="63">
        <f t="shared" si="1"/>
        <v>15</v>
      </c>
      <c r="C7624" s="135" t="s">
        <v>362</v>
      </c>
      <c r="D7624" s="161" t="s">
        <v>74</v>
      </c>
      <c r="E7624" s="135">
        <f t="shared" si="61"/>
        <v>6</v>
      </c>
      <c r="F7624" s="134" t="s">
        <v>3585</v>
      </c>
      <c r="G7624" s="63" t="str">
        <f>VLOOKUP(C7624, 'Class Def. - General Data'!$C$20:$C$1000,1,false)</f>
        <v>ZSI1_CABLE_DUCT</v>
      </c>
      <c r="H7624" s="63" t="str">
        <f>IFERROR(__xludf.DUMMYFUNCTION("VLOOKUP(F7624, IMPORTRANGE(""https://docs.google.com/spreadsheets/d/1Lhp9OU0JdFf_VYSMzH5lBcEaU4o8teT1piV-SNzShjg/edit?gid=554141278#gid=554141278"", ""'Char Def. - Attributes'!C20:C2242""), 1,false)"),"HS_CODE")</f>
        <v>HS_CODE</v>
      </c>
      <c r="I7624" s="136"/>
      <c r="R7624" s="63" t="str">
        <f t="shared" si="60"/>
        <v>ZSI1_CABLE_DUCTHS_CODE</v>
      </c>
    </row>
    <row r="7625" ht="15.75" customHeight="1">
      <c r="B7625" s="63">
        <f t="shared" si="1"/>
        <v>15</v>
      </c>
      <c r="C7625" s="135" t="s">
        <v>362</v>
      </c>
      <c r="D7625" s="161" t="s">
        <v>74</v>
      </c>
      <c r="E7625" s="135">
        <f t="shared" si="61"/>
        <v>7</v>
      </c>
      <c r="F7625" s="134" t="s">
        <v>3587</v>
      </c>
      <c r="G7625" s="63" t="str">
        <f>VLOOKUP(C7625, 'Class Def. - General Data'!$C$20:$C$1000,1,false)</f>
        <v>ZSI1_CABLE_DUCT</v>
      </c>
      <c r="H7625" s="63" t="str">
        <f>IFERROR(__xludf.DUMMYFUNCTION("VLOOKUP(F7625, IMPORTRANGE(""https://docs.google.com/spreadsheets/d/1Lhp9OU0JdFf_VYSMzH5lBcEaU4o8teT1piV-SNzShjg/edit?gid=554141278#gid=554141278"", ""'Char Def. - Attributes'!C20:C2242""), 1,false)"),"PLANT_BUY")</f>
        <v>PLANT_BUY</v>
      </c>
      <c r="I7625" s="136"/>
      <c r="R7625" s="63" t="str">
        <f t="shared" si="60"/>
        <v>ZSI1_CABLE_DUCTPLANT_BUY</v>
      </c>
    </row>
    <row r="7626" ht="15.75" customHeight="1">
      <c r="B7626" s="63">
        <f t="shared" si="1"/>
        <v>15</v>
      </c>
      <c r="C7626" s="135" t="s">
        <v>362</v>
      </c>
      <c r="D7626" s="161" t="s">
        <v>74</v>
      </c>
      <c r="E7626" s="135">
        <f t="shared" si="61"/>
        <v>8</v>
      </c>
      <c r="F7626" s="134" t="s">
        <v>4205</v>
      </c>
      <c r="G7626" s="63" t="str">
        <f>VLOOKUP(C7626, 'Class Def. - General Data'!$C$20:$C$1000,1,false)</f>
        <v>ZSI1_CABLE_DUCT</v>
      </c>
      <c r="H7626" s="63" t="str">
        <f>IFERROR(__xludf.DUMMYFUNCTION("VLOOKUP(F7626, IMPORTRANGE(""https://docs.google.com/spreadsheets/d/1Lhp9OU0JdFf_VYSMzH5lBcEaU4o8teT1piV-SNzShjg/edit?gid=554141278#gid=554141278"", ""'Char Def. - Attributes'!C20:C2242""), 1,false)"),"BASE_UOM_CABLE_DUCT")</f>
        <v>BASE_UOM_CABLE_DUCT</v>
      </c>
      <c r="I7626" s="136"/>
      <c r="R7626" s="63" t="str">
        <f t="shared" si="60"/>
        <v>ZSI1_CABLE_DUCTBASE_UOM_CABLE_DUCT</v>
      </c>
    </row>
    <row r="7627" ht="15.75" customHeight="1">
      <c r="B7627" s="63">
        <f t="shared" si="1"/>
        <v>15</v>
      </c>
      <c r="C7627" s="135" t="s">
        <v>362</v>
      </c>
      <c r="D7627" s="161" t="s">
        <v>74</v>
      </c>
      <c r="E7627" s="135">
        <f t="shared" si="61"/>
        <v>9</v>
      </c>
      <c r="F7627" s="134" t="s">
        <v>4206</v>
      </c>
      <c r="G7627" s="63" t="str">
        <f>VLOOKUP(C7627, 'Class Def. - General Data'!$C$20:$C$1000,1,false)</f>
        <v>ZSI1_CABLE_DUCT</v>
      </c>
      <c r="H7627" s="63" t="str">
        <f>IFERROR(__xludf.DUMMYFUNCTION("VLOOKUP(F7627, IMPORTRANGE(""https://docs.google.com/spreadsheets/d/1Lhp9OU0JdFf_VYSMzH5lBcEaU4o8teT1piV-SNzShjg/edit?gid=554141278#gid=554141278"", ""'Char Def. - Attributes'!C20:C2242""), 1,false)"),"ORDER_UNIT_CABLE_DUCT")</f>
        <v>ORDER_UNIT_CABLE_DUCT</v>
      </c>
      <c r="I7627" s="136"/>
      <c r="R7627" s="63" t="str">
        <f t="shared" si="60"/>
        <v>ZSI1_CABLE_DUCTORDER_UNIT_CABLE_DUCT</v>
      </c>
    </row>
    <row r="7628" ht="15.75" customHeight="1">
      <c r="B7628" s="63">
        <f t="shared" si="1"/>
        <v>15</v>
      </c>
      <c r="C7628" s="135" t="s">
        <v>362</v>
      </c>
      <c r="D7628" s="161" t="s">
        <v>74</v>
      </c>
      <c r="E7628" s="135">
        <f t="shared" si="61"/>
        <v>10</v>
      </c>
      <c r="F7628" s="134" t="s">
        <v>4056</v>
      </c>
      <c r="G7628" s="63" t="str">
        <f>VLOOKUP(C7628, 'Class Def. - General Data'!$C$20:$C$1000,1,false)</f>
        <v>ZSI1_CABLE_DUCT</v>
      </c>
      <c r="H7628" s="63" t="str">
        <f>IFERROR(__xludf.DUMMYFUNCTION("VLOOKUP(F7628, IMPORTRANGE(""https://docs.google.com/spreadsheets/d/1Lhp9OU0JdFf_VYSMzH5lBcEaU4o8teT1piV-SNzShjg/edit?gid=554141278#gid=554141278"", ""'Char Def. - Attributes'!C20:C2242""), 1,false)"),"GROSS_WEIGHT_OPT")</f>
        <v>GROSS_WEIGHT_OPT</v>
      </c>
      <c r="I7628" s="136"/>
      <c r="R7628" s="63" t="str">
        <f t="shared" si="60"/>
        <v>ZSI1_CABLE_DUCTGROSS_WEIGHT_OPT</v>
      </c>
    </row>
    <row r="7629" ht="15.75" customHeight="1">
      <c r="B7629" s="63">
        <f t="shared" si="1"/>
        <v>15</v>
      </c>
      <c r="C7629" s="135" t="s">
        <v>362</v>
      </c>
      <c r="D7629" s="161" t="s">
        <v>74</v>
      </c>
      <c r="E7629" s="135">
        <f t="shared" si="61"/>
        <v>11</v>
      </c>
      <c r="F7629" s="134" t="s">
        <v>4057</v>
      </c>
      <c r="G7629" s="63" t="str">
        <f>VLOOKUP(C7629, 'Class Def. - General Data'!$C$20:$C$1000,1,false)</f>
        <v>ZSI1_CABLE_DUCT</v>
      </c>
      <c r="H7629" s="63" t="str">
        <f>IFERROR(__xludf.DUMMYFUNCTION("VLOOKUP(F7629, IMPORTRANGE(""https://docs.google.com/spreadsheets/d/1Lhp9OU0JdFf_VYSMzH5lBcEaU4o8teT1piV-SNzShjg/edit?gid=554141278#gid=554141278"", ""'Char Def. - Attributes'!C20:C2242""), 1,false)"),"NET_WEIGHT_OPT")</f>
        <v>NET_WEIGHT_OPT</v>
      </c>
      <c r="I7629" s="136"/>
      <c r="R7629" s="63" t="str">
        <f t="shared" si="60"/>
        <v>ZSI1_CABLE_DUCTNET_WEIGHT_OPT</v>
      </c>
    </row>
    <row r="7630" ht="15.75" customHeight="1">
      <c r="B7630" s="63">
        <f t="shared" si="1"/>
        <v>15</v>
      </c>
      <c r="C7630" s="135" t="s">
        <v>362</v>
      </c>
      <c r="D7630" s="161" t="s">
        <v>74</v>
      </c>
      <c r="E7630" s="135">
        <f t="shared" si="61"/>
        <v>12</v>
      </c>
      <c r="F7630" s="134" t="s">
        <v>4058</v>
      </c>
      <c r="G7630" s="63" t="str">
        <f>VLOOKUP(C7630, 'Class Def. - General Data'!$C$20:$C$1000,1,false)</f>
        <v>ZSI1_CABLE_DUCT</v>
      </c>
      <c r="H7630" s="63" t="str">
        <f>IFERROR(__xludf.DUMMYFUNCTION("VLOOKUP(F7630, IMPORTRANGE(""https://docs.google.com/spreadsheets/d/1Lhp9OU0JdFf_VYSMzH5lBcEaU4o8teT1piV-SNzShjg/edit?gid=554141278#gid=554141278"", ""'Char Def. - Attributes'!C20:C2242""), 1,false)"),"WEIGHT_UNIT_SI")</f>
        <v>WEIGHT_UNIT_SI</v>
      </c>
      <c r="I7630" s="136"/>
      <c r="R7630" s="63" t="str">
        <f t="shared" si="60"/>
        <v>ZSI1_CABLE_DUCTWEIGHT_UNIT_SI</v>
      </c>
    </row>
    <row r="7631" ht="15.75" customHeight="1">
      <c r="B7631" s="63">
        <f t="shared" si="1"/>
        <v>15</v>
      </c>
      <c r="C7631" s="135" t="s">
        <v>362</v>
      </c>
      <c r="D7631" s="161" t="s">
        <v>74</v>
      </c>
      <c r="E7631" s="135">
        <f t="shared" si="61"/>
        <v>13</v>
      </c>
      <c r="F7631" s="134" t="s">
        <v>3877</v>
      </c>
      <c r="G7631" s="63" t="str">
        <f>VLOOKUP(C7631, 'Class Def. - General Data'!$C$20:$C$1000,1,false)</f>
        <v>ZSI1_CABLE_DUCT</v>
      </c>
      <c r="H7631" s="63" t="str">
        <f>IFERROR(__xludf.DUMMYFUNCTION("VLOOKUP(F7631, IMPORTRANGE(""https://docs.google.com/spreadsheets/d/1Lhp9OU0JdFf_VYSMzH5lBcEaU4o8teT1piV-SNzShjg/edit?gid=554141278#gid=554141278"", ""'Char Def. - Attributes'!C20:C2242""), 1,false)"),"VOLUME_OPT")</f>
        <v>VOLUME_OPT</v>
      </c>
      <c r="I7631" s="136"/>
      <c r="R7631" s="63" t="str">
        <f t="shared" si="60"/>
        <v>ZSI1_CABLE_DUCTVOLUME_OPT</v>
      </c>
    </row>
    <row r="7632" ht="15.75" customHeight="1">
      <c r="B7632" s="63">
        <f t="shared" si="1"/>
        <v>15</v>
      </c>
      <c r="C7632" s="135" t="s">
        <v>362</v>
      </c>
      <c r="D7632" s="161" t="s">
        <v>74</v>
      </c>
      <c r="E7632" s="135">
        <f t="shared" si="61"/>
        <v>14</v>
      </c>
      <c r="F7632" s="134" t="s">
        <v>4059</v>
      </c>
      <c r="G7632" s="63" t="str">
        <f>VLOOKUP(C7632, 'Class Def. - General Data'!$C$20:$C$1000,1,false)</f>
        <v>ZSI1_CABLE_DUCT</v>
      </c>
      <c r="H7632" s="63" t="str">
        <f>IFERROR(__xludf.DUMMYFUNCTION("VLOOKUP(F7632, IMPORTRANGE(""https://docs.google.com/spreadsheets/d/1Lhp9OU0JdFf_VYSMzH5lBcEaU4o8teT1piV-SNzShjg/edit?gid=554141278#gid=554141278"", ""'Char Def. - Attributes'!C20:C2242""), 1,false)"),"VOLUME_UNIT_SI")</f>
        <v>VOLUME_UNIT_SI</v>
      </c>
      <c r="I7632" s="136"/>
      <c r="R7632" s="63" t="str">
        <f t="shared" si="60"/>
        <v>ZSI1_CABLE_DUCTVOLUME_UNIT_SI</v>
      </c>
    </row>
    <row r="7633" ht="15.75" customHeight="1">
      <c r="B7633" s="63">
        <f t="shared" si="1"/>
        <v>15</v>
      </c>
      <c r="C7633" s="135" t="s">
        <v>362</v>
      </c>
      <c r="D7633" s="161" t="s">
        <v>74</v>
      </c>
      <c r="E7633" s="135">
        <f t="shared" si="61"/>
        <v>15</v>
      </c>
      <c r="F7633" s="134" t="s">
        <v>3804</v>
      </c>
      <c r="G7633" s="63" t="str">
        <f>VLOOKUP(C7633, 'Class Def. - General Data'!$C$20:$C$1000,1,false)</f>
        <v>ZSI1_CABLE_DUCT</v>
      </c>
      <c r="H7633" s="63" t="str">
        <f>IFERROR(__xludf.DUMMYFUNCTION("VLOOKUP(F7633, IMPORTRANGE(""https://docs.google.com/spreadsheets/d/1Lhp9OU0JdFf_VYSMzH5lBcEaU4o8teT1piV-SNzShjg/edit?gid=554141278#gid=554141278"", ""'Char Def. - Attributes'!C20:C2242""), 1,false)"),"ALT_UOM1_SIPI")</f>
        <v>ALT_UOM1_SIPI</v>
      </c>
      <c r="I7633" s="136"/>
      <c r="R7633" s="63" t="str">
        <f t="shared" si="60"/>
        <v>ZSI1_CABLE_DUCTALT_UOM1_SIPI</v>
      </c>
    </row>
    <row r="7634" ht="15.75" customHeight="1">
      <c r="B7634" s="63">
        <f t="shared" si="1"/>
        <v>15</v>
      </c>
      <c r="C7634" s="135" t="s">
        <v>362</v>
      </c>
      <c r="D7634" s="161" t="s">
        <v>74</v>
      </c>
      <c r="E7634" s="135">
        <f t="shared" si="61"/>
        <v>16</v>
      </c>
      <c r="F7634" s="134" t="s">
        <v>3805</v>
      </c>
      <c r="G7634" s="63" t="str">
        <f>VLOOKUP(C7634, 'Class Def. - General Data'!$C$20:$C$1000,1,false)</f>
        <v>ZSI1_CABLE_DUCT</v>
      </c>
      <c r="H7634" s="63" t="str">
        <f>IFERROR(__xludf.DUMMYFUNCTION("VLOOKUP(F7634, IMPORTRANGE(""https://docs.google.com/spreadsheets/d/1Lhp9OU0JdFf_VYSMzH5lBcEaU4o8teT1piV-SNzShjg/edit?gid=554141278#gid=554141278"", ""'Char Def. - Attributes'!C20:C2242""), 1,false)"),"ALT_DENUM_UOM1")</f>
        <v>ALT_DENUM_UOM1</v>
      </c>
      <c r="I7634" s="136"/>
      <c r="R7634" s="63" t="str">
        <f t="shared" si="60"/>
        <v>ZSI1_CABLE_DUCTALT_DENUM_UOM1</v>
      </c>
    </row>
    <row r="7635" ht="15.75" customHeight="1">
      <c r="B7635" s="63">
        <f t="shared" si="1"/>
        <v>15</v>
      </c>
      <c r="C7635" s="135" t="s">
        <v>362</v>
      </c>
      <c r="D7635" s="161" t="s">
        <v>74</v>
      </c>
      <c r="E7635" s="135">
        <f t="shared" si="61"/>
        <v>17</v>
      </c>
      <c r="F7635" s="134" t="s">
        <v>3806</v>
      </c>
      <c r="G7635" s="63" t="str">
        <f>VLOOKUP(C7635, 'Class Def. - General Data'!$C$20:$C$1000,1,false)</f>
        <v>ZSI1_CABLE_DUCT</v>
      </c>
      <c r="H7635" s="63" t="str">
        <f>IFERROR(__xludf.DUMMYFUNCTION("VLOOKUP(F7635, IMPORTRANGE(""https://docs.google.com/spreadsheets/d/1Lhp9OU0JdFf_VYSMzH5lBcEaU4o8teT1piV-SNzShjg/edit?gid=554141278#gid=554141278"", ""'Char Def. - Attributes'!C20:C2242""), 1,false)"),"ALT_NUM_UOM1")</f>
        <v>ALT_NUM_UOM1</v>
      </c>
      <c r="I7635" s="136"/>
      <c r="R7635" s="63" t="str">
        <f t="shared" si="60"/>
        <v>ZSI1_CABLE_DUCTALT_NUM_UOM1</v>
      </c>
    </row>
    <row r="7636" ht="15.75" customHeight="1">
      <c r="B7636" s="63">
        <f t="shared" si="1"/>
        <v>15</v>
      </c>
      <c r="C7636" s="135" t="s">
        <v>362</v>
      </c>
      <c r="D7636" s="161" t="s">
        <v>74</v>
      </c>
      <c r="E7636" s="135">
        <f t="shared" si="61"/>
        <v>18</v>
      </c>
      <c r="F7636" s="134" t="s">
        <v>3807</v>
      </c>
      <c r="G7636" s="63" t="str">
        <f>VLOOKUP(C7636, 'Class Def. - General Data'!$C$20:$C$1000,1,false)</f>
        <v>ZSI1_CABLE_DUCT</v>
      </c>
      <c r="H7636" s="63" t="str">
        <f>IFERROR(__xludf.DUMMYFUNCTION("VLOOKUP(F7636, IMPORTRANGE(""https://docs.google.com/spreadsheets/d/1Lhp9OU0JdFf_VYSMzH5lBcEaU4o8teT1piV-SNzShjg/edit?gid=554141278#gid=554141278"", ""'Char Def. - Attributes'!C20:C2242""), 1,false)"),"ALT_UOM2_SIPI")</f>
        <v>ALT_UOM2_SIPI</v>
      </c>
      <c r="I7636" s="136"/>
      <c r="R7636" s="63" t="str">
        <f t="shared" si="60"/>
        <v>ZSI1_CABLE_DUCTALT_UOM2_SIPI</v>
      </c>
    </row>
    <row r="7637" ht="15.75" customHeight="1">
      <c r="B7637" s="63">
        <f t="shared" si="1"/>
        <v>15</v>
      </c>
      <c r="C7637" s="135" t="s">
        <v>362</v>
      </c>
      <c r="D7637" s="161" t="s">
        <v>74</v>
      </c>
      <c r="E7637" s="135">
        <f t="shared" si="61"/>
        <v>19</v>
      </c>
      <c r="F7637" s="134" t="s">
        <v>3808</v>
      </c>
      <c r="G7637" s="63" t="str">
        <f>VLOOKUP(C7637, 'Class Def. - General Data'!$C$20:$C$1000,1,false)</f>
        <v>ZSI1_CABLE_DUCT</v>
      </c>
      <c r="H7637" s="63" t="str">
        <f>IFERROR(__xludf.DUMMYFUNCTION("VLOOKUP(F7637, IMPORTRANGE(""https://docs.google.com/spreadsheets/d/1Lhp9OU0JdFf_VYSMzH5lBcEaU4o8teT1piV-SNzShjg/edit?gid=554141278#gid=554141278"", ""'Char Def. - Attributes'!C20:C2242""), 1,false)"),"ALT_DENUM_UOM2")</f>
        <v>ALT_DENUM_UOM2</v>
      </c>
      <c r="I7637" s="136"/>
      <c r="R7637" s="63" t="str">
        <f t="shared" si="60"/>
        <v>ZSI1_CABLE_DUCTALT_DENUM_UOM2</v>
      </c>
    </row>
    <row r="7638" ht="15.75" customHeight="1">
      <c r="B7638" s="63">
        <f t="shared" si="1"/>
        <v>15</v>
      </c>
      <c r="C7638" s="135" t="s">
        <v>362</v>
      </c>
      <c r="D7638" s="161" t="s">
        <v>74</v>
      </c>
      <c r="E7638" s="135">
        <f t="shared" si="61"/>
        <v>20</v>
      </c>
      <c r="F7638" s="134" t="s">
        <v>3809</v>
      </c>
      <c r="G7638" s="63" t="str">
        <f>VLOOKUP(C7638, 'Class Def. - General Data'!$C$20:$C$1000,1,false)</f>
        <v>ZSI1_CABLE_DUCT</v>
      </c>
      <c r="H7638" s="63" t="str">
        <f>IFERROR(__xludf.DUMMYFUNCTION("VLOOKUP(F7638, IMPORTRANGE(""https://docs.google.com/spreadsheets/d/1Lhp9OU0JdFf_VYSMzH5lBcEaU4o8teT1piV-SNzShjg/edit?gid=554141278#gid=554141278"", ""'Char Def. - Attributes'!C20:C2242""), 1,false)"),"ALT_NUM_UOM2")</f>
        <v>ALT_NUM_UOM2</v>
      </c>
      <c r="I7638" s="136"/>
      <c r="R7638" s="63" t="str">
        <f t="shared" si="60"/>
        <v>ZSI1_CABLE_DUCTALT_NUM_UOM2</v>
      </c>
    </row>
    <row r="7639" ht="15.75" customHeight="1">
      <c r="B7639" s="63">
        <f t="shared" si="1"/>
        <v>15</v>
      </c>
      <c r="C7639" s="135" t="s">
        <v>362</v>
      </c>
      <c r="D7639" s="161" t="s">
        <v>74</v>
      </c>
      <c r="E7639" s="135">
        <f t="shared" si="61"/>
        <v>21</v>
      </c>
      <c r="F7639" s="134" t="s">
        <v>3810</v>
      </c>
      <c r="G7639" s="63" t="str">
        <f>VLOOKUP(C7639, 'Class Def. - General Data'!$C$20:$C$1000,1,false)</f>
        <v>ZSI1_CABLE_DUCT</v>
      </c>
      <c r="H7639" s="63" t="str">
        <f>IFERROR(__xludf.DUMMYFUNCTION("VLOOKUP(F7639, IMPORTRANGE(""https://docs.google.com/spreadsheets/d/1Lhp9OU0JdFf_VYSMzH5lBcEaU4o8teT1piV-SNzShjg/edit?gid=554141278#gid=554141278"", ""'Char Def. - Attributes'!C20:C2242""), 1,false)"),"ALT_UOM3_SIPI")</f>
        <v>ALT_UOM3_SIPI</v>
      </c>
      <c r="I7639" s="136"/>
      <c r="R7639" s="63" t="str">
        <f t="shared" si="60"/>
        <v>ZSI1_CABLE_DUCTALT_UOM3_SIPI</v>
      </c>
    </row>
    <row r="7640" ht="15.75" customHeight="1">
      <c r="B7640" s="63">
        <f t="shared" si="1"/>
        <v>15</v>
      </c>
      <c r="C7640" s="135" t="s">
        <v>362</v>
      </c>
      <c r="D7640" s="161" t="s">
        <v>74</v>
      </c>
      <c r="E7640" s="135">
        <f t="shared" si="61"/>
        <v>22</v>
      </c>
      <c r="F7640" s="134" t="s">
        <v>3811</v>
      </c>
      <c r="G7640" s="63" t="str">
        <f>VLOOKUP(C7640, 'Class Def. - General Data'!$C$20:$C$1000,1,false)</f>
        <v>ZSI1_CABLE_DUCT</v>
      </c>
      <c r="H7640" s="63" t="str">
        <f>IFERROR(__xludf.DUMMYFUNCTION("VLOOKUP(F7640, IMPORTRANGE(""https://docs.google.com/spreadsheets/d/1Lhp9OU0JdFf_VYSMzH5lBcEaU4o8teT1piV-SNzShjg/edit?gid=554141278#gid=554141278"", ""'Char Def. - Attributes'!C20:C2242""), 1,false)"),"ALT_DENUM_UOM3")</f>
        <v>ALT_DENUM_UOM3</v>
      </c>
      <c r="I7640" s="136"/>
      <c r="R7640" s="63" t="str">
        <f t="shared" si="60"/>
        <v>ZSI1_CABLE_DUCTALT_DENUM_UOM3</v>
      </c>
    </row>
    <row r="7641" ht="15.75" customHeight="1">
      <c r="B7641" s="63">
        <f t="shared" si="1"/>
        <v>15</v>
      </c>
      <c r="C7641" s="135" t="s">
        <v>362</v>
      </c>
      <c r="D7641" s="161" t="s">
        <v>74</v>
      </c>
      <c r="E7641" s="135">
        <f t="shared" si="61"/>
        <v>23</v>
      </c>
      <c r="F7641" s="134" t="s">
        <v>3812</v>
      </c>
      <c r="G7641" s="63" t="str">
        <f>VLOOKUP(C7641, 'Class Def. - General Data'!$C$20:$C$1000,1,false)</f>
        <v>ZSI1_CABLE_DUCT</v>
      </c>
      <c r="H7641" s="63" t="str">
        <f>IFERROR(__xludf.DUMMYFUNCTION("VLOOKUP(F7641, IMPORTRANGE(""https://docs.google.com/spreadsheets/d/1Lhp9OU0JdFf_VYSMzH5lBcEaU4o8teT1piV-SNzShjg/edit?gid=554141278#gid=554141278"", ""'Char Def. - Attributes'!C20:C2242""), 1,false)"),"ALT_NUM_UOM3")</f>
        <v>ALT_NUM_UOM3</v>
      </c>
      <c r="I7641" s="136"/>
      <c r="R7641" s="63" t="str">
        <f t="shared" si="60"/>
        <v>ZSI1_CABLE_DUCTALT_NUM_UOM3</v>
      </c>
    </row>
    <row r="7642" ht="15.75" customHeight="1">
      <c r="B7642" s="63">
        <f t="shared" si="1"/>
        <v>15</v>
      </c>
      <c r="C7642" s="135" t="s">
        <v>362</v>
      </c>
      <c r="D7642" s="161" t="s">
        <v>74</v>
      </c>
      <c r="E7642" s="135">
        <f t="shared" si="61"/>
        <v>24</v>
      </c>
      <c r="F7642" s="134" t="s">
        <v>3813</v>
      </c>
      <c r="G7642" s="63" t="str">
        <f>VLOOKUP(C7642, 'Class Def. - General Data'!$C$20:$C$1000,1,false)</f>
        <v>ZSI1_CABLE_DUCT</v>
      </c>
      <c r="H7642" s="63" t="str">
        <f>IFERROR(__xludf.DUMMYFUNCTION("VLOOKUP(F7642, IMPORTRANGE(""https://docs.google.com/spreadsheets/d/1Lhp9OU0JdFf_VYSMzH5lBcEaU4o8teT1piV-SNzShjg/edit?gid=554141278#gid=554141278"", ""'Char Def. - Attributes'!C20:C2242""), 1,false)"),"ALT_UOM4_SIPI")</f>
        <v>ALT_UOM4_SIPI</v>
      </c>
      <c r="I7642" s="136"/>
      <c r="R7642" s="63" t="str">
        <f t="shared" si="60"/>
        <v>ZSI1_CABLE_DUCTALT_UOM4_SIPI</v>
      </c>
    </row>
    <row r="7643" ht="15.75" customHeight="1">
      <c r="B7643" s="63">
        <f t="shared" si="1"/>
        <v>15</v>
      </c>
      <c r="C7643" s="135" t="s">
        <v>362</v>
      </c>
      <c r="D7643" s="161" t="s">
        <v>74</v>
      </c>
      <c r="E7643" s="135">
        <f t="shared" si="61"/>
        <v>25</v>
      </c>
      <c r="F7643" s="134" t="s">
        <v>3814</v>
      </c>
      <c r="G7643" s="63" t="str">
        <f>VLOOKUP(C7643, 'Class Def. - General Data'!$C$20:$C$1000,1,false)</f>
        <v>ZSI1_CABLE_DUCT</v>
      </c>
      <c r="H7643" s="63" t="str">
        <f>IFERROR(__xludf.DUMMYFUNCTION("VLOOKUP(F7643, IMPORTRANGE(""https://docs.google.com/spreadsheets/d/1Lhp9OU0JdFf_VYSMzH5lBcEaU4o8teT1piV-SNzShjg/edit?gid=554141278#gid=554141278"", ""'Char Def. - Attributes'!C20:C2242""), 1,false)"),"ALT_DENUM_UOM4")</f>
        <v>ALT_DENUM_UOM4</v>
      </c>
      <c r="I7643" s="136"/>
      <c r="R7643" s="63" t="str">
        <f t="shared" si="60"/>
        <v>ZSI1_CABLE_DUCTALT_DENUM_UOM4</v>
      </c>
    </row>
    <row r="7644" ht="15.75" customHeight="1">
      <c r="B7644" s="63">
        <f t="shared" si="1"/>
        <v>15</v>
      </c>
      <c r="C7644" s="135" t="s">
        <v>362</v>
      </c>
      <c r="D7644" s="161" t="s">
        <v>74</v>
      </c>
      <c r="E7644" s="135">
        <f t="shared" si="61"/>
        <v>26</v>
      </c>
      <c r="F7644" s="134" t="s">
        <v>3815</v>
      </c>
      <c r="G7644" s="63" t="str">
        <f>VLOOKUP(C7644, 'Class Def. - General Data'!$C$20:$C$1000,1,false)</f>
        <v>ZSI1_CABLE_DUCT</v>
      </c>
      <c r="H7644" s="63" t="str">
        <f>IFERROR(__xludf.DUMMYFUNCTION("VLOOKUP(F7644, IMPORTRANGE(""https://docs.google.com/spreadsheets/d/1Lhp9OU0JdFf_VYSMzH5lBcEaU4o8teT1piV-SNzShjg/edit?gid=554141278#gid=554141278"", ""'Char Def. - Attributes'!C20:C2242""), 1,false)"),"ALT_NUM_UOM4")</f>
        <v>ALT_NUM_UOM4</v>
      </c>
      <c r="I7644" s="136"/>
      <c r="R7644" s="63" t="str">
        <f t="shared" si="60"/>
        <v>ZSI1_CABLE_DUCTALT_NUM_UOM4</v>
      </c>
    </row>
    <row r="7645" ht="15.75" customHeight="1">
      <c r="B7645" s="63">
        <f t="shared" si="1"/>
        <v>15</v>
      </c>
      <c r="C7645" s="135" t="s">
        <v>362</v>
      </c>
      <c r="D7645" s="161" t="s">
        <v>74</v>
      </c>
      <c r="E7645" s="135">
        <f t="shared" si="61"/>
        <v>27</v>
      </c>
      <c r="F7645" s="134" t="s">
        <v>3816</v>
      </c>
      <c r="G7645" s="63" t="str">
        <f>VLOOKUP(C7645, 'Class Def. - General Data'!$C$20:$C$1000,1,false)</f>
        <v>ZSI1_CABLE_DUCT</v>
      </c>
      <c r="H7645" s="63" t="str">
        <f>IFERROR(__xludf.DUMMYFUNCTION("VLOOKUP(F7645, IMPORTRANGE(""https://docs.google.com/spreadsheets/d/1Lhp9OU0JdFf_VYSMzH5lBcEaU4o8teT1piV-SNzShjg/edit?gid=554141278#gid=554141278"", ""'Char Def. - Attributes'!C20:C2242""), 1,false)"),"ALT_UOM5_SIPI")</f>
        <v>ALT_UOM5_SIPI</v>
      </c>
      <c r="I7645" s="136"/>
      <c r="R7645" s="63" t="str">
        <f t="shared" si="60"/>
        <v>ZSI1_CABLE_DUCTALT_UOM5_SIPI</v>
      </c>
    </row>
    <row r="7646" ht="15.75" customHeight="1">
      <c r="B7646" s="63">
        <f t="shared" si="1"/>
        <v>15</v>
      </c>
      <c r="C7646" s="135" t="s">
        <v>362</v>
      </c>
      <c r="D7646" s="161" t="s">
        <v>74</v>
      </c>
      <c r="E7646" s="135">
        <f t="shared" si="61"/>
        <v>28</v>
      </c>
      <c r="F7646" s="134" t="s">
        <v>3817</v>
      </c>
      <c r="G7646" s="63" t="str">
        <f>VLOOKUP(C7646, 'Class Def. - General Data'!$C$20:$C$1000,1,false)</f>
        <v>ZSI1_CABLE_DUCT</v>
      </c>
      <c r="H7646" s="63" t="str">
        <f>IFERROR(__xludf.DUMMYFUNCTION("VLOOKUP(F7646, IMPORTRANGE(""https://docs.google.com/spreadsheets/d/1Lhp9OU0JdFf_VYSMzH5lBcEaU4o8teT1piV-SNzShjg/edit?gid=554141278#gid=554141278"", ""'Char Def. - Attributes'!C20:C2242""), 1,false)"),"ALT_DENUM_UOM5")</f>
        <v>ALT_DENUM_UOM5</v>
      </c>
      <c r="I7646" s="136"/>
      <c r="R7646" s="63" t="str">
        <f t="shared" si="60"/>
        <v>ZSI1_CABLE_DUCTALT_DENUM_UOM5</v>
      </c>
    </row>
    <row r="7647" ht="15.75" customHeight="1">
      <c r="B7647" s="63">
        <f t="shared" si="1"/>
        <v>15</v>
      </c>
      <c r="C7647" s="135" t="s">
        <v>362</v>
      </c>
      <c r="D7647" s="161" t="s">
        <v>74</v>
      </c>
      <c r="E7647" s="135">
        <f t="shared" si="61"/>
        <v>29</v>
      </c>
      <c r="F7647" s="134" t="s">
        <v>3818</v>
      </c>
      <c r="G7647" s="63" t="str">
        <f>VLOOKUP(C7647, 'Class Def. - General Data'!$C$20:$C$1000,1,false)</f>
        <v>ZSI1_CABLE_DUCT</v>
      </c>
      <c r="H7647" s="63" t="str">
        <f>IFERROR(__xludf.DUMMYFUNCTION("VLOOKUP(F7647, IMPORTRANGE(""https://docs.google.com/spreadsheets/d/1Lhp9OU0JdFf_VYSMzH5lBcEaU4o8teT1piV-SNzShjg/edit?gid=554141278#gid=554141278"", ""'Char Def. - Attributes'!C20:C2242""), 1,false)"),"ALT_NUM_UOM5")</f>
        <v>ALT_NUM_UOM5</v>
      </c>
      <c r="I7647" s="136"/>
      <c r="R7647" s="63" t="str">
        <f t="shared" si="60"/>
        <v>ZSI1_CABLE_DUCTALT_NUM_UOM5</v>
      </c>
    </row>
    <row r="7648" ht="15.75" customHeight="1">
      <c r="B7648" s="63">
        <f t="shared" si="1"/>
        <v>15</v>
      </c>
      <c r="C7648" s="135" t="s">
        <v>363</v>
      </c>
      <c r="D7648" s="161" t="s">
        <v>74</v>
      </c>
      <c r="E7648" s="135">
        <f t="shared" si="61"/>
        <v>1</v>
      </c>
      <c r="F7648" s="134" t="s">
        <v>4207</v>
      </c>
      <c r="G7648" s="63" t="str">
        <f>VLOOKUP(C7648, 'Class Def. - General Data'!$C$20:$C$1000,1,false)</f>
        <v>ZSI1_CABLE_TRAY</v>
      </c>
      <c r="H7648" s="63" t="str">
        <f>IFERROR(__xludf.DUMMYFUNCTION("VLOOKUP(F7648, IMPORTRANGE(""https://docs.google.com/spreadsheets/d/1Lhp9OU0JdFf_VYSMzH5lBcEaU4o8teT1piV-SNzShjg/edit?gid=554141278#gid=554141278"", ""'Char Def. - Attributes'!C20:C2242""), 1,false)"),"ITEM_NAME_CABLE_TRAY")</f>
        <v>ITEM_NAME_CABLE_TRAY</v>
      </c>
      <c r="I7648" s="136"/>
      <c r="R7648" s="63" t="str">
        <f t="shared" si="60"/>
        <v>ZSI1_CABLE_TRAYITEM_NAME_CABLE_TRAY</v>
      </c>
    </row>
    <row r="7649" ht="15.75" customHeight="1">
      <c r="B7649" s="63">
        <f t="shared" si="1"/>
        <v>15</v>
      </c>
      <c r="C7649" s="135" t="s">
        <v>363</v>
      </c>
      <c r="D7649" s="161" t="s">
        <v>74</v>
      </c>
      <c r="E7649" s="135">
        <f t="shared" si="61"/>
        <v>2</v>
      </c>
      <c r="F7649" s="134" t="s">
        <v>4208</v>
      </c>
      <c r="G7649" s="63" t="str">
        <f>VLOOKUP(C7649, 'Class Def. - General Data'!$C$20:$C$1000,1,false)</f>
        <v>ZSI1_CABLE_TRAY</v>
      </c>
      <c r="H7649" s="63" t="str">
        <f>IFERROR(__xludf.DUMMYFUNCTION("VLOOKUP(F7649, IMPORTRANGE(""https://docs.google.com/spreadsheets/d/1Lhp9OU0JdFf_VYSMzH5lBcEaU4o8teT1piV-SNzShjg/edit?gid=554141278#gid=554141278"", ""'Char Def. - Attributes'!C20:C2242""), 1,false)"),"MATERIAL_CABLE_TRAY")</f>
        <v>MATERIAL_CABLE_TRAY</v>
      </c>
      <c r="I7649" s="136"/>
      <c r="R7649" s="63" t="str">
        <f t="shared" si="60"/>
        <v>ZSI1_CABLE_TRAYMATERIAL_CABLE_TRAY</v>
      </c>
    </row>
    <row r="7650" ht="15.75" customHeight="1">
      <c r="B7650" s="63">
        <f t="shared" si="1"/>
        <v>15</v>
      </c>
      <c r="C7650" s="135" t="s">
        <v>363</v>
      </c>
      <c r="D7650" s="161" t="s">
        <v>74</v>
      </c>
      <c r="E7650" s="135">
        <f t="shared" si="61"/>
        <v>3</v>
      </c>
      <c r="F7650" s="134" t="s">
        <v>4209</v>
      </c>
      <c r="G7650" s="63" t="str">
        <f>VLOOKUP(C7650, 'Class Def. - General Data'!$C$20:$C$1000,1,false)</f>
        <v>ZSI1_CABLE_TRAY</v>
      </c>
      <c r="H7650" s="63" t="str">
        <f>IFERROR(__xludf.DUMMYFUNCTION("VLOOKUP(F7650, IMPORTRANGE(""https://docs.google.com/spreadsheets/d/1Lhp9OU0JdFf_VYSMzH5lBcEaU4o8teT1piV-SNzShjg/edit?gid=554141278#gid=554141278"", ""'Char Def. - Attributes'!C20:C2242""), 1,false)"),"WIDTH_MM_CABLE_TRAY")</f>
        <v>WIDTH_MM_CABLE_TRAY</v>
      </c>
      <c r="I7650" s="136"/>
      <c r="R7650" s="63" t="str">
        <f t="shared" si="60"/>
        <v>ZSI1_CABLE_TRAYWIDTH_MM_CABLE_TRAY</v>
      </c>
    </row>
    <row r="7651" ht="15.75" customHeight="1">
      <c r="B7651" s="63">
        <f t="shared" si="1"/>
        <v>15</v>
      </c>
      <c r="C7651" s="135" t="s">
        <v>363</v>
      </c>
      <c r="D7651" s="161" t="s">
        <v>74</v>
      </c>
      <c r="E7651" s="135">
        <f t="shared" si="61"/>
        <v>4</v>
      </c>
      <c r="F7651" s="134" t="s">
        <v>4210</v>
      </c>
      <c r="G7651" s="63" t="str">
        <f>VLOOKUP(C7651, 'Class Def. - General Data'!$C$20:$C$1000,1,false)</f>
        <v>ZSI1_CABLE_TRAY</v>
      </c>
      <c r="H7651" s="63" t="str">
        <f>IFERROR(__xludf.DUMMYFUNCTION("VLOOKUP(F7651, IMPORTRANGE(""https://docs.google.com/spreadsheets/d/1Lhp9OU0JdFf_VYSMzH5lBcEaU4o8teT1piV-SNzShjg/edit?gid=554141278#gid=554141278"", ""'Char Def. - Attributes'!C20:C2242""), 1,false)"),"HEIGHT_MM_CABLE_TRAY")</f>
        <v>HEIGHT_MM_CABLE_TRAY</v>
      </c>
      <c r="I7651" s="136"/>
      <c r="R7651" s="63" t="str">
        <f t="shared" si="60"/>
        <v>ZSI1_CABLE_TRAYHEIGHT_MM_CABLE_TRAY</v>
      </c>
    </row>
    <row r="7652" ht="15.75" customHeight="1">
      <c r="B7652" s="63">
        <f t="shared" si="1"/>
        <v>15</v>
      </c>
      <c r="C7652" s="135" t="s">
        <v>363</v>
      </c>
      <c r="D7652" s="161" t="s">
        <v>74</v>
      </c>
      <c r="E7652" s="135">
        <f t="shared" si="61"/>
        <v>5</v>
      </c>
      <c r="F7652" s="134" t="s">
        <v>4211</v>
      </c>
      <c r="G7652" s="63" t="str">
        <f>VLOOKUP(C7652, 'Class Def. - General Data'!$C$20:$C$1000,1,false)</f>
        <v>ZSI1_CABLE_TRAY</v>
      </c>
      <c r="H7652" s="63" t="str">
        <f>IFERROR(__xludf.DUMMYFUNCTION("VLOOKUP(F7652, IMPORTRANGE(""https://docs.google.com/spreadsheets/d/1Lhp9OU0JdFf_VYSMzH5lBcEaU4o8teT1piV-SNzShjg/edit?gid=554141278#gid=554141278"", ""'Char Def. - Attributes'!C20:C2242""), 1,false)"),"THICKNESS_MM_CABLE_TRAY")</f>
        <v>THICKNESS_MM_CABLE_TRAY</v>
      </c>
      <c r="I7652" s="136"/>
      <c r="R7652" s="63" t="str">
        <f t="shared" si="60"/>
        <v>ZSI1_CABLE_TRAYTHICKNESS_MM_CABLE_TRAY</v>
      </c>
    </row>
    <row r="7653" ht="15.75" customHeight="1">
      <c r="B7653" s="63">
        <f t="shared" si="1"/>
        <v>15</v>
      </c>
      <c r="C7653" s="135" t="s">
        <v>363</v>
      </c>
      <c r="D7653" s="161" t="s">
        <v>74</v>
      </c>
      <c r="E7653" s="135">
        <f t="shared" si="61"/>
        <v>6</v>
      </c>
      <c r="F7653" s="134" t="s">
        <v>4212</v>
      </c>
      <c r="G7653" s="63" t="str">
        <f>VLOOKUP(C7653, 'Class Def. - General Data'!$C$20:$C$1000,1,false)</f>
        <v>ZSI1_CABLE_TRAY</v>
      </c>
      <c r="H7653" s="63" t="str">
        <f>IFERROR(__xludf.DUMMYFUNCTION("VLOOKUP(F7653, IMPORTRANGE(""https://docs.google.com/spreadsheets/d/1Lhp9OU0JdFf_VYSMzH5lBcEaU4o8teT1piV-SNzShjg/edit?gid=554141278#gid=554141278"", ""'Char Def. - Attributes'!C20:C2242""), 1,false)"),"LENGTH_MM_CABLE_TRAY")</f>
        <v>LENGTH_MM_CABLE_TRAY</v>
      </c>
      <c r="I7653" s="136"/>
      <c r="R7653" s="63" t="str">
        <f t="shared" si="60"/>
        <v>ZSI1_CABLE_TRAYLENGTH_MM_CABLE_TRAY</v>
      </c>
    </row>
    <row r="7654" ht="15.75" customHeight="1">
      <c r="B7654" s="63">
        <f t="shared" si="1"/>
        <v>15</v>
      </c>
      <c r="C7654" s="135" t="s">
        <v>363</v>
      </c>
      <c r="D7654" s="161" t="s">
        <v>74</v>
      </c>
      <c r="E7654" s="135">
        <f t="shared" si="61"/>
        <v>7</v>
      </c>
      <c r="F7654" s="134" t="s">
        <v>3585</v>
      </c>
      <c r="G7654" s="63" t="str">
        <f>VLOOKUP(C7654, 'Class Def. - General Data'!$C$20:$C$1000,1,false)</f>
        <v>ZSI1_CABLE_TRAY</v>
      </c>
      <c r="H7654" s="63" t="str">
        <f>IFERROR(__xludf.DUMMYFUNCTION("VLOOKUP(F7654, IMPORTRANGE(""https://docs.google.com/spreadsheets/d/1Lhp9OU0JdFf_VYSMzH5lBcEaU4o8teT1piV-SNzShjg/edit?gid=554141278#gid=554141278"", ""'Char Def. - Attributes'!C20:C2242""), 1,false)"),"HS_CODE")</f>
        <v>HS_CODE</v>
      </c>
      <c r="I7654" s="136"/>
      <c r="R7654" s="63" t="str">
        <f t="shared" si="60"/>
        <v>ZSI1_CABLE_TRAYHS_CODE</v>
      </c>
    </row>
    <row r="7655" ht="15.75" customHeight="1">
      <c r="B7655" s="63">
        <f t="shared" si="1"/>
        <v>15</v>
      </c>
      <c r="C7655" s="135" t="s">
        <v>363</v>
      </c>
      <c r="D7655" s="161" t="s">
        <v>74</v>
      </c>
      <c r="E7655" s="135">
        <f t="shared" si="61"/>
        <v>8</v>
      </c>
      <c r="F7655" s="134" t="s">
        <v>3587</v>
      </c>
      <c r="G7655" s="63" t="str">
        <f>VLOOKUP(C7655, 'Class Def. - General Data'!$C$20:$C$1000,1,false)</f>
        <v>ZSI1_CABLE_TRAY</v>
      </c>
      <c r="H7655" s="63" t="str">
        <f>IFERROR(__xludf.DUMMYFUNCTION("VLOOKUP(F7655, IMPORTRANGE(""https://docs.google.com/spreadsheets/d/1Lhp9OU0JdFf_VYSMzH5lBcEaU4o8teT1piV-SNzShjg/edit?gid=554141278#gid=554141278"", ""'Char Def. - Attributes'!C20:C2242""), 1,false)"),"PLANT_BUY")</f>
        <v>PLANT_BUY</v>
      </c>
      <c r="I7655" s="136"/>
      <c r="R7655" s="63" t="str">
        <f t="shared" si="60"/>
        <v>ZSI1_CABLE_TRAYPLANT_BUY</v>
      </c>
    </row>
    <row r="7656" ht="15.75" customHeight="1">
      <c r="B7656" s="63">
        <f t="shared" si="1"/>
        <v>15</v>
      </c>
      <c r="C7656" s="135" t="s">
        <v>363</v>
      </c>
      <c r="D7656" s="161" t="s">
        <v>74</v>
      </c>
      <c r="E7656" s="135">
        <f t="shared" si="61"/>
        <v>9</v>
      </c>
      <c r="F7656" s="134" t="s">
        <v>4213</v>
      </c>
      <c r="G7656" s="63" t="str">
        <f>VLOOKUP(C7656, 'Class Def. - General Data'!$C$20:$C$1000,1,false)</f>
        <v>ZSI1_CABLE_TRAY</v>
      </c>
      <c r="H7656" s="63" t="str">
        <f>IFERROR(__xludf.DUMMYFUNCTION("VLOOKUP(F7656, IMPORTRANGE(""https://docs.google.com/spreadsheets/d/1Lhp9OU0JdFf_VYSMzH5lBcEaU4o8teT1piV-SNzShjg/edit?gid=554141278#gid=554141278"", ""'Char Def. - Attributes'!C20:C2242""), 1,false)"),"BASE_UOM_CABLE_TRAY")</f>
        <v>BASE_UOM_CABLE_TRAY</v>
      </c>
      <c r="I7656" s="136"/>
      <c r="R7656" s="63" t="str">
        <f t="shared" si="60"/>
        <v>ZSI1_CABLE_TRAYBASE_UOM_CABLE_TRAY</v>
      </c>
    </row>
    <row r="7657" ht="15.75" customHeight="1">
      <c r="B7657" s="63">
        <f t="shared" si="1"/>
        <v>15</v>
      </c>
      <c r="C7657" s="135" t="s">
        <v>363</v>
      </c>
      <c r="D7657" s="161" t="s">
        <v>74</v>
      </c>
      <c r="E7657" s="135">
        <f t="shared" si="61"/>
        <v>10</v>
      </c>
      <c r="F7657" s="134" t="s">
        <v>4214</v>
      </c>
      <c r="G7657" s="63" t="str">
        <f>VLOOKUP(C7657, 'Class Def. - General Data'!$C$20:$C$1000,1,false)</f>
        <v>ZSI1_CABLE_TRAY</v>
      </c>
      <c r="H7657" s="63" t="str">
        <f>IFERROR(__xludf.DUMMYFUNCTION("VLOOKUP(F7657, IMPORTRANGE(""https://docs.google.com/spreadsheets/d/1Lhp9OU0JdFf_VYSMzH5lBcEaU4o8teT1piV-SNzShjg/edit?gid=554141278#gid=554141278"", ""'Char Def. - Attributes'!C20:C2242""), 1,false)"),"ORDER_UNIT_CABLE_TRAY")</f>
        <v>ORDER_UNIT_CABLE_TRAY</v>
      </c>
      <c r="I7657" s="136"/>
      <c r="R7657" s="63" t="str">
        <f t="shared" si="60"/>
        <v>ZSI1_CABLE_TRAYORDER_UNIT_CABLE_TRAY</v>
      </c>
    </row>
    <row r="7658" ht="15.75" customHeight="1">
      <c r="B7658" s="63">
        <f t="shared" si="1"/>
        <v>15</v>
      </c>
      <c r="C7658" s="135" t="s">
        <v>363</v>
      </c>
      <c r="D7658" s="161" t="s">
        <v>74</v>
      </c>
      <c r="E7658" s="135">
        <f t="shared" si="61"/>
        <v>11</v>
      </c>
      <c r="F7658" s="134" t="s">
        <v>4056</v>
      </c>
      <c r="G7658" s="63" t="str">
        <f>VLOOKUP(C7658, 'Class Def. - General Data'!$C$20:$C$1000,1,false)</f>
        <v>ZSI1_CABLE_TRAY</v>
      </c>
      <c r="H7658" s="63" t="str">
        <f>IFERROR(__xludf.DUMMYFUNCTION("VLOOKUP(F7658, IMPORTRANGE(""https://docs.google.com/spreadsheets/d/1Lhp9OU0JdFf_VYSMzH5lBcEaU4o8teT1piV-SNzShjg/edit?gid=554141278#gid=554141278"", ""'Char Def. - Attributes'!C20:C2242""), 1,false)"),"GROSS_WEIGHT_OPT")</f>
        <v>GROSS_WEIGHT_OPT</v>
      </c>
      <c r="I7658" s="136"/>
      <c r="R7658" s="63" t="str">
        <f t="shared" si="60"/>
        <v>ZSI1_CABLE_TRAYGROSS_WEIGHT_OPT</v>
      </c>
    </row>
    <row r="7659" ht="15.75" customHeight="1">
      <c r="B7659" s="63">
        <f t="shared" si="1"/>
        <v>15</v>
      </c>
      <c r="C7659" s="135" t="s">
        <v>363</v>
      </c>
      <c r="D7659" s="161" t="s">
        <v>74</v>
      </c>
      <c r="E7659" s="135">
        <f t="shared" si="61"/>
        <v>12</v>
      </c>
      <c r="F7659" s="134" t="s">
        <v>4057</v>
      </c>
      <c r="G7659" s="63" t="str">
        <f>VLOOKUP(C7659, 'Class Def. - General Data'!$C$20:$C$1000,1,false)</f>
        <v>ZSI1_CABLE_TRAY</v>
      </c>
      <c r="H7659" s="63" t="str">
        <f>IFERROR(__xludf.DUMMYFUNCTION("VLOOKUP(F7659, IMPORTRANGE(""https://docs.google.com/spreadsheets/d/1Lhp9OU0JdFf_VYSMzH5lBcEaU4o8teT1piV-SNzShjg/edit?gid=554141278#gid=554141278"", ""'Char Def. - Attributes'!C20:C2242""), 1,false)"),"NET_WEIGHT_OPT")</f>
        <v>NET_WEIGHT_OPT</v>
      </c>
      <c r="I7659" s="136"/>
      <c r="R7659" s="63" t="str">
        <f t="shared" si="60"/>
        <v>ZSI1_CABLE_TRAYNET_WEIGHT_OPT</v>
      </c>
    </row>
    <row r="7660" ht="15.75" customHeight="1">
      <c r="B7660" s="63">
        <f t="shared" si="1"/>
        <v>15</v>
      </c>
      <c r="C7660" s="135" t="s">
        <v>363</v>
      </c>
      <c r="D7660" s="161" t="s">
        <v>74</v>
      </c>
      <c r="E7660" s="135">
        <f t="shared" si="61"/>
        <v>13</v>
      </c>
      <c r="F7660" s="134" t="s">
        <v>4058</v>
      </c>
      <c r="G7660" s="63" t="str">
        <f>VLOOKUP(C7660, 'Class Def. - General Data'!$C$20:$C$1000,1,false)</f>
        <v>ZSI1_CABLE_TRAY</v>
      </c>
      <c r="H7660" s="63" t="str">
        <f>IFERROR(__xludf.DUMMYFUNCTION("VLOOKUP(F7660, IMPORTRANGE(""https://docs.google.com/spreadsheets/d/1Lhp9OU0JdFf_VYSMzH5lBcEaU4o8teT1piV-SNzShjg/edit?gid=554141278#gid=554141278"", ""'Char Def. - Attributes'!C20:C2242""), 1,false)"),"WEIGHT_UNIT_SI")</f>
        <v>WEIGHT_UNIT_SI</v>
      </c>
      <c r="I7660" s="136"/>
      <c r="R7660" s="63" t="str">
        <f t="shared" si="60"/>
        <v>ZSI1_CABLE_TRAYWEIGHT_UNIT_SI</v>
      </c>
    </row>
    <row r="7661" ht="15.75" customHeight="1">
      <c r="B7661" s="63">
        <f t="shared" si="1"/>
        <v>15</v>
      </c>
      <c r="C7661" s="135" t="s">
        <v>363</v>
      </c>
      <c r="D7661" s="161" t="s">
        <v>74</v>
      </c>
      <c r="E7661" s="135">
        <f t="shared" si="61"/>
        <v>14</v>
      </c>
      <c r="F7661" s="134" t="s">
        <v>3877</v>
      </c>
      <c r="G7661" s="63" t="str">
        <f>VLOOKUP(C7661, 'Class Def. - General Data'!$C$20:$C$1000,1,false)</f>
        <v>ZSI1_CABLE_TRAY</v>
      </c>
      <c r="H7661" s="63" t="str">
        <f>IFERROR(__xludf.DUMMYFUNCTION("VLOOKUP(F7661, IMPORTRANGE(""https://docs.google.com/spreadsheets/d/1Lhp9OU0JdFf_VYSMzH5lBcEaU4o8teT1piV-SNzShjg/edit?gid=554141278#gid=554141278"", ""'Char Def. - Attributes'!C20:C2242""), 1,false)"),"VOLUME_OPT")</f>
        <v>VOLUME_OPT</v>
      </c>
      <c r="I7661" s="136"/>
      <c r="R7661" s="63" t="str">
        <f t="shared" si="60"/>
        <v>ZSI1_CABLE_TRAYVOLUME_OPT</v>
      </c>
    </row>
    <row r="7662" ht="15.75" customHeight="1">
      <c r="B7662" s="63">
        <f t="shared" si="1"/>
        <v>15</v>
      </c>
      <c r="C7662" s="135" t="s">
        <v>363</v>
      </c>
      <c r="D7662" s="161" t="s">
        <v>74</v>
      </c>
      <c r="E7662" s="135">
        <f t="shared" si="61"/>
        <v>15</v>
      </c>
      <c r="F7662" s="134" t="s">
        <v>4059</v>
      </c>
      <c r="G7662" s="63" t="str">
        <f>VLOOKUP(C7662, 'Class Def. - General Data'!$C$20:$C$1000,1,false)</f>
        <v>ZSI1_CABLE_TRAY</v>
      </c>
      <c r="H7662" s="63" t="str">
        <f>IFERROR(__xludf.DUMMYFUNCTION("VLOOKUP(F7662, IMPORTRANGE(""https://docs.google.com/spreadsheets/d/1Lhp9OU0JdFf_VYSMzH5lBcEaU4o8teT1piV-SNzShjg/edit?gid=554141278#gid=554141278"", ""'Char Def. - Attributes'!C20:C2242""), 1,false)"),"VOLUME_UNIT_SI")</f>
        <v>VOLUME_UNIT_SI</v>
      </c>
      <c r="I7662" s="136"/>
      <c r="R7662" s="63" t="str">
        <f t="shared" si="60"/>
        <v>ZSI1_CABLE_TRAYVOLUME_UNIT_SI</v>
      </c>
    </row>
    <row r="7663" ht="15.75" customHeight="1">
      <c r="B7663" s="63">
        <f t="shared" si="1"/>
        <v>15</v>
      </c>
      <c r="C7663" s="135" t="s">
        <v>363</v>
      </c>
      <c r="D7663" s="161" t="s">
        <v>74</v>
      </c>
      <c r="E7663" s="135">
        <f t="shared" si="61"/>
        <v>16</v>
      </c>
      <c r="F7663" s="134" t="s">
        <v>3804</v>
      </c>
      <c r="G7663" s="63" t="str">
        <f>VLOOKUP(C7663, 'Class Def. - General Data'!$C$20:$C$1000,1,false)</f>
        <v>ZSI1_CABLE_TRAY</v>
      </c>
      <c r="H7663" s="63" t="str">
        <f>IFERROR(__xludf.DUMMYFUNCTION("VLOOKUP(F7663, IMPORTRANGE(""https://docs.google.com/spreadsheets/d/1Lhp9OU0JdFf_VYSMzH5lBcEaU4o8teT1piV-SNzShjg/edit?gid=554141278#gid=554141278"", ""'Char Def. - Attributes'!C20:C2242""), 1,false)"),"ALT_UOM1_SIPI")</f>
        <v>ALT_UOM1_SIPI</v>
      </c>
      <c r="I7663" s="136"/>
      <c r="R7663" s="63" t="str">
        <f t="shared" si="60"/>
        <v>ZSI1_CABLE_TRAYALT_UOM1_SIPI</v>
      </c>
    </row>
    <row r="7664" ht="15.75" customHeight="1">
      <c r="B7664" s="63">
        <f t="shared" si="1"/>
        <v>15</v>
      </c>
      <c r="C7664" s="135" t="s">
        <v>363</v>
      </c>
      <c r="D7664" s="161" t="s">
        <v>74</v>
      </c>
      <c r="E7664" s="135">
        <f t="shared" si="61"/>
        <v>17</v>
      </c>
      <c r="F7664" s="134" t="s">
        <v>3805</v>
      </c>
      <c r="G7664" s="63" t="str">
        <f>VLOOKUP(C7664, 'Class Def. - General Data'!$C$20:$C$1000,1,false)</f>
        <v>ZSI1_CABLE_TRAY</v>
      </c>
      <c r="H7664" s="63" t="str">
        <f>IFERROR(__xludf.DUMMYFUNCTION("VLOOKUP(F7664, IMPORTRANGE(""https://docs.google.com/spreadsheets/d/1Lhp9OU0JdFf_VYSMzH5lBcEaU4o8teT1piV-SNzShjg/edit?gid=554141278#gid=554141278"", ""'Char Def. - Attributes'!C20:C2242""), 1,false)"),"ALT_DENUM_UOM1")</f>
        <v>ALT_DENUM_UOM1</v>
      </c>
      <c r="I7664" s="136"/>
      <c r="R7664" s="63" t="str">
        <f t="shared" si="60"/>
        <v>ZSI1_CABLE_TRAYALT_DENUM_UOM1</v>
      </c>
    </row>
    <row r="7665" ht="15.75" customHeight="1">
      <c r="B7665" s="63">
        <f t="shared" si="1"/>
        <v>15</v>
      </c>
      <c r="C7665" s="135" t="s">
        <v>363</v>
      </c>
      <c r="D7665" s="161" t="s">
        <v>74</v>
      </c>
      <c r="E7665" s="135">
        <f t="shared" si="61"/>
        <v>18</v>
      </c>
      <c r="F7665" s="134" t="s">
        <v>3806</v>
      </c>
      <c r="G7665" s="63" t="str">
        <f>VLOOKUP(C7665, 'Class Def. - General Data'!$C$20:$C$1000,1,false)</f>
        <v>ZSI1_CABLE_TRAY</v>
      </c>
      <c r="H7665" s="63" t="str">
        <f>IFERROR(__xludf.DUMMYFUNCTION("VLOOKUP(F7665, IMPORTRANGE(""https://docs.google.com/spreadsheets/d/1Lhp9OU0JdFf_VYSMzH5lBcEaU4o8teT1piV-SNzShjg/edit?gid=554141278#gid=554141278"", ""'Char Def. - Attributes'!C20:C2242""), 1,false)"),"ALT_NUM_UOM1")</f>
        <v>ALT_NUM_UOM1</v>
      </c>
      <c r="I7665" s="136"/>
      <c r="R7665" s="63" t="str">
        <f t="shared" si="60"/>
        <v>ZSI1_CABLE_TRAYALT_NUM_UOM1</v>
      </c>
    </row>
    <row r="7666" ht="15.75" customHeight="1">
      <c r="B7666" s="63">
        <f t="shared" si="1"/>
        <v>15</v>
      </c>
      <c r="C7666" s="135" t="s">
        <v>363</v>
      </c>
      <c r="D7666" s="161" t="s">
        <v>74</v>
      </c>
      <c r="E7666" s="135">
        <f t="shared" si="61"/>
        <v>19</v>
      </c>
      <c r="F7666" s="134" t="s">
        <v>3807</v>
      </c>
      <c r="G7666" s="63" t="str">
        <f>VLOOKUP(C7666, 'Class Def. - General Data'!$C$20:$C$1000,1,false)</f>
        <v>ZSI1_CABLE_TRAY</v>
      </c>
      <c r="H7666" s="63" t="str">
        <f>IFERROR(__xludf.DUMMYFUNCTION("VLOOKUP(F7666, IMPORTRANGE(""https://docs.google.com/spreadsheets/d/1Lhp9OU0JdFf_VYSMzH5lBcEaU4o8teT1piV-SNzShjg/edit?gid=554141278#gid=554141278"", ""'Char Def. - Attributes'!C20:C2242""), 1,false)"),"ALT_UOM2_SIPI")</f>
        <v>ALT_UOM2_SIPI</v>
      </c>
      <c r="I7666" s="136"/>
      <c r="R7666" s="63" t="str">
        <f t="shared" si="60"/>
        <v>ZSI1_CABLE_TRAYALT_UOM2_SIPI</v>
      </c>
    </row>
    <row r="7667" ht="15.75" customHeight="1">
      <c r="B7667" s="63">
        <f t="shared" si="1"/>
        <v>15</v>
      </c>
      <c r="C7667" s="135" t="s">
        <v>363</v>
      </c>
      <c r="D7667" s="161" t="s">
        <v>74</v>
      </c>
      <c r="E7667" s="135">
        <f t="shared" si="61"/>
        <v>20</v>
      </c>
      <c r="F7667" s="134" t="s">
        <v>3808</v>
      </c>
      <c r="G7667" s="63" t="str">
        <f>VLOOKUP(C7667, 'Class Def. - General Data'!$C$20:$C$1000,1,false)</f>
        <v>ZSI1_CABLE_TRAY</v>
      </c>
      <c r="H7667" s="63" t="str">
        <f>IFERROR(__xludf.DUMMYFUNCTION("VLOOKUP(F7667, IMPORTRANGE(""https://docs.google.com/spreadsheets/d/1Lhp9OU0JdFf_VYSMzH5lBcEaU4o8teT1piV-SNzShjg/edit?gid=554141278#gid=554141278"", ""'Char Def. - Attributes'!C20:C2242""), 1,false)"),"ALT_DENUM_UOM2")</f>
        <v>ALT_DENUM_UOM2</v>
      </c>
      <c r="I7667" s="136"/>
      <c r="R7667" s="63" t="str">
        <f t="shared" si="60"/>
        <v>ZSI1_CABLE_TRAYALT_DENUM_UOM2</v>
      </c>
    </row>
    <row r="7668" ht="15.75" customHeight="1">
      <c r="B7668" s="63">
        <f t="shared" si="1"/>
        <v>15</v>
      </c>
      <c r="C7668" s="135" t="s">
        <v>363</v>
      </c>
      <c r="D7668" s="161" t="s">
        <v>74</v>
      </c>
      <c r="E7668" s="135">
        <f t="shared" si="61"/>
        <v>21</v>
      </c>
      <c r="F7668" s="134" t="s">
        <v>3809</v>
      </c>
      <c r="G7668" s="63" t="str">
        <f>VLOOKUP(C7668, 'Class Def. - General Data'!$C$20:$C$1000,1,false)</f>
        <v>ZSI1_CABLE_TRAY</v>
      </c>
      <c r="H7668" s="63" t="str">
        <f>IFERROR(__xludf.DUMMYFUNCTION("VLOOKUP(F7668, IMPORTRANGE(""https://docs.google.com/spreadsheets/d/1Lhp9OU0JdFf_VYSMzH5lBcEaU4o8teT1piV-SNzShjg/edit?gid=554141278#gid=554141278"", ""'Char Def. - Attributes'!C20:C2242""), 1,false)"),"ALT_NUM_UOM2")</f>
        <v>ALT_NUM_UOM2</v>
      </c>
      <c r="I7668" s="136"/>
      <c r="R7668" s="63" t="str">
        <f t="shared" si="60"/>
        <v>ZSI1_CABLE_TRAYALT_NUM_UOM2</v>
      </c>
    </row>
    <row r="7669" ht="15.75" customHeight="1">
      <c r="B7669" s="63">
        <f t="shared" si="1"/>
        <v>15</v>
      </c>
      <c r="C7669" s="135" t="s">
        <v>363</v>
      </c>
      <c r="D7669" s="161" t="s">
        <v>74</v>
      </c>
      <c r="E7669" s="135">
        <f t="shared" si="61"/>
        <v>22</v>
      </c>
      <c r="F7669" s="134" t="s">
        <v>3810</v>
      </c>
      <c r="G7669" s="63" t="str">
        <f>VLOOKUP(C7669, 'Class Def. - General Data'!$C$20:$C$1000,1,false)</f>
        <v>ZSI1_CABLE_TRAY</v>
      </c>
      <c r="H7669" s="63" t="str">
        <f>IFERROR(__xludf.DUMMYFUNCTION("VLOOKUP(F7669, IMPORTRANGE(""https://docs.google.com/spreadsheets/d/1Lhp9OU0JdFf_VYSMzH5lBcEaU4o8teT1piV-SNzShjg/edit?gid=554141278#gid=554141278"", ""'Char Def. - Attributes'!C20:C2242""), 1,false)"),"ALT_UOM3_SIPI")</f>
        <v>ALT_UOM3_SIPI</v>
      </c>
      <c r="I7669" s="136"/>
      <c r="R7669" s="63" t="str">
        <f t="shared" si="60"/>
        <v>ZSI1_CABLE_TRAYALT_UOM3_SIPI</v>
      </c>
    </row>
    <row r="7670" ht="15.75" customHeight="1">
      <c r="B7670" s="63">
        <f t="shared" si="1"/>
        <v>15</v>
      </c>
      <c r="C7670" s="135" t="s">
        <v>363</v>
      </c>
      <c r="D7670" s="161" t="s">
        <v>74</v>
      </c>
      <c r="E7670" s="135">
        <f t="shared" si="61"/>
        <v>23</v>
      </c>
      <c r="F7670" s="134" t="s">
        <v>3811</v>
      </c>
      <c r="G7670" s="63" t="str">
        <f>VLOOKUP(C7670, 'Class Def. - General Data'!$C$20:$C$1000,1,false)</f>
        <v>ZSI1_CABLE_TRAY</v>
      </c>
      <c r="H7670" s="63" t="str">
        <f>IFERROR(__xludf.DUMMYFUNCTION("VLOOKUP(F7670, IMPORTRANGE(""https://docs.google.com/spreadsheets/d/1Lhp9OU0JdFf_VYSMzH5lBcEaU4o8teT1piV-SNzShjg/edit?gid=554141278#gid=554141278"", ""'Char Def. - Attributes'!C20:C2242""), 1,false)"),"ALT_DENUM_UOM3")</f>
        <v>ALT_DENUM_UOM3</v>
      </c>
      <c r="I7670" s="136"/>
      <c r="R7670" s="63" t="str">
        <f t="shared" si="60"/>
        <v>ZSI1_CABLE_TRAYALT_DENUM_UOM3</v>
      </c>
    </row>
    <row r="7671" ht="15.75" customHeight="1">
      <c r="B7671" s="63">
        <f t="shared" si="1"/>
        <v>15</v>
      </c>
      <c r="C7671" s="135" t="s">
        <v>363</v>
      </c>
      <c r="D7671" s="161" t="s">
        <v>74</v>
      </c>
      <c r="E7671" s="135">
        <f t="shared" si="61"/>
        <v>24</v>
      </c>
      <c r="F7671" s="134" t="s">
        <v>3812</v>
      </c>
      <c r="G7671" s="63" t="str">
        <f>VLOOKUP(C7671, 'Class Def. - General Data'!$C$20:$C$1000,1,false)</f>
        <v>ZSI1_CABLE_TRAY</v>
      </c>
      <c r="H7671" s="63" t="str">
        <f>IFERROR(__xludf.DUMMYFUNCTION("VLOOKUP(F7671, IMPORTRANGE(""https://docs.google.com/spreadsheets/d/1Lhp9OU0JdFf_VYSMzH5lBcEaU4o8teT1piV-SNzShjg/edit?gid=554141278#gid=554141278"", ""'Char Def. - Attributes'!C20:C2242""), 1,false)"),"ALT_NUM_UOM3")</f>
        <v>ALT_NUM_UOM3</v>
      </c>
      <c r="I7671" s="136"/>
      <c r="R7671" s="63" t="str">
        <f t="shared" si="60"/>
        <v>ZSI1_CABLE_TRAYALT_NUM_UOM3</v>
      </c>
    </row>
    <row r="7672" ht="15.75" customHeight="1">
      <c r="B7672" s="63">
        <f t="shared" si="1"/>
        <v>15</v>
      </c>
      <c r="C7672" s="135" t="s">
        <v>363</v>
      </c>
      <c r="D7672" s="161" t="s">
        <v>74</v>
      </c>
      <c r="E7672" s="135">
        <f t="shared" si="61"/>
        <v>25</v>
      </c>
      <c r="F7672" s="134" t="s">
        <v>3813</v>
      </c>
      <c r="G7672" s="63" t="str">
        <f>VLOOKUP(C7672, 'Class Def. - General Data'!$C$20:$C$1000,1,false)</f>
        <v>ZSI1_CABLE_TRAY</v>
      </c>
      <c r="H7672" s="63" t="str">
        <f>IFERROR(__xludf.DUMMYFUNCTION("VLOOKUP(F7672, IMPORTRANGE(""https://docs.google.com/spreadsheets/d/1Lhp9OU0JdFf_VYSMzH5lBcEaU4o8teT1piV-SNzShjg/edit?gid=554141278#gid=554141278"", ""'Char Def. - Attributes'!C20:C2242""), 1,false)"),"ALT_UOM4_SIPI")</f>
        <v>ALT_UOM4_SIPI</v>
      </c>
      <c r="I7672" s="136"/>
      <c r="R7672" s="63" t="str">
        <f t="shared" si="60"/>
        <v>ZSI1_CABLE_TRAYALT_UOM4_SIPI</v>
      </c>
    </row>
    <row r="7673" ht="15.75" customHeight="1">
      <c r="B7673" s="63">
        <f t="shared" si="1"/>
        <v>15</v>
      </c>
      <c r="C7673" s="135" t="s">
        <v>363</v>
      </c>
      <c r="D7673" s="161" t="s">
        <v>74</v>
      </c>
      <c r="E7673" s="135">
        <f t="shared" si="61"/>
        <v>26</v>
      </c>
      <c r="F7673" s="134" t="s">
        <v>3814</v>
      </c>
      <c r="G7673" s="63" t="str">
        <f>VLOOKUP(C7673, 'Class Def. - General Data'!$C$20:$C$1000,1,false)</f>
        <v>ZSI1_CABLE_TRAY</v>
      </c>
      <c r="H7673" s="63" t="str">
        <f>IFERROR(__xludf.DUMMYFUNCTION("VLOOKUP(F7673, IMPORTRANGE(""https://docs.google.com/spreadsheets/d/1Lhp9OU0JdFf_VYSMzH5lBcEaU4o8teT1piV-SNzShjg/edit?gid=554141278#gid=554141278"", ""'Char Def. - Attributes'!C20:C2242""), 1,false)"),"ALT_DENUM_UOM4")</f>
        <v>ALT_DENUM_UOM4</v>
      </c>
      <c r="I7673" s="136"/>
      <c r="R7673" s="63" t="str">
        <f t="shared" si="60"/>
        <v>ZSI1_CABLE_TRAYALT_DENUM_UOM4</v>
      </c>
    </row>
    <row r="7674" ht="15.75" customHeight="1">
      <c r="B7674" s="63">
        <f t="shared" si="1"/>
        <v>15</v>
      </c>
      <c r="C7674" s="135" t="s">
        <v>363</v>
      </c>
      <c r="D7674" s="161" t="s">
        <v>74</v>
      </c>
      <c r="E7674" s="135">
        <f t="shared" si="61"/>
        <v>27</v>
      </c>
      <c r="F7674" s="134" t="s">
        <v>3815</v>
      </c>
      <c r="G7674" s="63" t="str">
        <f>VLOOKUP(C7674, 'Class Def. - General Data'!$C$20:$C$1000,1,false)</f>
        <v>ZSI1_CABLE_TRAY</v>
      </c>
      <c r="H7674" s="63" t="str">
        <f>IFERROR(__xludf.DUMMYFUNCTION("VLOOKUP(F7674, IMPORTRANGE(""https://docs.google.com/spreadsheets/d/1Lhp9OU0JdFf_VYSMzH5lBcEaU4o8teT1piV-SNzShjg/edit?gid=554141278#gid=554141278"", ""'Char Def. - Attributes'!C20:C2242""), 1,false)"),"ALT_NUM_UOM4")</f>
        <v>ALT_NUM_UOM4</v>
      </c>
      <c r="I7674" s="136"/>
      <c r="R7674" s="63" t="str">
        <f t="shared" si="60"/>
        <v>ZSI1_CABLE_TRAYALT_NUM_UOM4</v>
      </c>
    </row>
    <row r="7675" ht="15.75" customHeight="1">
      <c r="B7675" s="63">
        <f t="shared" si="1"/>
        <v>15</v>
      </c>
      <c r="C7675" s="135" t="s">
        <v>363</v>
      </c>
      <c r="D7675" s="161" t="s">
        <v>74</v>
      </c>
      <c r="E7675" s="135">
        <f t="shared" si="61"/>
        <v>28</v>
      </c>
      <c r="F7675" s="134" t="s">
        <v>3816</v>
      </c>
      <c r="G7675" s="63" t="str">
        <f>VLOOKUP(C7675, 'Class Def. - General Data'!$C$20:$C$1000,1,false)</f>
        <v>ZSI1_CABLE_TRAY</v>
      </c>
      <c r="H7675" s="63" t="str">
        <f>IFERROR(__xludf.DUMMYFUNCTION("VLOOKUP(F7675, IMPORTRANGE(""https://docs.google.com/spreadsheets/d/1Lhp9OU0JdFf_VYSMzH5lBcEaU4o8teT1piV-SNzShjg/edit?gid=554141278#gid=554141278"", ""'Char Def. - Attributes'!C20:C2242""), 1,false)"),"ALT_UOM5_SIPI")</f>
        <v>ALT_UOM5_SIPI</v>
      </c>
      <c r="I7675" s="136"/>
      <c r="R7675" s="63" t="str">
        <f t="shared" si="60"/>
        <v>ZSI1_CABLE_TRAYALT_UOM5_SIPI</v>
      </c>
    </row>
    <row r="7676" ht="15.75" customHeight="1">
      <c r="B7676" s="63">
        <f t="shared" si="1"/>
        <v>15</v>
      </c>
      <c r="C7676" s="135" t="s">
        <v>363</v>
      </c>
      <c r="D7676" s="161" t="s">
        <v>74</v>
      </c>
      <c r="E7676" s="135">
        <f t="shared" si="61"/>
        <v>29</v>
      </c>
      <c r="F7676" s="134" t="s">
        <v>3817</v>
      </c>
      <c r="G7676" s="63" t="str">
        <f>VLOOKUP(C7676, 'Class Def. - General Data'!$C$20:$C$1000,1,false)</f>
        <v>ZSI1_CABLE_TRAY</v>
      </c>
      <c r="H7676" s="63" t="str">
        <f>IFERROR(__xludf.DUMMYFUNCTION("VLOOKUP(F7676, IMPORTRANGE(""https://docs.google.com/spreadsheets/d/1Lhp9OU0JdFf_VYSMzH5lBcEaU4o8teT1piV-SNzShjg/edit?gid=554141278#gid=554141278"", ""'Char Def. - Attributes'!C20:C2242""), 1,false)"),"ALT_DENUM_UOM5")</f>
        <v>ALT_DENUM_UOM5</v>
      </c>
      <c r="I7676" s="136"/>
      <c r="R7676" s="63" t="str">
        <f t="shared" si="60"/>
        <v>ZSI1_CABLE_TRAYALT_DENUM_UOM5</v>
      </c>
    </row>
    <row r="7677" ht="15.75" customHeight="1">
      <c r="B7677" s="63">
        <f t="shared" si="1"/>
        <v>15</v>
      </c>
      <c r="C7677" s="135" t="s">
        <v>363</v>
      </c>
      <c r="D7677" s="161" t="s">
        <v>74</v>
      </c>
      <c r="E7677" s="135">
        <f t="shared" si="61"/>
        <v>30</v>
      </c>
      <c r="F7677" s="134" t="s">
        <v>3818</v>
      </c>
      <c r="G7677" s="63" t="str">
        <f>VLOOKUP(C7677, 'Class Def. - General Data'!$C$20:$C$1000,1,false)</f>
        <v>ZSI1_CABLE_TRAY</v>
      </c>
      <c r="H7677" s="63" t="str">
        <f>IFERROR(__xludf.DUMMYFUNCTION("VLOOKUP(F7677, IMPORTRANGE(""https://docs.google.com/spreadsheets/d/1Lhp9OU0JdFf_VYSMzH5lBcEaU4o8teT1piV-SNzShjg/edit?gid=554141278#gid=554141278"", ""'Char Def. - Attributes'!C20:C2242""), 1,false)"),"ALT_NUM_UOM5")</f>
        <v>ALT_NUM_UOM5</v>
      </c>
      <c r="I7677" s="136"/>
      <c r="R7677" s="63" t="str">
        <f t="shared" si="60"/>
        <v>ZSI1_CABLE_TRAYALT_NUM_UOM5</v>
      </c>
    </row>
    <row r="7678" ht="15.75" customHeight="1">
      <c r="B7678" s="63">
        <f t="shared" si="1"/>
        <v>14</v>
      </c>
      <c r="C7678" s="135" t="s">
        <v>536</v>
      </c>
      <c r="D7678" s="161" t="s">
        <v>74</v>
      </c>
      <c r="E7678" s="135">
        <f t="shared" si="61"/>
        <v>1</v>
      </c>
      <c r="F7678" s="134" t="s">
        <v>4215</v>
      </c>
      <c r="G7678" s="63" t="str">
        <f>VLOOKUP(C7678, 'Class Def. - General Data'!$C$20:$C$1000,1,false)</f>
        <v>ZSI1_CAPACITOR</v>
      </c>
      <c r="H7678" s="63" t="str">
        <f>IFERROR(__xludf.DUMMYFUNCTION("VLOOKUP(F7678, IMPORTRANGE(""https://docs.google.com/spreadsheets/d/1Lhp9OU0JdFf_VYSMzH5lBcEaU4o8teT1piV-SNzShjg/edit?gid=554141278#gid=554141278"", ""'Char Def. - Attributes'!C20:C2242""), 1,false)"),"ITEM_NAME_CAPACITOR")</f>
        <v>ITEM_NAME_CAPACITOR</v>
      </c>
      <c r="I7678" s="136"/>
      <c r="R7678" s="63" t="str">
        <f t="shared" si="60"/>
        <v>ZSI1_CAPACITORITEM_NAME_CAPACITOR</v>
      </c>
    </row>
    <row r="7679" ht="15.75" customHeight="1">
      <c r="B7679" s="63">
        <f t="shared" si="1"/>
        <v>14</v>
      </c>
      <c r="C7679" s="135" t="s">
        <v>536</v>
      </c>
      <c r="D7679" s="161" t="s">
        <v>74</v>
      </c>
      <c r="E7679" s="135">
        <f t="shared" si="61"/>
        <v>2</v>
      </c>
      <c r="F7679" s="134" t="s">
        <v>4216</v>
      </c>
      <c r="G7679" s="63" t="str">
        <f>VLOOKUP(C7679, 'Class Def. - General Data'!$C$20:$C$1000,1,false)</f>
        <v>ZSI1_CAPACITOR</v>
      </c>
      <c r="H7679" s="63" t="str">
        <f>IFERROR(__xludf.DUMMYFUNCTION("VLOOKUP(F7679, IMPORTRANGE(""https://docs.google.com/spreadsheets/d/1Lhp9OU0JdFf_VYSMzH5lBcEaU4o8teT1piV-SNzShjg/edit?gid=554141278#gid=554141278"", ""'Char Def. - Attributes'!C20:C2242""), 1,false)"),"CAPACITANCE_MF_CAPACITOR")</f>
        <v>CAPACITANCE_MF_CAPACITOR</v>
      </c>
      <c r="I7679" s="136"/>
      <c r="R7679" s="63" t="str">
        <f t="shared" si="60"/>
        <v>ZSI1_CAPACITORCAPACITANCE_MF_CAPACITOR</v>
      </c>
    </row>
    <row r="7680" ht="15.75" customHeight="1">
      <c r="B7680" s="63">
        <f t="shared" si="1"/>
        <v>14</v>
      </c>
      <c r="C7680" s="135" t="s">
        <v>536</v>
      </c>
      <c r="D7680" s="161" t="s">
        <v>74</v>
      </c>
      <c r="E7680" s="135">
        <f t="shared" si="61"/>
        <v>3</v>
      </c>
      <c r="F7680" s="134" t="s">
        <v>4217</v>
      </c>
      <c r="G7680" s="63" t="str">
        <f>VLOOKUP(C7680, 'Class Def. - General Data'!$C$20:$C$1000,1,false)</f>
        <v>ZSI1_CAPACITOR</v>
      </c>
      <c r="H7680" s="63" t="str">
        <f>IFERROR(__xludf.DUMMYFUNCTION("VLOOKUP(F7680, IMPORTRANGE(""https://docs.google.com/spreadsheets/d/1Lhp9OU0JdFf_VYSMzH5lBcEaU4o8teT1piV-SNzShjg/edit?gid=554141278#gid=554141278"", ""'Char Def. - Attributes'!C20:C2242""), 1,false)"),"VOLTAGE_VAC_CAPACITOR")</f>
        <v>VOLTAGE_VAC_CAPACITOR</v>
      </c>
      <c r="I7680" s="136"/>
      <c r="R7680" s="63" t="str">
        <f t="shared" si="60"/>
        <v>ZSI1_CAPACITORVOLTAGE_VAC_CAPACITOR</v>
      </c>
    </row>
    <row r="7681" ht="15.75" customHeight="1">
      <c r="B7681" s="63">
        <f t="shared" si="1"/>
        <v>14</v>
      </c>
      <c r="C7681" s="135" t="s">
        <v>536</v>
      </c>
      <c r="D7681" s="161" t="s">
        <v>74</v>
      </c>
      <c r="E7681" s="135">
        <f t="shared" si="61"/>
        <v>4</v>
      </c>
      <c r="F7681" s="134" t="s">
        <v>3585</v>
      </c>
      <c r="G7681" s="63" t="str">
        <f>VLOOKUP(C7681, 'Class Def. - General Data'!$C$20:$C$1000,1,false)</f>
        <v>ZSI1_CAPACITOR</v>
      </c>
      <c r="H7681" s="63" t="str">
        <f>IFERROR(__xludf.DUMMYFUNCTION("VLOOKUP(F7681, IMPORTRANGE(""https://docs.google.com/spreadsheets/d/1Lhp9OU0JdFf_VYSMzH5lBcEaU4o8teT1piV-SNzShjg/edit?gid=554141278#gid=554141278"", ""'Char Def. - Attributes'!C20:C2242""), 1,false)"),"HS_CODE")</f>
        <v>HS_CODE</v>
      </c>
      <c r="I7681" s="136"/>
      <c r="R7681" s="63" t="str">
        <f t="shared" si="60"/>
        <v>ZSI1_CAPACITORHS_CODE</v>
      </c>
    </row>
    <row r="7682" ht="15.75" customHeight="1">
      <c r="B7682" s="63">
        <f t="shared" si="1"/>
        <v>14</v>
      </c>
      <c r="C7682" s="135" t="s">
        <v>536</v>
      </c>
      <c r="D7682" s="161" t="s">
        <v>74</v>
      </c>
      <c r="E7682" s="135">
        <f t="shared" si="61"/>
        <v>5</v>
      </c>
      <c r="F7682" s="134" t="s">
        <v>3587</v>
      </c>
      <c r="G7682" s="63" t="str">
        <f>VLOOKUP(C7682, 'Class Def. - General Data'!$C$20:$C$1000,1,false)</f>
        <v>ZSI1_CAPACITOR</v>
      </c>
      <c r="H7682" s="63" t="str">
        <f>IFERROR(__xludf.DUMMYFUNCTION("VLOOKUP(F7682, IMPORTRANGE(""https://docs.google.com/spreadsheets/d/1Lhp9OU0JdFf_VYSMzH5lBcEaU4o8teT1piV-SNzShjg/edit?gid=554141278#gid=554141278"", ""'Char Def. - Attributes'!C20:C2242""), 1,false)"),"PLANT_BUY")</f>
        <v>PLANT_BUY</v>
      </c>
      <c r="I7682" s="136"/>
      <c r="R7682" s="63" t="str">
        <f t="shared" si="60"/>
        <v>ZSI1_CAPACITORPLANT_BUY</v>
      </c>
    </row>
    <row r="7683" ht="15.75" customHeight="1">
      <c r="B7683" s="63">
        <f t="shared" si="1"/>
        <v>14</v>
      </c>
      <c r="C7683" s="135" t="s">
        <v>536</v>
      </c>
      <c r="D7683" s="161" t="s">
        <v>74</v>
      </c>
      <c r="E7683" s="135">
        <f t="shared" si="61"/>
        <v>6</v>
      </c>
      <c r="F7683" s="134" t="s">
        <v>4218</v>
      </c>
      <c r="G7683" s="63" t="str">
        <f>VLOOKUP(C7683, 'Class Def. - General Data'!$C$20:$C$1000,1,false)</f>
        <v>ZSI1_CAPACITOR</v>
      </c>
      <c r="H7683" s="63" t="str">
        <f>IFERROR(__xludf.DUMMYFUNCTION("VLOOKUP(F7683, IMPORTRANGE(""https://docs.google.com/spreadsheets/d/1Lhp9OU0JdFf_VYSMzH5lBcEaU4o8teT1piV-SNzShjg/edit?gid=554141278#gid=554141278"", ""'Char Def. - Attributes'!C20:C2242""), 1,false)"),"BASE_UOM_CAPACITOR")</f>
        <v>BASE_UOM_CAPACITOR</v>
      </c>
      <c r="I7683" s="136"/>
      <c r="R7683" s="63" t="str">
        <f t="shared" si="60"/>
        <v>ZSI1_CAPACITORBASE_UOM_CAPACITOR</v>
      </c>
    </row>
    <row r="7684" ht="15.75" customHeight="1">
      <c r="B7684" s="63">
        <f t="shared" si="1"/>
        <v>14</v>
      </c>
      <c r="C7684" s="135" t="s">
        <v>536</v>
      </c>
      <c r="D7684" s="161" t="s">
        <v>74</v>
      </c>
      <c r="E7684" s="135">
        <f t="shared" si="61"/>
        <v>7</v>
      </c>
      <c r="F7684" s="134" t="s">
        <v>4219</v>
      </c>
      <c r="G7684" s="63" t="str">
        <f>VLOOKUP(C7684, 'Class Def. - General Data'!$C$20:$C$1000,1,false)</f>
        <v>ZSI1_CAPACITOR</v>
      </c>
      <c r="H7684" s="63" t="str">
        <f>IFERROR(__xludf.DUMMYFUNCTION("VLOOKUP(F7684, IMPORTRANGE(""https://docs.google.com/spreadsheets/d/1Lhp9OU0JdFf_VYSMzH5lBcEaU4o8teT1piV-SNzShjg/edit?gid=554141278#gid=554141278"", ""'Char Def. - Attributes'!C20:C2242""), 1,false)"),"ORDER_UNIT_CAPACITOR")</f>
        <v>ORDER_UNIT_CAPACITOR</v>
      </c>
      <c r="I7684" s="136"/>
      <c r="R7684" s="63" t="str">
        <f t="shared" si="60"/>
        <v>ZSI1_CAPACITORORDER_UNIT_CAPACITOR</v>
      </c>
    </row>
    <row r="7685" ht="15.75" customHeight="1">
      <c r="B7685" s="63">
        <f t="shared" si="1"/>
        <v>14</v>
      </c>
      <c r="C7685" s="135" t="s">
        <v>536</v>
      </c>
      <c r="D7685" s="161" t="s">
        <v>74</v>
      </c>
      <c r="E7685" s="135">
        <f t="shared" si="61"/>
        <v>8</v>
      </c>
      <c r="F7685" s="134" t="s">
        <v>4056</v>
      </c>
      <c r="G7685" s="63" t="str">
        <f>VLOOKUP(C7685, 'Class Def. - General Data'!$C$20:$C$1000,1,false)</f>
        <v>ZSI1_CAPACITOR</v>
      </c>
      <c r="H7685" s="63" t="str">
        <f>IFERROR(__xludf.DUMMYFUNCTION("VLOOKUP(F7685, IMPORTRANGE(""https://docs.google.com/spreadsheets/d/1Lhp9OU0JdFf_VYSMzH5lBcEaU4o8teT1piV-SNzShjg/edit?gid=554141278#gid=554141278"", ""'Char Def. - Attributes'!C20:C2242""), 1,false)"),"GROSS_WEIGHT_OPT")</f>
        <v>GROSS_WEIGHT_OPT</v>
      </c>
      <c r="I7685" s="136"/>
      <c r="R7685" s="63" t="str">
        <f t="shared" si="60"/>
        <v>ZSI1_CAPACITORGROSS_WEIGHT_OPT</v>
      </c>
    </row>
    <row r="7686" ht="15.75" customHeight="1">
      <c r="B7686" s="63">
        <f t="shared" si="1"/>
        <v>14</v>
      </c>
      <c r="C7686" s="135" t="s">
        <v>536</v>
      </c>
      <c r="D7686" s="161" t="s">
        <v>74</v>
      </c>
      <c r="E7686" s="135">
        <f t="shared" si="61"/>
        <v>9</v>
      </c>
      <c r="F7686" s="134" t="s">
        <v>4057</v>
      </c>
      <c r="G7686" s="63" t="str">
        <f>VLOOKUP(C7686, 'Class Def. - General Data'!$C$20:$C$1000,1,false)</f>
        <v>ZSI1_CAPACITOR</v>
      </c>
      <c r="H7686" s="63" t="str">
        <f>IFERROR(__xludf.DUMMYFUNCTION("VLOOKUP(F7686, IMPORTRANGE(""https://docs.google.com/spreadsheets/d/1Lhp9OU0JdFf_VYSMzH5lBcEaU4o8teT1piV-SNzShjg/edit?gid=554141278#gid=554141278"", ""'Char Def. - Attributes'!C20:C2242""), 1,false)"),"NET_WEIGHT_OPT")</f>
        <v>NET_WEIGHT_OPT</v>
      </c>
      <c r="I7686" s="136"/>
      <c r="R7686" s="63" t="str">
        <f t="shared" si="60"/>
        <v>ZSI1_CAPACITORNET_WEIGHT_OPT</v>
      </c>
    </row>
    <row r="7687" ht="15.75" customHeight="1">
      <c r="B7687" s="63">
        <f t="shared" si="1"/>
        <v>14</v>
      </c>
      <c r="C7687" s="135" t="s">
        <v>536</v>
      </c>
      <c r="D7687" s="161" t="s">
        <v>74</v>
      </c>
      <c r="E7687" s="135">
        <f t="shared" si="61"/>
        <v>10</v>
      </c>
      <c r="F7687" s="134" t="s">
        <v>4058</v>
      </c>
      <c r="G7687" s="63" t="str">
        <f>VLOOKUP(C7687, 'Class Def. - General Data'!$C$20:$C$1000,1,false)</f>
        <v>ZSI1_CAPACITOR</v>
      </c>
      <c r="H7687" s="63" t="str">
        <f>IFERROR(__xludf.DUMMYFUNCTION("VLOOKUP(F7687, IMPORTRANGE(""https://docs.google.com/spreadsheets/d/1Lhp9OU0JdFf_VYSMzH5lBcEaU4o8teT1piV-SNzShjg/edit?gid=554141278#gid=554141278"", ""'Char Def. - Attributes'!C20:C2242""), 1,false)"),"WEIGHT_UNIT_SI")</f>
        <v>WEIGHT_UNIT_SI</v>
      </c>
      <c r="I7687" s="136"/>
      <c r="R7687" s="63" t="str">
        <f t="shared" si="60"/>
        <v>ZSI1_CAPACITORWEIGHT_UNIT_SI</v>
      </c>
    </row>
    <row r="7688" ht="15.75" customHeight="1">
      <c r="B7688" s="63">
        <f t="shared" si="1"/>
        <v>14</v>
      </c>
      <c r="C7688" s="135" t="s">
        <v>536</v>
      </c>
      <c r="D7688" s="161" t="s">
        <v>74</v>
      </c>
      <c r="E7688" s="135">
        <f t="shared" si="61"/>
        <v>11</v>
      </c>
      <c r="F7688" s="134" t="s">
        <v>3877</v>
      </c>
      <c r="G7688" s="63" t="str">
        <f>VLOOKUP(C7688, 'Class Def. - General Data'!$C$20:$C$1000,1,false)</f>
        <v>ZSI1_CAPACITOR</v>
      </c>
      <c r="H7688" s="63" t="str">
        <f>IFERROR(__xludf.DUMMYFUNCTION("VLOOKUP(F7688, IMPORTRANGE(""https://docs.google.com/spreadsheets/d/1Lhp9OU0JdFf_VYSMzH5lBcEaU4o8teT1piV-SNzShjg/edit?gid=554141278#gid=554141278"", ""'Char Def. - Attributes'!C20:C2242""), 1,false)"),"VOLUME_OPT")</f>
        <v>VOLUME_OPT</v>
      </c>
      <c r="I7688" s="136"/>
      <c r="R7688" s="63" t="str">
        <f t="shared" si="60"/>
        <v>ZSI1_CAPACITORVOLUME_OPT</v>
      </c>
    </row>
    <row r="7689" ht="15.75" customHeight="1">
      <c r="B7689" s="63">
        <f t="shared" si="1"/>
        <v>14</v>
      </c>
      <c r="C7689" s="135" t="s">
        <v>536</v>
      </c>
      <c r="D7689" s="161" t="s">
        <v>74</v>
      </c>
      <c r="E7689" s="135">
        <f t="shared" si="61"/>
        <v>12</v>
      </c>
      <c r="F7689" s="134" t="s">
        <v>4059</v>
      </c>
      <c r="G7689" s="63" t="str">
        <f>VLOOKUP(C7689, 'Class Def. - General Data'!$C$20:$C$1000,1,false)</f>
        <v>ZSI1_CAPACITOR</v>
      </c>
      <c r="H7689" s="63" t="str">
        <f>IFERROR(__xludf.DUMMYFUNCTION("VLOOKUP(F7689, IMPORTRANGE(""https://docs.google.com/spreadsheets/d/1Lhp9OU0JdFf_VYSMzH5lBcEaU4o8teT1piV-SNzShjg/edit?gid=554141278#gid=554141278"", ""'Char Def. - Attributes'!C20:C2242""), 1,false)"),"VOLUME_UNIT_SI")</f>
        <v>VOLUME_UNIT_SI</v>
      </c>
      <c r="I7689" s="136"/>
      <c r="R7689" s="63" t="str">
        <f t="shared" si="60"/>
        <v>ZSI1_CAPACITORVOLUME_UNIT_SI</v>
      </c>
    </row>
    <row r="7690" ht="15.75" customHeight="1">
      <c r="B7690" s="63">
        <f t="shared" si="1"/>
        <v>14</v>
      </c>
      <c r="C7690" s="135" t="s">
        <v>536</v>
      </c>
      <c r="D7690" s="161" t="s">
        <v>74</v>
      </c>
      <c r="E7690" s="135">
        <f t="shared" si="61"/>
        <v>13</v>
      </c>
      <c r="F7690" s="134" t="s">
        <v>3804</v>
      </c>
      <c r="G7690" s="63" t="str">
        <f>VLOOKUP(C7690, 'Class Def. - General Data'!$C$20:$C$1000,1,false)</f>
        <v>ZSI1_CAPACITOR</v>
      </c>
      <c r="H7690" s="63" t="str">
        <f>IFERROR(__xludf.DUMMYFUNCTION("VLOOKUP(F7690, IMPORTRANGE(""https://docs.google.com/spreadsheets/d/1Lhp9OU0JdFf_VYSMzH5lBcEaU4o8teT1piV-SNzShjg/edit?gid=554141278#gid=554141278"", ""'Char Def. - Attributes'!C20:C2242""), 1,false)"),"ALT_UOM1_SIPI")</f>
        <v>ALT_UOM1_SIPI</v>
      </c>
      <c r="I7690" s="136"/>
      <c r="R7690" s="63" t="str">
        <f t="shared" si="60"/>
        <v>ZSI1_CAPACITORALT_UOM1_SIPI</v>
      </c>
    </row>
    <row r="7691" ht="15.75" customHeight="1">
      <c r="B7691" s="63">
        <f t="shared" si="1"/>
        <v>14</v>
      </c>
      <c r="C7691" s="135" t="s">
        <v>536</v>
      </c>
      <c r="D7691" s="161" t="s">
        <v>74</v>
      </c>
      <c r="E7691" s="135">
        <f t="shared" si="61"/>
        <v>14</v>
      </c>
      <c r="F7691" s="134" t="s">
        <v>3805</v>
      </c>
      <c r="G7691" s="63" t="str">
        <f>VLOOKUP(C7691, 'Class Def. - General Data'!$C$20:$C$1000,1,false)</f>
        <v>ZSI1_CAPACITOR</v>
      </c>
      <c r="H7691" s="63" t="str">
        <f>IFERROR(__xludf.DUMMYFUNCTION("VLOOKUP(F7691, IMPORTRANGE(""https://docs.google.com/spreadsheets/d/1Lhp9OU0JdFf_VYSMzH5lBcEaU4o8teT1piV-SNzShjg/edit?gid=554141278#gid=554141278"", ""'Char Def. - Attributes'!C20:C2242""), 1,false)"),"ALT_DENUM_UOM1")</f>
        <v>ALT_DENUM_UOM1</v>
      </c>
      <c r="I7691" s="136"/>
      <c r="R7691" s="63" t="str">
        <f t="shared" si="60"/>
        <v>ZSI1_CAPACITORALT_DENUM_UOM1</v>
      </c>
    </row>
    <row r="7692" ht="15.75" customHeight="1">
      <c r="B7692" s="63">
        <f t="shared" si="1"/>
        <v>14</v>
      </c>
      <c r="C7692" s="135" t="s">
        <v>536</v>
      </c>
      <c r="D7692" s="161" t="s">
        <v>74</v>
      </c>
      <c r="E7692" s="135">
        <f t="shared" si="61"/>
        <v>15</v>
      </c>
      <c r="F7692" s="134" t="s">
        <v>3806</v>
      </c>
      <c r="G7692" s="63" t="str">
        <f>VLOOKUP(C7692, 'Class Def. - General Data'!$C$20:$C$1000,1,false)</f>
        <v>ZSI1_CAPACITOR</v>
      </c>
      <c r="H7692" s="63" t="str">
        <f>IFERROR(__xludf.DUMMYFUNCTION("VLOOKUP(F7692, IMPORTRANGE(""https://docs.google.com/spreadsheets/d/1Lhp9OU0JdFf_VYSMzH5lBcEaU4o8teT1piV-SNzShjg/edit?gid=554141278#gid=554141278"", ""'Char Def. - Attributes'!C20:C2242""), 1,false)"),"ALT_NUM_UOM1")</f>
        <v>ALT_NUM_UOM1</v>
      </c>
      <c r="I7692" s="136"/>
      <c r="R7692" s="63" t="str">
        <f t="shared" si="60"/>
        <v>ZSI1_CAPACITORALT_NUM_UOM1</v>
      </c>
    </row>
    <row r="7693" ht="15.75" customHeight="1">
      <c r="B7693" s="63">
        <f t="shared" si="1"/>
        <v>14</v>
      </c>
      <c r="C7693" s="135" t="s">
        <v>536</v>
      </c>
      <c r="D7693" s="161" t="s">
        <v>74</v>
      </c>
      <c r="E7693" s="135">
        <f t="shared" si="61"/>
        <v>16</v>
      </c>
      <c r="F7693" s="134" t="s">
        <v>3807</v>
      </c>
      <c r="G7693" s="63" t="str">
        <f>VLOOKUP(C7693, 'Class Def. - General Data'!$C$20:$C$1000,1,false)</f>
        <v>ZSI1_CAPACITOR</v>
      </c>
      <c r="H7693" s="63" t="str">
        <f>IFERROR(__xludf.DUMMYFUNCTION("VLOOKUP(F7693, IMPORTRANGE(""https://docs.google.com/spreadsheets/d/1Lhp9OU0JdFf_VYSMzH5lBcEaU4o8teT1piV-SNzShjg/edit?gid=554141278#gid=554141278"", ""'Char Def. - Attributes'!C20:C2242""), 1,false)"),"ALT_UOM2_SIPI")</f>
        <v>ALT_UOM2_SIPI</v>
      </c>
      <c r="I7693" s="136"/>
      <c r="R7693" s="63" t="str">
        <f t="shared" si="60"/>
        <v>ZSI1_CAPACITORALT_UOM2_SIPI</v>
      </c>
    </row>
    <row r="7694" ht="15.75" customHeight="1">
      <c r="B7694" s="63">
        <f t="shared" si="1"/>
        <v>14</v>
      </c>
      <c r="C7694" s="135" t="s">
        <v>536</v>
      </c>
      <c r="D7694" s="161" t="s">
        <v>74</v>
      </c>
      <c r="E7694" s="135">
        <f t="shared" si="61"/>
        <v>17</v>
      </c>
      <c r="F7694" s="134" t="s">
        <v>3808</v>
      </c>
      <c r="G7694" s="63" t="str">
        <f>VLOOKUP(C7694, 'Class Def. - General Data'!$C$20:$C$1000,1,false)</f>
        <v>ZSI1_CAPACITOR</v>
      </c>
      <c r="H7694" s="63" t="str">
        <f>IFERROR(__xludf.DUMMYFUNCTION("VLOOKUP(F7694, IMPORTRANGE(""https://docs.google.com/spreadsheets/d/1Lhp9OU0JdFf_VYSMzH5lBcEaU4o8teT1piV-SNzShjg/edit?gid=554141278#gid=554141278"", ""'Char Def. - Attributes'!C20:C2242""), 1,false)"),"ALT_DENUM_UOM2")</f>
        <v>ALT_DENUM_UOM2</v>
      </c>
      <c r="I7694" s="136"/>
      <c r="R7694" s="63" t="str">
        <f t="shared" si="60"/>
        <v>ZSI1_CAPACITORALT_DENUM_UOM2</v>
      </c>
    </row>
    <row r="7695" ht="15.75" customHeight="1">
      <c r="B7695" s="63">
        <f t="shared" si="1"/>
        <v>14</v>
      </c>
      <c r="C7695" s="135" t="s">
        <v>536</v>
      </c>
      <c r="D7695" s="161" t="s">
        <v>74</v>
      </c>
      <c r="E7695" s="135">
        <f t="shared" si="61"/>
        <v>18</v>
      </c>
      <c r="F7695" s="134" t="s">
        <v>3809</v>
      </c>
      <c r="G7695" s="63" t="str">
        <f>VLOOKUP(C7695, 'Class Def. - General Data'!$C$20:$C$1000,1,false)</f>
        <v>ZSI1_CAPACITOR</v>
      </c>
      <c r="H7695" s="63" t="str">
        <f>IFERROR(__xludf.DUMMYFUNCTION("VLOOKUP(F7695, IMPORTRANGE(""https://docs.google.com/spreadsheets/d/1Lhp9OU0JdFf_VYSMzH5lBcEaU4o8teT1piV-SNzShjg/edit?gid=554141278#gid=554141278"", ""'Char Def. - Attributes'!C20:C2242""), 1,false)"),"ALT_NUM_UOM2")</f>
        <v>ALT_NUM_UOM2</v>
      </c>
      <c r="I7695" s="136"/>
      <c r="R7695" s="63" t="str">
        <f t="shared" si="60"/>
        <v>ZSI1_CAPACITORALT_NUM_UOM2</v>
      </c>
    </row>
    <row r="7696" ht="15.75" customHeight="1">
      <c r="B7696" s="63">
        <f t="shared" si="1"/>
        <v>14</v>
      </c>
      <c r="C7696" s="135" t="s">
        <v>536</v>
      </c>
      <c r="D7696" s="161" t="s">
        <v>74</v>
      </c>
      <c r="E7696" s="135">
        <f t="shared" si="61"/>
        <v>19</v>
      </c>
      <c r="F7696" s="134" t="s">
        <v>3810</v>
      </c>
      <c r="G7696" s="63" t="str">
        <f>VLOOKUP(C7696, 'Class Def. - General Data'!$C$20:$C$1000,1,false)</f>
        <v>ZSI1_CAPACITOR</v>
      </c>
      <c r="H7696" s="63" t="str">
        <f>IFERROR(__xludf.DUMMYFUNCTION("VLOOKUP(F7696, IMPORTRANGE(""https://docs.google.com/spreadsheets/d/1Lhp9OU0JdFf_VYSMzH5lBcEaU4o8teT1piV-SNzShjg/edit?gid=554141278#gid=554141278"", ""'Char Def. - Attributes'!C20:C2242""), 1,false)"),"ALT_UOM3_SIPI")</f>
        <v>ALT_UOM3_SIPI</v>
      </c>
      <c r="I7696" s="136"/>
      <c r="R7696" s="63" t="str">
        <f t="shared" si="60"/>
        <v>ZSI1_CAPACITORALT_UOM3_SIPI</v>
      </c>
    </row>
    <row r="7697" ht="15.75" customHeight="1">
      <c r="B7697" s="63">
        <f t="shared" si="1"/>
        <v>14</v>
      </c>
      <c r="C7697" s="135" t="s">
        <v>536</v>
      </c>
      <c r="D7697" s="161" t="s">
        <v>74</v>
      </c>
      <c r="E7697" s="135">
        <f t="shared" si="61"/>
        <v>20</v>
      </c>
      <c r="F7697" s="134" t="s">
        <v>3811</v>
      </c>
      <c r="G7697" s="63" t="str">
        <f>VLOOKUP(C7697, 'Class Def. - General Data'!$C$20:$C$1000,1,false)</f>
        <v>ZSI1_CAPACITOR</v>
      </c>
      <c r="H7697" s="63" t="str">
        <f>IFERROR(__xludf.DUMMYFUNCTION("VLOOKUP(F7697, IMPORTRANGE(""https://docs.google.com/spreadsheets/d/1Lhp9OU0JdFf_VYSMzH5lBcEaU4o8teT1piV-SNzShjg/edit?gid=554141278#gid=554141278"", ""'Char Def. - Attributes'!C20:C2242""), 1,false)"),"ALT_DENUM_UOM3")</f>
        <v>ALT_DENUM_UOM3</v>
      </c>
      <c r="I7697" s="136"/>
      <c r="R7697" s="63" t="str">
        <f t="shared" si="60"/>
        <v>ZSI1_CAPACITORALT_DENUM_UOM3</v>
      </c>
    </row>
    <row r="7698" ht="15.75" customHeight="1">
      <c r="B7698" s="63">
        <f t="shared" si="1"/>
        <v>14</v>
      </c>
      <c r="C7698" s="135" t="s">
        <v>536</v>
      </c>
      <c r="D7698" s="161" t="s">
        <v>74</v>
      </c>
      <c r="E7698" s="135">
        <f t="shared" si="61"/>
        <v>21</v>
      </c>
      <c r="F7698" s="134" t="s">
        <v>3812</v>
      </c>
      <c r="G7698" s="63" t="str">
        <f>VLOOKUP(C7698, 'Class Def. - General Data'!$C$20:$C$1000,1,false)</f>
        <v>ZSI1_CAPACITOR</v>
      </c>
      <c r="H7698" s="63" t="str">
        <f>IFERROR(__xludf.DUMMYFUNCTION("VLOOKUP(F7698, IMPORTRANGE(""https://docs.google.com/spreadsheets/d/1Lhp9OU0JdFf_VYSMzH5lBcEaU4o8teT1piV-SNzShjg/edit?gid=554141278#gid=554141278"", ""'Char Def. - Attributes'!C20:C2242""), 1,false)"),"ALT_NUM_UOM3")</f>
        <v>ALT_NUM_UOM3</v>
      </c>
      <c r="I7698" s="136"/>
      <c r="R7698" s="63" t="str">
        <f t="shared" si="60"/>
        <v>ZSI1_CAPACITORALT_NUM_UOM3</v>
      </c>
    </row>
    <row r="7699" ht="15.75" customHeight="1">
      <c r="B7699" s="63">
        <f t="shared" si="1"/>
        <v>14</v>
      </c>
      <c r="C7699" s="135" t="s">
        <v>536</v>
      </c>
      <c r="D7699" s="161" t="s">
        <v>74</v>
      </c>
      <c r="E7699" s="135">
        <f t="shared" si="61"/>
        <v>22</v>
      </c>
      <c r="F7699" s="134" t="s">
        <v>3813</v>
      </c>
      <c r="G7699" s="63" t="str">
        <f>VLOOKUP(C7699, 'Class Def. - General Data'!$C$20:$C$1000,1,false)</f>
        <v>ZSI1_CAPACITOR</v>
      </c>
      <c r="H7699" s="63" t="str">
        <f>IFERROR(__xludf.DUMMYFUNCTION("VLOOKUP(F7699, IMPORTRANGE(""https://docs.google.com/spreadsheets/d/1Lhp9OU0JdFf_VYSMzH5lBcEaU4o8teT1piV-SNzShjg/edit?gid=554141278#gid=554141278"", ""'Char Def. - Attributes'!C20:C2242""), 1,false)"),"ALT_UOM4_SIPI")</f>
        <v>ALT_UOM4_SIPI</v>
      </c>
      <c r="I7699" s="136"/>
      <c r="R7699" s="63" t="str">
        <f t="shared" si="60"/>
        <v>ZSI1_CAPACITORALT_UOM4_SIPI</v>
      </c>
    </row>
    <row r="7700" ht="15.75" customHeight="1">
      <c r="B7700" s="63">
        <f t="shared" si="1"/>
        <v>14</v>
      </c>
      <c r="C7700" s="135" t="s">
        <v>536</v>
      </c>
      <c r="D7700" s="161" t="s">
        <v>74</v>
      </c>
      <c r="E7700" s="135">
        <f t="shared" si="61"/>
        <v>23</v>
      </c>
      <c r="F7700" s="134" t="s">
        <v>3814</v>
      </c>
      <c r="G7700" s="63" t="str">
        <f>VLOOKUP(C7700, 'Class Def. - General Data'!$C$20:$C$1000,1,false)</f>
        <v>ZSI1_CAPACITOR</v>
      </c>
      <c r="H7700" s="63" t="str">
        <f>IFERROR(__xludf.DUMMYFUNCTION("VLOOKUP(F7700, IMPORTRANGE(""https://docs.google.com/spreadsheets/d/1Lhp9OU0JdFf_VYSMzH5lBcEaU4o8teT1piV-SNzShjg/edit?gid=554141278#gid=554141278"", ""'Char Def. - Attributes'!C20:C2242""), 1,false)"),"ALT_DENUM_UOM4")</f>
        <v>ALT_DENUM_UOM4</v>
      </c>
      <c r="I7700" s="136"/>
      <c r="R7700" s="63" t="str">
        <f t="shared" si="60"/>
        <v>ZSI1_CAPACITORALT_DENUM_UOM4</v>
      </c>
    </row>
    <row r="7701" ht="15.75" customHeight="1">
      <c r="B7701" s="63">
        <f t="shared" si="1"/>
        <v>14</v>
      </c>
      <c r="C7701" s="135" t="s">
        <v>536</v>
      </c>
      <c r="D7701" s="161" t="s">
        <v>74</v>
      </c>
      <c r="E7701" s="135">
        <f t="shared" si="61"/>
        <v>24</v>
      </c>
      <c r="F7701" s="134" t="s">
        <v>3815</v>
      </c>
      <c r="G7701" s="63" t="str">
        <f>VLOOKUP(C7701, 'Class Def. - General Data'!$C$20:$C$1000,1,false)</f>
        <v>ZSI1_CAPACITOR</v>
      </c>
      <c r="H7701" s="63" t="str">
        <f>IFERROR(__xludf.DUMMYFUNCTION("VLOOKUP(F7701, IMPORTRANGE(""https://docs.google.com/spreadsheets/d/1Lhp9OU0JdFf_VYSMzH5lBcEaU4o8teT1piV-SNzShjg/edit?gid=554141278#gid=554141278"", ""'Char Def. - Attributes'!C20:C2242""), 1,false)"),"ALT_NUM_UOM4")</f>
        <v>ALT_NUM_UOM4</v>
      </c>
      <c r="I7701" s="136"/>
      <c r="R7701" s="63" t="str">
        <f t="shared" si="60"/>
        <v>ZSI1_CAPACITORALT_NUM_UOM4</v>
      </c>
    </row>
    <row r="7702" ht="15.75" customHeight="1">
      <c r="B7702" s="63">
        <f t="shared" si="1"/>
        <v>14</v>
      </c>
      <c r="C7702" s="135" t="s">
        <v>536</v>
      </c>
      <c r="D7702" s="161" t="s">
        <v>74</v>
      </c>
      <c r="E7702" s="135">
        <f t="shared" si="61"/>
        <v>25</v>
      </c>
      <c r="F7702" s="134" t="s">
        <v>3816</v>
      </c>
      <c r="G7702" s="63" t="str">
        <f>VLOOKUP(C7702, 'Class Def. - General Data'!$C$20:$C$1000,1,false)</f>
        <v>ZSI1_CAPACITOR</v>
      </c>
      <c r="H7702" s="63" t="str">
        <f>IFERROR(__xludf.DUMMYFUNCTION("VLOOKUP(F7702, IMPORTRANGE(""https://docs.google.com/spreadsheets/d/1Lhp9OU0JdFf_VYSMzH5lBcEaU4o8teT1piV-SNzShjg/edit?gid=554141278#gid=554141278"", ""'Char Def. - Attributes'!C20:C2242""), 1,false)"),"ALT_UOM5_SIPI")</f>
        <v>ALT_UOM5_SIPI</v>
      </c>
      <c r="I7702" s="136"/>
      <c r="R7702" s="63" t="str">
        <f t="shared" si="60"/>
        <v>ZSI1_CAPACITORALT_UOM5_SIPI</v>
      </c>
    </row>
    <row r="7703" ht="15.75" customHeight="1">
      <c r="B7703" s="63">
        <f t="shared" si="1"/>
        <v>14</v>
      </c>
      <c r="C7703" s="135" t="s">
        <v>536</v>
      </c>
      <c r="D7703" s="161" t="s">
        <v>74</v>
      </c>
      <c r="E7703" s="135">
        <f t="shared" si="61"/>
        <v>26</v>
      </c>
      <c r="F7703" s="134" t="s">
        <v>3817</v>
      </c>
      <c r="G7703" s="63" t="str">
        <f>VLOOKUP(C7703, 'Class Def. - General Data'!$C$20:$C$1000,1,false)</f>
        <v>ZSI1_CAPACITOR</v>
      </c>
      <c r="H7703" s="63" t="str">
        <f>IFERROR(__xludf.DUMMYFUNCTION("VLOOKUP(F7703, IMPORTRANGE(""https://docs.google.com/spreadsheets/d/1Lhp9OU0JdFf_VYSMzH5lBcEaU4o8teT1piV-SNzShjg/edit?gid=554141278#gid=554141278"", ""'Char Def. - Attributes'!C20:C2242""), 1,false)"),"ALT_DENUM_UOM5")</f>
        <v>ALT_DENUM_UOM5</v>
      </c>
      <c r="I7703" s="136"/>
      <c r="R7703" s="63" t="str">
        <f t="shared" si="60"/>
        <v>ZSI1_CAPACITORALT_DENUM_UOM5</v>
      </c>
    </row>
    <row r="7704" ht="15.75" customHeight="1">
      <c r="B7704" s="63">
        <f t="shared" si="1"/>
        <v>14</v>
      </c>
      <c r="C7704" s="135" t="s">
        <v>536</v>
      </c>
      <c r="D7704" s="161" t="s">
        <v>74</v>
      </c>
      <c r="E7704" s="135">
        <f t="shared" si="61"/>
        <v>27</v>
      </c>
      <c r="F7704" s="134" t="s">
        <v>3818</v>
      </c>
      <c r="G7704" s="63" t="str">
        <f>VLOOKUP(C7704, 'Class Def. - General Data'!$C$20:$C$1000,1,false)</f>
        <v>ZSI1_CAPACITOR</v>
      </c>
      <c r="H7704" s="63" t="str">
        <f>IFERROR(__xludf.DUMMYFUNCTION("VLOOKUP(F7704, IMPORTRANGE(""https://docs.google.com/spreadsheets/d/1Lhp9OU0JdFf_VYSMzH5lBcEaU4o8teT1piV-SNzShjg/edit?gid=554141278#gid=554141278"", ""'Char Def. - Attributes'!C20:C2242""), 1,false)"),"ALT_NUM_UOM5")</f>
        <v>ALT_NUM_UOM5</v>
      </c>
      <c r="I7704" s="136"/>
      <c r="R7704" s="63" t="str">
        <f t="shared" si="60"/>
        <v>ZSI1_CAPACITORALT_NUM_UOM5</v>
      </c>
    </row>
    <row r="7705" ht="15.75" customHeight="1">
      <c r="B7705" s="63">
        <f t="shared" si="1"/>
        <v>16</v>
      </c>
      <c r="C7705" s="135" t="s">
        <v>302</v>
      </c>
      <c r="D7705" s="161" t="s">
        <v>74</v>
      </c>
      <c r="E7705" s="135">
        <f t="shared" si="61"/>
        <v>1</v>
      </c>
      <c r="F7705" s="134" t="s">
        <v>4220</v>
      </c>
      <c r="G7705" s="63" t="str">
        <f>VLOOKUP(C7705, 'Class Def. - General Data'!$C$20:$C$1000,1,false)</f>
        <v>ZSI1_CCT_PROTECT</v>
      </c>
      <c r="H7705" s="63" t="str">
        <f>IFERROR(__xludf.DUMMYFUNCTION("VLOOKUP(F7705, IMPORTRANGE(""https://docs.google.com/spreadsheets/d/1Lhp9OU0JdFf_VYSMzH5lBcEaU4o8teT1piV-SNzShjg/edit?gid=554141278#gid=554141278"", ""'Char Def. - Attributes'!C20:C2242""), 1,false)"),"ITEM_NAME_CCT_PROTECT")</f>
        <v>ITEM_NAME_CCT_PROTECT</v>
      </c>
      <c r="I7705" s="136"/>
      <c r="R7705" s="63" t="str">
        <f t="shared" si="60"/>
        <v>ZSI1_CCT_PROTECTITEM_NAME_CCT_PROTECT</v>
      </c>
    </row>
    <row r="7706" ht="15.75" customHeight="1">
      <c r="B7706" s="63">
        <f t="shared" si="1"/>
        <v>16</v>
      </c>
      <c r="C7706" s="135" t="s">
        <v>302</v>
      </c>
      <c r="D7706" s="161" t="s">
        <v>74</v>
      </c>
      <c r="E7706" s="135">
        <f t="shared" si="61"/>
        <v>2</v>
      </c>
      <c r="F7706" s="134" t="s">
        <v>4221</v>
      </c>
      <c r="G7706" s="63" t="str">
        <f>VLOOKUP(C7706, 'Class Def. - General Data'!$C$20:$C$1000,1,false)</f>
        <v>ZSI1_CCT_PROTECT</v>
      </c>
      <c r="H7706" s="63" t="str">
        <f>IFERROR(__xludf.DUMMYFUNCTION("VLOOKUP(F7706, IMPORTRANGE(""https://docs.google.com/spreadsheets/d/1Lhp9OU0JdFf_VYSMzH5lBcEaU4o8teT1piV-SNzShjg/edit?gid=554141278#gid=554141278"", ""'Char Def. - Attributes'!C20:C2242""), 1,false)"),"MFR_NO_CCT_PROTECT")</f>
        <v>MFR_NO_CCT_PROTECT</v>
      </c>
      <c r="I7706" s="136"/>
      <c r="R7706" s="63" t="str">
        <f t="shared" si="60"/>
        <v>ZSI1_CCT_PROTECTMFR_NO_CCT_PROTECT</v>
      </c>
    </row>
    <row r="7707" ht="15.75" customHeight="1">
      <c r="B7707" s="63">
        <f t="shared" si="1"/>
        <v>16</v>
      </c>
      <c r="C7707" s="135" t="s">
        <v>302</v>
      </c>
      <c r="D7707" s="161" t="s">
        <v>74</v>
      </c>
      <c r="E7707" s="135">
        <f t="shared" si="61"/>
        <v>3</v>
      </c>
      <c r="F7707" s="134" t="s">
        <v>3782</v>
      </c>
      <c r="G7707" s="63" t="str">
        <f>VLOOKUP(C7707, 'Class Def. - General Data'!$C$20:$C$1000,1,false)</f>
        <v>ZSI1_CCT_PROTECT</v>
      </c>
      <c r="H7707" s="63" t="str">
        <f>IFERROR(__xludf.DUMMYFUNCTION("VLOOKUP(F7707, IMPORTRANGE(""https://docs.google.com/spreadsheets/d/1Lhp9OU0JdFf_VYSMzH5lBcEaU4o8teT1piV-SNzShjg/edit?gid=554141278#gid=554141278"", ""'Char Def. - Attributes'!C20:C2242""), 1,false)"),"BRAND_EXTERNAL")</f>
        <v>BRAND_EXTERNAL</v>
      </c>
      <c r="I7707" s="136"/>
      <c r="R7707" s="63" t="str">
        <f t="shared" si="60"/>
        <v>ZSI1_CCT_PROTECTBRAND_EXTERNAL</v>
      </c>
    </row>
    <row r="7708" ht="15.75" customHeight="1">
      <c r="B7708" s="63">
        <f t="shared" si="1"/>
        <v>16</v>
      </c>
      <c r="C7708" s="135" t="s">
        <v>302</v>
      </c>
      <c r="D7708" s="161" t="s">
        <v>74</v>
      </c>
      <c r="E7708" s="135">
        <f t="shared" si="61"/>
        <v>4</v>
      </c>
      <c r="F7708" s="134" t="s">
        <v>4062</v>
      </c>
      <c r="G7708" s="63" t="str">
        <f>VLOOKUP(C7708, 'Class Def. - General Data'!$C$20:$C$1000,1,false)</f>
        <v>ZSI1_CCT_PROTECT</v>
      </c>
      <c r="H7708" s="63" t="str">
        <f>IFERROR(__xludf.DUMMYFUNCTION("VLOOKUP(F7708, IMPORTRANGE(""https://docs.google.com/spreadsheets/d/1Lhp9OU0JdFf_VYSMzH5lBcEaU4o8teT1piV-SNzShjg/edit?gid=554141278#gid=554141278"", ""'Char Def. - Attributes'!C20:C2242""), 1,false)"),"#N/A")</f>
        <v>#N/A</v>
      </c>
      <c r="I7708" s="136"/>
      <c r="R7708" s="63" t="str">
        <f t="shared" si="60"/>
        <v>ZSI1_CCT_PROTECTADDTIONAL_SPECIFICATION</v>
      </c>
    </row>
    <row r="7709" ht="15.75" customHeight="1">
      <c r="B7709" s="63">
        <f t="shared" si="1"/>
        <v>16</v>
      </c>
      <c r="C7709" s="135" t="s">
        <v>302</v>
      </c>
      <c r="D7709" s="161" t="s">
        <v>74</v>
      </c>
      <c r="E7709" s="135">
        <f t="shared" si="61"/>
        <v>5</v>
      </c>
      <c r="F7709" s="134" t="s">
        <v>4053</v>
      </c>
      <c r="G7709" s="63" t="str">
        <f>VLOOKUP(C7709, 'Class Def. - General Data'!$C$20:$C$1000,1,false)</f>
        <v>ZSI1_CCT_PROTECT</v>
      </c>
      <c r="H7709" s="63" t="str">
        <f>IFERROR(__xludf.DUMMYFUNCTION("VLOOKUP(F7709, IMPORTRANGE(""https://docs.google.com/spreadsheets/d/1Lhp9OU0JdFf_VYSMzH5lBcEaU4o8teT1piV-SNzShjg/edit?gid=554141278#gid=554141278"", ""'Char Def. - Attributes'!C20:C2242""), 1,false)"),"MAINTENANCE_ORDER_TYPE")</f>
        <v>MAINTENANCE_ORDER_TYPE</v>
      </c>
      <c r="I7709" s="136"/>
      <c r="R7709" s="63" t="str">
        <f t="shared" si="60"/>
        <v>ZSI1_CCT_PROTECTMAINTENANCE_ORDER_TYPE</v>
      </c>
    </row>
    <row r="7710" ht="15.75" customHeight="1">
      <c r="B7710" s="63">
        <f t="shared" si="1"/>
        <v>16</v>
      </c>
      <c r="C7710" s="135" t="s">
        <v>302</v>
      </c>
      <c r="D7710" s="161" t="s">
        <v>74</v>
      </c>
      <c r="E7710" s="135">
        <f t="shared" si="61"/>
        <v>6</v>
      </c>
      <c r="F7710" s="134" t="s">
        <v>3585</v>
      </c>
      <c r="G7710" s="63" t="str">
        <f>VLOOKUP(C7710, 'Class Def. - General Data'!$C$20:$C$1000,1,false)</f>
        <v>ZSI1_CCT_PROTECT</v>
      </c>
      <c r="H7710" s="63" t="str">
        <f>IFERROR(__xludf.DUMMYFUNCTION("VLOOKUP(F7710, IMPORTRANGE(""https://docs.google.com/spreadsheets/d/1Lhp9OU0JdFf_VYSMzH5lBcEaU4o8teT1piV-SNzShjg/edit?gid=554141278#gid=554141278"", ""'Char Def. - Attributes'!C20:C2242""), 1,false)"),"HS_CODE")</f>
        <v>HS_CODE</v>
      </c>
      <c r="I7710" s="136"/>
      <c r="R7710" s="63" t="str">
        <f t="shared" si="60"/>
        <v>ZSI1_CCT_PROTECTHS_CODE</v>
      </c>
    </row>
    <row r="7711" ht="15.75" customHeight="1">
      <c r="B7711" s="63">
        <f t="shared" si="1"/>
        <v>16</v>
      </c>
      <c r="C7711" s="135" t="s">
        <v>302</v>
      </c>
      <c r="D7711" s="161" t="s">
        <v>74</v>
      </c>
      <c r="E7711" s="135">
        <f t="shared" si="61"/>
        <v>7</v>
      </c>
      <c r="F7711" s="134" t="s">
        <v>3587</v>
      </c>
      <c r="G7711" s="63" t="str">
        <f>VLOOKUP(C7711, 'Class Def. - General Data'!$C$20:$C$1000,1,false)</f>
        <v>ZSI1_CCT_PROTECT</v>
      </c>
      <c r="H7711" s="63" t="str">
        <f>IFERROR(__xludf.DUMMYFUNCTION("VLOOKUP(F7711, IMPORTRANGE(""https://docs.google.com/spreadsheets/d/1Lhp9OU0JdFf_VYSMzH5lBcEaU4o8teT1piV-SNzShjg/edit?gid=554141278#gid=554141278"", ""'Char Def. - Attributes'!C20:C2242""), 1,false)"),"PLANT_BUY")</f>
        <v>PLANT_BUY</v>
      </c>
      <c r="I7711" s="136"/>
      <c r="R7711" s="63" t="str">
        <f t="shared" si="60"/>
        <v>ZSI1_CCT_PROTECTPLANT_BUY</v>
      </c>
    </row>
    <row r="7712" ht="15.75" customHeight="1">
      <c r="B7712" s="63">
        <f t="shared" si="1"/>
        <v>16</v>
      </c>
      <c r="C7712" s="135" t="s">
        <v>302</v>
      </c>
      <c r="D7712" s="161" t="s">
        <v>74</v>
      </c>
      <c r="E7712" s="135">
        <f t="shared" si="61"/>
        <v>8</v>
      </c>
      <c r="F7712" s="134" t="s">
        <v>4222</v>
      </c>
      <c r="G7712" s="63" t="str">
        <f>VLOOKUP(C7712, 'Class Def. - General Data'!$C$20:$C$1000,1,false)</f>
        <v>ZSI1_CCT_PROTECT</v>
      </c>
      <c r="H7712" s="63" t="str">
        <f>IFERROR(__xludf.DUMMYFUNCTION("VLOOKUP(F7712, IMPORTRANGE(""https://docs.google.com/spreadsheets/d/1Lhp9OU0JdFf_VYSMzH5lBcEaU4o8teT1piV-SNzShjg/edit?gid=554141278#gid=554141278"", ""'Char Def. - Attributes'!C20:C2242""), 1,false)"),"BASE_UOM_CCT_PROTECT")</f>
        <v>BASE_UOM_CCT_PROTECT</v>
      </c>
      <c r="I7712" s="136"/>
      <c r="R7712" s="63" t="str">
        <f t="shared" si="60"/>
        <v>ZSI1_CCT_PROTECTBASE_UOM_CCT_PROTECT</v>
      </c>
    </row>
    <row r="7713" ht="15.75" customHeight="1">
      <c r="B7713" s="63">
        <f t="shared" si="1"/>
        <v>16</v>
      </c>
      <c r="C7713" s="135" t="s">
        <v>302</v>
      </c>
      <c r="D7713" s="161" t="s">
        <v>74</v>
      </c>
      <c r="E7713" s="135">
        <f t="shared" si="61"/>
        <v>9</v>
      </c>
      <c r="F7713" s="134" t="s">
        <v>4223</v>
      </c>
      <c r="G7713" s="63" t="str">
        <f>VLOOKUP(C7713, 'Class Def. - General Data'!$C$20:$C$1000,1,false)</f>
        <v>ZSI1_CCT_PROTECT</v>
      </c>
      <c r="H7713" s="63" t="str">
        <f>IFERROR(__xludf.DUMMYFUNCTION("VLOOKUP(F7713, IMPORTRANGE(""https://docs.google.com/spreadsheets/d/1Lhp9OU0JdFf_VYSMzH5lBcEaU4o8teT1piV-SNzShjg/edit?gid=554141278#gid=554141278"", ""'Char Def. - Attributes'!C20:C2242""), 1,false)"),"ORDER_UNIT_CCT_PROTECT")</f>
        <v>ORDER_UNIT_CCT_PROTECT</v>
      </c>
      <c r="I7713" s="136"/>
      <c r="R7713" s="63" t="str">
        <f t="shared" si="60"/>
        <v>ZSI1_CCT_PROTECTORDER_UNIT_CCT_PROTECT</v>
      </c>
    </row>
    <row r="7714" ht="15.75" customHeight="1">
      <c r="B7714" s="63">
        <f t="shared" si="1"/>
        <v>16</v>
      </c>
      <c r="C7714" s="135" t="s">
        <v>302</v>
      </c>
      <c r="D7714" s="161" t="s">
        <v>74</v>
      </c>
      <c r="E7714" s="135">
        <f t="shared" si="61"/>
        <v>10</v>
      </c>
      <c r="F7714" s="134" t="s">
        <v>4056</v>
      </c>
      <c r="G7714" s="63" t="str">
        <f>VLOOKUP(C7714, 'Class Def. - General Data'!$C$20:$C$1000,1,false)</f>
        <v>ZSI1_CCT_PROTECT</v>
      </c>
      <c r="H7714" s="63" t="str">
        <f>IFERROR(__xludf.DUMMYFUNCTION("VLOOKUP(F7714, IMPORTRANGE(""https://docs.google.com/spreadsheets/d/1Lhp9OU0JdFf_VYSMzH5lBcEaU4o8teT1piV-SNzShjg/edit?gid=554141278#gid=554141278"", ""'Char Def. - Attributes'!C20:C2242""), 1,false)"),"GROSS_WEIGHT_OPT")</f>
        <v>GROSS_WEIGHT_OPT</v>
      </c>
      <c r="I7714" s="136"/>
      <c r="R7714" s="63" t="str">
        <f t="shared" si="60"/>
        <v>ZSI1_CCT_PROTECTGROSS_WEIGHT_OPT</v>
      </c>
    </row>
    <row r="7715" ht="15.75" customHeight="1">
      <c r="B7715" s="63">
        <f t="shared" si="1"/>
        <v>16</v>
      </c>
      <c r="C7715" s="135" t="s">
        <v>302</v>
      </c>
      <c r="D7715" s="161" t="s">
        <v>74</v>
      </c>
      <c r="E7715" s="135">
        <f t="shared" si="61"/>
        <v>11</v>
      </c>
      <c r="F7715" s="134" t="s">
        <v>4057</v>
      </c>
      <c r="G7715" s="63" t="str">
        <f>VLOOKUP(C7715, 'Class Def. - General Data'!$C$20:$C$1000,1,false)</f>
        <v>ZSI1_CCT_PROTECT</v>
      </c>
      <c r="H7715" s="63" t="str">
        <f>IFERROR(__xludf.DUMMYFUNCTION("VLOOKUP(F7715, IMPORTRANGE(""https://docs.google.com/spreadsheets/d/1Lhp9OU0JdFf_VYSMzH5lBcEaU4o8teT1piV-SNzShjg/edit?gid=554141278#gid=554141278"", ""'Char Def. - Attributes'!C20:C2242""), 1,false)"),"NET_WEIGHT_OPT")</f>
        <v>NET_WEIGHT_OPT</v>
      </c>
      <c r="I7715" s="136"/>
      <c r="R7715" s="63" t="str">
        <f t="shared" si="60"/>
        <v>ZSI1_CCT_PROTECTNET_WEIGHT_OPT</v>
      </c>
    </row>
    <row r="7716" ht="15.75" customHeight="1">
      <c r="B7716" s="63">
        <f t="shared" si="1"/>
        <v>16</v>
      </c>
      <c r="C7716" s="135" t="s">
        <v>302</v>
      </c>
      <c r="D7716" s="161" t="s">
        <v>74</v>
      </c>
      <c r="E7716" s="135">
        <f t="shared" si="61"/>
        <v>12</v>
      </c>
      <c r="F7716" s="134" t="s">
        <v>4058</v>
      </c>
      <c r="G7716" s="63" t="str">
        <f>VLOOKUP(C7716, 'Class Def. - General Data'!$C$20:$C$1000,1,false)</f>
        <v>ZSI1_CCT_PROTECT</v>
      </c>
      <c r="H7716" s="63" t="str">
        <f>IFERROR(__xludf.DUMMYFUNCTION("VLOOKUP(F7716, IMPORTRANGE(""https://docs.google.com/spreadsheets/d/1Lhp9OU0JdFf_VYSMzH5lBcEaU4o8teT1piV-SNzShjg/edit?gid=554141278#gid=554141278"", ""'Char Def. - Attributes'!C20:C2242""), 1,false)"),"WEIGHT_UNIT_SI")</f>
        <v>WEIGHT_UNIT_SI</v>
      </c>
      <c r="I7716" s="136"/>
      <c r="R7716" s="63" t="str">
        <f t="shared" si="60"/>
        <v>ZSI1_CCT_PROTECTWEIGHT_UNIT_SI</v>
      </c>
    </row>
    <row r="7717" ht="15.75" customHeight="1">
      <c r="B7717" s="63">
        <f t="shared" si="1"/>
        <v>16</v>
      </c>
      <c r="C7717" s="135" t="s">
        <v>302</v>
      </c>
      <c r="D7717" s="161" t="s">
        <v>74</v>
      </c>
      <c r="E7717" s="135">
        <f t="shared" si="61"/>
        <v>13</v>
      </c>
      <c r="F7717" s="134" t="s">
        <v>3877</v>
      </c>
      <c r="G7717" s="63" t="str">
        <f>VLOOKUP(C7717, 'Class Def. - General Data'!$C$20:$C$1000,1,false)</f>
        <v>ZSI1_CCT_PROTECT</v>
      </c>
      <c r="H7717" s="63" t="str">
        <f>IFERROR(__xludf.DUMMYFUNCTION("VLOOKUP(F7717, IMPORTRANGE(""https://docs.google.com/spreadsheets/d/1Lhp9OU0JdFf_VYSMzH5lBcEaU4o8teT1piV-SNzShjg/edit?gid=554141278#gid=554141278"", ""'Char Def. - Attributes'!C20:C2242""), 1,false)"),"VOLUME_OPT")</f>
        <v>VOLUME_OPT</v>
      </c>
      <c r="I7717" s="136"/>
      <c r="R7717" s="63" t="str">
        <f t="shared" si="60"/>
        <v>ZSI1_CCT_PROTECTVOLUME_OPT</v>
      </c>
    </row>
    <row r="7718" ht="15.75" customHeight="1">
      <c r="B7718" s="63">
        <f t="shared" si="1"/>
        <v>16</v>
      </c>
      <c r="C7718" s="135" t="s">
        <v>302</v>
      </c>
      <c r="D7718" s="161" t="s">
        <v>74</v>
      </c>
      <c r="E7718" s="135">
        <f t="shared" si="61"/>
        <v>14</v>
      </c>
      <c r="F7718" s="134" t="s">
        <v>4059</v>
      </c>
      <c r="G7718" s="63" t="str">
        <f>VLOOKUP(C7718, 'Class Def. - General Data'!$C$20:$C$1000,1,false)</f>
        <v>ZSI1_CCT_PROTECT</v>
      </c>
      <c r="H7718" s="63" t="str">
        <f>IFERROR(__xludf.DUMMYFUNCTION("VLOOKUP(F7718, IMPORTRANGE(""https://docs.google.com/spreadsheets/d/1Lhp9OU0JdFf_VYSMzH5lBcEaU4o8teT1piV-SNzShjg/edit?gid=554141278#gid=554141278"", ""'Char Def. - Attributes'!C20:C2242""), 1,false)"),"VOLUME_UNIT_SI")</f>
        <v>VOLUME_UNIT_SI</v>
      </c>
      <c r="I7718" s="136"/>
      <c r="R7718" s="63" t="str">
        <f t="shared" si="60"/>
        <v>ZSI1_CCT_PROTECTVOLUME_UNIT_SI</v>
      </c>
    </row>
    <row r="7719" ht="15.75" customHeight="1">
      <c r="B7719" s="63">
        <f t="shared" si="1"/>
        <v>16</v>
      </c>
      <c r="C7719" s="135" t="s">
        <v>302</v>
      </c>
      <c r="D7719" s="161" t="s">
        <v>74</v>
      </c>
      <c r="E7719" s="135">
        <f t="shared" si="61"/>
        <v>15</v>
      </c>
      <c r="F7719" s="134" t="s">
        <v>3804</v>
      </c>
      <c r="G7719" s="63" t="str">
        <f>VLOOKUP(C7719, 'Class Def. - General Data'!$C$20:$C$1000,1,false)</f>
        <v>ZSI1_CCT_PROTECT</v>
      </c>
      <c r="H7719" s="63" t="str">
        <f>IFERROR(__xludf.DUMMYFUNCTION("VLOOKUP(F7719, IMPORTRANGE(""https://docs.google.com/spreadsheets/d/1Lhp9OU0JdFf_VYSMzH5lBcEaU4o8teT1piV-SNzShjg/edit?gid=554141278#gid=554141278"", ""'Char Def. - Attributes'!C20:C2242""), 1,false)"),"ALT_UOM1_SIPI")</f>
        <v>ALT_UOM1_SIPI</v>
      </c>
      <c r="I7719" s="136"/>
      <c r="R7719" s="63" t="str">
        <f t="shared" si="60"/>
        <v>ZSI1_CCT_PROTECTALT_UOM1_SIPI</v>
      </c>
    </row>
    <row r="7720" ht="15.75" customHeight="1">
      <c r="B7720" s="63">
        <f t="shared" si="1"/>
        <v>16</v>
      </c>
      <c r="C7720" s="135" t="s">
        <v>302</v>
      </c>
      <c r="D7720" s="161" t="s">
        <v>74</v>
      </c>
      <c r="E7720" s="135">
        <f t="shared" si="61"/>
        <v>16</v>
      </c>
      <c r="F7720" s="134" t="s">
        <v>3805</v>
      </c>
      <c r="G7720" s="63" t="str">
        <f>VLOOKUP(C7720, 'Class Def. - General Data'!$C$20:$C$1000,1,false)</f>
        <v>ZSI1_CCT_PROTECT</v>
      </c>
      <c r="H7720" s="63" t="str">
        <f>IFERROR(__xludf.DUMMYFUNCTION("VLOOKUP(F7720, IMPORTRANGE(""https://docs.google.com/spreadsheets/d/1Lhp9OU0JdFf_VYSMzH5lBcEaU4o8teT1piV-SNzShjg/edit?gid=554141278#gid=554141278"", ""'Char Def. - Attributes'!C20:C2242""), 1,false)"),"ALT_DENUM_UOM1")</f>
        <v>ALT_DENUM_UOM1</v>
      </c>
      <c r="I7720" s="136"/>
      <c r="R7720" s="63" t="str">
        <f t="shared" si="60"/>
        <v>ZSI1_CCT_PROTECTALT_DENUM_UOM1</v>
      </c>
    </row>
    <row r="7721" ht="15.75" customHeight="1">
      <c r="B7721" s="63">
        <f t="shared" si="1"/>
        <v>16</v>
      </c>
      <c r="C7721" s="135" t="s">
        <v>302</v>
      </c>
      <c r="D7721" s="161" t="s">
        <v>74</v>
      </c>
      <c r="E7721" s="135">
        <f t="shared" si="61"/>
        <v>17</v>
      </c>
      <c r="F7721" s="134" t="s">
        <v>3806</v>
      </c>
      <c r="G7721" s="63" t="str">
        <f>VLOOKUP(C7721, 'Class Def. - General Data'!$C$20:$C$1000,1,false)</f>
        <v>ZSI1_CCT_PROTECT</v>
      </c>
      <c r="H7721" s="63" t="str">
        <f>IFERROR(__xludf.DUMMYFUNCTION("VLOOKUP(F7721, IMPORTRANGE(""https://docs.google.com/spreadsheets/d/1Lhp9OU0JdFf_VYSMzH5lBcEaU4o8teT1piV-SNzShjg/edit?gid=554141278#gid=554141278"", ""'Char Def. - Attributes'!C20:C2242""), 1,false)"),"ALT_NUM_UOM1")</f>
        <v>ALT_NUM_UOM1</v>
      </c>
      <c r="I7721" s="136"/>
      <c r="R7721" s="63" t="str">
        <f t="shared" si="60"/>
        <v>ZSI1_CCT_PROTECTALT_NUM_UOM1</v>
      </c>
    </row>
    <row r="7722" ht="15.75" customHeight="1">
      <c r="B7722" s="63">
        <f t="shared" si="1"/>
        <v>16</v>
      </c>
      <c r="C7722" s="135" t="s">
        <v>302</v>
      </c>
      <c r="D7722" s="161" t="s">
        <v>74</v>
      </c>
      <c r="E7722" s="135">
        <f t="shared" si="61"/>
        <v>18</v>
      </c>
      <c r="F7722" s="134" t="s">
        <v>3807</v>
      </c>
      <c r="G7722" s="63" t="str">
        <f>VLOOKUP(C7722, 'Class Def. - General Data'!$C$20:$C$1000,1,false)</f>
        <v>ZSI1_CCT_PROTECT</v>
      </c>
      <c r="H7722" s="63" t="str">
        <f>IFERROR(__xludf.DUMMYFUNCTION("VLOOKUP(F7722, IMPORTRANGE(""https://docs.google.com/spreadsheets/d/1Lhp9OU0JdFf_VYSMzH5lBcEaU4o8teT1piV-SNzShjg/edit?gid=554141278#gid=554141278"", ""'Char Def. - Attributes'!C20:C2242""), 1,false)"),"ALT_UOM2_SIPI")</f>
        <v>ALT_UOM2_SIPI</v>
      </c>
      <c r="I7722" s="136"/>
      <c r="R7722" s="63" t="str">
        <f t="shared" si="60"/>
        <v>ZSI1_CCT_PROTECTALT_UOM2_SIPI</v>
      </c>
    </row>
    <row r="7723" ht="15.75" customHeight="1">
      <c r="B7723" s="63">
        <f t="shared" si="1"/>
        <v>16</v>
      </c>
      <c r="C7723" s="135" t="s">
        <v>302</v>
      </c>
      <c r="D7723" s="161" t="s">
        <v>74</v>
      </c>
      <c r="E7723" s="135">
        <f t="shared" si="61"/>
        <v>19</v>
      </c>
      <c r="F7723" s="134" t="s">
        <v>3808</v>
      </c>
      <c r="G7723" s="63" t="str">
        <f>VLOOKUP(C7723, 'Class Def. - General Data'!$C$20:$C$1000,1,false)</f>
        <v>ZSI1_CCT_PROTECT</v>
      </c>
      <c r="H7723" s="63" t="str">
        <f>IFERROR(__xludf.DUMMYFUNCTION("VLOOKUP(F7723, IMPORTRANGE(""https://docs.google.com/spreadsheets/d/1Lhp9OU0JdFf_VYSMzH5lBcEaU4o8teT1piV-SNzShjg/edit?gid=554141278#gid=554141278"", ""'Char Def. - Attributes'!C20:C2242""), 1,false)"),"ALT_DENUM_UOM2")</f>
        <v>ALT_DENUM_UOM2</v>
      </c>
      <c r="I7723" s="136"/>
      <c r="R7723" s="63" t="str">
        <f t="shared" si="60"/>
        <v>ZSI1_CCT_PROTECTALT_DENUM_UOM2</v>
      </c>
    </row>
    <row r="7724" ht="15.75" customHeight="1">
      <c r="B7724" s="63">
        <f t="shared" si="1"/>
        <v>16</v>
      </c>
      <c r="C7724" s="135" t="s">
        <v>302</v>
      </c>
      <c r="D7724" s="161" t="s">
        <v>74</v>
      </c>
      <c r="E7724" s="135">
        <f t="shared" si="61"/>
        <v>20</v>
      </c>
      <c r="F7724" s="134" t="s">
        <v>3809</v>
      </c>
      <c r="G7724" s="63" t="str">
        <f>VLOOKUP(C7724, 'Class Def. - General Data'!$C$20:$C$1000,1,false)</f>
        <v>ZSI1_CCT_PROTECT</v>
      </c>
      <c r="H7724" s="63" t="str">
        <f>IFERROR(__xludf.DUMMYFUNCTION("VLOOKUP(F7724, IMPORTRANGE(""https://docs.google.com/spreadsheets/d/1Lhp9OU0JdFf_VYSMzH5lBcEaU4o8teT1piV-SNzShjg/edit?gid=554141278#gid=554141278"", ""'Char Def. - Attributes'!C20:C2242""), 1,false)"),"ALT_NUM_UOM2")</f>
        <v>ALT_NUM_UOM2</v>
      </c>
      <c r="I7724" s="136"/>
      <c r="R7724" s="63" t="str">
        <f t="shared" si="60"/>
        <v>ZSI1_CCT_PROTECTALT_NUM_UOM2</v>
      </c>
    </row>
    <row r="7725" ht="15.75" customHeight="1">
      <c r="B7725" s="63">
        <f t="shared" si="1"/>
        <v>16</v>
      </c>
      <c r="C7725" s="135" t="s">
        <v>302</v>
      </c>
      <c r="D7725" s="161" t="s">
        <v>74</v>
      </c>
      <c r="E7725" s="135">
        <f t="shared" si="61"/>
        <v>21</v>
      </c>
      <c r="F7725" s="134" t="s">
        <v>3810</v>
      </c>
      <c r="G7725" s="63" t="str">
        <f>VLOOKUP(C7725, 'Class Def. - General Data'!$C$20:$C$1000,1,false)</f>
        <v>ZSI1_CCT_PROTECT</v>
      </c>
      <c r="H7725" s="63" t="str">
        <f>IFERROR(__xludf.DUMMYFUNCTION("VLOOKUP(F7725, IMPORTRANGE(""https://docs.google.com/spreadsheets/d/1Lhp9OU0JdFf_VYSMzH5lBcEaU4o8teT1piV-SNzShjg/edit?gid=554141278#gid=554141278"", ""'Char Def. - Attributes'!C20:C2242""), 1,false)"),"ALT_UOM3_SIPI")</f>
        <v>ALT_UOM3_SIPI</v>
      </c>
      <c r="I7725" s="136"/>
      <c r="R7725" s="63" t="str">
        <f t="shared" si="60"/>
        <v>ZSI1_CCT_PROTECTALT_UOM3_SIPI</v>
      </c>
    </row>
    <row r="7726" ht="15.75" customHeight="1">
      <c r="B7726" s="63">
        <f t="shared" si="1"/>
        <v>16</v>
      </c>
      <c r="C7726" s="135" t="s">
        <v>302</v>
      </c>
      <c r="D7726" s="161" t="s">
        <v>74</v>
      </c>
      <c r="E7726" s="135">
        <f t="shared" si="61"/>
        <v>22</v>
      </c>
      <c r="F7726" s="134" t="s">
        <v>3811</v>
      </c>
      <c r="G7726" s="63" t="str">
        <f>VLOOKUP(C7726, 'Class Def. - General Data'!$C$20:$C$1000,1,false)</f>
        <v>ZSI1_CCT_PROTECT</v>
      </c>
      <c r="H7726" s="63" t="str">
        <f>IFERROR(__xludf.DUMMYFUNCTION("VLOOKUP(F7726, IMPORTRANGE(""https://docs.google.com/spreadsheets/d/1Lhp9OU0JdFf_VYSMzH5lBcEaU4o8teT1piV-SNzShjg/edit?gid=554141278#gid=554141278"", ""'Char Def. - Attributes'!C20:C2242""), 1,false)"),"ALT_DENUM_UOM3")</f>
        <v>ALT_DENUM_UOM3</v>
      </c>
      <c r="I7726" s="136"/>
      <c r="R7726" s="63" t="str">
        <f t="shared" si="60"/>
        <v>ZSI1_CCT_PROTECTALT_DENUM_UOM3</v>
      </c>
    </row>
    <row r="7727" ht="15.75" customHeight="1">
      <c r="B7727" s="63">
        <f t="shared" si="1"/>
        <v>16</v>
      </c>
      <c r="C7727" s="135" t="s">
        <v>302</v>
      </c>
      <c r="D7727" s="161" t="s">
        <v>74</v>
      </c>
      <c r="E7727" s="135">
        <f t="shared" si="61"/>
        <v>23</v>
      </c>
      <c r="F7727" s="134" t="s">
        <v>3812</v>
      </c>
      <c r="G7727" s="63" t="str">
        <f>VLOOKUP(C7727, 'Class Def. - General Data'!$C$20:$C$1000,1,false)</f>
        <v>ZSI1_CCT_PROTECT</v>
      </c>
      <c r="H7727" s="63" t="str">
        <f>IFERROR(__xludf.DUMMYFUNCTION("VLOOKUP(F7727, IMPORTRANGE(""https://docs.google.com/spreadsheets/d/1Lhp9OU0JdFf_VYSMzH5lBcEaU4o8teT1piV-SNzShjg/edit?gid=554141278#gid=554141278"", ""'Char Def. - Attributes'!C20:C2242""), 1,false)"),"ALT_NUM_UOM3")</f>
        <v>ALT_NUM_UOM3</v>
      </c>
      <c r="I7727" s="136"/>
      <c r="R7727" s="63" t="str">
        <f t="shared" si="60"/>
        <v>ZSI1_CCT_PROTECTALT_NUM_UOM3</v>
      </c>
    </row>
    <row r="7728" ht="15.75" customHeight="1">
      <c r="B7728" s="63">
        <f t="shared" si="1"/>
        <v>16</v>
      </c>
      <c r="C7728" s="135" t="s">
        <v>302</v>
      </c>
      <c r="D7728" s="161" t="s">
        <v>74</v>
      </c>
      <c r="E7728" s="135">
        <f t="shared" si="61"/>
        <v>24</v>
      </c>
      <c r="F7728" s="134" t="s">
        <v>3813</v>
      </c>
      <c r="G7728" s="63" t="str">
        <f>VLOOKUP(C7728, 'Class Def. - General Data'!$C$20:$C$1000,1,false)</f>
        <v>ZSI1_CCT_PROTECT</v>
      </c>
      <c r="H7728" s="63" t="str">
        <f>IFERROR(__xludf.DUMMYFUNCTION("VLOOKUP(F7728, IMPORTRANGE(""https://docs.google.com/spreadsheets/d/1Lhp9OU0JdFf_VYSMzH5lBcEaU4o8teT1piV-SNzShjg/edit?gid=554141278#gid=554141278"", ""'Char Def. - Attributes'!C20:C2242""), 1,false)"),"ALT_UOM4_SIPI")</f>
        <v>ALT_UOM4_SIPI</v>
      </c>
      <c r="I7728" s="136"/>
      <c r="R7728" s="63" t="str">
        <f t="shared" si="60"/>
        <v>ZSI1_CCT_PROTECTALT_UOM4_SIPI</v>
      </c>
    </row>
    <row r="7729" ht="15.75" customHeight="1">
      <c r="B7729" s="63">
        <f t="shared" si="1"/>
        <v>16</v>
      </c>
      <c r="C7729" s="135" t="s">
        <v>302</v>
      </c>
      <c r="D7729" s="161" t="s">
        <v>74</v>
      </c>
      <c r="E7729" s="135">
        <f t="shared" si="61"/>
        <v>25</v>
      </c>
      <c r="F7729" s="134" t="s">
        <v>3814</v>
      </c>
      <c r="G7729" s="63" t="str">
        <f>VLOOKUP(C7729, 'Class Def. - General Data'!$C$20:$C$1000,1,false)</f>
        <v>ZSI1_CCT_PROTECT</v>
      </c>
      <c r="H7729" s="63" t="str">
        <f>IFERROR(__xludf.DUMMYFUNCTION("VLOOKUP(F7729, IMPORTRANGE(""https://docs.google.com/spreadsheets/d/1Lhp9OU0JdFf_VYSMzH5lBcEaU4o8teT1piV-SNzShjg/edit?gid=554141278#gid=554141278"", ""'Char Def. - Attributes'!C20:C2242""), 1,false)"),"ALT_DENUM_UOM4")</f>
        <v>ALT_DENUM_UOM4</v>
      </c>
      <c r="I7729" s="136"/>
      <c r="R7729" s="63" t="str">
        <f t="shared" si="60"/>
        <v>ZSI1_CCT_PROTECTALT_DENUM_UOM4</v>
      </c>
    </row>
    <row r="7730" ht="15.75" customHeight="1">
      <c r="B7730" s="63">
        <f t="shared" si="1"/>
        <v>16</v>
      </c>
      <c r="C7730" s="135" t="s">
        <v>302</v>
      </c>
      <c r="D7730" s="161" t="s">
        <v>74</v>
      </c>
      <c r="E7730" s="135">
        <f t="shared" si="61"/>
        <v>26</v>
      </c>
      <c r="F7730" s="134" t="s">
        <v>3815</v>
      </c>
      <c r="G7730" s="63" t="str">
        <f>VLOOKUP(C7730, 'Class Def. - General Data'!$C$20:$C$1000,1,false)</f>
        <v>ZSI1_CCT_PROTECT</v>
      </c>
      <c r="H7730" s="63" t="str">
        <f>IFERROR(__xludf.DUMMYFUNCTION("VLOOKUP(F7730, IMPORTRANGE(""https://docs.google.com/spreadsheets/d/1Lhp9OU0JdFf_VYSMzH5lBcEaU4o8teT1piV-SNzShjg/edit?gid=554141278#gid=554141278"", ""'Char Def. - Attributes'!C20:C2242""), 1,false)"),"ALT_NUM_UOM4")</f>
        <v>ALT_NUM_UOM4</v>
      </c>
      <c r="I7730" s="136"/>
      <c r="R7730" s="63" t="str">
        <f t="shared" si="60"/>
        <v>ZSI1_CCT_PROTECTALT_NUM_UOM4</v>
      </c>
    </row>
    <row r="7731" ht="15.75" customHeight="1">
      <c r="B7731" s="63">
        <f t="shared" si="1"/>
        <v>16</v>
      </c>
      <c r="C7731" s="135" t="s">
        <v>302</v>
      </c>
      <c r="D7731" s="161" t="s">
        <v>74</v>
      </c>
      <c r="E7731" s="135">
        <f t="shared" si="61"/>
        <v>27</v>
      </c>
      <c r="F7731" s="134" t="s">
        <v>3816</v>
      </c>
      <c r="G7731" s="63" t="str">
        <f>VLOOKUP(C7731, 'Class Def. - General Data'!$C$20:$C$1000,1,false)</f>
        <v>ZSI1_CCT_PROTECT</v>
      </c>
      <c r="H7731" s="63" t="str">
        <f>IFERROR(__xludf.DUMMYFUNCTION("VLOOKUP(F7731, IMPORTRANGE(""https://docs.google.com/spreadsheets/d/1Lhp9OU0JdFf_VYSMzH5lBcEaU4o8teT1piV-SNzShjg/edit?gid=554141278#gid=554141278"", ""'Char Def. - Attributes'!C20:C2242""), 1,false)"),"ALT_UOM5_SIPI")</f>
        <v>ALT_UOM5_SIPI</v>
      </c>
      <c r="I7731" s="136"/>
      <c r="R7731" s="63" t="str">
        <f t="shared" si="60"/>
        <v>ZSI1_CCT_PROTECTALT_UOM5_SIPI</v>
      </c>
    </row>
    <row r="7732" ht="15.75" customHeight="1">
      <c r="B7732" s="63">
        <f t="shared" si="1"/>
        <v>16</v>
      </c>
      <c r="C7732" s="135" t="s">
        <v>302</v>
      </c>
      <c r="D7732" s="161" t="s">
        <v>74</v>
      </c>
      <c r="E7732" s="135">
        <f t="shared" si="61"/>
        <v>28</v>
      </c>
      <c r="F7732" s="134" t="s">
        <v>3817</v>
      </c>
      <c r="G7732" s="63" t="str">
        <f>VLOOKUP(C7732, 'Class Def. - General Data'!$C$20:$C$1000,1,false)</f>
        <v>ZSI1_CCT_PROTECT</v>
      </c>
      <c r="H7732" s="63" t="str">
        <f>IFERROR(__xludf.DUMMYFUNCTION("VLOOKUP(F7732, IMPORTRANGE(""https://docs.google.com/spreadsheets/d/1Lhp9OU0JdFf_VYSMzH5lBcEaU4o8teT1piV-SNzShjg/edit?gid=554141278#gid=554141278"", ""'Char Def. - Attributes'!C20:C2242""), 1,false)"),"ALT_DENUM_UOM5")</f>
        <v>ALT_DENUM_UOM5</v>
      </c>
      <c r="I7732" s="136"/>
      <c r="R7732" s="63" t="str">
        <f t="shared" si="60"/>
        <v>ZSI1_CCT_PROTECTALT_DENUM_UOM5</v>
      </c>
    </row>
    <row r="7733" ht="15.75" customHeight="1">
      <c r="B7733" s="63">
        <f t="shared" si="1"/>
        <v>16</v>
      </c>
      <c r="C7733" s="135" t="s">
        <v>302</v>
      </c>
      <c r="D7733" s="161" t="s">
        <v>74</v>
      </c>
      <c r="E7733" s="135">
        <f t="shared" si="61"/>
        <v>29</v>
      </c>
      <c r="F7733" s="134" t="s">
        <v>3818</v>
      </c>
      <c r="G7733" s="63" t="str">
        <f>VLOOKUP(C7733, 'Class Def. - General Data'!$C$20:$C$1000,1,false)</f>
        <v>ZSI1_CCT_PROTECT</v>
      </c>
      <c r="H7733" s="63" t="str">
        <f>IFERROR(__xludf.DUMMYFUNCTION("VLOOKUP(F7733, IMPORTRANGE(""https://docs.google.com/spreadsheets/d/1Lhp9OU0JdFf_VYSMzH5lBcEaU4o8teT1piV-SNzShjg/edit?gid=554141278#gid=554141278"", ""'Char Def. - Attributes'!C20:C2242""), 1,false)"),"ALT_NUM_UOM5")</f>
        <v>ALT_NUM_UOM5</v>
      </c>
      <c r="I7733" s="136"/>
      <c r="R7733" s="63" t="str">
        <f t="shared" si="60"/>
        <v>ZSI1_CCT_PROTECTALT_NUM_UOM5</v>
      </c>
    </row>
    <row r="7734" ht="15.75" customHeight="1">
      <c r="B7734" s="63">
        <f t="shared" si="1"/>
        <v>16</v>
      </c>
      <c r="C7734" s="135" t="s">
        <v>491</v>
      </c>
      <c r="D7734" s="161" t="s">
        <v>74</v>
      </c>
      <c r="E7734" s="135">
        <f t="shared" si="61"/>
        <v>1</v>
      </c>
      <c r="F7734" s="134" t="s">
        <v>4224</v>
      </c>
      <c r="G7734" s="63" t="str">
        <f>VLOOKUP(C7734, 'Class Def. - General Data'!$C$20:$C$1000,1,false)</f>
        <v>ZSI1_CHAIN_BLOCK</v>
      </c>
      <c r="H7734" s="63" t="str">
        <f>IFERROR(__xludf.DUMMYFUNCTION("VLOOKUP(F7734, IMPORTRANGE(""https://docs.google.com/spreadsheets/d/1Lhp9OU0JdFf_VYSMzH5lBcEaU4o8teT1piV-SNzShjg/edit?gid=554141278#gid=554141278"", ""'Char Def. - Attributes'!C20:C2242""), 1,false)"),"ITEM_NAME_CHAIN_BLOCK")</f>
        <v>ITEM_NAME_CHAIN_BLOCK</v>
      </c>
      <c r="I7734" s="136"/>
      <c r="R7734" s="63" t="str">
        <f t="shared" si="60"/>
        <v>ZSI1_CHAIN_BLOCKITEM_NAME_CHAIN_BLOCK</v>
      </c>
    </row>
    <row r="7735" ht="15.75" customHeight="1">
      <c r="B7735" s="63">
        <f t="shared" si="1"/>
        <v>16</v>
      </c>
      <c r="C7735" s="135" t="s">
        <v>491</v>
      </c>
      <c r="D7735" s="161" t="s">
        <v>74</v>
      </c>
      <c r="E7735" s="135">
        <f t="shared" si="61"/>
        <v>2</v>
      </c>
      <c r="F7735" s="134" t="s">
        <v>4225</v>
      </c>
      <c r="G7735" s="63" t="str">
        <f>VLOOKUP(C7735, 'Class Def. - General Data'!$C$20:$C$1000,1,false)</f>
        <v>ZSI1_CHAIN_BLOCK</v>
      </c>
      <c r="H7735" s="63" t="str">
        <f>IFERROR(__xludf.DUMMYFUNCTION("VLOOKUP(F7735, IMPORTRANGE(""https://docs.google.com/spreadsheets/d/1Lhp9OU0JdFf_VYSMzH5lBcEaU4o8teT1piV-SNzShjg/edit?gid=554141278#gid=554141278"", ""'Char Def. - Attributes'!C20:C2242""), 1,false)"),"CAPACITY_TON_CHAIN_BLOCK")</f>
        <v>CAPACITY_TON_CHAIN_BLOCK</v>
      </c>
      <c r="I7735" s="136"/>
      <c r="R7735" s="63" t="str">
        <f t="shared" si="60"/>
        <v>ZSI1_CHAIN_BLOCKCAPACITY_TON_CHAIN_BLOCK</v>
      </c>
    </row>
    <row r="7736" ht="15.75" customHeight="1">
      <c r="B7736" s="63">
        <f t="shared" si="1"/>
        <v>16</v>
      </c>
      <c r="C7736" s="135" t="s">
        <v>491</v>
      </c>
      <c r="D7736" s="161" t="s">
        <v>74</v>
      </c>
      <c r="E7736" s="135">
        <f t="shared" si="61"/>
        <v>3</v>
      </c>
      <c r="F7736" s="134" t="s">
        <v>4226</v>
      </c>
      <c r="G7736" s="63" t="str">
        <f>VLOOKUP(C7736, 'Class Def. - General Data'!$C$20:$C$1000,1,false)</f>
        <v>ZSI1_CHAIN_BLOCK</v>
      </c>
      <c r="H7736" s="63" t="str">
        <f>IFERROR(__xludf.DUMMYFUNCTION("VLOOKUP(F7736, IMPORTRANGE(""https://docs.google.com/spreadsheets/d/1Lhp9OU0JdFf_VYSMzH5lBcEaU4o8teT1piV-SNzShjg/edit?gid=554141278#gid=554141278"", ""'Char Def. - Attributes'!C20:C2242""), 1,false)"),"LIFTING_HEIGHT_M_CHAIN_BLOCK")</f>
        <v>LIFTING_HEIGHT_M_CHAIN_BLOCK</v>
      </c>
      <c r="I7736" s="136"/>
      <c r="R7736" s="63" t="str">
        <f t="shared" si="60"/>
        <v>ZSI1_CHAIN_BLOCKLIFTING_HEIGHT_M_CHAIN_BLOCK</v>
      </c>
    </row>
    <row r="7737" ht="15.75" customHeight="1">
      <c r="B7737" s="63">
        <f t="shared" si="1"/>
        <v>16</v>
      </c>
      <c r="C7737" s="135" t="s">
        <v>491</v>
      </c>
      <c r="D7737" s="161" t="s">
        <v>74</v>
      </c>
      <c r="E7737" s="135">
        <f t="shared" si="61"/>
        <v>4</v>
      </c>
      <c r="F7737" s="134" t="s">
        <v>3585</v>
      </c>
      <c r="G7737" s="63" t="str">
        <f>VLOOKUP(C7737, 'Class Def. - General Data'!$C$20:$C$1000,1,false)</f>
        <v>ZSI1_CHAIN_BLOCK</v>
      </c>
      <c r="H7737" s="63" t="str">
        <f>IFERROR(__xludf.DUMMYFUNCTION("VLOOKUP(F7737, IMPORTRANGE(""https://docs.google.com/spreadsheets/d/1Lhp9OU0JdFf_VYSMzH5lBcEaU4o8teT1piV-SNzShjg/edit?gid=554141278#gid=554141278"", ""'Char Def. - Attributes'!C20:C2242""), 1,false)"),"HS_CODE")</f>
        <v>HS_CODE</v>
      </c>
      <c r="I7737" s="136"/>
      <c r="R7737" s="63" t="str">
        <f t="shared" si="60"/>
        <v>ZSI1_CHAIN_BLOCKHS_CODE</v>
      </c>
    </row>
    <row r="7738" ht="15.75" customHeight="1">
      <c r="B7738" s="63">
        <f t="shared" si="1"/>
        <v>16</v>
      </c>
      <c r="C7738" s="135" t="s">
        <v>491</v>
      </c>
      <c r="D7738" s="161" t="s">
        <v>74</v>
      </c>
      <c r="E7738" s="135">
        <f t="shared" si="61"/>
        <v>5</v>
      </c>
      <c r="F7738" s="134" t="s">
        <v>3587</v>
      </c>
      <c r="G7738" s="63" t="str">
        <f>VLOOKUP(C7738, 'Class Def. - General Data'!$C$20:$C$1000,1,false)</f>
        <v>ZSI1_CHAIN_BLOCK</v>
      </c>
      <c r="H7738" s="63" t="str">
        <f>IFERROR(__xludf.DUMMYFUNCTION("VLOOKUP(F7738, IMPORTRANGE(""https://docs.google.com/spreadsheets/d/1Lhp9OU0JdFf_VYSMzH5lBcEaU4o8teT1piV-SNzShjg/edit?gid=554141278#gid=554141278"", ""'Char Def. - Attributes'!C20:C2242""), 1,false)"),"PLANT_BUY")</f>
        <v>PLANT_BUY</v>
      </c>
      <c r="I7738" s="136"/>
      <c r="R7738" s="63" t="str">
        <f t="shared" si="60"/>
        <v>ZSI1_CHAIN_BLOCKPLANT_BUY</v>
      </c>
    </row>
    <row r="7739" ht="15.75" customHeight="1">
      <c r="B7739" s="63">
        <f t="shared" si="1"/>
        <v>16</v>
      </c>
      <c r="C7739" s="135" t="s">
        <v>491</v>
      </c>
      <c r="D7739" s="161" t="s">
        <v>74</v>
      </c>
      <c r="E7739" s="135">
        <f t="shared" si="61"/>
        <v>6</v>
      </c>
      <c r="F7739" s="134" t="s">
        <v>4227</v>
      </c>
      <c r="G7739" s="63" t="str">
        <f>VLOOKUP(C7739, 'Class Def. - General Data'!$C$20:$C$1000,1,false)</f>
        <v>ZSI1_CHAIN_BLOCK</v>
      </c>
      <c r="H7739" s="63" t="str">
        <f>IFERROR(__xludf.DUMMYFUNCTION("VLOOKUP(F7739, IMPORTRANGE(""https://docs.google.com/spreadsheets/d/1Lhp9OU0JdFf_VYSMzH5lBcEaU4o8teT1piV-SNzShjg/edit?gid=554141278#gid=554141278"", ""'Char Def. - Attributes'!C20:C2242""), 1,false)"),"BASE_UOM_CHAIN_BLOCK")</f>
        <v>BASE_UOM_CHAIN_BLOCK</v>
      </c>
      <c r="I7739" s="136"/>
      <c r="R7739" s="63" t="str">
        <f t="shared" si="60"/>
        <v>ZSI1_CHAIN_BLOCKBASE_UOM_CHAIN_BLOCK</v>
      </c>
    </row>
    <row r="7740" ht="15.75" customHeight="1">
      <c r="B7740" s="63">
        <f t="shared" si="1"/>
        <v>16</v>
      </c>
      <c r="C7740" s="135" t="s">
        <v>491</v>
      </c>
      <c r="D7740" s="161" t="s">
        <v>74</v>
      </c>
      <c r="E7740" s="135">
        <f t="shared" si="61"/>
        <v>7</v>
      </c>
      <c r="F7740" s="134" t="s">
        <v>4228</v>
      </c>
      <c r="G7740" s="63" t="str">
        <f>VLOOKUP(C7740, 'Class Def. - General Data'!$C$20:$C$1000,1,false)</f>
        <v>ZSI1_CHAIN_BLOCK</v>
      </c>
      <c r="H7740" s="63" t="str">
        <f>IFERROR(__xludf.DUMMYFUNCTION("VLOOKUP(F7740, IMPORTRANGE(""https://docs.google.com/spreadsheets/d/1Lhp9OU0JdFf_VYSMzH5lBcEaU4o8teT1piV-SNzShjg/edit?gid=554141278#gid=554141278"", ""'Char Def. - Attributes'!C20:C2242""), 1,false)"),"ORDER_UNIT_CHAIN_BLOCK")</f>
        <v>ORDER_UNIT_CHAIN_BLOCK</v>
      </c>
      <c r="I7740" s="136"/>
      <c r="R7740" s="63" t="str">
        <f t="shared" si="60"/>
        <v>ZSI1_CHAIN_BLOCKORDER_UNIT_CHAIN_BLOCK</v>
      </c>
    </row>
    <row r="7741" ht="15.75" customHeight="1">
      <c r="B7741" s="63">
        <f t="shared" si="1"/>
        <v>16</v>
      </c>
      <c r="C7741" s="135" t="s">
        <v>491</v>
      </c>
      <c r="D7741" s="161" t="s">
        <v>74</v>
      </c>
      <c r="E7741" s="135">
        <f t="shared" si="61"/>
        <v>8</v>
      </c>
      <c r="F7741" s="134" t="s">
        <v>4056</v>
      </c>
      <c r="G7741" s="63" t="str">
        <f>VLOOKUP(C7741, 'Class Def. - General Data'!$C$20:$C$1000,1,false)</f>
        <v>ZSI1_CHAIN_BLOCK</v>
      </c>
      <c r="H7741" s="63" t="str">
        <f>IFERROR(__xludf.DUMMYFUNCTION("VLOOKUP(F7741, IMPORTRANGE(""https://docs.google.com/spreadsheets/d/1Lhp9OU0JdFf_VYSMzH5lBcEaU4o8teT1piV-SNzShjg/edit?gid=554141278#gid=554141278"", ""'Char Def. - Attributes'!C20:C2242""), 1,false)"),"GROSS_WEIGHT_OPT")</f>
        <v>GROSS_WEIGHT_OPT</v>
      </c>
      <c r="I7741" s="136"/>
      <c r="R7741" s="63" t="str">
        <f t="shared" si="60"/>
        <v>ZSI1_CHAIN_BLOCKGROSS_WEIGHT_OPT</v>
      </c>
    </row>
    <row r="7742" ht="15.75" customHeight="1">
      <c r="B7742" s="63">
        <f t="shared" si="1"/>
        <v>16</v>
      </c>
      <c r="C7742" s="135" t="s">
        <v>491</v>
      </c>
      <c r="D7742" s="161" t="s">
        <v>74</v>
      </c>
      <c r="E7742" s="135">
        <f t="shared" si="61"/>
        <v>9</v>
      </c>
      <c r="F7742" s="134" t="s">
        <v>4057</v>
      </c>
      <c r="G7742" s="63" t="str">
        <f>VLOOKUP(C7742, 'Class Def. - General Data'!$C$20:$C$1000,1,false)</f>
        <v>ZSI1_CHAIN_BLOCK</v>
      </c>
      <c r="H7742" s="63" t="str">
        <f>IFERROR(__xludf.DUMMYFUNCTION("VLOOKUP(F7742, IMPORTRANGE(""https://docs.google.com/spreadsheets/d/1Lhp9OU0JdFf_VYSMzH5lBcEaU4o8teT1piV-SNzShjg/edit?gid=554141278#gid=554141278"", ""'Char Def. - Attributes'!C20:C2242""), 1,false)"),"NET_WEIGHT_OPT")</f>
        <v>NET_WEIGHT_OPT</v>
      </c>
      <c r="I7742" s="136"/>
      <c r="R7742" s="63" t="str">
        <f t="shared" si="60"/>
        <v>ZSI1_CHAIN_BLOCKNET_WEIGHT_OPT</v>
      </c>
    </row>
    <row r="7743" ht="15.75" customHeight="1">
      <c r="B7743" s="63">
        <f t="shared" si="1"/>
        <v>16</v>
      </c>
      <c r="C7743" s="135" t="s">
        <v>491</v>
      </c>
      <c r="D7743" s="161" t="s">
        <v>74</v>
      </c>
      <c r="E7743" s="135">
        <f t="shared" si="61"/>
        <v>10</v>
      </c>
      <c r="F7743" s="134" t="s">
        <v>4058</v>
      </c>
      <c r="G7743" s="63" t="str">
        <f>VLOOKUP(C7743, 'Class Def. - General Data'!$C$20:$C$1000,1,false)</f>
        <v>ZSI1_CHAIN_BLOCK</v>
      </c>
      <c r="H7743" s="63" t="str">
        <f>IFERROR(__xludf.DUMMYFUNCTION("VLOOKUP(F7743, IMPORTRANGE(""https://docs.google.com/spreadsheets/d/1Lhp9OU0JdFf_VYSMzH5lBcEaU4o8teT1piV-SNzShjg/edit?gid=554141278#gid=554141278"", ""'Char Def. - Attributes'!C20:C2242""), 1,false)"),"WEIGHT_UNIT_SI")</f>
        <v>WEIGHT_UNIT_SI</v>
      </c>
      <c r="I7743" s="136"/>
      <c r="R7743" s="63" t="str">
        <f t="shared" si="60"/>
        <v>ZSI1_CHAIN_BLOCKWEIGHT_UNIT_SI</v>
      </c>
    </row>
    <row r="7744" ht="15.75" customHeight="1">
      <c r="B7744" s="63">
        <f t="shared" si="1"/>
        <v>16</v>
      </c>
      <c r="C7744" s="135" t="s">
        <v>491</v>
      </c>
      <c r="D7744" s="161" t="s">
        <v>74</v>
      </c>
      <c r="E7744" s="135">
        <f t="shared" si="61"/>
        <v>11</v>
      </c>
      <c r="F7744" s="134" t="s">
        <v>3877</v>
      </c>
      <c r="G7744" s="63" t="str">
        <f>VLOOKUP(C7744, 'Class Def. - General Data'!$C$20:$C$1000,1,false)</f>
        <v>ZSI1_CHAIN_BLOCK</v>
      </c>
      <c r="H7744" s="63" t="str">
        <f>IFERROR(__xludf.DUMMYFUNCTION("VLOOKUP(F7744, IMPORTRANGE(""https://docs.google.com/spreadsheets/d/1Lhp9OU0JdFf_VYSMzH5lBcEaU4o8teT1piV-SNzShjg/edit?gid=554141278#gid=554141278"", ""'Char Def. - Attributes'!C20:C2242""), 1,false)"),"VOLUME_OPT")</f>
        <v>VOLUME_OPT</v>
      </c>
      <c r="I7744" s="136"/>
      <c r="R7744" s="63" t="str">
        <f t="shared" si="60"/>
        <v>ZSI1_CHAIN_BLOCKVOLUME_OPT</v>
      </c>
    </row>
    <row r="7745" ht="15.75" customHeight="1">
      <c r="B7745" s="63">
        <f t="shared" si="1"/>
        <v>16</v>
      </c>
      <c r="C7745" s="135" t="s">
        <v>491</v>
      </c>
      <c r="D7745" s="161" t="s">
        <v>74</v>
      </c>
      <c r="E7745" s="135">
        <f t="shared" si="61"/>
        <v>12</v>
      </c>
      <c r="F7745" s="134" t="s">
        <v>4059</v>
      </c>
      <c r="G7745" s="63" t="str">
        <f>VLOOKUP(C7745, 'Class Def. - General Data'!$C$20:$C$1000,1,false)</f>
        <v>ZSI1_CHAIN_BLOCK</v>
      </c>
      <c r="H7745" s="63" t="str">
        <f>IFERROR(__xludf.DUMMYFUNCTION("VLOOKUP(F7745, IMPORTRANGE(""https://docs.google.com/spreadsheets/d/1Lhp9OU0JdFf_VYSMzH5lBcEaU4o8teT1piV-SNzShjg/edit?gid=554141278#gid=554141278"", ""'Char Def. - Attributes'!C20:C2242""), 1,false)"),"VOLUME_UNIT_SI")</f>
        <v>VOLUME_UNIT_SI</v>
      </c>
      <c r="I7745" s="136"/>
      <c r="R7745" s="63" t="str">
        <f t="shared" si="60"/>
        <v>ZSI1_CHAIN_BLOCKVOLUME_UNIT_SI</v>
      </c>
    </row>
    <row r="7746" ht="15.75" customHeight="1">
      <c r="B7746" s="63">
        <f t="shared" si="1"/>
        <v>16</v>
      </c>
      <c r="C7746" s="135" t="s">
        <v>491</v>
      </c>
      <c r="D7746" s="161" t="s">
        <v>74</v>
      </c>
      <c r="E7746" s="135">
        <f t="shared" si="61"/>
        <v>13</v>
      </c>
      <c r="F7746" s="134" t="s">
        <v>3804</v>
      </c>
      <c r="G7746" s="63" t="str">
        <f>VLOOKUP(C7746, 'Class Def. - General Data'!$C$20:$C$1000,1,false)</f>
        <v>ZSI1_CHAIN_BLOCK</v>
      </c>
      <c r="H7746" s="63" t="str">
        <f>IFERROR(__xludf.DUMMYFUNCTION("VLOOKUP(F7746, IMPORTRANGE(""https://docs.google.com/spreadsheets/d/1Lhp9OU0JdFf_VYSMzH5lBcEaU4o8teT1piV-SNzShjg/edit?gid=554141278#gid=554141278"", ""'Char Def. - Attributes'!C20:C2242""), 1,false)"),"ALT_UOM1_SIPI")</f>
        <v>ALT_UOM1_SIPI</v>
      </c>
      <c r="I7746" s="136"/>
      <c r="R7746" s="63" t="str">
        <f t="shared" si="60"/>
        <v>ZSI1_CHAIN_BLOCKALT_UOM1_SIPI</v>
      </c>
    </row>
    <row r="7747" ht="15.75" customHeight="1">
      <c r="B7747" s="63">
        <f t="shared" si="1"/>
        <v>16</v>
      </c>
      <c r="C7747" s="135" t="s">
        <v>491</v>
      </c>
      <c r="D7747" s="161" t="s">
        <v>74</v>
      </c>
      <c r="E7747" s="135">
        <f t="shared" si="61"/>
        <v>14</v>
      </c>
      <c r="F7747" s="134" t="s">
        <v>3805</v>
      </c>
      <c r="G7747" s="63" t="str">
        <f>VLOOKUP(C7747, 'Class Def. - General Data'!$C$20:$C$1000,1,false)</f>
        <v>ZSI1_CHAIN_BLOCK</v>
      </c>
      <c r="H7747" s="63" t="str">
        <f>IFERROR(__xludf.DUMMYFUNCTION("VLOOKUP(F7747, IMPORTRANGE(""https://docs.google.com/spreadsheets/d/1Lhp9OU0JdFf_VYSMzH5lBcEaU4o8teT1piV-SNzShjg/edit?gid=554141278#gid=554141278"", ""'Char Def. - Attributes'!C20:C2242""), 1,false)"),"ALT_DENUM_UOM1")</f>
        <v>ALT_DENUM_UOM1</v>
      </c>
      <c r="I7747" s="136"/>
      <c r="R7747" s="63" t="str">
        <f t="shared" si="60"/>
        <v>ZSI1_CHAIN_BLOCKALT_DENUM_UOM1</v>
      </c>
    </row>
    <row r="7748" ht="15.75" customHeight="1">
      <c r="B7748" s="63">
        <f t="shared" si="1"/>
        <v>16</v>
      </c>
      <c r="C7748" s="135" t="s">
        <v>491</v>
      </c>
      <c r="D7748" s="161" t="s">
        <v>74</v>
      </c>
      <c r="E7748" s="135">
        <f t="shared" si="61"/>
        <v>15</v>
      </c>
      <c r="F7748" s="134" t="s">
        <v>3806</v>
      </c>
      <c r="G7748" s="63" t="str">
        <f>VLOOKUP(C7748, 'Class Def. - General Data'!$C$20:$C$1000,1,false)</f>
        <v>ZSI1_CHAIN_BLOCK</v>
      </c>
      <c r="H7748" s="63" t="str">
        <f>IFERROR(__xludf.DUMMYFUNCTION("VLOOKUP(F7748, IMPORTRANGE(""https://docs.google.com/spreadsheets/d/1Lhp9OU0JdFf_VYSMzH5lBcEaU4o8teT1piV-SNzShjg/edit?gid=554141278#gid=554141278"", ""'Char Def. - Attributes'!C20:C2242""), 1,false)"),"ALT_NUM_UOM1")</f>
        <v>ALT_NUM_UOM1</v>
      </c>
      <c r="I7748" s="136"/>
      <c r="R7748" s="63" t="str">
        <f t="shared" si="60"/>
        <v>ZSI1_CHAIN_BLOCKALT_NUM_UOM1</v>
      </c>
    </row>
    <row r="7749" ht="15.75" customHeight="1">
      <c r="B7749" s="63">
        <f t="shared" si="1"/>
        <v>16</v>
      </c>
      <c r="C7749" s="135" t="s">
        <v>491</v>
      </c>
      <c r="D7749" s="161" t="s">
        <v>74</v>
      </c>
      <c r="E7749" s="135">
        <f t="shared" si="61"/>
        <v>16</v>
      </c>
      <c r="F7749" s="134" t="s">
        <v>3807</v>
      </c>
      <c r="G7749" s="63" t="str">
        <f>VLOOKUP(C7749, 'Class Def. - General Data'!$C$20:$C$1000,1,false)</f>
        <v>ZSI1_CHAIN_BLOCK</v>
      </c>
      <c r="H7749" s="63" t="str">
        <f>IFERROR(__xludf.DUMMYFUNCTION("VLOOKUP(F7749, IMPORTRANGE(""https://docs.google.com/spreadsheets/d/1Lhp9OU0JdFf_VYSMzH5lBcEaU4o8teT1piV-SNzShjg/edit?gid=554141278#gid=554141278"", ""'Char Def. - Attributes'!C20:C2242""), 1,false)"),"ALT_UOM2_SIPI")</f>
        <v>ALT_UOM2_SIPI</v>
      </c>
      <c r="I7749" s="136"/>
      <c r="R7749" s="63" t="str">
        <f t="shared" si="60"/>
        <v>ZSI1_CHAIN_BLOCKALT_UOM2_SIPI</v>
      </c>
    </row>
    <row r="7750" ht="15.75" customHeight="1">
      <c r="B7750" s="63">
        <f t="shared" si="1"/>
        <v>16</v>
      </c>
      <c r="C7750" s="135" t="s">
        <v>491</v>
      </c>
      <c r="D7750" s="161" t="s">
        <v>74</v>
      </c>
      <c r="E7750" s="135">
        <f t="shared" si="61"/>
        <v>17</v>
      </c>
      <c r="F7750" s="134" t="s">
        <v>3808</v>
      </c>
      <c r="G7750" s="63" t="str">
        <f>VLOOKUP(C7750, 'Class Def. - General Data'!$C$20:$C$1000,1,false)</f>
        <v>ZSI1_CHAIN_BLOCK</v>
      </c>
      <c r="H7750" s="63" t="str">
        <f>IFERROR(__xludf.DUMMYFUNCTION("VLOOKUP(F7750, IMPORTRANGE(""https://docs.google.com/spreadsheets/d/1Lhp9OU0JdFf_VYSMzH5lBcEaU4o8teT1piV-SNzShjg/edit?gid=554141278#gid=554141278"", ""'Char Def. - Attributes'!C20:C2242""), 1,false)"),"ALT_DENUM_UOM2")</f>
        <v>ALT_DENUM_UOM2</v>
      </c>
      <c r="I7750" s="136"/>
      <c r="R7750" s="63" t="str">
        <f t="shared" si="60"/>
        <v>ZSI1_CHAIN_BLOCKALT_DENUM_UOM2</v>
      </c>
    </row>
    <row r="7751" ht="15.75" customHeight="1">
      <c r="B7751" s="63">
        <f t="shared" si="1"/>
        <v>16</v>
      </c>
      <c r="C7751" s="135" t="s">
        <v>491</v>
      </c>
      <c r="D7751" s="161" t="s">
        <v>74</v>
      </c>
      <c r="E7751" s="135">
        <f t="shared" si="61"/>
        <v>18</v>
      </c>
      <c r="F7751" s="134" t="s">
        <v>3809</v>
      </c>
      <c r="G7751" s="63" t="str">
        <f>VLOOKUP(C7751, 'Class Def. - General Data'!$C$20:$C$1000,1,false)</f>
        <v>ZSI1_CHAIN_BLOCK</v>
      </c>
      <c r="H7751" s="63" t="str">
        <f>IFERROR(__xludf.DUMMYFUNCTION("VLOOKUP(F7751, IMPORTRANGE(""https://docs.google.com/spreadsheets/d/1Lhp9OU0JdFf_VYSMzH5lBcEaU4o8teT1piV-SNzShjg/edit?gid=554141278#gid=554141278"", ""'Char Def. - Attributes'!C20:C2242""), 1,false)"),"ALT_NUM_UOM2")</f>
        <v>ALT_NUM_UOM2</v>
      </c>
      <c r="I7751" s="136"/>
      <c r="R7751" s="63" t="str">
        <f t="shared" si="60"/>
        <v>ZSI1_CHAIN_BLOCKALT_NUM_UOM2</v>
      </c>
    </row>
    <row r="7752" ht="15.75" customHeight="1">
      <c r="B7752" s="63">
        <f t="shared" si="1"/>
        <v>16</v>
      </c>
      <c r="C7752" s="135" t="s">
        <v>491</v>
      </c>
      <c r="D7752" s="161" t="s">
        <v>74</v>
      </c>
      <c r="E7752" s="135">
        <f t="shared" si="61"/>
        <v>19</v>
      </c>
      <c r="F7752" s="134" t="s">
        <v>3810</v>
      </c>
      <c r="G7752" s="63" t="str">
        <f>VLOOKUP(C7752, 'Class Def. - General Data'!$C$20:$C$1000,1,false)</f>
        <v>ZSI1_CHAIN_BLOCK</v>
      </c>
      <c r="H7752" s="63" t="str">
        <f>IFERROR(__xludf.DUMMYFUNCTION("VLOOKUP(F7752, IMPORTRANGE(""https://docs.google.com/spreadsheets/d/1Lhp9OU0JdFf_VYSMzH5lBcEaU4o8teT1piV-SNzShjg/edit?gid=554141278#gid=554141278"", ""'Char Def. - Attributes'!C20:C2242""), 1,false)"),"ALT_UOM3_SIPI")</f>
        <v>ALT_UOM3_SIPI</v>
      </c>
      <c r="I7752" s="136"/>
      <c r="R7752" s="63" t="str">
        <f t="shared" si="60"/>
        <v>ZSI1_CHAIN_BLOCKALT_UOM3_SIPI</v>
      </c>
    </row>
    <row r="7753" ht="15.75" customHeight="1">
      <c r="B7753" s="63">
        <f t="shared" si="1"/>
        <v>16</v>
      </c>
      <c r="C7753" s="135" t="s">
        <v>491</v>
      </c>
      <c r="D7753" s="161" t="s">
        <v>74</v>
      </c>
      <c r="E7753" s="135">
        <f t="shared" si="61"/>
        <v>20</v>
      </c>
      <c r="F7753" s="134" t="s">
        <v>3811</v>
      </c>
      <c r="G7753" s="63" t="str">
        <f>VLOOKUP(C7753, 'Class Def. - General Data'!$C$20:$C$1000,1,false)</f>
        <v>ZSI1_CHAIN_BLOCK</v>
      </c>
      <c r="H7753" s="63" t="str">
        <f>IFERROR(__xludf.DUMMYFUNCTION("VLOOKUP(F7753, IMPORTRANGE(""https://docs.google.com/spreadsheets/d/1Lhp9OU0JdFf_VYSMzH5lBcEaU4o8teT1piV-SNzShjg/edit?gid=554141278#gid=554141278"", ""'Char Def. - Attributes'!C20:C2242""), 1,false)"),"ALT_DENUM_UOM3")</f>
        <v>ALT_DENUM_UOM3</v>
      </c>
      <c r="I7753" s="136"/>
      <c r="R7753" s="63" t="str">
        <f t="shared" si="60"/>
        <v>ZSI1_CHAIN_BLOCKALT_DENUM_UOM3</v>
      </c>
    </row>
    <row r="7754" ht="15.75" customHeight="1">
      <c r="B7754" s="63">
        <f t="shared" si="1"/>
        <v>16</v>
      </c>
      <c r="C7754" s="135" t="s">
        <v>491</v>
      </c>
      <c r="D7754" s="161" t="s">
        <v>74</v>
      </c>
      <c r="E7754" s="135">
        <f t="shared" si="61"/>
        <v>21</v>
      </c>
      <c r="F7754" s="134" t="s">
        <v>3812</v>
      </c>
      <c r="G7754" s="63" t="str">
        <f>VLOOKUP(C7754, 'Class Def. - General Data'!$C$20:$C$1000,1,false)</f>
        <v>ZSI1_CHAIN_BLOCK</v>
      </c>
      <c r="H7754" s="63" t="str">
        <f>IFERROR(__xludf.DUMMYFUNCTION("VLOOKUP(F7754, IMPORTRANGE(""https://docs.google.com/spreadsheets/d/1Lhp9OU0JdFf_VYSMzH5lBcEaU4o8teT1piV-SNzShjg/edit?gid=554141278#gid=554141278"", ""'Char Def. - Attributes'!C20:C2242""), 1,false)"),"ALT_NUM_UOM3")</f>
        <v>ALT_NUM_UOM3</v>
      </c>
      <c r="I7754" s="136"/>
      <c r="R7754" s="63" t="str">
        <f t="shared" si="60"/>
        <v>ZSI1_CHAIN_BLOCKALT_NUM_UOM3</v>
      </c>
    </row>
    <row r="7755" ht="15.75" customHeight="1">
      <c r="B7755" s="63">
        <f t="shared" si="1"/>
        <v>16</v>
      </c>
      <c r="C7755" s="135" t="s">
        <v>491</v>
      </c>
      <c r="D7755" s="161" t="s">
        <v>74</v>
      </c>
      <c r="E7755" s="135">
        <f t="shared" si="61"/>
        <v>22</v>
      </c>
      <c r="F7755" s="134" t="s">
        <v>3813</v>
      </c>
      <c r="G7755" s="63" t="str">
        <f>VLOOKUP(C7755, 'Class Def. - General Data'!$C$20:$C$1000,1,false)</f>
        <v>ZSI1_CHAIN_BLOCK</v>
      </c>
      <c r="H7755" s="63" t="str">
        <f>IFERROR(__xludf.DUMMYFUNCTION("VLOOKUP(F7755, IMPORTRANGE(""https://docs.google.com/spreadsheets/d/1Lhp9OU0JdFf_VYSMzH5lBcEaU4o8teT1piV-SNzShjg/edit?gid=554141278#gid=554141278"", ""'Char Def. - Attributes'!C20:C2242""), 1,false)"),"ALT_UOM4_SIPI")</f>
        <v>ALT_UOM4_SIPI</v>
      </c>
      <c r="I7755" s="136"/>
      <c r="R7755" s="63" t="str">
        <f t="shared" si="60"/>
        <v>ZSI1_CHAIN_BLOCKALT_UOM4_SIPI</v>
      </c>
    </row>
    <row r="7756" ht="15.75" customHeight="1">
      <c r="B7756" s="63">
        <f t="shared" si="1"/>
        <v>16</v>
      </c>
      <c r="C7756" s="135" t="s">
        <v>491</v>
      </c>
      <c r="D7756" s="161" t="s">
        <v>74</v>
      </c>
      <c r="E7756" s="135">
        <f t="shared" si="61"/>
        <v>23</v>
      </c>
      <c r="F7756" s="134" t="s">
        <v>3814</v>
      </c>
      <c r="G7756" s="63" t="str">
        <f>VLOOKUP(C7756, 'Class Def. - General Data'!$C$20:$C$1000,1,false)</f>
        <v>ZSI1_CHAIN_BLOCK</v>
      </c>
      <c r="H7756" s="63" t="str">
        <f>IFERROR(__xludf.DUMMYFUNCTION("VLOOKUP(F7756, IMPORTRANGE(""https://docs.google.com/spreadsheets/d/1Lhp9OU0JdFf_VYSMzH5lBcEaU4o8teT1piV-SNzShjg/edit?gid=554141278#gid=554141278"", ""'Char Def. - Attributes'!C20:C2242""), 1,false)"),"ALT_DENUM_UOM4")</f>
        <v>ALT_DENUM_UOM4</v>
      </c>
      <c r="I7756" s="136"/>
      <c r="R7756" s="63" t="str">
        <f t="shared" si="60"/>
        <v>ZSI1_CHAIN_BLOCKALT_DENUM_UOM4</v>
      </c>
    </row>
    <row r="7757" ht="15.75" customHeight="1">
      <c r="B7757" s="63">
        <f t="shared" si="1"/>
        <v>16</v>
      </c>
      <c r="C7757" s="135" t="s">
        <v>491</v>
      </c>
      <c r="D7757" s="161" t="s">
        <v>74</v>
      </c>
      <c r="E7757" s="135">
        <f t="shared" si="61"/>
        <v>24</v>
      </c>
      <c r="F7757" s="134" t="s">
        <v>3815</v>
      </c>
      <c r="G7757" s="63" t="str">
        <f>VLOOKUP(C7757, 'Class Def. - General Data'!$C$20:$C$1000,1,false)</f>
        <v>ZSI1_CHAIN_BLOCK</v>
      </c>
      <c r="H7757" s="63" t="str">
        <f>IFERROR(__xludf.DUMMYFUNCTION("VLOOKUP(F7757, IMPORTRANGE(""https://docs.google.com/spreadsheets/d/1Lhp9OU0JdFf_VYSMzH5lBcEaU4o8teT1piV-SNzShjg/edit?gid=554141278#gid=554141278"", ""'Char Def. - Attributes'!C20:C2242""), 1,false)"),"ALT_NUM_UOM4")</f>
        <v>ALT_NUM_UOM4</v>
      </c>
      <c r="I7757" s="136"/>
      <c r="R7757" s="63" t="str">
        <f t="shared" si="60"/>
        <v>ZSI1_CHAIN_BLOCKALT_NUM_UOM4</v>
      </c>
    </row>
    <row r="7758" ht="15.75" customHeight="1">
      <c r="B7758" s="63">
        <f t="shared" si="1"/>
        <v>16</v>
      </c>
      <c r="C7758" s="135" t="s">
        <v>491</v>
      </c>
      <c r="D7758" s="161" t="s">
        <v>74</v>
      </c>
      <c r="E7758" s="135">
        <f t="shared" si="61"/>
        <v>25</v>
      </c>
      <c r="F7758" s="134" t="s">
        <v>3816</v>
      </c>
      <c r="G7758" s="63" t="str">
        <f>VLOOKUP(C7758, 'Class Def. - General Data'!$C$20:$C$1000,1,false)</f>
        <v>ZSI1_CHAIN_BLOCK</v>
      </c>
      <c r="H7758" s="63" t="str">
        <f>IFERROR(__xludf.DUMMYFUNCTION("VLOOKUP(F7758, IMPORTRANGE(""https://docs.google.com/spreadsheets/d/1Lhp9OU0JdFf_VYSMzH5lBcEaU4o8teT1piV-SNzShjg/edit?gid=554141278#gid=554141278"", ""'Char Def. - Attributes'!C20:C2242""), 1,false)"),"ALT_UOM5_SIPI")</f>
        <v>ALT_UOM5_SIPI</v>
      </c>
      <c r="I7758" s="136"/>
      <c r="R7758" s="63" t="str">
        <f t="shared" si="60"/>
        <v>ZSI1_CHAIN_BLOCKALT_UOM5_SIPI</v>
      </c>
    </row>
    <row r="7759" ht="15.75" customHeight="1">
      <c r="B7759" s="63">
        <f t="shared" si="1"/>
        <v>16</v>
      </c>
      <c r="C7759" s="135" t="s">
        <v>491</v>
      </c>
      <c r="D7759" s="161" t="s">
        <v>74</v>
      </c>
      <c r="E7759" s="135">
        <f t="shared" si="61"/>
        <v>26</v>
      </c>
      <c r="F7759" s="134" t="s">
        <v>3817</v>
      </c>
      <c r="G7759" s="63" t="str">
        <f>VLOOKUP(C7759, 'Class Def. - General Data'!$C$20:$C$1000,1,false)</f>
        <v>ZSI1_CHAIN_BLOCK</v>
      </c>
      <c r="H7759" s="63" t="str">
        <f>IFERROR(__xludf.DUMMYFUNCTION("VLOOKUP(F7759, IMPORTRANGE(""https://docs.google.com/spreadsheets/d/1Lhp9OU0JdFf_VYSMzH5lBcEaU4o8teT1piV-SNzShjg/edit?gid=554141278#gid=554141278"", ""'Char Def. - Attributes'!C20:C2242""), 1,false)"),"ALT_DENUM_UOM5")</f>
        <v>ALT_DENUM_UOM5</v>
      </c>
      <c r="I7759" s="136"/>
      <c r="R7759" s="63" t="str">
        <f t="shared" si="60"/>
        <v>ZSI1_CHAIN_BLOCKALT_DENUM_UOM5</v>
      </c>
    </row>
    <row r="7760" ht="15.75" customHeight="1">
      <c r="B7760" s="63">
        <f t="shared" si="1"/>
        <v>16</v>
      </c>
      <c r="C7760" s="135" t="s">
        <v>491</v>
      </c>
      <c r="D7760" s="161" t="s">
        <v>74</v>
      </c>
      <c r="E7760" s="135">
        <f t="shared" si="61"/>
        <v>27</v>
      </c>
      <c r="F7760" s="134" t="s">
        <v>3818</v>
      </c>
      <c r="G7760" s="63" t="str">
        <f>VLOOKUP(C7760, 'Class Def. - General Data'!$C$20:$C$1000,1,false)</f>
        <v>ZSI1_CHAIN_BLOCK</v>
      </c>
      <c r="H7760" s="63" t="str">
        <f>IFERROR(__xludf.DUMMYFUNCTION("VLOOKUP(F7760, IMPORTRANGE(""https://docs.google.com/spreadsheets/d/1Lhp9OU0JdFf_VYSMzH5lBcEaU4o8teT1piV-SNzShjg/edit?gid=554141278#gid=554141278"", ""'Char Def. - Attributes'!C20:C2242""), 1,false)"),"ALT_NUM_UOM5")</f>
        <v>ALT_NUM_UOM5</v>
      </c>
      <c r="I7760" s="136"/>
      <c r="R7760" s="63" t="str">
        <f t="shared" si="60"/>
        <v>ZSI1_CHAIN_BLOCKALT_NUM_UOM5</v>
      </c>
    </row>
    <row r="7761" ht="15.75" customHeight="1">
      <c r="B7761" s="63">
        <f t="shared" si="1"/>
        <v>17</v>
      </c>
      <c r="C7761" s="135" t="s">
        <v>365</v>
      </c>
      <c r="D7761" s="161" t="s">
        <v>74</v>
      </c>
      <c r="E7761" s="135">
        <f t="shared" si="61"/>
        <v>1</v>
      </c>
      <c r="F7761" s="134" t="s">
        <v>4229</v>
      </c>
      <c r="G7761" s="63" t="str">
        <f>VLOOKUP(C7761, 'Class Def. - General Data'!$C$20:$C$1000,1,false)</f>
        <v>ZSI1_CHEMICAL_GAS</v>
      </c>
      <c r="H7761" s="63" t="str">
        <f>IFERROR(__xludf.DUMMYFUNCTION("VLOOKUP(F7761, IMPORTRANGE(""https://docs.google.com/spreadsheets/d/1Lhp9OU0JdFf_VYSMzH5lBcEaU4o8teT1piV-SNzShjg/edit?gid=554141278#gid=554141278"", ""'Char Def. - Attributes'!C20:C2242""), 1,false)"),"ITEM_NAME_CHEMICAL_GAS")</f>
        <v>ITEM_NAME_CHEMICAL_GAS</v>
      </c>
      <c r="I7761" s="136"/>
      <c r="R7761" s="63" t="str">
        <f t="shared" si="60"/>
        <v>ZSI1_CHEMICAL_GASITEM_NAME_CHEMICAL_GAS</v>
      </c>
    </row>
    <row r="7762" ht="15.75" customHeight="1">
      <c r="B7762" s="63">
        <f t="shared" si="1"/>
        <v>17</v>
      </c>
      <c r="C7762" s="135" t="s">
        <v>365</v>
      </c>
      <c r="D7762" s="161" t="s">
        <v>74</v>
      </c>
      <c r="E7762" s="135">
        <f t="shared" si="61"/>
        <v>2</v>
      </c>
      <c r="F7762" s="134" t="s">
        <v>4230</v>
      </c>
      <c r="G7762" s="63" t="str">
        <f>VLOOKUP(C7762, 'Class Def. - General Data'!$C$20:$C$1000,1,false)</f>
        <v>ZSI1_CHEMICAL_GAS</v>
      </c>
      <c r="H7762" s="63" t="str">
        <f>IFERROR(__xludf.DUMMYFUNCTION("VLOOKUP(F7762, IMPORTRANGE(""https://docs.google.com/spreadsheets/d/1Lhp9OU0JdFf_VYSMzH5lBcEaU4o8teT1piV-SNzShjg/edit?gid=554141278#gid=554141278"", ""'Char Def. - Attributes'!C20:C2242""), 1,false)"),"GAS_NAME_CHEMICAL_GAS")</f>
        <v>GAS_NAME_CHEMICAL_GAS</v>
      </c>
      <c r="I7762" s="136"/>
      <c r="R7762" s="63" t="str">
        <f t="shared" si="60"/>
        <v>ZSI1_CHEMICAL_GASGAS_NAME_CHEMICAL_GAS</v>
      </c>
    </row>
    <row r="7763" ht="15.75" customHeight="1">
      <c r="B7763" s="63">
        <f t="shared" si="1"/>
        <v>17</v>
      </c>
      <c r="C7763" s="135" t="s">
        <v>365</v>
      </c>
      <c r="D7763" s="161" t="s">
        <v>74</v>
      </c>
      <c r="E7763" s="135">
        <f t="shared" si="61"/>
        <v>3</v>
      </c>
      <c r="F7763" s="134" t="s">
        <v>4231</v>
      </c>
      <c r="G7763" s="63" t="str">
        <f>VLOOKUP(C7763, 'Class Def. - General Data'!$C$20:$C$1000,1,false)</f>
        <v>ZSI1_CHEMICAL_GAS</v>
      </c>
      <c r="H7763" s="63" t="str">
        <f>IFERROR(__xludf.DUMMYFUNCTION("VLOOKUP(F7763, IMPORTRANGE(""https://docs.google.com/spreadsheets/d/1Lhp9OU0JdFf_VYSMzH5lBcEaU4o8teT1piV-SNzShjg/edit?gid=554141278#gid=554141278"", ""'Char Def. - Attributes'!C20:C2242""), 1,false)"),"DIMENSION_CHEMICAL_GAS")</f>
        <v>DIMENSION_CHEMICAL_GAS</v>
      </c>
      <c r="I7763" s="136"/>
      <c r="R7763" s="63" t="str">
        <f t="shared" si="60"/>
        <v>ZSI1_CHEMICAL_GASDIMENSION_CHEMICAL_GAS</v>
      </c>
    </row>
    <row r="7764" ht="15.75" customHeight="1">
      <c r="B7764" s="63">
        <f t="shared" si="1"/>
        <v>17</v>
      </c>
      <c r="C7764" s="135" t="s">
        <v>365</v>
      </c>
      <c r="D7764" s="161" t="s">
        <v>74</v>
      </c>
      <c r="E7764" s="135">
        <f t="shared" si="61"/>
        <v>4</v>
      </c>
      <c r="F7764" s="134" t="s">
        <v>4232</v>
      </c>
      <c r="G7764" s="63" t="str">
        <f>VLOOKUP(C7764, 'Class Def. - General Data'!$C$20:$C$1000,1,false)</f>
        <v>ZSI1_CHEMICAL_GAS</v>
      </c>
      <c r="H7764" s="63" t="str">
        <f>IFERROR(__xludf.DUMMYFUNCTION("VLOOKUP(F7764, IMPORTRANGE(""https://docs.google.com/spreadsheets/d/1Lhp9OU0JdFf_VYSMzH5lBcEaU4o8teT1piV-SNzShjg/edit?gid=554141278#gid=554141278"", ""'Char Def. - Attributes'!C20:C2242""), 1,false)"),"SIZE_L_CHEMICAL_GAS")</f>
        <v>SIZE_L_CHEMICAL_GAS</v>
      </c>
      <c r="I7764" s="136"/>
      <c r="R7764" s="63" t="str">
        <f t="shared" si="60"/>
        <v>ZSI1_CHEMICAL_GASSIZE_L_CHEMICAL_GAS</v>
      </c>
    </row>
    <row r="7765" ht="15.75" customHeight="1">
      <c r="B7765" s="63">
        <f t="shared" si="1"/>
        <v>17</v>
      </c>
      <c r="C7765" s="135" t="s">
        <v>365</v>
      </c>
      <c r="D7765" s="161" t="s">
        <v>74</v>
      </c>
      <c r="E7765" s="135">
        <f t="shared" si="61"/>
        <v>5</v>
      </c>
      <c r="F7765" s="134" t="s">
        <v>4233</v>
      </c>
      <c r="G7765" s="63" t="str">
        <f>VLOOKUP(C7765, 'Class Def. - General Data'!$C$20:$C$1000,1,false)</f>
        <v>ZSI1_CHEMICAL_GAS</v>
      </c>
      <c r="H7765" s="63" t="str">
        <f>IFERROR(__xludf.DUMMYFUNCTION("VLOOKUP(F7765, IMPORTRANGE(""https://docs.google.com/spreadsheets/d/1Lhp9OU0JdFf_VYSMzH5lBcEaU4o8teT1piV-SNzShjg/edit?gid=554141278#gid=554141278"", ""'Char Def. - Attributes'!C20:C2242""), 1,false)"),"SIZE_KG_CHEMICAL_GAS")</f>
        <v>SIZE_KG_CHEMICAL_GAS</v>
      </c>
      <c r="I7765" s="136"/>
      <c r="R7765" s="63" t="str">
        <f t="shared" si="60"/>
        <v>ZSI1_CHEMICAL_GASSIZE_KG_CHEMICAL_GAS</v>
      </c>
    </row>
    <row r="7766" ht="15.75" customHeight="1">
      <c r="B7766" s="63">
        <f t="shared" si="1"/>
        <v>17</v>
      </c>
      <c r="C7766" s="135" t="s">
        <v>365</v>
      </c>
      <c r="D7766" s="161" t="s">
        <v>74</v>
      </c>
      <c r="E7766" s="135">
        <f t="shared" si="61"/>
        <v>6</v>
      </c>
      <c r="F7766" s="134" t="s">
        <v>3585</v>
      </c>
      <c r="G7766" s="63" t="str">
        <f>VLOOKUP(C7766, 'Class Def. - General Data'!$C$20:$C$1000,1,false)</f>
        <v>ZSI1_CHEMICAL_GAS</v>
      </c>
      <c r="H7766" s="63" t="str">
        <f>IFERROR(__xludf.DUMMYFUNCTION("VLOOKUP(F7766, IMPORTRANGE(""https://docs.google.com/spreadsheets/d/1Lhp9OU0JdFf_VYSMzH5lBcEaU4o8teT1piV-SNzShjg/edit?gid=554141278#gid=554141278"", ""'Char Def. - Attributes'!C20:C2242""), 1,false)"),"HS_CODE")</f>
        <v>HS_CODE</v>
      </c>
      <c r="I7766" s="136"/>
      <c r="R7766" s="63" t="str">
        <f t="shared" si="60"/>
        <v>ZSI1_CHEMICAL_GASHS_CODE</v>
      </c>
    </row>
    <row r="7767" ht="15.75" customHeight="1">
      <c r="B7767" s="63">
        <f t="shared" si="1"/>
        <v>17</v>
      </c>
      <c r="C7767" s="135" t="s">
        <v>365</v>
      </c>
      <c r="D7767" s="161" t="s">
        <v>74</v>
      </c>
      <c r="E7767" s="135">
        <f t="shared" si="61"/>
        <v>7</v>
      </c>
      <c r="F7767" s="134" t="s">
        <v>3587</v>
      </c>
      <c r="G7767" s="63" t="str">
        <f>VLOOKUP(C7767, 'Class Def. - General Data'!$C$20:$C$1000,1,false)</f>
        <v>ZSI1_CHEMICAL_GAS</v>
      </c>
      <c r="H7767" s="63" t="str">
        <f>IFERROR(__xludf.DUMMYFUNCTION("VLOOKUP(F7767, IMPORTRANGE(""https://docs.google.com/spreadsheets/d/1Lhp9OU0JdFf_VYSMzH5lBcEaU4o8teT1piV-SNzShjg/edit?gid=554141278#gid=554141278"", ""'Char Def. - Attributes'!C20:C2242""), 1,false)"),"PLANT_BUY")</f>
        <v>PLANT_BUY</v>
      </c>
      <c r="I7767" s="136"/>
      <c r="R7767" s="63" t="str">
        <f t="shared" si="60"/>
        <v>ZSI1_CHEMICAL_GASPLANT_BUY</v>
      </c>
    </row>
    <row r="7768" ht="15.75" customHeight="1">
      <c r="B7768" s="63">
        <f t="shared" si="1"/>
        <v>17</v>
      </c>
      <c r="C7768" s="135" t="s">
        <v>365</v>
      </c>
      <c r="D7768" s="161" t="s">
        <v>74</v>
      </c>
      <c r="E7768" s="135">
        <f t="shared" si="61"/>
        <v>8</v>
      </c>
      <c r="F7768" s="134" t="s">
        <v>4234</v>
      </c>
      <c r="G7768" s="63" t="str">
        <f>VLOOKUP(C7768, 'Class Def. - General Data'!$C$20:$C$1000,1,false)</f>
        <v>ZSI1_CHEMICAL_GAS</v>
      </c>
      <c r="H7768" s="63" t="str">
        <f>IFERROR(__xludf.DUMMYFUNCTION("VLOOKUP(F7768, IMPORTRANGE(""https://docs.google.com/spreadsheets/d/1Lhp9OU0JdFf_VYSMzH5lBcEaU4o8teT1piV-SNzShjg/edit?gid=554141278#gid=554141278"", ""'Char Def. - Attributes'!C20:C2242""), 1,false)"),"BASE_UOM_CHEMICAL_GAS")</f>
        <v>BASE_UOM_CHEMICAL_GAS</v>
      </c>
      <c r="I7768" s="136"/>
      <c r="R7768" s="63" t="str">
        <f t="shared" si="60"/>
        <v>ZSI1_CHEMICAL_GASBASE_UOM_CHEMICAL_GAS</v>
      </c>
    </row>
    <row r="7769" ht="15.75" customHeight="1">
      <c r="B7769" s="63">
        <f t="shared" si="1"/>
        <v>17</v>
      </c>
      <c r="C7769" s="135" t="s">
        <v>365</v>
      </c>
      <c r="D7769" s="161" t="s">
        <v>74</v>
      </c>
      <c r="E7769" s="135">
        <f t="shared" si="61"/>
        <v>9</v>
      </c>
      <c r="F7769" s="134" t="s">
        <v>4235</v>
      </c>
      <c r="G7769" s="63" t="str">
        <f>VLOOKUP(C7769, 'Class Def. - General Data'!$C$20:$C$1000,1,false)</f>
        <v>ZSI1_CHEMICAL_GAS</v>
      </c>
      <c r="H7769" s="63" t="str">
        <f>IFERROR(__xludf.DUMMYFUNCTION("VLOOKUP(F7769, IMPORTRANGE(""https://docs.google.com/spreadsheets/d/1Lhp9OU0JdFf_VYSMzH5lBcEaU4o8teT1piV-SNzShjg/edit?gid=554141278#gid=554141278"", ""'Char Def. - Attributes'!C20:C2242""), 1,false)"),"ORDER_UNIT_CHEMICAL_GAS")</f>
        <v>ORDER_UNIT_CHEMICAL_GAS</v>
      </c>
      <c r="I7769" s="136"/>
      <c r="R7769" s="63" t="str">
        <f t="shared" si="60"/>
        <v>ZSI1_CHEMICAL_GASORDER_UNIT_CHEMICAL_GAS</v>
      </c>
    </row>
    <row r="7770" ht="15.75" customHeight="1">
      <c r="B7770" s="63">
        <f t="shared" si="1"/>
        <v>17</v>
      </c>
      <c r="C7770" s="135" t="s">
        <v>365</v>
      </c>
      <c r="D7770" s="161" t="s">
        <v>74</v>
      </c>
      <c r="E7770" s="135">
        <f t="shared" si="61"/>
        <v>10</v>
      </c>
      <c r="F7770" s="134" t="s">
        <v>4056</v>
      </c>
      <c r="G7770" s="63" t="str">
        <f>VLOOKUP(C7770, 'Class Def. - General Data'!$C$20:$C$1000,1,false)</f>
        <v>ZSI1_CHEMICAL_GAS</v>
      </c>
      <c r="H7770" s="63" t="str">
        <f>IFERROR(__xludf.DUMMYFUNCTION("VLOOKUP(F7770, IMPORTRANGE(""https://docs.google.com/spreadsheets/d/1Lhp9OU0JdFf_VYSMzH5lBcEaU4o8teT1piV-SNzShjg/edit?gid=554141278#gid=554141278"", ""'Char Def. - Attributes'!C20:C2242""), 1,false)"),"GROSS_WEIGHT_OPT")</f>
        <v>GROSS_WEIGHT_OPT</v>
      </c>
      <c r="I7770" s="136"/>
      <c r="R7770" s="63" t="str">
        <f t="shared" si="60"/>
        <v>ZSI1_CHEMICAL_GASGROSS_WEIGHT_OPT</v>
      </c>
    </row>
    <row r="7771" ht="15.75" customHeight="1">
      <c r="B7771" s="63">
        <f t="shared" si="1"/>
        <v>17</v>
      </c>
      <c r="C7771" s="135" t="s">
        <v>365</v>
      </c>
      <c r="D7771" s="161" t="s">
        <v>74</v>
      </c>
      <c r="E7771" s="135">
        <f t="shared" si="61"/>
        <v>11</v>
      </c>
      <c r="F7771" s="134" t="s">
        <v>4057</v>
      </c>
      <c r="G7771" s="63" t="str">
        <f>VLOOKUP(C7771, 'Class Def. - General Data'!$C$20:$C$1000,1,false)</f>
        <v>ZSI1_CHEMICAL_GAS</v>
      </c>
      <c r="H7771" s="63" t="str">
        <f>IFERROR(__xludf.DUMMYFUNCTION("VLOOKUP(F7771, IMPORTRANGE(""https://docs.google.com/spreadsheets/d/1Lhp9OU0JdFf_VYSMzH5lBcEaU4o8teT1piV-SNzShjg/edit?gid=554141278#gid=554141278"", ""'Char Def. - Attributes'!C20:C2242""), 1,false)"),"NET_WEIGHT_OPT")</f>
        <v>NET_WEIGHT_OPT</v>
      </c>
      <c r="I7771" s="136"/>
      <c r="R7771" s="63" t="str">
        <f t="shared" si="60"/>
        <v>ZSI1_CHEMICAL_GASNET_WEIGHT_OPT</v>
      </c>
    </row>
    <row r="7772" ht="15.75" customHeight="1">
      <c r="B7772" s="63">
        <f t="shared" si="1"/>
        <v>17</v>
      </c>
      <c r="C7772" s="135" t="s">
        <v>365</v>
      </c>
      <c r="D7772" s="161" t="s">
        <v>74</v>
      </c>
      <c r="E7772" s="135">
        <f t="shared" si="61"/>
        <v>12</v>
      </c>
      <c r="F7772" s="134" t="s">
        <v>4058</v>
      </c>
      <c r="G7772" s="63" t="str">
        <f>VLOOKUP(C7772, 'Class Def. - General Data'!$C$20:$C$1000,1,false)</f>
        <v>ZSI1_CHEMICAL_GAS</v>
      </c>
      <c r="H7772" s="63" t="str">
        <f>IFERROR(__xludf.DUMMYFUNCTION("VLOOKUP(F7772, IMPORTRANGE(""https://docs.google.com/spreadsheets/d/1Lhp9OU0JdFf_VYSMzH5lBcEaU4o8teT1piV-SNzShjg/edit?gid=554141278#gid=554141278"", ""'Char Def. - Attributes'!C20:C2242""), 1,false)"),"WEIGHT_UNIT_SI")</f>
        <v>WEIGHT_UNIT_SI</v>
      </c>
      <c r="I7772" s="136"/>
      <c r="R7772" s="63" t="str">
        <f t="shared" si="60"/>
        <v>ZSI1_CHEMICAL_GASWEIGHT_UNIT_SI</v>
      </c>
    </row>
    <row r="7773" ht="15.75" customHeight="1">
      <c r="B7773" s="63">
        <f t="shared" si="1"/>
        <v>17</v>
      </c>
      <c r="C7773" s="135" t="s">
        <v>365</v>
      </c>
      <c r="D7773" s="161" t="s">
        <v>74</v>
      </c>
      <c r="E7773" s="135">
        <f t="shared" si="61"/>
        <v>13</v>
      </c>
      <c r="F7773" s="134" t="s">
        <v>3877</v>
      </c>
      <c r="G7773" s="63" t="str">
        <f>VLOOKUP(C7773, 'Class Def. - General Data'!$C$20:$C$1000,1,false)</f>
        <v>ZSI1_CHEMICAL_GAS</v>
      </c>
      <c r="H7773" s="63" t="str">
        <f>IFERROR(__xludf.DUMMYFUNCTION("VLOOKUP(F7773, IMPORTRANGE(""https://docs.google.com/spreadsheets/d/1Lhp9OU0JdFf_VYSMzH5lBcEaU4o8teT1piV-SNzShjg/edit?gid=554141278#gid=554141278"", ""'Char Def. - Attributes'!C20:C2242""), 1,false)"),"VOLUME_OPT")</f>
        <v>VOLUME_OPT</v>
      </c>
      <c r="I7773" s="136"/>
      <c r="R7773" s="63" t="str">
        <f t="shared" si="60"/>
        <v>ZSI1_CHEMICAL_GASVOLUME_OPT</v>
      </c>
    </row>
    <row r="7774" ht="15.75" customHeight="1">
      <c r="B7774" s="63">
        <f t="shared" si="1"/>
        <v>17</v>
      </c>
      <c r="C7774" s="135" t="s">
        <v>365</v>
      </c>
      <c r="D7774" s="161" t="s">
        <v>74</v>
      </c>
      <c r="E7774" s="135">
        <f t="shared" si="61"/>
        <v>14</v>
      </c>
      <c r="F7774" s="134" t="s">
        <v>4059</v>
      </c>
      <c r="G7774" s="63" t="str">
        <f>VLOOKUP(C7774, 'Class Def. - General Data'!$C$20:$C$1000,1,false)</f>
        <v>ZSI1_CHEMICAL_GAS</v>
      </c>
      <c r="H7774" s="63" t="str">
        <f>IFERROR(__xludf.DUMMYFUNCTION("VLOOKUP(F7774, IMPORTRANGE(""https://docs.google.com/spreadsheets/d/1Lhp9OU0JdFf_VYSMzH5lBcEaU4o8teT1piV-SNzShjg/edit?gid=554141278#gid=554141278"", ""'Char Def. - Attributes'!C20:C2242""), 1,false)"),"VOLUME_UNIT_SI")</f>
        <v>VOLUME_UNIT_SI</v>
      </c>
      <c r="I7774" s="136"/>
      <c r="R7774" s="63" t="str">
        <f t="shared" si="60"/>
        <v>ZSI1_CHEMICAL_GASVOLUME_UNIT_SI</v>
      </c>
    </row>
    <row r="7775" ht="15.75" customHeight="1">
      <c r="B7775" s="63">
        <f t="shared" si="1"/>
        <v>17</v>
      </c>
      <c r="C7775" s="135" t="s">
        <v>365</v>
      </c>
      <c r="D7775" s="161" t="s">
        <v>74</v>
      </c>
      <c r="E7775" s="135">
        <f t="shared" si="61"/>
        <v>15</v>
      </c>
      <c r="F7775" s="134" t="s">
        <v>3804</v>
      </c>
      <c r="G7775" s="63" t="str">
        <f>VLOOKUP(C7775, 'Class Def. - General Data'!$C$20:$C$1000,1,false)</f>
        <v>ZSI1_CHEMICAL_GAS</v>
      </c>
      <c r="H7775" s="63" t="str">
        <f>IFERROR(__xludf.DUMMYFUNCTION("VLOOKUP(F7775, IMPORTRANGE(""https://docs.google.com/spreadsheets/d/1Lhp9OU0JdFf_VYSMzH5lBcEaU4o8teT1piV-SNzShjg/edit?gid=554141278#gid=554141278"", ""'Char Def. - Attributes'!C20:C2242""), 1,false)"),"ALT_UOM1_SIPI")</f>
        <v>ALT_UOM1_SIPI</v>
      </c>
      <c r="I7775" s="136"/>
      <c r="R7775" s="63" t="str">
        <f t="shared" si="60"/>
        <v>ZSI1_CHEMICAL_GASALT_UOM1_SIPI</v>
      </c>
    </row>
    <row r="7776" ht="15.75" customHeight="1">
      <c r="B7776" s="63">
        <f t="shared" si="1"/>
        <v>17</v>
      </c>
      <c r="C7776" s="135" t="s">
        <v>365</v>
      </c>
      <c r="D7776" s="161" t="s">
        <v>74</v>
      </c>
      <c r="E7776" s="135">
        <f t="shared" si="61"/>
        <v>16</v>
      </c>
      <c r="F7776" s="134" t="s">
        <v>3805</v>
      </c>
      <c r="G7776" s="63" t="str">
        <f>VLOOKUP(C7776, 'Class Def. - General Data'!$C$20:$C$1000,1,false)</f>
        <v>ZSI1_CHEMICAL_GAS</v>
      </c>
      <c r="H7776" s="63" t="str">
        <f>IFERROR(__xludf.DUMMYFUNCTION("VLOOKUP(F7776, IMPORTRANGE(""https://docs.google.com/spreadsheets/d/1Lhp9OU0JdFf_VYSMzH5lBcEaU4o8teT1piV-SNzShjg/edit?gid=554141278#gid=554141278"", ""'Char Def. - Attributes'!C20:C2242""), 1,false)"),"ALT_DENUM_UOM1")</f>
        <v>ALT_DENUM_UOM1</v>
      </c>
      <c r="I7776" s="136"/>
      <c r="R7776" s="63" t="str">
        <f t="shared" si="60"/>
        <v>ZSI1_CHEMICAL_GASALT_DENUM_UOM1</v>
      </c>
    </row>
    <row r="7777" ht="15.75" customHeight="1">
      <c r="B7777" s="63">
        <f t="shared" si="1"/>
        <v>17</v>
      </c>
      <c r="C7777" s="135" t="s">
        <v>365</v>
      </c>
      <c r="D7777" s="161" t="s">
        <v>74</v>
      </c>
      <c r="E7777" s="135">
        <f t="shared" si="61"/>
        <v>17</v>
      </c>
      <c r="F7777" s="134" t="s">
        <v>3806</v>
      </c>
      <c r="G7777" s="63" t="str">
        <f>VLOOKUP(C7777, 'Class Def. - General Data'!$C$20:$C$1000,1,false)</f>
        <v>ZSI1_CHEMICAL_GAS</v>
      </c>
      <c r="H7777" s="63" t="str">
        <f>IFERROR(__xludf.DUMMYFUNCTION("VLOOKUP(F7777, IMPORTRANGE(""https://docs.google.com/spreadsheets/d/1Lhp9OU0JdFf_VYSMzH5lBcEaU4o8teT1piV-SNzShjg/edit?gid=554141278#gid=554141278"", ""'Char Def. - Attributes'!C20:C2242""), 1,false)"),"ALT_NUM_UOM1")</f>
        <v>ALT_NUM_UOM1</v>
      </c>
      <c r="I7777" s="136"/>
      <c r="R7777" s="63" t="str">
        <f t="shared" si="60"/>
        <v>ZSI1_CHEMICAL_GASALT_NUM_UOM1</v>
      </c>
    </row>
    <row r="7778" ht="15.75" customHeight="1">
      <c r="B7778" s="63">
        <f t="shared" si="1"/>
        <v>17</v>
      </c>
      <c r="C7778" s="135" t="s">
        <v>365</v>
      </c>
      <c r="D7778" s="161" t="s">
        <v>74</v>
      </c>
      <c r="E7778" s="135">
        <f t="shared" si="61"/>
        <v>18</v>
      </c>
      <c r="F7778" s="134" t="s">
        <v>3807</v>
      </c>
      <c r="G7778" s="63" t="str">
        <f>VLOOKUP(C7778, 'Class Def. - General Data'!$C$20:$C$1000,1,false)</f>
        <v>ZSI1_CHEMICAL_GAS</v>
      </c>
      <c r="H7778" s="63" t="str">
        <f>IFERROR(__xludf.DUMMYFUNCTION("VLOOKUP(F7778, IMPORTRANGE(""https://docs.google.com/spreadsheets/d/1Lhp9OU0JdFf_VYSMzH5lBcEaU4o8teT1piV-SNzShjg/edit?gid=554141278#gid=554141278"", ""'Char Def. - Attributes'!C20:C2242""), 1,false)"),"ALT_UOM2_SIPI")</f>
        <v>ALT_UOM2_SIPI</v>
      </c>
      <c r="I7778" s="136"/>
      <c r="R7778" s="63" t="str">
        <f t="shared" si="60"/>
        <v>ZSI1_CHEMICAL_GASALT_UOM2_SIPI</v>
      </c>
    </row>
    <row r="7779" ht="15.75" customHeight="1">
      <c r="B7779" s="63">
        <f t="shared" si="1"/>
        <v>17</v>
      </c>
      <c r="C7779" s="135" t="s">
        <v>365</v>
      </c>
      <c r="D7779" s="161" t="s">
        <v>74</v>
      </c>
      <c r="E7779" s="135">
        <f t="shared" si="61"/>
        <v>19</v>
      </c>
      <c r="F7779" s="134" t="s">
        <v>3808</v>
      </c>
      <c r="G7779" s="63" t="str">
        <f>VLOOKUP(C7779, 'Class Def. - General Data'!$C$20:$C$1000,1,false)</f>
        <v>ZSI1_CHEMICAL_GAS</v>
      </c>
      <c r="H7779" s="63" t="str">
        <f>IFERROR(__xludf.DUMMYFUNCTION("VLOOKUP(F7779, IMPORTRANGE(""https://docs.google.com/spreadsheets/d/1Lhp9OU0JdFf_VYSMzH5lBcEaU4o8teT1piV-SNzShjg/edit?gid=554141278#gid=554141278"", ""'Char Def. - Attributes'!C20:C2242""), 1,false)"),"ALT_DENUM_UOM2")</f>
        <v>ALT_DENUM_UOM2</v>
      </c>
      <c r="I7779" s="136"/>
      <c r="R7779" s="63" t="str">
        <f t="shared" si="60"/>
        <v>ZSI1_CHEMICAL_GASALT_DENUM_UOM2</v>
      </c>
    </row>
    <row r="7780" ht="15.75" customHeight="1">
      <c r="B7780" s="63">
        <f t="shared" si="1"/>
        <v>17</v>
      </c>
      <c r="C7780" s="135" t="s">
        <v>365</v>
      </c>
      <c r="D7780" s="161" t="s">
        <v>74</v>
      </c>
      <c r="E7780" s="135">
        <f t="shared" si="61"/>
        <v>20</v>
      </c>
      <c r="F7780" s="134" t="s">
        <v>3809</v>
      </c>
      <c r="G7780" s="63" t="str">
        <f>VLOOKUP(C7780, 'Class Def. - General Data'!$C$20:$C$1000,1,false)</f>
        <v>ZSI1_CHEMICAL_GAS</v>
      </c>
      <c r="H7780" s="63" t="str">
        <f>IFERROR(__xludf.DUMMYFUNCTION("VLOOKUP(F7780, IMPORTRANGE(""https://docs.google.com/spreadsheets/d/1Lhp9OU0JdFf_VYSMzH5lBcEaU4o8teT1piV-SNzShjg/edit?gid=554141278#gid=554141278"", ""'Char Def. - Attributes'!C20:C2242""), 1,false)"),"ALT_NUM_UOM2")</f>
        <v>ALT_NUM_UOM2</v>
      </c>
      <c r="I7780" s="136"/>
      <c r="R7780" s="63" t="str">
        <f t="shared" si="60"/>
        <v>ZSI1_CHEMICAL_GASALT_NUM_UOM2</v>
      </c>
    </row>
    <row r="7781" ht="15.75" customHeight="1">
      <c r="B7781" s="63">
        <f t="shared" si="1"/>
        <v>17</v>
      </c>
      <c r="C7781" s="135" t="s">
        <v>365</v>
      </c>
      <c r="D7781" s="161" t="s">
        <v>74</v>
      </c>
      <c r="E7781" s="135">
        <f t="shared" si="61"/>
        <v>21</v>
      </c>
      <c r="F7781" s="134" t="s">
        <v>3810</v>
      </c>
      <c r="G7781" s="63" t="str">
        <f>VLOOKUP(C7781, 'Class Def. - General Data'!$C$20:$C$1000,1,false)</f>
        <v>ZSI1_CHEMICAL_GAS</v>
      </c>
      <c r="H7781" s="63" t="str">
        <f>IFERROR(__xludf.DUMMYFUNCTION("VLOOKUP(F7781, IMPORTRANGE(""https://docs.google.com/spreadsheets/d/1Lhp9OU0JdFf_VYSMzH5lBcEaU4o8teT1piV-SNzShjg/edit?gid=554141278#gid=554141278"", ""'Char Def. - Attributes'!C20:C2242""), 1,false)"),"ALT_UOM3_SIPI")</f>
        <v>ALT_UOM3_SIPI</v>
      </c>
      <c r="I7781" s="136"/>
      <c r="R7781" s="63" t="str">
        <f t="shared" si="60"/>
        <v>ZSI1_CHEMICAL_GASALT_UOM3_SIPI</v>
      </c>
    </row>
    <row r="7782" ht="15.75" customHeight="1">
      <c r="B7782" s="63">
        <f t="shared" si="1"/>
        <v>17</v>
      </c>
      <c r="C7782" s="135" t="s">
        <v>365</v>
      </c>
      <c r="D7782" s="161" t="s">
        <v>74</v>
      </c>
      <c r="E7782" s="135">
        <f t="shared" si="61"/>
        <v>22</v>
      </c>
      <c r="F7782" s="134" t="s">
        <v>3811</v>
      </c>
      <c r="G7782" s="63" t="str">
        <f>VLOOKUP(C7782, 'Class Def. - General Data'!$C$20:$C$1000,1,false)</f>
        <v>ZSI1_CHEMICAL_GAS</v>
      </c>
      <c r="H7782" s="63" t="str">
        <f>IFERROR(__xludf.DUMMYFUNCTION("VLOOKUP(F7782, IMPORTRANGE(""https://docs.google.com/spreadsheets/d/1Lhp9OU0JdFf_VYSMzH5lBcEaU4o8teT1piV-SNzShjg/edit?gid=554141278#gid=554141278"", ""'Char Def. - Attributes'!C20:C2242""), 1,false)"),"ALT_DENUM_UOM3")</f>
        <v>ALT_DENUM_UOM3</v>
      </c>
      <c r="I7782" s="136"/>
      <c r="R7782" s="63" t="str">
        <f t="shared" si="60"/>
        <v>ZSI1_CHEMICAL_GASALT_DENUM_UOM3</v>
      </c>
    </row>
    <row r="7783" ht="15.75" customHeight="1">
      <c r="B7783" s="63">
        <f t="shared" si="1"/>
        <v>17</v>
      </c>
      <c r="C7783" s="135" t="s">
        <v>365</v>
      </c>
      <c r="D7783" s="161" t="s">
        <v>74</v>
      </c>
      <c r="E7783" s="135">
        <f t="shared" si="61"/>
        <v>23</v>
      </c>
      <c r="F7783" s="134" t="s">
        <v>3812</v>
      </c>
      <c r="G7783" s="63" t="str">
        <f>VLOOKUP(C7783, 'Class Def. - General Data'!$C$20:$C$1000,1,false)</f>
        <v>ZSI1_CHEMICAL_GAS</v>
      </c>
      <c r="H7783" s="63" t="str">
        <f>IFERROR(__xludf.DUMMYFUNCTION("VLOOKUP(F7783, IMPORTRANGE(""https://docs.google.com/spreadsheets/d/1Lhp9OU0JdFf_VYSMzH5lBcEaU4o8teT1piV-SNzShjg/edit?gid=554141278#gid=554141278"", ""'Char Def. - Attributes'!C20:C2242""), 1,false)"),"ALT_NUM_UOM3")</f>
        <v>ALT_NUM_UOM3</v>
      </c>
      <c r="I7783" s="136"/>
      <c r="R7783" s="63" t="str">
        <f t="shared" si="60"/>
        <v>ZSI1_CHEMICAL_GASALT_NUM_UOM3</v>
      </c>
    </row>
    <row r="7784" ht="15.75" customHeight="1">
      <c r="B7784" s="63">
        <f t="shared" si="1"/>
        <v>17</v>
      </c>
      <c r="C7784" s="135" t="s">
        <v>365</v>
      </c>
      <c r="D7784" s="161" t="s">
        <v>74</v>
      </c>
      <c r="E7784" s="135">
        <f t="shared" si="61"/>
        <v>24</v>
      </c>
      <c r="F7784" s="134" t="s">
        <v>3813</v>
      </c>
      <c r="G7784" s="63" t="str">
        <f>VLOOKUP(C7784, 'Class Def. - General Data'!$C$20:$C$1000,1,false)</f>
        <v>ZSI1_CHEMICAL_GAS</v>
      </c>
      <c r="H7784" s="63" t="str">
        <f>IFERROR(__xludf.DUMMYFUNCTION("VLOOKUP(F7784, IMPORTRANGE(""https://docs.google.com/spreadsheets/d/1Lhp9OU0JdFf_VYSMzH5lBcEaU4o8teT1piV-SNzShjg/edit?gid=554141278#gid=554141278"", ""'Char Def. - Attributes'!C20:C2242""), 1,false)"),"ALT_UOM4_SIPI")</f>
        <v>ALT_UOM4_SIPI</v>
      </c>
      <c r="I7784" s="136"/>
      <c r="R7784" s="63" t="str">
        <f t="shared" si="60"/>
        <v>ZSI1_CHEMICAL_GASALT_UOM4_SIPI</v>
      </c>
    </row>
    <row r="7785" ht="15.75" customHeight="1">
      <c r="B7785" s="63">
        <f t="shared" si="1"/>
        <v>17</v>
      </c>
      <c r="C7785" s="135" t="s">
        <v>365</v>
      </c>
      <c r="D7785" s="161" t="s">
        <v>74</v>
      </c>
      <c r="E7785" s="135">
        <f t="shared" si="61"/>
        <v>25</v>
      </c>
      <c r="F7785" s="134" t="s">
        <v>3814</v>
      </c>
      <c r="G7785" s="63" t="str">
        <f>VLOOKUP(C7785, 'Class Def. - General Data'!$C$20:$C$1000,1,false)</f>
        <v>ZSI1_CHEMICAL_GAS</v>
      </c>
      <c r="H7785" s="63" t="str">
        <f>IFERROR(__xludf.DUMMYFUNCTION("VLOOKUP(F7785, IMPORTRANGE(""https://docs.google.com/spreadsheets/d/1Lhp9OU0JdFf_VYSMzH5lBcEaU4o8teT1piV-SNzShjg/edit?gid=554141278#gid=554141278"", ""'Char Def. - Attributes'!C20:C2242""), 1,false)"),"ALT_DENUM_UOM4")</f>
        <v>ALT_DENUM_UOM4</v>
      </c>
      <c r="I7785" s="136"/>
      <c r="R7785" s="63" t="str">
        <f t="shared" si="60"/>
        <v>ZSI1_CHEMICAL_GASALT_DENUM_UOM4</v>
      </c>
    </row>
    <row r="7786" ht="15.75" customHeight="1">
      <c r="B7786" s="63">
        <f t="shared" si="1"/>
        <v>17</v>
      </c>
      <c r="C7786" s="135" t="s">
        <v>365</v>
      </c>
      <c r="D7786" s="161" t="s">
        <v>74</v>
      </c>
      <c r="E7786" s="135">
        <f t="shared" si="61"/>
        <v>26</v>
      </c>
      <c r="F7786" s="134" t="s">
        <v>3815</v>
      </c>
      <c r="G7786" s="63" t="str">
        <f>VLOOKUP(C7786, 'Class Def. - General Data'!$C$20:$C$1000,1,false)</f>
        <v>ZSI1_CHEMICAL_GAS</v>
      </c>
      <c r="H7786" s="63" t="str">
        <f>IFERROR(__xludf.DUMMYFUNCTION("VLOOKUP(F7786, IMPORTRANGE(""https://docs.google.com/spreadsheets/d/1Lhp9OU0JdFf_VYSMzH5lBcEaU4o8teT1piV-SNzShjg/edit?gid=554141278#gid=554141278"", ""'Char Def. - Attributes'!C20:C2242""), 1,false)"),"ALT_NUM_UOM4")</f>
        <v>ALT_NUM_UOM4</v>
      </c>
      <c r="I7786" s="136"/>
      <c r="R7786" s="63" t="str">
        <f t="shared" si="60"/>
        <v>ZSI1_CHEMICAL_GASALT_NUM_UOM4</v>
      </c>
    </row>
    <row r="7787" ht="15.75" customHeight="1">
      <c r="B7787" s="63">
        <f t="shared" si="1"/>
        <v>17</v>
      </c>
      <c r="C7787" s="135" t="s">
        <v>365</v>
      </c>
      <c r="D7787" s="161" t="s">
        <v>74</v>
      </c>
      <c r="E7787" s="135">
        <f t="shared" si="61"/>
        <v>27</v>
      </c>
      <c r="F7787" s="134" t="s">
        <v>3816</v>
      </c>
      <c r="G7787" s="63" t="str">
        <f>VLOOKUP(C7787, 'Class Def. - General Data'!$C$20:$C$1000,1,false)</f>
        <v>ZSI1_CHEMICAL_GAS</v>
      </c>
      <c r="H7787" s="63" t="str">
        <f>IFERROR(__xludf.DUMMYFUNCTION("VLOOKUP(F7787, IMPORTRANGE(""https://docs.google.com/spreadsheets/d/1Lhp9OU0JdFf_VYSMzH5lBcEaU4o8teT1piV-SNzShjg/edit?gid=554141278#gid=554141278"", ""'Char Def. - Attributes'!C20:C2242""), 1,false)"),"ALT_UOM5_SIPI")</f>
        <v>ALT_UOM5_SIPI</v>
      </c>
      <c r="I7787" s="136"/>
      <c r="R7787" s="63" t="str">
        <f t="shared" si="60"/>
        <v>ZSI1_CHEMICAL_GASALT_UOM5_SIPI</v>
      </c>
    </row>
    <row r="7788" ht="15.75" customHeight="1">
      <c r="B7788" s="63">
        <f t="shared" si="1"/>
        <v>17</v>
      </c>
      <c r="C7788" s="135" t="s">
        <v>365</v>
      </c>
      <c r="D7788" s="161" t="s">
        <v>74</v>
      </c>
      <c r="E7788" s="135">
        <f t="shared" si="61"/>
        <v>28</v>
      </c>
      <c r="F7788" s="134" t="s">
        <v>3817</v>
      </c>
      <c r="G7788" s="63" t="str">
        <f>VLOOKUP(C7788, 'Class Def. - General Data'!$C$20:$C$1000,1,false)</f>
        <v>ZSI1_CHEMICAL_GAS</v>
      </c>
      <c r="H7788" s="63" t="str">
        <f>IFERROR(__xludf.DUMMYFUNCTION("VLOOKUP(F7788, IMPORTRANGE(""https://docs.google.com/spreadsheets/d/1Lhp9OU0JdFf_VYSMzH5lBcEaU4o8teT1piV-SNzShjg/edit?gid=554141278#gid=554141278"", ""'Char Def. - Attributes'!C20:C2242""), 1,false)"),"ALT_DENUM_UOM5")</f>
        <v>ALT_DENUM_UOM5</v>
      </c>
      <c r="I7788" s="136"/>
      <c r="R7788" s="63" t="str">
        <f t="shared" si="60"/>
        <v>ZSI1_CHEMICAL_GASALT_DENUM_UOM5</v>
      </c>
    </row>
    <row r="7789" ht="15.75" customHeight="1">
      <c r="B7789" s="63">
        <f t="shared" si="1"/>
        <v>17</v>
      </c>
      <c r="C7789" s="135" t="s">
        <v>365</v>
      </c>
      <c r="D7789" s="161" t="s">
        <v>74</v>
      </c>
      <c r="E7789" s="135">
        <f t="shared" si="61"/>
        <v>29</v>
      </c>
      <c r="F7789" s="134" t="s">
        <v>3818</v>
      </c>
      <c r="G7789" s="63" t="str">
        <f>VLOOKUP(C7789, 'Class Def. - General Data'!$C$20:$C$1000,1,false)</f>
        <v>ZSI1_CHEMICAL_GAS</v>
      </c>
      <c r="H7789" s="63" t="str">
        <f>IFERROR(__xludf.DUMMYFUNCTION("VLOOKUP(F7789, IMPORTRANGE(""https://docs.google.com/spreadsheets/d/1Lhp9OU0JdFf_VYSMzH5lBcEaU4o8teT1piV-SNzShjg/edit?gid=554141278#gid=554141278"", ""'Char Def. - Attributes'!C20:C2242""), 1,false)"),"ALT_NUM_UOM5")</f>
        <v>ALT_NUM_UOM5</v>
      </c>
      <c r="I7789" s="136"/>
      <c r="R7789" s="63" t="str">
        <f t="shared" si="60"/>
        <v>ZSI1_CHEMICAL_GASALT_NUM_UOM5</v>
      </c>
    </row>
    <row r="7790" ht="15.75" customHeight="1">
      <c r="B7790" s="63">
        <f t="shared" si="1"/>
        <v>14</v>
      </c>
      <c r="C7790" s="135" t="s">
        <v>492</v>
      </c>
      <c r="D7790" s="161" t="s">
        <v>74</v>
      </c>
      <c r="E7790" s="135">
        <f t="shared" si="61"/>
        <v>1</v>
      </c>
      <c r="F7790" s="134" t="s">
        <v>4236</v>
      </c>
      <c r="G7790" s="63" t="str">
        <f>VLOOKUP(C7790, 'Class Def. - General Data'!$C$20:$C$1000,1,false)</f>
        <v>ZSI1_CIRC_VENT</v>
      </c>
      <c r="H7790" s="63" t="str">
        <f>IFERROR(__xludf.DUMMYFUNCTION("VLOOKUP(F7790, IMPORTRANGE(""https://docs.google.com/spreadsheets/d/1Lhp9OU0JdFf_VYSMzH5lBcEaU4o8teT1piV-SNzShjg/edit?gid=554141278#gid=554141278"", ""'Char Def. - Attributes'!C20:C2242""), 1,false)"),"ITEM_NAME_CIRC_VENT")</f>
        <v>ITEM_NAME_CIRC_VENT</v>
      </c>
      <c r="I7790" s="136"/>
      <c r="R7790" s="63" t="str">
        <f t="shared" si="60"/>
        <v>ZSI1_CIRC_VENTITEM_NAME_CIRC_VENT</v>
      </c>
    </row>
    <row r="7791" ht="15.75" customHeight="1">
      <c r="B7791" s="63">
        <f t="shared" si="1"/>
        <v>14</v>
      </c>
      <c r="C7791" s="135" t="s">
        <v>492</v>
      </c>
      <c r="D7791" s="161" t="s">
        <v>74</v>
      </c>
      <c r="E7791" s="135">
        <f t="shared" si="61"/>
        <v>2</v>
      </c>
      <c r="F7791" s="134" t="s">
        <v>4237</v>
      </c>
      <c r="G7791" s="63" t="str">
        <f>VLOOKUP(C7791, 'Class Def. - General Data'!$C$20:$C$1000,1,false)</f>
        <v>ZSI1_CIRC_VENT</v>
      </c>
      <c r="H7791" s="63" t="str">
        <f>IFERROR(__xludf.DUMMYFUNCTION("VLOOKUP(F7791, IMPORTRANGE(""https://docs.google.com/spreadsheets/d/1Lhp9OU0JdFf_VYSMzH5lBcEaU4o8teT1piV-SNzShjg/edit?gid=554141278#gid=554141278"", ""'Char Def. - Attributes'!C20:C2242""), 1,false)"),"SERIAL_NUMB_CIRC_VENT")</f>
        <v>SERIAL_NUMB_CIRC_VENT</v>
      </c>
      <c r="I7791" s="136"/>
      <c r="R7791" s="63" t="str">
        <f t="shared" si="60"/>
        <v>ZSI1_CIRC_VENTSERIAL_NUMB_CIRC_VENT</v>
      </c>
    </row>
    <row r="7792" ht="15.75" customHeight="1">
      <c r="B7792" s="63">
        <f t="shared" si="1"/>
        <v>14</v>
      </c>
      <c r="C7792" s="135" t="s">
        <v>492</v>
      </c>
      <c r="D7792" s="161" t="s">
        <v>74</v>
      </c>
      <c r="E7792" s="135">
        <f t="shared" si="61"/>
        <v>3</v>
      </c>
      <c r="F7792" s="134" t="s">
        <v>3782</v>
      </c>
      <c r="G7792" s="63" t="str">
        <f>VLOOKUP(C7792, 'Class Def. - General Data'!$C$20:$C$1000,1,false)</f>
        <v>ZSI1_CIRC_VENT</v>
      </c>
      <c r="H7792" s="63" t="str">
        <f>IFERROR(__xludf.DUMMYFUNCTION("VLOOKUP(F7792, IMPORTRANGE(""https://docs.google.com/spreadsheets/d/1Lhp9OU0JdFf_VYSMzH5lBcEaU4o8teT1piV-SNzShjg/edit?gid=554141278#gid=554141278"", ""'Char Def. - Attributes'!C20:C2242""), 1,false)"),"BRAND_EXTERNAL")</f>
        <v>BRAND_EXTERNAL</v>
      </c>
      <c r="I7792" s="136"/>
      <c r="R7792" s="63" t="str">
        <f t="shared" si="60"/>
        <v>ZSI1_CIRC_VENTBRAND_EXTERNAL</v>
      </c>
    </row>
    <row r="7793" ht="15.75" customHeight="1">
      <c r="B7793" s="63">
        <f t="shared" si="1"/>
        <v>14</v>
      </c>
      <c r="C7793" s="135" t="s">
        <v>492</v>
      </c>
      <c r="D7793" s="161" t="s">
        <v>74</v>
      </c>
      <c r="E7793" s="135">
        <f t="shared" si="61"/>
        <v>4</v>
      </c>
      <c r="F7793" s="134" t="s">
        <v>4238</v>
      </c>
      <c r="G7793" s="63" t="str">
        <f>VLOOKUP(C7793, 'Class Def. - General Data'!$C$20:$C$1000,1,false)</f>
        <v>ZSI1_CIRC_VENT</v>
      </c>
      <c r="H7793" s="63" t="str">
        <f>IFERROR(__xludf.DUMMYFUNCTION("VLOOKUP(F7793, IMPORTRANGE(""https://docs.google.com/spreadsheets/d/1Lhp9OU0JdFf_VYSMzH5lBcEaU4o8teT1piV-SNzShjg/edit?gid=554141278#gid=554141278"", ""'Char Def. - Attributes'!C20:C2242""), 1,false)"),"DIMENSION_CIRC_VENT")</f>
        <v>DIMENSION_CIRC_VENT</v>
      </c>
      <c r="I7793" s="136"/>
      <c r="R7793" s="63" t="str">
        <f t="shared" si="60"/>
        <v>ZSI1_CIRC_VENTDIMENSION_CIRC_VENT</v>
      </c>
    </row>
    <row r="7794" ht="15.75" customHeight="1">
      <c r="B7794" s="63">
        <f t="shared" si="1"/>
        <v>14</v>
      </c>
      <c r="C7794" s="135" t="s">
        <v>492</v>
      </c>
      <c r="D7794" s="161" t="s">
        <v>74</v>
      </c>
      <c r="E7794" s="135">
        <f t="shared" si="61"/>
        <v>5</v>
      </c>
      <c r="F7794" s="134" t="s">
        <v>4239</v>
      </c>
      <c r="G7794" s="63" t="str">
        <f>VLOOKUP(C7794, 'Class Def. - General Data'!$C$20:$C$1000,1,false)</f>
        <v>ZSI1_CIRC_VENT</v>
      </c>
      <c r="H7794" s="63" t="str">
        <f>IFERROR(__xludf.DUMMYFUNCTION("VLOOKUP(F7794, IMPORTRANGE(""https://docs.google.com/spreadsheets/d/1Lhp9OU0JdFf_VYSMzH5lBcEaU4o8teT1piV-SNzShjg/edit?gid=554141278#gid=554141278"", ""'Char Def. - Attributes'!C20:C2242""), 1,false)"),"FAN_SIZE_DIAMETER_MM_CIRC_VENT")</f>
        <v>FAN_SIZE_DIAMETER_MM_CIRC_VENT</v>
      </c>
      <c r="I7794" s="136"/>
      <c r="R7794" s="63" t="str">
        <f t="shared" si="60"/>
        <v>ZSI1_CIRC_VENTFAN_SIZE_DIAMETER_MM_CIRC_VENT</v>
      </c>
    </row>
    <row r="7795" ht="15.75" customHeight="1">
      <c r="B7795" s="63">
        <f t="shared" si="1"/>
        <v>14</v>
      </c>
      <c r="C7795" s="135" t="s">
        <v>492</v>
      </c>
      <c r="D7795" s="161" t="s">
        <v>74</v>
      </c>
      <c r="E7795" s="135">
        <f t="shared" si="61"/>
        <v>6</v>
      </c>
      <c r="F7795" s="134" t="s">
        <v>4240</v>
      </c>
      <c r="G7795" s="63" t="str">
        <f>VLOOKUP(C7795, 'Class Def. - General Data'!$C$20:$C$1000,1,false)</f>
        <v>ZSI1_CIRC_VENT</v>
      </c>
      <c r="H7795" s="63" t="str">
        <f>IFERROR(__xludf.DUMMYFUNCTION("VLOOKUP(F7795, IMPORTRANGE(""https://docs.google.com/spreadsheets/d/1Lhp9OU0JdFf_VYSMzH5lBcEaU4o8teT1piV-SNzShjg/edit?gid=554141278#gid=554141278"", ""'Char Def. - Attributes'!C20:C2242""), 1,false)"),"FAN_SIZE_DIAMETER_IN_CIRC_VENT")</f>
        <v>FAN_SIZE_DIAMETER_IN_CIRC_VENT</v>
      </c>
      <c r="I7795" s="136"/>
      <c r="R7795" s="63" t="str">
        <f t="shared" si="60"/>
        <v>ZSI1_CIRC_VENTFAN_SIZE_DIAMETER_IN_CIRC_VENT</v>
      </c>
    </row>
    <row r="7796" ht="15.75" customHeight="1">
      <c r="B7796" s="63">
        <f t="shared" si="1"/>
        <v>14</v>
      </c>
      <c r="C7796" s="135" t="s">
        <v>492</v>
      </c>
      <c r="D7796" s="161" t="s">
        <v>74</v>
      </c>
      <c r="E7796" s="135">
        <f t="shared" si="61"/>
        <v>7</v>
      </c>
      <c r="F7796" s="134" t="s">
        <v>4062</v>
      </c>
      <c r="G7796" s="63" t="str">
        <f>VLOOKUP(C7796, 'Class Def. - General Data'!$C$20:$C$1000,1,false)</f>
        <v>ZSI1_CIRC_VENT</v>
      </c>
      <c r="H7796" s="63" t="str">
        <f>IFERROR(__xludf.DUMMYFUNCTION("VLOOKUP(F7796, IMPORTRANGE(""https://docs.google.com/spreadsheets/d/1Lhp9OU0JdFf_VYSMzH5lBcEaU4o8teT1piV-SNzShjg/edit?gid=554141278#gid=554141278"", ""'Char Def. - Attributes'!C20:C2242""), 1,false)"),"#N/A")</f>
        <v>#N/A</v>
      </c>
      <c r="I7796" s="136"/>
      <c r="R7796" s="63" t="str">
        <f t="shared" si="60"/>
        <v>ZSI1_CIRC_VENTADDTIONAL_SPECIFICATION</v>
      </c>
    </row>
    <row r="7797" ht="15.75" customHeight="1">
      <c r="B7797" s="63">
        <f t="shared" si="1"/>
        <v>14</v>
      </c>
      <c r="C7797" s="135" t="s">
        <v>492</v>
      </c>
      <c r="D7797" s="161" t="s">
        <v>74</v>
      </c>
      <c r="E7797" s="135">
        <f t="shared" si="61"/>
        <v>8</v>
      </c>
      <c r="F7797" s="134" t="s">
        <v>4053</v>
      </c>
      <c r="G7797" s="63" t="str">
        <f>VLOOKUP(C7797, 'Class Def. - General Data'!$C$20:$C$1000,1,false)</f>
        <v>ZSI1_CIRC_VENT</v>
      </c>
      <c r="H7797" s="63" t="str">
        <f>IFERROR(__xludf.DUMMYFUNCTION("VLOOKUP(F7797, IMPORTRANGE(""https://docs.google.com/spreadsheets/d/1Lhp9OU0JdFf_VYSMzH5lBcEaU4o8teT1piV-SNzShjg/edit?gid=554141278#gid=554141278"", ""'Char Def. - Attributes'!C20:C2242""), 1,false)"),"MAINTENANCE_ORDER_TYPE")</f>
        <v>MAINTENANCE_ORDER_TYPE</v>
      </c>
      <c r="I7797" s="136"/>
      <c r="R7797" s="63" t="str">
        <f t="shared" si="60"/>
        <v>ZSI1_CIRC_VENTMAINTENANCE_ORDER_TYPE</v>
      </c>
    </row>
    <row r="7798" ht="15.75" customHeight="1">
      <c r="B7798" s="63">
        <f t="shared" si="1"/>
        <v>14</v>
      </c>
      <c r="C7798" s="135" t="s">
        <v>492</v>
      </c>
      <c r="D7798" s="161" t="s">
        <v>74</v>
      </c>
      <c r="E7798" s="135">
        <f t="shared" si="61"/>
        <v>9</v>
      </c>
      <c r="F7798" s="134" t="s">
        <v>3585</v>
      </c>
      <c r="G7798" s="63" t="str">
        <f>VLOOKUP(C7798, 'Class Def. - General Data'!$C$20:$C$1000,1,false)</f>
        <v>ZSI1_CIRC_VENT</v>
      </c>
      <c r="H7798" s="63" t="str">
        <f>IFERROR(__xludf.DUMMYFUNCTION("VLOOKUP(F7798, IMPORTRANGE(""https://docs.google.com/spreadsheets/d/1Lhp9OU0JdFf_VYSMzH5lBcEaU4o8teT1piV-SNzShjg/edit?gid=554141278#gid=554141278"", ""'Char Def. - Attributes'!C20:C2242""), 1,false)"),"HS_CODE")</f>
        <v>HS_CODE</v>
      </c>
      <c r="I7798" s="136"/>
      <c r="R7798" s="63" t="str">
        <f t="shared" si="60"/>
        <v>ZSI1_CIRC_VENTHS_CODE</v>
      </c>
    </row>
    <row r="7799" ht="15.75" customHeight="1">
      <c r="B7799" s="63">
        <f t="shared" si="1"/>
        <v>14</v>
      </c>
      <c r="C7799" s="135" t="s">
        <v>492</v>
      </c>
      <c r="D7799" s="161" t="s">
        <v>74</v>
      </c>
      <c r="E7799" s="135">
        <f t="shared" si="61"/>
        <v>10</v>
      </c>
      <c r="F7799" s="134" t="s">
        <v>3587</v>
      </c>
      <c r="G7799" s="63" t="str">
        <f>VLOOKUP(C7799, 'Class Def. - General Data'!$C$20:$C$1000,1,false)</f>
        <v>ZSI1_CIRC_VENT</v>
      </c>
      <c r="H7799" s="63" t="str">
        <f>IFERROR(__xludf.DUMMYFUNCTION("VLOOKUP(F7799, IMPORTRANGE(""https://docs.google.com/spreadsheets/d/1Lhp9OU0JdFf_VYSMzH5lBcEaU4o8teT1piV-SNzShjg/edit?gid=554141278#gid=554141278"", ""'Char Def. - Attributes'!C20:C2242""), 1,false)"),"PLANT_BUY")</f>
        <v>PLANT_BUY</v>
      </c>
      <c r="I7799" s="136"/>
      <c r="R7799" s="63" t="str">
        <f t="shared" si="60"/>
        <v>ZSI1_CIRC_VENTPLANT_BUY</v>
      </c>
    </row>
    <row r="7800" ht="15.75" customHeight="1">
      <c r="B7800" s="63">
        <f t="shared" si="1"/>
        <v>14</v>
      </c>
      <c r="C7800" s="135" t="s">
        <v>492</v>
      </c>
      <c r="D7800" s="161" t="s">
        <v>74</v>
      </c>
      <c r="E7800" s="135">
        <f t="shared" si="61"/>
        <v>11</v>
      </c>
      <c r="F7800" s="134" t="s">
        <v>4241</v>
      </c>
      <c r="G7800" s="63" t="str">
        <f>VLOOKUP(C7800, 'Class Def. - General Data'!$C$20:$C$1000,1,false)</f>
        <v>ZSI1_CIRC_VENT</v>
      </c>
      <c r="H7800" s="63" t="str">
        <f>IFERROR(__xludf.DUMMYFUNCTION("VLOOKUP(F7800, IMPORTRANGE(""https://docs.google.com/spreadsheets/d/1Lhp9OU0JdFf_VYSMzH5lBcEaU4o8teT1piV-SNzShjg/edit?gid=554141278#gid=554141278"", ""'Char Def. - Attributes'!C20:C2242""), 1,false)"),"BASE_UOM_CIRC_VENT")</f>
        <v>BASE_UOM_CIRC_VENT</v>
      </c>
      <c r="I7800" s="136"/>
      <c r="R7800" s="63" t="str">
        <f t="shared" si="60"/>
        <v>ZSI1_CIRC_VENTBASE_UOM_CIRC_VENT</v>
      </c>
    </row>
    <row r="7801" ht="15.75" customHeight="1">
      <c r="B7801" s="63">
        <f t="shared" si="1"/>
        <v>14</v>
      </c>
      <c r="C7801" s="135" t="s">
        <v>492</v>
      </c>
      <c r="D7801" s="161" t="s">
        <v>74</v>
      </c>
      <c r="E7801" s="135">
        <f t="shared" si="61"/>
        <v>12</v>
      </c>
      <c r="F7801" s="134" t="s">
        <v>4242</v>
      </c>
      <c r="G7801" s="63" t="str">
        <f>VLOOKUP(C7801, 'Class Def. - General Data'!$C$20:$C$1000,1,false)</f>
        <v>ZSI1_CIRC_VENT</v>
      </c>
      <c r="H7801" s="63" t="str">
        <f>IFERROR(__xludf.DUMMYFUNCTION("VLOOKUP(F7801, IMPORTRANGE(""https://docs.google.com/spreadsheets/d/1Lhp9OU0JdFf_VYSMzH5lBcEaU4o8teT1piV-SNzShjg/edit?gid=554141278#gid=554141278"", ""'Char Def. - Attributes'!C20:C2242""), 1,false)"),"ORDER_UNIT_CIRC_VENT")</f>
        <v>ORDER_UNIT_CIRC_VENT</v>
      </c>
      <c r="I7801" s="136"/>
      <c r="R7801" s="63" t="str">
        <f t="shared" si="60"/>
        <v>ZSI1_CIRC_VENTORDER_UNIT_CIRC_VENT</v>
      </c>
    </row>
    <row r="7802" ht="15.75" customHeight="1">
      <c r="B7802" s="63">
        <f t="shared" si="1"/>
        <v>14</v>
      </c>
      <c r="C7802" s="135" t="s">
        <v>492</v>
      </c>
      <c r="D7802" s="161" t="s">
        <v>74</v>
      </c>
      <c r="E7802" s="135">
        <f t="shared" si="61"/>
        <v>13</v>
      </c>
      <c r="F7802" s="134" t="s">
        <v>4056</v>
      </c>
      <c r="G7802" s="63" t="str">
        <f>VLOOKUP(C7802, 'Class Def. - General Data'!$C$20:$C$1000,1,false)</f>
        <v>ZSI1_CIRC_VENT</v>
      </c>
      <c r="H7802" s="63" t="str">
        <f>IFERROR(__xludf.DUMMYFUNCTION("VLOOKUP(F7802, IMPORTRANGE(""https://docs.google.com/spreadsheets/d/1Lhp9OU0JdFf_VYSMzH5lBcEaU4o8teT1piV-SNzShjg/edit?gid=554141278#gid=554141278"", ""'Char Def. - Attributes'!C20:C2242""), 1,false)"),"GROSS_WEIGHT_OPT")</f>
        <v>GROSS_WEIGHT_OPT</v>
      </c>
      <c r="I7802" s="136"/>
      <c r="R7802" s="63" t="str">
        <f t="shared" si="60"/>
        <v>ZSI1_CIRC_VENTGROSS_WEIGHT_OPT</v>
      </c>
    </row>
    <row r="7803" ht="15.75" customHeight="1">
      <c r="B7803" s="63">
        <f t="shared" si="1"/>
        <v>14</v>
      </c>
      <c r="C7803" s="135" t="s">
        <v>492</v>
      </c>
      <c r="D7803" s="161" t="s">
        <v>74</v>
      </c>
      <c r="E7803" s="135">
        <f t="shared" si="61"/>
        <v>14</v>
      </c>
      <c r="F7803" s="134" t="s">
        <v>4057</v>
      </c>
      <c r="G7803" s="63" t="str">
        <f>VLOOKUP(C7803, 'Class Def. - General Data'!$C$20:$C$1000,1,false)</f>
        <v>ZSI1_CIRC_VENT</v>
      </c>
      <c r="H7803" s="63" t="str">
        <f>IFERROR(__xludf.DUMMYFUNCTION("VLOOKUP(F7803, IMPORTRANGE(""https://docs.google.com/spreadsheets/d/1Lhp9OU0JdFf_VYSMzH5lBcEaU4o8teT1piV-SNzShjg/edit?gid=554141278#gid=554141278"", ""'Char Def. - Attributes'!C20:C2242""), 1,false)"),"NET_WEIGHT_OPT")</f>
        <v>NET_WEIGHT_OPT</v>
      </c>
      <c r="I7803" s="136"/>
      <c r="R7803" s="63" t="str">
        <f t="shared" si="60"/>
        <v>ZSI1_CIRC_VENTNET_WEIGHT_OPT</v>
      </c>
    </row>
    <row r="7804" ht="15.75" customHeight="1">
      <c r="B7804" s="63">
        <f t="shared" si="1"/>
        <v>14</v>
      </c>
      <c r="C7804" s="135" t="s">
        <v>492</v>
      </c>
      <c r="D7804" s="161" t="s">
        <v>74</v>
      </c>
      <c r="E7804" s="135">
        <f t="shared" si="61"/>
        <v>15</v>
      </c>
      <c r="F7804" s="134" t="s">
        <v>4058</v>
      </c>
      <c r="G7804" s="63" t="str">
        <f>VLOOKUP(C7804, 'Class Def. - General Data'!$C$20:$C$1000,1,false)</f>
        <v>ZSI1_CIRC_VENT</v>
      </c>
      <c r="H7804" s="63" t="str">
        <f>IFERROR(__xludf.DUMMYFUNCTION("VLOOKUP(F7804, IMPORTRANGE(""https://docs.google.com/spreadsheets/d/1Lhp9OU0JdFf_VYSMzH5lBcEaU4o8teT1piV-SNzShjg/edit?gid=554141278#gid=554141278"", ""'Char Def. - Attributes'!C20:C2242""), 1,false)"),"WEIGHT_UNIT_SI")</f>
        <v>WEIGHT_UNIT_SI</v>
      </c>
      <c r="I7804" s="136"/>
      <c r="R7804" s="63" t="str">
        <f t="shared" si="60"/>
        <v>ZSI1_CIRC_VENTWEIGHT_UNIT_SI</v>
      </c>
    </row>
    <row r="7805" ht="15.75" customHeight="1">
      <c r="B7805" s="63">
        <f t="shared" si="1"/>
        <v>14</v>
      </c>
      <c r="C7805" s="135" t="s">
        <v>492</v>
      </c>
      <c r="D7805" s="161" t="s">
        <v>74</v>
      </c>
      <c r="E7805" s="135">
        <f t="shared" si="61"/>
        <v>16</v>
      </c>
      <c r="F7805" s="134" t="s">
        <v>3877</v>
      </c>
      <c r="G7805" s="63" t="str">
        <f>VLOOKUP(C7805, 'Class Def. - General Data'!$C$20:$C$1000,1,false)</f>
        <v>ZSI1_CIRC_VENT</v>
      </c>
      <c r="H7805" s="63" t="str">
        <f>IFERROR(__xludf.DUMMYFUNCTION("VLOOKUP(F7805, IMPORTRANGE(""https://docs.google.com/spreadsheets/d/1Lhp9OU0JdFf_VYSMzH5lBcEaU4o8teT1piV-SNzShjg/edit?gid=554141278#gid=554141278"", ""'Char Def. - Attributes'!C20:C2242""), 1,false)"),"VOLUME_OPT")</f>
        <v>VOLUME_OPT</v>
      </c>
      <c r="I7805" s="136"/>
      <c r="R7805" s="63" t="str">
        <f t="shared" si="60"/>
        <v>ZSI1_CIRC_VENTVOLUME_OPT</v>
      </c>
    </row>
    <row r="7806" ht="15.75" customHeight="1">
      <c r="B7806" s="63">
        <f t="shared" si="1"/>
        <v>14</v>
      </c>
      <c r="C7806" s="135" t="s">
        <v>492</v>
      </c>
      <c r="D7806" s="161" t="s">
        <v>74</v>
      </c>
      <c r="E7806" s="135">
        <f t="shared" si="61"/>
        <v>17</v>
      </c>
      <c r="F7806" s="134" t="s">
        <v>4059</v>
      </c>
      <c r="G7806" s="63" t="str">
        <f>VLOOKUP(C7806, 'Class Def. - General Data'!$C$20:$C$1000,1,false)</f>
        <v>ZSI1_CIRC_VENT</v>
      </c>
      <c r="H7806" s="63" t="str">
        <f>IFERROR(__xludf.DUMMYFUNCTION("VLOOKUP(F7806, IMPORTRANGE(""https://docs.google.com/spreadsheets/d/1Lhp9OU0JdFf_VYSMzH5lBcEaU4o8teT1piV-SNzShjg/edit?gid=554141278#gid=554141278"", ""'Char Def. - Attributes'!C20:C2242""), 1,false)"),"VOLUME_UNIT_SI")</f>
        <v>VOLUME_UNIT_SI</v>
      </c>
      <c r="I7806" s="136"/>
      <c r="R7806" s="63" t="str">
        <f t="shared" si="60"/>
        <v>ZSI1_CIRC_VENTVOLUME_UNIT_SI</v>
      </c>
    </row>
    <row r="7807" ht="15.75" customHeight="1">
      <c r="B7807" s="63">
        <f t="shared" si="1"/>
        <v>14</v>
      </c>
      <c r="C7807" s="135" t="s">
        <v>492</v>
      </c>
      <c r="D7807" s="161" t="s">
        <v>74</v>
      </c>
      <c r="E7807" s="135">
        <f t="shared" si="61"/>
        <v>18</v>
      </c>
      <c r="F7807" s="134" t="s">
        <v>3804</v>
      </c>
      <c r="G7807" s="63" t="str">
        <f>VLOOKUP(C7807, 'Class Def. - General Data'!$C$20:$C$1000,1,false)</f>
        <v>ZSI1_CIRC_VENT</v>
      </c>
      <c r="H7807" s="63" t="str">
        <f>IFERROR(__xludf.DUMMYFUNCTION("VLOOKUP(F7807, IMPORTRANGE(""https://docs.google.com/spreadsheets/d/1Lhp9OU0JdFf_VYSMzH5lBcEaU4o8teT1piV-SNzShjg/edit?gid=554141278#gid=554141278"", ""'Char Def. - Attributes'!C20:C2242""), 1,false)"),"ALT_UOM1_SIPI")</f>
        <v>ALT_UOM1_SIPI</v>
      </c>
      <c r="I7807" s="136"/>
      <c r="R7807" s="63" t="str">
        <f t="shared" si="60"/>
        <v>ZSI1_CIRC_VENTALT_UOM1_SIPI</v>
      </c>
    </row>
    <row r="7808" ht="15.75" customHeight="1">
      <c r="B7808" s="63">
        <f t="shared" si="1"/>
        <v>14</v>
      </c>
      <c r="C7808" s="135" t="s">
        <v>492</v>
      </c>
      <c r="D7808" s="161" t="s">
        <v>74</v>
      </c>
      <c r="E7808" s="135">
        <f t="shared" si="61"/>
        <v>19</v>
      </c>
      <c r="F7808" s="134" t="s">
        <v>3805</v>
      </c>
      <c r="G7808" s="63" t="str">
        <f>VLOOKUP(C7808, 'Class Def. - General Data'!$C$20:$C$1000,1,false)</f>
        <v>ZSI1_CIRC_VENT</v>
      </c>
      <c r="H7808" s="63" t="str">
        <f>IFERROR(__xludf.DUMMYFUNCTION("VLOOKUP(F7808, IMPORTRANGE(""https://docs.google.com/spreadsheets/d/1Lhp9OU0JdFf_VYSMzH5lBcEaU4o8teT1piV-SNzShjg/edit?gid=554141278#gid=554141278"", ""'Char Def. - Attributes'!C20:C2242""), 1,false)"),"ALT_DENUM_UOM1")</f>
        <v>ALT_DENUM_UOM1</v>
      </c>
      <c r="I7808" s="136"/>
      <c r="R7808" s="63" t="str">
        <f t="shared" si="60"/>
        <v>ZSI1_CIRC_VENTALT_DENUM_UOM1</v>
      </c>
    </row>
    <row r="7809" ht="15.75" customHeight="1">
      <c r="B7809" s="63">
        <f t="shared" si="1"/>
        <v>14</v>
      </c>
      <c r="C7809" s="135" t="s">
        <v>492</v>
      </c>
      <c r="D7809" s="161" t="s">
        <v>74</v>
      </c>
      <c r="E7809" s="135">
        <f t="shared" si="61"/>
        <v>20</v>
      </c>
      <c r="F7809" s="134" t="s">
        <v>3806</v>
      </c>
      <c r="G7809" s="63" t="str">
        <f>VLOOKUP(C7809, 'Class Def. - General Data'!$C$20:$C$1000,1,false)</f>
        <v>ZSI1_CIRC_VENT</v>
      </c>
      <c r="H7809" s="63" t="str">
        <f>IFERROR(__xludf.DUMMYFUNCTION("VLOOKUP(F7809, IMPORTRANGE(""https://docs.google.com/spreadsheets/d/1Lhp9OU0JdFf_VYSMzH5lBcEaU4o8teT1piV-SNzShjg/edit?gid=554141278#gid=554141278"", ""'Char Def. - Attributes'!C20:C2242""), 1,false)"),"ALT_NUM_UOM1")</f>
        <v>ALT_NUM_UOM1</v>
      </c>
      <c r="I7809" s="136"/>
      <c r="R7809" s="63" t="str">
        <f t="shared" si="60"/>
        <v>ZSI1_CIRC_VENTALT_NUM_UOM1</v>
      </c>
    </row>
    <row r="7810" ht="15.75" customHeight="1">
      <c r="B7810" s="63">
        <f t="shared" si="1"/>
        <v>14</v>
      </c>
      <c r="C7810" s="135" t="s">
        <v>492</v>
      </c>
      <c r="D7810" s="161" t="s">
        <v>74</v>
      </c>
      <c r="E7810" s="135">
        <f t="shared" si="61"/>
        <v>21</v>
      </c>
      <c r="F7810" s="134" t="s">
        <v>3807</v>
      </c>
      <c r="G7810" s="63" t="str">
        <f>VLOOKUP(C7810, 'Class Def. - General Data'!$C$20:$C$1000,1,false)</f>
        <v>ZSI1_CIRC_VENT</v>
      </c>
      <c r="H7810" s="63" t="str">
        <f>IFERROR(__xludf.DUMMYFUNCTION("VLOOKUP(F7810, IMPORTRANGE(""https://docs.google.com/spreadsheets/d/1Lhp9OU0JdFf_VYSMzH5lBcEaU4o8teT1piV-SNzShjg/edit?gid=554141278#gid=554141278"", ""'Char Def. - Attributes'!C20:C2242""), 1,false)"),"ALT_UOM2_SIPI")</f>
        <v>ALT_UOM2_SIPI</v>
      </c>
      <c r="I7810" s="136"/>
      <c r="R7810" s="63" t="str">
        <f t="shared" si="60"/>
        <v>ZSI1_CIRC_VENTALT_UOM2_SIPI</v>
      </c>
    </row>
    <row r="7811" ht="15.75" customHeight="1">
      <c r="B7811" s="63">
        <f t="shared" si="1"/>
        <v>14</v>
      </c>
      <c r="C7811" s="135" t="s">
        <v>492</v>
      </c>
      <c r="D7811" s="161" t="s">
        <v>74</v>
      </c>
      <c r="E7811" s="135">
        <f t="shared" si="61"/>
        <v>22</v>
      </c>
      <c r="F7811" s="134" t="s">
        <v>3808</v>
      </c>
      <c r="G7811" s="63" t="str">
        <f>VLOOKUP(C7811, 'Class Def. - General Data'!$C$20:$C$1000,1,false)</f>
        <v>ZSI1_CIRC_VENT</v>
      </c>
      <c r="H7811" s="63" t="str">
        <f>IFERROR(__xludf.DUMMYFUNCTION("VLOOKUP(F7811, IMPORTRANGE(""https://docs.google.com/spreadsheets/d/1Lhp9OU0JdFf_VYSMzH5lBcEaU4o8teT1piV-SNzShjg/edit?gid=554141278#gid=554141278"", ""'Char Def. - Attributes'!C20:C2242""), 1,false)"),"ALT_DENUM_UOM2")</f>
        <v>ALT_DENUM_UOM2</v>
      </c>
      <c r="I7811" s="136"/>
      <c r="R7811" s="63" t="str">
        <f t="shared" si="60"/>
        <v>ZSI1_CIRC_VENTALT_DENUM_UOM2</v>
      </c>
    </row>
    <row r="7812" ht="15.75" customHeight="1">
      <c r="B7812" s="63">
        <f t="shared" si="1"/>
        <v>14</v>
      </c>
      <c r="C7812" s="135" t="s">
        <v>492</v>
      </c>
      <c r="D7812" s="161" t="s">
        <v>74</v>
      </c>
      <c r="E7812" s="135">
        <f t="shared" si="61"/>
        <v>23</v>
      </c>
      <c r="F7812" s="134" t="s">
        <v>3809</v>
      </c>
      <c r="G7812" s="63" t="str">
        <f>VLOOKUP(C7812, 'Class Def. - General Data'!$C$20:$C$1000,1,false)</f>
        <v>ZSI1_CIRC_VENT</v>
      </c>
      <c r="H7812" s="63" t="str">
        <f>IFERROR(__xludf.DUMMYFUNCTION("VLOOKUP(F7812, IMPORTRANGE(""https://docs.google.com/spreadsheets/d/1Lhp9OU0JdFf_VYSMzH5lBcEaU4o8teT1piV-SNzShjg/edit?gid=554141278#gid=554141278"", ""'Char Def. - Attributes'!C20:C2242""), 1,false)"),"ALT_NUM_UOM2")</f>
        <v>ALT_NUM_UOM2</v>
      </c>
      <c r="I7812" s="136"/>
      <c r="R7812" s="63" t="str">
        <f t="shared" si="60"/>
        <v>ZSI1_CIRC_VENTALT_NUM_UOM2</v>
      </c>
    </row>
    <row r="7813" ht="15.75" customHeight="1">
      <c r="B7813" s="63">
        <f t="shared" si="1"/>
        <v>14</v>
      </c>
      <c r="C7813" s="135" t="s">
        <v>492</v>
      </c>
      <c r="D7813" s="161" t="s">
        <v>74</v>
      </c>
      <c r="E7813" s="135">
        <f t="shared" si="61"/>
        <v>24</v>
      </c>
      <c r="F7813" s="134" t="s">
        <v>3810</v>
      </c>
      <c r="G7813" s="63" t="str">
        <f>VLOOKUP(C7813, 'Class Def. - General Data'!$C$20:$C$1000,1,false)</f>
        <v>ZSI1_CIRC_VENT</v>
      </c>
      <c r="H7813" s="63" t="str">
        <f>IFERROR(__xludf.DUMMYFUNCTION("VLOOKUP(F7813, IMPORTRANGE(""https://docs.google.com/spreadsheets/d/1Lhp9OU0JdFf_VYSMzH5lBcEaU4o8teT1piV-SNzShjg/edit?gid=554141278#gid=554141278"", ""'Char Def. - Attributes'!C20:C2242""), 1,false)"),"ALT_UOM3_SIPI")</f>
        <v>ALT_UOM3_SIPI</v>
      </c>
      <c r="I7813" s="136"/>
      <c r="R7813" s="63" t="str">
        <f t="shared" si="60"/>
        <v>ZSI1_CIRC_VENTALT_UOM3_SIPI</v>
      </c>
    </row>
    <row r="7814" ht="15.75" customHeight="1">
      <c r="B7814" s="63">
        <f t="shared" si="1"/>
        <v>14</v>
      </c>
      <c r="C7814" s="135" t="s">
        <v>492</v>
      </c>
      <c r="D7814" s="161" t="s">
        <v>74</v>
      </c>
      <c r="E7814" s="135">
        <f t="shared" si="61"/>
        <v>25</v>
      </c>
      <c r="F7814" s="134" t="s">
        <v>3811</v>
      </c>
      <c r="G7814" s="63" t="str">
        <f>VLOOKUP(C7814, 'Class Def. - General Data'!$C$20:$C$1000,1,false)</f>
        <v>ZSI1_CIRC_VENT</v>
      </c>
      <c r="H7814" s="63" t="str">
        <f>IFERROR(__xludf.DUMMYFUNCTION("VLOOKUP(F7814, IMPORTRANGE(""https://docs.google.com/spreadsheets/d/1Lhp9OU0JdFf_VYSMzH5lBcEaU4o8teT1piV-SNzShjg/edit?gid=554141278#gid=554141278"", ""'Char Def. - Attributes'!C20:C2242""), 1,false)"),"ALT_DENUM_UOM3")</f>
        <v>ALT_DENUM_UOM3</v>
      </c>
      <c r="I7814" s="136"/>
      <c r="R7814" s="63" t="str">
        <f t="shared" si="60"/>
        <v>ZSI1_CIRC_VENTALT_DENUM_UOM3</v>
      </c>
    </row>
    <row r="7815" ht="15.75" customHeight="1">
      <c r="B7815" s="63">
        <f t="shared" si="1"/>
        <v>14</v>
      </c>
      <c r="C7815" s="135" t="s">
        <v>492</v>
      </c>
      <c r="D7815" s="161" t="s">
        <v>74</v>
      </c>
      <c r="E7815" s="135">
        <f t="shared" si="61"/>
        <v>26</v>
      </c>
      <c r="F7815" s="134" t="s">
        <v>3812</v>
      </c>
      <c r="G7815" s="63" t="str">
        <f>VLOOKUP(C7815, 'Class Def. - General Data'!$C$20:$C$1000,1,false)</f>
        <v>ZSI1_CIRC_VENT</v>
      </c>
      <c r="H7815" s="63" t="str">
        <f>IFERROR(__xludf.DUMMYFUNCTION("VLOOKUP(F7815, IMPORTRANGE(""https://docs.google.com/spreadsheets/d/1Lhp9OU0JdFf_VYSMzH5lBcEaU4o8teT1piV-SNzShjg/edit?gid=554141278#gid=554141278"", ""'Char Def. - Attributes'!C20:C2242""), 1,false)"),"ALT_NUM_UOM3")</f>
        <v>ALT_NUM_UOM3</v>
      </c>
      <c r="I7815" s="136"/>
      <c r="R7815" s="63" t="str">
        <f t="shared" si="60"/>
        <v>ZSI1_CIRC_VENTALT_NUM_UOM3</v>
      </c>
    </row>
    <row r="7816" ht="15.75" customHeight="1">
      <c r="B7816" s="63">
        <f t="shared" si="1"/>
        <v>14</v>
      </c>
      <c r="C7816" s="135" t="s">
        <v>492</v>
      </c>
      <c r="D7816" s="161" t="s">
        <v>74</v>
      </c>
      <c r="E7816" s="135">
        <f t="shared" si="61"/>
        <v>27</v>
      </c>
      <c r="F7816" s="134" t="s">
        <v>3813</v>
      </c>
      <c r="G7816" s="63" t="str">
        <f>VLOOKUP(C7816, 'Class Def. - General Data'!$C$20:$C$1000,1,false)</f>
        <v>ZSI1_CIRC_VENT</v>
      </c>
      <c r="H7816" s="63" t="str">
        <f>IFERROR(__xludf.DUMMYFUNCTION("VLOOKUP(F7816, IMPORTRANGE(""https://docs.google.com/spreadsheets/d/1Lhp9OU0JdFf_VYSMzH5lBcEaU4o8teT1piV-SNzShjg/edit?gid=554141278#gid=554141278"", ""'Char Def. - Attributes'!C20:C2242""), 1,false)"),"ALT_UOM4_SIPI")</f>
        <v>ALT_UOM4_SIPI</v>
      </c>
      <c r="I7816" s="136"/>
      <c r="R7816" s="63" t="str">
        <f t="shared" si="60"/>
        <v>ZSI1_CIRC_VENTALT_UOM4_SIPI</v>
      </c>
    </row>
    <row r="7817" ht="15.75" customHeight="1">
      <c r="B7817" s="63">
        <f t="shared" si="1"/>
        <v>14</v>
      </c>
      <c r="C7817" s="135" t="s">
        <v>492</v>
      </c>
      <c r="D7817" s="161" t="s">
        <v>74</v>
      </c>
      <c r="E7817" s="135">
        <f t="shared" si="61"/>
        <v>28</v>
      </c>
      <c r="F7817" s="134" t="s">
        <v>3814</v>
      </c>
      <c r="G7817" s="63" t="str">
        <f>VLOOKUP(C7817, 'Class Def. - General Data'!$C$20:$C$1000,1,false)</f>
        <v>ZSI1_CIRC_VENT</v>
      </c>
      <c r="H7817" s="63" t="str">
        <f>IFERROR(__xludf.DUMMYFUNCTION("VLOOKUP(F7817, IMPORTRANGE(""https://docs.google.com/spreadsheets/d/1Lhp9OU0JdFf_VYSMzH5lBcEaU4o8teT1piV-SNzShjg/edit?gid=554141278#gid=554141278"", ""'Char Def. - Attributes'!C20:C2242""), 1,false)"),"ALT_DENUM_UOM4")</f>
        <v>ALT_DENUM_UOM4</v>
      </c>
      <c r="I7817" s="136"/>
      <c r="R7817" s="63" t="str">
        <f t="shared" si="60"/>
        <v>ZSI1_CIRC_VENTALT_DENUM_UOM4</v>
      </c>
    </row>
    <row r="7818" ht="15.75" customHeight="1">
      <c r="B7818" s="63">
        <f t="shared" si="1"/>
        <v>14</v>
      </c>
      <c r="C7818" s="135" t="s">
        <v>492</v>
      </c>
      <c r="D7818" s="161" t="s">
        <v>74</v>
      </c>
      <c r="E7818" s="135">
        <f t="shared" si="61"/>
        <v>29</v>
      </c>
      <c r="F7818" s="134" t="s">
        <v>3815</v>
      </c>
      <c r="G7818" s="63" t="str">
        <f>VLOOKUP(C7818, 'Class Def. - General Data'!$C$20:$C$1000,1,false)</f>
        <v>ZSI1_CIRC_VENT</v>
      </c>
      <c r="H7818" s="63" t="str">
        <f>IFERROR(__xludf.DUMMYFUNCTION("VLOOKUP(F7818, IMPORTRANGE(""https://docs.google.com/spreadsheets/d/1Lhp9OU0JdFf_VYSMzH5lBcEaU4o8teT1piV-SNzShjg/edit?gid=554141278#gid=554141278"", ""'Char Def. - Attributes'!C20:C2242""), 1,false)"),"ALT_NUM_UOM4")</f>
        <v>ALT_NUM_UOM4</v>
      </c>
      <c r="I7818" s="136"/>
      <c r="R7818" s="63" t="str">
        <f t="shared" si="60"/>
        <v>ZSI1_CIRC_VENTALT_NUM_UOM4</v>
      </c>
    </row>
    <row r="7819" ht="15.75" customHeight="1">
      <c r="B7819" s="63">
        <f t="shared" si="1"/>
        <v>14</v>
      </c>
      <c r="C7819" s="135" t="s">
        <v>492</v>
      </c>
      <c r="D7819" s="161" t="s">
        <v>74</v>
      </c>
      <c r="E7819" s="135">
        <f t="shared" si="61"/>
        <v>30</v>
      </c>
      <c r="F7819" s="134" t="s">
        <v>3816</v>
      </c>
      <c r="G7819" s="63" t="str">
        <f>VLOOKUP(C7819, 'Class Def. - General Data'!$C$20:$C$1000,1,false)</f>
        <v>ZSI1_CIRC_VENT</v>
      </c>
      <c r="H7819" s="63" t="str">
        <f>IFERROR(__xludf.DUMMYFUNCTION("VLOOKUP(F7819, IMPORTRANGE(""https://docs.google.com/spreadsheets/d/1Lhp9OU0JdFf_VYSMzH5lBcEaU4o8teT1piV-SNzShjg/edit?gid=554141278#gid=554141278"", ""'Char Def. - Attributes'!C20:C2242""), 1,false)"),"ALT_UOM5_SIPI")</f>
        <v>ALT_UOM5_SIPI</v>
      </c>
      <c r="I7819" s="136"/>
      <c r="R7819" s="63" t="str">
        <f t="shared" si="60"/>
        <v>ZSI1_CIRC_VENTALT_UOM5_SIPI</v>
      </c>
    </row>
    <row r="7820" ht="15.75" customHeight="1">
      <c r="B7820" s="63">
        <f t="shared" si="1"/>
        <v>14</v>
      </c>
      <c r="C7820" s="135" t="s">
        <v>492</v>
      </c>
      <c r="D7820" s="161" t="s">
        <v>74</v>
      </c>
      <c r="E7820" s="135">
        <f t="shared" si="61"/>
        <v>31</v>
      </c>
      <c r="F7820" s="134" t="s">
        <v>3817</v>
      </c>
      <c r="G7820" s="63" t="str">
        <f>VLOOKUP(C7820, 'Class Def. - General Data'!$C$20:$C$1000,1,false)</f>
        <v>ZSI1_CIRC_VENT</v>
      </c>
      <c r="H7820" s="63" t="str">
        <f>IFERROR(__xludf.DUMMYFUNCTION("VLOOKUP(F7820, IMPORTRANGE(""https://docs.google.com/spreadsheets/d/1Lhp9OU0JdFf_VYSMzH5lBcEaU4o8teT1piV-SNzShjg/edit?gid=554141278#gid=554141278"", ""'Char Def. - Attributes'!C20:C2242""), 1,false)"),"ALT_DENUM_UOM5")</f>
        <v>ALT_DENUM_UOM5</v>
      </c>
      <c r="I7820" s="136"/>
      <c r="R7820" s="63" t="str">
        <f t="shared" si="60"/>
        <v>ZSI1_CIRC_VENTALT_DENUM_UOM5</v>
      </c>
    </row>
    <row r="7821" ht="15.75" customHeight="1">
      <c r="B7821" s="63">
        <f t="shared" si="1"/>
        <v>14</v>
      </c>
      <c r="C7821" s="135" t="s">
        <v>492</v>
      </c>
      <c r="D7821" s="161" t="s">
        <v>74</v>
      </c>
      <c r="E7821" s="135">
        <f t="shared" si="61"/>
        <v>32</v>
      </c>
      <c r="F7821" s="134" t="s">
        <v>3818</v>
      </c>
      <c r="G7821" s="63" t="str">
        <f>VLOOKUP(C7821, 'Class Def. - General Data'!$C$20:$C$1000,1,false)</f>
        <v>ZSI1_CIRC_VENT</v>
      </c>
      <c r="H7821" s="63" t="str">
        <f>IFERROR(__xludf.DUMMYFUNCTION("VLOOKUP(F7821, IMPORTRANGE(""https://docs.google.com/spreadsheets/d/1Lhp9OU0JdFf_VYSMzH5lBcEaU4o8teT1piV-SNzShjg/edit?gid=554141278#gid=554141278"", ""'Char Def. - Attributes'!C20:C2242""), 1,false)"),"ALT_NUM_UOM5")</f>
        <v>ALT_NUM_UOM5</v>
      </c>
      <c r="I7821" s="136"/>
      <c r="R7821" s="63" t="str">
        <f t="shared" si="60"/>
        <v>ZSI1_CIRC_VENTALT_NUM_UOM5</v>
      </c>
    </row>
    <row r="7822" ht="15.75" customHeight="1">
      <c r="B7822" s="63">
        <f t="shared" si="1"/>
        <v>17</v>
      </c>
      <c r="C7822" s="135" t="s">
        <v>312</v>
      </c>
      <c r="D7822" s="161" t="s">
        <v>74</v>
      </c>
      <c r="E7822" s="135">
        <f t="shared" si="61"/>
        <v>1</v>
      </c>
      <c r="F7822" s="134" t="s">
        <v>4243</v>
      </c>
      <c r="G7822" s="63" t="str">
        <f>VLOOKUP(C7822, 'Class Def. - General Data'!$C$20:$C$1000,1,false)</f>
        <v>ZSI1_CIRCUIT_ASSY</v>
      </c>
      <c r="H7822" s="63" t="str">
        <f>IFERROR(__xludf.DUMMYFUNCTION("VLOOKUP(F7822, IMPORTRANGE(""https://docs.google.com/spreadsheets/d/1Lhp9OU0JdFf_VYSMzH5lBcEaU4o8teT1piV-SNzShjg/edit?gid=554141278#gid=554141278"", ""'Char Def. - Attributes'!C20:C2242""), 1,false)"),"ITEM_NAME_CIRCUIT_ASSY")</f>
        <v>ITEM_NAME_CIRCUIT_ASSY</v>
      </c>
      <c r="I7822" s="136"/>
      <c r="R7822" s="63" t="str">
        <f t="shared" si="60"/>
        <v>ZSI1_CIRCUIT_ASSYITEM_NAME_CIRCUIT_ASSY</v>
      </c>
    </row>
    <row r="7823" ht="15.75" customHeight="1">
      <c r="B7823" s="63">
        <f t="shared" si="1"/>
        <v>17</v>
      </c>
      <c r="C7823" s="135" t="s">
        <v>312</v>
      </c>
      <c r="D7823" s="161" t="s">
        <v>74</v>
      </c>
      <c r="E7823" s="135">
        <f t="shared" si="61"/>
        <v>2</v>
      </c>
      <c r="F7823" s="134" t="s">
        <v>4244</v>
      </c>
      <c r="G7823" s="63" t="str">
        <f>VLOOKUP(C7823, 'Class Def. - General Data'!$C$20:$C$1000,1,false)</f>
        <v>ZSI1_CIRCUIT_ASSY</v>
      </c>
      <c r="H7823" s="63" t="str">
        <f>IFERROR(__xludf.DUMMYFUNCTION("VLOOKUP(F7823, IMPORTRANGE(""https://docs.google.com/spreadsheets/d/1Lhp9OU0JdFf_VYSMzH5lBcEaU4o8teT1piV-SNzShjg/edit?gid=554141278#gid=554141278"", ""'Char Def. - Attributes'!C20:C2242""), 1,false)"),"MFR_NO_CIRCUIT_ASSY")</f>
        <v>MFR_NO_CIRCUIT_ASSY</v>
      </c>
      <c r="I7823" s="136"/>
      <c r="R7823" s="63" t="str">
        <f t="shared" si="60"/>
        <v>ZSI1_CIRCUIT_ASSYMFR_NO_CIRCUIT_ASSY</v>
      </c>
    </row>
    <row r="7824" ht="15.75" customHeight="1">
      <c r="B7824" s="63">
        <f t="shared" si="1"/>
        <v>17</v>
      </c>
      <c r="C7824" s="135" t="s">
        <v>312</v>
      </c>
      <c r="D7824" s="161" t="s">
        <v>74</v>
      </c>
      <c r="E7824" s="135">
        <f t="shared" si="61"/>
        <v>3</v>
      </c>
      <c r="F7824" s="134" t="s">
        <v>3782</v>
      </c>
      <c r="G7824" s="63" t="str">
        <f>VLOOKUP(C7824, 'Class Def. - General Data'!$C$20:$C$1000,1,false)</f>
        <v>ZSI1_CIRCUIT_ASSY</v>
      </c>
      <c r="H7824" s="63" t="str">
        <f>IFERROR(__xludf.DUMMYFUNCTION("VLOOKUP(F7824, IMPORTRANGE(""https://docs.google.com/spreadsheets/d/1Lhp9OU0JdFf_VYSMzH5lBcEaU4o8teT1piV-SNzShjg/edit?gid=554141278#gid=554141278"", ""'Char Def. - Attributes'!C20:C2242""), 1,false)"),"BRAND_EXTERNAL")</f>
        <v>BRAND_EXTERNAL</v>
      </c>
      <c r="I7824" s="136"/>
      <c r="R7824" s="63" t="str">
        <f t="shared" si="60"/>
        <v>ZSI1_CIRCUIT_ASSYBRAND_EXTERNAL</v>
      </c>
    </row>
    <row r="7825" ht="15.75" customHeight="1">
      <c r="B7825" s="63">
        <f t="shared" si="1"/>
        <v>17</v>
      </c>
      <c r="C7825" s="135" t="s">
        <v>312</v>
      </c>
      <c r="D7825" s="161" t="s">
        <v>74</v>
      </c>
      <c r="E7825" s="135">
        <f t="shared" si="61"/>
        <v>4</v>
      </c>
      <c r="F7825" s="134" t="s">
        <v>4062</v>
      </c>
      <c r="G7825" s="63" t="str">
        <f>VLOOKUP(C7825, 'Class Def. - General Data'!$C$20:$C$1000,1,false)</f>
        <v>ZSI1_CIRCUIT_ASSY</v>
      </c>
      <c r="H7825" s="63" t="str">
        <f>IFERROR(__xludf.DUMMYFUNCTION("VLOOKUP(F7825, IMPORTRANGE(""https://docs.google.com/spreadsheets/d/1Lhp9OU0JdFf_VYSMzH5lBcEaU4o8teT1piV-SNzShjg/edit?gid=554141278#gid=554141278"", ""'Char Def. - Attributes'!C20:C2242""), 1,false)"),"#N/A")</f>
        <v>#N/A</v>
      </c>
      <c r="I7825" s="136"/>
      <c r="R7825" s="63" t="str">
        <f t="shared" si="60"/>
        <v>ZSI1_CIRCUIT_ASSYADDTIONAL_SPECIFICATION</v>
      </c>
    </row>
    <row r="7826" ht="15.75" customHeight="1">
      <c r="B7826" s="63">
        <f t="shared" si="1"/>
        <v>17</v>
      </c>
      <c r="C7826" s="135" t="s">
        <v>312</v>
      </c>
      <c r="D7826" s="161" t="s">
        <v>74</v>
      </c>
      <c r="E7826" s="135">
        <f t="shared" si="61"/>
        <v>5</v>
      </c>
      <c r="F7826" s="134" t="s">
        <v>3585</v>
      </c>
      <c r="G7826" s="63" t="str">
        <f>VLOOKUP(C7826, 'Class Def. - General Data'!$C$20:$C$1000,1,false)</f>
        <v>ZSI1_CIRCUIT_ASSY</v>
      </c>
      <c r="H7826" s="63" t="str">
        <f>IFERROR(__xludf.DUMMYFUNCTION("VLOOKUP(F7826, IMPORTRANGE(""https://docs.google.com/spreadsheets/d/1Lhp9OU0JdFf_VYSMzH5lBcEaU4o8teT1piV-SNzShjg/edit?gid=554141278#gid=554141278"", ""'Char Def. - Attributes'!C20:C2242""), 1,false)"),"HS_CODE")</f>
        <v>HS_CODE</v>
      </c>
      <c r="I7826" s="136"/>
      <c r="R7826" s="63" t="str">
        <f t="shared" si="60"/>
        <v>ZSI1_CIRCUIT_ASSYHS_CODE</v>
      </c>
    </row>
    <row r="7827" ht="15.75" customHeight="1">
      <c r="B7827" s="63">
        <f t="shared" si="1"/>
        <v>17</v>
      </c>
      <c r="C7827" s="135" t="s">
        <v>312</v>
      </c>
      <c r="D7827" s="161" t="s">
        <v>74</v>
      </c>
      <c r="E7827" s="135">
        <f t="shared" si="61"/>
        <v>6</v>
      </c>
      <c r="F7827" s="134" t="s">
        <v>3587</v>
      </c>
      <c r="G7827" s="63" t="str">
        <f>VLOOKUP(C7827, 'Class Def. - General Data'!$C$20:$C$1000,1,false)</f>
        <v>ZSI1_CIRCUIT_ASSY</v>
      </c>
      <c r="H7827" s="63" t="str">
        <f>IFERROR(__xludf.DUMMYFUNCTION("VLOOKUP(F7827, IMPORTRANGE(""https://docs.google.com/spreadsheets/d/1Lhp9OU0JdFf_VYSMzH5lBcEaU4o8teT1piV-SNzShjg/edit?gid=554141278#gid=554141278"", ""'Char Def. - Attributes'!C20:C2242""), 1,false)"),"PLANT_BUY")</f>
        <v>PLANT_BUY</v>
      </c>
      <c r="I7827" s="136"/>
      <c r="R7827" s="63" t="str">
        <f t="shared" si="60"/>
        <v>ZSI1_CIRCUIT_ASSYPLANT_BUY</v>
      </c>
    </row>
    <row r="7828" ht="15.75" customHeight="1">
      <c r="B7828" s="63">
        <f t="shared" si="1"/>
        <v>17</v>
      </c>
      <c r="C7828" s="135" t="s">
        <v>312</v>
      </c>
      <c r="D7828" s="161" t="s">
        <v>74</v>
      </c>
      <c r="E7828" s="135">
        <f t="shared" si="61"/>
        <v>7</v>
      </c>
      <c r="F7828" s="134" t="s">
        <v>4245</v>
      </c>
      <c r="G7828" s="63" t="str">
        <f>VLOOKUP(C7828, 'Class Def. - General Data'!$C$20:$C$1000,1,false)</f>
        <v>ZSI1_CIRCUIT_ASSY</v>
      </c>
      <c r="H7828" s="63" t="str">
        <f>IFERROR(__xludf.DUMMYFUNCTION("VLOOKUP(F7828, IMPORTRANGE(""https://docs.google.com/spreadsheets/d/1Lhp9OU0JdFf_VYSMzH5lBcEaU4o8teT1piV-SNzShjg/edit?gid=554141278#gid=554141278"", ""'Char Def. - Attributes'!C20:C2242""), 1,false)"),"BASE_UOM_CIRCUIT_ASSY")</f>
        <v>BASE_UOM_CIRCUIT_ASSY</v>
      </c>
      <c r="I7828" s="136"/>
      <c r="R7828" s="63" t="str">
        <f t="shared" si="60"/>
        <v>ZSI1_CIRCUIT_ASSYBASE_UOM_CIRCUIT_ASSY</v>
      </c>
    </row>
    <row r="7829" ht="15.75" customHeight="1">
      <c r="B7829" s="63">
        <f t="shared" si="1"/>
        <v>17</v>
      </c>
      <c r="C7829" s="135" t="s">
        <v>312</v>
      </c>
      <c r="D7829" s="161" t="s">
        <v>74</v>
      </c>
      <c r="E7829" s="135">
        <f t="shared" si="61"/>
        <v>8</v>
      </c>
      <c r="F7829" s="134" t="s">
        <v>4246</v>
      </c>
      <c r="G7829" s="63" t="str">
        <f>VLOOKUP(C7829, 'Class Def. - General Data'!$C$20:$C$1000,1,false)</f>
        <v>ZSI1_CIRCUIT_ASSY</v>
      </c>
      <c r="H7829" s="63" t="str">
        <f>IFERROR(__xludf.DUMMYFUNCTION("VLOOKUP(F7829, IMPORTRANGE(""https://docs.google.com/spreadsheets/d/1Lhp9OU0JdFf_VYSMzH5lBcEaU4o8teT1piV-SNzShjg/edit?gid=554141278#gid=554141278"", ""'Char Def. - Attributes'!C20:C2242""), 1,false)"),"ORDER_UNIT_CIRCUIT_ASSY")</f>
        <v>ORDER_UNIT_CIRCUIT_ASSY</v>
      </c>
      <c r="I7829" s="136"/>
      <c r="R7829" s="63" t="str">
        <f t="shared" si="60"/>
        <v>ZSI1_CIRCUIT_ASSYORDER_UNIT_CIRCUIT_ASSY</v>
      </c>
    </row>
    <row r="7830" ht="15.75" customHeight="1">
      <c r="B7830" s="63">
        <f t="shared" si="1"/>
        <v>17</v>
      </c>
      <c r="C7830" s="135" t="s">
        <v>312</v>
      </c>
      <c r="D7830" s="161" t="s">
        <v>74</v>
      </c>
      <c r="E7830" s="135">
        <f t="shared" si="61"/>
        <v>9</v>
      </c>
      <c r="F7830" s="134" t="s">
        <v>4056</v>
      </c>
      <c r="G7830" s="63" t="str">
        <f>VLOOKUP(C7830, 'Class Def. - General Data'!$C$20:$C$1000,1,false)</f>
        <v>ZSI1_CIRCUIT_ASSY</v>
      </c>
      <c r="H7830" s="63" t="str">
        <f>IFERROR(__xludf.DUMMYFUNCTION("VLOOKUP(F7830, IMPORTRANGE(""https://docs.google.com/spreadsheets/d/1Lhp9OU0JdFf_VYSMzH5lBcEaU4o8teT1piV-SNzShjg/edit?gid=554141278#gid=554141278"", ""'Char Def. - Attributes'!C20:C2242""), 1,false)"),"GROSS_WEIGHT_OPT")</f>
        <v>GROSS_WEIGHT_OPT</v>
      </c>
      <c r="I7830" s="136"/>
      <c r="R7830" s="63" t="str">
        <f t="shared" si="60"/>
        <v>ZSI1_CIRCUIT_ASSYGROSS_WEIGHT_OPT</v>
      </c>
    </row>
    <row r="7831" ht="15.75" customHeight="1">
      <c r="B7831" s="63">
        <f t="shared" si="1"/>
        <v>17</v>
      </c>
      <c r="C7831" s="135" t="s">
        <v>312</v>
      </c>
      <c r="D7831" s="161" t="s">
        <v>74</v>
      </c>
      <c r="E7831" s="135">
        <f t="shared" si="61"/>
        <v>10</v>
      </c>
      <c r="F7831" s="134" t="s">
        <v>4057</v>
      </c>
      <c r="G7831" s="63" t="str">
        <f>VLOOKUP(C7831, 'Class Def. - General Data'!$C$20:$C$1000,1,false)</f>
        <v>ZSI1_CIRCUIT_ASSY</v>
      </c>
      <c r="H7831" s="63" t="str">
        <f>IFERROR(__xludf.DUMMYFUNCTION("VLOOKUP(F7831, IMPORTRANGE(""https://docs.google.com/spreadsheets/d/1Lhp9OU0JdFf_VYSMzH5lBcEaU4o8teT1piV-SNzShjg/edit?gid=554141278#gid=554141278"", ""'Char Def. - Attributes'!C20:C2242""), 1,false)"),"NET_WEIGHT_OPT")</f>
        <v>NET_WEIGHT_OPT</v>
      </c>
      <c r="I7831" s="136"/>
      <c r="R7831" s="63" t="str">
        <f t="shared" si="60"/>
        <v>ZSI1_CIRCUIT_ASSYNET_WEIGHT_OPT</v>
      </c>
    </row>
    <row r="7832" ht="15.75" customHeight="1">
      <c r="B7832" s="63">
        <f t="shared" si="1"/>
        <v>17</v>
      </c>
      <c r="C7832" s="135" t="s">
        <v>312</v>
      </c>
      <c r="D7832" s="161" t="s">
        <v>74</v>
      </c>
      <c r="E7832" s="135">
        <f t="shared" si="61"/>
        <v>11</v>
      </c>
      <c r="F7832" s="134" t="s">
        <v>4058</v>
      </c>
      <c r="G7832" s="63" t="str">
        <f>VLOOKUP(C7832, 'Class Def. - General Data'!$C$20:$C$1000,1,false)</f>
        <v>ZSI1_CIRCUIT_ASSY</v>
      </c>
      <c r="H7832" s="63" t="str">
        <f>IFERROR(__xludf.DUMMYFUNCTION("VLOOKUP(F7832, IMPORTRANGE(""https://docs.google.com/spreadsheets/d/1Lhp9OU0JdFf_VYSMzH5lBcEaU4o8teT1piV-SNzShjg/edit?gid=554141278#gid=554141278"", ""'Char Def. - Attributes'!C20:C2242""), 1,false)"),"WEIGHT_UNIT_SI")</f>
        <v>WEIGHT_UNIT_SI</v>
      </c>
      <c r="I7832" s="136"/>
      <c r="R7832" s="63" t="str">
        <f t="shared" si="60"/>
        <v>ZSI1_CIRCUIT_ASSYWEIGHT_UNIT_SI</v>
      </c>
    </row>
    <row r="7833" ht="15.75" customHeight="1">
      <c r="B7833" s="63">
        <f t="shared" si="1"/>
        <v>17</v>
      </c>
      <c r="C7833" s="135" t="s">
        <v>312</v>
      </c>
      <c r="D7833" s="161" t="s">
        <v>74</v>
      </c>
      <c r="E7833" s="135">
        <f t="shared" si="61"/>
        <v>12</v>
      </c>
      <c r="F7833" s="134" t="s">
        <v>3877</v>
      </c>
      <c r="G7833" s="63" t="str">
        <f>VLOOKUP(C7833, 'Class Def. - General Data'!$C$20:$C$1000,1,false)</f>
        <v>ZSI1_CIRCUIT_ASSY</v>
      </c>
      <c r="H7833" s="63" t="str">
        <f>IFERROR(__xludf.DUMMYFUNCTION("VLOOKUP(F7833, IMPORTRANGE(""https://docs.google.com/spreadsheets/d/1Lhp9OU0JdFf_VYSMzH5lBcEaU4o8teT1piV-SNzShjg/edit?gid=554141278#gid=554141278"", ""'Char Def. - Attributes'!C20:C2242""), 1,false)"),"VOLUME_OPT")</f>
        <v>VOLUME_OPT</v>
      </c>
      <c r="I7833" s="136"/>
      <c r="R7833" s="63" t="str">
        <f t="shared" si="60"/>
        <v>ZSI1_CIRCUIT_ASSYVOLUME_OPT</v>
      </c>
    </row>
    <row r="7834" ht="15.75" customHeight="1">
      <c r="B7834" s="63">
        <f t="shared" si="1"/>
        <v>17</v>
      </c>
      <c r="C7834" s="135" t="s">
        <v>312</v>
      </c>
      <c r="D7834" s="161" t="s">
        <v>74</v>
      </c>
      <c r="E7834" s="135">
        <f t="shared" si="61"/>
        <v>13</v>
      </c>
      <c r="F7834" s="134" t="s">
        <v>4059</v>
      </c>
      <c r="G7834" s="63" t="str">
        <f>VLOOKUP(C7834, 'Class Def. - General Data'!$C$20:$C$1000,1,false)</f>
        <v>ZSI1_CIRCUIT_ASSY</v>
      </c>
      <c r="H7834" s="63" t="str">
        <f>IFERROR(__xludf.DUMMYFUNCTION("VLOOKUP(F7834, IMPORTRANGE(""https://docs.google.com/spreadsheets/d/1Lhp9OU0JdFf_VYSMzH5lBcEaU4o8teT1piV-SNzShjg/edit?gid=554141278#gid=554141278"", ""'Char Def. - Attributes'!C20:C2242""), 1,false)"),"VOLUME_UNIT_SI")</f>
        <v>VOLUME_UNIT_SI</v>
      </c>
      <c r="I7834" s="136"/>
      <c r="R7834" s="63" t="str">
        <f t="shared" si="60"/>
        <v>ZSI1_CIRCUIT_ASSYVOLUME_UNIT_SI</v>
      </c>
    </row>
    <row r="7835" ht="15.75" customHeight="1">
      <c r="B7835" s="63">
        <f t="shared" si="1"/>
        <v>17</v>
      </c>
      <c r="C7835" s="135" t="s">
        <v>312</v>
      </c>
      <c r="D7835" s="161" t="s">
        <v>74</v>
      </c>
      <c r="E7835" s="135">
        <f t="shared" si="61"/>
        <v>14</v>
      </c>
      <c r="F7835" s="134" t="s">
        <v>3804</v>
      </c>
      <c r="G7835" s="63" t="str">
        <f>VLOOKUP(C7835, 'Class Def. - General Data'!$C$20:$C$1000,1,false)</f>
        <v>ZSI1_CIRCUIT_ASSY</v>
      </c>
      <c r="H7835" s="63" t="str">
        <f>IFERROR(__xludf.DUMMYFUNCTION("VLOOKUP(F7835, IMPORTRANGE(""https://docs.google.com/spreadsheets/d/1Lhp9OU0JdFf_VYSMzH5lBcEaU4o8teT1piV-SNzShjg/edit?gid=554141278#gid=554141278"", ""'Char Def. - Attributes'!C20:C2242""), 1,false)"),"ALT_UOM1_SIPI")</f>
        <v>ALT_UOM1_SIPI</v>
      </c>
      <c r="I7835" s="136"/>
      <c r="R7835" s="63" t="str">
        <f t="shared" si="60"/>
        <v>ZSI1_CIRCUIT_ASSYALT_UOM1_SIPI</v>
      </c>
    </row>
    <row r="7836" ht="15.75" customHeight="1">
      <c r="B7836" s="63">
        <f t="shared" si="1"/>
        <v>17</v>
      </c>
      <c r="C7836" s="135" t="s">
        <v>312</v>
      </c>
      <c r="D7836" s="161" t="s">
        <v>74</v>
      </c>
      <c r="E7836" s="135">
        <f t="shared" si="61"/>
        <v>15</v>
      </c>
      <c r="F7836" s="134" t="s">
        <v>3805</v>
      </c>
      <c r="G7836" s="63" t="str">
        <f>VLOOKUP(C7836, 'Class Def. - General Data'!$C$20:$C$1000,1,false)</f>
        <v>ZSI1_CIRCUIT_ASSY</v>
      </c>
      <c r="H7836" s="63" t="str">
        <f>IFERROR(__xludf.DUMMYFUNCTION("VLOOKUP(F7836, IMPORTRANGE(""https://docs.google.com/spreadsheets/d/1Lhp9OU0JdFf_VYSMzH5lBcEaU4o8teT1piV-SNzShjg/edit?gid=554141278#gid=554141278"", ""'Char Def. - Attributes'!C20:C2242""), 1,false)"),"ALT_DENUM_UOM1")</f>
        <v>ALT_DENUM_UOM1</v>
      </c>
      <c r="I7836" s="136"/>
      <c r="R7836" s="63" t="str">
        <f t="shared" si="60"/>
        <v>ZSI1_CIRCUIT_ASSYALT_DENUM_UOM1</v>
      </c>
    </row>
    <row r="7837" ht="15.75" customHeight="1">
      <c r="B7837" s="63">
        <f t="shared" si="1"/>
        <v>17</v>
      </c>
      <c r="C7837" s="135" t="s">
        <v>312</v>
      </c>
      <c r="D7837" s="161" t="s">
        <v>74</v>
      </c>
      <c r="E7837" s="135">
        <f t="shared" si="61"/>
        <v>16</v>
      </c>
      <c r="F7837" s="134" t="s">
        <v>3806</v>
      </c>
      <c r="G7837" s="63" t="str">
        <f>VLOOKUP(C7837, 'Class Def. - General Data'!$C$20:$C$1000,1,false)</f>
        <v>ZSI1_CIRCUIT_ASSY</v>
      </c>
      <c r="H7837" s="63" t="str">
        <f>IFERROR(__xludf.DUMMYFUNCTION("VLOOKUP(F7837, IMPORTRANGE(""https://docs.google.com/spreadsheets/d/1Lhp9OU0JdFf_VYSMzH5lBcEaU4o8teT1piV-SNzShjg/edit?gid=554141278#gid=554141278"", ""'Char Def. - Attributes'!C20:C2242""), 1,false)"),"ALT_NUM_UOM1")</f>
        <v>ALT_NUM_UOM1</v>
      </c>
      <c r="I7837" s="136"/>
      <c r="R7837" s="63" t="str">
        <f t="shared" si="60"/>
        <v>ZSI1_CIRCUIT_ASSYALT_NUM_UOM1</v>
      </c>
    </row>
    <row r="7838" ht="15.75" customHeight="1">
      <c r="B7838" s="63">
        <f t="shared" si="1"/>
        <v>17</v>
      </c>
      <c r="C7838" s="135" t="s">
        <v>312</v>
      </c>
      <c r="D7838" s="161" t="s">
        <v>74</v>
      </c>
      <c r="E7838" s="135">
        <f t="shared" si="61"/>
        <v>17</v>
      </c>
      <c r="F7838" s="134" t="s">
        <v>3807</v>
      </c>
      <c r="G7838" s="63" t="str">
        <f>VLOOKUP(C7838, 'Class Def. - General Data'!$C$20:$C$1000,1,false)</f>
        <v>ZSI1_CIRCUIT_ASSY</v>
      </c>
      <c r="H7838" s="63" t="str">
        <f>IFERROR(__xludf.DUMMYFUNCTION("VLOOKUP(F7838, IMPORTRANGE(""https://docs.google.com/spreadsheets/d/1Lhp9OU0JdFf_VYSMzH5lBcEaU4o8teT1piV-SNzShjg/edit?gid=554141278#gid=554141278"", ""'Char Def. - Attributes'!C20:C2242""), 1,false)"),"ALT_UOM2_SIPI")</f>
        <v>ALT_UOM2_SIPI</v>
      </c>
      <c r="I7838" s="136"/>
      <c r="R7838" s="63" t="str">
        <f t="shared" si="60"/>
        <v>ZSI1_CIRCUIT_ASSYALT_UOM2_SIPI</v>
      </c>
    </row>
    <row r="7839" ht="15.75" customHeight="1">
      <c r="B7839" s="63">
        <f t="shared" si="1"/>
        <v>17</v>
      </c>
      <c r="C7839" s="135" t="s">
        <v>312</v>
      </c>
      <c r="D7839" s="161" t="s">
        <v>74</v>
      </c>
      <c r="E7839" s="135">
        <f t="shared" si="61"/>
        <v>18</v>
      </c>
      <c r="F7839" s="134" t="s">
        <v>3808</v>
      </c>
      <c r="G7839" s="63" t="str">
        <f>VLOOKUP(C7839, 'Class Def. - General Data'!$C$20:$C$1000,1,false)</f>
        <v>ZSI1_CIRCUIT_ASSY</v>
      </c>
      <c r="H7839" s="63" t="str">
        <f>IFERROR(__xludf.DUMMYFUNCTION("VLOOKUP(F7839, IMPORTRANGE(""https://docs.google.com/spreadsheets/d/1Lhp9OU0JdFf_VYSMzH5lBcEaU4o8teT1piV-SNzShjg/edit?gid=554141278#gid=554141278"", ""'Char Def. - Attributes'!C20:C2242""), 1,false)"),"ALT_DENUM_UOM2")</f>
        <v>ALT_DENUM_UOM2</v>
      </c>
      <c r="I7839" s="136"/>
      <c r="R7839" s="63" t="str">
        <f t="shared" si="60"/>
        <v>ZSI1_CIRCUIT_ASSYALT_DENUM_UOM2</v>
      </c>
    </row>
    <row r="7840" ht="15.75" customHeight="1">
      <c r="B7840" s="63">
        <f t="shared" si="1"/>
        <v>17</v>
      </c>
      <c r="C7840" s="135" t="s">
        <v>312</v>
      </c>
      <c r="D7840" s="161" t="s">
        <v>74</v>
      </c>
      <c r="E7840" s="135">
        <f t="shared" si="61"/>
        <v>19</v>
      </c>
      <c r="F7840" s="134" t="s">
        <v>3809</v>
      </c>
      <c r="G7840" s="63" t="str">
        <f>VLOOKUP(C7840, 'Class Def. - General Data'!$C$20:$C$1000,1,false)</f>
        <v>ZSI1_CIRCUIT_ASSY</v>
      </c>
      <c r="H7840" s="63" t="str">
        <f>IFERROR(__xludf.DUMMYFUNCTION("VLOOKUP(F7840, IMPORTRANGE(""https://docs.google.com/spreadsheets/d/1Lhp9OU0JdFf_VYSMzH5lBcEaU4o8teT1piV-SNzShjg/edit?gid=554141278#gid=554141278"", ""'Char Def. - Attributes'!C20:C2242""), 1,false)"),"ALT_NUM_UOM2")</f>
        <v>ALT_NUM_UOM2</v>
      </c>
      <c r="I7840" s="136"/>
      <c r="R7840" s="63" t="str">
        <f t="shared" si="60"/>
        <v>ZSI1_CIRCUIT_ASSYALT_NUM_UOM2</v>
      </c>
    </row>
    <row r="7841" ht="15.75" customHeight="1">
      <c r="B7841" s="63">
        <f t="shared" si="1"/>
        <v>17</v>
      </c>
      <c r="C7841" s="135" t="s">
        <v>312</v>
      </c>
      <c r="D7841" s="161" t="s">
        <v>74</v>
      </c>
      <c r="E7841" s="135">
        <f t="shared" si="61"/>
        <v>20</v>
      </c>
      <c r="F7841" s="134" t="s">
        <v>3810</v>
      </c>
      <c r="G7841" s="63" t="str">
        <f>VLOOKUP(C7841, 'Class Def. - General Data'!$C$20:$C$1000,1,false)</f>
        <v>ZSI1_CIRCUIT_ASSY</v>
      </c>
      <c r="H7841" s="63" t="str">
        <f>IFERROR(__xludf.DUMMYFUNCTION("VLOOKUP(F7841, IMPORTRANGE(""https://docs.google.com/spreadsheets/d/1Lhp9OU0JdFf_VYSMzH5lBcEaU4o8teT1piV-SNzShjg/edit?gid=554141278#gid=554141278"", ""'Char Def. - Attributes'!C20:C2242""), 1,false)"),"ALT_UOM3_SIPI")</f>
        <v>ALT_UOM3_SIPI</v>
      </c>
      <c r="I7841" s="136"/>
      <c r="R7841" s="63" t="str">
        <f t="shared" si="60"/>
        <v>ZSI1_CIRCUIT_ASSYALT_UOM3_SIPI</v>
      </c>
    </row>
    <row r="7842" ht="15.75" customHeight="1">
      <c r="B7842" s="63">
        <f t="shared" si="1"/>
        <v>17</v>
      </c>
      <c r="C7842" s="135" t="s">
        <v>312</v>
      </c>
      <c r="D7842" s="161" t="s">
        <v>74</v>
      </c>
      <c r="E7842" s="135">
        <f t="shared" si="61"/>
        <v>21</v>
      </c>
      <c r="F7842" s="134" t="s">
        <v>3811</v>
      </c>
      <c r="G7842" s="63" t="str">
        <f>VLOOKUP(C7842, 'Class Def. - General Data'!$C$20:$C$1000,1,false)</f>
        <v>ZSI1_CIRCUIT_ASSY</v>
      </c>
      <c r="H7842" s="63" t="str">
        <f>IFERROR(__xludf.DUMMYFUNCTION("VLOOKUP(F7842, IMPORTRANGE(""https://docs.google.com/spreadsheets/d/1Lhp9OU0JdFf_VYSMzH5lBcEaU4o8teT1piV-SNzShjg/edit?gid=554141278#gid=554141278"", ""'Char Def. - Attributes'!C20:C2242""), 1,false)"),"ALT_DENUM_UOM3")</f>
        <v>ALT_DENUM_UOM3</v>
      </c>
      <c r="I7842" s="136"/>
      <c r="R7842" s="63" t="str">
        <f t="shared" si="60"/>
        <v>ZSI1_CIRCUIT_ASSYALT_DENUM_UOM3</v>
      </c>
    </row>
    <row r="7843" ht="15.75" customHeight="1">
      <c r="B7843" s="63">
        <f t="shared" si="1"/>
        <v>17</v>
      </c>
      <c r="C7843" s="135" t="s">
        <v>312</v>
      </c>
      <c r="D7843" s="161" t="s">
        <v>74</v>
      </c>
      <c r="E7843" s="135">
        <f t="shared" si="61"/>
        <v>22</v>
      </c>
      <c r="F7843" s="134" t="s">
        <v>3812</v>
      </c>
      <c r="G7843" s="63" t="str">
        <f>VLOOKUP(C7843, 'Class Def. - General Data'!$C$20:$C$1000,1,false)</f>
        <v>ZSI1_CIRCUIT_ASSY</v>
      </c>
      <c r="H7843" s="63" t="str">
        <f>IFERROR(__xludf.DUMMYFUNCTION("VLOOKUP(F7843, IMPORTRANGE(""https://docs.google.com/spreadsheets/d/1Lhp9OU0JdFf_VYSMzH5lBcEaU4o8teT1piV-SNzShjg/edit?gid=554141278#gid=554141278"", ""'Char Def. - Attributes'!C20:C2242""), 1,false)"),"ALT_NUM_UOM3")</f>
        <v>ALT_NUM_UOM3</v>
      </c>
      <c r="I7843" s="136"/>
      <c r="R7843" s="63" t="str">
        <f t="shared" si="60"/>
        <v>ZSI1_CIRCUIT_ASSYALT_NUM_UOM3</v>
      </c>
    </row>
    <row r="7844" ht="15.75" customHeight="1">
      <c r="B7844" s="63">
        <f t="shared" si="1"/>
        <v>17</v>
      </c>
      <c r="C7844" s="135" t="s">
        <v>312</v>
      </c>
      <c r="D7844" s="161" t="s">
        <v>74</v>
      </c>
      <c r="E7844" s="135">
        <f t="shared" si="61"/>
        <v>23</v>
      </c>
      <c r="F7844" s="134" t="s">
        <v>3813</v>
      </c>
      <c r="G7844" s="63" t="str">
        <f>VLOOKUP(C7844, 'Class Def. - General Data'!$C$20:$C$1000,1,false)</f>
        <v>ZSI1_CIRCUIT_ASSY</v>
      </c>
      <c r="H7844" s="63" t="str">
        <f>IFERROR(__xludf.DUMMYFUNCTION("VLOOKUP(F7844, IMPORTRANGE(""https://docs.google.com/spreadsheets/d/1Lhp9OU0JdFf_VYSMzH5lBcEaU4o8teT1piV-SNzShjg/edit?gid=554141278#gid=554141278"", ""'Char Def. - Attributes'!C20:C2242""), 1,false)"),"ALT_UOM4_SIPI")</f>
        <v>ALT_UOM4_SIPI</v>
      </c>
      <c r="I7844" s="136"/>
      <c r="R7844" s="63" t="str">
        <f t="shared" si="60"/>
        <v>ZSI1_CIRCUIT_ASSYALT_UOM4_SIPI</v>
      </c>
    </row>
    <row r="7845" ht="15.75" customHeight="1">
      <c r="B7845" s="63">
        <f t="shared" si="1"/>
        <v>17</v>
      </c>
      <c r="C7845" s="135" t="s">
        <v>312</v>
      </c>
      <c r="D7845" s="161" t="s">
        <v>74</v>
      </c>
      <c r="E7845" s="135">
        <f t="shared" si="61"/>
        <v>24</v>
      </c>
      <c r="F7845" s="134" t="s">
        <v>3814</v>
      </c>
      <c r="G7845" s="63" t="str">
        <f>VLOOKUP(C7845, 'Class Def. - General Data'!$C$20:$C$1000,1,false)</f>
        <v>ZSI1_CIRCUIT_ASSY</v>
      </c>
      <c r="H7845" s="63" t="str">
        <f>IFERROR(__xludf.DUMMYFUNCTION("VLOOKUP(F7845, IMPORTRANGE(""https://docs.google.com/spreadsheets/d/1Lhp9OU0JdFf_VYSMzH5lBcEaU4o8teT1piV-SNzShjg/edit?gid=554141278#gid=554141278"", ""'Char Def. - Attributes'!C20:C2242""), 1,false)"),"ALT_DENUM_UOM4")</f>
        <v>ALT_DENUM_UOM4</v>
      </c>
      <c r="I7845" s="136"/>
      <c r="R7845" s="63" t="str">
        <f t="shared" si="60"/>
        <v>ZSI1_CIRCUIT_ASSYALT_DENUM_UOM4</v>
      </c>
    </row>
    <row r="7846" ht="15.75" customHeight="1">
      <c r="B7846" s="63">
        <f t="shared" si="1"/>
        <v>17</v>
      </c>
      <c r="C7846" s="135" t="s">
        <v>312</v>
      </c>
      <c r="D7846" s="161" t="s">
        <v>74</v>
      </c>
      <c r="E7846" s="135">
        <f t="shared" si="61"/>
        <v>25</v>
      </c>
      <c r="F7846" s="134" t="s">
        <v>3815</v>
      </c>
      <c r="G7846" s="63" t="str">
        <f>VLOOKUP(C7846, 'Class Def. - General Data'!$C$20:$C$1000,1,false)</f>
        <v>ZSI1_CIRCUIT_ASSY</v>
      </c>
      <c r="H7846" s="63" t="str">
        <f>IFERROR(__xludf.DUMMYFUNCTION("VLOOKUP(F7846, IMPORTRANGE(""https://docs.google.com/spreadsheets/d/1Lhp9OU0JdFf_VYSMzH5lBcEaU4o8teT1piV-SNzShjg/edit?gid=554141278#gid=554141278"", ""'Char Def. - Attributes'!C20:C2242""), 1,false)"),"ALT_NUM_UOM4")</f>
        <v>ALT_NUM_UOM4</v>
      </c>
      <c r="I7846" s="136"/>
      <c r="R7846" s="63" t="str">
        <f t="shared" si="60"/>
        <v>ZSI1_CIRCUIT_ASSYALT_NUM_UOM4</v>
      </c>
    </row>
    <row r="7847" ht="15.75" customHeight="1">
      <c r="B7847" s="63">
        <f t="shared" si="1"/>
        <v>17</v>
      </c>
      <c r="C7847" s="135" t="s">
        <v>312</v>
      </c>
      <c r="D7847" s="161" t="s">
        <v>74</v>
      </c>
      <c r="E7847" s="135">
        <f t="shared" si="61"/>
        <v>26</v>
      </c>
      <c r="F7847" s="134" t="s">
        <v>3816</v>
      </c>
      <c r="G7847" s="63" t="str">
        <f>VLOOKUP(C7847, 'Class Def. - General Data'!$C$20:$C$1000,1,false)</f>
        <v>ZSI1_CIRCUIT_ASSY</v>
      </c>
      <c r="H7847" s="63" t="str">
        <f>IFERROR(__xludf.DUMMYFUNCTION("VLOOKUP(F7847, IMPORTRANGE(""https://docs.google.com/spreadsheets/d/1Lhp9OU0JdFf_VYSMzH5lBcEaU4o8teT1piV-SNzShjg/edit?gid=554141278#gid=554141278"", ""'Char Def. - Attributes'!C20:C2242""), 1,false)"),"ALT_UOM5_SIPI")</f>
        <v>ALT_UOM5_SIPI</v>
      </c>
      <c r="I7847" s="136"/>
      <c r="R7847" s="63" t="str">
        <f t="shared" si="60"/>
        <v>ZSI1_CIRCUIT_ASSYALT_UOM5_SIPI</v>
      </c>
    </row>
    <row r="7848" ht="15.75" customHeight="1">
      <c r="B7848" s="63">
        <f t="shared" si="1"/>
        <v>17</v>
      </c>
      <c r="C7848" s="135" t="s">
        <v>312</v>
      </c>
      <c r="D7848" s="161" t="s">
        <v>74</v>
      </c>
      <c r="E7848" s="135">
        <f t="shared" si="61"/>
        <v>27</v>
      </c>
      <c r="F7848" s="134" t="s">
        <v>3817</v>
      </c>
      <c r="G7848" s="63" t="str">
        <f>VLOOKUP(C7848, 'Class Def. - General Data'!$C$20:$C$1000,1,false)</f>
        <v>ZSI1_CIRCUIT_ASSY</v>
      </c>
      <c r="H7848" s="63" t="str">
        <f>IFERROR(__xludf.DUMMYFUNCTION("VLOOKUP(F7848, IMPORTRANGE(""https://docs.google.com/spreadsheets/d/1Lhp9OU0JdFf_VYSMzH5lBcEaU4o8teT1piV-SNzShjg/edit?gid=554141278#gid=554141278"", ""'Char Def. - Attributes'!C20:C2242""), 1,false)"),"ALT_DENUM_UOM5")</f>
        <v>ALT_DENUM_UOM5</v>
      </c>
      <c r="I7848" s="136"/>
      <c r="R7848" s="63" t="str">
        <f t="shared" si="60"/>
        <v>ZSI1_CIRCUIT_ASSYALT_DENUM_UOM5</v>
      </c>
    </row>
    <row r="7849" ht="15.75" customHeight="1">
      <c r="B7849" s="63">
        <f t="shared" si="1"/>
        <v>17</v>
      </c>
      <c r="C7849" s="135" t="s">
        <v>312</v>
      </c>
      <c r="D7849" s="161" t="s">
        <v>74</v>
      </c>
      <c r="E7849" s="135">
        <f t="shared" si="61"/>
        <v>28</v>
      </c>
      <c r="F7849" s="134" t="s">
        <v>3818</v>
      </c>
      <c r="G7849" s="63" t="str">
        <f>VLOOKUP(C7849, 'Class Def. - General Data'!$C$20:$C$1000,1,false)</f>
        <v>ZSI1_CIRCUIT_ASSY</v>
      </c>
      <c r="H7849" s="63" t="str">
        <f>IFERROR(__xludf.DUMMYFUNCTION("VLOOKUP(F7849, IMPORTRANGE(""https://docs.google.com/spreadsheets/d/1Lhp9OU0JdFf_VYSMzH5lBcEaU4o8teT1piV-SNzShjg/edit?gid=554141278#gid=554141278"", ""'Char Def. - Attributes'!C20:C2242""), 1,false)"),"ALT_NUM_UOM5")</f>
        <v>ALT_NUM_UOM5</v>
      </c>
      <c r="I7849" s="136"/>
      <c r="R7849" s="63" t="str">
        <f t="shared" si="60"/>
        <v>ZSI1_CIRCUIT_ASSYALT_NUM_UOM5</v>
      </c>
    </row>
    <row r="7850" ht="15.75" customHeight="1">
      <c r="B7850" s="63">
        <f t="shared" si="1"/>
        <v>11</v>
      </c>
      <c r="C7850" s="135" t="s">
        <v>338</v>
      </c>
      <c r="D7850" s="161" t="s">
        <v>74</v>
      </c>
      <c r="E7850" s="135">
        <f t="shared" si="61"/>
        <v>1</v>
      </c>
      <c r="F7850" s="134" t="s">
        <v>4247</v>
      </c>
      <c r="G7850" s="63" t="str">
        <f>VLOOKUP(C7850, 'Class Def. - General Data'!$C$20:$C$1000,1,false)</f>
        <v>ZSI1_CLAMPS</v>
      </c>
      <c r="H7850" s="63" t="str">
        <f>IFERROR(__xludf.DUMMYFUNCTION("VLOOKUP(F7850, IMPORTRANGE(""https://docs.google.com/spreadsheets/d/1Lhp9OU0JdFf_VYSMzH5lBcEaU4o8teT1piV-SNzShjg/edit?gid=554141278#gid=554141278"", ""'Char Def. - Attributes'!C20:C2242""), 1,false)"),"ITEM_NAME_CLAMPS")</f>
        <v>ITEM_NAME_CLAMPS</v>
      </c>
      <c r="I7850" s="136"/>
      <c r="R7850" s="63" t="str">
        <f t="shared" si="60"/>
        <v>ZSI1_CLAMPSITEM_NAME_CLAMPS</v>
      </c>
    </row>
    <row r="7851" ht="15.75" customHeight="1">
      <c r="B7851" s="63">
        <f t="shared" si="1"/>
        <v>11</v>
      </c>
      <c r="C7851" s="135" t="s">
        <v>338</v>
      </c>
      <c r="D7851" s="161" t="s">
        <v>74</v>
      </c>
      <c r="E7851" s="135">
        <f t="shared" si="61"/>
        <v>2</v>
      </c>
      <c r="F7851" s="134" t="s">
        <v>4248</v>
      </c>
      <c r="G7851" s="63" t="str">
        <f>VLOOKUP(C7851, 'Class Def. - General Data'!$C$20:$C$1000,1,false)</f>
        <v>ZSI1_CLAMPS</v>
      </c>
      <c r="H7851" s="63" t="str">
        <f>IFERROR(__xludf.DUMMYFUNCTION("VLOOKUP(F7851, IMPORTRANGE(""https://docs.google.com/spreadsheets/d/1Lhp9OU0JdFf_VYSMzH5lBcEaU4o8teT1piV-SNzShjg/edit?gid=554141278#gid=554141278"", ""'Char Def. - Attributes'!C20:C2242""), 1,false)"),"MATERIAL_CLAMPS")</f>
        <v>MATERIAL_CLAMPS</v>
      </c>
      <c r="I7851" s="136"/>
      <c r="R7851" s="63" t="str">
        <f t="shared" si="60"/>
        <v>ZSI1_CLAMPSMATERIAL_CLAMPS</v>
      </c>
    </row>
    <row r="7852" ht="15.75" customHeight="1">
      <c r="B7852" s="63">
        <f t="shared" si="1"/>
        <v>11</v>
      </c>
      <c r="C7852" s="135" t="s">
        <v>338</v>
      </c>
      <c r="D7852" s="161" t="s">
        <v>74</v>
      </c>
      <c r="E7852" s="135">
        <f t="shared" si="61"/>
        <v>3</v>
      </c>
      <c r="F7852" s="134" t="s">
        <v>4249</v>
      </c>
      <c r="G7852" s="63" t="str">
        <f>VLOOKUP(C7852, 'Class Def. - General Data'!$C$20:$C$1000,1,false)</f>
        <v>ZSI1_CLAMPS</v>
      </c>
      <c r="H7852" s="63" t="str">
        <f>IFERROR(__xludf.DUMMYFUNCTION("VLOOKUP(F7852, IMPORTRANGE(""https://docs.google.com/spreadsheets/d/1Lhp9OU0JdFf_VYSMzH5lBcEaU4o8teT1piV-SNzShjg/edit?gid=554141278#gid=554141278"", ""'Char Def. - Attributes'!C20:C2242""), 1,false)"),"DIMENSION_CLAMPS")</f>
        <v>DIMENSION_CLAMPS</v>
      </c>
      <c r="I7852" s="136"/>
      <c r="R7852" s="63" t="str">
        <f t="shared" si="60"/>
        <v>ZSI1_CLAMPSDIMENSION_CLAMPS</v>
      </c>
    </row>
    <row r="7853" ht="15.75" customHeight="1">
      <c r="B7853" s="63">
        <f t="shared" si="1"/>
        <v>11</v>
      </c>
      <c r="C7853" s="135" t="s">
        <v>338</v>
      </c>
      <c r="D7853" s="161" t="s">
        <v>74</v>
      </c>
      <c r="E7853" s="135">
        <f t="shared" si="61"/>
        <v>4</v>
      </c>
      <c r="F7853" s="134" t="s">
        <v>4250</v>
      </c>
      <c r="G7853" s="63" t="str">
        <f>VLOOKUP(C7853, 'Class Def. - General Data'!$C$20:$C$1000,1,false)</f>
        <v>ZSI1_CLAMPS</v>
      </c>
      <c r="H7853" s="63" t="str">
        <f>IFERROR(__xludf.DUMMYFUNCTION("VLOOKUP(F7853, IMPORTRANGE(""https://docs.google.com/spreadsheets/d/1Lhp9OU0JdFf_VYSMzH5lBcEaU4o8teT1piV-SNzShjg/edit?gid=554141278#gid=554141278"", ""'Char Def. - Attributes'!C20:C2242""), 1,false)"),"SIZE_MM_CLAMPS")</f>
        <v>SIZE_MM_CLAMPS</v>
      </c>
      <c r="I7853" s="136"/>
      <c r="R7853" s="63" t="str">
        <f t="shared" si="60"/>
        <v>ZSI1_CLAMPSSIZE_MM_CLAMPS</v>
      </c>
    </row>
    <row r="7854" ht="15.75" customHeight="1">
      <c r="B7854" s="63">
        <f t="shared" si="1"/>
        <v>11</v>
      </c>
      <c r="C7854" s="135" t="s">
        <v>338</v>
      </c>
      <c r="D7854" s="161" t="s">
        <v>74</v>
      </c>
      <c r="E7854" s="135">
        <f t="shared" si="61"/>
        <v>5</v>
      </c>
      <c r="F7854" s="134" t="s">
        <v>4251</v>
      </c>
      <c r="G7854" s="63" t="str">
        <f>VLOOKUP(C7854, 'Class Def. - General Data'!$C$20:$C$1000,1,false)</f>
        <v>ZSI1_CLAMPS</v>
      </c>
      <c r="H7854" s="63" t="str">
        <f>IFERROR(__xludf.DUMMYFUNCTION("VLOOKUP(F7854, IMPORTRANGE(""https://docs.google.com/spreadsheets/d/1Lhp9OU0JdFf_VYSMzH5lBcEaU4o8teT1piV-SNzShjg/edit?gid=554141278#gid=554141278"", ""'Char Def. - Attributes'!C20:C2242""), 1,false)"),"SIZE_INCH_CLAMPS")</f>
        <v>SIZE_INCH_CLAMPS</v>
      </c>
      <c r="I7854" s="136"/>
      <c r="R7854" s="63" t="str">
        <f t="shared" si="60"/>
        <v>ZSI1_CLAMPSSIZE_INCH_CLAMPS</v>
      </c>
    </row>
    <row r="7855" ht="15.75" customHeight="1">
      <c r="B7855" s="63">
        <f t="shared" si="1"/>
        <v>11</v>
      </c>
      <c r="C7855" s="135" t="s">
        <v>338</v>
      </c>
      <c r="D7855" s="161" t="s">
        <v>74</v>
      </c>
      <c r="E7855" s="135">
        <f t="shared" si="61"/>
        <v>6</v>
      </c>
      <c r="F7855" s="134" t="s">
        <v>4252</v>
      </c>
      <c r="G7855" s="63" t="str">
        <f>VLOOKUP(C7855, 'Class Def. - General Data'!$C$20:$C$1000,1,false)</f>
        <v>ZSI1_CLAMPS</v>
      </c>
      <c r="H7855" s="63" t="str">
        <f>IFERROR(__xludf.DUMMYFUNCTION("VLOOKUP(F7855, IMPORTRANGE(""https://docs.google.com/spreadsheets/d/1Lhp9OU0JdFf_VYSMzH5lBcEaU4o8teT1piV-SNzShjg/edit?gid=554141278#gid=554141278"", ""'Char Def. - Attributes'!C20:C2242""), 1,false)"),"FINISHING_CLAMPS")</f>
        <v>FINISHING_CLAMPS</v>
      </c>
      <c r="I7855" s="136"/>
      <c r="R7855" s="63" t="str">
        <f t="shared" si="60"/>
        <v>ZSI1_CLAMPSFINISHING_CLAMPS</v>
      </c>
    </row>
    <row r="7856" ht="15.75" customHeight="1">
      <c r="B7856" s="63">
        <f t="shared" si="1"/>
        <v>11</v>
      </c>
      <c r="C7856" s="135" t="s">
        <v>338</v>
      </c>
      <c r="D7856" s="161" t="s">
        <v>74</v>
      </c>
      <c r="E7856" s="135">
        <f t="shared" si="61"/>
        <v>7</v>
      </c>
      <c r="F7856" s="134" t="s">
        <v>4053</v>
      </c>
      <c r="G7856" s="63" t="str">
        <f>VLOOKUP(C7856, 'Class Def. - General Data'!$C$20:$C$1000,1,false)</f>
        <v>ZSI1_CLAMPS</v>
      </c>
      <c r="H7856" s="63" t="str">
        <f>IFERROR(__xludf.DUMMYFUNCTION("VLOOKUP(F7856, IMPORTRANGE(""https://docs.google.com/spreadsheets/d/1Lhp9OU0JdFf_VYSMzH5lBcEaU4o8teT1piV-SNzShjg/edit?gid=554141278#gid=554141278"", ""'Char Def. - Attributes'!C20:C2242""), 1,false)"),"MAINTENANCE_ORDER_TYPE")</f>
        <v>MAINTENANCE_ORDER_TYPE</v>
      </c>
      <c r="I7856" s="136"/>
      <c r="R7856" s="63" t="str">
        <f t="shared" si="60"/>
        <v>ZSI1_CLAMPSMAINTENANCE_ORDER_TYPE</v>
      </c>
    </row>
    <row r="7857" ht="15.75" customHeight="1">
      <c r="B7857" s="63">
        <f t="shared" si="1"/>
        <v>11</v>
      </c>
      <c r="C7857" s="135" t="s">
        <v>338</v>
      </c>
      <c r="D7857" s="161" t="s">
        <v>74</v>
      </c>
      <c r="E7857" s="135">
        <f t="shared" si="61"/>
        <v>8</v>
      </c>
      <c r="F7857" s="134" t="s">
        <v>3585</v>
      </c>
      <c r="G7857" s="63" t="str">
        <f>VLOOKUP(C7857, 'Class Def. - General Data'!$C$20:$C$1000,1,false)</f>
        <v>ZSI1_CLAMPS</v>
      </c>
      <c r="H7857" s="63" t="str">
        <f>IFERROR(__xludf.DUMMYFUNCTION("VLOOKUP(F7857, IMPORTRANGE(""https://docs.google.com/spreadsheets/d/1Lhp9OU0JdFf_VYSMzH5lBcEaU4o8teT1piV-SNzShjg/edit?gid=554141278#gid=554141278"", ""'Char Def. - Attributes'!C20:C2242""), 1,false)"),"HS_CODE")</f>
        <v>HS_CODE</v>
      </c>
      <c r="I7857" s="136"/>
      <c r="R7857" s="63" t="str">
        <f t="shared" si="60"/>
        <v>ZSI1_CLAMPSHS_CODE</v>
      </c>
    </row>
    <row r="7858" ht="15.75" customHeight="1">
      <c r="B7858" s="63">
        <f t="shared" si="1"/>
        <v>11</v>
      </c>
      <c r="C7858" s="135" t="s">
        <v>338</v>
      </c>
      <c r="D7858" s="161" t="s">
        <v>74</v>
      </c>
      <c r="E7858" s="135">
        <f t="shared" si="61"/>
        <v>9</v>
      </c>
      <c r="F7858" s="134" t="s">
        <v>3587</v>
      </c>
      <c r="G7858" s="63" t="str">
        <f>VLOOKUP(C7858, 'Class Def. - General Data'!$C$20:$C$1000,1,false)</f>
        <v>ZSI1_CLAMPS</v>
      </c>
      <c r="H7858" s="63" t="str">
        <f>IFERROR(__xludf.DUMMYFUNCTION("VLOOKUP(F7858, IMPORTRANGE(""https://docs.google.com/spreadsheets/d/1Lhp9OU0JdFf_VYSMzH5lBcEaU4o8teT1piV-SNzShjg/edit?gid=554141278#gid=554141278"", ""'Char Def. - Attributes'!C20:C2242""), 1,false)"),"PLANT_BUY")</f>
        <v>PLANT_BUY</v>
      </c>
      <c r="I7858" s="136"/>
      <c r="R7858" s="63" t="str">
        <f t="shared" si="60"/>
        <v>ZSI1_CLAMPSPLANT_BUY</v>
      </c>
    </row>
    <row r="7859" ht="15.75" customHeight="1">
      <c r="B7859" s="63">
        <f t="shared" si="1"/>
        <v>11</v>
      </c>
      <c r="C7859" s="135" t="s">
        <v>338</v>
      </c>
      <c r="D7859" s="161" t="s">
        <v>74</v>
      </c>
      <c r="E7859" s="135">
        <f t="shared" si="61"/>
        <v>10</v>
      </c>
      <c r="F7859" s="134" t="s">
        <v>4253</v>
      </c>
      <c r="G7859" s="63" t="str">
        <f>VLOOKUP(C7859, 'Class Def. - General Data'!$C$20:$C$1000,1,false)</f>
        <v>ZSI1_CLAMPS</v>
      </c>
      <c r="H7859" s="63" t="str">
        <f>IFERROR(__xludf.DUMMYFUNCTION("VLOOKUP(F7859, IMPORTRANGE(""https://docs.google.com/spreadsheets/d/1Lhp9OU0JdFf_VYSMzH5lBcEaU4o8teT1piV-SNzShjg/edit?gid=554141278#gid=554141278"", ""'Char Def. - Attributes'!C20:C2242""), 1,false)"),"BASE_UOM_CLAMPS")</f>
        <v>BASE_UOM_CLAMPS</v>
      </c>
      <c r="I7859" s="136"/>
      <c r="R7859" s="63" t="str">
        <f t="shared" si="60"/>
        <v>ZSI1_CLAMPSBASE_UOM_CLAMPS</v>
      </c>
    </row>
    <row r="7860" ht="15.75" customHeight="1">
      <c r="B7860" s="63">
        <f t="shared" si="1"/>
        <v>11</v>
      </c>
      <c r="C7860" s="135" t="s">
        <v>338</v>
      </c>
      <c r="D7860" s="161" t="s">
        <v>74</v>
      </c>
      <c r="E7860" s="135">
        <f t="shared" si="61"/>
        <v>11</v>
      </c>
      <c r="F7860" s="134" t="s">
        <v>4254</v>
      </c>
      <c r="G7860" s="63" t="str">
        <f>VLOOKUP(C7860, 'Class Def. - General Data'!$C$20:$C$1000,1,false)</f>
        <v>ZSI1_CLAMPS</v>
      </c>
      <c r="H7860" s="63" t="str">
        <f>IFERROR(__xludf.DUMMYFUNCTION("VLOOKUP(F7860, IMPORTRANGE(""https://docs.google.com/spreadsheets/d/1Lhp9OU0JdFf_VYSMzH5lBcEaU4o8teT1piV-SNzShjg/edit?gid=554141278#gid=554141278"", ""'Char Def. - Attributes'!C20:C2242""), 1,false)"),"ORDER_UNIT_CLAMPS")</f>
        <v>ORDER_UNIT_CLAMPS</v>
      </c>
      <c r="I7860" s="136"/>
      <c r="R7860" s="63" t="str">
        <f t="shared" si="60"/>
        <v>ZSI1_CLAMPSORDER_UNIT_CLAMPS</v>
      </c>
    </row>
    <row r="7861" ht="15.75" customHeight="1">
      <c r="B7861" s="63">
        <f t="shared" si="1"/>
        <v>11</v>
      </c>
      <c r="C7861" s="135" t="s">
        <v>338</v>
      </c>
      <c r="D7861" s="161" t="s">
        <v>74</v>
      </c>
      <c r="E7861" s="135">
        <f t="shared" si="61"/>
        <v>12</v>
      </c>
      <c r="F7861" s="134" t="s">
        <v>4056</v>
      </c>
      <c r="G7861" s="63" t="str">
        <f>VLOOKUP(C7861, 'Class Def. - General Data'!$C$20:$C$1000,1,false)</f>
        <v>ZSI1_CLAMPS</v>
      </c>
      <c r="H7861" s="63" t="str">
        <f>IFERROR(__xludf.DUMMYFUNCTION("VLOOKUP(F7861, IMPORTRANGE(""https://docs.google.com/spreadsheets/d/1Lhp9OU0JdFf_VYSMzH5lBcEaU4o8teT1piV-SNzShjg/edit?gid=554141278#gid=554141278"", ""'Char Def. - Attributes'!C20:C2242""), 1,false)"),"GROSS_WEIGHT_OPT")</f>
        <v>GROSS_WEIGHT_OPT</v>
      </c>
      <c r="I7861" s="136"/>
      <c r="R7861" s="63" t="str">
        <f t="shared" si="60"/>
        <v>ZSI1_CLAMPSGROSS_WEIGHT_OPT</v>
      </c>
    </row>
    <row r="7862" ht="15.75" customHeight="1">
      <c r="B7862" s="63">
        <f t="shared" si="1"/>
        <v>11</v>
      </c>
      <c r="C7862" s="135" t="s">
        <v>338</v>
      </c>
      <c r="D7862" s="161" t="s">
        <v>74</v>
      </c>
      <c r="E7862" s="135">
        <f t="shared" si="61"/>
        <v>13</v>
      </c>
      <c r="F7862" s="134" t="s">
        <v>4057</v>
      </c>
      <c r="G7862" s="63" t="str">
        <f>VLOOKUP(C7862, 'Class Def. - General Data'!$C$20:$C$1000,1,false)</f>
        <v>ZSI1_CLAMPS</v>
      </c>
      <c r="H7862" s="63" t="str">
        <f>IFERROR(__xludf.DUMMYFUNCTION("VLOOKUP(F7862, IMPORTRANGE(""https://docs.google.com/spreadsheets/d/1Lhp9OU0JdFf_VYSMzH5lBcEaU4o8teT1piV-SNzShjg/edit?gid=554141278#gid=554141278"", ""'Char Def. - Attributes'!C20:C2242""), 1,false)"),"NET_WEIGHT_OPT")</f>
        <v>NET_WEIGHT_OPT</v>
      </c>
      <c r="I7862" s="136"/>
      <c r="R7862" s="63" t="str">
        <f t="shared" si="60"/>
        <v>ZSI1_CLAMPSNET_WEIGHT_OPT</v>
      </c>
    </row>
    <row r="7863" ht="15.75" customHeight="1">
      <c r="B7863" s="63">
        <f t="shared" si="1"/>
        <v>11</v>
      </c>
      <c r="C7863" s="135" t="s">
        <v>338</v>
      </c>
      <c r="D7863" s="161" t="s">
        <v>74</v>
      </c>
      <c r="E7863" s="135">
        <f t="shared" si="61"/>
        <v>14</v>
      </c>
      <c r="F7863" s="134" t="s">
        <v>4058</v>
      </c>
      <c r="G7863" s="63" t="str">
        <f>VLOOKUP(C7863, 'Class Def. - General Data'!$C$20:$C$1000,1,false)</f>
        <v>ZSI1_CLAMPS</v>
      </c>
      <c r="H7863" s="63" t="str">
        <f>IFERROR(__xludf.DUMMYFUNCTION("VLOOKUP(F7863, IMPORTRANGE(""https://docs.google.com/spreadsheets/d/1Lhp9OU0JdFf_VYSMzH5lBcEaU4o8teT1piV-SNzShjg/edit?gid=554141278#gid=554141278"", ""'Char Def. - Attributes'!C20:C2242""), 1,false)"),"WEIGHT_UNIT_SI")</f>
        <v>WEIGHT_UNIT_SI</v>
      </c>
      <c r="I7863" s="136"/>
      <c r="R7863" s="63" t="str">
        <f t="shared" si="60"/>
        <v>ZSI1_CLAMPSWEIGHT_UNIT_SI</v>
      </c>
    </row>
    <row r="7864" ht="15.75" customHeight="1">
      <c r="B7864" s="63">
        <f t="shared" si="1"/>
        <v>11</v>
      </c>
      <c r="C7864" s="135" t="s">
        <v>338</v>
      </c>
      <c r="D7864" s="161" t="s">
        <v>74</v>
      </c>
      <c r="E7864" s="135">
        <f t="shared" si="61"/>
        <v>15</v>
      </c>
      <c r="F7864" s="134" t="s">
        <v>3877</v>
      </c>
      <c r="G7864" s="63" t="str">
        <f>VLOOKUP(C7864, 'Class Def. - General Data'!$C$20:$C$1000,1,false)</f>
        <v>ZSI1_CLAMPS</v>
      </c>
      <c r="H7864" s="63" t="str">
        <f>IFERROR(__xludf.DUMMYFUNCTION("VLOOKUP(F7864, IMPORTRANGE(""https://docs.google.com/spreadsheets/d/1Lhp9OU0JdFf_VYSMzH5lBcEaU4o8teT1piV-SNzShjg/edit?gid=554141278#gid=554141278"", ""'Char Def. - Attributes'!C20:C2242""), 1,false)"),"VOLUME_OPT")</f>
        <v>VOLUME_OPT</v>
      </c>
      <c r="I7864" s="136"/>
      <c r="R7864" s="63" t="str">
        <f t="shared" si="60"/>
        <v>ZSI1_CLAMPSVOLUME_OPT</v>
      </c>
    </row>
    <row r="7865" ht="15.75" customHeight="1">
      <c r="B7865" s="63">
        <f t="shared" si="1"/>
        <v>11</v>
      </c>
      <c r="C7865" s="135" t="s">
        <v>338</v>
      </c>
      <c r="D7865" s="161" t="s">
        <v>74</v>
      </c>
      <c r="E7865" s="135">
        <f t="shared" si="61"/>
        <v>16</v>
      </c>
      <c r="F7865" s="134" t="s">
        <v>4059</v>
      </c>
      <c r="G7865" s="63" t="str">
        <f>VLOOKUP(C7865, 'Class Def. - General Data'!$C$20:$C$1000,1,false)</f>
        <v>ZSI1_CLAMPS</v>
      </c>
      <c r="H7865" s="63" t="str">
        <f>IFERROR(__xludf.DUMMYFUNCTION("VLOOKUP(F7865, IMPORTRANGE(""https://docs.google.com/spreadsheets/d/1Lhp9OU0JdFf_VYSMzH5lBcEaU4o8teT1piV-SNzShjg/edit?gid=554141278#gid=554141278"", ""'Char Def. - Attributes'!C20:C2242""), 1,false)"),"VOLUME_UNIT_SI")</f>
        <v>VOLUME_UNIT_SI</v>
      </c>
      <c r="I7865" s="136"/>
      <c r="R7865" s="63" t="str">
        <f t="shared" si="60"/>
        <v>ZSI1_CLAMPSVOLUME_UNIT_SI</v>
      </c>
    </row>
    <row r="7866" ht="15.75" customHeight="1">
      <c r="B7866" s="63">
        <f t="shared" si="1"/>
        <v>11</v>
      </c>
      <c r="C7866" s="135" t="s">
        <v>338</v>
      </c>
      <c r="D7866" s="161" t="s">
        <v>74</v>
      </c>
      <c r="E7866" s="135">
        <f t="shared" si="61"/>
        <v>17</v>
      </c>
      <c r="F7866" s="134" t="s">
        <v>3804</v>
      </c>
      <c r="G7866" s="63" t="str">
        <f>VLOOKUP(C7866, 'Class Def. - General Data'!$C$20:$C$1000,1,false)</f>
        <v>ZSI1_CLAMPS</v>
      </c>
      <c r="H7866" s="63" t="str">
        <f>IFERROR(__xludf.DUMMYFUNCTION("VLOOKUP(F7866, IMPORTRANGE(""https://docs.google.com/spreadsheets/d/1Lhp9OU0JdFf_VYSMzH5lBcEaU4o8teT1piV-SNzShjg/edit?gid=554141278#gid=554141278"", ""'Char Def. - Attributes'!C20:C2242""), 1,false)"),"ALT_UOM1_SIPI")</f>
        <v>ALT_UOM1_SIPI</v>
      </c>
      <c r="I7866" s="136"/>
      <c r="R7866" s="63" t="str">
        <f t="shared" si="60"/>
        <v>ZSI1_CLAMPSALT_UOM1_SIPI</v>
      </c>
    </row>
    <row r="7867" ht="15.75" customHeight="1">
      <c r="B7867" s="63">
        <f t="shared" si="1"/>
        <v>11</v>
      </c>
      <c r="C7867" s="135" t="s">
        <v>338</v>
      </c>
      <c r="D7867" s="161" t="s">
        <v>74</v>
      </c>
      <c r="E7867" s="135">
        <f t="shared" si="61"/>
        <v>18</v>
      </c>
      <c r="F7867" s="134" t="s">
        <v>3805</v>
      </c>
      <c r="G7867" s="63" t="str">
        <f>VLOOKUP(C7867, 'Class Def. - General Data'!$C$20:$C$1000,1,false)</f>
        <v>ZSI1_CLAMPS</v>
      </c>
      <c r="H7867" s="63" t="str">
        <f>IFERROR(__xludf.DUMMYFUNCTION("VLOOKUP(F7867, IMPORTRANGE(""https://docs.google.com/spreadsheets/d/1Lhp9OU0JdFf_VYSMzH5lBcEaU4o8teT1piV-SNzShjg/edit?gid=554141278#gid=554141278"", ""'Char Def. - Attributes'!C20:C2242""), 1,false)"),"ALT_DENUM_UOM1")</f>
        <v>ALT_DENUM_UOM1</v>
      </c>
      <c r="I7867" s="136"/>
      <c r="R7867" s="63" t="str">
        <f t="shared" si="60"/>
        <v>ZSI1_CLAMPSALT_DENUM_UOM1</v>
      </c>
    </row>
    <row r="7868" ht="15.75" customHeight="1">
      <c r="B7868" s="63">
        <f t="shared" si="1"/>
        <v>11</v>
      </c>
      <c r="C7868" s="135" t="s">
        <v>338</v>
      </c>
      <c r="D7868" s="161" t="s">
        <v>74</v>
      </c>
      <c r="E7868" s="135">
        <f t="shared" si="61"/>
        <v>19</v>
      </c>
      <c r="F7868" s="134" t="s">
        <v>3806</v>
      </c>
      <c r="G7868" s="63" t="str">
        <f>VLOOKUP(C7868, 'Class Def. - General Data'!$C$20:$C$1000,1,false)</f>
        <v>ZSI1_CLAMPS</v>
      </c>
      <c r="H7868" s="63" t="str">
        <f>IFERROR(__xludf.DUMMYFUNCTION("VLOOKUP(F7868, IMPORTRANGE(""https://docs.google.com/spreadsheets/d/1Lhp9OU0JdFf_VYSMzH5lBcEaU4o8teT1piV-SNzShjg/edit?gid=554141278#gid=554141278"", ""'Char Def. - Attributes'!C20:C2242""), 1,false)"),"ALT_NUM_UOM1")</f>
        <v>ALT_NUM_UOM1</v>
      </c>
      <c r="I7868" s="136"/>
      <c r="R7868" s="63" t="str">
        <f t="shared" si="60"/>
        <v>ZSI1_CLAMPSALT_NUM_UOM1</v>
      </c>
    </row>
    <row r="7869" ht="15.75" customHeight="1">
      <c r="B7869" s="63">
        <f t="shared" si="1"/>
        <v>11</v>
      </c>
      <c r="C7869" s="135" t="s">
        <v>338</v>
      </c>
      <c r="D7869" s="161" t="s">
        <v>74</v>
      </c>
      <c r="E7869" s="135">
        <f t="shared" si="61"/>
        <v>20</v>
      </c>
      <c r="F7869" s="134" t="s">
        <v>3807</v>
      </c>
      <c r="G7869" s="63" t="str">
        <f>VLOOKUP(C7869, 'Class Def. - General Data'!$C$20:$C$1000,1,false)</f>
        <v>ZSI1_CLAMPS</v>
      </c>
      <c r="H7869" s="63" t="str">
        <f>IFERROR(__xludf.DUMMYFUNCTION("VLOOKUP(F7869, IMPORTRANGE(""https://docs.google.com/spreadsheets/d/1Lhp9OU0JdFf_VYSMzH5lBcEaU4o8teT1piV-SNzShjg/edit?gid=554141278#gid=554141278"", ""'Char Def. - Attributes'!C20:C2242""), 1,false)"),"ALT_UOM2_SIPI")</f>
        <v>ALT_UOM2_SIPI</v>
      </c>
      <c r="I7869" s="136"/>
      <c r="R7869" s="63" t="str">
        <f t="shared" si="60"/>
        <v>ZSI1_CLAMPSALT_UOM2_SIPI</v>
      </c>
    </row>
    <row r="7870" ht="15.75" customHeight="1">
      <c r="B7870" s="63">
        <f t="shared" si="1"/>
        <v>11</v>
      </c>
      <c r="C7870" s="135" t="s">
        <v>338</v>
      </c>
      <c r="D7870" s="161" t="s">
        <v>74</v>
      </c>
      <c r="E7870" s="135">
        <f t="shared" si="61"/>
        <v>21</v>
      </c>
      <c r="F7870" s="134" t="s">
        <v>3808</v>
      </c>
      <c r="G7870" s="63" t="str">
        <f>VLOOKUP(C7870, 'Class Def. - General Data'!$C$20:$C$1000,1,false)</f>
        <v>ZSI1_CLAMPS</v>
      </c>
      <c r="H7870" s="63" t="str">
        <f>IFERROR(__xludf.DUMMYFUNCTION("VLOOKUP(F7870, IMPORTRANGE(""https://docs.google.com/spreadsheets/d/1Lhp9OU0JdFf_VYSMzH5lBcEaU4o8teT1piV-SNzShjg/edit?gid=554141278#gid=554141278"", ""'Char Def. - Attributes'!C20:C2242""), 1,false)"),"ALT_DENUM_UOM2")</f>
        <v>ALT_DENUM_UOM2</v>
      </c>
      <c r="I7870" s="136"/>
      <c r="R7870" s="63" t="str">
        <f t="shared" si="60"/>
        <v>ZSI1_CLAMPSALT_DENUM_UOM2</v>
      </c>
    </row>
    <row r="7871" ht="15.75" customHeight="1">
      <c r="B7871" s="63">
        <f t="shared" si="1"/>
        <v>11</v>
      </c>
      <c r="C7871" s="135" t="s">
        <v>338</v>
      </c>
      <c r="D7871" s="161" t="s">
        <v>74</v>
      </c>
      <c r="E7871" s="135">
        <f t="shared" si="61"/>
        <v>22</v>
      </c>
      <c r="F7871" s="134" t="s">
        <v>3809</v>
      </c>
      <c r="G7871" s="63" t="str">
        <f>VLOOKUP(C7871, 'Class Def. - General Data'!$C$20:$C$1000,1,false)</f>
        <v>ZSI1_CLAMPS</v>
      </c>
      <c r="H7871" s="63" t="str">
        <f>IFERROR(__xludf.DUMMYFUNCTION("VLOOKUP(F7871, IMPORTRANGE(""https://docs.google.com/spreadsheets/d/1Lhp9OU0JdFf_VYSMzH5lBcEaU4o8teT1piV-SNzShjg/edit?gid=554141278#gid=554141278"", ""'Char Def. - Attributes'!C20:C2242""), 1,false)"),"ALT_NUM_UOM2")</f>
        <v>ALT_NUM_UOM2</v>
      </c>
      <c r="I7871" s="136"/>
      <c r="R7871" s="63" t="str">
        <f t="shared" si="60"/>
        <v>ZSI1_CLAMPSALT_NUM_UOM2</v>
      </c>
    </row>
    <row r="7872" ht="15.75" customHeight="1">
      <c r="B7872" s="63">
        <f t="shared" si="1"/>
        <v>11</v>
      </c>
      <c r="C7872" s="135" t="s">
        <v>338</v>
      </c>
      <c r="D7872" s="161" t="s">
        <v>74</v>
      </c>
      <c r="E7872" s="135">
        <f t="shared" si="61"/>
        <v>23</v>
      </c>
      <c r="F7872" s="134" t="s">
        <v>3810</v>
      </c>
      <c r="G7872" s="63" t="str">
        <f>VLOOKUP(C7872, 'Class Def. - General Data'!$C$20:$C$1000,1,false)</f>
        <v>ZSI1_CLAMPS</v>
      </c>
      <c r="H7872" s="63" t="str">
        <f>IFERROR(__xludf.DUMMYFUNCTION("VLOOKUP(F7872, IMPORTRANGE(""https://docs.google.com/spreadsheets/d/1Lhp9OU0JdFf_VYSMzH5lBcEaU4o8teT1piV-SNzShjg/edit?gid=554141278#gid=554141278"", ""'Char Def. - Attributes'!C20:C2242""), 1,false)"),"ALT_UOM3_SIPI")</f>
        <v>ALT_UOM3_SIPI</v>
      </c>
      <c r="I7872" s="136"/>
      <c r="R7872" s="63" t="str">
        <f t="shared" si="60"/>
        <v>ZSI1_CLAMPSALT_UOM3_SIPI</v>
      </c>
    </row>
    <row r="7873" ht="15.75" customHeight="1">
      <c r="B7873" s="63">
        <f t="shared" si="1"/>
        <v>11</v>
      </c>
      <c r="C7873" s="135" t="s">
        <v>338</v>
      </c>
      <c r="D7873" s="161" t="s">
        <v>74</v>
      </c>
      <c r="E7873" s="135">
        <f t="shared" si="61"/>
        <v>24</v>
      </c>
      <c r="F7873" s="134" t="s">
        <v>3811</v>
      </c>
      <c r="G7873" s="63" t="str">
        <f>VLOOKUP(C7873, 'Class Def. - General Data'!$C$20:$C$1000,1,false)</f>
        <v>ZSI1_CLAMPS</v>
      </c>
      <c r="H7873" s="63" t="str">
        <f>IFERROR(__xludf.DUMMYFUNCTION("VLOOKUP(F7873, IMPORTRANGE(""https://docs.google.com/spreadsheets/d/1Lhp9OU0JdFf_VYSMzH5lBcEaU4o8teT1piV-SNzShjg/edit?gid=554141278#gid=554141278"", ""'Char Def. - Attributes'!C20:C2242""), 1,false)"),"ALT_DENUM_UOM3")</f>
        <v>ALT_DENUM_UOM3</v>
      </c>
      <c r="I7873" s="136"/>
      <c r="R7873" s="63" t="str">
        <f t="shared" si="60"/>
        <v>ZSI1_CLAMPSALT_DENUM_UOM3</v>
      </c>
    </row>
    <row r="7874" ht="15.75" customHeight="1">
      <c r="B7874" s="63">
        <f t="shared" si="1"/>
        <v>11</v>
      </c>
      <c r="C7874" s="135" t="s">
        <v>338</v>
      </c>
      <c r="D7874" s="161" t="s">
        <v>74</v>
      </c>
      <c r="E7874" s="135">
        <f t="shared" si="61"/>
        <v>25</v>
      </c>
      <c r="F7874" s="134" t="s">
        <v>3812</v>
      </c>
      <c r="G7874" s="63" t="str">
        <f>VLOOKUP(C7874, 'Class Def. - General Data'!$C$20:$C$1000,1,false)</f>
        <v>ZSI1_CLAMPS</v>
      </c>
      <c r="H7874" s="63" t="str">
        <f>IFERROR(__xludf.DUMMYFUNCTION("VLOOKUP(F7874, IMPORTRANGE(""https://docs.google.com/spreadsheets/d/1Lhp9OU0JdFf_VYSMzH5lBcEaU4o8teT1piV-SNzShjg/edit?gid=554141278#gid=554141278"", ""'Char Def. - Attributes'!C20:C2242""), 1,false)"),"ALT_NUM_UOM3")</f>
        <v>ALT_NUM_UOM3</v>
      </c>
      <c r="I7874" s="136"/>
      <c r="R7874" s="63" t="str">
        <f t="shared" si="60"/>
        <v>ZSI1_CLAMPSALT_NUM_UOM3</v>
      </c>
    </row>
    <row r="7875" ht="15.75" customHeight="1">
      <c r="B7875" s="63">
        <f t="shared" si="1"/>
        <v>11</v>
      </c>
      <c r="C7875" s="135" t="s">
        <v>338</v>
      </c>
      <c r="D7875" s="161" t="s">
        <v>74</v>
      </c>
      <c r="E7875" s="135">
        <f t="shared" si="61"/>
        <v>26</v>
      </c>
      <c r="F7875" s="134" t="s">
        <v>3813</v>
      </c>
      <c r="G7875" s="63" t="str">
        <f>VLOOKUP(C7875, 'Class Def. - General Data'!$C$20:$C$1000,1,false)</f>
        <v>ZSI1_CLAMPS</v>
      </c>
      <c r="H7875" s="63" t="str">
        <f>IFERROR(__xludf.DUMMYFUNCTION("VLOOKUP(F7875, IMPORTRANGE(""https://docs.google.com/spreadsheets/d/1Lhp9OU0JdFf_VYSMzH5lBcEaU4o8teT1piV-SNzShjg/edit?gid=554141278#gid=554141278"", ""'Char Def. - Attributes'!C20:C2242""), 1,false)"),"ALT_UOM4_SIPI")</f>
        <v>ALT_UOM4_SIPI</v>
      </c>
      <c r="I7875" s="136"/>
      <c r="R7875" s="63" t="str">
        <f t="shared" si="60"/>
        <v>ZSI1_CLAMPSALT_UOM4_SIPI</v>
      </c>
    </row>
    <row r="7876" ht="15.75" customHeight="1">
      <c r="B7876" s="63">
        <f t="shared" si="1"/>
        <v>11</v>
      </c>
      <c r="C7876" s="135" t="s">
        <v>338</v>
      </c>
      <c r="D7876" s="161" t="s">
        <v>74</v>
      </c>
      <c r="E7876" s="135">
        <f t="shared" si="61"/>
        <v>27</v>
      </c>
      <c r="F7876" s="134" t="s">
        <v>3814</v>
      </c>
      <c r="G7876" s="63" t="str">
        <f>VLOOKUP(C7876, 'Class Def. - General Data'!$C$20:$C$1000,1,false)</f>
        <v>ZSI1_CLAMPS</v>
      </c>
      <c r="H7876" s="63" t="str">
        <f>IFERROR(__xludf.DUMMYFUNCTION("VLOOKUP(F7876, IMPORTRANGE(""https://docs.google.com/spreadsheets/d/1Lhp9OU0JdFf_VYSMzH5lBcEaU4o8teT1piV-SNzShjg/edit?gid=554141278#gid=554141278"", ""'Char Def. - Attributes'!C20:C2242""), 1,false)"),"ALT_DENUM_UOM4")</f>
        <v>ALT_DENUM_UOM4</v>
      </c>
      <c r="I7876" s="136"/>
      <c r="R7876" s="63" t="str">
        <f t="shared" si="60"/>
        <v>ZSI1_CLAMPSALT_DENUM_UOM4</v>
      </c>
    </row>
    <row r="7877" ht="15.75" customHeight="1">
      <c r="B7877" s="63">
        <f t="shared" si="1"/>
        <v>11</v>
      </c>
      <c r="C7877" s="135" t="s">
        <v>338</v>
      </c>
      <c r="D7877" s="161" t="s">
        <v>74</v>
      </c>
      <c r="E7877" s="135">
        <f t="shared" si="61"/>
        <v>28</v>
      </c>
      <c r="F7877" s="134" t="s">
        <v>3815</v>
      </c>
      <c r="G7877" s="63" t="str">
        <f>VLOOKUP(C7877, 'Class Def. - General Data'!$C$20:$C$1000,1,false)</f>
        <v>ZSI1_CLAMPS</v>
      </c>
      <c r="H7877" s="63" t="str">
        <f>IFERROR(__xludf.DUMMYFUNCTION("VLOOKUP(F7877, IMPORTRANGE(""https://docs.google.com/spreadsheets/d/1Lhp9OU0JdFf_VYSMzH5lBcEaU4o8teT1piV-SNzShjg/edit?gid=554141278#gid=554141278"", ""'Char Def. - Attributes'!C20:C2242""), 1,false)"),"ALT_NUM_UOM4")</f>
        <v>ALT_NUM_UOM4</v>
      </c>
      <c r="I7877" s="136"/>
      <c r="R7877" s="63" t="str">
        <f t="shared" si="60"/>
        <v>ZSI1_CLAMPSALT_NUM_UOM4</v>
      </c>
    </row>
    <row r="7878" ht="15.75" customHeight="1">
      <c r="B7878" s="63">
        <f t="shared" si="1"/>
        <v>11</v>
      </c>
      <c r="C7878" s="135" t="s">
        <v>338</v>
      </c>
      <c r="D7878" s="161" t="s">
        <v>74</v>
      </c>
      <c r="E7878" s="135">
        <f t="shared" si="61"/>
        <v>29</v>
      </c>
      <c r="F7878" s="134" t="s">
        <v>3816</v>
      </c>
      <c r="G7878" s="63" t="str">
        <f>VLOOKUP(C7878, 'Class Def. - General Data'!$C$20:$C$1000,1,false)</f>
        <v>ZSI1_CLAMPS</v>
      </c>
      <c r="H7878" s="63" t="str">
        <f>IFERROR(__xludf.DUMMYFUNCTION("VLOOKUP(F7878, IMPORTRANGE(""https://docs.google.com/spreadsheets/d/1Lhp9OU0JdFf_VYSMzH5lBcEaU4o8teT1piV-SNzShjg/edit?gid=554141278#gid=554141278"", ""'Char Def. - Attributes'!C20:C2242""), 1,false)"),"ALT_UOM5_SIPI")</f>
        <v>ALT_UOM5_SIPI</v>
      </c>
      <c r="I7878" s="136"/>
      <c r="R7878" s="63" t="str">
        <f t="shared" si="60"/>
        <v>ZSI1_CLAMPSALT_UOM5_SIPI</v>
      </c>
    </row>
    <row r="7879" ht="15.75" customHeight="1">
      <c r="B7879" s="63">
        <f t="shared" si="1"/>
        <v>11</v>
      </c>
      <c r="C7879" s="135" t="s">
        <v>338</v>
      </c>
      <c r="D7879" s="161" t="s">
        <v>74</v>
      </c>
      <c r="E7879" s="135">
        <f t="shared" si="61"/>
        <v>30</v>
      </c>
      <c r="F7879" s="134" t="s">
        <v>3817</v>
      </c>
      <c r="G7879" s="63" t="str">
        <f>VLOOKUP(C7879, 'Class Def. - General Data'!$C$20:$C$1000,1,false)</f>
        <v>ZSI1_CLAMPS</v>
      </c>
      <c r="H7879" s="63" t="str">
        <f>IFERROR(__xludf.DUMMYFUNCTION("VLOOKUP(F7879, IMPORTRANGE(""https://docs.google.com/spreadsheets/d/1Lhp9OU0JdFf_VYSMzH5lBcEaU4o8teT1piV-SNzShjg/edit?gid=554141278#gid=554141278"", ""'Char Def. - Attributes'!C20:C2242""), 1,false)"),"ALT_DENUM_UOM5")</f>
        <v>ALT_DENUM_UOM5</v>
      </c>
      <c r="I7879" s="136"/>
      <c r="R7879" s="63" t="str">
        <f t="shared" si="60"/>
        <v>ZSI1_CLAMPSALT_DENUM_UOM5</v>
      </c>
    </row>
    <row r="7880" ht="15.75" customHeight="1">
      <c r="B7880" s="63">
        <f t="shared" si="1"/>
        <v>11</v>
      </c>
      <c r="C7880" s="135" t="s">
        <v>338</v>
      </c>
      <c r="D7880" s="161" t="s">
        <v>74</v>
      </c>
      <c r="E7880" s="135">
        <f t="shared" si="61"/>
        <v>31</v>
      </c>
      <c r="F7880" s="134" t="s">
        <v>3818</v>
      </c>
      <c r="G7880" s="63" t="str">
        <f>VLOOKUP(C7880, 'Class Def. - General Data'!$C$20:$C$1000,1,false)</f>
        <v>ZSI1_CLAMPS</v>
      </c>
      <c r="H7880" s="63" t="str">
        <f>IFERROR(__xludf.DUMMYFUNCTION("VLOOKUP(F7880, IMPORTRANGE(""https://docs.google.com/spreadsheets/d/1Lhp9OU0JdFf_VYSMzH5lBcEaU4o8teT1piV-SNzShjg/edit?gid=554141278#gid=554141278"", ""'Char Def. - Attributes'!C20:C2242""), 1,false)"),"ALT_NUM_UOM5")</f>
        <v>ALT_NUM_UOM5</v>
      </c>
      <c r="I7880" s="136"/>
      <c r="R7880" s="63" t="str">
        <f t="shared" si="60"/>
        <v>ZSI1_CLAMPSALT_NUM_UOM5</v>
      </c>
    </row>
    <row r="7881" ht="15.75" customHeight="1">
      <c r="B7881" s="63">
        <f t="shared" si="1"/>
        <v>17</v>
      </c>
      <c r="C7881" s="135" t="s">
        <v>366</v>
      </c>
      <c r="D7881" s="161" t="s">
        <v>74</v>
      </c>
      <c r="E7881" s="135">
        <f t="shared" si="61"/>
        <v>1</v>
      </c>
      <c r="F7881" s="134" t="s">
        <v>4255</v>
      </c>
      <c r="G7881" s="63" t="str">
        <f>VLOOKUP(C7881, 'Class Def. - General Data'!$C$20:$C$1000,1,false)</f>
        <v>ZSI1_CLEANING_EQP</v>
      </c>
      <c r="H7881" s="63" t="str">
        <f>IFERROR(__xludf.DUMMYFUNCTION("VLOOKUP(F7881, IMPORTRANGE(""https://docs.google.com/spreadsheets/d/1Lhp9OU0JdFf_VYSMzH5lBcEaU4o8teT1piV-SNzShjg/edit?gid=554141278#gid=554141278"", ""'Char Def. - Attributes'!C20:C2242""), 1,false)"),"ITEM_NAME_CLEANING_EQP")</f>
        <v>ITEM_NAME_CLEANING_EQP</v>
      </c>
      <c r="I7881" s="136"/>
      <c r="R7881" s="63" t="str">
        <f t="shared" si="60"/>
        <v>ZSI1_CLEANING_EQPITEM_NAME_CLEANING_EQP</v>
      </c>
    </row>
    <row r="7882" ht="15.75" customHeight="1">
      <c r="B7882" s="63">
        <f t="shared" si="1"/>
        <v>17</v>
      </c>
      <c r="C7882" s="135" t="s">
        <v>366</v>
      </c>
      <c r="D7882" s="161" t="s">
        <v>74</v>
      </c>
      <c r="E7882" s="135">
        <f t="shared" si="61"/>
        <v>2</v>
      </c>
      <c r="F7882" s="134" t="s">
        <v>4256</v>
      </c>
      <c r="G7882" s="63" t="str">
        <f>VLOOKUP(C7882, 'Class Def. - General Data'!$C$20:$C$1000,1,false)</f>
        <v>ZSI1_CLEANING_EQP</v>
      </c>
      <c r="H7882" s="63" t="str">
        <f>IFERROR(__xludf.DUMMYFUNCTION("VLOOKUP(F7882, IMPORTRANGE(""https://docs.google.com/spreadsheets/d/1Lhp9OU0JdFf_VYSMzH5lBcEaU4o8teT1piV-SNzShjg/edit?gid=554141278#gid=554141278"", ""'Char Def. - Attributes'!C20:C2242""), 1,false)"),"SERIES_CLEANING_EQP")</f>
        <v>SERIES_CLEANING_EQP</v>
      </c>
      <c r="I7882" s="136"/>
      <c r="R7882" s="63" t="str">
        <f t="shared" si="60"/>
        <v>ZSI1_CLEANING_EQPSERIES_CLEANING_EQP</v>
      </c>
    </row>
    <row r="7883" ht="15.75" customHeight="1">
      <c r="B7883" s="63">
        <f t="shared" si="1"/>
        <v>17</v>
      </c>
      <c r="C7883" s="135" t="s">
        <v>366</v>
      </c>
      <c r="D7883" s="161" t="s">
        <v>74</v>
      </c>
      <c r="E7883" s="135">
        <f t="shared" si="61"/>
        <v>3</v>
      </c>
      <c r="F7883" s="134" t="s">
        <v>3782</v>
      </c>
      <c r="G7883" s="63" t="str">
        <f>VLOOKUP(C7883, 'Class Def. - General Data'!$C$20:$C$1000,1,false)</f>
        <v>ZSI1_CLEANING_EQP</v>
      </c>
      <c r="H7883" s="63" t="str">
        <f>IFERROR(__xludf.DUMMYFUNCTION("VLOOKUP(F7883, IMPORTRANGE(""https://docs.google.com/spreadsheets/d/1Lhp9OU0JdFf_VYSMzH5lBcEaU4o8teT1piV-SNzShjg/edit?gid=554141278#gid=554141278"", ""'Char Def. - Attributes'!C20:C2242""), 1,false)"),"BRAND_EXTERNAL")</f>
        <v>BRAND_EXTERNAL</v>
      </c>
      <c r="I7883" s="136"/>
      <c r="R7883" s="63" t="str">
        <f t="shared" si="60"/>
        <v>ZSI1_CLEANING_EQPBRAND_EXTERNAL</v>
      </c>
    </row>
    <row r="7884" ht="15.75" customHeight="1">
      <c r="B7884" s="63">
        <f t="shared" si="1"/>
        <v>17</v>
      </c>
      <c r="C7884" s="135" t="s">
        <v>366</v>
      </c>
      <c r="D7884" s="161" t="s">
        <v>74</v>
      </c>
      <c r="E7884" s="135">
        <f t="shared" si="61"/>
        <v>4</v>
      </c>
      <c r="F7884" s="134" t="s">
        <v>4053</v>
      </c>
      <c r="G7884" s="63" t="str">
        <f>VLOOKUP(C7884, 'Class Def. - General Data'!$C$20:$C$1000,1,false)</f>
        <v>ZSI1_CLEANING_EQP</v>
      </c>
      <c r="H7884" s="63" t="str">
        <f>IFERROR(__xludf.DUMMYFUNCTION("VLOOKUP(F7884, IMPORTRANGE(""https://docs.google.com/spreadsheets/d/1Lhp9OU0JdFf_VYSMzH5lBcEaU4o8teT1piV-SNzShjg/edit?gid=554141278#gid=554141278"", ""'Char Def. - Attributes'!C20:C2242""), 1,false)"),"MAINTENANCE_ORDER_TYPE")</f>
        <v>MAINTENANCE_ORDER_TYPE</v>
      </c>
      <c r="I7884" s="136"/>
      <c r="R7884" s="63" t="str">
        <f t="shared" si="60"/>
        <v>ZSI1_CLEANING_EQPMAINTENANCE_ORDER_TYPE</v>
      </c>
    </row>
    <row r="7885" ht="15.75" customHeight="1">
      <c r="B7885" s="63">
        <f t="shared" si="1"/>
        <v>17</v>
      </c>
      <c r="C7885" s="135" t="s">
        <v>366</v>
      </c>
      <c r="D7885" s="161" t="s">
        <v>74</v>
      </c>
      <c r="E7885" s="135">
        <f t="shared" si="61"/>
        <v>5</v>
      </c>
      <c r="F7885" s="134" t="s">
        <v>3585</v>
      </c>
      <c r="G7885" s="63" t="str">
        <f>VLOOKUP(C7885, 'Class Def. - General Data'!$C$20:$C$1000,1,false)</f>
        <v>ZSI1_CLEANING_EQP</v>
      </c>
      <c r="H7885" s="63" t="str">
        <f>IFERROR(__xludf.DUMMYFUNCTION("VLOOKUP(F7885, IMPORTRANGE(""https://docs.google.com/spreadsheets/d/1Lhp9OU0JdFf_VYSMzH5lBcEaU4o8teT1piV-SNzShjg/edit?gid=554141278#gid=554141278"", ""'Char Def. - Attributes'!C20:C2242""), 1,false)"),"HS_CODE")</f>
        <v>HS_CODE</v>
      </c>
      <c r="I7885" s="136"/>
      <c r="R7885" s="63" t="str">
        <f t="shared" si="60"/>
        <v>ZSI1_CLEANING_EQPHS_CODE</v>
      </c>
    </row>
    <row r="7886" ht="15.75" customHeight="1">
      <c r="B7886" s="63">
        <f t="shared" si="1"/>
        <v>17</v>
      </c>
      <c r="C7886" s="135" t="s">
        <v>366</v>
      </c>
      <c r="D7886" s="161" t="s">
        <v>74</v>
      </c>
      <c r="E7886" s="135">
        <f t="shared" si="61"/>
        <v>6</v>
      </c>
      <c r="F7886" s="134" t="s">
        <v>3587</v>
      </c>
      <c r="G7886" s="63" t="str">
        <f>VLOOKUP(C7886, 'Class Def. - General Data'!$C$20:$C$1000,1,false)</f>
        <v>ZSI1_CLEANING_EQP</v>
      </c>
      <c r="H7886" s="63" t="str">
        <f>IFERROR(__xludf.DUMMYFUNCTION("VLOOKUP(F7886, IMPORTRANGE(""https://docs.google.com/spreadsheets/d/1Lhp9OU0JdFf_VYSMzH5lBcEaU4o8teT1piV-SNzShjg/edit?gid=554141278#gid=554141278"", ""'Char Def. - Attributes'!C20:C2242""), 1,false)"),"PLANT_BUY")</f>
        <v>PLANT_BUY</v>
      </c>
      <c r="I7886" s="136"/>
      <c r="R7886" s="63" t="str">
        <f t="shared" si="60"/>
        <v>ZSI1_CLEANING_EQPPLANT_BUY</v>
      </c>
    </row>
    <row r="7887" ht="15.75" customHeight="1">
      <c r="B7887" s="63">
        <f t="shared" si="1"/>
        <v>17</v>
      </c>
      <c r="C7887" s="135" t="s">
        <v>366</v>
      </c>
      <c r="D7887" s="161" t="s">
        <v>74</v>
      </c>
      <c r="E7887" s="135">
        <f t="shared" si="61"/>
        <v>7</v>
      </c>
      <c r="F7887" s="134" t="s">
        <v>4257</v>
      </c>
      <c r="G7887" s="63" t="str">
        <f>VLOOKUP(C7887, 'Class Def. - General Data'!$C$20:$C$1000,1,false)</f>
        <v>ZSI1_CLEANING_EQP</v>
      </c>
      <c r="H7887" s="63" t="str">
        <f>IFERROR(__xludf.DUMMYFUNCTION("VLOOKUP(F7887, IMPORTRANGE(""https://docs.google.com/spreadsheets/d/1Lhp9OU0JdFf_VYSMzH5lBcEaU4o8teT1piV-SNzShjg/edit?gid=554141278#gid=554141278"", ""'Char Def. - Attributes'!C20:C2242""), 1,false)"),"BASE_UOM_CLEANING_EQP")</f>
        <v>BASE_UOM_CLEANING_EQP</v>
      </c>
      <c r="I7887" s="136"/>
      <c r="R7887" s="63" t="str">
        <f t="shared" si="60"/>
        <v>ZSI1_CLEANING_EQPBASE_UOM_CLEANING_EQP</v>
      </c>
    </row>
    <row r="7888" ht="15.75" customHeight="1">
      <c r="B7888" s="63">
        <f t="shared" si="1"/>
        <v>17</v>
      </c>
      <c r="C7888" s="135" t="s">
        <v>366</v>
      </c>
      <c r="D7888" s="161" t="s">
        <v>74</v>
      </c>
      <c r="E7888" s="135">
        <f t="shared" si="61"/>
        <v>8</v>
      </c>
      <c r="F7888" s="134" t="s">
        <v>4258</v>
      </c>
      <c r="G7888" s="63" t="str">
        <f>VLOOKUP(C7888, 'Class Def. - General Data'!$C$20:$C$1000,1,false)</f>
        <v>ZSI1_CLEANING_EQP</v>
      </c>
      <c r="H7888" s="63" t="str">
        <f>IFERROR(__xludf.DUMMYFUNCTION("VLOOKUP(F7888, IMPORTRANGE(""https://docs.google.com/spreadsheets/d/1Lhp9OU0JdFf_VYSMzH5lBcEaU4o8teT1piV-SNzShjg/edit?gid=554141278#gid=554141278"", ""'Char Def. - Attributes'!C20:C2242""), 1,false)"),"ORDER_UNIT_CLEANING_EQP")</f>
        <v>ORDER_UNIT_CLEANING_EQP</v>
      </c>
      <c r="I7888" s="136"/>
      <c r="R7888" s="63" t="str">
        <f t="shared" si="60"/>
        <v>ZSI1_CLEANING_EQPORDER_UNIT_CLEANING_EQP</v>
      </c>
    </row>
    <row r="7889" ht="15.75" customHeight="1">
      <c r="B7889" s="63">
        <f t="shared" si="1"/>
        <v>17</v>
      </c>
      <c r="C7889" s="135" t="s">
        <v>366</v>
      </c>
      <c r="D7889" s="161" t="s">
        <v>74</v>
      </c>
      <c r="E7889" s="135">
        <f t="shared" si="61"/>
        <v>9</v>
      </c>
      <c r="F7889" s="134" t="s">
        <v>4056</v>
      </c>
      <c r="G7889" s="63" t="str">
        <f>VLOOKUP(C7889, 'Class Def. - General Data'!$C$20:$C$1000,1,false)</f>
        <v>ZSI1_CLEANING_EQP</v>
      </c>
      <c r="H7889" s="63" t="str">
        <f>IFERROR(__xludf.DUMMYFUNCTION("VLOOKUP(F7889, IMPORTRANGE(""https://docs.google.com/spreadsheets/d/1Lhp9OU0JdFf_VYSMzH5lBcEaU4o8teT1piV-SNzShjg/edit?gid=554141278#gid=554141278"", ""'Char Def. - Attributes'!C20:C2242""), 1,false)"),"GROSS_WEIGHT_OPT")</f>
        <v>GROSS_WEIGHT_OPT</v>
      </c>
      <c r="I7889" s="136"/>
      <c r="R7889" s="63" t="str">
        <f t="shared" si="60"/>
        <v>ZSI1_CLEANING_EQPGROSS_WEIGHT_OPT</v>
      </c>
    </row>
    <row r="7890" ht="15.75" customHeight="1">
      <c r="B7890" s="63">
        <f t="shared" si="1"/>
        <v>17</v>
      </c>
      <c r="C7890" s="135" t="s">
        <v>366</v>
      </c>
      <c r="D7890" s="161" t="s">
        <v>74</v>
      </c>
      <c r="E7890" s="135">
        <f t="shared" si="61"/>
        <v>10</v>
      </c>
      <c r="F7890" s="134" t="s">
        <v>4057</v>
      </c>
      <c r="G7890" s="63" t="str">
        <f>VLOOKUP(C7890, 'Class Def. - General Data'!$C$20:$C$1000,1,false)</f>
        <v>ZSI1_CLEANING_EQP</v>
      </c>
      <c r="H7890" s="63" t="str">
        <f>IFERROR(__xludf.DUMMYFUNCTION("VLOOKUP(F7890, IMPORTRANGE(""https://docs.google.com/spreadsheets/d/1Lhp9OU0JdFf_VYSMzH5lBcEaU4o8teT1piV-SNzShjg/edit?gid=554141278#gid=554141278"", ""'Char Def. - Attributes'!C20:C2242""), 1,false)"),"NET_WEIGHT_OPT")</f>
        <v>NET_WEIGHT_OPT</v>
      </c>
      <c r="I7890" s="136"/>
      <c r="R7890" s="63" t="str">
        <f t="shared" si="60"/>
        <v>ZSI1_CLEANING_EQPNET_WEIGHT_OPT</v>
      </c>
    </row>
    <row r="7891" ht="15.75" customHeight="1">
      <c r="B7891" s="63">
        <f t="shared" si="1"/>
        <v>17</v>
      </c>
      <c r="C7891" s="135" t="s">
        <v>366</v>
      </c>
      <c r="D7891" s="161" t="s">
        <v>74</v>
      </c>
      <c r="E7891" s="135">
        <f t="shared" si="61"/>
        <v>11</v>
      </c>
      <c r="F7891" s="134" t="s">
        <v>4058</v>
      </c>
      <c r="G7891" s="63" t="str">
        <f>VLOOKUP(C7891, 'Class Def. - General Data'!$C$20:$C$1000,1,false)</f>
        <v>ZSI1_CLEANING_EQP</v>
      </c>
      <c r="H7891" s="63" t="str">
        <f>IFERROR(__xludf.DUMMYFUNCTION("VLOOKUP(F7891, IMPORTRANGE(""https://docs.google.com/spreadsheets/d/1Lhp9OU0JdFf_VYSMzH5lBcEaU4o8teT1piV-SNzShjg/edit?gid=554141278#gid=554141278"", ""'Char Def. - Attributes'!C20:C2242""), 1,false)"),"WEIGHT_UNIT_SI")</f>
        <v>WEIGHT_UNIT_SI</v>
      </c>
      <c r="I7891" s="136"/>
      <c r="R7891" s="63" t="str">
        <f t="shared" si="60"/>
        <v>ZSI1_CLEANING_EQPWEIGHT_UNIT_SI</v>
      </c>
    </row>
    <row r="7892" ht="15.75" customHeight="1">
      <c r="B7892" s="63">
        <f t="shared" si="1"/>
        <v>17</v>
      </c>
      <c r="C7892" s="135" t="s">
        <v>366</v>
      </c>
      <c r="D7892" s="161" t="s">
        <v>74</v>
      </c>
      <c r="E7892" s="135">
        <f t="shared" si="61"/>
        <v>12</v>
      </c>
      <c r="F7892" s="134" t="s">
        <v>3877</v>
      </c>
      <c r="G7892" s="63" t="str">
        <f>VLOOKUP(C7892, 'Class Def. - General Data'!$C$20:$C$1000,1,false)</f>
        <v>ZSI1_CLEANING_EQP</v>
      </c>
      <c r="H7892" s="63" t="str">
        <f>IFERROR(__xludf.DUMMYFUNCTION("VLOOKUP(F7892, IMPORTRANGE(""https://docs.google.com/spreadsheets/d/1Lhp9OU0JdFf_VYSMzH5lBcEaU4o8teT1piV-SNzShjg/edit?gid=554141278#gid=554141278"", ""'Char Def. - Attributes'!C20:C2242""), 1,false)"),"VOLUME_OPT")</f>
        <v>VOLUME_OPT</v>
      </c>
      <c r="I7892" s="136"/>
      <c r="R7892" s="63" t="str">
        <f t="shared" si="60"/>
        <v>ZSI1_CLEANING_EQPVOLUME_OPT</v>
      </c>
    </row>
    <row r="7893" ht="15.75" customHeight="1">
      <c r="B7893" s="63">
        <f t="shared" si="1"/>
        <v>17</v>
      </c>
      <c r="C7893" s="135" t="s">
        <v>366</v>
      </c>
      <c r="D7893" s="161" t="s">
        <v>74</v>
      </c>
      <c r="E7893" s="135">
        <f t="shared" si="61"/>
        <v>13</v>
      </c>
      <c r="F7893" s="134" t="s">
        <v>4059</v>
      </c>
      <c r="G7893" s="63" t="str">
        <f>VLOOKUP(C7893, 'Class Def. - General Data'!$C$20:$C$1000,1,false)</f>
        <v>ZSI1_CLEANING_EQP</v>
      </c>
      <c r="H7893" s="63" t="str">
        <f>IFERROR(__xludf.DUMMYFUNCTION("VLOOKUP(F7893, IMPORTRANGE(""https://docs.google.com/spreadsheets/d/1Lhp9OU0JdFf_VYSMzH5lBcEaU4o8teT1piV-SNzShjg/edit?gid=554141278#gid=554141278"", ""'Char Def. - Attributes'!C20:C2242""), 1,false)"),"VOLUME_UNIT_SI")</f>
        <v>VOLUME_UNIT_SI</v>
      </c>
      <c r="I7893" s="136"/>
      <c r="R7893" s="63" t="str">
        <f t="shared" si="60"/>
        <v>ZSI1_CLEANING_EQPVOLUME_UNIT_SI</v>
      </c>
    </row>
    <row r="7894" ht="15.75" customHeight="1">
      <c r="B7894" s="63">
        <f t="shared" si="1"/>
        <v>17</v>
      </c>
      <c r="C7894" s="135" t="s">
        <v>366</v>
      </c>
      <c r="D7894" s="161" t="s">
        <v>74</v>
      </c>
      <c r="E7894" s="135">
        <f t="shared" si="61"/>
        <v>14</v>
      </c>
      <c r="F7894" s="134" t="s">
        <v>3804</v>
      </c>
      <c r="G7894" s="63" t="str">
        <f>VLOOKUP(C7894, 'Class Def. - General Data'!$C$20:$C$1000,1,false)</f>
        <v>ZSI1_CLEANING_EQP</v>
      </c>
      <c r="H7894" s="63" t="str">
        <f>IFERROR(__xludf.DUMMYFUNCTION("VLOOKUP(F7894, IMPORTRANGE(""https://docs.google.com/spreadsheets/d/1Lhp9OU0JdFf_VYSMzH5lBcEaU4o8teT1piV-SNzShjg/edit?gid=554141278#gid=554141278"", ""'Char Def. - Attributes'!C20:C2242""), 1,false)"),"ALT_UOM1_SIPI")</f>
        <v>ALT_UOM1_SIPI</v>
      </c>
      <c r="I7894" s="136"/>
      <c r="R7894" s="63" t="str">
        <f t="shared" si="60"/>
        <v>ZSI1_CLEANING_EQPALT_UOM1_SIPI</v>
      </c>
    </row>
    <row r="7895" ht="15.75" customHeight="1">
      <c r="B7895" s="63">
        <f t="shared" si="1"/>
        <v>17</v>
      </c>
      <c r="C7895" s="135" t="s">
        <v>366</v>
      </c>
      <c r="D7895" s="161" t="s">
        <v>74</v>
      </c>
      <c r="E7895" s="135">
        <f t="shared" si="61"/>
        <v>15</v>
      </c>
      <c r="F7895" s="134" t="s">
        <v>3805</v>
      </c>
      <c r="G7895" s="63" t="str">
        <f>VLOOKUP(C7895, 'Class Def. - General Data'!$C$20:$C$1000,1,false)</f>
        <v>ZSI1_CLEANING_EQP</v>
      </c>
      <c r="H7895" s="63" t="str">
        <f>IFERROR(__xludf.DUMMYFUNCTION("VLOOKUP(F7895, IMPORTRANGE(""https://docs.google.com/spreadsheets/d/1Lhp9OU0JdFf_VYSMzH5lBcEaU4o8teT1piV-SNzShjg/edit?gid=554141278#gid=554141278"", ""'Char Def. - Attributes'!C20:C2242""), 1,false)"),"ALT_DENUM_UOM1")</f>
        <v>ALT_DENUM_UOM1</v>
      </c>
      <c r="I7895" s="136"/>
      <c r="R7895" s="63" t="str">
        <f t="shared" si="60"/>
        <v>ZSI1_CLEANING_EQPALT_DENUM_UOM1</v>
      </c>
    </row>
    <row r="7896" ht="15.75" customHeight="1">
      <c r="B7896" s="63">
        <f t="shared" si="1"/>
        <v>17</v>
      </c>
      <c r="C7896" s="135" t="s">
        <v>366</v>
      </c>
      <c r="D7896" s="161" t="s">
        <v>74</v>
      </c>
      <c r="E7896" s="135">
        <f t="shared" si="61"/>
        <v>16</v>
      </c>
      <c r="F7896" s="134" t="s">
        <v>3806</v>
      </c>
      <c r="G7896" s="63" t="str">
        <f>VLOOKUP(C7896, 'Class Def. - General Data'!$C$20:$C$1000,1,false)</f>
        <v>ZSI1_CLEANING_EQP</v>
      </c>
      <c r="H7896" s="63" t="str">
        <f>IFERROR(__xludf.DUMMYFUNCTION("VLOOKUP(F7896, IMPORTRANGE(""https://docs.google.com/spreadsheets/d/1Lhp9OU0JdFf_VYSMzH5lBcEaU4o8teT1piV-SNzShjg/edit?gid=554141278#gid=554141278"", ""'Char Def. - Attributes'!C20:C2242""), 1,false)"),"ALT_NUM_UOM1")</f>
        <v>ALT_NUM_UOM1</v>
      </c>
      <c r="I7896" s="136"/>
      <c r="R7896" s="63" t="str">
        <f t="shared" si="60"/>
        <v>ZSI1_CLEANING_EQPALT_NUM_UOM1</v>
      </c>
    </row>
    <row r="7897" ht="15.75" customHeight="1">
      <c r="B7897" s="63">
        <f t="shared" si="1"/>
        <v>17</v>
      </c>
      <c r="C7897" s="135" t="s">
        <v>366</v>
      </c>
      <c r="D7897" s="161" t="s">
        <v>74</v>
      </c>
      <c r="E7897" s="135">
        <f t="shared" si="61"/>
        <v>17</v>
      </c>
      <c r="F7897" s="134" t="s">
        <v>3807</v>
      </c>
      <c r="G7897" s="63" t="str">
        <f>VLOOKUP(C7897, 'Class Def. - General Data'!$C$20:$C$1000,1,false)</f>
        <v>ZSI1_CLEANING_EQP</v>
      </c>
      <c r="H7897" s="63" t="str">
        <f>IFERROR(__xludf.DUMMYFUNCTION("VLOOKUP(F7897, IMPORTRANGE(""https://docs.google.com/spreadsheets/d/1Lhp9OU0JdFf_VYSMzH5lBcEaU4o8teT1piV-SNzShjg/edit?gid=554141278#gid=554141278"", ""'Char Def. - Attributes'!C20:C2242""), 1,false)"),"ALT_UOM2_SIPI")</f>
        <v>ALT_UOM2_SIPI</v>
      </c>
      <c r="I7897" s="136"/>
      <c r="R7897" s="63" t="str">
        <f t="shared" si="60"/>
        <v>ZSI1_CLEANING_EQPALT_UOM2_SIPI</v>
      </c>
    </row>
    <row r="7898" ht="15.75" customHeight="1">
      <c r="B7898" s="63">
        <f t="shared" si="1"/>
        <v>17</v>
      </c>
      <c r="C7898" s="135" t="s">
        <v>366</v>
      </c>
      <c r="D7898" s="161" t="s">
        <v>74</v>
      </c>
      <c r="E7898" s="135">
        <f t="shared" si="61"/>
        <v>18</v>
      </c>
      <c r="F7898" s="134" t="s">
        <v>3808</v>
      </c>
      <c r="G7898" s="63" t="str">
        <f>VLOOKUP(C7898, 'Class Def. - General Data'!$C$20:$C$1000,1,false)</f>
        <v>ZSI1_CLEANING_EQP</v>
      </c>
      <c r="H7898" s="63" t="str">
        <f>IFERROR(__xludf.DUMMYFUNCTION("VLOOKUP(F7898, IMPORTRANGE(""https://docs.google.com/spreadsheets/d/1Lhp9OU0JdFf_VYSMzH5lBcEaU4o8teT1piV-SNzShjg/edit?gid=554141278#gid=554141278"", ""'Char Def. - Attributes'!C20:C2242""), 1,false)"),"ALT_DENUM_UOM2")</f>
        <v>ALT_DENUM_UOM2</v>
      </c>
      <c r="I7898" s="136"/>
      <c r="R7898" s="63" t="str">
        <f t="shared" si="60"/>
        <v>ZSI1_CLEANING_EQPALT_DENUM_UOM2</v>
      </c>
    </row>
    <row r="7899" ht="15.75" customHeight="1">
      <c r="B7899" s="63">
        <f t="shared" si="1"/>
        <v>17</v>
      </c>
      <c r="C7899" s="135" t="s">
        <v>366</v>
      </c>
      <c r="D7899" s="161" t="s">
        <v>74</v>
      </c>
      <c r="E7899" s="135">
        <f t="shared" si="61"/>
        <v>19</v>
      </c>
      <c r="F7899" s="134" t="s">
        <v>3809</v>
      </c>
      <c r="G7899" s="63" t="str">
        <f>VLOOKUP(C7899, 'Class Def. - General Data'!$C$20:$C$1000,1,false)</f>
        <v>ZSI1_CLEANING_EQP</v>
      </c>
      <c r="H7899" s="63" t="str">
        <f>IFERROR(__xludf.DUMMYFUNCTION("VLOOKUP(F7899, IMPORTRANGE(""https://docs.google.com/spreadsheets/d/1Lhp9OU0JdFf_VYSMzH5lBcEaU4o8teT1piV-SNzShjg/edit?gid=554141278#gid=554141278"", ""'Char Def. - Attributes'!C20:C2242""), 1,false)"),"ALT_NUM_UOM2")</f>
        <v>ALT_NUM_UOM2</v>
      </c>
      <c r="I7899" s="136"/>
      <c r="R7899" s="63" t="str">
        <f t="shared" si="60"/>
        <v>ZSI1_CLEANING_EQPALT_NUM_UOM2</v>
      </c>
    </row>
    <row r="7900" ht="15.75" customHeight="1">
      <c r="B7900" s="63">
        <f t="shared" si="1"/>
        <v>17</v>
      </c>
      <c r="C7900" s="135" t="s">
        <v>366</v>
      </c>
      <c r="D7900" s="161" t="s">
        <v>74</v>
      </c>
      <c r="E7900" s="135">
        <f t="shared" si="61"/>
        <v>20</v>
      </c>
      <c r="F7900" s="134" t="s">
        <v>3810</v>
      </c>
      <c r="G7900" s="63" t="str">
        <f>VLOOKUP(C7900, 'Class Def. - General Data'!$C$20:$C$1000,1,false)</f>
        <v>ZSI1_CLEANING_EQP</v>
      </c>
      <c r="H7900" s="63" t="str">
        <f>IFERROR(__xludf.DUMMYFUNCTION("VLOOKUP(F7900, IMPORTRANGE(""https://docs.google.com/spreadsheets/d/1Lhp9OU0JdFf_VYSMzH5lBcEaU4o8teT1piV-SNzShjg/edit?gid=554141278#gid=554141278"", ""'Char Def. - Attributes'!C20:C2242""), 1,false)"),"ALT_UOM3_SIPI")</f>
        <v>ALT_UOM3_SIPI</v>
      </c>
      <c r="I7900" s="136"/>
      <c r="R7900" s="63" t="str">
        <f t="shared" si="60"/>
        <v>ZSI1_CLEANING_EQPALT_UOM3_SIPI</v>
      </c>
    </row>
    <row r="7901" ht="15.75" customHeight="1">
      <c r="B7901" s="63">
        <f t="shared" si="1"/>
        <v>17</v>
      </c>
      <c r="C7901" s="135" t="s">
        <v>366</v>
      </c>
      <c r="D7901" s="161" t="s">
        <v>74</v>
      </c>
      <c r="E7901" s="135">
        <f t="shared" si="61"/>
        <v>21</v>
      </c>
      <c r="F7901" s="134" t="s">
        <v>3811</v>
      </c>
      <c r="G7901" s="63" t="str">
        <f>VLOOKUP(C7901, 'Class Def. - General Data'!$C$20:$C$1000,1,false)</f>
        <v>ZSI1_CLEANING_EQP</v>
      </c>
      <c r="H7901" s="63" t="str">
        <f>IFERROR(__xludf.DUMMYFUNCTION("VLOOKUP(F7901, IMPORTRANGE(""https://docs.google.com/spreadsheets/d/1Lhp9OU0JdFf_VYSMzH5lBcEaU4o8teT1piV-SNzShjg/edit?gid=554141278#gid=554141278"", ""'Char Def. - Attributes'!C20:C2242""), 1,false)"),"ALT_DENUM_UOM3")</f>
        <v>ALT_DENUM_UOM3</v>
      </c>
      <c r="I7901" s="136"/>
      <c r="R7901" s="63" t="str">
        <f t="shared" si="60"/>
        <v>ZSI1_CLEANING_EQPALT_DENUM_UOM3</v>
      </c>
    </row>
    <row r="7902" ht="15.75" customHeight="1">
      <c r="B7902" s="63">
        <f t="shared" si="1"/>
        <v>17</v>
      </c>
      <c r="C7902" s="135" t="s">
        <v>366</v>
      </c>
      <c r="D7902" s="161" t="s">
        <v>74</v>
      </c>
      <c r="E7902" s="135">
        <f t="shared" si="61"/>
        <v>22</v>
      </c>
      <c r="F7902" s="134" t="s">
        <v>3812</v>
      </c>
      <c r="G7902" s="63" t="str">
        <f>VLOOKUP(C7902, 'Class Def. - General Data'!$C$20:$C$1000,1,false)</f>
        <v>ZSI1_CLEANING_EQP</v>
      </c>
      <c r="H7902" s="63" t="str">
        <f>IFERROR(__xludf.DUMMYFUNCTION("VLOOKUP(F7902, IMPORTRANGE(""https://docs.google.com/spreadsheets/d/1Lhp9OU0JdFf_VYSMzH5lBcEaU4o8teT1piV-SNzShjg/edit?gid=554141278#gid=554141278"", ""'Char Def. - Attributes'!C20:C2242""), 1,false)"),"ALT_NUM_UOM3")</f>
        <v>ALT_NUM_UOM3</v>
      </c>
      <c r="I7902" s="136"/>
      <c r="R7902" s="63" t="str">
        <f t="shared" si="60"/>
        <v>ZSI1_CLEANING_EQPALT_NUM_UOM3</v>
      </c>
    </row>
    <row r="7903" ht="15.75" customHeight="1">
      <c r="B7903" s="63">
        <f t="shared" si="1"/>
        <v>17</v>
      </c>
      <c r="C7903" s="135" t="s">
        <v>366</v>
      </c>
      <c r="D7903" s="161" t="s">
        <v>74</v>
      </c>
      <c r="E7903" s="135">
        <f t="shared" si="61"/>
        <v>23</v>
      </c>
      <c r="F7903" s="134" t="s">
        <v>3813</v>
      </c>
      <c r="G7903" s="63" t="str">
        <f>VLOOKUP(C7903, 'Class Def. - General Data'!$C$20:$C$1000,1,false)</f>
        <v>ZSI1_CLEANING_EQP</v>
      </c>
      <c r="H7903" s="63" t="str">
        <f>IFERROR(__xludf.DUMMYFUNCTION("VLOOKUP(F7903, IMPORTRANGE(""https://docs.google.com/spreadsheets/d/1Lhp9OU0JdFf_VYSMzH5lBcEaU4o8teT1piV-SNzShjg/edit?gid=554141278#gid=554141278"", ""'Char Def. - Attributes'!C20:C2242""), 1,false)"),"ALT_UOM4_SIPI")</f>
        <v>ALT_UOM4_SIPI</v>
      </c>
      <c r="I7903" s="136"/>
      <c r="R7903" s="63" t="str">
        <f t="shared" si="60"/>
        <v>ZSI1_CLEANING_EQPALT_UOM4_SIPI</v>
      </c>
    </row>
    <row r="7904" ht="15.75" customHeight="1">
      <c r="B7904" s="63">
        <f t="shared" si="1"/>
        <v>17</v>
      </c>
      <c r="C7904" s="135" t="s">
        <v>366</v>
      </c>
      <c r="D7904" s="161" t="s">
        <v>74</v>
      </c>
      <c r="E7904" s="135">
        <f t="shared" si="61"/>
        <v>24</v>
      </c>
      <c r="F7904" s="134" t="s">
        <v>3814</v>
      </c>
      <c r="G7904" s="63" t="str">
        <f>VLOOKUP(C7904, 'Class Def. - General Data'!$C$20:$C$1000,1,false)</f>
        <v>ZSI1_CLEANING_EQP</v>
      </c>
      <c r="H7904" s="63" t="str">
        <f>IFERROR(__xludf.DUMMYFUNCTION("VLOOKUP(F7904, IMPORTRANGE(""https://docs.google.com/spreadsheets/d/1Lhp9OU0JdFf_VYSMzH5lBcEaU4o8teT1piV-SNzShjg/edit?gid=554141278#gid=554141278"", ""'Char Def. - Attributes'!C20:C2242""), 1,false)"),"ALT_DENUM_UOM4")</f>
        <v>ALT_DENUM_UOM4</v>
      </c>
      <c r="I7904" s="136"/>
      <c r="R7904" s="63" t="str">
        <f t="shared" si="60"/>
        <v>ZSI1_CLEANING_EQPALT_DENUM_UOM4</v>
      </c>
    </row>
    <row r="7905" ht="15.75" customHeight="1">
      <c r="B7905" s="63">
        <f t="shared" si="1"/>
        <v>17</v>
      </c>
      <c r="C7905" s="135" t="s">
        <v>366</v>
      </c>
      <c r="D7905" s="161" t="s">
        <v>74</v>
      </c>
      <c r="E7905" s="135">
        <f t="shared" si="61"/>
        <v>25</v>
      </c>
      <c r="F7905" s="134" t="s">
        <v>3815</v>
      </c>
      <c r="G7905" s="63" t="str">
        <f>VLOOKUP(C7905, 'Class Def. - General Data'!$C$20:$C$1000,1,false)</f>
        <v>ZSI1_CLEANING_EQP</v>
      </c>
      <c r="H7905" s="63" t="str">
        <f>IFERROR(__xludf.DUMMYFUNCTION("VLOOKUP(F7905, IMPORTRANGE(""https://docs.google.com/spreadsheets/d/1Lhp9OU0JdFf_VYSMzH5lBcEaU4o8teT1piV-SNzShjg/edit?gid=554141278#gid=554141278"", ""'Char Def. - Attributes'!C20:C2242""), 1,false)"),"ALT_NUM_UOM4")</f>
        <v>ALT_NUM_UOM4</v>
      </c>
      <c r="I7905" s="136"/>
      <c r="R7905" s="63" t="str">
        <f t="shared" si="60"/>
        <v>ZSI1_CLEANING_EQPALT_NUM_UOM4</v>
      </c>
    </row>
    <row r="7906" ht="15.75" customHeight="1">
      <c r="B7906" s="63">
        <f t="shared" si="1"/>
        <v>17</v>
      </c>
      <c r="C7906" s="135" t="s">
        <v>366</v>
      </c>
      <c r="D7906" s="161" t="s">
        <v>74</v>
      </c>
      <c r="E7906" s="135">
        <f t="shared" si="61"/>
        <v>26</v>
      </c>
      <c r="F7906" s="134" t="s">
        <v>3816</v>
      </c>
      <c r="G7906" s="63" t="str">
        <f>VLOOKUP(C7906, 'Class Def. - General Data'!$C$20:$C$1000,1,false)</f>
        <v>ZSI1_CLEANING_EQP</v>
      </c>
      <c r="H7906" s="63" t="str">
        <f>IFERROR(__xludf.DUMMYFUNCTION("VLOOKUP(F7906, IMPORTRANGE(""https://docs.google.com/spreadsheets/d/1Lhp9OU0JdFf_VYSMzH5lBcEaU4o8teT1piV-SNzShjg/edit?gid=554141278#gid=554141278"", ""'Char Def. - Attributes'!C20:C2242""), 1,false)"),"ALT_UOM5_SIPI")</f>
        <v>ALT_UOM5_SIPI</v>
      </c>
      <c r="I7906" s="136"/>
      <c r="R7906" s="63" t="str">
        <f t="shared" si="60"/>
        <v>ZSI1_CLEANING_EQPALT_UOM5_SIPI</v>
      </c>
    </row>
    <row r="7907" ht="15.75" customHeight="1">
      <c r="B7907" s="63">
        <f t="shared" si="1"/>
        <v>17</v>
      </c>
      <c r="C7907" s="135" t="s">
        <v>366</v>
      </c>
      <c r="D7907" s="161" t="s">
        <v>74</v>
      </c>
      <c r="E7907" s="135">
        <f t="shared" si="61"/>
        <v>27</v>
      </c>
      <c r="F7907" s="134" t="s">
        <v>3817</v>
      </c>
      <c r="G7907" s="63" t="str">
        <f>VLOOKUP(C7907, 'Class Def. - General Data'!$C$20:$C$1000,1,false)</f>
        <v>ZSI1_CLEANING_EQP</v>
      </c>
      <c r="H7907" s="63" t="str">
        <f>IFERROR(__xludf.DUMMYFUNCTION("VLOOKUP(F7907, IMPORTRANGE(""https://docs.google.com/spreadsheets/d/1Lhp9OU0JdFf_VYSMzH5lBcEaU4o8teT1piV-SNzShjg/edit?gid=554141278#gid=554141278"", ""'Char Def. - Attributes'!C20:C2242""), 1,false)"),"ALT_DENUM_UOM5")</f>
        <v>ALT_DENUM_UOM5</v>
      </c>
      <c r="I7907" s="136"/>
      <c r="R7907" s="63" t="str">
        <f t="shared" si="60"/>
        <v>ZSI1_CLEANING_EQPALT_DENUM_UOM5</v>
      </c>
    </row>
    <row r="7908" ht="15.75" customHeight="1">
      <c r="B7908" s="63">
        <f t="shared" si="1"/>
        <v>17</v>
      </c>
      <c r="C7908" s="135" t="s">
        <v>366</v>
      </c>
      <c r="D7908" s="161" t="s">
        <v>74</v>
      </c>
      <c r="E7908" s="135">
        <f t="shared" si="61"/>
        <v>28</v>
      </c>
      <c r="F7908" s="134" t="s">
        <v>3818</v>
      </c>
      <c r="G7908" s="63" t="str">
        <f>VLOOKUP(C7908, 'Class Def. - General Data'!$C$20:$C$1000,1,false)</f>
        <v>ZSI1_CLEANING_EQP</v>
      </c>
      <c r="H7908" s="63" t="str">
        <f>IFERROR(__xludf.DUMMYFUNCTION("VLOOKUP(F7908, IMPORTRANGE(""https://docs.google.com/spreadsheets/d/1Lhp9OU0JdFf_VYSMzH5lBcEaU4o8teT1piV-SNzShjg/edit?gid=554141278#gid=554141278"", ""'Char Def. - Attributes'!C20:C2242""), 1,false)"),"ALT_NUM_UOM5")</f>
        <v>ALT_NUM_UOM5</v>
      </c>
      <c r="I7908" s="136"/>
      <c r="R7908" s="63" t="str">
        <f t="shared" si="60"/>
        <v>ZSI1_CLEANING_EQPALT_NUM_UOM5</v>
      </c>
    </row>
    <row r="7909" ht="15.75" customHeight="1">
      <c r="B7909" s="63">
        <f t="shared" si="1"/>
        <v>18</v>
      </c>
      <c r="C7909" s="135" t="s">
        <v>513</v>
      </c>
      <c r="D7909" s="161" t="s">
        <v>74</v>
      </c>
      <c r="E7909" s="135">
        <f t="shared" si="61"/>
        <v>1</v>
      </c>
      <c r="F7909" s="134" t="s">
        <v>4259</v>
      </c>
      <c r="G7909" s="63" t="str">
        <f>VLOOKUP(C7909, 'Class Def. - General Data'!$C$20:$C$1000,1,false)</f>
        <v>ZSI1_CLEANING_SUPP</v>
      </c>
      <c r="H7909" s="63" t="str">
        <f>IFERROR(__xludf.DUMMYFUNCTION("VLOOKUP(F7909, IMPORTRANGE(""https://docs.google.com/spreadsheets/d/1Lhp9OU0JdFf_VYSMzH5lBcEaU4o8teT1piV-SNzShjg/edit?gid=554141278#gid=554141278"", ""'Char Def. - Attributes'!C20:C2242""), 1,false)"),"ITEM_NAME_CLEANING_SUPP")</f>
        <v>ITEM_NAME_CLEANING_SUPP</v>
      </c>
      <c r="I7909" s="136"/>
      <c r="R7909" s="63" t="str">
        <f t="shared" si="60"/>
        <v>ZSI1_CLEANING_SUPPITEM_NAME_CLEANING_SUPP</v>
      </c>
    </row>
    <row r="7910" ht="15.75" customHeight="1">
      <c r="B7910" s="63">
        <f t="shared" si="1"/>
        <v>18</v>
      </c>
      <c r="C7910" s="135" t="s">
        <v>513</v>
      </c>
      <c r="D7910" s="161" t="s">
        <v>74</v>
      </c>
      <c r="E7910" s="135">
        <f t="shared" si="61"/>
        <v>2</v>
      </c>
      <c r="F7910" s="134" t="s">
        <v>4062</v>
      </c>
      <c r="G7910" s="63" t="str">
        <f>VLOOKUP(C7910, 'Class Def. - General Data'!$C$20:$C$1000,1,false)</f>
        <v>ZSI1_CLEANING_SUPP</v>
      </c>
      <c r="H7910" s="63" t="str">
        <f>IFERROR(__xludf.DUMMYFUNCTION("VLOOKUP(F7910, IMPORTRANGE(""https://docs.google.com/spreadsheets/d/1Lhp9OU0JdFf_VYSMzH5lBcEaU4o8teT1piV-SNzShjg/edit?gid=554141278#gid=554141278"", ""'Char Def. - Attributes'!C20:C2242""), 1,false)"),"#N/A")</f>
        <v>#N/A</v>
      </c>
      <c r="I7910" s="136"/>
      <c r="R7910" s="63" t="str">
        <f t="shared" si="60"/>
        <v>ZSI1_CLEANING_SUPPADDTIONAL_SPECIFICATION</v>
      </c>
    </row>
    <row r="7911" ht="15.75" customHeight="1">
      <c r="B7911" s="63">
        <f t="shared" si="1"/>
        <v>18</v>
      </c>
      <c r="C7911" s="135" t="s">
        <v>513</v>
      </c>
      <c r="D7911" s="161" t="s">
        <v>74</v>
      </c>
      <c r="E7911" s="135">
        <f t="shared" si="61"/>
        <v>3</v>
      </c>
      <c r="F7911" s="134" t="s">
        <v>4053</v>
      </c>
      <c r="G7911" s="63" t="str">
        <f>VLOOKUP(C7911, 'Class Def. - General Data'!$C$20:$C$1000,1,false)</f>
        <v>ZSI1_CLEANING_SUPP</v>
      </c>
      <c r="H7911" s="63" t="str">
        <f>IFERROR(__xludf.DUMMYFUNCTION("VLOOKUP(F7911, IMPORTRANGE(""https://docs.google.com/spreadsheets/d/1Lhp9OU0JdFf_VYSMzH5lBcEaU4o8teT1piV-SNzShjg/edit?gid=554141278#gid=554141278"", ""'Char Def. - Attributes'!C20:C2242""), 1,false)"),"MAINTENANCE_ORDER_TYPE")</f>
        <v>MAINTENANCE_ORDER_TYPE</v>
      </c>
      <c r="I7911" s="136"/>
      <c r="R7911" s="63" t="str">
        <f t="shared" si="60"/>
        <v>ZSI1_CLEANING_SUPPMAINTENANCE_ORDER_TYPE</v>
      </c>
    </row>
    <row r="7912" ht="15.75" customHeight="1">
      <c r="B7912" s="63">
        <f t="shared" si="1"/>
        <v>18</v>
      </c>
      <c r="C7912" s="135" t="s">
        <v>513</v>
      </c>
      <c r="D7912" s="161" t="s">
        <v>74</v>
      </c>
      <c r="E7912" s="135">
        <f t="shared" si="61"/>
        <v>4</v>
      </c>
      <c r="F7912" s="134" t="s">
        <v>3585</v>
      </c>
      <c r="G7912" s="63" t="str">
        <f>VLOOKUP(C7912, 'Class Def. - General Data'!$C$20:$C$1000,1,false)</f>
        <v>ZSI1_CLEANING_SUPP</v>
      </c>
      <c r="H7912" s="63" t="str">
        <f>IFERROR(__xludf.DUMMYFUNCTION("VLOOKUP(F7912, IMPORTRANGE(""https://docs.google.com/spreadsheets/d/1Lhp9OU0JdFf_VYSMzH5lBcEaU4o8teT1piV-SNzShjg/edit?gid=554141278#gid=554141278"", ""'Char Def. - Attributes'!C20:C2242""), 1,false)"),"HS_CODE")</f>
        <v>HS_CODE</v>
      </c>
      <c r="I7912" s="136"/>
      <c r="R7912" s="63" t="str">
        <f t="shared" si="60"/>
        <v>ZSI1_CLEANING_SUPPHS_CODE</v>
      </c>
    </row>
    <row r="7913" ht="15.75" customHeight="1">
      <c r="B7913" s="63">
        <f t="shared" si="1"/>
        <v>18</v>
      </c>
      <c r="C7913" s="135" t="s">
        <v>513</v>
      </c>
      <c r="D7913" s="161" t="s">
        <v>74</v>
      </c>
      <c r="E7913" s="135">
        <f t="shared" si="61"/>
        <v>5</v>
      </c>
      <c r="F7913" s="134" t="s">
        <v>3587</v>
      </c>
      <c r="G7913" s="63" t="str">
        <f>VLOOKUP(C7913, 'Class Def. - General Data'!$C$20:$C$1000,1,false)</f>
        <v>ZSI1_CLEANING_SUPP</v>
      </c>
      <c r="H7913" s="63" t="str">
        <f>IFERROR(__xludf.DUMMYFUNCTION("VLOOKUP(F7913, IMPORTRANGE(""https://docs.google.com/spreadsheets/d/1Lhp9OU0JdFf_VYSMzH5lBcEaU4o8teT1piV-SNzShjg/edit?gid=554141278#gid=554141278"", ""'Char Def. - Attributes'!C20:C2242""), 1,false)"),"PLANT_BUY")</f>
        <v>PLANT_BUY</v>
      </c>
      <c r="I7913" s="136"/>
      <c r="R7913" s="63" t="str">
        <f t="shared" si="60"/>
        <v>ZSI1_CLEANING_SUPPPLANT_BUY</v>
      </c>
    </row>
    <row r="7914" ht="15.75" customHeight="1">
      <c r="B7914" s="63">
        <f t="shared" si="1"/>
        <v>18</v>
      </c>
      <c r="C7914" s="135" t="s">
        <v>513</v>
      </c>
      <c r="D7914" s="161" t="s">
        <v>74</v>
      </c>
      <c r="E7914" s="135">
        <f t="shared" si="61"/>
        <v>6</v>
      </c>
      <c r="F7914" s="134" t="s">
        <v>4260</v>
      </c>
      <c r="G7914" s="63" t="str">
        <f>VLOOKUP(C7914, 'Class Def. - General Data'!$C$20:$C$1000,1,false)</f>
        <v>ZSI1_CLEANING_SUPP</v>
      </c>
      <c r="H7914" s="63" t="str">
        <f>IFERROR(__xludf.DUMMYFUNCTION("VLOOKUP(F7914, IMPORTRANGE(""https://docs.google.com/spreadsheets/d/1Lhp9OU0JdFf_VYSMzH5lBcEaU4o8teT1piV-SNzShjg/edit?gid=554141278#gid=554141278"", ""'Char Def. - Attributes'!C20:C2242""), 1,false)"),"BASE_UOM_CLEANING_SUPP")</f>
        <v>BASE_UOM_CLEANING_SUPP</v>
      </c>
      <c r="I7914" s="136"/>
      <c r="R7914" s="63" t="str">
        <f t="shared" si="60"/>
        <v>ZSI1_CLEANING_SUPPBASE_UOM_CLEANING_SUPP</v>
      </c>
    </row>
    <row r="7915" ht="15.75" customHeight="1">
      <c r="B7915" s="63">
        <f t="shared" si="1"/>
        <v>18</v>
      </c>
      <c r="C7915" s="135" t="s">
        <v>513</v>
      </c>
      <c r="D7915" s="161" t="s">
        <v>74</v>
      </c>
      <c r="E7915" s="135">
        <f t="shared" si="61"/>
        <v>7</v>
      </c>
      <c r="F7915" s="134" t="s">
        <v>4261</v>
      </c>
      <c r="G7915" s="63" t="str">
        <f>VLOOKUP(C7915, 'Class Def. - General Data'!$C$20:$C$1000,1,false)</f>
        <v>ZSI1_CLEANING_SUPP</v>
      </c>
      <c r="H7915" s="63" t="str">
        <f>IFERROR(__xludf.DUMMYFUNCTION("VLOOKUP(F7915, IMPORTRANGE(""https://docs.google.com/spreadsheets/d/1Lhp9OU0JdFf_VYSMzH5lBcEaU4o8teT1piV-SNzShjg/edit?gid=554141278#gid=554141278"", ""'Char Def. - Attributes'!C20:C2242""), 1,false)"),"ORDER_UNIT_CLEANING_SUPP")</f>
        <v>ORDER_UNIT_CLEANING_SUPP</v>
      </c>
      <c r="I7915" s="136"/>
      <c r="R7915" s="63" t="str">
        <f t="shared" si="60"/>
        <v>ZSI1_CLEANING_SUPPORDER_UNIT_CLEANING_SUPP</v>
      </c>
    </row>
    <row r="7916" ht="15.75" customHeight="1">
      <c r="B7916" s="63">
        <f t="shared" si="1"/>
        <v>18</v>
      </c>
      <c r="C7916" s="135" t="s">
        <v>513</v>
      </c>
      <c r="D7916" s="161" t="s">
        <v>74</v>
      </c>
      <c r="E7916" s="135">
        <f t="shared" si="61"/>
        <v>8</v>
      </c>
      <c r="F7916" s="134" t="s">
        <v>4056</v>
      </c>
      <c r="G7916" s="63" t="str">
        <f>VLOOKUP(C7916, 'Class Def. - General Data'!$C$20:$C$1000,1,false)</f>
        <v>ZSI1_CLEANING_SUPP</v>
      </c>
      <c r="H7916" s="63" t="str">
        <f>IFERROR(__xludf.DUMMYFUNCTION("VLOOKUP(F7916, IMPORTRANGE(""https://docs.google.com/spreadsheets/d/1Lhp9OU0JdFf_VYSMzH5lBcEaU4o8teT1piV-SNzShjg/edit?gid=554141278#gid=554141278"", ""'Char Def. - Attributes'!C20:C2242""), 1,false)"),"GROSS_WEIGHT_OPT")</f>
        <v>GROSS_WEIGHT_OPT</v>
      </c>
      <c r="I7916" s="136"/>
      <c r="R7916" s="63" t="str">
        <f t="shared" si="60"/>
        <v>ZSI1_CLEANING_SUPPGROSS_WEIGHT_OPT</v>
      </c>
    </row>
    <row r="7917" ht="15.75" customHeight="1">
      <c r="B7917" s="63">
        <f t="shared" si="1"/>
        <v>18</v>
      </c>
      <c r="C7917" s="135" t="s">
        <v>513</v>
      </c>
      <c r="D7917" s="161" t="s">
        <v>74</v>
      </c>
      <c r="E7917" s="135">
        <f t="shared" si="61"/>
        <v>9</v>
      </c>
      <c r="F7917" s="134" t="s">
        <v>4057</v>
      </c>
      <c r="G7917" s="63" t="str">
        <f>VLOOKUP(C7917, 'Class Def. - General Data'!$C$20:$C$1000,1,false)</f>
        <v>ZSI1_CLEANING_SUPP</v>
      </c>
      <c r="H7917" s="63" t="str">
        <f>IFERROR(__xludf.DUMMYFUNCTION("VLOOKUP(F7917, IMPORTRANGE(""https://docs.google.com/spreadsheets/d/1Lhp9OU0JdFf_VYSMzH5lBcEaU4o8teT1piV-SNzShjg/edit?gid=554141278#gid=554141278"", ""'Char Def. - Attributes'!C20:C2242""), 1,false)"),"NET_WEIGHT_OPT")</f>
        <v>NET_WEIGHT_OPT</v>
      </c>
      <c r="I7917" s="136"/>
      <c r="R7917" s="63" t="str">
        <f t="shared" si="60"/>
        <v>ZSI1_CLEANING_SUPPNET_WEIGHT_OPT</v>
      </c>
    </row>
    <row r="7918" ht="15.75" customHeight="1">
      <c r="B7918" s="63">
        <f t="shared" si="1"/>
        <v>18</v>
      </c>
      <c r="C7918" s="135" t="s">
        <v>513</v>
      </c>
      <c r="D7918" s="161" t="s">
        <v>74</v>
      </c>
      <c r="E7918" s="135">
        <f t="shared" si="61"/>
        <v>10</v>
      </c>
      <c r="F7918" s="134" t="s">
        <v>4058</v>
      </c>
      <c r="G7918" s="63" t="str">
        <f>VLOOKUP(C7918, 'Class Def. - General Data'!$C$20:$C$1000,1,false)</f>
        <v>ZSI1_CLEANING_SUPP</v>
      </c>
      <c r="H7918" s="63" t="str">
        <f>IFERROR(__xludf.DUMMYFUNCTION("VLOOKUP(F7918, IMPORTRANGE(""https://docs.google.com/spreadsheets/d/1Lhp9OU0JdFf_VYSMzH5lBcEaU4o8teT1piV-SNzShjg/edit?gid=554141278#gid=554141278"", ""'Char Def. - Attributes'!C20:C2242""), 1,false)"),"WEIGHT_UNIT_SI")</f>
        <v>WEIGHT_UNIT_SI</v>
      </c>
      <c r="I7918" s="136"/>
      <c r="R7918" s="63" t="str">
        <f t="shared" si="60"/>
        <v>ZSI1_CLEANING_SUPPWEIGHT_UNIT_SI</v>
      </c>
    </row>
    <row r="7919" ht="15.75" customHeight="1">
      <c r="B7919" s="63">
        <f t="shared" si="1"/>
        <v>18</v>
      </c>
      <c r="C7919" s="135" t="s">
        <v>513</v>
      </c>
      <c r="D7919" s="161" t="s">
        <v>74</v>
      </c>
      <c r="E7919" s="135">
        <f t="shared" si="61"/>
        <v>11</v>
      </c>
      <c r="F7919" s="134" t="s">
        <v>3877</v>
      </c>
      <c r="G7919" s="63" t="str">
        <f>VLOOKUP(C7919, 'Class Def. - General Data'!$C$20:$C$1000,1,false)</f>
        <v>ZSI1_CLEANING_SUPP</v>
      </c>
      <c r="H7919" s="63" t="str">
        <f>IFERROR(__xludf.DUMMYFUNCTION("VLOOKUP(F7919, IMPORTRANGE(""https://docs.google.com/spreadsheets/d/1Lhp9OU0JdFf_VYSMzH5lBcEaU4o8teT1piV-SNzShjg/edit?gid=554141278#gid=554141278"", ""'Char Def. - Attributes'!C20:C2242""), 1,false)"),"VOLUME_OPT")</f>
        <v>VOLUME_OPT</v>
      </c>
      <c r="I7919" s="136"/>
      <c r="R7919" s="63" t="str">
        <f t="shared" si="60"/>
        <v>ZSI1_CLEANING_SUPPVOLUME_OPT</v>
      </c>
    </row>
    <row r="7920" ht="15.75" customHeight="1">
      <c r="B7920" s="63">
        <f t="shared" si="1"/>
        <v>18</v>
      </c>
      <c r="C7920" s="135" t="s">
        <v>513</v>
      </c>
      <c r="D7920" s="161" t="s">
        <v>74</v>
      </c>
      <c r="E7920" s="135">
        <f t="shared" si="61"/>
        <v>12</v>
      </c>
      <c r="F7920" s="134" t="s">
        <v>4059</v>
      </c>
      <c r="G7920" s="63" t="str">
        <f>VLOOKUP(C7920, 'Class Def. - General Data'!$C$20:$C$1000,1,false)</f>
        <v>ZSI1_CLEANING_SUPP</v>
      </c>
      <c r="H7920" s="63" t="str">
        <f>IFERROR(__xludf.DUMMYFUNCTION("VLOOKUP(F7920, IMPORTRANGE(""https://docs.google.com/spreadsheets/d/1Lhp9OU0JdFf_VYSMzH5lBcEaU4o8teT1piV-SNzShjg/edit?gid=554141278#gid=554141278"", ""'Char Def. - Attributes'!C20:C2242""), 1,false)"),"VOLUME_UNIT_SI")</f>
        <v>VOLUME_UNIT_SI</v>
      </c>
      <c r="I7920" s="136"/>
      <c r="R7920" s="63" t="str">
        <f t="shared" si="60"/>
        <v>ZSI1_CLEANING_SUPPVOLUME_UNIT_SI</v>
      </c>
    </row>
    <row r="7921" ht="15.75" customHeight="1">
      <c r="B7921" s="63">
        <f t="shared" si="1"/>
        <v>18</v>
      </c>
      <c r="C7921" s="135" t="s">
        <v>513</v>
      </c>
      <c r="D7921" s="161" t="s">
        <v>74</v>
      </c>
      <c r="E7921" s="135">
        <f t="shared" si="61"/>
        <v>13</v>
      </c>
      <c r="F7921" s="134" t="s">
        <v>3804</v>
      </c>
      <c r="G7921" s="63" t="str">
        <f>VLOOKUP(C7921, 'Class Def. - General Data'!$C$20:$C$1000,1,false)</f>
        <v>ZSI1_CLEANING_SUPP</v>
      </c>
      <c r="H7921" s="63" t="str">
        <f>IFERROR(__xludf.DUMMYFUNCTION("VLOOKUP(F7921, IMPORTRANGE(""https://docs.google.com/spreadsheets/d/1Lhp9OU0JdFf_VYSMzH5lBcEaU4o8teT1piV-SNzShjg/edit?gid=554141278#gid=554141278"", ""'Char Def. - Attributes'!C20:C2242""), 1,false)"),"ALT_UOM1_SIPI")</f>
        <v>ALT_UOM1_SIPI</v>
      </c>
      <c r="I7921" s="136"/>
      <c r="R7921" s="63" t="str">
        <f t="shared" si="60"/>
        <v>ZSI1_CLEANING_SUPPALT_UOM1_SIPI</v>
      </c>
    </row>
    <row r="7922" ht="15.75" customHeight="1">
      <c r="B7922" s="63">
        <f t="shared" si="1"/>
        <v>18</v>
      </c>
      <c r="C7922" s="135" t="s">
        <v>513</v>
      </c>
      <c r="D7922" s="161" t="s">
        <v>74</v>
      </c>
      <c r="E7922" s="135">
        <f t="shared" si="61"/>
        <v>14</v>
      </c>
      <c r="F7922" s="134" t="s">
        <v>3805</v>
      </c>
      <c r="G7922" s="63" t="str">
        <f>VLOOKUP(C7922, 'Class Def. - General Data'!$C$20:$C$1000,1,false)</f>
        <v>ZSI1_CLEANING_SUPP</v>
      </c>
      <c r="H7922" s="63" t="str">
        <f>IFERROR(__xludf.DUMMYFUNCTION("VLOOKUP(F7922, IMPORTRANGE(""https://docs.google.com/spreadsheets/d/1Lhp9OU0JdFf_VYSMzH5lBcEaU4o8teT1piV-SNzShjg/edit?gid=554141278#gid=554141278"", ""'Char Def. - Attributes'!C20:C2242""), 1,false)"),"ALT_DENUM_UOM1")</f>
        <v>ALT_DENUM_UOM1</v>
      </c>
      <c r="I7922" s="136"/>
      <c r="R7922" s="63" t="str">
        <f t="shared" si="60"/>
        <v>ZSI1_CLEANING_SUPPALT_DENUM_UOM1</v>
      </c>
    </row>
    <row r="7923" ht="15.75" customHeight="1">
      <c r="B7923" s="63">
        <f t="shared" si="1"/>
        <v>18</v>
      </c>
      <c r="C7923" s="135" t="s">
        <v>513</v>
      </c>
      <c r="D7923" s="161" t="s">
        <v>74</v>
      </c>
      <c r="E7923" s="135">
        <f t="shared" si="61"/>
        <v>15</v>
      </c>
      <c r="F7923" s="134" t="s">
        <v>3806</v>
      </c>
      <c r="G7923" s="63" t="str">
        <f>VLOOKUP(C7923, 'Class Def. - General Data'!$C$20:$C$1000,1,false)</f>
        <v>ZSI1_CLEANING_SUPP</v>
      </c>
      <c r="H7923" s="63" t="str">
        <f>IFERROR(__xludf.DUMMYFUNCTION("VLOOKUP(F7923, IMPORTRANGE(""https://docs.google.com/spreadsheets/d/1Lhp9OU0JdFf_VYSMzH5lBcEaU4o8teT1piV-SNzShjg/edit?gid=554141278#gid=554141278"", ""'Char Def. - Attributes'!C20:C2242""), 1,false)"),"ALT_NUM_UOM1")</f>
        <v>ALT_NUM_UOM1</v>
      </c>
      <c r="I7923" s="136"/>
      <c r="R7923" s="63" t="str">
        <f t="shared" si="60"/>
        <v>ZSI1_CLEANING_SUPPALT_NUM_UOM1</v>
      </c>
    </row>
    <row r="7924" ht="15.75" customHeight="1">
      <c r="B7924" s="63">
        <f t="shared" si="1"/>
        <v>18</v>
      </c>
      <c r="C7924" s="135" t="s">
        <v>513</v>
      </c>
      <c r="D7924" s="161" t="s">
        <v>74</v>
      </c>
      <c r="E7924" s="135">
        <f t="shared" si="61"/>
        <v>16</v>
      </c>
      <c r="F7924" s="134" t="s">
        <v>3807</v>
      </c>
      <c r="G7924" s="63" t="str">
        <f>VLOOKUP(C7924, 'Class Def. - General Data'!$C$20:$C$1000,1,false)</f>
        <v>ZSI1_CLEANING_SUPP</v>
      </c>
      <c r="H7924" s="63" t="str">
        <f>IFERROR(__xludf.DUMMYFUNCTION("VLOOKUP(F7924, IMPORTRANGE(""https://docs.google.com/spreadsheets/d/1Lhp9OU0JdFf_VYSMzH5lBcEaU4o8teT1piV-SNzShjg/edit?gid=554141278#gid=554141278"", ""'Char Def. - Attributes'!C20:C2242""), 1,false)"),"ALT_UOM2_SIPI")</f>
        <v>ALT_UOM2_SIPI</v>
      </c>
      <c r="I7924" s="136"/>
      <c r="R7924" s="63" t="str">
        <f t="shared" si="60"/>
        <v>ZSI1_CLEANING_SUPPALT_UOM2_SIPI</v>
      </c>
    </row>
    <row r="7925" ht="15.75" customHeight="1">
      <c r="B7925" s="63">
        <f t="shared" si="1"/>
        <v>18</v>
      </c>
      <c r="C7925" s="135" t="s">
        <v>513</v>
      </c>
      <c r="D7925" s="161" t="s">
        <v>74</v>
      </c>
      <c r="E7925" s="135">
        <f t="shared" si="61"/>
        <v>17</v>
      </c>
      <c r="F7925" s="134" t="s">
        <v>3808</v>
      </c>
      <c r="G7925" s="63" t="str">
        <f>VLOOKUP(C7925, 'Class Def. - General Data'!$C$20:$C$1000,1,false)</f>
        <v>ZSI1_CLEANING_SUPP</v>
      </c>
      <c r="H7925" s="63" t="str">
        <f>IFERROR(__xludf.DUMMYFUNCTION("VLOOKUP(F7925, IMPORTRANGE(""https://docs.google.com/spreadsheets/d/1Lhp9OU0JdFf_VYSMzH5lBcEaU4o8teT1piV-SNzShjg/edit?gid=554141278#gid=554141278"", ""'Char Def. - Attributes'!C20:C2242""), 1,false)"),"ALT_DENUM_UOM2")</f>
        <v>ALT_DENUM_UOM2</v>
      </c>
      <c r="I7925" s="136"/>
      <c r="R7925" s="63" t="str">
        <f t="shared" si="60"/>
        <v>ZSI1_CLEANING_SUPPALT_DENUM_UOM2</v>
      </c>
    </row>
    <row r="7926" ht="15.75" customHeight="1">
      <c r="B7926" s="63">
        <f t="shared" si="1"/>
        <v>18</v>
      </c>
      <c r="C7926" s="135" t="s">
        <v>513</v>
      </c>
      <c r="D7926" s="161" t="s">
        <v>74</v>
      </c>
      <c r="E7926" s="135">
        <f t="shared" si="61"/>
        <v>18</v>
      </c>
      <c r="F7926" s="134" t="s">
        <v>3809</v>
      </c>
      <c r="G7926" s="63" t="str">
        <f>VLOOKUP(C7926, 'Class Def. - General Data'!$C$20:$C$1000,1,false)</f>
        <v>ZSI1_CLEANING_SUPP</v>
      </c>
      <c r="H7926" s="63" t="str">
        <f>IFERROR(__xludf.DUMMYFUNCTION("VLOOKUP(F7926, IMPORTRANGE(""https://docs.google.com/spreadsheets/d/1Lhp9OU0JdFf_VYSMzH5lBcEaU4o8teT1piV-SNzShjg/edit?gid=554141278#gid=554141278"", ""'Char Def. - Attributes'!C20:C2242""), 1,false)"),"ALT_NUM_UOM2")</f>
        <v>ALT_NUM_UOM2</v>
      </c>
      <c r="I7926" s="136"/>
      <c r="R7926" s="63" t="str">
        <f t="shared" si="60"/>
        <v>ZSI1_CLEANING_SUPPALT_NUM_UOM2</v>
      </c>
    </row>
    <row r="7927" ht="15.75" customHeight="1">
      <c r="B7927" s="63">
        <f t="shared" si="1"/>
        <v>18</v>
      </c>
      <c r="C7927" s="135" t="s">
        <v>513</v>
      </c>
      <c r="D7927" s="161" t="s">
        <v>74</v>
      </c>
      <c r="E7927" s="135">
        <f t="shared" si="61"/>
        <v>19</v>
      </c>
      <c r="F7927" s="134" t="s">
        <v>3810</v>
      </c>
      <c r="G7927" s="63" t="str">
        <f>VLOOKUP(C7927, 'Class Def. - General Data'!$C$20:$C$1000,1,false)</f>
        <v>ZSI1_CLEANING_SUPP</v>
      </c>
      <c r="H7927" s="63" t="str">
        <f>IFERROR(__xludf.DUMMYFUNCTION("VLOOKUP(F7927, IMPORTRANGE(""https://docs.google.com/spreadsheets/d/1Lhp9OU0JdFf_VYSMzH5lBcEaU4o8teT1piV-SNzShjg/edit?gid=554141278#gid=554141278"", ""'Char Def. - Attributes'!C20:C2242""), 1,false)"),"ALT_UOM3_SIPI")</f>
        <v>ALT_UOM3_SIPI</v>
      </c>
      <c r="I7927" s="136"/>
      <c r="R7927" s="63" t="str">
        <f t="shared" si="60"/>
        <v>ZSI1_CLEANING_SUPPALT_UOM3_SIPI</v>
      </c>
    </row>
    <row r="7928" ht="15.75" customHeight="1">
      <c r="B7928" s="63">
        <f t="shared" si="1"/>
        <v>18</v>
      </c>
      <c r="C7928" s="135" t="s">
        <v>513</v>
      </c>
      <c r="D7928" s="161" t="s">
        <v>74</v>
      </c>
      <c r="E7928" s="135">
        <f t="shared" si="61"/>
        <v>20</v>
      </c>
      <c r="F7928" s="134" t="s">
        <v>3811</v>
      </c>
      <c r="G7928" s="63" t="str">
        <f>VLOOKUP(C7928, 'Class Def. - General Data'!$C$20:$C$1000,1,false)</f>
        <v>ZSI1_CLEANING_SUPP</v>
      </c>
      <c r="H7928" s="63" t="str">
        <f>IFERROR(__xludf.DUMMYFUNCTION("VLOOKUP(F7928, IMPORTRANGE(""https://docs.google.com/spreadsheets/d/1Lhp9OU0JdFf_VYSMzH5lBcEaU4o8teT1piV-SNzShjg/edit?gid=554141278#gid=554141278"", ""'Char Def. - Attributes'!C20:C2242""), 1,false)"),"ALT_DENUM_UOM3")</f>
        <v>ALT_DENUM_UOM3</v>
      </c>
      <c r="I7928" s="136"/>
      <c r="R7928" s="63" t="str">
        <f t="shared" si="60"/>
        <v>ZSI1_CLEANING_SUPPALT_DENUM_UOM3</v>
      </c>
    </row>
    <row r="7929" ht="15.75" customHeight="1">
      <c r="B7929" s="63">
        <f t="shared" si="1"/>
        <v>18</v>
      </c>
      <c r="C7929" s="135" t="s">
        <v>513</v>
      </c>
      <c r="D7929" s="161" t="s">
        <v>74</v>
      </c>
      <c r="E7929" s="135">
        <f t="shared" si="61"/>
        <v>21</v>
      </c>
      <c r="F7929" s="134" t="s">
        <v>3812</v>
      </c>
      <c r="G7929" s="63" t="str">
        <f>VLOOKUP(C7929, 'Class Def. - General Data'!$C$20:$C$1000,1,false)</f>
        <v>ZSI1_CLEANING_SUPP</v>
      </c>
      <c r="H7929" s="63" t="str">
        <f>IFERROR(__xludf.DUMMYFUNCTION("VLOOKUP(F7929, IMPORTRANGE(""https://docs.google.com/spreadsheets/d/1Lhp9OU0JdFf_VYSMzH5lBcEaU4o8teT1piV-SNzShjg/edit?gid=554141278#gid=554141278"", ""'Char Def. - Attributes'!C20:C2242""), 1,false)"),"ALT_NUM_UOM3")</f>
        <v>ALT_NUM_UOM3</v>
      </c>
      <c r="I7929" s="136"/>
      <c r="R7929" s="63" t="str">
        <f t="shared" si="60"/>
        <v>ZSI1_CLEANING_SUPPALT_NUM_UOM3</v>
      </c>
    </row>
    <row r="7930" ht="15.75" customHeight="1">
      <c r="B7930" s="63">
        <f t="shared" si="1"/>
        <v>18</v>
      </c>
      <c r="C7930" s="135" t="s">
        <v>513</v>
      </c>
      <c r="D7930" s="161" t="s">
        <v>74</v>
      </c>
      <c r="E7930" s="135">
        <f t="shared" si="61"/>
        <v>22</v>
      </c>
      <c r="F7930" s="134" t="s">
        <v>3813</v>
      </c>
      <c r="G7930" s="63" t="str">
        <f>VLOOKUP(C7930, 'Class Def. - General Data'!$C$20:$C$1000,1,false)</f>
        <v>ZSI1_CLEANING_SUPP</v>
      </c>
      <c r="H7930" s="63" t="str">
        <f>IFERROR(__xludf.DUMMYFUNCTION("VLOOKUP(F7930, IMPORTRANGE(""https://docs.google.com/spreadsheets/d/1Lhp9OU0JdFf_VYSMzH5lBcEaU4o8teT1piV-SNzShjg/edit?gid=554141278#gid=554141278"", ""'Char Def. - Attributes'!C20:C2242""), 1,false)"),"ALT_UOM4_SIPI")</f>
        <v>ALT_UOM4_SIPI</v>
      </c>
      <c r="I7930" s="136"/>
      <c r="R7930" s="63" t="str">
        <f t="shared" si="60"/>
        <v>ZSI1_CLEANING_SUPPALT_UOM4_SIPI</v>
      </c>
    </row>
    <row r="7931" ht="15.75" customHeight="1">
      <c r="B7931" s="63">
        <f t="shared" si="1"/>
        <v>18</v>
      </c>
      <c r="C7931" s="135" t="s">
        <v>513</v>
      </c>
      <c r="D7931" s="161" t="s">
        <v>74</v>
      </c>
      <c r="E7931" s="135">
        <f t="shared" si="61"/>
        <v>23</v>
      </c>
      <c r="F7931" s="134" t="s">
        <v>3814</v>
      </c>
      <c r="G7931" s="63" t="str">
        <f>VLOOKUP(C7931, 'Class Def. - General Data'!$C$20:$C$1000,1,false)</f>
        <v>ZSI1_CLEANING_SUPP</v>
      </c>
      <c r="H7931" s="63" t="str">
        <f>IFERROR(__xludf.DUMMYFUNCTION("VLOOKUP(F7931, IMPORTRANGE(""https://docs.google.com/spreadsheets/d/1Lhp9OU0JdFf_VYSMzH5lBcEaU4o8teT1piV-SNzShjg/edit?gid=554141278#gid=554141278"", ""'Char Def. - Attributes'!C20:C2242""), 1,false)"),"ALT_DENUM_UOM4")</f>
        <v>ALT_DENUM_UOM4</v>
      </c>
      <c r="I7931" s="136"/>
      <c r="R7931" s="63" t="str">
        <f t="shared" si="60"/>
        <v>ZSI1_CLEANING_SUPPALT_DENUM_UOM4</v>
      </c>
    </row>
    <row r="7932" ht="15.75" customHeight="1">
      <c r="B7932" s="63">
        <f t="shared" si="1"/>
        <v>18</v>
      </c>
      <c r="C7932" s="135" t="s">
        <v>513</v>
      </c>
      <c r="D7932" s="161" t="s">
        <v>74</v>
      </c>
      <c r="E7932" s="135">
        <f t="shared" si="61"/>
        <v>24</v>
      </c>
      <c r="F7932" s="134" t="s">
        <v>3815</v>
      </c>
      <c r="G7932" s="63" t="str">
        <f>VLOOKUP(C7932, 'Class Def. - General Data'!$C$20:$C$1000,1,false)</f>
        <v>ZSI1_CLEANING_SUPP</v>
      </c>
      <c r="H7932" s="63" t="str">
        <f>IFERROR(__xludf.DUMMYFUNCTION("VLOOKUP(F7932, IMPORTRANGE(""https://docs.google.com/spreadsheets/d/1Lhp9OU0JdFf_VYSMzH5lBcEaU4o8teT1piV-SNzShjg/edit?gid=554141278#gid=554141278"", ""'Char Def. - Attributes'!C20:C2242""), 1,false)"),"ALT_NUM_UOM4")</f>
        <v>ALT_NUM_UOM4</v>
      </c>
      <c r="I7932" s="136"/>
      <c r="R7932" s="63" t="str">
        <f t="shared" si="60"/>
        <v>ZSI1_CLEANING_SUPPALT_NUM_UOM4</v>
      </c>
    </row>
    <row r="7933" ht="15.75" customHeight="1">
      <c r="B7933" s="63">
        <f t="shared" si="1"/>
        <v>18</v>
      </c>
      <c r="C7933" s="135" t="s">
        <v>513</v>
      </c>
      <c r="D7933" s="161" t="s">
        <v>74</v>
      </c>
      <c r="E7933" s="135">
        <f t="shared" si="61"/>
        <v>25</v>
      </c>
      <c r="F7933" s="134" t="s">
        <v>3816</v>
      </c>
      <c r="G7933" s="63" t="str">
        <f>VLOOKUP(C7933, 'Class Def. - General Data'!$C$20:$C$1000,1,false)</f>
        <v>ZSI1_CLEANING_SUPP</v>
      </c>
      <c r="H7933" s="63" t="str">
        <f>IFERROR(__xludf.DUMMYFUNCTION("VLOOKUP(F7933, IMPORTRANGE(""https://docs.google.com/spreadsheets/d/1Lhp9OU0JdFf_VYSMzH5lBcEaU4o8teT1piV-SNzShjg/edit?gid=554141278#gid=554141278"", ""'Char Def. - Attributes'!C20:C2242""), 1,false)"),"ALT_UOM5_SIPI")</f>
        <v>ALT_UOM5_SIPI</v>
      </c>
      <c r="I7933" s="136"/>
      <c r="R7933" s="63" t="str">
        <f t="shared" si="60"/>
        <v>ZSI1_CLEANING_SUPPALT_UOM5_SIPI</v>
      </c>
    </row>
    <row r="7934" ht="15.75" customHeight="1">
      <c r="B7934" s="63">
        <f t="shared" si="1"/>
        <v>18</v>
      </c>
      <c r="C7934" s="135" t="s">
        <v>513</v>
      </c>
      <c r="D7934" s="161" t="s">
        <v>74</v>
      </c>
      <c r="E7934" s="135">
        <f t="shared" si="61"/>
        <v>26</v>
      </c>
      <c r="F7934" s="134" t="s">
        <v>3817</v>
      </c>
      <c r="G7934" s="63" t="str">
        <f>VLOOKUP(C7934, 'Class Def. - General Data'!$C$20:$C$1000,1,false)</f>
        <v>ZSI1_CLEANING_SUPP</v>
      </c>
      <c r="H7934" s="63" t="str">
        <f>IFERROR(__xludf.DUMMYFUNCTION("VLOOKUP(F7934, IMPORTRANGE(""https://docs.google.com/spreadsheets/d/1Lhp9OU0JdFf_VYSMzH5lBcEaU4o8teT1piV-SNzShjg/edit?gid=554141278#gid=554141278"", ""'Char Def. - Attributes'!C20:C2242""), 1,false)"),"ALT_DENUM_UOM5")</f>
        <v>ALT_DENUM_UOM5</v>
      </c>
      <c r="I7934" s="136"/>
      <c r="R7934" s="63" t="str">
        <f t="shared" si="60"/>
        <v>ZSI1_CLEANING_SUPPALT_DENUM_UOM5</v>
      </c>
    </row>
    <row r="7935" ht="15.75" customHeight="1">
      <c r="B7935" s="63">
        <f t="shared" si="1"/>
        <v>18</v>
      </c>
      <c r="C7935" s="135" t="s">
        <v>513</v>
      </c>
      <c r="D7935" s="161" t="s">
        <v>74</v>
      </c>
      <c r="E7935" s="135">
        <f t="shared" si="61"/>
        <v>27</v>
      </c>
      <c r="F7935" s="134" t="s">
        <v>3818</v>
      </c>
      <c r="G7935" s="63" t="str">
        <f>VLOOKUP(C7935, 'Class Def. - General Data'!$C$20:$C$1000,1,false)</f>
        <v>ZSI1_CLEANING_SUPP</v>
      </c>
      <c r="H7935" s="63" t="str">
        <f>IFERROR(__xludf.DUMMYFUNCTION("VLOOKUP(F7935, IMPORTRANGE(""https://docs.google.com/spreadsheets/d/1Lhp9OU0JdFf_VYSMzH5lBcEaU4o8teT1piV-SNzShjg/edit?gid=554141278#gid=554141278"", ""'Char Def. - Attributes'!C20:C2242""), 1,false)"),"ALT_NUM_UOM5")</f>
        <v>ALT_NUM_UOM5</v>
      </c>
      <c r="I7935" s="136"/>
      <c r="R7935" s="63" t="str">
        <f t="shared" si="60"/>
        <v>ZSI1_CLEANING_SUPPALT_NUM_UOM5</v>
      </c>
    </row>
    <row r="7936" ht="15.75" customHeight="1">
      <c r="B7936" s="63">
        <f t="shared" si="1"/>
        <v>11</v>
      </c>
      <c r="C7936" s="75" t="s">
        <v>4262</v>
      </c>
      <c r="D7936" s="134" t="s">
        <v>74</v>
      </c>
      <c r="E7936" s="135">
        <f t="shared" si="61"/>
        <v>1</v>
      </c>
      <c r="F7936" s="134" t="s">
        <v>4263</v>
      </c>
      <c r="G7936" s="63" t="str">
        <f>VLOOKUP(C7936, 'Class Def. - General Data'!$C$20:$C$1000,1,false)</f>
        <v>#N/A</v>
      </c>
      <c r="H7936" s="63" t="str">
        <f>IFERROR(__xludf.DUMMYFUNCTION("VLOOKUP(F7936, IMPORTRANGE(""https://docs.google.com/spreadsheets/d/1Lhp9OU0JdFf_VYSMzH5lBcEaU4o8teT1piV-SNzShjg/edit?gid=554141278#gid=554141278"", ""'Char Def. - Attributes'!C20:C2242""), 1,false)"),"#N/A")</f>
        <v>#N/A</v>
      </c>
      <c r="I7936" s="136"/>
      <c r="R7936" s="63" t="str">
        <f t="shared" si="60"/>
        <v>ZSI1_CLUTCHITEM_NAME_CLUTCH</v>
      </c>
    </row>
    <row r="7937" ht="15.75" customHeight="1">
      <c r="B7937" s="63">
        <f t="shared" si="1"/>
        <v>11</v>
      </c>
      <c r="C7937" s="75" t="s">
        <v>4262</v>
      </c>
      <c r="D7937" s="134" t="s">
        <v>74</v>
      </c>
      <c r="E7937" s="135">
        <f t="shared" si="61"/>
        <v>2</v>
      </c>
      <c r="F7937" s="134" t="s">
        <v>4264</v>
      </c>
      <c r="G7937" s="63" t="str">
        <f>VLOOKUP(C7937, 'Class Def. - General Data'!$C$20:$C$1000,1,false)</f>
        <v>#N/A</v>
      </c>
      <c r="H7937" s="63" t="str">
        <f>IFERROR(__xludf.DUMMYFUNCTION("VLOOKUP(F7937, IMPORTRANGE(""https://docs.google.com/spreadsheets/d/1Lhp9OU0JdFf_VYSMzH5lBcEaU4o8teT1piV-SNzShjg/edit?gid=554141278#gid=554141278"", ""'Char Def. - Attributes'!C20:C2242""), 1,false)"),"#N/A")</f>
        <v>#N/A</v>
      </c>
      <c r="I7937" s="136"/>
      <c r="R7937" s="63" t="str">
        <f t="shared" si="60"/>
        <v>ZSI1_CLUTCHMFR_NO_CLUTCH</v>
      </c>
    </row>
    <row r="7938" ht="15.75" customHeight="1">
      <c r="B7938" s="63">
        <f t="shared" si="1"/>
        <v>11</v>
      </c>
      <c r="C7938" s="75" t="s">
        <v>4262</v>
      </c>
      <c r="D7938" s="134" t="s">
        <v>74</v>
      </c>
      <c r="E7938" s="135">
        <f t="shared" si="61"/>
        <v>3</v>
      </c>
      <c r="F7938" s="134" t="s">
        <v>3782</v>
      </c>
      <c r="G7938" s="63" t="str">
        <f>VLOOKUP(C7938, 'Class Def. - General Data'!$C$20:$C$1000,1,false)</f>
        <v>#N/A</v>
      </c>
      <c r="H7938" s="63" t="str">
        <f>IFERROR(__xludf.DUMMYFUNCTION("VLOOKUP(F7938, IMPORTRANGE(""https://docs.google.com/spreadsheets/d/1Lhp9OU0JdFf_VYSMzH5lBcEaU4o8teT1piV-SNzShjg/edit?gid=554141278#gid=554141278"", ""'Char Def. - Attributes'!C20:C2242""), 1,false)"),"BRAND_EXTERNAL")</f>
        <v>BRAND_EXTERNAL</v>
      </c>
      <c r="I7938" s="136"/>
      <c r="R7938" s="63" t="str">
        <f t="shared" si="60"/>
        <v>ZSI1_CLUTCHBRAND_EXTERNAL</v>
      </c>
    </row>
    <row r="7939" ht="15.75" customHeight="1">
      <c r="B7939" s="63">
        <f t="shared" si="1"/>
        <v>11</v>
      </c>
      <c r="C7939" s="75" t="s">
        <v>4262</v>
      </c>
      <c r="D7939" s="134" t="s">
        <v>74</v>
      </c>
      <c r="E7939" s="135">
        <f t="shared" si="61"/>
        <v>4</v>
      </c>
      <c r="F7939" s="134" t="s">
        <v>4062</v>
      </c>
      <c r="G7939" s="63" t="str">
        <f>VLOOKUP(C7939, 'Class Def. - General Data'!$C$20:$C$1000,1,false)</f>
        <v>#N/A</v>
      </c>
      <c r="H7939" s="63" t="str">
        <f>IFERROR(__xludf.DUMMYFUNCTION("VLOOKUP(F7939, IMPORTRANGE(""https://docs.google.com/spreadsheets/d/1Lhp9OU0JdFf_VYSMzH5lBcEaU4o8teT1piV-SNzShjg/edit?gid=554141278#gid=554141278"", ""'Char Def. - Attributes'!C20:C2242""), 1,false)"),"#N/A")</f>
        <v>#N/A</v>
      </c>
      <c r="I7939" s="136"/>
      <c r="R7939" s="63" t="str">
        <f t="shared" si="60"/>
        <v>ZSI1_CLUTCHADDTIONAL_SPECIFICATION</v>
      </c>
    </row>
    <row r="7940" ht="15.75" customHeight="1">
      <c r="B7940" s="63">
        <f t="shared" si="1"/>
        <v>11</v>
      </c>
      <c r="C7940" s="75" t="s">
        <v>4262</v>
      </c>
      <c r="D7940" s="134" t="s">
        <v>74</v>
      </c>
      <c r="E7940" s="135">
        <f t="shared" si="61"/>
        <v>5</v>
      </c>
      <c r="F7940" s="134" t="s">
        <v>4053</v>
      </c>
      <c r="G7940" s="63" t="str">
        <f>VLOOKUP(C7940, 'Class Def. - General Data'!$C$20:$C$1000,1,false)</f>
        <v>#N/A</v>
      </c>
      <c r="H7940" s="63" t="str">
        <f>IFERROR(__xludf.DUMMYFUNCTION("VLOOKUP(F7940, IMPORTRANGE(""https://docs.google.com/spreadsheets/d/1Lhp9OU0JdFf_VYSMzH5lBcEaU4o8teT1piV-SNzShjg/edit?gid=554141278#gid=554141278"", ""'Char Def. - Attributes'!C20:C2242""), 1,false)"),"MAINTENANCE_ORDER_TYPE")</f>
        <v>MAINTENANCE_ORDER_TYPE</v>
      </c>
      <c r="I7940" s="136"/>
      <c r="R7940" s="63" t="str">
        <f t="shared" si="60"/>
        <v>ZSI1_CLUTCHMAINTENANCE_ORDER_TYPE</v>
      </c>
    </row>
    <row r="7941" ht="15.75" customHeight="1">
      <c r="B7941" s="63">
        <f t="shared" si="1"/>
        <v>11</v>
      </c>
      <c r="C7941" s="75" t="s">
        <v>4262</v>
      </c>
      <c r="D7941" s="134" t="s">
        <v>74</v>
      </c>
      <c r="E7941" s="135">
        <f t="shared" si="61"/>
        <v>6</v>
      </c>
      <c r="F7941" s="134" t="s">
        <v>3585</v>
      </c>
      <c r="G7941" s="63" t="str">
        <f>VLOOKUP(C7941, 'Class Def. - General Data'!$C$20:$C$1000,1,false)</f>
        <v>#N/A</v>
      </c>
      <c r="H7941" s="63" t="str">
        <f>IFERROR(__xludf.DUMMYFUNCTION("VLOOKUP(F7941, IMPORTRANGE(""https://docs.google.com/spreadsheets/d/1Lhp9OU0JdFf_VYSMzH5lBcEaU4o8teT1piV-SNzShjg/edit?gid=554141278#gid=554141278"", ""'Char Def. - Attributes'!C20:C2242""), 1,false)"),"HS_CODE")</f>
        <v>HS_CODE</v>
      </c>
      <c r="I7941" s="136"/>
      <c r="R7941" s="63" t="str">
        <f t="shared" si="60"/>
        <v>ZSI1_CLUTCHHS_CODE</v>
      </c>
    </row>
    <row r="7942" ht="15.75" customHeight="1">
      <c r="B7942" s="63">
        <f t="shared" si="1"/>
        <v>11</v>
      </c>
      <c r="C7942" s="75" t="s">
        <v>4262</v>
      </c>
      <c r="D7942" s="134" t="s">
        <v>74</v>
      </c>
      <c r="E7942" s="135">
        <f t="shared" si="61"/>
        <v>7</v>
      </c>
      <c r="F7942" s="134" t="s">
        <v>3587</v>
      </c>
      <c r="G7942" s="63" t="str">
        <f>VLOOKUP(C7942, 'Class Def. - General Data'!$C$20:$C$1000,1,false)</f>
        <v>#N/A</v>
      </c>
      <c r="H7942" s="63" t="str">
        <f>IFERROR(__xludf.DUMMYFUNCTION("VLOOKUP(F7942, IMPORTRANGE(""https://docs.google.com/spreadsheets/d/1Lhp9OU0JdFf_VYSMzH5lBcEaU4o8teT1piV-SNzShjg/edit?gid=554141278#gid=554141278"", ""'Char Def. - Attributes'!C20:C2242""), 1,false)"),"PLANT_BUY")</f>
        <v>PLANT_BUY</v>
      </c>
      <c r="I7942" s="136"/>
      <c r="R7942" s="63" t="str">
        <f t="shared" si="60"/>
        <v>ZSI1_CLUTCHPLANT_BUY</v>
      </c>
    </row>
    <row r="7943" ht="15.75" customHeight="1">
      <c r="B7943" s="63">
        <f t="shared" si="1"/>
        <v>11</v>
      </c>
      <c r="C7943" s="75" t="s">
        <v>4262</v>
      </c>
      <c r="D7943" s="134" t="s">
        <v>74</v>
      </c>
      <c r="E7943" s="135">
        <f t="shared" si="61"/>
        <v>8</v>
      </c>
      <c r="F7943" s="134" t="s">
        <v>4265</v>
      </c>
      <c r="G7943" s="63" t="str">
        <f>VLOOKUP(C7943, 'Class Def. - General Data'!$C$20:$C$1000,1,false)</f>
        <v>#N/A</v>
      </c>
      <c r="H7943" s="63" t="str">
        <f>IFERROR(__xludf.DUMMYFUNCTION("VLOOKUP(F7943, IMPORTRANGE(""https://docs.google.com/spreadsheets/d/1Lhp9OU0JdFf_VYSMzH5lBcEaU4o8teT1piV-SNzShjg/edit?gid=554141278#gid=554141278"", ""'Char Def. - Attributes'!C20:C2242""), 1,false)"),"#N/A")</f>
        <v>#N/A</v>
      </c>
      <c r="I7943" s="136"/>
      <c r="R7943" s="63" t="str">
        <f t="shared" si="60"/>
        <v>ZSI1_CLUTCHBASE_UOM_CLUTCH</v>
      </c>
    </row>
    <row r="7944" ht="15.75" customHeight="1">
      <c r="B7944" s="63">
        <f t="shared" si="1"/>
        <v>11</v>
      </c>
      <c r="C7944" s="75" t="s">
        <v>4262</v>
      </c>
      <c r="D7944" s="134" t="s">
        <v>74</v>
      </c>
      <c r="E7944" s="135">
        <f t="shared" si="61"/>
        <v>9</v>
      </c>
      <c r="F7944" s="134" t="s">
        <v>4266</v>
      </c>
      <c r="G7944" s="63" t="str">
        <f>VLOOKUP(C7944, 'Class Def. - General Data'!$C$20:$C$1000,1,false)</f>
        <v>#N/A</v>
      </c>
      <c r="H7944" s="63" t="str">
        <f>IFERROR(__xludf.DUMMYFUNCTION("VLOOKUP(F7944, IMPORTRANGE(""https://docs.google.com/spreadsheets/d/1Lhp9OU0JdFf_VYSMzH5lBcEaU4o8teT1piV-SNzShjg/edit?gid=554141278#gid=554141278"", ""'Char Def. - Attributes'!C20:C2242""), 1,false)"),"#N/A")</f>
        <v>#N/A</v>
      </c>
      <c r="I7944" s="136"/>
      <c r="R7944" s="63" t="str">
        <f t="shared" si="60"/>
        <v>ZSI1_CLUTCHORDER_UNIT_CLUTCH</v>
      </c>
    </row>
    <row r="7945" ht="15.75" customHeight="1">
      <c r="B7945" s="63">
        <f t="shared" si="1"/>
        <v>11</v>
      </c>
      <c r="C7945" s="75" t="s">
        <v>4262</v>
      </c>
      <c r="D7945" s="134" t="s">
        <v>74</v>
      </c>
      <c r="E7945" s="135">
        <f t="shared" si="61"/>
        <v>10</v>
      </c>
      <c r="F7945" s="134" t="s">
        <v>4056</v>
      </c>
      <c r="G7945" s="63" t="str">
        <f>VLOOKUP(C7945, 'Class Def. - General Data'!$C$20:$C$1000,1,false)</f>
        <v>#N/A</v>
      </c>
      <c r="H7945" s="63" t="str">
        <f>IFERROR(__xludf.DUMMYFUNCTION("VLOOKUP(F7945, IMPORTRANGE(""https://docs.google.com/spreadsheets/d/1Lhp9OU0JdFf_VYSMzH5lBcEaU4o8teT1piV-SNzShjg/edit?gid=554141278#gid=554141278"", ""'Char Def. - Attributes'!C20:C2242""), 1,false)"),"GROSS_WEIGHT_OPT")</f>
        <v>GROSS_WEIGHT_OPT</v>
      </c>
      <c r="I7945" s="136"/>
      <c r="R7945" s="63" t="str">
        <f t="shared" si="60"/>
        <v>ZSI1_CLUTCHGROSS_WEIGHT_OPT</v>
      </c>
    </row>
    <row r="7946" ht="15.75" customHeight="1">
      <c r="B7946" s="63">
        <f t="shared" si="1"/>
        <v>11</v>
      </c>
      <c r="C7946" s="75" t="s">
        <v>4262</v>
      </c>
      <c r="D7946" s="134" t="s">
        <v>74</v>
      </c>
      <c r="E7946" s="135">
        <f t="shared" si="61"/>
        <v>11</v>
      </c>
      <c r="F7946" s="134" t="s">
        <v>4057</v>
      </c>
      <c r="G7946" s="63" t="str">
        <f>VLOOKUP(C7946, 'Class Def. - General Data'!$C$20:$C$1000,1,false)</f>
        <v>#N/A</v>
      </c>
      <c r="H7946" s="63" t="str">
        <f>IFERROR(__xludf.DUMMYFUNCTION("VLOOKUP(F7946, IMPORTRANGE(""https://docs.google.com/spreadsheets/d/1Lhp9OU0JdFf_VYSMzH5lBcEaU4o8teT1piV-SNzShjg/edit?gid=554141278#gid=554141278"", ""'Char Def. - Attributes'!C20:C2242""), 1,false)"),"NET_WEIGHT_OPT")</f>
        <v>NET_WEIGHT_OPT</v>
      </c>
      <c r="I7946" s="136"/>
      <c r="R7946" s="63" t="str">
        <f t="shared" si="60"/>
        <v>ZSI1_CLUTCHNET_WEIGHT_OPT</v>
      </c>
    </row>
    <row r="7947" ht="15.75" customHeight="1">
      <c r="B7947" s="63">
        <f t="shared" si="1"/>
        <v>11</v>
      </c>
      <c r="C7947" s="75" t="s">
        <v>4262</v>
      </c>
      <c r="D7947" s="134" t="s">
        <v>74</v>
      </c>
      <c r="E7947" s="135">
        <f t="shared" si="61"/>
        <v>12</v>
      </c>
      <c r="F7947" s="134" t="s">
        <v>4058</v>
      </c>
      <c r="G7947" s="63" t="str">
        <f>VLOOKUP(C7947, 'Class Def. - General Data'!$C$20:$C$1000,1,false)</f>
        <v>#N/A</v>
      </c>
      <c r="H7947" s="63" t="str">
        <f>IFERROR(__xludf.DUMMYFUNCTION("VLOOKUP(F7947, IMPORTRANGE(""https://docs.google.com/spreadsheets/d/1Lhp9OU0JdFf_VYSMzH5lBcEaU4o8teT1piV-SNzShjg/edit?gid=554141278#gid=554141278"", ""'Char Def. - Attributes'!C20:C2242""), 1,false)"),"WEIGHT_UNIT_SI")</f>
        <v>WEIGHT_UNIT_SI</v>
      </c>
      <c r="I7947" s="136"/>
      <c r="R7947" s="63" t="str">
        <f t="shared" si="60"/>
        <v>ZSI1_CLUTCHWEIGHT_UNIT_SI</v>
      </c>
    </row>
    <row r="7948" ht="15.75" customHeight="1">
      <c r="B7948" s="63">
        <f t="shared" si="1"/>
        <v>11</v>
      </c>
      <c r="C7948" s="75" t="s">
        <v>4262</v>
      </c>
      <c r="D7948" s="134" t="s">
        <v>74</v>
      </c>
      <c r="E7948" s="135">
        <f t="shared" si="61"/>
        <v>13</v>
      </c>
      <c r="F7948" s="134" t="s">
        <v>3877</v>
      </c>
      <c r="G7948" s="63" t="str">
        <f>VLOOKUP(C7948, 'Class Def. - General Data'!$C$20:$C$1000,1,false)</f>
        <v>#N/A</v>
      </c>
      <c r="H7948" s="63" t="str">
        <f>IFERROR(__xludf.DUMMYFUNCTION("VLOOKUP(F7948, IMPORTRANGE(""https://docs.google.com/spreadsheets/d/1Lhp9OU0JdFf_VYSMzH5lBcEaU4o8teT1piV-SNzShjg/edit?gid=554141278#gid=554141278"", ""'Char Def. - Attributes'!C20:C2242""), 1,false)"),"VOLUME_OPT")</f>
        <v>VOLUME_OPT</v>
      </c>
      <c r="I7948" s="136"/>
      <c r="R7948" s="63" t="str">
        <f t="shared" si="60"/>
        <v>ZSI1_CLUTCHVOLUME_OPT</v>
      </c>
    </row>
    <row r="7949" ht="15.75" customHeight="1">
      <c r="B7949" s="63">
        <f t="shared" si="1"/>
        <v>11</v>
      </c>
      <c r="C7949" s="75" t="s">
        <v>4262</v>
      </c>
      <c r="D7949" s="134" t="s">
        <v>74</v>
      </c>
      <c r="E7949" s="135">
        <f t="shared" si="61"/>
        <v>14</v>
      </c>
      <c r="F7949" s="134" t="s">
        <v>4059</v>
      </c>
      <c r="G7949" s="63" t="str">
        <f>VLOOKUP(C7949, 'Class Def. - General Data'!$C$20:$C$1000,1,false)</f>
        <v>#N/A</v>
      </c>
      <c r="H7949" s="63" t="str">
        <f>IFERROR(__xludf.DUMMYFUNCTION("VLOOKUP(F7949, IMPORTRANGE(""https://docs.google.com/spreadsheets/d/1Lhp9OU0JdFf_VYSMzH5lBcEaU4o8teT1piV-SNzShjg/edit?gid=554141278#gid=554141278"", ""'Char Def. - Attributes'!C20:C2242""), 1,false)"),"VOLUME_UNIT_SI")</f>
        <v>VOLUME_UNIT_SI</v>
      </c>
      <c r="I7949" s="136"/>
      <c r="R7949" s="63" t="str">
        <f t="shared" si="60"/>
        <v>ZSI1_CLUTCHVOLUME_UNIT_SI</v>
      </c>
    </row>
    <row r="7950" ht="15.75" customHeight="1">
      <c r="B7950" s="63">
        <f t="shared" si="1"/>
        <v>11</v>
      </c>
      <c r="C7950" s="75" t="s">
        <v>4262</v>
      </c>
      <c r="D7950" s="134" t="s">
        <v>74</v>
      </c>
      <c r="E7950" s="135">
        <f t="shared" si="61"/>
        <v>15</v>
      </c>
      <c r="F7950" s="134" t="s">
        <v>3804</v>
      </c>
      <c r="G7950" s="63" t="str">
        <f>VLOOKUP(C7950, 'Class Def. - General Data'!$C$20:$C$1000,1,false)</f>
        <v>#N/A</v>
      </c>
      <c r="H7950" s="63" t="str">
        <f>IFERROR(__xludf.DUMMYFUNCTION("VLOOKUP(F7950, IMPORTRANGE(""https://docs.google.com/spreadsheets/d/1Lhp9OU0JdFf_VYSMzH5lBcEaU4o8teT1piV-SNzShjg/edit?gid=554141278#gid=554141278"", ""'Char Def. - Attributes'!C20:C2242""), 1,false)"),"ALT_UOM1_SIPI")</f>
        <v>ALT_UOM1_SIPI</v>
      </c>
      <c r="I7950" s="136"/>
      <c r="R7950" s="63" t="str">
        <f t="shared" si="60"/>
        <v>ZSI1_CLUTCHALT_UOM1_SIPI</v>
      </c>
    </row>
    <row r="7951" ht="15.75" customHeight="1">
      <c r="B7951" s="63">
        <f t="shared" si="1"/>
        <v>11</v>
      </c>
      <c r="C7951" s="75" t="s">
        <v>4262</v>
      </c>
      <c r="D7951" s="134" t="s">
        <v>74</v>
      </c>
      <c r="E7951" s="135">
        <f t="shared" si="61"/>
        <v>16</v>
      </c>
      <c r="F7951" s="134" t="s">
        <v>3805</v>
      </c>
      <c r="G7951" s="63" t="str">
        <f>VLOOKUP(C7951, 'Class Def. - General Data'!$C$20:$C$1000,1,false)</f>
        <v>#N/A</v>
      </c>
      <c r="H7951" s="63" t="str">
        <f>IFERROR(__xludf.DUMMYFUNCTION("VLOOKUP(F7951, IMPORTRANGE(""https://docs.google.com/spreadsheets/d/1Lhp9OU0JdFf_VYSMzH5lBcEaU4o8teT1piV-SNzShjg/edit?gid=554141278#gid=554141278"", ""'Char Def. - Attributes'!C20:C2242""), 1,false)"),"ALT_DENUM_UOM1")</f>
        <v>ALT_DENUM_UOM1</v>
      </c>
      <c r="I7951" s="136"/>
      <c r="R7951" s="63" t="str">
        <f t="shared" si="60"/>
        <v>ZSI1_CLUTCHALT_DENUM_UOM1</v>
      </c>
    </row>
    <row r="7952" ht="15.75" customHeight="1">
      <c r="B7952" s="63">
        <f t="shared" si="1"/>
        <v>11</v>
      </c>
      <c r="C7952" s="75" t="s">
        <v>4262</v>
      </c>
      <c r="D7952" s="134" t="s">
        <v>74</v>
      </c>
      <c r="E7952" s="135">
        <f t="shared" si="61"/>
        <v>17</v>
      </c>
      <c r="F7952" s="134" t="s">
        <v>3806</v>
      </c>
      <c r="G7952" s="63" t="str">
        <f>VLOOKUP(C7952, 'Class Def. - General Data'!$C$20:$C$1000,1,false)</f>
        <v>#N/A</v>
      </c>
      <c r="H7952" s="63" t="str">
        <f>IFERROR(__xludf.DUMMYFUNCTION("VLOOKUP(F7952, IMPORTRANGE(""https://docs.google.com/spreadsheets/d/1Lhp9OU0JdFf_VYSMzH5lBcEaU4o8teT1piV-SNzShjg/edit?gid=554141278#gid=554141278"", ""'Char Def. - Attributes'!C20:C2242""), 1,false)"),"ALT_NUM_UOM1")</f>
        <v>ALT_NUM_UOM1</v>
      </c>
      <c r="I7952" s="136"/>
      <c r="R7952" s="63" t="str">
        <f t="shared" si="60"/>
        <v>ZSI1_CLUTCHALT_NUM_UOM1</v>
      </c>
    </row>
    <row r="7953" ht="15.75" customHeight="1">
      <c r="B7953" s="63">
        <f t="shared" si="1"/>
        <v>11</v>
      </c>
      <c r="C7953" s="75" t="s">
        <v>4262</v>
      </c>
      <c r="D7953" s="134" t="s">
        <v>74</v>
      </c>
      <c r="E7953" s="135">
        <f t="shared" si="61"/>
        <v>18</v>
      </c>
      <c r="F7953" s="134" t="s">
        <v>3807</v>
      </c>
      <c r="G7953" s="63" t="str">
        <f>VLOOKUP(C7953, 'Class Def. - General Data'!$C$20:$C$1000,1,false)</f>
        <v>#N/A</v>
      </c>
      <c r="H7953" s="63" t="str">
        <f>IFERROR(__xludf.DUMMYFUNCTION("VLOOKUP(F7953, IMPORTRANGE(""https://docs.google.com/spreadsheets/d/1Lhp9OU0JdFf_VYSMzH5lBcEaU4o8teT1piV-SNzShjg/edit?gid=554141278#gid=554141278"", ""'Char Def. - Attributes'!C20:C2242""), 1,false)"),"ALT_UOM2_SIPI")</f>
        <v>ALT_UOM2_SIPI</v>
      </c>
      <c r="I7953" s="136"/>
      <c r="R7953" s="63" t="str">
        <f t="shared" si="60"/>
        <v>ZSI1_CLUTCHALT_UOM2_SIPI</v>
      </c>
    </row>
    <row r="7954" ht="15.75" customHeight="1">
      <c r="B7954" s="63">
        <f t="shared" si="1"/>
        <v>11</v>
      </c>
      <c r="C7954" s="75" t="s">
        <v>4262</v>
      </c>
      <c r="D7954" s="134" t="s">
        <v>74</v>
      </c>
      <c r="E7954" s="135">
        <f t="shared" si="61"/>
        <v>19</v>
      </c>
      <c r="F7954" s="134" t="s">
        <v>3808</v>
      </c>
      <c r="G7954" s="63" t="str">
        <f>VLOOKUP(C7954, 'Class Def. - General Data'!$C$20:$C$1000,1,false)</f>
        <v>#N/A</v>
      </c>
      <c r="H7954" s="63" t="str">
        <f>IFERROR(__xludf.DUMMYFUNCTION("VLOOKUP(F7954, IMPORTRANGE(""https://docs.google.com/spreadsheets/d/1Lhp9OU0JdFf_VYSMzH5lBcEaU4o8teT1piV-SNzShjg/edit?gid=554141278#gid=554141278"", ""'Char Def. - Attributes'!C20:C2242""), 1,false)"),"ALT_DENUM_UOM2")</f>
        <v>ALT_DENUM_UOM2</v>
      </c>
      <c r="I7954" s="136"/>
      <c r="R7954" s="63" t="str">
        <f t="shared" si="60"/>
        <v>ZSI1_CLUTCHALT_DENUM_UOM2</v>
      </c>
    </row>
    <row r="7955" ht="15.75" customHeight="1">
      <c r="B7955" s="63">
        <f t="shared" si="1"/>
        <v>11</v>
      </c>
      <c r="C7955" s="75" t="s">
        <v>4262</v>
      </c>
      <c r="D7955" s="134" t="s">
        <v>74</v>
      </c>
      <c r="E7955" s="135">
        <f t="shared" si="61"/>
        <v>20</v>
      </c>
      <c r="F7955" s="134" t="s">
        <v>3809</v>
      </c>
      <c r="G7955" s="63" t="str">
        <f>VLOOKUP(C7955, 'Class Def. - General Data'!$C$20:$C$1000,1,false)</f>
        <v>#N/A</v>
      </c>
      <c r="H7955" s="63" t="str">
        <f>IFERROR(__xludf.DUMMYFUNCTION("VLOOKUP(F7955, IMPORTRANGE(""https://docs.google.com/spreadsheets/d/1Lhp9OU0JdFf_VYSMzH5lBcEaU4o8teT1piV-SNzShjg/edit?gid=554141278#gid=554141278"", ""'Char Def. - Attributes'!C20:C2242""), 1,false)"),"ALT_NUM_UOM2")</f>
        <v>ALT_NUM_UOM2</v>
      </c>
      <c r="I7955" s="136"/>
      <c r="R7955" s="63" t="str">
        <f t="shared" si="60"/>
        <v>ZSI1_CLUTCHALT_NUM_UOM2</v>
      </c>
    </row>
    <row r="7956" ht="15.75" customHeight="1">
      <c r="B7956" s="63">
        <f t="shared" si="1"/>
        <v>11</v>
      </c>
      <c r="C7956" s="75" t="s">
        <v>4262</v>
      </c>
      <c r="D7956" s="134" t="s">
        <v>74</v>
      </c>
      <c r="E7956" s="135">
        <f t="shared" si="61"/>
        <v>21</v>
      </c>
      <c r="F7956" s="134" t="s">
        <v>3810</v>
      </c>
      <c r="G7956" s="63" t="str">
        <f>VLOOKUP(C7956, 'Class Def. - General Data'!$C$20:$C$1000,1,false)</f>
        <v>#N/A</v>
      </c>
      <c r="H7956" s="63" t="str">
        <f>IFERROR(__xludf.DUMMYFUNCTION("VLOOKUP(F7956, IMPORTRANGE(""https://docs.google.com/spreadsheets/d/1Lhp9OU0JdFf_VYSMzH5lBcEaU4o8teT1piV-SNzShjg/edit?gid=554141278#gid=554141278"", ""'Char Def. - Attributes'!C20:C2242""), 1,false)"),"ALT_UOM3_SIPI")</f>
        <v>ALT_UOM3_SIPI</v>
      </c>
      <c r="I7956" s="136"/>
      <c r="R7956" s="63" t="str">
        <f t="shared" si="60"/>
        <v>ZSI1_CLUTCHALT_UOM3_SIPI</v>
      </c>
    </row>
    <row r="7957" ht="15.75" customHeight="1">
      <c r="B7957" s="63">
        <f t="shared" si="1"/>
        <v>11</v>
      </c>
      <c r="C7957" s="75" t="s">
        <v>4262</v>
      </c>
      <c r="D7957" s="134" t="s">
        <v>74</v>
      </c>
      <c r="E7957" s="135">
        <f t="shared" si="61"/>
        <v>22</v>
      </c>
      <c r="F7957" s="134" t="s">
        <v>3811</v>
      </c>
      <c r="G7957" s="63" t="str">
        <f>VLOOKUP(C7957, 'Class Def. - General Data'!$C$20:$C$1000,1,false)</f>
        <v>#N/A</v>
      </c>
      <c r="H7957" s="63" t="str">
        <f>IFERROR(__xludf.DUMMYFUNCTION("VLOOKUP(F7957, IMPORTRANGE(""https://docs.google.com/spreadsheets/d/1Lhp9OU0JdFf_VYSMzH5lBcEaU4o8teT1piV-SNzShjg/edit?gid=554141278#gid=554141278"", ""'Char Def. - Attributes'!C20:C2242""), 1,false)"),"ALT_DENUM_UOM3")</f>
        <v>ALT_DENUM_UOM3</v>
      </c>
      <c r="I7957" s="136"/>
      <c r="R7957" s="63" t="str">
        <f t="shared" si="60"/>
        <v>ZSI1_CLUTCHALT_DENUM_UOM3</v>
      </c>
    </row>
    <row r="7958" ht="15.75" customHeight="1">
      <c r="B7958" s="63">
        <f t="shared" si="1"/>
        <v>11</v>
      </c>
      <c r="C7958" s="75" t="s">
        <v>4262</v>
      </c>
      <c r="D7958" s="134" t="s">
        <v>74</v>
      </c>
      <c r="E7958" s="135">
        <f t="shared" si="61"/>
        <v>23</v>
      </c>
      <c r="F7958" s="134" t="s">
        <v>3812</v>
      </c>
      <c r="G7958" s="63" t="str">
        <f>VLOOKUP(C7958, 'Class Def. - General Data'!$C$20:$C$1000,1,false)</f>
        <v>#N/A</v>
      </c>
      <c r="H7958" s="63" t="str">
        <f>IFERROR(__xludf.DUMMYFUNCTION("VLOOKUP(F7958, IMPORTRANGE(""https://docs.google.com/spreadsheets/d/1Lhp9OU0JdFf_VYSMzH5lBcEaU4o8teT1piV-SNzShjg/edit?gid=554141278#gid=554141278"", ""'Char Def. - Attributes'!C20:C2242""), 1,false)"),"ALT_NUM_UOM3")</f>
        <v>ALT_NUM_UOM3</v>
      </c>
      <c r="I7958" s="136"/>
      <c r="R7958" s="63" t="str">
        <f t="shared" si="60"/>
        <v>ZSI1_CLUTCHALT_NUM_UOM3</v>
      </c>
    </row>
    <row r="7959" ht="15.75" customHeight="1">
      <c r="B7959" s="63">
        <f t="shared" si="1"/>
        <v>11</v>
      </c>
      <c r="C7959" s="75" t="s">
        <v>4262</v>
      </c>
      <c r="D7959" s="134" t="s">
        <v>74</v>
      </c>
      <c r="E7959" s="135">
        <f t="shared" si="61"/>
        <v>24</v>
      </c>
      <c r="F7959" s="134" t="s">
        <v>3813</v>
      </c>
      <c r="G7959" s="63" t="str">
        <f>VLOOKUP(C7959, 'Class Def. - General Data'!$C$20:$C$1000,1,false)</f>
        <v>#N/A</v>
      </c>
      <c r="H7959" s="63" t="str">
        <f>IFERROR(__xludf.DUMMYFUNCTION("VLOOKUP(F7959, IMPORTRANGE(""https://docs.google.com/spreadsheets/d/1Lhp9OU0JdFf_VYSMzH5lBcEaU4o8teT1piV-SNzShjg/edit?gid=554141278#gid=554141278"", ""'Char Def. - Attributes'!C20:C2242""), 1,false)"),"ALT_UOM4_SIPI")</f>
        <v>ALT_UOM4_SIPI</v>
      </c>
      <c r="I7959" s="136"/>
      <c r="R7959" s="63" t="str">
        <f t="shared" si="60"/>
        <v>ZSI1_CLUTCHALT_UOM4_SIPI</v>
      </c>
    </row>
    <row r="7960" ht="15.75" customHeight="1">
      <c r="B7960" s="63">
        <f t="shared" si="1"/>
        <v>11</v>
      </c>
      <c r="C7960" s="75" t="s">
        <v>4262</v>
      </c>
      <c r="D7960" s="134" t="s">
        <v>74</v>
      </c>
      <c r="E7960" s="135">
        <f t="shared" si="61"/>
        <v>25</v>
      </c>
      <c r="F7960" s="134" t="s">
        <v>3814</v>
      </c>
      <c r="G7960" s="63" t="str">
        <f>VLOOKUP(C7960, 'Class Def. - General Data'!$C$20:$C$1000,1,false)</f>
        <v>#N/A</v>
      </c>
      <c r="H7960" s="63" t="str">
        <f>IFERROR(__xludf.DUMMYFUNCTION("VLOOKUP(F7960, IMPORTRANGE(""https://docs.google.com/spreadsheets/d/1Lhp9OU0JdFf_VYSMzH5lBcEaU4o8teT1piV-SNzShjg/edit?gid=554141278#gid=554141278"", ""'Char Def. - Attributes'!C20:C2242""), 1,false)"),"ALT_DENUM_UOM4")</f>
        <v>ALT_DENUM_UOM4</v>
      </c>
      <c r="I7960" s="136"/>
      <c r="R7960" s="63" t="str">
        <f t="shared" si="60"/>
        <v>ZSI1_CLUTCHALT_DENUM_UOM4</v>
      </c>
    </row>
    <row r="7961" ht="15.75" customHeight="1">
      <c r="B7961" s="63">
        <f t="shared" si="1"/>
        <v>11</v>
      </c>
      <c r="C7961" s="75" t="s">
        <v>4262</v>
      </c>
      <c r="D7961" s="134" t="s">
        <v>74</v>
      </c>
      <c r="E7961" s="135">
        <f t="shared" si="61"/>
        <v>26</v>
      </c>
      <c r="F7961" s="134" t="s">
        <v>3815</v>
      </c>
      <c r="G7961" s="63" t="str">
        <f>VLOOKUP(C7961, 'Class Def. - General Data'!$C$20:$C$1000,1,false)</f>
        <v>#N/A</v>
      </c>
      <c r="H7961" s="63" t="str">
        <f>IFERROR(__xludf.DUMMYFUNCTION("VLOOKUP(F7961, IMPORTRANGE(""https://docs.google.com/spreadsheets/d/1Lhp9OU0JdFf_VYSMzH5lBcEaU4o8teT1piV-SNzShjg/edit?gid=554141278#gid=554141278"", ""'Char Def. - Attributes'!C20:C2242""), 1,false)"),"ALT_NUM_UOM4")</f>
        <v>ALT_NUM_UOM4</v>
      </c>
      <c r="I7961" s="136"/>
      <c r="R7961" s="63" t="str">
        <f t="shared" si="60"/>
        <v>ZSI1_CLUTCHALT_NUM_UOM4</v>
      </c>
    </row>
    <row r="7962" ht="15.75" customHeight="1">
      <c r="B7962" s="63">
        <f t="shared" si="1"/>
        <v>11</v>
      </c>
      <c r="C7962" s="75" t="s">
        <v>4262</v>
      </c>
      <c r="D7962" s="134" t="s">
        <v>74</v>
      </c>
      <c r="E7962" s="135">
        <f t="shared" si="61"/>
        <v>27</v>
      </c>
      <c r="F7962" s="134" t="s">
        <v>3816</v>
      </c>
      <c r="G7962" s="63" t="str">
        <f>VLOOKUP(C7962, 'Class Def. - General Data'!$C$20:$C$1000,1,false)</f>
        <v>#N/A</v>
      </c>
      <c r="H7962" s="63" t="str">
        <f>IFERROR(__xludf.DUMMYFUNCTION("VLOOKUP(F7962, IMPORTRANGE(""https://docs.google.com/spreadsheets/d/1Lhp9OU0JdFf_VYSMzH5lBcEaU4o8teT1piV-SNzShjg/edit?gid=554141278#gid=554141278"", ""'Char Def. - Attributes'!C20:C2242""), 1,false)"),"ALT_UOM5_SIPI")</f>
        <v>ALT_UOM5_SIPI</v>
      </c>
      <c r="I7962" s="136"/>
      <c r="R7962" s="63" t="str">
        <f t="shared" si="60"/>
        <v>ZSI1_CLUTCHALT_UOM5_SIPI</v>
      </c>
    </row>
    <row r="7963" ht="15.75" customHeight="1">
      <c r="B7963" s="63">
        <f t="shared" si="1"/>
        <v>11</v>
      </c>
      <c r="C7963" s="75" t="s">
        <v>4262</v>
      </c>
      <c r="D7963" s="134" t="s">
        <v>74</v>
      </c>
      <c r="E7963" s="135">
        <f t="shared" si="61"/>
        <v>28</v>
      </c>
      <c r="F7963" s="134" t="s">
        <v>3817</v>
      </c>
      <c r="G7963" s="63" t="str">
        <f>VLOOKUP(C7963, 'Class Def. - General Data'!$C$20:$C$1000,1,false)</f>
        <v>#N/A</v>
      </c>
      <c r="H7963" s="63" t="str">
        <f>IFERROR(__xludf.DUMMYFUNCTION("VLOOKUP(F7963, IMPORTRANGE(""https://docs.google.com/spreadsheets/d/1Lhp9OU0JdFf_VYSMzH5lBcEaU4o8teT1piV-SNzShjg/edit?gid=554141278#gid=554141278"", ""'Char Def. - Attributes'!C20:C2242""), 1,false)"),"ALT_DENUM_UOM5")</f>
        <v>ALT_DENUM_UOM5</v>
      </c>
      <c r="I7963" s="136"/>
      <c r="R7963" s="63" t="str">
        <f t="shared" si="60"/>
        <v>ZSI1_CLUTCHALT_DENUM_UOM5</v>
      </c>
    </row>
    <row r="7964" ht="15.75" customHeight="1">
      <c r="B7964" s="63">
        <f t="shared" si="1"/>
        <v>11</v>
      </c>
      <c r="C7964" s="75" t="s">
        <v>4262</v>
      </c>
      <c r="D7964" s="134" t="s">
        <v>74</v>
      </c>
      <c r="E7964" s="135">
        <f t="shared" si="61"/>
        <v>29</v>
      </c>
      <c r="F7964" s="134" t="s">
        <v>3818</v>
      </c>
      <c r="G7964" s="63" t="str">
        <f>VLOOKUP(C7964, 'Class Def. - General Data'!$C$20:$C$1000,1,false)</f>
        <v>#N/A</v>
      </c>
      <c r="H7964" s="63" t="str">
        <f>IFERROR(__xludf.DUMMYFUNCTION("VLOOKUP(F7964, IMPORTRANGE(""https://docs.google.com/spreadsheets/d/1Lhp9OU0JdFf_VYSMzH5lBcEaU4o8teT1piV-SNzShjg/edit?gid=554141278#gid=554141278"", ""'Char Def. - Attributes'!C20:C2242""), 1,false)"),"ALT_NUM_UOM5")</f>
        <v>ALT_NUM_UOM5</v>
      </c>
      <c r="I7964" s="136"/>
      <c r="R7964" s="63" t="str">
        <f t="shared" si="60"/>
        <v>ZSI1_CLUTCHALT_NUM_UOM5</v>
      </c>
    </row>
    <row r="7965" ht="15.75" customHeight="1">
      <c r="B7965" s="63">
        <f t="shared" si="1"/>
        <v>18</v>
      </c>
      <c r="C7965" s="135" t="s">
        <v>562</v>
      </c>
      <c r="D7965" s="161" t="s">
        <v>74</v>
      </c>
      <c r="E7965" s="135">
        <f t="shared" si="61"/>
        <v>1</v>
      </c>
      <c r="F7965" s="135" t="s">
        <v>4267</v>
      </c>
      <c r="G7965" s="63" t="str">
        <f>VLOOKUP(C7965, 'Class Def. - General Data'!$C$20:$C$1000,1,false)</f>
        <v>ZSI1_COM_RAM_VCARD</v>
      </c>
      <c r="H7965" s="63" t="str">
        <f>IFERROR(__xludf.DUMMYFUNCTION("VLOOKUP(F7965, IMPORTRANGE(""https://docs.google.com/spreadsheets/d/1Lhp9OU0JdFf_VYSMzH5lBcEaU4o8teT1piV-SNzShjg/edit?gid=554141278#gid=554141278"", ""'Char Def. - Attributes'!C20:C2242""), 1,false)"),"#N/A")</f>
        <v>#N/A</v>
      </c>
      <c r="I7965" s="136"/>
      <c r="R7965" s="63" t="str">
        <f t="shared" si="60"/>
        <v>ZSI1_COM_RAM_VCARDITEM_NAME_COM_RAM_VCARD</v>
      </c>
    </row>
    <row r="7966" ht="15.75" customHeight="1">
      <c r="B7966" s="63">
        <f t="shared" si="1"/>
        <v>18</v>
      </c>
      <c r="C7966" s="135" t="s">
        <v>562</v>
      </c>
      <c r="D7966" s="161" t="s">
        <v>74</v>
      </c>
      <c r="E7966" s="135">
        <f t="shared" si="61"/>
        <v>2</v>
      </c>
      <c r="F7966" s="135" t="s">
        <v>4268</v>
      </c>
      <c r="G7966" s="63" t="str">
        <f>VLOOKUP(C7966, 'Class Def. - General Data'!$C$20:$C$1000,1,false)</f>
        <v>ZSI1_COM_RAM_VCARD</v>
      </c>
      <c r="H7966" s="63" t="str">
        <f>IFERROR(__xludf.DUMMYFUNCTION("VLOOKUP(F7966, IMPORTRANGE(""https://docs.google.com/spreadsheets/d/1Lhp9OU0JdFf_VYSMzH5lBcEaU4o8teT1piV-SNzShjg/edit?gid=554141278#gid=554141278"", ""'Char Def. - Attributes'!C20:C2242""), 1,false)"),"#N/A")</f>
        <v>#N/A</v>
      </c>
      <c r="I7966" s="136"/>
      <c r="R7966" s="63" t="str">
        <f t="shared" si="60"/>
        <v>ZSI1_COM_RAM_VCARDMFR_NO_COM_RAM_VCARD</v>
      </c>
    </row>
    <row r="7967" ht="15.75" customHeight="1">
      <c r="B7967" s="63">
        <f t="shared" si="1"/>
        <v>18</v>
      </c>
      <c r="C7967" s="135" t="s">
        <v>562</v>
      </c>
      <c r="D7967" s="161" t="s">
        <v>74</v>
      </c>
      <c r="E7967" s="135">
        <f t="shared" si="61"/>
        <v>3</v>
      </c>
      <c r="F7967" s="134" t="s">
        <v>3782</v>
      </c>
      <c r="G7967" s="63" t="str">
        <f>VLOOKUP(C7967, 'Class Def. - General Data'!$C$20:$C$1000,1,false)</f>
        <v>ZSI1_COM_RAM_VCARD</v>
      </c>
      <c r="H7967" s="63" t="str">
        <f>IFERROR(__xludf.DUMMYFUNCTION("VLOOKUP(F7967, IMPORTRANGE(""https://docs.google.com/spreadsheets/d/1Lhp9OU0JdFf_VYSMzH5lBcEaU4o8teT1piV-SNzShjg/edit?gid=554141278#gid=554141278"", ""'Char Def. - Attributes'!C20:C2242""), 1,false)"),"BRAND_EXTERNAL")</f>
        <v>BRAND_EXTERNAL</v>
      </c>
      <c r="I7967" s="136"/>
      <c r="R7967" s="63" t="str">
        <f t="shared" si="60"/>
        <v>ZSI1_COM_RAM_VCARDBRAND_EXTERNAL</v>
      </c>
    </row>
    <row r="7968" ht="15.75" customHeight="1">
      <c r="B7968" s="63">
        <f t="shared" si="1"/>
        <v>18</v>
      </c>
      <c r="C7968" s="135" t="s">
        <v>562</v>
      </c>
      <c r="D7968" s="161" t="s">
        <v>74</v>
      </c>
      <c r="E7968" s="135">
        <f t="shared" si="61"/>
        <v>4</v>
      </c>
      <c r="F7968" s="135" t="s">
        <v>4269</v>
      </c>
      <c r="G7968" s="63" t="str">
        <f>VLOOKUP(C7968, 'Class Def. - General Data'!$C$20:$C$1000,1,false)</f>
        <v>ZSI1_COM_RAM_VCARD</v>
      </c>
      <c r="H7968" s="63" t="str">
        <f>IFERROR(__xludf.DUMMYFUNCTION("VLOOKUP(F7968, IMPORTRANGE(""https://docs.google.com/spreadsheets/d/1Lhp9OU0JdFf_VYSMzH5lBcEaU4o8teT1piV-SNzShjg/edit?gid=554141278#gid=554141278"", ""'Char Def. - Attributes'!C20:C2242""), 1,false)"),"#N/A")</f>
        <v>#N/A</v>
      </c>
      <c r="I7968" s="136"/>
      <c r="R7968" s="63" t="str">
        <f t="shared" si="60"/>
        <v>ZSI1_COM_RAM_VCARDDIMENSION_MEMORY</v>
      </c>
    </row>
    <row r="7969" ht="15.75" customHeight="1">
      <c r="B7969" s="63">
        <f t="shared" si="1"/>
        <v>18</v>
      </c>
      <c r="C7969" s="135" t="s">
        <v>562</v>
      </c>
      <c r="D7969" s="161" t="s">
        <v>74</v>
      </c>
      <c r="E7969" s="135">
        <f t="shared" si="61"/>
        <v>5</v>
      </c>
      <c r="F7969" s="135" t="s">
        <v>4270</v>
      </c>
      <c r="G7969" s="63" t="str">
        <f>VLOOKUP(C7969, 'Class Def. - General Data'!$C$20:$C$1000,1,false)</f>
        <v>ZSI1_COM_RAM_VCARD</v>
      </c>
      <c r="H7969" s="63" t="str">
        <f>IFERROR(__xludf.DUMMYFUNCTION("VLOOKUP(F7969, IMPORTRANGE(""https://docs.google.com/spreadsheets/d/1Lhp9OU0JdFf_VYSMzH5lBcEaU4o8teT1piV-SNzShjg/edit?gid=554141278#gid=554141278"", ""'Char Def. - Attributes'!C20:C2242""), 1,false)"),"#N/A")</f>
        <v>#N/A</v>
      </c>
      <c r="I7969" s="136"/>
      <c r="R7969" s="63" t="str">
        <f t="shared" si="60"/>
        <v>ZSI1_COM_RAM_VCARDMEMORY_COM_RAM_VCARD</v>
      </c>
    </row>
    <row r="7970" ht="15.75" customHeight="1">
      <c r="B7970" s="63">
        <f t="shared" si="1"/>
        <v>18</v>
      </c>
      <c r="C7970" s="135" t="s">
        <v>562</v>
      </c>
      <c r="D7970" s="161" t="s">
        <v>74</v>
      </c>
      <c r="E7970" s="135">
        <f t="shared" si="61"/>
        <v>6</v>
      </c>
      <c r="F7970" s="134" t="s">
        <v>3585</v>
      </c>
      <c r="G7970" s="63" t="str">
        <f>VLOOKUP(C7970, 'Class Def. - General Data'!$C$20:$C$1000,1,false)</f>
        <v>ZSI1_COM_RAM_VCARD</v>
      </c>
      <c r="H7970" s="63" t="str">
        <f>IFERROR(__xludf.DUMMYFUNCTION("VLOOKUP(F7970, IMPORTRANGE(""https://docs.google.com/spreadsheets/d/1Lhp9OU0JdFf_VYSMzH5lBcEaU4o8teT1piV-SNzShjg/edit?gid=554141278#gid=554141278"", ""'Char Def. - Attributes'!C20:C2242""), 1,false)"),"HS_CODE")</f>
        <v>HS_CODE</v>
      </c>
      <c r="I7970" s="136"/>
      <c r="R7970" s="63" t="str">
        <f t="shared" si="60"/>
        <v>ZSI1_COM_RAM_VCARDHS_CODE</v>
      </c>
    </row>
    <row r="7971" ht="15.75" customHeight="1">
      <c r="B7971" s="63">
        <f t="shared" si="1"/>
        <v>18</v>
      </c>
      <c r="C7971" s="135" t="s">
        <v>562</v>
      </c>
      <c r="D7971" s="161" t="s">
        <v>74</v>
      </c>
      <c r="E7971" s="135">
        <f t="shared" si="61"/>
        <v>7</v>
      </c>
      <c r="F7971" s="134" t="s">
        <v>3587</v>
      </c>
      <c r="G7971" s="63" t="str">
        <f>VLOOKUP(C7971, 'Class Def. - General Data'!$C$20:$C$1000,1,false)</f>
        <v>ZSI1_COM_RAM_VCARD</v>
      </c>
      <c r="H7971" s="63" t="str">
        <f>IFERROR(__xludf.DUMMYFUNCTION("VLOOKUP(F7971, IMPORTRANGE(""https://docs.google.com/spreadsheets/d/1Lhp9OU0JdFf_VYSMzH5lBcEaU4o8teT1piV-SNzShjg/edit?gid=554141278#gid=554141278"", ""'Char Def. - Attributes'!C20:C2242""), 1,false)"),"PLANT_BUY")</f>
        <v>PLANT_BUY</v>
      </c>
      <c r="I7971" s="136"/>
      <c r="R7971" s="63" t="str">
        <f t="shared" si="60"/>
        <v>ZSI1_COM_RAM_VCARDPLANT_BUY</v>
      </c>
    </row>
    <row r="7972" ht="15.75" customHeight="1">
      <c r="B7972" s="63">
        <f t="shared" si="1"/>
        <v>18</v>
      </c>
      <c r="C7972" s="135" t="s">
        <v>562</v>
      </c>
      <c r="D7972" s="161" t="s">
        <v>74</v>
      </c>
      <c r="E7972" s="135">
        <f t="shared" si="61"/>
        <v>8</v>
      </c>
      <c r="F7972" s="135" t="s">
        <v>4271</v>
      </c>
      <c r="G7972" s="63" t="str">
        <f>VLOOKUP(C7972, 'Class Def. - General Data'!$C$20:$C$1000,1,false)</f>
        <v>ZSI1_COM_RAM_VCARD</v>
      </c>
      <c r="H7972" s="63" t="str">
        <f>IFERROR(__xludf.DUMMYFUNCTION("VLOOKUP(F7972, IMPORTRANGE(""https://docs.google.com/spreadsheets/d/1Lhp9OU0JdFf_VYSMzH5lBcEaU4o8teT1piV-SNzShjg/edit?gid=554141278#gid=554141278"", ""'Char Def. - Attributes'!C20:C2242""), 1,false)"),"#N/A")</f>
        <v>#N/A</v>
      </c>
      <c r="I7972" s="136"/>
      <c r="R7972" s="63" t="str">
        <f t="shared" si="60"/>
        <v>ZSI1_COM_RAM_VCARDBASE_UOM_COM_RAM_VCARD</v>
      </c>
    </row>
    <row r="7973" ht="15.75" customHeight="1">
      <c r="B7973" s="63">
        <f t="shared" si="1"/>
        <v>18</v>
      </c>
      <c r="C7973" s="135" t="s">
        <v>562</v>
      </c>
      <c r="D7973" s="161" t="s">
        <v>74</v>
      </c>
      <c r="E7973" s="135">
        <f t="shared" si="61"/>
        <v>9</v>
      </c>
      <c r="F7973" s="135" t="s">
        <v>4272</v>
      </c>
      <c r="G7973" s="63" t="str">
        <f>VLOOKUP(C7973, 'Class Def. - General Data'!$C$20:$C$1000,1,false)</f>
        <v>ZSI1_COM_RAM_VCARD</v>
      </c>
      <c r="H7973" s="63" t="str">
        <f>IFERROR(__xludf.DUMMYFUNCTION("VLOOKUP(F7973, IMPORTRANGE(""https://docs.google.com/spreadsheets/d/1Lhp9OU0JdFf_VYSMzH5lBcEaU4o8teT1piV-SNzShjg/edit?gid=554141278#gid=554141278"", ""'Char Def. - Attributes'!C20:C2242""), 1,false)"),"#N/A")</f>
        <v>#N/A</v>
      </c>
      <c r="I7973" s="136"/>
      <c r="R7973" s="63" t="str">
        <f t="shared" si="60"/>
        <v>ZSI1_COM_RAM_VCARDORDER_UNIT_COM_RAM_VCARD</v>
      </c>
    </row>
    <row r="7974" ht="15.75" customHeight="1">
      <c r="B7974" s="63">
        <f t="shared" si="1"/>
        <v>18</v>
      </c>
      <c r="C7974" s="135" t="s">
        <v>562</v>
      </c>
      <c r="D7974" s="161" t="s">
        <v>74</v>
      </c>
      <c r="E7974" s="135">
        <f t="shared" si="61"/>
        <v>10</v>
      </c>
      <c r="F7974" s="134" t="s">
        <v>4056</v>
      </c>
      <c r="G7974" s="63" t="str">
        <f>VLOOKUP(C7974, 'Class Def. - General Data'!$C$20:$C$1000,1,false)</f>
        <v>ZSI1_COM_RAM_VCARD</v>
      </c>
      <c r="H7974" s="63" t="str">
        <f>IFERROR(__xludf.DUMMYFUNCTION("VLOOKUP(F7974, IMPORTRANGE(""https://docs.google.com/spreadsheets/d/1Lhp9OU0JdFf_VYSMzH5lBcEaU4o8teT1piV-SNzShjg/edit?gid=554141278#gid=554141278"", ""'Char Def. - Attributes'!C20:C2242""), 1,false)"),"GROSS_WEIGHT_OPT")</f>
        <v>GROSS_WEIGHT_OPT</v>
      </c>
      <c r="I7974" s="136"/>
      <c r="R7974" s="63" t="str">
        <f t="shared" si="60"/>
        <v>ZSI1_COM_RAM_VCARDGROSS_WEIGHT_OPT</v>
      </c>
    </row>
    <row r="7975" ht="15.75" customHeight="1">
      <c r="B7975" s="63">
        <f t="shared" si="1"/>
        <v>18</v>
      </c>
      <c r="C7975" s="135" t="s">
        <v>562</v>
      </c>
      <c r="D7975" s="161" t="s">
        <v>74</v>
      </c>
      <c r="E7975" s="135">
        <f t="shared" si="61"/>
        <v>11</v>
      </c>
      <c r="F7975" s="134" t="s">
        <v>4057</v>
      </c>
      <c r="G7975" s="63" t="str">
        <f>VLOOKUP(C7975, 'Class Def. - General Data'!$C$20:$C$1000,1,false)</f>
        <v>ZSI1_COM_RAM_VCARD</v>
      </c>
      <c r="H7975" s="63" t="str">
        <f>IFERROR(__xludf.DUMMYFUNCTION("VLOOKUP(F7975, IMPORTRANGE(""https://docs.google.com/spreadsheets/d/1Lhp9OU0JdFf_VYSMzH5lBcEaU4o8teT1piV-SNzShjg/edit?gid=554141278#gid=554141278"", ""'Char Def. - Attributes'!C20:C2242""), 1,false)"),"NET_WEIGHT_OPT")</f>
        <v>NET_WEIGHT_OPT</v>
      </c>
      <c r="I7975" s="136"/>
      <c r="R7975" s="63" t="str">
        <f t="shared" si="60"/>
        <v>ZSI1_COM_RAM_VCARDNET_WEIGHT_OPT</v>
      </c>
    </row>
    <row r="7976" ht="15.75" customHeight="1">
      <c r="B7976" s="63">
        <f t="shared" si="1"/>
        <v>18</v>
      </c>
      <c r="C7976" s="135" t="s">
        <v>562</v>
      </c>
      <c r="D7976" s="161" t="s">
        <v>74</v>
      </c>
      <c r="E7976" s="135">
        <f t="shared" si="61"/>
        <v>12</v>
      </c>
      <c r="F7976" s="134" t="s">
        <v>4058</v>
      </c>
      <c r="G7976" s="63" t="str">
        <f>VLOOKUP(C7976, 'Class Def. - General Data'!$C$20:$C$1000,1,false)</f>
        <v>ZSI1_COM_RAM_VCARD</v>
      </c>
      <c r="H7976" s="63" t="str">
        <f>IFERROR(__xludf.DUMMYFUNCTION("VLOOKUP(F7976, IMPORTRANGE(""https://docs.google.com/spreadsheets/d/1Lhp9OU0JdFf_VYSMzH5lBcEaU4o8teT1piV-SNzShjg/edit?gid=554141278#gid=554141278"", ""'Char Def. - Attributes'!C20:C2242""), 1,false)"),"WEIGHT_UNIT_SI")</f>
        <v>WEIGHT_UNIT_SI</v>
      </c>
      <c r="I7976" s="136"/>
      <c r="R7976" s="63" t="str">
        <f t="shared" si="60"/>
        <v>ZSI1_COM_RAM_VCARDWEIGHT_UNIT_SI</v>
      </c>
    </row>
    <row r="7977" ht="15.75" customHeight="1">
      <c r="B7977" s="63">
        <f t="shared" si="1"/>
        <v>18</v>
      </c>
      <c r="C7977" s="135" t="s">
        <v>562</v>
      </c>
      <c r="D7977" s="161" t="s">
        <v>74</v>
      </c>
      <c r="E7977" s="135">
        <f t="shared" si="61"/>
        <v>13</v>
      </c>
      <c r="F7977" s="134" t="s">
        <v>3877</v>
      </c>
      <c r="G7977" s="63" t="str">
        <f>VLOOKUP(C7977, 'Class Def. - General Data'!$C$20:$C$1000,1,false)</f>
        <v>ZSI1_COM_RAM_VCARD</v>
      </c>
      <c r="H7977" s="63" t="str">
        <f>IFERROR(__xludf.DUMMYFUNCTION("VLOOKUP(F7977, IMPORTRANGE(""https://docs.google.com/spreadsheets/d/1Lhp9OU0JdFf_VYSMzH5lBcEaU4o8teT1piV-SNzShjg/edit?gid=554141278#gid=554141278"", ""'Char Def. - Attributes'!C20:C2242""), 1,false)"),"VOLUME_OPT")</f>
        <v>VOLUME_OPT</v>
      </c>
      <c r="I7977" s="136"/>
      <c r="R7977" s="63" t="str">
        <f t="shared" si="60"/>
        <v>ZSI1_COM_RAM_VCARDVOLUME_OPT</v>
      </c>
    </row>
    <row r="7978" ht="15.75" customHeight="1">
      <c r="B7978" s="63">
        <f t="shared" si="1"/>
        <v>18</v>
      </c>
      <c r="C7978" s="135" t="s">
        <v>562</v>
      </c>
      <c r="D7978" s="161" t="s">
        <v>74</v>
      </c>
      <c r="E7978" s="135">
        <f t="shared" si="61"/>
        <v>14</v>
      </c>
      <c r="F7978" s="134" t="s">
        <v>4059</v>
      </c>
      <c r="G7978" s="63" t="str">
        <f>VLOOKUP(C7978, 'Class Def. - General Data'!$C$20:$C$1000,1,false)</f>
        <v>ZSI1_COM_RAM_VCARD</v>
      </c>
      <c r="H7978" s="63" t="str">
        <f>IFERROR(__xludf.DUMMYFUNCTION("VLOOKUP(F7978, IMPORTRANGE(""https://docs.google.com/spreadsheets/d/1Lhp9OU0JdFf_VYSMzH5lBcEaU4o8teT1piV-SNzShjg/edit?gid=554141278#gid=554141278"", ""'Char Def. - Attributes'!C20:C2242""), 1,false)"),"VOLUME_UNIT_SI")</f>
        <v>VOLUME_UNIT_SI</v>
      </c>
      <c r="I7978" s="136"/>
      <c r="R7978" s="63" t="str">
        <f t="shared" si="60"/>
        <v>ZSI1_COM_RAM_VCARDVOLUME_UNIT_SI</v>
      </c>
    </row>
    <row r="7979" ht="15.75" customHeight="1">
      <c r="B7979" s="63">
        <f t="shared" si="1"/>
        <v>18</v>
      </c>
      <c r="C7979" s="135" t="s">
        <v>562</v>
      </c>
      <c r="D7979" s="161" t="s">
        <v>74</v>
      </c>
      <c r="E7979" s="135">
        <f t="shared" si="61"/>
        <v>15</v>
      </c>
      <c r="F7979" s="134" t="s">
        <v>3804</v>
      </c>
      <c r="G7979" s="63" t="str">
        <f>VLOOKUP(C7979, 'Class Def. - General Data'!$C$20:$C$1000,1,false)</f>
        <v>ZSI1_COM_RAM_VCARD</v>
      </c>
      <c r="H7979" s="63" t="str">
        <f>IFERROR(__xludf.DUMMYFUNCTION("VLOOKUP(F7979, IMPORTRANGE(""https://docs.google.com/spreadsheets/d/1Lhp9OU0JdFf_VYSMzH5lBcEaU4o8teT1piV-SNzShjg/edit?gid=554141278#gid=554141278"", ""'Char Def. - Attributes'!C20:C2242""), 1,false)"),"ALT_UOM1_SIPI")</f>
        <v>ALT_UOM1_SIPI</v>
      </c>
      <c r="I7979" s="136"/>
      <c r="R7979" s="63" t="str">
        <f t="shared" si="60"/>
        <v>ZSI1_COM_RAM_VCARDALT_UOM1_SIPI</v>
      </c>
    </row>
    <row r="7980" ht="15.75" customHeight="1">
      <c r="B7980" s="63">
        <f t="shared" si="1"/>
        <v>18</v>
      </c>
      <c r="C7980" s="135" t="s">
        <v>562</v>
      </c>
      <c r="D7980" s="161" t="s">
        <v>74</v>
      </c>
      <c r="E7980" s="135">
        <f t="shared" si="61"/>
        <v>16</v>
      </c>
      <c r="F7980" s="134" t="s">
        <v>3805</v>
      </c>
      <c r="G7980" s="63" t="str">
        <f>VLOOKUP(C7980, 'Class Def. - General Data'!$C$20:$C$1000,1,false)</f>
        <v>ZSI1_COM_RAM_VCARD</v>
      </c>
      <c r="H7980" s="63" t="str">
        <f>IFERROR(__xludf.DUMMYFUNCTION("VLOOKUP(F7980, IMPORTRANGE(""https://docs.google.com/spreadsheets/d/1Lhp9OU0JdFf_VYSMzH5lBcEaU4o8teT1piV-SNzShjg/edit?gid=554141278#gid=554141278"", ""'Char Def. - Attributes'!C20:C2242""), 1,false)"),"ALT_DENUM_UOM1")</f>
        <v>ALT_DENUM_UOM1</v>
      </c>
      <c r="I7980" s="136"/>
      <c r="R7980" s="63" t="str">
        <f t="shared" si="60"/>
        <v>ZSI1_COM_RAM_VCARDALT_DENUM_UOM1</v>
      </c>
    </row>
    <row r="7981" ht="15.75" customHeight="1">
      <c r="B7981" s="63">
        <f t="shared" si="1"/>
        <v>18</v>
      </c>
      <c r="C7981" s="135" t="s">
        <v>562</v>
      </c>
      <c r="D7981" s="161" t="s">
        <v>74</v>
      </c>
      <c r="E7981" s="135">
        <f t="shared" si="61"/>
        <v>17</v>
      </c>
      <c r="F7981" s="134" t="s">
        <v>3806</v>
      </c>
      <c r="G7981" s="63" t="str">
        <f>VLOOKUP(C7981, 'Class Def. - General Data'!$C$20:$C$1000,1,false)</f>
        <v>ZSI1_COM_RAM_VCARD</v>
      </c>
      <c r="H7981" s="63" t="str">
        <f>IFERROR(__xludf.DUMMYFUNCTION("VLOOKUP(F7981, IMPORTRANGE(""https://docs.google.com/spreadsheets/d/1Lhp9OU0JdFf_VYSMzH5lBcEaU4o8teT1piV-SNzShjg/edit?gid=554141278#gid=554141278"", ""'Char Def. - Attributes'!C20:C2242""), 1,false)"),"ALT_NUM_UOM1")</f>
        <v>ALT_NUM_UOM1</v>
      </c>
      <c r="I7981" s="136"/>
      <c r="R7981" s="63" t="str">
        <f t="shared" si="60"/>
        <v>ZSI1_COM_RAM_VCARDALT_NUM_UOM1</v>
      </c>
    </row>
    <row r="7982" ht="15.75" customHeight="1">
      <c r="B7982" s="63">
        <f t="shared" si="1"/>
        <v>18</v>
      </c>
      <c r="C7982" s="135" t="s">
        <v>562</v>
      </c>
      <c r="D7982" s="161" t="s">
        <v>74</v>
      </c>
      <c r="E7982" s="135">
        <f t="shared" si="61"/>
        <v>18</v>
      </c>
      <c r="F7982" s="134" t="s">
        <v>3807</v>
      </c>
      <c r="G7982" s="63" t="str">
        <f>VLOOKUP(C7982, 'Class Def. - General Data'!$C$20:$C$1000,1,false)</f>
        <v>ZSI1_COM_RAM_VCARD</v>
      </c>
      <c r="H7982" s="63" t="str">
        <f>IFERROR(__xludf.DUMMYFUNCTION("VLOOKUP(F7982, IMPORTRANGE(""https://docs.google.com/spreadsheets/d/1Lhp9OU0JdFf_VYSMzH5lBcEaU4o8teT1piV-SNzShjg/edit?gid=554141278#gid=554141278"", ""'Char Def. - Attributes'!C20:C2242""), 1,false)"),"ALT_UOM2_SIPI")</f>
        <v>ALT_UOM2_SIPI</v>
      </c>
      <c r="I7982" s="136"/>
      <c r="R7982" s="63" t="str">
        <f t="shared" si="60"/>
        <v>ZSI1_COM_RAM_VCARDALT_UOM2_SIPI</v>
      </c>
    </row>
    <row r="7983" ht="15.75" customHeight="1">
      <c r="B7983" s="63">
        <f t="shared" si="1"/>
        <v>18</v>
      </c>
      <c r="C7983" s="135" t="s">
        <v>562</v>
      </c>
      <c r="D7983" s="161" t="s">
        <v>74</v>
      </c>
      <c r="E7983" s="135">
        <f t="shared" si="61"/>
        <v>19</v>
      </c>
      <c r="F7983" s="134" t="s">
        <v>3808</v>
      </c>
      <c r="G7983" s="63" t="str">
        <f>VLOOKUP(C7983, 'Class Def. - General Data'!$C$20:$C$1000,1,false)</f>
        <v>ZSI1_COM_RAM_VCARD</v>
      </c>
      <c r="H7983" s="63" t="str">
        <f>IFERROR(__xludf.DUMMYFUNCTION("VLOOKUP(F7983, IMPORTRANGE(""https://docs.google.com/spreadsheets/d/1Lhp9OU0JdFf_VYSMzH5lBcEaU4o8teT1piV-SNzShjg/edit?gid=554141278#gid=554141278"", ""'Char Def. - Attributes'!C20:C2242""), 1,false)"),"ALT_DENUM_UOM2")</f>
        <v>ALT_DENUM_UOM2</v>
      </c>
      <c r="I7983" s="136"/>
      <c r="R7983" s="63" t="str">
        <f t="shared" si="60"/>
        <v>ZSI1_COM_RAM_VCARDALT_DENUM_UOM2</v>
      </c>
    </row>
    <row r="7984" ht="15.75" customHeight="1">
      <c r="B7984" s="63">
        <f t="shared" si="1"/>
        <v>18</v>
      </c>
      <c r="C7984" s="135" t="s">
        <v>562</v>
      </c>
      <c r="D7984" s="161" t="s">
        <v>74</v>
      </c>
      <c r="E7984" s="135">
        <f t="shared" si="61"/>
        <v>20</v>
      </c>
      <c r="F7984" s="134" t="s">
        <v>3809</v>
      </c>
      <c r="G7984" s="63" t="str">
        <f>VLOOKUP(C7984, 'Class Def. - General Data'!$C$20:$C$1000,1,false)</f>
        <v>ZSI1_COM_RAM_VCARD</v>
      </c>
      <c r="H7984" s="63" t="str">
        <f>IFERROR(__xludf.DUMMYFUNCTION("VLOOKUP(F7984, IMPORTRANGE(""https://docs.google.com/spreadsheets/d/1Lhp9OU0JdFf_VYSMzH5lBcEaU4o8teT1piV-SNzShjg/edit?gid=554141278#gid=554141278"", ""'Char Def. - Attributes'!C20:C2242""), 1,false)"),"ALT_NUM_UOM2")</f>
        <v>ALT_NUM_UOM2</v>
      </c>
      <c r="I7984" s="136"/>
      <c r="R7984" s="63" t="str">
        <f t="shared" si="60"/>
        <v>ZSI1_COM_RAM_VCARDALT_NUM_UOM2</v>
      </c>
    </row>
    <row r="7985" ht="15.75" customHeight="1">
      <c r="B7985" s="63">
        <f t="shared" si="1"/>
        <v>18</v>
      </c>
      <c r="C7985" s="135" t="s">
        <v>562</v>
      </c>
      <c r="D7985" s="161" t="s">
        <v>74</v>
      </c>
      <c r="E7985" s="135">
        <f t="shared" si="61"/>
        <v>21</v>
      </c>
      <c r="F7985" s="134" t="s">
        <v>3810</v>
      </c>
      <c r="G7985" s="63" t="str">
        <f>VLOOKUP(C7985, 'Class Def. - General Data'!$C$20:$C$1000,1,false)</f>
        <v>ZSI1_COM_RAM_VCARD</v>
      </c>
      <c r="H7985" s="63" t="str">
        <f>IFERROR(__xludf.DUMMYFUNCTION("VLOOKUP(F7985, IMPORTRANGE(""https://docs.google.com/spreadsheets/d/1Lhp9OU0JdFf_VYSMzH5lBcEaU4o8teT1piV-SNzShjg/edit?gid=554141278#gid=554141278"", ""'Char Def. - Attributes'!C20:C2242""), 1,false)"),"ALT_UOM3_SIPI")</f>
        <v>ALT_UOM3_SIPI</v>
      </c>
      <c r="I7985" s="136"/>
      <c r="R7985" s="63" t="str">
        <f t="shared" si="60"/>
        <v>ZSI1_COM_RAM_VCARDALT_UOM3_SIPI</v>
      </c>
    </row>
    <row r="7986" ht="15.75" customHeight="1">
      <c r="B7986" s="63">
        <f t="shared" si="1"/>
        <v>18</v>
      </c>
      <c r="C7986" s="135" t="s">
        <v>562</v>
      </c>
      <c r="D7986" s="161" t="s">
        <v>74</v>
      </c>
      <c r="E7986" s="135">
        <f t="shared" si="61"/>
        <v>22</v>
      </c>
      <c r="F7986" s="134" t="s">
        <v>3811</v>
      </c>
      <c r="G7986" s="63" t="str">
        <f>VLOOKUP(C7986, 'Class Def. - General Data'!$C$20:$C$1000,1,false)</f>
        <v>ZSI1_COM_RAM_VCARD</v>
      </c>
      <c r="H7986" s="63" t="str">
        <f>IFERROR(__xludf.DUMMYFUNCTION("VLOOKUP(F7986, IMPORTRANGE(""https://docs.google.com/spreadsheets/d/1Lhp9OU0JdFf_VYSMzH5lBcEaU4o8teT1piV-SNzShjg/edit?gid=554141278#gid=554141278"", ""'Char Def. - Attributes'!C20:C2242""), 1,false)"),"ALT_DENUM_UOM3")</f>
        <v>ALT_DENUM_UOM3</v>
      </c>
      <c r="I7986" s="136"/>
      <c r="R7986" s="63" t="str">
        <f t="shared" si="60"/>
        <v>ZSI1_COM_RAM_VCARDALT_DENUM_UOM3</v>
      </c>
    </row>
    <row r="7987" ht="15.75" customHeight="1">
      <c r="B7987" s="63">
        <f t="shared" si="1"/>
        <v>18</v>
      </c>
      <c r="C7987" s="135" t="s">
        <v>562</v>
      </c>
      <c r="D7987" s="161" t="s">
        <v>74</v>
      </c>
      <c r="E7987" s="135">
        <f t="shared" si="61"/>
        <v>23</v>
      </c>
      <c r="F7987" s="134" t="s">
        <v>3812</v>
      </c>
      <c r="G7987" s="63" t="str">
        <f>VLOOKUP(C7987, 'Class Def. - General Data'!$C$20:$C$1000,1,false)</f>
        <v>ZSI1_COM_RAM_VCARD</v>
      </c>
      <c r="H7987" s="63" t="str">
        <f>IFERROR(__xludf.DUMMYFUNCTION("VLOOKUP(F7987, IMPORTRANGE(""https://docs.google.com/spreadsheets/d/1Lhp9OU0JdFf_VYSMzH5lBcEaU4o8teT1piV-SNzShjg/edit?gid=554141278#gid=554141278"", ""'Char Def. - Attributes'!C20:C2242""), 1,false)"),"ALT_NUM_UOM3")</f>
        <v>ALT_NUM_UOM3</v>
      </c>
      <c r="I7987" s="136"/>
      <c r="R7987" s="63" t="str">
        <f t="shared" si="60"/>
        <v>ZSI1_COM_RAM_VCARDALT_NUM_UOM3</v>
      </c>
    </row>
    <row r="7988" ht="15.75" customHeight="1">
      <c r="B7988" s="63">
        <f t="shared" si="1"/>
        <v>18</v>
      </c>
      <c r="C7988" s="135" t="s">
        <v>562</v>
      </c>
      <c r="D7988" s="161" t="s">
        <v>74</v>
      </c>
      <c r="E7988" s="135">
        <f t="shared" si="61"/>
        <v>24</v>
      </c>
      <c r="F7988" s="134" t="s">
        <v>3813</v>
      </c>
      <c r="G7988" s="63" t="str">
        <f>VLOOKUP(C7988, 'Class Def. - General Data'!$C$20:$C$1000,1,false)</f>
        <v>ZSI1_COM_RAM_VCARD</v>
      </c>
      <c r="H7988" s="63" t="str">
        <f>IFERROR(__xludf.DUMMYFUNCTION("VLOOKUP(F7988, IMPORTRANGE(""https://docs.google.com/spreadsheets/d/1Lhp9OU0JdFf_VYSMzH5lBcEaU4o8teT1piV-SNzShjg/edit?gid=554141278#gid=554141278"", ""'Char Def. - Attributes'!C20:C2242""), 1,false)"),"ALT_UOM4_SIPI")</f>
        <v>ALT_UOM4_SIPI</v>
      </c>
      <c r="I7988" s="136"/>
      <c r="R7988" s="63" t="str">
        <f t="shared" si="60"/>
        <v>ZSI1_COM_RAM_VCARDALT_UOM4_SIPI</v>
      </c>
    </row>
    <row r="7989" ht="15.75" customHeight="1">
      <c r="B7989" s="63">
        <f t="shared" si="1"/>
        <v>18</v>
      </c>
      <c r="C7989" s="135" t="s">
        <v>562</v>
      </c>
      <c r="D7989" s="161" t="s">
        <v>74</v>
      </c>
      <c r="E7989" s="135">
        <f t="shared" si="61"/>
        <v>25</v>
      </c>
      <c r="F7989" s="134" t="s">
        <v>3814</v>
      </c>
      <c r="G7989" s="63" t="str">
        <f>VLOOKUP(C7989, 'Class Def. - General Data'!$C$20:$C$1000,1,false)</f>
        <v>ZSI1_COM_RAM_VCARD</v>
      </c>
      <c r="H7989" s="63" t="str">
        <f>IFERROR(__xludf.DUMMYFUNCTION("VLOOKUP(F7989, IMPORTRANGE(""https://docs.google.com/spreadsheets/d/1Lhp9OU0JdFf_VYSMzH5lBcEaU4o8teT1piV-SNzShjg/edit?gid=554141278#gid=554141278"", ""'Char Def. - Attributes'!C20:C2242""), 1,false)"),"ALT_DENUM_UOM4")</f>
        <v>ALT_DENUM_UOM4</v>
      </c>
      <c r="I7989" s="136"/>
      <c r="R7989" s="63" t="str">
        <f t="shared" si="60"/>
        <v>ZSI1_COM_RAM_VCARDALT_DENUM_UOM4</v>
      </c>
    </row>
    <row r="7990" ht="15.75" customHeight="1">
      <c r="B7990" s="63">
        <f t="shared" si="1"/>
        <v>18</v>
      </c>
      <c r="C7990" s="135" t="s">
        <v>562</v>
      </c>
      <c r="D7990" s="161" t="s">
        <v>74</v>
      </c>
      <c r="E7990" s="135">
        <f t="shared" si="61"/>
        <v>26</v>
      </c>
      <c r="F7990" s="134" t="s">
        <v>3815</v>
      </c>
      <c r="G7990" s="63" t="str">
        <f>VLOOKUP(C7990, 'Class Def. - General Data'!$C$20:$C$1000,1,false)</f>
        <v>ZSI1_COM_RAM_VCARD</v>
      </c>
      <c r="H7990" s="63" t="str">
        <f>IFERROR(__xludf.DUMMYFUNCTION("VLOOKUP(F7990, IMPORTRANGE(""https://docs.google.com/spreadsheets/d/1Lhp9OU0JdFf_VYSMzH5lBcEaU4o8teT1piV-SNzShjg/edit?gid=554141278#gid=554141278"", ""'Char Def. - Attributes'!C20:C2242""), 1,false)"),"ALT_NUM_UOM4")</f>
        <v>ALT_NUM_UOM4</v>
      </c>
      <c r="I7990" s="136"/>
      <c r="R7990" s="63" t="str">
        <f t="shared" si="60"/>
        <v>ZSI1_COM_RAM_VCARDALT_NUM_UOM4</v>
      </c>
    </row>
    <row r="7991" ht="15.75" customHeight="1">
      <c r="B7991" s="63">
        <f t="shared" si="1"/>
        <v>18</v>
      </c>
      <c r="C7991" s="135" t="s">
        <v>562</v>
      </c>
      <c r="D7991" s="161" t="s">
        <v>74</v>
      </c>
      <c r="E7991" s="135">
        <f t="shared" si="61"/>
        <v>27</v>
      </c>
      <c r="F7991" s="134" t="s">
        <v>3816</v>
      </c>
      <c r="G7991" s="63" t="str">
        <f>VLOOKUP(C7991, 'Class Def. - General Data'!$C$20:$C$1000,1,false)</f>
        <v>ZSI1_COM_RAM_VCARD</v>
      </c>
      <c r="H7991" s="63" t="str">
        <f>IFERROR(__xludf.DUMMYFUNCTION("VLOOKUP(F7991, IMPORTRANGE(""https://docs.google.com/spreadsheets/d/1Lhp9OU0JdFf_VYSMzH5lBcEaU4o8teT1piV-SNzShjg/edit?gid=554141278#gid=554141278"", ""'Char Def. - Attributes'!C20:C2242""), 1,false)"),"ALT_UOM5_SIPI")</f>
        <v>ALT_UOM5_SIPI</v>
      </c>
      <c r="I7991" s="136"/>
      <c r="R7991" s="63" t="str">
        <f t="shared" si="60"/>
        <v>ZSI1_COM_RAM_VCARDALT_UOM5_SIPI</v>
      </c>
    </row>
    <row r="7992" ht="15.75" customHeight="1">
      <c r="B7992" s="63">
        <f t="shared" si="1"/>
        <v>18</v>
      </c>
      <c r="C7992" s="135" t="s">
        <v>562</v>
      </c>
      <c r="D7992" s="161" t="s">
        <v>74</v>
      </c>
      <c r="E7992" s="135">
        <f t="shared" si="61"/>
        <v>28</v>
      </c>
      <c r="F7992" s="134" t="s">
        <v>3817</v>
      </c>
      <c r="G7992" s="63" t="str">
        <f>VLOOKUP(C7992, 'Class Def. - General Data'!$C$20:$C$1000,1,false)</f>
        <v>ZSI1_COM_RAM_VCARD</v>
      </c>
      <c r="H7992" s="63" t="str">
        <f>IFERROR(__xludf.DUMMYFUNCTION("VLOOKUP(F7992, IMPORTRANGE(""https://docs.google.com/spreadsheets/d/1Lhp9OU0JdFf_VYSMzH5lBcEaU4o8teT1piV-SNzShjg/edit?gid=554141278#gid=554141278"", ""'Char Def. - Attributes'!C20:C2242""), 1,false)"),"ALT_DENUM_UOM5")</f>
        <v>ALT_DENUM_UOM5</v>
      </c>
      <c r="I7992" s="136"/>
      <c r="R7992" s="63" t="str">
        <f t="shared" si="60"/>
        <v>ZSI1_COM_RAM_VCARDALT_DENUM_UOM5</v>
      </c>
    </row>
    <row r="7993" ht="15.75" customHeight="1">
      <c r="B7993" s="63">
        <f t="shared" si="1"/>
        <v>18</v>
      </c>
      <c r="C7993" s="135" t="s">
        <v>562</v>
      </c>
      <c r="D7993" s="161" t="s">
        <v>74</v>
      </c>
      <c r="E7993" s="135">
        <f t="shared" si="61"/>
        <v>29</v>
      </c>
      <c r="F7993" s="134" t="s">
        <v>3818</v>
      </c>
      <c r="G7993" s="63" t="str">
        <f>VLOOKUP(C7993, 'Class Def. - General Data'!$C$20:$C$1000,1,false)</f>
        <v>ZSI1_COM_RAM_VCARD</v>
      </c>
      <c r="H7993" s="63" t="str">
        <f>IFERROR(__xludf.DUMMYFUNCTION("VLOOKUP(F7993, IMPORTRANGE(""https://docs.google.com/spreadsheets/d/1Lhp9OU0JdFf_VYSMzH5lBcEaU4o8teT1piV-SNzShjg/edit?gid=554141278#gid=554141278"", ""'Char Def. - Attributes'!C20:C2242""), 1,false)"),"ALT_NUM_UOM5")</f>
        <v>ALT_NUM_UOM5</v>
      </c>
      <c r="I7993" s="136"/>
      <c r="R7993" s="63" t="str">
        <f t="shared" si="60"/>
        <v>ZSI1_COM_RAM_VCARDALT_NUM_UOM5</v>
      </c>
    </row>
    <row r="7994" ht="15.75" customHeight="1">
      <c r="B7994" s="63">
        <f t="shared" si="1"/>
        <v>17</v>
      </c>
      <c r="C7994" s="75" t="s">
        <v>563</v>
      </c>
      <c r="D7994" s="161" t="s">
        <v>74</v>
      </c>
      <c r="E7994" s="135">
        <f t="shared" si="61"/>
        <v>1</v>
      </c>
      <c r="F7994" s="135" t="s">
        <v>4273</v>
      </c>
      <c r="G7994" s="63" t="str">
        <f>VLOOKUP(C7994, 'Class Def. - General Data'!$C$20:$C$1000,1,false)</f>
        <v>ZSI1_COM_TAB_ACCS</v>
      </c>
      <c r="H7994" s="63" t="str">
        <f>IFERROR(__xludf.DUMMYFUNCTION("VLOOKUP(F7994, IMPORTRANGE(""https://docs.google.com/spreadsheets/d/1Lhp9OU0JdFf_VYSMzH5lBcEaU4o8teT1piV-SNzShjg/edit?gid=554141278#gid=554141278"", ""'Char Def. - Attributes'!C20:C2242""), 1,false)"),"#N/A")</f>
        <v>#N/A</v>
      </c>
      <c r="I7994" s="136"/>
      <c r="R7994" s="63" t="str">
        <f t="shared" si="60"/>
        <v>ZSI1_COM_TAB_ACCSITEM_NAME_COM_TAB_ACCS</v>
      </c>
    </row>
    <row r="7995" ht="15.75" customHeight="1">
      <c r="B7995" s="63">
        <f t="shared" si="1"/>
        <v>17</v>
      </c>
      <c r="C7995" s="75" t="s">
        <v>563</v>
      </c>
      <c r="D7995" s="161" t="s">
        <v>74</v>
      </c>
      <c r="E7995" s="135">
        <f t="shared" si="61"/>
        <v>2</v>
      </c>
      <c r="F7995" s="134" t="s">
        <v>3779</v>
      </c>
      <c r="G7995" s="63" t="str">
        <f>VLOOKUP(C7995, 'Class Def. - General Data'!$C$20:$C$1000,1,false)</f>
        <v>ZSI1_COM_TAB_ACCS</v>
      </c>
      <c r="H7995" s="63" t="str">
        <f>IFERROR(__xludf.DUMMYFUNCTION("VLOOKUP(F7995, IMPORTRANGE(""https://docs.google.com/spreadsheets/d/1Lhp9OU0JdFf_VYSMzH5lBcEaU4o8teT1piV-SNzShjg/edit?gid=554141278#gid=554141278"", ""'Char Def. - Attributes'!C20:C2242""), 1,false)"),"EMBOSSED_BRAND_WINGS")</f>
        <v>EMBOSSED_BRAND_WINGS</v>
      </c>
      <c r="I7995" s="136"/>
      <c r="R7995" s="63" t="str">
        <f t="shared" si="60"/>
        <v>ZSI1_COM_TAB_ACCSEMBOSSED_BRAND_WINGS</v>
      </c>
    </row>
    <row r="7996" ht="15.75" customHeight="1">
      <c r="B7996" s="63">
        <f t="shared" si="1"/>
        <v>17</v>
      </c>
      <c r="C7996" s="75" t="s">
        <v>563</v>
      </c>
      <c r="D7996" s="161" t="s">
        <v>74</v>
      </c>
      <c r="E7996" s="135">
        <f t="shared" si="61"/>
        <v>3</v>
      </c>
      <c r="F7996" s="134" t="s">
        <v>3780</v>
      </c>
      <c r="G7996" s="63" t="str">
        <f>VLOOKUP(C7996, 'Class Def. - General Data'!$C$20:$C$1000,1,false)</f>
        <v>ZSI1_COM_TAB_ACCS</v>
      </c>
      <c r="H7996" s="63" t="str">
        <f>IFERROR(__xludf.DUMMYFUNCTION("VLOOKUP(F7996, IMPORTRANGE(""https://docs.google.com/spreadsheets/d/1Lhp9OU0JdFf_VYSMzH5lBcEaU4o8teT1piV-SNzShjg/edit?gid=554141278#gid=554141278"", ""'Char Def. - Attributes'!C20:C2242""), 1,false)"),"BRAND_WINGS_SIPI")</f>
        <v>BRAND_WINGS_SIPI</v>
      </c>
      <c r="I7996" s="136"/>
      <c r="R7996" s="63" t="str">
        <f t="shared" si="60"/>
        <v>ZSI1_COM_TAB_ACCSBRAND_WINGS_SIPI</v>
      </c>
    </row>
    <row r="7997" ht="15.75" customHeight="1">
      <c r="B7997" s="63">
        <f t="shared" si="1"/>
        <v>17</v>
      </c>
      <c r="C7997" s="75" t="s">
        <v>563</v>
      </c>
      <c r="D7997" s="161" t="s">
        <v>74</v>
      </c>
      <c r="E7997" s="135">
        <f t="shared" si="61"/>
        <v>4</v>
      </c>
      <c r="F7997" s="134" t="s">
        <v>3778</v>
      </c>
      <c r="G7997" s="63" t="str">
        <f>VLOOKUP(C7997, 'Class Def. - General Data'!$C$20:$C$1000,1,false)</f>
        <v>ZSI1_COM_TAB_ACCS</v>
      </c>
      <c r="H7997" s="63" t="str">
        <f>IFERROR(__xludf.DUMMYFUNCTION("VLOOKUP(F7997, IMPORTRANGE(""https://docs.google.com/spreadsheets/d/1Lhp9OU0JdFf_VYSMzH5lBcEaU4o8teT1piV-SNzShjg/edit?gid=554141278#gid=554141278"", ""'Char Def. - Attributes'!C20:C2242""), 1,false)"),"SPECIAL_ACTIVITY")</f>
        <v>SPECIAL_ACTIVITY</v>
      </c>
      <c r="I7997" s="136"/>
      <c r="R7997" s="63" t="str">
        <f t="shared" si="60"/>
        <v>ZSI1_COM_TAB_ACCSSPECIAL_ACTIVITY</v>
      </c>
    </row>
    <row r="7998" ht="15.75" customHeight="1">
      <c r="B7998" s="63">
        <f t="shared" si="1"/>
        <v>17</v>
      </c>
      <c r="C7998" s="75" t="s">
        <v>563</v>
      </c>
      <c r="D7998" s="161" t="s">
        <v>74</v>
      </c>
      <c r="E7998" s="135">
        <f t="shared" si="61"/>
        <v>5</v>
      </c>
      <c r="F7998" s="135" t="s">
        <v>3781</v>
      </c>
      <c r="G7998" s="63" t="str">
        <f>VLOOKUP(C7998, 'Class Def. - General Data'!$C$20:$C$1000,1,false)</f>
        <v>ZSI1_COM_TAB_ACCS</v>
      </c>
      <c r="H7998" s="63" t="str">
        <f>IFERROR(__xludf.DUMMYFUNCTION("VLOOKUP(F7998, IMPORTRANGE(""https://docs.google.com/spreadsheets/d/1Lhp9OU0JdFf_VYSMzH5lBcEaU4o8teT1piV-SNzShjg/edit?gid=554141278#gid=554141278"", ""'Char Def. - Attributes'!C20:C2242""), 1,false)"),"EXTERNAL_BRAND")</f>
        <v>EXTERNAL_BRAND</v>
      </c>
      <c r="I7998" s="136"/>
      <c r="R7998" s="63" t="str">
        <f t="shared" si="60"/>
        <v>ZSI1_COM_TAB_ACCSEXTERNAL_BRAND</v>
      </c>
    </row>
    <row r="7999" ht="15.75" customHeight="1">
      <c r="B7999" s="63">
        <f t="shared" si="1"/>
        <v>17</v>
      </c>
      <c r="C7999" s="75" t="s">
        <v>563</v>
      </c>
      <c r="D7999" s="161" t="s">
        <v>74</v>
      </c>
      <c r="E7999" s="135">
        <f t="shared" si="61"/>
        <v>6</v>
      </c>
      <c r="F7999" s="135" t="s">
        <v>3782</v>
      </c>
      <c r="G7999" s="63" t="str">
        <f>VLOOKUP(C7999, 'Class Def. - General Data'!$C$20:$C$1000,1,false)</f>
        <v>ZSI1_COM_TAB_ACCS</v>
      </c>
      <c r="H7999" s="63" t="str">
        <f>IFERROR(__xludf.DUMMYFUNCTION("VLOOKUP(F7999, IMPORTRANGE(""https://docs.google.com/spreadsheets/d/1Lhp9OU0JdFf_VYSMzH5lBcEaU4o8teT1piV-SNzShjg/edit?gid=554141278#gid=554141278"", ""'Char Def. - Attributes'!C20:C2242""), 1,false)"),"BRAND_EXTERNAL")</f>
        <v>BRAND_EXTERNAL</v>
      </c>
      <c r="I7999" s="136"/>
      <c r="R7999" s="63" t="str">
        <f t="shared" si="60"/>
        <v>ZSI1_COM_TAB_ACCSBRAND_EXTERNAL</v>
      </c>
    </row>
    <row r="8000" ht="15.75" customHeight="1">
      <c r="B8000" s="63">
        <f t="shared" si="1"/>
        <v>17</v>
      </c>
      <c r="C8000" s="75" t="s">
        <v>563</v>
      </c>
      <c r="D8000" s="161" t="s">
        <v>74</v>
      </c>
      <c r="E8000" s="135">
        <f t="shared" si="61"/>
        <v>7</v>
      </c>
      <c r="F8000" s="135" t="s">
        <v>4062</v>
      </c>
      <c r="G8000" s="63" t="str">
        <f>VLOOKUP(C8000, 'Class Def. - General Data'!$C$20:$C$1000,1,false)</f>
        <v>ZSI1_COM_TAB_ACCS</v>
      </c>
      <c r="H8000" s="63" t="str">
        <f>IFERROR(__xludf.DUMMYFUNCTION("VLOOKUP(F8000, IMPORTRANGE(""https://docs.google.com/spreadsheets/d/1Lhp9OU0JdFf_VYSMzH5lBcEaU4o8teT1piV-SNzShjg/edit?gid=554141278#gid=554141278"", ""'Char Def. - Attributes'!C20:C2242""), 1,false)"),"#N/A")</f>
        <v>#N/A</v>
      </c>
      <c r="I8000" s="136"/>
      <c r="R8000" s="63" t="str">
        <f t="shared" si="60"/>
        <v>ZSI1_COM_TAB_ACCSADDTIONAL_SPECIFICATION</v>
      </c>
    </row>
    <row r="8001" ht="15.75" customHeight="1">
      <c r="B8001" s="63">
        <f t="shared" si="1"/>
        <v>17</v>
      </c>
      <c r="C8001" s="75" t="s">
        <v>563</v>
      </c>
      <c r="D8001" s="161" t="s">
        <v>74</v>
      </c>
      <c r="E8001" s="135">
        <f t="shared" si="61"/>
        <v>8</v>
      </c>
      <c r="F8001" s="134" t="s">
        <v>3585</v>
      </c>
      <c r="G8001" s="63" t="str">
        <f>VLOOKUP(C8001, 'Class Def. - General Data'!$C$20:$C$1000,1,false)</f>
        <v>ZSI1_COM_TAB_ACCS</v>
      </c>
      <c r="H8001" s="63" t="str">
        <f>IFERROR(__xludf.DUMMYFUNCTION("VLOOKUP(F8001, IMPORTRANGE(""https://docs.google.com/spreadsheets/d/1Lhp9OU0JdFf_VYSMzH5lBcEaU4o8teT1piV-SNzShjg/edit?gid=554141278#gid=554141278"", ""'Char Def. - Attributes'!C20:C2242""), 1,false)"),"HS_CODE")</f>
        <v>HS_CODE</v>
      </c>
      <c r="I8001" s="136"/>
      <c r="R8001" s="63" t="str">
        <f t="shared" si="60"/>
        <v>ZSI1_COM_TAB_ACCSHS_CODE</v>
      </c>
    </row>
    <row r="8002" ht="15.75" customHeight="1">
      <c r="B8002" s="63">
        <f t="shared" si="1"/>
        <v>17</v>
      </c>
      <c r="C8002" s="75" t="s">
        <v>563</v>
      </c>
      <c r="D8002" s="161" t="s">
        <v>74</v>
      </c>
      <c r="E8002" s="135">
        <f t="shared" si="61"/>
        <v>9</v>
      </c>
      <c r="F8002" s="134" t="s">
        <v>3587</v>
      </c>
      <c r="G8002" s="63" t="str">
        <f>VLOOKUP(C8002, 'Class Def. - General Data'!$C$20:$C$1000,1,false)</f>
        <v>ZSI1_COM_TAB_ACCS</v>
      </c>
      <c r="H8002" s="63" t="str">
        <f>IFERROR(__xludf.DUMMYFUNCTION("VLOOKUP(F8002, IMPORTRANGE(""https://docs.google.com/spreadsheets/d/1Lhp9OU0JdFf_VYSMzH5lBcEaU4o8teT1piV-SNzShjg/edit?gid=554141278#gid=554141278"", ""'Char Def. - Attributes'!C20:C2242""), 1,false)"),"PLANT_BUY")</f>
        <v>PLANT_BUY</v>
      </c>
      <c r="I8002" s="136"/>
      <c r="R8002" s="63" t="str">
        <f t="shared" si="60"/>
        <v>ZSI1_COM_TAB_ACCSPLANT_BUY</v>
      </c>
    </row>
    <row r="8003" ht="15.75" customHeight="1">
      <c r="B8003" s="63">
        <f t="shared" si="1"/>
        <v>17</v>
      </c>
      <c r="C8003" s="75" t="s">
        <v>563</v>
      </c>
      <c r="D8003" s="161" t="s">
        <v>74</v>
      </c>
      <c r="E8003" s="135">
        <f t="shared" si="61"/>
        <v>10</v>
      </c>
      <c r="F8003" s="134" t="s">
        <v>4274</v>
      </c>
      <c r="G8003" s="63" t="str">
        <f>VLOOKUP(C8003, 'Class Def. - General Data'!$C$20:$C$1000,1,false)</f>
        <v>ZSI1_COM_TAB_ACCS</v>
      </c>
      <c r="H8003" s="63" t="str">
        <f>IFERROR(__xludf.DUMMYFUNCTION("VLOOKUP(F8003, IMPORTRANGE(""https://docs.google.com/spreadsheets/d/1Lhp9OU0JdFf_VYSMzH5lBcEaU4o8teT1piV-SNzShjg/edit?gid=554141278#gid=554141278"", ""'Char Def. - Attributes'!C20:C2242""), 1,false)"),"BASE_UOM_COMM_DEVICE")</f>
        <v>BASE_UOM_COMM_DEVICE</v>
      </c>
      <c r="I8003" s="136"/>
      <c r="R8003" s="63" t="str">
        <f t="shared" si="60"/>
        <v>ZSI1_COM_TAB_ACCSBASE_UOM_COMM_DEVICE</v>
      </c>
    </row>
    <row r="8004" ht="15.75" customHeight="1">
      <c r="B8004" s="63">
        <f t="shared" si="1"/>
        <v>17</v>
      </c>
      <c r="C8004" s="75" t="s">
        <v>563</v>
      </c>
      <c r="D8004" s="161" t="s">
        <v>74</v>
      </c>
      <c r="E8004" s="135">
        <f t="shared" si="61"/>
        <v>11</v>
      </c>
      <c r="F8004" s="134" t="s">
        <v>4275</v>
      </c>
      <c r="G8004" s="63" t="str">
        <f>VLOOKUP(C8004, 'Class Def. - General Data'!$C$20:$C$1000,1,false)</f>
        <v>ZSI1_COM_TAB_ACCS</v>
      </c>
      <c r="H8004" s="63" t="str">
        <f>IFERROR(__xludf.DUMMYFUNCTION("VLOOKUP(F8004, IMPORTRANGE(""https://docs.google.com/spreadsheets/d/1Lhp9OU0JdFf_VYSMzH5lBcEaU4o8teT1piV-SNzShjg/edit?gid=554141278#gid=554141278"", ""'Char Def. - Attributes'!C20:C2242""), 1,false)"),"ORDER_UNIT_COMM_DEVICE")</f>
        <v>ORDER_UNIT_COMM_DEVICE</v>
      </c>
      <c r="I8004" s="136"/>
      <c r="R8004" s="63" t="str">
        <f t="shared" si="60"/>
        <v>ZSI1_COM_TAB_ACCSORDER_UNIT_COMM_DEVICE</v>
      </c>
    </row>
    <row r="8005" ht="15.75" customHeight="1">
      <c r="B8005" s="63">
        <f t="shared" si="1"/>
        <v>17</v>
      </c>
      <c r="C8005" s="75" t="s">
        <v>563</v>
      </c>
      <c r="D8005" s="161" t="s">
        <v>74</v>
      </c>
      <c r="E8005" s="135">
        <f t="shared" si="61"/>
        <v>12</v>
      </c>
      <c r="F8005" s="134" t="s">
        <v>4056</v>
      </c>
      <c r="G8005" s="63" t="str">
        <f>VLOOKUP(C8005, 'Class Def. - General Data'!$C$20:$C$1000,1,false)</f>
        <v>ZSI1_COM_TAB_ACCS</v>
      </c>
      <c r="H8005" s="63" t="str">
        <f>IFERROR(__xludf.DUMMYFUNCTION("VLOOKUP(F8005, IMPORTRANGE(""https://docs.google.com/spreadsheets/d/1Lhp9OU0JdFf_VYSMzH5lBcEaU4o8teT1piV-SNzShjg/edit?gid=554141278#gid=554141278"", ""'Char Def. - Attributes'!C20:C2242""), 1,false)"),"GROSS_WEIGHT_OPT")</f>
        <v>GROSS_WEIGHT_OPT</v>
      </c>
      <c r="I8005" s="136"/>
      <c r="R8005" s="63" t="str">
        <f t="shared" si="60"/>
        <v>ZSI1_COM_TAB_ACCSGROSS_WEIGHT_OPT</v>
      </c>
    </row>
    <row r="8006" ht="15.75" customHeight="1">
      <c r="B8006" s="63">
        <f t="shared" si="1"/>
        <v>17</v>
      </c>
      <c r="C8006" s="75" t="s">
        <v>563</v>
      </c>
      <c r="D8006" s="161" t="s">
        <v>74</v>
      </c>
      <c r="E8006" s="135">
        <f t="shared" si="61"/>
        <v>13</v>
      </c>
      <c r="F8006" s="134" t="s">
        <v>4057</v>
      </c>
      <c r="G8006" s="63" t="str">
        <f>VLOOKUP(C8006, 'Class Def. - General Data'!$C$20:$C$1000,1,false)</f>
        <v>ZSI1_COM_TAB_ACCS</v>
      </c>
      <c r="H8006" s="63" t="str">
        <f>IFERROR(__xludf.DUMMYFUNCTION("VLOOKUP(F8006, IMPORTRANGE(""https://docs.google.com/spreadsheets/d/1Lhp9OU0JdFf_VYSMzH5lBcEaU4o8teT1piV-SNzShjg/edit?gid=554141278#gid=554141278"", ""'Char Def. - Attributes'!C20:C2242""), 1,false)"),"NET_WEIGHT_OPT")</f>
        <v>NET_WEIGHT_OPT</v>
      </c>
      <c r="I8006" s="136"/>
      <c r="R8006" s="63" t="str">
        <f t="shared" si="60"/>
        <v>ZSI1_COM_TAB_ACCSNET_WEIGHT_OPT</v>
      </c>
    </row>
    <row r="8007" ht="15.75" customHeight="1">
      <c r="B8007" s="63">
        <f t="shared" si="1"/>
        <v>17</v>
      </c>
      <c r="C8007" s="75" t="s">
        <v>563</v>
      </c>
      <c r="D8007" s="161" t="s">
        <v>74</v>
      </c>
      <c r="E8007" s="135">
        <f t="shared" si="61"/>
        <v>14</v>
      </c>
      <c r="F8007" s="134" t="s">
        <v>4058</v>
      </c>
      <c r="G8007" s="63" t="str">
        <f>VLOOKUP(C8007, 'Class Def. - General Data'!$C$20:$C$1000,1,false)</f>
        <v>ZSI1_COM_TAB_ACCS</v>
      </c>
      <c r="H8007" s="63" t="str">
        <f>IFERROR(__xludf.DUMMYFUNCTION("VLOOKUP(F8007, IMPORTRANGE(""https://docs.google.com/spreadsheets/d/1Lhp9OU0JdFf_VYSMzH5lBcEaU4o8teT1piV-SNzShjg/edit?gid=554141278#gid=554141278"", ""'Char Def. - Attributes'!C20:C2242""), 1,false)"),"WEIGHT_UNIT_SI")</f>
        <v>WEIGHT_UNIT_SI</v>
      </c>
      <c r="I8007" s="136"/>
      <c r="R8007" s="63" t="str">
        <f t="shared" si="60"/>
        <v>ZSI1_COM_TAB_ACCSWEIGHT_UNIT_SI</v>
      </c>
    </row>
    <row r="8008" ht="15.75" customHeight="1">
      <c r="B8008" s="63">
        <f t="shared" si="1"/>
        <v>17</v>
      </c>
      <c r="C8008" s="75" t="s">
        <v>563</v>
      </c>
      <c r="D8008" s="161" t="s">
        <v>74</v>
      </c>
      <c r="E8008" s="135">
        <f t="shared" si="61"/>
        <v>15</v>
      </c>
      <c r="F8008" s="134" t="s">
        <v>3877</v>
      </c>
      <c r="G8008" s="63" t="str">
        <f>VLOOKUP(C8008, 'Class Def. - General Data'!$C$20:$C$1000,1,false)</f>
        <v>ZSI1_COM_TAB_ACCS</v>
      </c>
      <c r="H8008" s="63" t="str">
        <f>IFERROR(__xludf.DUMMYFUNCTION("VLOOKUP(F8008, IMPORTRANGE(""https://docs.google.com/spreadsheets/d/1Lhp9OU0JdFf_VYSMzH5lBcEaU4o8teT1piV-SNzShjg/edit?gid=554141278#gid=554141278"", ""'Char Def. - Attributes'!C20:C2242""), 1,false)"),"VOLUME_OPT")</f>
        <v>VOLUME_OPT</v>
      </c>
      <c r="I8008" s="136"/>
      <c r="R8008" s="63" t="str">
        <f t="shared" si="60"/>
        <v>ZSI1_COM_TAB_ACCSVOLUME_OPT</v>
      </c>
    </row>
    <row r="8009" ht="15.75" customHeight="1">
      <c r="B8009" s="63">
        <f t="shared" si="1"/>
        <v>17</v>
      </c>
      <c r="C8009" s="75" t="s">
        <v>563</v>
      </c>
      <c r="D8009" s="161" t="s">
        <v>74</v>
      </c>
      <c r="E8009" s="135">
        <f t="shared" si="61"/>
        <v>16</v>
      </c>
      <c r="F8009" s="134" t="s">
        <v>4059</v>
      </c>
      <c r="G8009" s="63" t="str">
        <f>VLOOKUP(C8009, 'Class Def. - General Data'!$C$20:$C$1000,1,false)</f>
        <v>ZSI1_COM_TAB_ACCS</v>
      </c>
      <c r="I8009" s="136"/>
      <c r="R8009" s="63" t="str">
        <f t="shared" si="60"/>
        <v>ZSI1_COM_TAB_ACCSVOLUME_UNIT_SI</v>
      </c>
    </row>
    <row r="8010" ht="15.75" customHeight="1">
      <c r="B8010" s="63">
        <f t="shared" si="1"/>
        <v>17</v>
      </c>
      <c r="C8010" s="75" t="s">
        <v>563</v>
      </c>
      <c r="D8010" s="161" t="s">
        <v>74</v>
      </c>
      <c r="E8010" s="135">
        <f t="shared" si="61"/>
        <v>17</v>
      </c>
      <c r="F8010" s="134" t="s">
        <v>3804</v>
      </c>
      <c r="G8010" s="63" t="str">
        <f>VLOOKUP(C8010, 'Class Def. - General Data'!$C$20:$C$1000,1,false)</f>
        <v>ZSI1_COM_TAB_ACCS</v>
      </c>
      <c r="I8010" s="136"/>
      <c r="R8010" s="63" t="str">
        <f t="shared" si="60"/>
        <v>ZSI1_COM_TAB_ACCSALT_UOM1_SIPI</v>
      </c>
    </row>
    <row r="8011" ht="15.75" customHeight="1">
      <c r="B8011" s="63">
        <f t="shared" si="1"/>
        <v>17</v>
      </c>
      <c r="C8011" s="75" t="s">
        <v>563</v>
      </c>
      <c r="D8011" s="161" t="s">
        <v>74</v>
      </c>
      <c r="E8011" s="135">
        <f t="shared" si="61"/>
        <v>18</v>
      </c>
      <c r="F8011" s="134" t="s">
        <v>3805</v>
      </c>
      <c r="G8011" s="63" t="str">
        <f>VLOOKUP(C8011, 'Class Def. - General Data'!$C$20:$C$1000,1,false)</f>
        <v>ZSI1_COM_TAB_ACCS</v>
      </c>
      <c r="I8011" s="136"/>
      <c r="R8011" s="63" t="str">
        <f t="shared" si="60"/>
        <v>ZSI1_COM_TAB_ACCSALT_DENUM_UOM1</v>
      </c>
    </row>
    <row r="8012" ht="15.75" customHeight="1">
      <c r="B8012" s="63">
        <f t="shared" si="1"/>
        <v>17</v>
      </c>
      <c r="C8012" s="75" t="s">
        <v>563</v>
      </c>
      <c r="D8012" s="161" t="s">
        <v>74</v>
      </c>
      <c r="E8012" s="135">
        <f t="shared" si="61"/>
        <v>19</v>
      </c>
      <c r="F8012" s="134" t="s">
        <v>3806</v>
      </c>
      <c r="G8012" s="63" t="str">
        <f>VLOOKUP(C8012, 'Class Def. - General Data'!$C$20:$C$1000,1,false)</f>
        <v>ZSI1_COM_TAB_ACCS</v>
      </c>
      <c r="I8012" s="136"/>
      <c r="R8012" s="63" t="str">
        <f t="shared" si="60"/>
        <v>ZSI1_COM_TAB_ACCSALT_NUM_UOM1</v>
      </c>
    </row>
    <row r="8013" ht="15.75" customHeight="1">
      <c r="B8013" s="63">
        <f t="shared" si="1"/>
        <v>17</v>
      </c>
      <c r="C8013" s="75" t="s">
        <v>563</v>
      </c>
      <c r="D8013" s="161" t="s">
        <v>74</v>
      </c>
      <c r="E8013" s="135">
        <f t="shared" si="61"/>
        <v>20</v>
      </c>
      <c r="F8013" s="134" t="s">
        <v>3807</v>
      </c>
      <c r="G8013" s="63" t="str">
        <f>VLOOKUP(C8013, 'Class Def. - General Data'!$C$20:$C$1000,1,false)</f>
        <v>ZSI1_COM_TAB_ACCS</v>
      </c>
      <c r="I8013" s="136"/>
      <c r="R8013" s="63" t="str">
        <f t="shared" si="60"/>
        <v>ZSI1_COM_TAB_ACCSALT_UOM2_SIPI</v>
      </c>
    </row>
    <row r="8014" ht="15.75" customHeight="1">
      <c r="B8014" s="63">
        <f t="shared" si="1"/>
        <v>17</v>
      </c>
      <c r="C8014" s="75" t="s">
        <v>563</v>
      </c>
      <c r="D8014" s="161" t="s">
        <v>74</v>
      </c>
      <c r="E8014" s="135">
        <f t="shared" si="61"/>
        <v>21</v>
      </c>
      <c r="F8014" s="134" t="s">
        <v>3808</v>
      </c>
      <c r="G8014" s="63" t="str">
        <f>VLOOKUP(C8014, 'Class Def. - General Data'!$C$20:$C$1000,1,false)</f>
        <v>ZSI1_COM_TAB_ACCS</v>
      </c>
      <c r="I8014" s="136"/>
      <c r="R8014" s="63" t="str">
        <f t="shared" si="60"/>
        <v>ZSI1_COM_TAB_ACCSALT_DENUM_UOM2</v>
      </c>
    </row>
    <row r="8015" ht="15.75" customHeight="1">
      <c r="B8015" s="63">
        <f t="shared" si="1"/>
        <v>17</v>
      </c>
      <c r="C8015" s="75" t="s">
        <v>563</v>
      </c>
      <c r="D8015" s="161" t="s">
        <v>74</v>
      </c>
      <c r="E8015" s="135">
        <f t="shared" si="61"/>
        <v>22</v>
      </c>
      <c r="F8015" s="134" t="s">
        <v>3809</v>
      </c>
      <c r="G8015" s="63" t="str">
        <f>VLOOKUP(C8015, 'Class Def. - General Data'!$C$20:$C$1000,1,false)</f>
        <v>ZSI1_COM_TAB_ACCS</v>
      </c>
      <c r="I8015" s="136"/>
      <c r="R8015" s="63" t="str">
        <f t="shared" si="60"/>
        <v>ZSI1_COM_TAB_ACCSALT_NUM_UOM2</v>
      </c>
    </row>
    <row r="8016" ht="15.75" customHeight="1">
      <c r="B8016" s="63">
        <f t="shared" si="1"/>
        <v>17</v>
      </c>
      <c r="C8016" s="75" t="s">
        <v>563</v>
      </c>
      <c r="D8016" s="161" t="s">
        <v>74</v>
      </c>
      <c r="E8016" s="135">
        <f t="shared" si="61"/>
        <v>23</v>
      </c>
      <c r="F8016" s="134" t="s">
        <v>3810</v>
      </c>
      <c r="G8016" s="63" t="str">
        <f>VLOOKUP(C8016, 'Class Def. - General Data'!$C$20:$C$1000,1,false)</f>
        <v>ZSI1_COM_TAB_ACCS</v>
      </c>
      <c r="I8016" s="136"/>
      <c r="R8016" s="63" t="str">
        <f t="shared" si="60"/>
        <v>ZSI1_COM_TAB_ACCSALT_UOM3_SIPI</v>
      </c>
    </row>
    <row r="8017" ht="15.75" customHeight="1">
      <c r="B8017" s="63">
        <f t="shared" si="1"/>
        <v>17</v>
      </c>
      <c r="C8017" s="75" t="s">
        <v>563</v>
      </c>
      <c r="D8017" s="161" t="s">
        <v>74</v>
      </c>
      <c r="E8017" s="135">
        <f t="shared" si="61"/>
        <v>24</v>
      </c>
      <c r="F8017" s="134" t="s">
        <v>3811</v>
      </c>
      <c r="G8017" s="63" t="str">
        <f>VLOOKUP(C8017, 'Class Def. - General Data'!$C$20:$C$1000,1,false)</f>
        <v>ZSI1_COM_TAB_ACCS</v>
      </c>
      <c r="I8017" s="136"/>
      <c r="R8017" s="63" t="str">
        <f t="shared" si="60"/>
        <v>ZSI1_COM_TAB_ACCSALT_DENUM_UOM3</v>
      </c>
    </row>
    <row r="8018" ht="15.75" customHeight="1">
      <c r="B8018" s="63">
        <f t="shared" si="1"/>
        <v>17</v>
      </c>
      <c r="C8018" s="75" t="s">
        <v>563</v>
      </c>
      <c r="D8018" s="161" t="s">
        <v>74</v>
      </c>
      <c r="E8018" s="135">
        <f t="shared" si="61"/>
        <v>25</v>
      </c>
      <c r="F8018" s="134" t="s">
        <v>3812</v>
      </c>
      <c r="G8018" s="63" t="str">
        <f>VLOOKUP(C8018, 'Class Def. - General Data'!$C$20:$C$1000,1,false)</f>
        <v>ZSI1_COM_TAB_ACCS</v>
      </c>
      <c r="I8018" s="136"/>
      <c r="R8018" s="63" t="str">
        <f t="shared" si="60"/>
        <v>ZSI1_COM_TAB_ACCSALT_NUM_UOM3</v>
      </c>
    </row>
    <row r="8019" ht="15.75" customHeight="1">
      <c r="B8019" s="63">
        <f t="shared" si="1"/>
        <v>17</v>
      </c>
      <c r="C8019" s="75" t="s">
        <v>563</v>
      </c>
      <c r="D8019" s="161" t="s">
        <v>74</v>
      </c>
      <c r="E8019" s="135">
        <f t="shared" si="61"/>
        <v>26</v>
      </c>
      <c r="F8019" s="134" t="s">
        <v>3813</v>
      </c>
      <c r="G8019" s="63" t="str">
        <f>VLOOKUP(C8019, 'Class Def. - General Data'!$C$20:$C$1000,1,false)</f>
        <v>ZSI1_COM_TAB_ACCS</v>
      </c>
      <c r="I8019" s="136"/>
      <c r="R8019" s="63" t="str">
        <f t="shared" si="60"/>
        <v>ZSI1_COM_TAB_ACCSALT_UOM4_SIPI</v>
      </c>
    </row>
    <row r="8020" ht="15.75" customHeight="1">
      <c r="B8020" s="63">
        <f t="shared" si="1"/>
        <v>17</v>
      </c>
      <c r="C8020" s="75" t="s">
        <v>563</v>
      </c>
      <c r="D8020" s="161" t="s">
        <v>74</v>
      </c>
      <c r="E8020" s="135">
        <f t="shared" si="61"/>
        <v>27</v>
      </c>
      <c r="F8020" s="134" t="s">
        <v>3814</v>
      </c>
      <c r="G8020" s="63" t="str">
        <f>VLOOKUP(C8020, 'Class Def. - General Data'!$C$20:$C$1000,1,false)</f>
        <v>ZSI1_COM_TAB_ACCS</v>
      </c>
      <c r="I8020" s="136"/>
      <c r="R8020" s="63" t="str">
        <f t="shared" si="60"/>
        <v>ZSI1_COM_TAB_ACCSALT_DENUM_UOM4</v>
      </c>
    </row>
    <row r="8021" ht="15.75" customHeight="1">
      <c r="B8021" s="63">
        <f t="shared" si="1"/>
        <v>17</v>
      </c>
      <c r="C8021" s="75" t="s">
        <v>563</v>
      </c>
      <c r="D8021" s="161" t="s">
        <v>74</v>
      </c>
      <c r="E8021" s="135">
        <f t="shared" si="61"/>
        <v>28</v>
      </c>
      <c r="F8021" s="134" t="s">
        <v>3815</v>
      </c>
      <c r="G8021" s="63" t="str">
        <f>VLOOKUP(C8021, 'Class Def. - General Data'!$C$20:$C$1000,1,false)</f>
        <v>ZSI1_COM_TAB_ACCS</v>
      </c>
      <c r="I8021" s="136"/>
      <c r="R8021" s="63" t="str">
        <f t="shared" si="60"/>
        <v>ZSI1_COM_TAB_ACCSALT_NUM_UOM4</v>
      </c>
    </row>
    <row r="8022" ht="15.75" customHeight="1">
      <c r="B8022" s="63">
        <f t="shared" si="1"/>
        <v>17</v>
      </c>
      <c r="C8022" s="75" t="s">
        <v>563</v>
      </c>
      <c r="D8022" s="161" t="s">
        <v>74</v>
      </c>
      <c r="E8022" s="135">
        <f t="shared" si="61"/>
        <v>29</v>
      </c>
      <c r="F8022" s="134" t="s">
        <v>3816</v>
      </c>
      <c r="G8022" s="63" t="str">
        <f>VLOOKUP(C8022, 'Class Def. - General Data'!$C$20:$C$1000,1,false)</f>
        <v>ZSI1_COM_TAB_ACCS</v>
      </c>
      <c r="I8022" s="136"/>
      <c r="R8022" s="63" t="str">
        <f t="shared" si="60"/>
        <v>ZSI1_COM_TAB_ACCSALT_UOM5_SIPI</v>
      </c>
    </row>
    <row r="8023" ht="15.75" customHeight="1">
      <c r="B8023" s="63">
        <f t="shared" si="1"/>
        <v>17</v>
      </c>
      <c r="C8023" s="75" t="s">
        <v>563</v>
      </c>
      <c r="D8023" s="161" t="s">
        <v>74</v>
      </c>
      <c r="E8023" s="135">
        <f t="shared" si="61"/>
        <v>30</v>
      </c>
      <c r="F8023" s="134" t="s">
        <v>3817</v>
      </c>
      <c r="G8023" s="63" t="str">
        <f>VLOOKUP(C8023, 'Class Def. - General Data'!$C$20:$C$1000,1,false)</f>
        <v>ZSI1_COM_TAB_ACCS</v>
      </c>
      <c r="I8023" s="136"/>
      <c r="R8023" s="63" t="str">
        <f t="shared" si="60"/>
        <v>ZSI1_COM_TAB_ACCSALT_DENUM_UOM5</v>
      </c>
    </row>
    <row r="8024" ht="15.75" customHeight="1">
      <c r="B8024" s="63">
        <f t="shared" si="1"/>
        <v>17</v>
      </c>
      <c r="C8024" s="75" t="s">
        <v>563</v>
      </c>
      <c r="D8024" s="161" t="s">
        <v>74</v>
      </c>
      <c r="E8024" s="135">
        <f t="shared" si="61"/>
        <v>31</v>
      </c>
      <c r="F8024" s="134" t="s">
        <v>3818</v>
      </c>
      <c r="G8024" s="63" t="str">
        <f>VLOOKUP(C8024, 'Class Def. - General Data'!$C$20:$C$1000,1,false)</f>
        <v>ZSI1_COM_TAB_ACCS</v>
      </c>
      <c r="I8024" s="136"/>
      <c r="R8024" s="63" t="str">
        <f t="shared" si="60"/>
        <v>ZSI1_COM_TAB_ACCSALT_NUM_UOM5</v>
      </c>
    </row>
    <row r="8025" ht="15.75" customHeight="1">
      <c r="B8025" s="63">
        <f t="shared" si="1"/>
        <v>14</v>
      </c>
      <c r="C8025" s="135" t="s">
        <v>367</v>
      </c>
      <c r="D8025" s="161" t="s">
        <v>74</v>
      </c>
      <c r="E8025" s="135">
        <f t="shared" si="61"/>
        <v>1</v>
      </c>
      <c r="F8025" s="134" t="s">
        <v>4276</v>
      </c>
      <c r="G8025" s="63" t="str">
        <f>VLOOKUP(C8025, 'Class Def. - General Data'!$C$20:$C$1000,1,false)</f>
        <v>ZSI1_COMM_ACCS</v>
      </c>
      <c r="H8025" s="63" t="str">
        <f>IFERROR(__xludf.DUMMYFUNCTION("VLOOKUP(F8025, IMPORTRANGE(""https://docs.google.com/spreadsheets/d/1Lhp9OU0JdFf_VYSMzH5lBcEaU4o8teT1piV-SNzShjg/edit?gid=554141278#gid=554141278"", ""'Char Def. - Attributes'!C20:C2242""), 1,false)"),"ITEM_NAME_COMM_ACCS")</f>
        <v>ITEM_NAME_COMM_ACCS</v>
      </c>
      <c r="I8025" s="136"/>
      <c r="R8025" s="63" t="str">
        <f t="shared" si="60"/>
        <v>ZSI1_COMM_ACCSITEM_NAME_COMM_ACCS</v>
      </c>
    </row>
    <row r="8026" ht="15.75" customHeight="1">
      <c r="B8026" s="63">
        <f t="shared" si="1"/>
        <v>14</v>
      </c>
      <c r="C8026" s="135" t="s">
        <v>367</v>
      </c>
      <c r="D8026" s="161" t="s">
        <v>74</v>
      </c>
      <c r="E8026" s="135">
        <f t="shared" si="61"/>
        <v>2</v>
      </c>
      <c r="F8026" s="134" t="s">
        <v>3779</v>
      </c>
      <c r="G8026" s="63" t="str">
        <f>VLOOKUP(C8026, 'Class Def. - General Data'!$C$20:$C$1000,1,false)</f>
        <v>ZSI1_COMM_ACCS</v>
      </c>
      <c r="H8026" s="63" t="str">
        <f>IFERROR(__xludf.DUMMYFUNCTION("VLOOKUP(F8026, IMPORTRANGE(""https://docs.google.com/spreadsheets/d/1Lhp9OU0JdFf_VYSMzH5lBcEaU4o8teT1piV-SNzShjg/edit?gid=554141278#gid=554141278"", ""'Char Def. - Attributes'!C20:C2242""), 1,false)"),"EMBOSSED_BRAND_WINGS")</f>
        <v>EMBOSSED_BRAND_WINGS</v>
      </c>
      <c r="I8026" s="136"/>
      <c r="R8026" s="63" t="str">
        <f t="shared" si="60"/>
        <v>ZSI1_COMM_ACCSEMBOSSED_BRAND_WINGS</v>
      </c>
    </row>
    <row r="8027" ht="15.75" customHeight="1">
      <c r="B8027" s="63">
        <f t="shared" si="1"/>
        <v>14</v>
      </c>
      <c r="C8027" s="135" t="s">
        <v>367</v>
      </c>
      <c r="D8027" s="161" t="s">
        <v>74</v>
      </c>
      <c r="E8027" s="135">
        <f t="shared" si="61"/>
        <v>3</v>
      </c>
      <c r="F8027" s="134" t="s">
        <v>3780</v>
      </c>
      <c r="G8027" s="63" t="str">
        <f>VLOOKUP(C8027, 'Class Def. - General Data'!$C$20:$C$1000,1,false)</f>
        <v>ZSI1_COMM_ACCS</v>
      </c>
      <c r="H8027" s="63" t="str">
        <f>IFERROR(__xludf.DUMMYFUNCTION("VLOOKUP(F8027, IMPORTRANGE(""https://docs.google.com/spreadsheets/d/1Lhp9OU0JdFf_VYSMzH5lBcEaU4o8teT1piV-SNzShjg/edit?gid=554141278#gid=554141278"", ""'Char Def. - Attributes'!C20:C2242""), 1,false)"),"BRAND_WINGS_SIPI")</f>
        <v>BRAND_WINGS_SIPI</v>
      </c>
      <c r="I8027" s="136"/>
      <c r="R8027" s="63" t="str">
        <f t="shared" si="60"/>
        <v>ZSI1_COMM_ACCSBRAND_WINGS_SIPI</v>
      </c>
    </row>
    <row r="8028" ht="15.75" customHeight="1">
      <c r="B8028" s="63">
        <f t="shared" si="1"/>
        <v>14</v>
      </c>
      <c r="C8028" s="135" t="s">
        <v>367</v>
      </c>
      <c r="D8028" s="161" t="s">
        <v>74</v>
      </c>
      <c r="E8028" s="135">
        <f t="shared" si="61"/>
        <v>4</v>
      </c>
      <c r="F8028" s="134" t="s">
        <v>3778</v>
      </c>
      <c r="G8028" s="63" t="str">
        <f>VLOOKUP(C8028, 'Class Def. - General Data'!$C$20:$C$1000,1,false)</f>
        <v>ZSI1_COMM_ACCS</v>
      </c>
      <c r="H8028" s="63" t="str">
        <f>IFERROR(__xludf.DUMMYFUNCTION("VLOOKUP(F8028, IMPORTRANGE(""https://docs.google.com/spreadsheets/d/1Lhp9OU0JdFf_VYSMzH5lBcEaU4o8teT1piV-SNzShjg/edit?gid=554141278#gid=554141278"", ""'Char Def. - Attributes'!C20:C2242""), 1,false)"),"SPECIAL_ACTIVITY")</f>
        <v>SPECIAL_ACTIVITY</v>
      </c>
      <c r="I8028" s="136"/>
      <c r="R8028" s="63" t="str">
        <f t="shared" si="60"/>
        <v>ZSI1_COMM_ACCSSPECIAL_ACTIVITY</v>
      </c>
    </row>
    <row r="8029" ht="15.75" customHeight="1">
      <c r="B8029" s="63">
        <f t="shared" si="1"/>
        <v>14</v>
      </c>
      <c r="C8029" s="135" t="s">
        <v>367</v>
      </c>
      <c r="D8029" s="161" t="s">
        <v>74</v>
      </c>
      <c r="E8029" s="135">
        <f t="shared" si="61"/>
        <v>5</v>
      </c>
      <c r="F8029" s="135" t="s">
        <v>3781</v>
      </c>
      <c r="G8029" s="63" t="str">
        <f>VLOOKUP(C8029, 'Class Def. - General Data'!$C$20:$C$1000,1,false)</f>
        <v>ZSI1_COMM_ACCS</v>
      </c>
      <c r="I8029" s="136"/>
      <c r="R8029" s="63" t="str">
        <f t="shared" si="60"/>
        <v>ZSI1_COMM_ACCSEXTERNAL_BRAND</v>
      </c>
    </row>
    <row r="8030" ht="15.75" customHeight="1">
      <c r="B8030" s="63">
        <f t="shared" si="1"/>
        <v>14</v>
      </c>
      <c r="C8030" s="135" t="s">
        <v>367</v>
      </c>
      <c r="D8030" s="161" t="s">
        <v>74</v>
      </c>
      <c r="E8030" s="135">
        <f t="shared" si="61"/>
        <v>6</v>
      </c>
      <c r="F8030" s="135" t="s">
        <v>3782</v>
      </c>
      <c r="G8030" s="63" t="str">
        <f>VLOOKUP(C8030, 'Class Def. - General Data'!$C$20:$C$1000,1,false)</f>
        <v>ZSI1_COMM_ACCS</v>
      </c>
      <c r="I8030" s="136"/>
      <c r="R8030" s="63" t="str">
        <f t="shared" si="60"/>
        <v>ZSI1_COMM_ACCSBRAND_EXTERNAL</v>
      </c>
    </row>
    <row r="8031" ht="15.75" customHeight="1">
      <c r="B8031" s="63">
        <f t="shared" si="1"/>
        <v>14</v>
      </c>
      <c r="C8031" s="135" t="s">
        <v>367</v>
      </c>
      <c r="D8031" s="161" t="s">
        <v>74</v>
      </c>
      <c r="E8031" s="135">
        <f t="shared" si="61"/>
        <v>7</v>
      </c>
      <c r="F8031" s="135" t="s">
        <v>4062</v>
      </c>
      <c r="G8031" s="63" t="str">
        <f>VLOOKUP(C8031, 'Class Def. - General Data'!$C$20:$C$1000,1,false)</f>
        <v>ZSI1_COMM_ACCS</v>
      </c>
      <c r="H8031" s="63" t="str">
        <f>IFERROR(__xludf.DUMMYFUNCTION("VLOOKUP(F8031, IMPORTRANGE(""https://docs.google.com/spreadsheets/d/1Lhp9OU0JdFf_VYSMzH5lBcEaU4o8teT1piV-SNzShjg/edit?gid=554141278#gid=554141278"", ""'Char Def. - Attributes'!C20:C2242""), 1,false)"),"#N/A")</f>
        <v>#N/A</v>
      </c>
      <c r="I8031" s="136"/>
      <c r="R8031" s="63" t="str">
        <f t="shared" si="60"/>
        <v>ZSI1_COMM_ACCSADDTIONAL_SPECIFICATION</v>
      </c>
    </row>
    <row r="8032" ht="15.75" customHeight="1">
      <c r="B8032" s="63">
        <f t="shared" si="1"/>
        <v>14</v>
      </c>
      <c r="C8032" s="135" t="s">
        <v>367</v>
      </c>
      <c r="D8032" s="161" t="s">
        <v>74</v>
      </c>
      <c r="E8032" s="135">
        <f t="shared" si="61"/>
        <v>8</v>
      </c>
      <c r="F8032" s="134" t="s">
        <v>3585</v>
      </c>
      <c r="G8032" s="63" t="str">
        <f>VLOOKUP(C8032, 'Class Def. - General Data'!$C$20:$C$1000,1,false)</f>
        <v>ZSI1_COMM_ACCS</v>
      </c>
      <c r="H8032" s="63" t="str">
        <f>IFERROR(__xludf.DUMMYFUNCTION("VLOOKUP(F8032, IMPORTRANGE(""https://docs.google.com/spreadsheets/d/1Lhp9OU0JdFf_VYSMzH5lBcEaU4o8teT1piV-SNzShjg/edit?gid=554141278#gid=554141278"", ""'Char Def. - Attributes'!C20:C2242""), 1,false)"),"HS_CODE")</f>
        <v>HS_CODE</v>
      </c>
      <c r="I8032" s="136"/>
      <c r="R8032" s="63" t="str">
        <f t="shared" si="60"/>
        <v>ZSI1_COMM_ACCSHS_CODE</v>
      </c>
    </row>
    <row r="8033" ht="15.75" customHeight="1">
      <c r="B8033" s="63">
        <f t="shared" si="1"/>
        <v>14</v>
      </c>
      <c r="C8033" s="135" t="s">
        <v>367</v>
      </c>
      <c r="D8033" s="161" t="s">
        <v>74</v>
      </c>
      <c r="E8033" s="135">
        <f t="shared" si="61"/>
        <v>9</v>
      </c>
      <c r="F8033" s="134" t="s">
        <v>3587</v>
      </c>
      <c r="G8033" s="63" t="str">
        <f>VLOOKUP(C8033, 'Class Def. - General Data'!$C$20:$C$1000,1,false)</f>
        <v>ZSI1_COMM_ACCS</v>
      </c>
      <c r="H8033" s="63" t="str">
        <f>IFERROR(__xludf.DUMMYFUNCTION("VLOOKUP(F8033, IMPORTRANGE(""https://docs.google.com/spreadsheets/d/1Lhp9OU0JdFf_VYSMzH5lBcEaU4o8teT1piV-SNzShjg/edit?gid=554141278#gid=554141278"", ""'Char Def. - Attributes'!C20:C2242""), 1,false)"),"PLANT_BUY")</f>
        <v>PLANT_BUY</v>
      </c>
      <c r="I8033" s="136"/>
      <c r="R8033" s="63" t="str">
        <f t="shared" si="60"/>
        <v>ZSI1_COMM_ACCSPLANT_BUY</v>
      </c>
    </row>
    <row r="8034" ht="15.75" customHeight="1">
      <c r="B8034" s="63">
        <f t="shared" si="1"/>
        <v>14</v>
      </c>
      <c r="C8034" s="135" t="s">
        <v>367</v>
      </c>
      <c r="D8034" s="161" t="s">
        <v>74</v>
      </c>
      <c r="E8034" s="135">
        <f t="shared" si="61"/>
        <v>10</v>
      </c>
      <c r="F8034" s="134" t="s">
        <v>4277</v>
      </c>
      <c r="G8034" s="63" t="str">
        <f>VLOOKUP(C8034, 'Class Def. - General Data'!$C$20:$C$1000,1,false)</f>
        <v>ZSI1_COMM_ACCS</v>
      </c>
      <c r="H8034" s="63" t="str">
        <f>IFERROR(__xludf.DUMMYFUNCTION("VLOOKUP(F8034, IMPORTRANGE(""https://docs.google.com/spreadsheets/d/1Lhp9OU0JdFf_VYSMzH5lBcEaU4o8teT1piV-SNzShjg/edit?gid=554141278#gid=554141278"", ""'Char Def. - Attributes'!C20:C2242""), 1,false)"),"BASE_UOM_COMM_ACCS")</f>
        <v>BASE_UOM_COMM_ACCS</v>
      </c>
      <c r="I8034" s="136"/>
      <c r="R8034" s="63" t="str">
        <f t="shared" si="60"/>
        <v>ZSI1_COMM_ACCSBASE_UOM_COMM_ACCS</v>
      </c>
    </row>
    <row r="8035" ht="15.75" customHeight="1">
      <c r="B8035" s="63">
        <f t="shared" si="1"/>
        <v>14</v>
      </c>
      <c r="C8035" s="135" t="s">
        <v>367</v>
      </c>
      <c r="D8035" s="161" t="s">
        <v>74</v>
      </c>
      <c r="E8035" s="135">
        <f t="shared" si="61"/>
        <v>11</v>
      </c>
      <c r="F8035" s="134" t="s">
        <v>4278</v>
      </c>
      <c r="G8035" s="63" t="str">
        <f>VLOOKUP(C8035, 'Class Def. - General Data'!$C$20:$C$1000,1,false)</f>
        <v>ZSI1_COMM_ACCS</v>
      </c>
      <c r="H8035" s="63" t="str">
        <f>IFERROR(__xludf.DUMMYFUNCTION("VLOOKUP(F8035, IMPORTRANGE(""https://docs.google.com/spreadsheets/d/1Lhp9OU0JdFf_VYSMzH5lBcEaU4o8teT1piV-SNzShjg/edit?gid=554141278#gid=554141278"", ""'Char Def. - Attributes'!C20:C2242""), 1,false)"),"ORDER_UNIT_COMM_ACCS")</f>
        <v>ORDER_UNIT_COMM_ACCS</v>
      </c>
      <c r="I8035" s="136"/>
      <c r="R8035" s="63" t="str">
        <f t="shared" si="60"/>
        <v>ZSI1_COMM_ACCSORDER_UNIT_COMM_ACCS</v>
      </c>
    </row>
    <row r="8036" ht="15.75" customHeight="1">
      <c r="B8036" s="63">
        <f t="shared" si="1"/>
        <v>14</v>
      </c>
      <c r="C8036" s="135" t="s">
        <v>367</v>
      </c>
      <c r="D8036" s="161" t="s">
        <v>74</v>
      </c>
      <c r="E8036" s="135">
        <f t="shared" si="61"/>
        <v>12</v>
      </c>
      <c r="F8036" s="134" t="s">
        <v>4056</v>
      </c>
      <c r="G8036" s="63" t="str">
        <f>VLOOKUP(C8036, 'Class Def. - General Data'!$C$20:$C$1000,1,false)</f>
        <v>ZSI1_COMM_ACCS</v>
      </c>
      <c r="H8036" s="63" t="str">
        <f>IFERROR(__xludf.DUMMYFUNCTION("VLOOKUP(F8036, IMPORTRANGE(""https://docs.google.com/spreadsheets/d/1Lhp9OU0JdFf_VYSMzH5lBcEaU4o8teT1piV-SNzShjg/edit?gid=554141278#gid=554141278"", ""'Char Def. - Attributes'!C20:C2242""), 1,false)"),"GROSS_WEIGHT_OPT")</f>
        <v>GROSS_WEIGHT_OPT</v>
      </c>
      <c r="I8036" s="136"/>
      <c r="R8036" s="63" t="str">
        <f t="shared" si="60"/>
        <v>ZSI1_COMM_ACCSGROSS_WEIGHT_OPT</v>
      </c>
    </row>
    <row r="8037" ht="15.75" customHeight="1">
      <c r="B8037" s="63">
        <f t="shared" si="1"/>
        <v>14</v>
      </c>
      <c r="C8037" s="135" t="s">
        <v>367</v>
      </c>
      <c r="D8037" s="161" t="s">
        <v>74</v>
      </c>
      <c r="E8037" s="135">
        <f t="shared" si="61"/>
        <v>13</v>
      </c>
      <c r="F8037" s="134" t="s">
        <v>4057</v>
      </c>
      <c r="G8037" s="63" t="str">
        <f>VLOOKUP(C8037, 'Class Def. - General Data'!$C$20:$C$1000,1,false)</f>
        <v>ZSI1_COMM_ACCS</v>
      </c>
      <c r="H8037" s="63" t="str">
        <f>IFERROR(__xludf.DUMMYFUNCTION("VLOOKUP(F8037, IMPORTRANGE(""https://docs.google.com/spreadsheets/d/1Lhp9OU0JdFf_VYSMzH5lBcEaU4o8teT1piV-SNzShjg/edit?gid=554141278#gid=554141278"", ""'Char Def. - Attributes'!C20:C2242""), 1,false)"),"NET_WEIGHT_OPT")</f>
        <v>NET_WEIGHT_OPT</v>
      </c>
      <c r="I8037" s="136"/>
      <c r="R8037" s="63" t="str">
        <f t="shared" si="60"/>
        <v>ZSI1_COMM_ACCSNET_WEIGHT_OPT</v>
      </c>
    </row>
    <row r="8038" ht="15.75" customHeight="1">
      <c r="B8038" s="63">
        <f t="shared" si="1"/>
        <v>14</v>
      </c>
      <c r="C8038" s="135" t="s">
        <v>367</v>
      </c>
      <c r="D8038" s="161" t="s">
        <v>74</v>
      </c>
      <c r="E8038" s="135">
        <f t="shared" si="61"/>
        <v>14</v>
      </c>
      <c r="F8038" s="134" t="s">
        <v>4058</v>
      </c>
      <c r="G8038" s="63" t="str">
        <f>VLOOKUP(C8038, 'Class Def. - General Data'!$C$20:$C$1000,1,false)</f>
        <v>ZSI1_COMM_ACCS</v>
      </c>
      <c r="H8038" s="63" t="str">
        <f>IFERROR(__xludf.DUMMYFUNCTION("VLOOKUP(F8038, IMPORTRANGE(""https://docs.google.com/spreadsheets/d/1Lhp9OU0JdFf_VYSMzH5lBcEaU4o8teT1piV-SNzShjg/edit?gid=554141278#gid=554141278"", ""'Char Def. - Attributes'!C20:C2242""), 1,false)"),"WEIGHT_UNIT_SI")</f>
        <v>WEIGHT_UNIT_SI</v>
      </c>
      <c r="I8038" s="136"/>
      <c r="R8038" s="63" t="str">
        <f t="shared" si="60"/>
        <v>ZSI1_COMM_ACCSWEIGHT_UNIT_SI</v>
      </c>
    </row>
    <row r="8039" ht="15.75" customHeight="1">
      <c r="B8039" s="63">
        <f t="shared" si="1"/>
        <v>14</v>
      </c>
      <c r="C8039" s="135" t="s">
        <v>367</v>
      </c>
      <c r="D8039" s="161" t="s">
        <v>74</v>
      </c>
      <c r="E8039" s="135">
        <f t="shared" si="61"/>
        <v>15</v>
      </c>
      <c r="F8039" s="134" t="s">
        <v>3877</v>
      </c>
      <c r="G8039" s="63" t="str">
        <f>VLOOKUP(C8039, 'Class Def. - General Data'!$C$20:$C$1000,1,false)</f>
        <v>ZSI1_COMM_ACCS</v>
      </c>
      <c r="H8039" s="63" t="str">
        <f>IFERROR(__xludf.DUMMYFUNCTION("VLOOKUP(F8039, IMPORTRANGE(""https://docs.google.com/spreadsheets/d/1Lhp9OU0JdFf_VYSMzH5lBcEaU4o8teT1piV-SNzShjg/edit?gid=554141278#gid=554141278"", ""'Char Def. - Attributes'!C20:C2242""), 1,false)"),"VOLUME_OPT")</f>
        <v>VOLUME_OPT</v>
      </c>
      <c r="I8039" s="136"/>
      <c r="R8039" s="63" t="str">
        <f t="shared" si="60"/>
        <v>ZSI1_COMM_ACCSVOLUME_OPT</v>
      </c>
    </row>
    <row r="8040" ht="15.75" customHeight="1">
      <c r="B8040" s="63">
        <f t="shared" si="1"/>
        <v>14</v>
      </c>
      <c r="C8040" s="135" t="s">
        <v>367</v>
      </c>
      <c r="D8040" s="161" t="s">
        <v>74</v>
      </c>
      <c r="E8040" s="135">
        <f t="shared" si="61"/>
        <v>16</v>
      </c>
      <c r="F8040" s="134" t="s">
        <v>4059</v>
      </c>
      <c r="G8040" s="63" t="str">
        <f>VLOOKUP(C8040, 'Class Def. - General Data'!$C$20:$C$1000,1,false)</f>
        <v>ZSI1_COMM_ACCS</v>
      </c>
      <c r="H8040" s="63" t="str">
        <f>IFERROR(__xludf.DUMMYFUNCTION("VLOOKUP(F8040, IMPORTRANGE(""https://docs.google.com/spreadsheets/d/1Lhp9OU0JdFf_VYSMzH5lBcEaU4o8teT1piV-SNzShjg/edit?gid=554141278#gid=554141278"", ""'Char Def. - Attributes'!C20:C2242""), 1,false)"),"VOLUME_UNIT_SI")</f>
        <v>VOLUME_UNIT_SI</v>
      </c>
      <c r="I8040" s="136"/>
      <c r="R8040" s="63" t="str">
        <f t="shared" si="60"/>
        <v>ZSI1_COMM_ACCSVOLUME_UNIT_SI</v>
      </c>
    </row>
    <row r="8041" ht="15.75" customHeight="1">
      <c r="B8041" s="63">
        <f t="shared" si="1"/>
        <v>14</v>
      </c>
      <c r="C8041" s="135" t="s">
        <v>367</v>
      </c>
      <c r="D8041" s="161" t="s">
        <v>74</v>
      </c>
      <c r="E8041" s="135">
        <f t="shared" si="61"/>
        <v>17</v>
      </c>
      <c r="F8041" s="134" t="s">
        <v>3804</v>
      </c>
      <c r="G8041" s="63" t="str">
        <f>VLOOKUP(C8041, 'Class Def. - General Data'!$C$20:$C$1000,1,false)</f>
        <v>ZSI1_COMM_ACCS</v>
      </c>
      <c r="H8041" s="63" t="str">
        <f>IFERROR(__xludf.DUMMYFUNCTION("VLOOKUP(F8041, IMPORTRANGE(""https://docs.google.com/spreadsheets/d/1Lhp9OU0JdFf_VYSMzH5lBcEaU4o8teT1piV-SNzShjg/edit?gid=554141278#gid=554141278"", ""'Char Def. - Attributes'!C20:C2242""), 1,false)"),"ALT_UOM1_SIPI")</f>
        <v>ALT_UOM1_SIPI</v>
      </c>
      <c r="I8041" s="136"/>
      <c r="R8041" s="63" t="str">
        <f t="shared" si="60"/>
        <v>ZSI1_COMM_ACCSALT_UOM1_SIPI</v>
      </c>
    </row>
    <row r="8042" ht="15.75" customHeight="1">
      <c r="B8042" s="63">
        <f t="shared" si="1"/>
        <v>14</v>
      </c>
      <c r="C8042" s="135" t="s">
        <v>367</v>
      </c>
      <c r="D8042" s="161" t="s">
        <v>74</v>
      </c>
      <c r="E8042" s="135">
        <f t="shared" si="61"/>
        <v>18</v>
      </c>
      <c r="F8042" s="134" t="s">
        <v>3805</v>
      </c>
      <c r="G8042" s="63" t="str">
        <f>VLOOKUP(C8042, 'Class Def. - General Data'!$C$20:$C$1000,1,false)</f>
        <v>ZSI1_COMM_ACCS</v>
      </c>
      <c r="H8042" s="63" t="str">
        <f>IFERROR(__xludf.DUMMYFUNCTION("VLOOKUP(F8042, IMPORTRANGE(""https://docs.google.com/spreadsheets/d/1Lhp9OU0JdFf_VYSMzH5lBcEaU4o8teT1piV-SNzShjg/edit?gid=554141278#gid=554141278"", ""'Char Def. - Attributes'!C20:C2242""), 1,false)"),"ALT_DENUM_UOM1")</f>
        <v>ALT_DENUM_UOM1</v>
      </c>
      <c r="I8042" s="136"/>
      <c r="R8042" s="63" t="str">
        <f t="shared" si="60"/>
        <v>ZSI1_COMM_ACCSALT_DENUM_UOM1</v>
      </c>
    </row>
    <row r="8043" ht="15.75" customHeight="1">
      <c r="B8043" s="63">
        <f t="shared" si="1"/>
        <v>14</v>
      </c>
      <c r="C8043" s="135" t="s">
        <v>367</v>
      </c>
      <c r="D8043" s="161" t="s">
        <v>74</v>
      </c>
      <c r="E8043" s="135">
        <f t="shared" si="61"/>
        <v>19</v>
      </c>
      <c r="F8043" s="134" t="s">
        <v>3806</v>
      </c>
      <c r="G8043" s="63" t="str">
        <f>VLOOKUP(C8043, 'Class Def. - General Data'!$C$20:$C$1000,1,false)</f>
        <v>ZSI1_COMM_ACCS</v>
      </c>
      <c r="H8043" s="63" t="str">
        <f>IFERROR(__xludf.DUMMYFUNCTION("VLOOKUP(F8043, IMPORTRANGE(""https://docs.google.com/spreadsheets/d/1Lhp9OU0JdFf_VYSMzH5lBcEaU4o8teT1piV-SNzShjg/edit?gid=554141278#gid=554141278"", ""'Char Def. - Attributes'!C20:C2242""), 1,false)"),"ALT_NUM_UOM1")</f>
        <v>ALT_NUM_UOM1</v>
      </c>
      <c r="I8043" s="136"/>
      <c r="R8043" s="63" t="str">
        <f t="shared" si="60"/>
        <v>ZSI1_COMM_ACCSALT_NUM_UOM1</v>
      </c>
    </row>
    <row r="8044" ht="15.75" customHeight="1">
      <c r="B8044" s="63">
        <f t="shared" si="1"/>
        <v>14</v>
      </c>
      <c r="C8044" s="135" t="s">
        <v>367</v>
      </c>
      <c r="D8044" s="161" t="s">
        <v>74</v>
      </c>
      <c r="E8044" s="135">
        <f t="shared" si="61"/>
        <v>20</v>
      </c>
      <c r="F8044" s="134" t="s">
        <v>3807</v>
      </c>
      <c r="G8044" s="63" t="str">
        <f>VLOOKUP(C8044, 'Class Def. - General Data'!$C$20:$C$1000,1,false)</f>
        <v>ZSI1_COMM_ACCS</v>
      </c>
      <c r="H8044" s="63" t="str">
        <f>IFERROR(__xludf.DUMMYFUNCTION("VLOOKUP(F8044, IMPORTRANGE(""https://docs.google.com/spreadsheets/d/1Lhp9OU0JdFf_VYSMzH5lBcEaU4o8teT1piV-SNzShjg/edit?gid=554141278#gid=554141278"", ""'Char Def. - Attributes'!C20:C2242""), 1,false)"),"ALT_UOM2_SIPI")</f>
        <v>ALT_UOM2_SIPI</v>
      </c>
      <c r="I8044" s="136"/>
      <c r="R8044" s="63" t="str">
        <f t="shared" si="60"/>
        <v>ZSI1_COMM_ACCSALT_UOM2_SIPI</v>
      </c>
    </row>
    <row r="8045" ht="15.75" customHeight="1">
      <c r="B8045" s="63">
        <f t="shared" si="1"/>
        <v>14</v>
      </c>
      <c r="C8045" s="135" t="s">
        <v>367</v>
      </c>
      <c r="D8045" s="161" t="s">
        <v>74</v>
      </c>
      <c r="E8045" s="135">
        <f t="shared" si="61"/>
        <v>21</v>
      </c>
      <c r="F8045" s="134" t="s">
        <v>3808</v>
      </c>
      <c r="G8045" s="63" t="str">
        <f>VLOOKUP(C8045, 'Class Def. - General Data'!$C$20:$C$1000,1,false)</f>
        <v>ZSI1_COMM_ACCS</v>
      </c>
      <c r="H8045" s="63" t="str">
        <f>IFERROR(__xludf.DUMMYFUNCTION("VLOOKUP(F8045, IMPORTRANGE(""https://docs.google.com/spreadsheets/d/1Lhp9OU0JdFf_VYSMzH5lBcEaU4o8teT1piV-SNzShjg/edit?gid=554141278#gid=554141278"", ""'Char Def. - Attributes'!C20:C2242""), 1,false)"),"ALT_DENUM_UOM2")</f>
        <v>ALT_DENUM_UOM2</v>
      </c>
      <c r="I8045" s="136"/>
      <c r="R8045" s="63" t="str">
        <f t="shared" si="60"/>
        <v>ZSI1_COMM_ACCSALT_DENUM_UOM2</v>
      </c>
    </row>
    <row r="8046" ht="15.75" customHeight="1">
      <c r="B8046" s="63">
        <f t="shared" si="1"/>
        <v>14</v>
      </c>
      <c r="C8046" s="135" t="s">
        <v>367</v>
      </c>
      <c r="D8046" s="161" t="s">
        <v>74</v>
      </c>
      <c r="E8046" s="135">
        <f t="shared" si="61"/>
        <v>22</v>
      </c>
      <c r="F8046" s="134" t="s">
        <v>3809</v>
      </c>
      <c r="G8046" s="63" t="str">
        <f>VLOOKUP(C8046, 'Class Def. - General Data'!$C$20:$C$1000,1,false)</f>
        <v>ZSI1_COMM_ACCS</v>
      </c>
      <c r="H8046" s="63" t="str">
        <f>IFERROR(__xludf.DUMMYFUNCTION("VLOOKUP(F8046, IMPORTRANGE(""https://docs.google.com/spreadsheets/d/1Lhp9OU0JdFf_VYSMzH5lBcEaU4o8teT1piV-SNzShjg/edit?gid=554141278#gid=554141278"", ""'Char Def. - Attributes'!C20:C2242""), 1,false)"),"ALT_NUM_UOM2")</f>
        <v>ALT_NUM_UOM2</v>
      </c>
      <c r="I8046" s="136"/>
      <c r="R8046" s="63" t="str">
        <f t="shared" si="60"/>
        <v>ZSI1_COMM_ACCSALT_NUM_UOM2</v>
      </c>
    </row>
    <row r="8047" ht="15.75" customHeight="1">
      <c r="B8047" s="63">
        <f t="shared" si="1"/>
        <v>14</v>
      </c>
      <c r="C8047" s="135" t="s">
        <v>367</v>
      </c>
      <c r="D8047" s="161" t="s">
        <v>74</v>
      </c>
      <c r="E8047" s="135">
        <f t="shared" si="61"/>
        <v>23</v>
      </c>
      <c r="F8047" s="134" t="s">
        <v>3810</v>
      </c>
      <c r="G8047" s="63" t="str">
        <f>VLOOKUP(C8047, 'Class Def. - General Data'!$C$20:$C$1000,1,false)</f>
        <v>ZSI1_COMM_ACCS</v>
      </c>
      <c r="H8047" s="63" t="str">
        <f>IFERROR(__xludf.DUMMYFUNCTION("VLOOKUP(F8047, IMPORTRANGE(""https://docs.google.com/spreadsheets/d/1Lhp9OU0JdFf_VYSMzH5lBcEaU4o8teT1piV-SNzShjg/edit?gid=554141278#gid=554141278"", ""'Char Def. - Attributes'!C20:C2242""), 1,false)"),"ALT_UOM3_SIPI")</f>
        <v>ALT_UOM3_SIPI</v>
      </c>
      <c r="I8047" s="136"/>
      <c r="R8047" s="63" t="str">
        <f t="shared" si="60"/>
        <v>ZSI1_COMM_ACCSALT_UOM3_SIPI</v>
      </c>
    </row>
    <row r="8048" ht="15.75" customHeight="1">
      <c r="B8048" s="63">
        <f t="shared" si="1"/>
        <v>14</v>
      </c>
      <c r="C8048" s="135" t="s">
        <v>367</v>
      </c>
      <c r="D8048" s="161" t="s">
        <v>74</v>
      </c>
      <c r="E8048" s="135">
        <f t="shared" si="61"/>
        <v>24</v>
      </c>
      <c r="F8048" s="134" t="s">
        <v>3811</v>
      </c>
      <c r="G8048" s="63" t="str">
        <f>VLOOKUP(C8048, 'Class Def. - General Data'!$C$20:$C$1000,1,false)</f>
        <v>ZSI1_COMM_ACCS</v>
      </c>
      <c r="H8048" s="63" t="str">
        <f>IFERROR(__xludf.DUMMYFUNCTION("VLOOKUP(F8048, IMPORTRANGE(""https://docs.google.com/spreadsheets/d/1Lhp9OU0JdFf_VYSMzH5lBcEaU4o8teT1piV-SNzShjg/edit?gid=554141278#gid=554141278"", ""'Char Def. - Attributes'!C20:C2242""), 1,false)"),"ALT_DENUM_UOM3")</f>
        <v>ALT_DENUM_UOM3</v>
      </c>
      <c r="I8048" s="136"/>
      <c r="R8048" s="63" t="str">
        <f t="shared" si="60"/>
        <v>ZSI1_COMM_ACCSALT_DENUM_UOM3</v>
      </c>
    </row>
    <row r="8049" ht="15.75" customHeight="1">
      <c r="B8049" s="63">
        <f t="shared" si="1"/>
        <v>14</v>
      </c>
      <c r="C8049" s="135" t="s">
        <v>367</v>
      </c>
      <c r="D8049" s="161" t="s">
        <v>74</v>
      </c>
      <c r="E8049" s="135">
        <f t="shared" si="61"/>
        <v>25</v>
      </c>
      <c r="F8049" s="134" t="s">
        <v>3812</v>
      </c>
      <c r="G8049" s="63" t="str">
        <f>VLOOKUP(C8049, 'Class Def. - General Data'!$C$20:$C$1000,1,false)</f>
        <v>ZSI1_COMM_ACCS</v>
      </c>
      <c r="H8049" s="63" t="str">
        <f>IFERROR(__xludf.DUMMYFUNCTION("VLOOKUP(F8049, IMPORTRANGE(""https://docs.google.com/spreadsheets/d/1Lhp9OU0JdFf_VYSMzH5lBcEaU4o8teT1piV-SNzShjg/edit?gid=554141278#gid=554141278"", ""'Char Def. - Attributes'!C20:C2242""), 1,false)"),"ALT_NUM_UOM3")</f>
        <v>ALT_NUM_UOM3</v>
      </c>
      <c r="I8049" s="136"/>
      <c r="R8049" s="63" t="str">
        <f t="shared" si="60"/>
        <v>ZSI1_COMM_ACCSALT_NUM_UOM3</v>
      </c>
    </row>
    <row r="8050" ht="15.75" customHeight="1">
      <c r="B8050" s="63">
        <f t="shared" si="1"/>
        <v>14</v>
      </c>
      <c r="C8050" s="135" t="s">
        <v>367</v>
      </c>
      <c r="D8050" s="161" t="s">
        <v>74</v>
      </c>
      <c r="E8050" s="135">
        <f t="shared" si="61"/>
        <v>26</v>
      </c>
      <c r="F8050" s="134" t="s">
        <v>3813</v>
      </c>
      <c r="G8050" s="63" t="str">
        <f>VLOOKUP(C8050, 'Class Def. - General Data'!$C$20:$C$1000,1,false)</f>
        <v>ZSI1_COMM_ACCS</v>
      </c>
      <c r="H8050" s="63" t="str">
        <f>IFERROR(__xludf.DUMMYFUNCTION("VLOOKUP(F8050, IMPORTRANGE(""https://docs.google.com/spreadsheets/d/1Lhp9OU0JdFf_VYSMzH5lBcEaU4o8teT1piV-SNzShjg/edit?gid=554141278#gid=554141278"", ""'Char Def. - Attributes'!C20:C2242""), 1,false)"),"ALT_UOM4_SIPI")</f>
        <v>ALT_UOM4_SIPI</v>
      </c>
      <c r="I8050" s="136"/>
      <c r="R8050" s="63" t="str">
        <f t="shared" si="60"/>
        <v>ZSI1_COMM_ACCSALT_UOM4_SIPI</v>
      </c>
    </row>
    <row r="8051" ht="15.75" customHeight="1">
      <c r="B8051" s="63">
        <f t="shared" si="1"/>
        <v>14</v>
      </c>
      <c r="C8051" s="135" t="s">
        <v>367</v>
      </c>
      <c r="D8051" s="161" t="s">
        <v>74</v>
      </c>
      <c r="E8051" s="135">
        <f t="shared" si="61"/>
        <v>27</v>
      </c>
      <c r="F8051" s="134" t="s">
        <v>3814</v>
      </c>
      <c r="G8051" s="63" t="str">
        <f>VLOOKUP(C8051, 'Class Def. - General Data'!$C$20:$C$1000,1,false)</f>
        <v>ZSI1_COMM_ACCS</v>
      </c>
      <c r="H8051" s="63" t="str">
        <f>IFERROR(__xludf.DUMMYFUNCTION("VLOOKUP(F8051, IMPORTRANGE(""https://docs.google.com/spreadsheets/d/1Lhp9OU0JdFf_VYSMzH5lBcEaU4o8teT1piV-SNzShjg/edit?gid=554141278#gid=554141278"", ""'Char Def. - Attributes'!C20:C2242""), 1,false)"),"ALT_DENUM_UOM4")</f>
        <v>ALT_DENUM_UOM4</v>
      </c>
      <c r="I8051" s="136"/>
      <c r="R8051" s="63" t="str">
        <f t="shared" si="60"/>
        <v>ZSI1_COMM_ACCSALT_DENUM_UOM4</v>
      </c>
    </row>
    <row r="8052" ht="15.75" customHeight="1">
      <c r="B8052" s="63">
        <f t="shared" si="1"/>
        <v>14</v>
      </c>
      <c r="C8052" s="135" t="s">
        <v>367</v>
      </c>
      <c r="D8052" s="161" t="s">
        <v>74</v>
      </c>
      <c r="E8052" s="135">
        <f t="shared" si="61"/>
        <v>28</v>
      </c>
      <c r="F8052" s="134" t="s">
        <v>3815</v>
      </c>
      <c r="G8052" s="63" t="str">
        <f>VLOOKUP(C8052, 'Class Def. - General Data'!$C$20:$C$1000,1,false)</f>
        <v>ZSI1_COMM_ACCS</v>
      </c>
      <c r="H8052" s="63" t="str">
        <f>IFERROR(__xludf.DUMMYFUNCTION("VLOOKUP(F8052, IMPORTRANGE(""https://docs.google.com/spreadsheets/d/1Lhp9OU0JdFf_VYSMzH5lBcEaU4o8teT1piV-SNzShjg/edit?gid=554141278#gid=554141278"", ""'Char Def. - Attributes'!C20:C2242""), 1,false)"),"ALT_NUM_UOM4")</f>
        <v>ALT_NUM_UOM4</v>
      </c>
      <c r="I8052" s="136"/>
      <c r="R8052" s="63" t="str">
        <f t="shared" si="60"/>
        <v>ZSI1_COMM_ACCSALT_NUM_UOM4</v>
      </c>
    </row>
    <row r="8053" ht="15.75" customHeight="1">
      <c r="B8053" s="63">
        <f t="shared" si="1"/>
        <v>14</v>
      </c>
      <c r="C8053" s="135" t="s">
        <v>367</v>
      </c>
      <c r="D8053" s="161" t="s">
        <v>74</v>
      </c>
      <c r="E8053" s="135">
        <f t="shared" si="61"/>
        <v>29</v>
      </c>
      <c r="F8053" s="134" t="s">
        <v>3816</v>
      </c>
      <c r="G8053" s="63" t="str">
        <f>VLOOKUP(C8053, 'Class Def. - General Data'!$C$20:$C$1000,1,false)</f>
        <v>ZSI1_COMM_ACCS</v>
      </c>
      <c r="H8053" s="63" t="str">
        <f>IFERROR(__xludf.DUMMYFUNCTION("VLOOKUP(F8053, IMPORTRANGE(""https://docs.google.com/spreadsheets/d/1Lhp9OU0JdFf_VYSMzH5lBcEaU4o8teT1piV-SNzShjg/edit?gid=554141278#gid=554141278"", ""'Char Def. - Attributes'!C20:C2242""), 1,false)"),"ALT_UOM5_SIPI")</f>
        <v>ALT_UOM5_SIPI</v>
      </c>
      <c r="I8053" s="136"/>
      <c r="R8053" s="63" t="str">
        <f t="shared" si="60"/>
        <v>ZSI1_COMM_ACCSALT_UOM5_SIPI</v>
      </c>
    </row>
    <row r="8054" ht="15.75" customHeight="1">
      <c r="B8054" s="63">
        <f t="shared" si="1"/>
        <v>14</v>
      </c>
      <c r="C8054" s="135" t="s">
        <v>367</v>
      </c>
      <c r="D8054" s="161" t="s">
        <v>74</v>
      </c>
      <c r="E8054" s="135">
        <f t="shared" si="61"/>
        <v>30</v>
      </c>
      <c r="F8054" s="134" t="s">
        <v>3817</v>
      </c>
      <c r="G8054" s="63" t="str">
        <f>VLOOKUP(C8054, 'Class Def. - General Data'!$C$20:$C$1000,1,false)</f>
        <v>ZSI1_COMM_ACCS</v>
      </c>
      <c r="H8054" s="63" t="str">
        <f>IFERROR(__xludf.DUMMYFUNCTION("VLOOKUP(F8054, IMPORTRANGE(""https://docs.google.com/spreadsheets/d/1Lhp9OU0JdFf_VYSMzH5lBcEaU4o8teT1piV-SNzShjg/edit?gid=554141278#gid=554141278"", ""'Char Def. - Attributes'!C20:C2242""), 1,false)"),"ALT_DENUM_UOM5")</f>
        <v>ALT_DENUM_UOM5</v>
      </c>
      <c r="I8054" s="136"/>
      <c r="R8054" s="63" t="str">
        <f t="shared" si="60"/>
        <v>ZSI1_COMM_ACCSALT_DENUM_UOM5</v>
      </c>
    </row>
    <row r="8055" ht="15.75" customHeight="1">
      <c r="B8055" s="63">
        <f t="shared" si="1"/>
        <v>14</v>
      </c>
      <c r="C8055" s="135" t="s">
        <v>367</v>
      </c>
      <c r="D8055" s="161" t="s">
        <v>74</v>
      </c>
      <c r="E8055" s="135">
        <f t="shared" si="61"/>
        <v>31</v>
      </c>
      <c r="F8055" s="134" t="s">
        <v>3818</v>
      </c>
      <c r="G8055" s="63" t="str">
        <f>VLOOKUP(C8055, 'Class Def. - General Data'!$C$20:$C$1000,1,false)</f>
        <v>ZSI1_COMM_ACCS</v>
      </c>
      <c r="H8055" s="63" t="str">
        <f>IFERROR(__xludf.DUMMYFUNCTION("VLOOKUP(F8055, IMPORTRANGE(""https://docs.google.com/spreadsheets/d/1Lhp9OU0JdFf_VYSMzH5lBcEaU4o8teT1piV-SNzShjg/edit?gid=554141278#gid=554141278"", ""'Char Def. - Attributes'!C20:C2242""), 1,false)"),"ALT_NUM_UOM5")</f>
        <v>ALT_NUM_UOM5</v>
      </c>
      <c r="I8055" s="136"/>
      <c r="R8055" s="63" t="str">
        <f t="shared" si="60"/>
        <v>ZSI1_COMM_ACCSALT_NUM_UOM5</v>
      </c>
    </row>
    <row r="8056" ht="15.75" customHeight="1">
      <c r="B8056" s="63">
        <f t="shared" si="1"/>
        <v>16</v>
      </c>
      <c r="C8056" s="135" t="s">
        <v>368</v>
      </c>
      <c r="D8056" s="161" t="s">
        <v>74</v>
      </c>
      <c r="E8056" s="135">
        <f t="shared" si="61"/>
        <v>1</v>
      </c>
      <c r="F8056" s="134" t="s">
        <v>4279</v>
      </c>
      <c r="G8056" s="63" t="str">
        <f>VLOOKUP(C8056, 'Class Def. - General Data'!$C$20:$C$1000,1,false)</f>
        <v>ZSI1_COMM_DEVICE</v>
      </c>
      <c r="H8056" s="63" t="str">
        <f>IFERROR(__xludf.DUMMYFUNCTION("VLOOKUP(F8056, IMPORTRANGE(""https://docs.google.com/spreadsheets/d/1Lhp9OU0JdFf_VYSMzH5lBcEaU4o8teT1piV-SNzShjg/edit?gid=554141278#gid=554141278"", ""'Char Def. - Attributes'!C20:C2242""), 1,false)"),"ITEM_NAME_COMM_DEVICE")</f>
        <v>ITEM_NAME_COMM_DEVICE</v>
      </c>
      <c r="I8056" s="136"/>
      <c r="R8056" s="63" t="str">
        <f t="shared" si="60"/>
        <v>ZSI1_COMM_DEVICEITEM_NAME_COMM_DEVICE</v>
      </c>
    </row>
    <row r="8057" ht="15.75" customHeight="1">
      <c r="B8057" s="63">
        <f t="shared" si="1"/>
        <v>16</v>
      </c>
      <c r="C8057" s="135" t="s">
        <v>368</v>
      </c>
      <c r="D8057" s="161" t="s">
        <v>74</v>
      </c>
      <c r="E8057" s="135">
        <f t="shared" si="61"/>
        <v>2</v>
      </c>
      <c r="F8057" s="134" t="s">
        <v>3782</v>
      </c>
      <c r="G8057" s="63" t="str">
        <f>VLOOKUP(C8057, 'Class Def. - General Data'!$C$20:$C$1000,1,false)</f>
        <v>ZSI1_COMM_DEVICE</v>
      </c>
      <c r="H8057" s="63" t="str">
        <f>IFERROR(__xludf.DUMMYFUNCTION("VLOOKUP(F8057, IMPORTRANGE(""https://docs.google.com/spreadsheets/d/1Lhp9OU0JdFf_VYSMzH5lBcEaU4o8teT1piV-SNzShjg/edit?gid=554141278#gid=554141278"", ""'Char Def. - Attributes'!C20:C2242""), 1,false)"),"BRAND_EXTERNAL")</f>
        <v>BRAND_EXTERNAL</v>
      </c>
      <c r="I8057" s="136"/>
      <c r="R8057" s="63" t="str">
        <f t="shared" si="60"/>
        <v>ZSI1_COMM_DEVICEBRAND_EXTERNAL</v>
      </c>
    </row>
    <row r="8058" ht="15.75" customHeight="1">
      <c r="B8058" s="63">
        <f t="shared" si="1"/>
        <v>16</v>
      </c>
      <c r="C8058" s="135" t="s">
        <v>368</v>
      </c>
      <c r="D8058" s="161" t="s">
        <v>74</v>
      </c>
      <c r="E8058" s="135">
        <f t="shared" si="61"/>
        <v>3</v>
      </c>
      <c r="F8058" s="134" t="s">
        <v>4280</v>
      </c>
      <c r="G8058" s="63" t="str">
        <f>VLOOKUP(C8058, 'Class Def. - General Data'!$C$20:$C$1000,1,false)</f>
        <v>ZSI1_COMM_DEVICE</v>
      </c>
      <c r="H8058" s="63" t="str">
        <f>IFERROR(__xludf.DUMMYFUNCTION("VLOOKUP(F8058, IMPORTRANGE(""https://docs.google.com/spreadsheets/d/1Lhp9OU0JdFf_VYSMzH5lBcEaU4o8teT1piV-SNzShjg/edit?gid=554141278#gid=554141278"", ""'Char Def. - Attributes'!C20:C2242""), 1,false)"),"SERIES_COMM_DEVICE")</f>
        <v>SERIES_COMM_DEVICE</v>
      </c>
      <c r="I8058" s="136"/>
      <c r="R8058" s="63" t="str">
        <f t="shared" si="60"/>
        <v>ZSI1_COMM_DEVICESERIES_COMM_DEVICE</v>
      </c>
    </row>
    <row r="8059" ht="15.75" customHeight="1">
      <c r="B8059" s="63">
        <f t="shared" si="1"/>
        <v>16</v>
      </c>
      <c r="C8059" s="135" t="s">
        <v>368</v>
      </c>
      <c r="D8059" s="161" t="s">
        <v>74</v>
      </c>
      <c r="E8059" s="135">
        <f t="shared" si="61"/>
        <v>4</v>
      </c>
      <c r="F8059" s="134" t="s">
        <v>3779</v>
      </c>
      <c r="G8059" s="63" t="str">
        <f>VLOOKUP(C8059, 'Class Def. - General Data'!$C$20:$C$1000,1,false)</f>
        <v>ZSI1_COMM_DEVICE</v>
      </c>
      <c r="H8059" s="63" t="str">
        <f>IFERROR(__xludf.DUMMYFUNCTION("VLOOKUP(F8059, IMPORTRANGE(""https://docs.google.com/spreadsheets/d/1Lhp9OU0JdFf_VYSMzH5lBcEaU4o8teT1piV-SNzShjg/edit?gid=554141278#gid=554141278"", ""'Char Def. - Attributes'!C20:C2242""), 1,false)"),"EMBOSSED_BRAND_WINGS")</f>
        <v>EMBOSSED_BRAND_WINGS</v>
      </c>
      <c r="I8059" s="136"/>
      <c r="R8059" s="63" t="str">
        <f t="shared" si="60"/>
        <v>ZSI1_COMM_DEVICEEMBOSSED_BRAND_WINGS</v>
      </c>
    </row>
    <row r="8060" ht="15.75" customHeight="1">
      <c r="B8060" s="63">
        <f t="shared" si="1"/>
        <v>16</v>
      </c>
      <c r="C8060" s="135" t="s">
        <v>368</v>
      </c>
      <c r="D8060" s="161" t="s">
        <v>74</v>
      </c>
      <c r="E8060" s="135">
        <f t="shared" si="61"/>
        <v>5</v>
      </c>
      <c r="F8060" s="134" t="s">
        <v>3780</v>
      </c>
      <c r="G8060" s="63" t="str">
        <f>VLOOKUP(C8060, 'Class Def. - General Data'!$C$20:$C$1000,1,false)</f>
        <v>ZSI1_COMM_DEVICE</v>
      </c>
      <c r="H8060" s="63" t="str">
        <f>IFERROR(__xludf.DUMMYFUNCTION("VLOOKUP(F8060, IMPORTRANGE(""https://docs.google.com/spreadsheets/d/1Lhp9OU0JdFf_VYSMzH5lBcEaU4o8teT1piV-SNzShjg/edit?gid=554141278#gid=554141278"", ""'Char Def. - Attributes'!C20:C2242""), 1,false)"),"BRAND_WINGS_SIPI")</f>
        <v>BRAND_WINGS_SIPI</v>
      </c>
      <c r="I8060" s="136"/>
      <c r="R8060" s="63" t="str">
        <f t="shared" si="60"/>
        <v>ZSI1_COMM_DEVICEBRAND_WINGS_SIPI</v>
      </c>
    </row>
    <row r="8061" ht="15.75" customHeight="1">
      <c r="B8061" s="63">
        <f t="shared" si="1"/>
        <v>16</v>
      </c>
      <c r="C8061" s="135" t="s">
        <v>368</v>
      </c>
      <c r="D8061" s="161" t="s">
        <v>74</v>
      </c>
      <c r="E8061" s="135">
        <f t="shared" si="61"/>
        <v>6</v>
      </c>
      <c r="F8061" s="134" t="s">
        <v>3778</v>
      </c>
      <c r="G8061" s="63" t="str">
        <f>VLOOKUP(C8061, 'Class Def. - General Data'!$C$20:$C$1000,1,false)</f>
        <v>ZSI1_COMM_DEVICE</v>
      </c>
      <c r="H8061" s="63" t="str">
        <f>IFERROR(__xludf.DUMMYFUNCTION("VLOOKUP(F8061, IMPORTRANGE(""https://docs.google.com/spreadsheets/d/1Lhp9OU0JdFf_VYSMzH5lBcEaU4o8teT1piV-SNzShjg/edit?gid=554141278#gid=554141278"", ""'Char Def. - Attributes'!C20:C2242""), 1,false)"),"SPECIAL_ACTIVITY")</f>
        <v>SPECIAL_ACTIVITY</v>
      </c>
      <c r="I8061" s="136"/>
      <c r="R8061" s="63" t="str">
        <f t="shared" si="60"/>
        <v>ZSI1_COMM_DEVICESPECIAL_ACTIVITY</v>
      </c>
    </row>
    <row r="8062" ht="15.75" customHeight="1">
      <c r="B8062" s="63">
        <f t="shared" si="1"/>
        <v>16</v>
      </c>
      <c r="C8062" s="135" t="s">
        <v>368</v>
      </c>
      <c r="D8062" s="161" t="s">
        <v>74</v>
      </c>
      <c r="E8062" s="135">
        <f t="shared" si="61"/>
        <v>7</v>
      </c>
      <c r="F8062" s="134" t="s">
        <v>3585</v>
      </c>
      <c r="G8062" s="63" t="str">
        <f>VLOOKUP(C8062, 'Class Def. - General Data'!$C$20:$C$1000,1,false)</f>
        <v>ZSI1_COMM_DEVICE</v>
      </c>
      <c r="H8062" s="63" t="str">
        <f>IFERROR(__xludf.DUMMYFUNCTION("VLOOKUP(F8062, IMPORTRANGE(""https://docs.google.com/spreadsheets/d/1Lhp9OU0JdFf_VYSMzH5lBcEaU4o8teT1piV-SNzShjg/edit?gid=554141278#gid=554141278"", ""'Char Def. - Attributes'!C20:C2242""), 1,false)"),"HS_CODE")</f>
        <v>HS_CODE</v>
      </c>
      <c r="I8062" s="136"/>
      <c r="R8062" s="63" t="str">
        <f t="shared" si="60"/>
        <v>ZSI1_COMM_DEVICEHS_CODE</v>
      </c>
    </row>
    <row r="8063" ht="15.75" customHeight="1">
      <c r="B8063" s="63">
        <f t="shared" si="1"/>
        <v>16</v>
      </c>
      <c r="C8063" s="135" t="s">
        <v>368</v>
      </c>
      <c r="D8063" s="161" t="s">
        <v>74</v>
      </c>
      <c r="E8063" s="135">
        <f t="shared" si="61"/>
        <v>8</v>
      </c>
      <c r="F8063" s="134" t="s">
        <v>3587</v>
      </c>
      <c r="G8063" s="63" t="str">
        <f>VLOOKUP(C8063, 'Class Def. - General Data'!$C$20:$C$1000,1,false)</f>
        <v>ZSI1_COMM_DEVICE</v>
      </c>
      <c r="H8063" s="63" t="str">
        <f>IFERROR(__xludf.DUMMYFUNCTION("VLOOKUP(F8063, IMPORTRANGE(""https://docs.google.com/spreadsheets/d/1Lhp9OU0JdFf_VYSMzH5lBcEaU4o8teT1piV-SNzShjg/edit?gid=554141278#gid=554141278"", ""'Char Def. - Attributes'!C20:C2242""), 1,false)"),"PLANT_BUY")</f>
        <v>PLANT_BUY</v>
      </c>
      <c r="I8063" s="136"/>
      <c r="R8063" s="63" t="str">
        <f t="shared" si="60"/>
        <v>ZSI1_COMM_DEVICEPLANT_BUY</v>
      </c>
    </row>
    <row r="8064" ht="15.75" customHeight="1">
      <c r="B8064" s="63">
        <f t="shared" si="1"/>
        <v>16</v>
      </c>
      <c r="C8064" s="135" t="s">
        <v>368</v>
      </c>
      <c r="D8064" s="161" t="s">
        <v>74</v>
      </c>
      <c r="E8064" s="135">
        <f t="shared" si="61"/>
        <v>9</v>
      </c>
      <c r="F8064" s="134" t="s">
        <v>4274</v>
      </c>
      <c r="G8064" s="63" t="str">
        <f>VLOOKUP(C8064, 'Class Def. - General Data'!$C$20:$C$1000,1,false)</f>
        <v>ZSI1_COMM_DEVICE</v>
      </c>
      <c r="H8064" s="63" t="str">
        <f>IFERROR(__xludf.DUMMYFUNCTION("VLOOKUP(F8064, IMPORTRANGE(""https://docs.google.com/spreadsheets/d/1Lhp9OU0JdFf_VYSMzH5lBcEaU4o8teT1piV-SNzShjg/edit?gid=554141278#gid=554141278"", ""'Char Def. - Attributes'!C20:C2242""), 1,false)"),"BASE_UOM_COMM_DEVICE")</f>
        <v>BASE_UOM_COMM_DEVICE</v>
      </c>
      <c r="I8064" s="136"/>
      <c r="R8064" s="63" t="str">
        <f t="shared" si="60"/>
        <v>ZSI1_COMM_DEVICEBASE_UOM_COMM_DEVICE</v>
      </c>
    </row>
    <row r="8065" ht="15.75" customHeight="1">
      <c r="B8065" s="63">
        <f t="shared" si="1"/>
        <v>16</v>
      </c>
      <c r="C8065" s="135" t="s">
        <v>368</v>
      </c>
      <c r="D8065" s="161" t="s">
        <v>74</v>
      </c>
      <c r="E8065" s="135">
        <f t="shared" si="61"/>
        <v>10</v>
      </c>
      <c r="F8065" s="134" t="s">
        <v>4275</v>
      </c>
      <c r="G8065" s="63" t="str">
        <f>VLOOKUP(C8065, 'Class Def. - General Data'!$C$20:$C$1000,1,false)</f>
        <v>ZSI1_COMM_DEVICE</v>
      </c>
      <c r="H8065" s="63" t="str">
        <f>IFERROR(__xludf.DUMMYFUNCTION("VLOOKUP(F8065, IMPORTRANGE(""https://docs.google.com/spreadsheets/d/1Lhp9OU0JdFf_VYSMzH5lBcEaU4o8teT1piV-SNzShjg/edit?gid=554141278#gid=554141278"", ""'Char Def. - Attributes'!C20:C2242""), 1,false)"),"ORDER_UNIT_COMM_DEVICE")</f>
        <v>ORDER_UNIT_COMM_DEVICE</v>
      </c>
      <c r="I8065" s="136"/>
      <c r="R8065" s="63" t="str">
        <f t="shared" si="60"/>
        <v>ZSI1_COMM_DEVICEORDER_UNIT_COMM_DEVICE</v>
      </c>
    </row>
    <row r="8066" ht="15.75" customHeight="1">
      <c r="B8066" s="63">
        <f t="shared" si="1"/>
        <v>16</v>
      </c>
      <c r="C8066" s="135" t="s">
        <v>368</v>
      </c>
      <c r="D8066" s="161" t="s">
        <v>74</v>
      </c>
      <c r="E8066" s="135">
        <f t="shared" si="61"/>
        <v>11</v>
      </c>
      <c r="F8066" s="134" t="s">
        <v>4056</v>
      </c>
      <c r="G8066" s="63" t="str">
        <f>VLOOKUP(C8066, 'Class Def. - General Data'!$C$20:$C$1000,1,false)</f>
        <v>ZSI1_COMM_DEVICE</v>
      </c>
      <c r="H8066" s="63" t="str">
        <f>IFERROR(__xludf.DUMMYFUNCTION("VLOOKUP(F8066, IMPORTRANGE(""https://docs.google.com/spreadsheets/d/1Lhp9OU0JdFf_VYSMzH5lBcEaU4o8teT1piV-SNzShjg/edit?gid=554141278#gid=554141278"", ""'Char Def. - Attributes'!C20:C2242""), 1,false)"),"GROSS_WEIGHT_OPT")</f>
        <v>GROSS_WEIGHT_OPT</v>
      </c>
      <c r="I8066" s="136"/>
      <c r="R8066" s="63" t="str">
        <f t="shared" si="60"/>
        <v>ZSI1_COMM_DEVICEGROSS_WEIGHT_OPT</v>
      </c>
    </row>
    <row r="8067" ht="15.75" customHeight="1">
      <c r="B8067" s="63">
        <f t="shared" si="1"/>
        <v>16</v>
      </c>
      <c r="C8067" s="135" t="s">
        <v>368</v>
      </c>
      <c r="D8067" s="161" t="s">
        <v>74</v>
      </c>
      <c r="E8067" s="135">
        <f t="shared" si="61"/>
        <v>12</v>
      </c>
      <c r="F8067" s="134" t="s">
        <v>4057</v>
      </c>
      <c r="G8067" s="63" t="str">
        <f>VLOOKUP(C8067, 'Class Def. - General Data'!$C$20:$C$1000,1,false)</f>
        <v>ZSI1_COMM_DEVICE</v>
      </c>
      <c r="H8067" s="63" t="str">
        <f>IFERROR(__xludf.DUMMYFUNCTION("VLOOKUP(F8067, IMPORTRANGE(""https://docs.google.com/spreadsheets/d/1Lhp9OU0JdFf_VYSMzH5lBcEaU4o8teT1piV-SNzShjg/edit?gid=554141278#gid=554141278"", ""'Char Def. - Attributes'!C20:C2242""), 1,false)"),"NET_WEIGHT_OPT")</f>
        <v>NET_WEIGHT_OPT</v>
      </c>
      <c r="I8067" s="136"/>
      <c r="R8067" s="63" t="str">
        <f t="shared" si="60"/>
        <v>ZSI1_COMM_DEVICENET_WEIGHT_OPT</v>
      </c>
    </row>
    <row r="8068" ht="15.75" customHeight="1">
      <c r="B8068" s="63">
        <f t="shared" si="1"/>
        <v>16</v>
      </c>
      <c r="C8068" s="135" t="s">
        <v>368</v>
      </c>
      <c r="D8068" s="161" t="s">
        <v>74</v>
      </c>
      <c r="E8068" s="135">
        <f t="shared" si="61"/>
        <v>13</v>
      </c>
      <c r="F8068" s="134" t="s">
        <v>4058</v>
      </c>
      <c r="G8068" s="63" t="str">
        <f>VLOOKUP(C8068, 'Class Def. - General Data'!$C$20:$C$1000,1,false)</f>
        <v>ZSI1_COMM_DEVICE</v>
      </c>
      <c r="H8068" s="63" t="str">
        <f>IFERROR(__xludf.DUMMYFUNCTION("VLOOKUP(F8068, IMPORTRANGE(""https://docs.google.com/spreadsheets/d/1Lhp9OU0JdFf_VYSMzH5lBcEaU4o8teT1piV-SNzShjg/edit?gid=554141278#gid=554141278"", ""'Char Def. - Attributes'!C20:C2242""), 1,false)"),"WEIGHT_UNIT_SI")</f>
        <v>WEIGHT_UNIT_SI</v>
      </c>
      <c r="I8068" s="136"/>
      <c r="R8068" s="63" t="str">
        <f t="shared" si="60"/>
        <v>ZSI1_COMM_DEVICEWEIGHT_UNIT_SI</v>
      </c>
    </row>
    <row r="8069" ht="15.75" customHeight="1">
      <c r="B8069" s="63">
        <f t="shared" si="1"/>
        <v>16</v>
      </c>
      <c r="C8069" s="135" t="s">
        <v>368</v>
      </c>
      <c r="D8069" s="161" t="s">
        <v>74</v>
      </c>
      <c r="E8069" s="135">
        <f t="shared" si="61"/>
        <v>14</v>
      </c>
      <c r="F8069" s="134" t="s">
        <v>3877</v>
      </c>
      <c r="G8069" s="63" t="str">
        <f>VLOOKUP(C8069, 'Class Def. - General Data'!$C$20:$C$1000,1,false)</f>
        <v>ZSI1_COMM_DEVICE</v>
      </c>
      <c r="H8069" s="63" t="str">
        <f>IFERROR(__xludf.DUMMYFUNCTION("VLOOKUP(F8069, IMPORTRANGE(""https://docs.google.com/spreadsheets/d/1Lhp9OU0JdFf_VYSMzH5lBcEaU4o8teT1piV-SNzShjg/edit?gid=554141278#gid=554141278"", ""'Char Def. - Attributes'!C20:C2242""), 1,false)"),"VOLUME_OPT")</f>
        <v>VOLUME_OPT</v>
      </c>
      <c r="I8069" s="136"/>
      <c r="R8069" s="63" t="str">
        <f t="shared" si="60"/>
        <v>ZSI1_COMM_DEVICEVOLUME_OPT</v>
      </c>
    </row>
    <row r="8070" ht="15.75" customHeight="1">
      <c r="B8070" s="63">
        <f t="shared" si="1"/>
        <v>16</v>
      </c>
      <c r="C8070" s="135" t="s">
        <v>368</v>
      </c>
      <c r="D8070" s="161" t="s">
        <v>74</v>
      </c>
      <c r="E8070" s="135">
        <f t="shared" si="61"/>
        <v>15</v>
      </c>
      <c r="F8070" s="134" t="s">
        <v>4059</v>
      </c>
      <c r="G8070" s="63" t="str">
        <f>VLOOKUP(C8070, 'Class Def. - General Data'!$C$20:$C$1000,1,false)</f>
        <v>ZSI1_COMM_DEVICE</v>
      </c>
      <c r="H8070" s="63" t="str">
        <f>IFERROR(__xludf.DUMMYFUNCTION("VLOOKUP(F8070, IMPORTRANGE(""https://docs.google.com/spreadsheets/d/1Lhp9OU0JdFf_VYSMzH5lBcEaU4o8teT1piV-SNzShjg/edit?gid=554141278#gid=554141278"", ""'Char Def. - Attributes'!C20:C2242""), 1,false)"),"VOLUME_UNIT_SI")</f>
        <v>VOLUME_UNIT_SI</v>
      </c>
      <c r="I8070" s="136"/>
      <c r="R8070" s="63" t="str">
        <f t="shared" si="60"/>
        <v>ZSI1_COMM_DEVICEVOLUME_UNIT_SI</v>
      </c>
    </row>
    <row r="8071" ht="15.75" customHeight="1">
      <c r="B8071" s="63">
        <f t="shared" si="1"/>
        <v>16</v>
      </c>
      <c r="C8071" s="135" t="s">
        <v>368</v>
      </c>
      <c r="D8071" s="161" t="s">
        <v>74</v>
      </c>
      <c r="E8071" s="135">
        <f t="shared" si="61"/>
        <v>16</v>
      </c>
      <c r="F8071" s="134" t="s">
        <v>3804</v>
      </c>
      <c r="G8071" s="63" t="str">
        <f>VLOOKUP(C8071, 'Class Def. - General Data'!$C$20:$C$1000,1,false)</f>
        <v>ZSI1_COMM_DEVICE</v>
      </c>
      <c r="H8071" s="63" t="str">
        <f>IFERROR(__xludf.DUMMYFUNCTION("VLOOKUP(F8071, IMPORTRANGE(""https://docs.google.com/spreadsheets/d/1Lhp9OU0JdFf_VYSMzH5lBcEaU4o8teT1piV-SNzShjg/edit?gid=554141278#gid=554141278"", ""'Char Def. - Attributes'!C20:C2242""), 1,false)"),"ALT_UOM1_SIPI")</f>
        <v>ALT_UOM1_SIPI</v>
      </c>
      <c r="I8071" s="136"/>
      <c r="R8071" s="63" t="str">
        <f t="shared" si="60"/>
        <v>ZSI1_COMM_DEVICEALT_UOM1_SIPI</v>
      </c>
    </row>
    <row r="8072" ht="15.75" customHeight="1">
      <c r="B8072" s="63">
        <f t="shared" si="1"/>
        <v>16</v>
      </c>
      <c r="C8072" s="135" t="s">
        <v>368</v>
      </c>
      <c r="D8072" s="161" t="s">
        <v>74</v>
      </c>
      <c r="E8072" s="135">
        <f t="shared" si="61"/>
        <v>17</v>
      </c>
      <c r="F8072" s="134" t="s">
        <v>3805</v>
      </c>
      <c r="G8072" s="63" t="str">
        <f>VLOOKUP(C8072, 'Class Def. - General Data'!$C$20:$C$1000,1,false)</f>
        <v>ZSI1_COMM_DEVICE</v>
      </c>
      <c r="H8072" s="63" t="str">
        <f>IFERROR(__xludf.DUMMYFUNCTION("VLOOKUP(F8072, IMPORTRANGE(""https://docs.google.com/spreadsheets/d/1Lhp9OU0JdFf_VYSMzH5lBcEaU4o8teT1piV-SNzShjg/edit?gid=554141278#gid=554141278"", ""'Char Def. - Attributes'!C20:C2242""), 1,false)"),"ALT_DENUM_UOM1")</f>
        <v>ALT_DENUM_UOM1</v>
      </c>
      <c r="I8072" s="136"/>
      <c r="R8072" s="63" t="str">
        <f t="shared" si="60"/>
        <v>ZSI1_COMM_DEVICEALT_DENUM_UOM1</v>
      </c>
    </row>
    <row r="8073" ht="15.75" customHeight="1">
      <c r="B8073" s="63">
        <f t="shared" si="1"/>
        <v>16</v>
      </c>
      <c r="C8073" s="135" t="s">
        <v>368</v>
      </c>
      <c r="D8073" s="161" t="s">
        <v>74</v>
      </c>
      <c r="E8073" s="135">
        <f t="shared" si="61"/>
        <v>18</v>
      </c>
      <c r="F8073" s="134" t="s">
        <v>3806</v>
      </c>
      <c r="G8073" s="63" t="str">
        <f>VLOOKUP(C8073, 'Class Def. - General Data'!$C$20:$C$1000,1,false)</f>
        <v>ZSI1_COMM_DEVICE</v>
      </c>
      <c r="H8073" s="63" t="str">
        <f>IFERROR(__xludf.DUMMYFUNCTION("VLOOKUP(F8073, IMPORTRANGE(""https://docs.google.com/spreadsheets/d/1Lhp9OU0JdFf_VYSMzH5lBcEaU4o8teT1piV-SNzShjg/edit?gid=554141278#gid=554141278"", ""'Char Def. - Attributes'!C20:C2242""), 1,false)"),"ALT_NUM_UOM1")</f>
        <v>ALT_NUM_UOM1</v>
      </c>
      <c r="I8073" s="136"/>
      <c r="R8073" s="63" t="str">
        <f t="shared" si="60"/>
        <v>ZSI1_COMM_DEVICEALT_NUM_UOM1</v>
      </c>
    </row>
    <row r="8074" ht="15.75" customHeight="1">
      <c r="B8074" s="63">
        <f t="shared" si="1"/>
        <v>16</v>
      </c>
      <c r="C8074" s="135" t="s">
        <v>368</v>
      </c>
      <c r="D8074" s="161" t="s">
        <v>74</v>
      </c>
      <c r="E8074" s="135">
        <f t="shared" si="61"/>
        <v>19</v>
      </c>
      <c r="F8074" s="134" t="s">
        <v>3807</v>
      </c>
      <c r="G8074" s="63" t="str">
        <f>VLOOKUP(C8074, 'Class Def. - General Data'!$C$20:$C$1000,1,false)</f>
        <v>ZSI1_COMM_DEVICE</v>
      </c>
      <c r="H8074" s="63" t="str">
        <f>IFERROR(__xludf.DUMMYFUNCTION("VLOOKUP(F8074, IMPORTRANGE(""https://docs.google.com/spreadsheets/d/1Lhp9OU0JdFf_VYSMzH5lBcEaU4o8teT1piV-SNzShjg/edit?gid=554141278#gid=554141278"", ""'Char Def. - Attributes'!C20:C2242""), 1,false)"),"ALT_UOM2_SIPI")</f>
        <v>ALT_UOM2_SIPI</v>
      </c>
      <c r="I8074" s="136"/>
      <c r="R8074" s="63" t="str">
        <f t="shared" si="60"/>
        <v>ZSI1_COMM_DEVICEALT_UOM2_SIPI</v>
      </c>
    </row>
    <row r="8075" ht="15.75" customHeight="1">
      <c r="B8075" s="63">
        <f t="shared" si="1"/>
        <v>16</v>
      </c>
      <c r="C8075" s="135" t="s">
        <v>368</v>
      </c>
      <c r="D8075" s="161" t="s">
        <v>74</v>
      </c>
      <c r="E8075" s="135">
        <f t="shared" si="61"/>
        <v>20</v>
      </c>
      <c r="F8075" s="134" t="s">
        <v>3808</v>
      </c>
      <c r="G8075" s="63" t="str">
        <f>VLOOKUP(C8075, 'Class Def. - General Data'!$C$20:$C$1000,1,false)</f>
        <v>ZSI1_COMM_DEVICE</v>
      </c>
      <c r="H8075" s="63" t="str">
        <f>IFERROR(__xludf.DUMMYFUNCTION("VLOOKUP(F8075, IMPORTRANGE(""https://docs.google.com/spreadsheets/d/1Lhp9OU0JdFf_VYSMzH5lBcEaU4o8teT1piV-SNzShjg/edit?gid=554141278#gid=554141278"", ""'Char Def. - Attributes'!C20:C2242""), 1,false)"),"ALT_DENUM_UOM2")</f>
        <v>ALT_DENUM_UOM2</v>
      </c>
      <c r="I8075" s="136"/>
      <c r="R8075" s="63" t="str">
        <f t="shared" si="60"/>
        <v>ZSI1_COMM_DEVICEALT_DENUM_UOM2</v>
      </c>
    </row>
    <row r="8076" ht="15.75" customHeight="1">
      <c r="B8076" s="63">
        <f t="shared" si="1"/>
        <v>16</v>
      </c>
      <c r="C8076" s="135" t="s">
        <v>368</v>
      </c>
      <c r="D8076" s="161" t="s">
        <v>74</v>
      </c>
      <c r="E8076" s="135">
        <f t="shared" si="61"/>
        <v>21</v>
      </c>
      <c r="F8076" s="134" t="s">
        <v>3809</v>
      </c>
      <c r="G8076" s="63" t="str">
        <f>VLOOKUP(C8076, 'Class Def. - General Data'!$C$20:$C$1000,1,false)</f>
        <v>ZSI1_COMM_DEVICE</v>
      </c>
      <c r="H8076" s="63" t="str">
        <f>IFERROR(__xludf.DUMMYFUNCTION("VLOOKUP(F8076, IMPORTRANGE(""https://docs.google.com/spreadsheets/d/1Lhp9OU0JdFf_VYSMzH5lBcEaU4o8teT1piV-SNzShjg/edit?gid=554141278#gid=554141278"", ""'Char Def. - Attributes'!C20:C2242""), 1,false)"),"ALT_NUM_UOM2")</f>
        <v>ALT_NUM_UOM2</v>
      </c>
      <c r="I8076" s="136"/>
      <c r="R8076" s="63" t="str">
        <f t="shared" si="60"/>
        <v>ZSI1_COMM_DEVICEALT_NUM_UOM2</v>
      </c>
    </row>
    <row r="8077" ht="15.75" customHeight="1">
      <c r="B8077" s="63">
        <f t="shared" si="1"/>
        <v>16</v>
      </c>
      <c r="C8077" s="135" t="s">
        <v>368</v>
      </c>
      <c r="D8077" s="161" t="s">
        <v>74</v>
      </c>
      <c r="E8077" s="135">
        <f t="shared" si="61"/>
        <v>22</v>
      </c>
      <c r="F8077" s="134" t="s">
        <v>3810</v>
      </c>
      <c r="G8077" s="63" t="str">
        <f>VLOOKUP(C8077, 'Class Def. - General Data'!$C$20:$C$1000,1,false)</f>
        <v>ZSI1_COMM_DEVICE</v>
      </c>
      <c r="H8077" s="63" t="str">
        <f>IFERROR(__xludf.DUMMYFUNCTION("VLOOKUP(F8077, IMPORTRANGE(""https://docs.google.com/spreadsheets/d/1Lhp9OU0JdFf_VYSMzH5lBcEaU4o8teT1piV-SNzShjg/edit?gid=554141278#gid=554141278"", ""'Char Def. - Attributes'!C20:C2242""), 1,false)"),"ALT_UOM3_SIPI")</f>
        <v>ALT_UOM3_SIPI</v>
      </c>
      <c r="I8077" s="136"/>
      <c r="R8077" s="63" t="str">
        <f t="shared" si="60"/>
        <v>ZSI1_COMM_DEVICEALT_UOM3_SIPI</v>
      </c>
    </row>
    <row r="8078" ht="15.75" customHeight="1">
      <c r="B8078" s="63">
        <f t="shared" si="1"/>
        <v>16</v>
      </c>
      <c r="C8078" s="135" t="s">
        <v>368</v>
      </c>
      <c r="D8078" s="161" t="s">
        <v>74</v>
      </c>
      <c r="E8078" s="135">
        <f t="shared" si="61"/>
        <v>23</v>
      </c>
      <c r="F8078" s="134" t="s">
        <v>3811</v>
      </c>
      <c r="G8078" s="63" t="str">
        <f>VLOOKUP(C8078, 'Class Def. - General Data'!$C$20:$C$1000,1,false)</f>
        <v>ZSI1_COMM_DEVICE</v>
      </c>
      <c r="H8078" s="63" t="str">
        <f>IFERROR(__xludf.DUMMYFUNCTION("VLOOKUP(F8078, IMPORTRANGE(""https://docs.google.com/spreadsheets/d/1Lhp9OU0JdFf_VYSMzH5lBcEaU4o8teT1piV-SNzShjg/edit?gid=554141278#gid=554141278"", ""'Char Def. - Attributes'!C20:C2242""), 1,false)"),"ALT_DENUM_UOM3")</f>
        <v>ALT_DENUM_UOM3</v>
      </c>
      <c r="I8078" s="136"/>
      <c r="R8078" s="63" t="str">
        <f t="shared" si="60"/>
        <v>ZSI1_COMM_DEVICEALT_DENUM_UOM3</v>
      </c>
    </row>
    <row r="8079" ht="15.75" customHeight="1">
      <c r="B8079" s="63">
        <f t="shared" si="1"/>
        <v>16</v>
      </c>
      <c r="C8079" s="135" t="s">
        <v>368</v>
      </c>
      <c r="D8079" s="161" t="s">
        <v>74</v>
      </c>
      <c r="E8079" s="135">
        <f t="shared" si="61"/>
        <v>24</v>
      </c>
      <c r="F8079" s="134" t="s">
        <v>3812</v>
      </c>
      <c r="G8079" s="63" t="str">
        <f>VLOOKUP(C8079, 'Class Def. - General Data'!$C$20:$C$1000,1,false)</f>
        <v>ZSI1_COMM_DEVICE</v>
      </c>
      <c r="H8079" s="63" t="str">
        <f>IFERROR(__xludf.DUMMYFUNCTION("VLOOKUP(F8079, IMPORTRANGE(""https://docs.google.com/spreadsheets/d/1Lhp9OU0JdFf_VYSMzH5lBcEaU4o8teT1piV-SNzShjg/edit?gid=554141278#gid=554141278"", ""'Char Def. - Attributes'!C20:C2242""), 1,false)"),"ALT_NUM_UOM3")</f>
        <v>ALT_NUM_UOM3</v>
      </c>
      <c r="I8079" s="136"/>
      <c r="R8079" s="63" t="str">
        <f t="shared" si="60"/>
        <v>ZSI1_COMM_DEVICEALT_NUM_UOM3</v>
      </c>
    </row>
    <row r="8080" ht="15.75" customHeight="1">
      <c r="B8080" s="63">
        <f t="shared" si="1"/>
        <v>16</v>
      </c>
      <c r="C8080" s="135" t="s">
        <v>368</v>
      </c>
      <c r="D8080" s="161" t="s">
        <v>74</v>
      </c>
      <c r="E8080" s="135">
        <f t="shared" si="61"/>
        <v>25</v>
      </c>
      <c r="F8080" s="134" t="s">
        <v>3813</v>
      </c>
      <c r="G8080" s="63" t="str">
        <f>VLOOKUP(C8080, 'Class Def. - General Data'!$C$20:$C$1000,1,false)</f>
        <v>ZSI1_COMM_DEVICE</v>
      </c>
      <c r="H8080" s="63" t="str">
        <f>IFERROR(__xludf.DUMMYFUNCTION("VLOOKUP(F8080, IMPORTRANGE(""https://docs.google.com/spreadsheets/d/1Lhp9OU0JdFf_VYSMzH5lBcEaU4o8teT1piV-SNzShjg/edit?gid=554141278#gid=554141278"", ""'Char Def. - Attributes'!C20:C2242""), 1,false)"),"ALT_UOM4_SIPI")</f>
        <v>ALT_UOM4_SIPI</v>
      </c>
      <c r="I8080" s="136"/>
      <c r="R8080" s="63" t="str">
        <f t="shared" si="60"/>
        <v>ZSI1_COMM_DEVICEALT_UOM4_SIPI</v>
      </c>
    </row>
    <row r="8081" ht="15.75" customHeight="1">
      <c r="B8081" s="63">
        <f t="shared" si="1"/>
        <v>16</v>
      </c>
      <c r="C8081" s="135" t="s">
        <v>368</v>
      </c>
      <c r="D8081" s="161" t="s">
        <v>74</v>
      </c>
      <c r="E8081" s="135">
        <f t="shared" si="61"/>
        <v>26</v>
      </c>
      <c r="F8081" s="134" t="s">
        <v>3814</v>
      </c>
      <c r="G8081" s="63" t="str">
        <f>VLOOKUP(C8081, 'Class Def. - General Data'!$C$20:$C$1000,1,false)</f>
        <v>ZSI1_COMM_DEVICE</v>
      </c>
      <c r="H8081" s="63" t="str">
        <f>IFERROR(__xludf.DUMMYFUNCTION("VLOOKUP(F8081, IMPORTRANGE(""https://docs.google.com/spreadsheets/d/1Lhp9OU0JdFf_VYSMzH5lBcEaU4o8teT1piV-SNzShjg/edit?gid=554141278#gid=554141278"", ""'Char Def. - Attributes'!C20:C2242""), 1,false)"),"ALT_DENUM_UOM4")</f>
        <v>ALT_DENUM_UOM4</v>
      </c>
      <c r="I8081" s="136"/>
      <c r="R8081" s="63" t="str">
        <f t="shared" si="60"/>
        <v>ZSI1_COMM_DEVICEALT_DENUM_UOM4</v>
      </c>
    </row>
    <row r="8082" ht="15.75" customHeight="1">
      <c r="B8082" s="63">
        <f t="shared" si="1"/>
        <v>16</v>
      </c>
      <c r="C8082" s="135" t="s">
        <v>368</v>
      </c>
      <c r="D8082" s="161" t="s">
        <v>74</v>
      </c>
      <c r="E8082" s="135">
        <f t="shared" si="61"/>
        <v>27</v>
      </c>
      <c r="F8082" s="134" t="s">
        <v>3815</v>
      </c>
      <c r="G8082" s="63" t="str">
        <f>VLOOKUP(C8082, 'Class Def. - General Data'!$C$20:$C$1000,1,false)</f>
        <v>ZSI1_COMM_DEVICE</v>
      </c>
      <c r="H8082" s="63" t="str">
        <f>IFERROR(__xludf.DUMMYFUNCTION("VLOOKUP(F8082, IMPORTRANGE(""https://docs.google.com/spreadsheets/d/1Lhp9OU0JdFf_VYSMzH5lBcEaU4o8teT1piV-SNzShjg/edit?gid=554141278#gid=554141278"", ""'Char Def. - Attributes'!C20:C2242""), 1,false)"),"ALT_NUM_UOM4")</f>
        <v>ALT_NUM_UOM4</v>
      </c>
      <c r="I8082" s="136"/>
      <c r="R8082" s="63" t="str">
        <f t="shared" si="60"/>
        <v>ZSI1_COMM_DEVICEALT_NUM_UOM4</v>
      </c>
    </row>
    <row r="8083" ht="15.75" customHeight="1">
      <c r="B8083" s="63">
        <f t="shared" si="1"/>
        <v>16</v>
      </c>
      <c r="C8083" s="135" t="s">
        <v>368</v>
      </c>
      <c r="D8083" s="161" t="s">
        <v>74</v>
      </c>
      <c r="E8083" s="135">
        <f t="shared" si="61"/>
        <v>28</v>
      </c>
      <c r="F8083" s="134" t="s">
        <v>3816</v>
      </c>
      <c r="G8083" s="63" t="str">
        <f>VLOOKUP(C8083, 'Class Def. - General Data'!$C$20:$C$1000,1,false)</f>
        <v>ZSI1_COMM_DEVICE</v>
      </c>
      <c r="H8083" s="63" t="str">
        <f>IFERROR(__xludf.DUMMYFUNCTION("VLOOKUP(F8083, IMPORTRANGE(""https://docs.google.com/spreadsheets/d/1Lhp9OU0JdFf_VYSMzH5lBcEaU4o8teT1piV-SNzShjg/edit?gid=554141278#gid=554141278"", ""'Char Def. - Attributes'!C20:C2242""), 1,false)"),"ALT_UOM5_SIPI")</f>
        <v>ALT_UOM5_SIPI</v>
      </c>
      <c r="I8083" s="136"/>
      <c r="R8083" s="63" t="str">
        <f t="shared" si="60"/>
        <v>ZSI1_COMM_DEVICEALT_UOM5_SIPI</v>
      </c>
    </row>
    <row r="8084" ht="15.75" customHeight="1">
      <c r="B8084" s="63">
        <f t="shared" si="1"/>
        <v>16</v>
      </c>
      <c r="C8084" s="135" t="s">
        <v>368</v>
      </c>
      <c r="D8084" s="161" t="s">
        <v>74</v>
      </c>
      <c r="E8084" s="135">
        <f t="shared" si="61"/>
        <v>29</v>
      </c>
      <c r="F8084" s="134" t="s">
        <v>3817</v>
      </c>
      <c r="G8084" s="63" t="str">
        <f>VLOOKUP(C8084, 'Class Def. - General Data'!$C$20:$C$1000,1,false)</f>
        <v>ZSI1_COMM_DEVICE</v>
      </c>
      <c r="H8084" s="63" t="str">
        <f>IFERROR(__xludf.DUMMYFUNCTION("VLOOKUP(F8084, IMPORTRANGE(""https://docs.google.com/spreadsheets/d/1Lhp9OU0JdFf_VYSMzH5lBcEaU4o8teT1piV-SNzShjg/edit?gid=554141278#gid=554141278"", ""'Char Def. - Attributes'!C20:C2242""), 1,false)"),"ALT_DENUM_UOM5")</f>
        <v>ALT_DENUM_UOM5</v>
      </c>
      <c r="I8084" s="136"/>
      <c r="R8084" s="63" t="str">
        <f t="shared" si="60"/>
        <v>ZSI1_COMM_DEVICEALT_DENUM_UOM5</v>
      </c>
    </row>
    <row r="8085" ht="15.75" customHeight="1">
      <c r="B8085" s="63">
        <f t="shared" si="1"/>
        <v>16</v>
      </c>
      <c r="C8085" s="135" t="s">
        <v>368</v>
      </c>
      <c r="D8085" s="161" t="s">
        <v>74</v>
      </c>
      <c r="E8085" s="135">
        <f t="shared" si="61"/>
        <v>30</v>
      </c>
      <c r="F8085" s="134" t="s">
        <v>3818</v>
      </c>
      <c r="G8085" s="63" t="str">
        <f>VLOOKUP(C8085, 'Class Def. - General Data'!$C$20:$C$1000,1,false)</f>
        <v>ZSI1_COMM_DEVICE</v>
      </c>
      <c r="H8085" s="63" t="str">
        <f>IFERROR(__xludf.DUMMYFUNCTION("VLOOKUP(F8085, IMPORTRANGE(""https://docs.google.com/spreadsheets/d/1Lhp9OU0JdFf_VYSMzH5lBcEaU4o8teT1piV-SNzShjg/edit?gid=554141278#gid=554141278"", ""'Char Def. - Attributes'!C20:C2242""), 1,false)"),"ALT_NUM_UOM5")</f>
        <v>ALT_NUM_UOM5</v>
      </c>
      <c r="I8085" s="136"/>
      <c r="R8085" s="63" t="str">
        <f t="shared" si="60"/>
        <v>ZSI1_COMM_DEVICEALT_NUM_UOM5</v>
      </c>
    </row>
    <row r="8086" ht="15.75" customHeight="1">
      <c r="B8086" s="63">
        <f t="shared" si="1"/>
        <v>18</v>
      </c>
      <c r="C8086" s="135" t="s">
        <v>369</v>
      </c>
      <c r="D8086" s="161" t="s">
        <v>74</v>
      </c>
      <c r="E8086" s="135">
        <f t="shared" si="61"/>
        <v>1</v>
      </c>
      <c r="F8086" s="134" t="s">
        <v>4281</v>
      </c>
      <c r="G8086" s="63" t="str">
        <f>VLOOKUP(C8086, 'Class Def. - General Data'!$C$20:$C$1000,1,false)</f>
        <v>ZSI1_COMP_HARDDISK</v>
      </c>
      <c r="H8086" s="63" t="str">
        <f>IFERROR(__xludf.DUMMYFUNCTION("VLOOKUP(F8086, IMPORTRANGE(""https://docs.google.com/spreadsheets/d/1Lhp9OU0JdFf_VYSMzH5lBcEaU4o8teT1piV-SNzShjg/edit?gid=554141278#gid=554141278"", ""'Char Def. - Attributes'!C20:C2242""), 1,false)"),"ITEM_NAME_COMP_HARDDISK")</f>
        <v>ITEM_NAME_COMP_HARDDISK</v>
      </c>
      <c r="I8086" s="136"/>
      <c r="R8086" s="63" t="str">
        <f t="shared" si="60"/>
        <v>ZSI1_COMP_HARDDISKITEM_NAME_COMP_HARDDISK</v>
      </c>
    </row>
    <row r="8087" ht="15.75" customHeight="1">
      <c r="B8087" s="63">
        <f t="shared" si="1"/>
        <v>18</v>
      </c>
      <c r="C8087" s="135" t="s">
        <v>369</v>
      </c>
      <c r="D8087" s="161" t="s">
        <v>74</v>
      </c>
      <c r="E8087" s="135">
        <f t="shared" si="61"/>
        <v>2</v>
      </c>
      <c r="F8087" s="134" t="s">
        <v>4282</v>
      </c>
      <c r="G8087" s="63" t="str">
        <f>VLOOKUP(C8087, 'Class Def. - General Data'!$C$20:$C$1000,1,false)</f>
        <v>ZSI1_COMP_HARDDISK</v>
      </c>
      <c r="H8087" s="63" t="str">
        <f>IFERROR(__xludf.DUMMYFUNCTION("VLOOKUP(F8087, IMPORTRANGE(""https://docs.google.com/spreadsheets/d/1Lhp9OU0JdFf_VYSMzH5lBcEaU4o8teT1piV-SNzShjg/edit?gid=554141278#gid=554141278"", ""'Char Def. - Attributes'!C20:C2242""), 1,false)"),"MFR_NO_COMP_HARDDISK")</f>
        <v>MFR_NO_COMP_HARDDISK</v>
      </c>
      <c r="I8087" s="136"/>
      <c r="R8087" s="63" t="str">
        <f t="shared" si="60"/>
        <v>ZSI1_COMP_HARDDISKMFR_NO_COMP_HARDDISK</v>
      </c>
    </row>
    <row r="8088" ht="15.75" customHeight="1">
      <c r="B8088" s="63">
        <f t="shared" si="1"/>
        <v>18</v>
      </c>
      <c r="C8088" s="135" t="s">
        <v>369</v>
      </c>
      <c r="D8088" s="161" t="s">
        <v>74</v>
      </c>
      <c r="E8088" s="135">
        <f t="shared" si="61"/>
        <v>3</v>
      </c>
      <c r="F8088" s="134" t="s">
        <v>3782</v>
      </c>
      <c r="G8088" s="63" t="str">
        <f>VLOOKUP(C8088, 'Class Def. - General Data'!$C$20:$C$1000,1,false)</f>
        <v>ZSI1_COMP_HARDDISK</v>
      </c>
      <c r="H8088" s="63" t="str">
        <f>IFERROR(__xludf.DUMMYFUNCTION("VLOOKUP(F8088, IMPORTRANGE(""https://docs.google.com/spreadsheets/d/1Lhp9OU0JdFf_VYSMzH5lBcEaU4o8teT1piV-SNzShjg/edit?gid=554141278#gid=554141278"", ""'Char Def. - Attributes'!C20:C2242""), 1,false)"),"BRAND_EXTERNAL")</f>
        <v>BRAND_EXTERNAL</v>
      </c>
      <c r="I8088" s="136"/>
      <c r="R8088" s="63" t="str">
        <f t="shared" si="60"/>
        <v>ZSI1_COMP_HARDDISKBRAND_EXTERNAL</v>
      </c>
    </row>
    <row r="8089" ht="15.75" customHeight="1">
      <c r="B8089" s="63">
        <f t="shared" si="1"/>
        <v>18</v>
      </c>
      <c r="C8089" s="135" t="s">
        <v>369</v>
      </c>
      <c r="D8089" s="161" t="s">
        <v>74</v>
      </c>
      <c r="E8089" s="135">
        <f t="shared" si="61"/>
        <v>4</v>
      </c>
      <c r="F8089" s="135" t="s">
        <v>4283</v>
      </c>
      <c r="G8089" s="63" t="str">
        <f>VLOOKUP(C8089, 'Class Def. - General Data'!$C$20:$C$1000,1,false)</f>
        <v>ZSI1_COMP_HARDDISK</v>
      </c>
      <c r="I8089" s="136"/>
      <c r="R8089" s="63" t="str">
        <f t="shared" si="60"/>
        <v>ZSI1_COMP_HARDDISKDIMENSION_COMP_HARDDISK</v>
      </c>
    </row>
    <row r="8090" ht="15.75" customHeight="1">
      <c r="B8090" s="63">
        <f t="shared" si="1"/>
        <v>18</v>
      </c>
      <c r="C8090" s="135" t="s">
        <v>369</v>
      </c>
      <c r="D8090" s="161" t="s">
        <v>74</v>
      </c>
      <c r="E8090" s="135">
        <f t="shared" si="61"/>
        <v>5</v>
      </c>
      <c r="F8090" s="135" t="s">
        <v>4284</v>
      </c>
      <c r="G8090" s="63" t="str">
        <f>VLOOKUP(C8090, 'Class Def. - General Data'!$C$20:$C$1000,1,false)</f>
        <v>ZSI1_COMP_HARDDISK</v>
      </c>
      <c r="H8090" s="63" t="str">
        <f>IFERROR(__xludf.DUMMYFUNCTION("VLOOKUP(F8090, IMPORTRANGE(""https://docs.google.com/spreadsheets/d/1Lhp9OU0JdFf_VYSMzH5lBcEaU4o8teT1piV-SNzShjg/edit?gid=554141278#gid=554141278"", ""'Char Def. - Attributes'!C20:C2242""), 1,false)"),"#N/A")</f>
        <v>#N/A</v>
      </c>
      <c r="I8090" s="136"/>
      <c r="R8090" s="63" t="str">
        <f t="shared" si="60"/>
        <v>ZSI1_COMP_HARDDISKSTORAGE_COMP_HARDDISK</v>
      </c>
    </row>
    <row r="8091" ht="15.75" customHeight="1">
      <c r="B8091" s="63">
        <f t="shared" si="1"/>
        <v>18</v>
      </c>
      <c r="C8091" s="135" t="s">
        <v>369</v>
      </c>
      <c r="D8091" s="161" t="s">
        <v>74</v>
      </c>
      <c r="E8091" s="135">
        <f t="shared" si="61"/>
        <v>6</v>
      </c>
      <c r="F8091" s="134" t="s">
        <v>3585</v>
      </c>
      <c r="G8091" s="63" t="str">
        <f>VLOOKUP(C8091, 'Class Def. - General Data'!$C$20:$C$1000,1,false)</f>
        <v>ZSI1_COMP_HARDDISK</v>
      </c>
      <c r="H8091" s="63" t="str">
        <f>IFERROR(__xludf.DUMMYFUNCTION("VLOOKUP(F8091, IMPORTRANGE(""https://docs.google.com/spreadsheets/d/1Lhp9OU0JdFf_VYSMzH5lBcEaU4o8teT1piV-SNzShjg/edit?gid=554141278#gid=554141278"", ""'Char Def. - Attributes'!C20:C2242""), 1,false)"),"HS_CODE")</f>
        <v>HS_CODE</v>
      </c>
      <c r="I8091" s="136"/>
      <c r="R8091" s="63" t="str">
        <f t="shared" si="60"/>
        <v>ZSI1_COMP_HARDDISKHS_CODE</v>
      </c>
    </row>
    <row r="8092" ht="15.75" customHeight="1">
      <c r="B8092" s="63">
        <f t="shared" si="1"/>
        <v>18</v>
      </c>
      <c r="C8092" s="135" t="s">
        <v>369</v>
      </c>
      <c r="D8092" s="161" t="s">
        <v>74</v>
      </c>
      <c r="E8092" s="135">
        <f t="shared" si="61"/>
        <v>7</v>
      </c>
      <c r="F8092" s="134" t="s">
        <v>3587</v>
      </c>
      <c r="G8092" s="63" t="str">
        <f>VLOOKUP(C8092, 'Class Def. - General Data'!$C$20:$C$1000,1,false)</f>
        <v>ZSI1_COMP_HARDDISK</v>
      </c>
      <c r="H8092" s="63" t="str">
        <f>IFERROR(__xludf.DUMMYFUNCTION("VLOOKUP(F8092, IMPORTRANGE(""https://docs.google.com/spreadsheets/d/1Lhp9OU0JdFf_VYSMzH5lBcEaU4o8teT1piV-SNzShjg/edit?gid=554141278#gid=554141278"", ""'Char Def. - Attributes'!C20:C2242""), 1,false)"),"PLANT_BUY")</f>
        <v>PLANT_BUY</v>
      </c>
      <c r="I8092" s="136"/>
      <c r="R8092" s="63" t="str">
        <f t="shared" si="60"/>
        <v>ZSI1_COMP_HARDDISKPLANT_BUY</v>
      </c>
    </row>
    <row r="8093" ht="15.75" customHeight="1">
      <c r="B8093" s="63">
        <f t="shared" si="1"/>
        <v>18</v>
      </c>
      <c r="C8093" s="135" t="s">
        <v>369</v>
      </c>
      <c r="D8093" s="161" t="s">
        <v>74</v>
      </c>
      <c r="E8093" s="135">
        <f t="shared" si="61"/>
        <v>8</v>
      </c>
      <c r="F8093" s="134" t="s">
        <v>4285</v>
      </c>
      <c r="G8093" s="63" t="str">
        <f>VLOOKUP(C8093, 'Class Def. - General Data'!$C$20:$C$1000,1,false)</f>
        <v>ZSI1_COMP_HARDDISK</v>
      </c>
      <c r="H8093" s="63" t="str">
        <f>IFERROR(__xludf.DUMMYFUNCTION("VLOOKUP(F8093, IMPORTRANGE(""https://docs.google.com/spreadsheets/d/1Lhp9OU0JdFf_VYSMzH5lBcEaU4o8teT1piV-SNzShjg/edit?gid=554141278#gid=554141278"", ""'Char Def. - Attributes'!C20:C2242""), 1,false)"),"BASE_UOM_COMP_HARDDISK")</f>
        <v>BASE_UOM_COMP_HARDDISK</v>
      </c>
      <c r="I8093" s="136"/>
      <c r="R8093" s="63" t="str">
        <f t="shared" si="60"/>
        <v>ZSI1_COMP_HARDDISKBASE_UOM_COMP_HARDDISK</v>
      </c>
    </row>
    <row r="8094" ht="15.75" customHeight="1">
      <c r="B8094" s="63">
        <f t="shared" si="1"/>
        <v>18</v>
      </c>
      <c r="C8094" s="135" t="s">
        <v>369</v>
      </c>
      <c r="D8094" s="161" t="s">
        <v>74</v>
      </c>
      <c r="E8094" s="135">
        <f t="shared" si="61"/>
        <v>9</v>
      </c>
      <c r="F8094" s="134" t="s">
        <v>4286</v>
      </c>
      <c r="G8094" s="63" t="str">
        <f>VLOOKUP(C8094, 'Class Def. - General Data'!$C$20:$C$1000,1,false)</f>
        <v>ZSI1_COMP_HARDDISK</v>
      </c>
      <c r="H8094" s="63" t="str">
        <f>IFERROR(__xludf.DUMMYFUNCTION("VLOOKUP(F8094, IMPORTRANGE(""https://docs.google.com/spreadsheets/d/1Lhp9OU0JdFf_VYSMzH5lBcEaU4o8teT1piV-SNzShjg/edit?gid=554141278#gid=554141278"", ""'Char Def. - Attributes'!C20:C2242""), 1,false)"),"ORDER_UNIT_COMP_HARDDISK")</f>
        <v>ORDER_UNIT_COMP_HARDDISK</v>
      </c>
      <c r="I8094" s="136"/>
      <c r="R8094" s="63" t="str">
        <f t="shared" si="60"/>
        <v>ZSI1_COMP_HARDDISKORDER_UNIT_COMP_HARDDISK</v>
      </c>
    </row>
    <row r="8095" ht="15.75" customHeight="1">
      <c r="B8095" s="63">
        <f t="shared" si="1"/>
        <v>18</v>
      </c>
      <c r="C8095" s="135" t="s">
        <v>369</v>
      </c>
      <c r="D8095" s="161" t="s">
        <v>74</v>
      </c>
      <c r="E8095" s="135">
        <f t="shared" si="61"/>
        <v>10</v>
      </c>
      <c r="F8095" s="134" t="s">
        <v>4056</v>
      </c>
      <c r="G8095" s="63" t="str">
        <f>VLOOKUP(C8095, 'Class Def. - General Data'!$C$20:$C$1000,1,false)</f>
        <v>ZSI1_COMP_HARDDISK</v>
      </c>
      <c r="H8095" s="63" t="str">
        <f>IFERROR(__xludf.DUMMYFUNCTION("VLOOKUP(F8095, IMPORTRANGE(""https://docs.google.com/spreadsheets/d/1Lhp9OU0JdFf_VYSMzH5lBcEaU4o8teT1piV-SNzShjg/edit?gid=554141278#gid=554141278"", ""'Char Def. - Attributes'!C20:C2242""), 1,false)"),"GROSS_WEIGHT_OPT")</f>
        <v>GROSS_WEIGHT_OPT</v>
      </c>
      <c r="I8095" s="136"/>
      <c r="R8095" s="63" t="str">
        <f t="shared" si="60"/>
        <v>ZSI1_COMP_HARDDISKGROSS_WEIGHT_OPT</v>
      </c>
    </row>
    <row r="8096" ht="15.75" customHeight="1">
      <c r="B8096" s="63">
        <f t="shared" si="1"/>
        <v>18</v>
      </c>
      <c r="C8096" s="135" t="s">
        <v>369</v>
      </c>
      <c r="D8096" s="161" t="s">
        <v>74</v>
      </c>
      <c r="E8096" s="135">
        <f t="shared" si="61"/>
        <v>11</v>
      </c>
      <c r="F8096" s="134" t="s">
        <v>4057</v>
      </c>
      <c r="G8096" s="63" t="str">
        <f>VLOOKUP(C8096, 'Class Def. - General Data'!$C$20:$C$1000,1,false)</f>
        <v>ZSI1_COMP_HARDDISK</v>
      </c>
      <c r="H8096" s="63" t="str">
        <f>IFERROR(__xludf.DUMMYFUNCTION("VLOOKUP(F8096, IMPORTRANGE(""https://docs.google.com/spreadsheets/d/1Lhp9OU0JdFf_VYSMzH5lBcEaU4o8teT1piV-SNzShjg/edit?gid=554141278#gid=554141278"", ""'Char Def. - Attributes'!C20:C2242""), 1,false)"),"NET_WEIGHT_OPT")</f>
        <v>NET_WEIGHT_OPT</v>
      </c>
      <c r="I8096" s="136"/>
      <c r="R8096" s="63" t="str">
        <f t="shared" si="60"/>
        <v>ZSI1_COMP_HARDDISKNET_WEIGHT_OPT</v>
      </c>
    </row>
    <row r="8097" ht="15.75" customHeight="1">
      <c r="B8097" s="63">
        <f t="shared" si="1"/>
        <v>18</v>
      </c>
      <c r="C8097" s="135" t="s">
        <v>369</v>
      </c>
      <c r="D8097" s="161" t="s">
        <v>74</v>
      </c>
      <c r="E8097" s="135">
        <f t="shared" si="61"/>
        <v>12</v>
      </c>
      <c r="F8097" s="134" t="s">
        <v>4058</v>
      </c>
      <c r="G8097" s="63" t="str">
        <f>VLOOKUP(C8097, 'Class Def. - General Data'!$C$20:$C$1000,1,false)</f>
        <v>ZSI1_COMP_HARDDISK</v>
      </c>
      <c r="H8097" s="63" t="str">
        <f>IFERROR(__xludf.DUMMYFUNCTION("VLOOKUP(F8097, IMPORTRANGE(""https://docs.google.com/spreadsheets/d/1Lhp9OU0JdFf_VYSMzH5lBcEaU4o8teT1piV-SNzShjg/edit?gid=554141278#gid=554141278"", ""'Char Def. - Attributes'!C20:C2242""), 1,false)"),"WEIGHT_UNIT_SI")</f>
        <v>WEIGHT_UNIT_SI</v>
      </c>
      <c r="I8097" s="136"/>
      <c r="R8097" s="63" t="str">
        <f t="shared" si="60"/>
        <v>ZSI1_COMP_HARDDISKWEIGHT_UNIT_SI</v>
      </c>
    </row>
    <row r="8098" ht="15.75" customHeight="1">
      <c r="B8098" s="63">
        <f t="shared" si="1"/>
        <v>18</v>
      </c>
      <c r="C8098" s="135" t="s">
        <v>369</v>
      </c>
      <c r="D8098" s="161" t="s">
        <v>74</v>
      </c>
      <c r="E8098" s="135">
        <f t="shared" si="61"/>
        <v>13</v>
      </c>
      <c r="F8098" s="134" t="s">
        <v>3877</v>
      </c>
      <c r="G8098" s="63" t="str">
        <f>VLOOKUP(C8098, 'Class Def. - General Data'!$C$20:$C$1000,1,false)</f>
        <v>ZSI1_COMP_HARDDISK</v>
      </c>
      <c r="H8098" s="63" t="str">
        <f>IFERROR(__xludf.DUMMYFUNCTION("VLOOKUP(F8098, IMPORTRANGE(""https://docs.google.com/spreadsheets/d/1Lhp9OU0JdFf_VYSMzH5lBcEaU4o8teT1piV-SNzShjg/edit?gid=554141278#gid=554141278"", ""'Char Def. - Attributes'!C20:C2242""), 1,false)"),"VOLUME_OPT")</f>
        <v>VOLUME_OPT</v>
      </c>
      <c r="I8098" s="136"/>
      <c r="R8098" s="63" t="str">
        <f t="shared" si="60"/>
        <v>ZSI1_COMP_HARDDISKVOLUME_OPT</v>
      </c>
    </row>
    <row r="8099" ht="15.75" customHeight="1">
      <c r="B8099" s="63">
        <f t="shared" si="1"/>
        <v>18</v>
      </c>
      <c r="C8099" s="135" t="s">
        <v>369</v>
      </c>
      <c r="D8099" s="161" t="s">
        <v>74</v>
      </c>
      <c r="E8099" s="135">
        <f t="shared" si="61"/>
        <v>14</v>
      </c>
      <c r="F8099" s="134" t="s">
        <v>4059</v>
      </c>
      <c r="G8099" s="63" t="str">
        <f>VLOOKUP(C8099, 'Class Def. - General Data'!$C$20:$C$1000,1,false)</f>
        <v>ZSI1_COMP_HARDDISK</v>
      </c>
      <c r="H8099" s="63" t="str">
        <f>IFERROR(__xludf.DUMMYFUNCTION("VLOOKUP(F8099, IMPORTRANGE(""https://docs.google.com/spreadsheets/d/1Lhp9OU0JdFf_VYSMzH5lBcEaU4o8teT1piV-SNzShjg/edit?gid=554141278#gid=554141278"", ""'Char Def. - Attributes'!C20:C2242""), 1,false)"),"VOLUME_UNIT_SI")</f>
        <v>VOLUME_UNIT_SI</v>
      </c>
      <c r="I8099" s="136"/>
      <c r="R8099" s="63" t="str">
        <f t="shared" si="60"/>
        <v>ZSI1_COMP_HARDDISKVOLUME_UNIT_SI</v>
      </c>
    </row>
    <row r="8100" ht="15.75" customHeight="1">
      <c r="B8100" s="63">
        <f t="shared" si="1"/>
        <v>18</v>
      </c>
      <c r="C8100" s="135" t="s">
        <v>369</v>
      </c>
      <c r="D8100" s="161" t="s">
        <v>74</v>
      </c>
      <c r="E8100" s="135">
        <f t="shared" si="61"/>
        <v>15</v>
      </c>
      <c r="F8100" s="134" t="s">
        <v>3804</v>
      </c>
      <c r="G8100" s="63" t="str">
        <f>VLOOKUP(C8100, 'Class Def. - General Data'!$C$20:$C$1000,1,false)</f>
        <v>ZSI1_COMP_HARDDISK</v>
      </c>
      <c r="H8100" s="63" t="str">
        <f>IFERROR(__xludf.DUMMYFUNCTION("VLOOKUP(F8100, IMPORTRANGE(""https://docs.google.com/spreadsheets/d/1Lhp9OU0JdFf_VYSMzH5lBcEaU4o8teT1piV-SNzShjg/edit?gid=554141278#gid=554141278"", ""'Char Def. - Attributes'!C20:C2242""), 1,false)"),"ALT_UOM1_SIPI")</f>
        <v>ALT_UOM1_SIPI</v>
      </c>
      <c r="I8100" s="136"/>
      <c r="R8100" s="63" t="str">
        <f t="shared" si="60"/>
        <v>ZSI1_COMP_HARDDISKALT_UOM1_SIPI</v>
      </c>
    </row>
    <row r="8101" ht="15.75" customHeight="1">
      <c r="B8101" s="63">
        <f t="shared" si="1"/>
        <v>18</v>
      </c>
      <c r="C8101" s="135" t="s">
        <v>369</v>
      </c>
      <c r="D8101" s="161" t="s">
        <v>74</v>
      </c>
      <c r="E8101" s="135">
        <f t="shared" si="61"/>
        <v>16</v>
      </c>
      <c r="F8101" s="134" t="s">
        <v>3805</v>
      </c>
      <c r="G8101" s="63" t="str">
        <f>VLOOKUP(C8101, 'Class Def. - General Data'!$C$20:$C$1000,1,false)</f>
        <v>ZSI1_COMP_HARDDISK</v>
      </c>
      <c r="H8101" s="63" t="str">
        <f>IFERROR(__xludf.DUMMYFUNCTION("VLOOKUP(F8101, IMPORTRANGE(""https://docs.google.com/spreadsheets/d/1Lhp9OU0JdFf_VYSMzH5lBcEaU4o8teT1piV-SNzShjg/edit?gid=554141278#gid=554141278"", ""'Char Def. - Attributes'!C20:C2242""), 1,false)"),"ALT_DENUM_UOM1")</f>
        <v>ALT_DENUM_UOM1</v>
      </c>
      <c r="I8101" s="136"/>
      <c r="R8101" s="63" t="str">
        <f t="shared" si="60"/>
        <v>ZSI1_COMP_HARDDISKALT_DENUM_UOM1</v>
      </c>
    </row>
    <row r="8102" ht="15.75" customHeight="1">
      <c r="B8102" s="63">
        <f t="shared" si="1"/>
        <v>18</v>
      </c>
      <c r="C8102" s="135" t="s">
        <v>369</v>
      </c>
      <c r="D8102" s="161" t="s">
        <v>74</v>
      </c>
      <c r="E8102" s="135">
        <f t="shared" si="61"/>
        <v>17</v>
      </c>
      <c r="F8102" s="134" t="s">
        <v>3806</v>
      </c>
      <c r="G8102" s="63" t="str">
        <f>VLOOKUP(C8102, 'Class Def. - General Data'!$C$20:$C$1000,1,false)</f>
        <v>ZSI1_COMP_HARDDISK</v>
      </c>
      <c r="H8102" s="63" t="str">
        <f>IFERROR(__xludf.DUMMYFUNCTION("VLOOKUP(F8102, IMPORTRANGE(""https://docs.google.com/spreadsheets/d/1Lhp9OU0JdFf_VYSMzH5lBcEaU4o8teT1piV-SNzShjg/edit?gid=554141278#gid=554141278"", ""'Char Def. - Attributes'!C20:C2242""), 1,false)"),"ALT_NUM_UOM1")</f>
        <v>ALT_NUM_UOM1</v>
      </c>
      <c r="I8102" s="136"/>
      <c r="R8102" s="63" t="str">
        <f t="shared" si="60"/>
        <v>ZSI1_COMP_HARDDISKALT_NUM_UOM1</v>
      </c>
    </row>
    <row r="8103" ht="15.75" customHeight="1">
      <c r="B8103" s="63">
        <f t="shared" si="1"/>
        <v>18</v>
      </c>
      <c r="C8103" s="135" t="s">
        <v>369</v>
      </c>
      <c r="D8103" s="161" t="s">
        <v>74</v>
      </c>
      <c r="E8103" s="135">
        <f t="shared" si="61"/>
        <v>18</v>
      </c>
      <c r="F8103" s="134" t="s">
        <v>3807</v>
      </c>
      <c r="G8103" s="63" t="str">
        <f>VLOOKUP(C8103, 'Class Def. - General Data'!$C$20:$C$1000,1,false)</f>
        <v>ZSI1_COMP_HARDDISK</v>
      </c>
      <c r="H8103" s="63" t="str">
        <f>IFERROR(__xludf.DUMMYFUNCTION("VLOOKUP(F8103, IMPORTRANGE(""https://docs.google.com/spreadsheets/d/1Lhp9OU0JdFf_VYSMzH5lBcEaU4o8teT1piV-SNzShjg/edit?gid=554141278#gid=554141278"", ""'Char Def. - Attributes'!C20:C2242""), 1,false)"),"ALT_UOM2_SIPI")</f>
        <v>ALT_UOM2_SIPI</v>
      </c>
      <c r="I8103" s="136"/>
      <c r="R8103" s="63" t="str">
        <f t="shared" si="60"/>
        <v>ZSI1_COMP_HARDDISKALT_UOM2_SIPI</v>
      </c>
    </row>
    <row r="8104" ht="15.75" customHeight="1">
      <c r="B8104" s="63">
        <f t="shared" si="1"/>
        <v>18</v>
      </c>
      <c r="C8104" s="135" t="s">
        <v>369</v>
      </c>
      <c r="D8104" s="161" t="s">
        <v>74</v>
      </c>
      <c r="E8104" s="135">
        <f t="shared" si="61"/>
        <v>19</v>
      </c>
      <c r="F8104" s="134" t="s">
        <v>3808</v>
      </c>
      <c r="G8104" s="63" t="str">
        <f>VLOOKUP(C8104, 'Class Def. - General Data'!$C$20:$C$1000,1,false)</f>
        <v>ZSI1_COMP_HARDDISK</v>
      </c>
      <c r="H8104" s="63" t="str">
        <f>IFERROR(__xludf.DUMMYFUNCTION("VLOOKUP(F8104, IMPORTRANGE(""https://docs.google.com/spreadsheets/d/1Lhp9OU0JdFf_VYSMzH5lBcEaU4o8teT1piV-SNzShjg/edit?gid=554141278#gid=554141278"", ""'Char Def. - Attributes'!C20:C2242""), 1,false)"),"ALT_DENUM_UOM2")</f>
        <v>ALT_DENUM_UOM2</v>
      </c>
      <c r="I8104" s="136"/>
      <c r="R8104" s="63" t="str">
        <f t="shared" si="60"/>
        <v>ZSI1_COMP_HARDDISKALT_DENUM_UOM2</v>
      </c>
    </row>
    <row r="8105" ht="15.75" customHeight="1">
      <c r="B8105" s="63">
        <f t="shared" si="1"/>
        <v>18</v>
      </c>
      <c r="C8105" s="135" t="s">
        <v>369</v>
      </c>
      <c r="D8105" s="161" t="s">
        <v>74</v>
      </c>
      <c r="E8105" s="135">
        <f t="shared" si="61"/>
        <v>20</v>
      </c>
      <c r="F8105" s="134" t="s">
        <v>3809</v>
      </c>
      <c r="G8105" s="63" t="str">
        <f>VLOOKUP(C8105, 'Class Def. - General Data'!$C$20:$C$1000,1,false)</f>
        <v>ZSI1_COMP_HARDDISK</v>
      </c>
      <c r="H8105" s="63" t="str">
        <f>IFERROR(__xludf.DUMMYFUNCTION("VLOOKUP(F8105, IMPORTRANGE(""https://docs.google.com/spreadsheets/d/1Lhp9OU0JdFf_VYSMzH5lBcEaU4o8teT1piV-SNzShjg/edit?gid=554141278#gid=554141278"", ""'Char Def. - Attributes'!C20:C2242""), 1,false)"),"ALT_NUM_UOM2")</f>
        <v>ALT_NUM_UOM2</v>
      </c>
      <c r="I8105" s="136"/>
      <c r="R8105" s="63" t="str">
        <f t="shared" si="60"/>
        <v>ZSI1_COMP_HARDDISKALT_NUM_UOM2</v>
      </c>
    </row>
    <row r="8106" ht="15.75" customHeight="1">
      <c r="B8106" s="63">
        <f t="shared" si="1"/>
        <v>18</v>
      </c>
      <c r="C8106" s="135" t="s">
        <v>369</v>
      </c>
      <c r="D8106" s="161" t="s">
        <v>74</v>
      </c>
      <c r="E8106" s="135">
        <f t="shared" si="61"/>
        <v>21</v>
      </c>
      <c r="F8106" s="134" t="s">
        <v>3810</v>
      </c>
      <c r="G8106" s="63" t="str">
        <f>VLOOKUP(C8106, 'Class Def. - General Data'!$C$20:$C$1000,1,false)</f>
        <v>ZSI1_COMP_HARDDISK</v>
      </c>
      <c r="H8106" s="63" t="str">
        <f>IFERROR(__xludf.DUMMYFUNCTION("VLOOKUP(F8106, IMPORTRANGE(""https://docs.google.com/spreadsheets/d/1Lhp9OU0JdFf_VYSMzH5lBcEaU4o8teT1piV-SNzShjg/edit?gid=554141278#gid=554141278"", ""'Char Def. - Attributes'!C20:C2242""), 1,false)"),"ALT_UOM3_SIPI")</f>
        <v>ALT_UOM3_SIPI</v>
      </c>
      <c r="I8106" s="136"/>
      <c r="R8106" s="63" t="str">
        <f t="shared" si="60"/>
        <v>ZSI1_COMP_HARDDISKALT_UOM3_SIPI</v>
      </c>
    </row>
    <row r="8107" ht="15.75" customHeight="1">
      <c r="B8107" s="63">
        <f t="shared" si="1"/>
        <v>18</v>
      </c>
      <c r="C8107" s="135" t="s">
        <v>369</v>
      </c>
      <c r="D8107" s="161" t="s">
        <v>74</v>
      </c>
      <c r="E8107" s="135">
        <f t="shared" si="61"/>
        <v>22</v>
      </c>
      <c r="F8107" s="134" t="s">
        <v>3811</v>
      </c>
      <c r="G8107" s="63" t="str">
        <f>VLOOKUP(C8107, 'Class Def. - General Data'!$C$20:$C$1000,1,false)</f>
        <v>ZSI1_COMP_HARDDISK</v>
      </c>
      <c r="H8107" s="63" t="str">
        <f>IFERROR(__xludf.DUMMYFUNCTION("VLOOKUP(F8107, IMPORTRANGE(""https://docs.google.com/spreadsheets/d/1Lhp9OU0JdFf_VYSMzH5lBcEaU4o8teT1piV-SNzShjg/edit?gid=554141278#gid=554141278"", ""'Char Def. - Attributes'!C20:C2242""), 1,false)"),"ALT_DENUM_UOM3")</f>
        <v>ALT_DENUM_UOM3</v>
      </c>
      <c r="I8107" s="136"/>
      <c r="R8107" s="63" t="str">
        <f t="shared" si="60"/>
        <v>ZSI1_COMP_HARDDISKALT_DENUM_UOM3</v>
      </c>
    </row>
    <row r="8108" ht="15.75" customHeight="1">
      <c r="B8108" s="63">
        <f t="shared" si="1"/>
        <v>18</v>
      </c>
      <c r="C8108" s="135" t="s">
        <v>369</v>
      </c>
      <c r="D8108" s="161" t="s">
        <v>74</v>
      </c>
      <c r="E8108" s="135">
        <f t="shared" si="61"/>
        <v>23</v>
      </c>
      <c r="F8108" s="134" t="s">
        <v>3812</v>
      </c>
      <c r="G8108" s="63" t="str">
        <f>VLOOKUP(C8108, 'Class Def. - General Data'!$C$20:$C$1000,1,false)</f>
        <v>ZSI1_COMP_HARDDISK</v>
      </c>
      <c r="H8108" s="63" t="str">
        <f>IFERROR(__xludf.DUMMYFUNCTION("VLOOKUP(F8108, IMPORTRANGE(""https://docs.google.com/spreadsheets/d/1Lhp9OU0JdFf_VYSMzH5lBcEaU4o8teT1piV-SNzShjg/edit?gid=554141278#gid=554141278"", ""'Char Def. - Attributes'!C20:C2242""), 1,false)"),"ALT_NUM_UOM3")</f>
        <v>ALT_NUM_UOM3</v>
      </c>
      <c r="I8108" s="136"/>
      <c r="R8108" s="63" t="str">
        <f t="shared" si="60"/>
        <v>ZSI1_COMP_HARDDISKALT_NUM_UOM3</v>
      </c>
    </row>
    <row r="8109" ht="15.75" customHeight="1">
      <c r="B8109" s="63">
        <f t="shared" si="1"/>
        <v>18</v>
      </c>
      <c r="C8109" s="135" t="s">
        <v>369</v>
      </c>
      <c r="D8109" s="161" t="s">
        <v>74</v>
      </c>
      <c r="E8109" s="135">
        <f t="shared" si="61"/>
        <v>24</v>
      </c>
      <c r="F8109" s="134" t="s">
        <v>3813</v>
      </c>
      <c r="G8109" s="63" t="str">
        <f>VLOOKUP(C8109, 'Class Def. - General Data'!$C$20:$C$1000,1,false)</f>
        <v>ZSI1_COMP_HARDDISK</v>
      </c>
      <c r="H8109" s="63" t="str">
        <f>IFERROR(__xludf.DUMMYFUNCTION("VLOOKUP(F8109, IMPORTRANGE(""https://docs.google.com/spreadsheets/d/1Lhp9OU0JdFf_VYSMzH5lBcEaU4o8teT1piV-SNzShjg/edit?gid=554141278#gid=554141278"", ""'Char Def. - Attributes'!C20:C2242""), 1,false)"),"ALT_UOM4_SIPI")</f>
        <v>ALT_UOM4_SIPI</v>
      </c>
      <c r="I8109" s="136"/>
      <c r="R8109" s="63" t="str">
        <f t="shared" si="60"/>
        <v>ZSI1_COMP_HARDDISKALT_UOM4_SIPI</v>
      </c>
    </row>
    <row r="8110" ht="15.75" customHeight="1">
      <c r="B8110" s="63">
        <f t="shared" si="1"/>
        <v>18</v>
      </c>
      <c r="C8110" s="135" t="s">
        <v>369</v>
      </c>
      <c r="D8110" s="161" t="s">
        <v>74</v>
      </c>
      <c r="E8110" s="135">
        <f t="shared" si="61"/>
        <v>25</v>
      </c>
      <c r="F8110" s="134" t="s">
        <v>3814</v>
      </c>
      <c r="G8110" s="63" t="str">
        <f>VLOOKUP(C8110, 'Class Def. - General Data'!$C$20:$C$1000,1,false)</f>
        <v>ZSI1_COMP_HARDDISK</v>
      </c>
      <c r="H8110" s="63" t="str">
        <f>IFERROR(__xludf.DUMMYFUNCTION("VLOOKUP(F8110, IMPORTRANGE(""https://docs.google.com/spreadsheets/d/1Lhp9OU0JdFf_VYSMzH5lBcEaU4o8teT1piV-SNzShjg/edit?gid=554141278#gid=554141278"", ""'Char Def. - Attributes'!C20:C2242""), 1,false)"),"ALT_DENUM_UOM4")</f>
        <v>ALT_DENUM_UOM4</v>
      </c>
      <c r="I8110" s="136"/>
      <c r="R8110" s="63" t="str">
        <f t="shared" si="60"/>
        <v>ZSI1_COMP_HARDDISKALT_DENUM_UOM4</v>
      </c>
    </row>
    <row r="8111" ht="15.75" customHeight="1">
      <c r="B8111" s="63">
        <f t="shared" si="1"/>
        <v>18</v>
      </c>
      <c r="C8111" s="135" t="s">
        <v>369</v>
      </c>
      <c r="D8111" s="161" t="s">
        <v>74</v>
      </c>
      <c r="E8111" s="135">
        <f t="shared" si="61"/>
        <v>26</v>
      </c>
      <c r="F8111" s="134" t="s">
        <v>3815</v>
      </c>
      <c r="G8111" s="63" t="str">
        <f>VLOOKUP(C8111, 'Class Def. - General Data'!$C$20:$C$1000,1,false)</f>
        <v>ZSI1_COMP_HARDDISK</v>
      </c>
      <c r="H8111" s="63" t="str">
        <f>IFERROR(__xludf.DUMMYFUNCTION("VLOOKUP(F8111, IMPORTRANGE(""https://docs.google.com/spreadsheets/d/1Lhp9OU0JdFf_VYSMzH5lBcEaU4o8teT1piV-SNzShjg/edit?gid=554141278#gid=554141278"", ""'Char Def. - Attributes'!C20:C2242""), 1,false)"),"ALT_NUM_UOM4")</f>
        <v>ALT_NUM_UOM4</v>
      </c>
      <c r="I8111" s="136"/>
      <c r="R8111" s="63" t="str">
        <f t="shared" si="60"/>
        <v>ZSI1_COMP_HARDDISKALT_NUM_UOM4</v>
      </c>
    </row>
    <row r="8112" ht="15.75" customHeight="1">
      <c r="B8112" s="63">
        <f t="shared" si="1"/>
        <v>18</v>
      </c>
      <c r="C8112" s="135" t="s">
        <v>369</v>
      </c>
      <c r="D8112" s="161" t="s">
        <v>74</v>
      </c>
      <c r="E8112" s="135">
        <f t="shared" si="61"/>
        <v>27</v>
      </c>
      <c r="F8112" s="134" t="s">
        <v>3816</v>
      </c>
      <c r="G8112" s="63" t="str">
        <f>VLOOKUP(C8112, 'Class Def. - General Data'!$C$20:$C$1000,1,false)</f>
        <v>ZSI1_COMP_HARDDISK</v>
      </c>
      <c r="H8112" s="63" t="str">
        <f>IFERROR(__xludf.DUMMYFUNCTION("VLOOKUP(F8112, IMPORTRANGE(""https://docs.google.com/spreadsheets/d/1Lhp9OU0JdFf_VYSMzH5lBcEaU4o8teT1piV-SNzShjg/edit?gid=554141278#gid=554141278"", ""'Char Def. - Attributes'!C20:C2242""), 1,false)"),"ALT_UOM5_SIPI")</f>
        <v>ALT_UOM5_SIPI</v>
      </c>
      <c r="I8112" s="136"/>
      <c r="R8112" s="63" t="str">
        <f t="shared" si="60"/>
        <v>ZSI1_COMP_HARDDISKALT_UOM5_SIPI</v>
      </c>
    </row>
    <row r="8113" ht="15.75" customHeight="1">
      <c r="B8113" s="63">
        <f t="shared" si="1"/>
        <v>18</v>
      </c>
      <c r="C8113" s="135" t="s">
        <v>369</v>
      </c>
      <c r="D8113" s="161" t="s">
        <v>74</v>
      </c>
      <c r="E8113" s="135">
        <f t="shared" si="61"/>
        <v>28</v>
      </c>
      <c r="F8113" s="134" t="s">
        <v>3817</v>
      </c>
      <c r="G8113" s="63" t="str">
        <f>VLOOKUP(C8113, 'Class Def. - General Data'!$C$20:$C$1000,1,false)</f>
        <v>ZSI1_COMP_HARDDISK</v>
      </c>
      <c r="H8113" s="63" t="str">
        <f>IFERROR(__xludf.DUMMYFUNCTION("VLOOKUP(F8113, IMPORTRANGE(""https://docs.google.com/spreadsheets/d/1Lhp9OU0JdFf_VYSMzH5lBcEaU4o8teT1piV-SNzShjg/edit?gid=554141278#gid=554141278"", ""'Char Def. - Attributes'!C20:C2242""), 1,false)"),"ALT_DENUM_UOM5")</f>
        <v>ALT_DENUM_UOM5</v>
      </c>
      <c r="I8113" s="136"/>
      <c r="R8113" s="63" t="str">
        <f t="shared" si="60"/>
        <v>ZSI1_COMP_HARDDISKALT_DENUM_UOM5</v>
      </c>
    </row>
    <row r="8114" ht="15.75" customHeight="1">
      <c r="B8114" s="63">
        <f t="shared" si="1"/>
        <v>18</v>
      </c>
      <c r="C8114" s="135" t="s">
        <v>369</v>
      </c>
      <c r="D8114" s="161" t="s">
        <v>74</v>
      </c>
      <c r="E8114" s="135">
        <f t="shared" si="61"/>
        <v>29</v>
      </c>
      <c r="F8114" s="134" t="s">
        <v>3818</v>
      </c>
      <c r="G8114" s="63" t="str">
        <f>VLOOKUP(C8114, 'Class Def. - General Data'!$C$20:$C$1000,1,false)</f>
        <v>ZSI1_COMP_HARDDISK</v>
      </c>
      <c r="H8114" s="63" t="str">
        <f>IFERROR(__xludf.DUMMYFUNCTION("VLOOKUP(F8114, IMPORTRANGE(""https://docs.google.com/spreadsheets/d/1Lhp9OU0JdFf_VYSMzH5lBcEaU4o8teT1piV-SNzShjg/edit?gid=554141278#gid=554141278"", ""'Char Def. - Attributes'!C20:C2242""), 1,false)"),"ALT_NUM_UOM5")</f>
        <v>ALT_NUM_UOM5</v>
      </c>
      <c r="I8114" s="136"/>
      <c r="R8114" s="63" t="str">
        <f t="shared" si="60"/>
        <v>ZSI1_COMP_HARDDISKALT_NUM_UOM5</v>
      </c>
    </row>
    <row r="8115" ht="15.75" customHeight="1">
      <c r="B8115" s="63">
        <f t="shared" si="1"/>
        <v>18</v>
      </c>
      <c r="C8115" s="135" t="s">
        <v>370</v>
      </c>
      <c r="D8115" s="161" t="s">
        <v>74</v>
      </c>
      <c r="E8115" s="135">
        <f t="shared" si="61"/>
        <v>1</v>
      </c>
      <c r="F8115" s="134" t="s">
        <v>3585</v>
      </c>
      <c r="G8115" s="63" t="str">
        <f>VLOOKUP(C8115, 'Class Def. - General Data'!$C$20:$C$1000,1,false)</f>
        <v>ZSI1_COMP_MIX_SOLV</v>
      </c>
      <c r="H8115" s="63" t="str">
        <f>IFERROR(__xludf.DUMMYFUNCTION("VLOOKUP(F8115, IMPORTRANGE(""https://docs.google.com/spreadsheets/d/1Lhp9OU0JdFf_VYSMzH5lBcEaU4o8teT1piV-SNzShjg/edit?gid=554141278#gid=554141278"", ""'Char Def. - Attributes'!C20:C2242""), 1,false)"),"HS_CODE")</f>
        <v>HS_CODE</v>
      </c>
      <c r="I8115" s="136"/>
      <c r="R8115" s="63" t="str">
        <f t="shared" si="60"/>
        <v>ZSI1_COMP_MIX_SOLVHS_CODE</v>
      </c>
    </row>
    <row r="8116" ht="15.75" customHeight="1">
      <c r="B8116" s="63">
        <f t="shared" si="1"/>
        <v>18</v>
      </c>
      <c r="C8116" s="135" t="s">
        <v>370</v>
      </c>
      <c r="D8116" s="161" t="s">
        <v>74</v>
      </c>
      <c r="E8116" s="135">
        <f t="shared" si="61"/>
        <v>2</v>
      </c>
      <c r="F8116" s="135" t="s">
        <v>4287</v>
      </c>
      <c r="G8116" s="63" t="str">
        <f>VLOOKUP(C8116, 'Class Def. - General Data'!$C$20:$C$1000,1,false)</f>
        <v>ZSI1_COMP_MIX_SOLV</v>
      </c>
      <c r="H8116" s="63" t="str">
        <f>IFERROR(__xludf.DUMMYFUNCTION("VLOOKUP(F8116, IMPORTRANGE(""https://docs.google.com/spreadsheets/d/1Lhp9OU0JdFf_VYSMzH5lBcEaU4o8teT1piV-SNzShjg/edit?gid=554141278#gid=554141278"", ""'Char Def. - Attributes'!C20:C2242""), 1,false)"),"#N/A")</f>
        <v>#N/A</v>
      </c>
      <c r="I8116" s="136"/>
      <c r="R8116" s="63" t="str">
        <f t="shared" si="60"/>
        <v>ZSI1_COMP_MIX_SOLVITEM_NAME_COMP_MIX_SOLV</v>
      </c>
    </row>
    <row r="8117" ht="15.75" customHeight="1">
      <c r="B8117" s="63">
        <f t="shared" si="1"/>
        <v>18</v>
      </c>
      <c r="C8117" s="135" t="s">
        <v>370</v>
      </c>
      <c r="D8117" s="161" t="s">
        <v>74</v>
      </c>
      <c r="E8117" s="135">
        <v>3.0</v>
      </c>
      <c r="F8117" s="134" t="s">
        <v>3781</v>
      </c>
      <c r="G8117" s="63" t="str">
        <f>VLOOKUP(C8117, 'Class Def. - General Data'!$C$20:$C$1000,1,false)</f>
        <v>ZSI1_COMP_MIX_SOLV</v>
      </c>
      <c r="H8117" s="63" t="str">
        <f>IFERROR(__xludf.DUMMYFUNCTION("VLOOKUP(F8117, IMPORTRANGE(""https://docs.google.com/spreadsheets/d/1Lhp9OU0JdFf_VYSMzH5lBcEaU4o8teT1piV-SNzShjg/edit?gid=554141278#gid=554141278"", ""'Char Def. - Attributes'!C20:C2242""), 1,false)"),"EXTERNAL_BRAND")</f>
        <v>EXTERNAL_BRAND</v>
      </c>
      <c r="I8117" s="136"/>
      <c r="R8117" s="63" t="str">
        <f t="shared" si="60"/>
        <v>ZSI1_COMP_MIX_SOLVEXTERNAL_BRAND</v>
      </c>
    </row>
    <row r="8118" ht="15.75" customHeight="1">
      <c r="B8118" s="63">
        <f t="shared" si="1"/>
        <v>18</v>
      </c>
      <c r="C8118" s="135" t="s">
        <v>370</v>
      </c>
      <c r="D8118" s="161" t="s">
        <v>74</v>
      </c>
      <c r="E8118" s="135">
        <v>4.0</v>
      </c>
      <c r="F8118" s="134" t="s">
        <v>4288</v>
      </c>
      <c r="G8118" s="63" t="str">
        <f>VLOOKUP(C8118, 'Class Def. - General Data'!$C$20:$C$1000,1,false)</f>
        <v>ZSI1_COMP_MIX_SOLV</v>
      </c>
      <c r="H8118" s="63" t="str">
        <f>IFERROR(__xludf.DUMMYFUNCTION("VLOOKUP(F8118, IMPORTRANGE(""https://docs.google.com/spreadsheets/d/1Lhp9OU0JdFf_VYSMzH5lBcEaU4o8teT1piV-SNzShjg/edit?gid=554141278#gid=554141278"", ""'Char Def. - Attributes'!C20:C2242""), 1,false)"),"CATALOGUE_NUMB_COMP_MIX_SOLV")</f>
        <v>CATALOGUE_NUMB_COMP_MIX_SOLV</v>
      </c>
      <c r="I8118" s="136"/>
      <c r="R8118" s="63" t="str">
        <f t="shared" si="60"/>
        <v>ZSI1_COMP_MIX_SOLVCATALOGUE_NUMB_COMP_MIX_SOLV</v>
      </c>
    </row>
    <row r="8119" ht="15.75" customHeight="1">
      <c r="B8119" s="63">
        <f t="shared" si="1"/>
        <v>18</v>
      </c>
      <c r="C8119" s="135" t="s">
        <v>370</v>
      </c>
      <c r="D8119" s="161" t="s">
        <v>74</v>
      </c>
      <c r="E8119" s="135">
        <v>5.0</v>
      </c>
      <c r="F8119" s="134" t="s">
        <v>3782</v>
      </c>
      <c r="G8119" s="63" t="str">
        <f>VLOOKUP(C8119, 'Class Def. - General Data'!$C$20:$C$1000,1,false)</f>
        <v>ZSI1_COMP_MIX_SOLV</v>
      </c>
      <c r="H8119" s="63" t="str">
        <f>IFERROR(__xludf.DUMMYFUNCTION("VLOOKUP(F8119, IMPORTRANGE(""https://docs.google.com/spreadsheets/d/1Lhp9OU0JdFf_VYSMzH5lBcEaU4o8teT1piV-SNzShjg/edit?gid=554141278#gid=554141278"", ""'Char Def. - Attributes'!C20:C2242""), 1,false)"),"BRAND_EXTERNAL")</f>
        <v>BRAND_EXTERNAL</v>
      </c>
      <c r="I8119" s="136"/>
      <c r="R8119" s="63" t="str">
        <f t="shared" si="60"/>
        <v>ZSI1_COMP_MIX_SOLVBRAND_EXTERNAL</v>
      </c>
    </row>
    <row r="8120" ht="15.75" customHeight="1">
      <c r="B8120" s="63">
        <f t="shared" si="1"/>
        <v>18</v>
      </c>
      <c r="C8120" s="135" t="s">
        <v>370</v>
      </c>
      <c r="D8120" s="161" t="s">
        <v>74</v>
      </c>
      <c r="E8120" s="135">
        <v>6.0</v>
      </c>
      <c r="F8120" s="134" t="s">
        <v>4289</v>
      </c>
      <c r="G8120" s="63" t="str">
        <f>VLOOKUP(C8120, 'Class Def. - General Data'!$C$20:$C$1000,1,false)</f>
        <v>ZSI1_COMP_MIX_SOLV</v>
      </c>
      <c r="H8120" s="63" t="str">
        <f>IFERROR(__xludf.DUMMYFUNCTION("VLOOKUP(F8120, IMPORTRANGE(""https://docs.google.com/spreadsheets/d/1Lhp9OU0JdFf_VYSMzH5lBcEaU4o8teT1piV-SNzShjg/edit?gid=554141278#gid=554141278"", ""'Char Def. - Attributes'!C20:C2242""), 1,false)"),"#N/A")</f>
        <v>#N/A</v>
      </c>
      <c r="I8120" s="136"/>
      <c r="R8120" s="63" t="str">
        <f t="shared" si="60"/>
        <v>ZSI1_COMP_MIX_SOLVCONC_COM_MIX_SOLV</v>
      </c>
    </row>
    <row r="8121" ht="15.75" customHeight="1">
      <c r="B8121" s="63">
        <f t="shared" si="1"/>
        <v>18</v>
      </c>
      <c r="C8121" s="135" t="s">
        <v>370</v>
      </c>
      <c r="D8121" s="161" t="s">
        <v>74</v>
      </c>
      <c r="E8121" s="135">
        <v>7.0</v>
      </c>
      <c r="F8121" s="134" t="s">
        <v>4290</v>
      </c>
      <c r="G8121" s="63" t="str">
        <f>VLOOKUP(C8121, 'Class Def. - General Data'!$C$20:$C$1000,1,false)</f>
        <v>ZSI1_COMP_MIX_SOLV</v>
      </c>
      <c r="H8121" s="63" t="str">
        <f>IFERROR(__xludf.DUMMYFUNCTION("VLOOKUP(F8121, IMPORTRANGE(""https://docs.google.com/spreadsheets/d/1Lhp9OU0JdFf_VYSMzH5lBcEaU4o8teT1piV-SNzShjg/edit?gid=554141278#gid=554141278"", ""'Char Def. - Attributes'!C20:C2242""), 1,false)"),"#N/A")</f>
        <v>#N/A</v>
      </c>
      <c r="I8121" s="136"/>
      <c r="R8121" s="63" t="str">
        <f t="shared" si="60"/>
        <v>ZSI1_COMP_MIX_SOLVSIZE_DIMENSION_COM_MIX_SOLV</v>
      </c>
    </row>
    <row r="8122" ht="15.75" customHeight="1">
      <c r="B8122" s="63">
        <f t="shared" si="1"/>
        <v>18</v>
      </c>
      <c r="C8122" s="135" t="s">
        <v>370</v>
      </c>
      <c r="D8122" s="161" t="s">
        <v>74</v>
      </c>
      <c r="E8122" s="135">
        <v>8.0</v>
      </c>
      <c r="F8122" s="134" t="s">
        <v>4291</v>
      </c>
      <c r="G8122" s="63" t="str">
        <f>VLOOKUP(C8122, 'Class Def. - General Data'!$C$20:$C$1000,1,false)</f>
        <v>ZSI1_COMP_MIX_SOLV</v>
      </c>
      <c r="H8122" s="63" t="str">
        <f>IFERROR(__xludf.DUMMYFUNCTION("VLOOKUP(F8122, IMPORTRANGE(""https://docs.google.com/spreadsheets/d/1Lhp9OU0JdFf_VYSMzH5lBcEaU4o8teT1piV-SNzShjg/edit?gid=554141278#gid=554141278"", ""'Char Def. - Attributes'!C20:C2242""), 1,false)"),"#N/A")</f>
        <v>#N/A</v>
      </c>
      <c r="I8122" s="136"/>
      <c r="R8122" s="63" t="str">
        <f t="shared" si="60"/>
        <v>ZSI1_COMP_MIX_SOLVSIZE_COM_MIX_SOLV</v>
      </c>
    </row>
    <row r="8123" ht="15.75" customHeight="1">
      <c r="B8123" s="63">
        <f t="shared" si="1"/>
        <v>18</v>
      </c>
      <c r="C8123" s="135" t="s">
        <v>370</v>
      </c>
      <c r="D8123" s="161" t="s">
        <v>74</v>
      </c>
      <c r="E8123" s="135">
        <v>9.0</v>
      </c>
      <c r="F8123" s="134" t="s">
        <v>3587</v>
      </c>
      <c r="G8123" s="63" t="str">
        <f>VLOOKUP(C8123, 'Class Def. - General Data'!$C$20:$C$1000,1,false)</f>
        <v>ZSI1_COMP_MIX_SOLV</v>
      </c>
      <c r="H8123" s="63" t="str">
        <f>IFERROR(__xludf.DUMMYFUNCTION("VLOOKUP(F8123, IMPORTRANGE(""https://docs.google.com/spreadsheets/d/1Lhp9OU0JdFf_VYSMzH5lBcEaU4o8teT1piV-SNzShjg/edit?gid=554141278#gid=554141278"", ""'Char Def. - Attributes'!C20:C2242""), 1,false)"),"PLANT_BUY")</f>
        <v>PLANT_BUY</v>
      </c>
      <c r="I8123" s="136"/>
      <c r="R8123" s="63" t="str">
        <f t="shared" si="60"/>
        <v>ZSI1_COMP_MIX_SOLVPLANT_BUY</v>
      </c>
    </row>
    <row r="8124" ht="15.75" customHeight="1">
      <c r="B8124" s="63">
        <f t="shared" si="1"/>
        <v>18</v>
      </c>
      <c r="C8124" s="135" t="s">
        <v>370</v>
      </c>
      <c r="D8124" s="161" t="s">
        <v>74</v>
      </c>
      <c r="E8124" s="135">
        <v>10.0</v>
      </c>
      <c r="F8124" s="134" t="s">
        <v>4292</v>
      </c>
      <c r="G8124" s="63" t="str">
        <f>VLOOKUP(C8124, 'Class Def. - General Data'!$C$20:$C$1000,1,false)</f>
        <v>ZSI1_COMP_MIX_SOLV</v>
      </c>
      <c r="H8124" s="63" t="str">
        <f>IFERROR(__xludf.DUMMYFUNCTION("VLOOKUP(F8124, IMPORTRANGE(""https://docs.google.com/spreadsheets/d/1Lhp9OU0JdFf_VYSMzH5lBcEaU4o8teT1piV-SNzShjg/edit?gid=554141278#gid=554141278"", ""'Char Def. - Attributes'!C20:C2242""), 1,false)"),"BASE_UOM_COMP_MIX_SOLV")</f>
        <v>BASE_UOM_COMP_MIX_SOLV</v>
      </c>
      <c r="I8124" s="136"/>
      <c r="R8124" s="63" t="str">
        <f t="shared" si="60"/>
        <v>ZSI1_COMP_MIX_SOLVBASE_UOM_COMP_MIX_SOLV</v>
      </c>
    </row>
    <row r="8125" ht="15.75" customHeight="1">
      <c r="B8125" s="63">
        <f t="shared" si="1"/>
        <v>18</v>
      </c>
      <c r="C8125" s="135" t="s">
        <v>370</v>
      </c>
      <c r="D8125" s="161" t="s">
        <v>74</v>
      </c>
      <c r="E8125" s="135">
        <v>11.0</v>
      </c>
      <c r="F8125" s="134" t="s">
        <v>4293</v>
      </c>
      <c r="G8125" s="63" t="str">
        <f>VLOOKUP(C8125, 'Class Def. - General Data'!$C$20:$C$1000,1,false)</f>
        <v>ZSI1_COMP_MIX_SOLV</v>
      </c>
      <c r="H8125" s="63" t="str">
        <f>IFERROR(__xludf.DUMMYFUNCTION("VLOOKUP(F8125, IMPORTRANGE(""https://docs.google.com/spreadsheets/d/1Lhp9OU0JdFf_VYSMzH5lBcEaU4o8teT1piV-SNzShjg/edit?gid=554141278#gid=554141278"", ""'Char Def. - Attributes'!C20:C2242""), 1,false)"),"ORDER_UNIT_COMP_MIX_SOLV")</f>
        <v>ORDER_UNIT_COMP_MIX_SOLV</v>
      </c>
      <c r="I8125" s="136"/>
      <c r="R8125" s="63" t="str">
        <f t="shared" si="60"/>
        <v>ZSI1_COMP_MIX_SOLVORDER_UNIT_COMP_MIX_SOLV</v>
      </c>
    </row>
    <row r="8126" ht="15.75" customHeight="1">
      <c r="B8126" s="63">
        <f t="shared" si="1"/>
        <v>18</v>
      </c>
      <c r="C8126" s="135" t="s">
        <v>370</v>
      </c>
      <c r="D8126" s="161" t="s">
        <v>74</v>
      </c>
      <c r="E8126" s="135">
        <v>12.0</v>
      </c>
      <c r="F8126" s="134" t="s">
        <v>4056</v>
      </c>
      <c r="G8126" s="63" t="str">
        <f>VLOOKUP(C8126, 'Class Def. - General Data'!$C$20:$C$1000,1,false)</f>
        <v>ZSI1_COMP_MIX_SOLV</v>
      </c>
      <c r="H8126" s="63" t="str">
        <f>IFERROR(__xludf.DUMMYFUNCTION("VLOOKUP(F8126, IMPORTRANGE(""https://docs.google.com/spreadsheets/d/1Lhp9OU0JdFf_VYSMzH5lBcEaU4o8teT1piV-SNzShjg/edit?gid=554141278#gid=554141278"", ""'Char Def. - Attributes'!C20:C2242""), 1,false)"),"GROSS_WEIGHT_OPT")</f>
        <v>GROSS_WEIGHT_OPT</v>
      </c>
      <c r="I8126" s="136"/>
      <c r="R8126" s="63" t="str">
        <f t="shared" si="60"/>
        <v>ZSI1_COMP_MIX_SOLVGROSS_WEIGHT_OPT</v>
      </c>
    </row>
    <row r="8127" ht="15.75" customHeight="1">
      <c r="B8127" s="63">
        <f t="shared" si="1"/>
        <v>18</v>
      </c>
      <c r="C8127" s="135" t="s">
        <v>370</v>
      </c>
      <c r="D8127" s="161" t="s">
        <v>74</v>
      </c>
      <c r="E8127" s="135">
        <v>13.0</v>
      </c>
      <c r="F8127" s="134" t="s">
        <v>4057</v>
      </c>
      <c r="G8127" s="63" t="str">
        <f>VLOOKUP(C8127, 'Class Def. - General Data'!$C$20:$C$1000,1,false)</f>
        <v>ZSI1_COMP_MIX_SOLV</v>
      </c>
      <c r="H8127" s="63" t="str">
        <f>IFERROR(__xludf.DUMMYFUNCTION("VLOOKUP(F8127, IMPORTRANGE(""https://docs.google.com/spreadsheets/d/1Lhp9OU0JdFf_VYSMzH5lBcEaU4o8teT1piV-SNzShjg/edit?gid=554141278#gid=554141278"", ""'Char Def. - Attributes'!C20:C2242""), 1,false)"),"NET_WEIGHT_OPT")</f>
        <v>NET_WEIGHT_OPT</v>
      </c>
      <c r="I8127" s="136"/>
      <c r="R8127" s="63" t="str">
        <f t="shared" si="60"/>
        <v>ZSI1_COMP_MIX_SOLVNET_WEIGHT_OPT</v>
      </c>
    </row>
    <row r="8128" ht="15.75" customHeight="1">
      <c r="B8128" s="63">
        <f t="shared" si="1"/>
        <v>18</v>
      </c>
      <c r="C8128" s="135" t="s">
        <v>370</v>
      </c>
      <c r="D8128" s="161" t="s">
        <v>74</v>
      </c>
      <c r="E8128" s="135">
        <v>14.0</v>
      </c>
      <c r="F8128" s="134" t="s">
        <v>4058</v>
      </c>
      <c r="G8128" s="63" t="str">
        <f>VLOOKUP(C8128, 'Class Def. - General Data'!$C$20:$C$1000,1,false)</f>
        <v>ZSI1_COMP_MIX_SOLV</v>
      </c>
      <c r="H8128" s="63" t="str">
        <f>IFERROR(__xludf.DUMMYFUNCTION("VLOOKUP(F8128, IMPORTRANGE(""https://docs.google.com/spreadsheets/d/1Lhp9OU0JdFf_VYSMzH5lBcEaU4o8teT1piV-SNzShjg/edit?gid=554141278#gid=554141278"", ""'Char Def. - Attributes'!C20:C2242""), 1,false)"),"WEIGHT_UNIT_SI")</f>
        <v>WEIGHT_UNIT_SI</v>
      </c>
      <c r="I8128" s="136"/>
      <c r="R8128" s="63" t="str">
        <f t="shared" si="60"/>
        <v>ZSI1_COMP_MIX_SOLVWEIGHT_UNIT_SI</v>
      </c>
    </row>
    <row r="8129" ht="15.75" customHeight="1">
      <c r="B8129" s="63">
        <f t="shared" si="1"/>
        <v>18</v>
      </c>
      <c r="C8129" s="135" t="s">
        <v>370</v>
      </c>
      <c r="D8129" s="161" t="s">
        <v>74</v>
      </c>
      <c r="E8129" s="135">
        <v>15.0</v>
      </c>
      <c r="F8129" s="134" t="s">
        <v>3877</v>
      </c>
      <c r="G8129" s="63" t="str">
        <f>VLOOKUP(C8129, 'Class Def. - General Data'!$C$20:$C$1000,1,false)</f>
        <v>ZSI1_COMP_MIX_SOLV</v>
      </c>
      <c r="H8129" s="63" t="str">
        <f>IFERROR(__xludf.DUMMYFUNCTION("VLOOKUP(F8129, IMPORTRANGE(""https://docs.google.com/spreadsheets/d/1Lhp9OU0JdFf_VYSMzH5lBcEaU4o8teT1piV-SNzShjg/edit?gid=554141278#gid=554141278"", ""'Char Def. - Attributes'!C20:C2242""), 1,false)"),"VOLUME_OPT")</f>
        <v>VOLUME_OPT</v>
      </c>
      <c r="I8129" s="136"/>
      <c r="R8129" s="63" t="str">
        <f t="shared" si="60"/>
        <v>ZSI1_COMP_MIX_SOLVVOLUME_OPT</v>
      </c>
    </row>
    <row r="8130" ht="15.75" customHeight="1">
      <c r="B8130" s="63">
        <f t="shared" si="1"/>
        <v>18</v>
      </c>
      <c r="C8130" s="135" t="s">
        <v>370</v>
      </c>
      <c r="D8130" s="161" t="s">
        <v>74</v>
      </c>
      <c r="E8130" s="135">
        <v>16.0</v>
      </c>
      <c r="F8130" s="134" t="s">
        <v>4059</v>
      </c>
      <c r="G8130" s="63" t="str">
        <f>VLOOKUP(C8130, 'Class Def. - General Data'!$C$20:$C$1000,1,false)</f>
        <v>ZSI1_COMP_MIX_SOLV</v>
      </c>
      <c r="H8130" s="63" t="str">
        <f>IFERROR(__xludf.DUMMYFUNCTION("VLOOKUP(F8130, IMPORTRANGE(""https://docs.google.com/spreadsheets/d/1Lhp9OU0JdFf_VYSMzH5lBcEaU4o8teT1piV-SNzShjg/edit?gid=554141278#gid=554141278"", ""'Char Def. - Attributes'!C20:C2242""), 1,false)"),"VOLUME_UNIT_SI")</f>
        <v>VOLUME_UNIT_SI</v>
      </c>
      <c r="I8130" s="136"/>
      <c r="R8130" s="63" t="str">
        <f t="shared" si="60"/>
        <v>ZSI1_COMP_MIX_SOLVVOLUME_UNIT_SI</v>
      </c>
    </row>
    <row r="8131" ht="15.75" customHeight="1">
      <c r="B8131" s="63">
        <f t="shared" si="1"/>
        <v>18</v>
      </c>
      <c r="C8131" s="135" t="s">
        <v>370</v>
      </c>
      <c r="D8131" s="161" t="s">
        <v>74</v>
      </c>
      <c r="E8131" s="135">
        <v>17.0</v>
      </c>
      <c r="F8131" s="134" t="s">
        <v>3804</v>
      </c>
      <c r="G8131" s="63" t="str">
        <f>VLOOKUP(C8131, 'Class Def. - General Data'!$C$20:$C$1000,1,false)</f>
        <v>ZSI1_COMP_MIX_SOLV</v>
      </c>
      <c r="H8131" s="63" t="str">
        <f>IFERROR(__xludf.DUMMYFUNCTION("VLOOKUP(F8131, IMPORTRANGE(""https://docs.google.com/spreadsheets/d/1Lhp9OU0JdFf_VYSMzH5lBcEaU4o8teT1piV-SNzShjg/edit?gid=554141278#gid=554141278"", ""'Char Def. - Attributes'!C20:C2242""), 1,false)"),"ALT_UOM1_SIPI")</f>
        <v>ALT_UOM1_SIPI</v>
      </c>
      <c r="I8131" s="136"/>
      <c r="R8131" s="63" t="str">
        <f t="shared" si="60"/>
        <v>ZSI1_COMP_MIX_SOLVALT_UOM1_SIPI</v>
      </c>
    </row>
    <row r="8132" ht="15.75" customHeight="1">
      <c r="B8132" s="63">
        <f t="shared" si="1"/>
        <v>18</v>
      </c>
      <c r="C8132" s="135" t="s">
        <v>370</v>
      </c>
      <c r="D8132" s="161" t="s">
        <v>74</v>
      </c>
      <c r="E8132" s="135">
        <v>18.0</v>
      </c>
      <c r="F8132" s="134" t="s">
        <v>3805</v>
      </c>
      <c r="G8132" s="63" t="str">
        <f>VLOOKUP(C8132, 'Class Def. - General Data'!$C$20:$C$1000,1,false)</f>
        <v>ZSI1_COMP_MIX_SOLV</v>
      </c>
      <c r="H8132" s="63" t="str">
        <f>IFERROR(__xludf.DUMMYFUNCTION("VLOOKUP(F8132, IMPORTRANGE(""https://docs.google.com/spreadsheets/d/1Lhp9OU0JdFf_VYSMzH5lBcEaU4o8teT1piV-SNzShjg/edit?gid=554141278#gid=554141278"", ""'Char Def. - Attributes'!C20:C2242""), 1,false)"),"ALT_DENUM_UOM1")</f>
        <v>ALT_DENUM_UOM1</v>
      </c>
      <c r="I8132" s="136"/>
      <c r="R8132" s="63" t="str">
        <f t="shared" si="60"/>
        <v>ZSI1_COMP_MIX_SOLVALT_DENUM_UOM1</v>
      </c>
    </row>
    <row r="8133" ht="15.75" customHeight="1">
      <c r="B8133" s="63">
        <f t="shared" si="1"/>
        <v>18</v>
      </c>
      <c r="C8133" s="135" t="s">
        <v>370</v>
      </c>
      <c r="D8133" s="161" t="s">
        <v>74</v>
      </c>
      <c r="E8133" s="135">
        <v>19.0</v>
      </c>
      <c r="F8133" s="134" t="s">
        <v>3806</v>
      </c>
      <c r="G8133" s="63" t="str">
        <f>VLOOKUP(C8133, 'Class Def. - General Data'!$C$20:$C$1000,1,false)</f>
        <v>ZSI1_COMP_MIX_SOLV</v>
      </c>
      <c r="H8133" s="63" t="str">
        <f>IFERROR(__xludf.DUMMYFUNCTION("VLOOKUP(F8133, IMPORTRANGE(""https://docs.google.com/spreadsheets/d/1Lhp9OU0JdFf_VYSMzH5lBcEaU4o8teT1piV-SNzShjg/edit?gid=554141278#gid=554141278"", ""'Char Def. - Attributes'!C20:C2242""), 1,false)"),"ALT_NUM_UOM1")</f>
        <v>ALT_NUM_UOM1</v>
      </c>
      <c r="I8133" s="136"/>
      <c r="R8133" s="63" t="str">
        <f t="shared" si="60"/>
        <v>ZSI1_COMP_MIX_SOLVALT_NUM_UOM1</v>
      </c>
    </row>
    <row r="8134" ht="15.75" customHeight="1">
      <c r="B8134" s="63">
        <f t="shared" si="1"/>
        <v>18</v>
      </c>
      <c r="C8134" s="135" t="s">
        <v>370</v>
      </c>
      <c r="D8134" s="161" t="s">
        <v>74</v>
      </c>
      <c r="E8134" s="135">
        <v>20.0</v>
      </c>
      <c r="F8134" s="134" t="s">
        <v>3807</v>
      </c>
      <c r="G8134" s="63" t="str">
        <f>VLOOKUP(C8134, 'Class Def. - General Data'!$C$20:$C$1000,1,false)</f>
        <v>ZSI1_COMP_MIX_SOLV</v>
      </c>
      <c r="H8134" s="63" t="str">
        <f>IFERROR(__xludf.DUMMYFUNCTION("VLOOKUP(F8134, IMPORTRANGE(""https://docs.google.com/spreadsheets/d/1Lhp9OU0JdFf_VYSMzH5lBcEaU4o8teT1piV-SNzShjg/edit?gid=554141278#gid=554141278"", ""'Char Def. - Attributes'!C20:C2242""), 1,false)"),"ALT_UOM2_SIPI")</f>
        <v>ALT_UOM2_SIPI</v>
      </c>
      <c r="I8134" s="136"/>
      <c r="R8134" s="63" t="str">
        <f t="shared" si="60"/>
        <v>ZSI1_COMP_MIX_SOLVALT_UOM2_SIPI</v>
      </c>
    </row>
    <row r="8135" ht="15.75" customHeight="1">
      <c r="B8135" s="63">
        <f t="shared" si="1"/>
        <v>18</v>
      </c>
      <c r="C8135" s="135" t="s">
        <v>370</v>
      </c>
      <c r="D8135" s="161" t="s">
        <v>74</v>
      </c>
      <c r="E8135" s="135">
        <v>21.0</v>
      </c>
      <c r="F8135" s="134" t="s">
        <v>3808</v>
      </c>
      <c r="G8135" s="63" t="str">
        <f>VLOOKUP(C8135, 'Class Def. - General Data'!$C$20:$C$1000,1,false)</f>
        <v>ZSI1_COMP_MIX_SOLV</v>
      </c>
      <c r="H8135" s="63" t="str">
        <f>IFERROR(__xludf.DUMMYFUNCTION("VLOOKUP(F8135, IMPORTRANGE(""https://docs.google.com/spreadsheets/d/1Lhp9OU0JdFf_VYSMzH5lBcEaU4o8teT1piV-SNzShjg/edit?gid=554141278#gid=554141278"", ""'Char Def. - Attributes'!C20:C2242""), 1,false)"),"ALT_DENUM_UOM2")</f>
        <v>ALT_DENUM_UOM2</v>
      </c>
      <c r="I8135" s="136"/>
      <c r="R8135" s="63" t="str">
        <f t="shared" si="60"/>
        <v>ZSI1_COMP_MIX_SOLVALT_DENUM_UOM2</v>
      </c>
    </row>
    <row r="8136" ht="15.75" customHeight="1">
      <c r="B8136" s="63">
        <f t="shared" si="1"/>
        <v>18</v>
      </c>
      <c r="C8136" s="135" t="s">
        <v>370</v>
      </c>
      <c r="D8136" s="161" t="s">
        <v>74</v>
      </c>
      <c r="E8136" s="135">
        <v>22.0</v>
      </c>
      <c r="F8136" s="134" t="s">
        <v>3809</v>
      </c>
      <c r="G8136" s="63" t="str">
        <f>VLOOKUP(C8136, 'Class Def. - General Data'!$C$20:$C$1000,1,false)</f>
        <v>ZSI1_COMP_MIX_SOLV</v>
      </c>
      <c r="H8136" s="63" t="str">
        <f>IFERROR(__xludf.DUMMYFUNCTION("VLOOKUP(F8136, IMPORTRANGE(""https://docs.google.com/spreadsheets/d/1Lhp9OU0JdFf_VYSMzH5lBcEaU4o8teT1piV-SNzShjg/edit?gid=554141278#gid=554141278"", ""'Char Def. - Attributes'!C20:C2242""), 1,false)"),"ALT_NUM_UOM2")</f>
        <v>ALT_NUM_UOM2</v>
      </c>
      <c r="I8136" s="136"/>
      <c r="R8136" s="63" t="str">
        <f t="shared" si="60"/>
        <v>ZSI1_COMP_MIX_SOLVALT_NUM_UOM2</v>
      </c>
    </row>
    <row r="8137" ht="15.75" customHeight="1">
      <c r="B8137" s="63">
        <f t="shared" si="1"/>
        <v>18</v>
      </c>
      <c r="C8137" s="135" t="s">
        <v>370</v>
      </c>
      <c r="D8137" s="161" t="s">
        <v>74</v>
      </c>
      <c r="E8137" s="135">
        <v>23.0</v>
      </c>
      <c r="F8137" s="134" t="s">
        <v>3810</v>
      </c>
      <c r="G8137" s="63" t="str">
        <f>VLOOKUP(C8137, 'Class Def. - General Data'!$C$20:$C$1000,1,false)</f>
        <v>ZSI1_COMP_MIX_SOLV</v>
      </c>
      <c r="H8137" s="63" t="str">
        <f>IFERROR(__xludf.DUMMYFUNCTION("VLOOKUP(F8137, IMPORTRANGE(""https://docs.google.com/spreadsheets/d/1Lhp9OU0JdFf_VYSMzH5lBcEaU4o8teT1piV-SNzShjg/edit?gid=554141278#gid=554141278"", ""'Char Def. - Attributes'!C20:C2242""), 1,false)"),"ALT_UOM3_SIPI")</f>
        <v>ALT_UOM3_SIPI</v>
      </c>
      <c r="I8137" s="136"/>
      <c r="R8137" s="63" t="str">
        <f t="shared" si="60"/>
        <v>ZSI1_COMP_MIX_SOLVALT_UOM3_SIPI</v>
      </c>
    </row>
    <row r="8138" ht="15.75" customHeight="1">
      <c r="B8138" s="63">
        <f t="shared" si="1"/>
        <v>18</v>
      </c>
      <c r="C8138" s="135" t="s">
        <v>370</v>
      </c>
      <c r="D8138" s="161" t="s">
        <v>74</v>
      </c>
      <c r="E8138" s="135">
        <v>24.0</v>
      </c>
      <c r="F8138" s="134" t="s">
        <v>3811</v>
      </c>
      <c r="G8138" s="63" t="str">
        <f>VLOOKUP(C8138, 'Class Def. - General Data'!$C$20:$C$1000,1,false)</f>
        <v>ZSI1_COMP_MIX_SOLV</v>
      </c>
      <c r="H8138" s="63" t="str">
        <f>IFERROR(__xludf.DUMMYFUNCTION("VLOOKUP(F8138, IMPORTRANGE(""https://docs.google.com/spreadsheets/d/1Lhp9OU0JdFf_VYSMzH5lBcEaU4o8teT1piV-SNzShjg/edit?gid=554141278#gid=554141278"", ""'Char Def. - Attributes'!C20:C2242""), 1,false)"),"ALT_DENUM_UOM3")</f>
        <v>ALT_DENUM_UOM3</v>
      </c>
      <c r="I8138" s="136"/>
      <c r="R8138" s="63" t="str">
        <f t="shared" si="60"/>
        <v>ZSI1_COMP_MIX_SOLVALT_DENUM_UOM3</v>
      </c>
    </row>
    <row r="8139" ht="15.75" customHeight="1">
      <c r="B8139" s="63">
        <f t="shared" si="1"/>
        <v>18</v>
      </c>
      <c r="C8139" s="135" t="s">
        <v>370</v>
      </c>
      <c r="D8139" s="161" t="s">
        <v>74</v>
      </c>
      <c r="E8139" s="135">
        <v>25.0</v>
      </c>
      <c r="F8139" s="134" t="s">
        <v>3812</v>
      </c>
      <c r="G8139" s="63" t="str">
        <f>VLOOKUP(C8139, 'Class Def. - General Data'!$C$20:$C$1000,1,false)</f>
        <v>ZSI1_COMP_MIX_SOLV</v>
      </c>
      <c r="H8139" s="63" t="str">
        <f>IFERROR(__xludf.DUMMYFUNCTION("VLOOKUP(F8139, IMPORTRANGE(""https://docs.google.com/spreadsheets/d/1Lhp9OU0JdFf_VYSMzH5lBcEaU4o8teT1piV-SNzShjg/edit?gid=554141278#gid=554141278"", ""'Char Def. - Attributes'!C20:C2242""), 1,false)"),"ALT_NUM_UOM3")</f>
        <v>ALT_NUM_UOM3</v>
      </c>
      <c r="I8139" s="136"/>
      <c r="R8139" s="63" t="str">
        <f t="shared" si="60"/>
        <v>ZSI1_COMP_MIX_SOLVALT_NUM_UOM3</v>
      </c>
    </row>
    <row r="8140" ht="15.75" customHeight="1">
      <c r="B8140" s="63">
        <f t="shared" si="1"/>
        <v>18</v>
      </c>
      <c r="C8140" s="135" t="s">
        <v>370</v>
      </c>
      <c r="D8140" s="161" t="s">
        <v>74</v>
      </c>
      <c r="E8140" s="135">
        <v>26.0</v>
      </c>
      <c r="F8140" s="134" t="s">
        <v>3813</v>
      </c>
      <c r="G8140" s="63" t="str">
        <f>VLOOKUP(C8140, 'Class Def. - General Data'!$C$20:$C$1000,1,false)</f>
        <v>ZSI1_COMP_MIX_SOLV</v>
      </c>
      <c r="H8140" s="63" t="str">
        <f>IFERROR(__xludf.DUMMYFUNCTION("VLOOKUP(F8140, IMPORTRANGE(""https://docs.google.com/spreadsheets/d/1Lhp9OU0JdFf_VYSMzH5lBcEaU4o8teT1piV-SNzShjg/edit?gid=554141278#gid=554141278"", ""'Char Def. - Attributes'!C20:C2242""), 1,false)"),"ALT_UOM4_SIPI")</f>
        <v>ALT_UOM4_SIPI</v>
      </c>
      <c r="I8140" s="136"/>
      <c r="R8140" s="63" t="str">
        <f t="shared" si="60"/>
        <v>ZSI1_COMP_MIX_SOLVALT_UOM4_SIPI</v>
      </c>
    </row>
    <row r="8141" ht="15.75" customHeight="1">
      <c r="B8141" s="63">
        <f t="shared" si="1"/>
        <v>18</v>
      </c>
      <c r="C8141" s="135" t="s">
        <v>370</v>
      </c>
      <c r="D8141" s="161" t="s">
        <v>74</v>
      </c>
      <c r="E8141" s="135">
        <v>27.0</v>
      </c>
      <c r="F8141" s="134" t="s">
        <v>3814</v>
      </c>
      <c r="G8141" s="63" t="str">
        <f>VLOOKUP(C8141, 'Class Def. - General Data'!$C$20:$C$1000,1,false)</f>
        <v>ZSI1_COMP_MIX_SOLV</v>
      </c>
      <c r="H8141" s="63" t="str">
        <f>IFERROR(__xludf.DUMMYFUNCTION("VLOOKUP(F8141, IMPORTRANGE(""https://docs.google.com/spreadsheets/d/1Lhp9OU0JdFf_VYSMzH5lBcEaU4o8teT1piV-SNzShjg/edit?gid=554141278#gid=554141278"", ""'Char Def. - Attributes'!C20:C2242""), 1,false)"),"ALT_DENUM_UOM4")</f>
        <v>ALT_DENUM_UOM4</v>
      </c>
      <c r="I8141" s="136"/>
      <c r="R8141" s="63" t="str">
        <f t="shared" si="60"/>
        <v>ZSI1_COMP_MIX_SOLVALT_DENUM_UOM4</v>
      </c>
    </row>
    <row r="8142" ht="15.75" customHeight="1">
      <c r="B8142" s="63">
        <f t="shared" si="1"/>
        <v>18</v>
      </c>
      <c r="C8142" s="135" t="s">
        <v>370</v>
      </c>
      <c r="D8142" s="161" t="s">
        <v>74</v>
      </c>
      <c r="E8142" s="135">
        <v>28.0</v>
      </c>
      <c r="F8142" s="134" t="s">
        <v>3815</v>
      </c>
      <c r="G8142" s="63" t="str">
        <f>VLOOKUP(C8142, 'Class Def. - General Data'!$C$20:$C$1000,1,false)</f>
        <v>ZSI1_COMP_MIX_SOLV</v>
      </c>
      <c r="H8142" s="63" t="str">
        <f>IFERROR(__xludf.DUMMYFUNCTION("VLOOKUP(F8142, IMPORTRANGE(""https://docs.google.com/spreadsheets/d/1Lhp9OU0JdFf_VYSMzH5lBcEaU4o8teT1piV-SNzShjg/edit?gid=554141278#gid=554141278"", ""'Char Def. - Attributes'!C20:C2242""), 1,false)"),"ALT_NUM_UOM4")</f>
        <v>ALT_NUM_UOM4</v>
      </c>
      <c r="I8142" s="136"/>
      <c r="R8142" s="63" t="str">
        <f t="shared" si="60"/>
        <v>ZSI1_COMP_MIX_SOLVALT_NUM_UOM4</v>
      </c>
    </row>
    <row r="8143" ht="15.75" customHeight="1">
      <c r="B8143" s="63">
        <f t="shared" si="1"/>
        <v>18</v>
      </c>
      <c r="C8143" s="135" t="s">
        <v>370</v>
      </c>
      <c r="D8143" s="161" t="s">
        <v>74</v>
      </c>
      <c r="E8143" s="135">
        <v>29.0</v>
      </c>
      <c r="F8143" s="134" t="s">
        <v>3816</v>
      </c>
      <c r="G8143" s="63" t="str">
        <f>VLOOKUP(C8143, 'Class Def. - General Data'!$C$20:$C$1000,1,false)</f>
        <v>ZSI1_COMP_MIX_SOLV</v>
      </c>
      <c r="H8143" s="63" t="str">
        <f>IFERROR(__xludf.DUMMYFUNCTION("VLOOKUP(F8143, IMPORTRANGE(""https://docs.google.com/spreadsheets/d/1Lhp9OU0JdFf_VYSMzH5lBcEaU4o8teT1piV-SNzShjg/edit?gid=554141278#gid=554141278"", ""'Char Def. - Attributes'!C20:C2242""), 1,false)"),"ALT_UOM5_SIPI")</f>
        <v>ALT_UOM5_SIPI</v>
      </c>
      <c r="I8143" s="136"/>
      <c r="R8143" s="63" t="str">
        <f t="shared" si="60"/>
        <v>ZSI1_COMP_MIX_SOLVALT_UOM5_SIPI</v>
      </c>
    </row>
    <row r="8144" ht="15.75" customHeight="1">
      <c r="B8144" s="63">
        <f t="shared" si="1"/>
        <v>18</v>
      </c>
      <c r="C8144" s="135" t="s">
        <v>370</v>
      </c>
      <c r="D8144" s="161" t="s">
        <v>74</v>
      </c>
      <c r="E8144" s="135">
        <v>30.0</v>
      </c>
      <c r="F8144" s="134" t="s">
        <v>3817</v>
      </c>
      <c r="G8144" s="63" t="str">
        <f>VLOOKUP(C8144, 'Class Def. - General Data'!$C$20:$C$1000,1,false)</f>
        <v>ZSI1_COMP_MIX_SOLV</v>
      </c>
      <c r="H8144" s="63" t="str">
        <f>IFERROR(__xludf.DUMMYFUNCTION("VLOOKUP(F8144, IMPORTRANGE(""https://docs.google.com/spreadsheets/d/1Lhp9OU0JdFf_VYSMzH5lBcEaU4o8teT1piV-SNzShjg/edit?gid=554141278#gid=554141278"", ""'Char Def. - Attributes'!C20:C2242""), 1,false)"),"ALT_DENUM_UOM5")</f>
        <v>ALT_DENUM_UOM5</v>
      </c>
      <c r="I8144" s="136"/>
      <c r="R8144" s="63" t="str">
        <f t="shared" si="60"/>
        <v>ZSI1_COMP_MIX_SOLVALT_DENUM_UOM5</v>
      </c>
    </row>
    <row r="8145" ht="15.75" customHeight="1">
      <c r="B8145" s="63">
        <f t="shared" si="1"/>
        <v>18</v>
      </c>
      <c r="C8145" s="135" t="s">
        <v>370</v>
      </c>
      <c r="D8145" s="161" t="s">
        <v>74</v>
      </c>
      <c r="E8145" s="135">
        <v>31.0</v>
      </c>
      <c r="F8145" s="134" t="s">
        <v>3818</v>
      </c>
      <c r="G8145" s="63" t="str">
        <f>VLOOKUP(C8145, 'Class Def. - General Data'!$C$20:$C$1000,1,false)</f>
        <v>ZSI1_COMP_MIX_SOLV</v>
      </c>
      <c r="H8145" s="63" t="str">
        <f>IFERROR(__xludf.DUMMYFUNCTION("VLOOKUP(F8145, IMPORTRANGE(""https://docs.google.com/spreadsheets/d/1Lhp9OU0JdFf_VYSMzH5lBcEaU4o8teT1piV-SNzShjg/edit?gid=554141278#gid=554141278"", ""'Char Def. - Attributes'!C20:C2242""), 1,false)"),"ALT_NUM_UOM5")</f>
        <v>ALT_NUM_UOM5</v>
      </c>
      <c r="I8145" s="136"/>
      <c r="R8145" s="63" t="str">
        <f t="shared" si="60"/>
        <v>ZSI1_COMP_MIX_SOLVALT_NUM_UOM5</v>
      </c>
    </row>
    <row r="8146" ht="15.75" customHeight="1">
      <c r="B8146" s="63">
        <f t="shared" si="1"/>
        <v>14</v>
      </c>
      <c r="C8146" s="135" t="s">
        <v>371</v>
      </c>
      <c r="D8146" s="161" t="s">
        <v>74</v>
      </c>
      <c r="E8146" s="135">
        <f t="shared" ref="E8146:E15131" si="62">COUNTIF($C$20:C8146,C8146)</f>
        <v>1</v>
      </c>
      <c r="F8146" s="134" t="s">
        <v>4294</v>
      </c>
      <c r="G8146" s="63" t="str">
        <f>VLOOKUP(C8146, 'Class Def. - General Data'!$C$20:$C$1000,1,false)</f>
        <v>ZSI1_COMP_PORT</v>
      </c>
      <c r="H8146" s="63" t="str">
        <f>IFERROR(__xludf.DUMMYFUNCTION("VLOOKUP(F8146, IMPORTRANGE(""https://docs.google.com/spreadsheets/d/1Lhp9OU0JdFf_VYSMzH5lBcEaU4o8teT1piV-SNzShjg/edit?gid=554141278#gid=554141278"", ""'Char Def. - Attributes'!C20:C2242""), 1,false)"),"ITEM_NAME_COMP_PORT")</f>
        <v>ITEM_NAME_COMP_PORT</v>
      </c>
      <c r="I8146" s="136"/>
      <c r="R8146" s="63" t="str">
        <f t="shared" si="60"/>
        <v>ZSI1_COMP_PORTITEM_NAME_COMP_PORT</v>
      </c>
    </row>
    <row r="8147" ht="15.75" customHeight="1">
      <c r="B8147" s="63">
        <f t="shared" si="1"/>
        <v>14</v>
      </c>
      <c r="C8147" s="135" t="s">
        <v>371</v>
      </c>
      <c r="D8147" s="161" t="s">
        <v>74</v>
      </c>
      <c r="E8147" s="135">
        <f t="shared" si="62"/>
        <v>2</v>
      </c>
      <c r="F8147" s="134" t="s">
        <v>4295</v>
      </c>
      <c r="G8147" s="63" t="str">
        <f>VLOOKUP(C8147, 'Class Def. - General Data'!$C$20:$C$1000,1,false)</f>
        <v>ZSI1_COMP_PORT</v>
      </c>
      <c r="H8147" s="63" t="str">
        <f>IFERROR(__xludf.DUMMYFUNCTION("VLOOKUP(F8147, IMPORTRANGE(""https://docs.google.com/spreadsheets/d/1Lhp9OU0JdFf_VYSMzH5lBcEaU4o8teT1piV-SNzShjg/edit?gid=554141278#gid=554141278"", ""'Char Def. - Attributes'!C20:C2242""), 1,false)"),"MFR_NO_COMP_PORT")</f>
        <v>MFR_NO_COMP_PORT</v>
      </c>
      <c r="I8147" s="136"/>
      <c r="R8147" s="63" t="str">
        <f t="shared" si="60"/>
        <v>ZSI1_COMP_PORTMFR_NO_COMP_PORT</v>
      </c>
    </row>
    <row r="8148" ht="15.75" customHeight="1">
      <c r="B8148" s="63">
        <f t="shared" si="1"/>
        <v>14</v>
      </c>
      <c r="C8148" s="135" t="s">
        <v>371</v>
      </c>
      <c r="D8148" s="161" t="s">
        <v>74</v>
      </c>
      <c r="E8148" s="135">
        <f t="shared" si="62"/>
        <v>3</v>
      </c>
      <c r="F8148" s="134" t="s">
        <v>3782</v>
      </c>
      <c r="G8148" s="63" t="str">
        <f>VLOOKUP(C8148, 'Class Def. - General Data'!$C$20:$C$1000,1,false)</f>
        <v>ZSI1_COMP_PORT</v>
      </c>
      <c r="H8148" s="63" t="str">
        <f>IFERROR(__xludf.DUMMYFUNCTION("VLOOKUP(F8148, IMPORTRANGE(""https://docs.google.com/spreadsheets/d/1Lhp9OU0JdFf_VYSMzH5lBcEaU4o8teT1piV-SNzShjg/edit?gid=554141278#gid=554141278"", ""'Char Def. - Attributes'!C20:C2242""), 1,false)"),"BRAND_EXTERNAL")</f>
        <v>BRAND_EXTERNAL</v>
      </c>
      <c r="I8148" s="136"/>
      <c r="R8148" s="63" t="str">
        <f t="shared" si="60"/>
        <v>ZSI1_COMP_PORTBRAND_EXTERNAL</v>
      </c>
    </row>
    <row r="8149" ht="15.75" customHeight="1">
      <c r="B8149" s="63">
        <f t="shared" si="1"/>
        <v>14</v>
      </c>
      <c r="C8149" s="135" t="s">
        <v>371</v>
      </c>
      <c r="D8149" s="161" t="s">
        <v>74</v>
      </c>
      <c r="E8149" s="135">
        <f t="shared" si="62"/>
        <v>4</v>
      </c>
      <c r="F8149" s="134" t="s">
        <v>4062</v>
      </c>
      <c r="G8149" s="63" t="str">
        <f>VLOOKUP(C8149, 'Class Def. - General Data'!$C$20:$C$1000,1,false)</f>
        <v>ZSI1_COMP_PORT</v>
      </c>
      <c r="H8149" s="63" t="str">
        <f>IFERROR(__xludf.DUMMYFUNCTION("VLOOKUP(F8149, IMPORTRANGE(""https://docs.google.com/spreadsheets/d/1Lhp9OU0JdFf_VYSMzH5lBcEaU4o8teT1piV-SNzShjg/edit?gid=554141278#gid=554141278"", ""'Char Def. - Attributes'!C20:C2242""), 1,false)"),"#N/A")</f>
        <v>#N/A</v>
      </c>
      <c r="I8149" s="136"/>
      <c r="R8149" s="63" t="str">
        <f t="shared" si="60"/>
        <v>ZSI1_COMP_PORTADDTIONAL_SPECIFICATION</v>
      </c>
    </row>
    <row r="8150" ht="15.75" customHeight="1">
      <c r="B8150" s="63">
        <f t="shared" si="1"/>
        <v>14</v>
      </c>
      <c r="C8150" s="135" t="s">
        <v>371</v>
      </c>
      <c r="D8150" s="161" t="s">
        <v>74</v>
      </c>
      <c r="E8150" s="135">
        <f t="shared" si="62"/>
        <v>5</v>
      </c>
      <c r="F8150" s="134" t="s">
        <v>3585</v>
      </c>
      <c r="G8150" s="63" t="str">
        <f>VLOOKUP(C8150, 'Class Def. - General Data'!$C$20:$C$1000,1,false)</f>
        <v>ZSI1_COMP_PORT</v>
      </c>
      <c r="H8150" s="63" t="str">
        <f>IFERROR(__xludf.DUMMYFUNCTION("VLOOKUP(F8150, IMPORTRANGE(""https://docs.google.com/spreadsheets/d/1Lhp9OU0JdFf_VYSMzH5lBcEaU4o8teT1piV-SNzShjg/edit?gid=554141278#gid=554141278"", ""'Char Def. - Attributes'!C20:C2242""), 1,false)"),"HS_CODE")</f>
        <v>HS_CODE</v>
      </c>
      <c r="I8150" s="136"/>
      <c r="R8150" s="63" t="str">
        <f t="shared" si="60"/>
        <v>ZSI1_COMP_PORTHS_CODE</v>
      </c>
    </row>
    <row r="8151" ht="15.75" customHeight="1">
      <c r="B8151" s="63">
        <f t="shared" si="1"/>
        <v>14</v>
      </c>
      <c r="C8151" s="135" t="s">
        <v>371</v>
      </c>
      <c r="D8151" s="161" t="s">
        <v>74</v>
      </c>
      <c r="E8151" s="135">
        <f t="shared" si="62"/>
        <v>6</v>
      </c>
      <c r="F8151" s="134" t="s">
        <v>3587</v>
      </c>
      <c r="G8151" s="63" t="str">
        <f>VLOOKUP(C8151, 'Class Def. - General Data'!$C$20:$C$1000,1,false)</f>
        <v>ZSI1_COMP_PORT</v>
      </c>
      <c r="H8151" s="63" t="str">
        <f>IFERROR(__xludf.DUMMYFUNCTION("VLOOKUP(F8151, IMPORTRANGE(""https://docs.google.com/spreadsheets/d/1Lhp9OU0JdFf_VYSMzH5lBcEaU4o8teT1piV-SNzShjg/edit?gid=554141278#gid=554141278"", ""'Char Def. - Attributes'!C20:C2242""), 1,false)"),"PLANT_BUY")</f>
        <v>PLANT_BUY</v>
      </c>
      <c r="I8151" s="136"/>
      <c r="R8151" s="63" t="str">
        <f t="shared" si="60"/>
        <v>ZSI1_COMP_PORTPLANT_BUY</v>
      </c>
    </row>
    <row r="8152" ht="15.75" customHeight="1">
      <c r="B8152" s="63">
        <f t="shared" si="1"/>
        <v>14</v>
      </c>
      <c r="C8152" s="135" t="s">
        <v>371</v>
      </c>
      <c r="D8152" s="161" t="s">
        <v>74</v>
      </c>
      <c r="E8152" s="135">
        <f t="shared" si="62"/>
        <v>7</v>
      </c>
      <c r="F8152" s="134" t="s">
        <v>4296</v>
      </c>
      <c r="G8152" s="63" t="str">
        <f>VLOOKUP(C8152, 'Class Def. - General Data'!$C$20:$C$1000,1,false)</f>
        <v>ZSI1_COMP_PORT</v>
      </c>
      <c r="H8152" s="63" t="str">
        <f>IFERROR(__xludf.DUMMYFUNCTION("VLOOKUP(F8152, IMPORTRANGE(""https://docs.google.com/spreadsheets/d/1Lhp9OU0JdFf_VYSMzH5lBcEaU4o8teT1piV-SNzShjg/edit?gid=554141278#gid=554141278"", ""'Char Def. - Attributes'!C20:C2242""), 1,false)"),"BASE_UOM_COMP_PORT")</f>
        <v>BASE_UOM_COMP_PORT</v>
      </c>
      <c r="I8152" s="136"/>
      <c r="R8152" s="63" t="str">
        <f t="shared" si="60"/>
        <v>ZSI1_COMP_PORTBASE_UOM_COMP_PORT</v>
      </c>
    </row>
    <row r="8153" ht="15.75" customHeight="1">
      <c r="B8153" s="63">
        <f t="shared" si="1"/>
        <v>14</v>
      </c>
      <c r="C8153" s="135" t="s">
        <v>371</v>
      </c>
      <c r="D8153" s="161" t="s">
        <v>74</v>
      </c>
      <c r="E8153" s="135">
        <f t="shared" si="62"/>
        <v>8</v>
      </c>
      <c r="F8153" s="134" t="s">
        <v>4297</v>
      </c>
      <c r="G8153" s="63" t="str">
        <f>VLOOKUP(C8153, 'Class Def. - General Data'!$C$20:$C$1000,1,false)</f>
        <v>ZSI1_COMP_PORT</v>
      </c>
      <c r="H8153" s="63" t="str">
        <f>IFERROR(__xludf.DUMMYFUNCTION("VLOOKUP(F8153, IMPORTRANGE(""https://docs.google.com/spreadsheets/d/1Lhp9OU0JdFf_VYSMzH5lBcEaU4o8teT1piV-SNzShjg/edit?gid=554141278#gid=554141278"", ""'Char Def. - Attributes'!C20:C2242""), 1,false)"),"ORDER_UNIT_COMP_PORT")</f>
        <v>ORDER_UNIT_COMP_PORT</v>
      </c>
      <c r="I8153" s="136"/>
      <c r="R8153" s="63" t="str">
        <f t="shared" si="60"/>
        <v>ZSI1_COMP_PORTORDER_UNIT_COMP_PORT</v>
      </c>
    </row>
    <row r="8154" ht="15.75" customHeight="1">
      <c r="B8154" s="63">
        <f t="shared" si="1"/>
        <v>14</v>
      </c>
      <c r="C8154" s="135" t="s">
        <v>371</v>
      </c>
      <c r="D8154" s="161" t="s">
        <v>74</v>
      </c>
      <c r="E8154" s="135">
        <f t="shared" si="62"/>
        <v>9</v>
      </c>
      <c r="F8154" s="134" t="s">
        <v>4056</v>
      </c>
      <c r="G8154" s="63" t="str">
        <f>VLOOKUP(C8154, 'Class Def. - General Data'!$C$20:$C$1000,1,false)</f>
        <v>ZSI1_COMP_PORT</v>
      </c>
      <c r="H8154" s="63" t="str">
        <f>IFERROR(__xludf.DUMMYFUNCTION("VLOOKUP(F8154, IMPORTRANGE(""https://docs.google.com/spreadsheets/d/1Lhp9OU0JdFf_VYSMzH5lBcEaU4o8teT1piV-SNzShjg/edit?gid=554141278#gid=554141278"", ""'Char Def. - Attributes'!C20:C2242""), 1,false)"),"GROSS_WEIGHT_OPT")</f>
        <v>GROSS_WEIGHT_OPT</v>
      </c>
      <c r="I8154" s="136"/>
      <c r="R8154" s="63" t="str">
        <f t="shared" si="60"/>
        <v>ZSI1_COMP_PORTGROSS_WEIGHT_OPT</v>
      </c>
    </row>
    <row r="8155" ht="15.75" customHeight="1">
      <c r="B8155" s="63">
        <f t="shared" si="1"/>
        <v>14</v>
      </c>
      <c r="C8155" s="135" t="s">
        <v>371</v>
      </c>
      <c r="D8155" s="161" t="s">
        <v>74</v>
      </c>
      <c r="E8155" s="135">
        <f t="shared" si="62"/>
        <v>10</v>
      </c>
      <c r="F8155" s="134" t="s">
        <v>4057</v>
      </c>
      <c r="G8155" s="63" t="str">
        <f>VLOOKUP(C8155, 'Class Def. - General Data'!$C$20:$C$1000,1,false)</f>
        <v>ZSI1_COMP_PORT</v>
      </c>
      <c r="H8155" s="63" t="str">
        <f>IFERROR(__xludf.DUMMYFUNCTION("VLOOKUP(F8155, IMPORTRANGE(""https://docs.google.com/spreadsheets/d/1Lhp9OU0JdFf_VYSMzH5lBcEaU4o8teT1piV-SNzShjg/edit?gid=554141278#gid=554141278"", ""'Char Def. - Attributes'!C20:C2242""), 1,false)"),"NET_WEIGHT_OPT")</f>
        <v>NET_WEIGHT_OPT</v>
      </c>
      <c r="I8155" s="136"/>
      <c r="R8155" s="63" t="str">
        <f t="shared" si="60"/>
        <v>ZSI1_COMP_PORTNET_WEIGHT_OPT</v>
      </c>
    </row>
    <row r="8156" ht="15.75" customHeight="1">
      <c r="B8156" s="63">
        <f t="shared" si="1"/>
        <v>14</v>
      </c>
      <c r="C8156" s="135" t="s">
        <v>371</v>
      </c>
      <c r="D8156" s="161" t="s">
        <v>74</v>
      </c>
      <c r="E8156" s="135">
        <f t="shared" si="62"/>
        <v>11</v>
      </c>
      <c r="F8156" s="134" t="s">
        <v>4058</v>
      </c>
      <c r="G8156" s="63" t="str">
        <f>VLOOKUP(C8156, 'Class Def. - General Data'!$C$20:$C$1000,1,false)</f>
        <v>ZSI1_COMP_PORT</v>
      </c>
      <c r="H8156" s="63" t="str">
        <f>IFERROR(__xludf.DUMMYFUNCTION("VLOOKUP(F8156, IMPORTRANGE(""https://docs.google.com/spreadsheets/d/1Lhp9OU0JdFf_VYSMzH5lBcEaU4o8teT1piV-SNzShjg/edit?gid=554141278#gid=554141278"", ""'Char Def. - Attributes'!C20:C2242""), 1,false)"),"WEIGHT_UNIT_SI")</f>
        <v>WEIGHT_UNIT_SI</v>
      </c>
      <c r="I8156" s="136"/>
      <c r="R8156" s="63" t="str">
        <f t="shared" si="60"/>
        <v>ZSI1_COMP_PORTWEIGHT_UNIT_SI</v>
      </c>
    </row>
    <row r="8157" ht="15.75" customHeight="1">
      <c r="B8157" s="63">
        <f t="shared" si="1"/>
        <v>14</v>
      </c>
      <c r="C8157" s="135" t="s">
        <v>371</v>
      </c>
      <c r="D8157" s="161" t="s">
        <v>74</v>
      </c>
      <c r="E8157" s="135">
        <f t="shared" si="62"/>
        <v>12</v>
      </c>
      <c r="F8157" s="134" t="s">
        <v>3877</v>
      </c>
      <c r="G8157" s="63" t="str">
        <f>VLOOKUP(C8157, 'Class Def. - General Data'!$C$20:$C$1000,1,false)</f>
        <v>ZSI1_COMP_PORT</v>
      </c>
      <c r="H8157" s="63" t="str">
        <f>IFERROR(__xludf.DUMMYFUNCTION("VLOOKUP(F8157, IMPORTRANGE(""https://docs.google.com/spreadsheets/d/1Lhp9OU0JdFf_VYSMzH5lBcEaU4o8teT1piV-SNzShjg/edit?gid=554141278#gid=554141278"", ""'Char Def. - Attributes'!C20:C2242""), 1,false)"),"VOLUME_OPT")</f>
        <v>VOLUME_OPT</v>
      </c>
      <c r="I8157" s="136"/>
      <c r="R8157" s="63" t="str">
        <f t="shared" si="60"/>
        <v>ZSI1_COMP_PORTVOLUME_OPT</v>
      </c>
    </row>
    <row r="8158" ht="15.75" customHeight="1">
      <c r="B8158" s="63">
        <f t="shared" si="1"/>
        <v>14</v>
      </c>
      <c r="C8158" s="135" t="s">
        <v>371</v>
      </c>
      <c r="D8158" s="161" t="s">
        <v>74</v>
      </c>
      <c r="E8158" s="135">
        <f t="shared" si="62"/>
        <v>13</v>
      </c>
      <c r="F8158" s="134" t="s">
        <v>4059</v>
      </c>
      <c r="G8158" s="63" t="str">
        <f>VLOOKUP(C8158, 'Class Def. - General Data'!$C$20:$C$1000,1,false)</f>
        <v>ZSI1_COMP_PORT</v>
      </c>
      <c r="H8158" s="63" t="str">
        <f>IFERROR(__xludf.DUMMYFUNCTION("VLOOKUP(F8158, IMPORTRANGE(""https://docs.google.com/spreadsheets/d/1Lhp9OU0JdFf_VYSMzH5lBcEaU4o8teT1piV-SNzShjg/edit?gid=554141278#gid=554141278"", ""'Char Def. - Attributes'!C20:C2242""), 1,false)"),"VOLUME_UNIT_SI")</f>
        <v>VOLUME_UNIT_SI</v>
      </c>
      <c r="I8158" s="136"/>
      <c r="R8158" s="63" t="str">
        <f t="shared" si="60"/>
        <v>ZSI1_COMP_PORTVOLUME_UNIT_SI</v>
      </c>
    </row>
    <row r="8159" ht="15.75" customHeight="1">
      <c r="B8159" s="63">
        <f t="shared" si="1"/>
        <v>14</v>
      </c>
      <c r="C8159" s="135" t="s">
        <v>371</v>
      </c>
      <c r="D8159" s="161" t="s">
        <v>74</v>
      </c>
      <c r="E8159" s="135">
        <f t="shared" si="62"/>
        <v>14</v>
      </c>
      <c r="F8159" s="134" t="s">
        <v>3804</v>
      </c>
      <c r="G8159" s="63" t="str">
        <f>VLOOKUP(C8159, 'Class Def. - General Data'!$C$20:$C$1000,1,false)</f>
        <v>ZSI1_COMP_PORT</v>
      </c>
      <c r="H8159" s="63" t="str">
        <f>IFERROR(__xludf.DUMMYFUNCTION("VLOOKUP(F8159, IMPORTRANGE(""https://docs.google.com/spreadsheets/d/1Lhp9OU0JdFf_VYSMzH5lBcEaU4o8teT1piV-SNzShjg/edit?gid=554141278#gid=554141278"", ""'Char Def. - Attributes'!C20:C2242""), 1,false)"),"ALT_UOM1_SIPI")</f>
        <v>ALT_UOM1_SIPI</v>
      </c>
      <c r="I8159" s="136"/>
      <c r="R8159" s="63" t="str">
        <f t="shared" si="60"/>
        <v>ZSI1_COMP_PORTALT_UOM1_SIPI</v>
      </c>
    </row>
    <row r="8160" ht="15.75" customHeight="1">
      <c r="B8160" s="63">
        <f t="shared" si="1"/>
        <v>14</v>
      </c>
      <c r="C8160" s="135" t="s">
        <v>371</v>
      </c>
      <c r="D8160" s="161" t="s">
        <v>74</v>
      </c>
      <c r="E8160" s="135">
        <f t="shared" si="62"/>
        <v>15</v>
      </c>
      <c r="F8160" s="134" t="s">
        <v>3805</v>
      </c>
      <c r="G8160" s="63" t="str">
        <f>VLOOKUP(C8160, 'Class Def. - General Data'!$C$20:$C$1000,1,false)</f>
        <v>ZSI1_COMP_PORT</v>
      </c>
      <c r="H8160" s="63" t="str">
        <f>IFERROR(__xludf.DUMMYFUNCTION("VLOOKUP(F8160, IMPORTRANGE(""https://docs.google.com/spreadsheets/d/1Lhp9OU0JdFf_VYSMzH5lBcEaU4o8teT1piV-SNzShjg/edit?gid=554141278#gid=554141278"", ""'Char Def. - Attributes'!C20:C2242""), 1,false)"),"ALT_DENUM_UOM1")</f>
        <v>ALT_DENUM_UOM1</v>
      </c>
      <c r="I8160" s="136"/>
      <c r="R8160" s="63" t="str">
        <f t="shared" si="60"/>
        <v>ZSI1_COMP_PORTALT_DENUM_UOM1</v>
      </c>
    </row>
    <row r="8161" ht="15.75" customHeight="1">
      <c r="B8161" s="63">
        <f t="shared" si="1"/>
        <v>14</v>
      </c>
      <c r="C8161" s="135" t="s">
        <v>371</v>
      </c>
      <c r="D8161" s="161" t="s">
        <v>74</v>
      </c>
      <c r="E8161" s="135">
        <f t="shared" si="62"/>
        <v>16</v>
      </c>
      <c r="F8161" s="134" t="s">
        <v>3806</v>
      </c>
      <c r="G8161" s="63" t="str">
        <f>VLOOKUP(C8161, 'Class Def. - General Data'!$C$20:$C$1000,1,false)</f>
        <v>ZSI1_COMP_PORT</v>
      </c>
      <c r="H8161" s="63" t="str">
        <f>IFERROR(__xludf.DUMMYFUNCTION("VLOOKUP(F8161, IMPORTRANGE(""https://docs.google.com/spreadsheets/d/1Lhp9OU0JdFf_VYSMzH5lBcEaU4o8teT1piV-SNzShjg/edit?gid=554141278#gid=554141278"", ""'Char Def. - Attributes'!C20:C2242""), 1,false)"),"ALT_NUM_UOM1")</f>
        <v>ALT_NUM_UOM1</v>
      </c>
      <c r="I8161" s="136"/>
      <c r="R8161" s="63" t="str">
        <f t="shared" si="60"/>
        <v>ZSI1_COMP_PORTALT_NUM_UOM1</v>
      </c>
    </row>
    <row r="8162" ht="15.75" customHeight="1">
      <c r="B8162" s="63">
        <f t="shared" si="1"/>
        <v>14</v>
      </c>
      <c r="C8162" s="135" t="s">
        <v>371</v>
      </c>
      <c r="D8162" s="161" t="s">
        <v>74</v>
      </c>
      <c r="E8162" s="135">
        <f t="shared" si="62"/>
        <v>17</v>
      </c>
      <c r="F8162" s="134" t="s">
        <v>3807</v>
      </c>
      <c r="G8162" s="63" t="str">
        <f>VLOOKUP(C8162, 'Class Def. - General Data'!$C$20:$C$1000,1,false)</f>
        <v>ZSI1_COMP_PORT</v>
      </c>
      <c r="H8162" s="63" t="str">
        <f>IFERROR(__xludf.DUMMYFUNCTION("VLOOKUP(F8162, IMPORTRANGE(""https://docs.google.com/spreadsheets/d/1Lhp9OU0JdFf_VYSMzH5lBcEaU4o8teT1piV-SNzShjg/edit?gid=554141278#gid=554141278"", ""'Char Def. - Attributes'!C20:C2242""), 1,false)"),"ALT_UOM2_SIPI")</f>
        <v>ALT_UOM2_SIPI</v>
      </c>
      <c r="I8162" s="136"/>
      <c r="R8162" s="63" t="str">
        <f t="shared" si="60"/>
        <v>ZSI1_COMP_PORTALT_UOM2_SIPI</v>
      </c>
    </row>
    <row r="8163" ht="15.75" customHeight="1">
      <c r="B8163" s="63">
        <f t="shared" si="1"/>
        <v>14</v>
      </c>
      <c r="C8163" s="135" t="s">
        <v>371</v>
      </c>
      <c r="D8163" s="161" t="s">
        <v>74</v>
      </c>
      <c r="E8163" s="135">
        <f t="shared" si="62"/>
        <v>18</v>
      </c>
      <c r="F8163" s="134" t="s">
        <v>3808</v>
      </c>
      <c r="G8163" s="63" t="str">
        <f>VLOOKUP(C8163, 'Class Def. - General Data'!$C$20:$C$1000,1,false)</f>
        <v>ZSI1_COMP_PORT</v>
      </c>
      <c r="H8163" s="63" t="str">
        <f>IFERROR(__xludf.DUMMYFUNCTION("VLOOKUP(F8163, IMPORTRANGE(""https://docs.google.com/spreadsheets/d/1Lhp9OU0JdFf_VYSMzH5lBcEaU4o8teT1piV-SNzShjg/edit?gid=554141278#gid=554141278"", ""'Char Def. - Attributes'!C20:C2242""), 1,false)"),"ALT_DENUM_UOM2")</f>
        <v>ALT_DENUM_UOM2</v>
      </c>
      <c r="I8163" s="136"/>
      <c r="R8163" s="63" t="str">
        <f t="shared" si="60"/>
        <v>ZSI1_COMP_PORTALT_DENUM_UOM2</v>
      </c>
    </row>
    <row r="8164" ht="15.75" customHeight="1">
      <c r="B8164" s="63">
        <f t="shared" si="1"/>
        <v>14</v>
      </c>
      <c r="C8164" s="135" t="s">
        <v>371</v>
      </c>
      <c r="D8164" s="161" t="s">
        <v>74</v>
      </c>
      <c r="E8164" s="135">
        <f t="shared" si="62"/>
        <v>19</v>
      </c>
      <c r="F8164" s="134" t="s">
        <v>3809</v>
      </c>
      <c r="G8164" s="63" t="str">
        <f>VLOOKUP(C8164, 'Class Def. - General Data'!$C$20:$C$1000,1,false)</f>
        <v>ZSI1_COMP_PORT</v>
      </c>
      <c r="H8164" s="63" t="str">
        <f>IFERROR(__xludf.DUMMYFUNCTION("VLOOKUP(F8164, IMPORTRANGE(""https://docs.google.com/spreadsheets/d/1Lhp9OU0JdFf_VYSMzH5lBcEaU4o8teT1piV-SNzShjg/edit?gid=554141278#gid=554141278"", ""'Char Def. - Attributes'!C20:C2242""), 1,false)"),"ALT_NUM_UOM2")</f>
        <v>ALT_NUM_UOM2</v>
      </c>
      <c r="I8164" s="136"/>
      <c r="R8164" s="63" t="str">
        <f t="shared" si="60"/>
        <v>ZSI1_COMP_PORTALT_NUM_UOM2</v>
      </c>
    </row>
    <row r="8165" ht="15.75" customHeight="1">
      <c r="B8165" s="63">
        <f t="shared" si="1"/>
        <v>14</v>
      </c>
      <c r="C8165" s="135" t="s">
        <v>371</v>
      </c>
      <c r="D8165" s="161" t="s">
        <v>74</v>
      </c>
      <c r="E8165" s="135">
        <f t="shared" si="62"/>
        <v>20</v>
      </c>
      <c r="F8165" s="134" t="s">
        <v>3810</v>
      </c>
      <c r="G8165" s="63" t="str">
        <f>VLOOKUP(C8165, 'Class Def. - General Data'!$C$20:$C$1000,1,false)</f>
        <v>ZSI1_COMP_PORT</v>
      </c>
      <c r="H8165" s="63" t="str">
        <f>IFERROR(__xludf.DUMMYFUNCTION("VLOOKUP(F8165, IMPORTRANGE(""https://docs.google.com/spreadsheets/d/1Lhp9OU0JdFf_VYSMzH5lBcEaU4o8teT1piV-SNzShjg/edit?gid=554141278#gid=554141278"", ""'Char Def. - Attributes'!C20:C2242""), 1,false)"),"ALT_UOM3_SIPI")</f>
        <v>ALT_UOM3_SIPI</v>
      </c>
      <c r="I8165" s="136"/>
      <c r="R8165" s="63" t="str">
        <f t="shared" si="60"/>
        <v>ZSI1_COMP_PORTALT_UOM3_SIPI</v>
      </c>
    </row>
    <row r="8166" ht="15.75" customHeight="1">
      <c r="B8166" s="63">
        <f t="shared" si="1"/>
        <v>14</v>
      </c>
      <c r="C8166" s="135" t="s">
        <v>371</v>
      </c>
      <c r="D8166" s="161" t="s">
        <v>74</v>
      </c>
      <c r="E8166" s="135">
        <f t="shared" si="62"/>
        <v>21</v>
      </c>
      <c r="F8166" s="134" t="s">
        <v>3811</v>
      </c>
      <c r="G8166" s="63" t="str">
        <f>VLOOKUP(C8166, 'Class Def. - General Data'!$C$20:$C$1000,1,false)</f>
        <v>ZSI1_COMP_PORT</v>
      </c>
      <c r="H8166" s="63" t="str">
        <f>IFERROR(__xludf.DUMMYFUNCTION("VLOOKUP(F8166, IMPORTRANGE(""https://docs.google.com/spreadsheets/d/1Lhp9OU0JdFf_VYSMzH5lBcEaU4o8teT1piV-SNzShjg/edit?gid=554141278#gid=554141278"", ""'Char Def. - Attributes'!C20:C2242""), 1,false)"),"ALT_DENUM_UOM3")</f>
        <v>ALT_DENUM_UOM3</v>
      </c>
      <c r="I8166" s="136"/>
      <c r="R8166" s="63" t="str">
        <f t="shared" si="60"/>
        <v>ZSI1_COMP_PORTALT_DENUM_UOM3</v>
      </c>
    </row>
    <row r="8167" ht="15.75" customHeight="1">
      <c r="B8167" s="63">
        <f t="shared" si="1"/>
        <v>14</v>
      </c>
      <c r="C8167" s="135" t="s">
        <v>371</v>
      </c>
      <c r="D8167" s="161" t="s">
        <v>74</v>
      </c>
      <c r="E8167" s="135">
        <f t="shared" si="62"/>
        <v>22</v>
      </c>
      <c r="F8167" s="134" t="s">
        <v>3812</v>
      </c>
      <c r="G8167" s="63" t="str">
        <f>VLOOKUP(C8167, 'Class Def. - General Data'!$C$20:$C$1000,1,false)</f>
        <v>ZSI1_COMP_PORT</v>
      </c>
      <c r="H8167" s="63" t="str">
        <f>IFERROR(__xludf.DUMMYFUNCTION("VLOOKUP(F8167, IMPORTRANGE(""https://docs.google.com/spreadsheets/d/1Lhp9OU0JdFf_VYSMzH5lBcEaU4o8teT1piV-SNzShjg/edit?gid=554141278#gid=554141278"", ""'Char Def. - Attributes'!C20:C2242""), 1,false)"),"ALT_NUM_UOM3")</f>
        <v>ALT_NUM_UOM3</v>
      </c>
      <c r="I8167" s="136"/>
      <c r="R8167" s="63" t="str">
        <f t="shared" si="60"/>
        <v>ZSI1_COMP_PORTALT_NUM_UOM3</v>
      </c>
    </row>
    <row r="8168" ht="15.75" customHeight="1">
      <c r="B8168" s="63">
        <f t="shared" si="1"/>
        <v>14</v>
      </c>
      <c r="C8168" s="135" t="s">
        <v>371</v>
      </c>
      <c r="D8168" s="161" t="s">
        <v>74</v>
      </c>
      <c r="E8168" s="135">
        <f t="shared" si="62"/>
        <v>23</v>
      </c>
      <c r="F8168" s="134" t="s">
        <v>3813</v>
      </c>
      <c r="G8168" s="63" t="str">
        <f>VLOOKUP(C8168, 'Class Def. - General Data'!$C$20:$C$1000,1,false)</f>
        <v>ZSI1_COMP_PORT</v>
      </c>
      <c r="H8168" s="63" t="str">
        <f>IFERROR(__xludf.DUMMYFUNCTION("VLOOKUP(F8168, IMPORTRANGE(""https://docs.google.com/spreadsheets/d/1Lhp9OU0JdFf_VYSMzH5lBcEaU4o8teT1piV-SNzShjg/edit?gid=554141278#gid=554141278"", ""'Char Def. - Attributes'!C20:C2242""), 1,false)"),"ALT_UOM4_SIPI")</f>
        <v>ALT_UOM4_SIPI</v>
      </c>
      <c r="I8168" s="136"/>
      <c r="R8168" s="63" t="str">
        <f t="shared" si="60"/>
        <v>ZSI1_COMP_PORTALT_UOM4_SIPI</v>
      </c>
    </row>
    <row r="8169" ht="15.75" customHeight="1">
      <c r="B8169" s="63">
        <f t="shared" si="1"/>
        <v>14</v>
      </c>
      <c r="C8169" s="135" t="s">
        <v>371</v>
      </c>
      <c r="D8169" s="161" t="s">
        <v>74</v>
      </c>
      <c r="E8169" s="135">
        <f t="shared" si="62"/>
        <v>24</v>
      </c>
      <c r="F8169" s="134" t="s">
        <v>3814</v>
      </c>
      <c r="G8169" s="63" t="str">
        <f>VLOOKUP(C8169, 'Class Def. - General Data'!$C$20:$C$1000,1,false)</f>
        <v>ZSI1_COMP_PORT</v>
      </c>
      <c r="H8169" s="63" t="str">
        <f>IFERROR(__xludf.DUMMYFUNCTION("VLOOKUP(F8169, IMPORTRANGE(""https://docs.google.com/spreadsheets/d/1Lhp9OU0JdFf_VYSMzH5lBcEaU4o8teT1piV-SNzShjg/edit?gid=554141278#gid=554141278"", ""'Char Def. - Attributes'!C20:C2242""), 1,false)"),"ALT_DENUM_UOM4")</f>
        <v>ALT_DENUM_UOM4</v>
      </c>
      <c r="I8169" s="136"/>
      <c r="R8169" s="63" t="str">
        <f t="shared" si="60"/>
        <v>ZSI1_COMP_PORTALT_DENUM_UOM4</v>
      </c>
    </row>
    <row r="8170" ht="15.75" customHeight="1">
      <c r="B8170" s="63">
        <f t="shared" si="1"/>
        <v>14</v>
      </c>
      <c r="C8170" s="135" t="s">
        <v>371</v>
      </c>
      <c r="D8170" s="161" t="s">
        <v>74</v>
      </c>
      <c r="E8170" s="135">
        <f t="shared" si="62"/>
        <v>25</v>
      </c>
      <c r="F8170" s="134" t="s">
        <v>3815</v>
      </c>
      <c r="G8170" s="63" t="str">
        <f>VLOOKUP(C8170, 'Class Def. - General Data'!$C$20:$C$1000,1,false)</f>
        <v>ZSI1_COMP_PORT</v>
      </c>
      <c r="H8170" s="63" t="str">
        <f>IFERROR(__xludf.DUMMYFUNCTION("VLOOKUP(F8170, IMPORTRANGE(""https://docs.google.com/spreadsheets/d/1Lhp9OU0JdFf_VYSMzH5lBcEaU4o8teT1piV-SNzShjg/edit?gid=554141278#gid=554141278"", ""'Char Def. - Attributes'!C20:C2242""), 1,false)"),"ALT_NUM_UOM4")</f>
        <v>ALT_NUM_UOM4</v>
      </c>
      <c r="I8170" s="136"/>
      <c r="R8170" s="63" t="str">
        <f t="shared" si="60"/>
        <v>ZSI1_COMP_PORTALT_NUM_UOM4</v>
      </c>
    </row>
    <row r="8171" ht="15.75" customHeight="1">
      <c r="B8171" s="63">
        <f t="shared" si="1"/>
        <v>14</v>
      </c>
      <c r="C8171" s="135" t="s">
        <v>371</v>
      </c>
      <c r="D8171" s="161" t="s">
        <v>74</v>
      </c>
      <c r="E8171" s="135">
        <f t="shared" si="62"/>
        <v>26</v>
      </c>
      <c r="F8171" s="134" t="s">
        <v>3816</v>
      </c>
      <c r="G8171" s="63" t="str">
        <f>VLOOKUP(C8171, 'Class Def. - General Data'!$C$20:$C$1000,1,false)</f>
        <v>ZSI1_COMP_PORT</v>
      </c>
      <c r="H8171" s="63" t="str">
        <f>IFERROR(__xludf.DUMMYFUNCTION("VLOOKUP(F8171, IMPORTRANGE(""https://docs.google.com/spreadsheets/d/1Lhp9OU0JdFf_VYSMzH5lBcEaU4o8teT1piV-SNzShjg/edit?gid=554141278#gid=554141278"", ""'Char Def. - Attributes'!C20:C2242""), 1,false)"),"ALT_UOM5_SIPI")</f>
        <v>ALT_UOM5_SIPI</v>
      </c>
      <c r="I8171" s="136"/>
      <c r="R8171" s="63" t="str">
        <f t="shared" si="60"/>
        <v>ZSI1_COMP_PORTALT_UOM5_SIPI</v>
      </c>
    </row>
    <row r="8172" ht="15.75" customHeight="1">
      <c r="B8172" s="63">
        <f t="shared" si="1"/>
        <v>14</v>
      </c>
      <c r="C8172" s="135" t="s">
        <v>371</v>
      </c>
      <c r="D8172" s="161" t="s">
        <v>74</v>
      </c>
      <c r="E8172" s="135">
        <f t="shared" si="62"/>
        <v>27</v>
      </c>
      <c r="F8172" s="134" t="s">
        <v>3817</v>
      </c>
      <c r="G8172" s="63" t="str">
        <f>VLOOKUP(C8172, 'Class Def. - General Data'!$C$20:$C$1000,1,false)</f>
        <v>ZSI1_COMP_PORT</v>
      </c>
      <c r="H8172" s="63" t="str">
        <f>IFERROR(__xludf.DUMMYFUNCTION("VLOOKUP(F8172, IMPORTRANGE(""https://docs.google.com/spreadsheets/d/1Lhp9OU0JdFf_VYSMzH5lBcEaU4o8teT1piV-SNzShjg/edit?gid=554141278#gid=554141278"", ""'Char Def. - Attributes'!C20:C2242""), 1,false)"),"ALT_DENUM_UOM5")</f>
        <v>ALT_DENUM_UOM5</v>
      </c>
      <c r="I8172" s="136"/>
      <c r="R8172" s="63" t="str">
        <f t="shared" si="60"/>
        <v>ZSI1_COMP_PORTALT_DENUM_UOM5</v>
      </c>
    </row>
    <row r="8173" ht="15.75" customHeight="1">
      <c r="B8173" s="63">
        <f t="shared" si="1"/>
        <v>14</v>
      </c>
      <c r="C8173" s="135" t="s">
        <v>371</v>
      </c>
      <c r="D8173" s="161" t="s">
        <v>74</v>
      </c>
      <c r="E8173" s="135">
        <f t="shared" si="62"/>
        <v>28</v>
      </c>
      <c r="F8173" s="134" t="s">
        <v>3818</v>
      </c>
      <c r="G8173" s="63" t="str">
        <f>VLOOKUP(C8173, 'Class Def. - General Data'!$C$20:$C$1000,1,false)</f>
        <v>ZSI1_COMP_PORT</v>
      </c>
      <c r="H8173" s="63" t="str">
        <f>IFERROR(__xludf.DUMMYFUNCTION("VLOOKUP(F8173, IMPORTRANGE(""https://docs.google.com/spreadsheets/d/1Lhp9OU0JdFf_VYSMzH5lBcEaU4o8teT1piV-SNzShjg/edit?gid=554141278#gid=554141278"", ""'Char Def. - Attributes'!C20:C2242""), 1,false)"),"ALT_NUM_UOM5")</f>
        <v>ALT_NUM_UOM5</v>
      </c>
      <c r="I8173" s="136"/>
      <c r="R8173" s="63" t="str">
        <f t="shared" si="60"/>
        <v>ZSI1_COMP_PORTALT_NUM_UOM5</v>
      </c>
    </row>
    <row r="8174" ht="15.75" customHeight="1">
      <c r="B8174" s="63">
        <f t="shared" si="1"/>
        <v>15</v>
      </c>
      <c r="C8174" s="135" t="s">
        <v>323</v>
      </c>
      <c r="D8174" s="161" t="s">
        <v>74</v>
      </c>
      <c r="E8174" s="135">
        <f t="shared" si="62"/>
        <v>1</v>
      </c>
      <c r="F8174" s="134" t="s">
        <v>4298</v>
      </c>
      <c r="G8174" s="63" t="str">
        <f>VLOOKUP(C8174, 'Class Def. - General Data'!$C$20:$C$1000,1,false)</f>
        <v>ZSI1_COMPRESSOR</v>
      </c>
      <c r="H8174" s="63" t="str">
        <f>IFERROR(__xludf.DUMMYFUNCTION("VLOOKUP(F8174, IMPORTRANGE(""https://docs.google.com/spreadsheets/d/1Lhp9OU0JdFf_VYSMzH5lBcEaU4o8teT1piV-SNzShjg/edit?gid=554141278#gid=554141278"", ""'Char Def. - Attributes'!C20:C2242""), 1,false)"),"ITEM_NAME_COMPRESSOR")</f>
        <v>ITEM_NAME_COMPRESSOR</v>
      </c>
      <c r="I8174" s="136"/>
      <c r="R8174" s="63" t="str">
        <f t="shared" si="60"/>
        <v>ZSI1_COMPRESSORITEM_NAME_COMPRESSOR</v>
      </c>
    </row>
    <row r="8175" ht="15.75" customHeight="1">
      <c r="B8175" s="63">
        <f t="shared" si="1"/>
        <v>15</v>
      </c>
      <c r="C8175" s="135" t="s">
        <v>323</v>
      </c>
      <c r="D8175" s="161" t="s">
        <v>74</v>
      </c>
      <c r="E8175" s="135">
        <f t="shared" si="62"/>
        <v>2</v>
      </c>
      <c r="F8175" s="134" t="s">
        <v>4299</v>
      </c>
      <c r="G8175" s="63" t="str">
        <f>VLOOKUP(C8175, 'Class Def. - General Data'!$C$20:$C$1000,1,false)</f>
        <v>ZSI1_COMPRESSOR</v>
      </c>
      <c r="H8175" s="63" t="str">
        <f>IFERROR(__xludf.DUMMYFUNCTION("VLOOKUP(F8175, IMPORTRANGE(""https://docs.google.com/spreadsheets/d/1Lhp9OU0JdFf_VYSMzH5lBcEaU4o8teT1piV-SNzShjg/edit?gid=554141278#gid=554141278"", ""'Char Def. - Attributes'!C20:C2242""), 1,false)"),"MFR_NO_COMPRESSOR")</f>
        <v>MFR_NO_COMPRESSOR</v>
      </c>
      <c r="I8175" s="136"/>
      <c r="R8175" s="63" t="str">
        <f t="shared" si="60"/>
        <v>ZSI1_COMPRESSORMFR_NO_COMPRESSOR</v>
      </c>
    </row>
    <row r="8176" ht="15.75" customHeight="1">
      <c r="B8176" s="63">
        <f t="shared" si="1"/>
        <v>15</v>
      </c>
      <c r="C8176" s="135" t="s">
        <v>323</v>
      </c>
      <c r="D8176" s="161" t="s">
        <v>74</v>
      </c>
      <c r="E8176" s="135">
        <f t="shared" si="62"/>
        <v>3</v>
      </c>
      <c r="F8176" s="134" t="s">
        <v>3782</v>
      </c>
      <c r="G8176" s="63" t="str">
        <f>VLOOKUP(C8176, 'Class Def. - General Data'!$C$20:$C$1000,1,false)</f>
        <v>ZSI1_COMPRESSOR</v>
      </c>
      <c r="H8176" s="63" t="str">
        <f>IFERROR(__xludf.DUMMYFUNCTION("VLOOKUP(F8176, IMPORTRANGE(""https://docs.google.com/spreadsheets/d/1Lhp9OU0JdFf_VYSMzH5lBcEaU4o8teT1piV-SNzShjg/edit?gid=554141278#gid=554141278"", ""'Char Def. - Attributes'!C20:C2242""), 1,false)"),"BRAND_EXTERNAL")</f>
        <v>BRAND_EXTERNAL</v>
      </c>
      <c r="I8176" s="136"/>
      <c r="R8176" s="63" t="str">
        <f t="shared" si="60"/>
        <v>ZSI1_COMPRESSORBRAND_EXTERNAL</v>
      </c>
    </row>
    <row r="8177" ht="15.75" customHeight="1">
      <c r="B8177" s="63">
        <f t="shared" si="1"/>
        <v>15</v>
      </c>
      <c r="C8177" s="135" t="s">
        <v>323</v>
      </c>
      <c r="D8177" s="161" t="s">
        <v>74</v>
      </c>
      <c r="E8177" s="135">
        <f t="shared" si="62"/>
        <v>4</v>
      </c>
      <c r="F8177" s="134" t="s">
        <v>4062</v>
      </c>
      <c r="G8177" s="63" t="str">
        <f>VLOOKUP(C8177, 'Class Def. - General Data'!$C$20:$C$1000,1,false)</f>
        <v>ZSI1_COMPRESSOR</v>
      </c>
      <c r="H8177" s="63" t="str">
        <f>IFERROR(__xludf.DUMMYFUNCTION("VLOOKUP(F8177, IMPORTRANGE(""https://docs.google.com/spreadsheets/d/1Lhp9OU0JdFf_VYSMzH5lBcEaU4o8teT1piV-SNzShjg/edit?gid=554141278#gid=554141278"", ""'Char Def. - Attributes'!C20:C2242""), 1,false)"),"#N/A")</f>
        <v>#N/A</v>
      </c>
      <c r="I8177" s="136"/>
      <c r="R8177" s="63" t="str">
        <f t="shared" si="60"/>
        <v>ZSI1_COMPRESSORADDTIONAL_SPECIFICATION</v>
      </c>
    </row>
    <row r="8178" ht="15.75" customHeight="1">
      <c r="B8178" s="63">
        <f t="shared" si="1"/>
        <v>15</v>
      </c>
      <c r="C8178" s="135" t="s">
        <v>323</v>
      </c>
      <c r="D8178" s="161" t="s">
        <v>74</v>
      </c>
      <c r="E8178" s="135">
        <f t="shared" si="62"/>
        <v>5</v>
      </c>
      <c r="F8178" s="134" t="s">
        <v>4053</v>
      </c>
      <c r="G8178" s="63" t="str">
        <f>VLOOKUP(C8178, 'Class Def. - General Data'!$C$20:$C$1000,1,false)</f>
        <v>ZSI1_COMPRESSOR</v>
      </c>
      <c r="H8178" s="63" t="str">
        <f>IFERROR(__xludf.DUMMYFUNCTION("VLOOKUP(F8178, IMPORTRANGE(""https://docs.google.com/spreadsheets/d/1Lhp9OU0JdFf_VYSMzH5lBcEaU4o8teT1piV-SNzShjg/edit?gid=554141278#gid=554141278"", ""'Char Def. - Attributes'!C20:C2242""), 1,false)"),"MAINTENANCE_ORDER_TYPE")</f>
        <v>MAINTENANCE_ORDER_TYPE</v>
      </c>
      <c r="I8178" s="136"/>
      <c r="R8178" s="63" t="str">
        <f t="shared" si="60"/>
        <v>ZSI1_COMPRESSORMAINTENANCE_ORDER_TYPE</v>
      </c>
    </row>
    <row r="8179" ht="15.75" customHeight="1">
      <c r="B8179" s="63">
        <f t="shared" si="1"/>
        <v>15</v>
      </c>
      <c r="C8179" s="135" t="s">
        <v>323</v>
      </c>
      <c r="D8179" s="161" t="s">
        <v>74</v>
      </c>
      <c r="E8179" s="135">
        <f t="shared" si="62"/>
        <v>6</v>
      </c>
      <c r="F8179" s="134" t="s">
        <v>3585</v>
      </c>
      <c r="G8179" s="63" t="str">
        <f>VLOOKUP(C8179, 'Class Def. - General Data'!$C$20:$C$1000,1,false)</f>
        <v>ZSI1_COMPRESSOR</v>
      </c>
      <c r="H8179" s="63" t="str">
        <f>IFERROR(__xludf.DUMMYFUNCTION("VLOOKUP(F8179, IMPORTRANGE(""https://docs.google.com/spreadsheets/d/1Lhp9OU0JdFf_VYSMzH5lBcEaU4o8teT1piV-SNzShjg/edit?gid=554141278#gid=554141278"", ""'Char Def. - Attributes'!C20:C2242""), 1,false)"),"HS_CODE")</f>
        <v>HS_CODE</v>
      </c>
      <c r="I8179" s="136"/>
      <c r="R8179" s="63" t="str">
        <f t="shared" si="60"/>
        <v>ZSI1_COMPRESSORHS_CODE</v>
      </c>
    </row>
    <row r="8180" ht="15.75" customHeight="1">
      <c r="B8180" s="63">
        <f t="shared" si="1"/>
        <v>15</v>
      </c>
      <c r="C8180" s="135" t="s">
        <v>323</v>
      </c>
      <c r="D8180" s="161" t="s">
        <v>74</v>
      </c>
      <c r="E8180" s="135">
        <f t="shared" si="62"/>
        <v>7</v>
      </c>
      <c r="F8180" s="134" t="s">
        <v>3587</v>
      </c>
      <c r="G8180" s="63" t="str">
        <f>VLOOKUP(C8180, 'Class Def. - General Data'!$C$20:$C$1000,1,false)</f>
        <v>ZSI1_COMPRESSOR</v>
      </c>
      <c r="H8180" s="63" t="str">
        <f>IFERROR(__xludf.DUMMYFUNCTION("VLOOKUP(F8180, IMPORTRANGE(""https://docs.google.com/spreadsheets/d/1Lhp9OU0JdFf_VYSMzH5lBcEaU4o8teT1piV-SNzShjg/edit?gid=554141278#gid=554141278"", ""'Char Def. - Attributes'!C20:C2242""), 1,false)"),"PLANT_BUY")</f>
        <v>PLANT_BUY</v>
      </c>
      <c r="I8180" s="136"/>
      <c r="R8180" s="63" t="str">
        <f t="shared" si="60"/>
        <v>ZSI1_COMPRESSORPLANT_BUY</v>
      </c>
    </row>
    <row r="8181" ht="15.75" customHeight="1">
      <c r="B8181" s="63">
        <f t="shared" si="1"/>
        <v>15</v>
      </c>
      <c r="C8181" s="135" t="s">
        <v>323</v>
      </c>
      <c r="D8181" s="161" t="s">
        <v>74</v>
      </c>
      <c r="E8181" s="135">
        <f t="shared" si="62"/>
        <v>8</v>
      </c>
      <c r="F8181" s="134" t="s">
        <v>4300</v>
      </c>
      <c r="G8181" s="63" t="str">
        <f>VLOOKUP(C8181, 'Class Def. - General Data'!$C$20:$C$1000,1,false)</f>
        <v>ZSI1_COMPRESSOR</v>
      </c>
      <c r="H8181" s="63" t="str">
        <f>IFERROR(__xludf.DUMMYFUNCTION("VLOOKUP(F8181, IMPORTRANGE(""https://docs.google.com/spreadsheets/d/1Lhp9OU0JdFf_VYSMzH5lBcEaU4o8teT1piV-SNzShjg/edit?gid=554141278#gid=554141278"", ""'Char Def. - Attributes'!C20:C2242""), 1,false)"),"BASE_UOM_COMPRESSOR")</f>
        <v>BASE_UOM_COMPRESSOR</v>
      </c>
      <c r="I8181" s="136"/>
      <c r="R8181" s="63" t="str">
        <f t="shared" si="60"/>
        <v>ZSI1_COMPRESSORBASE_UOM_COMPRESSOR</v>
      </c>
    </row>
    <row r="8182" ht="15.75" customHeight="1">
      <c r="B8182" s="63">
        <f t="shared" si="1"/>
        <v>15</v>
      </c>
      <c r="C8182" s="135" t="s">
        <v>323</v>
      </c>
      <c r="D8182" s="161" t="s">
        <v>74</v>
      </c>
      <c r="E8182" s="135">
        <f t="shared" si="62"/>
        <v>9</v>
      </c>
      <c r="F8182" s="134" t="s">
        <v>4301</v>
      </c>
      <c r="G8182" s="63" t="str">
        <f>VLOOKUP(C8182, 'Class Def. - General Data'!$C$20:$C$1000,1,false)</f>
        <v>ZSI1_COMPRESSOR</v>
      </c>
      <c r="H8182" s="63" t="str">
        <f>IFERROR(__xludf.DUMMYFUNCTION("VLOOKUP(F8182, IMPORTRANGE(""https://docs.google.com/spreadsheets/d/1Lhp9OU0JdFf_VYSMzH5lBcEaU4o8teT1piV-SNzShjg/edit?gid=554141278#gid=554141278"", ""'Char Def. - Attributes'!C20:C2242""), 1,false)"),"ORDER_UNIT_COMPRESSOR")</f>
        <v>ORDER_UNIT_COMPRESSOR</v>
      </c>
      <c r="I8182" s="136"/>
      <c r="R8182" s="63" t="str">
        <f t="shared" si="60"/>
        <v>ZSI1_COMPRESSORORDER_UNIT_COMPRESSOR</v>
      </c>
    </row>
    <row r="8183" ht="15.75" customHeight="1">
      <c r="B8183" s="63">
        <f t="shared" si="1"/>
        <v>15</v>
      </c>
      <c r="C8183" s="135" t="s">
        <v>323</v>
      </c>
      <c r="D8183" s="161" t="s">
        <v>74</v>
      </c>
      <c r="E8183" s="135">
        <f t="shared" si="62"/>
        <v>10</v>
      </c>
      <c r="F8183" s="134" t="s">
        <v>4056</v>
      </c>
      <c r="G8183" s="63" t="str">
        <f>VLOOKUP(C8183, 'Class Def. - General Data'!$C$20:$C$1000,1,false)</f>
        <v>ZSI1_COMPRESSOR</v>
      </c>
      <c r="H8183" s="63" t="str">
        <f>IFERROR(__xludf.DUMMYFUNCTION("VLOOKUP(F8183, IMPORTRANGE(""https://docs.google.com/spreadsheets/d/1Lhp9OU0JdFf_VYSMzH5lBcEaU4o8teT1piV-SNzShjg/edit?gid=554141278#gid=554141278"", ""'Char Def. - Attributes'!C20:C2242""), 1,false)"),"GROSS_WEIGHT_OPT")</f>
        <v>GROSS_WEIGHT_OPT</v>
      </c>
      <c r="I8183" s="136"/>
      <c r="R8183" s="63" t="str">
        <f t="shared" si="60"/>
        <v>ZSI1_COMPRESSORGROSS_WEIGHT_OPT</v>
      </c>
    </row>
    <row r="8184" ht="15.75" customHeight="1">
      <c r="B8184" s="63">
        <f t="shared" si="1"/>
        <v>15</v>
      </c>
      <c r="C8184" s="135" t="s">
        <v>323</v>
      </c>
      <c r="D8184" s="161" t="s">
        <v>74</v>
      </c>
      <c r="E8184" s="135">
        <f t="shared" si="62"/>
        <v>11</v>
      </c>
      <c r="F8184" s="134" t="s">
        <v>4057</v>
      </c>
      <c r="G8184" s="63" t="str">
        <f>VLOOKUP(C8184, 'Class Def. - General Data'!$C$20:$C$1000,1,false)</f>
        <v>ZSI1_COMPRESSOR</v>
      </c>
      <c r="H8184" s="63" t="str">
        <f>IFERROR(__xludf.DUMMYFUNCTION("VLOOKUP(F8184, IMPORTRANGE(""https://docs.google.com/spreadsheets/d/1Lhp9OU0JdFf_VYSMzH5lBcEaU4o8teT1piV-SNzShjg/edit?gid=554141278#gid=554141278"", ""'Char Def. - Attributes'!C20:C2242""), 1,false)"),"NET_WEIGHT_OPT")</f>
        <v>NET_WEIGHT_OPT</v>
      </c>
      <c r="I8184" s="136"/>
      <c r="R8184" s="63" t="str">
        <f t="shared" si="60"/>
        <v>ZSI1_COMPRESSORNET_WEIGHT_OPT</v>
      </c>
    </row>
    <row r="8185" ht="15.75" customHeight="1">
      <c r="B8185" s="63">
        <f t="shared" si="1"/>
        <v>15</v>
      </c>
      <c r="C8185" s="135" t="s">
        <v>323</v>
      </c>
      <c r="D8185" s="161" t="s">
        <v>74</v>
      </c>
      <c r="E8185" s="135">
        <f t="shared" si="62"/>
        <v>12</v>
      </c>
      <c r="F8185" s="134" t="s">
        <v>4058</v>
      </c>
      <c r="G8185" s="63" t="str">
        <f>VLOOKUP(C8185, 'Class Def. - General Data'!$C$20:$C$1000,1,false)</f>
        <v>ZSI1_COMPRESSOR</v>
      </c>
      <c r="H8185" s="63" t="str">
        <f>IFERROR(__xludf.DUMMYFUNCTION("VLOOKUP(F8185, IMPORTRANGE(""https://docs.google.com/spreadsheets/d/1Lhp9OU0JdFf_VYSMzH5lBcEaU4o8teT1piV-SNzShjg/edit?gid=554141278#gid=554141278"", ""'Char Def. - Attributes'!C20:C2242""), 1,false)"),"WEIGHT_UNIT_SI")</f>
        <v>WEIGHT_UNIT_SI</v>
      </c>
      <c r="I8185" s="136"/>
      <c r="R8185" s="63" t="str">
        <f t="shared" si="60"/>
        <v>ZSI1_COMPRESSORWEIGHT_UNIT_SI</v>
      </c>
    </row>
    <row r="8186" ht="15.75" customHeight="1">
      <c r="B8186" s="63">
        <f t="shared" si="1"/>
        <v>15</v>
      </c>
      <c r="C8186" s="135" t="s">
        <v>323</v>
      </c>
      <c r="D8186" s="161" t="s">
        <v>74</v>
      </c>
      <c r="E8186" s="135">
        <f t="shared" si="62"/>
        <v>13</v>
      </c>
      <c r="F8186" s="134" t="s">
        <v>3877</v>
      </c>
      <c r="G8186" s="63" t="str">
        <f>VLOOKUP(C8186, 'Class Def. - General Data'!$C$20:$C$1000,1,false)</f>
        <v>ZSI1_COMPRESSOR</v>
      </c>
      <c r="H8186" s="63" t="str">
        <f>IFERROR(__xludf.DUMMYFUNCTION("VLOOKUP(F8186, IMPORTRANGE(""https://docs.google.com/spreadsheets/d/1Lhp9OU0JdFf_VYSMzH5lBcEaU4o8teT1piV-SNzShjg/edit?gid=554141278#gid=554141278"", ""'Char Def. - Attributes'!C20:C2242""), 1,false)"),"VOLUME_OPT")</f>
        <v>VOLUME_OPT</v>
      </c>
      <c r="I8186" s="136"/>
      <c r="R8186" s="63" t="str">
        <f t="shared" si="60"/>
        <v>ZSI1_COMPRESSORVOLUME_OPT</v>
      </c>
    </row>
    <row r="8187" ht="15.75" customHeight="1">
      <c r="B8187" s="63">
        <f t="shared" si="1"/>
        <v>15</v>
      </c>
      <c r="C8187" s="135" t="s">
        <v>323</v>
      </c>
      <c r="D8187" s="161" t="s">
        <v>74</v>
      </c>
      <c r="E8187" s="135">
        <f t="shared" si="62"/>
        <v>14</v>
      </c>
      <c r="F8187" s="134" t="s">
        <v>4059</v>
      </c>
      <c r="G8187" s="63" t="str">
        <f>VLOOKUP(C8187, 'Class Def. - General Data'!$C$20:$C$1000,1,false)</f>
        <v>ZSI1_COMPRESSOR</v>
      </c>
      <c r="H8187" s="63" t="str">
        <f>IFERROR(__xludf.DUMMYFUNCTION("VLOOKUP(F8187, IMPORTRANGE(""https://docs.google.com/spreadsheets/d/1Lhp9OU0JdFf_VYSMzH5lBcEaU4o8teT1piV-SNzShjg/edit?gid=554141278#gid=554141278"", ""'Char Def. - Attributes'!C20:C2242""), 1,false)"),"VOLUME_UNIT_SI")</f>
        <v>VOLUME_UNIT_SI</v>
      </c>
      <c r="I8187" s="136"/>
      <c r="R8187" s="63" t="str">
        <f t="shared" si="60"/>
        <v>ZSI1_COMPRESSORVOLUME_UNIT_SI</v>
      </c>
    </row>
    <row r="8188" ht="15.75" customHeight="1">
      <c r="B8188" s="63">
        <f t="shared" si="1"/>
        <v>15</v>
      </c>
      <c r="C8188" s="135" t="s">
        <v>323</v>
      </c>
      <c r="D8188" s="161" t="s">
        <v>74</v>
      </c>
      <c r="E8188" s="135">
        <f t="shared" si="62"/>
        <v>15</v>
      </c>
      <c r="F8188" s="134" t="s">
        <v>3804</v>
      </c>
      <c r="G8188" s="63" t="str">
        <f>VLOOKUP(C8188, 'Class Def. - General Data'!$C$20:$C$1000,1,false)</f>
        <v>ZSI1_COMPRESSOR</v>
      </c>
      <c r="H8188" s="63" t="str">
        <f>IFERROR(__xludf.DUMMYFUNCTION("VLOOKUP(F8188, IMPORTRANGE(""https://docs.google.com/spreadsheets/d/1Lhp9OU0JdFf_VYSMzH5lBcEaU4o8teT1piV-SNzShjg/edit?gid=554141278#gid=554141278"", ""'Char Def. - Attributes'!C20:C2242""), 1,false)"),"ALT_UOM1_SIPI")</f>
        <v>ALT_UOM1_SIPI</v>
      </c>
      <c r="I8188" s="136"/>
      <c r="R8188" s="63" t="str">
        <f t="shared" si="60"/>
        <v>ZSI1_COMPRESSORALT_UOM1_SIPI</v>
      </c>
    </row>
    <row r="8189" ht="15.75" customHeight="1">
      <c r="B8189" s="63">
        <f t="shared" si="1"/>
        <v>15</v>
      </c>
      <c r="C8189" s="135" t="s">
        <v>323</v>
      </c>
      <c r="D8189" s="161" t="s">
        <v>74</v>
      </c>
      <c r="E8189" s="135">
        <f t="shared" si="62"/>
        <v>16</v>
      </c>
      <c r="F8189" s="134" t="s">
        <v>3805</v>
      </c>
      <c r="G8189" s="63" t="str">
        <f>VLOOKUP(C8189, 'Class Def. - General Data'!$C$20:$C$1000,1,false)</f>
        <v>ZSI1_COMPRESSOR</v>
      </c>
      <c r="H8189" s="63" t="str">
        <f>IFERROR(__xludf.DUMMYFUNCTION("VLOOKUP(F8189, IMPORTRANGE(""https://docs.google.com/spreadsheets/d/1Lhp9OU0JdFf_VYSMzH5lBcEaU4o8teT1piV-SNzShjg/edit?gid=554141278#gid=554141278"", ""'Char Def. - Attributes'!C20:C2242""), 1,false)"),"ALT_DENUM_UOM1")</f>
        <v>ALT_DENUM_UOM1</v>
      </c>
      <c r="I8189" s="136"/>
      <c r="R8189" s="63" t="str">
        <f t="shared" si="60"/>
        <v>ZSI1_COMPRESSORALT_DENUM_UOM1</v>
      </c>
    </row>
    <row r="8190" ht="15.75" customHeight="1">
      <c r="B8190" s="63">
        <f t="shared" si="1"/>
        <v>15</v>
      </c>
      <c r="C8190" s="135" t="s">
        <v>323</v>
      </c>
      <c r="D8190" s="161" t="s">
        <v>74</v>
      </c>
      <c r="E8190" s="135">
        <f t="shared" si="62"/>
        <v>17</v>
      </c>
      <c r="F8190" s="134" t="s">
        <v>3806</v>
      </c>
      <c r="G8190" s="63" t="str">
        <f>VLOOKUP(C8190, 'Class Def. - General Data'!$C$20:$C$1000,1,false)</f>
        <v>ZSI1_COMPRESSOR</v>
      </c>
      <c r="H8190" s="63" t="str">
        <f>IFERROR(__xludf.DUMMYFUNCTION("VLOOKUP(F8190, IMPORTRANGE(""https://docs.google.com/spreadsheets/d/1Lhp9OU0JdFf_VYSMzH5lBcEaU4o8teT1piV-SNzShjg/edit?gid=554141278#gid=554141278"", ""'Char Def. - Attributes'!C20:C2242""), 1,false)"),"ALT_NUM_UOM1")</f>
        <v>ALT_NUM_UOM1</v>
      </c>
      <c r="I8190" s="136"/>
      <c r="R8190" s="63" t="str">
        <f t="shared" si="60"/>
        <v>ZSI1_COMPRESSORALT_NUM_UOM1</v>
      </c>
    </row>
    <row r="8191" ht="15.75" customHeight="1">
      <c r="B8191" s="63">
        <f t="shared" si="1"/>
        <v>15</v>
      </c>
      <c r="C8191" s="135" t="s">
        <v>323</v>
      </c>
      <c r="D8191" s="161" t="s">
        <v>74</v>
      </c>
      <c r="E8191" s="135">
        <f t="shared" si="62"/>
        <v>18</v>
      </c>
      <c r="F8191" s="134" t="s">
        <v>3807</v>
      </c>
      <c r="G8191" s="63" t="str">
        <f>VLOOKUP(C8191, 'Class Def. - General Data'!$C$20:$C$1000,1,false)</f>
        <v>ZSI1_COMPRESSOR</v>
      </c>
      <c r="H8191" s="63" t="str">
        <f>IFERROR(__xludf.DUMMYFUNCTION("VLOOKUP(F8191, IMPORTRANGE(""https://docs.google.com/spreadsheets/d/1Lhp9OU0JdFf_VYSMzH5lBcEaU4o8teT1piV-SNzShjg/edit?gid=554141278#gid=554141278"", ""'Char Def. - Attributes'!C20:C2242""), 1,false)"),"ALT_UOM2_SIPI")</f>
        <v>ALT_UOM2_SIPI</v>
      </c>
      <c r="I8191" s="136"/>
      <c r="R8191" s="63" t="str">
        <f t="shared" si="60"/>
        <v>ZSI1_COMPRESSORALT_UOM2_SIPI</v>
      </c>
    </row>
    <row r="8192" ht="15.75" customHeight="1">
      <c r="B8192" s="63">
        <f t="shared" si="1"/>
        <v>15</v>
      </c>
      <c r="C8192" s="135" t="s">
        <v>323</v>
      </c>
      <c r="D8192" s="161" t="s">
        <v>74</v>
      </c>
      <c r="E8192" s="135">
        <f t="shared" si="62"/>
        <v>19</v>
      </c>
      <c r="F8192" s="134" t="s">
        <v>3808</v>
      </c>
      <c r="G8192" s="63" t="str">
        <f>VLOOKUP(C8192, 'Class Def. - General Data'!$C$20:$C$1000,1,false)</f>
        <v>ZSI1_COMPRESSOR</v>
      </c>
      <c r="H8192" s="63" t="str">
        <f>IFERROR(__xludf.DUMMYFUNCTION("VLOOKUP(F8192, IMPORTRANGE(""https://docs.google.com/spreadsheets/d/1Lhp9OU0JdFf_VYSMzH5lBcEaU4o8teT1piV-SNzShjg/edit?gid=554141278#gid=554141278"", ""'Char Def. - Attributes'!C20:C2242""), 1,false)"),"ALT_DENUM_UOM2")</f>
        <v>ALT_DENUM_UOM2</v>
      </c>
      <c r="I8192" s="136"/>
      <c r="R8192" s="63" t="str">
        <f t="shared" si="60"/>
        <v>ZSI1_COMPRESSORALT_DENUM_UOM2</v>
      </c>
    </row>
    <row r="8193" ht="15.75" customHeight="1">
      <c r="B8193" s="63">
        <f t="shared" si="1"/>
        <v>15</v>
      </c>
      <c r="C8193" s="135" t="s">
        <v>323</v>
      </c>
      <c r="D8193" s="161" t="s">
        <v>74</v>
      </c>
      <c r="E8193" s="135">
        <f t="shared" si="62"/>
        <v>20</v>
      </c>
      <c r="F8193" s="134" t="s">
        <v>3809</v>
      </c>
      <c r="G8193" s="63" t="str">
        <f>VLOOKUP(C8193, 'Class Def. - General Data'!$C$20:$C$1000,1,false)</f>
        <v>ZSI1_COMPRESSOR</v>
      </c>
      <c r="H8193" s="63" t="str">
        <f>IFERROR(__xludf.DUMMYFUNCTION("VLOOKUP(F8193, IMPORTRANGE(""https://docs.google.com/spreadsheets/d/1Lhp9OU0JdFf_VYSMzH5lBcEaU4o8teT1piV-SNzShjg/edit?gid=554141278#gid=554141278"", ""'Char Def. - Attributes'!C20:C2242""), 1,false)"),"ALT_NUM_UOM2")</f>
        <v>ALT_NUM_UOM2</v>
      </c>
      <c r="I8193" s="136"/>
      <c r="R8193" s="63" t="str">
        <f t="shared" si="60"/>
        <v>ZSI1_COMPRESSORALT_NUM_UOM2</v>
      </c>
    </row>
    <row r="8194" ht="15.75" customHeight="1">
      <c r="B8194" s="63">
        <f t="shared" si="1"/>
        <v>15</v>
      </c>
      <c r="C8194" s="135" t="s">
        <v>323</v>
      </c>
      <c r="D8194" s="161" t="s">
        <v>74</v>
      </c>
      <c r="E8194" s="135">
        <f t="shared" si="62"/>
        <v>21</v>
      </c>
      <c r="F8194" s="134" t="s">
        <v>3810</v>
      </c>
      <c r="G8194" s="63" t="str">
        <f>VLOOKUP(C8194, 'Class Def. - General Data'!$C$20:$C$1000,1,false)</f>
        <v>ZSI1_COMPRESSOR</v>
      </c>
      <c r="H8194" s="63" t="str">
        <f>IFERROR(__xludf.DUMMYFUNCTION("VLOOKUP(F8194, IMPORTRANGE(""https://docs.google.com/spreadsheets/d/1Lhp9OU0JdFf_VYSMzH5lBcEaU4o8teT1piV-SNzShjg/edit?gid=554141278#gid=554141278"", ""'Char Def. - Attributes'!C20:C2242""), 1,false)"),"ALT_UOM3_SIPI")</f>
        <v>ALT_UOM3_SIPI</v>
      </c>
      <c r="I8194" s="136"/>
      <c r="R8194" s="63" t="str">
        <f t="shared" si="60"/>
        <v>ZSI1_COMPRESSORALT_UOM3_SIPI</v>
      </c>
    </row>
    <row r="8195" ht="15.75" customHeight="1">
      <c r="B8195" s="63">
        <f t="shared" si="1"/>
        <v>15</v>
      </c>
      <c r="C8195" s="135" t="s">
        <v>323</v>
      </c>
      <c r="D8195" s="161" t="s">
        <v>74</v>
      </c>
      <c r="E8195" s="135">
        <f t="shared" si="62"/>
        <v>22</v>
      </c>
      <c r="F8195" s="134" t="s">
        <v>3811</v>
      </c>
      <c r="G8195" s="63" t="str">
        <f>VLOOKUP(C8195, 'Class Def. - General Data'!$C$20:$C$1000,1,false)</f>
        <v>ZSI1_COMPRESSOR</v>
      </c>
      <c r="H8195" s="63" t="str">
        <f>IFERROR(__xludf.DUMMYFUNCTION("VLOOKUP(F8195, IMPORTRANGE(""https://docs.google.com/spreadsheets/d/1Lhp9OU0JdFf_VYSMzH5lBcEaU4o8teT1piV-SNzShjg/edit?gid=554141278#gid=554141278"", ""'Char Def. - Attributes'!C20:C2242""), 1,false)"),"ALT_DENUM_UOM3")</f>
        <v>ALT_DENUM_UOM3</v>
      </c>
      <c r="I8195" s="136"/>
      <c r="R8195" s="63" t="str">
        <f t="shared" si="60"/>
        <v>ZSI1_COMPRESSORALT_DENUM_UOM3</v>
      </c>
    </row>
    <row r="8196" ht="15.75" customHeight="1">
      <c r="B8196" s="63">
        <f t="shared" si="1"/>
        <v>15</v>
      </c>
      <c r="C8196" s="135" t="s">
        <v>323</v>
      </c>
      <c r="D8196" s="161" t="s">
        <v>74</v>
      </c>
      <c r="E8196" s="135">
        <f t="shared" si="62"/>
        <v>23</v>
      </c>
      <c r="F8196" s="134" t="s">
        <v>3812</v>
      </c>
      <c r="G8196" s="63" t="str">
        <f>VLOOKUP(C8196, 'Class Def. - General Data'!$C$20:$C$1000,1,false)</f>
        <v>ZSI1_COMPRESSOR</v>
      </c>
      <c r="H8196" s="63" t="str">
        <f>IFERROR(__xludf.DUMMYFUNCTION("VLOOKUP(F8196, IMPORTRANGE(""https://docs.google.com/spreadsheets/d/1Lhp9OU0JdFf_VYSMzH5lBcEaU4o8teT1piV-SNzShjg/edit?gid=554141278#gid=554141278"", ""'Char Def. - Attributes'!C20:C2242""), 1,false)"),"ALT_NUM_UOM3")</f>
        <v>ALT_NUM_UOM3</v>
      </c>
      <c r="I8196" s="136"/>
      <c r="R8196" s="63" t="str">
        <f t="shared" si="60"/>
        <v>ZSI1_COMPRESSORALT_NUM_UOM3</v>
      </c>
    </row>
    <row r="8197" ht="15.75" customHeight="1">
      <c r="B8197" s="63">
        <f t="shared" si="1"/>
        <v>15</v>
      </c>
      <c r="C8197" s="135" t="s">
        <v>323</v>
      </c>
      <c r="D8197" s="161" t="s">
        <v>74</v>
      </c>
      <c r="E8197" s="135">
        <f t="shared" si="62"/>
        <v>24</v>
      </c>
      <c r="F8197" s="134" t="s">
        <v>3813</v>
      </c>
      <c r="G8197" s="63" t="str">
        <f>VLOOKUP(C8197, 'Class Def. - General Data'!$C$20:$C$1000,1,false)</f>
        <v>ZSI1_COMPRESSOR</v>
      </c>
      <c r="H8197" s="63" t="str">
        <f>IFERROR(__xludf.DUMMYFUNCTION("VLOOKUP(F8197, IMPORTRANGE(""https://docs.google.com/spreadsheets/d/1Lhp9OU0JdFf_VYSMzH5lBcEaU4o8teT1piV-SNzShjg/edit?gid=554141278#gid=554141278"", ""'Char Def. - Attributes'!C20:C2242""), 1,false)"),"ALT_UOM4_SIPI")</f>
        <v>ALT_UOM4_SIPI</v>
      </c>
      <c r="I8197" s="136"/>
      <c r="R8197" s="63" t="str">
        <f t="shared" si="60"/>
        <v>ZSI1_COMPRESSORALT_UOM4_SIPI</v>
      </c>
    </row>
    <row r="8198" ht="15.75" customHeight="1">
      <c r="B8198" s="63">
        <f t="shared" si="1"/>
        <v>15</v>
      </c>
      <c r="C8198" s="135" t="s">
        <v>323</v>
      </c>
      <c r="D8198" s="161" t="s">
        <v>74</v>
      </c>
      <c r="E8198" s="135">
        <f t="shared" si="62"/>
        <v>25</v>
      </c>
      <c r="F8198" s="134" t="s">
        <v>3814</v>
      </c>
      <c r="G8198" s="63" t="str">
        <f>VLOOKUP(C8198, 'Class Def. - General Data'!$C$20:$C$1000,1,false)</f>
        <v>ZSI1_COMPRESSOR</v>
      </c>
      <c r="H8198" s="63" t="str">
        <f>IFERROR(__xludf.DUMMYFUNCTION("VLOOKUP(F8198, IMPORTRANGE(""https://docs.google.com/spreadsheets/d/1Lhp9OU0JdFf_VYSMzH5lBcEaU4o8teT1piV-SNzShjg/edit?gid=554141278#gid=554141278"", ""'Char Def. - Attributes'!C20:C2242""), 1,false)"),"ALT_DENUM_UOM4")</f>
        <v>ALT_DENUM_UOM4</v>
      </c>
      <c r="I8198" s="136"/>
      <c r="R8198" s="63" t="str">
        <f t="shared" si="60"/>
        <v>ZSI1_COMPRESSORALT_DENUM_UOM4</v>
      </c>
    </row>
    <row r="8199" ht="15.75" customHeight="1">
      <c r="B8199" s="63">
        <f t="shared" si="1"/>
        <v>15</v>
      </c>
      <c r="C8199" s="135" t="s">
        <v>323</v>
      </c>
      <c r="D8199" s="161" t="s">
        <v>74</v>
      </c>
      <c r="E8199" s="135">
        <f t="shared" si="62"/>
        <v>26</v>
      </c>
      <c r="F8199" s="134" t="s">
        <v>3815</v>
      </c>
      <c r="G8199" s="63" t="str">
        <f>VLOOKUP(C8199, 'Class Def. - General Data'!$C$20:$C$1000,1,false)</f>
        <v>ZSI1_COMPRESSOR</v>
      </c>
      <c r="H8199" s="63" t="str">
        <f>IFERROR(__xludf.DUMMYFUNCTION("VLOOKUP(F8199, IMPORTRANGE(""https://docs.google.com/spreadsheets/d/1Lhp9OU0JdFf_VYSMzH5lBcEaU4o8teT1piV-SNzShjg/edit?gid=554141278#gid=554141278"", ""'Char Def. - Attributes'!C20:C2242""), 1,false)"),"ALT_NUM_UOM4")</f>
        <v>ALT_NUM_UOM4</v>
      </c>
      <c r="I8199" s="136"/>
      <c r="R8199" s="63" t="str">
        <f t="shared" si="60"/>
        <v>ZSI1_COMPRESSORALT_NUM_UOM4</v>
      </c>
    </row>
    <row r="8200" ht="15.75" customHeight="1">
      <c r="B8200" s="63">
        <f t="shared" si="1"/>
        <v>15</v>
      </c>
      <c r="C8200" s="135" t="s">
        <v>323</v>
      </c>
      <c r="D8200" s="161" t="s">
        <v>74</v>
      </c>
      <c r="E8200" s="135">
        <f t="shared" si="62"/>
        <v>27</v>
      </c>
      <c r="F8200" s="134" t="s">
        <v>3816</v>
      </c>
      <c r="G8200" s="63" t="str">
        <f>VLOOKUP(C8200, 'Class Def. - General Data'!$C$20:$C$1000,1,false)</f>
        <v>ZSI1_COMPRESSOR</v>
      </c>
      <c r="H8200" s="63" t="str">
        <f>IFERROR(__xludf.DUMMYFUNCTION("VLOOKUP(F8200, IMPORTRANGE(""https://docs.google.com/spreadsheets/d/1Lhp9OU0JdFf_VYSMzH5lBcEaU4o8teT1piV-SNzShjg/edit?gid=554141278#gid=554141278"", ""'Char Def. - Attributes'!C20:C2242""), 1,false)"),"ALT_UOM5_SIPI")</f>
        <v>ALT_UOM5_SIPI</v>
      </c>
      <c r="I8200" s="136"/>
      <c r="R8200" s="63" t="str">
        <f t="shared" si="60"/>
        <v>ZSI1_COMPRESSORALT_UOM5_SIPI</v>
      </c>
    </row>
    <row r="8201" ht="15.75" customHeight="1">
      <c r="B8201" s="63">
        <f t="shared" si="1"/>
        <v>15</v>
      </c>
      <c r="C8201" s="135" t="s">
        <v>323</v>
      </c>
      <c r="D8201" s="161" t="s">
        <v>74</v>
      </c>
      <c r="E8201" s="135">
        <f t="shared" si="62"/>
        <v>28</v>
      </c>
      <c r="F8201" s="134" t="s">
        <v>3817</v>
      </c>
      <c r="G8201" s="63" t="str">
        <f>VLOOKUP(C8201, 'Class Def. - General Data'!$C$20:$C$1000,1,false)</f>
        <v>ZSI1_COMPRESSOR</v>
      </c>
      <c r="H8201" s="63" t="str">
        <f>IFERROR(__xludf.DUMMYFUNCTION("VLOOKUP(F8201, IMPORTRANGE(""https://docs.google.com/spreadsheets/d/1Lhp9OU0JdFf_VYSMzH5lBcEaU4o8teT1piV-SNzShjg/edit?gid=554141278#gid=554141278"", ""'Char Def. - Attributes'!C20:C2242""), 1,false)"),"ALT_DENUM_UOM5")</f>
        <v>ALT_DENUM_UOM5</v>
      </c>
      <c r="I8201" s="136"/>
      <c r="R8201" s="63" t="str">
        <f t="shared" si="60"/>
        <v>ZSI1_COMPRESSORALT_DENUM_UOM5</v>
      </c>
    </row>
    <row r="8202" ht="15.75" customHeight="1">
      <c r="B8202" s="63">
        <f t="shared" si="1"/>
        <v>15</v>
      </c>
      <c r="C8202" s="135" t="s">
        <v>323</v>
      </c>
      <c r="D8202" s="161" t="s">
        <v>74</v>
      </c>
      <c r="E8202" s="135">
        <f t="shared" si="62"/>
        <v>29</v>
      </c>
      <c r="F8202" s="134" t="s">
        <v>3818</v>
      </c>
      <c r="G8202" s="63" t="str">
        <f>VLOOKUP(C8202, 'Class Def. - General Data'!$C$20:$C$1000,1,false)</f>
        <v>ZSI1_COMPRESSOR</v>
      </c>
      <c r="H8202" s="63" t="str">
        <f>IFERROR(__xludf.DUMMYFUNCTION("VLOOKUP(F8202, IMPORTRANGE(""https://docs.google.com/spreadsheets/d/1Lhp9OU0JdFf_VYSMzH5lBcEaU4o8teT1piV-SNzShjg/edit?gid=554141278#gid=554141278"", ""'Char Def. - Attributes'!C20:C2242""), 1,false)"),"ALT_NUM_UOM5")</f>
        <v>ALT_NUM_UOM5</v>
      </c>
      <c r="I8202" s="136"/>
      <c r="R8202" s="63" t="str">
        <f t="shared" si="60"/>
        <v>ZSI1_COMPRESSORALT_NUM_UOM5</v>
      </c>
    </row>
    <row r="8203" ht="15.75" customHeight="1">
      <c r="B8203" s="63">
        <f t="shared" si="1"/>
        <v>13</v>
      </c>
      <c r="C8203" s="135" t="s">
        <v>561</v>
      </c>
      <c r="D8203" s="161" t="s">
        <v>74</v>
      </c>
      <c r="E8203" s="135">
        <f t="shared" si="62"/>
        <v>1</v>
      </c>
      <c r="F8203" s="134" t="s">
        <v>4302</v>
      </c>
      <c r="G8203" s="63" t="str">
        <f>VLOOKUP(C8203, 'Class Def. - General Data'!$C$20:$C$1000,1,false)</f>
        <v>ZSI1_COMPUTER</v>
      </c>
      <c r="H8203" s="63" t="str">
        <f>IFERROR(__xludf.DUMMYFUNCTION("VLOOKUP(F8203, IMPORTRANGE(""https://docs.google.com/spreadsheets/d/1Lhp9OU0JdFf_VYSMzH5lBcEaU4o8teT1piV-SNzShjg/edit?gid=554141278#gid=554141278"", ""'Char Def. - Attributes'!C20:C2242""), 1,false)"),"#N/A")</f>
        <v>#N/A</v>
      </c>
      <c r="I8203" s="136"/>
      <c r="R8203" s="63" t="str">
        <f t="shared" si="60"/>
        <v>ZSI1_COMPUTERITEM_NAME_COMPUTER</v>
      </c>
    </row>
    <row r="8204" ht="15.75" customHeight="1">
      <c r="B8204" s="63">
        <f t="shared" si="1"/>
        <v>13</v>
      </c>
      <c r="C8204" s="135" t="s">
        <v>561</v>
      </c>
      <c r="D8204" s="161" t="s">
        <v>74</v>
      </c>
      <c r="E8204" s="135">
        <f t="shared" si="62"/>
        <v>2</v>
      </c>
      <c r="F8204" s="134" t="s">
        <v>4303</v>
      </c>
      <c r="G8204" s="63" t="str">
        <f>VLOOKUP(C8204, 'Class Def. - General Data'!$C$20:$C$1000,1,false)</f>
        <v>ZSI1_COMPUTER</v>
      </c>
      <c r="H8204" s="63" t="str">
        <f>IFERROR(__xludf.DUMMYFUNCTION("VLOOKUP(F8204, IMPORTRANGE(""https://docs.google.com/spreadsheets/d/1Lhp9OU0JdFf_VYSMzH5lBcEaU4o8teT1piV-SNzShjg/edit?gid=554141278#gid=554141278"", ""'Char Def. - Attributes'!C20:C2242""), 1,false)"),"#N/A")</f>
        <v>#N/A</v>
      </c>
      <c r="I8204" s="136"/>
      <c r="R8204" s="63" t="str">
        <f t="shared" si="60"/>
        <v>ZSI1_COMPUTERTYPE_COMPUTER</v>
      </c>
    </row>
    <row r="8205" ht="15.75" customHeight="1">
      <c r="B8205" s="63">
        <f t="shared" si="1"/>
        <v>13</v>
      </c>
      <c r="C8205" s="135" t="s">
        <v>561</v>
      </c>
      <c r="D8205" s="161" t="s">
        <v>74</v>
      </c>
      <c r="E8205" s="135">
        <f t="shared" si="62"/>
        <v>3</v>
      </c>
      <c r="F8205" s="134" t="s">
        <v>3782</v>
      </c>
      <c r="G8205" s="63" t="str">
        <f>VLOOKUP(C8205, 'Class Def. - General Data'!$C$20:$C$1000,1,false)</f>
        <v>ZSI1_COMPUTER</v>
      </c>
      <c r="H8205" s="63" t="str">
        <f>IFERROR(__xludf.DUMMYFUNCTION("VLOOKUP(F8205, IMPORTRANGE(""https://docs.google.com/spreadsheets/d/1Lhp9OU0JdFf_VYSMzH5lBcEaU4o8teT1piV-SNzShjg/edit?gid=554141278#gid=554141278"", ""'Char Def. - Attributes'!C20:C2242""), 1,false)"),"BRAND_EXTERNAL")</f>
        <v>BRAND_EXTERNAL</v>
      </c>
      <c r="I8205" s="136"/>
      <c r="R8205" s="63" t="str">
        <f t="shared" si="60"/>
        <v>ZSI1_COMPUTERBRAND_EXTERNAL</v>
      </c>
    </row>
    <row r="8206" ht="15.75" customHeight="1">
      <c r="B8206" s="63">
        <f t="shared" si="1"/>
        <v>13</v>
      </c>
      <c r="C8206" s="135" t="s">
        <v>561</v>
      </c>
      <c r="D8206" s="161" t="s">
        <v>74</v>
      </c>
      <c r="E8206" s="135">
        <f t="shared" si="62"/>
        <v>4</v>
      </c>
      <c r="F8206" s="134" t="s">
        <v>4304</v>
      </c>
      <c r="G8206" s="63" t="str">
        <f>VLOOKUP(C8206, 'Class Def. - General Data'!$C$20:$C$1000,1,false)</f>
        <v>ZSI1_COMPUTER</v>
      </c>
      <c r="H8206" s="63" t="str">
        <f>IFERROR(__xludf.DUMMYFUNCTION("VLOOKUP(F8206, IMPORTRANGE(""https://docs.google.com/spreadsheets/d/1Lhp9OU0JdFf_VYSMzH5lBcEaU4o8teT1piV-SNzShjg/edit?gid=554141278#gid=554141278"", ""'Char Def. - Attributes'!C20:C2242""), 1,false)"),"#N/A")</f>
        <v>#N/A</v>
      </c>
      <c r="I8206" s="136"/>
      <c r="R8206" s="63" t="str">
        <f t="shared" si="60"/>
        <v>ZSI1_COMPUTERPROCESSOR_COMPUTER</v>
      </c>
    </row>
    <row r="8207" ht="15.75" customHeight="1">
      <c r="B8207" s="63">
        <f t="shared" si="1"/>
        <v>13</v>
      </c>
      <c r="C8207" s="135" t="s">
        <v>561</v>
      </c>
      <c r="D8207" s="161" t="s">
        <v>74</v>
      </c>
      <c r="E8207" s="135">
        <f t="shared" si="62"/>
        <v>5</v>
      </c>
      <c r="F8207" s="134" t="s">
        <v>4305</v>
      </c>
      <c r="G8207" s="63" t="str">
        <f>VLOOKUP(C8207, 'Class Def. - General Data'!$C$20:$C$1000,1,false)</f>
        <v>ZSI1_COMPUTER</v>
      </c>
      <c r="H8207" s="63" t="str">
        <f>IFERROR(__xludf.DUMMYFUNCTION("VLOOKUP(F8207, IMPORTRANGE(""https://docs.google.com/spreadsheets/d/1Lhp9OU0JdFf_VYSMzH5lBcEaU4o8teT1piV-SNzShjg/edit?gid=554141278#gid=554141278"", ""'Char Def. - Attributes'!C20:C2242""), 1,false)"),"#N/A")</f>
        <v>#N/A</v>
      </c>
      <c r="I8207" s="136"/>
      <c r="R8207" s="63" t="str">
        <f t="shared" si="60"/>
        <v>ZSI1_COMPUTERRAM_DIMENSION_COMPUTER</v>
      </c>
    </row>
    <row r="8208" ht="15.75" customHeight="1">
      <c r="B8208" s="63">
        <f t="shared" si="1"/>
        <v>13</v>
      </c>
      <c r="C8208" s="135" t="s">
        <v>561</v>
      </c>
      <c r="D8208" s="161" t="s">
        <v>74</v>
      </c>
      <c r="E8208" s="135">
        <f t="shared" si="62"/>
        <v>6</v>
      </c>
      <c r="F8208" s="134" t="s">
        <v>4306</v>
      </c>
      <c r="G8208" s="63" t="str">
        <f>VLOOKUP(C8208, 'Class Def. - General Data'!$C$20:$C$1000,1,false)</f>
        <v>ZSI1_COMPUTER</v>
      </c>
      <c r="H8208" s="63" t="str">
        <f>IFERROR(__xludf.DUMMYFUNCTION("VLOOKUP(F8208, IMPORTRANGE(""https://docs.google.com/spreadsheets/d/1Lhp9OU0JdFf_VYSMzH5lBcEaU4o8teT1piV-SNzShjg/edit?gid=554141278#gid=554141278"", ""'Char Def. - Attributes'!C20:C2242""), 1,false)"),"#N/A")</f>
        <v>#N/A</v>
      </c>
      <c r="I8208" s="136"/>
      <c r="R8208" s="63" t="str">
        <f t="shared" si="60"/>
        <v>ZSI1_COMPUTERRAM_CAPACITY_COMPUTER</v>
      </c>
    </row>
    <row r="8209" ht="15.75" customHeight="1">
      <c r="B8209" s="63">
        <f t="shared" si="1"/>
        <v>13</v>
      </c>
      <c r="C8209" s="135" t="s">
        <v>561</v>
      </c>
      <c r="D8209" s="161" t="s">
        <v>74</v>
      </c>
      <c r="E8209" s="135">
        <f t="shared" si="62"/>
        <v>7</v>
      </c>
      <c r="F8209" s="134" t="s">
        <v>4307</v>
      </c>
      <c r="G8209" s="63" t="str">
        <f>VLOOKUP(C8209, 'Class Def. - General Data'!$C$20:$C$1000,1,false)</f>
        <v>ZSI1_COMPUTER</v>
      </c>
      <c r="H8209" s="63" t="str">
        <f>IFERROR(__xludf.DUMMYFUNCTION("VLOOKUP(F8209, IMPORTRANGE(""https://docs.google.com/spreadsheets/d/1Lhp9OU0JdFf_VYSMzH5lBcEaU4o8teT1piV-SNzShjg/edit?gid=554141278#gid=554141278"", ""'Char Def. - Attributes'!C20:C2242""), 1,false)"),"#N/A")</f>
        <v>#N/A</v>
      </c>
      <c r="I8209" s="136"/>
      <c r="R8209" s="63" t="str">
        <f t="shared" si="60"/>
        <v>ZSI1_COMPUTERHARDDISK_DIMENSION_COMPUTER</v>
      </c>
    </row>
    <row r="8210" ht="15.75" customHeight="1">
      <c r="B8210" s="63">
        <f t="shared" si="1"/>
        <v>13</v>
      </c>
      <c r="C8210" s="135" t="s">
        <v>561</v>
      </c>
      <c r="D8210" s="161" t="s">
        <v>74</v>
      </c>
      <c r="E8210" s="135">
        <f t="shared" si="62"/>
        <v>8</v>
      </c>
      <c r="F8210" s="134" t="s">
        <v>4308</v>
      </c>
      <c r="G8210" s="63" t="str">
        <f>VLOOKUP(C8210, 'Class Def. - General Data'!$C$20:$C$1000,1,false)</f>
        <v>ZSI1_COMPUTER</v>
      </c>
      <c r="H8210" s="63" t="str">
        <f>IFERROR(__xludf.DUMMYFUNCTION("VLOOKUP(F8210, IMPORTRANGE(""https://docs.google.com/spreadsheets/d/1Lhp9OU0JdFf_VYSMzH5lBcEaU4o8teT1piV-SNzShjg/edit?gid=554141278#gid=554141278"", ""'Char Def. - Attributes'!C20:C2242""), 1,false)"),"#N/A")</f>
        <v>#N/A</v>
      </c>
      <c r="I8210" s="136"/>
      <c r="R8210" s="63" t="str">
        <f t="shared" si="60"/>
        <v>ZSI1_COMPUTERHARDDISK_CAPACITY_COMPUTER</v>
      </c>
    </row>
    <row r="8211" ht="15.75" customHeight="1">
      <c r="B8211" s="63">
        <f t="shared" si="1"/>
        <v>13</v>
      </c>
      <c r="C8211" s="135" t="s">
        <v>561</v>
      </c>
      <c r="D8211" s="161" t="s">
        <v>74</v>
      </c>
      <c r="E8211" s="135">
        <f t="shared" si="62"/>
        <v>9</v>
      </c>
      <c r="F8211" s="134" t="s">
        <v>4309</v>
      </c>
      <c r="G8211" s="63" t="str">
        <f>VLOOKUP(C8211, 'Class Def. - General Data'!$C$20:$C$1000,1,false)</f>
        <v>ZSI1_COMPUTER</v>
      </c>
      <c r="H8211" s="63" t="str">
        <f>IFERROR(__xludf.DUMMYFUNCTION("VLOOKUP(F8211, IMPORTRANGE(""https://docs.google.com/spreadsheets/d/1Lhp9OU0JdFf_VYSMzH5lBcEaU4o8teT1piV-SNzShjg/edit?gid=554141278#gid=554141278"", ""'Char Def. - Attributes'!C20:C2242""), 1,false)"),"#N/A")</f>
        <v>#N/A</v>
      </c>
      <c r="I8211" s="136"/>
      <c r="R8211" s="63" t="str">
        <f t="shared" si="60"/>
        <v>ZSI1_COMPUTEROPERATING_SYSTEM_COMPUTER</v>
      </c>
    </row>
    <row r="8212" ht="15.75" customHeight="1">
      <c r="B8212" s="63">
        <f t="shared" si="1"/>
        <v>13</v>
      </c>
      <c r="C8212" s="135" t="s">
        <v>561</v>
      </c>
      <c r="D8212" s="161" t="s">
        <v>74</v>
      </c>
      <c r="E8212" s="135">
        <f t="shared" si="62"/>
        <v>10</v>
      </c>
      <c r="F8212" s="134" t="s">
        <v>4062</v>
      </c>
      <c r="G8212" s="63" t="str">
        <f>VLOOKUP(C8212, 'Class Def. - General Data'!$C$20:$C$1000,1,false)</f>
        <v>ZSI1_COMPUTER</v>
      </c>
      <c r="H8212" s="63" t="str">
        <f>IFERROR(__xludf.DUMMYFUNCTION("VLOOKUP(F8212, IMPORTRANGE(""https://docs.google.com/spreadsheets/d/1Lhp9OU0JdFf_VYSMzH5lBcEaU4o8teT1piV-SNzShjg/edit?gid=554141278#gid=554141278"", ""'Char Def. - Attributes'!C20:C2242""), 1,false)"),"#N/A")</f>
        <v>#N/A</v>
      </c>
      <c r="I8212" s="136"/>
      <c r="R8212" s="63" t="str">
        <f t="shared" si="60"/>
        <v>ZSI1_COMPUTERADDTIONAL_SPECIFICATION</v>
      </c>
    </row>
    <row r="8213" ht="15.75" customHeight="1">
      <c r="B8213" s="63">
        <f t="shared" si="1"/>
        <v>13</v>
      </c>
      <c r="C8213" s="135" t="s">
        <v>561</v>
      </c>
      <c r="D8213" s="161" t="s">
        <v>74</v>
      </c>
      <c r="E8213" s="135">
        <f t="shared" si="62"/>
        <v>11</v>
      </c>
      <c r="F8213" s="134" t="s">
        <v>3585</v>
      </c>
      <c r="G8213" s="63" t="str">
        <f>VLOOKUP(C8213, 'Class Def. - General Data'!$C$20:$C$1000,1,false)</f>
        <v>ZSI1_COMPUTER</v>
      </c>
      <c r="H8213" s="63" t="str">
        <f>IFERROR(__xludf.DUMMYFUNCTION("VLOOKUP(F8213, IMPORTRANGE(""https://docs.google.com/spreadsheets/d/1Lhp9OU0JdFf_VYSMzH5lBcEaU4o8teT1piV-SNzShjg/edit?gid=554141278#gid=554141278"", ""'Char Def. - Attributes'!C20:C2242""), 1,false)"),"HS_CODE")</f>
        <v>HS_CODE</v>
      </c>
      <c r="I8213" s="136"/>
      <c r="R8213" s="63" t="str">
        <f t="shared" si="60"/>
        <v>ZSI1_COMPUTERHS_CODE</v>
      </c>
    </row>
    <row r="8214" ht="15.75" customHeight="1">
      <c r="B8214" s="63">
        <f t="shared" si="1"/>
        <v>13</v>
      </c>
      <c r="C8214" s="135" t="s">
        <v>561</v>
      </c>
      <c r="D8214" s="161" t="s">
        <v>74</v>
      </c>
      <c r="E8214" s="135">
        <f t="shared" si="62"/>
        <v>12</v>
      </c>
      <c r="F8214" s="134" t="s">
        <v>3587</v>
      </c>
      <c r="G8214" s="63" t="str">
        <f>VLOOKUP(C8214, 'Class Def. - General Data'!$C$20:$C$1000,1,false)</f>
        <v>ZSI1_COMPUTER</v>
      </c>
      <c r="H8214" s="63" t="str">
        <f>IFERROR(__xludf.DUMMYFUNCTION("VLOOKUP(F8214, IMPORTRANGE(""https://docs.google.com/spreadsheets/d/1Lhp9OU0JdFf_VYSMzH5lBcEaU4o8teT1piV-SNzShjg/edit?gid=554141278#gid=554141278"", ""'Char Def. - Attributes'!C20:C2242""), 1,false)"),"PLANT_BUY")</f>
        <v>PLANT_BUY</v>
      </c>
      <c r="I8214" s="136"/>
      <c r="R8214" s="63" t="str">
        <f t="shared" si="60"/>
        <v>ZSI1_COMPUTERPLANT_BUY</v>
      </c>
    </row>
    <row r="8215" ht="15.75" customHeight="1">
      <c r="B8215" s="63">
        <f t="shared" si="1"/>
        <v>13</v>
      </c>
      <c r="C8215" s="135" t="s">
        <v>561</v>
      </c>
      <c r="D8215" s="161" t="s">
        <v>74</v>
      </c>
      <c r="E8215" s="135">
        <f t="shared" si="62"/>
        <v>13</v>
      </c>
      <c r="F8215" s="134" t="s">
        <v>4310</v>
      </c>
      <c r="G8215" s="63" t="str">
        <f>VLOOKUP(C8215, 'Class Def. - General Data'!$C$20:$C$1000,1,false)</f>
        <v>ZSI1_COMPUTER</v>
      </c>
      <c r="H8215" s="63" t="str">
        <f>IFERROR(__xludf.DUMMYFUNCTION("VLOOKUP(F8215, IMPORTRANGE(""https://docs.google.com/spreadsheets/d/1Lhp9OU0JdFf_VYSMzH5lBcEaU4o8teT1piV-SNzShjg/edit?gid=554141278#gid=554141278"", ""'Char Def. - Attributes'!C20:C2242""), 1,false)"),"BASE_UOM_CPU_SET")</f>
        <v>BASE_UOM_CPU_SET</v>
      </c>
      <c r="I8215" s="136"/>
      <c r="R8215" s="63" t="str">
        <f t="shared" si="60"/>
        <v>ZSI1_COMPUTERBASE_UOM_CPU_SET</v>
      </c>
    </row>
    <row r="8216" ht="15.75" customHeight="1">
      <c r="B8216" s="63">
        <f t="shared" si="1"/>
        <v>13</v>
      </c>
      <c r="C8216" s="135" t="s">
        <v>561</v>
      </c>
      <c r="D8216" s="161" t="s">
        <v>74</v>
      </c>
      <c r="E8216" s="135">
        <f t="shared" si="62"/>
        <v>14</v>
      </c>
      <c r="F8216" s="134" t="s">
        <v>4311</v>
      </c>
      <c r="G8216" s="63" t="str">
        <f>VLOOKUP(C8216, 'Class Def. - General Data'!$C$20:$C$1000,1,false)</f>
        <v>ZSI1_COMPUTER</v>
      </c>
      <c r="H8216" s="63" t="str">
        <f>IFERROR(__xludf.DUMMYFUNCTION("VLOOKUP(F8216, IMPORTRANGE(""https://docs.google.com/spreadsheets/d/1Lhp9OU0JdFf_VYSMzH5lBcEaU4o8teT1piV-SNzShjg/edit?gid=554141278#gid=554141278"", ""'Char Def. - Attributes'!C20:C2242""), 1,false)"),"ORDER_UNIT_CPU_SET")</f>
        <v>ORDER_UNIT_CPU_SET</v>
      </c>
      <c r="I8216" s="136"/>
      <c r="R8216" s="63" t="str">
        <f t="shared" si="60"/>
        <v>ZSI1_COMPUTERORDER_UNIT_CPU_SET</v>
      </c>
    </row>
    <row r="8217" ht="15.75" customHeight="1">
      <c r="B8217" s="63">
        <f t="shared" si="1"/>
        <v>13</v>
      </c>
      <c r="C8217" s="135" t="s">
        <v>561</v>
      </c>
      <c r="D8217" s="161" t="s">
        <v>74</v>
      </c>
      <c r="E8217" s="135">
        <f t="shared" si="62"/>
        <v>15</v>
      </c>
      <c r="F8217" s="134" t="s">
        <v>4056</v>
      </c>
      <c r="G8217" s="63" t="str">
        <f>VLOOKUP(C8217, 'Class Def. - General Data'!$C$20:$C$1000,1,false)</f>
        <v>ZSI1_COMPUTER</v>
      </c>
      <c r="H8217" s="63" t="str">
        <f>IFERROR(__xludf.DUMMYFUNCTION("VLOOKUP(F8217, IMPORTRANGE(""https://docs.google.com/spreadsheets/d/1Lhp9OU0JdFf_VYSMzH5lBcEaU4o8teT1piV-SNzShjg/edit?gid=554141278#gid=554141278"", ""'Char Def. - Attributes'!C20:C2242""), 1,false)"),"GROSS_WEIGHT_OPT")</f>
        <v>GROSS_WEIGHT_OPT</v>
      </c>
      <c r="I8217" s="136"/>
      <c r="R8217" s="63" t="str">
        <f t="shared" si="60"/>
        <v>ZSI1_COMPUTERGROSS_WEIGHT_OPT</v>
      </c>
    </row>
    <row r="8218" ht="15.75" customHeight="1">
      <c r="B8218" s="63">
        <f t="shared" si="1"/>
        <v>13</v>
      </c>
      <c r="C8218" s="135" t="s">
        <v>561</v>
      </c>
      <c r="D8218" s="161" t="s">
        <v>74</v>
      </c>
      <c r="E8218" s="135">
        <f t="shared" si="62"/>
        <v>16</v>
      </c>
      <c r="F8218" s="134" t="s">
        <v>4057</v>
      </c>
      <c r="G8218" s="63" t="str">
        <f>VLOOKUP(C8218, 'Class Def. - General Data'!$C$20:$C$1000,1,false)</f>
        <v>ZSI1_COMPUTER</v>
      </c>
      <c r="H8218" s="63" t="str">
        <f>IFERROR(__xludf.DUMMYFUNCTION("VLOOKUP(F8218, IMPORTRANGE(""https://docs.google.com/spreadsheets/d/1Lhp9OU0JdFf_VYSMzH5lBcEaU4o8teT1piV-SNzShjg/edit?gid=554141278#gid=554141278"", ""'Char Def. - Attributes'!C20:C2242""), 1,false)"),"NET_WEIGHT_OPT")</f>
        <v>NET_WEIGHT_OPT</v>
      </c>
      <c r="I8218" s="136"/>
      <c r="R8218" s="63" t="str">
        <f t="shared" si="60"/>
        <v>ZSI1_COMPUTERNET_WEIGHT_OPT</v>
      </c>
    </row>
    <row r="8219" ht="15.75" customHeight="1">
      <c r="B8219" s="63">
        <f t="shared" si="1"/>
        <v>13</v>
      </c>
      <c r="C8219" s="135" t="s">
        <v>561</v>
      </c>
      <c r="D8219" s="161" t="s">
        <v>74</v>
      </c>
      <c r="E8219" s="135">
        <f t="shared" si="62"/>
        <v>17</v>
      </c>
      <c r="F8219" s="134" t="s">
        <v>4058</v>
      </c>
      <c r="G8219" s="63" t="str">
        <f>VLOOKUP(C8219, 'Class Def. - General Data'!$C$20:$C$1000,1,false)</f>
        <v>ZSI1_COMPUTER</v>
      </c>
      <c r="H8219" s="63" t="str">
        <f>IFERROR(__xludf.DUMMYFUNCTION("VLOOKUP(F8219, IMPORTRANGE(""https://docs.google.com/spreadsheets/d/1Lhp9OU0JdFf_VYSMzH5lBcEaU4o8teT1piV-SNzShjg/edit?gid=554141278#gid=554141278"", ""'Char Def. - Attributes'!C20:C2242""), 1,false)"),"WEIGHT_UNIT_SI")</f>
        <v>WEIGHT_UNIT_SI</v>
      </c>
      <c r="I8219" s="136"/>
      <c r="R8219" s="63" t="str">
        <f t="shared" si="60"/>
        <v>ZSI1_COMPUTERWEIGHT_UNIT_SI</v>
      </c>
    </row>
    <row r="8220" ht="15.75" customHeight="1">
      <c r="B8220" s="63">
        <f t="shared" si="1"/>
        <v>13</v>
      </c>
      <c r="C8220" s="135" t="s">
        <v>561</v>
      </c>
      <c r="D8220" s="161" t="s">
        <v>74</v>
      </c>
      <c r="E8220" s="135">
        <f t="shared" si="62"/>
        <v>18</v>
      </c>
      <c r="F8220" s="134" t="s">
        <v>3877</v>
      </c>
      <c r="G8220" s="63" t="str">
        <f>VLOOKUP(C8220, 'Class Def. - General Data'!$C$20:$C$1000,1,false)</f>
        <v>ZSI1_COMPUTER</v>
      </c>
      <c r="H8220" s="63" t="str">
        <f>IFERROR(__xludf.DUMMYFUNCTION("VLOOKUP(F8220, IMPORTRANGE(""https://docs.google.com/spreadsheets/d/1Lhp9OU0JdFf_VYSMzH5lBcEaU4o8teT1piV-SNzShjg/edit?gid=554141278#gid=554141278"", ""'Char Def. - Attributes'!C20:C2242""), 1,false)"),"VOLUME_OPT")</f>
        <v>VOLUME_OPT</v>
      </c>
      <c r="I8220" s="136"/>
      <c r="R8220" s="63" t="str">
        <f t="shared" si="60"/>
        <v>ZSI1_COMPUTERVOLUME_OPT</v>
      </c>
    </row>
    <row r="8221" ht="15.75" customHeight="1">
      <c r="B8221" s="63">
        <f t="shared" si="1"/>
        <v>13</v>
      </c>
      <c r="C8221" s="135" t="s">
        <v>561</v>
      </c>
      <c r="D8221" s="161" t="s">
        <v>74</v>
      </c>
      <c r="E8221" s="135">
        <f t="shared" si="62"/>
        <v>19</v>
      </c>
      <c r="F8221" s="134" t="s">
        <v>4059</v>
      </c>
      <c r="G8221" s="63" t="str">
        <f>VLOOKUP(C8221, 'Class Def. - General Data'!$C$20:$C$1000,1,false)</f>
        <v>ZSI1_COMPUTER</v>
      </c>
      <c r="H8221" s="63" t="str">
        <f>IFERROR(__xludf.DUMMYFUNCTION("VLOOKUP(F8221, IMPORTRANGE(""https://docs.google.com/spreadsheets/d/1Lhp9OU0JdFf_VYSMzH5lBcEaU4o8teT1piV-SNzShjg/edit?gid=554141278#gid=554141278"", ""'Char Def. - Attributes'!C20:C2242""), 1,false)"),"VOLUME_UNIT_SI")</f>
        <v>VOLUME_UNIT_SI</v>
      </c>
      <c r="I8221" s="136"/>
      <c r="R8221" s="63" t="str">
        <f t="shared" si="60"/>
        <v>ZSI1_COMPUTERVOLUME_UNIT_SI</v>
      </c>
    </row>
    <row r="8222" ht="15.75" customHeight="1">
      <c r="B8222" s="63">
        <f t="shared" si="1"/>
        <v>13</v>
      </c>
      <c r="C8222" s="135" t="s">
        <v>561</v>
      </c>
      <c r="D8222" s="161" t="s">
        <v>74</v>
      </c>
      <c r="E8222" s="135">
        <f t="shared" si="62"/>
        <v>20</v>
      </c>
      <c r="F8222" s="134" t="s">
        <v>3804</v>
      </c>
      <c r="G8222" s="63" t="str">
        <f>VLOOKUP(C8222, 'Class Def. - General Data'!$C$20:$C$1000,1,false)</f>
        <v>ZSI1_COMPUTER</v>
      </c>
      <c r="H8222" s="63" t="str">
        <f>IFERROR(__xludf.DUMMYFUNCTION("VLOOKUP(F8222, IMPORTRANGE(""https://docs.google.com/spreadsheets/d/1Lhp9OU0JdFf_VYSMzH5lBcEaU4o8teT1piV-SNzShjg/edit?gid=554141278#gid=554141278"", ""'Char Def. - Attributes'!C20:C2242""), 1,false)"),"ALT_UOM1_SIPI")</f>
        <v>ALT_UOM1_SIPI</v>
      </c>
      <c r="I8222" s="136"/>
      <c r="R8222" s="63" t="str">
        <f t="shared" si="60"/>
        <v>ZSI1_COMPUTERALT_UOM1_SIPI</v>
      </c>
    </row>
    <row r="8223" ht="15.75" customHeight="1">
      <c r="B8223" s="63">
        <f t="shared" si="1"/>
        <v>13</v>
      </c>
      <c r="C8223" s="135" t="s">
        <v>561</v>
      </c>
      <c r="D8223" s="161" t="s">
        <v>74</v>
      </c>
      <c r="E8223" s="135">
        <f t="shared" si="62"/>
        <v>21</v>
      </c>
      <c r="F8223" s="134" t="s">
        <v>3805</v>
      </c>
      <c r="G8223" s="63" t="str">
        <f>VLOOKUP(C8223, 'Class Def. - General Data'!$C$20:$C$1000,1,false)</f>
        <v>ZSI1_COMPUTER</v>
      </c>
      <c r="H8223" s="63" t="str">
        <f>IFERROR(__xludf.DUMMYFUNCTION("VLOOKUP(F8223, IMPORTRANGE(""https://docs.google.com/spreadsheets/d/1Lhp9OU0JdFf_VYSMzH5lBcEaU4o8teT1piV-SNzShjg/edit?gid=554141278#gid=554141278"", ""'Char Def. - Attributes'!C20:C2242""), 1,false)"),"ALT_DENUM_UOM1")</f>
        <v>ALT_DENUM_UOM1</v>
      </c>
      <c r="I8223" s="136"/>
      <c r="R8223" s="63" t="str">
        <f t="shared" si="60"/>
        <v>ZSI1_COMPUTERALT_DENUM_UOM1</v>
      </c>
    </row>
    <row r="8224" ht="15.75" customHeight="1">
      <c r="B8224" s="63">
        <f t="shared" si="1"/>
        <v>13</v>
      </c>
      <c r="C8224" s="135" t="s">
        <v>561</v>
      </c>
      <c r="D8224" s="161" t="s">
        <v>74</v>
      </c>
      <c r="E8224" s="135">
        <f t="shared" si="62"/>
        <v>22</v>
      </c>
      <c r="F8224" s="134" t="s">
        <v>3806</v>
      </c>
      <c r="G8224" s="63" t="str">
        <f>VLOOKUP(C8224, 'Class Def. - General Data'!$C$20:$C$1000,1,false)</f>
        <v>ZSI1_COMPUTER</v>
      </c>
      <c r="H8224" s="63" t="str">
        <f>IFERROR(__xludf.DUMMYFUNCTION("VLOOKUP(F8224, IMPORTRANGE(""https://docs.google.com/spreadsheets/d/1Lhp9OU0JdFf_VYSMzH5lBcEaU4o8teT1piV-SNzShjg/edit?gid=554141278#gid=554141278"", ""'Char Def. - Attributes'!C20:C2242""), 1,false)"),"ALT_NUM_UOM1")</f>
        <v>ALT_NUM_UOM1</v>
      </c>
      <c r="I8224" s="136"/>
      <c r="R8224" s="63" t="str">
        <f t="shared" si="60"/>
        <v>ZSI1_COMPUTERALT_NUM_UOM1</v>
      </c>
    </row>
    <row r="8225" ht="15.75" customHeight="1">
      <c r="B8225" s="63">
        <f t="shared" si="1"/>
        <v>13</v>
      </c>
      <c r="C8225" s="135" t="s">
        <v>561</v>
      </c>
      <c r="D8225" s="161" t="s">
        <v>74</v>
      </c>
      <c r="E8225" s="135">
        <f t="shared" si="62"/>
        <v>23</v>
      </c>
      <c r="F8225" s="134" t="s">
        <v>3807</v>
      </c>
      <c r="G8225" s="63" t="str">
        <f>VLOOKUP(C8225, 'Class Def. - General Data'!$C$20:$C$1000,1,false)</f>
        <v>ZSI1_COMPUTER</v>
      </c>
      <c r="H8225" s="63" t="str">
        <f>IFERROR(__xludf.DUMMYFUNCTION("VLOOKUP(F8225, IMPORTRANGE(""https://docs.google.com/spreadsheets/d/1Lhp9OU0JdFf_VYSMzH5lBcEaU4o8teT1piV-SNzShjg/edit?gid=554141278#gid=554141278"", ""'Char Def. - Attributes'!C20:C2242""), 1,false)"),"ALT_UOM2_SIPI")</f>
        <v>ALT_UOM2_SIPI</v>
      </c>
      <c r="I8225" s="136"/>
      <c r="R8225" s="63" t="str">
        <f t="shared" si="60"/>
        <v>ZSI1_COMPUTERALT_UOM2_SIPI</v>
      </c>
    </row>
    <row r="8226" ht="15.75" customHeight="1">
      <c r="B8226" s="63">
        <f t="shared" si="1"/>
        <v>13</v>
      </c>
      <c r="C8226" s="135" t="s">
        <v>561</v>
      </c>
      <c r="D8226" s="161" t="s">
        <v>74</v>
      </c>
      <c r="E8226" s="135">
        <f t="shared" si="62"/>
        <v>24</v>
      </c>
      <c r="F8226" s="134" t="s">
        <v>3808</v>
      </c>
      <c r="G8226" s="63" t="str">
        <f>VLOOKUP(C8226, 'Class Def. - General Data'!$C$20:$C$1000,1,false)</f>
        <v>ZSI1_COMPUTER</v>
      </c>
      <c r="H8226" s="63" t="str">
        <f>IFERROR(__xludf.DUMMYFUNCTION("VLOOKUP(F8226, IMPORTRANGE(""https://docs.google.com/spreadsheets/d/1Lhp9OU0JdFf_VYSMzH5lBcEaU4o8teT1piV-SNzShjg/edit?gid=554141278#gid=554141278"", ""'Char Def. - Attributes'!C20:C2242""), 1,false)"),"ALT_DENUM_UOM2")</f>
        <v>ALT_DENUM_UOM2</v>
      </c>
      <c r="I8226" s="136"/>
      <c r="R8226" s="63" t="str">
        <f t="shared" si="60"/>
        <v>ZSI1_COMPUTERALT_DENUM_UOM2</v>
      </c>
    </row>
    <row r="8227" ht="15.75" customHeight="1">
      <c r="B8227" s="63">
        <f t="shared" si="1"/>
        <v>13</v>
      </c>
      <c r="C8227" s="135" t="s">
        <v>561</v>
      </c>
      <c r="D8227" s="161" t="s">
        <v>74</v>
      </c>
      <c r="E8227" s="135">
        <f t="shared" si="62"/>
        <v>25</v>
      </c>
      <c r="F8227" s="134" t="s">
        <v>3809</v>
      </c>
      <c r="G8227" s="63" t="str">
        <f>VLOOKUP(C8227, 'Class Def. - General Data'!$C$20:$C$1000,1,false)</f>
        <v>ZSI1_COMPUTER</v>
      </c>
      <c r="H8227" s="63" t="str">
        <f>IFERROR(__xludf.DUMMYFUNCTION("VLOOKUP(F8227, IMPORTRANGE(""https://docs.google.com/spreadsheets/d/1Lhp9OU0JdFf_VYSMzH5lBcEaU4o8teT1piV-SNzShjg/edit?gid=554141278#gid=554141278"", ""'Char Def. - Attributes'!C20:C2242""), 1,false)"),"ALT_NUM_UOM2")</f>
        <v>ALT_NUM_UOM2</v>
      </c>
      <c r="I8227" s="136"/>
      <c r="R8227" s="63" t="str">
        <f t="shared" si="60"/>
        <v>ZSI1_COMPUTERALT_NUM_UOM2</v>
      </c>
    </row>
    <row r="8228" ht="15.75" customHeight="1">
      <c r="B8228" s="63">
        <f t="shared" si="1"/>
        <v>13</v>
      </c>
      <c r="C8228" s="135" t="s">
        <v>561</v>
      </c>
      <c r="D8228" s="161" t="s">
        <v>74</v>
      </c>
      <c r="E8228" s="135">
        <f t="shared" si="62"/>
        <v>26</v>
      </c>
      <c r="F8228" s="134" t="s">
        <v>3810</v>
      </c>
      <c r="G8228" s="63" t="str">
        <f>VLOOKUP(C8228, 'Class Def. - General Data'!$C$20:$C$1000,1,false)</f>
        <v>ZSI1_COMPUTER</v>
      </c>
      <c r="H8228" s="63" t="str">
        <f>IFERROR(__xludf.DUMMYFUNCTION("VLOOKUP(F8228, IMPORTRANGE(""https://docs.google.com/spreadsheets/d/1Lhp9OU0JdFf_VYSMzH5lBcEaU4o8teT1piV-SNzShjg/edit?gid=554141278#gid=554141278"", ""'Char Def. - Attributes'!C20:C2242""), 1,false)"),"ALT_UOM3_SIPI")</f>
        <v>ALT_UOM3_SIPI</v>
      </c>
      <c r="I8228" s="136"/>
      <c r="R8228" s="63" t="str">
        <f t="shared" si="60"/>
        <v>ZSI1_COMPUTERALT_UOM3_SIPI</v>
      </c>
    </row>
    <row r="8229" ht="15.75" customHeight="1">
      <c r="B8229" s="63">
        <f t="shared" si="1"/>
        <v>13</v>
      </c>
      <c r="C8229" s="135" t="s">
        <v>561</v>
      </c>
      <c r="D8229" s="161" t="s">
        <v>74</v>
      </c>
      <c r="E8229" s="135">
        <f t="shared" si="62"/>
        <v>27</v>
      </c>
      <c r="F8229" s="134" t="s">
        <v>3811</v>
      </c>
      <c r="G8229" s="63" t="str">
        <f>VLOOKUP(C8229, 'Class Def. - General Data'!$C$20:$C$1000,1,false)</f>
        <v>ZSI1_COMPUTER</v>
      </c>
      <c r="H8229" s="63" t="str">
        <f>IFERROR(__xludf.DUMMYFUNCTION("VLOOKUP(F8229, IMPORTRANGE(""https://docs.google.com/spreadsheets/d/1Lhp9OU0JdFf_VYSMzH5lBcEaU4o8teT1piV-SNzShjg/edit?gid=554141278#gid=554141278"", ""'Char Def. - Attributes'!C20:C2242""), 1,false)"),"ALT_DENUM_UOM3")</f>
        <v>ALT_DENUM_UOM3</v>
      </c>
      <c r="I8229" s="136"/>
      <c r="R8229" s="63" t="str">
        <f t="shared" si="60"/>
        <v>ZSI1_COMPUTERALT_DENUM_UOM3</v>
      </c>
    </row>
    <row r="8230" ht="15.75" customHeight="1">
      <c r="B8230" s="63">
        <f t="shared" si="1"/>
        <v>13</v>
      </c>
      <c r="C8230" s="135" t="s">
        <v>561</v>
      </c>
      <c r="D8230" s="161" t="s">
        <v>74</v>
      </c>
      <c r="E8230" s="135">
        <f t="shared" si="62"/>
        <v>28</v>
      </c>
      <c r="F8230" s="134" t="s">
        <v>3812</v>
      </c>
      <c r="G8230" s="63" t="str">
        <f>VLOOKUP(C8230, 'Class Def. - General Data'!$C$20:$C$1000,1,false)</f>
        <v>ZSI1_COMPUTER</v>
      </c>
      <c r="H8230" s="63" t="str">
        <f>IFERROR(__xludf.DUMMYFUNCTION("VLOOKUP(F8230, IMPORTRANGE(""https://docs.google.com/spreadsheets/d/1Lhp9OU0JdFf_VYSMzH5lBcEaU4o8teT1piV-SNzShjg/edit?gid=554141278#gid=554141278"", ""'Char Def. - Attributes'!C20:C2242""), 1,false)"),"ALT_NUM_UOM3")</f>
        <v>ALT_NUM_UOM3</v>
      </c>
      <c r="I8230" s="136"/>
      <c r="R8230" s="63" t="str">
        <f t="shared" si="60"/>
        <v>ZSI1_COMPUTERALT_NUM_UOM3</v>
      </c>
    </row>
    <row r="8231" ht="15.75" customHeight="1">
      <c r="B8231" s="63">
        <f t="shared" si="1"/>
        <v>13</v>
      </c>
      <c r="C8231" s="135" t="s">
        <v>561</v>
      </c>
      <c r="D8231" s="161" t="s">
        <v>74</v>
      </c>
      <c r="E8231" s="135">
        <f t="shared" si="62"/>
        <v>29</v>
      </c>
      <c r="F8231" s="134" t="s">
        <v>3813</v>
      </c>
      <c r="G8231" s="63" t="str">
        <f>VLOOKUP(C8231, 'Class Def. - General Data'!$C$20:$C$1000,1,false)</f>
        <v>ZSI1_COMPUTER</v>
      </c>
      <c r="H8231" s="63" t="str">
        <f>IFERROR(__xludf.DUMMYFUNCTION("VLOOKUP(F8231, IMPORTRANGE(""https://docs.google.com/spreadsheets/d/1Lhp9OU0JdFf_VYSMzH5lBcEaU4o8teT1piV-SNzShjg/edit?gid=554141278#gid=554141278"", ""'Char Def. - Attributes'!C20:C2242""), 1,false)"),"ALT_UOM4_SIPI")</f>
        <v>ALT_UOM4_SIPI</v>
      </c>
      <c r="I8231" s="136"/>
      <c r="R8231" s="63" t="str">
        <f t="shared" si="60"/>
        <v>ZSI1_COMPUTERALT_UOM4_SIPI</v>
      </c>
    </row>
    <row r="8232" ht="15.75" customHeight="1">
      <c r="B8232" s="63">
        <f t="shared" si="1"/>
        <v>13</v>
      </c>
      <c r="C8232" s="135" t="s">
        <v>561</v>
      </c>
      <c r="D8232" s="161" t="s">
        <v>74</v>
      </c>
      <c r="E8232" s="135">
        <f t="shared" si="62"/>
        <v>30</v>
      </c>
      <c r="F8232" s="134" t="s">
        <v>3814</v>
      </c>
      <c r="G8232" s="63" t="str">
        <f>VLOOKUP(C8232, 'Class Def. - General Data'!$C$20:$C$1000,1,false)</f>
        <v>ZSI1_COMPUTER</v>
      </c>
      <c r="H8232" s="63" t="str">
        <f>IFERROR(__xludf.DUMMYFUNCTION("VLOOKUP(F8232, IMPORTRANGE(""https://docs.google.com/spreadsheets/d/1Lhp9OU0JdFf_VYSMzH5lBcEaU4o8teT1piV-SNzShjg/edit?gid=554141278#gid=554141278"", ""'Char Def. - Attributes'!C20:C2242""), 1,false)"),"ALT_DENUM_UOM4")</f>
        <v>ALT_DENUM_UOM4</v>
      </c>
      <c r="I8232" s="136"/>
      <c r="R8232" s="63" t="str">
        <f t="shared" si="60"/>
        <v>ZSI1_COMPUTERALT_DENUM_UOM4</v>
      </c>
    </row>
    <row r="8233" ht="15.75" customHeight="1">
      <c r="B8233" s="63">
        <f t="shared" si="1"/>
        <v>13</v>
      </c>
      <c r="C8233" s="135" t="s">
        <v>561</v>
      </c>
      <c r="D8233" s="161" t="s">
        <v>74</v>
      </c>
      <c r="E8233" s="135">
        <f t="shared" si="62"/>
        <v>31</v>
      </c>
      <c r="F8233" s="134" t="s">
        <v>3815</v>
      </c>
      <c r="G8233" s="63" t="str">
        <f>VLOOKUP(C8233, 'Class Def. - General Data'!$C$20:$C$1000,1,false)</f>
        <v>ZSI1_COMPUTER</v>
      </c>
      <c r="H8233" s="63" t="str">
        <f>IFERROR(__xludf.DUMMYFUNCTION("VLOOKUP(F8233, IMPORTRANGE(""https://docs.google.com/spreadsheets/d/1Lhp9OU0JdFf_VYSMzH5lBcEaU4o8teT1piV-SNzShjg/edit?gid=554141278#gid=554141278"", ""'Char Def. - Attributes'!C20:C2242""), 1,false)"),"ALT_NUM_UOM4")</f>
        <v>ALT_NUM_UOM4</v>
      </c>
      <c r="I8233" s="136"/>
      <c r="R8233" s="63" t="str">
        <f t="shared" si="60"/>
        <v>ZSI1_COMPUTERALT_NUM_UOM4</v>
      </c>
    </row>
    <row r="8234" ht="15.75" customHeight="1">
      <c r="B8234" s="63">
        <f t="shared" si="1"/>
        <v>13</v>
      </c>
      <c r="C8234" s="135" t="s">
        <v>561</v>
      </c>
      <c r="D8234" s="161" t="s">
        <v>74</v>
      </c>
      <c r="E8234" s="135">
        <f t="shared" si="62"/>
        <v>32</v>
      </c>
      <c r="F8234" s="134" t="s">
        <v>3816</v>
      </c>
      <c r="G8234" s="63" t="str">
        <f>VLOOKUP(C8234, 'Class Def. - General Data'!$C$20:$C$1000,1,false)</f>
        <v>ZSI1_COMPUTER</v>
      </c>
      <c r="H8234" s="63" t="str">
        <f>IFERROR(__xludf.DUMMYFUNCTION("VLOOKUP(F8234, IMPORTRANGE(""https://docs.google.com/spreadsheets/d/1Lhp9OU0JdFf_VYSMzH5lBcEaU4o8teT1piV-SNzShjg/edit?gid=554141278#gid=554141278"", ""'Char Def. - Attributes'!C20:C2242""), 1,false)"),"ALT_UOM5_SIPI")</f>
        <v>ALT_UOM5_SIPI</v>
      </c>
      <c r="I8234" s="136"/>
      <c r="R8234" s="63" t="str">
        <f t="shared" si="60"/>
        <v>ZSI1_COMPUTERALT_UOM5_SIPI</v>
      </c>
    </row>
    <row r="8235" ht="15.75" customHeight="1">
      <c r="B8235" s="63">
        <f t="shared" si="1"/>
        <v>13</v>
      </c>
      <c r="C8235" s="135" t="s">
        <v>561</v>
      </c>
      <c r="D8235" s="161" t="s">
        <v>74</v>
      </c>
      <c r="E8235" s="135">
        <f t="shared" si="62"/>
        <v>33</v>
      </c>
      <c r="F8235" s="134" t="s">
        <v>3817</v>
      </c>
      <c r="G8235" s="63" t="str">
        <f>VLOOKUP(C8235, 'Class Def. - General Data'!$C$20:$C$1000,1,false)</f>
        <v>ZSI1_COMPUTER</v>
      </c>
      <c r="H8235" s="63" t="str">
        <f>IFERROR(__xludf.DUMMYFUNCTION("VLOOKUP(F8235, IMPORTRANGE(""https://docs.google.com/spreadsheets/d/1Lhp9OU0JdFf_VYSMzH5lBcEaU4o8teT1piV-SNzShjg/edit?gid=554141278#gid=554141278"", ""'Char Def. - Attributes'!C20:C2242""), 1,false)"),"ALT_DENUM_UOM5")</f>
        <v>ALT_DENUM_UOM5</v>
      </c>
      <c r="I8235" s="136"/>
      <c r="R8235" s="63" t="str">
        <f t="shared" si="60"/>
        <v>ZSI1_COMPUTERALT_DENUM_UOM5</v>
      </c>
    </row>
    <row r="8236" ht="15.75" customHeight="1">
      <c r="B8236" s="63">
        <f t="shared" si="1"/>
        <v>13</v>
      </c>
      <c r="C8236" s="135" t="s">
        <v>561</v>
      </c>
      <c r="D8236" s="161" t="s">
        <v>74</v>
      </c>
      <c r="E8236" s="135">
        <f t="shared" si="62"/>
        <v>34</v>
      </c>
      <c r="F8236" s="134" t="s">
        <v>3818</v>
      </c>
      <c r="G8236" s="63" t="str">
        <f>VLOOKUP(C8236, 'Class Def. - General Data'!$C$20:$C$1000,1,false)</f>
        <v>ZSI1_COMPUTER</v>
      </c>
      <c r="H8236" s="63" t="str">
        <f>IFERROR(__xludf.DUMMYFUNCTION("VLOOKUP(F8236, IMPORTRANGE(""https://docs.google.com/spreadsheets/d/1Lhp9OU0JdFf_VYSMzH5lBcEaU4o8teT1piV-SNzShjg/edit?gid=554141278#gid=554141278"", ""'Char Def. - Attributes'!C20:C2242""), 1,false)"),"ALT_NUM_UOM5")</f>
        <v>ALT_NUM_UOM5</v>
      </c>
      <c r="I8236" s="136"/>
      <c r="R8236" s="63" t="str">
        <f t="shared" si="60"/>
        <v>ZSI1_COMPUTERALT_NUM_UOM5</v>
      </c>
    </row>
    <row r="8237" ht="15.75" customHeight="1">
      <c r="B8237" s="63">
        <f t="shared" si="1"/>
        <v>17</v>
      </c>
      <c r="C8237" s="135" t="s">
        <v>372</v>
      </c>
      <c r="D8237" s="161" t="s">
        <v>74</v>
      </c>
      <c r="E8237" s="135">
        <f t="shared" si="62"/>
        <v>1</v>
      </c>
      <c r="F8237" s="134" t="s">
        <v>4312</v>
      </c>
      <c r="G8237" s="63" t="str">
        <f>VLOOKUP(C8237, 'Class Def. - General Data'!$C$20:$C$1000,1,false)</f>
        <v>ZSI1_COMPUTER_EQP</v>
      </c>
      <c r="H8237" s="63" t="str">
        <f>IFERROR(__xludf.DUMMYFUNCTION("VLOOKUP(F8237, IMPORTRANGE(""https://docs.google.com/spreadsheets/d/1Lhp9OU0JdFf_VYSMzH5lBcEaU4o8teT1piV-SNzShjg/edit?gid=554141278#gid=554141278"", ""'Char Def. - Attributes'!C20:C2242""), 1,false)"),"ITEM_NAME_COMPUTER_EQP")</f>
        <v>ITEM_NAME_COMPUTER_EQP</v>
      </c>
      <c r="I8237" s="136"/>
      <c r="R8237" s="63" t="str">
        <f t="shared" si="60"/>
        <v>ZSI1_COMPUTER_EQPITEM_NAME_COMPUTER_EQP</v>
      </c>
    </row>
    <row r="8238" ht="15.75" customHeight="1">
      <c r="B8238" s="63">
        <f t="shared" si="1"/>
        <v>17</v>
      </c>
      <c r="C8238" s="135" t="s">
        <v>372</v>
      </c>
      <c r="D8238" s="161" t="s">
        <v>74</v>
      </c>
      <c r="E8238" s="135">
        <f t="shared" si="62"/>
        <v>2</v>
      </c>
      <c r="F8238" s="134" t="s">
        <v>3779</v>
      </c>
      <c r="G8238" s="63" t="str">
        <f>VLOOKUP(C8238, 'Class Def. - General Data'!$C$20:$C$1000,1,false)</f>
        <v>ZSI1_COMPUTER_EQP</v>
      </c>
      <c r="H8238" s="63" t="str">
        <f>IFERROR(__xludf.DUMMYFUNCTION("VLOOKUP(F8238, IMPORTRANGE(""https://docs.google.com/spreadsheets/d/1Lhp9OU0JdFf_VYSMzH5lBcEaU4o8teT1piV-SNzShjg/edit?gid=554141278#gid=554141278"", ""'Char Def. - Attributes'!C20:C2242""), 1,false)"),"EMBOSSED_BRAND_WINGS")</f>
        <v>EMBOSSED_BRAND_WINGS</v>
      </c>
      <c r="I8238" s="136"/>
      <c r="R8238" s="63" t="str">
        <f t="shared" si="60"/>
        <v>ZSI1_COMPUTER_EQPEMBOSSED_BRAND_WINGS</v>
      </c>
    </row>
    <row r="8239" ht="15.75" customHeight="1">
      <c r="B8239" s="63">
        <f t="shared" si="1"/>
        <v>17</v>
      </c>
      <c r="C8239" s="135" t="s">
        <v>372</v>
      </c>
      <c r="D8239" s="161" t="s">
        <v>74</v>
      </c>
      <c r="E8239" s="135">
        <f t="shared" si="62"/>
        <v>3</v>
      </c>
      <c r="F8239" s="134" t="s">
        <v>3780</v>
      </c>
      <c r="G8239" s="63" t="str">
        <f>VLOOKUP(C8239, 'Class Def. - General Data'!$C$20:$C$1000,1,false)</f>
        <v>ZSI1_COMPUTER_EQP</v>
      </c>
      <c r="H8239" s="63" t="str">
        <f>IFERROR(__xludf.DUMMYFUNCTION("VLOOKUP(F8239, IMPORTRANGE(""https://docs.google.com/spreadsheets/d/1Lhp9OU0JdFf_VYSMzH5lBcEaU4o8teT1piV-SNzShjg/edit?gid=554141278#gid=554141278"", ""'Char Def. - Attributes'!C20:C2242""), 1,false)"),"BRAND_WINGS_SIPI")</f>
        <v>BRAND_WINGS_SIPI</v>
      </c>
      <c r="I8239" s="136"/>
      <c r="R8239" s="63" t="str">
        <f t="shared" si="60"/>
        <v>ZSI1_COMPUTER_EQPBRAND_WINGS_SIPI</v>
      </c>
    </row>
    <row r="8240" ht="15.75" customHeight="1">
      <c r="B8240" s="63">
        <f t="shared" si="1"/>
        <v>17</v>
      </c>
      <c r="C8240" s="135" t="s">
        <v>372</v>
      </c>
      <c r="D8240" s="161" t="s">
        <v>74</v>
      </c>
      <c r="E8240" s="135">
        <f t="shared" si="62"/>
        <v>4</v>
      </c>
      <c r="F8240" s="134" t="s">
        <v>3778</v>
      </c>
      <c r="G8240" s="63" t="str">
        <f>VLOOKUP(C8240, 'Class Def. - General Data'!$C$20:$C$1000,1,false)</f>
        <v>ZSI1_COMPUTER_EQP</v>
      </c>
      <c r="H8240" s="63" t="str">
        <f>IFERROR(__xludf.DUMMYFUNCTION("VLOOKUP(F8240, IMPORTRANGE(""https://docs.google.com/spreadsheets/d/1Lhp9OU0JdFf_VYSMzH5lBcEaU4o8teT1piV-SNzShjg/edit?gid=554141278#gid=554141278"", ""'Char Def. - Attributes'!C20:C2242""), 1,false)"),"SPECIAL_ACTIVITY")</f>
        <v>SPECIAL_ACTIVITY</v>
      </c>
      <c r="I8240" s="136"/>
      <c r="R8240" s="63" t="str">
        <f t="shared" si="60"/>
        <v>ZSI1_COMPUTER_EQPSPECIAL_ACTIVITY</v>
      </c>
    </row>
    <row r="8241" ht="15.75" customHeight="1">
      <c r="B8241" s="63">
        <f t="shared" si="1"/>
        <v>17</v>
      </c>
      <c r="C8241" s="135" t="s">
        <v>372</v>
      </c>
      <c r="D8241" s="161" t="s">
        <v>74</v>
      </c>
      <c r="E8241" s="135">
        <f t="shared" si="62"/>
        <v>5</v>
      </c>
      <c r="F8241" s="134" t="s">
        <v>4313</v>
      </c>
      <c r="G8241" s="63" t="str">
        <f>VLOOKUP(C8241, 'Class Def. - General Data'!$C$20:$C$1000,1,false)</f>
        <v>ZSI1_COMPUTER_EQP</v>
      </c>
      <c r="H8241" s="63" t="str">
        <f>IFERROR(__xludf.DUMMYFUNCTION("VLOOKUP(F8241, IMPORTRANGE(""https://docs.google.com/spreadsheets/d/1Lhp9OU0JdFf_VYSMzH5lBcEaU4o8teT1piV-SNzShjg/edit?gid=554141278#gid=554141278"", ""'Char Def. - Attributes'!C20:C2242""), 1,false)"),"TYPE_COMPUTER_EQP")</f>
        <v>TYPE_COMPUTER_EQP</v>
      </c>
      <c r="I8241" s="136"/>
      <c r="R8241" s="63" t="str">
        <f t="shared" si="60"/>
        <v>ZSI1_COMPUTER_EQPTYPE_COMPUTER_EQP</v>
      </c>
    </row>
    <row r="8242" ht="15.75" customHeight="1">
      <c r="B8242" s="63">
        <f t="shared" si="1"/>
        <v>17</v>
      </c>
      <c r="C8242" s="135" t="s">
        <v>372</v>
      </c>
      <c r="D8242" s="161" t="s">
        <v>74</v>
      </c>
      <c r="E8242" s="135">
        <f t="shared" si="62"/>
        <v>6</v>
      </c>
      <c r="F8242" s="134" t="s">
        <v>3782</v>
      </c>
      <c r="G8242" s="63" t="str">
        <f>VLOOKUP(C8242, 'Class Def. - General Data'!$C$20:$C$1000,1,false)</f>
        <v>ZSI1_COMPUTER_EQP</v>
      </c>
      <c r="H8242" s="63" t="str">
        <f>IFERROR(__xludf.DUMMYFUNCTION("VLOOKUP(F8242, IMPORTRANGE(""https://docs.google.com/spreadsheets/d/1Lhp9OU0JdFf_VYSMzH5lBcEaU4o8teT1piV-SNzShjg/edit?gid=554141278#gid=554141278"", ""'Char Def. - Attributes'!C20:C2242""), 1,false)"),"BRAND_EXTERNAL")</f>
        <v>BRAND_EXTERNAL</v>
      </c>
      <c r="I8242" s="136"/>
      <c r="R8242" s="63" t="str">
        <f t="shared" si="60"/>
        <v>ZSI1_COMPUTER_EQPBRAND_EXTERNAL</v>
      </c>
    </row>
    <row r="8243" ht="15.75" customHeight="1">
      <c r="B8243" s="63">
        <f t="shared" si="1"/>
        <v>17</v>
      </c>
      <c r="C8243" s="135" t="s">
        <v>372</v>
      </c>
      <c r="D8243" s="161" t="s">
        <v>74</v>
      </c>
      <c r="E8243" s="135">
        <f t="shared" si="62"/>
        <v>7</v>
      </c>
      <c r="F8243" s="135" t="s">
        <v>4314</v>
      </c>
      <c r="G8243" s="63" t="str">
        <f>VLOOKUP(C8243, 'Class Def. - General Data'!$C$20:$C$1000,1,false)</f>
        <v>ZSI1_COMPUTER_EQP</v>
      </c>
      <c r="H8243" s="63" t="str">
        <f>IFERROR(__xludf.DUMMYFUNCTION("VLOOKUP(F8243, IMPORTRANGE(""https://docs.google.com/spreadsheets/d/1Lhp9OU0JdFf_VYSMzH5lBcEaU4o8teT1piV-SNzShjg/edit?gid=554141278#gid=554141278"", ""'Char Def. - Attributes'!C20:C2242""), 1,false)"),"#N/A")</f>
        <v>#N/A</v>
      </c>
      <c r="I8243" s="136"/>
      <c r="R8243" s="63" t="str">
        <f t="shared" si="60"/>
        <v>ZSI1_COMPUTER_EQPSIZE_INCH_COMPUTER_EQP</v>
      </c>
    </row>
    <row r="8244" ht="15.75" customHeight="1">
      <c r="B8244" s="63">
        <f t="shared" si="1"/>
        <v>17</v>
      </c>
      <c r="C8244" s="135" t="s">
        <v>372</v>
      </c>
      <c r="D8244" s="161" t="s">
        <v>74</v>
      </c>
      <c r="E8244" s="135">
        <f t="shared" si="62"/>
        <v>8</v>
      </c>
      <c r="F8244" s="134" t="s">
        <v>3585</v>
      </c>
      <c r="G8244" s="63" t="str">
        <f>VLOOKUP(C8244, 'Class Def. - General Data'!$C$20:$C$1000,1,false)</f>
        <v>ZSI1_COMPUTER_EQP</v>
      </c>
      <c r="H8244" s="63" t="str">
        <f>IFERROR(__xludf.DUMMYFUNCTION("VLOOKUP(F8244, IMPORTRANGE(""https://docs.google.com/spreadsheets/d/1Lhp9OU0JdFf_VYSMzH5lBcEaU4o8teT1piV-SNzShjg/edit?gid=554141278#gid=554141278"", ""'Char Def. - Attributes'!C20:C2242""), 1,false)"),"HS_CODE")</f>
        <v>HS_CODE</v>
      </c>
      <c r="I8244" s="136"/>
      <c r="R8244" s="63" t="str">
        <f t="shared" si="60"/>
        <v>ZSI1_COMPUTER_EQPHS_CODE</v>
      </c>
    </row>
    <row r="8245" ht="15.75" customHeight="1">
      <c r="B8245" s="63">
        <f t="shared" si="1"/>
        <v>17</v>
      </c>
      <c r="C8245" s="135" t="s">
        <v>372</v>
      </c>
      <c r="D8245" s="161" t="s">
        <v>74</v>
      </c>
      <c r="E8245" s="135">
        <f t="shared" si="62"/>
        <v>9</v>
      </c>
      <c r="F8245" s="134" t="s">
        <v>3587</v>
      </c>
      <c r="G8245" s="63" t="str">
        <f>VLOOKUP(C8245, 'Class Def. - General Data'!$C$20:$C$1000,1,false)</f>
        <v>ZSI1_COMPUTER_EQP</v>
      </c>
      <c r="H8245" s="63" t="str">
        <f>IFERROR(__xludf.DUMMYFUNCTION("VLOOKUP(F8245, IMPORTRANGE(""https://docs.google.com/spreadsheets/d/1Lhp9OU0JdFf_VYSMzH5lBcEaU4o8teT1piV-SNzShjg/edit?gid=554141278#gid=554141278"", ""'Char Def. - Attributes'!C20:C2242""), 1,false)"),"PLANT_BUY")</f>
        <v>PLANT_BUY</v>
      </c>
      <c r="I8245" s="136"/>
      <c r="R8245" s="63" t="str">
        <f t="shared" si="60"/>
        <v>ZSI1_COMPUTER_EQPPLANT_BUY</v>
      </c>
    </row>
    <row r="8246" ht="15.75" customHeight="1">
      <c r="B8246" s="63">
        <f t="shared" si="1"/>
        <v>17</v>
      </c>
      <c r="C8246" s="135" t="s">
        <v>372</v>
      </c>
      <c r="D8246" s="161" t="s">
        <v>74</v>
      </c>
      <c r="E8246" s="135">
        <f t="shared" si="62"/>
        <v>10</v>
      </c>
      <c r="F8246" s="134" t="s">
        <v>4315</v>
      </c>
      <c r="G8246" s="63" t="str">
        <f>VLOOKUP(C8246, 'Class Def. - General Data'!$C$20:$C$1000,1,false)</f>
        <v>ZSI1_COMPUTER_EQP</v>
      </c>
      <c r="H8246" s="63" t="str">
        <f>IFERROR(__xludf.DUMMYFUNCTION("VLOOKUP(F8246, IMPORTRANGE(""https://docs.google.com/spreadsheets/d/1Lhp9OU0JdFf_VYSMzH5lBcEaU4o8teT1piV-SNzShjg/edit?gid=554141278#gid=554141278"", ""'Char Def. - Attributes'!C20:C2242""), 1,false)"),"BASE_UOM_COMPUTER_EQP")</f>
        <v>BASE_UOM_COMPUTER_EQP</v>
      </c>
      <c r="I8246" s="136"/>
      <c r="R8246" s="63" t="str">
        <f t="shared" si="60"/>
        <v>ZSI1_COMPUTER_EQPBASE_UOM_COMPUTER_EQP</v>
      </c>
    </row>
    <row r="8247" ht="15.75" customHeight="1">
      <c r="B8247" s="63">
        <f t="shared" si="1"/>
        <v>17</v>
      </c>
      <c r="C8247" s="135" t="s">
        <v>372</v>
      </c>
      <c r="D8247" s="161" t="s">
        <v>74</v>
      </c>
      <c r="E8247" s="135">
        <f t="shared" si="62"/>
        <v>11</v>
      </c>
      <c r="F8247" s="134" t="s">
        <v>4316</v>
      </c>
      <c r="G8247" s="63" t="str">
        <f>VLOOKUP(C8247, 'Class Def. - General Data'!$C$20:$C$1000,1,false)</f>
        <v>ZSI1_COMPUTER_EQP</v>
      </c>
      <c r="H8247" s="63" t="str">
        <f>IFERROR(__xludf.DUMMYFUNCTION("VLOOKUP(F8247, IMPORTRANGE(""https://docs.google.com/spreadsheets/d/1Lhp9OU0JdFf_VYSMzH5lBcEaU4o8teT1piV-SNzShjg/edit?gid=554141278#gid=554141278"", ""'Char Def. - Attributes'!C20:C2242""), 1,false)"),"ORDER_UNIT_COMPUTER_EQP")</f>
        <v>ORDER_UNIT_COMPUTER_EQP</v>
      </c>
      <c r="I8247" s="136"/>
      <c r="R8247" s="63" t="str">
        <f t="shared" si="60"/>
        <v>ZSI1_COMPUTER_EQPORDER_UNIT_COMPUTER_EQP</v>
      </c>
    </row>
    <row r="8248" ht="15.75" customHeight="1">
      <c r="B8248" s="63">
        <f t="shared" si="1"/>
        <v>17</v>
      </c>
      <c r="C8248" s="135" t="s">
        <v>372</v>
      </c>
      <c r="D8248" s="161" t="s">
        <v>74</v>
      </c>
      <c r="E8248" s="135">
        <f t="shared" si="62"/>
        <v>12</v>
      </c>
      <c r="F8248" s="134" t="s">
        <v>4056</v>
      </c>
      <c r="G8248" s="63" t="str">
        <f>VLOOKUP(C8248, 'Class Def. - General Data'!$C$20:$C$1000,1,false)</f>
        <v>ZSI1_COMPUTER_EQP</v>
      </c>
      <c r="H8248" s="63" t="str">
        <f>IFERROR(__xludf.DUMMYFUNCTION("VLOOKUP(F8248, IMPORTRANGE(""https://docs.google.com/spreadsheets/d/1Lhp9OU0JdFf_VYSMzH5lBcEaU4o8teT1piV-SNzShjg/edit?gid=554141278#gid=554141278"", ""'Char Def. - Attributes'!C20:C2242""), 1,false)"),"GROSS_WEIGHT_OPT")</f>
        <v>GROSS_WEIGHT_OPT</v>
      </c>
      <c r="I8248" s="136"/>
      <c r="R8248" s="63" t="str">
        <f t="shared" si="60"/>
        <v>ZSI1_COMPUTER_EQPGROSS_WEIGHT_OPT</v>
      </c>
    </row>
    <row r="8249" ht="15.75" customHeight="1">
      <c r="B8249" s="63">
        <f t="shared" si="1"/>
        <v>17</v>
      </c>
      <c r="C8249" s="135" t="s">
        <v>372</v>
      </c>
      <c r="D8249" s="161" t="s">
        <v>74</v>
      </c>
      <c r="E8249" s="135">
        <f t="shared" si="62"/>
        <v>13</v>
      </c>
      <c r="F8249" s="134" t="s">
        <v>4057</v>
      </c>
      <c r="G8249" s="63" t="str">
        <f>VLOOKUP(C8249, 'Class Def. - General Data'!$C$20:$C$1000,1,false)</f>
        <v>ZSI1_COMPUTER_EQP</v>
      </c>
      <c r="H8249" s="63" t="str">
        <f>IFERROR(__xludf.DUMMYFUNCTION("VLOOKUP(F8249, IMPORTRANGE(""https://docs.google.com/spreadsheets/d/1Lhp9OU0JdFf_VYSMzH5lBcEaU4o8teT1piV-SNzShjg/edit?gid=554141278#gid=554141278"", ""'Char Def. - Attributes'!C20:C2242""), 1,false)"),"NET_WEIGHT_OPT")</f>
        <v>NET_WEIGHT_OPT</v>
      </c>
      <c r="I8249" s="136"/>
      <c r="R8249" s="63" t="str">
        <f t="shared" si="60"/>
        <v>ZSI1_COMPUTER_EQPNET_WEIGHT_OPT</v>
      </c>
    </row>
    <row r="8250" ht="15.75" customHeight="1">
      <c r="B8250" s="63">
        <f t="shared" si="1"/>
        <v>17</v>
      </c>
      <c r="C8250" s="135" t="s">
        <v>372</v>
      </c>
      <c r="D8250" s="161" t="s">
        <v>74</v>
      </c>
      <c r="E8250" s="135">
        <f t="shared" si="62"/>
        <v>14</v>
      </c>
      <c r="F8250" s="134" t="s">
        <v>4058</v>
      </c>
      <c r="G8250" s="63" t="str">
        <f>VLOOKUP(C8250, 'Class Def. - General Data'!$C$20:$C$1000,1,false)</f>
        <v>ZSI1_COMPUTER_EQP</v>
      </c>
      <c r="H8250" s="63" t="str">
        <f>IFERROR(__xludf.DUMMYFUNCTION("VLOOKUP(F8250, IMPORTRANGE(""https://docs.google.com/spreadsheets/d/1Lhp9OU0JdFf_VYSMzH5lBcEaU4o8teT1piV-SNzShjg/edit?gid=554141278#gid=554141278"", ""'Char Def. - Attributes'!C20:C2242""), 1,false)"),"WEIGHT_UNIT_SI")</f>
        <v>WEIGHT_UNIT_SI</v>
      </c>
      <c r="I8250" s="136"/>
      <c r="R8250" s="63" t="str">
        <f t="shared" si="60"/>
        <v>ZSI1_COMPUTER_EQPWEIGHT_UNIT_SI</v>
      </c>
    </row>
    <row r="8251" ht="15.75" customHeight="1">
      <c r="B8251" s="63">
        <f t="shared" si="1"/>
        <v>17</v>
      </c>
      <c r="C8251" s="135" t="s">
        <v>372</v>
      </c>
      <c r="D8251" s="161" t="s">
        <v>74</v>
      </c>
      <c r="E8251" s="135">
        <f t="shared" si="62"/>
        <v>15</v>
      </c>
      <c r="F8251" s="134" t="s">
        <v>3877</v>
      </c>
      <c r="G8251" s="63" t="str">
        <f>VLOOKUP(C8251, 'Class Def. - General Data'!$C$20:$C$1000,1,false)</f>
        <v>ZSI1_COMPUTER_EQP</v>
      </c>
      <c r="H8251" s="63" t="str">
        <f>IFERROR(__xludf.DUMMYFUNCTION("VLOOKUP(F8251, IMPORTRANGE(""https://docs.google.com/spreadsheets/d/1Lhp9OU0JdFf_VYSMzH5lBcEaU4o8teT1piV-SNzShjg/edit?gid=554141278#gid=554141278"", ""'Char Def. - Attributes'!C20:C2242""), 1,false)"),"VOLUME_OPT")</f>
        <v>VOLUME_OPT</v>
      </c>
      <c r="I8251" s="136"/>
      <c r="R8251" s="63" t="str">
        <f t="shared" si="60"/>
        <v>ZSI1_COMPUTER_EQPVOLUME_OPT</v>
      </c>
    </row>
    <row r="8252" ht="15.75" customHeight="1">
      <c r="B8252" s="63">
        <f t="shared" si="1"/>
        <v>17</v>
      </c>
      <c r="C8252" s="135" t="s">
        <v>372</v>
      </c>
      <c r="D8252" s="161" t="s">
        <v>74</v>
      </c>
      <c r="E8252" s="135">
        <f t="shared" si="62"/>
        <v>16</v>
      </c>
      <c r="F8252" s="134" t="s">
        <v>4059</v>
      </c>
      <c r="G8252" s="63" t="str">
        <f>VLOOKUP(C8252, 'Class Def. - General Data'!$C$20:$C$1000,1,false)</f>
        <v>ZSI1_COMPUTER_EQP</v>
      </c>
      <c r="H8252" s="63" t="str">
        <f>IFERROR(__xludf.DUMMYFUNCTION("VLOOKUP(F8252, IMPORTRANGE(""https://docs.google.com/spreadsheets/d/1Lhp9OU0JdFf_VYSMzH5lBcEaU4o8teT1piV-SNzShjg/edit?gid=554141278#gid=554141278"", ""'Char Def. - Attributes'!C20:C2242""), 1,false)"),"VOLUME_UNIT_SI")</f>
        <v>VOLUME_UNIT_SI</v>
      </c>
      <c r="I8252" s="136"/>
      <c r="R8252" s="63" t="str">
        <f t="shared" si="60"/>
        <v>ZSI1_COMPUTER_EQPVOLUME_UNIT_SI</v>
      </c>
    </row>
    <row r="8253" ht="15.75" customHeight="1">
      <c r="B8253" s="63">
        <f t="shared" si="1"/>
        <v>17</v>
      </c>
      <c r="C8253" s="135" t="s">
        <v>372</v>
      </c>
      <c r="D8253" s="161" t="s">
        <v>74</v>
      </c>
      <c r="E8253" s="135">
        <f t="shared" si="62"/>
        <v>17</v>
      </c>
      <c r="F8253" s="134" t="s">
        <v>3804</v>
      </c>
      <c r="G8253" s="63" t="str">
        <f>VLOOKUP(C8253, 'Class Def. - General Data'!$C$20:$C$1000,1,false)</f>
        <v>ZSI1_COMPUTER_EQP</v>
      </c>
      <c r="H8253" s="63" t="str">
        <f>IFERROR(__xludf.DUMMYFUNCTION("VLOOKUP(F8253, IMPORTRANGE(""https://docs.google.com/spreadsheets/d/1Lhp9OU0JdFf_VYSMzH5lBcEaU4o8teT1piV-SNzShjg/edit?gid=554141278#gid=554141278"", ""'Char Def. - Attributes'!C20:C2242""), 1,false)"),"ALT_UOM1_SIPI")</f>
        <v>ALT_UOM1_SIPI</v>
      </c>
      <c r="I8253" s="136"/>
      <c r="R8253" s="63" t="str">
        <f t="shared" si="60"/>
        <v>ZSI1_COMPUTER_EQPALT_UOM1_SIPI</v>
      </c>
    </row>
    <row r="8254" ht="15.75" customHeight="1">
      <c r="B8254" s="63">
        <f t="shared" si="1"/>
        <v>17</v>
      </c>
      <c r="C8254" s="135" t="s">
        <v>372</v>
      </c>
      <c r="D8254" s="161" t="s">
        <v>74</v>
      </c>
      <c r="E8254" s="135">
        <f t="shared" si="62"/>
        <v>18</v>
      </c>
      <c r="F8254" s="134" t="s">
        <v>3805</v>
      </c>
      <c r="G8254" s="63" t="str">
        <f>VLOOKUP(C8254, 'Class Def. - General Data'!$C$20:$C$1000,1,false)</f>
        <v>ZSI1_COMPUTER_EQP</v>
      </c>
      <c r="H8254" s="63" t="str">
        <f>IFERROR(__xludf.DUMMYFUNCTION("VLOOKUP(F8254, IMPORTRANGE(""https://docs.google.com/spreadsheets/d/1Lhp9OU0JdFf_VYSMzH5lBcEaU4o8teT1piV-SNzShjg/edit?gid=554141278#gid=554141278"", ""'Char Def. - Attributes'!C20:C2242""), 1,false)"),"ALT_DENUM_UOM1")</f>
        <v>ALT_DENUM_UOM1</v>
      </c>
      <c r="I8254" s="136"/>
      <c r="R8254" s="63" t="str">
        <f t="shared" si="60"/>
        <v>ZSI1_COMPUTER_EQPALT_DENUM_UOM1</v>
      </c>
    </row>
    <row r="8255" ht="15.75" customHeight="1">
      <c r="B8255" s="63">
        <f t="shared" si="1"/>
        <v>17</v>
      </c>
      <c r="C8255" s="135" t="s">
        <v>372</v>
      </c>
      <c r="D8255" s="161" t="s">
        <v>74</v>
      </c>
      <c r="E8255" s="135">
        <f t="shared" si="62"/>
        <v>19</v>
      </c>
      <c r="F8255" s="134" t="s">
        <v>3806</v>
      </c>
      <c r="G8255" s="63" t="str">
        <f>VLOOKUP(C8255, 'Class Def. - General Data'!$C$20:$C$1000,1,false)</f>
        <v>ZSI1_COMPUTER_EQP</v>
      </c>
      <c r="H8255" s="63" t="str">
        <f>IFERROR(__xludf.DUMMYFUNCTION("VLOOKUP(F8255, IMPORTRANGE(""https://docs.google.com/spreadsheets/d/1Lhp9OU0JdFf_VYSMzH5lBcEaU4o8teT1piV-SNzShjg/edit?gid=554141278#gid=554141278"", ""'Char Def. - Attributes'!C20:C2242""), 1,false)"),"ALT_NUM_UOM1")</f>
        <v>ALT_NUM_UOM1</v>
      </c>
      <c r="I8255" s="136"/>
      <c r="R8255" s="63" t="str">
        <f t="shared" si="60"/>
        <v>ZSI1_COMPUTER_EQPALT_NUM_UOM1</v>
      </c>
    </row>
    <row r="8256" ht="15.75" customHeight="1">
      <c r="B8256" s="63">
        <f t="shared" si="1"/>
        <v>17</v>
      </c>
      <c r="C8256" s="135" t="s">
        <v>372</v>
      </c>
      <c r="D8256" s="161" t="s">
        <v>74</v>
      </c>
      <c r="E8256" s="135">
        <f t="shared" si="62"/>
        <v>20</v>
      </c>
      <c r="F8256" s="134" t="s">
        <v>3807</v>
      </c>
      <c r="G8256" s="63" t="str">
        <f>VLOOKUP(C8256, 'Class Def. - General Data'!$C$20:$C$1000,1,false)</f>
        <v>ZSI1_COMPUTER_EQP</v>
      </c>
      <c r="H8256" s="63" t="str">
        <f>IFERROR(__xludf.DUMMYFUNCTION("VLOOKUP(F8256, IMPORTRANGE(""https://docs.google.com/spreadsheets/d/1Lhp9OU0JdFf_VYSMzH5lBcEaU4o8teT1piV-SNzShjg/edit?gid=554141278#gid=554141278"", ""'Char Def. - Attributes'!C20:C2242""), 1,false)"),"ALT_UOM2_SIPI")</f>
        <v>ALT_UOM2_SIPI</v>
      </c>
      <c r="I8256" s="136"/>
      <c r="R8256" s="63" t="str">
        <f t="shared" si="60"/>
        <v>ZSI1_COMPUTER_EQPALT_UOM2_SIPI</v>
      </c>
    </row>
    <row r="8257" ht="15.75" customHeight="1">
      <c r="B8257" s="63">
        <f t="shared" si="1"/>
        <v>17</v>
      </c>
      <c r="C8257" s="135" t="s">
        <v>372</v>
      </c>
      <c r="D8257" s="161" t="s">
        <v>74</v>
      </c>
      <c r="E8257" s="135">
        <f t="shared" si="62"/>
        <v>21</v>
      </c>
      <c r="F8257" s="134" t="s">
        <v>3808</v>
      </c>
      <c r="G8257" s="63" t="str">
        <f>VLOOKUP(C8257, 'Class Def. - General Data'!$C$20:$C$1000,1,false)</f>
        <v>ZSI1_COMPUTER_EQP</v>
      </c>
      <c r="H8257" s="63" t="str">
        <f>IFERROR(__xludf.DUMMYFUNCTION("VLOOKUP(F8257, IMPORTRANGE(""https://docs.google.com/spreadsheets/d/1Lhp9OU0JdFf_VYSMzH5lBcEaU4o8teT1piV-SNzShjg/edit?gid=554141278#gid=554141278"", ""'Char Def. - Attributes'!C20:C2242""), 1,false)"),"ALT_DENUM_UOM2")</f>
        <v>ALT_DENUM_UOM2</v>
      </c>
      <c r="I8257" s="136"/>
      <c r="R8257" s="63" t="str">
        <f t="shared" si="60"/>
        <v>ZSI1_COMPUTER_EQPALT_DENUM_UOM2</v>
      </c>
    </row>
    <row r="8258" ht="15.75" customHeight="1">
      <c r="B8258" s="63">
        <f t="shared" si="1"/>
        <v>17</v>
      </c>
      <c r="C8258" s="135" t="s">
        <v>372</v>
      </c>
      <c r="D8258" s="161" t="s">
        <v>74</v>
      </c>
      <c r="E8258" s="135">
        <f t="shared" si="62"/>
        <v>22</v>
      </c>
      <c r="F8258" s="134" t="s">
        <v>3809</v>
      </c>
      <c r="G8258" s="63" t="str">
        <f>VLOOKUP(C8258, 'Class Def. - General Data'!$C$20:$C$1000,1,false)</f>
        <v>ZSI1_COMPUTER_EQP</v>
      </c>
      <c r="H8258" s="63" t="str">
        <f>IFERROR(__xludf.DUMMYFUNCTION("VLOOKUP(F8258, IMPORTRANGE(""https://docs.google.com/spreadsheets/d/1Lhp9OU0JdFf_VYSMzH5lBcEaU4o8teT1piV-SNzShjg/edit?gid=554141278#gid=554141278"", ""'Char Def. - Attributes'!C20:C2242""), 1,false)"),"ALT_NUM_UOM2")</f>
        <v>ALT_NUM_UOM2</v>
      </c>
      <c r="I8258" s="136"/>
      <c r="R8258" s="63" t="str">
        <f t="shared" si="60"/>
        <v>ZSI1_COMPUTER_EQPALT_NUM_UOM2</v>
      </c>
    </row>
    <row r="8259" ht="15.75" customHeight="1">
      <c r="B8259" s="63">
        <f t="shared" si="1"/>
        <v>17</v>
      </c>
      <c r="C8259" s="135" t="s">
        <v>372</v>
      </c>
      <c r="D8259" s="161" t="s">
        <v>74</v>
      </c>
      <c r="E8259" s="135">
        <f t="shared" si="62"/>
        <v>23</v>
      </c>
      <c r="F8259" s="134" t="s">
        <v>3810</v>
      </c>
      <c r="G8259" s="63" t="str">
        <f>VLOOKUP(C8259, 'Class Def. - General Data'!$C$20:$C$1000,1,false)</f>
        <v>ZSI1_COMPUTER_EQP</v>
      </c>
      <c r="H8259" s="63" t="str">
        <f>IFERROR(__xludf.DUMMYFUNCTION("VLOOKUP(F8259, IMPORTRANGE(""https://docs.google.com/spreadsheets/d/1Lhp9OU0JdFf_VYSMzH5lBcEaU4o8teT1piV-SNzShjg/edit?gid=554141278#gid=554141278"", ""'Char Def. - Attributes'!C20:C2242""), 1,false)"),"ALT_UOM3_SIPI")</f>
        <v>ALT_UOM3_SIPI</v>
      </c>
      <c r="I8259" s="136"/>
      <c r="R8259" s="63" t="str">
        <f t="shared" si="60"/>
        <v>ZSI1_COMPUTER_EQPALT_UOM3_SIPI</v>
      </c>
    </row>
    <row r="8260" ht="15.75" customHeight="1">
      <c r="B8260" s="63">
        <f t="shared" si="1"/>
        <v>17</v>
      </c>
      <c r="C8260" s="135" t="s">
        <v>372</v>
      </c>
      <c r="D8260" s="161" t="s">
        <v>74</v>
      </c>
      <c r="E8260" s="135">
        <f t="shared" si="62"/>
        <v>24</v>
      </c>
      <c r="F8260" s="134" t="s">
        <v>3811</v>
      </c>
      <c r="G8260" s="63" t="str">
        <f>VLOOKUP(C8260, 'Class Def. - General Data'!$C$20:$C$1000,1,false)</f>
        <v>ZSI1_COMPUTER_EQP</v>
      </c>
      <c r="H8260" s="63" t="str">
        <f>IFERROR(__xludf.DUMMYFUNCTION("VLOOKUP(F8260, IMPORTRANGE(""https://docs.google.com/spreadsheets/d/1Lhp9OU0JdFf_VYSMzH5lBcEaU4o8teT1piV-SNzShjg/edit?gid=554141278#gid=554141278"", ""'Char Def. - Attributes'!C20:C2242""), 1,false)"),"ALT_DENUM_UOM3")</f>
        <v>ALT_DENUM_UOM3</v>
      </c>
      <c r="I8260" s="136"/>
      <c r="R8260" s="63" t="str">
        <f t="shared" si="60"/>
        <v>ZSI1_COMPUTER_EQPALT_DENUM_UOM3</v>
      </c>
    </row>
    <row r="8261" ht="15.75" customHeight="1">
      <c r="B8261" s="63">
        <f t="shared" si="1"/>
        <v>17</v>
      </c>
      <c r="C8261" s="135" t="s">
        <v>372</v>
      </c>
      <c r="D8261" s="161" t="s">
        <v>74</v>
      </c>
      <c r="E8261" s="135">
        <f t="shared" si="62"/>
        <v>25</v>
      </c>
      <c r="F8261" s="134" t="s">
        <v>3812</v>
      </c>
      <c r="G8261" s="63" t="str">
        <f>VLOOKUP(C8261, 'Class Def. - General Data'!$C$20:$C$1000,1,false)</f>
        <v>ZSI1_COMPUTER_EQP</v>
      </c>
      <c r="H8261" s="63" t="str">
        <f>IFERROR(__xludf.DUMMYFUNCTION("VLOOKUP(F8261, IMPORTRANGE(""https://docs.google.com/spreadsheets/d/1Lhp9OU0JdFf_VYSMzH5lBcEaU4o8teT1piV-SNzShjg/edit?gid=554141278#gid=554141278"", ""'Char Def. - Attributes'!C20:C2242""), 1,false)"),"ALT_NUM_UOM3")</f>
        <v>ALT_NUM_UOM3</v>
      </c>
      <c r="I8261" s="136"/>
      <c r="R8261" s="63" t="str">
        <f t="shared" si="60"/>
        <v>ZSI1_COMPUTER_EQPALT_NUM_UOM3</v>
      </c>
    </row>
    <row r="8262" ht="15.75" customHeight="1">
      <c r="B8262" s="63">
        <f t="shared" si="1"/>
        <v>17</v>
      </c>
      <c r="C8262" s="135" t="s">
        <v>372</v>
      </c>
      <c r="D8262" s="161" t="s">
        <v>74</v>
      </c>
      <c r="E8262" s="135">
        <f t="shared" si="62"/>
        <v>26</v>
      </c>
      <c r="F8262" s="134" t="s">
        <v>3813</v>
      </c>
      <c r="G8262" s="63" t="str">
        <f>VLOOKUP(C8262, 'Class Def. - General Data'!$C$20:$C$1000,1,false)</f>
        <v>ZSI1_COMPUTER_EQP</v>
      </c>
      <c r="H8262" s="63" t="str">
        <f>IFERROR(__xludf.DUMMYFUNCTION("VLOOKUP(F8262, IMPORTRANGE(""https://docs.google.com/spreadsheets/d/1Lhp9OU0JdFf_VYSMzH5lBcEaU4o8teT1piV-SNzShjg/edit?gid=554141278#gid=554141278"", ""'Char Def. - Attributes'!C20:C2242""), 1,false)"),"ALT_UOM4_SIPI")</f>
        <v>ALT_UOM4_SIPI</v>
      </c>
      <c r="I8262" s="136"/>
      <c r="R8262" s="63" t="str">
        <f t="shared" si="60"/>
        <v>ZSI1_COMPUTER_EQPALT_UOM4_SIPI</v>
      </c>
    </row>
    <row r="8263" ht="15.75" customHeight="1">
      <c r="B8263" s="63">
        <f t="shared" si="1"/>
        <v>17</v>
      </c>
      <c r="C8263" s="135" t="s">
        <v>372</v>
      </c>
      <c r="D8263" s="161" t="s">
        <v>74</v>
      </c>
      <c r="E8263" s="135">
        <f t="shared" si="62"/>
        <v>27</v>
      </c>
      <c r="F8263" s="134" t="s">
        <v>3814</v>
      </c>
      <c r="G8263" s="63" t="str">
        <f>VLOOKUP(C8263, 'Class Def. - General Data'!$C$20:$C$1000,1,false)</f>
        <v>ZSI1_COMPUTER_EQP</v>
      </c>
      <c r="H8263" s="63" t="str">
        <f>IFERROR(__xludf.DUMMYFUNCTION("VLOOKUP(F8263, IMPORTRANGE(""https://docs.google.com/spreadsheets/d/1Lhp9OU0JdFf_VYSMzH5lBcEaU4o8teT1piV-SNzShjg/edit?gid=554141278#gid=554141278"", ""'Char Def. - Attributes'!C20:C2242""), 1,false)"),"ALT_DENUM_UOM4")</f>
        <v>ALT_DENUM_UOM4</v>
      </c>
      <c r="I8263" s="136"/>
      <c r="R8263" s="63" t="str">
        <f t="shared" si="60"/>
        <v>ZSI1_COMPUTER_EQPALT_DENUM_UOM4</v>
      </c>
    </row>
    <row r="8264" ht="15.75" customHeight="1">
      <c r="B8264" s="63">
        <f t="shared" si="1"/>
        <v>17</v>
      </c>
      <c r="C8264" s="135" t="s">
        <v>372</v>
      </c>
      <c r="D8264" s="161" t="s">
        <v>74</v>
      </c>
      <c r="E8264" s="135">
        <f t="shared" si="62"/>
        <v>28</v>
      </c>
      <c r="F8264" s="134" t="s">
        <v>3815</v>
      </c>
      <c r="G8264" s="63" t="str">
        <f>VLOOKUP(C8264, 'Class Def. - General Data'!$C$20:$C$1000,1,false)</f>
        <v>ZSI1_COMPUTER_EQP</v>
      </c>
      <c r="H8264" s="63" t="str">
        <f>IFERROR(__xludf.DUMMYFUNCTION("VLOOKUP(F8264, IMPORTRANGE(""https://docs.google.com/spreadsheets/d/1Lhp9OU0JdFf_VYSMzH5lBcEaU4o8teT1piV-SNzShjg/edit?gid=554141278#gid=554141278"", ""'Char Def. - Attributes'!C20:C2242""), 1,false)"),"ALT_NUM_UOM4")</f>
        <v>ALT_NUM_UOM4</v>
      </c>
      <c r="I8264" s="136"/>
      <c r="R8264" s="63" t="str">
        <f t="shared" si="60"/>
        <v>ZSI1_COMPUTER_EQPALT_NUM_UOM4</v>
      </c>
    </row>
    <row r="8265" ht="15.75" customHeight="1">
      <c r="B8265" s="63">
        <f t="shared" si="1"/>
        <v>17</v>
      </c>
      <c r="C8265" s="135" t="s">
        <v>372</v>
      </c>
      <c r="D8265" s="161" t="s">
        <v>74</v>
      </c>
      <c r="E8265" s="135">
        <f t="shared" si="62"/>
        <v>29</v>
      </c>
      <c r="F8265" s="134" t="s">
        <v>3816</v>
      </c>
      <c r="G8265" s="63" t="str">
        <f>VLOOKUP(C8265, 'Class Def. - General Data'!$C$20:$C$1000,1,false)</f>
        <v>ZSI1_COMPUTER_EQP</v>
      </c>
      <c r="H8265" s="63" t="str">
        <f>IFERROR(__xludf.DUMMYFUNCTION("VLOOKUP(F8265, IMPORTRANGE(""https://docs.google.com/spreadsheets/d/1Lhp9OU0JdFf_VYSMzH5lBcEaU4o8teT1piV-SNzShjg/edit?gid=554141278#gid=554141278"", ""'Char Def. - Attributes'!C20:C2242""), 1,false)"),"ALT_UOM5_SIPI")</f>
        <v>ALT_UOM5_SIPI</v>
      </c>
      <c r="I8265" s="136"/>
      <c r="R8265" s="63" t="str">
        <f t="shared" si="60"/>
        <v>ZSI1_COMPUTER_EQPALT_UOM5_SIPI</v>
      </c>
    </row>
    <row r="8266" ht="15.75" customHeight="1">
      <c r="B8266" s="63">
        <f t="shared" si="1"/>
        <v>17</v>
      </c>
      <c r="C8266" s="135" t="s">
        <v>372</v>
      </c>
      <c r="D8266" s="161" t="s">
        <v>74</v>
      </c>
      <c r="E8266" s="135">
        <f t="shared" si="62"/>
        <v>30</v>
      </c>
      <c r="F8266" s="134" t="s">
        <v>3817</v>
      </c>
      <c r="G8266" s="63" t="str">
        <f>VLOOKUP(C8266, 'Class Def. - General Data'!$C$20:$C$1000,1,false)</f>
        <v>ZSI1_COMPUTER_EQP</v>
      </c>
      <c r="H8266" s="63" t="str">
        <f>IFERROR(__xludf.DUMMYFUNCTION("VLOOKUP(F8266, IMPORTRANGE(""https://docs.google.com/spreadsheets/d/1Lhp9OU0JdFf_VYSMzH5lBcEaU4o8teT1piV-SNzShjg/edit?gid=554141278#gid=554141278"", ""'Char Def. - Attributes'!C20:C2242""), 1,false)"),"ALT_DENUM_UOM5")</f>
        <v>ALT_DENUM_UOM5</v>
      </c>
      <c r="I8266" s="136"/>
      <c r="R8266" s="63" t="str">
        <f t="shared" si="60"/>
        <v>ZSI1_COMPUTER_EQPALT_DENUM_UOM5</v>
      </c>
    </row>
    <row r="8267" ht="15.75" customHeight="1">
      <c r="B8267" s="63">
        <f t="shared" si="1"/>
        <v>17</v>
      </c>
      <c r="C8267" s="135" t="s">
        <v>372</v>
      </c>
      <c r="D8267" s="161" t="s">
        <v>74</v>
      </c>
      <c r="E8267" s="135">
        <f t="shared" si="62"/>
        <v>31</v>
      </c>
      <c r="F8267" s="134" t="s">
        <v>3818</v>
      </c>
      <c r="G8267" s="63" t="str">
        <f>VLOOKUP(C8267, 'Class Def. - General Data'!$C$20:$C$1000,1,false)</f>
        <v>ZSI1_COMPUTER_EQP</v>
      </c>
      <c r="H8267" s="63" t="str">
        <f>IFERROR(__xludf.DUMMYFUNCTION("VLOOKUP(F8267, IMPORTRANGE(""https://docs.google.com/spreadsheets/d/1Lhp9OU0JdFf_VYSMzH5lBcEaU4o8teT1piV-SNzShjg/edit?gid=554141278#gid=554141278"", ""'Char Def. - Attributes'!C20:C2242""), 1,false)"),"ALT_NUM_UOM5")</f>
        <v>ALT_NUM_UOM5</v>
      </c>
      <c r="I8267" s="136"/>
      <c r="R8267" s="63" t="str">
        <f t="shared" si="60"/>
        <v>ZSI1_COMPUTER_EQPALT_NUM_UOM5</v>
      </c>
    </row>
    <row r="8268" ht="15.75" customHeight="1">
      <c r="B8268" s="63">
        <f t="shared" si="1"/>
        <v>18</v>
      </c>
      <c r="C8268" s="135" t="s">
        <v>374</v>
      </c>
      <c r="D8268" s="161" t="s">
        <v>74</v>
      </c>
      <c r="E8268" s="135">
        <f t="shared" si="62"/>
        <v>1</v>
      </c>
      <c r="F8268" s="134" t="s">
        <v>4317</v>
      </c>
      <c r="G8268" s="63" t="str">
        <f>VLOOKUP(C8268, 'Class Def. - General Data'!$C$20:$C$1000,1,false)</f>
        <v>ZSI1_CONCR_REINFOR</v>
      </c>
      <c r="H8268" s="63" t="str">
        <f>IFERROR(__xludf.DUMMYFUNCTION("VLOOKUP(F8268, IMPORTRANGE(""https://docs.google.com/spreadsheets/d/1Lhp9OU0JdFf_VYSMzH5lBcEaU4o8teT1piV-SNzShjg/edit?gid=554141278#gid=554141278"", ""'Char Def. - Attributes'!C20:C2242""), 1,false)"),"ITEM_NAME_CONCR_REINFOR")</f>
        <v>ITEM_NAME_CONCR_REINFOR</v>
      </c>
      <c r="I8268" s="136"/>
      <c r="R8268" s="63" t="str">
        <f t="shared" si="60"/>
        <v>ZSI1_CONCR_REINFORITEM_NAME_CONCR_REINFOR</v>
      </c>
    </row>
    <row r="8269" ht="15.75" customHeight="1">
      <c r="B8269" s="63">
        <f t="shared" si="1"/>
        <v>18</v>
      </c>
      <c r="C8269" s="135" t="s">
        <v>374</v>
      </c>
      <c r="D8269" s="161" t="s">
        <v>74</v>
      </c>
      <c r="E8269" s="135">
        <f t="shared" si="62"/>
        <v>2</v>
      </c>
      <c r="F8269" s="134" t="s">
        <v>4318</v>
      </c>
      <c r="G8269" s="63" t="str">
        <f>VLOOKUP(C8269, 'Class Def. - General Data'!$C$20:$C$1000,1,false)</f>
        <v>ZSI1_CONCR_REINFOR</v>
      </c>
      <c r="H8269" s="63" t="str">
        <f>IFERROR(__xludf.DUMMYFUNCTION("VLOOKUP(F8269, IMPORTRANGE(""https://docs.google.com/spreadsheets/d/1Lhp9OU0JdFf_VYSMzH5lBcEaU4o8teT1piV-SNzShjg/edit?gid=554141278#gid=554141278"", ""'Char Def. - Attributes'!C20:C2242""), 1,false)"),"LENGTH_MM_CONCR_REINFOR")</f>
        <v>LENGTH_MM_CONCR_REINFOR</v>
      </c>
      <c r="I8269" s="136"/>
      <c r="R8269" s="63" t="str">
        <f t="shared" si="60"/>
        <v>ZSI1_CONCR_REINFORLENGTH_MM_CONCR_REINFOR</v>
      </c>
    </row>
    <row r="8270" ht="15.75" customHeight="1">
      <c r="B8270" s="63">
        <f t="shared" si="1"/>
        <v>18</v>
      </c>
      <c r="C8270" s="135" t="s">
        <v>374</v>
      </c>
      <c r="D8270" s="161" t="s">
        <v>74</v>
      </c>
      <c r="E8270" s="135">
        <f t="shared" si="62"/>
        <v>3</v>
      </c>
      <c r="F8270" s="134" t="s">
        <v>4319</v>
      </c>
      <c r="G8270" s="63" t="str">
        <f>VLOOKUP(C8270, 'Class Def. - General Data'!$C$20:$C$1000,1,false)</f>
        <v>ZSI1_CONCR_REINFOR</v>
      </c>
      <c r="H8270" s="63" t="str">
        <f>IFERROR(__xludf.DUMMYFUNCTION("VLOOKUP(F8270, IMPORTRANGE(""https://docs.google.com/spreadsheets/d/1Lhp9OU0JdFf_VYSMzH5lBcEaU4o8teT1piV-SNzShjg/edit?gid=554141278#gid=554141278"", ""'Char Def. - Attributes'!C20:C2242""), 1,false)"),"WIDTH_MM_CONCR_REINFOR")</f>
        <v>WIDTH_MM_CONCR_REINFOR</v>
      </c>
      <c r="I8270" s="136"/>
      <c r="R8270" s="63" t="str">
        <f t="shared" si="60"/>
        <v>ZSI1_CONCR_REINFORWIDTH_MM_CONCR_REINFOR</v>
      </c>
    </row>
    <row r="8271" ht="15.75" customHeight="1">
      <c r="B8271" s="63">
        <f t="shared" si="1"/>
        <v>18</v>
      </c>
      <c r="C8271" s="135" t="s">
        <v>374</v>
      </c>
      <c r="D8271" s="161" t="s">
        <v>74</v>
      </c>
      <c r="E8271" s="135">
        <f t="shared" si="62"/>
        <v>4</v>
      </c>
      <c r="F8271" s="134" t="s">
        <v>4320</v>
      </c>
      <c r="G8271" s="63" t="str">
        <f>VLOOKUP(C8271, 'Class Def. - General Data'!$C$20:$C$1000,1,false)</f>
        <v>ZSI1_CONCR_REINFOR</v>
      </c>
      <c r="H8271" s="63" t="str">
        <f>IFERROR(__xludf.DUMMYFUNCTION("VLOOKUP(F8271, IMPORTRANGE(""https://docs.google.com/spreadsheets/d/1Lhp9OU0JdFf_VYSMzH5lBcEaU4o8teT1piV-SNzShjg/edit?gid=554141278#gid=554141278"", ""'Char Def. - Attributes'!C20:C2242""), 1,false)"),"HEIGHT_MM_CONCR_REINFOR")</f>
        <v>HEIGHT_MM_CONCR_REINFOR</v>
      </c>
      <c r="I8271" s="136"/>
      <c r="R8271" s="63" t="str">
        <f t="shared" si="60"/>
        <v>ZSI1_CONCR_REINFORHEIGHT_MM_CONCR_REINFOR</v>
      </c>
    </row>
    <row r="8272" ht="15.75" customHeight="1">
      <c r="B8272" s="63">
        <f t="shared" si="1"/>
        <v>18</v>
      </c>
      <c r="C8272" s="135" t="s">
        <v>374</v>
      </c>
      <c r="D8272" s="161" t="s">
        <v>74</v>
      </c>
      <c r="E8272" s="135">
        <f t="shared" si="62"/>
        <v>5</v>
      </c>
      <c r="F8272" s="134" t="s">
        <v>4321</v>
      </c>
      <c r="G8272" s="63" t="str">
        <f>VLOOKUP(C8272, 'Class Def. - General Data'!$C$20:$C$1000,1,false)</f>
        <v>ZSI1_CONCR_REINFOR</v>
      </c>
      <c r="H8272" s="63" t="str">
        <f>IFERROR(__xludf.DUMMYFUNCTION("VLOOKUP(F8272, IMPORTRANGE(""https://docs.google.com/spreadsheets/d/1Lhp9OU0JdFf_VYSMzH5lBcEaU4o8teT1piV-SNzShjg/edit?gid=554141278#gid=554141278"", ""'Char Def. - Attributes'!C20:C2242""), 1,false)"),"MATERIAL_CONCR_REINFOR")</f>
        <v>MATERIAL_CONCR_REINFOR</v>
      </c>
      <c r="I8272" s="136"/>
      <c r="R8272" s="63" t="str">
        <f t="shared" si="60"/>
        <v>ZSI1_CONCR_REINFORMATERIAL_CONCR_REINFOR</v>
      </c>
    </row>
    <row r="8273" ht="15.75" customHeight="1">
      <c r="B8273" s="63">
        <f t="shared" si="1"/>
        <v>18</v>
      </c>
      <c r="C8273" s="135" t="s">
        <v>374</v>
      </c>
      <c r="D8273" s="161" t="s">
        <v>74</v>
      </c>
      <c r="E8273" s="135">
        <f t="shared" si="62"/>
        <v>6</v>
      </c>
      <c r="F8273" s="134" t="s">
        <v>3585</v>
      </c>
      <c r="G8273" s="63" t="str">
        <f>VLOOKUP(C8273, 'Class Def. - General Data'!$C$20:$C$1000,1,false)</f>
        <v>ZSI1_CONCR_REINFOR</v>
      </c>
      <c r="H8273" s="63" t="str">
        <f>IFERROR(__xludf.DUMMYFUNCTION("VLOOKUP(F8273, IMPORTRANGE(""https://docs.google.com/spreadsheets/d/1Lhp9OU0JdFf_VYSMzH5lBcEaU4o8teT1piV-SNzShjg/edit?gid=554141278#gid=554141278"", ""'Char Def. - Attributes'!C20:C2242""), 1,false)"),"HS_CODE")</f>
        <v>HS_CODE</v>
      </c>
      <c r="I8273" s="136"/>
      <c r="R8273" s="63" t="str">
        <f t="shared" si="60"/>
        <v>ZSI1_CONCR_REINFORHS_CODE</v>
      </c>
    </row>
    <row r="8274" ht="15.75" customHeight="1">
      <c r="B8274" s="63">
        <f t="shared" si="1"/>
        <v>18</v>
      </c>
      <c r="C8274" s="135" t="s">
        <v>374</v>
      </c>
      <c r="D8274" s="161" t="s">
        <v>74</v>
      </c>
      <c r="E8274" s="135">
        <f t="shared" si="62"/>
        <v>7</v>
      </c>
      <c r="F8274" s="134" t="s">
        <v>3587</v>
      </c>
      <c r="G8274" s="63" t="str">
        <f>VLOOKUP(C8274, 'Class Def. - General Data'!$C$20:$C$1000,1,false)</f>
        <v>ZSI1_CONCR_REINFOR</v>
      </c>
      <c r="H8274" s="63" t="str">
        <f>IFERROR(__xludf.DUMMYFUNCTION("VLOOKUP(F8274, IMPORTRANGE(""https://docs.google.com/spreadsheets/d/1Lhp9OU0JdFf_VYSMzH5lBcEaU4o8teT1piV-SNzShjg/edit?gid=554141278#gid=554141278"", ""'Char Def. - Attributes'!C20:C2242""), 1,false)"),"PLANT_BUY")</f>
        <v>PLANT_BUY</v>
      </c>
      <c r="I8274" s="136"/>
      <c r="R8274" s="63" t="str">
        <f t="shared" si="60"/>
        <v>ZSI1_CONCR_REINFORPLANT_BUY</v>
      </c>
    </row>
    <row r="8275" ht="15.75" customHeight="1">
      <c r="B8275" s="63">
        <f t="shared" si="1"/>
        <v>18</v>
      </c>
      <c r="C8275" s="135" t="s">
        <v>374</v>
      </c>
      <c r="D8275" s="161" t="s">
        <v>74</v>
      </c>
      <c r="E8275" s="135">
        <f t="shared" si="62"/>
        <v>8</v>
      </c>
      <c r="F8275" s="134" t="s">
        <v>4322</v>
      </c>
      <c r="G8275" s="63" t="str">
        <f>VLOOKUP(C8275, 'Class Def. - General Data'!$C$20:$C$1000,1,false)</f>
        <v>ZSI1_CONCR_REINFOR</v>
      </c>
      <c r="H8275" s="63" t="str">
        <f>IFERROR(__xludf.DUMMYFUNCTION("VLOOKUP(F8275, IMPORTRANGE(""https://docs.google.com/spreadsheets/d/1Lhp9OU0JdFf_VYSMzH5lBcEaU4o8teT1piV-SNzShjg/edit?gid=554141278#gid=554141278"", ""'Char Def. - Attributes'!C20:C2242""), 1,false)"),"BASE_UOM_CONCR_REINFOR")</f>
        <v>BASE_UOM_CONCR_REINFOR</v>
      </c>
      <c r="I8275" s="136"/>
      <c r="R8275" s="63" t="str">
        <f t="shared" si="60"/>
        <v>ZSI1_CONCR_REINFORBASE_UOM_CONCR_REINFOR</v>
      </c>
    </row>
    <row r="8276" ht="15.75" customHeight="1">
      <c r="B8276" s="63">
        <f t="shared" si="1"/>
        <v>18</v>
      </c>
      <c r="C8276" s="135" t="s">
        <v>374</v>
      </c>
      <c r="D8276" s="161" t="s">
        <v>74</v>
      </c>
      <c r="E8276" s="135">
        <f t="shared" si="62"/>
        <v>9</v>
      </c>
      <c r="F8276" s="134" t="s">
        <v>4323</v>
      </c>
      <c r="G8276" s="63" t="str">
        <f>VLOOKUP(C8276, 'Class Def. - General Data'!$C$20:$C$1000,1,false)</f>
        <v>ZSI1_CONCR_REINFOR</v>
      </c>
      <c r="H8276" s="63" t="str">
        <f>IFERROR(__xludf.DUMMYFUNCTION("VLOOKUP(F8276, IMPORTRANGE(""https://docs.google.com/spreadsheets/d/1Lhp9OU0JdFf_VYSMzH5lBcEaU4o8teT1piV-SNzShjg/edit?gid=554141278#gid=554141278"", ""'Char Def. - Attributes'!C20:C2242""), 1,false)"),"ORDER_UNIT_CONCR_REINFOR")</f>
        <v>ORDER_UNIT_CONCR_REINFOR</v>
      </c>
      <c r="I8276" s="136"/>
      <c r="R8276" s="63" t="str">
        <f t="shared" si="60"/>
        <v>ZSI1_CONCR_REINFORORDER_UNIT_CONCR_REINFOR</v>
      </c>
    </row>
    <row r="8277" ht="15.75" customHeight="1">
      <c r="B8277" s="63">
        <f t="shared" si="1"/>
        <v>18</v>
      </c>
      <c r="C8277" s="135" t="s">
        <v>374</v>
      </c>
      <c r="D8277" s="161" t="s">
        <v>74</v>
      </c>
      <c r="E8277" s="135">
        <f t="shared" si="62"/>
        <v>10</v>
      </c>
      <c r="F8277" s="134" t="s">
        <v>4056</v>
      </c>
      <c r="G8277" s="63" t="str">
        <f>VLOOKUP(C8277, 'Class Def. - General Data'!$C$20:$C$1000,1,false)</f>
        <v>ZSI1_CONCR_REINFOR</v>
      </c>
      <c r="H8277" s="63" t="str">
        <f>IFERROR(__xludf.DUMMYFUNCTION("VLOOKUP(F8277, IMPORTRANGE(""https://docs.google.com/spreadsheets/d/1Lhp9OU0JdFf_VYSMzH5lBcEaU4o8teT1piV-SNzShjg/edit?gid=554141278#gid=554141278"", ""'Char Def. - Attributes'!C20:C2242""), 1,false)"),"GROSS_WEIGHT_OPT")</f>
        <v>GROSS_WEIGHT_OPT</v>
      </c>
      <c r="I8277" s="136"/>
      <c r="R8277" s="63" t="str">
        <f t="shared" si="60"/>
        <v>ZSI1_CONCR_REINFORGROSS_WEIGHT_OPT</v>
      </c>
    </row>
    <row r="8278" ht="15.75" customHeight="1">
      <c r="B8278" s="63">
        <f t="shared" si="1"/>
        <v>18</v>
      </c>
      <c r="C8278" s="135" t="s">
        <v>374</v>
      </c>
      <c r="D8278" s="161" t="s">
        <v>74</v>
      </c>
      <c r="E8278" s="135">
        <f t="shared" si="62"/>
        <v>11</v>
      </c>
      <c r="F8278" s="134" t="s">
        <v>4057</v>
      </c>
      <c r="G8278" s="63" t="str">
        <f>VLOOKUP(C8278, 'Class Def. - General Data'!$C$20:$C$1000,1,false)</f>
        <v>ZSI1_CONCR_REINFOR</v>
      </c>
      <c r="H8278" s="63" t="str">
        <f>IFERROR(__xludf.DUMMYFUNCTION("VLOOKUP(F8278, IMPORTRANGE(""https://docs.google.com/spreadsheets/d/1Lhp9OU0JdFf_VYSMzH5lBcEaU4o8teT1piV-SNzShjg/edit?gid=554141278#gid=554141278"", ""'Char Def. - Attributes'!C20:C2242""), 1,false)"),"NET_WEIGHT_OPT")</f>
        <v>NET_WEIGHT_OPT</v>
      </c>
      <c r="I8278" s="136"/>
      <c r="R8278" s="63" t="str">
        <f t="shared" si="60"/>
        <v>ZSI1_CONCR_REINFORNET_WEIGHT_OPT</v>
      </c>
    </row>
    <row r="8279" ht="15.75" customHeight="1">
      <c r="B8279" s="63">
        <f t="shared" si="1"/>
        <v>18</v>
      </c>
      <c r="C8279" s="135" t="s">
        <v>374</v>
      </c>
      <c r="D8279" s="161" t="s">
        <v>74</v>
      </c>
      <c r="E8279" s="135">
        <f t="shared" si="62"/>
        <v>12</v>
      </c>
      <c r="F8279" s="134" t="s">
        <v>4058</v>
      </c>
      <c r="G8279" s="63" t="str">
        <f>VLOOKUP(C8279, 'Class Def. - General Data'!$C$20:$C$1000,1,false)</f>
        <v>ZSI1_CONCR_REINFOR</v>
      </c>
      <c r="H8279" s="63" t="str">
        <f>IFERROR(__xludf.DUMMYFUNCTION("VLOOKUP(F8279, IMPORTRANGE(""https://docs.google.com/spreadsheets/d/1Lhp9OU0JdFf_VYSMzH5lBcEaU4o8teT1piV-SNzShjg/edit?gid=554141278#gid=554141278"", ""'Char Def. - Attributes'!C20:C2242""), 1,false)"),"WEIGHT_UNIT_SI")</f>
        <v>WEIGHT_UNIT_SI</v>
      </c>
      <c r="I8279" s="136"/>
      <c r="R8279" s="63" t="str">
        <f t="shared" si="60"/>
        <v>ZSI1_CONCR_REINFORWEIGHT_UNIT_SI</v>
      </c>
    </row>
    <row r="8280" ht="15.75" customHeight="1">
      <c r="B8280" s="63">
        <f t="shared" si="1"/>
        <v>18</v>
      </c>
      <c r="C8280" s="135" t="s">
        <v>374</v>
      </c>
      <c r="D8280" s="161" t="s">
        <v>74</v>
      </c>
      <c r="E8280" s="135">
        <f t="shared" si="62"/>
        <v>13</v>
      </c>
      <c r="F8280" s="134" t="s">
        <v>3877</v>
      </c>
      <c r="G8280" s="63" t="str">
        <f>VLOOKUP(C8280, 'Class Def. - General Data'!$C$20:$C$1000,1,false)</f>
        <v>ZSI1_CONCR_REINFOR</v>
      </c>
      <c r="H8280" s="63" t="str">
        <f>IFERROR(__xludf.DUMMYFUNCTION("VLOOKUP(F8280, IMPORTRANGE(""https://docs.google.com/spreadsheets/d/1Lhp9OU0JdFf_VYSMzH5lBcEaU4o8teT1piV-SNzShjg/edit?gid=554141278#gid=554141278"", ""'Char Def. - Attributes'!C20:C2242""), 1,false)"),"VOLUME_OPT")</f>
        <v>VOLUME_OPT</v>
      </c>
      <c r="I8280" s="136"/>
      <c r="R8280" s="63" t="str">
        <f t="shared" si="60"/>
        <v>ZSI1_CONCR_REINFORVOLUME_OPT</v>
      </c>
    </row>
    <row r="8281" ht="15.75" customHeight="1">
      <c r="B8281" s="63">
        <f t="shared" si="1"/>
        <v>18</v>
      </c>
      <c r="C8281" s="135" t="s">
        <v>374</v>
      </c>
      <c r="D8281" s="161" t="s">
        <v>74</v>
      </c>
      <c r="E8281" s="135">
        <f t="shared" si="62"/>
        <v>14</v>
      </c>
      <c r="F8281" s="134" t="s">
        <v>4059</v>
      </c>
      <c r="G8281" s="63" t="str">
        <f>VLOOKUP(C8281, 'Class Def. - General Data'!$C$20:$C$1000,1,false)</f>
        <v>ZSI1_CONCR_REINFOR</v>
      </c>
      <c r="H8281" s="63" t="str">
        <f>IFERROR(__xludf.DUMMYFUNCTION("VLOOKUP(F8281, IMPORTRANGE(""https://docs.google.com/spreadsheets/d/1Lhp9OU0JdFf_VYSMzH5lBcEaU4o8teT1piV-SNzShjg/edit?gid=554141278#gid=554141278"", ""'Char Def. - Attributes'!C20:C2242""), 1,false)"),"VOLUME_UNIT_SI")</f>
        <v>VOLUME_UNIT_SI</v>
      </c>
      <c r="I8281" s="136"/>
      <c r="R8281" s="63" t="str">
        <f t="shared" si="60"/>
        <v>ZSI1_CONCR_REINFORVOLUME_UNIT_SI</v>
      </c>
    </row>
    <row r="8282" ht="15.75" customHeight="1">
      <c r="B8282" s="63">
        <f t="shared" si="1"/>
        <v>18</v>
      </c>
      <c r="C8282" s="135" t="s">
        <v>374</v>
      </c>
      <c r="D8282" s="161" t="s">
        <v>74</v>
      </c>
      <c r="E8282" s="135">
        <f t="shared" si="62"/>
        <v>15</v>
      </c>
      <c r="F8282" s="134" t="s">
        <v>3804</v>
      </c>
      <c r="G8282" s="63" t="str">
        <f>VLOOKUP(C8282, 'Class Def. - General Data'!$C$20:$C$1000,1,false)</f>
        <v>ZSI1_CONCR_REINFOR</v>
      </c>
      <c r="H8282" s="63" t="str">
        <f>IFERROR(__xludf.DUMMYFUNCTION("VLOOKUP(F8282, IMPORTRANGE(""https://docs.google.com/spreadsheets/d/1Lhp9OU0JdFf_VYSMzH5lBcEaU4o8teT1piV-SNzShjg/edit?gid=554141278#gid=554141278"", ""'Char Def. - Attributes'!C20:C2242""), 1,false)"),"ALT_UOM1_SIPI")</f>
        <v>ALT_UOM1_SIPI</v>
      </c>
      <c r="I8282" s="136"/>
      <c r="R8282" s="63" t="str">
        <f t="shared" si="60"/>
        <v>ZSI1_CONCR_REINFORALT_UOM1_SIPI</v>
      </c>
    </row>
    <row r="8283" ht="15.75" customHeight="1">
      <c r="B8283" s="63">
        <f t="shared" si="1"/>
        <v>18</v>
      </c>
      <c r="C8283" s="135" t="s">
        <v>374</v>
      </c>
      <c r="D8283" s="161" t="s">
        <v>74</v>
      </c>
      <c r="E8283" s="135">
        <f t="shared" si="62"/>
        <v>16</v>
      </c>
      <c r="F8283" s="134" t="s">
        <v>3805</v>
      </c>
      <c r="G8283" s="63" t="str">
        <f>VLOOKUP(C8283, 'Class Def. - General Data'!$C$20:$C$1000,1,false)</f>
        <v>ZSI1_CONCR_REINFOR</v>
      </c>
      <c r="H8283" s="63" t="str">
        <f>IFERROR(__xludf.DUMMYFUNCTION("VLOOKUP(F8283, IMPORTRANGE(""https://docs.google.com/spreadsheets/d/1Lhp9OU0JdFf_VYSMzH5lBcEaU4o8teT1piV-SNzShjg/edit?gid=554141278#gid=554141278"", ""'Char Def. - Attributes'!C20:C2242""), 1,false)"),"ALT_DENUM_UOM1")</f>
        <v>ALT_DENUM_UOM1</v>
      </c>
      <c r="I8283" s="136"/>
      <c r="R8283" s="63" t="str">
        <f t="shared" si="60"/>
        <v>ZSI1_CONCR_REINFORALT_DENUM_UOM1</v>
      </c>
    </row>
    <row r="8284" ht="15.75" customHeight="1">
      <c r="B8284" s="63">
        <f t="shared" si="1"/>
        <v>18</v>
      </c>
      <c r="C8284" s="135" t="s">
        <v>374</v>
      </c>
      <c r="D8284" s="161" t="s">
        <v>74</v>
      </c>
      <c r="E8284" s="135">
        <f t="shared" si="62"/>
        <v>17</v>
      </c>
      <c r="F8284" s="134" t="s">
        <v>3806</v>
      </c>
      <c r="G8284" s="63" t="str">
        <f>VLOOKUP(C8284, 'Class Def. - General Data'!$C$20:$C$1000,1,false)</f>
        <v>ZSI1_CONCR_REINFOR</v>
      </c>
      <c r="H8284" s="63" t="str">
        <f>IFERROR(__xludf.DUMMYFUNCTION("VLOOKUP(F8284, IMPORTRANGE(""https://docs.google.com/spreadsheets/d/1Lhp9OU0JdFf_VYSMzH5lBcEaU4o8teT1piV-SNzShjg/edit?gid=554141278#gid=554141278"", ""'Char Def. - Attributes'!C20:C2242""), 1,false)"),"ALT_NUM_UOM1")</f>
        <v>ALT_NUM_UOM1</v>
      </c>
      <c r="I8284" s="136"/>
      <c r="R8284" s="63" t="str">
        <f t="shared" si="60"/>
        <v>ZSI1_CONCR_REINFORALT_NUM_UOM1</v>
      </c>
    </row>
    <row r="8285" ht="15.75" customHeight="1">
      <c r="B8285" s="63">
        <f t="shared" si="1"/>
        <v>18</v>
      </c>
      <c r="C8285" s="135" t="s">
        <v>374</v>
      </c>
      <c r="D8285" s="161" t="s">
        <v>74</v>
      </c>
      <c r="E8285" s="135">
        <f t="shared" si="62"/>
        <v>18</v>
      </c>
      <c r="F8285" s="134" t="s">
        <v>3807</v>
      </c>
      <c r="G8285" s="63" t="str">
        <f>VLOOKUP(C8285, 'Class Def. - General Data'!$C$20:$C$1000,1,false)</f>
        <v>ZSI1_CONCR_REINFOR</v>
      </c>
      <c r="H8285" s="63" t="str">
        <f>IFERROR(__xludf.DUMMYFUNCTION("VLOOKUP(F8285, IMPORTRANGE(""https://docs.google.com/spreadsheets/d/1Lhp9OU0JdFf_VYSMzH5lBcEaU4o8teT1piV-SNzShjg/edit?gid=554141278#gid=554141278"", ""'Char Def. - Attributes'!C20:C2242""), 1,false)"),"ALT_UOM2_SIPI")</f>
        <v>ALT_UOM2_SIPI</v>
      </c>
      <c r="I8285" s="136"/>
      <c r="R8285" s="63" t="str">
        <f t="shared" si="60"/>
        <v>ZSI1_CONCR_REINFORALT_UOM2_SIPI</v>
      </c>
    </row>
    <row r="8286" ht="15.75" customHeight="1">
      <c r="B8286" s="63">
        <f t="shared" si="1"/>
        <v>18</v>
      </c>
      <c r="C8286" s="135" t="s">
        <v>374</v>
      </c>
      <c r="D8286" s="161" t="s">
        <v>74</v>
      </c>
      <c r="E8286" s="135">
        <f t="shared" si="62"/>
        <v>19</v>
      </c>
      <c r="F8286" s="134" t="s">
        <v>3808</v>
      </c>
      <c r="G8286" s="63" t="str">
        <f>VLOOKUP(C8286, 'Class Def. - General Data'!$C$20:$C$1000,1,false)</f>
        <v>ZSI1_CONCR_REINFOR</v>
      </c>
      <c r="H8286" s="63" t="str">
        <f>IFERROR(__xludf.DUMMYFUNCTION("VLOOKUP(F8286, IMPORTRANGE(""https://docs.google.com/spreadsheets/d/1Lhp9OU0JdFf_VYSMzH5lBcEaU4o8teT1piV-SNzShjg/edit?gid=554141278#gid=554141278"", ""'Char Def. - Attributes'!C20:C2242""), 1,false)"),"ALT_DENUM_UOM2")</f>
        <v>ALT_DENUM_UOM2</v>
      </c>
      <c r="I8286" s="136"/>
      <c r="R8286" s="63" t="str">
        <f t="shared" si="60"/>
        <v>ZSI1_CONCR_REINFORALT_DENUM_UOM2</v>
      </c>
    </row>
    <row r="8287" ht="15.75" customHeight="1">
      <c r="B8287" s="63">
        <f t="shared" si="1"/>
        <v>18</v>
      </c>
      <c r="C8287" s="135" t="s">
        <v>374</v>
      </c>
      <c r="D8287" s="161" t="s">
        <v>74</v>
      </c>
      <c r="E8287" s="135">
        <f t="shared" si="62"/>
        <v>20</v>
      </c>
      <c r="F8287" s="134" t="s">
        <v>3809</v>
      </c>
      <c r="G8287" s="63" t="str">
        <f>VLOOKUP(C8287, 'Class Def. - General Data'!$C$20:$C$1000,1,false)</f>
        <v>ZSI1_CONCR_REINFOR</v>
      </c>
      <c r="H8287" s="63" t="str">
        <f>IFERROR(__xludf.DUMMYFUNCTION("VLOOKUP(F8287, IMPORTRANGE(""https://docs.google.com/spreadsheets/d/1Lhp9OU0JdFf_VYSMzH5lBcEaU4o8teT1piV-SNzShjg/edit?gid=554141278#gid=554141278"", ""'Char Def. - Attributes'!C20:C2242""), 1,false)"),"ALT_NUM_UOM2")</f>
        <v>ALT_NUM_UOM2</v>
      </c>
      <c r="I8287" s="136"/>
      <c r="R8287" s="63" t="str">
        <f t="shared" si="60"/>
        <v>ZSI1_CONCR_REINFORALT_NUM_UOM2</v>
      </c>
    </row>
    <row r="8288" ht="15.75" customHeight="1">
      <c r="B8288" s="63">
        <f t="shared" si="1"/>
        <v>18</v>
      </c>
      <c r="C8288" s="135" t="s">
        <v>374</v>
      </c>
      <c r="D8288" s="161" t="s">
        <v>74</v>
      </c>
      <c r="E8288" s="135">
        <f t="shared" si="62"/>
        <v>21</v>
      </c>
      <c r="F8288" s="134" t="s">
        <v>3810</v>
      </c>
      <c r="G8288" s="63" t="str">
        <f>VLOOKUP(C8288, 'Class Def. - General Data'!$C$20:$C$1000,1,false)</f>
        <v>ZSI1_CONCR_REINFOR</v>
      </c>
      <c r="H8288" s="63" t="str">
        <f>IFERROR(__xludf.DUMMYFUNCTION("VLOOKUP(F8288, IMPORTRANGE(""https://docs.google.com/spreadsheets/d/1Lhp9OU0JdFf_VYSMzH5lBcEaU4o8teT1piV-SNzShjg/edit?gid=554141278#gid=554141278"", ""'Char Def. - Attributes'!C20:C2242""), 1,false)"),"ALT_UOM3_SIPI")</f>
        <v>ALT_UOM3_SIPI</v>
      </c>
      <c r="I8288" s="136"/>
      <c r="R8288" s="63" t="str">
        <f t="shared" si="60"/>
        <v>ZSI1_CONCR_REINFORALT_UOM3_SIPI</v>
      </c>
    </row>
    <row r="8289" ht="15.75" customHeight="1">
      <c r="B8289" s="63">
        <f t="shared" si="1"/>
        <v>18</v>
      </c>
      <c r="C8289" s="135" t="s">
        <v>374</v>
      </c>
      <c r="D8289" s="161" t="s">
        <v>74</v>
      </c>
      <c r="E8289" s="135">
        <f t="shared" si="62"/>
        <v>22</v>
      </c>
      <c r="F8289" s="134" t="s">
        <v>3811</v>
      </c>
      <c r="G8289" s="63" t="str">
        <f>VLOOKUP(C8289, 'Class Def. - General Data'!$C$20:$C$1000,1,false)</f>
        <v>ZSI1_CONCR_REINFOR</v>
      </c>
      <c r="H8289" s="63" t="str">
        <f>IFERROR(__xludf.DUMMYFUNCTION("VLOOKUP(F8289, IMPORTRANGE(""https://docs.google.com/spreadsheets/d/1Lhp9OU0JdFf_VYSMzH5lBcEaU4o8teT1piV-SNzShjg/edit?gid=554141278#gid=554141278"", ""'Char Def. - Attributes'!C20:C2242""), 1,false)"),"ALT_DENUM_UOM3")</f>
        <v>ALT_DENUM_UOM3</v>
      </c>
      <c r="I8289" s="136"/>
      <c r="R8289" s="63" t="str">
        <f t="shared" si="60"/>
        <v>ZSI1_CONCR_REINFORALT_DENUM_UOM3</v>
      </c>
    </row>
    <row r="8290" ht="15.75" customHeight="1">
      <c r="B8290" s="63">
        <f t="shared" si="1"/>
        <v>18</v>
      </c>
      <c r="C8290" s="135" t="s">
        <v>374</v>
      </c>
      <c r="D8290" s="161" t="s">
        <v>74</v>
      </c>
      <c r="E8290" s="135">
        <f t="shared" si="62"/>
        <v>23</v>
      </c>
      <c r="F8290" s="134" t="s">
        <v>3812</v>
      </c>
      <c r="G8290" s="63" t="str">
        <f>VLOOKUP(C8290, 'Class Def. - General Data'!$C$20:$C$1000,1,false)</f>
        <v>ZSI1_CONCR_REINFOR</v>
      </c>
      <c r="H8290" s="63" t="str">
        <f>IFERROR(__xludf.DUMMYFUNCTION("VLOOKUP(F8290, IMPORTRANGE(""https://docs.google.com/spreadsheets/d/1Lhp9OU0JdFf_VYSMzH5lBcEaU4o8teT1piV-SNzShjg/edit?gid=554141278#gid=554141278"", ""'Char Def. - Attributes'!C20:C2242""), 1,false)"),"ALT_NUM_UOM3")</f>
        <v>ALT_NUM_UOM3</v>
      </c>
      <c r="I8290" s="136"/>
      <c r="R8290" s="63" t="str">
        <f t="shared" si="60"/>
        <v>ZSI1_CONCR_REINFORALT_NUM_UOM3</v>
      </c>
    </row>
    <row r="8291" ht="15.75" customHeight="1">
      <c r="B8291" s="63">
        <f t="shared" si="1"/>
        <v>18</v>
      </c>
      <c r="C8291" s="135" t="s">
        <v>374</v>
      </c>
      <c r="D8291" s="161" t="s">
        <v>74</v>
      </c>
      <c r="E8291" s="135">
        <f t="shared" si="62"/>
        <v>24</v>
      </c>
      <c r="F8291" s="134" t="s">
        <v>3813</v>
      </c>
      <c r="G8291" s="63" t="str">
        <f>VLOOKUP(C8291, 'Class Def. - General Data'!$C$20:$C$1000,1,false)</f>
        <v>ZSI1_CONCR_REINFOR</v>
      </c>
      <c r="H8291" s="63" t="str">
        <f>IFERROR(__xludf.DUMMYFUNCTION("VLOOKUP(F8291, IMPORTRANGE(""https://docs.google.com/spreadsheets/d/1Lhp9OU0JdFf_VYSMzH5lBcEaU4o8teT1piV-SNzShjg/edit?gid=554141278#gid=554141278"", ""'Char Def. - Attributes'!C20:C2242""), 1,false)"),"ALT_UOM4_SIPI")</f>
        <v>ALT_UOM4_SIPI</v>
      </c>
      <c r="I8291" s="136"/>
      <c r="R8291" s="63" t="str">
        <f t="shared" si="60"/>
        <v>ZSI1_CONCR_REINFORALT_UOM4_SIPI</v>
      </c>
    </row>
    <row r="8292" ht="15.75" customHeight="1">
      <c r="B8292" s="63">
        <f t="shared" si="1"/>
        <v>18</v>
      </c>
      <c r="C8292" s="135" t="s">
        <v>374</v>
      </c>
      <c r="D8292" s="161" t="s">
        <v>74</v>
      </c>
      <c r="E8292" s="135">
        <f t="shared" si="62"/>
        <v>25</v>
      </c>
      <c r="F8292" s="134" t="s">
        <v>3814</v>
      </c>
      <c r="G8292" s="63" t="str">
        <f>VLOOKUP(C8292, 'Class Def. - General Data'!$C$20:$C$1000,1,false)</f>
        <v>ZSI1_CONCR_REINFOR</v>
      </c>
      <c r="H8292" s="63" t="str">
        <f>IFERROR(__xludf.DUMMYFUNCTION("VLOOKUP(F8292, IMPORTRANGE(""https://docs.google.com/spreadsheets/d/1Lhp9OU0JdFf_VYSMzH5lBcEaU4o8teT1piV-SNzShjg/edit?gid=554141278#gid=554141278"", ""'Char Def. - Attributes'!C20:C2242""), 1,false)"),"ALT_DENUM_UOM4")</f>
        <v>ALT_DENUM_UOM4</v>
      </c>
      <c r="I8292" s="136"/>
      <c r="R8292" s="63" t="str">
        <f t="shared" si="60"/>
        <v>ZSI1_CONCR_REINFORALT_DENUM_UOM4</v>
      </c>
    </row>
    <row r="8293" ht="15.75" customHeight="1">
      <c r="B8293" s="63">
        <f t="shared" si="1"/>
        <v>18</v>
      </c>
      <c r="C8293" s="135" t="s">
        <v>374</v>
      </c>
      <c r="D8293" s="161" t="s">
        <v>74</v>
      </c>
      <c r="E8293" s="135">
        <f t="shared" si="62"/>
        <v>26</v>
      </c>
      <c r="F8293" s="134" t="s">
        <v>3815</v>
      </c>
      <c r="G8293" s="63" t="str">
        <f>VLOOKUP(C8293, 'Class Def. - General Data'!$C$20:$C$1000,1,false)</f>
        <v>ZSI1_CONCR_REINFOR</v>
      </c>
      <c r="H8293" s="63" t="str">
        <f>IFERROR(__xludf.DUMMYFUNCTION("VLOOKUP(F8293, IMPORTRANGE(""https://docs.google.com/spreadsheets/d/1Lhp9OU0JdFf_VYSMzH5lBcEaU4o8teT1piV-SNzShjg/edit?gid=554141278#gid=554141278"", ""'Char Def. - Attributes'!C20:C2242""), 1,false)"),"ALT_NUM_UOM4")</f>
        <v>ALT_NUM_UOM4</v>
      </c>
      <c r="I8293" s="136"/>
      <c r="R8293" s="63" t="str">
        <f t="shared" si="60"/>
        <v>ZSI1_CONCR_REINFORALT_NUM_UOM4</v>
      </c>
    </row>
    <row r="8294" ht="15.75" customHeight="1">
      <c r="B8294" s="63">
        <f t="shared" si="1"/>
        <v>18</v>
      </c>
      <c r="C8294" s="135" t="s">
        <v>374</v>
      </c>
      <c r="D8294" s="161" t="s">
        <v>74</v>
      </c>
      <c r="E8294" s="135">
        <f t="shared" si="62"/>
        <v>27</v>
      </c>
      <c r="F8294" s="134" t="s">
        <v>3816</v>
      </c>
      <c r="G8294" s="63" t="str">
        <f>VLOOKUP(C8294, 'Class Def. - General Data'!$C$20:$C$1000,1,false)</f>
        <v>ZSI1_CONCR_REINFOR</v>
      </c>
      <c r="H8294" s="63" t="str">
        <f>IFERROR(__xludf.DUMMYFUNCTION("VLOOKUP(F8294, IMPORTRANGE(""https://docs.google.com/spreadsheets/d/1Lhp9OU0JdFf_VYSMzH5lBcEaU4o8teT1piV-SNzShjg/edit?gid=554141278#gid=554141278"", ""'Char Def. - Attributes'!C20:C2242""), 1,false)"),"ALT_UOM5_SIPI")</f>
        <v>ALT_UOM5_SIPI</v>
      </c>
      <c r="I8294" s="136"/>
      <c r="R8294" s="63" t="str">
        <f t="shared" si="60"/>
        <v>ZSI1_CONCR_REINFORALT_UOM5_SIPI</v>
      </c>
    </row>
    <row r="8295" ht="15.75" customHeight="1">
      <c r="B8295" s="63">
        <f t="shared" si="1"/>
        <v>18</v>
      </c>
      <c r="C8295" s="135" t="s">
        <v>374</v>
      </c>
      <c r="D8295" s="161" t="s">
        <v>74</v>
      </c>
      <c r="E8295" s="135">
        <f t="shared" si="62"/>
        <v>28</v>
      </c>
      <c r="F8295" s="134" t="s">
        <v>3817</v>
      </c>
      <c r="G8295" s="63" t="str">
        <f>VLOOKUP(C8295, 'Class Def. - General Data'!$C$20:$C$1000,1,false)</f>
        <v>ZSI1_CONCR_REINFOR</v>
      </c>
      <c r="H8295" s="63" t="str">
        <f>IFERROR(__xludf.DUMMYFUNCTION("VLOOKUP(F8295, IMPORTRANGE(""https://docs.google.com/spreadsheets/d/1Lhp9OU0JdFf_VYSMzH5lBcEaU4o8teT1piV-SNzShjg/edit?gid=554141278#gid=554141278"", ""'Char Def. - Attributes'!C20:C2242""), 1,false)"),"ALT_DENUM_UOM5")</f>
        <v>ALT_DENUM_UOM5</v>
      </c>
      <c r="I8295" s="136"/>
      <c r="R8295" s="63" t="str">
        <f t="shared" si="60"/>
        <v>ZSI1_CONCR_REINFORALT_DENUM_UOM5</v>
      </c>
    </row>
    <row r="8296" ht="15.75" customHeight="1">
      <c r="B8296" s="63">
        <f t="shared" si="1"/>
        <v>18</v>
      </c>
      <c r="C8296" s="135" t="s">
        <v>374</v>
      </c>
      <c r="D8296" s="161" t="s">
        <v>74</v>
      </c>
      <c r="E8296" s="135">
        <f t="shared" si="62"/>
        <v>29</v>
      </c>
      <c r="F8296" s="134" t="s">
        <v>3818</v>
      </c>
      <c r="G8296" s="63" t="str">
        <f>VLOOKUP(C8296, 'Class Def. - General Data'!$C$20:$C$1000,1,false)</f>
        <v>ZSI1_CONCR_REINFOR</v>
      </c>
      <c r="H8296" s="63" t="str">
        <f>IFERROR(__xludf.DUMMYFUNCTION("VLOOKUP(F8296, IMPORTRANGE(""https://docs.google.com/spreadsheets/d/1Lhp9OU0JdFf_VYSMzH5lBcEaU4o8teT1piV-SNzShjg/edit?gid=554141278#gid=554141278"", ""'Char Def. - Attributes'!C20:C2242""), 1,false)"),"ALT_NUM_UOM5")</f>
        <v>ALT_NUM_UOM5</v>
      </c>
      <c r="I8296" s="136"/>
      <c r="R8296" s="63" t="str">
        <f t="shared" si="60"/>
        <v>ZSI1_CONCR_REINFORALT_NUM_UOM5</v>
      </c>
    </row>
    <row r="8297" ht="15.75" customHeight="1">
      <c r="B8297" s="63">
        <f t="shared" si="1"/>
        <v>18</v>
      </c>
      <c r="C8297" s="135" t="s">
        <v>4324</v>
      </c>
      <c r="D8297" s="161" t="s">
        <v>74</v>
      </c>
      <c r="E8297" s="135">
        <f t="shared" si="62"/>
        <v>1</v>
      </c>
      <c r="F8297" s="134" t="s">
        <v>4325</v>
      </c>
      <c r="G8297" s="63" t="str">
        <f>VLOOKUP(C8297, 'Class Def. - General Data'!$C$20:$C$1000,1,false)</f>
        <v>#N/A</v>
      </c>
      <c r="H8297" s="63" t="str">
        <f>IFERROR(__xludf.DUMMYFUNCTION("VLOOKUP(F8297, IMPORTRANGE(""https://docs.google.com/spreadsheets/d/1Lhp9OU0JdFf_VYSMzH5lBcEaU4o8teT1piV-SNzShjg/edit?gid=554141278#gid=554141278"", ""'Char Def. - Attributes'!C20:C2242""), 1,false)"),"ITEM_NAME_CEMENT")</f>
        <v>ITEM_NAME_CEMENT</v>
      </c>
      <c r="I8297" s="136"/>
      <c r="R8297" s="63" t="str">
        <f t="shared" si="60"/>
        <v>ZSI1_CONCRT_CEMENTITEM_NAME_CEMENT</v>
      </c>
    </row>
    <row r="8298" ht="15.75" customHeight="1">
      <c r="B8298" s="63">
        <f t="shared" si="1"/>
        <v>18</v>
      </c>
      <c r="C8298" s="135" t="s">
        <v>4324</v>
      </c>
      <c r="D8298" s="161" t="s">
        <v>74</v>
      </c>
      <c r="E8298" s="135">
        <f t="shared" si="62"/>
        <v>2</v>
      </c>
      <c r="F8298" s="134" t="s">
        <v>4326</v>
      </c>
      <c r="G8298" s="63" t="str">
        <f>VLOOKUP(C8298, 'Class Def. - General Data'!$C$20:$C$1000,1,false)</f>
        <v>#N/A</v>
      </c>
      <c r="H8298" s="63" t="str">
        <f>IFERROR(__xludf.DUMMYFUNCTION("VLOOKUP(F8298, IMPORTRANGE(""https://docs.google.com/spreadsheets/d/1Lhp9OU0JdFf_VYSMzH5lBcEaU4o8teT1piV-SNzShjg/edit?gid=554141278#gid=554141278"", ""'Char Def. - Attributes'!C20:C2242""), 1,false)"),"JENIS_SEMEN_CEMENT")</f>
        <v>JENIS_SEMEN_CEMENT</v>
      </c>
      <c r="I8298" s="136"/>
      <c r="R8298" s="63" t="str">
        <f t="shared" si="60"/>
        <v>ZSI1_CONCRT_CEMENTJENIS_SEMEN_CEMENT</v>
      </c>
    </row>
    <row r="8299" ht="15.75" customHeight="1">
      <c r="B8299" s="63">
        <f t="shared" si="1"/>
        <v>18</v>
      </c>
      <c r="C8299" s="135" t="s">
        <v>4324</v>
      </c>
      <c r="D8299" s="161" t="s">
        <v>74</v>
      </c>
      <c r="E8299" s="135">
        <f t="shared" si="62"/>
        <v>3</v>
      </c>
      <c r="F8299" s="134" t="s">
        <v>3782</v>
      </c>
      <c r="G8299" s="63" t="str">
        <f>VLOOKUP(C8299, 'Class Def. - General Data'!$C$20:$C$1000,1,false)</f>
        <v>#N/A</v>
      </c>
      <c r="H8299" s="63" t="str">
        <f>IFERROR(__xludf.DUMMYFUNCTION("VLOOKUP(F8299, IMPORTRANGE(""https://docs.google.com/spreadsheets/d/1Lhp9OU0JdFf_VYSMzH5lBcEaU4o8teT1piV-SNzShjg/edit?gid=554141278#gid=554141278"", ""'Char Def. - Attributes'!C20:C2242""), 1,false)"),"BRAND_EXTERNAL")</f>
        <v>BRAND_EXTERNAL</v>
      </c>
      <c r="I8299" s="136"/>
      <c r="R8299" s="63" t="str">
        <f t="shared" si="60"/>
        <v>ZSI1_CONCRT_CEMENTBRAND_EXTERNAL</v>
      </c>
    </row>
    <row r="8300" ht="15.75" customHeight="1">
      <c r="B8300" s="63">
        <f t="shared" si="1"/>
        <v>18</v>
      </c>
      <c r="C8300" s="135" t="s">
        <v>4324</v>
      </c>
      <c r="D8300" s="161" t="s">
        <v>74</v>
      </c>
      <c r="E8300" s="135">
        <f t="shared" si="62"/>
        <v>4</v>
      </c>
      <c r="F8300" s="134" t="s">
        <v>4327</v>
      </c>
      <c r="G8300" s="63" t="str">
        <f>VLOOKUP(C8300, 'Class Def. - General Data'!$C$20:$C$1000,1,false)</f>
        <v>#N/A</v>
      </c>
      <c r="H8300" s="63" t="str">
        <f>IFERROR(__xludf.DUMMYFUNCTION("VLOOKUP(F8300, IMPORTRANGE(""https://docs.google.com/spreadsheets/d/1Lhp9OU0JdFf_VYSMzH5lBcEaU4o8teT1piV-SNzShjg/edit?gid=554141278#gid=554141278"", ""'Char Def. - Attributes'!C20:C2242""), 1,false)"),"SIZE_KG_CEMENT")</f>
        <v>SIZE_KG_CEMENT</v>
      </c>
      <c r="I8300" s="136"/>
      <c r="R8300" s="63" t="str">
        <f t="shared" si="60"/>
        <v>ZSI1_CONCRT_CEMENTSIZE_KG_CEMENT</v>
      </c>
    </row>
    <row r="8301" ht="15.75" customHeight="1">
      <c r="B8301" s="63">
        <f t="shared" si="1"/>
        <v>18</v>
      </c>
      <c r="C8301" s="135" t="s">
        <v>4324</v>
      </c>
      <c r="D8301" s="161" t="s">
        <v>74</v>
      </c>
      <c r="E8301" s="135">
        <f t="shared" si="62"/>
        <v>5</v>
      </c>
      <c r="F8301" s="134" t="s">
        <v>3585</v>
      </c>
      <c r="G8301" s="63" t="str">
        <f>VLOOKUP(C8301, 'Class Def. - General Data'!$C$20:$C$1000,1,false)</f>
        <v>#N/A</v>
      </c>
      <c r="H8301" s="63" t="str">
        <f>IFERROR(__xludf.DUMMYFUNCTION("VLOOKUP(F8301, IMPORTRANGE(""https://docs.google.com/spreadsheets/d/1Lhp9OU0JdFf_VYSMzH5lBcEaU4o8teT1piV-SNzShjg/edit?gid=554141278#gid=554141278"", ""'Char Def. - Attributes'!C20:C2242""), 1,false)"),"HS_CODE")</f>
        <v>HS_CODE</v>
      </c>
      <c r="I8301" s="136"/>
      <c r="R8301" s="63" t="str">
        <f t="shared" si="60"/>
        <v>ZSI1_CONCRT_CEMENTHS_CODE</v>
      </c>
    </row>
    <row r="8302" ht="15.75" customHeight="1">
      <c r="B8302" s="63">
        <f t="shared" si="1"/>
        <v>18</v>
      </c>
      <c r="C8302" s="135" t="s">
        <v>4324</v>
      </c>
      <c r="D8302" s="161" t="s">
        <v>74</v>
      </c>
      <c r="E8302" s="135">
        <f t="shared" si="62"/>
        <v>6</v>
      </c>
      <c r="F8302" s="134" t="s">
        <v>3587</v>
      </c>
      <c r="G8302" s="63" t="str">
        <f>VLOOKUP(C8302, 'Class Def. - General Data'!$C$20:$C$1000,1,false)</f>
        <v>#N/A</v>
      </c>
      <c r="H8302" s="63" t="str">
        <f>IFERROR(__xludf.DUMMYFUNCTION("VLOOKUP(F8302, IMPORTRANGE(""https://docs.google.com/spreadsheets/d/1Lhp9OU0JdFf_VYSMzH5lBcEaU4o8teT1piV-SNzShjg/edit?gid=554141278#gid=554141278"", ""'Char Def. - Attributes'!C20:C2242""), 1,false)"),"PLANT_BUY")</f>
        <v>PLANT_BUY</v>
      </c>
      <c r="I8302" s="136"/>
      <c r="R8302" s="63" t="str">
        <f t="shared" si="60"/>
        <v>ZSI1_CONCRT_CEMENTPLANT_BUY</v>
      </c>
    </row>
    <row r="8303" ht="15.75" customHeight="1">
      <c r="B8303" s="63">
        <f t="shared" si="1"/>
        <v>18</v>
      </c>
      <c r="C8303" s="135" t="s">
        <v>4324</v>
      </c>
      <c r="D8303" s="161" t="s">
        <v>74</v>
      </c>
      <c r="E8303" s="135">
        <f t="shared" si="62"/>
        <v>7</v>
      </c>
      <c r="F8303" s="134" t="s">
        <v>4328</v>
      </c>
      <c r="G8303" s="63" t="str">
        <f>VLOOKUP(C8303, 'Class Def. - General Data'!$C$20:$C$1000,1,false)</f>
        <v>#N/A</v>
      </c>
      <c r="H8303" s="63" t="str">
        <f>IFERROR(__xludf.DUMMYFUNCTION("VLOOKUP(F8303, IMPORTRANGE(""https://docs.google.com/spreadsheets/d/1Lhp9OU0JdFf_VYSMzH5lBcEaU4o8teT1piV-SNzShjg/edit?gid=554141278#gid=554141278"", ""'Char Def. - Attributes'!C20:C2242""), 1,false)"),"BASE_UOM_CEMENT")</f>
        <v>BASE_UOM_CEMENT</v>
      </c>
      <c r="I8303" s="136"/>
      <c r="R8303" s="63" t="str">
        <f t="shared" si="60"/>
        <v>ZSI1_CONCRT_CEMENTBASE_UOM_CEMENT</v>
      </c>
    </row>
    <row r="8304" ht="15.75" customHeight="1">
      <c r="B8304" s="63">
        <f t="shared" si="1"/>
        <v>18</v>
      </c>
      <c r="C8304" s="135" t="s">
        <v>4324</v>
      </c>
      <c r="D8304" s="161" t="s">
        <v>74</v>
      </c>
      <c r="E8304" s="135">
        <f t="shared" si="62"/>
        <v>8</v>
      </c>
      <c r="F8304" s="134" t="s">
        <v>4329</v>
      </c>
      <c r="G8304" s="63" t="str">
        <f>VLOOKUP(C8304, 'Class Def. - General Data'!$C$20:$C$1000,1,false)</f>
        <v>#N/A</v>
      </c>
      <c r="H8304" s="63" t="str">
        <f>IFERROR(__xludf.DUMMYFUNCTION("VLOOKUP(F8304, IMPORTRANGE(""https://docs.google.com/spreadsheets/d/1Lhp9OU0JdFf_VYSMzH5lBcEaU4o8teT1piV-SNzShjg/edit?gid=554141278#gid=554141278"", ""'Char Def. - Attributes'!C20:C2242""), 1,false)"),"ORDER_UNIT_CEMENT")</f>
        <v>ORDER_UNIT_CEMENT</v>
      </c>
      <c r="I8304" s="136"/>
      <c r="R8304" s="63" t="str">
        <f t="shared" si="60"/>
        <v>ZSI1_CONCRT_CEMENTORDER_UNIT_CEMENT</v>
      </c>
    </row>
    <row r="8305" ht="15.75" customHeight="1">
      <c r="B8305" s="63">
        <f t="shared" si="1"/>
        <v>18</v>
      </c>
      <c r="C8305" s="135" t="s">
        <v>4324</v>
      </c>
      <c r="D8305" s="161" t="s">
        <v>74</v>
      </c>
      <c r="E8305" s="135">
        <f t="shared" si="62"/>
        <v>9</v>
      </c>
      <c r="F8305" s="134" t="s">
        <v>4056</v>
      </c>
      <c r="G8305" s="63" t="str">
        <f>VLOOKUP(C8305, 'Class Def. - General Data'!$C$20:$C$1000,1,false)</f>
        <v>#N/A</v>
      </c>
      <c r="H8305" s="63" t="str">
        <f>IFERROR(__xludf.DUMMYFUNCTION("VLOOKUP(F8305, IMPORTRANGE(""https://docs.google.com/spreadsheets/d/1Lhp9OU0JdFf_VYSMzH5lBcEaU4o8teT1piV-SNzShjg/edit?gid=554141278#gid=554141278"", ""'Char Def. - Attributes'!C20:C2242""), 1,false)"),"GROSS_WEIGHT_OPT")</f>
        <v>GROSS_WEIGHT_OPT</v>
      </c>
      <c r="I8305" s="136"/>
      <c r="R8305" s="63" t="str">
        <f t="shared" si="60"/>
        <v>ZSI1_CONCRT_CEMENTGROSS_WEIGHT_OPT</v>
      </c>
    </row>
    <row r="8306" ht="15.75" customHeight="1">
      <c r="B8306" s="63">
        <f t="shared" si="1"/>
        <v>18</v>
      </c>
      <c r="C8306" s="135" t="s">
        <v>4324</v>
      </c>
      <c r="D8306" s="161" t="s">
        <v>74</v>
      </c>
      <c r="E8306" s="135">
        <f t="shared" si="62"/>
        <v>10</v>
      </c>
      <c r="F8306" s="134" t="s">
        <v>4057</v>
      </c>
      <c r="G8306" s="63" t="str">
        <f>VLOOKUP(C8306, 'Class Def. - General Data'!$C$20:$C$1000,1,false)</f>
        <v>#N/A</v>
      </c>
      <c r="H8306" s="63" t="str">
        <f>IFERROR(__xludf.DUMMYFUNCTION("VLOOKUP(F8306, IMPORTRANGE(""https://docs.google.com/spreadsheets/d/1Lhp9OU0JdFf_VYSMzH5lBcEaU4o8teT1piV-SNzShjg/edit?gid=554141278#gid=554141278"", ""'Char Def. - Attributes'!C20:C2242""), 1,false)"),"NET_WEIGHT_OPT")</f>
        <v>NET_WEIGHT_OPT</v>
      </c>
      <c r="I8306" s="136"/>
      <c r="R8306" s="63" t="str">
        <f t="shared" si="60"/>
        <v>ZSI1_CONCRT_CEMENTNET_WEIGHT_OPT</v>
      </c>
    </row>
    <row r="8307" ht="15.75" customHeight="1">
      <c r="B8307" s="63">
        <f t="shared" si="1"/>
        <v>18</v>
      </c>
      <c r="C8307" s="135" t="s">
        <v>4324</v>
      </c>
      <c r="D8307" s="161" t="s">
        <v>74</v>
      </c>
      <c r="E8307" s="135">
        <f t="shared" si="62"/>
        <v>11</v>
      </c>
      <c r="F8307" s="134" t="s">
        <v>4058</v>
      </c>
      <c r="G8307" s="63" t="str">
        <f>VLOOKUP(C8307, 'Class Def. - General Data'!$C$20:$C$1000,1,false)</f>
        <v>#N/A</v>
      </c>
      <c r="H8307" s="63" t="str">
        <f>IFERROR(__xludf.DUMMYFUNCTION("VLOOKUP(F8307, IMPORTRANGE(""https://docs.google.com/spreadsheets/d/1Lhp9OU0JdFf_VYSMzH5lBcEaU4o8teT1piV-SNzShjg/edit?gid=554141278#gid=554141278"", ""'Char Def. - Attributes'!C20:C2242""), 1,false)"),"WEIGHT_UNIT_SI")</f>
        <v>WEIGHT_UNIT_SI</v>
      </c>
      <c r="I8307" s="136"/>
      <c r="R8307" s="63" t="str">
        <f t="shared" si="60"/>
        <v>ZSI1_CONCRT_CEMENTWEIGHT_UNIT_SI</v>
      </c>
    </row>
    <row r="8308" ht="15.75" customHeight="1">
      <c r="B8308" s="63">
        <f t="shared" si="1"/>
        <v>18</v>
      </c>
      <c r="C8308" s="135" t="s">
        <v>4324</v>
      </c>
      <c r="D8308" s="161" t="s">
        <v>74</v>
      </c>
      <c r="E8308" s="135">
        <f t="shared" si="62"/>
        <v>12</v>
      </c>
      <c r="F8308" s="134" t="s">
        <v>3877</v>
      </c>
      <c r="G8308" s="63" t="str">
        <f>VLOOKUP(C8308, 'Class Def. - General Data'!$C$20:$C$1000,1,false)</f>
        <v>#N/A</v>
      </c>
      <c r="H8308" s="63" t="str">
        <f>IFERROR(__xludf.DUMMYFUNCTION("VLOOKUP(F8308, IMPORTRANGE(""https://docs.google.com/spreadsheets/d/1Lhp9OU0JdFf_VYSMzH5lBcEaU4o8teT1piV-SNzShjg/edit?gid=554141278#gid=554141278"", ""'Char Def. - Attributes'!C20:C2242""), 1,false)"),"VOLUME_OPT")</f>
        <v>VOLUME_OPT</v>
      </c>
      <c r="I8308" s="136"/>
      <c r="R8308" s="63" t="str">
        <f t="shared" si="60"/>
        <v>ZSI1_CONCRT_CEMENTVOLUME_OPT</v>
      </c>
    </row>
    <row r="8309" ht="15.75" customHeight="1">
      <c r="B8309" s="63">
        <f t="shared" si="1"/>
        <v>18</v>
      </c>
      <c r="C8309" s="135" t="s">
        <v>4324</v>
      </c>
      <c r="D8309" s="161" t="s">
        <v>74</v>
      </c>
      <c r="E8309" s="135">
        <f t="shared" si="62"/>
        <v>13</v>
      </c>
      <c r="F8309" s="134" t="s">
        <v>4059</v>
      </c>
      <c r="G8309" s="63" t="str">
        <f>VLOOKUP(C8309, 'Class Def. - General Data'!$C$20:$C$1000,1,false)</f>
        <v>#N/A</v>
      </c>
      <c r="H8309" s="63" t="str">
        <f>IFERROR(__xludf.DUMMYFUNCTION("VLOOKUP(F8309, IMPORTRANGE(""https://docs.google.com/spreadsheets/d/1Lhp9OU0JdFf_VYSMzH5lBcEaU4o8teT1piV-SNzShjg/edit?gid=554141278#gid=554141278"", ""'Char Def. - Attributes'!C20:C2242""), 1,false)"),"VOLUME_UNIT_SI")</f>
        <v>VOLUME_UNIT_SI</v>
      </c>
      <c r="I8309" s="136"/>
      <c r="R8309" s="63" t="str">
        <f t="shared" si="60"/>
        <v>ZSI1_CONCRT_CEMENTVOLUME_UNIT_SI</v>
      </c>
    </row>
    <row r="8310" ht="15.75" customHeight="1">
      <c r="B8310" s="63">
        <f t="shared" si="1"/>
        <v>18</v>
      </c>
      <c r="C8310" s="135" t="s">
        <v>4324</v>
      </c>
      <c r="D8310" s="161" t="s">
        <v>74</v>
      </c>
      <c r="E8310" s="135">
        <f t="shared" si="62"/>
        <v>14</v>
      </c>
      <c r="F8310" s="134" t="s">
        <v>3804</v>
      </c>
      <c r="G8310" s="63" t="str">
        <f>VLOOKUP(C8310, 'Class Def. - General Data'!$C$20:$C$1000,1,false)</f>
        <v>#N/A</v>
      </c>
      <c r="H8310" s="63" t="str">
        <f>IFERROR(__xludf.DUMMYFUNCTION("VLOOKUP(F8310, IMPORTRANGE(""https://docs.google.com/spreadsheets/d/1Lhp9OU0JdFf_VYSMzH5lBcEaU4o8teT1piV-SNzShjg/edit?gid=554141278#gid=554141278"", ""'Char Def. - Attributes'!C20:C2242""), 1,false)"),"ALT_UOM1_SIPI")</f>
        <v>ALT_UOM1_SIPI</v>
      </c>
      <c r="I8310" s="136"/>
      <c r="R8310" s="63" t="str">
        <f t="shared" si="60"/>
        <v>ZSI1_CONCRT_CEMENTALT_UOM1_SIPI</v>
      </c>
    </row>
    <row r="8311" ht="15.75" customHeight="1">
      <c r="B8311" s="63">
        <f t="shared" si="1"/>
        <v>18</v>
      </c>
      <c r="C8311" s="135" t="s">
        <v>4324</v>
      </c>
      <c r="D8311" s="161" t="s">
        <v>74</v>
      </c>
      <c r="E8311" s="135">
        <f t="shared" si="62"/>
        <v>15</v>
      </c>
      <c r="F8311" s="134" t="s">
        <v>3805</v>
      </c>
      <c r="G8311" s="63" t="str">
        <f>VLOOKUP(C8311, 'Class Def. - General Data'!$C$20:$C$1000,1,false)</f>
        <v>#N/A</v>
      </c>
      <c r="H8311" s="63" t="str">
        <f>IFERROR(__xludf.DUMMYFUNCTION("VLOOKUP(F8311, IMPORTRANGE(""https://docs.google.com/spreadsheets/d/1Lhp9OU0JdFf_VYSMzH5lBcEaU4o8teT1piV-SNzShjg/edit?gid=554141278#gid=554141278"", ""'Char Def. - Attributes'!C20:C2242""), 1,false)"),"ALT_DENUM_UOM1")</f>
        <v>ALT_DENUM_UOM1</v>
      </c>
      <c r="I8311" s="136"/>
      <c r="R8311" s="63" t="str">
        <f t="shared" si="60"/>
        <v>ZSI1_CONCRT_CEMENTALT_DENUM_UOM1</v>
      </c>
    </row>
    <row r="8312" ht="15.75" customHeight="1">
      <c r="B8312" s="63">
        <f t="shared" si="1"/>
        <v>18</v>
      </c>
      <c r="C8312" s="135" t="s">
        <v>4324</v>
      </c>
      <c r="D8312" s="161" t="s">
        <v>74</v>
      </c>
      <c r="E8312" s="135">
        <f t="shared" si="62"/>
        <v>16</v>
      </c>
      <c r="F8312" s="134" t="s">
        <v>3806</v>
      </c>
      <c r="G8312" s="63" t="str">
        <f>VLOOKUP(C8312, 'Class Def. - General Data'!$C$20:$C$1000,1,false)</f>
        <v>#N/A</v>
      </c>
      <c r="H8312" s="63" t="str">
        <f>IFERROR(__xludf.DUMMYFUNCTION("VLOOKUP(F8312, IMPORTRANGE(""https://docs.google.com/spreadsheets/d/1Lhp9OU0JdFf_VYSMzH5lBcEaU4o8teT1piV-SNzShjg/edit?gid=554141278#gid=554141278"", ""'Char Def. - Attributes'!C20:C2242""), 1,false)"),"ALT_NUM_UOM1")</f>
        <v>ALT_NUM_UOM1</v>
      </c>
      <c r="I8312" s="136"/>
      <c r="R8312" s="63" t="str">
        <f t="shared" si="60"/>
        <v>ZSI1_CONCRT_CEMENTALT_NUM_UOM1</v>
      </c>
    </row>
    <row r="8313" ht="15.75" customHeight="1">
      <c r="B8313" s="63">
        <f t="shared" si="1"/>
        <v>18</v>
      </c>
      <c r="C8313" s="135" t="s">
        <v>4324</v>
      </c>
      <c r="D8313" s="161" t="s">
        <v>74</v>
      </c>
      <c r="E8313" s="135">
        <f t="shared" si="62"/>
        <v>17</v>
      </c>
      <c r="F8313" s="134" t="s">
        <v>3807</v>
      </c>
      <c r="G8313" s="63" t="str">
        <f>VLOOKUP(C8313, 'Class Def. - General Data'!$C$20:$C$1000,1,false)</f>
        <v>#N/A</v>
      </c>
      <c r="H8313" s="63" t="str">
        <f>IFERROR(__xludf.DUMMYFUNCTION("VLOOKUP(F8313, IMPORTRANGE(""https://docs.google.com/spreadsheets/d/1Lhp9OU0JdFf_VYSMzH5lBcEaU4o8teT1piV-SNzShjg/edit?gid=554141278#gid=554141278"", ""'Char Def. - Attributes'!C20:C2242""), 1,false)"),"ALT_UOM2_SIPI")</f>
        <v>ALT_UOM2_SIPI</v>
      </c>
      <c r="I8313" s="136"/>
      <c r="R8313" s="63" t="str">
        <f t="shared" si="60"/>
        <v>ZSI1_CONCRT_CEMENTALT_UOM2_SIPI</v>
      </c>
    </row>
    <row r="8314" ht="15.75" customHeight="1">
      <c r="B8314" s="63">
        <f t="shared" si="1"/>
        <v>18</v>
      </c>
      <c r="C8314" s="135" t="s">
        <v>4324</v>
      </c>
      <c r="D8314" s="161" t="s">
        <v>74</v>
      </c>
      <c r="E8314" s="135">
        <f t="shared" si="62"/>
        <v>18</v>
      </c>
      <c r="F8314" s="134" t="s">
        <v>3808</v>
      </c>
      <c r="G8314" s="63" t="str">
        <f>VLOOKUP(C8314, 'Class Def. - General Data'!$C$20:$C$1000,1,false)</f>
        <v>#N/A</v>
      </c>
      <c r="H8314" s="63" t="str">
        <f>IFERROR(__xludf.DUMMYFUNCTION("VLOOKUP(F8314, IMPORTRANGE(""https://docs.google.com/spreadsheets/d/1Lhp9OU0JdFf_VYSMzH5lBcEaU4o8teT1piV-SNzShjg/edit?gid=554141278#gid=554141278"", ""'Char Def. - Attributes'!C20:C2242""), 1,false)"),"ALT_DENUM_UOM2")</f>
        <v>ALT_DENUM_UOM2</v>
      </c>
      <c r="I8314" s="136"/>
      <c r="R8314" s="63" t="str">
        <f t="shared" si="60"/>
        <v>ZSI1_CONCRT_CEMENTALT_DENUM_UOM2</v>
      </c>
    </row>
    <row r="8315" ht="15.75" customHeight="1">
      <c r="B8315" s="63">
        <f t="shared" si="1"/>
        <v>18</v>
      </c>
      <c r="C8315" s="135" t="s">
        <v>4324</v>
      </c>
      <c r="D8315" s="161" t="s">
        <v>74</v>
      </c>
      <c r="E8315" s="135">
        <f t="shared" si="62"/>
        <v>19</v>
      </c>
      <c r="F8315" s="134" t="s">
        <v>3809</v>
      </c>
      <c r="G8315" s="63" t="str">
        <f>VLOOKUP(C8315, 'Class Def. - General Data'!$C$20:$C$1000,1,false)</f>
        <v>#N/A</v>
      </c>
      <c r="H8315" s="63" t="str">
        <f>IFERROR(__xludf.DUMMYFUNCTION("VLOOKUP(F8315, IMPORTRANGE(""https://docs.google.com/spreadsheets/d/1Lhp9OU0JdFf_VYSMzH5lBcEaU4o8teT1piV-SNzShjg/edit?gid=554141278#gid=554141278"", ""'Char Def. - Attributes'!C20:C2242""), 1,false)"),"ALT_NUM_UOM2")</f>
        <v>ALT_NUM_UOM2</v>
      </c>
      <c r="I8315" s="136"/>
      <c r="R8315" s="63" t="str">
        <f t="shared" si="60"/>
        <v>ZSI1_CONCRT_CEMENTALT_NUM_UOM2</v>
      </c>
    </row>
    <row r="8316" ht="15.75" customHeight="1">
      <c r="B8316" s="63">
        <f t="shared" si="1"/>
        <v>18</v>
      </c>
      <c r="C8316" s="135" t="s">
        <v>4324</v>
      </c>
      <c r="D8316" s="161" t="s">
        <v>74</v>
      </c>
      <c r="E8316" s="135">
        <f t="shared" si="62"/>
        <v>20</v>
      </c>
      <c r="F8316" s="134" t="s">
        <v>3810</v>
      </c>
      <c r="G8316" s="63" t="str">
        <f>VLOOKUP(C8316, 'Class Def. - General Data'!$C$20:$C$1000,1,false)</f>
        <v>#N/A</v>
      </c>
      <c r="H8316" s="63" t="str">
        <f>IFERROR(__xludf.DUMMYFUNCTION("VLOOKUP(F8316, IMPORTRANGE(""https://docs.google.com/spreadsheets/d/1Lhp9OU0JdFf_VYSMzH5lBcEaU4o8teT1piV-SNzShjg/edit?gid=554141278#gid=554141278"", ""'Char Def. - Attributes'!C20:C2242""), 1,false)"),"ALT_UOM3_SIPI")</f>
        <v>ALT_UOM3_SIPI</v>
      </c>
      <c r="I8316" s="136"/>
      <c r="R8316" s="63" t="str">
        <f t="shared" si="60"/>
        <v>ZSI1_CONCRT_CEMENTALT_UOM3_SIPI</v>
      </c>
    </row>
    <row r="8317" ht="15.75" customHeight="1">
      <c r="B8317" s="63">
        <f t="shared" si="1"/>
        <v>18</v>
      </c>
      <c r="C8317" s="135" t="s">
        <v>4324</v>
      </c>
      <c r="D8317" s="161" t="s">
        <v>74</v>
      </c>
      <c r="E8317" s="135">
        <f t="shared" si="62"/>
        <v>21</v>
      </c>
      <c r="F8317" s="134" t="s">
        <v>3811</v>
      </c>
      <c r="G8317" s="63" t="str">
        <f>VLOOKUP(C8317, 'Class Def. - General Data'!$C$20:$C$1000,1,false)</f>
        <v>#N/A</v>
      </c>
      <c r="H8317" s="63" t="str">
        <f>IFERROR(__xludf.DUMMYFUNCTION("VLOOKUP(F8317, IMPORTRANGE(""https://docs.google.com/spreadsheets/d/1Lhp9OU0JdFf_VYSMzH5lBcEaU4o8teT1piV-SNzShjg/edit?gid=554141278#gid=554141278"", ""'Char Def. - Attributes'!C20:C2242""), 1,false)"),"ALT_DENUM_UOM3")</f>
        <v>ALT_DENUM_UOM3</v>
      </c>
      <c r="I8317" s="136"/>
      <c r="R8317" s="63" t="str">
        <f t="shared" si="60"/>
        <v>ZSI1_CONCRT_CEMENTALT_DENUM_UOM3</v>
      </c>
    </row>
    <row r="8318" ht="15.75" customHeight="1">
      <c r="B8318" s="63">
        <f t="shared" si="1"/>
        <v>18</v>
      </c>
      <c r="C8318" s="135" t="s">
        <v>4324</v>
      </c>
      <c r="D8318" s="161" t="s">
        <v>74</v>
      </c>
      <c r="E8318" s="135">
        <f t="shared" si="62"/>
        <v>22</v>
      </c>
      <c r="F8318" s="134" t="s">
        <v>3812</v>
      </c>
      <c r="G8318" s="63" t="str">
        <f>VLOOKUP(C8318, 'Class Def. - General Data'!$C$20:$C$1000,1,false)</f>
        <v>#N/A</v>
      </c>
      <c r="H8318" s="63" t="str">
        <f>IFERROR(__xludf.DUMMYFUNCTION("VLOOKUP(F8318, IMPORTRANGE(""https://docs.google.com/spreadsheets/d/1Lhp9OU0JdFf_VYSMzH5lBcEaU4o8teT1piV-SNzShjg/edit?gid=554141278#gid=554141278"", ""'Char Def. - Attributes'!C20:C2242""), 1,false)"),"ALT_NUM_UOM3")</f>
        <v>ALT_NUM_UOM3</v>
      </c>
      <c r="I8318" s="136"/>
      <c r="R8318" s="63" t="str">
        <f t="shared" si="60"/>
        <v>ZSI1_CONCRT_CEMENTALT_NUM_UOM3</v>
      </c>
    </row>
    <row r="8319" ht="15.75" customHeight="1">
      <c r="B8319" s="63">
        <f t="shared" si="1"/>
        <v>18</v>
      </c>
      <c r="C8319" s="135" t="s">
        <v>4324</v>
      </c>
      <c r="D8319" s="161" t="s">
        <v>74</v>
      </c>
      <c r="E8319" s="135">
        <f t="shared" si="62"/>
        <v>23</v>
      </c>
      <c r="F8319" s="134" t="s">
        <v>3813</v>
      </c>
      <c r="G8319" s="63" t="str">
        <f>VLOOKUP(C8319, 'Class Def. - General Data'!$C$20:$C$1000,1,false)</f>
        <v>#N/A</v>
      </c>
      <c r="H8319" s="63" t="str">
        <f>IFERROR(__xludf.DUMMYFUNCTION("VLOOKUP(F8319, IMPORTRANGE(""https://docs.google.com/spreadsheets/d/1Lhp9OU0JdFf_VYSMzH5lBcEaU4o8teT1piV-SNzShjg/edit?gid=554141278#gid=554141278"", ""'Char Def. - Attributes'!C20:C2242""), 1,false)"),"ALT_UOM4_SIPI")</f>
        <v>ALT_UOM4_SIPI</v>
      </c>
      <c r="I8319" s="136"/>
      <c r="R8319" s="63" t="str">
        <f t="shared" si="60"/>
        <v>ZSI1_CONCRT_CEMENTALT_UOM4_SIPI</v>
      </c>
    </row>
    <row r="8320" ht="15.75" customHeight="1">
      <c r="B8320" s="63">
        <f t="shared" si="1"/>
        <v>18</v>
      </c>
      <c r="C8320" s="135" t="s">
        <v>4324</v>
      </c>
      <c r="D8320" s="161" t="s">
        <v>74</v>
      </c>
      <c r="E8320" s="135">
        <f t="shared" si="62"/>
        <v>24</v>
      </c>
      <c r="F8320" s="134" t="s">
        <v>3814</v>
      </c>
      <c r="G8320" s="63" t="str">
        <f>VLOOKUP(C8320, 'Class Def. - General Data'!$C$20:$C$1000,1,false)</f>
        <v>#N/A</v>
      </c>
      <c r="H8320" s="63" t="str">
        <f>IFERROR(__xludf.DUMMYFUNCTION("VLOOKUP(F8320, IMPORTRANGE(""https://docs.google.com/spreadsheets/d/1Lhp9OU0JdFf_VYSMzH5lBcEaU4o8teT1piV-SNzShjg/edit?gid=554141278#gid=554141278"", ""'Char Def. - Attributes'!C20:C2242""), 1,false)"),"ALT_DENUM_UOM4")</f>
        <v>ALT_DENUM_UOM4</v>
      </c>
      <c r="I8320" s="136"/>
      <c r="R8320" s="63" t="str">
        <f t="shared" si="60"/>
        <v>ZSI1_CONCRT_CEMENTALT_DENUM_UOM4</v>
      </c>
    </row>
    <row r="8321" ht="15.75" customHeight="1">
      <c r="B8321" s="63">
        <f t="shared" si="1"/>
        <v>18</v>
      </c>
      <c r="C8321" s="135" t="s">
        <v>4324</v>
      </c>
      <c r="D8321" s="161" t="s">
        <v>74</v>
      </c>
      <c r="E8321" s="135">
        <f t="shared" si="62"/>
        <v>25</v>
      </c>
      <c r="F8321" s="134" t="s">
        <v>3815</v>
      </c>
      <c r="G8321" s="63" t="str">
        <f>VLOOKUP(C8321, 'Class Def. - General Data'!$C$20:$C$1000,1,false)</f>
        <v>#N/A</v>
      </c>
      <c r="H8321" s="63" t="str">
        <f>IFERROR(__xludf.DUMMYFUNCTION("VLOOKUP(F8321, IMPORTRANGE(""https://docs.google.com/spreadsheets/d/1Lhp9OU0JdFf_VYSMzH5lBcEaU4o8teT1piV-SNzShjg/edit?gid=554141278#gid=554141278"", ""'Char Def. - Attributes'!C20:C2242""), 1,false)"),"ALT_NUM_UOM4")</f>
        <v>ALT_NUM_UOM4</v>
      </c>
      <c r="I8321" s="136"/>
      <c r="R8321" s="63" t="str">
        <f t="shared" si="60"/>
        <v>ZSI1_CONCRT_CEMENTALT_NUM_UOM4</v>
      </c>
    </row>
    <row r="8322" ht="15.75" customHeight="1">
      <c r="B8322" s="63">
        <f t="shared" si="1"/>
        <v>18</v>
      </c>
      <c r="C8322" s="135" t="s">
        <v>4324</v>
      </c>
      <c r="D8322" s="161" t="s">
        <v>74</v>
      </c>
      <c r="E8322" s="135">
        <f t="shared" si="62"/>
        <v>26</v>
      </c>
      <c r="F8322" s="134" t="s">
        <v>3816</v>
      </c>
      <c r="G8322" s="63" t="str">
        <f>VLOOKUP(C8322, 'Class Def. - General Data'!$C$20:$C$1000,1,false)</f>
        <v>#N/A</v>
      </c>
      <c r="H8322" s="63" t="str">
        <f>IFERROR(__xludf.DUMMYFUNCTION("VLOOKUP(F8322, IMPORTRANGE(""https://docs.google.com/spreadsheets/d/1Lhp9OU0JdFf_VYSMzH5lBcEaU4o8teT1piV-SNzShjg/edit?gid=554141278#gid=554141278"", ""'Char Def. - Attributes'!C20:C2242""), 1,false)"),"ALT_UOM5_SIPI")</f>
        <v>ALT_UOM5_SIPI</v>
      </c>
      <c r="I8322" s="136"/>
      <c r="R8322" s="63" t="str">
        <f t="shared" si="60"/>
        <v>ZSI1_CONCRT_CEMENTALT_UOM5_SIPI</v>
      </c>
    </row>
    <row r="8323" ht="15.75" customHeight="1">
      <c r="B8323" s="63">
        <f t="shared" si="1"/>
        <v>18</v>
      </c>
      <c r="C8323" s="135" t="s">
        <v>4324</v>
      </c>
      <c r="D8323" s="161" t="s">
        <v>74</v>
      </c>
      <c r="E8323" s="135">
        <f t="shared" si="62"/>
        <v>27</v>
      </c>
      <c r="F8323" s="134" t="s">
        <v>3817</v>
      </c>
      <c r="G8323" s="63" t="str">
        <f>VLOOKUP(C8323, 'Class Def. - General Data'!$C$20:$C$1000,1,false)</f>
        <v>#N/A</v>
      </c>
      <c r="H8323" s="63" t="str">
        <f>IFERROR(__xludf.DUMMYFUNCTION("VLOOKUP(F8323, IMPORTRANGE(""https://docs.google.com/spreadsheets/d/1Lhp9OU0JdFf_VYSMzH5lBcEaU4o8teT1piV-SNzShjg/edit?gid=554141278#gid=554141278"", ""'Char Def. - Attributes'!C20:C2242""), 1,false)"),"ALT_DENUM_UOM5")</f>
        <v>ALT_DENUM_UOM5</v>
      </c>
      <c r="I8323" s="136"/>
      <c r="R8323" s="63" t="str">
        <f t="shared" si="60"/>
        <v>ZSI1_CONCRT_CEMENTALT_DENUM_UOM5</v>
      </c>
    </row>
    <row r="8324" ht="15.75" customHeight="1">
      <c r="B8324" s="63">
        <f t="shared" si="1"/>
        <v>18</v>
      </c>
      <c r="C8324" s="135" t="s">
        <v>4324</v>
      </c>
      <c r="D8324" s="161" t="s">
        <v>74</v>
      </c>
      <c r="E8324" s="135">
        <f t="shared" si="62"/>
        <v>28</v>
      </c>
      <c r="F8324" s="134" t="s">
        <v>3818</v>
      </c>
      <c r="G8324" s="63" t="str">
        <f>VLOOKUP(C8324, 'Class Def. - General Data'!$C$20:$C$1000,1,false)</f>
        <v>#N/A</v>
      </c>
      <c r="H8324" s="63" t="str">
        <f>IFERROR(__xludf.DUMMYFUNCTION("VLOOKUP(F8324, IMPORTRANGE(""https://docs.google.com/spreadsheets/d/1Lhp9OU0JdFf_VYSMzH5lBcEaU4o8teT1piV-SNzShjg/edit?gid=554141278#gid=554141278"", ""'Char Def. - Attributes'!C20:C2242""), 1,false)"),"ALT_NUM_UOM5")</f>
        <v>ALT_NUM_UOM5</v>
      </c>
      <c r="I8324" s="136"/>
      <c r="R8324" s="63" t="str">
        <f t="shared" si="60"/>
        <v>ZSI1_CONCRT_CEMENTALT_NUM_UOM5</v>
      </c>
    </row>
    <row r="8325" ht="15.75" customHeight="1">
      <c r="B8325" s="63">
        <f t="shared" si="1"/>
        <v>18</v>
      </c>
      <c r="C8325" s="135" t="s">
        <v>375</v>
      </c>
      <c r="D8325" s="161" t="s">
        <v>74</v>
      </c>
      <c r="E8325" s="135">
        <f t="shared" si="62"/>
        <v>1</v>
      </c>
      <c r="F8325" s="134" t="s">
        <v>4330</v>
      </c>
      <c r="G8325" s="63" t="str">
        <f>VLOOKUP(C8325, 'Class Def. - General Data'!$C$20:$C$1000,1,false)</f>
        <v>ZSI1_CONSTRCT_COIL</v>
      </c>
      <c r="H8325" s="63" t="str">
        <f>IFERROR(__xludf.DUMMYFUNCTION("VLOOKUP(F8325, IMPORTRANGE(""https://docs.google.com/spreadsheets/d/1Lhp9OU0JdFf_VYSMzH5lBcEaU4o8teT1piV-SNzShjg/edit?gid=554141278#gid=554141278"", ""'Char Def. - Attributes'!C20:C2242""), 1,false)"),"ITEM_NAME_CONSTRCT_COIL")</f>
        <v>ITEM_NAME_CONSTRCT_COIL</v>
      </c>
      <c r="I8325" s="136"/>
      <c r="R8325" s="63" t="str">
        <f t="shared" si="60"/>
        <v>ZSI1_CONSTRCT_COILITEM_NAME_CONSTRCT_COIL</v>
      </c>
    </row>
    <row r="8326" ht="15.75" customHeight="1">
      <c r="B8326" s="63">
        <f t="shared" si="1"/>
        <v>18</v>
      </c>
      <c r="C8326" s="135" t="s">
        <v>375</v>
      </c>
      <c r="D8326" s="161" t="s">
        <v>74</v>
      </c>
      <c r="E8326" s="135">
        <f t="shared" si="62"/>
        <v>2</v>
      </c>
      <c r="F8326" s="134" t="s">
        <v>4331</v>
      </c>
      <c r="G8326" s="63" t="str">
        <f>VLOOKUP(C8326, 'Class Def. - General Data'!$C$20:$C$1000,1,false)</f>
        <v>ZSI1_CONSTRCT_COIL</v>
      </c>
      <c r="H8326" s="63" t="str">
        <f>IFERROR(__xludf.DUMMYFUNCTION("VLOOKUP(F8326, IMPORTRANGE(""https://docs.google.com/spreadsheets/d/1Lhp9OU0JdFf_VYSMzH5lBcEaU4o8teT1piV-SNzShjg/edit?gid=554141278#gid=554141278"", ""'Char Def. - Attributes'!C20:C2242""), 1,false)"),"MATERIAL_CONSTRCT_COIL")</f>
        <v>MATERIAL_CONSTRCT_COIL</v>
      </c>
      <c r="I8326" s="136"/>
      <c r="R8326" s="63" t="str">
        <f t="shared" si="60"/>
        <v>ZSI1_CONSTRCT_COILMATERIAL_CONSTRCT_COIL</v>
      </c>
    </row>
    <row r="8327" ht="15.75" customHeight="1">
      <c r="B8327" s="63">
        <f t="shared" si="1"/>
        <v>18</v>
      </c>
      <c r="C8327" s="135" t="s">
        <v>375</v>
      </c>
      <c r="D8327" s="161" t="s">
        <v>74</v>
      </c>
      <c r="E8327" s="135">
        <f t="shared" si="62"/>
        <v>3</v>
      </c>
      <c r="F8327" s="134" t="s">
        <v>4332</v>
      </c>
      <c r="G8327" s="63" t="str">
        <f>VLOOKUP(C8327, 'Class Def. - General Data'!$C$20:$C$1000,1,false)</f>
        <v>ZSI1_CONSTRCT_COIL</v>
      </c>
      <c r="H8327" s="63" t="str">
        <f>IFERROR(__xludf.DUMMYFUNCTION("VLOOKUP(F8327, IMPORTRANGE(""https://docs.google.com/spreadsheets/d/1Lhp9OU0JdFf_VYSMzH5lBcEaU4o8teT1piV-SNzShjg/edit?gid=554141278#gid=554141278"", ""'Char Def. - Attributes'!C20:C2242""), 1,false)"),"COIL_THICKNES_MM_CONSTRCT_COIL")</f>
        <v>COIL_THICKNES_MM_CONSTRCT_COIL</v>
      </c>
      <c r="I8327" s="136"/>
      <c r="R8327" s="63" t="str">
        <f t="shared" si="60"/>
        <v>ZSI1_CONSTRCT_COILCOIL_THICKNES_MM_CONSTRCT_COIL</v>
      </c>
    </row>
    <row r="8328" ht="15.75" customHeight="1">
      <c r="B8328" s="63">
        <f t="shared" si="1"/>
        <v>18</v>
      </c>
      <c r="C8328" s="135" t="s">
        <v>375</v>
      </c>
      <c r="D8328" s="161" t="s">
        <v>74</v>
      </c>
      <c r="E8328" s="135">
        <f t="shared" si="62"/>
        <v>4</v>
      </c>
      <c r="F8328" s="134" t="s">
        <v>4333</v>
      </c>
      <c r="G8328" s="63" t="str">
        <f>VLOOKUP(C8328, 'Class Def. - General Data'!$C$20:$C$1000,1,false)</f>
        <v>ZSI1_CONSTRCT_COIL</v>
      </c>
      <c r="H8328" s="63" t="str">
        <f>IFERROR(__xludf.DUMMYFUNCTION("VLOOKUP(F8328, IMPORTRANGE(""https://docs.google.com/spreadsheets/d/1Lhp9OU0JdFf_VYSMzH5lBcEaU4o8teT1piV-SNzShjg/edit?gid=554141278#gid=554141278"", ""'Char Def. - Attributes'!C20:C2242""), 1,false)"),"COIL_LENGTH_MM_CONSTRCT_COIL")</f>
        <v>COIL_LENGTH_MM_CONSTRCT_COIL</v>
      </c>
      <c r="I8328" s="136"/>
      <c r="R8328" s="63" t="str">
        <f t="shared" si="60"/>
        <v>ZSI1_CONSTRCT_COILCOIL_LENGTH_MM_CONSTRCT_COIL</v>
      </c>
    </row>
    <row r="8329" ht="15.75" customHeight="1">
      <c r="B8329" s="63">
        <f t="shared" si="1"/>
        <v>18</v>
      </c>
      <c r="C8329" s="135" t="s">
        <v>375</v>
      </c>
      <c r="D8329" s="161" t="s">
        <v>74</v>
      </c>
      <c r="E8329" s="135">
        <f t="shared" si="62"/>
        <v>5</v>
      </c>
      <c r="F8329" s="134" t="s">
        <v>4053</v>
      </c>
      <c r="G8329" s="63" t="str">
        <f>VLOOKUP(C8329, 'Class Def. - General Data'!$C$20:$C$1000,1,false)</f>
        <v>ZSI1_CONSTRCT_COIL</v>
      </c>
      <c r="H8329" s="63" t="str">
        <f>IFERROR(__xludf.DUMMYFUNCTION("VLOOKUP(F8329, IMPORTRANGE(""https://docs.google.com/spreadsheets/d/1Lhp9OU0JdFf_VYSMzH5lBcEaU4o8teT1piV-SNzShjg/edit?gid=554141278#gid=554141278"", ""'Char Def. - Attributes'!C20:C2242""), 1,false)"),"MAINTENANCE_ORDER_TYPE")</f>
        <v>MAINTENANCE_ORDER_TYPE</v>
      </c>
      <c r="I8329" s="136"/>
      <c r="R8329" s="63" t="str">
        <f t="shared" si="60"/>
        <v>ZSI1_CONSTRCT_COILMAINTENANCE_ORDER_TYPE</v>
      </c>
    </row>
    <row r="8330" ht="15.75" customHeight="1">
      <c r="B8330" s="63">
        <f t="shared" si="1"/>
        <v>18</v>
      </c>
      <c r="C8330" s="135" t="s">
        <v>375</v>
      </c>
      <c r="D8330" s="161" t="s">
        <v>74</v>
      </c>
      <c r="E8330" s="135">
        <f t="shared" si="62"/>
        <v>6</v>
      </c>
      <c r="F8330" s="134" t="s">
        <v>3585</v>
      </c>
      <c r="G8330" s="63" t="str">
        <f>VLOOKUP(C8330, 'Class Def. - General Data'!$C$20:$C$1000,1,false)</f>
        <v>ZSI1_CONSTRCT_COIL</v>
      </c>
      <c r="H8330" s="63" t="str">
        <f>IFERROR(__xludf.DUMMYFUNCTION("VLOOKUP(F8330, IMPORTRANGE(""https://docs.google.com/spreadsheets/d/1Lhp9OU0JdFf_VYSMzH5lBcEaU4o8teT1piV-SNzShjg/edit?gid=554141278#gid=554141278"", ""'Char Def. - Attributes'!C20:C2242""), 1,false)"),"HS_CODE")</f>
        <v>HS_CODE</v>
      </c>
      <c r="I8330" s="136"/>
      <c r="R8330" s="63" t="str">
        <f t="shared" si="60"/>
        <v>ZSI1_CONSTRCT_COILHS_CODE</v>
      </c>
    </row>
    <row r="8331" ht="15.75" customHeight="1">
      <c r="B8331" s="63">
        <f t="shared" si="1"/>
        <v>18</v>
      </c>
      <c r="C8331" s="135" t="s">
        <v>375</v>
      </c>
      <c r="D8331" s="161" t="s">
        <v>74</v>
      </c>
      <c r="E8331" s="135">
        <f t="shared" si="62"/>
        <v>7</v>
      </c>
      <c r="F8331" s="134" t="s">
        <v>3587</v>
      </c>
      <c r="G8331" s="63" t="str">
        <f>VLOOKUP(C8331, 'Class Def. - General Data'!$C$20:$C$1000,1,false)</f>
        <v>ZSI1_CONSTRCT_COIL</v>
      </c>
      <c r="H8331" s="63" t="str">
        <f>IFERROR(__xludf.DUMMYFUNCTION("VLOOKUP(F8331, IMPORTRANGE(""https://docs.google.com/spreadsheets/d/1Lhp9OU0JdFf_VYSMzH5lBcEaU4o8teT1piV-SNzShjg/edit?gid=554141278#gid=554141278"", ""'Char Def. - Attributes'!C20:C2242""), 1,false)"),"PLANT_BUY")</f>
        <v>PLANT_BUY</v>
      </c>
      <c r="I8331" s="136"/>
      <c r="R8331" s="63" t="str">
        <f t="shared" si="60"/>
        <v>ZSI1_CONSTRCT_COILPLANT_BUY</v>
      </c>
    </row>
    <row r="8332" ht="15.75" customHeight="1">
      <c r="B8332" s="63">
        <f t="shared" si="1"/>
        <v>18</v>
      </c>
      <c r="C8332" s="135" t="s">
        <v>375</v>
      </c>
      <c r="D8332" s="161" t="s">
        <v>74</v>
      </c>
      <c r="E8332" s="135">
        <f t="shared" si="62"/>
        <v>8</v>
      </c>
      <c r="F8332" s="134" t="s">
        <v>4334</v>
      </c>
      <c r="G8332" s="63" t="str">
        <f>VLOOKUP(C8332, 'Class Def. - General Data'!$C$20:$C$1000,1,false)</f>
        <v>ZSI1_CONSTRCT_COIL</v>
      </c>
      <c r="H8332" s="63" t="str">
        <f>IFERROR(__xludf.DUMMYFUNCTION("VLOOKUP(F8332, IMPORTRANGE(""https://docs.google.com/spreadsheets/d/1Lhp9OU0JdFf_VYSMzH5lBcEaU4o8teT1piV-SNzShjg/edit?gid=554141278#gid=554141278"", ""'Char Def. - Attributes'!C20:C2242""), 1,false)"),"BASE_UOM_CONSTRCT_COIL")</f>
        <v>BASE_UOM_CONSTRCT_COIL</v>
      </c>
      <c r="I8332" s="136"/>
      <c r="R8332" s="63" t="str">
        <f t="shared" si="60"/>
        <v>ZSI1_CONSTRCT_COILBASE_UOM_CONSTRCT_COIL</v>
      </c>
    </row>
    <row r="8333" ht="15.75" customHeight="1">
      <c r="B8333" s="63">
        <f t="shared" si="1"/>
        <v>18</v>
      </c>
      <c r="C8333" s="135" t="s">
        <v>375</v>
      </c>
      <c r="D8333" s="161" t="s">
        <v>74</v>
      </c>
      <c r="E8333" s="135">
        <f t="shared" si="62"/>
        <v>9</v>
      </c>
      <c r="F8333" s="134" t="s">
        <v>4335</v>
      </c>
      <c r="G8333" s="63" t="str">
        <f>VLOOKUP(C8333, 'Class Def. - General Data'!$C$20:$C$1000,1,false)</f>
        <v>ZSI1_CONSTRCT_COIL</v>
      </c>
      <c r="H8333" s="63" t="str">
        <f>IFERROR(__xludf.DUMMYFUNCTION("VLOOKUP(F8333, IMPORTRANGE(""https://docs.google.com/spreadsheets/d/1Lhp9OU0JdFf_VYSMzH5lBcEaU4o8teT1piV-SNzShjg/edit?gid=554141278#gid=554141278"", ""'Char Def. - Attributes'!C20:C2242""), 1,false)"),"ORDER_UNIT_CONSTRCT_COIL")</f>
        <v>ORDER_UNIT_CONSTRCT_COIL</v>
      </c>
      <c r="I8333" s="136"/>
      <c r="R8333" s="63" t="str">
        <f t="shared" si="60"/>
        <v>ZSI1_CONSTRCT_COILORDER_UNIT_CONSTRCT_COIL</v>
      </c>
    </row>
    <row r="8334" ht="15.75" customHeight="1">
      <c r="B8334" s="63">
        <f t="shared" si="1"/>
        <v>18</v>
      </c>
      <c r="C8334" s="135" t="s">
        <v>375</v>
      </c>
      <c r="D8334" s="161" t="s">
        <v>74</v>
      </c>
      <c r="E8334" s="135">
        <f t="shared" si="62"/>
        <v>10</v>
      </c>
      <c r="F8334" s="134" t="s">
        <v>4056</v>
      </c>
      <c r="G8334" s="63" t="str">
        <f>VLOOKUP(C8334, 'Class Def. - General Data'!$C$20:$C$1000,1,false)</f>
        <v>ZSI1_CONSTRCT_COIL</v>
      </c>
      <c r="H8334" s="63" t="str">
        <f>IFERROR(__xludf.DUMMYFUNCTION("VLOOKUP(F8334, IMPORTRANGE(""https://docs.google.com/spreadsheets/d/1Lhp9OU0JdFf_VYSMzH5lBcEaU4o8teT1piV-SNzShjg/edit?gid=554141278#gid=554141278"", ""'Char Def. - Attributes'!C20:C2242""), 1,false)"),"GROSS_WEIGHT_OPT")</f>
        <v>GROSS_WEIGHT_OPT</v>
      </c>
      <c r="I8334" s="136"/>
      <c r="R8334" s="63" t="str">
        <f t="shared" si="60"/>
        <v>ZSI1_CONSTRCT_COILGROSS_WEIGHT_OPT</v>
      </c>
    </row>
    <row r="8335" ht="15.75" customHeight="1">
      <c r="B8335" s="63">
        <f t="shared" si="1"/>
        <v>18</v>
      </c>
      <c r="C8335" s="135" t="s">
        <v>375</v>
      </c>
      <c r="D8335" s="161" t="s">
        <v>74</v>
      </c>
      <c r="E8335" s="135">
        <f t="shared" si="62"/>
        <v>11</v>
      </c>
      <c r="F8335" s="134" t="s">
        <v>4057</v>
      </c>
      <c r="G8335" s="63" t="str">
        <f>VLOOKUP(C8335, 'Class Def. - General Data'!$C$20:$C$1000,1,false)</f>
        <v>ZSI1_CONSTRCT_COIL</v>
      </c>
      <c r="H8335" s="63" t="str">
        <f>IFERROR(__xludf.DUMMYFUNCTION("VLOOKUP(F8335, IMPORTRANGE(""https://docs.google.com/spreadsheets/d/1Lhp9OU0JdFf_VYSMzH5lBcEaU4o8teT1piV-SNzShjg/edit?gid=554141278#gid=554141278"", ""'Char Def. - Attributes'!C20:C2242""), 1,false)"),"NET_WEIGHT_OPT")</f>
        <v>NET_WEIGHT_OPT</v>
      </c>
      <c r="I8335" s="136"/>
      <c r="R8335" s="63" t="str">
        <f t="shared" si="60"/>
        <v>ZSI1_CONSTRCT_COILNET_WEIGHT_OPT</v>
      </c>
    </row>
    <row r="8336" ht="15.75" customHeight="1">
      <c r="B8336" s="63">
        <f t="shared" si="1"/>
        <v>18</v>
      </c>
      <c r="C8336" s="135" t="s">
        <v>375</v>
      </c>
      <c r="D8336" s="161" t="s">
        <v>74</v>
      </c>
      <c r="E8336" s="135">
        <f t="shared" si="62"/>
        <v>12</v>
      </c>
      <c r="F8336" s="134" t="s">
        <v>4058</v>
      </c>
      <c r="G8336" s="63" t="str">
        <f>VLOOKUP(C8336, 'Class Def. - General Data'!$C$20:$C$1000,1,false)</f>
        <v>ZSI1_CONSTRCT_COIL</v>
      </c>
      <c r="H8336" s="63" t="str">
        <f>IFERROR(__xludf.DUMMYFUNCTION("VLOOKUP(F8336, IMPORTRANGE(""https://docs.google.com/spreadsheets/d/1Lhp9OU0JdFf_VYSMzH5lBcEaU4o8teT1piV-SNzShjg/edit?gid=554141278#gid=554141278"", ""'Char Def. - Attributes'!C20:C2242""), 1,false)"),"WEIGHT_UNIT_SI")</f>
        <v>WEIGHT_UNIT_SI</v>
      </c>
      <c r="I8336" s="136"/>
      <c r="R8336" s="63" t="str">
        <f t="shared" si="60"/>
        <v>ZSI1_CONSTRCT_COILWEIGHT_UNIT_SI</v>
      </c>
    </row>
    <row r="8337" ht="15.75" customHeight="1">
      <c r="B8337" s="63">
        <f t="shared" si="1"/>
        <v>18</v>
      </c>
      <c r="C8337" s="135" t="s">
        <v>375</v>
      </c>
      <c r="D8337" s="161" t="s">
        <v>74</v>
      </c>
      <c r="E8337" s="135">
        <f t="shared" si="62"/>
        <v>13</v>
      </c>
      <c r="F8337" s="134" t="s">
        <v>3877</v>
      </c>
      <c r="G8337" s="63" t="str">
        <f>VLOOKUP(C8337, 'Class Def. - General Data'!$C$20:$C$1000,1,false)</f>
        <v>ZSI1_CONSTRCT_COIL</v>
      </c>
      <c r="H8337" s="63" t="str">
        <f>IFERROR(__xludf.DUMMYFUNCTION("VLOOKUP(F8337, IMPORTRANGE(""https://docs.google.com/spreadsheets/d/1Lhp9OU0JdFf_VYSMzH5lBcEaU4o8teT1piV-SNzShjg/edit?gid=554141278#gid=554141278"", ""'Char Def. - Attributes'!C20:C2242""), 1,false)"),"VOLUME_OPT")</f>
        <v>VOLUME_OPT</v>
      </c>
      <c r="I8337" s="136"/>
      <c r="R8337" s="63" t="str">
        <f t="shared" si="60"/>
        <v>ZSI1_CONSTRCT_COILVOLUME_OPT</v>
      </c>
    </row>
    <row r="8338" ht="15.75" customHeight="1">
      <c r="B8338" s="63">
        <f t="shared" si="1"/>
        <v>18</v>
      </c>
      <c r="C8338" s="135" t="s">
        <v>375</v>
      </c>
      <c r="D8338" s="161" t="s">
        <v>74</v>
      </c>
      <c r="E8338" s="135">
        <f t="shared" si="62"/>
        <v>14</v>
      </c>
      <c r="F8338" s="134" t="s">
        <v>4059</v>
      </c>
      <c r="G8338" s="63" t="str">
        <f>VLOOKUP(C8338, 'Class Def. - General Data'!$C$20:$C$1000,1,false)</f>
        <v>ZSI1_CONSTRCT_COIL</v>
      </c>
      <c r="H8338" s="63" t="str">
        <f>IFERROR(__xludf.DUMMYFUNCTION("VLOOKUP(F8338, IMPORTRANGE(""https://docs.google.com/spreadsheets/d/1Lhp9OU0JdFf_VYSMzH5lBcEaU4o8teT1piV-SNzShjg/edit?gid=554141278#gid=554141278"", ""'Char Def. - Attributes'!C20:C2242""), 1,false)"),"VOLUME_UNIT_SI")</f>
        <v>VOLUME_UNIT_SI</v>
      </c>
      <c r="I8338" s="136"/>
      <c r="R8338" s="63" t="str">
        <f t="shared" si="60"/>
        <v>ZSI1_CONSTRCT_COILVOLUME_UNIT_SI</v>
      </c>
    </row>
    <row r="8339" ht="15.75" customHeight="1">
      <c r="B8339" s="63">
        <f t="shared" si="1"/>
        <v>18</v>
      </c>
      <c r="C8339" s="135" t="s">
        <v>375</v>
      </c>
      <c r="D8339" s="161" t="s">
        <v>74</v>
      </c>
      <c r="E8339" s="135">
        <f t="shared" si="62"/>
        <v>15</v>
      </c>
      <c r="F8339" s="134" t="s">
        <v>3804</v>
      </c>
      <c r="G8339" s="63" t="str">
        <f>VLOOKUP(C8339, 'Class Def. - General Data'!$C$20:$C$1000,1,false)</f>
        <v>ZSI1_CONSTRCT_COIL</v>
      </c>
      <c r="H8339" s="63" t="str">
        <f>IFERROR(__xludf.DUMMYFUNCTION("VLOOKUP(F8339, IMPORTRANGE(""https://docs.google.com/spreadsheets/d/1Lhp9OU0JdFf_VYSMzH5lBcEaU4o8teT1piV-SNzShjg/edit?gid=554141278#gid=554141278"", ""'Char Def. - Attributes'!C20:C2242""), 1,false)"),"ALT_UOM1_SIPI")</f>
        <v>ALT_UOM1_SIPI</v>
      </c>
      <c r="I8339" s="136"/>
      <c r="R8339" s="63" t="str">
        <f t="shared" si="60"/>
        <v>ZSI1_CONSTRCT_COILALT_UOM1_SIPI</v>
      </c>
    </row>
    <row r="8340" ht="15.75" customHeight="1">
      <c r="B8340" s="63">
        <f t="shared" si="1"/>
        <v>18</v>
      </c>
      <c r="C8340" s="135" t="s">
        <v>375</v>
      </c>
      <c r="D8340" s="161" t="s">
        <v>74</v>
      </c>
      <c r="E8340" s="135">
        <f t="shared" si="62"/>
        <v>16</v>
      </c>
      <c r="F8340" s="134" t="s">
        <v>3805</v>
      </c>
      <c r="G8340" s="63" t="str">
        <f>VLOOKUP(C8340, 'Class Def. - General Data'!$C$20:$C$1000,1,false)</f>
        <v>ZSI1_CONSTRCT_COIL</v>
      </c>
      <c r="H8340" s="63" t="str">
        <f>IFERROR(__xludf.DUMMYFUNCTION("VLOOKUP(F8340, IMPORTRANGE(""https://docs.google.com/spreadsheets/d/1Lhp9OU0JdFf_VYSMzH5lBcEaU4o8teT1piV-SNzShjg/edit?gid=554141278#gid=554141278"", ""'Char Def. - Attributes'!C20:C2242""), 1,false)"),"ALT_DENUM_UOM1")</f>
        <v>ALT_DENUM_UOM1</v>
      </c>
      <c r="I8340" s="136"/>
      <c r="R8340" s="63" t="str">
        <f t="shared" si="60"/>
        <v>ZSI1_CONSTRCT_COILALT_DENUM_UOM1</v>
      </c>
    </row>
    <row r="8341" ht="15.75" customHeight="1">
      <c r="B8341" s="63">
        <f t="shared" si="1"/>
        <v>18</v>
      </c>
      <c r="C8341" s="135" t="s">
        <v>375</v>
      </c>
      <c r="D8341" s="161" t="s">
        <v>74</v>
      </c>
      <c r="E8341" s="135">
        <f t="shared" si="62"/>
        <v>17</v>
      </c>
      <c r="F8341" s="134" t="s">
        <v>3806</v>
      </c>
      <c r="G8341" s="63" t="str">
        <f>VLOOKUP(C8341, 'Class Def. - General Data'!$C$20:$C$1000,1,false)</f>
        <v>ZSI1_CONSTRCT_COIL</v>
      </c>
      <c r="H8341" s="63" t="str">
        <f>IFERROR(__xludf.DUMMYFUNCTION("VLOOKUP(F8341, IMPORTRANGE(""https://docs.google.com/spreadsheets/d/1Lhp9OU0JdFf_VYSMzH5lBcEaU4o8teT1piV-SNzShjg/edit?gid=554141278#gid=554141278"", ""'Char Def. - Attributes'!C20:C2242""), 1,false)"),"ALT_NUM_UOM1")</f>
        <v>ALT_NUM_UOM1</v>
      </c>
      <c r="I8341" s="136"/>
      <c r="R8341" s="63" t="str">
        <f t="shared" si="60"/>
        <v>ZSI1_CONSTRCT_COILALT_NUM_UOM1</v>
      </c>
    </row>
    <row r="8342" ht="15.75" customHeight="1">
      <c r="B8342" s="63">
        <f t="shared" si="1"/>
        <v>18</v>
      </c>
      <c r="C8342" s="135" t="s">
        <v>375</v>
      </c>
      <c r="D8342" s="161" t="s">
        <v>74</v>
      </c>
      <c r="E8342" s="135">
        <f t="shared" si="62"/>
        <v>18</v>
      </c>
      <c r="F8342" s="134" t="s">
        <v>3807</v>
      </c>
      <c r="G8342" s="63" t="str">
        <f>VLOOKUP(C8342, 'Class Def. - General Data'!$C$20:$C$1000,1,false)</f>
        <v>ZSI1_CONSTRCT_COIL</v>
      </c>
      <c r="H8342" s="63" t="str">
        <f>IFERROR(__xludf.DUMMYFUNCTION("VLOOKUP(F8342, IMPORTRANGE(""https://docs.google.com/spreadsheets/d/1Lhp9OU0JdFf_VYSMzH5lBcEaU4o8teT1piV-SNzShjg/edit?gid=554141278#gid=554141278"", ""'Char Def. - Attributes'!C20:C2242""), 1,false)"),"ALT_UOM2_SIPI")</f>
        <v>ALT_UOM2_SIPI</v>
      </c>
      <c r="I8342" s="136"/>
      <c r="R8342" s="63" t="str">
        <f t="shared" si="60"/>
        <v>ZSI1_CONSTRCT_COILALT_UOM2_SIPI</v>
      </c>
    </row>
    <row r="8343" ht="15.75" customHeight="1">
      <c r="B8343" s="63">
        <f t="shared" si="1"/>
        <v>18</v>
      </c>
      <c r="C8343" s="135" t="s">
        <v>375</v>
      </c>
      <c r="D8343" s="161" t="s">
        <v>74</v>
      </c>
      <c r="E8343" s="135">
        <f t="shared" si="62"/>
        <v>19</v>
      </c>
      <c r="F8343" s="134" t="s">
        <v>3808</v>
      </c>
      <c r="G8343" s="63" t="str">
        <f>VLOOKUP(C8343, 'Class Def. - General Data'!$C$20:$C$1000,1,false)</f>
        <v>ZSI1_CONSTRCT_COIL</v>
      </c>
      <c r="H8343" s="63" t="str">
        <f>IFERROR(__xludf.DUMMYFUNCTION("VLOOKUP(F8343, IMPORTRANGE(""https://docs.google.com/spreadsheets/d/1Lhp9OU0JdFf_VYSMzH5lBcEaU4o8teT1piV-SNzShjg/edit?gid=554141278#gid=554141278"", ""'Char Def. - Attributes'!C20:C2242""), 1,false)"),"ALT_DENUM_UOM2")</f>
        <v>ALT_DENUM_UOM2</v>
      </c>
      <c r="I8343" s="136"/>
      <c r="R8343" s="63" t="str">
        <f t="shared" si="60"/>
        <v>ZSI1_CONSTRCT_COILALT_DENUM_UOM2</v>
      </c>
    </row>
    <row r="8344" ht="15.75" customHeight="1">
      <c r="B8344" s="63">
        <f t="shared" si="1"/>
        <v>18</v>
      </c>
      <c r="C8344" s="135" t="s">
        <v>375</v>
      </c>
      <c r="D8344" s="161" t="s">
        <v>74</v>
      </c>
      <c r="E8344" s="135">
        <f t="shared" si="62"/>
        <v>20</v>
      </c>
      <c r="F8344" s="134" t="s">
        <v>3809</v>
      </c>
      <c r="G8344" s="63" t="str">
        <f>VLOOKUP(C8344, 'Class Def. - General Data'!$C$20:$C$1000,1,false)</f>
        <v>ZSI1_CONSTRCT_COIL</v>
      </c>
      <c r="H8344" s="63" t="str">
        <f>IFERROR(__xludf.DUMMYFUNCTION("VLOOKUP(F8344, IMPORTRANGE(""https://docs.google.com/spreadsheets/d/1Lhp9OU0JdFf_VYSMzH5lBcEaU4o8teT1piV-SNzShjg/edit?gid=554141278#gid=554141278"", ""'Char Def. - Attributes'!C20:C2242""), 1,false)"),"ALT_NUM_UOM2")</f>
        <v>ALT_NUM_UOM2</v>
      </c>
      <c r="I8344" s="136"/>
      <c r="R8344" s="63" t="str">
        <f t="shared" si="60"/>
        <v>ZSI1_CONSTRCT_COILALT_NUM_UOM2</v>
      </c>
    </row>
    <row r="8345" ht="15.75" customHeight="1">
      <c r="B8345" s="63">
        <f t="shared" si="1"/>
        <v>18</v>
      </c>
      <c r="C8345" s="135" t="s">
        <v>375</v>
      </c>
      <c r="D8345" s="161" t="s">
        <v>74</v>
      </c>
      <c r="E8345" s="135">
        <f t="shared" si="62"/>
        <v>21</v>
      </c>
      <c r="F8345" s="134" t="s">
        <v>3810</v>
      </c>
      <c r="G8345" s="63" t="str">
        <f>VLOOKUP(C8345, 'Class Def. - General Data'!$C$20:$C$1000,1,false)</f>
        <v>ZSI1_CONSTRCT_COIL</v>
      </c>
      <c r="H8345" s="63" t="str">
        <f>IFERROR(__xludf.DUMMYFUNCTION("VLOOKUP(F8345, IMPORTRANGE(""https://docs.google.com/spreadsheets/d/1Lhp9OU0JdFf_VYSMzH5lBcEaU4o8teT1piV-SNzShjg/edit?gid=554141278#gid=554141278"", ""'Char Def. - Attributes'!C20:C2242""), 1,false)"),"ALT_UOM3_SIPI")</f>
        <v>ALT_UOM3_SIPI</v>
      </c>
      <c r="I8345" s="136"/>
      <c r="R8345" s="63" t="str">
        <f t="shared" si="60"/>
        <v>ZSI1_CONSTRCT_COILALT_UOM3_SIPI</v>
      </c>
    </row>
    <row r="8346" ht="15.75" customHeight="1">
      <c r="B8346" s="63">
        <f t="shared" si="1"/>
        <v>18</v>
      </c>
      <c r="C8346" s="135" t="s">
        <v>375</v>
      </c>
      <c r="D8346" s="161" t="s">
        <v>74</v>
      </c>
      <c r="E8346" s="135">
        <f t="shared" si="62"/>
        <v>22</v>
      </c>
      <c r="F8346" s="134" t="s">
        <v>3811</v>
      </c>
      <c r="G8346" s="63" t="str">
        <f>VLOOKUP(C8346, 'Class Def. - General Data'!$C$20:$C$1000,1,false)</f>
        <v>ZSI1_CONSTRCT_COIL</v>
      </c>
      <c r="H8346" s="63" t="str">
        <f>IFERROR(__xludf.DUMMYFUNCTION("VLOOKUP(F8346, IMPORTRANGE(""https://docs.google.com/spreadsheets/d/1Lhp9OU0JdFf_VYSMzH5lBcEaU4o8teT1piV-SNzShjg/edit?gid=554141278#gid=554141278"", ""'Char Def. - Attributes'!C20:C2242""), 1,false)"),"ALT_DENUM_UOM3")</f>
        <v>ALT_DENUM_UOM3</v>
      </c>
      <c r="I8346" s="136"/>
      <c r="R8346" s="63" t="str">
        <f t="shared" si="60"/>
        <v>ZSI1_CONSTRCT_COILALT_DENUM_UOM3</v>
      </c>
    </row>
    <row r="8347" ht="15.75" customHeight="1">
      <c r="B8347" s="63">
        <f t="shared" si="1"/>
        <v>18</v>
      </c>
      <c r="C8347" s="135" t="s">
        <v>375</v>
      </c>
      <c r="D8347" s="161" t="s">
        <v>74</v>
      </c>
      <c r="E8347" s="135">
        <f t="shared" si="62"/>
        <v>23</v>
      </c>
      <c r="F8347" s="134" t="s">
        <v>3812</v>
      </c>
      <c r="G8347" s="63" t="str">
        <f>VLOOKUP(C8347, 'Class Def. - General Data'!$C$20:$C$1000,1,false)</f>
        <v>ZSI1_CONSTRCT_COIL</v>
      </c>
      <c r="H8347" s="63" t="str">
        <f>IFERROR(__xludf.DUMMYFUNCTION("VLOOKUP(F8347, IMPORTRANGE(""https://docs.google.com/spreadsheets/d/1Lhp9OU0JdFf_VYSMzH5lBcEaU4o8teT1piV-SNzShjg/edit?gid=554141278#gid=554141278"", ""'Char Def. - Attributes'!C20:C2242""), 1,false)"),"ALT_NUM_UOM3")</f>
        <v>ALT_NUM_UOM3</v>
      </c>
      <c r="I8347" s="136"/>
      <c r="R8347" s="63" t="str">
        <f t="shared" si="60"/>
        <v>ZSI1_CONSTRCT_COILALT_NUM_UOM3</v>
      </c>
    </row>
    <row r="8348" ht="15.75" customHeight="1">
      <c r="B8348" s="63">
        <f t="shared" si="1"/>
        <v>18</v>
      </c>
      <c r="C8348" s="135" t="s">
        <v>375</v>
      </c>
      <c r="D8348" s="161" t="s">
        <v>74</v>
      </c>
      <c r="E8348" s="135">
        <f t="shared" si="62"/>
        <v>24</v>
      </c>
      <c r="F8348" s="134" t="s">
        <v>3813</v>
      </c>
      <c r="G8348" s="63" t="str">
        <f>VLOOKUP(C8348, 'Class Def. - General Data'!$C$20:$C$1000,1,false)</f>
        <v>ZSI1_CONSTRCT_COIL</v>
      </c>
      <c r="H8348" s="63" t="str">
        <f>IFERROR(__xludf.DUMMYFUNCTION("VLOOKUP(F8348, IMPORTRANGE(""https://docs.google.com/spreadsheets/d/1Lhp9OU0JdFf_VYSMzH5lBcEaU4o8teT1piV-SNzShjg/edit?gid=554141278#gid=554141278"", ""'Char Def. - Attributes'!C20:C2242""), 1,false)"),"ALT_UOM4_SIPI")</f>
        <v>ALT_UOM4_SIPI</v>
      </c>
      <c r="I8348" s="136"/>
      <c r="R8348" s="63" t="str">
        <f t="shared" si="60"/>
        <v>ZSI1_CONSTRCT_COILALT_UOM4_SIPI</v>
      </c>
    </row>
    <row r="8349" ht="15.75" customHeight="1">
      <c r="B8349" s="63">
        <f t="shared" si="1"/>
        <v>18</v>
      </c>
      <c r="C8349" s="135" t="s">
        <v>375</v>
      </c>
      <c r="D8349" s="161" t="s">
        <v>74</v>
      </c>
      <c r="E8349" s="135">
        <f t="shared" si="62"/>
        <v>25</v>
      </c>
      <c r="F8349" s="134" t="s">
        <v>3814</v>
      </c>
      <c r="G8349" s="63" t="str">
        <f>VLOOKUP(C8349, 'Class Def. - General Data'!$C$20:$C$1000,1,false)</f>
        <v>ZSI1_CONSTRCT_COIL</v>
      </c>
      <c r="H8349" s="63" t="str">
        <f>IFERROR(__xludf.DUMMYFUNCTION("VLOOKUP(F8349, IMPORTRANGE(""https://docs.google.com/spreadsheets/d/1Lhp9OU0JdFf_VYSMzH5lBcEaU4o8teT1piV-SNzShjg/edit?gid=554141278#gid=554141278"", ""'Char Def. - Attributes'!C20:C2242""), 1,false)"),"ALT_DENUM_UOM4")</f>
        <v>ALT_DENUM_UOM4</v>
      </c>
      <c r="I8349" s="136"/>
      <c r="R8349" s="63" t="str">
        <f t="shared" si="60"/>
        <v>ZSI1_CONSTRCT_COILALT_DENUM_UOM4</v>
      </c>
    </row>
    <row r="8350" ht="15.75" customHeight="1">
      <c r="B8350" s="63">
        <f t="shared" si="1"/>
        <v>18</v>
      </c>
      <c r="C8350" s="135" t="s">
        <v>375</v>
      </c>
      <c r="D8350" s="161" t="s">
        <v>74</v>
      </c>
      <c r="E8350" s="135">
        <f t="shared" si="62"/>
        <v>26</v>
      </c>
      <c r="F8350" s="134" t="s">
        <v>3815</v>
      </c>
      <c r="G8350" s="63" t="str">
        <f>VLOOKUP(C8350, 'Class Def. - General Data'!$C$20:$C$1000,1,false)</f>
        <v>ZSI1_CONSTRCT_COIL</v>
      </c>
      <c r="H8350" s="63" t="str">
        <f>IFERROR(__xludf.DUMMYFUNCTION("VLOOKUP(F8350, IMPORTRANGE(""https://docs.google.com/spreadsheets/d/1Lhp9OU0JdFf_VYSMzH5lBcEaU4o8teT1piV-SNzShjg/edit?gid=554141278#gid=554141278"", ""'Char Def. - Attributes'!C20:C2242""), 1,false)"),"ALT_NUM_UOM4")</f>
        <v>ALT_NUM_UOM4</v>
      </c>
      <c r="I8350" s="136"/>
      <c r="R8350" s="63" t="str">
        <f t="shared" si="60"/>
        <v>ZSI1_CONSTRCT_COILALT_NUM_UOM4</v>
      </c>
    </row>
    <row r="8351" ht="15.75" customHeight="1">
      <c r="B8351" s="63">
        <f t="shared" si="1"/>
        <v>18</v>
      </c>
      <c r="C8351" s="135" t="s">
        <v>375</v>
      </c>
      <c r="D8351" s="161" t="s">
        <v>74</v>
      </c>
      <c r="E8351" s="135">
        <f t="shared" si="62"/>
        <v>27</v>
      </c>
      <c r="F8351" s="134" t="s">
        <v>3816</v>
      </c>
      <c r="G8351" s="63" t="str">
        <f>VLOOKUP(C8351, 'Class Def. - General Data'!$C$20:$C$1000,1,false)</f>
        <v>ZSI1_CONSTRCT_COIL</v>
      </c>
      <c r="H8351" s="63" t="str">
        <f>IFERROR(__xludf.DUMMYFUNCTION("VLOOKUP(F8351, IMPORTRANGE(""https://docs.google.com/spreadsheets/d/1Lhp9OU0JdFf_VYSMzH5lBcEaU4o8teT1piV-SNzShjg/edit?gid=554141278#gid=554141278"", ""'Char Def. - Attributes'!C20:C2242""), 1,false)"),"ALT_UOM5_SIPI")</f>
        <v>ALT_UOM5_SIPI</v>
      </c>
      <c r="I8351" s="136"/>
      <c r="R8351" s="63" t="str">
        <f t="shared" si="60"/>
        <v>ZSI1_CONSTRCT_COILALT_UOM5_SIPI</v>
      </c>
    </row>
    <row r="8352" ht="15.75" customHeight="1">
      <c r="B8352" s="63">
        <f t="shared" si="1"/>
        <v>18</v>
      </c>
      <c r="C8352" s="135" t="s">
        <v>375</v>
      </c>
      <c r="D8352" s="161" t="s">
        <v>74</v>
      </c>
      <c r="E8352" s="135">
        <f t="shared" si="62"/>
        <v>28</v>
      </c>
      <c r="F8352" s="134" t="s">
        <v>3817</v>
      </c>
      <c r="G8352" s="63" t="str">
        <f>VLOOKUP(C8352, 'Class Def. - General Data'!$C$20:$C$1000,1,false)</f>
        <v>ZSI1_CONSTRCT_COIL</v>
      </c>
      <c r="H8352" s="63" t="str">
        <f>IFERROR(__xludf.DUMMYFUNCTION("VLOOKUP(F8352, IMPORTRANGE(""https://docs.google.com/spreadsheets/d/1Lhp9OU0JdFf_VYSMzH5lBcEaU4o8teT1piV-SNzShjg/edit?gid=554141278#gid=554141278"", ""'Char Def. - Attributes'!C20:C2242""), 1,false)"),"ALT_DENUM_UOM5")</f>
        <v>ALT_DENUM_UOM5</v>
      </c>
      <c r="I8352" s="136"/>
      <c r="R8352" s="63" t="str">
        <f t="shared" si="60"/>
        <v>ZSI1_CONSTRCT_COILALT_DENUM_UOM5</v>
      </c>
    </row>
    <row r="8353" ht="15.75" customHeight="1">
      <c r="B8353" s="63">
        <f t="shared" si="1"/>
        <v>18</v>
      </c>
      <c r="C8353" s="135" t="s">
        <v>375</v>
      </c>
      <c r="D8353" s="161" t="s">
        <v>74</v>
      </c>
      <c r="E8353" s="135">
        <f t="shared" si="62"/>
        <v>29</v>
      </c>
      <c r="F8353" s="134" t="s">
        <v>3818</v>
      </c>
      <c r="G8353" s="63" t="str">
        <f>VLOOKUP(C8353, 'Class Def. - General Data'!$C$20:$C$1000,1,false)</f>
        <v>ZSI1_CONSTRCT_COIL</v>
      </c>
      <c r="H8353" s="63" t="str">
        <f>IFERROR(__xludf.DUMMYFUNCTION("VLOOKUP(F8353, IMPORTRANGE(""https://docs.google.com/spreadsheets/d/1Lhp9OU0JdFf_VYSMzH5lBcEaU4o8teT1piV-SNzShjg/edit?gid=554141278#gid=554141278"", ""'Char Def. - Attributes'!C20:C2242""), 1,false)"),"ALT_NUM_UOM5")</f>
        <v>ALT_NUM_UOM5</v>
      </c>
      <c r="I8353" s="136"/>
      <c r="R8353" s="63" t="str">
        <f t="shared" si="60"/>
        <v>ZSI1_CONSTRCT_COILALT_NUM_UOM5</v>
      </c>
    </row>
    <row r="8354" ht="15.75" customHeight="1">
      <c r="B8354" s="63">
        <f t="shared" si="1"/>
        <v>18</v>
      </c>
      <c r="C8354" s="135" t="s">
        <v>376</v>
      </c>
      <c r="D8354" s="161" t="s">
        <v>74</v>
      </c>
      <c r="E8354" s="135">
        <f t="shared" si="62"/>
        <v>1</v>
      </c>
      <c r="F8354" s="134" t="s">
        <v>4336</v>
      </c>
      <c r="G8354" s="63" t="str">
        <f>VLOOKUP(C8354, 'Class Def. - General Data'!$C$20:$C$1000,1,false)</f>
        <v>ZSI1_CONSTRUCT_ROD</v>
      </c>
      <c r="H8354" s="63" t="str">
        <f>IFERROR(__xludf.DUMMYFUNCTION("VLOOKUP(F8354, IMPORTRANGE(""https://docs.google.com/spreadsheets/d/1Lhp9OU0JdFf_VYSMzH5lBcEaU4o8teT1piV-SNzShjg/edit?gid=554141278#gid=554141278"", ""'Char Def. - Attributes'!C20:C2242""), 1,false)"),"ITEM_NAME_CONSTRUCT_ROD")</f>
        <v>ITEM_NAME_CONSTRUCT_ROD</v>
      </c>
      <c r="I8354" s="136"/>
      <c r="R8354" s="63" t="str">
        <f t="shared" si="60"/>
        <v>ZSI1_CONSTRUCT_RODITEM_NAME_CONSTRUCT_ROD</v>
      </c>
    </row>
    <row r="8355" ht="15.75" customHeight="1">
      <c r="B8355" s="63">
        <f t="shared" si="1"/>
        <v>18</v>
      </c>
      <c r="C8355" s="135" t="s">
        <v>376</v>
      </c>
      <c r="D8355" s="161" t="s">
        <v>74</v>
      </c>
      <c r="E8355" s="135">
        <f t="shared" si="62"/>
        <v>2</v>
      </c>
      <c r="F8355" s="134" t="s">
        <v>4337</v>
      </c>
      <c r="G8355" s="63" t="str">
        <f>VLOOKUP(C8355, 'Class Def. - General Data'!$C$20:$C$1000,1,false)</f>
        <v>ZSI1_CONSTRUCT_ROD</v>
      </c>
      <c r="H8355" s="63" t="str">
        <f>IFERROR(__xludf.DUMMYFUNCTION("VLOOKUP(F8355, IMPORTRANGE(""https://docs.google.com/spreadsheets/d/1Lhp9OU0JdFf_VYSMzH5lBcEaU4o8teT1piV-SNzShjg/edit?gid=554141278#gid=554141278"", ""'Char Def. - Attributes'!C20:C2242""), 1,false)"),"MATERIAL_CONSTRUCT_ROD")</f>
        <v>MATERIAL_CONSTRUCT_ROD</v>
      </c>
      <c r="I8355" s="136"/>
      <c r="R8355" s="63" t="str">
        <f t="shared" si="60"/>
        <v>ZSI1_CONSTRUCT_RODMATERIAL_CONSTRUCT_ROD</v>
      </c>
    </row>
    <row r="8356" ht="15.75" customHeight="1">
      <c r="B8356" s="63">
        <f t="shared" si="1"/>
        <v>18</v>
      </c>
      <c r="C8356" s="135" t="s">
        <v>376</v>
      </c>
      <c r="D8356" s="161" t="s">
        <v>74</v>
      </c>
      <c r="E8356" s="135">
        <f t="shared" si="62"/>
        <v>3</v>
      </c>
      <c r="F8356" s="134" t="s">
        <v>4338</v>
      </c>
      <c r="G8356" s="63" t="str">
        <f>VLOOKUP(C8356, 'Class Def. - General Data'!$C$20:$C$1000,1,false)</f>
        <v>ZSI1_CONSTRUCT_ROD</v>
      </c>
      <c r="H8356" s="63" t="str">
        <f>IFERROR(__xludf.DUMMYFUNCTION("VLOOKUP(F8356, IMPORTRANGE(""https://docs.google.com/spreadsheets/d/1Lhp9OU0JdFf_VYSMzH5lBcEaU4o8teT1piV-SNzShjg/edit?gid=554141278#gid=554141278"", ""'Char Def. - Attributes'!C20:C2242""), 1,false)"),"#N/A")</f>
        <v>#N/A</v>
      </c>
      <c r="I8356" s="136"/>
      <c r="R8356" s="63" t="str">
        <f t="shared" si="60"/>
        <v>ZSI1_CONSTRUCT_RODBENTUK_PENAMPANG_CONSTRUCT_ROD</v>
      </c>
    </row>
    <row r="8357" ht="15.75" customHeight="1">
      <c r="B8357" s="63">
        <f t="shared" si="1"/>
        <v>18</v>
      </c>
      <c r="C8357" s="135" t="s">
        <v>376</v>
      </c>
      <c r="D8357" s="161" t="s">
        <v>74</v>
      </c>
      <c r="E8357" s="135">
        <f t="shared" si="62"/>
        <v>4</v>
      </c>
      <c r="F8357" s="134" t="s">
        <v>4339</v>
      </c>
      <c r="G8357" s="63" t="str">
        <f>VLOOKUP(C8357, 'Class Def. - General Data'!$C$20:$C$1000,1,false)</f>
        <v>ZSI1_CONSTRUCT_ROD</v>
      </c>
      <c r="H8357" s="63" t="str">
        <f>IFERROR(__xludf.DUMMYFUNCTION("VLOOKUP(F8357, IMPORTRANGE(""https://docs.google.com/spreadsheets/d/1Lhp9OU0JdFf_VYSMzH5lBcEaU4o8teT1piV-SNzShjg/edit?gid=554141278#gid=554141278"", ""'Char Def. - Attributes'!C20:C2242""), 1,false)"),"#N/A")</f>
        <v>#N/A</v>
      </c>
      <c r="I8357" s="136"/>
      <c r="R8357" s="63" t="str">
        <f t="shared" si="60"/>
        <v>ZSI1_CONSTRUCT_RODSIZE_DIMENSION_CONSTRUCT_ROD</v>
      </c>
    </row>
    <row r="8358" ht="15.75" customHeight="1">
      <c r="B8358" s="63">
        <f t="shared" si="1"/>
        <v>18</v>
      </c>
      <c r="C8358" s="135" t="s">
        <v>376</v>
      </c>
      <c r="D8358" s="161" t="s">
        <v>74</v>
      </c>
      <c r="E8358" s="135">
        <f t="shared" si="62"/>
        <v>5</v>
      </c>
      <c r="F8358" s="134" t="s">
        <v>4340</v>
      </c>
      <c r="G8358" s="63" t="str">
        <f>VLOOKUP(C8358, 'Class Def. - General Data'!$C$20:$C$1000,1,false)</f>
        <v>ZSI1_CONSTRUCT_ROD</v>
      </c>
      <c r="H8358" s="63" t="str">
        <f>IFERROR(__xludf.DUMMYFUNCTION("VLOOKUP(F8358, IMPORTRANGE(""https://docs.google.com/spreadsheets/d/1Lhp9OU0JdFf_VYSMzH5lBcEaU4o8teT1piV-SNzShjg/edit?gid=554141278#gid=554141278"", ""'Char Def. - Attributes'!C20:C2242""), 1,false)"),"#N/A")</f>
        <v>#N/A</v>
      </c>
      <c r="I8358" s="136"/>
      <c r="R8358" s="63" t="str">
        <f t="shared" si="60"/>
        <v>ZSI1_CONSTRUCT_RODHEIGHT_CONSTRUCT_ROD</v>
      </c>
    </row>
    <row r="8359" ht="15.75" customHeight="1">
      <c r="B8359" s="63">
        <f t="shared" si="1"/>
        <v>18</v>
      </c>
      <c r="C8359" s="135" t="s">
        <v>376</v>
      </c>
      <c r="D8359" s="161" t="s">
        <v>74</v>
      </c>
      <c r="E8359" s="135">
        <f t="shared" si="62"/>
        <v>6</v>
      </c>
      <c r="F8359" s="134" t="s">
        <v>4341</v>
      </c>
      <c r="G8359" s="63" t="str">
        <f>VLOOKUP(C8359, 'Class Def. - General Data'!$C$20:$C$1000,1,false)</f>
        <v>ZSI1_CONSTRUCT_ROD</v>
      </c>
      <c r="H8359" s="63" t="str">
        <f>IFERROR(__xludf.DUMMYFUNCTION("VLOOKUP(F8359, IMPORTRANGE(""https://docs.google.com/spreadsheets/d/1Lhp9OU0JdFf_VYSMzH5lBcEaU4o8teT1piV-SNzShjg/edit?gid=554141278#gid=554141278"", ""'Char Def. - Attributes'!C20:C2242""), 1,false)"),"#N/A")</f>
        <v>#N/A</v>
      </c>
      <c r="I8359" s="136"/>
      <c r="R8359" s="63" t="str">
        <f t="shared" si="60"/>
        <v>ZSI1_CONSTRUCT_RODWIDTH_CONSTRUCT_ROD</v>
      </c>
    </row>
    <row r="8360" ht="15.75" customHeight="1">
      <c r="B8360" s="63">
        <f t="shared" si="1"/>
        <v>18</v>
      </c>
      <c r="C8360" s="135" t="s">
        <v>376</v>
      </c>
      <c r="D8360" s="161" t="s">
        <v>74</v>
      </c>
      <c r="E8360" s="135">
        <f t="shared" si="62"/>
        <v>7</v>
      </c>
      <c r="F8360" s="134" t="s">
        <v>4342</v>
      </c>
      <c r="G8360" s="63" t="str">
        <f>VLOOKUP(C8360, 'Class Def. - General Data'!$C$20:$C$1000,1,false)</f>
        <v>ZSI1_CONSTRUCT_ROD</v>
      </c>
      <c r="H8360" s="63" t="str">
        <f>IFERROR(__xludf.DUMMYFUNCTION("VLOOKUP(F8360, IMPORTRANGE(""https://docs.google.com/spreadsheets/d/1Lhp9OU0JdFf_VYSMzH5lBcEaU4o8teT1piV-SNzShjg/edit?gid=554141278#gid=554141278"", ""'Char Def. - Attributes'!C20:C2242""), 1,false)"),"#N/A")</f>
        <v>#N/A</v>
      </c>
      <c r="I8360" s="136"/>
      <c r="R8360" s="63" t="str">
        <f t="shared" si="60"/>
        <v>ZSI1_CONSTRUCT_RODDIAMETER_CONSTRUCT_ROD</v>
      </c>
    </row>
    <row r="8361" ht="15.75" customHeight="1">
      <c r="B8361" s="63">
        <f t="shared" si="1"/>
        <v>18</v>
      </c>
      <c r="C8361" s="135" t="s">
        <v>376</v>
      </c>
      <c r="D8361" s="161" t="s">
        <v>74</v>
      </c>
      <c r="E8361" s="135">
        <f t="shared" si="62"/>
        <v>8</v>
      </c>
      <c r="F8361" s="134" t="s">
        <v>4343</v>
      </c>
      <c r="G8361" s="63" t="str">
        <f>VLOOKUP(C8361, 'Class Def. - General Data'!$C$20:$C$1000,1,false)</f>
        <v>ZSI1_CONSTRUCT_ROD</v>
      </c>
      <c r="H8361" s="63" t="str">
        <f>IFERROR(__xludf.DUMMYFUNCTION("VLOOKUP(F8361, IMPORTRANGE(""https://docs.google.com/spreadsheets/d/1Lhp9OU0JdFf_VYSMzH5lBcEaU4o8teT1piV-SNzShjg/edit?gid=554141278#gid=554141278"", ""'Char Def. - Attributes'!C20:C2242""), 1,false)"),"LENGTH_MM_CONSTRUCT_ROD")</f>
        <v>LENGTH_MM_CONSTRUCT_ROD</v>
      </c>
      <c r="I8361" s="136"/>
      <c r="R8361" s="63" t="str">
        <f t="shared" si="60"/>
        <v>ZSI1_CONSTRUCT_RODLENGTH_MM_CONSTRUCT_ROD</v>
      </c>
    </row>
    <row r="8362" ht="15.75" customHeight="1">
      <c r="B8362" s="63">
        <f t="shared" si="1"/>
        <v>18</v>
      </c>
      <c r="C8362" s="135" t="s">
        <v>376</v>
      </c>
      <c r="D8362" s="161" t="s">
        <v>74</v>
      </c>
      <c r="E8362" s="135">
        <f t="shared" si="62"/>
        <v>9</v>
      </c>
      <c r="F8362" s="134" t="s">
        <v>4062</v>
      </c>
      <c r="G8362" s="63" t="str">
        <f>VLOOKUP(C8362, 'Class Def. - General Data'!$C$20:$C$1000,1,false)</f>
        <v>ZSI1_CONSTRUCT_ROD</v>
      </c>
      <c r="H8362" s="63" t="str">
        <f>IFERROR(__xludf.DUMMYFUNCTION("VLOOKUP(F8362, IMPORTRANGE(""https://docs.google.com/spreadsheets/d/1Lhp9OU0JdFf_VYSMzH5lBcEaU4o8teT1piV-SNzShjg/edit?gid=554141278#gid=554141278"", ""'Char Def. - Attributes'!C20:C2242""), 1,false)"),"#N/A")</f>
        <v>#N/A</v>
      </c>
      <c r="I8362" s="136"/>
      <c r="R8362" s="63" t="str">
        <f t="shared" si="60"/>
        <v>ZSI1_CONSTRUCT_RODADDTIONAL_SPECIFICATION</v>
      </c>
    </row>
    <row r="8363" ht="15.75" customHeight="1">
      <c r="B8363" s="63">
        <f t="shared" si="1"/>
        <v>18</v>
      </c>
      <c r="C8363" s="135" t="s">
        <v>376</v>
      </c>
      <c r="D8363" s="161" t="s">
        <v>74</v>
      </c>
      <c r="E8363" s="135">
        <f t="shared" si="62"/>
        <v>10</v>
      </c>
      <c r="F8363" s="134" t="s">
        <v>4053</v>
      </c>
      <c r="G8363" s="63" t="str">
        <f>VLOOKUP(C8363, 'Class Def. - General Data'!$C$20:$C$1000,1,false)</f>
        <v>ZSI1_CONSTRUCT_ROD</v>
      </c>
      <c r="H8363" s="63" t="str">
        <f>IFERROR(__xludf.DUMMYFUNCTION("VLOOKUP(F8363, IMPORTRANGE(""https://docs.google.com/spreadsheets/d/1Lhp9OU0JdFf_VYSMzH5lBcEaU4o8teT1piV-SNzShjg/edit?gid=554141278#gid=554141278"", ""'Char Def. - Attributes'!C20:C2242""), 1,false)"),"MAINTENANCE_ORDER_TYPE")</f>
        <v>MAINTENANCE_ORDER_TYPE</v>
      </c>
      <c r="I8363" s="136"/>
      <c r="R8363" s="63" t="str">
        <f t="shared" si="60"/>
        <v>ZSI1_CONSTRUCT_RODMAINTENANCE_ORDER_TYPE</v>
      </c>
    </row>
    <row r="8364" ht="15.75" customHeight="1">
      <c r="B8364" s="63">
        <f t="shared" si="1"/>
        <v>18</v>
      </c>
      <c r="C8364" s="135" t="s">
        <v>376</v>
      </c>
      <c r="D8364" s="161" t="s">
        <v>74</v>
      </c>
      <c r="E8364" s="135">
        <f t="shared" si="62"/>
        <v>11</v>
      </c>
      <c r="F8364" s="134" t="s">
        <v>3585</v>
      </c>
      <c r="G8364" s="63" t="str">
        <f>VLOOKUP(C8364, 'Class Def. - General Data'!$C$20:$C$1000,1,false)</f>
        <v>ZSI1_CONSTRUCT_ROD</v>
      </c>
      <c r="H8364" s="63" t="str">
        <f>IFERROR(__xludf.DUMMYFUNCTION("VLOOKUP(F8364, IMPORTRANGE(""https://docs.google.com/spreadsheets/d/1Lhp9OU0JdFf_VYSMzH5lBcEaU4o8teT1piV-SNzShjg/edit?gid=554141278#gid=554141278"", ""'Char Def. - Attributes'!C20:C2242""), 1,false)"),"HS_CODE")</f>
        <v>HS_CODE</v>
      </c>
      <c r="I8364" s="136"/>
      <c r="R8364" s="63" t="str">
        <f t="shared" si="60"/>
        <v>ZSI1_CONSTRUCT_RODHS_CODE</v>
      </c>
    </row>
    <row r="8365" ht="15.75" customHeight="1">
      <c r="B8365" s="63">
        <f t="shared" si="1"/>
        <v>18</v>
      </c>
      <c r="C8365" s="135" t="s">
        <v>376</v>
      </c>
      <c r="D8365" s="161" t="s">
        <v>74</v>
      </c>
      <c r="E8365" s="135">
        <f t="shared" si="62"/>
        <v>12</v>
      </c>
      <c r="F8365" s="134" t="s">
        <v>3587</v>
      </c>
      <c r="G8365" s="63" t="str">
        <f>VLOOKUP(C8365, 'Class Def. - General Data'!$C$20:$C$1000,1,false)</f>
        <v>ZSI1_CONSTRUCT_ROD</v>
      </c>
      <c r="H8365" s="63" t="str">
        <f>IFERROR(__xludf.DUMMYFUNCTION("VLOOKUP(F8365, IMPORTRANGE(""https://docs.google.com/spreadsheets/d/1Lhp9OU0JdFf_VYSMzH5lBcEaU4o8teT1piV-SNzShjg/edit?gid=554141278#gid=554141278"", ""'Char Def. - Attributes'!C20:C2242""), 1,false)"),"PLANT_BUY")</f>
        <v>PLANT_BUY</v>
      </c>
      <c r="I8365" s="136"/>
      <c r="R8365" s="63" t="str">
        <f t="shared" si="60"/>
        <v>ZSI1_CONSTRUCT_RODPLANT_BUY</v>
      </c>
    </row>
    <row r="8366" ht="15.75" customHeight="1">
      <c r="B8366" s="63">
        <f t="shared" si="1"/>
        <v>18</v>
      </c>
      <c r="C8366" s="135" t="s">
        <v>376</v>
      </c>
      <c r="D8366" s="161" t="s">
        <v>74</v>
      </c>
      <c r="E8366" s="135">
        <f t="shared" si="62"/>
        <v>13</v>
      </c>
      <c r="F8366" s="134" t="s">
        <v>4344</v>
      </c>
      <c r="G8366" s="63" t="str">
        <f>VLOOKUP(C8366, 'Class Def. - General Data'!$C$20:$C$1000,1,false)</f>
        <v>ZSI1_CONSTRUCT_ROD</v>
      </c>
      <c r="H8366" s="63" t="str">
        <f>IFERROR(__xludf.DUMMYFUNCTION("VLOOKUP(F8366, IMPORTRANGE(""https://docs.google.com/spreadsheets/d/1Lhp9OU0JdFf_VYSMzH5lBcEaU4o8teT1piV-SNzShjg/edit?gid=554141278#gid=554141278"", ""'Char Def. - Attributes'!C20:C2242""), 1,false)"),"BASE_UOM_CONSTRUCT_ROD")</f>
        <v>BASE_UOM_CONSTRUCT_ROD</v>
      </c>
      <c r="I8366" s="136"/>
      <c r="R8366" s="63" t="str">
        <f t="shared" si="60"/>
        <v>ZSI1_CONSTRUCT_RODBASE_UOM_CONSTRUCT_ROD</v>
      </c>
    </row>
    <row r="8367" ht="15.75" customHeight="1">
      <c r="B8367" s="63">
        <f t="shared" si="1"/>
        <v>18</v>
      </c>
      <c r="C8367" s="135" t="s">
        <v>376</v>
      </c>
      <c r="D8367" s="161" t="s">
        <v>74</v>
      </c>
      <c r="E8367" s="135">
        <f t="shared" si="62"/>
        <v>14</v>
      </c>
      <c r="F8367" s="134" t="s">
        <v>4345</v>
      </c>
      <c r="G8367" s="63" t="str">
        <f>VLOOKUP(C8367, 'Class Def. - General Data'!$C$20:$C$1000,1,false)</f>
        <v>ZSI1_CONSTRUCT_ROD</v>
      </c>
      <c r="H8367" s="63" t="str">
        <f>IFERROR(__xludf.DUMMYFUNCTION("VLOOKUP(F8367, IMPORTRANGE(""https://docs.google.com/spreadsheets/d/1Lhp9OU0JdFf_VYSMzH5lBcEaU4o8teT1piV-SNzShjg/edit?gid=554141278#gid=554141278"", ""'Char Def. - Attributes'!C20:C2242""), 1,false)"),"ORDER_UNIT_CONSTRUCT_ROD")</f>
        <v>ORDER_UNIT_CONSTRUCT_ROD</v>
      </c>
      <c r="I8367" s="136"/>
      <c r="R8367" s="63" t="str">
        <f t="shared" si="60"/>
        <v>ZSI1_CONSTRUCT_RODORDER_UNIT_CONSTRUCT_ROD</v>
      </c>
    </row>
    <row r="8368" ht="15.75" customHeight="1">
      <c r="B8368" s="63">
        <f t="shared" si="1"/>
        <v>18</v>
      </c>
      <c r="C8368" s="135" t="s">
        <v>376</v>
      </c>
      <c r="D8368" s="161" t="s">
        <v>74</v>
      </c>
      <c r="E8368" s="135">
        <f t="shared" si="62"/>
        <v>15</v>
      </c>
      <c r="F8368" s="134" t="s">
        <v>4056</v>
      </c>
      <c r="G8368" s="63" t="str">
        <f>VLOOKUP(C8368, 'Class Def. - General Data'!$C$20:$C$1000,1,false)</f>
        <v>ZSI1_CONSTRUCT_ROD</v>
      </c>
      <c r="H8368" s="63" t="str">
        <f>IFERROR(__xludf.DUMMYFUNCTION("VLOOKUP(F8368, IMPORTRANGE(""https://docs.google.com/spreadsheets/d/1Lhp9OU0JdFf_VYSMzH5lBcEaU4o8teT1piV-SNzShjg/edit?gid=554141278#gid=554141278"", ""'Char Def. - Attributes'!C20:C2242""), 1,false)"),"GROSS_WEIGHT_OPT")</f>
        <v>GROSS_WEIGHT_OPT</v>
      </c>
      <c r="I8368" s="136"/>
      <c r="R8368" s="63" t="str">
        <f t="shared" si="60"/>
        <v>ZSI1_CONSTRUCT_RODGROSS_WEIGHT_OPT</v>
      </c>
    </row>
    <row r="8369" ht="15.75" customHeight="1">
      <c r="B8369" s="63">
        <f t="shared" si="1"/>
        <v>18</v>
      </c>
      <c r="C8369" s="135" t="s">
        <v>376</v>
      </c>
      <c r="D8369" s="161" t="s">
        <v>74</v>
      </c>
      <c r="E8369" s="135">
        <f t="shared" si="62"/>
        <v>16</v>
      </c>
      <c r="F8369" s="134" t="s">
        <v>4057</v>
      </c>
      <c r="G8369" s="63" t="str">
        <f>VLOOKUP(C8369, 'Class Def. - General Data'!$C$20:$C$1000,1,false)</f>
        <v>ZSI1_CONSTRUCT_ROD</v>
      </c>
      <c r="H8369" s="63" t="str">
        <f>IFERROR(__xludf.DUMMYFUNCTION("VLOOKUP(F8369, IMPORTRANGE(""https://docs.google.com/spreadsheets/d/1Lhp9OU0JdFf_VYSMzH5lBcEaU4o8teT1piV-SNzShjg/edit?gid=554141278#gid=554141278"", ""'Char Def. - Attributes'!C20:C2242""), 1,false)"),"NET_WEIGHT_OPT")</f>
        <v>NET_WEIGHT_OPT</v>
      </c>
      <c r="I8369" s="136"/>
      <c r="R8369" s="63" t="str">
        <f t="shared" si="60"/>
        <v>ZSI1_CONSTRUCT_RODNET_WEIGHT_OPT</v>
      </c>
    </row>
    <row r="8370" ht="15.75" customHeight="1">
      <c r="B8370" s="63">
        <f t="shared" si="1"/>
        <v>18</v>
      </c>
      <c r="C8370" s="135" t="s">
        <v>376</v>
      </c>
      <c r="D8370" s="161" t="s">
        <v>74</v>
      </c>
      <c r="E8370" s="135">
        <f t="shared" si="62"/>
        <v>17</v>
      </c>
      <c r="F8370" s="134" t="s">
        <v>4058</v>
      </c>
      <c r="G8370" s="63" t="str">
        <f>VLOOKUP(C8370, 'Class Def. - General Data'!$C$20:$C$1000,1,false)</f>
        <v>ZSI1_CONSTRUCT_ROD</v>
      </c>
      <c r="H8370" s="63" t="str">
        <f>IFERROR(__xludf.DUMMYFUNCTION("VLOOKUP(F8370, IMPORTRANGE(""https://docs.google.com/spreadsheets/d/1Lhp9OU0JdFf_VYSMzH5lBcEaU4o8teT1piV-SNzShjg/edit?gid=554141278#gid=554141278"", ""'Char Def. - Attributes'!C20:C2242""), 1,false)"),"WEIGHT_UNIT_SI")</f>
        <v>WEIGHT_UNIT_SI</v>
      </c>
      <c r="I8370" s="136"/>
      <c r="R8370" s="63" t="str">
        <f t="shared" si="60"/>
        <v>ZSI1_CONSTRUCT_RODWEIGHT_UNIT_SI</v>
      </c>
    </row>
    <row r="8371" ht="15.75" customHeight="1">
      <c r="B8371" s="63">
        <f t="shared" si="1"/>
        <v>18</v>
      </c>
      <c r="C8371" s="135" t="s">
        <v>376</v>
      </c>
      <c r="D8371" s="161" t="s">
        <v>74</v>
      </c>
      <c r="E8371" s="135">
        <f t="shared" si="62"/>
        <v>18</v>
      </c>
      <c r="F8371" s="134" t="s">
        <v>3877</v>
      </c>
      <c r="G8371" s="63" t="str">
        <f>VLOOKUP(C8371, 'Class Def. - General Data'!$C$20:$C$1000,1,false)</f>
        <v>ZSI1_CONSTRUCT_ROD</v>
      </c>
      <c r="H8371" s="63" t="str">
        <f>IFERROR(__xludf.DUMMYFUNCTION("VLOOKUP(F8371, IMPORTRANGE(""https://docs.google.com/spreadsheets/d/1Lhp9OU0JdFf_VYSMzH5lBcEaU4o8teT1piV-SNzShjg/edit?gid=554141278#gid=554141278"", ""'Char Def. - Attributes'!C20:C2242""), 1,false)"),"VOLUME_OPT")</f>
        <v>VOLUME_OPT</v>
      </c>
      <c r="I8371" s="136"/>
      <c r="R8371" s="63" t="str">
        <f t="shared" si="60"/>
        <v>ZSI1_CONSTRUCT_RODVOLUME_OPT</v>
      </c>
    </row>
    <row r="8372" ht="15.75" customHeight="1">
      <c r="B8372" s="63">
        <f t="shared" si="1"/>
        <v>18</v>
      </c>
      <c r="C8372" s="135" t="s">
        <v>376</v>
      </c>
      <c r="D8372" s="161" t="s">
        <v>74</v>
      </c>
      <c r="E8372" s="135">
        <f t="shared" si="62"/>
        <v>19</v>
      </c>
      <c r="F8372" s="134" t="s">
        <v>4059</v>
      </c>
      <c r="G8372" s="63" t="str">
        <f>VLOOKUP(C8372, 'Class Def. - General Data'!$C$20:$C$1000,1,false)</f>
        <v>ZSI1_CONSTRUCT_ROD</v>
      </c>
      <c r="H8372" s="63" t="str">
        <f>IFERROR(__xludf.DUMMYFUNCTION("VLOOKUP(F8372, IMPORTRANGE(""https://docs.google.com/spreadsheets/d/1Lhp9OU0JdFf_VYSMzH5lBcEaU4o8teT1piV-SNzShjg/edit?gid=554141278#gid=554141278"", ""'Char Def. - Attributes'!C20:C2242""), 1,false)"),"VOLUME_UNIT_SI")</f>
        <v>VOLUME_UNIT_SI</v>
      </c>
      <c r="I8372" s="136"/>
      <c r="R8372" s="63" t="str">
        <f t="shared" si="60"/>
        <v>ZSI1_CONSTRUCT_RODVOLUME_UNIT_SI</v>
      </c>
    </row>
    <row r="8373" ht="15.75" customHeight="1">
      <c r="B8373" s="63">
        <f t="shared" si="1"/>
        <v>18</v>
      </c>
      <c r="C8373" s="135" t="s">
        <v>376</v>
      </c>
      <c r="D8373" s="161" t="s">
        <v>74</v>
      </c>
      <c r="E8373" s="135">
        <f t="shared" si="62"/>
        <v>20</v>
      </c>
      <c r="F8373" s="134" t="s">
        <v>3804</v>
      </c>
      <c r="G8373" s="63" t="str">
        <f>VLOOKUP(C8373, 'Class Def. - General Data'!$C$20:$C$1000,1,false)</f>
        <v>ZSI1_CONSTRUCT_ROD</v>
      </c>
      <c r="H8373" s="63" t="str">
        <f>IFERROR(__xludf.DUMMYFUNCTION("VLOOKUP(F8373, IMPORTRANGE(""https://docs.google.com/spreadsheets/d/1Lhp9OU0JdFf_VYSMzH5lBcEaU4o8teT1piV-SNzShjg/edit?gid=554141278#gid=554141278"", ""'Char Def. - Attributes'!C20:C2242""), 1,false)"),"ALT_UOM1_SIPI")</f>
        <v>ALT_UOM1_SIPI</v>
      </c>
      <c r="I8373" s="136"/>
      <c r="R8373" s="63" t="str">
        <f t="shared" si="60"/>
        <v>ZSI1_CONSTRUCT_RODALT_UOM1_SIPI</v>
      </c>
    </row>
    <row r="8374" ht="15.75" customHeight="1">
      <c r="B8374" s="63">
        <f t="shared" si="1"/>
        <v>18</v>
      </c>
      <c r="C8374" s="135" t="s">
        <v>376</v>
      </c>
      <c r="D8374" s="161" t="s">
        <v>74</v>
      </c>
      <c r="E8374" s="135">
        <f t="shared" si="62"/>
        <v>21</v>
      </c>
      <c r="F8374" s="134" t="s">
        <v>3805</v>
      </c>
      <c r="G8374" s="63" t="str">
        <f>VLOOKUP(C8374, 'Class Def. - General Data'!$C$20:$C$1000,1,false)</f>
        <v>ZSI1_CONSTRUCT_ROD</v>
      </c>
      <c r="H8374" s="63" t="str">
        <f>IFERROR(__xludf.DUMMYFUNCTION("VLOOKUP(F8374, IMPORTRANGE(""https://docs.google.com/spreadsheets/d/1Lhp9OU0JdFf_VYSMzH5lBcEaU4o8teT1piV-SNzShjg/edit?gid=554141278#gid=554141278"", ""'Char Def. - Attributes'!C20:C2242""), 1,false)"),"ALT_DENUM_UOM1")</f>
        <v>ALT_DENUM_UOM1</v>
      </c>
      <c r="I8374" s="136"/>
      <c r="R8374" s="63" t="str">
        <f t="shared" si="60"/>
        <v>ZSI1_CONSTRUCT_RODALT_DENUM_UOM1</v>
      </c>
    </row>
    <row r="8375" ht="15.75" customHeight="1">
      <c r="B8375" s="63">
        <f t="shared" si="1"/>
        <v>18</v>
      </c>
      <c r="C8375" s="135" t="s">
        <v>376</v>
      </c>
      <c r="D8375" s="161" t="s">
        <v>74</v>
      </c>
      <c r="E8375" s="135">
        <f t="shared" si="62"/>
        <v>22</v>
      </c>
      <c r="F8375" s="134" t="s">
        <v>3806</v>
      </c>
      <c r="G8375" s="63" t="str">
        <f>VLOOKUP(C8375, 'Class Def. - General Data'!$C$20:$C$1000,1,false)</f>
        <v>ZSI1_CONSTRUCT_ROD</v>
      </c>
      <c r="H8375" s="63" t="str">
        <f>IFERROR(__xludf.DUMMYFUNCTION("VLOOKUP(F8375, IMPORTRANGE(""https://docs.google.com/spreadsheets/d/1Lhp9OU0JdFf_VYSMzH5lBcEaU4o8teT1piV-SNzShjg/edit?gid=554141278#gid=554141278"", ""'Char Def. - Attributes'!C20:C2242""), 1,false)"),"ALT_NUM_UOM1")</f>
        <v>ALT_NUM_UOM1</v>
      </c>
      <c r="I8375" s="136"/>
      <c r="R8375" s="63" t="str">
        <f t="shared" si="60"/>
        <v>ZSI1_CONSTRUCT_RODALT_NUM_UOM1</v>
      </c>
    </row>
    <row r="8376" ht="15.75" customHeight="1">
      <c r="B8376" s="63">
        <f t="shared" si="1"/>
        <v>18</v>
      </c>
      <c r="C8376" s="135" t="s">
        <v>376</v>
      </c>
      <c r="D8376" s="161" t="s">
        <v>74</v>
      </c>
      <c r="E8376" s="135">
        <f t="shared" si="62"/>
        <v>23</v>
      </c>
      <c r="F8376" s="134" t="s">
        <v>3807</v>
      </c>
      <c r="G8376" s="63" t="str">
        <f>VLOOKUP(C8376, 'Class Def. - General Data'!$C$20:$C$1000,1,false)</f>
        <v>ZSI1_CONSTRUCT_ROD</v>
      </c>
      <c r="H8376" s="63" t="str">
        <f>IFERROR(__xludf.DUMMYFUNCTION("VLOOKUP(F8376, IMPORTRANGE(""https://docs.google.com/spreadsheets/d/1Lhp9OU0JdFf_VYSMzH5lBcEaU4o8teT1piV-SNzShjg/edit?gid=554141278#gid=554141278"", ""'Char Def. - Attributes'!C20:C2242""), 1,false)"),"ALT_UOM2_SIPI")</f>
        <v>ALT_UOM2_SIPI</v>
      </c>
      <c r="I8376" s="136"/>
      <c r="R8376" s="63" t="str">
        <f t="shared" si="60"/>
        <v>ZSI1_CONSTRUCT_RODALT_UOM2_SIPI</v>
      </c>
    </row>
    <row r="8377" ht="15.75" customHeight="1">
      <c r="B8377" s="63">
        <f t="shared" si="1"/>
        <v>18</v>
      </c>
      <c r="C8377" s="135" t="s">
        <v>376</v>
      </c>
      <c r="D8377" s="161" t="s">
        <v>74</v>
      </c>
      <c r="E8377" s="135">
        <f t="shared" si="62"/>
        <v>24</v>
      </c>
      <c r="F8377" s="134" t="s">
        <v>3808</v>
      </c>
      <c r="G8377" s="63" t="str">
        <f>VLOOKUP(C8377, 'Class Def. - General Data'!$C$20:$C$1000,1,false)</f>
        <v>ZSI1_CONSTRUCT_ROD</v>
      </c>
      <c r="H8377" s="63" t="str">
        <f>IFERROR(__xludf.DUMMYFUNCTION("VLOOKUP(F8377, IMPORTRANGE(""https://docs.google.com/spreadsheets/d/1Lhp9OU0JdFf_VYSMzH5lBcEaU4o8teT1piV-SNzShjg/edit?gid=554141278#gid=554141278"", ""'Char Def. - Attributes'!C20:C2242""), 1,false)"),"ALT_DENUM_UOM2")</f>
        <v>ALT_DENUM_UOM2</v>
      </c>
      <c r="I8377" s="136"/>
      <c r="R8377" s="63" t="str">
        <f t="shared" si="60"/>
        <v>ZSI1_CONSTRUCT_RODALT_DENUM_UOM2</v>
      </c>
    </row>
    <row r="8378" ht="15.75" customHeight="1">
      <c r="B8378" s="63">
        <f t="shared" si="1"/>
        <v>18</v>
      </c>
      <c r="C8378" s="135" t="s">
        <v>376</v>
      </c>
      <c r="D8378" s="161" t="s">
        <v>74</v>
      </c>
      <c r="E8378" s="135">
        <f t="shared" si="62"/>
        <v>25</v>
      </c>
      <c r="F8378" s="134" t="s">
        <v>3809</v>
      </c>
      <c r="G8378" s="63" t="str">
        <f>VLOOKUP(C8378, 'Class Def. - General Data'!$C$20:$C$1000,1,false)</f>
        <v>ZSI1_CONSTRUCT_ROD</v>
      </c>
      <c r="H8378" s="63" t="str">
        <f>IFERROR(__xludf.DUMMYFUNCTION("VLOOKUP(F8378, IMPORTRANGE(""https://docs.google.com/spreadsheets/d/1Lhp9OU0JdFf_VYSMzH5lBcEaU4o8teT1piV-SNzShjg/edit?gid=554141278#gid=554141278"", ""'Char Def. - Attributes'!C20:C2242""), 1,false)"),"ALT_NUM_UOM2")</f>
        <v>ALT_NUM_UOM2</v>
      </c>
      <c r="I8378" s="136"/>
      <c r="R8378" s="63" t="str">
        <f t="shared" si="60"/>
        <v>ZSI1_CONSTRUCT_RODALT_NUM_UOM2</v>
      </c>
    </row>
    <row r="8379" ht="15.75" customHeight="1">
      <c r="B8379" s="63">
        <f t="shared" si="1"/>
        <v>18</v>
      </c>
      <c r="C8379" s="135" t="s">
        <v>376</v>
      </c>
      <c r="D8379" s="161" t="s">
        <v>74</v>
      </c>
      <c r="E8379" s="135">
        <f t="shared" si="62"/>
        <v>26</v>
      </c>
      <c r="F8379" s="134" t="s">
        <v>3810</v>
      </c>
      <c r="G8379" s="63" t="str">
        <f>VLOOKUP(C8379, 'Class Def. - General Data'!$C$20:$C$1000,1,false)</f>
        <v>ZSI1_CONSTRUCT_ROD</v>
      </c>
      <c r="H8379" s="63" t="str">
        <f>IFERROR(__xludf.DUMMYFUNCTION("VLOOKUP(F8379, IMPORTRANGE(""https://docs.google.com/spreadsheets/d/1Lhp9OU0JdFf_VYSMzH5lBcEaU4o8teT1piV-SNzShjg/edit?gid=554141278#gid=554141278"", ""'Char Def. - Attributes'!C20:C2242""), 1,false)"),"ALT_UOM3_SIPI")</f>
        <v>ALT_UOM3_SIPI</v>
      </c>
      <c r="I8379" s="136"/>
      <c r="R8379" s="63" t="str">
        <f t="shared" si="60"/>
        <v>ZSI1_CONSTRUCT_RODALT_UOM3_SIPI</v>
      </c>
    </row>
    <row r="8380" ht="15.75" customHeight="1">
      <c r="B8380" s="63">
        <f t="shared" si="1"/>
        <v>18</v>
      </c>
      <c r="C8380" s="135" t="s">
        <v>376</v>
      </c>
      <c r="D8380" s="161" t="s">
        <v>74</v>
      </c>
      <c r="E8380" s="135">
        <f t="shared" si="62"/>
        <v>27</v>
      </c>
      <c r="F8380" s="134" t="s">
        <v>3811</v>
      </c>
      <c r="G8380" s="63" t="str">
        <f>VLOOKUP(C8380, 'Class Def. - General Data'!$C$20:$C$1000,1,false)</f>
        <v>ZSI1_CONSTRUCT_ROD</v>
      </c>
      <c r="H8380" s="63" t="str">
        <f>IFERROR(__xludf.DUMMYFUNCTION("VLOOKUP(F8380, IMPORTRANGE(""https://docs.google.com/spreadsheets/d/1Lhp9OU0JdFf_VYSMzH5lBcEaU4o8teT1piV-SNzShjg/edit?gid=554141278#gid=554141278"", ""'Char Def. - Attributes'!C20:C2242""), 1,false)"),"ALT_DENUM_UOM3")</f>
        <v>ALT_DENUM_UOM3</v>
      </c>
      <c r="I8380" s="136"/>
      <c r="R8380" s="63" t="str">
        <f t="shared" si="60"/>
        <v>ZSI1_CONSTRUCT_RODALT_DENUM_UOM3</v>
      </c>
    </row>
    <row r="8381" ht="15.75" customHeight="1">
      <c r="B8381" s="63">
        <f t="shared" si="1"/>
        <v>18</v>
      </c>
      <c r="C8381" s="135" t="s">
        <v>376</v>
      </c>
      <c r="D8381" s="161" t="s">
        <v>74</v>
      </c>
      <c r="E8381" s="135">
        <f t="shared" si="62"/>
        <v>28</v>
      </c>
      <c r="F8381" s="134" t="s">
        <v>3812</v>
      </c>
      <c r="G8381" s="63" t="str">
        <f>VLOOKUP(C8381, 'Class Def. - General Data'!$C$20:$C$1000,1,false)</f>
        <v>ZSI1_CONSTRUCT_ROD</v>
      </c>
      <c r="H8381" s="63" t="str">
        <f>IFERROR(__xludf.DUMMYFUNCTION("VLOOKUP(F8381, IMPORTRANGE(""https://docs.google.com/spreadsheets/d/1Lhp9OU0JdFf_VYSMzH5lBcEaU4o8teT1piV-SNzShjg/edit?gid=554141278#gid=554141278"", ""'Char Def. - Attributes'!C20:C2242""), 1,false)"),"ALT_NUM_UOM3")</f>
        <v>ALT_NUM_UOM3</v>
      </c>
      <c r="I8381" s="136"/>
      <c r="R8381" s="63" t="str">
        <f t="shared" si="60"/>
        <v>ZSI1_CONSTRUCT_RODALT_NUM_UOM3</v>
      </c>
    </row>
    <row r="8382" ht="15.75" customHeight="1">
      <c r="B8382" s="63">
        <f t="shared" si="1"/>
        <v>18</v>
      </c>
      <c r="C8382" s="135" t="s">
        <v>376</v>
      </c>
      <c r="D8382" s="161" t="s">
        <v>74</v>
      </c>
      <c r="E8382" s="135">
        <f t="shared" si="62"/>
        <v>29</v>
      </c>
      <c r="F8382" s="134" t="s">
        <v>3813</v>
      </c>
      <c r="G8382" s="63" t="str">
        <f>VLOOKUP(C8382, 'Class Def. - General Data'!$C$20:$C$1000,1,false)</f>
        <v>ZSI1_CONSTRUCT_ROD</v>
      </c>
      <c r="H8382" s="63" t="str">
        <f>IFERROR(__xludf.DUMMYFUNCTION("VLOOKUP(F8382, IMPORTRANGE(""https://docs.google.com/spreadsheets/d/1Lhp9OU0JdFf_VYSMzH5lBcEaU4o8teT1piV-SNzShjg/edit?gid=554141278#gid=554141278"", ""'Char Def. - Attributes'!C20:C2242""), 1,false)"),"ALT_UOM4_SIPI")</f>
        <v>ALT_UOM4_SIPI</v>
      </c>
      <c r="I8382" s="136"/>
      <c r="R8382" s="63" t="str">
        <f t="shared" si="60"/>
        <v>ZSI1_CONSTRUCT_RODALT_UOM4_SIPI</v>
      </c>
    </row>
    <row r="8383" ht="15.75" customHeight="1">
      <c r="B8383" s="63">
        <f t="shared" si="1"/>
        <v>18</v>
      </c>
      <c r="C8383" s="135" t="s">
        <v>376</v>
      </c>
      <c r="D8383" s="161" t="s">
        <v>74</v>
      </c>
      <c r="E8383" s="135">
        <f t="shared" si="62"/>
        <v>30</v>
      </c>
      <c r="F8383" s="134" t="s">
        <v>3814</v>
      </c>
      <c r="G8383" s="63" t="str">
        <f>VLOOKUP(C8383, 'Class Def. - General Data'!$C$20:$C$1000,1,false)</f>
        <v>ZSI1_CONSTRUCT_ROD</v>
      </c>
      <c r="H8383" s="63" t="str">
        <f>IFERROR(__xludf.DUMMYFUNCTION("VLOOKUP(F8383, IMPORTRANGE(""https://docs.google.com/spreadsheets/d/1Lhp9OU0JdFf_VYSMzH5lBcEaU4o8teT1piV-SNzShjg/edit?gid=554141278#gid=554141278"", ""'Char Def. - Attributes'!C20:C2242""), 1,false)"),"ALT_DENUM_UOM4")</f>
        <v>ALT_DENUM_UOM4</v>
      </c>
      <c r="I8383" s="136"/>
      <c r="R8383" s="63" t="str">
        <f t="shared" si="60"/>
        <v>ZSI1_CONSTRUCT_RODALT_DENUM_UOM4</v>
      </c>
    </row>
    <row r="8384" ht="15.75" customHeight="1">
      <c r="B8384" s="63">
        <f t="shared" si="1"/>
        <v>18</v>
      </c>
      <c r="C8384" s="135" t="s">
        <v>376</v>
      </c>
      <c r="D8384" s="161" t="s">
        <v>74</v>
      </c>
      <c r="E8384" s="135">
        <f t="shared" si="62"/>
        <v>31</v>
      </c>
      <c r="F8384" s="134" t="s">
        <v>3815</v>
      </c>
      <c r="G8384" s="63" t="str">
        <f>VLOOKUP(C8384, 'Class Def. - General Data'!$C$20:$C$1000,1,false)</f>
        <v>ZSI1_CONSTRUCT_ROD</v>
      </c>
      <c r="H8384" s="63" t="str">
        <f>IFERROR(__xludf.DUMMYFUNCTION("VLOOKUP(F8384, IMPORTRANGE(""https://docs.google.com/spreadsheets/d/1Lhp9OU0JdFf_VYSMzH5lBcEaU4o8teT1piV-SNzShjg/edit?gid=554141278#gid=554141278"", ""'Char Def. - Attributes'!C20:C2242""), 1,false)"),"ALT_NUM_UOM4")</f>
        <v>ALT_NUM_UOM4</v>
      </c>
      <c r="I8384" s="136"/>
      <c r="R8384" s="63" t="str">
        <f t="shared" si="60"/>
        <v>ZSI1_CONSTRUCT_RODALT_NUM_UOM4</v>
      </c>
    </row>
    <row r="8385" ht="15.75" customHeight="1">
      <c r="B8385" s="63">
        <f t="shared" si="1"/>
        <v>18</v>
      </c>
      <c r="C8385" s="135" t="s">
        <v>376</v>
      </c>
      <c r="D8385" s="161" t="s">
        <v>74</v>
      </c>
      <c r="E8385" s="135">
        <f t="shared" si="62"/>
        <v>32</v>
      </c>
      <c r="F8385" s="134" t="s">
        <v>3816</v>
      </c>
      <c r="G8385" s="63" t="str">
        <f>VLOOKUP(C8385, 'Class Def. - General Data'!$C$20:$C$1000,1,false)</f>
        <v>ZSI1_CONSTRUCT_ROD</v>
      </c>
      <c r="H8385" s="63" t="str">
        <f>IFERROR(__xludf.DUMMYFUNCTION("VLOOKUP(F8385, IMPORTRANGE(""https://docs.google.com/spreadsheets/d/1Lhp9OU0JdFf_VYSMzH5lBcEaU4o8teT1piV-SNzShjg/edit?gid=554141278#gid=554141278"", ""'Char Def. - Attributes'!C20:C2242""), 1,false)"),"ALT_UOM5_SIPI")</f>
        <v>ALT_UOM5_SIPI</v>
      </c>
      <c r="I8385" s="136"/>
      <c r="R8385" s="63" t="str">
        <f t="shared" si="60"/>
        <v>ZSI1_CONSTRUCT_RODALT_UOM5_SIPI</v>
      </c>
    </row>
    <row r="8386" ht="15.75" customHeight="1">
      <c r="B8386" s="63">
        <f t="shared" si="1"/>
        <v>18</v>
      </c>
      <c r="C8386" s="135" t="s">
        <v>376</v>
      </c>
      <c r="D8386" s="161" t="s">
        <v>74</v>
      </c>
      <c r="E8386" s="135">
        <f t="shared" si="62"/>
        <v>33</v>
      </c>
      <c r="F8386" s="134" t="s">
        <v>3817</v>
      </c>
      <c r="G8386" s="63" t="str">
        <f>VLOOKUP(C8386, 'Class Def. - General Data'!$C$20:$C$1000,1,false)</f>
        <v>ZSI1_CONSTRUCT_ROD</v>
      </c>
      <c r="H8386" s="63" t="str">
        <f>IFERROR(__xludf.DUMMYFUNCTION("VLOOKUP(F8386, IMPORTRANGE(""https://docs.google.com/spreadsheets/d/1Lhp9OU0JdFf_VYSMzH5lBcEaU4o8teT1piV-SNzShjg/edit?gid=554141278#gid=554141278"", ""'Char Def. - Attributes'!C20:C2242""), 1,false)"),"ALT_DENUM_UOM5")</f>
        <v>ALT_DENUM_UOM5</v>
      </c>
      <c r="I8386" s="136"/>
      <c r="R8386" s="63" t="str">
        <f t="shared" si="60"/>
        <v>ZSI1_CONSTRUCT_RODALT_DENUM_UOM5</v>
      </c>
    </row>
    <row r="8387" ht="15.75" customHeight="1">
      <c r="B8387" s="63">
        <f t="shared" si="1"/>
        <v>18</v>
      </c>
      <c r="C8387" s="135" t="s">
        <v>376</v>
      </c>
      <c r="D8387" s="161" t="s">
        <v>74</v>
      </c>
      <c r="E8387" s="135">
        <f t="shared" si="62"/>
        <v>34</v>
      </c>
      <c r="F8387" s="134" t="s">
        <v>3818</v>
      </c>
      <c r="G8387" s="63" t="str">
        <f>VLOOKUP(C8387, 'Class Def. - General Data'!$C$20:$C$1000,1,false)</f>
        <v>ZSI1_CONSTRUCT_ROD</v>
      </c>
      <c r="H8387" s="63" t="str">
        <f>IFERROR(__xludf.DUMMYFUNCTION("VLOOKUP(F8387, IMPORTRANGE(""https://docs.google.com/spreadsheets/d/1Lhp9OU0JdFf_VYSMzH5lBcEaU4o8teT1piV-SNzShjg/edit?gid=554141278#gid=554141278"", ""'Char Def. - Attributes'!C20:C2242""), 1,false)"),"ALT_NUM_UOM5")</f>
        <v>ALT_NUM_UOM5</v>
      </c>
      <c r="I8387" s="136"/>
      <c r="R8387" s="63" t="str">
        <f t="shared" si="60"/>
        <v>ZSI1_CONSTRUCT_RODALT_NUM_UOM5</v>
      </c>
    </row>
    <row r="8388" ht="15.75" customHeight="1">
      <c r="B8388" s="63">
        <f t="shared" si="1"/>
        <v>18</v>
      </c>
      <c r="C8388" s="135" t="s">
        <v>493</v>
      </c>
      <c r="D8388" s="161" t="s">
        <v>74</v>
      </c>
      <c r="E8388" s="135">
        <f t="shared" si="62"/>
        <v>1</v>
      </c>
      <c r="F8388" s="134" t="s">
        <v>4346</v>
      </c>
      <c r="G8388" s="63" t="str">
        <f>VLOOKUP(C8388, 'Class Def. - General Data'!$C$20:$C$1000,1,false)</f>
        <v>ZSI1_CONVEYOR_BELT</v>
      </c>
      <c r="H8388" s="63" t="str">
        <f>IFERROR(__xludf.DUMMYFUNCTION("VLOOKUP(F8388, IMPORTRANGE(""https://docs.google.com/spreadsheets/d/1Lhp9OU0JdFf_VYSMzH5lBcEaU4o8teT1piV-SNzShjg/edit?gid=554141278#gid=554141278"", ""'Char Def. - Attributes'!C20:C2242""), 1,false)"),"ITEM_NAME_CONVEYOR_BELT")</f>
        <v>ITEM_NAME_CONVEYOR_BELT</v>
      </c>
      <c r="I8388" s="136"/>
      <c r="R8388" s="63" t="str">
        <f t="shared" si="60"/>
        <v>ZSI1_CONVEYOR_BELTITEM_NAME_CONVEYOR_BELT</v>
      </c>
    </row>
    <row r="8389" ht="15.75" customHeight="1">
      <c r="B8389" s="63">
        <f t="shared" si="1"/>
        <v>18</v>
      </c>
      <c r="C8389" s="135" t="s">
        <v>493</v>
      </c>
      <c r="D8389" s="161" t="s">
        <v>74</v>
      </c>
      <c r="E8389" s="135">
        <f t="shared" si="62"/>
        <v>2</v>
      </c>
      <c r="F8389" s="134" t="s">
        <v>4347</v>
      </c>
      <c r="G8389" s="63" t="str">
        <f>VLOOKUP(C8389, 'Class Def. - General Data'!$C$20:$C$1000,1,false)</f>
        <v>ZSI1_CONVEYOR_BELT</v>
      </c>
      <c r="H8389" s="63" t="str">
        <f>IFERROR(__xludf.DUMMYFUNCTION("VLOOKUP(F8389, IMPORTRANGE(""https://docs.google.com/spreadsheets/d/1Lhp9OU0JdFf_VYSMzH5lBcEaU4o8teT1piV-SNzShjg/edit?gid=554141278#gid=554141278"", ""'Char Def. - Attributes'!C20:C2242""), 1,false)"),"WIDTH_MM_CONVEYOR_BELT")</f>
        <v>WIDTH_MM_CONVEYOR_BELT</v>
      </c>
      <c r="I8389" s="136"/>
      <c r="R8389" s="63" t="str">
        <f t="shared" si="60"/>
        <v>ZSI1_CONVEYOR_BELTWIDTH_MM_CONVEYOR_BELT</v>
      </c>
    </row>
    <row r="8390" ht="15.75" customHeight="1">
      <c r="B8390" s="63">
        <f t="shared" si="1"/>
        <v>18</v>
      </c>
      <c r="C8390" s="135" t="s">
        <v>493</v>
      </c>
      <c r="D8390" s="161" t="s">
        <v>74</v>
      </c>
      <c r="E8390" s="135">
        <f t="shared" si="62"/>
        <v>3</v>
      </c>
      <c r="F8390" s="134" t="s">
        <v>4348</v>
      </c>
      <c r="G8390" s="63" t="str">
        <f>VLOOKUP(C8390, 'Class Def. - General Data'!$C$20:$C$1000,1,false)</f>
        <v>ZSI1_CONVEYOR_BELT</v>
      </c>
      <c r="H8390" s="63" t="str">
        <f>IFERROR(__xludf.DUMMYFUNCTION("VLOOKUP(F8390, IMPORTRANGE(""https://docs.google.com/spreadsheets/d/1Lhp9OU0JdFf_VYSMzH5lBcEaU4o8teT1piV-SNzShjg/edit?gid=554141278#gid=554141278"", ""'Char Def. - Attributes'!C20:C2242""), 1,false)"),"LENGTH_MM_CONVEYOR_BELT")</f>
        <v>LENGTH_MM_CONVEYOR_BELT</v>
      </c>
      <c r="I8390" s="136"/>
      <c r="R8390" s="63" t="str">
        <f t="shared" si="60"/>
        <v>ZSI1_CONVEYOR_BELTLENGTH_MM_CONVEYOR_BELT</v>
      </c>
    </row>
    <row r="8391" ht="15.75" customHeight="1">
      <c r="B8391" s="63">
        <f t="shared" si="1"/>
        <v>18</v>
      </c>
      <c r="C8391" s="135" t="s">
        <v>493</v>
      </c>
      <c r="D8391" s="161" t="s">
        <v>74</v>
      </c>
      <c r="E8391" s="135">
        <f t="shared" si="62"/>
        <v>4</v>
      </c>
      <c r="F8391" s="134" t="s">
        <v>4349</v>
      </c>
      <c r="G8391" s="63" t="str">
        <f>VLOOKUP(C8391, 'Class Def. - General Data'!$C$20:$C$1000,1,false)</f>
        <v>ZSI1_CONVEYOR_BELT</v>
      </c>
      <c r="H8391" s="63" t="str">
        <f>IFERROR(__xludf.DUMMYFUNCTION("VLOOKUP(F8391, IMPORTRANGE(""https://docs.google.com/spreadsheets/d/1Lhp9OU0JdFf_VYSMzH5lBcEaU4o8teT1piV-SNzShjg/edit?gid=554141278#gid=554141278"", ""'Char Def. - Attributes'!C20:C2242""), 1,false)"),"THICKNESS_MM_CONVEYOR_BELT")</f>
        <v>THICKNESS_MM_CONVEYOR_BELT</v>
      </c>
      <c r="I8391" s="136"/>
      <c r="R8391" s="63" t="str">
        <f t="shared" si="60"/>
        <v>ZSI1_CONVEYOR_BELTTHICKNESS_MM_CONVEYOR_BELT</v>
      </c>
    </row>
    <row r="8392" ht="15.75" customHeight="1">
      <c r="B8392" s="63">
        <f t="shared" si="1"/>
        <v>18</v>
      </c>
      <c r="C8392" s="135" t="s">
        <v>493</v>
      </c>
      <c r="D8392" s="161" t="s">
        <v>74</v>
      </c>
      <c r="E8392" s="135">
        <f t="shared" si="62"/>
        <v>5</v>
      </c>
      <c r="F8392" s="134" t="s">
        <v>4350</v>
      </c>
      <c r="G8392" s="63" t="str">
        <f>VLOOKUP(C8392, 'Class Def. - General Data'!$C$20:$C$1000,1,false)</f>
        <v>ZSI1_CONVEYOR_BELT</v>
      </c>
      <c r="H8392" s="63" t="str">
        <f>IFERROR(__xludf.DUMMYFUNCTION("VLOOKUP(F8392, IMPORTRANGE(""https://docs.google.com/spreadsheets/d/1Lhp9OU0JdFf_VYSMzH5lBcEaU4o8teT1piV-SNzShjg/edit?gid=554141278#gid=554141278"", ""'Char Def. - Attributes'!C20:C2242""), 1,false)"),"END_CONNECTION_CONVEYOR_BELT")</f>
        <v>END_CONNECTION_CONVEYOR_BELT</v>
      </c>
      <c r="I8392" s="136"/>
      <c r="R8392" s="63" t="str">
        <f t="shared" si="60"/>
        <v>ZSI1_CONVEYOR_BELTEND_CONNECTION_CONVEYOR_BELT</v>
      </c>
    </row>
    <row r="8393" ht="15.75" customHeight="1">
      <c r="B8393" s="63">
        <f t="shared" si="1"/>
        <v>18</v>
      </c>
      <c r="C8393" s="135" t="s">
        <v>493</v>
      </c>
      <c r="D8393" s="161" t="s">
        <v>74</v>
      </c>
      <c r="E8393" s="135">
        <f t="shared" si="62"/>
        <v>6</v>
      </c>
      <c r="F8393" s="134" t="s">
        <v>4351</v>
      </c>
      <c r="G8393" s="63" t="str">
        <f>VLOOKUP(C8393, 'Class Def. - General Data'!$C$20:$C$1000,1,false)</f>
        <v>ZSI1_CONVEYOR_BELT</v>
      </c>
      <c r="H8393" s="63" t="str">
        <f>IFERROR(__xludf.DUMMYFUNCTION("VLOOKUP(F8393, IMPORTRANGE(""https://docs.google.com/spreadsheets/d/1Lhp9OU0JdFf_VYSMzH5lBcEaU4o8teT1piV-SNzShjg/edit?gid=554141278#gid=554141278"", ""'Char Def. - Attributes'!C20:C2242""), 1,false)"),"MFR_NO_CONVEYOR_BELT")</f>
        <v>MFR_NO_CONVEYOR_BELT</v>
      </c>
      <c r="I8393" s="136"/>
      <c r="R8393" s="63" t="str">
        <f t="shared" si="60"/>
        <v>ZSI1_CONVEYOR_BELTMFR_NO_CONVEYOR_BELT</v>
      </c>
    </row>
    <row r="8394" ht="15.75" customHeight="1">
      <c r="B8394" s="63">
        <f t="shared" si="1"/>
        <v>18</v>
      </c>
      <c r="C8394" s="135" t="s">
        <v>493</v>
      </c>
      <c r="D8394" s="161" t="s">
        <v>74</v>
      </c>
      <c r="E8394" s="135">
        <f t="shared" si="62"/>
        <v>7</v>
      </c>
      <c r="F8394" s="134" t="s">
        <v>3782</v>
      </c>
      <c r="G8394" s="63" t="str">
        <f>VLOOKUP(C8394, 'Class Def. - General Data'!$C$20:$C$1000,1,false)</f>
        <v>ZSI1_CONVEYOR_BELT</v>
      </c>
      <c r="H8394" s="63" t="str">
        <f>IFERROR(__xludf.DUMMYFUNCTION("VLOOKUP(F8394, IMPORTRANGE(""https://docs.google.com/spreadsheets/d/1Lhp9OU0JdFf_VYSMzH5lBcEaU4o8teT1piV-SNzShjg/edit?gid=554141278#gid=554141278"", ""'Char Def. - Attributes'!C20:C2242""), 1,false)"),"BRAND_EXTERNAL")</f>
        <v>BRAND_EXTERNAL</v>
      </c>
      <c r="I8394" s="136"/>
      <c r="R8394" s="63" t="str">
        <f t="shared" si="60"/>
        <v>ZSI1_CONVEYOR_BELTBRAND_EXTERNAL</v>
      </c>
    </row>
    <row r="8395" ht="15.75" customHeight="1">
      <c r="B8395" s="63">
        <f t="shared" si="1"/>
        <v>18</v>
      </c>
      <c r="C8395" s="135" t="s">
        <v>493</v>
      </c>
      <c r="D8395" s="161" t="s">
        <v>74</v>
      </c>
      <c r="E8395" s="135">
        <f t="shared" si="62"/>
        <v>8</v>
      </c>
      <c r="F8395" s="134" t="s">
        <v>4053</v>
      </c>
      <c r="G8395" s="63" t="str">
        <f>VLOOKUP(C8395, 'Class Def. - General Data'!$C$20:$C$1000,1,false)</f>
        <v>ZSI1_CONVEYOR_BELT</v>
      </c>
      <c r="H8395" s="63" t="str">
        <f>IFERROR(__xludf.DUMMYFUNCTION("VLOOKUP(F8395, IMPORTRANGE(""https://docs.google.com/spreadsheets/d/1Lhp9OU0JdFf_VYSMzH5lBcEaU4o8teT1piV-SNzShjg/edit?gid=554141278#gid=554141278"", ""'Char Def. - Attributes'!C20:C2242""), 1,false)"),"MAINTENANCE_ORDER_TYPE")</f>
        <v>MAINTENANCE_ORDER_TYPE</v>
      </c>
      <c r="I8395" s="136"/>
      <c r="R8395" s="63" t="str">
        <f t="shared" si="60"/>
        <v>ZSI1_CONVEYOR_BELTMAINTENANCE_ORDER_TYPE</v>
      </c>
    </row>
    <row r="8396" ht="15.75" customHeight="1">
      <c r="B8396" s="63">
        <f t="shared" si="1"/>
        <v>18</v>
      </c>
      <c r="C8396" s="135" t="s">
        <v>493</v>
      </c>
      <c r="D8396" s="161" t="s">
        <v>74</v>
      </c>
      <c r="E8396" s="135">
        <f t="shared" si="62"/>
        <v>9</v>
      </c>
      <c r="F8396" s="134" t="s">
        <v>3585</v>
      </c>
      <c r="G8396" s="63" t="str">
        <f>VLOOKUP(C8396, 'Class Def. - General Data'!$C$20:$C$1000,1,false)</f>
        <v>ZSI1_CONVEYOR_BELT</v>
      </c>
      <c r="H8396" s="63" t="str">
        <f>IFERROR(__xludf.DUMMYFUNCTION("VLOOKUP(F8396, IMPORTRANGE(""https://docs.google.com/spreadsheets/d/1Lhp9OU0JdFf_VYSMzH5lBcEaU4o8teT1piV-SNzShjg/edit?gid=554141278#gid=554141278"", ""'Char Def. - Attributes'!C20:C2242""), 1,false)"),"HS_CODE")</f>
        <v>HS_CODE</v>
      </c>
      <c r="I8396" s="136"/>
      <c r="R8396" s="63" t="str">
        <f t="shared" si="60"/>
        <v>ZSI1_CONVEYOR_BELTHS_CODE</v>
      </c>
    </row>
    <row r="8397" ht="15.75" customHeight="1">
      <c r="B8397" s="63">
        <f t="shared" si="1"/>
        <v>18</v>
      </c>
      <c r="C8397" s="135" t="s">
        <v>493</v>
      </c>
      <c r="D8397" s="161" t="s">
        <v>74</v>
      </c>
      <c r="E8397" s="135">
        <f t="shared" si="62"/>
        <v>10</v>
      </c>
      <c r="F8397" s="134" t="s">
        <v>3587</v>
      </c>
      <c r="G8397" s="63" t="str">
        <f>VLOOKUP(C8397, 'Class Def. - General Data'!$C$20:$C$1000,1,false)</f>
        <v>ZSI1_CONVEYOR_BELT</v>
      </c>
      <c r="H8397" s="63" t="str">
        <f>IFERROR(__xludf.DUMMYFUNCTION("VLOOKUP(F8397, IMPORTRANGE(""https://docs.google.com/spreadsheets/d/1Lhp9OU0JdFf_VYSMzH5lBcEaU4o8teT1piV-SNzShjg/edit?gid=554141278#gid=554141278"", ""'Char Def. - Attributes'!C20:C2242""), 1,false)"),"PLANT_BUY")</f>
        <v>PLANT_BUY</v>
      </c>
      <c r="I8397" s="136"/>
      <c r="R8397" s="63" t="str">
        <f t="shared" si="60"/>
        <v>ZSI1_CONVEYOR_BELTPLANT_BUY</v>
      </c>
    </row>
    <row r="8398" ht="15.75" customHeight="1">
      <c r="B8398" s="63">
        <f t="shared" si="1"/>
        <v>18</v>
      </c>
      <c r="C8398" s="135" t="s">
        <v>493</v>
      </c>
      <c r="D8398" s="161" t="s">
        <v>74</v>
      </c>
      <c r="E8398" s="135">
        <f t="shared" si="62"/>
        <v>11</v>
      </c>
      <c r="F8398" s="134" t="s">
        <v>4352</v>
      </c>
      <c r="G8398" s="63" t="str">
        <f>VLOOKUP(C8398, 'Class Def. - General Data'!$C$20:$C$1000,1,false)</f>
        <v>ZSI1_CONVEYOR_BELT</v>
      </c>
      <c r="H8398" s="63" t="str">
        <f>IFERROR(__xludf.DUMMYFUNCTION("VLOOKUP(F8398, IMPORTRANGE(""https://docs.google.com/spreadsheets/d/1Lhp9OU0JdFf_VYSMzH5lBcEaU4o8teT1piV-SNzShjg/edit?gid=554141278#gid=554141278"", ""'Char Def. - Attributes'!C20:C2242""), 1,false)"),"BASE_UOM_CONVEYOR_BELT")</f>
        <v>BASE_UOM_CONVEYOR_BELT</v>
      </c>
      <c r="I8398" s="136"/>
      <c r="R8398" s="63" t="str">
        <f t="shared" si="60"/>
        <v>ZSI1_CONVEYOR_BELTBASE_UOM_CONVEYOR_BELT</v>
      </c>
    </row>
    <row r="8399" ht="15.75" customHeight="1">
      <c r="B8399" s="63">
        <f t="shared" si="1"/>
        <v>18</v>
      </c>
      <c r="C8399" s="135" t="s">
        <v>493</v>
      </c>
      <c r="D8399" s="161" t="s">
        <v>74</v>
      </c>
      <c r="E8399" s="135">
        <f t="shared" si="62"/>
        <v>12</v>
      </c>
      <c r="F8399" s="134" t="s">
        <v>4353</v>
      </c>
      <c r="G8399" s="63" t="str">
        <f>VLOOKUP(C8399, 'Class Def. - General Data'!$C$20:$C$1000,1,false)</f>
        <v>ZSI1_CONVEYOR_BELT</v>
      </c>
      <c r="H8399" s="63" t="str">
        <f>IFERROR(__xludf.DUMMYFUNCTION("VLOOKUP(F8399, IMPORTRANGE(""https://docs.google.com/spreadsheets/d/1Lhp9OU0JdFf_VYSMzH5lBcEaU4o8teT1piV-SNzShjg/edit?gid=554141278#gid=554141278"", ""'Char Def. - Attributes'!C20:C2242""), 1,false)"),"ORDER_UNIT_CONVEYOR_BELT")</f>
        <v>ORDER_UNIT_CONVEYOR_BELT</v>
      </c>
      <c r="I8399" s="136"/>
      <c r="R8399" s="63" t="str">
        <f t="shared" si="60"/>
        <v>ZSI1_CONVEYOR_BELTORDER_UNIT_CONVEYOR_BELT</v>
      </c>
    </row>
    <row r="8400" ht="15.75" customHeight="1">
      <c r="B8400" s="63">
        <f t="shared" si="1"/>
        <v>18</v>
      </c>
      <c r="C8400" s="135" t="s">
        <v>493</v>
      </c>
      <c r="D8400" s="161" t="s">
        <v>74</v>
      </c>
      <c r="E8400" s="135">
        <f t="shared" si="62"/>
        <v>13</v>
      </c>
      <c r="F8400" s="134" t="s">
        <v>4056</v>
      </c>
      <c r="G8400" s="63" t="str">
        <f>VLOOKUP(C8400, 'Class Def. - General Data'!$C$20:$C$1000,1,false)</f>
        <v>ZSI1_CONVEYOR_BELT</v>
      </c>
      <c r="H8400" s="63" t="str">
        <f>IFERROR(__xludf.DUMMYFUNCTION("VLOOKUP(F8400, IMPORTRANGE(""https://docs.google.com/spreadsheets/d/1Lhp9OU0JdFf_VYSMzH5lBcEaU4o8teT1piV-SNzShjg/edit?gid=554141278#gid=554141278"", ""'Char Def. - Attributes'!C20:C2242""), 1,false)"),"GROSS_WEIGHT_OPT")</f>
        <v>GROSS_WEIGHT_OPT</v>
      </c>
      <c r="I8400" s="136"/>
      <c r="R8400" s="63" t="str">
        <f t="shared" si="60"/>
        <v>ZSI1_CONVEYOR_BELTGROSS_WEIGHT_OPT</v>
      </c>
    </row>
    <row r="8401" ht="15.75" customHeight="1">
      <c r="B8401" s="63">
        <f t="shared" si="1"/>
        <v>18</v>
      </c>
      <c r="C8401" s="135" t="s">
        <v>493</v>
      </c>
      <c r="D8401" s="161" t="s">
        <v>74</v>
      </c>
      <c r="E8401" s="135">
        <f t="shared" si="62"/>
        <v>14</v>
      </c>
      <c r="F8401" s="134" t="s">
        <v>4057</v>
      </c>
      <c r="G8401" s="63" t="str">
        <f>VLOOKUP(C8401, 'Class Def. - General Data'!$C$20:$C$1000,1,false)</f>
        <v>ZSI1_CONVEYOR_BELT</v>
      </c>
      <c r="H8401" s="63" t="str">
        <f>IFERROR(__xludf.DUMMYFUNCTION("VLOOKUP(F8401, IMPORTRANGE(""https://docs.google.com/spreadsheets/d/1Lhp9OU0JdFf_VYSMzH5lBcEaU4o8teT1piV-SNzShjg/edit?gid=554141278#gid=554141278"", ""'Char Def. - Attributes'!C20:C2242""), 1,false)"),"NET_WEIGHT_OPT")</f>
        <v>NET_WEIGHT_OPT</v>
      </c>
      <c r="I8401" s="136"/>
      <c r="R8401" s="63" t="str">
        <f t="shared" si="60"/>
        <v>ZSI1_CONVEYOR_BELTNET_WEIGHT_OPT</v>
      </c>
    </row>
    <row r="8402" ht="15.75" customHeight="1">
      <c r="B8402" s="63">
        <f t="shared" si="1"/>
        <v>18</v>
      </c>
      <c r="C8402" s="135" t="s">
        <v>493</v>
      </c>
      <c r="D8402" s="161" t="s">
        <v>74</v>
      </c>
      <c r="E8402" s="135">
        <f t="shared" si="62"/>
        <v>15</v>
      </c>
      <c r="F8402" s="134" t="s">
        <v>4058</v>
      </c>
      <c r="G8402" s="63" t="str">
        <f>VLOOKUP(C8402, 'Class Def. - General Data'!$C$20:$C$1000,1,false)</f>
        <v>ZSI1_CONVEYOR_BELT</v>
      </c>
      <c r="H8402" s="63" t="str">
        <f>IFERROR(__xludf.DUMMYFUNCTION("VLOOKUP(F8402, IMPORTRANGE(""https://docs.google.com/spreadsheets/d/1Lhp9OU0JdFf_VYSMzH5lBcEaU4o8teT1piV-SNzShjg/edit?gid=554141278#gid=554141278"", ""'Char Def. - Attributes'!C20:C2242""), 1,false)"),"WEIGHT_UNIT_SI")</f>
        <v>WEIGHT_UNIT_SI</v>
      </c>
      <c r="I8402" s="136"/>
      <c r="R8402" s="63" t="str">
        <f t="shared" si="60"/>
        <v>ZSI1_CONVEYOR_BELTWEIGHT_UNIT_SI</v>
      </c>
    </row>
    <row r="8403" ht="15.75" customHeight="1">
      <c r="B8403" s="63">
        <f t="shared" si="1"/>
        <v>18</v>
      </c>
      <c r="C8403" s="135" t="s">
        <v>493</v>
      </c>
      <c r="D8403" s="161" t="s">
        <v>74</v>
      </c>
      <c r="E8403" s="135">
        <f t="shared" si="62"/>
        <v>16</v>
      </c>
      <c r="F8403" s="134" t="s">
        <v>3877</v>
      </c>
      <c r="G8403" s="63" t="str">
        <f>VLOOKUP(C8403, 'Class Def. - General Data'!$C$20:$C$1000,1,false)</f>
        <v>ZSI1_CONVEYOR_BELT</v>
      </c>
      <c r="H8403" s="63" t="str">
        <f>IFERROR(__xludf.DUMMYFUNCTION("VLOOKUP(F8403, IMPORTRANGE(""https://docs.google.com/spreadsheets/d/1Lhp9OU0JdFf_VYSMzH5lBcEaU4o8teT1piV-SNzShjg/edit?gid=554141278#gid=554141278"", ""'Char Def. - Attributes'!C20:C2242""), 1,false)"),"VOLUME_OPT")</f>
        <v>VOLUME_OPT</v>
      </c>
      <c r="I8403" s="136"/>
      <c r="R8403" s="63" t="str">
        <f t="shared" si="60"/>
        <v>ZSI1_CONVEYOR_BELTVOLUME_OPT</v>
      </c>
    </row>
    <row r="8404" ht="15.75" customHeight="1">
      <c r="B8404" s="63">
        <f t="shared" si="1"/>
        <v>18</v>
      </c>
      <c r="C8404" s="135" t="s">
        <v>493</v>
      </c>
      <c r="D8404" s="161" t="s">
        <v>74</v>
      </c>
      <c r="E8404" s="135">
        <f t="shared" si="62"/>
        <v>17</v>
      </c>
      <c r="F8404" s="134" t="s">
        <v>4059</v>
      </c>
      <c r="G8404" s="63" t="str">
        <f>VLOOKUP(C8404, 'Class Def. - General Data'!$C$20:$C$1000,1,false)</f>
        <v>ZSI1_CONVEYOR_BELT</v>
      </c>
      <c r="H8404" s="63" t="str">
        <f>IFERROR(__xludf.DUMMYFUNCTION("VLOOKUP(F8404, IMPORTRANGE(""https://docs.google.com/spreadsheets/d/1Lhp9OU0JdFf_VYSMzH5lBcEaU4o8teT1piV-SNzShjg/edit?gid=554141278#gid=554141278"", ""'Char Def. - Attributes'!C20:C2242""), 1,false)"),"VOLUME_UNIT_SI")</f>
        <v>VOLUME_UNIT_SI</v>
      </c>
      <c r="I8404" s="136"/>
      <c r="R8404" s="63" t="str">
        <f t="shared" si="60"/>
        <v>ZSI1_CONVEYOR_BELTVOLUME_UNIT_SI</v>
      </c>
    </row>
    <row r="8405" ht="15.75" customHeight="1">
      <c r="B8405" s="63">
        <f t="shared" si="1"/>
        <v>18</v>
      </c>
      <c r="C8405" s="135" t="s">
        <v>493</v>
      </c>
      <c r="D8405" s="161" t="s">
        <v>74</v>
      </c>
      <c r="E8405" s="135">
        <f t="shared" si="62"/>
        <v>18</v>
      </c>
      <c r="F8405" s="134" t="s">
        <v>3804</v>
      </c>
      <c r="G8405" s="63" t="str">
        <f>VLOOKUP(C8405, 'Class Def. - General Data'!$C$20:$C$1000,1,false)</f>
        <v>ZSI1_CONVEYOR_BELT</v>
      </c>
      <c r="H8405" s="63" t="str">
        <f>IFERROR(__xludf.DUMMYFUNCTION("VLOOKUP(F8405, IMPORTRANGE(""https://docs.google.com/spreadsheets/d/1Lhp9OU0JdFf_VYSMzH5lBcEaU4o8teT1piV-SNzShjg/edit?gid=554141278#gid=554141278"", ""'Char Def. - Attributes'!C20:C2242""), 1,false)"),"ALT_UOM1_SIPI")</f>
        <v>ALT_UOM1_SIPI</v>
      </c>
      <c r="I8405" s="136"/>
      <c r="R8405" s="63" t="str">
        <f t="shared" si="60"/>
        <v>ZSI1_CONVEYOR_BELTALT_UOM1_SIPI</v>
      </c>
    </row>
    <row r="8406" ht="15.75" customHeight="1">
      <c r="B8406" s="63">
        <f t="shared" si="1"/>
        <v>18</v>
      </c>
      <c r="C8406" s="135" t="s">
        <v>493</v>
      </c>
      <c r="D8406" s="161" t="s">
        <v>74</v>
      </c>
      <c r="E8406" s="135">
        <f t="shared" si="62"/>
        <v>19</v>
      </c>
      <c r="F8406" s="134" t="s">
        <v>3805</v>
      </c>
      <c r="G8406" s="63" t="str">
        <f>VLOOKUP(C8406, 'Class Def. - General Data'!$C$20:$C$1000,1,false)</f>
        <v>ZSI1_CONVEYOR_BELT</v>
      </c>
      <c r="H8406" s="63" t="str">
        <f>IFERROR(__xludf.DUMMYFUNCTION("VLOOKUP(F8406, IMPORTRANGE(""https://docs.google.com/spreadsheets/d/1Lhp9OU0JdFf_VYSMzH5lBcEaU4o8teT1piV-SNzShjg/edit?gid=554141278#gid=554141278"", ""'Char Def. - Attributes'!C20:C2242""), 1,false)"),"ALT_DENUM_UOM1")</f>
        <v>ALT_DENUM_UOM1</v>
      </c>
      <c r="I8406" s="136"/>
      <c r="R8406" s="63" t="str">
        <f t="shared" si="60"/>
        <v>ZSI1_CONVEYOR_BELTALT_DENUM_UOM1</v>
      </c>
    </row>
    <row r="8407" ht="15.75" customHeight="1">
      <c r="B8407" s="63">
        <f t="shared" si="1"/>
        <v>18</v>
      </c>
      <c r="C8407" s="135" t="s">
        <v>493</v>
      </c>
      <c r="D8407" s="161" t="s">
        <v>74</v>
      </c>
      <c r="E8407" s="135">
        <f t="shared" si="62"/>
        <v>20</v>
      </c>
      <c r="F8407" s="134" t="s">
        <v>3806</v>
      </c>
      <c r="G8407" s="63" t="str">
        <f>VLOOKUP(C8407, 'Class Def. - General Data'!$C$20:$C$1000,1,false)</f>
        <v>ZSI1_CONVEYOR_BELT</v>
      </c>
      <c r="H8407" s="63" t="str">
        <f>IFERROR(__xludf.DUMMYFUNCTION("VLOOKUP(F8407, IMPORTRANGE(""https://docs.google.com/spreadsheets/d/1Lhp9OU0JdFf_VYSMzH5lBcEaU4o8teT1piV-SNzShjg/edit?gid=554141278#gid=554141278"", ""'Char Def. - Attributes'!C20:C2242""), 1,false)"),"ALT_NUM_UOM1")</f>
        <v>ALT_NUM_UOM1</v>
      </c>
      <c r="I8407" s="136"/>
      <c r="R8407" s="63" t="str">
        <f t="shared" si="60"/>
        <v>ZSI1_CONVEYOR_BELTALT_NUM_UOM1</v>
      </c>
    </row>
    <row r="8408" ht="15.75" customHeight="1">
      <c r="B8408" s="63">
        <f t="shared" si="1"/>
        <v>18</v>
      </c>
      <c r="C8408" s="135" t="s">
        <v>493</v>
      </c>
      <c r="D8408" s="161" t="s">
        <v>74</v>
      </c>
      <c r="E8408" s="135">
        <f t="shared" si="62"/>
        <v>21</v>
      </c>
      <c r="F8408" s="134" t="s">
        <v>3807</v>
      </c>
      <c r="G8408" s="63" t="str">
        <f>VLOOKUP(C8408, 'Class Def. - General Data'!$C$20:$C$1000,1,false)</f>
        <v>ZSI1_CONVEYOR_BELT</v>
      </c>
      <c r="H8408" s="63" t="str">
        <f>IFERROR(__xludf.DUMMYFUNCTION("VLOOKUP(F8408, IMPORTRANGE(""https://docs.google.com/spreadsheets/d/1Lhp9OU0JdFf_VYSMzH5lBcEaU4o8teT1piV-SNzShjg/edit?gid=554141278#gid=554141278"", ""'Char Def. - Attributes'!C20:C2242""), 1,false)"),"ALT_UOM2_SIPI")</f>
        <v>ALT_UOM2_SIPI</v>
      </c>
      <c r="I8408" s="136"/>
      <c r="R8408" s="63" t="str">
        <f t="shared" si="60"/>
        <v>ZSI1_CONVEYOR_BELTALT_UOM2_SIPI</v>
      </c>
    </row>
    <row r="8409" ht="15.75" customHeight="1">
      <c r="B8409" s="63">
        <f t="shared" si="1"/>
        <v>18</v>
      </c>
      <c r="C8409" s="135" t="s">
        <v>493</v>
      </c>
      <c r="D8409" s="161" t="s">
        <v>74</v>
      </c>
      <c r="E8409" s="135">
        <f t="shared" si="62"/>
        <v>22</v>
      </c>
      <c r="F8409" s="134" t="s">
        <v>3808</v>
      </c>
      <c r="G8409" s="63" t="str">
        <f>VLOOKUP(C8409, 'Class Def. - General Data'!$C$20:$C$1000,1,false)</f>
        <v>ZSI1_CONVEYOR_BELT</v>
      </c>
      <c r="H8409" s="63" t="str">
        <f>IFERROR(__xludf.DUMMYFUNCTION("VLOOKUP(F8409, IMPORTRANGE(""https://docs.google.com/spreadsheets/d/1Lhp9OU0JdFf_VYSMzH5lBcEaU4o8teT1piV-SNzShjg/edit?gid=554141278#gid=554141278"", ""'Char Def. - Attributes'!C20:C2242""), 1,false)"),"ALT_DENUM_UOM2")</f>
        <v>ALT_DENUM_UOM2</v>
      </c>
      <c r="I8409" s="136"/>
      <c r="R8409" s="63" t="str">
        <f t="shared" si="60"/>
        <v>ZSI1_CONVEYOR_BELTALT_DENUM_UOM2</v>
      </c>
    </row>
    <row r="8410" ht="15.75" customHeight="1">
      <c r="B8410" s="63">
        <f t="shared" si="1"/>
        <v>18</v>
      </c>
      <c r="C8410" s="135" t="s">
        <v>493</v>
      </c>
      <c r="D8410" s="161" t="s">
        <v>74</v>
      </c>
      <c r="E8410" s="135">
        <f t="shared" si="62"/>
        <v>23</v>
      </c>
      <c r="F8410" s="134" t="s">
        <v>3809</v>
      </c>
      <c r="G8410" s="63" t="str">
        <f>VLOOKUP(C8410, 'Class Def. - General Data'!$C$20:$C$1000,1,false)</f>
        <v>ZSI1_CONVEYOR_BELT</v>
      </c>
      <c r="H8410" s="63" t="str">
        <f>IFERROR(__xludf.DUMMYFUNCTION("VLOOKUP(F8410, IMPORTRANGE(""https://docs.google.com/spreadsheets/d/1Lhp9OU0JdFf_VYSMzH5lBcEaU4o8teT1piV-SNzShjg/edit?gid=554141278#gid=554141278"", ""'Char Def. - Attributes'!C20:C2242""), 1,false)"),"ALT_NUM_UOM2")</f>
        <v>ALT_NUM_UOM2</v>
      </c>
      <c r="I8410" s="136"/>
      <c r="R8410" s="63" t="str">
        <f t="shared" si="60"/>
        <v>ZSI1_CONVEYOR_BELTALT_NUM_UOM2</v>
      </c>
    </row>
    <row r="8411" ht="15.75" customHeight="1">
      <c r="B8411" s="63">
        <f t="shared" si="1"/>
        <v>18</v>
      </c>
      <c r="C8411" s="135" t="s">
        <v>493</v>
      </c>
      <c r="D8411" s="161" t="s">
        <v>74</v>
      </c>
      <c r="E8411" s="135">
        <f t="shared" si="62"/>
        <v>24</v>
      </c>
      <c r="F8411" s="134" t="s">
        <v>3810</v>
      </c>
      <c r="G8411" s="63" t="str">
        <f>VLOOKUP(C8411, 'Class Def. - General Data'!$C$20:$C$1000,1,false)</f>
        <v>ZSI1_CONVEYOR_BELT</v>
      </c>
      <c r="H8411" s="63" t="str">
        <f>IFERROR(__xludf.DUMMYFUNCTION("VLOOKUP(F8411, IMPORTRANGE(""https://docs.google.com/spreadsheets/d/1Lhp9OU0JdFf_VYSMzH5lBcEaU4o8teT1piV-SNzShjg/edit?gid=554141278#gid=554141278"", ""'Char Def. - Attributes'!C20:C2242""), 1,false)"),"ALT_UOM3_SIPI")</f>
        <v>ALT_UOM3_SIPI</v>
      </c>
      <c r="I8411" s="136"/>
      <c r="R8411" s="63" t="str">
        <f t="shared" si="60"/>
        <v>ZSI1_CONVEYOR_BELTALT_UOM3_SIPI</v>
      </c>
    </row>
    <row r="8412" ht="15.75" customHeight="1">
      <c r="B8412" s="63">
        <f t="shared" si="1"/>
        <v>18</v>
      </c>
      <c r="C8412" s="135" t="s">
        <v>493</v>
      </c>
      <c r="D8412" s="161" t="s">
        <v>74</v>
      </c>
      <c r="E8412" s="135">
        <f t="shared" si="62"/>
        <v>25</v>
      </c>
      <c r="F8412" s="134" t="s">
        <v>3811</v>
      </c>
      <c r="G8412" s="63" t="str">
        <f>VLOOKUP(C8412, 'Class Def. - General Data'!$C$20:$C$1000,1,false)</f>
        <v>ZSI1_CONVEYOR_BELT</v>
      </c>
      <c r="H8412" s="63" t="str">
        <f>IFERROR(__xludf.DUMMYFUNCTION("VLOOKUP(F8412, IMPORTRANGE(""https://docs.google.com/spreadsheets/d/1Lhp9OU0JdFf_VYSMzH5lBcEaU4o8teT1piV-SNzShjg/edit?gid=554141278#gid=554141278"", ""'Char Def. - Attributes'!C20:C2242""), 1,false)"),"ALT_DENUM_UOM3")</f>
        <v>ALT_DENUM_UOM3</v>
      </c>
      <c r="I8412" s="136"/>
      <c r="R8412" s="63" t="str">
        <f t="shared" si="60"/>
        <v>ZSI1_CONVEYOR_BELTALT_DENUM_UOM3</v>
      </c>
    </row>
    <row r="8413" ht="15.75" customHeight="1">
      <c r="B8413" s="63">
        <f t="shared" si="1"/>
        <v>18</v>
      </c>
      <c r="C8413" s="135" t="s">
        <v>493</v>
      </c>
      <c r="D8413" s="161" t="s">
        <v>74</v>
      </c>
      <c r="E8413" s="135">
        <f t="shared" si="62"/>
        <v>26</v>
      </c>
      <c r="F8413" s="134" t="s">
        <v>3812</v>
      </c>
      <c r="G8413" s="63" t="str">
        <f>VLOOKUP(C8413, 'Class Def. - General Data'!$C$20:$C$1000,1,false)</f>
        <v>ZSI1_CONVEYOR_BELT</v>
      </c>
      <c r="H8413" s="63" t="str">
        <f>IFERROR(__xludf.DUMMYFUNCTION("VLOOKUP(F8413, IMPORTRANGE(""https://docs.google.com/spreadsheets/d/1Lhp9OU0JdFf_VYSMzH5lBcEaU4o8teT1piV-SNzShjg/edit?gid=554141278#gid=554141278"", ""'Char Def. - Attributes'!C20:C2242""), 1,false)"),"ALT_NUM_UOM3")</f>
        <v>ALT_NUM_UOM3</v>
      </c>
      <c r="I8413" s="136"/>
      <c r="R8413" s="63" t="str">
        <f t="shared" si="60"/>
        <v>ZSI1_CONVEYOR_BELTALT_NUM_UOM3</v>
      </c>
    </row>
    <row r="8414" ht="15.75" customHeight="1">
      <c r="B8414" s="63">
        <f t="shared" si="1"/>
        <v>18</v>
      </c>
      <c r="C8414" s="135" t="s">
        <v>493</v>
      </c>
      <c r="D8414" s="161" t="s">
        <v>74</v>
      </c>
      <c r="E8414" s="135">
        <f t="shared" si="62"/>
        <v>27</v>
      </c>
      <c r="F8414" s="134" t="s">
        <v>3813</v>
      </c>
      <c r="G8414" s="63" t="str">
        <f>VLOOKUP(C8414, 'Class Def. - General Data'!$C$20:$C$1000,1,false)</f>
        <v>ZSI1_CONVEYOR_BELT</v>
      </c>
      <c r="H8414" s="63" t="str">
        <f>IFERROR(__xludf.DUMMYFUNCTION("VLOOKUP(F8414, IMPORTRANGE(""https://docs.google.com/spreadsheets/d/1Lhp9OU0JdFf_VYSMzH5lBcEaU4o8teT1piV-SNzShjg/edit?gid=554141278#gid=554141278"", ""'Char Def. - Attributes'!C20:C2242""), 1,false)"),"ALT_UOM4_SIPI")</f>
        <v>ALT_UOM4_SIPI</v>
      </c>
      <c r="I8414" s="136"/>
      <c r="R8414" s="63" t="str">
        <f t="shared" si="60"/>
        <v>ZSI1_CONVEYOR_BELTALT_UOM4_SIPI</v>
      </c>
    </row>
    <row r="8415" ht="15.75" customHeight="1">
      <c r="B8415" s="63">
        <f t="shared" si="1"/>
        <v>18</v>
      </c>
      <c r="C8415" s="135" t="s">
        <v>493</v>
      </c>
      <c r="D8415" s="161" t="s">
        <v>74</v>
      </c>
      <c r="E8415" s="135">
        <f t="shared" si="62"/>
        <v>28</v>
      </c>
      <c r="F8415" s="134" t="s">
        <v>3814</v>
      </c>
      <c r="G8415" s="63" t="str">
        <f>VLOOKUP(C8415, 'Class Def. - General Data'!$C$20:$C$1000,1,false)</f>
        <v>ZSI1_CONVEYOR_BELT</v>
      </c>
      <c r="H8415" s="63" t="str">
        <f>IFERROR(__xludf.DUMMYFUNCTION("VLOOKUP(F8415, IMPORTRANGE(""https://docs.google.com/spreadsheets/d/1Lhp9OU0JdFf_VYSMzH5lBcEaU4o8teT1piV-SNzShjg/edit?gid=554141278#gid=554141278"", ""'Char Def. - Attributes'!C20:C2242""), 1,false)"),"ALT_DENUM_UOM4")</f>
        <v>ALT_DENUM_UOM4</v>
      </c>
      <c r="I8415" s="136"/>
      <c r="R8415" s="63" t="str">
        <f t="shared" si="60"/>
        <v>ZSI1_CONVEYOR_BELTALT_DENUM_UOM4</v>
      </c>
    </row>
    <row r="8416" ht="15.75" customHeight="1">
      <c r="B8416" s="63">
        <f t="shared" si="1"/>
        <v>18</v>
      </c>
      <c r="C8416" s="135" t="s">
        <v>493</v>
      </c>
      <c r="D8416" s="161" t="s">
        <v>74</v>
      </c>
      <c r="E8416" s="135">
        <f t="shared" si="62"/>
        <v>29</v>
      </c>
      <c r="F8416" s="134" t="s">
        <v>3815</v>
      </c>
      <c r="G8416" s="63" t="str">
        <f>VLOOKUP(C8416, 'Class Def. - General Data'!$C$20:$C$1000,1,false)</f>
        <v>ZSI1_CONVEYOR_BELT</v>
      </c>
      <c r="H8416" s="63" t="str">
        <f>IFERROR(__xludf.DUMMYFUNCTION("VLOOKUP(F8416, IMPORTRANGE(""https://docs.google.com/spreadsheets/d/1Lhp9OU0JdFf_VYSMzH5lBcEaU4o8teT1piV-SNzShjg/edit?gid=554141278#gid=554141278"", ""'Char Def. - Attributes'!C20:C2242""), 1,false)"),"ALT_NUM_UOM4")</f>
        <v>ALT_NUM_UOM4</v>
      </c>
      <c r="I8416" s="136"/>
      <c r="R8416" s="63" t="str">
        <f t="shared" si="60"/>
        <v>ZSI1_CONVEYOR_BELTALT_NUM_UOM4</v>
      </c>
    </row>
    <row r="8417" ht="15.75" customHeight="1">
      <c r="B8417" s="63">
        <f t="shared" si="1"/>
        <v>18</v>
      </c>
      <c r="C8417" s="135" t="s">
        <v>493</v>
      </c>
      <c r="D8417" s="161" t="s">
        <v>74</v>
      </c>
      <c r="E8417" s="135">
        <f t="shared" si="62"/>
        <v>30</v>
      </c>
      <c r="F8417" s="134" t="s">
        <v>3816</v>
      </c>
      <c r="G8417" s="63" t="str">
        <f>VLOOKUP(C8417, 'Class Def. - General Data'!$C$20:$C$1000,1,false)</f>
        <v>ZSI1_CONVEYOR_BELT</v>
      </c>
      <c r="H8417" s="63" t="str">
        <f>IFERROR(__xludf.DUMMYFUNCTION("VLOOKUP(F8417, IMPORTRANGE(""https://docs.google.com/spreadsheets/d/1Lhp9OU0JdFf_VYSMzH5lBcEaU4o8teT1piV-SNzShjg/edit?gid=554141278#gid=554141278"", ""'Char Def. - Attributes'!C20:C2242""), 1,false)"),"ALT_UOM5_SIPI")</f>
        <v>ALT_UOM5_SIPI</v>
      </c>
      <c r="I8417" s="136"/>
      <c r="R8417" s="63" t="str">
        <f t="shared" si="60"/>
        <v>ZSI1_CONVEYOR_BELTALT_UOM5_SIPI</v>
      </c>
    </row>
    <row r="8418" ht="15.75" customHeight="1">
      <c r="B8418" s="63">
        <f t="shared" si="1"/>
        <v>18</v>
      </c>
      <c r="C8418" s="135" t="s">
        <v>493</v>
      </c>
      <c r="D8418" s="161" t="s">
        <v>74</v>
      </c>
      <c r="E8418" s="135">
        <f t="shared" si="62"/>
        <v>31</v>
      </c>
      <c r="F8418" s="134" t="s">
        <v>3817</v>
      </c>
      <c r="G8418" s="63" t="str">
        <f>VLOOKUP(C8418, 'Class Def. - General Data'!$C$20:$C$1000,1,false)</f>
        <v>ZSI1_CONVEYOR_BELT</v>
      </c>
      <c r="H8418" s="63" t="str">
        <f>IFERROR(__xludf.DUMMYFUNCTION("VLOOKUP(F8418, IMPORTRANGE(""https://docs.google.com/spreadsheets/d/1Lhp9OU0JdFf_VYSMzH5lBcEaU4o8teT1piV-SNzShjg/edit?gid=554141278#gid=554141278"", ""'Char Def. - Attributes'!C20:C2242""), 1,false)"),"ALT_DENUM_UOM5")</f>
        <v>ALT_DENUM_UOM5</v>
      </c>
      <c r="I8418" s="136"/>
      <c r="R8418" s="63" t="str">
        <f t="shared" si="60"/>
        <v>ZSI1_CONVEYOR_BELTALT_DENUM_UOM5</v>
      </c>
    </row>
    <row r="8419" ht="15.75" customHeight="1">
      <c r="B8419" s="63">
        <f t="shared" si="1"/>
        <v>18</v>
      </c>
      <c r="C8419" s="135" t="s">
        <v>493</v>
      </c>
      <c r="D8419" s="161" t="s">
        <v>74</v>
      </c>
      <c r="E8419" s="135">
        <f t="shared" si="62"/>
        <v>32</v>
      </c>
      <c r="F8419" s="134" t="s">
        <v>3818</v>
      </c>
      <c r="G8419" s="63" t="str">
        <f>VLOOKUP(C8419, 'Class Def. - General Data'!$C$20:$C$1000,1,false)</f>
        <v>ZSI1_CONVEYOR_BELT</v>
      </c>
      <c r="H8419" s="63" t="str">
        <f>IFERROR(__xludf.DUMMYFUNCTION("VLOOKUP(F8419, IMPORTRANGE(""https://docs.google.com/spreadsheets/d/1Lhp9OU0JdFf_VYSMzH5lBcEaU4o8teT1piV-SNzShjg/edit?gid=554141278#gid=554141278"", ""'Char Def. - Attributes'!C20:C2242""), 1,false)"),"ALT_NUM_UOM5")</f>
        <v>ALT_NUM_UOM5</v>
      </c>
      <c r="I8419" s="136"/>
      <c r="R8419" s="63" t="str">
        <f t="shared" si="60"/>
        <v>ZSI1_CONVEYOR_BELTALT_NUM_UOM5</v>
      </c>
    </row>
    <row r="8420" ht="15.75" customHeight="1">
      <c r="B8420" s="63">
        <f t="shared" si="1"/>
        <v>18</v>
      </c>
      <c r="C8420" s="135" t="s">
        <v>537</v>
      </c>
      <c r="D8420" s="161" t="s">
        <v>74</v>
      </c>
      <c r="E8420" s="135">
        <f t="shared" si="62"/>
        <v>1</v>
      </c>
      <c r="F8420" s="134" t="s">
        <v>4354</v>
      </c>
      <c r="G8420" s="63" t="str">
        <f>VLOOKUP(C8420, 'Class Def. - General Data'!$C$20:$C$1000,1,false)</f>
        <v>ZSI1_CONVEYOR_ROLL</v>
      </c>
      <c r="H8420" s="63" t="str">
        <f>IFERROR(__xludf.DUMMYFUNCTION("VLOOKUP(F8420, IMPORTRANGE(""https://docs.google.com/spreadsheets/d/1Lhp9OU0JdFf_VYSMzH5lBcEaU4o8teT1piV-SNzShjg/edit?gid=554141278#gid=554141278"", ""'Char Def. - Attributes'!C20:C2242""), 1,false)"),"ITEM_NAME_CONVEYOR_ROLL")</f>
        <v>ITEM_NAME_CONVEYOR_ROLL</v>
      </c>
      <c r="I8420" s="136"/>
      <c r="R8420" s="63" t="str">
        <f t="shared" si="60"/>
        <v>ZSI1_CONVEYOR_ROLLITEM_NAME_CONVEYOR_ROLL</v>
      </c>
    </row>
    <row r="8421" ht="15.75" customHeight="1">
      <c r="B8421" s="63">
        <f t="shared" si="1"/>
        <v>18</v>
      </c>
      <c r="C8421" s="135" t="s">
        <v>537</v>
      </c>
      <c r="D8421" s="161" t="s">
        <v>74</v>
      </c>
      <c r="E8421" s="135">
        <f t="shared" si="62"/>
        <v>2</v>
      </c>
      <c r="F8421" s="134" t="s">
        <v>4355</v>
      </c>
      <c r="G8421" s="63" t="str">
        <f>VLOOKUP(C8421, 'Class Def. - General Data'!$C$20:$C$1000,1,false)</f>
        <v>ZSI1_CONVEYOR_ROLL</v>
      </c>
      <c r="H8421" s="63" t="str">
        <f>IFERROR(__xludf.DUMMYFUNCTION("VLOOKUP(F8421, IMPORTRANGE(""https://docs.google.com/spreadsheets/d/1Lhp9OU0JdFf_VYSMzH5lBcEaU4o8teT1piV-SNzShjg/edit?gid=554141278#gid=554141278"", ""'Char Def. - Attributes'!C20:C2242""), 1,false)"),"MATERIAL_CONVEYOR_ROLL")</f>
        <v>MATERIAL_CONVEYOR_ROLL</v>
      </c>
      <c r="I8421" s="136"/>
      <c r="R8421" s="63" t="str">
        <f t="shared" si="60"/>
        <v>ZSI1_CONVEYOR_ROLLMATERIAL_CONVEYOR_ROLL</v>
      </c>
    </row>
    <row r="8422" ht="15.75" customHeight="1">
      <c r="B8422" s="63">
        <f t="shared" si="1"/>
        <v>18</v>
      </c>
      <c r="C8422" s="135" t="s">
        <v>537</v>
      </c>
      <c r="D8422" s="161" t="s">
        <v>74</v>
      </c>
      <c r="E8422" s="135">
        <f t="shared" si="62"/>
        <v>3</v>
      </c>
      <c r="F8422" s="134" t="s">
        <v>4356</v>
      </c>
      <c r="G8422" s="63" t="str">
        <f>VLOOKUP(C8422, 'Class Def. - General Data'!$C$20:$C$1000,1,false)</f>
        <v>ZSI1_CONVEYOR_ROLL</v>
      </c>
      <c r="H8422" s="63" t="str">
        <f>IFERROR(__xludf.DUMMYFUNCTION("VLOOKUP(F8422, IMPORTRANGE(""https://docs.google.com/spreadsheets/d/1Lhp9OU0JdFf_VYSMzH5lBcEaU4o8teT1piV-SNzShjg/edit?gid=554141278#gid=554141278"", ""'Char Def. - Attributes'!C20:C2242""), 1,false)"),"ROLLER_DIAMETER_MM_CONV_ROLL")</f>
        <v>ROLLER_DIAMETER_MM_CONV_ROLL</v>
      </c>
      <c r="I8422" s="136"/>
      <c r="R8422" s="63" t="str">
        <f t="shared" si="60"/>
        <v>ZSI1_CONVEYOR_ROLLROLLER_DIAMETER_MM_CONV_ROLL</v>
      </c>
    </row>
    <row r="8423" ht="15.75" customHeight="1">
      <c r="B8423" s="63">
        <f t="shared" si="1"/>
        <v>18</v>
      </c>
      <c r="C8423" s="135" t="s">
        <v>537</v>
      </c>
      <c r="D8423" s="161" t="s">
        <v>74</v>
      </c>
      <c r="E8423" s="135">
        <f t="shared" si="62"/>
        <v>4</v>
      </c>
      <c r="F8423" s="134" t="s">
        <v>4357</v>
      </c>
      <c r="G8423" s="63" t="str">
        <f>VLOOKUP(C8423, 'Class Def. - General Data'!$C$20:$C$1000,1,false)</f>
        <v>ZSI1_CONVEYOR_ROLL</v>
      </c>
      <c r="H8423" s="63" t="str">
        <f>IFERROR(__xludf.DUMMYFUNCTION("VLOOKUP(F8423, IMPORTRANGE(""https://docs.google.com/spreadsheets/d/1Lhp9OU0JdFf_VYSMzH5lBcEaU4o8teT1piV-SNzShjg/edit?gid=554141278#gid=554141278"", ""'Char Def. - Attributes'!C20:C2242""), 1,false)"),"ROLLER_LENGTH_MM_CONV_ROLL")</f>
        <v>ROLLER_LENGTH_MM_CONV_ROLL</v>
      </c>
      <c r="I8423" s="136"/>
      <c r="R8423" s="63" t="str">
        <f t="shared" si="60"/>
        <v>ZSI1_CONVEYOR_ROLLROLLER_LENGTH_MM_CONV_ROLL</v>
      </c>
    </row>
    <row r="8424" ht="15.75" customHeight="1">
      <c r="B8424" s="63">
        <f t="shared" si="1"/>
        <v>18</v>
      </c>
      <c r="C8424" s="135" t="s">
        <v>537</v>
      </c>
      <c r="D8424" s="161" t="s">
        <v>74</v>
      </c>
      <c r="E8424" s="135">
        <f t="shared" si="62"/>
        <v>5</v>
      </c>
      <c r="F8424" s="134" t="s">
        <v>4358</v>
      </c>
      <c r="G8424" s="63" t="str">
        <f>VLOOKUP(C8424, 'Class Def. - General Data'!$C$20:$C$1000,1,false)</f>
        <v>ZSI1_CONVEYOR_ROLL</v>
      </c>
      <c r="H8424" s="63" t="str">
        <f>IFERROR(__xludf.DUMMYFUNCTION("VLOOKUP(F8424, IMPORTRANGE(""https://docs.google.com/spreadsheets/d/1Lhp9OU0JdFf_VYSMzH5lBcEaU4o8teT1piV-SNzShjg/edit?gid=554141278#gid=554141278"", ""'Char Def. - Attributes'!C20:C2242""), 1,false)"),"ROLLER_AXLE_SIZE_MM_CONV_ROLL")</f>
        <v>ROLLER_AXLE_SIZE_MM_CONV_ROLL</v>
      </c>
      <c r="I8424" s="136"/>
      <c r="R8424" s="63" t="str">
        <f t="shared" si="60"/>
        <v>ZSI1_CONVEYOR_ROLLROLLER_AXLE_SIZE_MM_CONV_ROLL</v>
      </c>
    </row>
    <row r="8425" ht="15.75" customHeight="1">
      <c r="B8425" s="63">
        <f t="shared" si="1"/>
        <v>18</v>
      </c>
      <c r="C8425" s="135" t="s">
        <v>537</v>
      </c>
      <c r="D8425" s="161" t="s">
        <v>74</v>
      </c>
      <c r="E8425" s="135">
        <f t="shared" si="62"/>
        <v>6</v>
      </c>
      <c r="F8425" s="134" t="s">
        <v>3585</v>
      </c>
      <c r="G8425" s="63" t="str">
        <f>VLOOKUP(C8425, 'Class Def. - General Data'!$C$20:$C$1000,1,false)</f>
        <v>ZSI1_CONVEYOR_ROLL</v>
      </c>
      <c r="H8425" s="63" t="str">
        <f>IFERROR(__xludf.DUMMYFUNCTION("VLOOKUP(F8425, IMPORTRANGE(""https://docs.google.com/spreadsheets/d/1Lhp9OU0JdFf_VYSMzH5lBcEaU4o8teT1piV-SNzShjg/edit?gid=554141278#gid=554141278"", ""'Char Def. - Attributes'!C20:C2242""), 1,false)"),"HS_CODE")</f>
        <v>HS_CODE</v>
      </c>
      <c r="I8425" s="136"/>
      <c r="R8425" s="63" t="str">
        <f t="shared" si="60"/>
        <v>ZSI1_CONVEYOR_ROLLHS_CODE</v>
      </c>
    </row>
    <row r="8426" ht="15.75" customHeight="1">
      <c r="B8426" s="63">
        <f t="shared" si="1"/>
        <v>18</v>
      </c>
      <c r="C8426" s="135" t="s">
        <v>537</v>
      </c>
      <c r="D8426" s="161" t="s">
        <v>74</v>
      </c>
      <c r="E8426" s="135">
        <f t="shared" si="62"/>
        <v>7</v>
      </c>
      <c r="F8426" s="134" t="s">
        <v>3587</v>
      </c>
      <c r="G8426" s="63" t="str">
        <f>VLOOKUP(C8426, 'Class Def. - General Data'!$C$20:$C$1000,1,false)</f>
        <v>ZSI1_CONVEYOR_ROLL</v>
      </c>
      <c r="H8426" s="63" t="str">
        <f>IFERROR(__xludf.DUMMYFUNCTION("VLOOKUP(F8426, IMPORTRANGE(""https://docs.google.com/spreadsheets/d/1Lhp9OU0JdFf_VYSMzH5lBcEaU4o8teT1piV-SNzShjg/edit?gid=554141278#gid=554141278"", ""'Char Def. - Attributes'!C20:C2242""), 1,false)"),"PLANT_BUY")</f>
        <v>PLANT_BUY</v>
      </c>
      <c r="I8426" s="136"/>
      <c r="R8426" s="63" t="str">
        <f t="shared" si="60"/>
        <v>ZSI1_CONVEYOR_ROLLPLANT_BUY</v>
      </c>
    </row>
    <row r="8427" ht="15.75" customHeight="1">
      <c r="B8427" s="63">
        <f t="shared" si="1"/>
        <v>18</v>
      </c>
      <c r="C8427" s="135" t="s">
        <v>537</v>
      </c>
      <c r="D8427" s="161" t="s">
        <v>74</v>
      </c>
      <c r="E8427" s="135">
        <f t="shared" si="62"/>
        <v>8</v>
      </c>
      <c r="F8427" s="134" t="s">
        <v>4359</v>
      </c>
      <c r="G8427" s="63" t="str">
        <f>VLOOKUP(C8427, 'Class Def. - General Data'!$C$20:$C$1000,1,false)</f>
        <v>ZSI1_CONVEYOR_ROLL</v>
      </c>
      <c r="H8427" s="63" t="str">
        <f>IFERROR(__xludf.DUMMYFUNCTION("VLOOKUP(F8427, IMPORTRANGE(""https://docs.google.com/spreadsheets/d/1Lhp9OU0JdFf_VYSMzH5lBcEaU4o8teT1piV-SNzShjg/edit?gid=554141278#gid=554141278"", ""'Char Def. - Attributes'!C20:C2242""), 1,false)"),"BASE_UOM_CONV_ROLL")</f>
        <v>BASE_UOM_CONV_ROLL</v>
      </c>
      <c r="I8427" s="136"/>
      <c r="R8427" s="63" t="str">
        <f t="shared" si="60"/>
        <v>ZSI1_CONVEYOR_ROLLBASE_UOM_CONV_ROLL</v>
      </c>
    </row>
    <row r="8428" ht="15.75" customHeight="1">
      <c r="B8428" s="63">
        <f t="shared" si="1"/>
        <v>18</v>
      </c>
      <c r="C8428" s="135" t="s">
        <v>537</v>
      </c>
      <c r="D8428" s="161" t="s">
        <v>74</v>
      </c>
      <c r="E8428" s="135">
        <f t="shared" si="62"/>
        <v>9</v>
      </c>
      <c r="F8428" s="134" t="s">
        <v>4360</v>
      </c>
      <c r="G8428" s="63" t="str">
        <f>VLOOKUP(C8428, 'Class Def. - General Data'!$C$20:$C$1000,1,false)</f>
        <v>ZSI1_CONVEYOR_ROLL</v>
      </c>
      <c r="H8428" s="63" t="str">
        <f>IFERROR(__xludf.DUMMYFUNCTION("VLOOKUP(F8428, IMPORTRANGE(""https://docs.google.com/spreadsheets/d/1Lhp9OU0JdFf_VYSMzH5lBcEaU4o8teT1piV-SNzShjg/edit?gid=554141278#gid=554141278"", ""'Char Def. - Attributes'!C20:C2242""), 1,false)"),"ORDER_UNIT_CONV_ROLL")</f>
        <v>ORDER_UNIT_CONV_ROLL</v>
      </c>
      <c r="I8428" s="136"/>
      <c r="R8428" s="63" t="str">
        <f t="shared" si="60"/>
        <v>ZSI1_CONVEYOR_ROLLORDER_UNIT_CONV_ROLL</v>
      </c>
    </row>
    <row r="8429" ht="15.75" customHeight="1">
      <c r="B8429" s="63">
        <f t="shared" si="1"/>
        <v>18</v>
      </c>
      <c r="C8429" s="135" t="s">
        <v>537</v>
      </c>
      <c r="D8429" s="161" t="s">
        <v>74</v>
      </c>
      <c r="E8429" s="135">
        <f t="shared" si="62"/>
        <v>10</v>
      </c>
      <c r="F8429" s="134" t="s">
        <v>4056</v>
      </c>
      <c r="G8429" s="63" t="str">
        <f>VLOOKUP(C8429, 'Class Def. - General Data'!$C$20:$C$1000,1,false)</f>
        <v>ZSI1_CONVEYOR_ROLL</v>
      </c>
      <c r="H8429" s="63" t="str">
        <f>IFERROR(__xludf.DUMMYFUNCTION("VLOOKUP(F8429, IMPORTRANGE(""https://docs.google.com/spreadsheets/d/1Lhp9OU0JdFf_VYSMzH5lBcEaU4o8teT1piV-SNzShjg/edit?gid=554141278#gid=554141278"", ""'Char Def. - Attributes'!C20:C2242""), 1,false)"),"GROSS_WEIGHT_OPT")</f>
        <v>GROSS_WEIGHT_OPT</v>
      </c>
      <c r="I8429" s="136"/>
      <c r="R8429" s="63" t="str">
        <f t="shared" si="60"/>
        <v>ZSI1_CONVEYOR_ROLLGROSS_WEIGHT_OPT</v>
      </c>
    </row>
    <row r="8430" ht="15.75" customHeight="1">
      <c r="B8430" s="63">
        <f t="shared" si="1"/>
        <v>18</v>
      </c>
      <c r="C8430" s="135" t="s">
        <v>537</v>
      </c>
      <c r="D8430" s="161" t="s">
        <v>74</v>
      </c>
      <c r="E8430" s="135">
        <f t="shared" si="62"/>
        <v>11</v>
      </c>
      <c r="F8430" s="134" t="s">
        <v>4057</v>
      </c>
      <c r="G8430" s="63" t="str">
        <f>VLOOKUP(C8430, 'Class Def. - General Data'!$C$20:$C$1000,1,false)</f>
        <v>ZSI1_CONVEYOR_ROLL</v>
      </c>
      <c r="H8430" s="63" t="str">
        <f>IFERROR(__xludf.DUMMYFUNCTION("VLOOKUP(F8430, IMPORTRANGE(""https://docs.google.com/spreadsheets/d/1Lhp9OU0JdFf_VYSMzH5lBcEaU4o8teT1piV-SNzShjg/edit?gid=554141278#gid=554141278"", ""'Char Def. - Attributes'!C20:C2242""), 1,false)"),"NET_WEIGHT_OPT")</f>
        <v>NET_WEIGHT_OPT</v>
      </c>
      <c r="I8430" s="136"/>
      <c r="R8430" s="63" t="str">
        <f t="shared" si="60"/>
        <v>ZSI1_CONVEYOR_ROLLNET_WEIGHT_OPT</v>
      </c>
    </row>
    <row r="8431" ht="15.75" customHeight="1">
      <c r="B8431" s="63">
        <f t="shared" si="1"/>
        <v>18</v>
      </c>
      <c r="C8431" s="135" t="s">
        <v>537</v>
      </c>
      <c r="D8431" s="161" t="s">
        <v>74</v>
      </c>
      <c r="E8431" s="135">
        <f t="shared" si="62"/>
        <v>12</v>
      </c>
      <c r="F8431" s="134" t="s">
        <v>4058</v>
      </c>
      <c r="G8431" s="63" t="str">
        <f>VLOOKUP(C8431, 'Class Def. - General Data'!$C$20:$C$1000,1,false)</f>
        <v>ZSI1_CONVEYOR_ROLL</v>
      </c>
      <c r="H8431" s="63" t="str">
        <f>IFERROR(__xludf.DUMMYFUNCTION("VLOOKUP(F8431, IMPORTRANGE(""https://docs.google.com/spreadsheets/d/1Lhp9OU0JdFf_VYSMzH5lBcEaU4o8teT1piV-SNzShjg/edit?gid=554141278#gid=554141278"", ""'Char Def. - Attributes'!C20:C2242""), 1,false)"),"WEIGHT_UNIT_SI")</f>
        <v>WEIGHT_UNIT_SI</v>
      </c>
      <c r="I8431" s="136"/>
      <c r="R8431" s="63" t="str">
        <f t="shared" si="60"/>
        <v>ZSI1_CONVEYOR_ROLLWEIGHT_UNIT_SI</v>
      </c>
    </row>
    <row r="8432" ht="15.75" customHeight="1">
      <c r="B8432" s="63">
        <f t="shared" si="1"/>
        <v>18</v>
      </c>
      <c r="C8432" s="135" t="s">
        <v>537</v>
      </c>
      <c r="D8432" s="161" t="s">
        <v>74</v>
      </c>
      <c r="E8432" s="135">
        <f t="shared" si="62"/>
        <v>13</v>
      </c>
      <c r="F8432" s="134" t="s">
        <v>3877</v>
      </c>
      <c r="G8432" s="63" t="str">
        <f>VLOOKUP(C8432, 'Class Def. - General Data'!$C$20:$C$1000,1,false)</f>
        <v>ZSI1_CONVEYOR_ROLL</v>
      </c>
      <c r="H8432" s="63" t="str">
        <f>IFERROR(__xludf.DUMMYFUNCTION("VLOOKUP(F8432, IMPORTRANGE(""https://docs.google.com/spreadsheets/d/1Lhp9OU0JdFf_VYSMzH5lBcEaU4o8teT1piV-SNzShjg/edit?gid=554141278#gid=554141278"", ""'Char Def. - Attributes'!C20:C2242""), 1,false)"),"VOLUME_OPT")</f>
        <v>VOLUME_OPT</v>
      </c>
      <c r="I8432" s="136"/>
      <c r="R8432" s="63" t="str">
        <f t="shared" si="60"/>
        <v>ZSI1_CONVEYOR_ROLLVOLUME_OPT</v>
      </c>
    </row>
    <row r="8433" ht="15.75" customHeight="1">
      <c r="B8433" s="63">
        <f t="shared" si="1"/>
        <v>18</v>
      </c>
      <c r="C8433" s="135" t="s">
        <v>537</v>
      </c>
      <c r="D8433" s="161" t="s">
        <v>74</v>
      </c>
      <c r="E8433" s="135">
        <f t="shared" si="62"/>
        <v>14</v>
      </c>
      <c r="F8433" s="134" t="s">
        <v>4059</v>
      </c>
      <c r="G8433" s="63" t="str">
        <f>VLOOKUP(C8433, 'Class Def. - General Data'!$C$20:$C$1000,1,false)</f>
        <v>ZSI1_CONVEYOR_ROLL</v>
      </c>
      <c r="H8433" s="63" t="str">
        <f>IFERROR(__xludf.DUMMYFUNCTION("VLOOKUP(F8433, IMPORTRANGE(""https://docs.google.com/spreadsheets/d/1Lhp9OU0JdFf_VYSMzH5lBcEaU4o8teT1piV-SNzShjg/edit?gid=554141278#gid=554141278"", ""'Char Def. - Attributes'!C20:C2242""), 1,false)"),"VOLUME_UNIT_SI")</f>
        <v>VOLUME_UNIT_SI</v>
      </c>
      <c r="I8433" s="136"/>
      <c r="R8433" s="63" t="str">
        <f t="shared" si="60"/>
        <v>ZSI1_CONVEYOR_ROLLVOLUME_UNIT_SI</v>
      </c>
    </row>
    <row r="8434" ht="15.75" customHeight="1">
      <c r="B8434" s="63">
        <f t="shared" si="1"/>
        <v>18</v>
      </c>
      <c r="C8434" s="135" t="s">
        <v>537</v>
      </c>
      <c r="D8434" s="161" t="s">
        <v>74</v>
      </c>
      <c r="E8434" s="135">
        <f t="shared" si="62"/>
        <v>15</v>
      </c>
      <c r="F8434" s="134" t="s">
        <v>3804</v>
      </c>
      <c r="G8434" s="63" t="str">
        <f>VLOOKUP(C8434, 'Class Def. - General Data'!$C$20:$C$1000,1,false)</f>
        <v>ZSI1_CONVEYOR_ROLL</v>
      </c>
      <c r="H8434" s="63" t="str">
        <f>IFERROR(__xludf.DUMMYFUNCTION("VLOOKUP(F8434, IMPORTRANGE(""https://docs.google.com/spreadsheets/d/1Lhp9OU0JdFf_VYSMzH5lBcEaU4o8teT1piV-SNzShjg/edit?gid=554141278#gid=554141278"", ""'Char Def. - Attributes'!C20:C2242""), 1,false)"),"ALT_UOM1_SIPI")</f>
        <v>ALT_UOM1_SIPI</v>
      </c>
      <c r="I8434" s="136"/>
      <c r="R8434" s="63" t="str">
        <f t="shared" si="60"/>
        <v>ZSI1_CONVEYOR_ROLLALT_UOM1_SIPI</v>
      </c>
    </row>
    <row r="8435" ht="15.75" customHeight="1">
      <c r="B8435" s="63">
        <f t="shared" si="1"/>
        <v>18</v>
      </c>
      <c r="C8435" s="135" t="s">
        <v>537</v>
      </c>
      <c r="D8435" s="161" t="s">
        <v>74</v>
      </c>
      <c r="E8435" s="135">
        <f t="shared" si="62"/>
        <v>16</v>
      </c>
      <c r="F8435" s="134" t="s">
        <v>3805</v>
      </c>
      <c r="G8435" s="63" t="str">
        <f>VLOOKUP(C8435, 'Class Def. - General Data'!$C$20:$C$1000,1,false)</f>
        <v>ZSI1_CONVEYOR_ROLL</v>
      </c>
      <c r="H8435" s="63" t="str">
        <f>IFERROR(__xludf.DUMMYFUNCTION("VLOOKUP(F8435, IMPORTRANGE(""https://docs.google.com/spreadsheets/d/1Lhp9OU0JdFf_VYSMzH5lBcEaU4o8teT1piV-SNzShjg/edit?gid=554141278#gid=554141278"", ""'Char Def. - Attributes'!C20:C2242""), 1,false)"),"ALT_DENUM_UOM1")</f>
        <v>ALT_DENUM_UOM1</v>
      </c>
      <c r="I8435" s="136"/>
      <c r="R8435" s="63" t="str">
        <f t="shared" si="60"/>
        <v>ZSI1_CONVEYOR_ROLLALT_DENUM_UOM1</v>
      </c>
    </row>
    <row r="8436" ht="15.75" customHeight="1">
      <c r="B8436" s="63">
        <f t="shared" si="1"/>
        <v>18</v>
      </c>
      <c r="C8436" s="135" t="s">
        <v>537</v>
      </c>
      <c r="D8436" s="161" t="s">
        <v>74</v>
      </c>
      <c r="E8436" s="135">
        <f t="shared" si="62"/>
        <v>17</v>
      </c>
      <c r="F8436" s="134" t="s">
        <v>3806</v>
      </c>
      <c r="G8436" s="63" t="str">
        <f>VLOOKUP(C8436, 'Class Def. - General Data'!$C$20:$C$1000,1,false)</f>
        <v>ZSI1_CONVEYOR_ROLL</v>
      </c>
      <c r="H8436" s="63" t="str">
        <f>IFERROR(__xludf.DUMMYFUNCTION("VLOOKUP(F8436, IMPORTRANGE(""https://docs.google.com/spreadsheets/d/1Lhp9OU0JdFf_VYSMzH5lBcEaU4o8teT1piV-SNzShjg/edit?gid=554141278#gid=554141278"", ""'Char Def. - Attributes'!C20:C2242""), 1,false)"),"ALT_NUM_UOM1")</f>
        <v>ALT_NUM_UOM1</v>
      </c>
      <c r="I8436" s="136"/>
      <c r="R8436" s="63" t="str">
        <f t="shared" si="60"/>
        <v>ZSI1_CONVEYOR_ROLLALT_NUM_UOM1</v>
      </c>
    </row>
    <row r="8437" ht="15.75" customHeight="1">
      <c r="B8437" s="63">
        <f t="shared" si="1"/>
        <v>18</v>
      </c>
      <c r="C8437" s="135" t="s">
        <v>537</v>
      </c>
      <c r="D8437" s="161" t="s">
        <v>74</v>
      </c>
      <c r="E8437" s="135">
        <f t="shared" si="62"/>
        <v>18</v>
      </c>
      <c r="F8437" s="134" t="s">
        <v>3807</v>
      </c>
      <c r="G8437" s="63" t="str">
        <f>VLOOKUP(C8437, 'Class Def. - General Data'!$C$20:$C$1000,1,false)</f>
        <v>ZSI1_CONVEYOR_ROLL</v>
      </c>
      <c r="H8437" s="63" t="str">
        <f>IFERROR(__xludf.DUMMYFUNCTION("VLOOKUP(F8437, IMPORTRANGE(""https://docs.google.com/spreadsheets/d/1Lhp9OU0JdFf_VYSMzH5lBcEaU4o8teT1piV-SNzShjg/edit?gid=554141278#gid=554141278"", ""'Char Def. - Attributes'!C20:C2242""), 1,false)"),"ALT_UOM2_SIPI")</f>
        <v>ALT_UOM2_SIPI</v>
      </c>
      <c r="I8437" s="136"/>
      <c r="R8437" s="63" t="str">
        <f t="shared" si="60"/>
        <v>ZSI1_CONVEYOR_ROLLALT_UOM2_SIPI</v>
      </c>
    </row>
    <row r="8438" ht="15.75" customHeight="1">
      <c r="B8438" s="63">
        <f t="shared" si="1"/>
        <v>18</v>
      </c>
      <c r="C8438" s="135" t="s">
        <v>537</v>
      </c>
      <c r="D8438" s="161" t="s">
        <v>74</v>
      </c>
      <c r="E8438" s="135">
        <f t="shared" si="62"/>
        <v>19</v>
      </c>
      <c r="F8438" s="134" t="s">
        <v>3808</v>
      </c>
      <c r="G8438" s="63" t="str">
        <f>VLOOKUP(C8438, 'Class Def. - General Data'!$C$20:$C$1000,1,false)</f>
        <v>ZSI1_CONVEYOR_ROLL</v>
      </c>
      <c r="H8438" s="63" t="str">
        <f>IFERROR(__xludf.DUMMYFUNCTION("VLOOKUP(F8438, IMPORTRANGE(""https://docs.google.com/spreadsheets/d/1Lhp9OU0JdFf_VYSMzH5lBcEaU4o8teT1piV-SNzShjg/edit?gid=554141278#gid=554141278"", ""'Char Def. - Attributes'!C20:C2242""), 1,false)"),"ALT_DENUM_UOM2")</f>
        <v>ALT_DENUM_UOM2</v>
      </c>
      <c r="I8438" s="136"/>
      <c r="R8438" s="63" t="str">
        <f t="shared" si="60"/>
        <v>ZSI1_CONVEYOR_ROLLALT_DENUM_UOM2</v>
      </c>
    </row>
    <row r="8439" ht="15.75" customHeight="1">
      <c r="B8439" s="63">
        <f t="shared" si="1"/>
        <v>18</v>
      </c>
      <c r="C8439" s="135" t="s">
        <v>537</v>
      </c>
      <c r="D8439" s="161" t="s">
        <v>74</v>
      </c>
      <c r="E8439" s="135">
        <f t="shared" si="62"/>
        <v>20</v>
      </c>
      <c r="F8439" s="134" t="s">
        <v>3809</v>
      </c>
      <c r="G8439" s="63" t="str">
        <f>VLOOKUP(C8439, 'Class Def. - General Data'!$C$20:$C$1000,1,false)</f>
        <v>ZSI1_CONVEYOR_ROLL</v>
      </c>
      <c r="H8439" s="63" t="str">
        <f>IFERROR(__xludf.DUMMYFUNCTION("VLOOKUP(F8439, IMPORTRANGE(""https://docs.google.com/spreadsheets/d/1Lhp9OU0JdFf_VYSMzH5lBcEaU4o8teT1piV-SNzShjg/edit?gid=554141278#gid=554141278"", ""'Char Def. - Attributes'!C20:C2242""), 1,false)"),"ALT_NUM_UOM2")</f>
        <v>ALT_NUM_UOM2</v>
      </c>
      <c r="I8439" s="136"/>
      <c r="R8439" s="63" t="str">
        <f t="shared" si="60"/>
        <v>ZSI1_CONVEYOR_ROLLALT_NUM_UOM2</v>
      </c>
    </row>
    <row r="8440" ht="15.75" customHeight="1">
      <c r="B8440" s="63">
        <f t="shared" si="1"/>
        <v>18</v>
      </c>
      <c r="C8440" s="135" t="s">
        <v>537</v>
      </c>
      <c r="D8440" s="161" t="s">
        <v>74</v>
      </c>
      <c r="E8440" s="135">
        <f t="shared" si="62"/>
        <v>21</v>
      </c>
      <c r="F8440" s="134" t="s">
        <v>3810</v>
      </c>
      <c r="G8440" s="63" t="str">
        <f>VLOOKUP(C8440, 'Class Def. - General Data'!$C$20:$C$1000,1,false)</f>
        <v>ZSI1_CONVEYOR_ROLL</v>
      </c>
      <c r="H8440" s="63" t="str">
        <f>IFERROR(__xludf.DUMMYFUNCTION("VLOOKUP(F8440, IMPORTRANGE(""https://docs.google.com/spreadsheets/d/1Lhp9OU0JdFf_VYSMzH5lBcEaU4o8teT1piV-SNzShjg/edit?gid=554141278#gid=554141278"", ""'Char Def. - Attributes'!C20:C2242""), 1,false)"),"ALT_UOM3_SIPI")</f>
        <v>ALT_UOM3_SIPI</v>
      </c>
      <c r="I8440" s="136"/>
      <c r="R8440" s="63" t="str">
        <f t="shared" si="60"/>
        <v>ZSI1_CONVEYOR_ROLLALT_UOM3_SIPI</v>
      </c>
    </row>
    <row r="8441" ht="15.75" customHeight="1">
      <c r="B8441" s="63">
        <f t="shared" si="1"/>
        <v>18</v>
      </c>
      <c r="C8441" s="135" t="s">
        <v>537</v>
      </c>
      <c r="D8441" s="161" t="s">
        <v>74</v>
      </c>
      <c r="E8441" s="135">
        <f t="shared" si="62"/>
        <v>22</v>
      </c>
      <c r="F8441" s="134" t="s">
        <v>3811</v>
      </c>
      <c r="G8441" s="63" t="str">
        <f>VLOOKUP(C8441, 'Class Def. - General Data'!$C$20:$C$1000,1,false)</f>
        <v>ZSI1_CONVEYOR_ROLL</v>
      </c>
      <c r="H8441" s="63" t="str">
        <f>IFERROR(__xludf.DUMMYFUNCTION("VLOOKUP(F8441, IMPORTRANGE(""https://docs.google.com/spreadsheets/d/1Lhp9OU0JdFf_VYSMzH5lBcEaU4o8teT1piV-SNzShjg/edit?gid=554141278#gid=554141278"", ""'Char Def. - Attributes'!C20:C2242""), 1,false)"),"ALT_DENUM_UOM3")</f>
        <v>ALT_DENUM_UOM3</v>
      </c>
      <c r="I8441" s="136"/>
      <c r="R8441" s="63" t="str">
        <f t="shared" si="60"/>
        <v>ZSI1_CONVEYOR_ROLLALT_DENUM_UOM3</v>
      </c>
    </row>
    <row r="8442" ht="15.75" customHeight="1">
      <c r="B8442" s="63">
        <f t="shared" si="1"/>
        <v>18</v>
      </c>
      <c r="C8442" s="135" t="s">
        <v>537</v>
      </c>
      <c r="D8442" s="161" t="s">
        <v>74</v>
      </c>
      <c r="E8442" s="135">
        <f t="shared" si="62"/>
        <v>23</v>
      </c>
      <c r="F8442" s="134" t="s">
        <v>3812</v>
      </c>
      <c r="G8442" s="63" t="str">
        <f>VLOOKUP(C8442, 'Class Def. - General Data'!$C$20:$C$1000,1,false)</f>
        <v>ZSI1_CONVEYOR_ROLL</v>
      </c>
      <c r="H8442" s="63" t="str">
        <f>IFERROR(__xludf.DUMMYFUNCTION("VLOOKUP(F8442, IMPORTRANGE(""https://docs.google.com/spreadsheets/d/1Lhp9OU0JdFf_VYSMzH5lBcEaU4o8teT1piV-SNzShjg/edit?gid=554141278#gid=554141278"", ""'Char Def. - Attributes'!C20:C2242""), 1,false)"),"ALT_NUM_UOM3")</f>
        <v>ALT_NUM_UOM3</v>
      </c>
      <c r="I8442" s="136"/>
      <c r="R8442" s="63" t="str">
        <f t="shared" si="60"/>
        <v>ZSI1_CONVEYOR_ROLLALT_NUM_UOM3</v>
      </c>
    </row>
    <row r="8443" ht="15.75" customHeight="1">
      <c r="B8443" s="63">
        <f t="shared" si="1"/>
        <v>18</v>
      </c>
      <c r="C8443" s="135" t="s">
        <v>537</v>
      </c>
      <c r="D8443" s="161" t="s">
        <v>74</v>
      </c>
      <c r="E8443" s="135">
        <f t="shared" si="62"/>
        <v>24</v>
      </c>
      <c r="F8443" s="134" t="s">
        <v>3813</v>
      </c>
      <c r="G8443" s="63" t="str">
        <f>VLOOKUP(C8443, 'Class Def. - General Data'!$C$20:$C$1000,1,false)</f>
        <v>ZSI1_CONVEYOR_ROLL</v>
      </c>
      <c r="H8443" s="63" t="str">
        <f>IFERROR(__xludf.DUMMYFUNCTION("VLOOKUP(F8443, IMPORTRANGE(""https://docs.google.com/spreadsheets/d/1Lhp9OU0JdFf_VYSMzH5lBcEaU4o8teT1piV-SNzShjg/edit?gid=554141278#gid=554141278"", ""'Char Def. - Attributes'!C20:C2242""), 1,false)"),"ALT_UOM4_SIPI")</f>
        <v>ALT_UOM4_SIPI</v>
      </c>
      <c r="I8443" s="136"/>
      <c r="R8443" s="63" t="str">
        <f t="shared" si="60"/>
        <v>ZSI1_CONVEYOR_ROLLALT_UOM4_SIPI</v>
      </c>
    </row>
    <row r="8444" ht="15.75" customHeight="1">
      <c r="B8444" s="63">
        <f t="shared" si="1"/>
        <v>18</v>
      </c>
      <c r="C8444" s="135" t="s">
        <v>537</v>
      </c>
      <c r="D8444" s="161" t="s">
        <v>74</v>
      </c>
      <c r="E8444" s="135">
        <f t="shared" si="62"/>
        <v>25</v>
      </c>
      <c r="F8444" s="134" t="s">
        <v>3814</v>
      </c>
      <c r="G8444" s="63" t="str">
        <f>VLOOKUP(C8444, 'Class Def. - General Data'!$C$20:$C$1000,1,false)</f>
        <v>ZSI1_CONVEYOR_ROLL</v>
      </c>
      <c r="H8444" s="63" t="str">
        <f>IFERROR(__xludf.DUMMYFUNCTION("VLOOKUP(F8444, IMPORTRANGE(""https://docs.google.com/spreadsheets/d/1Lhp9OU0JdFf_VYSMzH5lBcEaU4o8teT1piV-SNzShjg/edit?gid=554141278#gid=554141278"", ""'Char Def. - Attributes'!C20:C2242""), 1,false)"),"ALT_DENUM_UOM4")</f>
        <v>ALT_DENUM_UOM4</v>
      </c>
      <c r="I8444" s="136"/>
      <c r="R8444" s="63" t="str">
        <f t="shared" si="60"/>
        <v>ZSI1_CONVEYOR_ROLLALT_DENUM_UOM4</v>
      </c>
    </row>
    <row r="8445" ht="15.75" customHeight="1">
      <c r="B8445" s="63">
        <f t="shared" si="1"/>
        <v>18</v>
      </c>
      <c r="C8445" s="135" t="s">
        <v>537</v>
      </c>
      <c r="D8445" s="161" t="s">
        <v>74</v>
      </c>
      <c r="E8445" s="135">
        <f t="shared" si="62"/>
        <v>26</v>
      </c>
      <c r="F8445" s="134" t="s">
        <v>3815</v>
      </c>
      <c r="G8445" s="63" t="str">
        <f>VLOOKUP(C8445, 'Class Def. - General Data'!$C$20:$C$1000,1,false)</f>
        <v>ZSI1_CONVEYOR_ROLL</v>
      </c>
      <c r="H8445" s="63" t="str">
        <f>IFERROR(__xludf.DUMMYFUNCTION("VLOOKUP(F8445, IMPORTRANGE(""https://docs.google.com/spreadsheets/d/1Lhp9OU0JdFf_VYSMzH5lBcEaU4o8teT1piV-SNzShjg/edit?gid=554141278#gid=554141278"", ""'Char Def. - Attributes'!C20:C2242""), 1,false)"),"ALT_NUM_UOM4")</f>
        <v>ALT_NUM_UOM4</v>
      </c>
      <c r="I8445" s="136"/>
      <c r="R8445" s="63" t="str">
        <f t="shared" si="60"/>
        <v>ZSI1_CONVEYOR_ROLLALT_NUM_UOM4</v>
      </c>
    </row>
    <row r="8446" ht="15.75" customHeight="1">
      <c r="B8446" s="63">
        <f t="shared" si="1"/>
        <v>18</v>
      </c>
      <c r="C8446" s="135" t="s">
        <v>537</v>
      </c>
      <c r="D8446" s="161" t="s">
        <v>74</v>
      </c>
      <c r="E8446" s="135">
        <f t="shared" si="62"/>
        <v>27</v>
      </c>
      <c r="F8446" s="134" t="s">
        <v>3816</v>
      </c>
      <c r="G8446" s="63" t="str">
        <f>VLOOKUP(C8446, 'Class Def. - General Data'!$C$20:$C$1000,1,false)</f>
        <v>ZSI1_CONVEYOR_ROLL</v>
      </c>
      <c r="H8446" s="63" t="str">
        <f>IFERROR(__xludf.DUMMYFUNCTION("VLOOKUP(F8446, IMPORTRANGE(""https://docs.google.com/spreadsheets/d/1Lhp9OU0JdFf_VYSMzH5lBcEaU4o8teT1piV-SNzShjg/edit?gid=554141278#gid=554141278"", ""'Char Def. - Attributes'!C20:C2242""), 1,false)"),"ALT_UOM5_SIPI")</f>
        <v>ALT_UOM5_SIPI</v>
      </c>
      <c r="I8446" s="136"/>
      <c r="R8446" s="63" t="str">
        <f t="shared" si="60"/>
        <v>ZSI1_CONVEYOR_ROLLALT_UOM5_SIPI</v>
      </c>
    </row>
    <row r="8447" ht="15.75" customHeight="1">
      <c r="B8447" s="63">
        <f t="shared" si="1"/>
        <v>18</v>
      </c>
      <c r="C8447" s="135" t="s">
        <v>537</v>
      </c>
      <c r="D8447" s="161" t="s">
        <v>74</v>
      </c>
      <c r="E8447" s="135">
        <f t="shared" si="62"/>
        <v>28</v>
      </c>
      <c r="F8447" s="134" t="s">
        <v>3817</v>
      </c>
      <c r="G8447" s="63" t="str">
        <f>VLOOKUP(C8447, 'Class Def. - General Data'!$C$20:$C$1000,1,false)</f>
        <v>ZSI1_CONVEYOR_ROLL</v>
      </c>
      <c r="H8447" s="63" t="str">
        <f>IFERROR(__xludf.DUMMYFUNCTION("VLOOKUP(F8447, IMPORTRANGE(""https://docs.google.com/spreadsheets/d/1Lhp9OU0JdFf_VYSMzH5lBcEaU4o8teT1piV-SNzShjg/edit?gid=554141278#gid=554141278"", ""'Char Def. - Attributes'!C20:C2242""), 1,false)"),"ALT_DENUM_UOM5")</f>
        <v>ALT_DENUM_UOM5</v>
      </c>
      <c r="I8447" s="136"/>
      <c r="R8447" s="63" t="str">
        <f t="shared" si="60"/>
        <v>ZSI1_CONVEYOR_ROLLALT_DENUM_UOM5</v>
      </c>
    </row>
    <row r="8448" ht="15.75" customHeight="1">
      <c r="B8448" s="63">
        <f t="shared" si="1"/>
        <v>18</v>
      </c>
      <c r="C8448" s="135" t="s">
        <v>537</v>
      </c>
      <c r="D8448" s="161" t="s">
        <v>74</v>
      </c>
      <c r="E8448" s="135">
        <f t="shared" si="62"/>
        <v>29</v>
      </c>
      <c r="F8448" s="134" t="s">
        <v>3818</v>
      </c>
      <c r="G8448" s="63" t="str">
        <f>VLOOKUP(C8448, 'Class Def. - General Data'!$C$20:$C$1000,1,false)</f>
        <v>ZSI1_CONVEYOR_ROLL</v>
      </c>
      <c r="H8448" s="63" t="str">
        <f>IFERROR(__xludf.DUMMYFUNCTION("VLOOKUP(F8448, IMPORTRANGE(""https://docs.google.com/spreadsheets/d/1Lhp9OU0JdFf_VYSMzH5lBcEaU4o8teT1piV-SNzShjg/edit?gid=554141278#gid=554141278"", ""'Char Def. - Attributes'!C20:C2242""), 1,false)"),"ALT_NUM_UOM5")</f>
        <v>ALT_NUM_UOM5</v>
      </c>
      <c r="I8448" s="136"/>
      <c r="R8448" s="63" t="str">
        <f t="shared" si="60"/>
        <v>ZSI1_CONVEYOR_ROLLALT_NUM_UOM5</v>
      </c>
    </row>
    <row r="8449" ht="15.75" customHeight="1">
      <c r="B8449" s="63">
        <f t="shared" si="1"/>
        <v>18</v>
      </c>
      <c r="C8449" s="135" t="s">
        <v>494</v>
      </c>
      <c r="D8449" s="161" t="s">
        <v>74</v>
      </c>
      <c r="E8449" s="135">
        <f t="shared" si="62"/>
        <v>1</v>
      </c>
      <c r="F8449" s="134" t="s">
        <v>4361</v>
      </c>
      <c r="G8449" s="63" t="str">
        <f>VLOOKUP(C8449, 'Class Def. - General Data'!$C$20:$C$1000,1,false)</f>
        <v>ZSI1_COOLING_EQUIP</v>
      </c>
      <c r="H8449" s="63" t="str">
        <f>IFERROR(__xludf.DUMMYFUNCTION("VLOOKUP(F8449, IMPORTRANGE(""https://docs.google.com/spreadsheets/d/1Lhp9OU0JdFf_VYSMzH5lBcEaU4o8teT1piV-SNzShjg/edit?gid=554141278#gid=554141278"", ""'Char Def. - Attributes'!C20:C2242""), 1,false)"),"ITEM_NAME_COOLING_EQUIP")</f>
        <v>ITEM_NAME_COOLING_EQUIP</v>
      </c>
      <c r="I8449" s="136"/>
      <c r="R8449" s="63" t="str">
        <f t="shared" si="60"/>
        <v>ZSI1_COOLING_EQUIPITEM_NAME_COOLING_EQUIP</v>
      </c>
    </row>
    <row r="8450" ht="15.75" customHeight="1">
      <c r="B8450" s="63">
        <f t="shared" si="1"/>
        <v>18</v>
      </c>
      <c r="C8450" s="135" t="s">
        <v>494</v>
      </c>
      <c r="D8450" s="161" t="s">
        <v>74</v>
      </c>
      <c r="E8450" s="135">
        <f t="shared" si="62"/>
        <v>2</v>
      </c>
      <c r="F8450" s="134" t="s">
        <v>4362</v>
      </c>
      <c r="G8450" s="63" t="str">
        <f>VLOOKUP(C8450, 'Class Def. - General Data'!$C$20:$C$1000,1,false)</f>
        <v>ZSI1_COOLING_EQUIP</v>
      </c>
      <c r="H8450" s="63" t="str">
        <f>IFERROR(__xludf.DUMMYFUNCTION("VLOOKUP(F8450, IMPORTRANGE(""https://docs.google.com/spreadsheets/d/1Lhp9OU0JdFf_VYSMzH5lBcEaU4o8teT1piV-SNzShjg/edit?gid=554141278#gid=554141278"", ""'Char Def. - Attributes'!C20:C2242""), 1,false)"),"MFR_NO_COOLING_EQUIP")</f>
        <v>MFR_NO_COOLING_EQUIP</v>
      </c>
      <c r="I8450" s="136"/>
      <c r="R8450" s="63" t="str">
        <f t="shared" si="60"/>
        <v>ZSI1_COOLING_EQUIPMFR_NO_COOLING_EQUIP</v>
      </c>
    </row>
    <row r="8451" ht="15.75" customHeight="1">
      <c r="B8451" s="63">
        <f t="shared" si="1"/>
        <v>18</v>
      </c>
      <c r="C8451" s="135" t="s">
        <v>494</v>
      </c>
      <c r="D8451" s="161" t="s">
        <v>74</v>
      </c>
      <c r="E8451" s="135">
        <f t="shared" si="62"/>
        <v>3</v>
      </c>
      <c r="F8451" s="134" t="s">
        <v>3782</v>
      </c>
      <c r="G8451" s="63" t="str">
        <f>VLOOKUP(C8451, 'Class Def. - General Data'!$C$20:$C$1000,1,false)</f>
        <v>ZSI1_COOLING_EQUIP</v>
      </c>
      <c r="H8451" s="63" t="str">
        <f>IFERROR(__xludf.DUMMYFUNCTION("VLOOKUP(F8451, IMPORTRANGE(""https://docs.google.com/spreadsheets/d/1Lhp9OU0JdFf_VYSMzH5lBcEaU4o8teT1piV-SNzShjg/edit?gid=554141278#gid=554141278"", ""'Char Def. - Attributes'!C20:C2242""), 1,false)"),"BRAND_EXTERNAL")</f>
        <v>BRAND_EXTERNAL</v>
      </c>
      <c r="I8451" s="136"/>
      <c r="R8451" s="63" t="str">
        <f t="shared" si="60"/>
        <v>ZSI1_COOLING_EQUIPBRAND_EXTERNAL</v>
      </c>
    </row>
    <row r="8452" ht="15.75" customHeight="1">
      <c r="B8452" s="63">
        <f t="shared" si="1"/>
        <v>18</v>
      </c>
      <c r="C8452" s="135" t="s">
        <v>494</v>
      </c>
      <c r="D8452" s="161" t="s">
        <v>74</v>
      </c>
      <c r="E8452" s="135">
        <f t="shared" si="62"/>
        <v>4</v>
      </c>
      <c r="F8452" s="135" t="s">
        <v>4363</v>
      </c>
      <c r="G8452" s="63" t="str">
        <f>VLOOKUP(C8452, 'Class Def. - General Data'!$C$20:$C$1000,1,false)</f>
        <v>ZSI1_COOLING_EQUIP</v>
      </c>
      <c r="H8452" s="63" t="str">
        <f>IFERROR(__xludf.DUMMYFUNCTION("VLOOKUP(F8452, IMPORTRANGE(""https://docs.google.com/spreadsheets/d/1Lhp9OU0JdFf_VYSMzH5lBcEaU4o8teT1piV-SNzShjg/edit?gid=554141278#gid=554141278"", ""'Char Def. - Attributes'!C20:C2242""), 1,false)"),"#N/A")</f>
        <v>#N/A</v>
      </c>
      <c r="I8452" s="136"/>
      <c r="R8452" s="63" t="str">
        <f t="shared" si="60"/>
        <v>ZSI1_COOLING_EQUIPSIZE_DIMENSION_COOLING_EQUIP</v>
      </c>
    </row>
    <row r="8453" ht="15.75" customHeight="1">
      <c r="B8453" s="63">
        <f t="shared" si="1"/>
        <v>18</v>
      </c>
      <c r="C8453" s="135" t="s">
        <v>494</v>
      </c>
      <c r="D8453" s="161" t="s">
        <v>74</v>
      </c>
      <c r="E8453" s="135">
        <f t="shared" si="62"/>
        <v>5</v>
      </c>
      <c r="F8453" s="135" t="s">
        <v>4364</v>
      </c>
      <c r="G8453" s="63" t="str">
        <f>VLOOKUP(C8453, 'Class Def. - General Data'!$C$20:$C$1000,1,false)</f>
        <v>ZSI1_COOLING_EQUIP</v>
      </c>
      <c r="H8453" s="63" t="str">
        <f>IFERROR(__xludf.DUMMYFUNCTION("VLOOKUP(F8453, IMPORTRANGE(""https://docs.google.com/spreadsheets/d/1Lhp9OU0JdFf_VYSMzH5lBcEaU4o8teT1piV-SNzShjg/edit?gid=554141278#gid=554141278"", ""'Char Def. - Attributes'!C20:C2242""), 1,false)"),"#N/A")</f>
        <v>#N/A</v>
      </c>
      <c r="I8453" s="136"/>
      <c r="R8453" s="63" t="str">
        <f t="shared" si="60"/>
        <v>ZSI1_COOLING_EQUIPSIZE_COOLING_EQUIP</v>
      </c>
    </row>
    <row r="8454" ht="15.75" customHeight="1">
      <c r="B8454" s="63">
        <f t="shared" si="1"/>
        <v>18</v>
      </c>
      <c r="C8454" s="135" t="s">
        <v>494</v>
      </c>
      <c r="D8454" s="161" t="s">
        <v>74</v>
      </c>
      <c r="E8454" s="135">
        <f t="shared" si="62"/>
        <v>6</v>
      </c>
      <c r="F8454" s="134" t="s">
        <v>3585</v>
      </c>
      <c r="G8454" s="63" t="str">
        <f>VLOOKUP(C8454, 'Class Def. - General Data'!$C$20:$C$1000,1,false)</f>
        <v>ZSI1_COOLING_EQUIP</v>
      </c>
      <c r="H8454" s="63" t="str">
        <f>IFERROR(__xludf.DUMMYFUNCTION("VLOOKUP(F8454, IMPORTRANGE(""https://docs.google.com/spreadsheets/d/1Lhp9OU0JdFf_VYSMzH5lBcEaU4o8teT1piV-SNzShjg/edit?gid=554141278#gid=554141278"", ""'Char Def. - Attributes'!C20:C2242""), 1,false)"),"HS_CODE")</f>
        <v>HS_CODE</v>
      </c>
      <c r="I8454" s="136"/>
      <c r="R8454" s="63" t="str">
        <f t="shared" si="60"/>
        <v>ZSI1_COOLING_EQUIPHS_CODE</v>
      </c>
    </row>
    <row r="8455" ht="15.75" customHeight="1">
      <c r="B8455" s="63">
        <f t="shared" si="1"/>
        <v>18</v>
      </c>
      <c r="C8455" s="135" t="s">
        <v>494</v>
      </c>
      <c r="D8455" s="161" t="s">
        <v>74</v>
      </c>
      <c r="E8455" s="135">
        <f t="shared" si="62"/>
        <v>7</v>
      </c>
      <c r="F8455" s="134" t="s">
        <v>3587</v>
      </c>
      <c r="G8455" s="63" t="str">
        <f>VLOOKUP(C8455, 'Class Def. - General Data'!$C$20:$C$1000,1,false)</f>
        <v>ZSI1_COOLING_EQUIP</v>
      </c>
      <c r="H8455" s="63" t="str">
        <f>IFERROR(__xludf.DUMMYFUNCTION("VLOOKUP(F8455, IMPORTRANGE(""https://docs.google.com/spreadsheets/d/1Lhp9OU0JdFf_VYSMzH5lBcEaU4o8teT1piV-SNzShjg/edit?gid=554141278#gid=554141278"", ""'Char Def. - Attributes'!C20:C2242""), 1,false)"),"PLANT_BUY")</f>
        <v>PLANT_BUY</v>
      </c>
      <c r="I8455" s="136"/>
      <c r="R8455" s="63" t="str">
        <f t="shared" si="60"/>
        <v>ZSI1_COOLING_EQUIPPLANT_BUY</v>
      </c>
    </row>
    <row r="8456" ht="15.75" customHeight="1">
      <c r="B8456" s="63">
        <f t="shared" si="1"/>
        <v>18</v>
      </c>
      <c r="C8456" s="135" t="s">
        <v>494</v>
      </c>
      <c r="D8456" s="161" t="s">
        <v>74</v>
      </c>
      <c r="E8456" s="135">
        <f t="shared" si="62"/>
        <v>8</v>
      </c>
      <c r="F8456" s="134" t="s">
        <v>4365</v>
      </c>
      <c r="G8456" s="63" t="str">
        <f>VLOOKUP(C8456, 'Class Def. - General Data'!$C$20:$C$1000,1,false)</f>
        <v>ZSI1_COOLING_EQUIP</v>
      </c>
      <c r="H8456" s="63" t="str">
        <f>IFERROR(__xludf.DUMMYFUNCTION("VLOOKUP(F8456, IMPORTRANGE(""https://docs.google.com/spreadsheets/d/1Lhp9OU0JdFf_VYSMzH5lBcEaU4o8teT1piV-SNzShjg/edit?gid=554141278#gid=554141278"", ""'Char Def. - Attributes'!C20:C2242""), 1,false)"),"BASE_UOM_COOLING_EQUIP")</f>
        <v>BASE_UOM_COOLING_EQUIP</v>
      </c>
      <c r="I8456" s="136"/>
      <c r="R8456" s="63" t="str">
        <f t="shared" si="60"/>
        <v>ZSI1_COOLING_EQUIPBASE_UOM_COOLING_EQUIP</v>
      </c>
    </row>
    <row r="8457" ht="15.75" customHeight="1">
      <c r="B8457" s="63">
        <f t="shared" si="1"/>
        <v>18</v>
      </c>
      <c r="C8457" s="135" t="s">
        <v>494</v>
      </c>
      <c r="D8457" s="161" t="s">
        <v>74</v>
      </c>
      <c r="E8457" s="135">
        <f t="shared" si="62"/>
        <v>9</v>
      </c>
      <c r="F8457" s="134" t="s">
        <v>4366</v>
      </c>
      <c r="G8457" s="63" t="str">
        <f>VLOOKUP(C8457, 'Class Def. - General Data'!$C$20:$C$1000,1,false)</f>
        <v>ZSI1_COOLING_EQUIP</v>
      </c>
      <c r="H8457" s="63" t="str">
        <f>IFERROR(__xludf.DUMMYFUNCTION("VLOOKUP(F8457, IMPORTRANGE(""https://docs.google.com/spreadsheets/d/1Lhp9OU0JdFf_VYSMzH5lBcEaU4o8teT1piV-SNzShjg/edit?gid=554141278#gid=554141278"", ""'Char Def. - Attributes'!C20:C2242""), 1,false)"),"ORDER_UNIT_COOLING_EQUIP")</f>
        <v>ORDER_UNIT_COOLING_EQUIP</v>
      </c>
      <c r="I8457" s="136"/>
      <c r="R8457" s="63" t="str">
        <f t="shared" si="60"/>
        <v>ZSI1_COOLING_EQUIPORDER_UNIT_COOLING_EQUIP</v>
      </c>
    </row>
    <row r="8458" ht="15.75" customHeight="1">
      <c r="B8458" s="63">
        <f t="shared" si="1"/>
        <v>18</v>
      </c>
      <c r="C8458" s="135" t="s">
        <v>494</v>
      </c>
      <c r="D8458" s="161" t="s">
        <v>74</v>
      </c>
      <c r="E8458" s="135">
        <f t="shared" si="62"/>
        <v>10</v>
      </c>
      <c r="F8458" s="134" t="s">
        <v>4056</v>
      </c>
      <c r="G8458" s="63" t="str">
        <f>VLOOKUP(C8458, 'Class Def. - General Data'!$C$20:$C$1000,1,false)</f>
        <v>ZSI1_COOLING_EQUIP</v>
      </c>
      <c r="H8458" s="63" t="str">
        <f>IFERROR(__xludf.DUMMYFUNCTION("VLOOKUP(F8458, IMPORTRANGE(""https://docs.google.com/spreadsheets/d/1Lhp9OU0JdFf_VYSMzH5lBcEaU4o8teT1piV-SNzShjg/edit?gid=554141278#gid=554141278"", ""'Char Def. - Attributes'!C20:C2242""), 1,false)"),"GROSS_WEIGHT_OPT")</f>
        <v>GROSS_WEIGHT_OPT</v>
      </c>
      <c r="I8458" s="136"/>
      <c r="R8458" s="63" t="str">
        <f t="shared" si="60"/>
        <v>ZSI1_COOLING_EQUIPGROSS_WEIGHT_OPT</v>
      </c>
    </row>
    <row r="8459" ht="15.75" customHeight="1">
      <c r="B8459" s="63">
        <f t="shared" si="1"/>
        <v>18</v>
      </c>
      <c r="C8459" s="135" t="s">
        <v>494</v>
      </c>
      <c r="D8459" s="161" t="s">
        <v>74</v>
      </c>
      <c r="E8459" s="135">
        <f t="shared" si="62"/>
        <v>11</v>
      </c>
      <c r="F8459" s="134" t="s">
        <v>4057</v>
      </c>
      <c r="G8459" s="63" t="str">
        <f>VLOOKUP(C8459, 'Class Def. - General Data'!$C$20:$C$1000,1,false)</f>
        <v>ZSI1_COOLING_EQUIP</v>
      </c>
      <c r="H8459" s="63" t="str">
        <f>IFERROR(__xludf.DUMMYFUNCTION("VLOOKUP(F8459, IMPORTRANGE(""https://docs.google.com/spreadsheets/d/1Lhp9OU0JdFf_VYSMzH5lBcEaU4o8teT1piV-SNzShjg/edit?gid=554141278#gid=554141278"", ""'Char Def. - Attributes'!C20:C2242""), 1,false)"),"NET_WEIGHT_OPT")</f>
        <v>NET_WEIGHT_OPT</v>
      </c>
      <c r="I8459" s="136"/>
      <c r="R8459" s="63" t="str">
        <f t="shared" si="60"/>
        <v>ZSI1_COOLING_EQUIPNET_WEIGHT_OPT</v>
      </c>
    </row>
    <row r="8460" ht="15.75" customHeight="1">
      <c r="B8460" s="63">
        <f t="shared" si="1"/>
        <v>18</v>
      </c>
      <c r="C8460" s="135" t="s">
        <v>494</v>
      </c>
      <c r="D8460" s="161" t="s">
        <v>74</v>
      </c>
      <c r="E8460" s="135">
        <f t="shared" si="62"/>
        <v>12</v>
      </c>
      <c r="F8460" s="134" t="s">
        <v>4058</v>
      </c>
      <c r="G8460" s="63" t="str">
        <f>VLOOKUP(C8460, 'Class Def. - General Data'!$C$20:$C$1000,1,false)</f>
        <v>ZSI1_COOLING_EQUIP</v>
      </c>
      <c r="H8460" s="63" t="str">
        <f>IFERROR(__xludf.DUMMYFUNCTION("VLOOKUP(F8460, IMPORTRANGE(""https://docs.google.com/spreadsheets/d/1Lhp9OU0JdFf_VYSMzH5lBcEaU4o8teT1piV-SNzShjg/edit?gid=554141278#gid=554141278"", ""'Char Def. - Attributes'!C20:C2242""), 1,false)"),"WEIGHT_UNIT_SI")</f>
        <v>WEIGHT_UNIT_SI</v>
      </c>
      <c r="I8460" s="136"/>
      <c r="R8460" s="63" t="str">
        <f t="shared" si="60"/>
        <v>ZSI1_COOLING_EQUIPWEIGHT_UNIT_SI</v>
      </c>
    </row>
    <row r="8461" ht="15.75" customHeight="1">
      <c r="B8461" s="63">
        <f t="shared" si="1"/>
        <v>18</v>
      </c>
      <c r="C8461" s="135" t="s">
        <v>494</v>
      </c>
      <c r="D8461" s="161" t="s">
        <v>74</v>
      </c>
      <c r="E8461" s="135">
        <f t="shared" si="62"/>
        <v>13</v>
      </c>
      <c r="F8461" s="134" t="s">
        <v>3877</v>
      </c>
      <c r="G8461" s="63" t="str">
        <f>VLOOKUP(C8461, 'Class Def. - General Data'!$C$20:$C$1000,1,false)</f>
        <v>ZSI1_COOLING_EQUIP</v>
      </c>
      <c r="H8461" s="63" t="str">
        <f>IFERROR(__xludf.DUMMYFUNCTION("VLOOKUP(F8461, IMPORTRANGE(""https://docs.google.com/spreadsheets/d/1Lhp9OU0JdFf_VYSMzH5lBcEaU4o8teT1piV-SNzShjg/edit?gid=554141278#gid=554141278"", ""'Char Def. - Attributes'!C20:C2242""), 1,false)"),"VOLUME_OPT")</f>
        <v>VOLUME_OPT</v>
      </c>
      <c r="I8461" s="136"/>
      <c r="R8461" s="63" t="str">
        <f t="shared" si="60"/>
        <v>ZSI1_COOLING_EQUIPVOLUME_OPT</v>
      </c>
    </row>
    <row r="8462" ht="15.75" customHeight="1">
      <c r="B8462" s="63">
        <f t="shared" si="1"/>
        <v>18</v>
      </c>
      <c r="C8462" s="135" t="s">
        <v>494</v>
      </c>
      <c r="D8462" s="161" t="s">
        <v>74</v>
      </c>
      <c r="E8462" s="135">
        <f t="shared" si="62"/>
        <v>14</v>
      </c>
      <c r="F8462" s="134" t="s">
        <v>4059</v>
      </c>
      <c r="G8462" s="63" t="str">
        <f>VLOOKUP(C8462, 'Class Def. - General Data'!$C$20:$C$1000,1,false)</f>
        <v>ZSI1_COOLING_EQUIP</v>
      </c>
      <c r="H8462" s="63" t="str">
        <f>IFERROR(__xludf.DUMMYFUNCTION("VLOOKUP(F8462, IMPORTRANGE(""https://docs.google.com/spreadsheets/d/1Lhp9OU0JdFf_VYSMzH5lBcEaU4o8teT1piV-SNzShjg/edit?gid=554141278#gid=554141278"", ""'Char Def. - Attributes'!C20:C2242""), 1,false)"),"VOLUME_UNIT_SI")</f>
        <v>VOLUME_UNIT_SI</v>
      </c>
      <c r="I8462" s="136"/>
      <c r="R8462" s="63" t="str">
        <f t="shared" si="60"/>
        <v>ZSI1_COOLING_EQUIPVOLUME_UNIT_SI</v>
      </c>
    </row>
    <row r="8463" ht="15.75" customHeight="1">
      <c r="B8463" s="63">
        <f t="shared" si="1"/>
        <v>18</v>
      </c>
      <c r="C8463" s="135" t="s">
        <v>494</v>
      </c>
      <c r="D8463" s="161" t="s">
        <v>74</v>
      </c>
      <c r="E8463" s="135">
        <f t="shared" si="62"/>
        <v>15</v>
      </c>
      <c r="F8463" s="134" t="s">
        <v>3804</v>
      </c>
      <c r="G8463" s="63" t="str">
        <f>VLOOKUP(C8463, 'Class Def. - General Data'!$C$20:$C$1000,1,false)</f>
        <v>ZSI1_COOLING_EQUIP</v>
      </c>
      <c r="H8463" s="63" t="str">
        <f>IFERROR(__xludf.DUMMYFUNCTION("VLOOKUP(F8463, IMPORTRANGE(""https://docs.google.com/spreadsheets/d/1Lhp9OU0JdFf_VYSMzH5lBcEaU4o8teT1piV-SNzShjg/edit?gid=554141278#gid=554141278"", ""'Char Def. - Attributes'!C20:C2242""), 1,false)"),"ALT_UOM1_SIPI")</f>
        <v>ALT_UOM1_SIPI</v>
      </c>
      <c r="I8463" s="136"/>
      <c r="R8463" s="63" t="str">
        <f t="shared" si="60"/>
        <v>ZSI1_COOLING_EQUIPALT_UOM1_SIPI</v>
      </c>
    </row>
    <row r="8464" ht="15.75" customHeight="1">
      <c r="B8464" s="63">
        <f t="shared" si="1"/>
        <v>18</v>
      </c>
      <c r="C8464" s="135" t="s">
        <v>494</v>
      </c>
      <c r="D8464" s="161" t="s">
        <v>74</v>
      </c>
      <c r="E8464" s="135">
        <f t="shared" si="62"/>
        <v>16</v>
      </c>
      <c r="F8464" s="134" t="s">
        <v>3805</v>
      </c>
      <c r="G8464" s="63" t="str">
        <f>VLOOKUP(C8464, 'Class Def. - General Data'!$C$20:$C$1000,1,false)</f>
        <v>ZSI1_COOLING_EQUIP</v>
      </c>
      <c r="H8464" s="63" t="str">
        <f>IFERROR(__xludf.DUMMYFUNCTION("VLOOKUP(F8464, IMPORTRANGE(""https://docs.google.com/spreadsheets/d/1Lhp9OU0JdFf_VYSMzH5lBcEaU4o8teT1piV-SNzShjg/edit?gid=554141278#gid=554141278"", ""'Char Def. - Attributes'!C20:C2242""), 1,false)"),"ALT_DENUM_UOM1")</f>
        <v>ALT_DENUM_UOM1</v>
      </c>
      <c r="I8464" s="136"/>
      <c r="R8464" s="63" t="str">
        <f t="shared" si="60"/>
        <v>ZSI1_COOLING_EQUIPALT_DENUM_UOM1</v>
      </c>
    </row>
    <row r="8465" ht="15.75" customHeight="1">
      <c r="B8465" s="63">
        <f t="shared" si="1"/>
        <v>18</v>
      </c>
      <c r="C8465" s="135" t="s">
        <v>494</v>
      </c>
      <c r="D8465" s="161" t="s">
        <v>74</v>
      </c>
      <c r="E8465" s="135">
        <f t="shared" si="62"/>
        <v>17</v>
      </c>
      <c r="F8465" s="134" t="s">
        <v>3806</v>
      </c>
      <c r="G8465" s="63" t="str">
        <f>VLOOKUP(C8465, 'Class Def. - General Data'!$C$20:$C$1000,1,false)</f>
        <v>ZSI1_COOLING_EQUIP</v>
      </c>
      <c r="H8465" s="63" t="str">
        <f>IFERROR(__xludf.DUMMYFUNCTION("VLOOKUP(F8465, IMPORTRANGE(""https://docs.google.com/spreadsheets/d/1Lhp9OU0JdFf_VYSMzH5lBcEaU4o8teT1piV-SNzShjg/edit?gid=554141278#gid=554141278"", ""'Char Def. - Attributes'!C20:C2242""), 1,false)"),"ALT_NUM_UOM1")</f>
        <v>ALT_NUM_UOM1</v>
      </c>
      <c r="I8465" s="136"/>
      <c r="R8465" s="63" t="str">
        <f t="shared" si="60"/>
        <v>ZSI1_COOLING_EQUIPALT_NUM_UOM1</v>
      </c>
    </row>
    <row r="8466" ht="15.75" customHeight="1">
      <c r="B8466" s="63">
        <f t="shared" si="1"/>
        <v>18</v>
      </c>
      <c r="C8466" s="135" t="s">
        <v>494</v>
      </c>
      <c r="D8466" s="161" t="s">
        <v>74</v>
      </c>
      <c r="E8466" s="135">
        <f t="shared" si="62"/>
        <v>18</v>
      </c>
      <c r="F8466" s="134" t="s">
        <v>3807</v>
      </c>
      <c r="G8466" s="63" t="str">
        <f>VLOOKUP(C8466, 'Class Def. - General Data'!$C$20:$C$1000,1,false)</f>
        <v>ZSI1_COOLING_EQUIP</v>
      </c>
      <c r="H8466" s="63" t="str">
        <f>IFERROR(__xludf.DUMMYFUNCTION("VLOOKUP(F8466, IMPORTRANGE(""https://docs.google.com/spreadsheets/d/1Lhp9OU0JdFf_VYSMzH5lBcEaU4o8teT1piV-SNzShjg/edit?gid=554141278#gid=554141278"", ""'Char Def. - Attributes'!C20:C2242""), 1,false)"),"ALT_UOM2_SIPI")</f>
        <v>ALT_UOM2_SIPI</v>
      </c>
      <c r="I8466" s="136"/>
      <c r="R8466" s="63" t="str">
        <f t="shared" si="60"/>
        <v>ZSI1_COOLING_EQUIPALT_UOM2_SIPI</v>
      </c>
    </row>
    <row r="8467" ht="15.75" customHeight="1">
      <c r="B8467" s="63">
        <f t="shared" si="1"/>
        <v>18</v>
      </c>
      <c r="C8467" s="135" t="s">
        <v>494</v>
      </c>
      <c r="D8467" s="161" t="s">
        <v>74</v>
      </c>
      <c r="E8467" s="135">
        <f t="shared" si="62"/>
        <v>19</v>
      </c>
      <c r="F8467" s="134" t="s">
        <v>3808</v>
      </c>
      <c r="G8467" s="63" t="str">
        <f>VLOOKUP(C8467, 'Class Def. - General Data'!$C$20:$C$1000,1,false)</f>
        <v>ZSI1_COOLING_EQUIP</v>
      </c>
      <c r="H8467" s="63" t="str">
        <f>IFERROR(__xludf.DUMMYFUNCTION("VLOOKUP(F8467, IMPORTRANGE(""https://docs.google.com/spreadsheets/d/1Lhp9OU0JdFf_VYSMzH5lBcEaU4o8teT1piV-SNzShjg/edit?gid=554141278#gid=554141278"", ""'Char Def. - Attributes'!C20:C2242""), 1,false)"),"ALT_DENUM_UOM2")</f>
        <v>ALT_DENUM_UOM2</v>
      </c>
      <c r="I8467" s="136"/>
      <c r="R8467" s="63" t="str">
        <f t="shared" si="60"/>
        <v>ZSI1_COOLING_EQUIPALT_DENUM_UOM2</v>
      </c>
    </row>
    <row r="8468" ht="15.75" customHeight="1">
      <c r="B8468" s="63">
        <f t="shared" si="1"/>
        <v>18</v>
      </c>
      <c r="C8468" s="135" t="s">
        <v>494</v>
      </c>
      <c r="D8468" s="161" t="s">
        <v>74</v>
      </c>
      <c r="E8468" s="135">
        <f t="shared" si="62"/>
        <v>20</v>
      </c>
      <c r="F8468" s="134" t="s">
        <v>3809</v>
      </c>
      <c r="G8468" s="63" t="str">
        <f>VLOOKUP(C8468, 'Class Def. - General Data'!$C$20:$C$1000,1,false)</f>
        <v>ZSI1_COOLING_EQUIP</v>
      </c>
      <c r="H8468" s="63" t="str">
        <f>IFERROR(__xludf.DUMMYFUNCTION("VLOOKUP(F8468, IMPORTRANGE(""https://docs.google.com/spreadsheets/d/1Lhp9OU0JdFf_VYSMzH5lBcEaU4o8teT1piV-SNzShjg/edit?gid=554141278#gid=554141278"", ""'Char Def. - Attributes'!C20:C2242""), 1,false)"),"ALT_NUM_UOM2")</f>
        <v>ALT_NUM_UOM2</v>
      </c>
      <c r="I8468" s="136"/>
      <c r="R8468" s="63" t="str">
        <f t="shared" si="60"/>
        <v>ZSI1_COOLING_EQUIPALT_NUM_UOM2</v>
      </c>
    </row>
    <row r="8469" ht="15.75" customHeight="1">
      <c r="B8469" s="63">
        <f t="shared" si="1"/>
        <v>18</v>
      </c>
      <c r="C8469" s="135" t="s">
        <v>494</v>
      </c>
      <c r="D8469" s="161" t="s">
        <v>74</v>
      </c>
      <c r="E8469" s="135">
        <f t="shared" si="62"/>
        <v>21</v>
      </c>
      <c r="F8469" s="134" t="s">
        <v>3810</v>
      </c>
      <c r="G8469" s="63" t="str">
        <f>VLOOKUP(C8469, 'Class Def. - General Data'!$C$20:$C$1000,1,false)</f>
        <v>ZSI1_COOLING_EQUIP</v>
      </c>
      <c r="H8469" s="63" t="str">
        <f>IFERROR(__xludf.DUMMYFUNCTION("VLOOKUP(F8469, IMPORTRANGE(""https://docs.google.com/spreadsheets/d/1Lhp9OU0JdFf_VYSMzH5lBcEaU4o8teT1piV-SNzShjg/edit?gid=554141278#gid=554141278"", ""'Char Def. - Attributes'!C20:C2242""), 1,false)"),"ALT_UOM3_SIPI")</f>
        <v>ALT_UOM3_SIPI</v>
      </c>
      <c r="I8469" s="136"/>
      <c r="R8469" s="63" t="str">
        <f t="shared" si="60"/>
        <v>ZSI1_COOLING_EQUIPALT_UOM3_SIPI</v>
      </c>
    </row>
    <row r="8470" ht="15.75" customHeight="1">
      <c r="B8470" s="63">
        <f t="shared" si="1"/>
        <v>18</v>
      </c>
      <c r="C8470" s="135" t="s">
        <v>494</v>
      </c>
      <c r="D8470" s="161" t="s">
        <v>74</v>
      </c>
      <c r="E8470" s="135">
        <f t="shared" si="62"/>
        <v>22</v>
      </c>
      <c r="F8470" s="134" t="s">
        <v>3811</v>
      </c>
      <c r="G8470" s="63" t="str">
        <f>VLOOKUP(C8470, 'Class Def. - General Data'!$C$20:$C$1000,1,false)</f>
        <v>ZSI1_COOLING_EQUIP</v>
      </c>
      <c r="H8470" s="63" t="str">
        <f>IFERROR(__xludf.DUMMYFUNCTION("VLOOKUP(F8470, IMPORTRANGE(""https://docs.google.com/spreadsheets/d/1Lhp9OU0JdFf_VYSMzH5lBcEaU4o8teT1piV-SNzShjg/edit?gid=554141278#gid=554141278"", ""'Char Def. - Attributes'!C20:C2242""), 1,false)"),"ALT_DENUM_UOM3")</f>
        <v>ALT_DENUM_UOM3</v>
      </c>
      <c r="I8470" s="136"/>
      <c r="R8470" s="63" t="str">
        <f t="shared" si="60"/>
        <v>ZSI1_COOLING_EQUIPALT_DENUM_UOM3</v>
      </c>
    </row>
    <row r="8471" ht="15.75" customHeight="1">
      <c r="B8471" s="63">
        <f t="shared" si="1"/>
        <v>18</v>
      </c>
      <c r="C8471" s="135" t="s">
        <v>494</v>
      </c>
      <c r="D8471" s="161" t="s">
        <v>74</v>
      </c>
      <c r="E8471" s="135">
        <f t="shared" si="62"/>
        <v>23</v>
      </c>
      <c r="F8471" s="134" t="s">
        <v>3812</v>
      </c>
      <c r="G8471" s="63" t="str">
        <f>VLOOKUP(C8471, 'Class Def. - General Data'!$C$20:$C$1000,1,false)</f>
        <v>ZSI1_COOLING_EQUIP</v>
      </c>
      <c r="H8471" s="63" t="str">
        <f>IFERROR(__xludf.DUMMYFUNCTION("VLOOKUP(F8471, IMPORTRANGE(""https://docs.google.com/spreadsheets/d/1Lhp9OU0JdFf_VYSMzH5lBcEaU4o8teT1piV-SNzShjg/edit?gid=554141278#gid=554141278"", ""'Char Def. - Attributes'!C20:C2242""), 1,false)"),"ALT_NUM_UOM3")</f>
        <v>ALT_NUM_UOM3</v>
      </c>
      <c r="I8471" s="136"/>
      <c r="R8471" s="63" t="str">
        <f t="shared" si="60"/>
        <v>ZSI1_COOLING_EQUIPALT_NUM_UOM3</v>
      </c>
    </row>
    <row r="8472" ht="15.75" customHeight="1">
      <c r="B8472" s="63">
        <f t="shared" si="1"/>
        <v>18</v>
      </c>
      <c r="C8472" s="135" t="s">
        <v>494</v>
      </c>
      <c r="D8472" s="161" t="s">
        <v>74</v>
      </c>
      <c r="E8472" s="135">
        <f t="shared" si="62"/>
        <v>24</v>
      </c>
      <c r="F8472" s="134" t="s">
        <v>3813</v>
      </c>
      <c r="G8472" s="63" t="str">
        <f>VLOOKUP(C8472, 'Class Def. - General Data'!$C$20:$C$1000,1,false)</f>
        <v>ZSI1_COOLING_EQUIP</v>
      </c>
      <c r="H8472" s="63" t="str">
        <f>IFERROR(__xludf.DUMMYFUNCTION("VLOOKUP(F8472, IMPORTRANGE(""https://docs.google.com/spreadsheets/d/1Lhp9OU0JdFf_VYSMzH5lBcEaU4o8teT1piV-SNzShjg/edit?gid=554141278#gid=554141278"", ""'Char Def. - Attributes'!C20:C2242""), 1,false)"),"ALT_UOM4_SIPI")</f>
        <v>ALT_UOM4_SIPI</v>
      </c>
      <c r="I8472" s="136"/>
      <c r="R8472" s="63" t="str">
        <f t="shared" si="60"/>
        <v>ZSI1_COOLING_EQUIPALT_UOM4_SIPI</v>
      </c>
    </row>
    <row r="8473" ht="15.75" customHeight="1">
      <c r="B8473" s="63">
        <f t="shared" si="1"/>
        <v>18</v>
      </c>
      <c r="C8473" s="135" t="s">
        <v>494</v>
      </c>
      <c r="D8473" s="161" t="s">
        <v>74</v>
      </c>
      <c r="E8473" s="135">
        <f t="shared" si="62"/>
        <v>25</v>
      </c>
      <c r="F8473" s="134" t="s">
        <v>3814</v>
      </c>
      <c r="G8473" s="63" t="str">
        <f>VLOOKUP(C8473, 'Class Def. - General Data'!$C$20:$C$1000,1,false)</f>
        <v>ZSI1_COOLING_EQUIP</v>
      </c>
      <c r="H8473" s="63" t="str">
        <f>IFERROR(__xludf.DUMMYFUNCTION("VLOOKUP(F8473, IMPORTRANGE(""https://docs.google.com/spreadsheets/d/1Lhp9OU0JdFf_VYSMzH5lBcEaU4o8teT1piV-SNzShjg/edit?gid=554141278#gid=554141278"", ""'Char Def. - Attributes'!C20:C2242""), 1,false)"),"ALT_DENUM_UOM4")</f>
        <v>ALT_DENUM_UOM4</v>
      </c>
      <c r="I8473" s="136"/>
      <c r="R8473" s="63" t="str">
        <f t="shared" si="60"/>
        <v>ZSI1_COOLING_EQUIPALT_DENUM_UOM4</v>
      </c>
    </row>
    <row r="8474" ht="15.75" customHeight="1">
      <c r="B8474" s="63">
        <f t="shared" si="1"/>
        <v>18</v>
      </c>
      <c r="C8474" s="135" t="s">
        <v>494</v>
      </c>
      <c r="D8474" s="161" t="s">
        <v>74</v>
      </c>
      <c r="E8474" s="135">
        <f t="shared" si="62"/>
        <v>26</v>
      </c>
      <c r="F8474" s="134" t="s">
        <v>3815</v>
      </c>
      <c r="G8474" s="63" t="str">
        <f>VLOOKUP(C8474, 'Class Def. - General Data'!$C$20:$C$1000,1,false)</f>
        <v>ZSI1_COOLING_EQUIP</v>
      </c>
      <c r="H8474" s="63" t="str">
        <f>IFERROR(__xludf.DUMMYFUNCTION("VLOOKUP(F8474, IMPORTRANGE(""https://docs.google.com/spreadsheets/d/1Lhp9OU0JdFf_VYSMzH5lBcEaU4o8teT1piV-SNzShjg/edit?gid=554141278#gid=554141278"", ""'Char Def. - Attributes'!C20:C2242""), 1,false)"),"ALT_NUM_UOM4")</f>
        <v>ALT_NUM_UOM4</v>
      </c>
      <c r="I8474" s="136"/>
      <c r="R8474" s="63" t="str">
        <f t="shared" si="60"/>
        <v>ZSI1_COOLING_EQUIPALT_NUM_UOM4</v>
      </c>
    </row>
    <row r="8475" ht="15.75" customHeight="1">
      <c r="B8475" s="63">
        <f t="shared" si="1"/>
        <v>18</v>
      </c>
      <c r="C8475" s="135" t="s">
        <v>494</v>
      </c>
      <c r="D8475" s="161" t="s">
        <v>74</v>
      </c>
      <c r="E8475" s="135">
        <f t="shared" si="62"/>
        <v>27</v>
      </c>
      <c r="F8475" s="134" t="s">
        <v>3816</v>
      </c>
      <c r="G8475" s="63" t="str">
        <f>VLOOKUP(C8475, 'Class Def. - General Data'!$C$20:$C$1000,1,false)</f>
        <v>ZSI1_COOLING_EQUIP</v>
      </c>
      <c r="H8475" s="63" t="str">
        <f>IFERROR(__xludf.DUMMYFUNCTION("VLOOKUP(F8475, IMPORTRANGE(""https://docs.google.com/spreadsheets/d/1Lhp9OU0JdFf_VYSMzH5lBcEaU4o8teT1piV-SNzShjg/edit?gid=554141278#gid=554141278"", ""'Char Def. - Attributes'!C20:C2242""), 1,false)"),"ALT_UOM5_SIPI")</f>
        <v>ALT_UOM5_SIPI</v>
      </c>
      <c r="I8475" s="136"/>
      <c r="R8475" s="63" t="str">
        <f t="shared" si="60"/>
        <v>ZSI1_COOLING_EQUIPALT_UOM5_SIPI</v>
      </c>
    </row>
    <row r="8476" ht="15.75" customHeight="1">
      <c r="B8476" s="63">
        <f t="shared" si="1"/>
        <v>18</v>
      </c>
      <c r="C8476" s="135" t="s">
        <v>494</v>
      </c>
      <c r="D8476" s="161" t="s">
        <v>74</v>
      </c>
      <c r="E8476" s="135">
        <f t="shared" si="62"/>
        <v>28</v>
      </c>
      <c r="F8476" s="134" t="s">
        <v>3817</v>
      </c>
      <c r="G8476" s="63" t="str">
        <f>VLOOKUP(C8476, 'Class Def. - General Data'!$C$20:$C$1000,1,false)</f>
        <v>ZSI1_COOLING_EQUIP</v>
      </c>
      <c r="H8476" s="63" t="str">
        <f>IFERROR(__xludf.DUMMYFUNCTION("VLOOKUP(F8476, IMPORTRANGE(""https://docs.google.com/spreadsheets/d/1Lhp9OU0JdFf_VYSMzH5lBcEaU4o8teT1piV-SNzShjg/edit?gid=554141278#gid=554141278"", ""'Char Def. - Attributes'!C20:C2242""), 1,false)"),"ALT_DENUM_UOM5")</f>
        <v>ALT_DENUM_UOM5</v>
      </c>
      <c r="I8476" s="136"/>
      <c r="R8476" s="63" t="str">
        <f t="shared" si="60"/>
        <v>ZSI1_COOLING_EQUIPALT_DENUM_UOM5</v>
      </c>
    </row>
    <row r="8477" ht="15.75" customHeight="1">
      <c r="B8477" s="63">
        <f t="shared" si="1"/>
        <v>18</v>
      </c>
      <c r="C8477" s="135" t="s">
        <v>494</v>
      </c>
      <c r="D8477" s="161" t="s">
        <v>74</v>
      </c>
      <c r="E8477" s="135">
        <f t="shared" si="62"/>
        <v>29</v>
      </c>
      <c r="F8477" s="134" t="s">
        <v>3818</v>
      </c>
      <c r="G8477" s="63" t="str">
        <f>VLOOKUP(C8477, 'Class Def. - General Data'!$C$20:$C$1000,1,false)</f>
        <v>ZSI1_COOLING_EQUIP</v>
      </c>
      <c r="H8477" s="63" t="str">
        <f>IFERROR(__xludf.DUMMYFUNCTION("VLOOKUP(F8477, IMPORTRANGE(""https://docs.google.com/spreadsheets/d/1Lhp9OU0JdFf_VYSMzH5lBcEaU4o8teT1piV-SNzShjg/edit?gid=554141278#gid=554141278"", ""'Char Def. - Attributes'!C20:C2242""), 1,false)"),"ALT_NUM_UOM5")</f>
        <v>ALT_NUM_UOM5</v>
      </c>
      <c r="I8477" s="136"/>
      <c r="R8477" s="63" t="str">
        <f t="shared" si="60"/>
        <v>ZSI1_COOLING_EQUIPALT_NUM_UOM5</v>
      </c>
    </row>
    <row r="8478" ht="15.75" customHeight="1">
      <c r="B8478" s="63">
        <f t="shared" si="1"/>
        <v>13</v>
      </c>
      <c r="C8478" s="135" t="s">
        <v>377</v>
      </c>
      <c r="D8478" s="161" t="s">
        <v>74</v>
      </c>
      <c r="E8478" s="135">
        <f t="shared" si="62"/>
        <v>1</v>
      </c>
      <c r="F8478" s="134" t="s">
        <v>4367</v>
      </c>
      <c r="G8478" s="63" t="str">
        <f>VLOOKUP(C8478, 'Class Def. - General Data'!$C$20:$C$1000,1,false)</f>
        <v>ZSI1_COUPLING</v>
      </c>
      <c r="H8478" s="63" t="str">
        <f>IFERROR(__xludf.DUMMYFUNCTION("VLOOKUP(F8478, IMPORTRANGE(""https://docs.google.com/spreadsheets/d/1Lhp9OU0JdFf_VYSMzH5lBcEaU4o8teT1piV-SNzShjg/edit?gid=554141278#gid=554141278"", ""'Char Def. - Attributes'!C20:C2242""), 1,false)"),"ITEM_NAME_COUPLING")</f>
        <v>ITEM_NAME_COUPLING</v>
      </c>
      <c r="I8478" s="136"/>
      <c r="R8478" s="63" t="str">
        <f t="shared" si="60"/>
        <v>ZSI1_COUPLINGITEM_NAME_COUPLING</v>
      </c>
    </row>
    <row r="8479" ht="15.75" customHeight="1">
      <c r="B8479" s="63">
        <f t="shared" si="1"/>
        <v>13</v>
      </c>
      <c r="C8479" s="135" t="s">
        <v>377</v>
      </c>
      <c r="D8479" s="161" t="s">
        <v>74</v>
      </c>
      <c r="E8479" s="135">
        <f t="shared" si="62"/>
        <v>2</v>
      </c>
      <c r="F8479" s="134" t="s">
        <v>4368</v>
      </c>
      <c r="G8479" s="63" t="str">
        <f>VLOOKUP(C8479, 'Class Def. - General Data'!$C$20:$C$1000,1,false)</f>
        <v>ZSI1_COUPLING</v>
      </c>
      <c r="H8479" s="63" t="str">
        <f>IFERROR(__xludf.DUMMYFUNCTION("VLOOKUP(F8479, IMPORTRANGE(""https://docs.google.com/spreadsheets/d/1Lhp9OU0JdFf_VYSMzH5lBcEaU4o8teT1piV-SNzShjg/edit?gid=554141278#gid=554141278"", ""'Char Def. - Attributes'!C20:C2242""), 1,false)"),"MFR_NO_COUPLING")</f>
        <v>MFR_NO_COUPLING</v>
      </c>
      <c r="I8479" s="136"/>
      <c r="R8479" s="63" t="str">
        <f t="shared" si="60"/>
        <v>ZSI1_COUPLINGMFR_NO_COUPLING</v>
      </c>
    </row>
    <row r="8480" ht="15.75" customHeight="1">
      <c r="B8480" s="63">
        <f t="shared" si="1"/>
        <v>13</v>
      </c>
      <c r="C8480" s="135" t="s">
        <v>377</v>
      </c>
      <c r="D8480" s="161" t="s">
        <v>74</v>
      </c>
      <c r="E8480" s="135">
        <f t="shared" si="62"/>
        <v>3</v>
      </c>
      <c r="F8480" s="134" t="s">
        <v>3782</v>
      </c>
      <c r="G8480" s="63" t="str">
        <f>VLOOKUP(C8480, 'Class Def. - General Data'!$C$20:$C$1000,1,false)</f>
        <v>ZSI1_COUPLING</v>
      </c>
      <c r="H8480" s="63" t="str">
        <f>IFERROR(__xludf.DUMMYFUNCTION("VLOOKUP(F8480, IMPORTRANGE(""https://docs.google.com/spreadsheets/d/1Lhp9OU0JdFf_VYSMzH5lBcEaU4o8teT1piV-SNzShjg/edit?gid=554141278#gid=554141278"", ""'Char Def. - Attributes'!C20:C2242""), 1,false)"),"BRAND_EXTERNAL")</f>
        <v>BRAND_EXTERNAL</v>
      </c>
      <c r="I8480" s="136"/>
      <c r="R8480" s="63" t="str">
        <f t="shared" si="60"/>
        <v>ZSI1_COUPLINGBRAND_EXTERNAL</v>
      </c>
    </row>
    <row r="8481" ht="15.75" customHeight="1">
      <c r="B8481" s="63">
        <f t="shared" si="1"/>
        <v>13</v>
      </c>
      <c r="C8481" s="135" t="s">
        <v>377</v>
      </c>
      <c r="D8481" s="161" t="s">
        <v>74</v>
      </c>
      <c r="E8481" s="135">
        <f t="shared" si="62"/>
        <v>4</v>
      </c>
      <c r="F8481" s="134" t="s">
        <v>4053</v>
      </c>
      <c r="G8481" s="63" t="str">
        <f>VLOOKUP(C8481, 'Class Def. - General Data'!$C$20:$C$1000,1,false)</f>
        <v>ZSI1_COUPLING</v>
      </c>
      <c r="H8481" s="63" t="str">
        <f>IFERROR(__xludf.DUMMYFUNCTION("VLOOKUP(F8481, IMPORTRANGE(""https://docs.google.com/spreadsheets/d/1Lhp9OU0JdFf_VYSMzH5lBcEaU4o8teT1piV-SNzShjg/edit?gid=554141278#gid=554141278"", ""'Char Def. - Attributes'!C20:C2242""), 1,false)"),"MAINTENANCE_ORDER_TYPE")</f>
        <v>MAINTENANCE_ORDER_TYPE</v>
      </c>
      <c r="I8481" s="136"/>
      <c r="R8481" s="63" t="str">
        <f t="shared" si="60"/>
        <v>ZSI1_COUPLINGMAINTENANCE_ORDER_TYPE</v>
      </c>
    </row>
    <row r="8482" ht="15.75" customHeight="1">
      <c r="B8482" s="63">
        <f t="shared" si="1"/>
        <v>13</v>
      </c>
      <c r="C8482" s="135" t="s">
        <v>377</v>
      </c>
      <c r="D8482" s="161" t="s">
        <v>74</v>
      </c>
      <c r="E8482" s="135">
        <f t="shared" si="62"/>
        <v>5</v>
      </c>
      <c r="F8482" s="134" t="s">
        <v>3585</v>
      </c>
      <c r="G8482" s="63" t="str">
        <f>VLOOKUP(C8482, 'Class Def. - General Data'!$C$20:$C$1000,1,false)</f>
        <v>ZSI1_COUPLING</v>
      </c>
      <c r="H8482" s="63" t="str">
        <f>IFERROR(__xludf.DUMMYFUNCTION("VLOOKUP(F8482, IMPORTRANGE(""https://docs.google.com/spreadsheets/d/1Lhp9OU0JdFf_VYSMzH5lBcEaU4o8teT1piV-SNzShjg/edit?gid=554141278#gid=554141278"", ""'Char Def. - Attributes'!C20:C2242""), 1,false)"),"HS_CODE")</f>
        <v>HS_CODE</v>
      </c>
      <c r="I8482" s="136"/>
      <c r="R8482" s="63" t="str">
        <f t="shared" si="60"/>
        <v>ZSI1_COUPLINGHS_CODE</v>
      </c>
    </row>
    <row r="8483" ht="15.75" customHeight="1">
      <c r="B8483" s="63">
        <f t="shared" si="1"/>
        <v>13</v>
      </c>
      <c r="C8483" s="135" t="s">
        <v>377</v>
      </c>
      <c r="D8483" s="161" t="s">
        <v>74</v>
      </c>
      <c r="E8483" s="135">
        <f t="shared" si="62"/>
        <v>6</v>
      </c>
      <c r="F8483" s="134" t="s">
        <v>3587</v>
      </c>
      <c r="G8483" s="63" t="str">
        <f>VLOOKUP(C8483, 'Class Def. - General Data'!$C$20:$C$1000,1,false)</f>
        <v>ZSI1_COUPLING</v>
      </c>
      <c r="H8483" s="63" t="str">
        <f>IFERROR(__xludf.DUMMYFUNCTION("VLOOKUP(F8483, IMPORTRANGE(""https://docs.google.com/spreadsheets/d/1Lhp9OU0JdFf_VYSMzH5lBcEaU4o8teT1piV-SNzShjg/edit?gid=554141278#gid=554141278"", ""'Char Def. - Attributes'!C20:C2242""), 1,false)"),"PLANT_BUY")</f>
        <v>PLANT_BUY</v>
      </c>
      <c r="I8483" s="136"/>
      <c r="R8483" s="63" t="str">
        <f t="shared" si="60"/>
        <v>ZSI1_COUPLINGPLANT_BUY</v>
      </c>
    </row>
    <row r="8484" ht="15.75" customHeight="1">
      <c r="B8484" s="63">
        <f t="shared" si="1"/>
        <v>13</v>
      </c>
      <c r="C8484" s="135" t="s">
        <v>377</v>
      </c>
      <c r="D8484" s="161" t="s">
        <v>74</v>
      </c>
      <c r="E8484" s="135">
        <f t="shared" si="62"/>
        <v>7</v>
      </c>
      <c r="F8484" s="134" t="s">
        <v>4369</v>
      </c>
      <c r="G8484" s="63" t="str">
        <f>VLOOKUP(C8484, 'Class Def. - General Data'!$C$20:$C$1000,1,false)</f>
        <v>ZSI1_COUPLING</v>
      </c>
      <c r="H8484" s="63" t="str">
        <f>IFERROR(__xludf.DUMMYFUNCTION("VLOOKUP(F8484, IMPORTRANGE(""https://docs.google.com/spreadsheets/d/1Lhp9OU0JdFf_VYSMzH5lBcEaU4o8teT1piV-SNzShjg/edit?gid=554141278#gid=554141278"", ""'Char Def. - Attributes'!C20:C2242""), 1,false)"),"BASE_UOM_COUPLING")</f>
        <v>BASE_UOM_COUPLING</v>
      </c>
      <c r="I8484" s="136"/>
      <c r="R8484" s="63" t="str">
        <f t="shared" si="60"/>
        <v>ZSI1_COUPLINGBASE_UOM_COUPLING</v>
      </c>
    </row>
    <row r="8485" ht="15.75" customHeight="1">
      <c r="B8485" s="63">
        <f t="shared" si="1"/>
        <v>13</v>
      </c>
      <c r="C8485" s="135" t="s">
        <v>377</v>
      </c>
      <c r="D8485" s="161" t="s">
        <v>74</v>
      </c>
      <c r="E8485" s="135">
        <f t="shared" si="62"/>
        <v>8</v>
      </c>
      <c r="F8485" s="134" t="s">
        <v>4370</v>
      </c>
      <c r="G8485" s="63" t="str">
        <f>VLOOKUP(C8485, 'Class Def. - General Data'!$C$20:$C$1000,1,false)</f>
        <v>ZSI1_COUPLING</v>
      </c>
      <c r="H8485" s="63" t="str">
        <f>IFERROR(__xludf.DUMMYFUNCTION("VLOOKUP(F8485, IMPORTRANGE(""https://docs.google.com/spreadsheets/d/1Lhp9OU0JdFf_VYSMzH5lBcEaU4o8teT1piV-SNzShjg/edit?gid=554141278#gid=554141278"", ""'Char Def. - Attributes'!C20:C2242""), 1,false)"),"ORDER_UNIT_COUPLING")</f>
        <v>ORDER_UNIT_COUPLING</v>
      </c>
      <c r="I8485" s="136"/>
      <c r="R8485" s="63" t="str">
        <f t="shared" si="60"/>
        <v>ZSI1_COUPLINGORDER_UNIT_COUPLING</v>
      </c>
    </row>
    <row r="8486" ht="15.75" customHeight="1">
      <c r="B8486" s="63">
        <f t="shared" si="1"/>
        <v>13</v>
      </c>
      <c r="C8486" s="135" t="s">
        <v>377</v>
      </c>
      <c r="D8486" s="161" t="s">
        <v>74</v>
      </c>
      <c r="E8486" s="135">
        <f t="shared" si="62"/>
        <v>9</v>
      </c>
      <c r="F8486" s="134" t="s">
        <v>4056</v>
      </c>
      <c r="G8486" s="63" t="str">
        <f>VLOOKUP(C8486, 'Class Def. - General Data'!$C$20:$C$1000,1,false)</f>
        <v>ZSI1_COUPLING</v>
      </c>
      <c r="H8486" s="63" t="str">
        <f>IFERROR(__xludf.DUMMYFUNCTION("VLOOKUP(F8486, IMPORTRANGE(""https://docs.google.com/spreadsheets/d/1Lhp9OU0JdFf_VYSMzH5lBcEaU4o8teT1piV-SNzShjg/edit?gid=554141278#gid=554141278"", ""'Char Def. - Attributes'!C20:C2242""), 1,false)"),"GROSS_WEIGHT_OPT")</f>
        <v>GROSS_WEIGHT_OPT</v>
      </c>
      <c r="I8486" s="136"/>
      <c r="R8486" s="63" t="str">
        <f t="shared" si="60"/>
        <v>ZSI1_COUPLINGGROSS_WEIGHT_OPT</v>
      </c>
    </row>
    <row r="8487" ht="15.75" customHeight="1">
      <c r="B8487" s="63">
        <f t="shared" si="1"/>
        <v>13</v>
      </c>
      <c r="C8487" s="135" t="s">
        <v>377</v>
      </c>
      <c r="D8487" s="161" t="s">
        <v>74</v>
      </c>
      <c r="E8487" s="135">
        <f t="shared" si="62"/>
        <v>10</v>
      </c>
      <c r="F8487" s="134" t="s">
        <v>4057</v>
      </c>
      <c r="G8487" s="63" t="str">
        <f>VLOOKUP(C8487, 'Class Def. - General Data'!$C$20:$C$1000,1,false)</f>
        <v>ZSI1_COUPLING</v>
      </c>
      <c r="H8487" s="63" t="str">
        <f>IFERROR(__xludf.DUMMYFUNCTION("VLOOKUP(F8487, IMPORTRANGE(""https://docs.google.com/spreadsheets/d/1Lhp9OU0JdFf_VYSMzH5lBcEaU4o8teT1piV-SNzShjg/edit?gid=554141278#gid=554141278"", ""'Char Def. - Attributes'!C20:C2242""), 1,false)"),"NET_WEIGHT_OPT")</f>
        <v>NET_WEIGHT_OPT</v>
      </c>
      <c r="I8487" s="136"/>
      <c r="R8487" s="63" t="str">
        <f t="shared" si="60"/>
        <v>ZSI1_COUPLINGNET_WEIGHT_OPT</v>
      </c>
    </row>
    <row r="8488" ht="15.75" customHeight="1">
      <c r="B8488" s="63">
        <f t="shared" si="1"/>
        <v>13</v>
      </c>
      <c r="C8488" s="135" t="s">
        <v>377</v>
      </c>
      <c r="D8488" s="161" t="s">
        <v>74</v>
      </c>
      <c r="E8488" s="135">
        <f t="shared" si="62"/>
        <v>11</v>
      </c>
      <c r="F8488" s="134" t="s">
        <v>4058</v>
      </c>
      <c r="G8488" s="63" t="str">
        <f>VLOOKUP(C8488, 'Class Def. - General Data'!$C$20:$C$1000,1,false)</f>
        <v>ZSI1_COUPLING</v>
      </c>
      <c r="H8488" s="63" t="str">
        <f>IFERROR(__xludf.DUMMYFUNCTION("VLOOKUP(F8488, IMPORTRANGE(""https://docs.google.com/spreadsheets/d/1Lhp9OU0JdFf_VYSMzH5lBcEaU4o8teT1piV-SNzShjg/edit?gid=554141278#gid=554141278"", ""'Char Def. - Attributes'!C20:C2242""), 1,false)"),"WEIGHT_UNIT_SI")</f>
        <v>WEIGHT_UNIT_SI</v>
      </c>
      <c r="I8488" s="136"/>
      <c r="R8488" s="63" t="str">
        <f t="shared" si="60"/>
        <v>ZSI1_COUPLINGWEIGHT_UNIT_SI</v>
      </c>
    </row>
    <row r="8489" ht="15.75" customHeight="1">
      <c r="B8489" s="63">
        <f t="shared" si="1"/>
        <v>13</v>
      </c>
      <c r="C8489" s="135" t="s">
        <v>377</v>
      </c>
      <c r="D8489" s="161" t="s">
        <v>74</v>
      </c>
      <c r="E8489" s="135">
        <f t="shared" si="62"/>
        <v>12</v>
      </c>
      <c r="F8489" s="134" t="s">
        <v>3877</v>
      </c>
      <c r="G8489" s="63" t="str">
        <f>VLOOKUP(C8489, 'Class Def. - General Data'!$C$20:$C$1000,1,false)</f>
        <v>ZSI1_COUPLING</v>
      </c>
      <c r="H8489" s="63" t="str">
        <f>IFERROR(__xludf.DUMMYFUNCTION("VLOOKUP(F8489, IMPORTRANGE(""https://docs.google.com/spreadsheets/d/1Lhp9OU0JdFf_VYSMzH5lBcEaU4o8teT1piV-SNzShjg/edit?gid=554141278#gid=554141278"", ""'Char Def. - Attributes'!C20:C2242""), 1,false)"),"VOLUME_OPT")</f>
        <v>VOLUME_OPT</v>
      </c>
      <c r="I8489" s="136"/>
      <c r="R8489" s="63" t="str">
        <f t="shared" si="60"/>
        <v>ZSI1_COUPLINGVOLUME_OPT</v>
      </c>
    </row>
    <row r="8490" ht="15.75" customHeight="1">
      <c r="B8490" s="63">
        <f t="shared" si="1"/>
        <v>13</v>
      </c>
      <c r="C8490" s="135" t="s">
        <v>377</v>
      </c>
      <c r="D8490" s="161" t="s">
        <v>74</v>
      </c>
      <c r="E8490" s="135">
        <f t="shared" si="62"/>
        <v>13</v>
      </c>
      <c r="F8490" s="134" t="s">
        <v>4059</v>
      </c>
      <c r="G8490" s="63" t="str">
        <f>VLOOKUP(C8490, 'Class Def. - General Data'!$C$20:$C$1000,1,false)</f>
        <v>ZSI1_COUPLING</v>
      </c>
      <c r="H8490" s="63" t="str">
        <f>IFERROR(__xludf.DUMMYFUNCTION("VLOOKUP(F8490, IMPORTRANGE(""https://docs.google.com/spreadsheets/d/1Lhp9OU0JdFf_VYSMzH5lBcEaU4o8teT1piV-SNzShjg/edit?gid=554141278#gid=554141278"", ""'Char Def. - Attributes'!C20:C2242""), 1,false)"),"VOLUME_UNIT_SI")</f>
        <v>VOLUME_UNIT_SI</v>
      </c>
      <c r="I8490" s="136"/>
      <c r="R8490" s="63" t="str">
        <f t="shared" si="60"/>
        <v>ZSI1_COUPLINGVOLUME_UNIT_SI</v>
      </c>
    </row>
    <row r="8491" ht="15.75" customHeight="1">
      <c r="B8491" s="63">
        <f t="shared" si="1"/>
        <v>13</v>
      </c>
      <c r="C8491" s="135" t="s">
        <v>377</v>
      </c>
      <c r="D8491" s="161" t="s">
        <v>74</v>
      </c>
      <c r="E8491" s="135">
        <f t="shared" si="62"/>
        <v>14</v>
      </c>
      <c r="F8491" s="134" t="s">
        <v>3804</v>
      </c>
      <c r="G8491" s="63" t="str">
        <f>VLOOKUP(C8491, 'Class Def. - General Data'!$C$20:$C$1000,1,false)</f>
        <v>ZSI1_COUPLING</v>
      </c>
      <c r="H8491" s="63" t="str">
        <f>IFERROR(__xludf.DUMMYFUNCTION("VLOOKUP(F8491, IMPORTRANGE(""https://docs.google.com/spreadsheets/d/1Lhp9OU0JdFf_VYSMzH5lBcEaU4o8teT1piV-SNzShjg/edit?gid=554141278#gid=554141278"", ""'Char Def. - Attributes'!C20:C2242""), 1,false)"),"ALT_UOM1_SIPI")</f>
        <v>ALT_UOM1_SIPI</v>
      </c>
      <c r="I8491" s="136"/>
      <c r="R8491" s="63" t="str">
        <f t="shared" si="60"/>
        <v>ZSI1_COUPLINGALT_UOM1_SIPI</v>
      </c>
    </row>
    <row r="8492" ht="15.75" customHeight="1">
      <c r="B8492" s="63">
        <f t="shared" si="1"/>
        <v>13</v>
      </c>
      <c r="C8492" s="135" t="s">
        <v>377</v>
      </c>
      <c r="D8492" s="161" t="s">
        <v>74</v>
      </c>
      <c r="E8492" s="135">
        <f t="shared" si="62"/>
        <v>15</v>
      </c>
      <c r="F8492" s="134" t="s">
        <v>3805</v>
      </c>
      <c r="G8492" s="63" t="str">
        <f>VLOOKUP(C8492, 'Class Def. - General Data'!$C$20:$C$1000,1,false)</f>
        <v>ZSI1_COUPLING</v>
      </c>
      <c r="H8492" s="63" t="str">
        <f>IFERROR(__xludf.DUMMYFUNCTION("VLOOKUP(F8492, IMPORTRANGE(""https://docs.google.com/spreadsheets/d/1Lhp9OU0JdFf_VYSMzH5lBcEaU4o8teT1piV-SNzShjg/edit?gid=554141278#gid=554141278"", ""'Char Def. - Attributes'!C20:C2242""), 1,false)"),"ALT_DENUM_UOM1")</f>
        <v>ALT_DENUM_UOM1</v>
      </c>
      <c r="I8492" s="136"/>
      <c r="R8492" s="63" t="str">
        <f t="shared" si="60"/>
        <v>ZSI1_COUPLINGALT_DENUM_UOM1</v>
      </c>
    </row>
    <row r="8493" ht="15.75" customHeight="1">
      <c r="B8493" s="63">
        <f t="shared" si="1"/>
        <v>13</v>
      </c>
      <c r="C8493" s="135" t="s">
        <v>377</v>
      </c>
      <c r="D8493" s="161" t="s">
        <v>74</v>
      </c>
      <c r="E8493" s="135">
        <f t="shared" si="62"/>
        <v>16</v>
      </c>
      <c r="F8493" s="134" t="s">
        <v>3806</v>
      </c>
      <c r="G8493" s="63" t="str">
        <f>VLOOKUP(C8493, 'Class Def. - General Data'!$C$20:$C$1000,1,false)</f>
        <v>ZSI1_COUPLING</v>
      </c>
      <c r="H8493" s="63" t="str">
        <f>IFERROR(__xludf.DUMMYFUNCTION("VLOOKUP(F8493, IMPORTRANGE(""https://docs.google.com/spreadsheets/d/1Lhp9OU0JdFf_VYSMzH5lBcEaU4o8teT1piV-SNzShjg/edit?gid=554141278#gid=554141278"", ""'Char Def. - Attributes'!C20:C2242""), 1,false)"),"ALT_NUM_UOM1")</f>
        <v>ALT_NUM_UOM1</v>
      </c>
      <c r="I8493" s="136"/>
      <c r="R8493" s="63" t="str">
        <f t="shared" si="60"/>
        <v>ZSI1_COUPLINGALT_NUM_UOM1</v>
      </c>
    </row>
    <row r="8494" ht="15.75" customHeight="1">
      <c r="B8494" s="63">
        <f t="shared" si="1"/>
        <v>13</v>
      </c>
      <c r="C8494" s="135" t="s">
        <v>377</v>
      </c>
      <c r="D8494" s="161" t="s">
        <v>74</v>
      </c>
      <c r="E8494" s="135">
        <f t="shared" si="62"/>
        <v>17</v>
      </c>
      <c r="F8494" s="134" t="s">
        <v>3807</v>
      </c>
      <c r="G8494" s="63" t="str">
        <f>VLOOKUP(C8494, 'Class Def. - General Data'!$C$20:$C$1000,1,false)</f>
        <v>ZSI1_COUPLING</v>
      </c>
      <c r="H8494" s="63" t="str">
        <f>IFERROR(__xludf.DUMMYFUNCTION("VLOOKUP(F8494, IMPORTRANGE(""https://docs.google.com/spreadsheets/d/1Lhp9OU0JdFf_VYSMzH5lBcEaU4o8teT1piV-SNzShjg/edit?gid=554141278#gid=554141278"", ""'Char Def. - Attributes'!C20:C2242""), 1,false)"),"ALT_UOM2_SIPI")</f>
        <v>ALT_UOM2_SIPI</v>
      </c>
      <c r="I8494" s="136"/>
      <c r="R8494" s="63" t="str">
        <f t="shared" si="60"/>
        <v>ZSI1_COUPLINGALT_UOM2_SIPI</v>
      </c>
    </row>
    <row r="8495" ht="15.75" customHeight="1">
      <c r="B8495" s="63">
        <f t="shared" si="1"/>
        <v>13</v>
      </c>
      <c r="C8495" s="135" t="s">
        <v>377</v>
      </c>
      <c r="D8495" s="161" t="s">
        <v>74</v>
      </c>
      <c r="E8495" s="135">
        <f t="shared" si="62"/>
        <v>18</v>
      </c>
      <c r="F8495" s="134" t="s">
        <v>3808</v>
      </c>
      <c r="G8495" s="63" t="str">
        <f>VLOOKUP(C8495, 'Class Def. - General Data'!$C$20:$C$1000,1,false)</f>
        <v>ZSI1_COUPLING</v>
      </c>
      <c r="H8495" s="63" t="str">
        <f>IFERROR(__xludf.DUMMYFUNCTION("VLOOKUP(F8495, IMPORTRANGE(""https://docs.google.com/spreadsheets/d/1Lhp9OU0JdFf_VYSMzH5lBcEaU4o8teT1piV-SNzShjg/edit?gid=554141278#gid=554141278"", ""'Char Def. - Attributes'!C20:C2242""), 1,false)"),"ALT_DENUM_UOM2")</f>
        <v>ALT_DENUM_UOM2</v>
      </c>
      <c r="I8495" s="136"/>
      <c r="R8495" s="63" t="str">
        <f t="shared" si="60"/>
        <v>ZSI1_COUPLINGALT_DENUM_UOM2</v>
      </c>
    </row>
    <row r="8496" ht="15.75" customHeight="1">
      <c r="B8496" s="63">
        <f t="shared" si="1"/>
        <v>13</v>
      </c>
      <c r="C8496" s="135" t="s">
        <v>377</v>
      </c>
      <c r="D8496" s="161" t="s">
        <v>74</v>
      </c>
      <c r="E8496" s="135">
        <f t="shared" si="62"/>
        <v>19</v>
      </c>
      <c r="F8496" s="134" t="s">
        <v>3809</v>
      </c>
      <c r="G8496" s="63" t="str">
        <f>VLOOKUP(C8496, 'Class Def. - General Data'!$C$20:$C$1000,1,false)</f>
        <v>ZSI1_COUPLING</v>
      </c>
      <c r="H8496" s="63" t="str">
        <f>IFERROR(__xludf.DUMMYFUNCTION("VLOOKUP(F8496, IMPORTRANGE(""https://docs.google.com/spreadsheets/d/1Lhp9OU0JdFf_VYSMzH5lBcEaU4o8teT1piV-SNzShjg/edit?gid=554141278#gid=554141278"", ""'Char Def. - Attributes'!C20:C2242""), 1,false)"),"ALT_NUM_UOM2")</f>
        <v>ALT_NUM_UOM2</v>
      </c>
      <c r="I8496" s="136"/>
      <c r="R8496" s="63" t="str">
        <f t="shared" si="60"/>
        <v>ZSI1_COUPLINGALT_NUM_UOM2</v>
      </c>
    </row>
    <row r="8497" ht="15.75" customHeight="1">
      <c r="B8497" s="63">
        <f t="shared" si="1"/>
        <v>13</v>
      </c>
      <c r="C8497" s="135" t="s">
        <v>377</v>
      </c>
      <c r="D8497" s="161" t="s">
        <v>74</v>
      </c>
      <c r="E8497" s="135">
        <f t="shared" si="62"/>
        <v>20</v>
      </c>
      <c r="F8497" s="134" t="s">
        <v>3810</v>
      </c>
      <c r="G8497" s="63" t="str">
        <f>VLOOKUP(C8497, 'Class Def. - General Data'!$C$20:$C$1000,1,false)</f>
        <v>ZSI1_COUPLING</v>
      </c>
      <c r="H8497" s="63" t="str">
        <f>IFERROR(__xludf.DUMMYFUNCTION("VLOOKUP(F8497, IMPORTRANGE(""https://docs.google.com/spreadsheets/d/1Lhp9OU0JdFf_VYSMzH5lBcEaU4o8teT1piV-SNzShjg/edit?gid=554141278#gid=554141278"", ""'Char Def. - Attributes'!C20:C2242""), 1,false)"),"ALT_UOM3_SIPI")</f>
        <v>ALT_UOM3_SIPI</v>
      </c>
      <c r="I8497" s="136"/>
      <c r="R8497" s="63" t="str">
        <f t="shared" si="60"/>
        <v>ZSI1_COUPLINGALT_UOM3_SIPI</v>
      </c>
    </row>
    <row r="8498" ht="15.75" customHeight="1">
      <c r="B8498" s="63">
        <f t="shared" si="1"/>
        <v>13</v>
      </c>
      <c r="C8498" s="135" t="s">
        <v>377</v>
      </c>
      <c r="D8498" s="161" t="s">
        <v>74</v>
      </c>
      <c r="E8498" s="135">
        <f t="shared" si="62"/>
        <v>21</v>
      </c>
      <c r="F8498" s="134" t="s">
        <v>3811</v>
      </c>
      <c r="G8498" s="63" t="str">
        <f>VLOOKUP(C8498, 'Class Def. - General Data'!$C$20:$C$1000,1,false)</f>
        <v>ZSI1_COUPLING</v>
      </c>
      <c r="H8498" s="63" t="str">
        <f>IFERROR(__xludf.DUMMYFUNCTION("VLOOKUP(F8498, IMPORTRANGE(""https://docs.google.com/spreadsheets/d/1Lhp9OU0JdFf_VYSMzH5lBcEaU4o8teT1piV-SNzShjg/edit?gid=554141278#gid=554141278"", ""'Char Def. - Attributes'!C20:C2242""), 1,false)"),"ALT_DENUM_UOM3")</f>
        <v>ALT_DENUM_UOM3</v>
      </c>
      <c r="I8498" s="136"/>
      <c r="R8498" s="63" t="str">
        <f t="shared" si="60"/>
        <v>ZSI1_COUPLINGALT_DENUM_UOM3</v>
      </c>
    </row>
    <row r="8499" ht="15.75" customHeight="1">
      <c r="B8499" s="63">
        <f t="shared" si="1"/>
        <v>13</v>
      </c>
      <c r="C8499" s="135" t="s">
        <v>377</v>
      </c>
      <c r="D8499" s="161" t="s">
        <v>74</v>
      </c>
      <c r="E8499" s="135">
        <f t="shared" si="62"/>
        <v>22</v>
      </c>
      <c r="F8499" s="134" t="s">
        <v>3812</v>
      </c>
      <c r="G8499" s="63" t="str">
        <f>VLOOKUP(C8499, 'Class Def. - General Data'!$C$20:$C$1000,1,false)</f>
        <v>ZSI1_COUPLING</v>
      </c>
      <c r="H8499" s="63" t="str">
        <f>IFERROR(__xludf.DUMMYFUNCTION("VLOOKUP(F8499, IMPORTRANGE(""https://docs.google.com/spreadsheets/d/1Lhp9OU0JdFf_VYSMzH5lBcEaU4o8teT1piV-SNzShjg/edit?gid=554141278#gid=554141278"", ""'Char Def. - Attributes'!C20:C2242""), 1,false)"),"ALT_NUM_UOM3")</f>
        <v>ALT_NUM_UOM3</v>
      </c>
      <c r="I8499" s="136"/>
      <c r="R8499" s="63" t="str">
        <f t="shared" si="60"/>
        <v>ZSI1_COUPLINGALT_NUM_UOM3</v>
      </c>
    </row>
    <row r="8500" ht="15.75" customHeight="1">
      <c r="B8500" s="63">
        <f t="shared" si="1"/>
        <v>13</v>
      </c>
      <c r="C8500" s="135" t="s">
        <v>377</v>
      </c>
      <c r="D8500" s="161" t="s">
        <v>74</v>
      </c>
      <c r="E8500" s="135">
        <f t="shared" si="62"/>
        <v>23</v>
      </c>
      <c r="F8500" s="134" t="s">
        <v>3813</v>
      </c>
      <c r="G8500" s="63" t="str">
        <f>VLOOKUP(C8500, 'Class Def. - General Data'!$C$20:$C$1000,1,false)</f>
        <v>ZSI1_COUPLING</v>
      </c>
      <c r="H8500" s="63" t="str">
        <f>IFERROR(__xludf.DUMMYFUNCTION("VLOOKUP(F8500, IMPORTRANGE(""https://docs.google.com/spreadsheets/d/1Lhp9OU0JdFf_VYSMzH5lBcEaU4o8teT1piV-SNzShjg/edit?gid=554141278#gid=554141278"", ""'Char Def. - Attributes'!C20:C2242""), 1,false)"),"ALT_UOM4_SIPI")</f>
        <v>ALT_UOM4_SIPI</v>
      </c>
      <c r="I8500" s="136"/>
      <c r="R8500" s="63" t="str">
        <f t="shared" si="60"/>
        <v>ZSI1_COUPLINGALT_UOM4_SIPI</v>
      </c>
    </row>
    <row r="8501" ht="15.75" customHeight="1">
      <c r="B8501" s="63">
        <f t="shared" si="1"/>
        <v>13</v>
      </c>
      <c r="C8501" s="135" t="s">
        <v>377</v>
      </c>
      <c r="D8501" s="161" t="s">
        <v>74</v>
      </c>
      <c r="E8501" s="135">
        <f t="shared" si="62"/>
        <v>24</v>
      </c>
      <c r="F8501" s="134" t="s">
        <v>3814</v>
      </c>
      <c r="G8501" s="63" t="str">
        <f>VLOOKUP(C8501, 'Class Def. - General Data'!$C$20:$C$1000,1,false)</f>
        <v>ZSI1_COUPLING</v>
      </c>
      <c r="H8501" s="63" t="str">
        <f>IFERROR(__xludf.DUMMYFUNCTION("VLOOKUP(F8501, IMPORTRANGE(""https://docs.google.com/spreadsheets/d/1Lhp9OU0JdFf_VYSMzH5lBcEaU4o8teT1piV-SNzShjg/edit?gid=554141278#gid=554141278"", ""'Char Def. - Attributes'!C20:C2242""), 1,false)"),"ALT_DENUM_UOM4")</f>
        <v>ALT_DENUM_UOM4</v>
      </c>
      <c r="I8501" s="136"/>
      <c r="R8501" s="63" t="str">
        <f t="shared" si="60"/>
        <v>ZSI1_COUPLINGALT_DENUM_UOM4</v>
      </c>
    </row>
    <row r="8502" ht="15.75" customHeight="1">
      <c r="B8502" s="63">
        <f t="shared" si="1"/>
        <v>13</v>
      </c>
      <c r="C8502" s="135" t="s">
        <v>377</v>
      </c>
      <c r="D8502" s="161" t="s">
        <v>74</v>
      </c>
      <c r="E8502" s="135">
        <f t="shared" si="62"/>
        <v>25</v>
      </c>
      <c r="F8502" s="134" t="s">
        <v>3815</v>
      </c>
      <c r="G8502" s="63" t="str">
        <f>VLOOKUP(C8502, 'Class Def. - General Data'!$C$20:$C$1000,1,false)</f>
        <v>ZSI1_COUPLING</v>
      </c>
      <c r="H8502" s="63" t="str">
        <f>IFERROR(__xludf.DUMMYFUNCTION("VLOOKUP(F8502, IMPORTRANGE(""https://docs.google.com/spreadsheets/d/1Lhp9OU0JdFf_VYSMzH5lBcEaU4o8teT1piV-SNzShjg/edit?gid=554141278#gid=554141278"", ""'Char Def. - Attributes'!C20:C2242""), 1,false)"),"ALT_NUM_UOM4")</f>
        <v>ALT_NUM_UOM4</v>
      </c>
      <c r="I8502" s="136"/>
      <c r="R8502" s="63" t="str">
        <f t="shared" si="60"/>
        <v>ZSI1_COUPLINGALT_NUM_UOM4</v>
      </c>
    </row>
    <row r="8503" ht="15.75" customHeight="1">
      <c r="B8503" s="63">
        <f t="shared" si="1"/>
        <v>13</v>
      </c>
      <c r="C8503" s="135" t="s">
        <v>377</v>
      </c>
      <c r="D8503" s="161" t="s">
        <v>74</v>
      </c>
      <c r="E8503" s="135">
        <f t="shared" si="62"/>
        <v>26</v>
      </c>
      <c r="F8503" s="134" t="s">
        <v>3816</v>
      </c>
      <c r="G8503" s="63" t="str">
        <f>VLOOKUP(C8503, 'Class Def. - General Data'!$C$20:$C$1000,1,false)</f>
        <v>ZSI1_COUPLING</v>
      </c>
      <c r="H8503" s="63" t="str">
        <f>IFERROR(__xludf.DUMMYFUNCTION("VLOOKUP(F8503, IMPORTRANGE(""https://docs.google.com/spreadsheets/d/1Lhp9OU0JdFf_VYSMzH5lBcEaU4o8teT1piV-SNzShjg/edit?gid=554141278#gid=554141278"", ""'Char Def. - Attributes'!C20:C2242""), 1,false)"),"ALT_UOM5_SIPI")</f>
        <v>ALT_UOM5_SIPI</v>
      </c>
      <c r="I8503" s="136"/>
      <c r="R8503" s="63" t="str">
        <f t="shared" si="60"/>
        <v>ZSI1_COUPLINGALT_UOM5_SIPI</v>
      </c>
    </row>
    <row r="8504" ht="15.75" customHeight="1">
      <c r="B8504" s="63">
        <f t="shared" si="1"/>
        <v>13</v>
      </c>
      <c r="C8504" s="135" t="s">
        <v>377</v>
      </c>
      <c r="D8504" s="161" t="s">
        <v>74</v>
      </c>
      <c r="E8504" s="135">
        <f t="shared" si="62"/>
        <v>27</v>
      </c>
      <c r="F8504" s="134" t="s">
        <v>3817</v>
      </c>
      <c r="G8504" s="63" t="str">
        <f>VLOOKUP(C8504, 'Class Def. - General Data'!$C$20:$C$1000,1,false)</f>
        <v>ZSI1_COUPLING</v>
      </c>
      <c r="H8504" s="63" t="str">
        <f>IFERROR(__xludf.DUMMYFUNCTION("VLOOKUP(F8504, IMPORTRANGE(""https://docs.google.com/spreadsheets/d/1Lhp9OU0JdFf_VYSMzH5lBcEaU4o8teT1piV-SNzShjg/edit?gid=554141278#gid=554141278"", ""'Char Def. - Attributes'!C20:C2242""), 1,false)"),"ALT_DENUM_UOM5")</f>
        <v>ALT_DENUM_UOM5</v>
      </c>
      <c r="I8504" s="136"/>
      <c r="R8504" s="63" t="str">
        <f t="shared" si="60"/>
        <v>ZSI1_COUPLINGALT_DENUM_UOM5</v>
      </c>
    </row>
    <row r="8505" ht="15.75" customHeight="1">
      <c r="B8505" s="63">
        <f t="shared" si="1"/>
        <v>13</v>
      </c>
      <c r="C8505" s="135" t="s">
        <v>377</v>
      </c>
      <c r="D8505" s="161" t="s">
        <v>74</v>
      </c>
      <c r="E8505" s="135">
        <f t="shared" si="62"/>
        <v>28</v>
      </c>
      <c r="F8505" s="134" t="s">
        <v>3818</v>
      </c>
      <c r="G8505" s="63" t="str">
        <f>VLOOKUP(C8505, 'Class Def. - General Data'!$C$20:$C$1000,1,false)</f>
        <v>ZSI1_COUPLING</v>
      </c>
      <c r="H8505" s="63" t="str">
        <f>IFERROR(__xludf.DUMMYFUNCTION("VLOOKUP(F8505, IMPORTRANGE(""https://docs.google.com/spreadsheets/d/1Lhp9OU0JdFf_VYSMzH5lBcEaU4o8teT1piV-SNzShjg/edit?gid=554141278#gid=554141278"", ""'Char Def. - Attributes'!C20:C2242""), 1,false)"),"ALT_NUM_UOM5")</f>
        <v>ALT_NUM_UOM5</v>
      </c>
      <c r="I8505" s="136"/>
      <c r="R8505" s="63" t="str">
        <f t="shared" si="60"/>
        <v>ZSI1_COUPLINGALT_NUM_UOM5</v>
      </c>
    </row>
    <row r="8506" ht="15.75" customHeight="1">
      <c r="B8506" s="63">
        <f t="shared" si="1"/>
        <v>16</v>
      </c>
      <c r="C8506" s="135" t="s">
        <v>379</v>
      </c>
      <c r="D8506" s="161" t="s">
        <v>74</v>
      </c>
      <c r="E8506" s="135">
        <f t="shared" si="62"/>
        <v>1</v>
      </c>
      <c r="F8506" s="134" t="s">
        <v>4371</v>
      </c>
      <c r="G8506" s="63" t="str">
        <f>VLOOKUP(C8506, 'Class Def. - General Data'!$C$20:$C$1000,1,false)</f>
        <v>ZSI1_DECORATIVES</v>
      </c>
      <c r="H8506" s="63" t="str">
        <f>IFERROR(__xludf.DUMMYFUNCTION("VLOOKUP(F8506, IMPORTRANGE(""https://docs.google.com/spreadsheets/d/1Lhp9OU0JdFf_VYSMzH5lBcEaU4o8teT1piV-SNzShjg/edit?gid=554141278#gid=554141278"", ""'Char Def. - Attributes'!C20:C2242""), 1,false)"),"ITEM_NAME_DECORATIVES")</f>
        <v>ITEM_NAME_DECORATIVES</v>
      </c>
      <c r="I8506" s="136"/>
      <c r="R8506" s="63" t="str">
        <f t="shared" si="60"/>
        <v>ZSI1_DECORATIVESITEM_NAME_DECORATIVES</v>
      </c>
    </row>
    <row r="8507" ht="15.75" customHeight="1">
      <c r="B8507" s="63">
        <f t="shared" si="1"/>
        <v>16</v>
      </c>
      <c r="C8507" s="135" t="s">
        <v>379</v>
      </c>
      <c r="D8507" s="161" t="s">
        <v>74</v>
      </c>
      <c r="E8507" s="135">
        <f t="shared" si="62"/>
        <v>2</v>
      </c>
      <c r="F8507" s="134" t="s">
        <v>3778</v>
      </c>
      <c r="G8507" s="63" t="str">
        <f>VLOOKUP(C8507, 'Class Def. - General Data'!$C$20:$C$1000,1,false)</f>
        <v>ZSI1_DECORATIVES</v>
      </c>
      <c r="H8507" s="63" t="str">
        <f>IFERROR(__xludf.DUMMYFUNCTION("VLOOKUP(F8507, IMPORTRANGE(""https://docs.google.com/spreadsheets/d/1Lhp9OU0JdFf_VYSMzH5lBcEaU4o8teT1piV-SNzShjg/edit?gid=554141278#gid=554141278"", ""'Char Def. - Attributes'!C20:C2242""), 1,false)"),"SPECIAL_ACTIVITY")</f>
        <v>SPECIAL_ACTIVITY</v>
      </c>
      <c r="I8507" s="136"/>
      <c r="R8507" s="63" t="str">
        <f t="shared" si="60"/>
        <v>ZSI1_DECORATIVESSPECIAL_ACTIVITY</v>
      </c>
    </row>
    <row r="8508" ht="15.75" customHeight="1">
      <c r="B8508" s="63">
        <f t="shared" si="1"/>
        <v>16</v>
      </c>
      <c r="C8508" s="135" t="s">
        <v>379</v>
      </c>
      <c r="D8508" s="161" t="s">
        <v>74</v>
      </c>
      <c r="E8508" s="135">
        <f t="shared" si="62"/>
        <v>3</v>
      </c>
      <c r="F8508" s="134" t="s">
        <v>3779</v>
      </c>
      <c r="G8508" s="63" t="str">
        <f>VLOOKUP(C8508, 'Class Def. - General Data'!$C$20:$C$1000,1,false)</f>
        <v>ZSI1_DECORATIVES</v>
      </c>
      <c r="H8508" s="63" t="str">
        <f>IFERROR(__xludf.DUMMYFUNCTION("VLOOKUP(F8508, IMPORTRANGE(""https://docs.google.com/spreadsheets/d/1Lhp9OU0JdFf_VYSMzH5lBcEaU4o8teT1piV-SNzShjg/edit?gid=554141278#gid=554141278"", ""'Char Def. - Attributes'!C20:C2242""), 1,false)"),"EMBOSSED_BRAND_WINGS")</f>
        <v>EMBOSSED_BRAND_WINGS</v>
      </c>
      <c r="I8508" s="136"/>
      <c r="R8508" s="63" t="str">
        <f t="shared" si="60"/>
        <v>ZSI1_DECORATIVESEMBOSSED_BRAND_WINGS</v>
      </c>
    </row>
    <row r="8509" ht="15.75" customHeight="1">
      <c r="B8509" s="63">
        <f t="shared" si="1"/>
        <v>16</v>
      </c>
      <c r="C8509" s="135" t="s">
        <v>379</v>
      </c>
      <c r="D8509" s="161" t="s">
        <v>74</v>
      </c>
      <c r="E8509" s="135">
        <f t="shared" si="62"/>
        <v>4</v>
      </c>
      <c r="F8509" s="134" t="s">
        <v>3780</v>
      </c>
      <c r="G8509" s="63" t="str">
        <f>VLOOKUP(C8509, 'Class Def. - General Data'!$C$20:$C$1000,1,false)</f>
        <v>ZSI1_DECORATIVES</v>
      </c>
      <c r="H8509" s="63" t="str">
        <f>IFERROR(__xludf.DUMMYFUNCTION("VLOOKUP(F8509, IMPORTRANGE(""https://docs.google.com/spreadsheets/d/1Lhp9OU0JdFf_VYSMzH5lBcEaU4o8teT1piV-SNzShjg/edit?gid=554141278#gid=554141278"", ""'Char Def. - Attributes'!C20:C2242""), 1,false)"),"BRAND_WINGS_SIPI")</f>
        <v>BRAND_WINGS_SIPI</v>
      </c>
      <c r="I8509" s="136"/>
      <c r="R8509" s="63" t="str">
        <f t="shared" si="60"/>
        <v>ZSI1_DECORATIVESBRAND_WINGS_SIPI</v>
      </c>
    </row>
    <row r="8510" ht="15.75" customHeight="1">
      <c r="B8510" s="63">
        <f t="shared" si="1"/>
        <v>16</v>
      </c>
      <c r="C8510" s="135" t="s">
        <v>379</v>
      </c>
      <c r="D8510" s="161" t="s">
        <v>74</v>
      </c>
      <c r="E8510" s="135">
        <f t="shared" si="62"/>
        <v>5</v>
      </c>
      <c r="F8510" s="134" t="s">
        <v>4372</v>
      </c>
      <c r="G8510" s="63" t="str">
        <f>VLOOKUP(C8510, 'Class Def. - General Data'!$C$20:$C$1000,1,false)</f>
        <v>ZSI1_DECORATIVES</v>
      </c>
      <c r="H8510" s="63" t="str">
        <f>IFERROR(__xludf.DUMMYFUNCTION("VLOOKUP(F8510, IMPORTRANGE(""https://docs.google.com/spreadsheets/d/1Lhp9OU0JdFf_VYSMzH5lBcEaU4o8teT1piV-SNzShjg/edit?gid=554141278#gid=554141278"", ""'Char Def. - Attributes'!C20:C2242""), 1,false)"),"DESIGN_DECORATIVES")</f>
        <v>DESIGN_DECORATIVES</v>
      </c>
      <c r="I8510" s="136"/>
      <c r="R8510" s="63" t="str">
        <f t="shared" si="60"/>
        <v>ZSI1_DECORATIVESDESIGN_DECORATIVES</v>
      </c>
    </row>
    <row r="8511" ht="15.75" customHeight="1">
      <c r="B8511" s="63">
        <f t="shared" si="1"/>
        <v>16</v>
      </c>
      <c r="C8511" s="135" t="s">
        <v>379</v>
      </c>
      <c r="D8511" s="161" t="s">
        <v>74</v>
      </c>
      <c r="E8511" s="135">
        <f t="shared" si="62"/>
        <v>6</v>
      </c>
      <c r="F8511" s="134" t="s">
        <v>4373</v>
      </c>
      <c r="G8511" s="63" t="str">
        <f>VLOOKUP(C8511, 'Class Def. - General Data'!$C$20:$C$1000,1,false)</f>
        <v>ZSI1_DECORATIVES</v>
      </c>
      <c r="H8511" s="63" t="str">
        <f>IFERROR(__xludf.DUMMYFUNCTION("VLOOKUP(F8511, IMPORTRANGE(""https://docs.google.com/spreadsheets/d/1Lhp9OU0JdFf_VYSMzH5lBcEaU4o8teT1piV-SNzShjg/edit?gid=554141278#gid=554141278"", ""'Char Def. - Attributes'!C20:C2242""), 1,false)"),"#N/A")</f>
        <v>#N/A</v>
      </c>
      <c r="I8511" s="136"/>
      <c r="R8511" s="63" t="str">
        <f t="shared" si="60"/>
        <v>ZSI1_DECORATIVESBENTUK_DECORATIVES</v>
      </c>
    </row>
    <row r="8512" ht="15.75" customHeight="1">
      <c r="B8512" s="63">
        <f t="shared" si="1"/>
        <v>16</v>
      </c>
      <c r="C8512" s="135" t="s">
        <v>379</v>
      </c>
      <c r="D8512" s="161" t="s">
        <v>74</v>
      </c>
      <c r="E8512" s="135">
        <f t="shared" si="62"/>
        <v>7</v>
      </c>
      <c r="F8512" s="134" t="s">
        <v>4374</v>
      </c>
      <c r="G8512" s="63" t="str">
        <f>VLOOKUP(C8512, 'Class Def. - General Data'!$C$20:$C$1000,1,false)</f>
        <v>ZSI1_DECORATIVES</v>
      </c>
      <c r="H8512" s="63" t="str">
        <f>IFERROR(__xludf.DUMMYFUNCTION("VLOOKUP(F8512, IMPORTRANGE(""https://docs.google.com/spreadsheets/d/1Lhp9OU0JdFf_VYSMzH5lBcEaU4o8teT1piV-SNzShjg/edit?gid=554141278#gid=554141278"", ""'Char Def. - Attributes'!C20:C2242""), 1,false)"),"#N/A")</f>
        <v>#N/A</v>
      </c>
      <c r="I8512" s="136"/>
      <c r="R8512" s="63" t="str">
        <f t="shared" si="60"/>
        <v>ZSI1_DECORATIVESDIMENSION_PLT_DECORATIVES</v>
      </c>
    </row>
    <row r="8513" ht="15.75" customHeight="1">
      <c r="B8513" s="63">
        <f t="shared" si="1"/>
        <v>16</v>
      </c>
      <c r="C8513" s="135" t="s">
        <v>379</v>
      </c>
      <c r="D8513" s="161" t="s">
        <v>74</v>
      </c>
      <c r="E8513" s="135">
        <f t="shared" si="62"/>
        <v>8</v>
      </c>
      <c r="F8513" s="134" t="s">
        <v>4375</v>
      </c>
      <c r="G8513" s="63" t="str">
        <f>VLOOKUP(C8513, 'Class Def. - General Data'!$C$20:$C$1000,1,false)</f>
        <v>ZSI1_DECORATIVES</v>
      </c>
      <c r="H8513" s="63" t="str">
        <f>IFERROR(__xludf.DUMMYFUNCTION("VLOOKUP(F8513, IMPORTRANGE(""https://docs.google.com/spreadsheets/d/1Lhp9OU0JdFf_VYSMzH5lBcEaU4o8teT1piV-SNzShjg/edit?gid=554141278#gid=554141278"", ""'Char Def. - Attributes'!C20:C2242""), 1,false)"),"#N/A")</f>
        <v>#N/A</v>
      </c>
      <c r="I8513" s="136"/>
      <c r="R8513" s="63" t="str">
        <f t="shared" si="60"/>
        <v>ZSI1_DECORATIVESDIAMETER_DECORATIVES</v>
      </c>
    </row>
    <row r="8514" ht="15.75" customHeight="1">
      <c r="B8514" s="63">
        <f t="shared" si="1"/>
        <v>16</v>
      </c>
      <c r="C8514" s="135" t="s">
        <v>379</v>
      </c>
      <c r="D8514" s="161" t="s">
        <v>74</v>
      </c>
      <c r="E8514" s="135">
        <f t="shared" si="62"/>
        <v>9</v>
      </c>
      <c r="F8514" s="134" t="s">
        <v>4376</v>
      </c>
      <c r="G8514" s="63" t="str">
        <f>VLOOKUP(C8514, 'Class Def. - General Data'!$C$20:$C$1000,1,false)</f>
        <v>ZSI1_DECORATIVES</v>
      </c>
      <c r="H8514" s="63" t="str">
        <f>IFERROR(__xludf.DUMMYFUNCTION("VLOOKUP(F8514, IMPORTRANGE(""https://docs.google.com/spreadsheets/d/1Lhp9OU0JdFf_VYSMzH5lBcEaU4o8teT1piV-SNzShjg/edit?gid=554141278#gid=554141278"", ""'Char Def. - Attributes'!C20:C2242""), 1,false)"),"#N/A")</f>
        <v>#N/A</v>
      </c>
      <c r="I8514" s="136"/>
      <c r="R8514" s="63" t="str">
        <f t="shared" si="60"/>
        <v>ZSI1_DECORATIVESLENGTH_DECORATIVES</v>
      </c>
    </row>
    <row r="8515" ht="15.75" customHeight="1">
      <c r="B8515" s="63">
        <f t="shared" si="1"/>
        <v>16</v>
      </c>
      <c r="C8515" s="135" t="s">
        <v>379</v>
      </c>
      <c r="D8515" s="161" t="s">
        <v>74</v>
      </c>
      <c r="E8515" s="135">
        <f t="shared" si="62"/>
        <v>10</v>
      </c>
      <c r="F8515" s="134" t="s">
        <v>4377</v>
      </c>
      <c r="G8515" s="63" t="str">
        <f>VLOOKUP(C8515, 'Class Def. - General Data'!$C$20:$C$1000,1,false)</f>
        <v>ZSI1_DECORATIVES</v>
      </c>
      <c r="H8515" s="63" t="str">
        <f>IFERROR(__xludf.DUMMYFUNCTION("VLOOKUP(F8515, IMPORTRANGE(""https://docs.google.com/spreadsheets/d/1Lhp9OU0JdFf_VYSMzH5lBcEaU4o8teT1piV-SNzShjg/edit?gid=554141278#gid=554141278"", ""'Char Def. - Attributes'!C20:C2242""), 1,false)"),"#N/A")</f>
        <v>#N/A</v>
      </c>
      <c r="I8515" s="136"/>
      <c r="R8515" s="63" t="str">
        <f t="shared" si="60"/>
        <v>ZSI1_DECORATIVESWIDTH_DECORATIVES</v>
      </c>
    </row>
    <row r="8516" ht="15.75" customHeight="1">
      <c r="B8516" s="63">
        <f t="shared" si="1"/>
        <v>16</v>
      </c>
      <c r="C8516" s="135" t="s">
        <v>379</v>
      </c>
      <c r="D8516" s="161" t="s">
        <v>74</v>
      </c>
      <c r="E8516" s="135">
        <f t="shared" si="62"/>
        <v>11</v>
      </c>
      <c r="F8516" s="134" t="s">
        <v>4378</v>
      </c>
      <c r="G8516" s="63" t="str">
        <f>VLOOKUP(C8516, 'Class Def. - General Data'!$C$20:$C$1000,1,false)</f>
        <v>ZSI1_DECORATIVES</v>
      </c>
      <c r="H8516" s="63" t="str">
        <f>IFERROR(__xludf.DUMMYFUNCTION("VLOOKUP(F8516, IMPORTRANGE(""https://docs.google.com/spreadsheets/d/1Lhp9OU0JdFf_VYSMzH5lBcEaU4o8teT1piV-SNzShjg/edit?gid=554141278#gid=554141278"", ""'Char Def. - Attributes'!C20:C2242""), 1,false)"),"#N/A")</f>
        <v>#N/A</v>
      </c>
      <c r="I8516" s="136"/>
      <c r="R8516" s="63" t="str">
        <f t="shared" si="60"/>
        <v>ZSI1_DECORATIVESTHICKNESS_DECORATIVES</v>
      </c>
    </row>
    <row r="8517" ht="15.75" customHeight="1">
      <c r="B8517" s="63">
        <f t="shared" si="1"/>
        <v>16</v>
      </c>
      <c r="C8517" s="135" t="s">
        <v>379</v>
      </c>
      <c r="D8517" s="161" t="s">
        <v>74</v>
      </c>
      <c r="E8517" s="135">
        <f t="shared" si="62"/>
        <v>12</v>
      </c>
      <c r="F8517" s="134" t="s">
        <v>3585</v>
      </c>
      <c r="G8517" s="63" t="str">
        <f>VLOOKUP(C8517, 'Class Def. - General Data'!$C$20:$C$1000,1,false)</f>
        <v>ZSI1_DECORATIVES</v>
      </c>
      <c r="H8517" s="63" t="str">
        <f>IFERROR(__xludf.DUMMYFUNCTION("VLOOKUP(F8517, IMPORTRANGE(""https://docs.google.com/spreadsheets/d/1Lhp9OU0JdFf_VYSMzH5lBcEaU4o8teT1piV-SNzShjg/edit?gid=554141278#gid=554141278"", ""'Char Def. - Attributes'!C20:C2242""), 1,false)"),"HS_CODE")</f>
        <v>HS_CODE</v>
      </c>
      <c r="I8517" s="136"/>
      <c r="R8517" s="63" t="str">
        <f t="shared" si="60"/>
        <v>ZSI1_DECORATIVESHS_CODE</v>
      </c>
    </row>
    <row r="8518" ht="15.75" customHeight="1">
      <c r="B8518" s="63">
        <f t="shared" si="1"/>
        <v>16</v>
      </c>
      <c r="C8518" s="135" t="s">
        <v>379</v>
      </c>
      <c r="D8518" s="161" t="s">
        <v>74</v>
      </c>
      <c r="E8518" s="135">
        <f t="shared" si="62"/>
        <v>13</v>
      </c>
      <c r="F8518" s="134" t="s">
        <v>3587</v>
      </c>
      <c r="G8518" s="63" t="str">
        <f>VLOOKUP(C8518, 'Class Def. - General Data'!$C$20:$C$1000,1,false)</f>
        <v>ZSI1_DECORATIVES</v>
      </c>
      <c r="H8518" s="63" t="str">
        <f>IFERROR(__xludf.DUMMYFUNCTION("VLOOKUP(F8518, IMPORTRANGE(""https://docs.google.com/spreadsheets/d/1Lhp9OU0JdFf_VYSMzH5lBcEaU4o8teT1piV-SNzShjg/edit?gid=554141278#gid=554141278"", ""'Char Def. - Attributes'!C20:C2242""), 1,false)"),"PLANT_BUY")</f>
        <v>PLANT_BUY</v>
      </c>
      <c r="I8518" s="136"/>
      <c r="R8518" s="63" t="str">
        <f t="shared" si="60"/>
        <v>ZSI1_DECORATIVESPLANT_BUY</v>
      </c>
    </row>
    <row r="8519" ht="15.75" customHeight="1">
      <c r="B8519" s="63">
        <f t="shared" si="1"/>
        <v>16</v>
      </c>
      <c r="C8519" s="135" t="s">
        <v>379</v>
      </c>
      <c r="D8519" s="161" t="s">
        <v>74</v>
      </c>
      <c r="E8519" s="135">
        <f t="shared" si="62"/>
        <v>14</v>
      </c>
      <c r="F8519" s="134" t="s">
        <v>4379</v>
      </c>
      <c r="G8519" s="63" t="str">
        <f>VLOOKUP(C8519, 'Class Def. - General Data'!$C$20:$C$1000,1,false)</f>
        <v>ZSI1_DECORATIVES</v>
      </c>
      <c r="H8519" s="63" t="str">
        <f>IFERROR(__xludf.DUMMYFUNCTION("VLOOKUP(F8519, IMPORTRANGE(""https://docs.google.com/spreadsheets/d/1Lhp9OU0JdFf_VYSMzH5lBcEaU4o8teT1piV-SNzShjg/edit?gid=554141278#gid=554141278"", ""'Char Def. - Attributes'!C20:C2242""), 1,false)"),"BASE_UOM_DECORATIVES")</f>
        <v>BASE_UOM_DECORATIVES</v>
      </c>
      <c r="I8519" s="136"/>
      <c r="R8519" s="63" t="str">
        <f t="shared" si="60"/>
        <v>ZSI1_DECORATIVESBASE_UOM_DECORATIVES</v>
      </c>
    </row>
    <row r="8520" ht="15.75" customHeight="1">
      <c r="B8520" s="63">
        <f t="shared" si="1"/>
        <v>16</v>
      </c>
      <c r="C8520" s="135" t="s">
        <v>379</v>
      </c>
      <c r="D8520" s="161" t="s">
        <v>74</v>
      </c>
      <c r="E8520" s="135">
        <f t="shared" si="62"/>
        <v>15</v>
      </c>
      <c r="F8520" s="134" t="s">
        <v>4380</v>
      </c>
      <c r="G8520" s="63" t="str">
        <f>VLOOKUP(C8520, 'Class Def. - General Data'!$C$20:$C$1000,1,false)</f>
        <v>ZSI1_DECORATIVES</v>
      </c>
      <c r="H8520" s="63" t="str">
        <f>IFERROR(__xludf.DUMMYFUNCTION("VLOOKUP(F8520, IMPORTRANGE(""https://docs.google.com/spreadsheets/d/1Lhp9OU0JdFf_VYSMzH5lBcEaU4o8teT1piV-SNzShjg/edit?gid=554141278#gid=554141278"", ""'Char Def. - Attributes'!C20:C2242""), 1,false)"),"ORDER_UNIT_DECORATIVES")</f>
        <v>ORDER_UNIT_DECORATIVES</v>
      </c>
      <c r="I8520" s="136"/>
      <c r="R8520" s="63" t="str">
        <f t="shared" si="60"/>
        <v>ZSI1_DECORATIVESORDER_UNIT_DECORATIVES</v>
      </c>
    </row>
    <row r="8521" ht="15.75" customHeight="1">
      <c r="B8521" s="63">
        <f t="shared" si="1"/>
        <v>16</v>
      </c>
      <c r="C8521" s="135" t="s">
        <v>379</v>
      </c>
      <c r="D8521" s="161" t="s">
        <v>74</v>
      </c>
      <c r="E8521" s="135">
        <f t="shared" si="62"/>
        <v>16</v>
      </c>
      <c r="F8521" s="134" t="s">
        <v>4056</v>
      </c>
      <c r="G8521" s="63" t="str">
        <f>VLOOKUP(C8521, 'Class Def. - General Data'!$C$20:$C$1000,1,false)</f>
        <v>ZSI1_DECORATIVES</v>
      </c>
      <c r="H8521" s="63" t="str">
        <f>IFERROR(__xludf.DUMMYFUNCTION("VLOOKUP(F8521, IMPORTRANGE(""https://docs.google.com/spreadsheets/d/1Lhp9OU0JdFf_VYSMzH5lBcEaU4o8teT1piV-SNzShjg/edit?gid=554141278#gid=554141278"", ""'Char Def. - Attributes'!C20:C2242""), 1,false)"),"GROSS_WEIGHT_OPT")</f>
        <v>GROSS_WEIGHT_OPT</v>
      </c>
      <c r="I8521" s="136"/>
      <c r="R8521" s="63" t="str">
        <f t="shared" si="60"/>
        <v>ZSI1_DECORATIVESGROSS_WEIGHT_OPT</v>
      </c>
    </row>
    <row r="8522" ht="15.75" customHeight="1">
      <c r="B8522" s="63">
        <f t="shared" si="1"/>
        <v>16</v>
      </c>
      <c r="C8522" s="135" t="s">
        <v>379</v>
      </c>
      <c r="D8522" s="161" t="s">
        <v>74</v>
      </c>
      <c r="E8522" s="135">
        <f t="shared" si="62"/>
        <v>17</v>
      </c>
      <c r="F8522" s="134" t="s">
        <v>4057</v>
      </c>
      <c r="G8522" s="63" t="str">
        <f>VLOOKUP(C8522, 'Class Def. - General Data'!$C$20:$C$1000,1,false)</f>
        <v>ZSI1_DECORATIVES</v>
      </c>
      <c r="H8522" s="63" t="str">
        <f>IFERROR(__xludf.DUMMYFUNCTION("VLOOKUP(F8522, IMPORTRANGE(""https://docs.google.com/spreadsheets/d/1Lhp9OU0JdFf_VYSMzH5lBcEaU4o8teT1piV-SNzShjg/edit?gid=554141278#gid=554141278"", ""'Char Def. - Attributes'!C20:C2242""), 1,false)"),"NET_WEIGHT_OPT")</f>
        <v>NET_WEIGHT_OPT</v>
      </c>
      <c r="I8522" s="136"/>
      <c r="R8522" s="63" t="str">
        <f t="shared" si="60"/>
        <v>ZSI1_DECORATIVESNET_WEIGHT_OPT</v>
      </c>
    </row>
    <row r="8523" ht="15.75" customHeight="1">
      <c r="B8523" s="63">
        <f t="shared" si="1"/>
        <v>16</v>
      </c>
      <c r="C8523" s="135" t="s">
        <v>379</v>
      </c>
      <c r="D8523" s="161" t="s">
        <v>74</v>
      </c>
      <c r="E8523" s="135">
        <f t="shared" si="62"/>
        <v>18</v>
      </c>
      <c r="F8523" s="134" t="s">
        <v>4058</v>
      </c>
      <c r="G8523" s="63" t="str">
        <f>VLOOKUP(C8523, 'Class Def. - General Data'!$C$20:$C$1000,1,false)</f>
        <v>ZSI1_DECORATIVES</v>
      </c>
      <c r="H8523" s="63" t="str">
        <f>IFERROR(__xludf.DUMMYFUNCTION("VLOOKUP(F8523, IMPORTRANGE(""https://docs.google.com/spreadsheets/d/1Lhp9OU0JdFf_VYSMzH5lBcEaU4o8teT1piV-SNzShjg/edit?gid=554141278#gid=554141278"", ""'Char Def. - Attributes'!C20:C2242""), 1,false)"),"WEIGHT_UNIT_SI")</f>
        <v>WEIGHT_UNIT_SI</v>
      </c>
      <c r="I8523" s="136"/>
      <c r="R8523" s="63" t="str">
        <f t="shared" si="60"/>
        <v>ZSI1_DECORATIVESWEIGHT_UNIT_SI</v>
      </c>
    </row>
    <row r="8524" ht="15.75" customHeight="1">
      <c r="B8524" s="63">
        <f t="shared" si="1"/>
        <v>16</v>
      </c>
      <c r="C8524" s="135" t="s">
        <v>379</v>
      </c>
      <c r="D8524" s="161" t="s">
        <v>74</v>
      </c>
      <c r="E8524" s="135">
        <f t="shared" si="62"/>
        <v>19</v>
      </c>
      <c r="F8524" s="134" t="s">
        <v>3877</v>
      </c>
      <c r="G8524" s="63" t="str">
        <f>VLOOKUP(C8524, 'Class Def. - General Data'!$C$20:$C$1000,1,false)</f>
        <v>ZSI1_DECORATIVES</v>
      </c>
      <c r="H8524" s="63" t="str">
        <f>IFERROR(__xludf.DUMMYFUNCTION("VLOOKUP(F8524, IMPORTRANGE(""https://docs.google.com/spreadsheets/d/1Lhp9OU0JdFf_VYSMzH5lBcEaU4o8teT1piV-SNzShjg/edit?gid=554141278#gid=554141278"", ""'Char Def. - Attributes'!C20:C2242""), 1,false)"),"VOLUME_OPT")</f>
        <v>VOLUME_OPT</v>
      </c>
      <c r="I8524" s="136"/>
      <c r="R8524" s="63" t="str">
        <f t="shared" si="60"/>
        <v>ZSI1_DECORATIVESVOLUME_OPT</v>
      </c>
    </row>
    <row r="8525" ht="15.75" customHeight="1">
      <c r="B8525" s="63">
        <f t="shared" si="1"/>
        <v>16</v>
      </c>
      <c r="C8525" s="135" t="s">
        <v>379</v>
      </c>
      <c r="D8525" s="161" t="s">
        <v>74</v>
      </c>
      <c r="E8525" s="135">
        <f t="shared" si="62"/>
        <v>20</v>
      </c>
      <c r="F8525" s="134" t="s">
        <v>4059</v>
      </c>
      <c r="G8525" s="63" t="str">
        <f>VLOOKUP(C8525, 'Class Def. - General Data'!$C$20:$C$1000,1,false)</f>
        <v>ZSI1_DECORATIVES</v>
      </c>
      <c r="H8525" s="63" t="str">
        <f>IFERROR(__xludf.DUMMYFUNCTION("VLOOKUP(F8525, IMPORTRANGE(""https://docs.google.com/spreadsheets/d/1Lhp9OU0JdFf_VYSMzH5lBcEaU4o8teT1piV-SNzShjg/edit?gid=554141278#gid=554141278"", ""'Char Def. - Attributes'!C20:C2242""), 1,false)"),"VOLUME_UNIT_SI")</f>
        <v>VOLUME_UNIT_SI</v>
      </c>
      <c r="I8525" s="136"/>
      <c r="R8525" s="63" t="str">
        <f t="shared" si="60"/>
        <v>ZSI1_DECORATIVESVOLUME_UNIT_SI</v>
      </c>
    </row>
    <row r="8526" ht="15.75" customHeight="1">
      <c r="B8526" s="63">
        <f t="shared" si="1"/>
        <v>16</v>
      </c>
      <c r="C8526" s="135" t="s">
        <v>379</v>
      </c>
      <c r="D8526" s="161" t="s">
        <v>74</v>
      </c>
      <c r="E8526" s="135">
        <f t="shared" si="62"/>
        <v>21</v>
      </c>
      <c r="F8526" s="134" t="s">
        <v>3804</v>
      </c>
      <c r="G8526" s="63" t="str">
        <f>VLOOKUP(C8526, 'Class Def. - General Data'!$C$20:$C$1000,1,false)</f>
        <v>ZSI1_DECORATIVES</v>
      </c>
      <c r="H8526" s="63" t="str">
        <f>IFERROR(__xludf.DUMMYFUNCTION("VLOOKUP(F8526, IMPORTRANGE(""https://docs.google.com/spreadsheets/d/1Lhp9OU0JdFf_VYSMzH5lBcEaU4o8teT1piV-SNzShjg/edit?gid=554141278#gid=554141278"", ""'Char Def. - Attributes'!C20:C2242""), 1,false)"),"ALT_UOM1_SIPI")</f>
        <v>ALT_UOM1_SIPI</v>
      </c>
      <c r="I8526" s="136"/>
      <c r="R8526" s="63" t="str">
        <f t="shared" si="60"/>
        <v>ZSI1_DECORATIVESALT_UOM1_SIPI</v>
      </c>
    </row>
    <row r="8527" ht="15.75" customHeight="1">
      <c r="B8527" s="63">
        <f t="shared" si="1"/>
        <v>16</v>
      </c>
      <c r="C8527" s="135" t="s">
        <v>379</v>
      </c>
      <c r="D8527" s="161" t="s">
        <v>74</v>
      </c>
      <c r="E8527" s="135">
        <f t="shared" si="62"/>
        <v>22</v>
      </c>
      <c r="F8527" s="134" t="s">
        <v>3805</v>
      </c>
      <c r="G8527" s="63" t="str">
        <f>VLOOKUP(C8527, 'Class Def. - General Data'!$C$20:$C$1000,1,false)</f>
        <v>ZSI1_DECORATIVES</v>
      </c>
      <c r="H8527" s="63" t="str">
        <f>IFERROR(__xludf.DUMMYFUNCTION("VLOOKUP(F8527, IMPORTRANGE(""https://docs.google.com/spreadsheets/d/1Lhp9OU0JdFf_VYSMzH5lBcEaU4o8teT1piV-SNzShjg/edit?gid=554141278#gid=554141278"", ""'Char Def. - Attributes'!C20:C2242""), 1,false)"),"ALT_DENUM_UOM1")</f>
        <v>ALT_DENUM_UOM1</v>
      </c>
      <c r="I8527" s="136"/>
      <c r="R8527" s="63" t="str">
        <f t="shared" si="60"/>
        <v>ZSI1_DECORATIVESALT_DENUM_UOM1</v>
      </c>
    </row>
    <row r="8528" ht="15.75" customHeight="1">
      <c r="B8528" s="63">
        <f t="shared" si="1"/>
        <v>16</v>
      </c>
      <c r="C8528" s="135" t="s">
        <v>379</v>
      </c>
      <c r="D8528" s="161" t="s">
        <v>74</v>
      </c>
      <c r="E8528" s="135">
        <f t="shared" si="62"/>
        <v>23</v>
      </c>
      <c r="F8528" s="134" t="s">
        <v>3806</v>
      </c>
      <c r="G8528" s="63" t="str">
        <f>VLOOKUP(C8528, 'Class Def. - General Data'!$C$20:$C$1000,1,false)</f>
        <v>ZSI1_DECORATIVES</v>
      </c>
      <c r="H8528" s="63" t="str">
        <f>IFERROR(__xludf.DUMMYFUNCTION("VLOOKUP(F8528, IMPORTRANGE(""https://docs.google.com/spreadsheets/d/1Lhp9OU0JdFf_VYSMzH5lBcEaU4o8teT1piV-SNzShjg/edit?gid=554141278#gid=554141278"", ""'Char Def. - Attributes'!C20:C2242""), 1,false)"),"ALT_NUM_UOM1")</f>
        <v>ALT_NUM_UOM1</v>
      </c>
      <c r="I8528" s="136"/>
      <c r="R8528" s="63" t="str">
        <f t="shared" si="60"/>
        <v>ZSI1_DECORATIVESALT_NUM_UOM1</v>
      </c>
    </row>
    <row r="8529" ht="15.75" customHeight="1">
      <c r="B8529" s="63">
        <f t="shared" si="1"/>
        <v>16</v>
      </c>
      <c r="C8529" s="135" t="s">
        <v>379</v>
      </c>
      <c r="D8529" s="161" t="s">
        <v>74</v>
      </c>
      <c r="E8529" s="135">
        <f t="shared" si="62"/>
        <v>24</v>
      </c>
      <c r="F8529" s="134" t="s">
        <v>3807</v>
      </c>
      <c r="G8529" s="63" t="str">
        <f>VLOOKUP(C8529, 'Class Def. - General Data'!$C$20:$C$1000,1,false)</f>
        <v>ZSI1_DECORATIVES</v>
      </c>
      <c r="H8529" s="63" t="str">
        <f>IFERROR(__xludf.DUMMYFUNCTION("VLOOKUP(F8529, IMPORTRANGE(""https://docs.google.com/spreadsheets/d/1Lhp9OU0JdFf_VYSMzH5lBcEaU4o8teT1piV-SNzShjg/edit?gid=554141278#gid=554141278"", ""'Char Def. - Attributes'!C20:C2242""), 1,false)"),"ALT_UOM2_SIPI")</f>
        <v>ALT_UOM2_SIPI</v>
      </c>
      <c r="I8529" s="136"/>
      <c r="R8529" s="63" t="str">
        <f t="shared" si="60"/>
        <v>ZSI1_DECORATIVESALT_UOM2_SIPI</v>
      </c>
    </row>
    <row r="8530" ht="15.75" customHeight="1">
      <c r="B8530" s="63">
        <f t="shared" si="1"/>
        <v>16</v>
      </c>
      <c r="C8530" s="135" t="s">
        <v>379</v>
      </c>
      <c r="D8530" s="161" t="s">
        <v>74</v>
      </c>
      <c r="E8530" s="135">
        <f t="shared" si="62"/>
        <v>25</v>
      </c>
      <c r="F8530" s="134" t="s">
        <v>3808</v>
      </c>
      <c r="G8530" s="63" t="str">
        <f>VLOOKUP(C8530, 'Class Def. - General Data'!$C$20:$C$1000,1,false)</f>
        <v>ZSI1_DECORATIVES</v>
      </c>
      <c r="H8530" s="63" t="str">
        <f>IFERROR(__xludf.DUMMYFUNCTION("VLOOKUP(F8530, IMPORTRANGE(""https://docs.google.com/spreadsheets/d/1Lhp9OU0JdFf_VYSMzH5lBcEaU4o8teT1piV-SNzShjg/edit?gid=554141278#gid=554141278"", ""'Char Def. - Attributes'!C20:C2242""), 1,false)"),"ALT_DENUM_UOM2")</f>
        <v>ALT_DENUM_UOM2</v>
      </c>
      <c r="I8530" s="136"/>
      <c r="R8530" s="63" t="str">
        <f t="shared" si="60"/>
        <v>ZSI1_DECORATIVESALT_DENUM_UOM2</v>
      </c>
    </row>
    <row r="8531" ht="15.75" customHeight="1">
      <c r="B8531" s="63">
        <f t="shared" si="1"/>
        <v>16</v>
      </c>
      <c r="C8531" s="135" t="s">
        <v>379</v>
      </c>
      <c r="D8531" s="161" t="s">
        <v>74</v>
      </c>
      <c r="E8531" s="135">
        <f t="shared" si="62"/>
        <v>26</v>
      </c>
      <c r="F8531" s="134" t="s">
        <v>3809</v>
      </c>
      <c r="G8531" s="63" t="str">
        <f>VLOOKUP(C8531, 'Class Def. - General Data'!$C$20:$C$1000,1,false)</f>
        <v>ZSI1_DECORATIVES</v>
      </c>
      <c r="H8531" s="63" t="str">
        <f>IFERROR(__xludf.DUMMYFUNCTION("VLOOKUP(F8531, IMPORTRANGE(""https://docs.google.com/spreadsheets/d/1Lhp9OU0JdFf_VYSMzH5lBcEaU4o8teT1piV-SNzShjg/edit?gid=554141278#gid=554141278"", ""'Char Def. - Attributes'!C20:C2242""), 1,false)"),"ALT_NUM_UOM2")</f>
        <v>ALT_NUM_UOM2</v>
      </c>
      <c r="I8531" s="136"/>
      <c r="R8531" s="63" t="str">
        <f t="shared" si="60"/>
        <v>ZSI1_DECORATIVESALT_NUM_UOM2</v>
      </c>
    </row>
    <row r="8532" ht="15.75" customHeight="1">
      <c r="B8532" s="63">
        <f t="shared" si="1"/>
        <v>16</v>
      </c>
      <c r="C8532" s="135" t="s">
        <v>379</v>
      </c>
      <c r="D8532" s="161" t="s">
        <v>74</v>
      </c>
      <c r="E8532" s="135">
        <f t="shared" si="62"/>
        <v>27</v>
      </c>
      <c r="F8532" s="134" t="s">
        <v>3810</v>
      </c>
      <c r="G8532" s="63" t="str">
        <f>VLOOKUP(C8532, 'Class Def. - General Data'!$C$20:$C$1000,1,false)</f>
        <v>ZSI1_DECORATIVES</v>
      </c>
      <c r="H8532" s="63" t="str">
        <f>IFERROR(__xludf.DUMMYFUNCTION("VLOOKUP(F8532, IMPORTRANGE(""https://docs.google.com/spreadsheets/d/1Lhp9OU0JdFf_VYSMzH5lBcEaU4o8teT1piV-SNzShjg/edit?gid=554141278#gid=554141278"", ""'Char Def. - Attributes'!C20:C2242""), 1,false)"),"ALT_UOM3_SIPI")</f>
        <v>ALT_UOM3_SIPI</v>
      </c>
      <c r="I8532" s="136"/>
      <c r="R8532" s="63" t="str">
        <f t="shared" si="60"/>
        <v>ZSI1_DECORATIVESALT_UOM3_SIPI</v>
      </c>
    </row>
    <row r="8533" ht="15.75" customHeight="1">
      <c r="B8533" s="63">
        <f t="shared" si="1"/>
        <v>16</v>
      </c>
      <c r="C8533" s="135" t="s">
        <v>379</v>
      </c>
      <c r="D8533" s="161" t="s">
        <v>74</v>
      </c>
      <c r="E8533" s="135">
        <f t="shared" si="62"/>
        <v>28</v>
      </c>
      <c r="F8533" s="134" t="s">
        <v>3811</v>
      </c>
      <c r="G8533" s="63" t="str">
        <f>VLOOKUP(C8533, 'Class Def. - General Data'!$C$20:$C$1000,1,false)</f>
        <v>ZSI1_DECORATIVES</v>
      </c>
      <c r="H8533" s="63" t="str">
        <f>IFERROR(__xludf.DUMMYFUNCTION("VLOOKUP(F8533, IMPORTRANGE(""https://docs.google.com/spreadsheets/d/1Lhp9OU0JdFf_VYSMzH5lBcEaU4o8teT1piV-SNzShjg/edit?gid=554141278#gid=554141278"", ""'Char Def. - Attributes'!C20:C2242""), 1,false)"),"ALT_DENUM_UOM3")</f>
        <v>ALT_DENUM_UOM3</v>
      </c>
      <c r="I8533" s="136"/>
      <c r="R8533" s="63" t="str">
        <f t="shared" si="60"/>
        <v>ZSI1_DECORATIVESALT_DENUM_UOM3</v>
      </c>
    </row>
    <row r="8534" ht="15.75" customHeight="1">
      <c r="B8534" s="63">
        <f t="shared" si="1"/>
        <v>16</v>
      </c>
      <c r="C8534" s="135" t="s">
        <v>379</v>
      </c>
      <c r="D8534" s="161" t="s">
        <v>74</v>
      </c>
      <c r="E8534" s="135">
        <f t="shared" si="62"/>
        <v>29</v>
      </c>
      <c r="F8534" s="134" t="s">
        <v>3812</v>
      </c>
      <c r="G8534" s="63" t="str">
        <f>VLOOKUP(C8534, 'Class Def. - General Data'!$C$20:$C$1000,1,false)</f>
        <v>ZSI1_DECORATIVES</v>
      </c>
      <c r="H8534" s="63" t="str">
        <f>IFERROR(__xludf.DUMMYFUNCTION("VLOOKUP(F8534, IMPORTRANGE(""https://docs.google.com/spreadsheets/d/1Lhp9OU0JdFf_VYSMzH5lBcEaU4o8teT1piV-SNzShjg/edit?gid=554141278#gid=554141278"", ""'Char Def. - Attributes'!C20:C2242""), 1,false)"),"ALT_NUM_UOM3")</f>
        <v>ALT_NUM_UOM3</v>
      </c>
      <c r="I8534" s="136"/>
      <c r="R8534" s="63" t="str">
        <f t="shared" si="60"/>
        <v>ZSI1_DECORATIVESALT_NUM_UOM3</v>
      </c>
    </row>
    <row r="8535" ht="15.75" customHeight="1">
      <c r="B8535" s="63">
        <f t="shared" si="1"/>
        <v>16</v>
      </c>
      <c r="C8535" s="135" t="s">
        <v>379</v>
      </c>
      <c r="D8535" s="161" t="s">
        <v>74</v>
      </c>
      <c r="E8535" s="135">
        <f t="shared" si="62"/>
        <v>30</v>
      </c>
      <c r="F8535" s="134" t="s">
        <v>3813</v>
      </c>
      <c r="G8535" s="63" t="str">
        <f>VLOOKUP(C8535, 'Class Def. - General Data'!$C$20:$C$1000,1,false)</f>
        <v>ZSI1_DECORATIVES</v>
      </c>
      <c r="H8535" s="63" t="str">
        <f>IFERROR(__xludf.DUMMYFUNCTION("VLOOKUP(F8535, IMPORTRANGE(""https://docs.google.com/spreadsheets/d/1Lhp9OU0JdFf_VYSMzH5lBcEaU4o8teT1piV-SNzShjg/edit?gid=554141278#gid=554141278"", ""'Char Def. - Attributes'!C20:C2242""), 1,false)"),"ALT_UOM4_SIPI")</f>
        <v>ALT_UOM4_SIPI</v>
      </c>
      <c r="I8535" s="136"/>
      <c r="R8535" s="63" t="str">
        <f t="shared" si="60"/>
        <v>ZSI1_DECORATIVESALT_UOM4_SIPI</v>
      </c>
    </row>
    <row r="8536" ht="15.75" customHeight="1">
      <c r="B8536" s="63">
        <f t="shared" si="1"/>
        <v>16</v>
      </c>
      <c r="C8536" s="135" t="s">
        <v>379</v>
      </c>
      <c r="D8536" s="161" t="s">
        <v>74</v>
      </c>
      <c r="E8536" s="135">
        <f t="shared" si="62"/>
        <v>31</v>
      </c>
      <c r="F8536" s="134" t="s">
        <v>3814</v>
      </c>
      <c r="G8536" s="63" t="str">
        <f>VLOOKUP(C8536, 'Class Def. - General Data'!$C$20:$C$1000,1,false)</f>
        <v>ZSI1_DECORATIVES</v>
      </c>
      <c r="H8536" s="63" t="str">
        <f>IFERROR(__xludf.DUMMYFUNCTION("VLOOKUP(F8536, IMPORTRANGE(""https://docs.google.com/spreadsheets/d/1Lhp9OU0JdFf_VYSMzH5lBcEaU4o8teT1piV-SNzShjg/edit?gid=554141278#gid=554141278"", ""'Char Def. - Attributes'!C20:C2242""), 1,false)"),"ALT_DENUM_UOM4")</f>
        <v>ALT_DENUM_UOM4</v>
      </c>
      <c r="I8536" s="136"/>
      <c r="R8536" s="63" t="str">
        <f t="shared" si="60"/>
        <v>ZSI1_DECORATIVESALT_DENUM_UOM4</v>
      </c>
    </row>
    <row r="8537" ht="15.75" customHeight="1">
      <c r="B8537" s="63">
        <f t="shared" si="1"/>
        <v>16</v>
      </c>
      <c r="C8537" s="135" t="s">
        <v>379</v>
      </c>
      <c r="D8537" s="161" t="s">
        <v>74</v>
      </c>
      <c r="E8537" s="135">
        <f t="shared" si="62"/>
        <v>32</v>
      </c>
      <c r="F8537" s="134" t="s">
        <v>3815</v>
      </c>
      <c r="G8537" s="63" t="str">
        <f>VLOOKUP(C8537, 'Class Def. - General Data'!$C$20:$C$1000,1,false)</f>
        <v>ZSI1_DECORATIVES</v>
      </c>
      <c r="H8537" s="63" t="str">
        <f>IFERROR(__xludf.DUMMYFUNCTION("VLOOKUP(F8537, IMPORTRANGE(""https://docs.google.com/spreadsheets/d/1Lhp9OU0JdFf_VYSMzH5lBcEaU4o8teT1piV-SNzShjg/edit?gid=554141278#gid=554141278"", ""'Char Def. - Attributes'!C20:C2242""), 1,false)"),"ALT_NUM_UOM4")</f>
        <v>ALT_NUM_UOM4</v>
      </c>
      <c r="I8537" s="136"/>
      <c r="R8537" s="63" t="str">
        <f t="shared" si="60"/>
        <v>ZSI1_DECORATIVESALT_NUM_UOM4</v>
      </c>
    </row>
    <row r="8538" ht="15.75" customHeight="1">
      <c r="B8538" s="63">
        <f t="shared" si="1"/>
        <v>16</v>
      </c>
      <c r="C8538" s="135" t="s">
        <v>379</v>
      </c>
      <c r="D8538" s="161" t="s">
        <v>74</v>
      </c>
      <c r="E8538" s="135">
        <f t="shared" si="62"/>
        <v>33</v>
      </c>
      <c r="F8538" s="134" t="s">
        <v>3816</v>
      </c>
      <c r="G8538" s="63" t="str">
        <f>VLOOKUP(C8538, 'Class Def. - General Data'!$C$20:$C$1000,1,false)</f>
        <v>ZSI1_DECORATIVES</v>
      </c>
      <c r="H8538" s="63" t="str">
        <f>IFERROR(__xludf.DUMMYFUNCTION("VLOOKUP(F8538, IMPORTRANGE(""https://docs.google.com/spreadsheets/d/1Lhp9OU0JdFf_VYSMzH5lBcEaU4o8teT1piV-SNzShjg/edit?gid=554141278#gid=554141278"", ""'Char Def. - Attributes'!C20:C2242""), 1,false)"),"ALT_UOM5_SIPI")</f>
        <v>ALT_UOM5_SIPI</v>
      </c>
      <c r="I8538" s="136"/>
      <c r="R8538" s="63" t="str">
        <f t="shared" si="60"/>
        <v>ZSI1_DECORATIVESALT_UOM5_SIPI</v>
      </c>
    </row>
    <row r="8539" ht="15.75" customHeight="1">
      <c r="B8539" s="63">
        <f t="shared" si="1"/>
        <v>16</v>
      </c>
      <c r="C8539" s="135" t="s">
        <v>379</v>
      </c>
      <c r="D8539" s="161" t="s">
        <v>74</v>
      </c>
      <c r="E8539" s="135">
        <f t="shared" si="62"/>
        <v>34</v>
      </c>
      <c r="F8539" s="134" t="s">
        <v>3817</v>
      </c>
      <c r="G8539" s="63" t="str">
        <f>VLOOKUP(C8539, 'Class Def. - General Data'!$C$20:$C$1000,1,false)</f>
        <v>ZSI1_DECORATIVES</v>
      </c>
      <c r="H8539" s="63" t="str">
        <f>IFERROR(__xludf.DUMMYFUNCTION("VLOOKUP(F8539, IMPORTRANGE(""https://docs.google.com/spreadsheets/d/1Lhp9OU0JdFf_VYSMzH5lBcEaU4o8teT1piV-SNzShjg/edit?gid=554141278#gid=554141278"", ""'Char Def. - Attributes'!C20:C2242""), 1,false)"),"ALT_DENUM_UOM5")</f>
        <v>ALT_DENUM_UOM5</v>
      </c>
      <c r="I8539" s="136"/>
      <c r="R8539" s="63" t="str">
        <f t="shared" si="60"/>
        <v>ZSI1_DECORATIVESALT_DENUM_UOM5</v>
      </c>
    </row>
    <row r="8540" ht="15.75" customHeight="1">
      <c r="B8540" s="63">
        <f t="shared" si="1"/>
        <v>16</v>
      </c>
      <c r="C8540" s="135" t="s">
        <v>379</v>
      </c>
      <c r="D8540" s="161" t="s">
        <v>74</v>
      </c>
      <c r="E8540" s="135">
        <f t="shared" si="62"/>
        <v>35</v>
      </c>
      <c r="F8540" s="134" t="s">
        <v>3818</v>
      </c>
      <c r="G8540" s="63" t="str">
        <f>VLOOKUP(C8540, 'Class Def. - General Data'!$C$20:$C$1000,1,false)</f>
        <v>ZSI1_DECORATIVES</v>
      </c>
      <c r="H8540" s="63" t="str">
        <f>IFERROR(__xludf.DUMMYFUNCTION("VLOOKUP(F8540, IMPORTRANGE(""https://docs.google.com/spreadsheets/d/1Lhp9OU0JdFf_VYSMzH5lBcEaU4o8teT1piV-SNzShjg/edit?gid=554141278#gid=554141278"", ""'Char Def. - Attributes'!C20:C2242""), 1,false)"),"ALT_NUM_UOM5")</f>
        <v>ALT_NUM_UOM5</v>
      </c>
      <c r="I8540" s="136"/>
      <c r="R8540" s="63" t="str">
        <f t="shared" si="60"/>
        <v>ZSI1_DECORATIVESALT_NUM_UOM5</v>
      </c>
    </row>
    <row r="8541" ht="15.75" customHeight="1">
      <c r="B8541" s="63">
        <f t="shared" si="1"/>
        <v>18</v>
      </c>
      <c r="C8541" s="135" t="s">
        <v>380</v>
      </c>
      <c r="D8541" s="161" t="s">
        <v>74</v>
      </c>
      <c r="E8541" s="135">
        <f t="shared" si="62"/>
        <v>1</v>
      </c>
      <c r="F8541" s="134" t="s">
        <v>4381</v>
      </c>
      <c r="G8541" s="63" t="str">
        <f>VLOOKUP(C8541, 'Class Def. - General Data'!$C$20:$C$1000,1,false)</f>
        <v>ZSI1_DIAMOND_DRSSR</v>
      </c>
      <c r="H8541" s="63" t="str">
        <f>IFERROR(__xludf.DUMMYFUNCTION("VLOOKUP(F8541, IMPORTRANGE(""https://docs.google.com/spreadsheets/d/1Lhp9OU0JdFf_VYSMzH5lBcEaU4o8teT1piV-SNzShjg/edit?gid=554141278#gid=554141278"", ""'Char Def. - Attributes'!C20:C2242""), 1,false)"),"ITEM_NAME_DIAMOND_DRSSR")</f>
        <v>ITEM_NAME_DIAMOND_DRSSR</v>
      </c>
      <c r="I8541" s="136"/>
      <c r="R8541" s="63" t="str">
        <f t="shared" si="60"/>
        <v>ZSI1_DIAMOND_DRSSRITEM_NAME_DIAMOND_DRSSR</v>
      </c>
    </row>
    <row r="8542" ht="15.75" customHeight="1">
      <c r="B8542" s="63">
        <f t="shared" si="1"/>
        <v>18</v>
      </c>
      <c r="C8542" s="135" t="s">
        <v>380</v>
      </c>
      <c r="D8542" s="161" t="s">
        <v>74</v>
      </c>
      <c r="E8542" s="135">
        <f t="shared" si="62"/>
        <v>2</v>
      </c>
      <c r="F8542" s="134" t="s">
        <v>4382</v>
      </c>
      <c r="G8542" s="63" t="str">
        <f>VLOOKUP(C8542, 'Class Def. - General Data'!$C$20:$C$1000,1,false)</f>
        <v>ZSI1_DIAMOND_DRSSR</v>
      </c>
      <c r="H8542" s="63" t="str">
        <f>IFERROR(__xludf.DUMMYFUNCTION("VLOOKUP(F8542, IMPORTRANGE(""https://docs.google.com/spreadsheets/d/1Lhp9OU0JdFf_VYSMzH5lBcEaU4o8teT1piV-SNzShjg/edit?gid=554141278#gid=554141278"", ""'Char Def. - Attributes'!C20:C2242""), 1,false)"),"MFR_NO_DIAMOND_DRSSR")</f>
        <v>MFR_NO_DIAMOND_DRSSR</v>
      </c>
      <c r="I8542" s="136"/>
      <c r="R8542" s="63" t="str">
        <f t="shared" si="60"/>
        <v>ZSI1_DIAMOND_DRSSRMFR_NO_DIAMOND_DRSSR</v>
      </c>
    </row>
    <row r="8543" ht="15.75" customHeight="1">
      <c r="B8543" s="63">
        <f t="shared" si="1"/>
        <v>18</v>
      </c>
      <c r="C8543" s="135" t="s">
        <v>380</v>
      </c>
      <c r="D8543" s="161" t="s">
        <v>74</v>
      </c>
      <c r="E8543" s="135">
        <f t="shared" si="62"/>
        <v>3</v>
      </c>
      <c r="F8543" s="134" t="s">
        <v>3782</v>
      </c>
      <c r="G8543" s="63" t="str">
        <f>VLOOKUP(C8543, 'Class Def. - General Data'!$C$20:$C$1000,1,false)</f>
        <v>ZSI1_DIAMOND_DRSSR</v>
      </c>
      <c r="H8543" s="63" t="str">
        <f>IFERROR(__xludf.DUMMYFUNCTION("VLOOKUP(F8543, IMPORTRANGE(""https://docs.google.com/spreadsheets/d/1Lhp9OU0JdFf_VYSMzH5lBcEaU4o8teT1piV-SNzShjg/edit?gid=554141278#gid=554141278"", ""'Char Def. - Attributes'!C20:C2242""), 1,false)"),"BRAND_EXTERNAL")</f>
        <v>BRAND_EXTERNAL</v>
      </c>
      <c r="I8543" s="136"/>
      <c r="R8543" s="63" t="str">
        <f t="shared" si="60"/>
        <v>ZSI1_DIAMOND_DRSSRBRAND_EXTERNAL</v>
      </c>
    </row>
    <row r="8544" ht="15.75" customHeight="1">
      <c r="B8544" s="63">
        <f t="shared" si="1"/>
        <v>18</v>
      </c>
      <c r="C8544" s="135" t="s">
        <v>380</v>
      </c>
      <c r="D8544" s="161" t="s">
        <v>74</v>
      </c>
      <c r="E8544" s="135">
        <f t="shared" si="62"/>
        <v>4</v>
      </c>
      <c r="F8544" s="134" t="s">
        <v>4383</v>
      </c>
      <c r="G8544" s="63" t="str">
        <f>VLOOKUP(C8544, 'Class Def. - General Data'!$C$20:$C$1000,1,false)</f>
        <v>ZSI1_DIAMOND_DRSSR</v>
      </c>
      <c r="H8544" s="63" t="str">
        <f>IFERROR(__xludf.DUMMYFUNCTION("VLOOKUP(F8544, IMPORTRANGE(""https://docs.google.com/spreadsheets/d/1Lhp9OU0JdFf_VYSMzH5lBcEaU4o8teT1piV-SNzShjg/edit?gid=554141278#gid=554141278"", ""'Char Def. - Attributes'!C20:C2242""), 1,false)"),"DIAMOND_CARAT_DIAMOND_DRSSR")</f>
        <v>DIAMOND_CARAT_DIAMOND_DRSSR</v>
      </c>
      <c r="I8544" s="136"/>
      <c r="R8544" s="63" t="str">
        <f t="shared" si="60"/>
        <v>ZSI1_DIAMOND_DRSSRDIAMOND_CARAT_DIAMOND_DRSSR</v>
      </c>
    </row>
    <row r="8545" ht="15.75" customHeight="1">
      <c r="B8545" s="63">
        <f t="shared" si="1"/>
        <v>18</v>
      </c>
      <c r="C8545" s="135" t="s">
        <v>380</v>
      </c>
      <c r="D8545" s="161" t="s">
        <v>74</v>
      </c>
      <c r="E8545" s="135">
        <f t="shared" si="62"/>
        <v>5</v>
      </c>
      <c r="F8545" s="134" t="s">
        <v>3585</v>
      </c>
      <c r="G8545" s="63" t="str">
        <f>VLOOKUP(C8545, 'Class Def. - General Data'!$C$20:$C$1000,1,false)</f>
        <v>ZSI1_DIAMOND_DRSSR</v>
      </c>
      <c r="H8545" s="63" t="str">
        <f>IFERROR(__xludf.DUMMYFUNCTION("VLOOKUP(F8545, IMPORTRANGE(""https://docs.google.com/spreadsheets/d/1Lhp9OU0JdFf_VYSMzH5lBcEaU4o8teT1piV-SNzShjg/edit?gid=554141278#gid=554141278"", ""'Char Def. - Attributes'!C20:C2242""), 1,false)"),"HS_CODE")</f>
        <v>HS_CODE</v>
      </c>
      <c r="I8545" s="136"/>
      <c r="R8545" s="63" t="str">
        <f t="shared" si="60"/>
        <v>ZSI1_DIAMOND_DRSSRHS_CODE</v>
      </c>
    </row>
    <row r="8546" ht="15.75" customHeight="1">
      <c r="B8546" s="63">
        <f t="shared" si="1"/>
        <v>18</v>
      </c>
      <c r="C8546" s="135" t="s">
        <v>380</v>
      </c>
      <c r="D8546" s="161" t="s">
        <v>74</v>
      </c>
      <c r="E8546" s="135">
        <f t="shared" si="62"/>
        <v>6</v>
      </c>
      <c r="F8546" s="134" t="s">
        <v>3587</v>
      </c>
      <c r="G8546" s="63" t="str">
        <f>VLOOKUP(C8546, 'Class Def. - General Data'!$C$20:$C$1000,1,false)</f>
        <v>ZSI1_DIAMOND_DRSSR</v>
      </c>
      <c r="H8546" s="63" t="str">
        <f>IFERROR(__xludf.DUMMYFUNCTION("VLOOKUP(F8546, IMPORTRANGE(""https://docs.google.com/spreadsheets/d/1Lhp9OU0JdFf_VYSMzH5lBcEaU4o8teT1piV-SNzShjg/edit?gid=554141278#gid=554141278"", ""'Char Def. - Attributes'!C20:C2242""), 1,false)"),"PLANT_BUY")</f>
        <v>PLANT_BUY</v>
      </c>
      <c r="I8546" s="136"/>
      <c r="R8546" s="63" t="str">
        <f t="shared" si="60"/>
        <v>ZSI1_DIAMOND_DRSSRPLANT_BUY</v>
      </c>
    </row>
    <row r="8547" ht="15.75" customHeight="1">
      <c r="B8547" s="63">
        <f t="shared" si="1"/>
        <v>18</v>
      </c>
      <c r="C8547" s="135" t="s">
        <v>380</v>
      </c>
      <c r="D8547" s="161" t="s">
        <v>74</v>
      </c>
      <c r="E8547" s="135">
        <f t="shared" si="62"/>
        <v>7</v>
      </c>
      <c r="F8547" s="134" t="s">
        <v>4384</v>
      </c>
      <c r="G8547" s="63" t="str">
        <f>VLOOKUP(C8547, 'Class Def. - General Data'!$C$20:$C$1000,1,false)</f>
        <v>ZSI1_DIAMOND_DRSSR</v>
      </c>
      <c r="H8547" s="63" t="str">
        <f>IFERROR(__xludf.DUMMYFUNCTION("VLOOKUP(F8547, IMPORTRANGE(""https://docs.google.com/spreadsheets/d/1Lhp9OU0JdFf_VYSMzH5lBcEaU4o8teT1piV-SNzShjg/edit?gid=554141278#gid=554141278"", ""'Char Def. - Attributes'!C20:C2242""), 1,false)"),"BASE_UOM_DIAMOND_DRSSR")</f>
        <v>BASE_UOM_DIAMOND_DRSSR</v>
      </c>
      <c r="I8547" s="136"/>
      <c r="R8547" s="63" t="str">
        <f t="shared" si="60"/>
        <v>ZSI1_DIAMOND_DRSSRBASE_UOM_DIAMOND_DRSSR</v>
      </c>
    </row>
    <row r="8548" ht="15.75" customHeight="1">
      <c r="B8548" s="63">
        <f t="shared" si="1"/>
        <v>18</v>
      </c>
      <c r="C8548" s="135" t="s">
        <v>380</v>
      </c>
      <c r="D8548" s="161" t="s">
        <v>74</v>
      </c>
      <c r="E8548" s="135">
        <f t="shared" si="62"/>
        <v>8</v>
      </c>
      <c r="F8548" s="134" t="s">
        <v>4385</v>
      </c>
      <c r="G8548" s="63" t="str">
        <f>VLOOKUP(C8548, 'Class Def. - General Data'!$C$20:$C$1000,1,false)</f>
        <v>ZSI1_DIAMOND_DRSSR</v>
      </c>
      <c r="H8548" s="63" t="str">
        <f>IFERROR(__xludf.DUMMYFUNCTION("VLOOKUP(F8548, IMPORTRANGE(""https://docs.google.com/spreadsheets/d/1Lhp9OU0JdFf_VYSMzH5lBcEaU4o8teT1piV-SNzShjg/edit?gid=554141278#gid=554141278"", ""'Char Def. - Attributes'!C20:C2242""), 1,false)"),"ORDER_UNIT_DIAMOND_DRSSR")</f>
        <v>ORDER_UNIT_DIAMOND_DRSSR</v>
      </c>
      <c r="I8548" s="136"/>
      <c r="R8548" s="63" t="str">
        <f t="shared" si="60"/>
        <v>ZSI1_DIAMOND_DRSSRORDER_UNIT_DIAMOND_DRSSR</v>
      </c>
    </row>
    <row r="8549" ht="15.75" customHeight="1">
      <c r="B8549" s="63">
        <f t="shared" si="1"/>
        <v>18</v>
      </c>
      <c r="C8549" s="135" t="s">
        <v>380</v>
      </c>
      <c r="D8549" s="161" t="s">
        <v>74</v>
      </c>
      <c r="E8549" s="135">
        <f t="shared" si="62"/>
        <v>9</v>
      </c>
      <c r="F8549" s="134" t="s">
        <v>4056</v>
      </c>
      <c r="G8549" s="63" t="str">
        <f>VLOOKUP(C8549, 'Class Def. - General Data'!$C$20:$C$1000,1,false)</f>
        <v>ZSI1_DIAMOND_DRSSR</v>
      </c>
      <c r="H8549" s="63" t="str">
        <f>IFERROR(__xludf.DUMMYFUNCTION("VLOOKUP(F8549, IMPORTRANGE(""https://docs.google.com/spreadsheets/d/1Lhp9OU0JdFf_VYSMzH5lBcEaU4o8teT1piV-SNzShjg/edit?gid=554141278#gid=554141278"", ""'Char Def. - Attributes'!C20:C2242""), 1,false)"),"GROSS_WEIGHT_OPT")</f>
        <v>GROSS_WEIGHT_OPT</v>
      </c>
      <c r="I8549" s="136"/>
      <c r="R8549" s="63" t="str">
        <f t="shared" si="60"/>
        <v>ZSI1_DIAMOND_DRSSRGROSS_WEIGHT_OPT</v>
      </c>
    </row>
    <row r="8550" ht="15.75" customHeight="1">
      <c r="B8550" s="63">
        <f t="shared" si="1"/>
        <v>18</v>
      </c>
      <c r="C8550" s="135" t="s">
        <v>380</v>
      </c>
      <c r="D8550" s="161" t="s">
        <v>74</v>
      </c>
      <c r="E8550" s="135">
        <f t="shared" si="62"/>
        <v>10</v>
      </c>
      <c r="F8550" s="134" t="s">
        <v>4057</v>
      </c>
      <c r="G8550" s="63" t="str">
        <f>VLOOKUP(C8550, 'Class Def. - General Data'!$C$20:$C$1000,1,false)</f>
        <v>ZSI1_DIAMOND_DRSSR</v>
      </c>
      <c r="H8550" s="63" t="str">
        <f>IFERROR(__xludf.DUMMYFUNCTION("VLOOKUP(F8550, IMPORTRANGE(""https://docs.google.com/spreadsheets/d/1Lhp9OU0JdFf_VYSMzH5lBcEaU4o8teT1piV-SNzShjg/edit?gid=554141278#gid=554141278"", ""'Char Def. - Attributes'!C20:C2242""), 1,false)"),"NET_WEIGHT_OPT")</f>
        <v>NET_WEIGHT_OPT</v>
      </c>
      <c r="I8550" s="136"/>
      <c r="R8550" s="63" t="str">
        <f t="shared" si="60"/>
        <v>ZSI1_DIAMOND_DRSSRNET_WEIGHT_OPT</v>
      </c>
    </row>
    <row r="8551" ht="15.75" customHeight="1">
      <c r="B8551" s="63">
        <f t="shared" si="1"/>
        <v>18</v>
      </c>
      <c r="C8551" s="135" t="s">
        <v>380</v>
      </c>
      <c r="D8551" s="161" t="s">
        <v>74</v>
      </c>
      <c r="E8551" s="135">
        <f t="shared" si="62"/>
        <v>11</v>
      </c>
      <c r="F8551" s="134" t="s">
        <v>4058</v>
      </c>
      <c r="G8551" s="63" t="str">
        <f>VLOOKUP(C8551, 'Class Def. - General Data'!$C$20:$C$1000,1,false)</f>
        <v>ZSI1_DIAMOND_DRSSR</v>
      </c>
      <c r="H8551" s="63" t="str">
        <f>IFERROR(__xludf.DUMMYFUNCTION("VLOOKUP(F8551, IMPORTRANGE(""https://docs.google.com/spreadsheets/d/1Lhp9OU0JdFf_VYSMzH5lBcEaU4o8teT1piV-SNzShjg/edit?gid=554141278#gid=554141278"", ""'Char Def. - Attributes'!C20:C2242""), 1,false)"),"WEIGHT_UNIT_SI")</f>
        <v>WEIGHT_UNIT_SI</v>
      </c>
      <c r="I8551" s="136"/>
      <c r="R8551" s="63" t="str">
        <f t="shared" si="60"/>
        <v>ZSI1_DIAMOND_DRSSRWEIGHT_UNIT_SI</v>
      </c>
    </row>
    <row r="8552" ht="15.75" customHeight="1">
      <c r="B8552" s="63">
        <f t="shared" si="1"/>
        <v>18</v>
      </c>
      <c r="C8552" s="135" t="s">
        <v>380</v>
      </c>
      <c r="D8552" s="161" t="s">
        <v>74</v>
      </c>
      <c r="E8552" s="135">
        <f t="shared" si="62"/>
        <v>12</v>
      </c>
      <c r="F8552" s="134" t="s">
        <v>3877</v>
      </c>
      <c r="G8552" s="63" t="str">
        <f>VLOOKUP(C8552, 'Class Def. - General Data'!$C$20:$C$1000,1,false)</f>
        <v>ZSI1_DIAMOND_DRSSR</v>
      </c>
      <c r="H8552" s="63" t="str">
        <f>IFERROR(__xludf.DUMMYFUNCTION("VLOOKUP(F8552, IMPORTRANGE(""https://docs.google.com/spreadsheets/d/1Lhp9OU0JdFf_VYSMzH5lBcEaU4o8teT1piV-SNzShjg/edit?gid=554141278#gid=554141278"", ""'Char Def. - Attributes'!C20:C2242""), 1,false)"),"VOLUME_OPT")</f>
        <v>VOLUME_OPT</v>
      </c>
      <c r="I8552" s="136"/>
      <c r="R8552" s="63" t="str">
        <f t="shared" si="60"/>
        <v>ZSI1_DIAMOND_DRSSRVOLUME_OPT</v>
      </c>
    </row>
    <row r="8553" ht="15.75" customHeight="1">
      <c r="B8553" s="63">
        <f t="shared" si="1"/>
        <v>18</v>
      </c>
      <c r="C8553" s="135" t="s">
        <v>380</v>
      </c>
      <c r="D8553" s="161" t="s">
        <v>74</v>
      </c>
      <c r="E8553" s="135">
        <f t="shared" si="62"/>
        <v>13</v>
      </c>
      <c r="F8553" s="134" t="s">
        <v>4059</v>
      </c>
      <c r="G8553" s="63" t="str">
        <f>VLOOKUP(C8553, 'Class Def. - General Data'!$C$20:$C$1000,1,false)</f>
        <v>ZSI1_DIAMOND_DRSSR</v>
      </c>
      <c r="H8553" s="63" t="str">
        <f>IFERROR(__xludf.DUMMYFUNCTION("VLOOKUP(F8553, IMPORTRANGE(""https://docs.google.com/spreadsheets/d/1Lhp9OU0JdFf_VYSMzH5lBcEaU4o8teT1piV-SNzShjg/edit?gid=554141278#gid=554141278"", ""'Char Def. - Attributes'!C20:C2242""), 1,false)"),"VOLUME_UNIT_SI")</f>
        <v>VOLUME_UNIT_SI</v>
      </c>
      <c r="I8553" s="136"/>
      <c r="R8553" s="63" t="str">
        <f t="shared" si="60"/>
        <v>ZSI1_DIAMOND_DRSSRVOLUME_UNIT_SI</v>
      </c>
    </row>
    <row r="8554" ht="15.75" customHeight="1">
      <c r="B8554" s="63">
        <f t="shared" si="1"/>
        <v>18</v>
      </c>
      <c r="C8554" s="135" t="s">
        <v>380</v>
      </c>
      <c r="D8554" s="161" t="s">
        <v>74</v>
      </c>
      <c r="E8554" s="135">
        <f t="shared" si="62"/>
        <v>14</v>
      </c>
      <c r="F8554" s="134" t="s">
        <v>3804</v>
      </c>
      <c r="G8554" s="63" t="str">
        <f>VLOOKUP(C8554, 'Class Def. - General Data'!$C$20:$C$1000,1,false)</f>
        <v>ZSI1_DIAMOND_DRSSR</v>
      </c>
      <c r="H8554" s="63" t="str">
        <f>IFERROR(__xludf.DUMMYFUNCTION("VLOOKUP(F8554, IMPORTRANGE(""https://docs.google.com/spreadsheets/d/1Lhp9OU0JdFf_VYSMzH5lBcEaU4o8teT1piV-SNzShjg/edit?gid=554141278#gid=554141278"", ""'Char Def. - Attributes'!C20:C2242""), 1,false)"),"ALT_UOM1_SIPI")</f>
        <v>ALT_UOM1_SIPI</v>
      </c>
      <c r="I8554" s="136"/>
      <c r="R8554" s="63" t="str">
        <f t="shared" si="60"/>
        <v>ZSI1_DIAMOND_DRSSRALT_UOM1_SIPI</v>
      </c>
    </row>
    <row r="8555" ht="15.75" customHeight="1">
      <c r="B8555" s="63">
        <f t="shared" si="1"/>
        <v>18</v>
      </c>
      <c r="C8555" s="135" t="s">
        <v>380</v>
      </c>
      <c r="D8555" s="161" t="s">
        <v>74</v>
      </c>
      <c r="E8555" s="135">
        <f t="shared" si="62"/>
        <v>15</v>
      </c>
      <c r="F8555" s="134" t="s">
        <v>3805</v>
      </c>
      <c r="G8555" s="63" t="str">
        <f>VLOOKUP(C8555, 'Class Def. - General Data'!$C$20:$C$1000,1,false)</f>
        <v>ZSI1_DIAMOND_DRSSR</v>
      </c>
      <c r="H8555" s="63" t="str">
        <f>IFERROR(__xludf.DUMMYFUNCTION("VLOOKUP(F8555, IMPORTRANGE(""https://docs.google.com/spreadsheets/d/1Lhp9OU0JdFf_VYSMzH5lBcEaU4o8teT1piV-SNzShjg/edit?gid=554141278#gid=554141278"", ""'Char Def. - Attributes'!C20:C2242""), 1,false)"),"ALT_DENUM_UOM1")</f>
        <v>ALT_DENUM_UOM1</v>
      </c>
      <c r="I8555" s="136"/>
      <c r="R8555" s="63" t="str">
        <f t="shared" si="60"/>
        <v>ZSI1_DIAMOND_DRSSRALT_DENUM_UOM1</v>
      </c>
    </row>
    <row r="8556" ht="15.75" customHeight="1">
      <c r="B8556" s="63">
        <f t="shared" si="1"/>
        <v>18</v>
      </c>
      <c r="C8556" s="135" t="s">
        <v>380</v>
      </c>
      <c r="D8556" s="161" t="s">
        <v>74</v>
      </c>
      <c r="E8556" s="135">
        <f t="shared" si="62"/>
        <v>16</v>
      </c>
      <c r="F8556" s="134" t="s">
        <v>3806</v>
      </c>
      <c r="G8556" s="63" t="str">
        <f>VLOOKUP(C8556, 'Class Def. - General Data'!$C$20:$C$1000,1,false)</f>
        <v>ZSI1_DIAMOND_DRSSR</v>
      </c>
      <c r="H8556" s="63" t="str">
        <f>IFERROR(__xludf.DUMMYFUNCTION("VLOOKUP(F8556, IMPORTRANGE(""https://docs.google.com/spreadsheets/d/1Lhp9OU0JdFf_VYSMzH5lBcEaU4o8teT1piV-SNzShjg/edit?gid=554141278#gid=554141278"", ""'Char Def. - Attributes'!C20:C2242""), 1,false)"),"ALT_NUM_UOM1")</f>
        <v>ALT_NUM_UOM1</v>
      </c>
      <c r="I8556" s="136"/>
      <c r="R8556" s="63" t="str">
        <f t="shared" si="60"/>
        <v>ZSI1_DIAMOND_DRSSRALT_NUM_UOM1</v>
      </c>
    </row>
    <row r="8557" ht="15.75" customHeight="1">
      <c r="B8557" s="63">
        <f t="shared" si="1"/>
        <v>18</v>
      </c>
      <c r="C8557" s="135" t="s">
        <v>380</v>
      </c>
      <c r="D8557" s="161" t="s">
        <v>74</v>
      </c>
      <c r="E8557" s="135">
        <f t="shared" si="62"/>
        <v>17</v>
      </c>
      <c r="F8557" s="134" t="s">
        <v>3807</v>
      </c>
      <c r="G8557" s="63" t="str">
        <f>VLOOKUP(C8557, 'Class Def. - General Data'!$C$20:$C$1000,1,false)</f>
        <v>ZSI1_DIAMOND_DRSSR</v>
      </c>
      <c r="H8557" s="63" t="str">
        <f>IFERROR(__xludf.DUMMYFUNCTION("VLOOKUP(F8557, IMPORTRANGE(""https://docs.google.com/spreadsheets/d/1Lhp9OU0JdFf_VYSMzH5lBcEaU4o8teT1piV-SNzShjg/edit?gid=554141278#gid=554141278"", ""'Char Def. - Attributes'!C20:C2242""), 1,false)"),"ALT_UOM2_SIPI")</f>
        <v>ALT_UOM2_SIPI</v>
      </c>
      <c r="I8557" s="136"/>
      <c r="R8557" s="63" t="str">
        <f t="shared" si="60"/>
        <v>ZSI1_DIAMOND_DRSSRALT_UOM2_SIPI</v>
      </c>
    </row>
    <row r="8558" ht="15.75" customHeight="1">
      <c r="B8558" s="63">
        <f t="shared" si="1"/>
        <v>18</v>
      </c>
      <c r="C8558" s="135" t="s">
        <v>380</v>
      </c>
      <c r="D8558" s="161" t="s">
        <v>74</v>
      </c>
      <c r="E8558" s="135">
        <f t="shared" si="62"/>
        <v>18</v>
      </c>
      <c r="F8558" s="134" t="s">
        <v>3808</v>
      </c>
      <c r="G8558" s="63" t="str">
        <f>VLOOKUP(C8558, 'Class Def. - General Data'!$C$20:$C$1000,1,false)</f>
        <v>ZSI1_DIAMOND_DRSSR</v>
      </c>
      <c r="H8558" s="63" t="str">
        <f>IFERROR(__xludf.DUMMYFUNCTION("VLOOKUP(F8558, IMPORTRANGE(""https://docs.google.com/spreadsheets/d/1Lhp9OU0JdFf_VYSMzH5lBcEaU4o8teT1piV-SNzShjg/edit?gid=554141278#gid=554141278"", ""'Char Def. - Attributes'!C20:C2242""), 1,false)"),"ALT_DENUM_UOM2")</f>
        <v>ALT_DENUM_UOM2</v>
      </c>
      <c r="I8558" s="136"/>
      <c r="R8558" s="63" t="str">
        <f t="shared" si="60"/>
        <v>ZSI1_DIAMOND_DRSSRALT_DENUM_UOM2</v>
      </c>
    </row>
    <row r="8559" ht="15.75" customHeight="1">
      <c r="B8559" s="63">
        <f t="shared" si="1"/>
        <v>18</v>
      </c>
      <c r="C8559" s="135" t="s">
        <v>380</v>
      </c>
      <c r="D8559" s="161" t="s">
        <v>74</v>
      </c>
      <c r="E8559" s="135">
        <f t="shared" si="62"/>
        <v>19</v>
      </c>
      <c r="F8559" s="134" t="s">
        <v>3809</v>
      </c>
      <c r="G8559" s="63" t="str">
        <f>VLOOKUP(C8559, 'Class Def. - General Data'!$C$20:$C$1000,1,false)</f>
        <v>ZSI1_DIAMOND_DRSSR</v>
      </c>
      <c r="H8559" s="63" t="str">
        <f>IFERROR(__xludf.DUMMYFUNCTION("VLOOKUP(F8559, IMPORTRANGE(""https://docs.google.com/spreadsheets/d/1Lhp9OU0JdFf_VYSMzH5lBcEaU4o8teT1piV-SNzShjg/edit?gid=554141278#gid=554141278"", ""'Char Def. - Attributes'!C20:C2242""), 1,false)"),"ALT_NUM_UOM2")</f>
        <v>ALT_NUM_UOM2</v>
      </c>
      <c r="I8559" s="136"/>
      <c r="R8559" s="63" t="str">
        <f t="shared" si="60"/>
        <v>ZSI1_DIAMOND_DRSSRALT_NUM_UOM2</v>
      </c>
    </row>
    <row r="8560" ht="15.75" customHeight="1">
      <c r="B8560" s="63">
        <f t="shared" si="1"/>
        <v>18</v>
      </c>
      <c r="C8560" s="135" t="s">
        <v>380</v>
      </c>
      <c r="D8560" s="161" t="s">
        <v>74</v>
      </c>
      <c r="E8560" s="135">
        <f t="shared" si="62"/>
        <v>20</v>
      </c>
      <c r="F8560" s="134" t="s">
        <v>3810</v>
      </c>
      <c r="G8560" s="63" t="str">
        <f>VLOOKUP(C8560, 'Class Def. - General Data'!$C$20:$C$1000,1,false)</f>
        <v>ZSI1_DIAMOND_DRSSR</v>
      </c>
      <c r="H8560" s="63" t="str">
        <f>IFERROR(__xludf.DUMMYFUNCTION("VLOOKUP(F8560, IMPORTRANGE(""https://docs.google.com/spreadsheets/d/1Lhp9OU0JdFf_VYSMzH5lBcEaU4o8teT1piV-SNzShjg/edit?gid=554141278#gid=554141278"", ""'Char Def. - Attributes'!C20:C2242""), 1,false)"),"ALT_UOM3_SIPI")</f>
        <v>ALT_UOM3_SIPI</v>
      </c>
      <c r="I8560" s="136"/>
      <c r="R8560" s="63" t="str">
        <f t="shared" si="60"/>
        <v>ZSI1_DIAMOND_DRSSRALT_UOM3_SIPI</v>
      </c>
    </row>
    <row r="8561" ht="15.75" customHeight="1">
      <c r="B8561" s="63">
        <f t="shared" si="1"/>
        <v>18</v>
      </c>
      <c r="C8561" s="135" t="s">
        <v>380</v>
      </c>
      <c r="D8561" s="161" t="s">
        <v>74</v>
      </c>
      <c r="E8561" s="135">
        <f t="shared" si="62"/>
        <v>21</v>
      </c>
      <c r="F8561" s="134" t="s">
        <v>3811</v>
      </c>
      <c r="G8561" s="63" t="str">
        <f>VLOOKUP(C8561, 'Class Def. - General Data'!$C$20:$C$1000,1,false)</f>
        <v>ZSI1_DIAMOND_DRSSR</v>
      </c>
      <c r="H8561" s="63" t="str">
        <f>IFERROR(__xludf.DUMMYFUNCTION("VLOOKUP(F8561, IMPORTRANGE(""https://docs.google.com/spreadsheets/d/1Lhp9OU0JdFf_VYSMzH5lBcEaU4o8teT1piV-SNzShjg/edit?gid=554141278#gid=554141278"", ""'Char Def. - Attributes'!C20:C2242""), 1,false)"),"ALT_DENUM_UOM3")</f>
        <v>ALT_DENUM_UOM3</v>
      </c>
      <c r="I8561" s="136"/>
      <c r="R8561" s="63" t="str">
        <f t="shared" si="60"/>
        <v>ZSI1_DIAMOND_DRSSRALT_DENUM_UOM3</v>
      </c>
    </row>
    <row r="8562" ht="15.75" customHeight="1">
      <c r="B8562" s="63">
        <f t="shared" si="1"/>
        <v>18</v>
      </c>
      <c r="C8562" s="135" t="s">
        <v>380</v>
      </c>
      <c r="D8562" s="161" t="s">
        <v>74</v>
      </c>
      <c r="E8562" s="135">
        <f t="shared" si="62"/>
        <v>22</v>
      </c>
      <c r="F8562" s="134" t="s">
        <v>3812</v>
      </c>
      <c r="G8562" s="63" t="str">
        <f>VLOOKUP(C8562, 'Class Def. - General Data'!$C$20:$C$1000,1,false)</f>
        <v>ZSI1_DIAMOND_DRSSR</v>
      </c>
      <c r="H8562" s="63" t="str">
        <f>IFERROR(__xludf.DUMMYFUNCTION("VLOOKUP(F8562, IMPORTRANGE(""https://docs.google.com/spreadsheets/d/1Lhp9OU0JdFf_VYSMzH5lBcEaU4o8teT1piV-SNzShjg/edit?gid=554141278#gid=554141278"", ""'Char Def. - Attributes'!C20:C2242""), 1,false)"),"ALT_NUM_UOM3")</f>
        <v>ALT_NUM_UOM3</v>
      </c>
      <c r="I8562" s="136"/>
      <c r="R8562" s="63" t="str">
        <f t="shared" si="60"/>
        <v>ZSI1_DIAMOND_DRSSRALT_NUM_UOM3</v>
      </c>
    </row>
    <row r="8563" ht="15.75" customHeight="1">
      <c r="B8563" s="63">
        <f t="shared" si="1"/>
        <v>18</v>
      </c>
      <c r="C8563" s="135" t="s">
        <v>380</v>
      </c>
      <c r="D8563" s="161" t="s">
        <v>74</v>
      </c>
      <c r="E8563" s="135">
        <f t="shared" si="62"/>
        <v>23</v>
      </c>
      <c r="F8563" s="134" t="s">
        <v>3813</v>
      </c>
      <c r="G8563" s="63" t="str">
        <f>VLOOKUP(C8563, 'Class Def. - General Data'!$C$20:$C$1000,1,false)</f>
        <v>ZSI1_DIAMOND_DRSSR</v>
      </c>
      <c r="H8563" s="63" t="str">
        <f>IFERROR(__xludf.DUMMYFUNCTION("VLOOKUP(F8563, IMPORTRANGE(""https://docs.google.com/spreadsheets/d/1Lhp9OU0JdFf_VYSMzH5lBcEaU4o8teT1piV-SNzShjg/edit?gid=554141278#gid=554141278"", ""'Char Def. - Attributes'!C20:C2242""), 1,false)"),"ALT_UOM4_SIPI")</f>
        <v>ALT_UOM4_SIPI</v>
      </c>
      <c r="I8563" s="136"/>
      <c r="R8563" s="63" t="str">
        <f t="shared" si="60"/>
        <v>ZSI1_DIAMOND_DRSSRALT_UOM4_SIPI</v>
      </c>
    </row>
    <row r="8564" ht="15.75" customHeight="1">
      <c r="B8564" s="63">
        <f t="shared" si="1"/>
        <v>18</v>
      </c>
      <c r="C8564" s="135" t="s">
        <v>380</v>
      </c>
      <c r="D8564" s="161" t="s">
        <v>74</v>
      </c>
      <c r="E8564" s="135">
        <f t="shared" si="62"/>
        <v>24</v>
      </c>
      <c r="F8564" s="134" t="s">
        <v>3814</v>
      </c>
      <c r="G8564" s="63" t="str">
        <f>VLOOKUP(C8564, 'Class Def. - General Data'!$C$20:$C$1000,1,false)</f>
        <v>ZSI1_DIAMOND_DRSSR</v>
      </c>
      <c r="H8564" s="63" t="str">
        <f>IFERROR(__xludf.DUMMYFUNCTION("VLOOKUP(F8564, IMPORTRANGE(""https://docs.google.com/spreadsheets/d/1Lhp9OU0JdFf_VYSMzH5lBcEaU4o8teT1piV-SNzShjg/edit?gid=554141278#gid=554141278"", ""'Char Def. - Attributes'!C20:C2242""), 1,false)"),"ALT_DENUM_UOM4")</f>
        <v>ALT_DENUM_UOM4</v>
      </c>
      <c r="I8564" s="136"/>
      <c r="R8564" s="63" t="str">
        <f t="shared" si="60"/>
        <v>ZSI1_DIAMOND_DRSSRALT_DENUM_UOM4</v>
      </c>
    </row>
    <row r="8565" ht="15.75" customHeight="1">
      <c r="B8565" s="63">
        <f t="shared" si="1"/>
        <v>18</v>
      </c>
      <c r="C8565" s="135" t="s">
        <v>380</v>
      </c>
      <c r="D8565" s="161" t="s">
        <v>74</v>
      </c>
      <c r="E8565" s="135">
        <f t="shared" si="62"/>
        <v>25</v>
      </c>
      <c r="F8565" s="134" t="s">
        <v>3815</v>
      </c>
      <c r="G8565" s="63" t="str">
        <f>VLOOKUP(C8565, 'Class Def. - General Data'!$C$20:$C$1000,1,false)</f>
        <v>ZSI1_DIAMOND_DRSSR</v>
      </c>
      <c r="H8565" s="63" t="str">
        <f>IFERROR(__xludf.DUMMYFUNCTION("VLOOKUP(F8565, IMPORTRANGE(""https://docs.google.com/spreadsheets/d/1Lhp9OU0JdFf_VYSMzH5lBcEaU4o8teT1piV-SNzShjg/edit?gid=554141278#gid=554141278"", ""'Char Def. - Attributes'!C20:C2242""), 1,false)"),"ALT_NUM_UOM4")</f>
        <v>ALT_NUM_UOM4</v>
      </c>
      <c r="I8565" s="136"/>
      <c r="R8565" s="63" t="str">
        <f t="shared" si="60"/>
        <v>ZSI1_DIAMOND_DRSSRALT_NUM_UOM4</v>
      </c>
    </row>
    <row r="8566" ht="15.75" customHeight="1">
      <c r="B8566" s="63">
        <f t="shared" si="1"/>
        <v>18</v>
      </c>
      <c r="C8566" s="135" t="s">
        <v>380</v>
      </c>
      <c r="D8566" s="161" t="s">
        <v>74</v>
      </c>
      <c r="E8566" s="135">
        <f t="shared" si="62"/>
        <v>26</v>
      </c>
      <c r="F8566" s="134" t="s">
        <v>3816</v>
      </c>
      <c r="G8566" s="63" t="str">
        <f>VLOOKUP(C8566, 'Class Def. - General Data'!$C$20:$C$1000,1,false)</f>
        <v>ZSI1_DIAMOND_DRSSR</v>
      </c>
      <c r="H8566" s="63" t="str">
        <f>IFERROR(__xludf.DUMMYFUNCTION("VLOOKUP(F8566, IMPORTRANGE(""https://docs.google.com/spreadsheets/d/1Lhp9OU0JdFf_VYSMzH5lBcEaU4o8teT1piV-SNzShjg/edit?gid=554141278#gid=554141278"", ""'Char Def. - Attributes'!C20:C2242""), 1,false)"),"ALT_UOM5_SIPI")</f>
        <v>ALT_UOM5_SIPI</v>
      </c>
      <c r="I8566" s="136"/>
      <c r="R8566" s="63" t="str">
        <f t="shared" si="60"/>
        <v>ZSI1_DIAMOND_DRSSRALT_UOM5_SIPI</v>
      </c>
    </row>
    <row r="8567" ht="15.75" customHeight="1">
      <c r="B8567" s="63">
        <f t="shared" si="1"/>
        <v>18</v>
      </c>
      <c r="C8567" s="135" t="s">
        <v>380</v>
      </c>
      <c r="D8567" s="161" t="s">
        <v>74</v>
      </c>
      <c r="E8567" s="135">
        <f t="shared" si="62"/>
        <v>27</v>
      </c>
      <c r="F8567" s="134" t="s">
        <v>3817</v>
      </c>
      <c r="G8567" s="63" t="str">
        <f>VLOOKUP(C8567, 'Class Def. - General Data'!$C$20:$C$1000,1,false)</f>
        <v>ZSI1_DIAMOND_DRSSR</v>
      </c>
      <c r="H8567" s="63" t="str">
        <f>IFERROR(__xludf.DUMMYFUNCTION("VLOOKUP(F8567, IMPORTRANGE(""https://docs.google.com/spreadsheets/d/1Lhp9OU0JdFf_VYSMzH5lBcEaU4o8teT1piV-SNzShjg/edit?gid=554141278#gid=554141278"", ""'Char Def. - Attributes'!C20:C2242""), 1,false)"),"ALT_DENUM_UOM5")</f>
        <v>ALT_DENUM_UOM5</v>
      </c>
      <c r="I8567" s="136"/>
      <c r="R8567" s="63" t="str">
        <f t="shared" si="60"/>
        <v>ZSI1_DIAMOND_DRSSRALT_DENUM_UOM5</v>
      </c>
    </row>
    <row r="8568" ht="15.75" customHeight="1">
      <c r="B8568" s="63">
        <f t="shared" si="1"/>
        <v>18</v>
      </c>
      <c r="C8568" s="135" t="s">
        <v>380</v>
      </c>
      <c r="D8568" s="161" t="s">
        <v>74</v>
      </c>
      <c r="E8568" s="135">
        <f t="shared" si="62"/>
        <v>28</v>
      </c>
      <c r="F8568" s="134" t="s">
        <v>3818</v>
      </c>
      <c r="G8568" s="63" t="str">
        <f>VLOOKUP(C8568, 'Class Def. - General Data'!$C$20:$C$1000,1,false)</f>
        <v>ZSI1_DIAMOND_DRSSR</v>
      </c>
      <c r="H8568" s="63" t="str">
        <f>IFERROR(__xludf.DUMMYFUNCTION("VLOOKUP(F8568, IMPORTRANGE(""https://docs.google.com/spreadsheets/d/1Lhp9OU0JdFf_VYSMzH5lBcEaU4o8teT1piV-SNzShjg/edit?gid=554141278#gid=554141278"", ""'Char Def. - Attributes'!C20:C2242""), 1,false)"),"ALT_NUM_UOM5")</f>
        <v>ALT_NUM_UOM5</v>
      </c>
      <c r="I8568" s="136"/>
      <c r="R8568" s="63" t="str">
        <f t="shared" si="60"/>
        <v>ZSI1_DIAMOND_DRSSRALT_NUM_UOM5</v>
      </c>
    </row>
    <row r="8569" ht="15.75" customHeight="1">
      <c r="B8569" s="63">
        <f t="shared" si="1"/>
        <v>10</v>
      </c>
      <c r="C8569" s="135" t="s">
        <v>539</v>
      </c>
      <c r="D8569" s="161" t="s">
        <v>74</v>
      </c>
      <c r="E8569" s="135">
        <f t="shared" si="62"/>
        <v>1</v>
      </c>
      <c r="F8569" s="134" t="s">
        <v>4386</v>
      </c>
      <c r="G8569" s="63" t="str">
        <f>VLOOKUP(C8569, 'Class Def. - General Data'!$C$20:$C$1000,1,false)</f>
        <v>ZSI1_DIODE</v>
      </c>
      <c r="H8569" s="63" t="str">
        <f>IFERROR(__xludf.DUMMYFUNCTION("VLOOKUP(F8569, IMPORTRANGE(""https://docs.google.com/spreadsheets/d/1Lhp9OU0JdFf_VYSMzH5lBcEaU4o8teT1piV-SNzShjg/edit?gid=554141278#gid=554141278"", ""'Char Def. - Attributes'!C20:C2242""), 1,false)"),"ITEM_NAME_DIODE")</f>
        <v>ITEM_NAME_DIODE</v>
      </c>
      <c r="I8569" s="136"/>
      <c r="R8569" s="63" t="str">
        <f t="shared" si="60"/>
        <v>ZSI1_DIODEITEM_NAME_DIODE</v>
      </c>
    </row>
    <row r="8570" ht="15.75" customHeight="1">
      <c r="B8570" s="63">
        <f t="shared" si="1"/>
        <v>10</v>
      </c>
      <c r="C8570" s="135" t="s">
        <v>539</v>
      </c>
      <c r="D8570" s="161" t="s">
        <v>74</v>
      </c>
      <c r="E8570" s="135">
        <f t="shared" si="62"/>
        <v>2</v>
      </c>
      <c r="F8570" s="134" t="s">
        <v>4387</v>
      </c>
      <c r="G8570" s="63" t="str">
        <f>VLOOKUP(C8570, 'Class Def. - General Data'!$C$20:$C$1000,1,false)</f>
        <v>ZSI1_DIODE</v>
      </c>
      <c r="H8570" s="63" t="str">
        <f>IFERROR(__xludf.DUMMYFUNCTION("VLOOKUP(F8570, IMPORTRANGE(""https://docs.google.com/spreadsheets/d/1Lhp9OU0JdFf_VYSMzH5lBcEaU4o8teT1piV-SNzShjg/edit?gid=554141278#gid=554141278"", ""'Char Def. - Attributes'!C20:C2242""), 1,false)"),"CURRENT_A_DIODE")</f>
        <v>CURRENT_A_DIODE</v>
      </c>
      <c r="I8570" s="136"/>
      <c r="R8570" s="63" t="str">
        <f t="shared" si="60"/>
        <v>ZSI1_DIODECURRENT_A_DIODE</v>
      </c>
    </row>
    <row r="8571" ht="15.75" customHeight="1">
      <c r="B8571" s="63">
        <f t="shared" si="1"/>
        <v>10</v>
      </c>
      <c r="C8571" s="135" t="s">
        <v>539</v>
      </c>
      <c r="D8571" s="161" t="s">
        <v>74</v>
      </c>
      <c r="E8571" s="135">
        <f t="shared" si="62"/>
        <v>3</v>
      </c>
      <c r="F8571" s="134" t="s">
        <v>4388</v>
      </c>
      <c r="G8571" s="63" t="str">
        <f>VLOOKUP(C8571, 'Class Def. - General Data'!$C$20:$C$1000,1,false)</f>
        <v>ZSI1_DIODE</v>
      </c>
      <c r="H8571" s="63" t="str">
        <f>IFERROR(__xludf.DUMMYFUNCTION("VLOOKUP(F8571, IMPORTRANGE(""https://docs.google.com/spreadsheets/d/1Lhp9OU0JdFf_VYSMzH5lBcEaU4o8teT1piV-SNzShjg/edit?gid=554141278#gid=554141278"", ""'Char Def. - Attributes'!C20:C2242""), 1,false)"),"VOLTAGE_V_DIODE")</f>
        <v>VOLTAGE_V_DIODE</v>
      </c>
      <c r="I8571" s="136"/>
      <c r="R8571" s="63" t="str">
        <f t="shared" si="60"/>
        <v>ZSI1_DIODEVOLTAGE_V_DIODE</v>
      </c>
    </row>
    <row r="8572" ht="15.75" customHeight="1">
      <c r="B8572" s="63">
        <f t="shared" si="1"/>
        <v>10</v>
      </c>
      <c r="C8572" s="135" t="s">
        <v>539</v>
      </c>
      <c r="D8572" s="161" t="s">
        <v>74</v>
      </c>
      <c r="E8572" s="135">
        <f t="shared" si="62"/>
        <v>4</v>
      </c>
      <c r="F8572" s="134" t="s">
        <v>3782</v>
      </c>
      <c r="G8572" s="63" t="str">
        <f>VLOOKUP(C8572, 'Class Def. - General Data'!$C$20:$C$1000,1,false)</f>
        <v>ZSI1_DIODE</v>
      </c>
      <c r="H8572" s="63" t="str">
        <f>IFERROR(__xludf.DUMMYFUNCTION("VLOOKUP(F8572, IMPORTRANGE(""https://docs.google.com/spreadsheets/d/1Lhp9OU0JdFf_VYSMzH5lBcEaU4o8teT1piV-SNzShjg/edit?gid=554141278#gid=554141278"", ""'Char Def. - Attributes'!C20:C2242""), 1,false)"),"BRAND_EXTERNAL")</f>
        <v>BRAND_EXTERNAL</v>
      </c>
      <c r="I8572" s="136"/>
      <c r="R8572" s="63" t="str">
        <f t="shared" si="60"/>
        <v>ZSI1_DIODEBRAND_EXTERNAL</v>
      </c>
    </row>
    <row r="8573" ht="15.75" customHeight="1">
      <c r="B8573" s="63">
        <f t="shared" si="1"/>
        <v>10</v>
      </c>
      <c r="C8573" s="135" t="s">
        <v>539</v>
      </c>
      <c r="D8573" s="161" t="s">
        <v>74</v>
      </c>
      <c r="E8573" s="135">
        <f t="shared" si="62"/>
        <v>5</v>
      </c>
      <c r="F8573" s="134" t="s">
        <v>3585</v>
      </c>
      <c r="G8573" s="63" t="str">
        <f>VLOOKUP(C8573, 'Class Def. - General Data'!$C$20:$C$1000,1,false)</f>
        <v>ZSI1_DIODE</v>
      </c>
      <c r="H8573" s="63" t="str">
        <f>IFERROR(__xludf.DUMMYFUNCTION("VLOOKUP(F8573, IMPORTRANGE(""https://docs.google.com/spreadsheets/d/1Lhp9OU0JdFf_VYSMzH5lBcEaU4o8teT1piV-SNzShjg/edit?gid=554141278#gid=554141278"", ""'Char Def. - Attributes'!C20:C2242""), 1,false)"),"HS_CODE")</f>
        <v>HS_CODE</v>
      </c>
      <c r="I8573" s="136"/>
      <c r="R8573" s="63" t="str">
        <f t="shared" si="60"/>
        <v>ZSI1_DIODEHS_CODE</v>
      </c>
    </row>
    <row r="8574" ht="15.75" customHeight="1">
      <c r="B8574" s="63">
        <f t="shared" si="1"/>
        <v>10</v>
      </c>
      <c r="C8574" s="135" t="s">
        <v>539</v>
      </c>
      <c r="D8574" s="161" t="s">
        <v>74</v>
      </c>
      <c r="E8574" s="135">
        <f t="shared" si="62"/>
        <v>6</v>
      </c>
      <c r="F8574" s="134" t="s">
        <v>3587</v>
      </c>
      <c r="G8574" s="63" t="str">
        <f>VLOOKUP(C8574, 'Class Def. - General Data'!$C$20:$C$1000,1,false)</f>
        <v>ZSI1_DIODE</v>
      </c>
      <c r="H8574" s="63" t="str">
        <f>IFERROR(__xludf.DUMMYFUNCTION("VLOOKUP(F8574, IMPORTRANGE(""https://docs.google.com/spreadsheets/d/1Lhp9OU0JdFf_VYSMzH5lBcEaU4o8teT1piV-SNzShjg/edit?gid=554141278#gid=554141278"", ""'Char Def. - Attributes'!C20:C2242""), 1,false)"),"PLANT_BUY")</f>
        <v>PLANT_BUY</v>
      </c>
      <c r="I8574" s="136"/>
      <c r="R8574" s="63" t="str">
        <f t="shared" si="60"/>
        <v>ZSI1_DIODEPLANT_BUY</v>
      </c>
    </row>
    <row r="8575" ht="15.75" customHeight="1">
      <c r="B8575" s="63">
        <f t="shared" si="1"/>
        <v>10</v>
      </c>
      <c r="C8575" s="135" t="s">
        <v>539</v>
      </c>
      <c r="D8575" s="161" t="s">
        <v>74</v>
      </c>
      <c r="E8575" s="135">
        <f t="shared" si="62"/>
        <v>7</v>
      </c>
      <c r="F8575" s="134" t="s">
        <v>4389</v>
      </c>
      <c r="G8575" s="63" t="str">
        <f>VLOOKUP(C8575, 'Class Def. - General Data'!$C$20:$C$1000,1,false)</f>
        <v>ZSI1_DIODE</v>
      </c>
      <c r="H8575" s="63" t="str">
        <f>IFERROR(__xludf.DUMMYFUNCTION("VLOOKUP(F8575, IMPORTRANGE(""https://docs.google.com/spreadsheets/d/1Lhp9OU0JdFf_VYSMzH5lBcEaU4o8teT1piV-SNzShjg/edit?gid=554141278#gid=554141278"", ""'Char Def. - Attributes'!C20:C2242""), 1,false)"),"BASE_UOM_DIODE")</f>
        <v>BASE_UOM_DIODE</v>
      </c>
      <c r="I8575" s="136"/>
      <c r="R8575" s="63" t="str">
        <f t="shared" si="60"/>
        <v>ZSI1_DIODEBASE_UOM_DIODE</v>
      </c>
    </row>
    <row r="8576" ht="15.75" customHeight="1">
      <c r="B8576" s="63">
        <f t="shared" si="1"/>
        <v>10</v>
      </c>
      <c r="C8576" s="135" t="s">
        <v>539</v>
      </c>
      <c r="D8576" s="161" t="s">
        <v>74</v>
      </c>
      <c r="E8576" s="135">
        <f t="shared" si="62"/>
        <v>8</v>
      </c>
      <c r="F8576" s="134" t="s">
        <v>4390</v>
      </c>
      <c r="G8576" s="63" t="str">
        <f>VLOOKUP(C8576, 'Class Def. - General Data'!$C$20:$C$1000,1,false)</f>
        <v>ZSI1_DIODE</v>
      </c>
      <c r="H8576" s="63" t="str">
        <f>IFERROR(__xludf.DUMMYFUNCTION("VLOOKUP(F8576, IMPORTRANGE(""https://docs.google.com/spreadsheets/d/1Lhp9OU0JdFf_VYSMzH5lBcEaU4o8teT1piV-SNzShjg/edit?gid=554141278#gid=554141278"", ""'Char Def. - Attributes'!C20:C2242""), 1,false)"),"ORDER_UNIT_DIODE")</f>
        <v>ORDER_UNIT_DIODE</v>
      </c>
      <c r="I8576" s="136"/>
      <c r="R8576" s="63" t="str">
        <f t="shared" si="60"/>
        <v>ZSI1_DIODEORDER_UNIT_DIODE</v>
      </c>
    </row>
    <row r="8577" ht="15.75" customHeight="1">
      <c r="B8577" s="63">
        <f t="shared" si="1"/>
        <v>10</v>
      </c>
      <c r="C8577" s="135" t="s">
        <v>539</v>
      </c>
      <c r="D8577" s="161" t="s">
        <v>74</v>
      </c>
      <c r="E8577" s="135">
        <f t="shared" si="62"/>
        <v>9</v>
      </c>
      <c r="F8577" s="134" t="s">
        <v>4056</v>
      </c>
      <c r="G8577" s="63" t="str">
        <f>VLOOKUP(C8577, 'Class Def. - General Data'!$C$20:$C$1000,1,false)</f>
        <v>ZSI1_DIODE</v>
      </c>
      <c r="H8577" s="63" t="str">
        <f>IFERROR(__xludf.DUMMYFUNCTION("VLOOKUP(F8577, IMPORTRANGE(""https://docs.google.com/spreadsheets/d/1Lhp9OU0JdFf_VYSMzH5lBcEaU4o8teT1piV-SNzShjg/edit?gid=554141278#gid=554141278"", ""'Char Def. - Attributes'!C20:C2242""), 1,false)"),"GROSS_WEIGHT_OPT")</f>
        <v>GROSS_WEIGHT_OPT</v>
      </c>
      <c r="I8577" s="136"/>
      <c r="R8577" s="63" t="str">
        <f t="shared" si="60"/>
        <v>ZSI1_DIODEGROSS_WEIGHT_OPT</v>
      </c>
    </row>
    <row r="8578" ht="15.75" customHeight="1">
      <c r="B8578" s="63">
        <f t="shared" si="1"/>
        <v>10</v>
      </c>
      <c r="C8578" s="135" t="s">
        <v>539</v>
      </c>
      <c r="D8578" s="161" t="s">
        <v>74</v>
      </c>
      <c r="E8578" s="135">
        <f t="shared" si="62"/>
        <v>10</v>
      </c>
      <c r="F8578" s="134" t="s">
        <v>4057</v>
      </c>
      <c r="G8578" s="63" t="str">
        <f>VLOOKUP(C8578, 'Class Def. - General Data'!$C$20:$C$1000,1,false)</f>
        <v>ZSI1_DIODE</v>
      </c>
      <c r="H8578" s="63" t="str">
        <f>IFERROR(__xludf.DUMMYFUNCTION("VLOOKUP(F8578, IMPORTRANGE(""https://docs.google.com/spreadsheets/d/1Lhp9OU0JdFf_VYSMzH5lBcEaU4o8teT1piV-SNzShjg/edit?gid=554141278#gid=554141278"", ""'Char Def. - Attributes'!C20:C2242""), 1,false)"),"NET_WEIGHT_OPT")</f>
        <v>NET_WEIGHT_OPT</v>
      </c>
      <c r="I8578" s="136"/>
      <c r="R8578" s="63" t="str">
        <f t="shared" si="60"/>
        <v>ZSI1_DIODENET_WEIGHT_OPT</v>
      </c>
    </row>
    <row r="8579" ht="15.75" customHeight="1">
      <c r="B8579" s="63">
        <f t="shared" si="1"/>
        <v>10</v>
      </c>
      <c r="C8579" s="135" t="s">
        <v>539</v>
      </c>
      <c r="D8579" s="161" t="s">
        <v>74</v>
      </c>
      <c r="E8579" s="135">
        <f t="shared" si="62"/>
        <v>11</v>
      </c>
      <c r="F8579" s="134" t="s">
        <v>4058</v>
      </c>
      <c r="G8579" s="63" t="str">
        <f>VLOOKUP(C8579, 'Class Def. - General Data'!$C$20:$C$1000,1,false)</f>
        <v>ZSI1_DIODE</v>
      </c>
      <c r="H8579" s="63" t="str">
        <f>IFERROR(__xludf.DUMMYFUNCTION("VLOOKUP(F8579, IMPORTRANGE(""https://docs.google.com/spreadsheets/d/1Lhp9OU0JdFf_VYSMzH5lBcEaU4o8teT1piV-SNzShjg/edit?gid=554141278#gid=554141278"", ""'Char Def. - Attributes'!C20:C2242""), 1,false)"),"WEIGHT_UNIT_SI")</f>
        <v>WEIGHT_UNIT_SI</v>
      </c>
      <c r="I8579" s="136"/>
      <c r="R8579" s="63" t="str">
        <f t="shared" si="60"/>
        <v>ZSI1_DIODEWEIGHT_UNIT_SI</v>
      </c>
    </row>
    <row r="8580" ht="15.75" customHeight="1">
      <c r="B8580" s="63">
        <f t="shared" si="1"/>
        <v>10</v>
      </c>
      <c r="C8580" s="135" t="s">
        <v>539</v>
      </c>
      <c r="D8580" s="161" t="s">
        <v>74</v>
      </c>
      <c r="E8580" s="135">
        <f t="shared" si="62"/>
        <v>12</v>
      </c>
      <c r="F8580" s="134" t="s">
        <v>3877</v>
      </c>
      <c r="G8580" s="63" t="str">
        <f>VLOOKUP(C8580, 'Class Def. - General Data'!$C$20:$C$1000,1,false)</f>
        <v>ZSI1_DIODE</v>
      </c>
      <c r="H8580" s="63" t="str">
        <f>IFERROR(__xludf.DUMMYFUNCTION("VLOOKUP(F8580, IMPORTRANGE(""https://docs.google.com/spreadsheets/d/1Lhp9OU0JdFf_VYSMzH5lBcEaU4o8teT1piV-SNzShjg/edit?gid=554141278#gid=554141278"", ""'Char Def. - Attributes'!C20:C2242""), 1,false)"),"VOLUME_OPT")</f>
        <v>VOLUME_OPT</v>
      </c>
      <c r="I8580" s="136"/>
      <c r="R8580" s="63" t="str">
        <f t="shared" si="60"/>
        <v>ZSI1_DIODEVOLUME_OPT</v>
      </c>
    </row>
    <row r="8581" ht="15.75" customHeight="1">
      <c r="B8581" s="63">
        <f t="shared" si="1"/>
        <v>10</v>
      </c>
      <c r="C8581" s="135" t="s">
        <v>539</v>
      </c>
      <c r="D8581" s="161" t="s">
        <v>74</v>
      </c>
      <c r="E8581" s="135">
        <f t="shared" si="62"/>
        <v>13</v>
      </c>
      <c r="F8581" s="134" t="s">
        <v>4059</v>
      </c>
      <c r="G8581" s="63" t="str">
        <f>VLOOKUP(C8581, 'Class Def. - General Data'!$C$20:$C$1000,1,false)</f>
        <v>ZSI1_DIODE</v>
      </c>
      <c r="H8581" s="63" t="str">
        <f>IFERROR(__xludf.DUMMYFUNCTION("VLOOKUP(F8581, IMPORTRANGE(""https://docs.google.com/spreadsheets/d/1Lhp9OU0JdFf_VYSMzH5lBcEaU4o8teT1piV-SNzShjg/edit?gid=554141278#gid=554141278"", ""'Char Def. - Attributes'!C20:C2242""), 1,false)"),"VOLUME_UNIT_SI")</f>
        <v>VOLUME_UNIT_SI</v>
      </c>
      <c r="I8581" s="136"/>
      <c r="R8581" s="63" t="str">
        <f t="shared" si="60"/>
        <v>ZSI1_DIODEVOLUME_UNIT_SI</v>
      </c>
    </row>
    <row r="8582" ht="15.75" customHeight="1">
      <c r="B8582" s="63">
        <f t="shared" si="1"/>
        <v>10</v>
      </c>
      <c r="C8582" s="135" t="s">
        <v>539</v>
      </c>
      <c r="D8582" s="161" t="s">
        <v>74</v>
      </c>
      <c r="E8582" s="135">
        <f t="shared" si="62"/>
        <v>14</v>
      </c>
      <c r="F8582" s="134" t="s">
        <v>3804</v>
      </c>
      <c r="G8582" s="63" t="str">
        <f>VLOOKUP(C8582, 'Class Def. - General Data'!$C$20:$C$1000,1,false)</f>
        <v>ZSI1_DIODE</v>
      </c>
      <c r="H8582" s="63" t="str">
        <f>IFERROR(__xludf.DUMMYFUNCTION("VLOOKUP(F8582, IMPORTRANGE(""https://docs.google.com/spreadsheets/d/1Lhp9OU0JdFf_VYSMzH5lBcEaU4o8teT1piV-SNzShjg/edit?gid=554141278#gid=554141278"", ""'Char Def. - Attributes'!C20:C2242""), 1,false)"),"ALT_UOM1_SIPI")</f>
        <v>ALT_UOM1_SIPI</v>
      </c>
      <c r="I8582" s="136"/>
      <c r="R8582" s="63" t="str">
        <f t="shared" si="60"/>
        <v>ZSI1_DIODEALT_UOM1_SIPI</v>
      </c>
    </row>
    <row r="8583" ht="15.75" customHeight="1">
      <c r="B8583" s="63">
        <f t="shared" si="1"/>
        <v>10</v>
      </c>
      <c r="C8583" s="135" t="s">
        <v>539</v>
      </c>
      <c r="D8583" s="161" t="s">
        <v>74</v>
      </c>
      <c r="E8583" s="135">
        <f t="shared" si="62"/>
        <v>15</v>
      </c>
      <c r="F8583" s="134" t="s">
        <v>3805</v>
      </c>
      <c r="G8583" s="63" t="str">
        <f>VLOOKUP(C8583, 'Class Def. - General Data'!$C$20:$C$1000,1,false)</f>
        <v>ZSI1_DIODE</v>
      </c>
      <c r="H8583" s="63" t="str">
        <f>IFERROR(__xludf.DUMMYFUNCTION("VLOOKUP(F8583, IMPORTRANGE(""https://docs.google.com/spreadsheets/d/1Lhp9OU0JdFf_VYSMzH5lBcEaU4o8teT1piV-SNzShjg/edit?gid=554141278#gid=554141278"", ""'Char Def. - Attributes'!C20:C2242""), 1,false)"),"ALT_DENUM_UOM1")</f>
        <v>ALT_DENUM_UOM1</v>
      </c>
      <c r="I8583" s="136"/>
      <c r="R8583" s="63" t="str">
        <f t="shared" si="60"/>
        <v>ZSI1_DIODEALT_DENUM_UOM1</v>
      </c>
    </row>
    <row r="8584" ht="15.75" customHeight="1">
      <c r="B8584" s="63">
        <f t="shared" si="1"/>
        <v>10</v>
      </c>
      <c r="C8584" s="135" t="s">
        <v>539</v>
      </c>
      <c r="D8584" s="161" t="s">
        <v>74</v>
      </c>
      <c r="E8584" s="135">
        <f t="shared" si="62"/>
        <v>16</v>
      </c>
      <c r="F8584" s="134" t="s">
        <v>3806</v>
      </c>
      <c r="G8584" s="63" t="str">
        <f>VLOOKUP(C8584, 'Class Def. - General Data'!$C$20:$C$1000,1,false)</f>
        <v>ZSI1_DIODE</v>
      </c>
      <c r="H8584" s="63" t="str">
        <f>IFERROR(__xludf.DUMMYFUNCTION("VLOOKUP(F8584, IMPORTRANGE(""https://docs.google.com/spreadsheets/d/1Lhp9OU0JdFf_VYSMzH5lBcEaU4o8teT1piV-SNzShjg/edit?gid=554141278#gid=554141278"", ""'Char Def. - Attributes'!C20:C2242""), 1,false)"),"ALT_NUM_UOM1")</f>
        <v>ALT_NUM_UOM1</v>
      </c>
      <c r="I8584" s="136"/>
      <c r="R8584" s="63" t="str">
        <f t="shared" si="60"/>
        <v>ZSI1_DIODEALT_NUM_UOM1</v>
      </c>
    </row>
    <row r="8585" ht="15.75" customHeight="1">
      <c r="B8585" s="63">
        <f t="shared" si="1"/>
        <v>10</v>
      </c>
      <c r="C8585" s="135" t="s">
        <v>539</v>
      </c>
      <c r="D8585" s="161" t="s">
        <v>74</v>
      </c>
      <c r="E8585" s="135">
        <f t="shared" si="62"/>
        <v>17</v>
      </c>
      <c r="F8585" s="134" t="s">
        <v>3807</v>
      </c>
      <c r="G8585" s="63" t="str">
        <f>VLOOKUP(C8585, 'Class Def. - General Data'!$C$20:$C$1000,1,false)</f>
        <v>ZSI1_DIODE</v>
      </c>
      <c r="H8585" s="63" t="str">
        <f>IFERROR(__xludf.DUMMYFUNCTION("VLOOKUP(F8585, IMPORTRANGE(""https://docs.google.com/spreadsheets/d/1Lhp9OU0JdFf_VYSMzH5lBcEaU4o8teT1piV-SNzShjg/edit?gid=554141278#gid=554141278"", ""'Char Def. - Attributes'!C20:C2242""), 1,false)"),"ALT_UOM2_SIPI")</f>
        <v>ALT_UOM2_SIPI</v>
      </c>
      <c r="I8585" s="136"/>
      <c r="R8585" s="63" t="str">
        <f t="shared" si="60"/>
        <v>ZSI1_DIODEALT_UOM2_SIPI</v>
      </c>
    </row>
    <row r="8586" ht="15.75" customHeight="1">
      <c r="B8586" s="63">
        <f t="shared" si="1"/>
        <v>10</v>
      </c>
      <c r="C8586" s="135" t="s">
        <v>539</v>
      </c>
      <c r="D8586" s="161" t="s">
        <v>74</v>
      </c>
      <c r="E8586" s="135">
        <f t="shared" si="62"/>
        <v>18</v>
      </c>
      <c r="F8586" s="134" t="s">
        <v>3808</v>
      </c>
      <c r="G8586" s="63" t="str">
        <f>VLOOKUP(C8586, 'Class Def. - General Data'!$C$20:$C$1000,1,false)</f>
        <v>ZSI1_DIODE</v>
      </c>
      <c r="H8586" s="63" t="str">
        <f>IFERROR(__xludf.DUMMYFUNCTION("VLOOKUP(F8586, IMPORTRANGE(""https://docs.google.com/spreadsheets/d/1Lhp9OU0JdFf_VYSMzH5lBcEaU4o8teT1piV-SNzShjg/edit?gid=554141278#gid=554141278"", ""'Char Def. - Attributes'!C20:C2242""), 1,false)"),"ALT_DENUM_UOM2")</f>
        <v>ALT_DENUM_UOM2</v>
      </c>
      <c r="I8586" s="136"/>
      <c r="R8586" s="63" t="str">
        <f t="shared" si="60"/>
        <v>ZSI1_DIODEALT_DENUM_UOM2</v>
      </c>
    </row>
    <row r="8587" ht="15.75" customHeight="1">
      <c r="B8587" s="63">
        <f t="shared" si="1"/>
        <v>10</v>
      </c>
      <c r="C8587" s="135" t="s">
        <v>539</v>
      </c>
      <c r="D8587" s="161" t="s">
        <v>74</v>
      </c>
      <c r="E8587" s="135">
        <f t="shared" si="62"/>
        <v>19</v>
      </c>
      <c r="F8587" s="134" t="s">
        <v>3809</v>
      </c>
      <c r="G8587" s="63" t="str">
        <f>VLOOKUP(C8587, 'Class Def. - General Data'!$C$20:$C$1000,1,false)</f>
        <v>ZSI1_DIODE</v>
      </c>
      <c r="H8587" s="63" t="str">
        <f>IFERROR(__xludf.DUMMYFUNCTION("VLOOKUP(F8587, IMPORTRANGE(""https://docs.google.com/spreadsheets/d/1Lhp9OU0JdFf_VYSMzH5lBcEaU4o8teT1piV-SNzShjg/edit?gid=554141278#gid=554141278"", ""'Char Def. - Attributes'!C20:C2242""), 1,false)"),"ALT_NUM_UOM2")</f>
        <v>ALT_NUM_UOM2</v>
      </c>
      <c r="I8587" s="136"/>
      <c r="R8587" s="63" t="str">
        <f t="shared" si="60"/>
        <v>ZSI1_DIODEALT_NUM_UOM2</v>
      </c>
    </row>
    <row r="8588" ht="15.75" customHeight="1">
      <c r="B8588" s="63">
        <f t="shared" si="1"/>
        <v>10</v>
      </c>
      <c r="C8588" s="135" t="s">
        <v>539</v>
      </c>
      <c r="D8588" s="161" t="s">
        <v>74</v>
      </c>
      <c r="E8588" s="135">
        <f t="shared" si="62"/>
        <v>20</v>
      </c>
      <c r="F8588" s="134" t="s">
        <v>3810</v>
      </c>
      <c r="G8588" s="63" t="str">
        <f>VLOOKUP(C8588, 'Class Def. - General Data'!$C$20:$C$1000,1,false)</f>
        <v>ZSI1_DIODE</v>
      </c>
      <c r="H8588" s="63" t="str">
        <f>IFERROR(__xludf.DUMMYFUNCTION("VLOOKUP(F8588, IMPORTRANGE(""https://docs.google.com/spreadsheets/d/1Lhp9OU0JdFf_VYSMzH5lBcEaU4o8teT1piV-SNzShjg/edit?gid=554141278#gid=554141278"", ""'Char Def. - Attributes'!C20:C2242""), 1,false)"),"ALT_UOM3_SIPI")</f>
        <v>ALT_UOM3_SIPI</v>
      </c>
      <c r="I8588" s="136"/>
      <c r="R8588" s="63" t="str">
        <f t="shared" si="60"/>
        <v>ZSI1_DIODEALT_UOM3_SIPI</v>
      </c>
    </row>
    <row r="8589" ht="15.75" customHeight="1">
      <c r="B8589" s="63">
        <f t="shared" si="1"/>
        <v>10</v>
      </c>
      <c r="C8589" s="135" t="s">
        <v>539</v>
      </c>
      <c r="D8589" s="161" t="s">
        <v>74</v>
      </c>
      <c r="E8589" s="135">
        <f t="shared" si="62"/>
        <v>21</v>
      </c>
      <c r="F8589" s="134" t="s">
        <v>3811</v>
      </c>
      <c r="G8589" s="63" t="str">
        <f>VLOOKUP(C8589, 'Class Def. - General Data'!$C$20:$C$1000,1,false)</f>
        <v>ZSI1_DIODE</v>
      </c>
      <c r="H8589" s="63" t="str">
        <f>IFERROR(__xludf.DUMMYFUNCTION("VLOOKUP(F8589, IMPORTRANGE(""https://docs.google.com/spreadsheets/d/1Lhp9OU0JdFf_VYSMzH5lBcEaU4o8teT1piV-SNzShjg/edit?gid=554141278#gid=554141278"", ""'Char Def. - Attributes'!C20:C2242""), 1,false)"),"ALT_DENUM_UOM3")</f>
        <v>ALT_DENUM_UOM3</v>
      </c>
      <c r="I8589" s="136"/>
      <c r="R8589" s="63" t="str">
        <f t="shared" si="60"/>
        <v>ZSI1_DIODEALT_DENUM_UOM3</v>
      </c>
    </row>
    <row r="8590" ht="15.75" customHeight="1">
      <c r="B8590" s="63">
        <f t="shared" si="1"/>
        <v>10</v>
      </c>
      <c r="C8590" s="135" t="s">
        <v>539</v>
      </c>
      <c r="D8590" s="161" t="s">
        <v>74</v>
      </c>
      <c r="E8590" s="135">
        <f t="shared" si="62"/>
        <v>22</v>
      </c>
      <c r="F8590" s="134" t="s">
        <v>3812</v>
      </c>
      <c r="G8590" s="63" t="str">
        <f>VLOOKUP(C8590, 'Class Def. - General Data'!$C$20:$C$1000,1,false)</f>
        <v>ZSI1_DIODE</v>
      </c>
      <c r="H8590" s="63" t="str">
        <f>IFERROR(__xludf.DUMMYFUNCTION("VLOOKUP(F8590, IMPORTRANGE(""https://docs.google.com/spreadsheets/d/1Lhp9OU0JdFf_VYSMzH5lBcEaU4o8teT1piV-SNzShjg/edit?gid=554141278#gid=554141278"", ""'Char Def. - Attributes'!C20:C2242""), 1,false)"),"ALT_NUM_UOM3")</f>
        <v>ALT_NUM_UOM3</v>
      </c>
      <c r="I8590" s="136"/>
      <c r="R8590" s="63" t="str">
        <f t="shared" si="60"/>
        <v>ZSI1_DIODEALT_NUM_UOM3</v>
      </c>
    </row>
    <row r="8591" ht="15.75" customHeight="1">
      <c r="B8591" s="63">
        <f t="shared" si="1"/>
        <v>10</v>
      </c>
      <c r="C8591" s="135" t="s">
        <v>539</v>
      </c>
      <c r="D8591" s="161" t="s">
        <v>74</v>
      </c>
      <c r="E8591" s="135">
        <f t="shared" si="62"/>
        <v>23</v>
      </c>
      <c r="F8591" s="134" t="s">
        <v>3813</v>
      </c>
      <c r="G8591" s="63" t="str">
        <f>VLOOKUP(C8591, 'Class Def. - General Data'!$C$20:$C$1000,1,false)</f>
        <v>ZSI1_DIODE</v>
      </c>
      <c r="H8591" s="63" t="str">
        <f>IFERROR(__xludf.DUMMYFUNCTION("VLOOKUP(F8591, IMPORTRANGE(""https://docs.google.com/spreadsheets/d/1Lhp9OU0JdFf_VYSMzH5lBcEaU4o8teT1piV-SNzShjg/edit?gid=554141278#gid=554141278"", ""'Char Def. - Attributes'!C20:C2242""), 1,false)"),"ALT_UOM4_SIPI")</f>
        <v>ALT_UOM4_SIPI</v>
      </c>
      <c r="I8591" s="136"/>
      <c r="R8591" s="63" t="str">
        <f t="shared" si="60"/>
        <v>ZSI1_DIODEALT_UOM4_SIPI</v>
      </c>
    </row>
    <row r="8592" ht="15.75" customHeight="1">
      <c r="B8592" s="63">
        <f t="shared" si="1"/>
        <v>10</v>
      </c>
      <c r="C8592" s="135" t="s">
        <v>539</v>
      </c>
      <c r="D8592" s="161" t="s">
        <v>74</v>
      </c>
      <c r="E8592" s="135">
        <f t="shared" si="62"/>
        <v>24</v>
      </c>
      <c r="F8592" s="134" t="s">
        <v>3814</v>
      </c>
      <c r="G8592" s="63" t="str">
        <f>VLOOKUP(C8592, 'Class Def. - General Data'!$C$20:$C$1000,1,false)</f>
        <v>ZSI1_DIODE</v>
      </c>
      <c r="H8592" s="63" t="str">
        <f>IFERROR(__xludf.DUMMYFUNCTION("VLOOKUP(F8592, IMPORTRANGE(""https://docs.google.com/spreadsheets/d/1Lhp9OU0JdFf_VYSMzH5lBcEaU4o8teT1piV-SNzShjg/edit?gid=554141278#gid=554141278"", ""'Char Def. - Attributes'!C20:C2242""), 1,false)"),"ALT_DENUM_UOM4")</f>
        <v>ALT_DENUM_UOM4</v>
      </c>
      <c r="I8592" s="136"/>
      <c r="R8592" s="63" t="str">
        <f t="shared" si="60"/>
        <v>ZSI1_DIODEALT_DENUM_UOM4</v>
      </c>
    </row>
    <row r="8593" ht="15.75" customHeight="1">
      <c r="B8593" s="63">
        <f t="shared" si="1"/>
        <v>10</v>
      </c>
      <c r="C8593" s="135" t="s">
        <v>539</v>
      </c>
      <c r="D8593" s="161" t="s">
        <v>74</v>
      </c>
      <c r="E8593" s="135">
        <f t="shared" si="62"/>
        <v>25</v>
      </c>
      <c r="F8593" s="134" t="s">
        <v>3815</v>
      </c>
      <c r="G8593" s="63" t="str">
        <f>VLOOKUP(C8593, 'Class Def. - General Data'!$C$20:$C$1000,1,false)</f>
        <v>ZSI1_DIODE</v>
      </c>
      <c r="H8593" s="63" t="str">
        <f>IFERROR(__xludf.DUMMYFUNCTION("VLOOKUP(F8593, IMPORTRANGE(""https://docs.google.com/spreadsheets/d/1Lhp9OU0JdFf_VYSMzH5lBcEaU4o8teT1piV-SNzShjg/edit?gid=554141278#gid=554141278"", ""'Char Def. - Attributes'!C20:C2242""), 1,false)"),"ALT_NUM_UOM4")</f>
        <v>ALT_NUM_UOM4</v>
      </c>
      <c r="I8593" s="136"/>
      <c r="R8593" s="63" t="str">
        <f t="shared" si="60"/>
        <v>ZSI1_DIODEALT_NUM_UOM4</v>
      </c>
    </row>
    <row r="8594" ht="15.75" customHeight="1">
      <c r="B8594" s="63">
        <f t="shared" si="1"/>
        <v>10</v>
      </c>
      <c r="C8594" s="135" t="s">
        <v>539</v>
      </c>
      <c r="D8594" s="161" t="s">
        <v>74</v>
      </c>
      <c r="E8594" s="135">
        <f t="shared" si="62"/>
        <v>26</v>
      </c>
      <c r="F8594" s="134" t="s">
        <v>3816</v>
      </c>
      <c r="G8594" s="63" t="str">
        <f>VLOOKUP(C8594, 'Class Def. - General Data'!$C$20:$C$1000,1,false)</f>
        <v>ZSI1_DIODE</v>
      </c>
      <c r="H8594" s="63" t="str">
        <f>IFERROR(__xludf.DUMMYFUNCTION("VLOOKUP(F8594, IMPORTRANGE(""https://docs.google.com/spreadsheets/d/1Lhp9OU0JdFf_VYSMzH5lBcEaU4o8teT1piV-SNzShjg/edit?gid=554141278#gid=554141278"", ""'Char Def. - Attributes'!C20:C2242""), 1,false)"),"ALT_UOM5_SIPI")</f>
        <v>ALT_UOM5_SIPI</v>
      </c>
      <c r="I8594" s="136"/>
      <c r="R8594" s="63" t="str">
        <f t="shared" si="60"/>
        <v>ZSI1_DIODEALT_UOM5_SIPI</v>
      </c>
    </row>
    <row r="8595" ht="15.75" customHeight="1">
      <c r="B8595" s="63">
        <f t="shared" si="1"/>
        <v>10</v>
      </c>
      <c r="C8595" s="135" t="s">
        <v>539</v>
      </c>
      <c r="D8595" s="161" t="s">
        <v>74</v>
      </c>
      <c r="E8595" s="135">
        <f t="shared" si="62"/>
        <v>27</v>
      </c>
      <c r="F8595" s="134" t="s">
        <v>3817</v>
      </c>
      <c r="G8595" s="63" t="str">
        <f>VLOOKUP(C8595, 'Class Def. - General Data'!$C$20:$C$1000,1,false)</f>
        <v>ZSI1_DIODE</v>
      </c>
      <c r="H8595" s="63" t="str">
        <f>IFERROR(__xludf.DUMMYFUNCTION("VLOOKUP(F8595, IMPORTRANGE(""https://docs.google.com/spreadsheets/d/1Lhp9OU0JdFf_VYSMzH5lBcEaU4o8teT1piV-SNzShjg/edit?gid=554141278#gid=554141278"", ""'Char Def. - Attributes'!C20:C2242""), 1,false)"),"ALT_DENUM_UOM5")</f>
        <v>ALT_DENUM_UOM5</v>
      </c>
      <c r="I8595" s="136"/>
      <c r="R8595" s="63" t="str">
        <f t="shared" si="60"/>
        <v>ZSI1_DIODEALT_DENUM_UOM5</v>
      </c>
    </row>
    <row r="8596" ht="15.75" customHeight="1">
      <c r="B8596" s="63">
        <f t="shared" si="1"/>
        <v>10</v>
      </c>
      <c r="C8596" s="135" t="s">
        <v>539</v>
      </c>
      <c r="D8596" s="161" t="s">
        <v>74</v>
      </c>
      <c r="E8596" s="135">
        <f t="shared" si="62"/>
        <v>28</v>
      </c>
      <c r="F8596" s="134" t="s">
        <v>3818</v>
      </c>
      <c r="G8596" s="63" t="str">
        <f>VLOOKUP(C8596, 'Class Def. - General Data'!$C$20:$C$1000,1,false)</f>
        <v>ZSI1_DIODE</v>
      </c>
      <c r="H8596" s="63" t="str">
        <f>IFERROR(__xludf.DUMMYFUNCTION("VLOOKUP(F8596, IMPORTRANGE(""https://docs.google.com/spreadsheets/d/1Lhp9OU0JdFf_VYSMzH5lBcEaU4o8teT1piV-SNzShjg/edit?gid=554141278#gid=554141278"", ""'Char Def. - Attributes'!C20:C2242""), 1,false)"),"ALT_NUM_UOM5")</f>
        <v>ALT_NUM_UOM5</v>
      </c>
      <c r="I8596" s="136"/>
      <c r="R8596" s="63" t="str">
        <f t="shared" si="60"/>
        <v>ZSI1_DIODEALT_NUM_UOM5</v>
      </c>
    </row>
    <row r="8597" ht="15.75" customHeight="1">
      <c r="B8597" s="63">
        <f t="shared" si="1"/>
        <v>18</v>
      </c>
      <c r="C8597" s="135" t="s">
        <v>381</v>
      </c>
      <c r="D8597" s="161" t="s">
        <v>74</v>
      </c>
      <c r="E8597" s="135">
        <f t="shared" si="62"/>
        <v>1</v>
      </c>
      <c r="F8597" s="134" t="s">
        <v>4391</v>
      </c>
      <c r="G8597" s="63" t="str">
        <f>VLOOKUP(C8597, 'Class Def. - General Data'!$C$20:$C$1000,1,false)</f>
        <v>ZSI1_DISTILLED_WTR</v>
      </c>
      <c r="H8597" s="63" t="str">
        <f>IFERROR(__xludf.DUMMYFUNCTION("VLOOKUP(F8597, IMPORTRANGE(""https://docs.google.com/spreadsheets/d/1Lhp9OU0JdFf_VYSMzH5lBcEaU4o8teT1piV-SNzShjg/edit?gid=554141278#gid=554141278"", ""'Char Def. - Attributes'!C20:C2242""), 1,false)"),"ITEM_NAME_DISTILLED_WTR")</f>
        <v>ITEM_NAME_DISTILLED_WTR</v>
      </c>
      <c r="I8597" s="136"/>
      <c r="R8597" s="63" t="str">
        <f t="shared" si="60"/>
        <v>ZSI1_DISTILLED_WTRITEM_NAME_DISTILLED_WTR</v>
      </c>
    </row>
    <row r="8598" ht="15.75" customHeight="1">
      <c r="B8598" s="63">
        <f t="shared" si="1"/>
        <v>18</v>
      </c>
      <c r="C8598" s="135" t="s">
        <v>381</v>
      </c>
      <c r="D8598" s="161" t="s">
        <v>74</v>
      </c>
      <c r="E8598" s="135">
        <f t="shared" si="62"/>
        <v>2</v>
      </c>
      <c r="F8598" s="134" t="s">
        <v>4053</v>
      </c>
      <c r="G8598" s="63" t="str">
        <f>VLOOKUP(C8598, 'Class Def. - General Data'!$C$20:$C$1000,1,false)</f>
        <v>ZSI1_DISTILLED_WTR</v>
      </c>
      <c r="H8598" s="63" t="str">
        <f>IFERROR(__xludf.DUMMYFUNCTION("VLOOKUP(F8598, IMPORTRANGE(""https://docs.google.com/spreadsheets/d/1Lhp9OU0JdFf_VYSMzH5lBcEaU4o8teT1piV-SNzShjg/edit?gid=554141278#gid=554141278"", ""'Char Def. - Attributes'!C20:C2242""), 1,false)"),"MAINTENANCE_ORDER_TYPE")</f>
        <v>MAINTENANCE_ORDER_TYPE</v>
      </c>
      <c r="I8598" s="136"/>
      <c r="R8598" s="63" t="str">
        <f t="shared" si="60"/>
        <v>ZSI1_DISTILLED_WTRMAINTENANCE_ORDER_TYPE</v>
      </c>
    </row>
    <row r="8599" ht="15.75" customHeight="1">
      <c r="B8599" s="63">
        <f t="shared" si="1"/>
        <v>18</v>
      </c>
      <c r="C8599" s="135" t="s">
        <v>381</v>
      </c>
      <c r="D8599" s="161" t="s">
        <v>74</v>
      </c>
      <c r="E8599" s="135">
        <f t="shared" si="62"/>
        <v>3</v>
      </c>
      <c r="F8599" s="134" t="s">
        <v>3585</v>
      </c>
      <c r="G8599" s="63" t="str">
        <f>VLOOKUP(C8599, 'Class Def. - General Data'!$C$20:$C$1000,1,false)</f>
        <v>ZSI1_DISTILLED_WTR</v>
      </c>
      <c r="H8599" s="63" t="str">
        <f>IFERROR(__xludf.DUMMYFUNCTION("VLOOKUP(F8599, IMPORTRANGE(""https://docs.google.com/spreadsheets/d/1Lhp9OU0JdFf_VYSMzH5lBcEaU4o8teT1piV-SNzShjg/edit?gid=554141278#gid=554141278"", ""'Char Def. - Attributes'!C20:C2242""), 1,false)"),"HS_CODE")</f>
        <v>HS_CODE</v>
      </c>
      <c r="I8599" s="136"/>
      <c r="R8599" s="63" t="str">
        <f t="shared" si="60"/>
        <v>ZSI1_DISTILLED_WTRHS_CODE</v>
      </c>
    </row>
    <row r="8600" ht="15.75" customHeight="1">
      <c r="B8600" s="63">
        <f t="shared" si="1"/>
        <v>18</v>
      </c>
      <c r="C8600" s="135" t="s">
        <v>381</v>
      </c>
      <c r="D8600" s="161" t="s">
        <v>74</v>
      </c>
      <c r="E8600" s="135">
        <f t="shared" si="62"/>
        <v>4</v>
      </c>
      <c r="F8600" s="134" t="s">
        <v>3587</v>
      </c>
      <c r="G8600" s="63" t="str">
        <f>VLOOKUP(C8600, 'Class Def. - General Data'!$C$20:$C$1000,1,false)</f>
        <v>ZSI1_DISTILLED_WTR</v>
      </c>
      <c r="H8600" s="63" t="str">
        <f>IFERROR(__xludf.DUMMYFUNCTION("VLOOKUP(F8600, IMPORTRANGE(""https://docs.google.com/spreadsheets/d/1Lhp9OU0JdFf_VYSMzH5lBcEaU4o8teT1piV-SNzShjg/edit?gid=554141278#gid=554141278"", ""'Char Def. - Attributes'!C20:C2242""), 1,false)"),"PLANT_BUY")</f>
        <v>PLANT_BUY</v>
      </c>
      <c r="I8600" s="136"/>
      <c r="R8600" s="63" t="str">
        <f t="shared" si="60"/>
        <v>ZSI1_DISTILLED_WTRPLANT_BUY</v>
      </c>
    </row>
    <row r="8601" ht="15.75" customHeight="1">
      <c r="B8601" s="63">
        <f t="shared" si="1"/>
        <v>18</v>
      </c>
      <c r="C8601" s="135" t="s">
        <v>381</v>
      </c>
      <c r="D8601" s="161" t="s">
        <v>74</v>
      </c>
      <c r="E8601" s="135">
        <f t="shared" si="62"/>
        <v>5</v>
      </c>
      <c r="F8601" s="134" t="s">
        <v>4392</v>
      </c>
      <c r="G8601" s="63" t="str">
        <f>VLOOKUP(C8601, 'Class Def. - General Data'!$C$20:$C$1000,1,false)</f>
        <v>ZSI1_DISTILLED_WTR</v>
      </c>
      <c r="H8601" s="63" t="str">
        <f>IFERROR(__xludf.DUMMYFUNCTION("VLOOKUP(F8601, IMPORTRANGE(""https://docs.google.com/spreadsheets/d/1Lhp9OU0JdFf_VYSMzH5lBcEaU4o8teT1piV-SNzShjg/edit?gid=554141278#gid=554141278"", ""'Char Def. - Attributes'!C20:C2242""), 1,false)"),"BASE_UOM_DISTILLED_WTR")</f>
        <v>BASE_UOM_DISTILLED_WTR</v>
      </c>
      <c r="I8601" s="136"/>
      <c r="R8601" s="63" t="str">
        <f t="shared" si="60"/>
        <v>ZSI1_DISTILLED_WTRBASE_UOM_DISTILLED_WTR</v>
      </c>
    </row>
    <row r="8602" ht="15.75" customHeight="1">
      <c r="B8602" s="63">
        <f t="shared" si="1"/>
        <v>18</v>
      </c>
      <c r="C8602" s="135" t="s">
        <v>381</v>
      </c>
      <c r="D8602" s="161" t="s">
        <v>74</v>
      </c>
      <c r="E8602" s="135">
        <f t="shared" si="62"/>
        <v>6</v>
      </c>
      <c r="F8602" s="134" t="s">
        <v>4393</v>
      </c>
      <c r="G8602" s="63" t="str">
        <f>VLOOKUP(C8602, 'Class Def. - General Data'!$C$20:$C$1000,1,false)</f>
        <v>ZSI1_DISTILLED_WTR</v>
      </c>
      <c r="H8602" s="63" t="str">
        <f>IFERROR(__xludf.DUMMYFUNCTION("VLOOKUP(F8602, IMPORTRANGE(""https://docs.google.com/spreadsheets/d/1Lhp9OU0JdFf_VYSMzH5lBcEaU4o8teT1piV-SNzShjg/edit?gid=554141278#gid=554141278"", ""'Char Def. - Attributes'!C20:C2242""), 1,false)"),"ORDER_UNIT_DISTILLED_WTR")</f>
        <v>ORDER_UNIT_DISTILLED_WTR</v>
      </c>
      <c r="I8602" s="136"/>
      <c r="R8602" s="63" t="str">
        <f t="shared" si="60"/>
        <v>ZSI1_DISTILLED_WTRORDER_UNIT_DISTILLED_WTR</v>
      </c>
    </row>
    <row r="8603" ht="15.75" customHeight="1">
      <c r="B8603" s="63">
        <f t="shared" si="1"/>
        <v>18</v>
      </c>
      <c r="C8603" s="135" t="s">
        <v>381</v>
      </c>
      <c r="D8603" s="161" t="s">
        <v>74</v>
      </c>
      <c r="E8603" s="135">
        <f t="shared" si="62"/>
        <v>7</v>
      </c>
      <c r="F8603" s="134" t="s">
        <v>4056</v>
      </c>
      <c r="G8603" s="63" t="str">
        <f>VLOOKUP(C8603, 'Class Def. - General Data'!$C$20:$C$1000,1,false)</f>
        <v>ZSI1_DISTILLED_WTR</v>
      </c>
      <c r="H8603" s="63" t="str">
        <f>IFERROR(__xludf.DUMMYFUNCTION("VLOOKUP(F8603, IMPORTRANGE(""https://docs.google.com/spreadsheets/d/1Lhp9OU0JdFf_VYSMzH5lBcEaU4o8teT1piV-SNzShjg/edit?gid=554141278#gid=554141278"", ""'Char Def. - Attributes'!C20:C2242""), 1,false)"),"GROSS_WEIGHT_OPT")</f>
        <v>GROSS_WEIGHT_OPT</v>
      </c>
      <c r="I8603" s="136"/>
      <c r="R8603" s="63" t="str">
        <f t="shared" si="60"/>
        <v>ZSI1_DISTILLED_WTRGROSS_WEIGHT_OPT</v>
      </c>
    </row>
    <row r="8604" ht="15.75" customHeight="1">
      <c r="B8604" s="63">
        <f t="shared" si="1"/>
        <v>18</v>
      </c>
      <c r="C8604" s="135" t="s">
        <v>381</v>
      </c>
      <c r="D8604" s="161" t="s">
        <v>74</v>
      </c>
      <c r="E8604" s="135">
        <f t="shared" si="62"/>
        <v>8</v>
      </c>
      <c r="F8604" s="134" t="s">
        <v>4057</v>
      </c>
      <c r="G8604" s="63" t="str">
        <f>VLOOKUP(C8604, 'Class Def. - General Data'!$C$20:$C$1000,1,false)</f>
        <v>ZSI1_DISTILLED_WTR</v>
      </c>
      <c r="H8604" s="63" t="str">
        <f>IFERROR(__xludf.DUMMYFUNCTION("VLOOKUP(F8604, IMPORTRANGE(""https://docs.google.com/spreadsheets/d/1Lhp9OU0JdFf_VYSMzH5lBcEaU4o8teT1piV-SNzShjg/edit?gid=554141278#gid=554141278"", ""'Char Def. - Attributes'!C20:C2242""), 1,false)"),"NET_WEIGHT_OPT")</f>
        <v>NET_WEIGHT_OPT</v>
      </c>
      <c r="I8604" s="136"/>
      <c r="R8604" s="63" t="str">
        <f t="shared" si="60"/>
        <v>ZSI1_DISTILLED_WTRNET_WEIGHT_OPT</v>
      </c>
    </row>
    <row r="8605" ht="15.75" customHeight="1">
      <c r="B8605" s="63">
        <f t="shared" si="1"/>
        <v>18</v>
      </c>
      <c r="C8605" s="135" t="s">
        <v>381</v>
      </c>
      <c r="D8605" s="161" t="s">
        <v>74</v>
      </c>
      <c r="E8605" s="135">
        <f t="shared" si="62"/>
        <v>9</v>
      </c>
      <c r="F8605" s="134" t="s">
        <v>4058</v>
      </c>
      <c r="G8605" s="63" t="str">
        <f>VLOOKUP(C8605, 'Class Def. - General Data'!$C$20:$C$1000,1,false)</f>
        <v>ZSI1_DISTILLED_WTR</v>
      </c>
      <c r="H8605" s="63" t="str">
        <f>IFERROR(__xludf.DUMMYFUNCTION("VLOOKUP(F8605, IMPORTRANGE(""https://docs.google.com/spreadsheets/d/1Lhp9OU0JdFf_VYSMzH5lBcEaU4o8teT1piV-SNzShjg/edit?gid=554141278#gid=554141278"", ""'Char Def. - Attributes'!C20:C2242""), 1,false)"),"WEIGHT_UNIT_SI")</f>
        <v>WEIGHT_UNIT_SI</v>
      </c>
      <c r="I8605" s="136"/>
      <c r="R8605" s="63" t="str">
        <f t="shared" si="60"/>
        <v>ZSI1_DISTILLED_WTRWEIGHT_UNIT_SI</v>
      </c>
    </row>
    <row r="8606" ht="15.75" customHeight="1">
      <c r="B8606" s="63">
        <f t="shared" si="1"/>
        <v>18</v>
      </c>
      <c r="C8606" s="135" t="s">
        <v>381</v>
      </c>
      <c r="D8606" s="161" t="s">
        <v>74</v>
      </c>
      <c r="E8606" s="135">
        <f t="shared" si="62"/>
        <v>10</v>
      </c>
      <c r="F8606" s="134" t="s">
        <v>3877</v>
      </c>
      <c r="G8606" s="63" t="str">
        <f>VLOOKUP(C8606, 'Class Def. - General Data'!$C$20:$C$1000,1,false)</f>
        <v>ZSI1_DISTILLED_WTR</v>
      </c>
      <c r="H8606" s="63" t="str">
        <f>IFERROR(__xludf.DUMMYFUNCTION("VLOOKUP(F8606, IMPORTRANGE(""https://docs.google.com/spreadsheets/d/1Lhp9OU0JdFf_VYSMzH5lBcEaU4o8teT1piV-SNzShjg/edit?gid=554141278#gid=554141278"", ""'Char Def. - Attributes'!C20:C2242""), 1,false)"),"VOLUME_OPT")</f>
        <v>VOLUME_OPT</v>
      </c>
      <c r="I8606" s="136"/>
      <c r="R8606" s="63" t="str">
        <f t="shared" si="60"/>
        <v>ZSI1_DISTILLED_WTRVOLUME_OPT</v>
      </c>
    </row>
    <row r="8607" ht="15.75" customHeight="1">
      <c r="B8607" s="63">
        <f t="shared" si="1"/>
        <v>18</v>
      </c>
      <c r="C8607" s="135" t="s">
        <v>381</v>
      </c>
      <c r="D8607" s="161" t="s">
        <v>74</v>
      </c>
      <c r="E8607" s="135">
        <f t="shared" si="62"/>
        <v>11</v>
      </c>
      <c r="F8607" s="134" t="s">
        <v>4059</v>
      </c>
      <c r="G8607" s="63" t="str">
        <f>VLOOKUP(C8607, 'Class Def. - General Data'!$C$20:$C$1000,1,false)</f>
        <v>ZSI1_DISTILLED_WTR</v>
      </c>
      <c r="H8607" s="63" t="str">
        <f>IFERROR(__xludf.DUMMYFUNCTION("VLOOKUP(F8607, IMPORTRANGE(""https://docs.google.com/spreadsheets/d/1Lhp9OU0JdFf_VYSMzH5lBcEaU4o8teT1piV-SNzShjg/edit?gid=554141278#gid=554141278"", ""'Char Def. - Attributes'!C20:C2242""), 1,false)"),"VOLUME_UNIT_SI")</f>
        <v>VOLUME_UNIT_SI</v>
      </c>
      <c r="I8607" s="136"/>
      <c r="R8607" s="63" t="str">
        <f t="shared" si="60"/>
        <v>ZSI1_DISTILLED_WTRVOLUME_UNIT_SI</v>
      </c>
    </row>
    <row r="8608" ht="15.75" customHeight="1">
      <c r="B8608" s="63">
        <f t="shared" si="1"/>
        <v>18</v>
      </c>
      <c r="C8608" s="135" t="s">
        <v>381</v>
      </c>
      <c r="D8608" s="161" t="s">
        <v>74</v>
      </c>
      <c r="E8608" s="135">
        <f t="shared" si="62"/>
        <v>12</v>
      </c>
      <c r="F8608" s="134" t="s">
        <v>3804</v>
      </c>
      <c r="G8608" s="63" t="str">
        <f>VLOOKUP(C8608, 'Class Def. - General Data'!$C$20:$C$1000,1,false)</f>
        <v>ZSI1_DISTILLED_WTR</v>
      </c>
      <c r="H8608" s="63" t="str">
        <f>IFERROR(__xludf.DUMMYFUNCTION("VLOOKUP(F8608, IMPORTRANGE(""https://docs.google.com/spreadsheets/d/1Lhp9OU0JdFf_VYSMzH5lBcEaU4o8teT1piV-SNzShjg/edit?gid=554141278#gid=554141278"", ""'Char Def. - Attributes'!C20:C2242""), 1,false)"),"ALT_UOM1_SIPI")</f>
        <v>ALT_UOM1_SIPI</v>
      </c>
      <c r="I8608" s="136"/>
      <c r="R8608" s="63" t="str">
        <f t="shared" si="60"/>
        <v>ZSI1_DISTILLED_WTRALT_UOM1_SIPI</v>
      </c>
    </row>
    <row r="8609" ht="15.75" customHeight="1">
      <c r="B8609" s="63">
        <f t="shared" si="1"/>
        <v>18</v>
      </c>
      <c r="C8609" s="135" t="s">
        <v>381</v>
      </c>
      <c r="D8609" s="161" t="s">
        <v>74</v>
      </c>
      <c r="E8609" s="135">
        <f t="shared" si="62"/>
        <v>13</v>
      </c>
      <c r="F8609" s="134" t="s">
        <v>3805</v>
      </c>
      <c r="G8609" s="63" t="str">
        <f>VLOOKUP(C8609, 'Class Def. - General Data'!$C$20:$C$1000,1,false)</f>
        <v>ZSI1_DISTILLED_WTR</v>
      </c>
      <c r="H8609" s="63" t="str">
        <f>IFERROR(__xludf.DUMMYFUNCTION("VLOOKUP(F8609, IMPORTRANGE(""https://docs.google.com/spreadsheets/d/1Lhp9OU0JdFf_VYSMzH5lBcEaU4o8teT1piV-SNzShjg/edit?gid=554141278#gid=554141278"", ""'Char Def. - Attributes'!C20:C2242""), 1,false)"),"ALT_DENUM_UOM1")</f>
        <v>ALT_DENUM_UOM1</v>
      </c>
      <c r="I8609" s="136"/>
      <c r="R8609" s="63" t="str">
        <f t="shared" si="60"/>
        <v>ZSI1_DISTILLED_WTRALT_DENUM_UOM1</v>
      </c>
    </row>
    <row r="8610" ht="15.75" customHeight="1">
      <c r="B8610" s="63">
        <f t="shared" si="1"/>
        <v>18</v>
      </c>
      <c r="C8610" s="135" t="s">
        <v>381</v>
      </c>
      <c r="D8610" s="161" t="s">
        <v>74</v>
      </c>
      <c r="E8610" s="135">
        <f t="shared" si="62"/>
        <v>14</v>
      </c>
      <c r="F8610" s="134" t="s">
        <v>3806</v>
      </c>
      <c r="G8610" s="63" t="str">
        <f>VLOOKUP(C8610, 'Class Def. - General Data'!$C$20:$C$1000,1,false)</f>
        <v>ZSI1_DISTILLED_WTR</v>
      </c>
      <c r="H8610" s="63" t="str">
        <f>IFERROR(__xludf.DUMMYFUNCTION("VLOOKUP(F8610, IMPORTRANGE(""https://docs.google.com/spreadsheets/d/1Lhp9OU0JdFf_VYSMzH5lBcEaU4o8teT1piV-SNzShjg/edit?gid=554141278#gid=554141278"", ""'Char Def. - Attributes'!C20:C2242""), 1,false)"),"ALT_NUM_UOM1")</f>
        <v>ALT_NUM_UOM1</v>
      </c>
      <c r="I8610" s="136"/>
      <c r="R8610" s="63" t="str">
        <f t="shared" si="60"/>
        <v>ZSI1_DISTILLED_WTRALT_NUM_UOM1</v>
      </c>
    </row>
    <row r="8611" ht="15.75" customHeight="1">
      <c r="B8611" s="63">
        <f t="shared" si="1"/>
        <v>18</v>
      </c>
      <c r="C8611" s="135" t="s">
        <v>381</v>
      </c>
      <c r="D8611" s="161" t="s">
        <v>74</v>
      </c>
      <c r="E8611" s="135">
        <f t="shared" si="62"/>
        <v>15</v>
      </c>
      <c r="F8611" s="134" t="s">
        <v>3807</v>
      </c>
      <c r="G8611" s="63" t="str">
        <f>VLOOKUP(C8611, 'Class Def. - General Data'!$C$20:$C$1000,1,false)</f>
        <v>ZSI1_DISTILLED_WTR</v>
      </c>
      <c r="H8611" s="63" t="str">
        <f>IFERROR(__xludf.DUMMYFUNCTION("VLOOKUP(F8611, IMPORTRANGE(""https://docs.google.com/spreadsheets/d/1Lhp9OU0JdFf_VYSMzH5lBcEaU4o8teT1piV-SNzShjg/edit?gid=554141278#gid=554141278"", ""'Char Def. - Attributes'!C20:C2242""), 1,false)"),"ALT_UOM2_SIPI")</f>
        <v>ALT_UOM2_SIPI</v>
      </c>
      <c r="I8611" s="136"/>
      <c r="R8611" s="63" t="str">
        <f t="shared" si="60"/>
        <v>ZSI1_DISTILLED_WTRALT_UOM2_SIPI</v>
      </c>
    </row>
    <row r="8612" ht="15.75" customHeight="1">
      <c r="B8612" s="63">
        <f t="shared" si="1"/>
        <v>18</v>
      </c>
      <c r="C8612" s="135" t="s">
        <v>381</v>
      </c>
      <c r="D8612" s="161" t="s">
        <v>74</v>
      </c>
      <c r="E8612" s="135">
        <f t="shared" si="62"/>
        <v>16</v>
      </c>
      <c r="F8612" s="134" t="s">
        <v>3808</v>
      </c>
      <c r="G8612" s="63" t="str">
        <f>VLOOKUP(C8612, 'Class Def. - General Data'!$C$20:$C$1000,1,false)</f>
        <v>ZSI1_DISTILLED_WTR</v>
      </c>
      <c r="H8612" s="63" t="str">
        <f>IFERROR(__xludf.DUMMYFUNCTION("VLOOKUP(F8612, IMPORTRANGE(""https://docs.google.com/spreadsheets/d/1Lhp9OU0JdFf_VYSMzH5lBcEaU4o8teT1piV-SNzShjg/edit?gid=554141278#gid=554141278"", ""'Char Def. - Attributes'!C20:C2242""), 1,false)"),"ALT_DENUM_UOM2")</f>
        <v>ALT_DENUM_UOM2</v>
      </c>
      <c r="I8612" s="136"/>
      <c r="R8612" s="63" t="str">
        <f t="shared" si="60"/>
        <v>ZSI1_DISTILLED_WTRALT_DENUM_UOM2</v>
      </c>
    </row>
    <row r="8613" ht="15.75" customHeight="1">
      <c r="B8613" s="63">
        <f t="shared" si="1"/>
        <v>18</v>
      </c>
      <c r="C8613" s="135" t="s">
        <v>381</v>
      </c>
      <c r="D8613" s="161" t="s">
        <v>74</v>
      </c>
      <c r="E8613" s="135">
        <f t="shared" si="62"/>
        <v>17</v>
      </c>
      <c r="F8613" s="134" t="s">
        <v>3809</v>
      </c>
      <c r="G8613" s="63" t="str">
        <f>VLOOKUP(C8613, 'Class Def. - General Data'!$C$20:$C$1000,1,false)</f>
        <v>ZSI1_DISTILLED_WTR</v>
      </c>
      <c r="H8613" s="63" t="str">
        <f>IFERROR(__xludf.DUMMYFUNCTION("VLOOKUP(F8613, IMPORTRANGE(""https://docs.google.com/spreadsheets/d/1Lhp9OU0JdFf_VYSMzH5lBcEaU4o8teT1piV-SNzShjg/edit?gid=554141278#gid=554141278"", ""'Char Def. - Attributes'!C20:C2242""), 1,false)"),"ALT_NUM_UOM2")</f>
        <v>ALT_NUM_UOM2</v>
      </c>
      <c r="I8613" s="136"/>
      <c r="R8613" s="63" t="str">
        <f t="shared" si="60"/>
        <v>ZSI1_DISTILLED_WTRALT_NUM_UOM2</v>
      </c>
    </row>
    <row r="8614" ht="15.75" customHeight="1">
      <c r="B8614" s="63">
        <f t="shared" si="1"/>
        <v>18</v>
      </c>
      <c r="C8614" s="135" t="s">
        <v>381</v>
      </c>
      <c r="D8614" s="161" t="s">
        <v>74</v>
      </c>
      <c r="E8614" s="135">
        <f t="shared" si="62"/>
        <v>18</v>
      </c>
      <c r="F8614" s="134" t="s">
        <v>3810</v>
      </c>
      <c r="G8614" s="63" t="str">
        <f>VLOOKUP(C8614, 'Class Def. - General Data'!$C$20:$C$1000,1,false)</f>
        <v>ZSI1_DISTILLED_WTR</v>
      </c>
      <c r="H8614" s="63" t="str">
        <f>IFERROR(__xludf.DUMMYFUNCTION("VLOOKUP(F8614, IMPORTRANGE(""https://docs.google.com/spreadsheets/d/1Lhp9OU0JdFf_VYSMzH5lBcEaU4o8teT1piV-SNzShjg/edit?gid=554141278#gid=554141278"", ""'Char Def. - Attributes'!C20:C2242""), 1,false)"),"ALT_UOM3_SIPI")</f>
        <v>ALT_UOM3_SIPI</v>
      </c>
      <c r="I8614" s="136"/>
      <c r="R8614" s="63" t="str">
        <f t="shared" si="60"/>
        <v>ZSI1_DISTILLED_WTRALT_UOM3_SIPI</v>
      </c>
    </row>
    <row r="8615" ht="15.75" customHeight="1">
      <c r="B8615" s="63">
        <f t="shared" si="1"/>
        <v>18</v>
      </c>
      <c r="C8615" s="135" t="s">
        <v>381</v>
      </c>
      <c r="D8615" s="161" t="s">
        <v>74</v>
      </c>
      <c r="E8615" s="135">
        <f t="shared" si="62"/>
        <v>19</v>
      </c>
      <c r="F8615" s="134" t="s">
        <v>3811</v>
      </c>
      <c r="G8615" s="63" t="str">
        <f>VLOOKUP(C8615, 'Class Def. - General Data'!$C$20:$C$1000,1,false)</f>
        <v>ZSI1_DISTILLED_WTR</v>
      </c>
      <c r="H8615" s="63" t="str">
        <f>IFERROR(__xludf.DUMMYFUNCTION("VLOOKUP(F8615, IMPORTRANGE(""https://docs.google.com/spreadsheets/d/1Lhp9OU0JdFf_VYSMzH5lBcEaU4o8teT1piV-SNzShjg/edit?gid=554141278#gid=554141278"", ""'Char Def. - Attributes'!C20:C2242""), 1,false)"),"ALT_DENUM_UOM3")</f>
        <v>ALT_DENUM_UOM3</v>
      </c>
      <c r="I8615" s="136"/>
      <c r="R8615" s="63" t="str">
        <f t="shared" si="60"/>
        <v>ZSI1_DISTILLED_WTRALT_DENUM_UOM3</v>
      </c>
    </row>
    <row r="8616" ht="15.75" customHeight="1">
      <c r="B8616" s="63">
        <f t="shared" si="1"/>
        <v>18</v>
      </c>
      <c r="C8616" s="135" t="s">
        <v>381</v>
      </c>
      <c r="D8616" s="161" t="s">
        <v>74</v>
      </c>
      <c r="E8616" s="135">
        <f t="shared" si="62"/>
        <v>20</v>
      </c>
      <c r="F8616" s="134" t="s">
        <v>3812</v>
      </c>
      <c r="G8616" s="63" t="str">
        <f>VLOOKUP(C8616, 'Class Def. - General Data'!$C$20:$C$1000,1,false)</f>
        <v>ZSI1_DISTILLED_WTR</v>
      </c>
      <c r="H8616" s="63" t="str">
        <f>IFERROR(__xludf.DUMMYFUNCTION("VLOOKUP(F8616, IMPORTRANGE(""https://docs.google.com/spreadsheets/d/1Lhp9OU0JdFf_VYSMzH5lBcEaU4o8teT1piV-SNzShjg/edit?gid=554141278#gid=554141278"", ""'Char Def. - Attributes'!C20:C2242""), 1,false)"),"ALT_NUM_UOM3")</f>
        <v>ALT_NUM_UOM3</v>
      </c>
      <c r="I8616" s="136"/>
      <c r="R8616" s="63" t="str">
        <f t="shared" si="60"/>
        <v>ZSI1_DISTILLED_WTRALT_NUM_UOM3</v>
      </c>
    </row>
    <row r="8617" ht="15.75" customHeight="1">
      <c r="B8617" s="63">
        <f t="shared" si="1"/>
        <v>18</v>
      </c>
      <c r="C8617" s="135" t="s">
        <v>381</v>
      </c>
      <c r="D8617" s="161" t="s">
        <v>74</v>
      </c>
      <c r="E8617" s="135">
        <f t="shared" si="62"/>
        <v>21</v>
      </c>
      <c r="F8617" s="134" t="s">
        <v>3813</v>
      </c>
      <c r="G8617" s="63" t="str">
        <f>VLOOKUP(C8617, 'Class Def. - General Data'!$C$20:$C$1000,1,false)</f>
        <v>ZSI1_DISTILLED_WTR</v>
      </c>
      <c r="H8617" s="63" t="str">
        <f>IFERROR(__xludf.DUMMYFUNCTION("VLOOKUP(F8617, IMPORTRANGE(""https://docs.google.com/spreadsheets/d/1Lhp9OU0JdFf_VYSMzH5lBcEaU4o8teT1piV-SNzShjg/edit?gid=554141278#gid=554141278"", ""'Char Def. - Attributes'!C20:C2242""), 1,false)"),"ALT_UOM4_SIPI")</f>
        <v>ALT_UOM4_SIPI</v>
      </c>
      <c r="I8617" s="136"/>
      <c r="R8617" s="63" t="str">
        <f t="shared" si="60"/>
        <v>ZSI1_DISTILLED_WTRALT_UOM4_SIPI</v>
      </c>
    </row>
    <row r="8618" ht="15.75" customHeight="1">
      <c r="B8618" s="63">
        <f t="shared" si="1"/>
        <v>18</v>
      </c>
      <c r="C8618" s="135" t="s">
        <v>381</v>
      </c>
      <c r="D8618" s="161" t="s">
        <v>74</v>
      </c>
      <c r="E8618" s="135">
        <f t="shared" si="62"/>
        <v>22</v>
      </c>
      <c r="F8618" s="134" t="s">
        <v>3814</v>
      </c>
      <c r="G8618" s="63" t="str">
        <f>VLOOKUP(C8618, 'Class Def. - General Data'!$C$20:$C$1000,1,false)</f>
        <v>ZSI1_DISTILLED_WTR</v>
      </c>
      <c r="H8618" s="63" t="str">
        <f>IFERROR(__xludf.DUMMYFUNCTION("VLOOKUP(F8618, IMPORTRANGE(""https://docs.google.com/spreadsheets/d/1Lhp9OU0JdFf_VYSMzH5lBcEaU4o8teT1piV-SNzShjg/edit?gid=554141278#gid=554141278"", ""'Char Def. - Attributes'!C20:C2242""), 1,false)"),"ALT_DENUM_UOM4")</f>
        <v>ALT_DENUM_UOM4</v>
      </c>
      <c r="I8618" s="136"/>
      <c r="R8618" s="63" t="str">
        <f t="shared" si="60"/>
        <v>ZSI1_DISTILLED_WTRALT_DENUM_UOM4</v>
      </c>
    </row>
    <row r="8619" ht="15.75" customHeight="1">
      <c r="B8619" s="63">
        <f t="shared" si="1"/>
        <v>18</v>
      </c>
      <c r="C8619" s="135" t="s">
        <v>381</v>
      </c>
      <c r="D8619" s="161" t="s">
        <v>74</v>
      </c>
      <c r="E8619" s="135">
        <f t="shared" si="62"/>
        <v>23</v>
      </c>
      <c r="F8619" s="134" t="s">
        <v>3815</v>
      </c>
      <c r="G8619" s="63" t="str">
        <f>VLOOKUP(C8619, 'Class Def. - General Data'!$C$20:$C$1000,1,false)</f>
        <v>ZSI1_DISTILLED_WTR</v>
      </c>
      <c r="H8619" s="63" t="str">
        <f>IFERROR(__xludf.DUMMYFUNCTION("VLOOKUP(F8619, IMPORTRANGE(""https://docs.google.com/spreadsheets/d/1Lhp9OU0JdFf_VYSMzH5lBcEaU4o8teT1piV-SNzShjg/edit?gid=554141278#gid=554141278"", ""'Char Def. - Attributes'!C20:C2242""), 1,false)"),"ALT_NUM_UOM4")</f>
        <v>ALT_NUM_UOM4</v>
      </c>
      <c r="I8619" s="136"/>
      <c r="R8619" s="63" t="str">
        <f t="shared" si="60"/>
        <v>ZSI1_DISTILLED_WTRALT_NUM_UOM4</v>
      </c>
    </row>
    <row r="8620" ht="15.75" customHeight="1">
      <c r="B8620" s="63">
        <f t="shared" si="1"/>
        <v>18</v>
      </c>
      <c r="C8620" s="135" t="s">
        <v>381</v>
      </c>
      <c r="D8620" s="161" t="s">
        <v>74</v>
      </c>
      <c r="E8620" s="135">
        <f t="shared" si="62"/>
        <v>24</v>
      </c>
      <c r="F8620" s="134" t="s">
        <v>3816</v>
      </c>
      <c r="G8620" s="63" t="str">
        <f>VLOOKUP(C8620, 'Class Def. - General Data'!$C$20:$C$1000,1,false)</f>
        <v>ZSI1_DISTILLED_WTR</v>
      </c>
      <c r="H8620" s="63" t="str">
        <f>IFERROR(__xludf.DUMMYFUNCTION("VLOOKUP(F8620, IMPORTRANGE(""https://docs.google.com/spreadsheets/d/1Lhp9OU0JdFf_VYSMzH5lBcEaU4o8teT1piV-SNzShjg/edit?gid=554141278#gid=554141278"", ""'Char Def. - Attributes'!C20:C2242""), 1,false)"),"ALT_UOM5_SIPI")</f>
        <v>ALT_UOM5_SIPI</v>
      </c>
      <c r="I8620" s="136"/>
      <c r="R8620" s="63" t="str">
        <f t="shared" si="60"/>
        <v>ZSI1_DISTILLED_WTRALT_UOM5_SIPI</v>
      </c>
    </row>
    <row r="8621" ht="15.75" customHeight="1">
      <c r="B8621" s="63">
        <f t="shared" si="1"/>
        <v>18</v>
      </c>
      <c r="C8621" s="135" t="s">
        <v>381</v>
      </c>
      <c r="D8621" s="161" t="s">
        <v>74</v>
      </c>
      <c r="E8621" s="135">
        <f t="shared" si="62"/>
        <v>25</v>
      </c>
      <c r="F8621" s="134" t="s">
        <v>3817</v>
      </c>
      <c r="G8621" s="63" t="str">
        <f>VLOOKUP(C8621, 'Class Def. - General Data'!$C$20:$C$1000,1,false)</f>
        <v>ZSI1_DISTILLED_WTR</v>
      </c>
      <c r="H8621" s="63" t="str">
        <f>IFERROR(__xludf.DUMMYFUNCTION("VLOOKUP(F8621, IMPORTRANGE(""https://docs.google.com/spreadsheets/d/1Lhp9OU0JdFf_VYSMzH5lBcEaU4o8teT1piV-SNzShjg/edit?gid=554141278#gid=554141278"", ""'Char Def. - Attributes'!C20:C2242""), 1,false)"),"ALT_DENUM_UOM5")</f>
        <v>ALT_DENUM_UOM5</v>
      </c>
      <c r="I8621" s="136"/>
      <c r="R8621" s="63" t="str">
        <f t="shared" si="60"/>
        <v>ZSI1_DISTILLED_WTRALT_DENUM_UOM5</v>
      </c>
    </row>
    <row r="8622" ht="15.75" customHeight="1">
      <c r="B8622" s="63">
        <f t="shared" si="1"/>
        <v>18</v>
      </c>
      <c r="C8622" s="135" t="s">
        <v>381</v>
      </c>
      <c r="D8622" s="161" t="s">
        <v>74</v>
      </c>
      <c r="E8622" s="135">
        <f t="shared" si="62"/>
        <v>26</v>
      </c>
      <c r="F8622" s="134" t="s">
        <v>3818</v>
      </c>
      <c r="G8622" s="63" t="str">
        <f>VLOOKUP(C8622, 'Class Def. - General Data'!$C$20:$C$1000,1,false)</f>
        <v>ZSI1_DISTILLED_WTR</v>
      </c>
      <c r="H8622" s="63" t="str">
        <f>IFERROR(__xludf.DUMMYFUNCTION("VLOOKUP(F8622, IMPORTRANGE(""https://docs.google.com/spreadsheets/d/1Lhp9OU0JdFf_VYSMzH5lBcEaU4o8teT1piV-SNzShjg/edit?gid=554141278#gid=554141278"", ""'Char Def. - Attributes'!C20:C2242""), 1,false)"),"ALT_NUM_UOM5")</f>
        <v>ALT_NUM_UOM5</v>
      </c>
      <c r="I8622" s="136"/>
      <c r="R8622" s="63" t="str">
        <f t="shared" si="60"/>
        <v>ZSI1_DISTILLED_WTRALT_NUM_UOM5</v>
      </c>
    </row>
    <row r="8623" ht="15.75" customHeight="1">
      <c r="B8623" s="63">
        <f t="shared" si="1"/>
        <v>16</v>
      </c>
      <c r="C8623" s="135" t="s">
        <v>382</v>
      </c>
      <c r="D8623" s="161" t="s">
        <v>74</v>
      </c>
      <c r="E8623" s="135">
        <f t="shared" si="62"/>
        <v>1</v>
      </c>
      <c r="F8623" s="134" t="s">
        <v>4394</v>
      </c>
      <c r="G8623" s="63" t="str">
        <f>VLOOKUP(C8623, 'Class Def. - General Data'!$C$20:$C$1000,1,false)</f>
        <v>ZSI1_DOM_MEASURE</v>
      </c>
      <c r="H8623" s="63" t="str">
        <f>IFERROR(__xludf.DUMMYFUNCTION("VLOOKUP(F8623, IMPORTRANGE(""https://docs.google.com/spreadsheets/d/1Lhp9OU0JdFf_VYSMzH5lBcEaU4o8teT1piV-SNzShjg/edit?gid=554141278#gid=554141278"", ""'Char Def. - Attributes'!C20:C2242""), 1,false)"),"ITEM_NAME_DOM_MEASURE")</f>
        <v>ITEM_NAME_DOM_MEASURE</v>
      </c>
      <c r="I8623" s="136"/>
      <c r="R8623" s="63" t="str">
        <f t="shared" si="60"/>
        <v>ZSI1_DOM_MEASUREITEM_NAME_DOM_MEASURE</v>
      </c>
    </row>
    <row r="8624" ht="15.75" customHeight="1">
      <c r="B8624" s="63">
        <f t="shared" si="1"/>
        <v>16</v>
      </c>
      <c r="C8624" s="135" t="s">
        <v>382</v>
      </c>
      <c r="D8624" s="161" t="s">
        <v>74</v>
      </c>
      <c r="E8624" s="135">
        <f t="shared" si="62"/>
        <v>2</v>
      </c>
      <c r="F8624" s="134" t="s">
        <v>4395</v>
      </c>
      <c r="G8624" s="63" t="str">
        <f>VLOOKUP(C8624, 'Class Def. - General Data'!$C$20:$C$1000,1,false)</f>
        <v>ZSI1_DOM_MEASURE</v>
      </c>
      <c r="H8624" s="63" t="str">
        <f>IFERROR(__xludf.DUMMYFUNCTION("VLOOKUP(F8624, IMPORTRANGE(""https://docs.google.com/spreadsheets/d/1Lhp9OU0JdFf_VYSMzH5lBcEaU4o8teT1piV-SNzShjg/edit?gid=554141278#gid=554141278"", ""'Char Def. - Attributes'!C20:C2242""), 1,false)"),"TYPE_DOM_MEASURE")</f>
        <v>TYPE_DOM_MEASURE</v>
      </c>
      <c r="I8624" s="136"/>
      <c r="R8624" s="63" t="str">
        <f t="shared" si="60"/>
        <v>ZSI1_DOM_MEASURETYPE_DOM_MEASURE</v>
      </c>
    </row>
    <row r="8625" ht="15.75" customHeight="1">
      <c r="B8625" s="63">
        <f t="shared" si="1"/>
        <v>16</v>
      </c>
      <c r="C8625" s="135" t="s">
        <v>382</v>
      </c>
      <c r="D8625" s="161" t="s">
        <v>74</v>
      </c>
      <c r="E8625" s="135">
        <f t="shared" si="62"/>
        <v>3</v>
      </c>
      <c r="F8625" s="134" t="s">
        <v>3782</v>
      </c>
      <c r="G8625" s="63" t="str">
        <f>VLOOKUP(C8625, 'Class Def. - General Data'!$C$20:$C$1000,1,false)</f>
        <v>ZSI1_DOM_MEASURE</v>
      </c>
      <c r="H8625" s="63" t="str">
        <f>IFERROR(__xludf.DUMMYFUNCTION("VLOOKUP(F8625, IMPORTRANGE(""https://docs.google.com/spreadsheets/d/1Lhp9OU0JdFf_VYSMzH5lBcEaU4o8teT1piV-SNzShjg/edit?gid=554141278#gid=554141278"", ""'Char Def. - Attributes'!C20:C2242""), 1,false)"),"BRAND_EXTERNAL")</f>
        <v>BRAND_EXTERNAL</v>
      </c>
      <c r="I8625" s="136"/>
      <c r="R8625" s="63" t="str">
        <f t="shared" si="60"/>
        <v>ZSI1_DOM_MEASUREBRAND_EXTERNAL</v>
      </c>
    </row>
    <row r="8626" ht="15.75" customHeight="1">
      <c r="B8626" s="63">
        <f t="shared" si="1"/>
        <v>16</v>
      </c>
      <c r="C8626" s="135" t="s">
        <v>382</v>
      </c>
      <c r="D8626" s="161" t="s">
        <v>74</v>
      </c>
      <c r="E8626" s="135">
        <f t="shared" si="62"/>
        <v>4</v>
      </c>
      <c r="F8626" s="134" t="s">
        <v>3585</v>
      </c>
      <c r="G8626" s="63" t="str">
        <f>VLOOKUP(C8626, 'Class Def. - General Data'!$C$20:$C$1000,1,false)</f>
        <v>ZSI1_DOM_MEASURE</v>
      </c>
      <c r="H8626" s="63" t="str">
        <f>IFERROR(__xludf.DUMMYFUNCTION("VLOOKUP(F8626, IMPORTRANGE(""https://docs.google.com/spreadsheets/d/1Lhp9OU0JdFf_VYSMzH5lBcEaU4o8teT1piV-SNzShjg/edit?gid=554141278#gid=554141278"", ""'Char Def. - Attributes'!C20:C2242""), 1,false)"),"HS_CODE")</f>
        <v>HS_CODE</v>
      </c>
      <c r="I8626" s="136"/>
      <c r="R8626" s="63" t="str">
        <f t="shared" si="60"/>
        <v>ZSI1_DOM_MEASUREHS_CODE</v>
      </c>
    </row>
    <row r="8627" ht="15.75" customHeight="1">
      <c r="B8627" s="63">
        <f t="shared" si="1"/>
        <v>16</v>
      </c>
      <c r="C8627" s="135" t="s">
        <v>382</v>
      </c>
      <c r="D8627" s="161" t="s">
        <v>74</v>
      </c>
      <c r="E8627" s="135">
        <f t="shared" si="62"/>
        <v>5</v>
      </c>
      <c r="F8627" s="134" t="s">
        <v>3587</v>
      </c>
      <c r="G8627" s="63" t="str">
        <f>VLOOKUP(C8627, 'Class Def. - General Data'!$C$20:$C$1000,1,false)</f>
        <v>ZSI1_DOM_MEASURE</v>
      </c>
      <c r="H8627" s="63" t="str">
        <f>IFERROR(__xludf.DUMMYFUNCTION("VLOOKUP(F8627, IMPORTRANGE(""https://docs.google.com/spreadsheets/d/1Lhp9OU0JdFf_VYSMzH5lBcEaU4o8teT1piV-SNzShjg/edit?gid=554141278#gid=554141278"", ""'Char Def. - Attributes'!C20:C2242""), 1,false)"),"PLANT_BUY")</f>
        <v>PLANT_BUY</v>
      </c>
      <c r="I8627" s="136"/>
      <c r="R8627" s="63" t="str">
        <f t="shared" si="60"/>
        <v>ZSI1_DOM_MEASUREPLANT_BUY</v>
      </c>
    </row>
    <row r="8628" ht="15.75" customHeight="1">
      <c r="B8628" s="63">
        <f t="shared" si="1"/>
        <v>16</v>
      </c>
      <c r="C8628" s="135" t="s">
        <v>382</v>
      </c>
      <c r="D8628" s="161" t="s">
        <v>74</v>
      </c>
      <c r="E8628" s="135">
        <f t="shared" si="62"/>
        <v>6</v>
      </c>
      <c r="F8628" s="134" t="s">
        <v>4396</v>
      </c>
      <c r="G8628" s="63" t="str">
        <f>VLOOKUP(C8628, 'Class Def. - General Data'!$C$20:$C$1000,1,false)</f>
        <v>ZSI1_DOM_MEASURE</v>
      </c>
      <c r="H8628" s="63" t="str">
        <f>IFERROR(__xludf.DUMMYFUNCTION("VLOOKUP(F8628, IMPORTRANGE(""https://docs.google.com/spreadsheets/d/1Lhp9OU0JdFf_VYSMzH5lBcEaU4o8teT1piV-SNzShjg/edit?gid=554141278#gid=554141278"", ""'Char Def. - Attributes'!C20:C2242""), 1,false)"),"BASE_UOM_DOM_MEASURE")</f>
        <v>BASE_UOM_DOM_MEASURE</v>
      </c>
      <c r="I8628" s="136"/>
      <c r="R8628" s="63" t="str">
        <f t="shared" si="60"/>
        <v>ZSI1_DOM_MEASUREBASE_UOM_DOM_MEASURE</v>
      </c>
    </row>
    <row r="8629" ht="15.75" customHeight="1">
      <c r="B8629" s="63">
        <f t="shared" si="1"/>
        <v>16</v>
      </c>
      <c r="C8629" s="135" t="s">
        <v>382</v>
      </c>
      <c r="D8629" s="161" t="s">
        <v>74</v>
      </c>
      <c r="E8629" s="135">
        <f t="shared" si="62"/>
        <v>7</v>
      </c>
      <c r="F8629" s="134" t="s">
        <v>4397</v>
      </c>
      <c r="G8629" s="63" t="str">
        <f>VLOOKUP(C8629, 'Class Def. - General Data'!$C$20:$C$1000,1,false)</f>
        <v>ZSI1_DOM_MEASURE</v>
      </c>
      <c r="H8629" s="63" t="str">
        <f>IFERROR(__xludf.DUMMYFUNCTION("VLOOKUP(F8629, IMPORTRANGE(""https://docs.google.com/spreadsheets/d/1Lhp9OU0JdFf_VYSMzH5lBcEaU4o8teT1piV-SNzShjg/edit?gid=554141278#gid=554141278"", ""'Char Def. - Attributes'!C20:C2242""), 1,false)"),"ORDER_UNIT_DOM_MEASURE")</f>
        <v>ORDER_UNIT_DOM_MEASURE</v>
      </c>
      <c r="I8629" s="136"/>
      <c r="R8629" s="63" t="str">
        <f t="shared" si="60"/>
        <v>ZSI1_DOM_MEASUREORDER_UNIT_DOM_MEASURE</v>
      </c>
    </row>
    <row r="8630" ht="15.75" customHeight="1">
      <c r="B8630" s="63">
        <f t="shared" si="1"/>
        <v>16</v>
      </c>
      <c r="C8630" s="135" t="s">
        <v>382</v>
      </c>
      <c r="D8630" s="161" t="s">
        <v>74</v>
      </c>
      <c r="E8630" s="135">
        <f t="shared" si="62"/>
        <v>8</v>
      </c>
      <c r="F8630" s="134" t="s">
        <v>4056</v>
      </c>
      <c r="G8630" s="63" t="str">
        <f>VLOOKUP(C8630, 'Class Def. - General Data'!$C$20:$C$1000,1,false)</f>
        <v>ZSI1_DOM_MEASURE</v>
      </c>
      <c r="H8630" s="63" t="str">
        <f>IFERROR(__xludf.DUMMYFUNCTION("VLOOKUP(F8630, IMPORTRANGE(""https://docs.google.com/spreadsheets/d/1Lhp9OU0JdFf_VYSMzH5lBcEaU4o8teT1piV-SNzShjg/edit?gid=554141278#gid=554141278"", ""'Char Def. - Attributes'!C20:C2242""), 1,false)"),"GROSS_WEIGHT_OPT")</f>
        <v>GROSS_WEIGHT_OPT</v>
      </c>
      <c r="I8630" s="136"/>
      <c r="R8630" s="63" t="str">
        <f t="shared" si="60"/>
        <v>ZSI1_DOM_MEASUREGROSS_WEIGHT_OPT</v>
      </c>
    </row>
    <row r="8631" ht="15.75" customHeight="1">
      <c r="B8631" s="63">
        <f t="shared" si="1"/>
        <v>16</v>
      </c>
      <c r="C8631" s="135" t="s">
        <v>382</v>
      </c>
      <c r="D8631" s="161" t="s">
        <v>74</v>
      </c>
      <c r="E8631" s="135">
        <f t="shared" si="62"/>
        <v>9</v>
      </c>
      <c r="F8631" s="134" t="s">
        <v>4057</v>
      </c>
      <c r="G8631" s="63" t="str">
        <f>VLOOKUP(C8631, 'Class Def. - General Data'!$C$20:$C$1000,1,false)</f>
        <v>ZSI1_DOM_MEASURE</v>
      </c>
      <c r="H8631" s="63" t="str">
        <f>IFERROR(__xludf.DUMMYFUNCTION("VLOOKUP(F8631, IMPORTRANGE(""https://docs.google.com/spreadsheets/d/1Lhp9OU0JdFf_VYSMzH5lBcEaU4o8teT1piV-SNzShjg/edit?gid=554141278#gid=554141278"", ""'Char Def. - Attributes'!C20:C2242""), 1,false)"),"NET_WEIGHT_OPT")</f>
        <v>NET_WEIGHT_OPT</v>
      </c>
      <c r="I8631" s="136"/>
      <c r="R8631" s="63" t="str">
        <f t="shared" si="60"/>
        <v>ZSI1_DOM_MEASURENET_WEIGHT_OPT</v>
      </c>
    </row>
    <row r="8632" ht="15.75" customHeight="1">
      <c r="B8632" s="63">
        <f t="shared" si="1"/>
        <v>16</v>
      </c>
      <c r="C8632" s="135" t="s">
        <v>382</v>
      </c>
      <c r="D8632" s="161" t="s">
        <v>74</v>
      </c>
      <c r="E8632" s="135">
        <f t="shared" si="62"/>
        <v>10</v>
      </c>
      <c r="F8632" s="134" t="s">
        <v>4058</v>
      </c>
      <c r="G8632" s="63" t="str">
        <f>VLOOKUP(C8632, 'Class Def. - General Data'!$C$20:$C$1000,1,false)</f>
        <v>ZSI1_DOM_MEASURE</v>
      </c>
      <c r="H8632" s="63" t="str">
        <f>IFERROR(__xludf.DUMMYFUNCTION("VLOOKUP(F8632, IMPORTRANGE(""https://docs.google.com/spreadsheets/d/1Lhp9OU0JdFf_VYSMzH5lBcEaU4o8teT1piV-SNzShjg/edit?gid=554141278#gid=554141278"", ""'Char Def. - Attributes'!C20:C2242""), 1,false)"),"WEIGHT_UNIT_SI")</f>
        <v>WEIGHT_UNIT_SI</v>
      </c>
      <c r="I8632" s="136"/>
      <c r="R8632" s="63" t="str">
        <f t="shared" si="60"/>
        <v>ZSI1_DOM_MEASUREWEIGHT_UNIT_SI</v>
      </c>
    </row>
    <row r="8633" ht="15.75" customHeight="1">
      <c r="B8633" s="63">
        <f t="shared" si="1"/>
        <v>16</v>
      </c>
      <c r="C8633" s="135" t="s">
        <v>382</v>
      </c>
      <c r="D8633" s="161" t="s">
        <v>74</v>
      </c>
      <c r="E8633" s="135">
        <f t="shared" si="62"/>
        <v>11</v>
      </c>
      <c r="F8633" s="134" t="s">
        <v>3877</v>
      </c>
      <c r="G8633" s="63" t="str">
        <f>VLOOKUP(C8633, 'Class Def. - General Data'!$C$20:$C$1000,1,false)</f>
        <v>ZSI1_DOM_MEASURE</v>
      </c>
      <c r="H8633" s="63" t="str">
        <f>IFERROR(__xludf.DUMMYFUNCTION("VLOOKUP(F8633, IMPORTRANGE(""https://docs.google.com/spreadsheets/d/1Lhp9OU0JdFf_VYSMzH5lBcEaU4o8teT1piV-SNzShjg/edit?gid=554141278#gid=554141278"", ""'Char Def. - Attributes'!C20:C2242""), 1,false)"),"VOLUME_OPT")</f>
        <v>VOLUME_OPT</v>
      </c>
      <c r="I8633" s="136"/>
      <c r="R8633" s="63" t="str">
        <f t="shared" si="60"/>
        <v>ZSI1_DOM_MEASUREVOLUME_OPT</v>
      </c>
    </row>
    <row r="8634" ht="15.75" customHeight="1">
      <c r="B8634" s="63">
        <f t="shared" si="1"/>
        <v>16</v>
      </c>
      <c r="C8634" s="135" t="s">
        <v>382</v>
      </c>
      <c r="D8634" s="161" t="s">
        <v>74</v>
      </c>
      <c r="E8634" s="135">
        <f t="shared" si="62"/>
        <v>12</v>
      </c>
      <c r="F8634" s="134" t="s">
        <v>4059</v>
      </c>
      <c r="G8634" s="63" t="str">
        <f>VLOOKUP(C8634, 'Class Def. - General Data'!$C$20:$C$1000,1,false)</f>
        <v>ZSI1_DOM_MEASURE</v>
      </c>
      <c r="H8634" s="63" t="str">
        <f>IFERROR(__xludf.DUMMYFUNCTION("VLOOKUP(F8634, IMPORTRANGE(""https://docs.google.com/spreadsheets/d/1Lhp9OU0JdFf_VYSMzH5lBcEaU4o8teT1piV-SNzShjg/edit?gid=554141278#gid=554141278"", ""'Char Def. - Attributes'!C20:C2242""), 1,false)"),"VOLUME_UNIT_SI")</f>
        <v>VOLUME_UNIT_SI</v>
      </c>
      <c r="I8634" s="136"/>
      <c r="R8634" s="63" t="str">
        <f t="shared" si="60"/>
        <v>ZSI1_DOM_MEASUREVOLUME_UNIT_SI</v>
      </c>
    </row>
    <row r="8635" ht="15.75" customHeight="1">
      <c r="B8635" s="63">
        <f t="shared" si="1"/>
        <v>16</v>
      </c>
      <c r="C8635" s="135" t="s">
        <v>382</v>
      </c>
      <c r="D8635" s="161" t="s">
        <v>74</v>
      </c>
      <c r="E8635" s="135">
        <f t="shared" si="62"/>
        <v>13</v>
      </c>
      <c r="F8635" s="134" t="s">
        <v>3804</v>
      </c>
      <c r="G8635" s="63" t="str">
        <f>VLOOKUP(C8635, 'Class Def. - General Data'!$C$20:$C$1000,1,false)</f>
        <v>ZSI1_DOM_MEASURE</v>
      </c>
      <c r="H8635" s="63" t="str">
        <f>IFERROR(__xludf.DUMMYFUNCTION("VLOOKUP(F8635, IMPORTRANGE(""https://docs.google.com/spreadsheets/d/1Lhp9OU0JdFf_VYSMzH5lBcEaU4o8teT1piV-SNzShjg/edit?gid=554141278#gid=554141278"", ""'Char Def. - Attributes'!C20:C2242""), 1,false)"),"ALT_UOM1_SIPI")</f>
        <v>ALT_UOM1_SIPI</v>
      </c>
      <c r="I8635" s="136"/>
      <c r="R8635" s="63" t="str">
        <f t="shared" si="60"/>
        <v>ZSI1_DOM_MEASUREALT_UOM1_SIPI</v>
      </c>
    </row>
    <row r="8636" ht="15.75" customHeight="1">
      <c r="B8636" s="63">
        <f t="shared" si="1"/>
        <v>16</v>
      </c>
      <c r="C8636" s="135" t="s">
        <v>382</v>
      </c>
      <c r="D8636" s="161" t="s">
        <v>74</v>
      </c>
      <c r="E8636" s="135">
        <f t="shared" si="62"/>
        <v>14</v>
      </c>
      <c r="F8636" s="134" t="s">
        <v>3805</v>
      </c>
      <c r="G8636" s="63" t="str">
        <f>VLOOKUP(C8636, 'Class Def. - General Data'!$C$20:$C$1000,1,false)</f>
        <v>ZSI1_DOM_MEASURE</v>
      </c>
      <c r="H8636" s="63" t="str">
        <f>IFERROR(__xludf.DUMMYFUNCTION("VLOOKUP(F8636, IMPORTRANGE(""https://docs.google.com/spreadsheets/d/1Lhp9OU0JdFf_VYSMzH5lBcEaU4o8teT1piV-SNzShjg/edit?gid=554141278#gid=554141278"", ""'Char Def. - Attributes'!C20:C2242""), 1,false)"),"ALT_DENUM_UOM1")</f>
        <v>ALT_DENUM_UOM1</v>
      </c>
      <c r="I8636" s="136"/>
      <c r="R8636" s="63" t="str">
        <f t="shared" si="60"/>
        <v>ZSI1_DOM_MEASUREALT_DENUM_UOM1</v>
      </c>
    </row>
    <row r="8637" ht="15.75" customHeight="1">
      <c r="B8637" s="63">
        <f t="shared" si="1"/>
        <v>16</v>
      </c>
      <c r="C8637" s="135" t="s">
        <v>382</v>
      </c>
      <c r="D8637" s="161" t="s">
        <v>74</v>
      </c>
      <c r="E8637" s="135">
        <f t="shared" si="62"/>
        <v>15</v>
      </c>
      <c r="F8637" s="134" t="s">
        <v>3806</v>
      </c>
      <c r="G8637" s="63" t="str">
        <f>VLOOKUP(C8637, 'Class Def. - General Data'!$C$20:$C$1000,1,false)</f>
        <v>ZSI1_DOM_MEASURE</v>
      </c>
      <c r="H8637" s="63" t="str">
        <f>IFERROR(__xludf.DUMMYFUNCTION("VLOOKUP(F8637, IMPORTRANGE(""https://docs.google.com/spreadsheets/d/1Lhp9OU0JdFf_VYSMzH5lBcEaU4o8teT1piV-SNzShjg/edit?gid=554141278#gid=554141278"", ""'Char Def. - Attributes'!C20:C2242""), 1,false)"),"ALT_NUM_UOM1")</f>
        <v>ALT_NUM_UOM1</v>
      </c>
      <c r="I8637" s="136"/>
      <c r="R8637" s="63" t="str">
        <f t="shared" si="60"/>
        <v>ZSI1_DOM_MEASUREALT_NUM_UOM1</v>
      </c>
    </row>
    <row r="8638" ht="15.75" customHeight="1">
      <c r="B8638" s="63">
        <f t="shared" si="1"/>
        <v>16</v>
      </c>
      <c r="C8638" s="135" t="s">
        <v>382</v>
      </c>
      <c r="D8638" s="161" t="s">
        <v>74</v>
      </c>
      <c r="E8638" s="135">
        <f t="shared" si="62"/>
        <v>16</v>
      </c>
      <c r="F8638" s="134" t="s">
        <v>3807</v>
      </c>
      <c r="G8638" s="63" t="str">
        <f>VLOOKUP(C8638, 'Class Def. - General Data'!$C$20:$C$1000,1,false)</f>
        <v>ZSI1_DOM_MEASURE</v>
      </c>
      <c r="H8638" s="63" t="str">
        <f>IFERROR(__xludf.DUMMYFUNCTION("VLOOKUP(F8638, IMPORTRANGE(""https://docs.google.com/spreadsheets/d/1Lhp9OU0JdFf_VYSMzH5lBcEaU4o8teT1piV-SNzShjg/edit?gid=554141278#gid=554141278"", ""'Char Def. - Attributes'!C20:C2242""), 1,false)"),"ALT_UOM2_SIPI")</f>
        <v>ALT_UOM2_SIPI</v>
      </c>
      <c r="I8638" s="136"/>
      <c r="R8638" s="63" t="str">
        <f t="shared" si="60"/>
        <v>ZSI1_DOM_MEASUREALT_UOM2_SIPI</v>
      </c>
    </row>
    <row r="8639" ht="15.75" customHeight="1">
      <c r="B8639" s="63">
        <f t="shared" si="1"/>
        <v>16</v>
      </c>
      <c r="C8639" s="135" t="s">
        <v>382</v>
      </c>
      <c r="D8639" s="161" t="s">
        <v>74</v>
      </c>
      <c r="E8639" s="135">
        <f t="shared" si="62"/>
        <v>17</v>
      </c>
      <c r="F8639" s="134" t="s">
        <v>3808</v>
      </c>
      <c r="G8639" s="63" t="str">
        <f>VLOOKUP(C8639, 'Class Def. - General Data'!$C$20:$C$1000,1,false)</f>
        <v>ZSI1_DOM_MEASURE</v>
      </c>
      <c r="H8639" s="63" t="str">
        <f>IFERROR(__xludf.DUMMYFUNCTION("VLOOKUP(F8639, IMPORTRANGE(""https://docs.google.com/spreadsheets/d/1Lhp9OU0JdFf_VYSMzH5lBcEaU4o8teT1piV-SNzShjg/edit?gid=554141278#gid=554141278"", ""'Char Def. - Attributes'!C20:C2242""), 1,false)"),"ALT_DENUM_UOM2")</f>
        <v>ALT_DENUM_UOM2</v>
      </c>
      <c r="I8639" s="136"/>
      <c r="R8639" s="63" t="str">
        <f t="shared" si="60"/>
        <v>ZSI1_DOM_MEASUREALT_DENUM_UOM2</v>
      </c>
    </row>
    <row r="8640" ht="15.75" customHeight="1">
      <c r="B8640" s="63">
        <f t="shared" si="1"/>
        <v>16</v>
      </c>
      <c r="C8640" s="135" t="s">
        <v>382</v>
      </c>
      <c r="D8640" s="161" t="s">
        <v>74</v>
      </c>
      <c r="E8640" s="135">
        <f t="shared" si="62"/>
        <v>18</v>
      </c>
      <c r="F8640" s="134" t="s">
        <v>3809</v>
      </c>
      <c r="G8640" s="63" t="str">
        <f>VLOOKUP(C8640, 'Class Def. - General Data'!$C$20:$C$1000,1,false)</f>
        <v>ZSI1_DOM_MEASURE</v>
      </c>
      <c r="H8640" s="63" t="str">
        <f>IFERROR(__xludf.DUMMYFUNCTION("VLOOKUP(F8640, IMPORTRANGE(""https://docs.google.com/spreadsheets/d/1Lhp9OU0JdFf_VYSMzH5lBcEaU4o8teT1piV-SNzShjg/edit?gid=554141278#gid=554141278"", ""'Char Def. - Attributes'!C20:C2242""), 1,false)"),"ALT_NUM_UOM2")</f>
        <v>ALT_NUM_UOM2</v>
      </c>
      <c r="I8640" s="136"/>
      <c r="R8640" s="63" t="str">
        <f t="shared" si="60"/>
        <v>ZSI1_DOM_MEASUREALT_NUM_UOM2</v>
      </c>
    </row>
    <row r="8641" ht="15.75" customHeight="1">
      <c r="B8641" s="63">
        <f t="shared" si="1"/>
        <v>16</v>
      </c>
      <c r="C8641" s="135" t="s">
        <v>382</v>
      </c>
      <c r="D8641" s="161" t="s">
        <v>74</v>
      </c>
      <c r="E8641" s="135">
        <f t="shared" si="62"/>
        <v>19</v>
      </c>
      <c r="F8641" s="134" t="s">
        <v>3810</v>
      </c>
      <c r="G8641" s="63" t="str">
        <f>VLOOKUP(C8641, 'Class Def. - General Data'!$C$20:$C$1000,1,false)</f>
        <v>ZSI1_DOM_MEASURE</v>
      </c>
      <c r="H8641" s="63" t="str">
        <f>IFERROR(__xludf.DUMMYFUNCTION("VLOOKUP(F8641, IMPORTRANGE(""https://docs.google.com/spreadsheets/d/1Lhp9OU0JdFf_VYSMzH5lBcEaU4o8teT1piV-SNzShjg/edit?gid=554141278#gid=554141278"", ""'Char Def. - Attributes'!C20:C2242""), 1,false)"),"ALT_UOM3_SIPI")</f>
        <v>ALT_UOM3_SIPI</v>
      </c>
      <c r="I8641" s="136"/>
      <c r="R8641" s="63" t="str">
        <f t="shared" si="60"/>
        <v>ZSI1_DOM_MEASUREALT_UOM3_SIPI</v>
      </c>
    </row>
    <row r="8642" ht="15.75" customHeight="1">
      <c r="B8642" s="63">
        <f t="shared" si="1"/>
        <v>16</v>
      </c>
      <c r="C8642" s="135" t="s">
        <v>382</v>
      </c>
      <c r="D8642" s="161" t="s">
        <v>74</v>
      </c>
      <c r="E8642" s="135">
        <f t="shared" si="62"/>
        <v>20</v>
      </c>
      <c r="F8642" s="134" t="s">
        <v>3811</v>
      </c>
      <c r="G8642" s="63" t="str">
        <f>VLOOKUP(C8642, 'Class Def. - General Data'!$C$20:$C$1000,1,false)</f>
        <v>ZSI1_DOM_MEASURE</v>
      </c>
      <c r="H8642" s="63" t="str">
        <f>IFERROR(__xludf.DUMMYFUNCTION("VLOOKUP(F8642, IMPORTRANGE(""https://docs.google.com/spreadsheets/d/1Lhp9OU0JdFf_VYSMzH5lBcEaU4o8teT1piV-SNzShjg/edit?gid=554141278#gid=554141278"", ""'Char Def. - Attributes'!C20:C2242""), 1,false)"),"ALT_DENUM_UOM3")</f>
        <v>ALT_DENUM_UOM3</v>
      </c>
      <c r="I8642" s="136"/>
      <c r="R8642" s="63" t="str">
        <f t="shared" si="60"/>
        <v>ZSI1_DOM_MEASUREALT_DENUM_UOM3</v>
      </c>
    </row>
    <row r="8643" ht="15.75" customHeight="1">
      <c r="B8643" s="63">
        <f t="shared" si="1"/>
        <v>16</v>
      </c>
      <c r="C8643" s="135" t="s">
        <v>382</v>
      </c>
      <c r="D8643" s="161" t="s">
        <v>74</v>
      </c>
      <c r="E8643" s="135">
        <f t="shared" si="62"/>
        <v>21</v>
      </c>
      <c r="F8643" s="134" t="s">
        <v>3812</v>
      </c>
      <c r="G8643" s="63" t="str">
        <f>VLOOKUP(C8643, 'Class Def. - General Data'!$C$20:$C$1000,1,false)</f>
        <v>ZSI1_DOM_MEASURE</v>
      </c>
      <c r="H8643" s="63" t="str">
        <f>IFERROR(__xludf.DUMMYFUNCTION("VLOOKUP(F8643, IMPORTRANGE(""https://docs.google.com/spreadsheets/d/1Lhp9OU0JdFf_VYSMzH5lBcEaU4o8teT1piV-SNzShjg/edit?gid=554141278#gid=554141278"", ""'Char Def. - Attributes'!C20:C2242""), 1,false)"),"ALT_NUM_UOM3")</f>
        <v>ALT_NUM_UOM3</v>
      </c>
      <c r="I8643" s="136"/>
      <c r="R8643" s="63" t="str">
        <f t="shared" si="60"/>
        <v>ZSI1_DOM_MEASUREALT_NUM_UOM3</v>
      </c>
    </row>
    <row r="8644" ht="15.75" customHeight="1">
      <c r="B8644" s="63">
        <f t="shared" si="1"/>
        <v>16</v>
      </c>
      <c r="C8644" s="135" t="s">
        <v>382</v>
      </c>
      <c r="D8644" s="161" t="s">
        <v>74</v>
      </c>
      <c r="E8644" s="135">
        <f t="shared" si="62"/>
        <v>22</v>
      </c>
      <c r="F8644" s="134" t="s">
        <v>3813</v>
      </c>
      <c r="G8644" s="63" t="str">
        <f>VLOOKUP(C8644, 'Class Def. - General Data'!$C$20:$C$1000,1,false)</f>
        <v>ZSI1_DOM_MEASURE</v>
      </c>
      <c r="H8644" s="63" t="str">
        <f>IFERROR(__xludf.DUMMYFUNCTION("VLOOKUP(F8644, IMPORTRANGE(""https://docs.google.com/spreadsheets/d/1Lhp9OU0JdFf_VYSMzH5lBcEaU4o8teT1piV-SNzShjg/edit?gid=554141278#gid=554141278"", ""'Char Def. - Attributes'!C20:C2242""), 1,false)"),"ALT_UOM4_SIPI")</f>
        <v>ALT_UOM4_SIPI</v>
      </c>
      <c r="I8644" s="136"/>
      <c r="R8644" s="63" t="str">
        <f t="shared" si="60"/>
        <v>ZSI1_DOM_MEASUREALT_UOM4_SIPI</v>
      </c>
    </row>
    <row r="8645" ht="15.75" customHeight="1">
      <c r="B8645" s="63">
        <f t="shared" si="1"/>
        <v>16</v>
      </c>
      <c r="C8645" s="135" t="s">
        <v>382</v>
      </c>
      <c r="D8645" s="161" t="s">
        <v>74</v>
      </c>
      <c r="E8645" s="135">
        <f t="shared" si="62"/>
        <v>23</v>
      </c>
      <c r="F8645" s="134" t="s">
        <v>3814</v>
      </c>
      <c r="G8645" s="63" t="str">
        <f>VLOOKUP(C8645, 'Class Def. - General Data'!$C$20:$C$1000,1,false)</f>
        <v>ZSI1_DOM_MEASURE</v>
      </c>
      <c r="H8645" s="63" t="str">
        <f>IFERROR(__xludf.DUMMYFUNCTION("VLOOKUP(F8645, IMPORTRANGE(""https://docs.google.com/spreadsheets/d/1Lhp9OU0JdFf_VYSMzH5lBcEaU4o8teT1piV-SNzShjg/edit?gid=554141278#gid=554141278"", ""'Char Def. - Attributes'!C20:C2242""), 1,false)"),"ALT_DENUM_UOM4")</f>
        <v>ALT_DENUM_UOM4</v>
      </c>
      <c r="I8645" s="136"/>
      <c r="R8645" s="63" t="str">
        <f t="shared" si="60"/>
        <v>ZSI1_DOM_MEASUREALT_DENUM_UOM4</v>
      </c>
    </row>
    <row r="8646" ht="15.75" customHeight="1">
      <c r="B8646" s="63">
        <f t="shared" si="1"/>
        <v>16</v>
      </c>
      <c r="C8646" s="135" t="s">
        <v>382</v>
      </c>
      <c r="D8646" s="161" t="s">
        <v>74</v>
      </c>
      <c r="E8646" s="135">
        <f t="shared" si="62"/>
        <v>24</v>
      </c>
      <c r="F8646" s="134" t="s">
        <v>3815</v>
      </c>
      <c r="G8646" s="63" t="str">
        <f>VLOOKUP(C8646, 'Class Def. - General Data'!$C$20:$C$1000,1,false)</f>
        <v>ZSI1_DOM_MEASURE</v>
      </c>
      <c r="H8646" s="63" t="str">
        <f>IFERROR(__xludf.DUMMYFUNCTION("VLOOKUP(F8646, IMPORTRANGE(""https://docs.google.com/spreadsheets/d/1Lhp9OU0JdFf_VYSMzH5lBcEaU4o8teT1piV-SNzShjg/edit?gid=554141278#gid=554141278"", ""'Char Def. - Attributes'!C20:C2242""), 1,false)"),"ALT_NUM_UOM4")</f>
        <v>ALT_NUM_UOM4</v>
      </c>
      <c r="I8646" s="136"/>
      <c r="R8646" s="63" t="str">
        <f t="shared" si="60"/>
        <v>ZSI1_DOM_MEASUREALT_NUM_UOM4</v>
      </c>
    </row>
    <row r="8647" ht="15.75" customHeight="1">
      <c r="B8647" s="63">
        <f t="shared" si="1"/>
        <v>16</v>
      </c>
      <c r="C8647" s="135" t="s">
        <v>382</v>
      </c>
      <c r="D8647" s="161" t="s">
        <v>74</v>
      </c>
      <c r="E8647" s="135">
        <f t="shared" si="62"/>
        <v>25</v>
      </c>
      <c r="F8647" s="134" t="s">
        <v>3816</v>
      </c>
      <c r="G8647" s="63" t="str">
        <f>VLOOKUP(C8647, 'Class Def. - General Data'!$C$20:$C$1000,1,false)</f>
        <v>ZSI1_DOM_MEASURE</v>
      </c>
      <c r="H8647" s="63" t="str">
        <f>IFERROR(__xludf.DUMMYFUNCTION("VLOOKUP(F8647, IMPORTRANGE(""https://docs.google.com/spreadsheets/d/1Lhp9OU0JdFf_VYSMzH5lBcEaU4o8teT1piV-SNzShjg/edit?gid=554141278#gid=554141278"", ""'Char Def. - Attributes'!C20:C2242""), 1,false)"),"ALT_UOM5_SIPI")</f>
        <v>ALT_UOM5_SIPI</v>
      </c>
      <c r="I8647" s="136"/>
      <c r="R8647" s="63" t="str">
        <f t="shared" si="60"/>
        <v>ZSI1_DOM_MEASUREALT_UOM5_SIPI</v>
      </c>
    </row>
    <row r="8648" ht="15.75" customHeight="1">
      <c r="B8648" s="63">
        <f t="shared" si="1"/>
        <v>16</v>
      </c>
      <c r="C8648" s="135" t="s">
        <v>382</v>
      </c>
      <c r="D8648" s="161" t="s">
        <v>74</v>
      </c>
      <c r="E8648" s="135">
        <f t="shared" si="62"/>
        <v>26</v>
      </c>
      <c r="F8648" s="134" t="s">
        <v>3817</v>
      </c>
      <c r="G8648" s="63" t="str">
        <f>VLOOKUP(C8648, 'Class Def. - General Data'!$C$20:$C$1000,1,false)</f>
        <v>ZSI1_DOM_MEASURE</v>
      </c>
      <c r="H8648" s="63" t="str">
        <f>IFERROR(__xludf.DUMMYFUNCTION("VLOOKUP(F8648, IMPORTRANGE(""https://docs.google.com/spreadsheets/d/1Lhp9OU0JdFf_VYSMzH5lBcEaU4o8teT1piV-SNzShjg/edit?gid=554141278#gid=554141278"", ""'Char Def. - Attributes'!C20:C2242""), 1,false)"),"ALT_DENUM_UOM5")</f>
        <v>ALT_DENUM_UOM5</v>
      </c>
      <c r="I8648" s="136"/>
      <c r="R8648" s="63" t="str">
        <f t="shared" si="60"/>
        <v>ZSI1_DOM_MEASUREALT_DENUM_UOM5</v>
      </c>
    </row>
    <row r="8649" ht="15.75" customHeight="1">
      <c r="B8649" s="63">
        <f t="shared" si="1"/>
        <v>16</v>
      </c>
      <c r="C8649" s="135" t="s">
        <v>382</v>
      </c>
      <c r="D8649" s="161" t="s">
        <v>74</v>
      </c>
      <c r="E8649" s="135">
        <f t="shared" si="62"/>
        <v>27</v>
      </c>
      <c r="F8649" s="134" t="s">
        <v>3818</v>
      </c>
      <c r="G8649" s="63" t="str">
        <f>VLOOKUP(C8649, 'Class Def. - General Data'!$C$20:$C$1000,1,false)</f>
        <v>ZSI1_DOM_MEASURE</v>
      </c>
      <c r="H8649" s="63" t="str">
        <f>IFERROR(__xludf.DUMMYFUNCTION("VLOOKUP(F8649, IMPORTRANGE(""https://docs.google.com/spreadsheets/d/1Lhp9OU0JdFf_VYSMzH5lBcEaU4o8teT1piV-SNzShjg/edit?gid=554141278#gid=554141278"", ""'Char Def. - Attributes'!C20:C2242""), 1,false)"),"ALT_NUM_UOM5")</f>
        <v>ALT_NUM_UOM5</v>
      </c>
      <c r="I8649" s="136"/>
      <c r="R8649" s="63" t="str">
        <f t="shared" si="60"/>
        <v>ZSI1_DOM_MEASUREALT_NUM_UOM5</v>
      </c>
    </row>
    <row r="8650" ht="15.75" customHeight="1">
      <c r="B8650" s="63">
        <f t="shared" si="1"/>
        <v>14</v>
      </c>
      <c r="C8650" s="135" t="s">
        <v>514</v>
      </c>
      <c r="D8650" s="161" t="s">
        <v>74</v>
      </c>
      <c r="E8650" s="135">
        <f t="shared" si="62"/>
        <v>1</v>
      </c>
      <c r="F8650" s="134" t="s">
        <v>4398</v>
      </c>
      <c r="G8650" s="63" t="str">
        <f>VLOOKUP(C8650, 'Class Def. - General Data'!$C$20:$C$1000,1,false)</f>
        <v>ZSI1_DOOR_ACCS</v>
      </c>
      <c r="H8650" s="63" t="str">
        <f>IFERROR(__xludf.DUMMYFUNCTION("VLOOKUP(F8650, IMPORTRANGE(""https://docs.google.com/spreadsheets/d/1Lhp9OU0JdFf_VYSMzH5lBcEaU4o8teT1piV-SNzShjg/edit?gid=554141278#gid=554141278"", ""'Char Def. - Attributes'!C20:C2242""), 1,false)"),"ITEM_NAME_DOOR_ACCS")</f>
        <v>ITEM_NAME_DOOR_ACCS</v>
      </c>
      <c r="I8650" s="136"/>
      <c r="R8650" s="63" t="str">
        <f t="shared" si="60"/>
        <v>ZSI1_DOOR_ACCSITEM_NAME_DOOR_ACCS</v>
      </c>
    </row>
    <row r="8651" ht="15.75" customHeight="1">
      <c r="B8651" s="63">
        <f t="shared" si="1"/>
        <v>14</v>
      </c>
      <c r="C8651" s="135" t="s">
        <v>514</v>
      </c>
      <c r="D8651" s="161" t="s">
        <v>74</v>
      </c>
      <c r="E8651" s="135">
        <f t="shared" si="62"/>
        <v>2</v>
      </c>
      <c r="F8651" s="134" t="s">
        <v>4399</v>
      </c>
      <c r="G8651" s="63" t="str">
        <f>VLOOKUP(C8651, 'Class Def. - General Data'!$C$20:$C$1000,1,false)</f>
        <v>ZSI1_DOOR_ACCS</v>
      </c>
      <c r="H8651" s="63" t="str">
        <f>IFERROR(__xludf.DUMMYFUNCTION("VLOOKUP(F8651, IMPORTRANGE(""https://docs.google.com/spreadsheets/d/1Lhp9OU0JdFf_VYSMzH5lBcEaU4o8teT1piV-SNzShjg/edit?gid=554141278#gid=554141278"", ""'Char Def. - Attributes'!C20:C2242""), 1,false)"),"#N/A")</f>
        <v>#N/A</v>
      </c>
      <c r="I8651" s="136"/>
      <c r="R8651" s="63" t="str">
        <f t="shared" si="60"/>
        <v>ZSI1_DOOR_ACCSTYPE_DOOR_ACCS</v>
      </c>
    </row>
    <row r="8652" ht="15.75" customHeight="1">
      <c r="B8652" s="63">
        <f t="shared" si="1"/>
        <v>14</v>
      </c>
      <c r="C8652" s="135" t="s">
        <v>514</v>
      </c>
      <c r="D8652" s="161" t="s">
        <v>74</v>
      </c>
      <c r="E8652" s="135">
        <f t="shared" si="62"/>
        <v>3</v>
      </c>
      <c r="F8652" s="134" t="s">
        <v>3781</v>
      </c>
      <c r="G8652" s="63" t="str">
        <f>VLOOKUP(C8652, 'Class Def. - General Data'!$C$20:$C$1000,1,false)</f>
        <v>ZSI1_DOOR_ACCS</v>
      </c>
      <c r="H8652" s="63" t="str">
        <f>IFERROR(__xludf.DUMMYFUNCTION("VLOOKUP(F8652, IMPORTRANGE(""https://docs.google.com/spreadsheets/d/1Lhp9OU0JdFf_VYSMzH5lBcEaU4o8teT1piV-SNzShjg/edit?gid=554141278#gid=554141278"", ""'Char Def. - Attributes'!C20:C2242""), 1,false)"),"EXTERNAL_BRAND")</f>
        <v>EXTERNAL_BRAND</v>
      </c>
      <c r="I8652" s="136"/>
      <c r="R8652" s="63" t="str">
        <f t="shared" si="60"/>
        <v>ZSI1_DOOR_ACCSEXTERNAL_BRAND</v>
      </c>
    </row>
    <row r="8653" ht="15.75" customHeight="1">
      <c r="B8653" s="63">
        <f t="shared" si="1"/>
        <v>14</v>
      </c>
      <c r="C8653" s="135" t="s">
        <v>514</v>
      </c>
      <c r="D8653" s="161" t="s">
        <v>74</v>
      </c>
      <c r="E8653" s="135">
        <f t="shared" si="62"/>
        <v>4</v>
      </c>
      <c r="F8653" s="134" t="s">
        <v>4400</v>
      </c>
      <c r="G8653" s="63" t="str">
        <f>VLOOKUP(C8653, 'Class Def. - General Data'!$C$20:$C$1000,1,false)</f>
        <v>ZSI1_DOOR_ACCS</v>
      </c>
      <c r="H8653" s="63" t="str">
        <f>IFERROR(__xludf.DUMMYFUNCTION("VLOOKUP(F8653, IMPORTRANGE(""https://docs.google.com/spreadsheets/d/1Lhp9OU0JdFf_VYSMzH5lBcEaU4o8teT1piV-SNzShjg/edit?gid=554141278#gid=554141278"", ""'Char Def. - Attributes'!C20:C2242""), 1,false)"),"MFR_NO_DOOR_ACCS")</f>
        <v>MFR_NO_DOOR_ACCS</v>
      </c>
      <c r="I8653" s="136"/>
      <c r="R8653" s="63" t="str">
        <f t="shared" si="60"/>
        <v>ZSI1_DOOR_ACCSMFR_NO_DOOR_ACCS</v>
      </c>
    </row>
    <row r="8654" ht="15.75" customHeight="1">
      <c r="B8654" s="63">
        <f t="shared" si="1"/>
        <v>14</v>
      </c>
      <c r="C8654" s="135" t="s">
        <v>514</v>
      </c>
      <c r="D8654" s="161" t="s">
        <v>74</v>
      </c>
      <c r="E8654" s="135">
        <f t="shared" si="62"/>
        <v>5</v>
      </c>
      <c r="F8654" s="134" t="s">
        <v>3782</v>
      </c>
      <c r="G8654" s="63" t="str">
        <f>VLOOKUP(C8654, 'Class Def. - General Data'!$C$20:$C$1000,1,false)</f>
        <v>ZSI1_DOOR_ACCS</v>
      </c>
      <c r="H8654" s="63" t="str">
        <f>IFERROR(__xludf.DUMMYFUNCTION("VLOOKUP(F8654, IMPORTRANGE(""https://docs.google.com/spreadsheets/d/1Lhp9OU0JdFf_VYSMzH5lBcEaU4o8teT1piV-SNzShjg/edit?gid=554141278#gid=554141278"", ""'Char Def. - Attributes'!C20:C2242""), 1,false)"),"BRAND_EXTERNAL")</f>
        <v>BRAND_EXTERNAL</v>
      </c>
      <c r="I8654" s="136"/>
      <c r="R8654" s="63" t="str">
        <f t="shared" si="60"/>
        <v>ZSI1_DOOR_ACCSBRAND_EXTERNAL</v>
      </c>
    </row>
    <row r="8655" ht="15.75" customHeight="1">
      <c r="B8655" s="63">
        <f t="shared" si="1"/>
        <v>14</v>
      </c>
      <c r="C8655" s="135" t="s">
        <v>514</v>
      </c>
      <c r="D8655" s="161" t="s">
        <v>74</v>
      </c>
      <c r="E8655" s="135">
        <f t="shared" si="62"/>
        <v>6</v>
      </c>
      <c r="F8655" s="134" t="s">
        <v>4062</v>
      </c>
      <c r="G8655" s="63" t="str">
        <f>VLOOKUP(C8655, 'Class Def. - General Data'!$C$20:$C$1000,1,false)</f>
        <v>ZSI1_DOOR_ACCS</v>
      </c>
      <c r="H8655" s="63" t="str">
        <f>IFERROR(__xludf.DUMMYFUNCTION("VLOOKUP(F8655, IMPORTRANGE(""https://docs.google.com/spreadsheets/d/1Lhp9OU0JdFf_VYSMzH5lBcEaU4o8teT1piV-SNzShjg/edit?gid=554141278#gid=554141278"", ""'Char Def. - Attributes'!C20:C2242""), 1,false)"),"#N/A")</f>
        <v>#N/A</v>
      </c>
      <c r="I8655" s="136"/>
      <c r="R8655" s="63" t="str">
        <f t="shared" si="60"/>
        <v>ZSI1_DOOR_ACCSADDTIONAL_SPECIFICATION</v>
      </c>
    </row>
    <row r="8656" ht="15.75" customHeight="1">
      <c r="B8656" s="63">
        <f t="shared" si="1"/>
        <v>14</v>
      </c>
      <c r="C8656" s="135" t="s">
        <v>514</v>
      </c>
      <c r="D8656" s="161" t="s">
        <v>74</v>
      </c>
      <c r="E8656" s="135">
        <f t="shared" si="62"/>
        <v>7</v>
      </c>
      <c r="F8656" s="134" t="s">
        <v>3585</v>
      </c>
      <c r="G8656" s="63" t="str">
        <f>VLOOKUP(C8656, 'Class Def. - General Data'!$C$20:$C$1000,1,false)</f>
        <v>ZSI1_DOOR_ACCS</v>
      </c>
      <c r="H8656" s="63" t="str">
        <f>IFERROR(__xludf.DUMMYFUNCTION("VLOOKUP(F8656, IMPORTRANGE(""https://docs.google.com/spreadsheets/d/1Lhp9OU0JdFf_VYSMzH5lBcEaU4o8teT1piV-SNzShjg/edit?gid=554141278#gid=554141278"", ""'Char Def. - Attributes'!C20:C2242""), 1,false)"),"HS_CODE")</f>
        <v>HS_CODE</v>
      </c>
      <c r="I8656" s="136"/>
      <c r="R8656" s="63" t="str">
        <f t="shared" si="60"/>
        <v>ZSI1_DOOR_ACCSHS_CODE</v>
      </c>
    </row>
    <row r="8657" ht="15.75" customHeight="1">
      <c r="B8657" s="63">
        <f t="shared" si="1"/>
        <v>14</v>
      </c>
      <c r="C8657" s="135" t="s">
        <v>514</v>
      </c>
      <c r="D8657" s="161" t="s">
        <v>74</v>
      </c>
      <c r="E8657" s="135">
        <f t="shared" si="62"/>
        <v>8</v>
      </c>
      <c r="F8657" s="134" t="s">
        <v>3587</v>
      </c>
      <c r="G8657" s="63" t="str">
        <f>VLOOKUP(C8657, 'Class Def. - General Data'!$C$20:$C$1000,1,false)</f>
        <v>ZSI1_DOOR_ACCS</v>
      </c>
      <c r="H8657" s="63" t="str">
        <f>IFERROR(__xludf.DUMMYFUNCTION("VLOOKUP(F8657, IMPORTRANGE(""https://docs.google.com/spreadsheets/d/1Lhp9OU0JdFf_VYSMzH5lBcEaU4o8teT1piV-SNzShjg/edit?gid=554141278#gid=554141278"", ""'Char Def. - Attributes'!C20:C2242""), 1,false)"),"PLANT_BUY")</f>
        <v>PLANT_BUY</v>
      </c>
      <c r="I8657" s="136"/>
      <c r="R8657" s="63" t="str">
        <f t="shared" si="60"/>
        <v>ZSI1_DOOR_ACCSPLANT_BUY</v>
      </c>
    </row>
    <row r="8658" ht="15.75" customHeight="1">
      <c r="B8658" s="63">
        <f t="shared" si="1"/>
        <v>14</v>
      </c>
      <c r="C8658" s="135" t="s">
        <v>514</v>
      </c>
      <c r="D8658" s="161" t="s">
        <v>74</v>
      </c>
      <c r="E8658" s="135">
        <f t="shared" si="62"/>
        <v>9</v>
      </c>
      <c r="F8658" s="134" t="s">
        <v>4401</v>
      </c>
      <c r="G8658" s="63" t="str">
        <f>VLOOKUP(C8658, 'Class Def. - General Data'!$C$20:$C$1000,1,false)</f>
        <v>ZSI1_DOOR_ACCS</v>
      </c>
      <c r="H8658" s="63" t="str">
        <f>IFERROR(__xludf.DUMMYFUNCTION("VLOOKUP(F8658, IMPORTRANGE(""https://docs.google.com/spreadsheets/d/1Lhp9OU0JdFf_VYSMzH5lBcEaU4o8teT1piV-SNzShjg/edit?gid=554141278#gid=554141278"", ""'Char Def. - Attributes'!C20:C2242""), 1,false)"),"BASE_UOM_DOOR_ACCS")</f>
        <v>BASE_UOM_DOOR_ACCS</v>
      </c>
      <c r="I8658" s="136"/>
      <c r="R8658" s="63" t="str">
        <f t="shared" si="60"/>
        <v>ZSI1_DOOR_ACCSBASE_UOM_DOOR_ACCS</v>
      </c>
    </row>
    <row r="8659" ht="15.75" customHeight="1">
      <c r="B8659" s="63">
        <f t="shared" si="1"/>
        <v>14</v>
      </c>
      <c r="C8659" s="135" t="s">
        <v>514</v>
      </c>
      <c r="D8659" s="161" t="s">
        <v>74</v>
      </c>
      <c r="E8659" s="135">
        <f t="shared" si="62"/>
        <v>10</v>
      </c>
      <c r="F8659" s="134" t="s">
        <v>4402</v>
      </c>
      <c r="G8659" s="63" t="str">
        <f>VLOOKUP(C8659, 'Class Def. - General Data'!$C$20:$C$1000,1,false)</f>
        <v>ZSI1_DOOR_ACCS</v>
      </c>
      <c r="H8659" s="63" t="str">
        <f>IFERROR(__xludf.DUMMYFUNCTION("VLOOKUP(F8659, IMPORTRANGE(""https://docs.google.com/spreadsheets/d/1Lhp9OU0JdFf_VYSMzH5lBcEaU4o8teT1piV-SNzShjg/edit?gid=554141278#gid=554141278"", ""'Char Def. - Attributes'!C20:C2242""), 1,false)"),"ORDER_UNIT_DOOR_ACCS")</f>
        <v>ORDER_UNIT_DOOR_ACCS</v>
      </c>
      <c r="I8659" s="136"/>
      <c r="R8659" s="63" t="str">
        <f t="shared" si="60"/>
        <v>ZSI1_DOOR_ACCSORDER_UNIT_DOOR_ACCS</v>
      </c>
    </row>
    <row r="8660" ht="15.75" customHeight="1">
      <c r="B8660" s="63">
        <f t="shared" si="1"/>
        <v>14</v>
      </c>
      <c r="C8660" s="135" t="s">
        <v>514</v>
      </c>
      <c r="D8660" s="161" t="s">
        <v>74</v>
      </c>
      <c r="E8660" s="135">
        <f t="shared" si="62"/>
        <v>11</v>
      </c>
      <c r="F8660" s="134" t="s">
        <v>4056</v>
      </c>
      <c r="G8660" s="63" t="str">
        <f>VLOOKUP(C8660, 'Class Def. - General Data'!$C$20:$C$1000,1,false)</f>
        <v>ZSI1_DOOR_ACCS</v>
      </c>
      <c r="H8660" s="63" t="str">
        <f>IFERROR(__xludf.DUMMYFUNCTION("VLOOKUP(F8660, IMPORTRANGE(""https://docs.google.com/spreadsheets/d/1Lhp9OU0JdFf_VYSMzH5lBcEaU4o8teT1piV-SNzShjg/edit?gid=554141278#gid=554141278"", ""'Char Def. - Attributes'!C20:C2242""), 1,false)"),"GROSS_WEIGHT_OPT")</f>
        <v>GROSS_WEIGHT_OPT</v>
      </c>
      <c r="I8660" s="136"/>
      <c r="R8660" s="63" t="str">
        <f t="shared" si="60"/>
        <v>ZSI1_DOOR_ACCSGROSS_WEIGHT_OPT</v>
      </c>
    </row>
    <row r="8661" ht="15.75" customHeight="1">
      <c r="B8661" s="63">
        <f t="shared" si="1"/>
        <v>14</v>
      </c>
      <c r="C8661" s="135" t="s">
        <v>514</v>
      </c>
      <c r="D8661" s="161" t="s">
        <v>74</v>
      </c>
      <c r="E8661" s="135">
        <f t="shared" si="62"/>
        <v>12</v>
      </c>
      <c r="F8661" s="134" t="s">
        <v>4057</v>
      </c>
      <c r="G8661" s="63" t="str">
        <f>VLOOKUP(C8661, 'Class Def. - General Data'!$C$20:$C$1000,1,false)</f>
        <v>ZSI1_DOOR_ACCS</v>
      </c>
      <c r="H8661" s="63" t="str">
        <f>IFERROR(__xludf.DUMMYFUNCTION("VLOOKUP(F8661, IMPORTRANGE(""https://docs.google.com/spreadsheets/d/1Lhp9OU0JdFf_VYSMzH5lBcEaU4o8teT1piV-SNzShjg/edit?gid=554141278#gid=554141278"", ""'Char Def. - Attributes'!C20:C2242""), 1,false)"),"NET_WEIGHT_OPT")</f>
        <v>NET_WEIGHT_OPT</v>
      </c>
      <c r="I8661" s="136"/>
      <c r="R8661" s="63" t="str">
        <f t="shared" si="60"/>
        <v>ZSI1_DOOR_ACCSNET_WEIGHT_OPT</v>
      </c>
    </row>
    <row r="8662" ht="15.75" customHeight="1">
      <c r="B8662" s="63">
        <f t="shared" si="1"/>
        <v>14</v>
      </c>
      <c r="C8662" s="135" t="s">
        <v>514</v>
      </c>
      <c r="D8662" s="161" t="s">
        <v>74</v>
      </c>
      <c r="E8662" s="135">
        <f t="shared" si="62"/>
        <v>13</v>
      </c>
      <c r="F8662" s="134" t="s">
        <v>4058</v>
      </c>
      <c r="G8662" s="63" t="str">
        <f>VLOOKUP(C8662, 'Class Def. - General Data'!$C$20:$C$1000,1,false)</f>
        <v>ZSI1_DOOR_ACCS</v>
      </c>
      <c r="H8662" s="63" t="str">
        <f>IFERROR(__xludf.DUMMYFUNCTION("VLOOKUP(F8662, IMPORTRANGE(""https://docs.google.com/spreadsheets/d/1Lhp9OU0JdFf_VYSMzH5lBcEaU4o8teT1piV-SNzShjg/edit?gid=554141278#gid=554141278"", ""'Char Def. - Attributes'!C20:C2242""), 1,false)"),"WEIGHT_UNIT_SI")</f>
        <v>WEIGHT_UNIT_SI</v>
      </c>
      <c r="I8662" s="136"/>
      <c r="R8662" s="63" t="str">
        <f t="shared" si="60"/>
        <v>ZSI1_DOOR_ACCSWEIGHT_UNIT_SI</v>
      </c>
    </row>
    <row r="8663" ht="15.75" customHeight="1">
      <c r="B8663" s="63">
        <f t="shared" si="1"/>
        <v>14</v>
      </c>
      <c r="C8663" s="135" t="s">
        <v>514</v>
      </c>
      <c r="D8663" s="161" t="s">
        <v>74</v>
      </c>
      <c r="E8663" s="135">
        <f t="shared" si="62"/>
        <v>14</v>
      </c>
      <c r="F8663" s="134" t="s">
        <v>3877</v>
      </c>
      <c r="G8663" s="63" t="str">
        <f>VLOOKUP(C8663, 'Class Def. - General Data'!$C$20:$C$1000,1,false)</f>
        <v>ZSI1_DOOR_ACCS</v>
      </c>
      <c r="H8663" s="63" t="str">
        <f>IFERROR(__xludf.DUMMYFUNCTION("VLOOKUP(F8663, IMPORTRANGE(""https://docs.google.com/spreadsheets/d/1Lhp9OU0JdFf_VYSMzH5lBcEaU4o8teT1piV-SNzShjg/edit?gid=554141278#gid=554141278"", ""'Char Def. - Attributes'!C20:C2242""), 1,false)"),"VOLUME_OPT")</f>
        <v>VOLUME_OPT</v>
      </c>
      <c r="I8663" s="136"/>
      <c r="R8663" s="63" t="str">
        <f t="shared" si="60"/>
        <v>ZSI1_DOOR_ACCSVOLUME_OPT</v>
      </c>
    </row>
    <row r="8664" ht="15.75" customHeight="1">
      <c r="B8664" s="63">
        <f t="shared" si="1"/>
        <v>14</v>
      </c>
      <c r="C8664" s="135" t="s">
        <v>514</v>
      </c>
      <c r="D8664" s="161" t="s">
        <v>74</v>
      </c>
      <c r="E8664" s="135">
        <f t="shared" si="62"/>
        <v>15</v>
      </c>
      <c r="F8664" s="134" t="s">
        <v>4059</v>
      </c>
      <c r="G8664" s="63" t="str">
        <f>VLOOKUP(C8664, 'Class Def. - General Data'!$C$20:$C$1000,1,false)</f>
        <v>ZSI1_DOOR_ACCS</v>
      </c>
      <c r="H8664" s="63" t="str">
        <f>IFERROR(__xludf.DUMMYFUNCTION("VLOOKUP(F8664, IMPORTRANGE(""https://docs.google.com/spreadsheets/d/1Lhp9OU0JdFf_VYSMzH5lBcEaU4o8teT1piV-SNzShjg/edit?gid=554141278#gid=554141278"", ""'Char Def. - Attributes'!C20:C2242""), 1,false)"),"VOLUME_UNIT_SI")</f>
        <v>VOLUME_UNIT_SI</v>
      </c>
      <c r="I8664" s="136"/>
      <c r="R8664" s="63" t="str">
        <f t="shared" si="60"/>
        <v>ZSI1_DOOR_ACCSVOLUME_UNIT_SI</v>
      </c>
    </row>
    <row r="8665" ht="15.75" customHeight="1">
      <c r="B8665" s="63">
        <f t="shared" si="1"/>
        <v>14</v>
      </c>
      <c r="C8665" s="135" t="s">
        <v>514</v>
      </c>
      <c r="D8665" s="161" t="s">
        <v>74</v>
      </c>
      <c r="E8665" s="135">
        <f t="shared" si="62"/>
        <v>16</v>
      </c>
      <c r="F8665" s="134" t="s">
        <v>3804</v>
      </c>
      <c r="G8665" s="63" t="str">
        <f>VLOOKUP(C8665, 'Class Def. - General Data'!$C$20:$C$1000,1,false)</f>
        <v>ZSI1_DOOR_ACCS</v>
      </c>
      <c r="H8665" s="63" t="str">
        <f>IFERROR(__xludf.DUMMYFUNCTION("VLOOKUP(F8665, IMPORTRANGE(""https://docs.google.com/spreadsheets/d/1Lhp9OU0JdFf_VYSMzH5lBcEaU4o8teT1piV-SNzShjg/edit?gid=554141278#gid=554141278"", ""'Char Def. - Attributes'!C20:C2242""), 1,false)"),"ALT_UOM1_SIPI")</f>
        <v>ALT_UOM1_SIPI</v>
      </c>
      <c r="I8665" s="136"/>
      <c r="R8665" s="63" t="str">
        <f t="shared" si="60"/>
        <v>ZSI1_DOOR_ACCSALT_UOM1_SIPI</v>
      </c>
    </row>
    <row r="8666" ht="15.75" customHeight="1">
      <c r="B8666" s="63">
        <f t="shared" si="1"/>
        <v>14</v>
      </c>
      <c r="C8666" s="135" t="s">
        <v>514</v>
      </c>
      <c r="D8666" s="161" t="s">
        <v>74</v>
      </c>
      <c r="E8666" s="135">
        <f t="shared" si="62"/>
        <v>17</v>
      </c>
      <c r="F8666" s="134" t="s">
        <v>3805</v>
      </c>
      <c r="G8666" s="63" t="str">
        <f>VLOOKUP(C8666, 'Class Def. - General Data'!$C$20:$C$1000,1,false)</f>
        <v>ZSI1_DOOR_ACCS</v>
      </c>
      <c r="H8666" s="63" t="str">
        <f>IFERROR(__xludf.DUMMYFUNCTION("VLOOKUP(F8666, IMPORTRANGE(""https://docs.google.com/spreadsheets/d/1Lhp9OU0JdFf_VYSMzH5lBcEaU4o8teT1piV-SNzShjg/edit?gid=554141278#gid=554141278"", ""'Char Def. - Attributes'!C20:C2242""), 1,false)"),"ALT_DENUM_UOM1")</f>
        <v>ALT_DENUM_UOM1</v>
      </c>
      <c r="I8666" s="136"/>
      <c r="R8666" s="63" t="str">
        <f t="shared" si="60"/>
        <v>ZSI1_DOOR_ACCSALT_DENUM_UOM1</v>
      </c>
    </row>
    <row r="8667" ht="15.75" customHeight="1">
      <c r="B8667" s="63">
        <f t="shared" si="1"/>
        <v>14</v>
      </c>
      <c r="C8667" s="135" t="s">
        <v>514</v>
      </c>
      <c r="D8667" s="161" t="s">
        <v>74</v>
      </c>
      <c r="E8667" s="135">
        <f t="shared" si="62"/>
        <v>18</v>
      </c>
      <c r="F8667" s="134" t="s">
        <v>3806</v>
      </c>
      <c r="G8667" s="63" t="str">
        <f>VLOOKUP(C8667, 'Class Def. - General Data'!$C$20:$C$1000,1,false)</f>
        <v>ZSI1_DOOR_ACCS</v>
      </c>
      <c r="H8667" s="63" t="str">
        <f>IFERROR(__xludf.DUMMYFUNCTION("VLOOKUP(F8667, IMPORTRANGE(""https://docs.google.com/spreadsheets/d/1Lhp9OU0JdFf_VYSMzH5lBcEaU4o8teT1piV-SNzShjg/edit?gid=554141278#gid=554141278"", ""'Char Def. - Attributes'!C20:C2242""), 1,false)"),"ALT_NUM_UOM1")</f>
        <v>ALT_NUM_UOM1</v>
      </c>
      <c r="I8667" s="136"/>
      <c r="R8667" s="63" t="str">
        <f t="shared" si="60"/>
        <v>ZSI1_DOOR_ACCSALT_NUM_UOM1</v>
      </c>
    </row>
    <row r="8668" ht="15.75" customHeight="1">
      <c r="B8668" s="63">
        <f t="shared" si="1"/>
        <v>14</v>
      </c>
      <c r="C8668" s="135" t="s">
        <v>514</v>
      </c>
      <c r="D8668" s="161" t="s">
        <v>74</v>
      </c>
      <c r="E8668" s="135">
        <f t="shared" si="62"/>
        <v>19</v>
      </c>
      <c r="F8668" s="134" t="s">
        <v>3807</v>
      </c>
      <c r="G8668" s="63" t="str">
        <f>VLOOKUP(C8668, 'Class Def. - General Data'!$C$20:$C$1000,1,false)</f>
        <v>ZSI1_DOOR_ACCS</v>
      </c>
      <c r="H8668" s="63" t="str">
        <f>IFERROR(__xludf.DUMMYFUNCTION("VLOOKUP(F8668, IMPORTRANGE(""https://docs.google.com/spreadsheets/d/1Lhp9OU0JdFf_VYSMzH5lBcEaU4o8teT1piV-SNzShjg/edit?gid=554141278#gid=554141278"", ""'Char Def. - Attributes'!C20:C2242""), 1,false)"),"ALT_UOM2_SIPI")</f>
        <v>ALT_UOM2_SIPI</v>
      </c>
      <c r="I8668" s="136"/>
      <c r="R8668" s="63" t="str">
        <f t="shared" si="60"/>
        <v>ZSI1_DOOR_ACCSALT_UOM2_SIPI</v>
      </c>
    </row>
    <row r="8669" ht="15.75" customHeight="1">
      <c r="B8669" s="63">
        <f t="shared" si="1"/>
        <v>14</v>
      </c>
      <c r="C8669" s="135" t="s">
        <v>514</v>
      </c>
      <c r="D8669" s="161" t="s">
        <v>74</v>
      </c>
      <c r="E8669" s="135">
        <f t="shared" si="62"/>
        <v>20</v>
      </c>
      <c r="F8669" s="134" t="s">
        <v>3808</v>
      </c>
      <c r="G8669" s="63" t="str">
        <f>VLOOKUP(C8669, 'Class Def. - General Data'!$C$20:$C$1000,1,false)</f>
        <v>ZSI1_DOOR_ACCS</v>
      </c>
      <c r="H8669" s="63" t="str">
        <f>IFERROR(__xludf.DUMMYFUNCTION("VLOOKUP(F8669, IMPORTRANGE(""https://docs.google.com/spreadsheets/d/1Lhp9OU0JdFf_VYSMzH5lBcEaU4o8teT1piV-SNzShjg/edit?gid=554141278#gid=554141278"", ""'Char Def. - Attributes'!C20:C2242""), 1,false)"),"ALT_DENUM_UOM2")</f>
        <v>ALT_DENUM_UOM2</v>
      </c>
      <c r="I8669" s="136"/>
      <c r="R8669" s="63" t="str">
        <f t="shared" si="60"/>
        <v>ZSI1_DOOR_ACCSALT_DENUM_UOM2</v>
      </c>
    </row>
    <row r="8670" ht="15.75" customHeight="1">
      <c r="B8670" s="63">
        <f t="shared" si="1"/>
        <v>14</v>
      </c>
      <c r="C8670" s="135" t="s">
        <v>514</v>
      </c>
      <c r="D8670" s="161" t="s">
        <v>74</v>
      </c>
      <c r="E8670" s="135">
        <f t="shared" si="62"/>
        <v>21</v>
      </c>
      <c r="F8670" s="134" t="s">
        <v>3809</v>
      </c>
      <c r="G8670" s="63" t="str">
        <f>VLOOKUP(C8670, 'Class Def. - General Data'!$C$20:$C$1000,1,false)</f>
        <v>ZSI1_DOOR_ACCS</v>
      </c>
      <c r="H8670" s="63" t="str">
        <f>IFERROR(__xludf.DUMMYFUNCTION("VLOOKUP(F8670, IMPORTRANGE(""https://docs.google.com/spreadsheets/d/1Lhp9OU0JdFf_VYSMzH5lBcEaU4o8teT1piV-SNzShjg/edit?gid=554141278#gid=554141278"", ""'Char Def. - Attributes'!C20:C2242""), 1,false)"),"ALT_NUM_UOM2")</f>
        <v>ALT_NUM_UOM2</v>
      </c>
      <c r="I8670" s="136"/>
      <c r="R8670" s="63" t="str">
        <f t="shared" si="60"/>
        <v>ZSI1_DOOR_ACCSALT_NUM_UOM2</v>
      </c>
    </row>
    <row r="8671" ht="15.75" customHeight="1">
      <c r="B8671" s="63">
        <f t="shared" si="1"/>
        <v>14</v>
      </c>
      <c r="C8671" s="135" t="s">
        <v>514</v>
      </c>
      <c r="D8671" s="161" t="s">
        <v>74</v>
      </c>
      <c r="E8671" s="135">
        <f t="shared" si="62"/>
        <v>22</v>
      </c>
      <c r="F8671" s="134" t="s">
        <v>3810</v>
      </c>
      <c r="G8671" s="63" t="str">
        <f>VLOOKUP(C8671, 'Class Def. - General Data'!$C$20:$C$1000,1,false)</f>
        <v>ZSI1_DOOR_ACCS</v>
      </c>
      <c r="H8671" s="63" t="str">
        <f>IFERROR(__xludf.DUMMYFUNCTION("VLOOKUP(F8671, IMPORTRANGE(""https://docs.google.com/spreadsheets/d/1Lhp9OU0JdFf_VYSMzH5lBcEaU4o8teT1piV-SNzShjg/edit?gid=554141278#gid=554141278"", ""'Char Def. - Attributes'!C20:C2242""), 1,false)"),"ALT_UOM3_SIPI")</f>
        <v>ALT_UOM3_SIPI</v>
      </c>
      <c r="I8671" s="136"/>
      <c r="R8671" s="63" t="str">
        <f t="shared" si="60"/>
        <v>ZSI1_DOOR_ACCSALT_UOM3_SIPI</v>
      </c>
    </row>
    <row r="8672" ht="15.75" customHeight="1">
      <c r="B8672" s="63">
        <f t="shared" si="1"/>
        <v>14</v>
      </c>
      <c r="C8672" s="135" t="s">
        <v>514</v>
      </c>
      <c r="D8672" s="161" t="s">
        <v>74</v>
      </c>
      <c r="E8672" s="135">
        <f t="shared" si="62"/>
        <v>23</v>
      </c>
      <c r="F8672" s="134" t="s">
        <v>3811</v>
      </c>
      <c r="G8672" s="63" t="str">
        <f>VLOOKUP(C8672, 'Class Def. - General Data'!$C$20:$C$1000,1,false)</f>
        <v>ZSI1_DOOR_ACCS</v>
      </c>
      <c r="H8672" s="63" t="str">
        <f>IFERROR(__xludf.DUMMYFUNCTION("VLOOKUP(F8672, IMPORTRANGE(""https://docs.google.com/spreadsheets/d/1Lhp9OU0JdFf_VYSMzH5lBcEaU4o8teT1piV-SNzShjg/edit?gid=554141278#gid=554141278"", ""'Char Def. - Attributes'!C20:C2242""), 1,false)"),"ALT_DENUM_UOM3")</f>
        <v>ALT_DENUM_UOM3</v>
      </c>
      <c r="I8672" s="136"/>
      <c r="R8672" s="63" t="str">
        <f t="shared" si="60"/>
        <v>ZSI1_DOOR_ACCSALT_DENUM_UOM3</v>
      </c>
    </row>
    <row r="8673" ht="15.75" customHeight="1">
      <c r="B8673" s="63">
        <f t="shared" si="1"/>
        <v>14</v>
      </c>
      <c r="C8673" s="135" t="s">
        <v>514</v>
      </c>
      <c r="D8673" s="161" t="s">
        <v>74</v>
      </c>
      <c r="E8673" s="135">
        <f t="shared" si="62"/>
        <v>24</v>
      </c>
      <c r="F8673" s="134" t="s">
        <v>3812</v>
      </c>
      <c r="G8673" s="63" t="str">
        <f>VLOOKUP(C8673, 'Class Def. - General Data'!$C$20:$C$1000,1,false)</f>
        <v>ZSI1_DOOR_ACCS</v>
      </c>
      <c r="H8673" s="63" t="str">
        <f>IFERROR(__xludf.DUMMYFUNCTION("VLOOKUP(F8673, IMPORTRANGE(""https://docs.google.com/spreadsheets/d/1Lhp9OU0JdFf_VYSMzH5lBcEaU4o8teT1piV-SNzShjg/edit?gid=554141278#gid=554141278"", ""'Char Def. - Attributes'!C20:C2242""), 1,false)"),"ALT_NUM_UOM3")</f>
        <v>ALT_NUM_UOM3</v>
      </c>
      <c r="I8673" s="136"/>
      <c r="R8673" s="63" t="str">
        <f t="shared" si="60"/>
        <v>ZSI1_DOOR_ACCSALT_NUM_UOM3</v>
      </c>
    </row>
    <row r="8674" ht="15.75" customHeight="1">
      <c r="B8674" s="63">
        <f t="shared" si="1"/>
        <v>14</v>
      </c>
      <c r="C8674" s="135" t="s">
        <v>514</v>
      </c>
      <c r="D8674" s="161" t="s">
        <v>74</v>
      </c>
      <c r="E8674" s="135">
        <f t="shared" si="62"/>
        <v>25</v>
      </c>
      <c r="F8674" s="134" t="s">
        <v>3813</v>
      </c>
      <c r="G8674" s="63" t="str">
        <f>VLOOKUP(C8674, 'Class Def. - General Data'!$C$20:$C$1000,1,false)</f>
        <v>ZSI1_DOOR_ACCS</v>
      </c>
      <c r="H8674" s="63" t="str">
        <f>IFERROR(__xludf.DUMMYFUNCTION("VLOOKUP(F8674, IMPORTRANGE(""https://docs.google.com/spreadsheets/d/1Lhp9OU0JdFf_VYSMzH5lBcEaU4o8teT1piV-SNzShjg/edit?gid=554141278#gid=554141278"", ""'Char Def. - Attributes'!C20:C2242""), 1,false)"),"ALT_UOM4_SIPI")</f>
        <v>ALT_UOM4_SIPI</v>
      </c>
      <c r="I8674" s="136"/>
      <c r="R8674" s="63" t="str">
        <f t="shared" si="60"/>
        <v>ZSI1_DOOR_ACCSALT_UOM4_SIPI</v>
      </c>
    </row>
    <row r="8675" ht="15.75" customHeight="1">
      <c r="B8675" s="63">
        <f t="shared" si="1"/>
        <v>14</v>
      </c>
      <c r="C8675" s="135" t="s">
        <v>514</v>
      </c>
      <c r="D8675" s="161" t="s">
        <v>74</v>
      </c>
      <c r="E8675" s="135">
        <f t="shared" si="62"/>
        <v>26</v>
      </c>
      <c r="F8675" s="134" t="s">
        <v>3814</v>
      </c>
      <c r="G8675" s="63" t="str">
        <f>VLOOKUP(C8675, 'Class Def. - General Data'!$C$20:$C$1000,1,false)</f>
        <v>ZSI1_DOOR_ACCS</v>
      </c>
      <c r="H8675" s="63" t="str">
        <f>IFERROR(__xludf.DUMMYFUNCTION("VLOOKUP(F8675, IMPORTRANGE(""https://docs.google.com/spreadsheets/d/1Lhp9OU0JdFf_VYSMzH5lBcEaU4o8teT1piV-SNzShjg/edit?gid=554141278#gid=554141278"", ""'Char Def. - Attributes'!C20:C2242""), 1,false)"),"ALT_DENUM_UOM4")</f>
        <v>ALT_DENUM_UOM4</v>
      </c>
      <c r="I8675" s="136"/>
      <c r="R8675" s="63" t="str">
        <f t="shared" si="60"/>
        <v>ZSI1_DOOR_ACCSALT_DENUM_UOM4</v>
      </c>
    </row>
    <row r="8676" ht="15.75" customHeight="1">
      <c r="B8676" s="63">
        <f t="shared" si="1"/>
        <v>14</v>
      </c>
      <c r="C8676" s="135" t="s">
        <v>514</v>
      </c>
      <c r="D8676" s="161" t="s">
        <v>74</v>
      </c>
      <c r="E8676" s="135">
        <f t="shared" si="62"/>
        <v>27</v>
      </c>
      <c r="F8676" s="134" t="s">
        <v>3815</v>
      </c>
      <c r="G8676" s="63" t="str">
        <f>VLOOKUP(C8676, 'Class Def. - General Data'!$C$20:$C$1000,1,false)</f>
        <v>ZSI1_DOOR_ACCS</v>
      </c>
      <c r="H8676" s="63" t="str">
        <f>IFERROR(__xludf.DUMMYFUNCTION("VLOOKUP(F8676, IMPORTRANGE(""https://docs.google.com/spreadsheets/d/1Lhp9OU0JdFf_VYSMzH5lBcEaU4o8teT1piV-SNzShjg/edit?gid=554141278#gid=554141278"", ""'Char Def. - Attributes'!C20:C2242""), 1,false)"),"ALT_NUM_UOM4")</f>
        <v>ALT_NUM_UOM4</v>
      </c>
      <c r="I8676" s="136"/>
      <c r="R8676" s="63" t="str">
        <f t="shared" si="60"/>
        <v>ZSI1_DOOR_ACCSALT_NUM_UOM4</v>
      </c>
    </row>
    <row r="8677" ht="15.75" customHeight="1">
      <c r="B8677" s="63">
        <f t="shared" si="1"/>
        <v>14</v>
      </c>
      <c r="C8677" s="135" t="s">
        <v>514</v>
      </c>
      <c r="D8677" s="161" t="s">
        <v>74</v>
      </c>
      <c r="E8677" s="135">
        <f t="shared" si="62"/>
        <v>28</v>
      </c>
      <c r="F8677" s="134" t="s">
        <v>3816</v>
      </c>
      <c r="G8677" s="63" t="str">
        <f>VLOOKUP(C8677, 'Class Def. - General Data'!$C$20:$C$1000,1,false)</f>
        <v>ZSI1_DOOR_ACCS</v>
      </c>
      <c r="H8677" s="63" t="str">
        <f>IFERROR(__xludf.DUMMYFUNCTION("VLOOKUP(F8677, IMPORTRANGE(""https://docs.google.com/spreadsheets/d/1Lhp9OU0JdFf_VYSMzH5lBcEaU4o8teT1piV-SNzShjg/edit?gid=554141278#gid=554141278"", ""'Char Def. - Attributes'!C20:C2242""), 1,false)"),"ALT_UOM5_SIPI")</f>
        <v>ALT_UOM5_SIPI</v>
      </c>
      <c r="I8677" s="136"/>
      <c r="R8677" s="63" t="str">
        <f t="shared" si="60"/>
        <v>ZSI1_DOOR_ACCSALT_UOM5_SIPI</v>
      </c>
    </row>
    <row r="8678" ht="15.75" customHeight="1">
      <c r="B8678" s="63">
        <f t="shared" si="1"/>
        <v>14</v>
      </c>
      <c r="C8678" s="135" t="s">
        <v>514</v>
      </c>
      <c r="D8678" s="161" t="s">
        <v>74</v>
      </c>
      <c r="E8678" s="135">
        <f t="shared" si="62"/>
        <v>29</v>
      </c>
      <c r="F8678" s="134" t="s">
        <v>3817</v>
      </c>
      <c r="G8678" s="63" t="str">
        <f>VLOOKUP(C8678, 'Class Def. - General Data'!$C$20:$C$1000,1,false)</f>
        <v>ZSI1_DOOR_ACCS</v>
      </c>
      <c r="H8678" s="63" t="str">
        <f>IFERROR(__xludf.DUMMYFUNCTION("VLOOKUP(F8678, IMPORTRANGE(""https://docs.google.com/spreadsheets/d/1Lhp9OU0JdFf_VYSMzH5lBcEaU4o8teT1piV-SNzShjg/edit?gid=554141278#gid=554141278"", ""'Char Def. - Attributes'!C20:C2242""), 1,false)"),"ALT_DENUM_UOM5")</f>
        <v>ALT_DENUM_UOM5</v>
      </c>
      <c r="I8678" s="136"/>
      <c r="R8678" s="63" t="str">
        <f t="shared" si="60"/>
        <v>ZSI1_DOOR_ACCSALT_DENUM_UOM5</v>
      </c>
    </row>
    <row r="8679" ht="15.75" customHeight="1">
      <c r="B8679" s="63">
        <f t="shared" si="1"/>
        <v>14</v>
      </c>
      <c r="C8679" s="135" t="s">
        <v>514</v>
      </c>
      <c r="D8679" s="161" t="s">
        <v>74</v>
      </c>
      <c r="E8679" s="135">
        <f t="shared" si="62"/>
        <v>30</v>
      </c>
      <c r="F8679" s="134" t="s">
        <v>3818</v>
      </c>
      <c r="G8679" s="63" t="str">
        <f>VLOOKUP(C8679, 'Class Def. - General Data'!$C$20:$C$1000,1,false)</f>
        <v>ZSI1_DOOR_ACCS</v>
      </c>
      <c r="H8679" s="63" t="str">
        <f>IFERROR(__xludf.DUMMYFUNCTION("VLOOKUP(F8679, IMPORTRANGE(""https://docs.google.com/spreadsheets/d/1Lhp9OU0JdFf_VYSMzH5lBcEaU4o8teT1piV-SNzShjg/edit?gid=554141278#gid=554141278"", ""'Char Def. - Attributes'!C20:C2242""), 1,false)"),"ALT_NUM_UOM5")</f>
        <v>ALT_NUM_UOM5</v>
      </c>
      <c r="I8679" s="136"/>
      <c r="R8679" s="63" t="str">
        <f t="shared" si="60"/>
        <v>ZSI1_DOOR_ACCSALT_NUM_UOM5</v>
      </c>
    </row>
    <row r="8680" ht="15.75" customHeight="1">
      <c r="B8680" s="63">
        <f t="shared" si="1"/>
        <v>16</v>
      </c>
      <c r="C8680" s="135" t="s">
        <v>383</v>
      </c>
      <c r="D8680" s="161" t="s">
        <v>74</v>
      </c>
      <c r="E8680" s="135">
        <f t="shared" si="62"/>
        <v>1</v>
      </c>
      <c r="F8680" s="134" t="s">
        <v>4403</v>
      </c>
      <c r="G8680" s="63" t="str">
        <f>VLOOKUP(C8680, 'Class Def. - General Data'!$C$20:$C$1000,1,false)</f>
        <v>ZSI1_DOOR_WINDOW</v>
      </c>
      <c r="H8680" s="63" t="str">
        <f>IFERROR(__xludf.DUMMYFUNCTION("VLOOKUP(F8680, IMPORTRANGE(""https://docs.google.com/spreadsheets/d/1Lhp9OU0JdFf_VYSMzH5lBcEaU4o8teT1piV-SNzShjg/edit?gid=554141278#gid=554141278"", ""'Char Def. - Attributes'!C20:C2242""), 1,false)"),"ITEM_NAME_DOOR_WINDOW")</f>
        <v>ITEM_NAME_DOOR_WINDOW</v>
      </c>
      <c r="I8680" s="136"/>
      <c r="R8680" s="63" t="str">
        <f t="shared" si="60"/>
        <v>ZSI1_DOOR_WINDOWITEM_NAME_DOOR_WINDOW</v>
      </c>
    </row>
    <row r="8681" ht="15.75" customHeight="1">
      <c r="B8681" s="63">
        <f t="shared" si="1"/>
        <v>16</v>
      </c>
      <c r="C8681" s="135" t="s">
        <v>383</v>
      </c>
      <c r="D8681" s="161" t="s">
        <v>74</v>
      </c>
      <c r="E8681" s="135">
        <f t="shared" si="62"/>
        <v>2</v>
      </c>
      <c r="F8681" s="135" t="s">
        <v>3781</v>
      </c>
      <c r="G8681" s="63" t="str">
        <f>VLOOKUP(C8681, 'Class Def. - General Data'!$C$20:$C$1000,1,false)</f>
        <v>ZSI1_DOOR_WINDOW</v>
      </c>
      <c r="H8681" s="63" t="str">
        <f>IFERROR(__xludf.DUMMYFUNCTION("VLOOKUP(F8681, IMPORTRANGE(""https://docs.google.com/spreadsheets/d/1Lhp9OU0JdFf_VYSMzH5lBcEaU4o8teT1piV-SNzShjg/edit?gid=554141278#gid=554141278"", ""'Char Def. - Attributes'!C20:C2242""), 1,false)"),"EXTERNAL_BRAND")</f>
        <v>EXTERNAL_BRAND</v>
      </c>
      <c r="I8681" s="136"/>
      <c r="R8681" s="63" t="str">
        <f t="shared" si="60"/>
        <v>ZSI1_DOOR_WINDOWEXTERNAL_BRAND</v>
      </c>
    </row>
    <row r="8682" ht="15.75" customHeight="1">
      <c r="B8682" s="63">
        <f t="shared" si="1"/>
        <v>16</v>
      </c>
      <c r="C8682" s="135" t="s">
        <v>383</v>
      </c>
      <c r="D8682" s="161" t="s">
        <v>74</v>
      </c>
      <c r="E8682" s="135">
        <f t="shared" si="62"/>
        <v>3</v>
      </c>
      <c r="F8682" s="135" t="s">
        <v>3782</v>
      </c>
      <c r="G8682" s="63" t="str">
        <f>VLOOKUP(C8682, 'Class Def. - General Data'!$C$20:$C$1000,1,false)</f>
        <v>ZSI1_DOOR_WINDOW</v>
      </c>
      <c r="H8682" s="63" t="str">
        <f>IFERROR(__xludf.DUMMYFUNCTION("VLOOKUP(F8682, IMPORTRANGE(""https://docs.google.com/spreadsheets/d/1Lhp9OU0JdFf_VYSMzH5lBcEaU4o8teT1piV-SNzShjg/edit?gid=554141278#gid=554141278"", ""'Char Def. - Attributes'!C20:C2242""), 1,false)"),"BRAND_EXTERNAL")</f>
        <v>BRAND_EXTERNAL</v>
      </c>
      <c r="I8682" s="136"/>
      <c r="R8682" s="63" t="str">
        <f t="shared" si="60"/>
        <v>ZSI1_DOOR_WINDOWBRAND_EXTERNAL</v>
      </c>
    </row>
    <row r="8683" ht="15.75" customHeight="1">
      <c r="B8683" s="63">
        <f t="shared" si="1"/>
        <v>16</v>
      </c>
      <c r="C8683" s="135" t="s">
        <v>383</v>
      </c>
      <c r="D8683" s="161" t="s">
        <v>74</v>
      </c>
      <c r="E8683" s="135">
        <f t="shared" si="62"/>
        <v>4</v>
      </c>
      <c r="F8683" s="135" t="s">
        <v>4404</v>
      </c>
      <c r="G8683" s="63" t="str">
        <f>VLOOKUP(C8683, 'Class Def. - General Data'!$C$20:$C$1000,1,false)</f>
        <v>ZSI1_DOOR_WINDOW</v>
      </c>
      <c r="H8683" s="63" t="str">
        <f>IFERROR(__xludf.DUMMYFUNCTION("VLOOKUP(F8683, IMPORTRANGE(""https://docs.google.com/spreadsheets/d/1Lhp9OU0JdFf_VYSMzH5lBcEaU4o8teT1piV-SNzShjg/edit?gid=554141278#gid=554141278"", ""'Char Def. - Attributes'!C20:C2242""), 1,false)"),"#N/A")</f>
        <v>#N/A</v>
      </c>
      <c r="I8683" s="136"/>
      <c r="R8683" s="63" t="str">
        <f t="shared" si="60"/>
        <v>ZSI1_DOOR_WINDOWDESIGN_DOOR_WINDOW</v>
      </c>
    </row>
    <row r="8684" ht="15.75" customHeight="1">
      <c r="B8684" s="63">
        <f t="shared" si="1"/>
        <v>16</v>
      </c>
      <c r="C8684" s="135" t="s">
        <v>383</v>
      </c>
      <c r="D8684" s="161" t="s">
        <v>74</v>
      </c>
      <c r="E8684" s="135">
        <f t="shared" si="62"/>
        <v>5</v>
      </c>
      <c r="F8684" s="134" t="s">
        <v>4405</v>
      </c>
      <c r="G8684" s="63" t="str">
        <f>VLOOKUP(C8684, 'Class Def. - General Data'!$C$20:$C$1000,1,false)</f>
        <v>ZSI1_DOOR_WINDOW</v>
      </c>
      <c r="H8684" s="63" t="str">
        <f>IFERROR(__xludf.DUMMYFUNCTION("VLOOKUP(F8684, IMPORTRANGE(""https://docs.google.com/spreadsheets/d/1Lhp9OU0JdFf_VYSMzH5lBcEaU4o8teT1piV-SNzShjg/edit?gid=554141278#gid=554141278"", ""'Char Def. - Attributes'!C20:C2242""), 1,false)"),"MATERIAL_DOOR_WINDOW")</f>
        <v>MATERIAL_DOOR_WINDOW</v>
      </c>
      <c r="I8684" s="136"/>
      <c r="R8684" s="63" t="str">
        <f t="shared" si="60"/>
        <v>ZSI1_DOOR_WINDOWMATERIAL_DOOR_WINDOW</v>
      </c>
    </row>
    <row r="8685" ht="15.75" customHeight="1">
      <c r="B8685" s="63">
        <f t="shared" si="1"/>
        <v>16</v>
      </c>
      <c r="C8685" s="135" t="s">
        <v>383</v>
      </c>
      <c r="D8685" s="161" t="s">
        <v>74</v>
      </c>
      <c r="E8685" s="135">
        <f t="shared" si="62"/>
        <v>6</v>
      </c>
      <c r="F8685" s="134" t="s">
        <v>4406</v>
      </c>
      <c r="G8685" s="63" t="str">
        <f>VLOOKUP(C8685, 'Class Def. - General Data'!$C$20:$C$1000,1,false)</f>
        <v>ZSI1_DOOR_WINDOW</v>
      </c>
      <c r="H8685" s="63" t="str">
        <f>IFERROR(__xludf.DUMMYFUNCTION("VLOOKUP(F8685, IMPORTRANGE(""https://docs.google.com/spreadsheets/d/1Lhp9OU0JdFf_VYSMzH5lBcEaU4o8teT1piV-SNzShjg/edit?gid=554141278#gid=554141278"", ""'Char Def. - Attributes'!C20:C2242""), 1,false)"),"THICKNESS_MM_DOOR_WINDOW")</f>
        <v>THICKNESS_MM_DOOR_WINDOW</v>
      </c>
      <c r="I8685" s="136"/>
      <c r="R8685" s="63" t="str">
        <f t="shared" si="60"/>
        <v>ZSI1_DOOR_WINDOWTHICKNESS_MM_DOOR_WINDOW</v>
      </c>
    </row>
    <row r="8686" ht="15.75" customHeight="1">
      <c r="B8686" s="63">
        <f t="shared" si="1"/>
        <v>16</v>
      </c>
      <c r="C8686" s="135" t="s">
        <v>383</v>
      </c>
      <c r="D8686" s="161" t="s">
        <v>74</v>
      </c>
      <c r="E8686" s="135">
        <f t="shared" si="62"/>
        <v>7</v>
      </c>
      <c r="F8686" s="134" t="s">
        <v>4407</v>
      </c>
      <c r="G8686" s="63" t="str">
        <f>VLOOKUP(C8686, 'Class Def. - General Data'!$C$20:$C$1000,1,false)</f>
        <v>ZSI1_DOOR_WINDOW</v>
      </c>
      <c r="H8686" s="63" t="str">
        <f>IFERROR(__xludf.DUMMYFUNCTION("VLOOKUP(F8686, IMPORTRANGE(""https://docs.google.com/spreadsheets/d/1Lhp9OU0JdFf_VYSMzH5lBcEaU4o8teT1piV-SNzShjg/edit?gid=554141278#gid=554141278"", ""'Char Def. - Attributes'!C20:C2242""), 1,false)"),"WIDTH_MM_DOOR_WINDOW")</f>
        <v>WIDTH_MM_DOOR_WINDOW</v>
      </c>
      <c r="I8686" s="136"/>
      <c r="R8686" s="63" t="str">
        <f t="shared" si="60"/>
        <v>ZSI1_DOOR_WINDOWWIDTH_MM_DOOR_WINDOW</v>
      </c>
    </row>
    <row r="8687" ht="15.75" customHeight="1">
      <c r="B8687" s="63">
        <f t="shared" si="1"/>
        <v>16</v>
      </c>
      <c r="C8687" s="135" t="s">
        <v>383</v>
      </c>
      <c r="D8687" s="161" t="s">
        <v>74</v>
      </c>
      <c r="E8687" s="135">
        <f t="shared" si="62"/>
        <v>8</v>
      </c>
      <c r="F8687" s="134" t="s">
        <v>4408</v>
      </c>
      <c r="G8687" s="63" t="str">
        <f>VLOOKUP(C8687, 'Class Def. - General Data'!$C$20:$C$1000,1,false)</f>
        <v>ZSI1_DOOR_WINDOW</v>
      </c>
      <c r="H8687" s="63" t="str">
        <f>IFERROR(__xludf.DUMMYFUNCTION("VLOOKUP(F8687, IMPORTRANGE(""https://docs.google.com/spreadsheets/d/1Lhp9OU0JdFf_VYSMzH5lBcEaU4o8teT1piV-SNzShjg/edit?gid=554141278#gid=554141278"", ""'Char Def. - Attributes'!C20:C2242""), 1,false)"),"HEIGHT_MM_DOOR_WINDOW")</f>
        <v>HEIGHT_MM_DOOR_WINDOW</v>
      </c>
      <c r="I8687" s="136"/>
      <c r="R8687" s="63" t="str">
        <f t="shared" si="60"/>
        <v>ZSI1_DOOR_WINDOWHEIGHT_MM_DOOR_WINDOW</v>
      </c>
    </row>
    <row r="8688" ht="15.75" customHeight="1">
      <c r="B8688" s="63">
        <f t="shared" si="1"/>
        <v>16</v>
      </c>
      <c r="C8688" s="135" t="s">
        <v>383</v>
      </c>
      <c r="D8688" s="161" t="s">
        <v>74</v>
      </c>
      <c r="E8688" s="135">
        <f t="shared" si="62"/>
        <v>9</v>
      </c>
      <c r="F8688" s="135" t="s">
        <v>4409</v>
      </c>
      <c r="G8688" s="63" t="str">
        <f>VLOOKUP(C8688, 'Class Def. - General Data'!$C$20:$C$1000,1,false)</f>
        <v>ZSI1_DOOR_WINDOW</v>
      </c>
      <c r="I8688" s="136"/>
      <c r="R8688" s="63" t="str">
        <f t="shared" si="60"/>
        <v>ZSI1_DOOR_WINDOWSIZE_DOOR_WINDOW</v>
      </c>
    </row>
    <row r="8689" ht="15.75" customHeight="1">
      <c r="B8689" s="63">
        <f t="shared" si="1"/>
        <v>16</v>
      </c>
      <c r="C8689" s="135" t="s">
        <v>383</v>
      </c>
      <c r="D8689" s="161" t="s">
        <v>74</v>
      </c>
      <c r="E8689" s="135">
        <f t="shared" si="62"/>
        <v>10</v>
      </c>
      <c r="F8689" s="134" t="s">
        <v>3585</v>
      </c>
      <c r="G8689" s="63" t="str">
        <f>VLOOKUP(C8689, 'Class Def. - General Data'!$C$20:$C$1000,1,false)</f>
        <v>ZSI1_DOOR_WINDOW</v>
      </c>
      <c r="H8689" s="63" t="str">
        <f>IFERROR(__xludf.DUMMYFUNCTION("VLOOKUP(F8689, IMPORTRANGE(""https://docs.google.com/spreadsheets/d/1Lhp9OU0JdFf_VYSMzH5lBcEaU4o8teT1piV-SNzShjg/edit?gid=554141278#gid=554141278"", ""'Char Def. - Attributes'!C20:C2242""), 1,false)"),"HS_CODE")</f>
        <v>HS_CODE</v>
      </c>
      <c r="I8689" s="136"/>
      <c r="R8689" s="63" t="str">
        <f t="shared" si="60"/>
        <v>ZSI1_DOOR_WINDOWHS_CODE</v>
      </c>
    </row>
    <row r="8690" ht="15.75" customHeight="1">
      <c r="B8690" s="63">
        <f t="shared" si="1"/>
        <v>16</v>
      </c>
      <c r="C8690" s="135" t="s">
        <v>383</v>
      </c>
      <c r="D8690" s="161" t="s">
        <v>74</v>
      </c>
      <c r="E8690" s="135">
        <f t="shared" si="62"/>
        <v>11</v>
      </c>
      <c r="F8690" s="134" t="s">
        <v>3587</v>
      </c>
      <c r="G8690" s="63" t="str">
        <f>VLOOKUP(C8690, 'Class Def. - General Data'!$C$20:$C$1000,1,false)</f>
        <v>ZSI1_DOOR_WINDOW</v>
      </c>
      <c r="H8690" s="63" t="str">
        <f>IFERROR(__xludf.DUMMYFUNCTION("VLOOKUP(F8690, IMPORTRANGE(""https://docs.google.com/spreadsheets/d/1Lhp9OU0JdFf_VYSMzH5lBcEaU4o8teT1piV-SNzShjg/edit?gid=554141278#gid=554141278"", ""'Char Def. - Attributes'!C20:C2242""), 1,false)"),"PLANT_BUY")</f>
        <v>PLANT_BUY</v>
      </c>
      <c r="I8690" s="136"/>
      <c r="R8690" s="63" t="str">
        <f t="shared" si="60"/>
        <v>ZSI1_DOOR_WINDOWPLANT_BUY</v>
      </c>
    </row>
    <row r="8691" ht="15.75" customHeight="1">
      <c r="B8691" s="63">
        <f t="shared" si="1"/>
        <v>16</v>
      </c>
      <c r="C8691" s="135" t="s">
        <v>383</v>
      </c>
      <c r="D8691" s="161" t="s">
        <v>74</v>
      </c>
      <c r="E8691" s="135">
        <f t="shared" si="62"/>
        <v>12</v>
      </c>
      <c r="F8691" s="134" t="s">
        <v>4410</v>
      </c>
      <c r="G8691" s="63" t="str">
        <f>VLOOKUP(C8691, 'Class Def. - General Data'!$C$20:$C$1000,1,false)</f>
        <v>ZSI1_DOOR_WINDOW</v>
      </c>
      <c r="H8691" s="63" t="str">
        <f>IFERROR(__xludf.DUMMYFUNCTION("VLOOKUP(F8691, IMPORTRANGE(""https://docs.google.com/spreadsheets/d/1Lhp9OU0JdFf_VYSMzH5lBcEaU4o8teT1piV-SNzShjg/edit?gid=554141278#gid=554141278"", ""'Char Def. - Attributes'!C20:C2242""), 1,false)"),"BASE_UOM_DOOR_WINDOW")</f>
        <v>BASE_UOM_DOOR_WINDOW</v>
      </c>
      <c r="I8691" s="136"/>
      <c r="R8691" s="63" t="str">
        <f t="shared" si="60"/>
        <v>ZSI1_DOOR_WINDOWBASE_UOM_DOOR_WINDOW</v>
      </c>
    </row>
    <row r="8692" ht="15.75" customHeight="1">
      <c r="B8692" s="63">
        <f t="shared" si="1"/>
        <v>16</v>
      </c>
      <c r="C8692" s="135" t="s">
        <v>383</v>
      </c>
      <c r="D8692" s="161" t="s">
        <v>74</v>
      </c>
      <c r="E8692" s="135">
        <f t="shared" si="62"/>
        <v>13</v>
      </c>
      <c r="F8692" s="134" t="s">
        <v>4411</v>
      </c>
      <c r="G8692" s="63" t="str">
        <f>VLOOKUP(C8692, 'Class Def. - General Data'!$C$20:$C$1000,1,false)</f>
        <v>ZSI1_DOOR_WINDOW</v>
      </c>
      <c r="H8692" s="63" t="str">
        <f>IFERROR(__xludf.DUMMYFUNCTION("VLOOKUP(F8692, IMPORTRANGE(""https://docs.google.com/spreadsheets/d/1Lhp9OU0JdFf_VYSMzH5lBcEaU4o8teT1piV-SNzShjg/edit?gid=554141278#gid=554141278"", ""'Char Def. - Attributes'!C20:C2242""), 1,false)"),"ORDER_UNIT_DOOR_WINDOW")</f>
        <v>ORDER_UNIT_DOOR_WINDOW</v>
      </c>
      <c r="I8692" s="136"/>
      <c r="R8692" s="63" t="str">
        <f t="shared" si="60"/>
        <v>ZSI1_DOOR_WINDOWORDER_UNIT_DOOR_WINDOW</v>
      </c>
    </row>
    <row r="8693" ht="15.75" customHeight="1">
      <c r="B8693" s="63">
        <f t="shared" si="1"/>
        <v>16</v>
      </c>
      <c r="C8693" s="135" t="s">
        <v>383</v>
      </c>
      <c r="D8693" s="161" t="s">
        <v>74</v>
      </c>
      <c r="E8693" s="135">
        <f t="shared" si="62"/>
        <v>14</v>
      </c>
      <c r="F8693" s="134" t="s">
        <v>4056</v>
      </c>
      <c r="G8693" s="63" t="str">
        <f>VLOOKUP(C8693, 'Class Def. - General Data'!$C$20:$C$1000,1,false)</f>
        <v>ZSI1_DOOR_WINDOW</v>
      </c>
      <c r="H8693" s="63" t="str">
        <f>IFERROR(__xludf.DUMMYFUNCTION("VLOOKUP(F8693, IMPORTRANGE(""https://docs.google.com/spreadsheets/d/1Lhp9OU0JdFf_VYSMzH5lBcEaU4o8teT1piV-SNzShjg/edit?gid=554141278#gid=554141278"", ""'Char Def. - Attributes'!C20:C2242""), 1,false)"),"GROSS_WEIGHT_OPT")</f>
        <v>GROSS_WEIGHT_OPT</v>
      </c>
      <c r="I8693" s="136"/>
      <c r="R8693" s="63" t="str">
        <f t="shared" si="60"/>
        <v>ZSI1_DOOR_WINDOWGROSS_WEIGHT_OPT</v>
      </c>
    </row>
    <row r="8694" ht="15.75" customHeight="1">
      <c r="B8694" s="63">
        <f t="shared" si="1"/>
        <v>16</v>
      </c>
      <c r="C8694" s="135" t="s">
        <v>383</v>
      </c>
      <c r="D8694" s="161" t="s">
        <v>74</v>
      </c>
      <c r="E8694" s="135">
        <f t="shared" si="62"/>
        <v>15</v>
      </c>
      <c r="F8694" s="134" t="s">
        <v>4057</v>
      </c>
      <c r="G8694" s="63" t="str">
        <f>VLOOKUP(C8694, 'Class Def. - General Data'!$C$20:$C$1000,1,false)</f>
        <v>ZSI1_DOOR_WINDOW</v>
      </c>
      <c r="H8694" s="63" t="str">
        <f>IFERROR(__xludf.DUMMYFUNCTION("VLOOKUP(F8694, IMPORTRANGE(""https://docs.google.com/spreadsheets/d/1Lhp9OU0JdFf_VYSMzH5lBcEaU4o8teT1piV-SNzShjg/edit?gid=554141278#gid=554141278"", ""'Char Def. - Attributes'!C20:C2242""), 1,false)"),"NET_WEIGHT_OPT")</f>
        <v>NET_WEIGHT_OPT</v>
      </c>
      <c r="I8694" s="136"/>
      <c r="R8694" s="63" t="str">
        <f t="shared" si="60"/>
        <v>ZSI1_DOOR_WINDOWNET_WEIGHT_OPT</v>
      </c>
    </row>
    <row r="8695" ht="15.75" customHeight="1">
      <c r="B8695" s="63">
        <f t="shared" si="1"/>
        <v>16</v>
      </c>
      <c r="C8695" s="135" t="s">
        <v>383</v>
      </c>
      <c r="D8695" s="161" t="s">
        <v>74</v>
      </c>
      <c r="E8695" s="135">
        <f t="shared" si="62"/>
        <v>16</v>
      </c>
      <c r="F8695" s="134" t="s">
        <v>4058</v>
      </c>
      <c r="G8695" s="63" t="str">
        <f>VLOOKUP(C8695, 'Class Def. - General Data'!$C$20:$C$1000,1,false)</f>
        <v>ZSI1_DOOR_WINDOW</v>
      </c>
      <c r="H8695" s="63" t="str">
        <f>IFERROR(__xludf.DUMMYFUNCTION("VLOOKUP(F8695, IMPORTRANGE(""https://docs.google.com/spreadsheets/d/1Lhp9OU0JdFf_VYSMzH5lBcEaU4o8teT1piV-SNzShjg/edit?gid=554141278#gid=554141278"", ""'Char Def. - Attributes'!C20:C2242""), 1,false)"),"WEIGHT_UNIT_SI")</f>
        <v>WEIGHT_UNIT_SI</v>
      </c>
      <c r="I8695" s="136"/>
      <c r="R8695" s="63" t="str">
        <f t="shared" si="60"/>
        <v>ZSI1_DOOR_WINDOWWEIGHT_UNIT_SI</v>
      </c>
    </row>
    <row r="8696" ht="15.75" customHeight="1">
      <c r="B8696" s="63">
        <f t="shared" si="1"/>
        <v>16</v>
      </c>
      <c r="C8696" s="135" t="s">
        <v>383</v>
      </c>
      <c r="D8696" s="161" t="s">
        <v>74</v>
      </c>
      <c r="E8696" s="135">
        <f t="shared" si="62"/>
        <v>17</v>
      </c>
      <c r="F8696" s="134" t="s">
        <v>3877</v>
      </c>
      <c r="G8696" s="63" t="str">
        <f>VLOOKUP(C8696, 'Class Def. - General Data'!$C$20:$C$1000,1,false)</f>
        <v>ZSI1_DOOR_WINDOW</v>
      </c>
      <c r="H8696" s="63" t="str">
        <f>IFERROR(__xludf.DUMMYFUNCTION("VLOOKUP(F8696, IMPORTRANGE(""https://docs.google.com/spreadsheets/d/1Lhp9OU0JdFf_VYSMzH5lBcEaU4o8teT1piV-SNzShjg/edit?gid=554141278#gid=554141278"", ""'Char Def. - Attributes'!C20:C2242""), 1,false)"),"VOLUME_OPT")</f>
        <v>VOLUME_OPT</v>
      </c>
      <c r="I8696" s="136"/>
      <c r="R8696" s="63" t="str">
        <f t="shared" si="60"/>
        <v>ZSI1_DOOR_WINDOWVOLUME_OPT</v>
      </c>
    </row>
    <row r="8697" ht="15.75" customHeight="1">
      <c r="B8697" s="63">
        <f t="shared" si="1"/>
        <v>16</v>
      </c>
      <c r="C8697" s="135" t="s">
        <v>383</v>
      </c>
      <c r="D8697" s="161" t="s">
        <v>74</v>
      </c>
      <c r="E8697" s="135">
        <f t="shared" si="62"/>
        <v>18</v>
      </c>
      <c r="F8697" s="134" t="s">
        <v>4059</v>
      </c>
      <c r="G8697" s="63" t="str">
        <f>VLOOKUP(C8697, 'Class Def. - General Data'!$C$20:$C$1000,1,false)</f>
        <v>ZSI1_DOOR_WINDOW</v>
      </c>
      <c r="H8697" s="63" t="str">
        <f>IFERROR(__xludf.DUMMYFUNCTION("VLOOKUP(F8697, IMPORTRANGE(""https://docs.google.com/spreadsheets/d/1Lhp9OU0JdFf_VYSMzH5lBcEaU4o8teT1piV-SNzShjg/edit?gid=554141278#gid=554141278"", ""'Char Def. - Attributes'!C20:C2242""), 1,false)"),"VOLUME_UNIT_SI")</f>
        <v>VOLUME_UNIT_SI</v>
      </c>
      <c r="I8697" s="136"/>
      <c r="R8697" s="63" t="str">
        <f t="shared" si="60"/>
        <v>ZSI1_DOOR_WINDOWVOLUME_UNIT_SI</v>
      </c>
    </row>
    <row r="8698" ht="15.75" customHeight="1">
      <c r="B8698" s="63">
        <f t="shared" si="1"/>
        <v>16</v>
      </c>
      <c r="C8698" s="135" t="s">
        <v>383</v>
      </c>
      <c r="D8698" s="161" t="s">
        <v>74</v>
      </c>
      <c r="E8698" s="135">
        <f t="shared" si="62"/>
        <v>19</v>
      </c>
      <c r="F8698" s="134" t="s">
        <v>3804</v>
      </c>
      <c r="G8698" s="63" t="str">
        <f>VLOOKUP(C8698, 'Class Def. - General Data'!$C$20:$C$1000,1,false)</f>
        <v>ZSI1_DOOR_WINDOW</v>
      </c>
      <c r="H8698" s="63" t="str">
        <f>IFERROR(__xludf.DUMMYFUNCTION("VLOOKUP(F8698, IMPORTRANGE(""https://docs.google.com/spreadsheets/d/1Lhp9OU0JdFf_VYSMzH5lBcEaU4o8teT1piV-SNzShjg/edit?gid=554141278#gid=554141278"", ""'Char Def. - Attributes'!C20:C2242""), 1,false)"),"ALT_UOM1_SIPI")</f>
        <v>ALT_UOM1_SIPI</v>
      </c>
      <c r="I8698" s="136"/>
      <c r="R8698" s="63" t="str">
        <f t="shared" si="60"/>
        <v>ZSI1_DOOR_WINDOWALT_UOM1_SIPI</v>
      </c>
    </row>
    <row r="8699" ht="15.75" customHeight="1">
      <c r="B8699" s="63">
        <f t="shared" si="1"/>
        <v>16</v>
      </c>
      <c r="C8699" s="135" t="s">
        <v>383</v>
      </c>
      <c r="D8699" s="161" t="s">
        <v>74</v>
      </c>
      <c r="E8699" s="135">
        <f t="shared" si="62"/>
        <v>20</v>
      </c>
      <c r="F8699" s="134" t="s">
        <v>3805</v>
      </c>
      <c r="G8699" s="63" t="str">
        <f>VLOOKUP(C8699, 'Class Def. - General Data'!$C$20:$C$1000,1,false)</f>
        <v>ZSI1_DOOR_WINDOW</v>
      </c>
      <c r="H8699" s="63" t="str">
        <f>IFERROR(__xludf.DUMMYFUNCTION("VLOOKUP(F8699, IMPORTRANGE(""https://docs.google.com/spreadsheets/d/1Lhp9OU0JdFf_VYSMzH5lBcEaU4o8teT1piV-SNzShjg/edit?gid=554141278#gid=554141278"", ""'Char Def. - Attributes'!C20:C2242""), 1,false)"),"ALT_DENUM_UOM1")</f>
        <v>ALT_DENUM_UOM1</v>
      </c>
      <c r="I8699" s="136"/>
      <c r="R8699" s="63" t="str">
        <f t="shared" si="60"/>
        <v>ZSI1_DOOR_WINDOWALT_DENUM_UOM1</v>
      </c>
    </row>
    <row r="8700" ht="15.75" customHeight="1">
      <c r="B8700" s="63">
        <f t="shared" si="1"/>
        <v>16</v>
      </c>
      <c r="C8700" s="135" t="s">
        <v>383</v>
      </c>
      <c r="D8700" s="161" t="s">
        <v>74</v>
      </c>
      <c r="E8700" s="135">
        <f t="shared" si="62"/>
        <v>21</v>
      </c>
      <c r="F8700" s="134" t="s">
        <v>3806</v>
      </c>
      <c r="G8700" s="63" t="str">
        <f>VLOOKUP(C8700, 'Class Def. - General Data'!$C$20:$C$1000,1,false)</f>
        <v>ZSI1_DOOR_WINDOW</v>
      </c>
      <c r="H8700" s="63" t="str">
        <f>IFERROR(__xludf.DUMMYFUNCTION("VLOOKUP(F8700, IMPORTRANGE(""https://docs.google.com/spreadsheets/d/1Lhp9OU0JdFf_VYSMzH5lBcEaU4o8teT1piV-SNzShjg/edit?gid=554141278#gid=554141278"", ""'Char Def. - Attributes'!C20:C2242""), 1,false)"),"ALT_NUM_UOM1")</f>
        <v>ALT_NUM_UOM1</v>
      </c>
      <c r="I8700" s="136"/>
      <c r="R8700" s="63" t="str">
        <f t="shared" si="60"/>
        <v>ZSI1_DOOR_WINDOWALT_NUM_UOM1</v>
      </c>
    </row>
    <row r="8701" ht="15.75" customHeight="1">
      <c r="B8701" s="63">
        <f t="shared" si="1"/>
        <v>16</v>
      </c>
      <c r="C8701" s="135" t="s">
        <v>383</v>
      </c>
      <c r="D8701" s="161" t="s">
        <v>74</v>
      </c>
      <c r="E8701" s="135">
        <f t="shared" si="62"/>
        <v>22</v>
      </c>
      <c r="F8701" s="134" t="s">
        <v>3807</v>
      </c>
      <c r="G8701" s="63" t="str">
        <f>VLOOKUP(C8701, 'Class Def. - General Data'!$C$20:$C$1000,1,false)</f>
        <v>ZSI1_DOOR_WINDOW</v>
      </c>
      <c r="H8701" s="63" t="str">
        <f>IFERROR(__xludf.DUMMYFUNCTION("VLOOKUP(F8701, IMPORTRANGE(""https://docs.google.com/spreadsheets/d/1Lhp9OU0JdFf_VYSMzH5lBcEaU4o8teT1piV-SNzShjg/edit?gid=554141278#gid=554141278"", ""'Char Def. - Attributes'!C20:C2242""), 1,false)"),"ALT_UOM2_SIPI")</f>
        <v>ALT_UOM2_SIPI</v>
      </c>
      <c r="I8701" s="136"/>
      <c r="R8701" s="63" t="str">
        <f t="shared" si="60"/>
        <v>ZSI1_DOOR_WINDOWALT_UOM2_SIPI</v>
      </c>
    </row>
    <row r="8702" ht="15.75" customHeight="1">
      <c r="B8702" s="63">
        <f t="shared" si="1"/>
        <v>16</v>
      </c>
      <c r="C8702" s="135" t="s">
        <v>383</v>
      </c>
      <c r="D8702" s="161" t="s">
        <v>74</v>
      </c>
      <c r="E8702" s="135">
        <f t="shared" si="62"/>
        <v>23</v>
      </c>
      <c r="F8702" s="134" t="s">
        <v>3808</v>
      </c>
      <c r="G8702" s="63" t="str">
        <f>VLOOKUP(C8702, 'Class Def. - General Data'!$C$20:$C$1000,1,false)</f>
        <v>ZSI1_DOOR_WINDOW</v>
      </c>
      <c r="H8702" s="63" t="str">
        <f>IFERROR(__xludf.DUMMYFUNCTION("VLOOKUP(F8702, IMPORTRANGE(""https://docs.google.com/spreadsheets/d/1Lhp9OU0JdFf_VYSMzH5lBcEaU4o8teT1piV-SNzShjg/edit?gid=554141278#gid=554141278"", ""'Char Def. - Attributes'!C20:C2242""), 1,false)"),"ALT_DENUM_UOM2")</f>
        <v>ALT_DENUM_UOM2</v>
      </c>
      <c r="I8702" s="136"/>
      <c r="R8702" s="63" t="str">
        <f t="shared" si="60"/>
        <v>ZSI1_DOOR_WINDOWALT_DENUM_UOM2</v>
      </c>
    </row>
    <row r="8703" ht="15.75" customHeight="1">
      <c r="B8703" s="63">
        <f t="shared" si="1"/>
        <v>16</v>
      </c>
      <c r="C8703" s="135" t="s">
        <v>383</v>
      </c>
      <c r="D8703" s="161" t="s">
        <v>74</v>
      </c>
      <c r="E8703" s="135">
        <f t="shared" si="62"/>
        <v>24</v>
      </c>
      <c r="F8703" s="134" t="s">
        <v>3809</v>
      </c>
      <c r="G8703" s="63" t="str">
        <f>VLOOKUP(C8703, 'Class Def. - General Data'!$C$20:$C$1000,1,false)</f>
        <v>ZSI1_DOOR_WINDOW</v>
      </c>
      <c r="H8703" s="63" t="str">
        <f>IFERROR(__xludf.DUMMYFUNCTION("VLOOKUP(F8703, IMPORTRANGE(""https://docs.google.com/spreadsheets/d/1Lhp9OU0JdFf_VYSMzH5lBcEaU4o8teT1piV-SNzShjg/edit?gid=554141278#gid=554141278"", ""'Char Def. - Attributes'!C20:C2242""), 1,false)"),"ALT_NUM_UOM2")</f>
        <v>ALT_NUM_UOM2</v>
      </c>
      <c r="I8703" s="136"/>
      <c r="R8703" s="63" t="str">
        <f t="shared" si="60"/>
        <v>ZSI1_DOOR_WINDOWALT_NUM_UOM2</v>
      </c>
    </row>
    <row r="8704" ht="15.75" customHeight="1">
      <c r="B8704" s="63">
        <f t="shared" si="1"/>
        <v>16</v>
      </c>
      <c r="C8704" s="135" t="s">
        <v>383</v>
      </c>
      <c r="D8704" s="161" t="s">
        <v>74</v>
      </c>
      <c r="E8704" s="135">
        <f t="shared" si="62"/>
        <v>25</v>
      </c>
      <c r="F8704" s="134" t="s">
        <v>3810</v>
      </c>
      <c r="G8704" s="63" t="str">
        <f>VLOOKUP(C8704, 'Class Def. - General Data'!$C$20:$C$1000,1,false)</f>
        <v>ZSI1_DOOR_WINDOW</v>
      </c>
      <c r="H8704" s="63" t="str">
        <f>IFERROR(__xludf.DUMMYFUNCTION("VLOOKUP(F8704, IMPORTRANGE(""https://docs.google.com/spreadsheets/d/1Lhp9OU0JdFf_VYSMzH5lBcEaU4o8teT1piV-SNzShjg/edit?gid=554141278#gid=554141278"", ""'Char Def. - Attributes'!C20:C2242""), 1,false)"),"ALT_UOM3_SIPI")</f>
        <v>ALT_UOM3_SIPI</v>
      </c>
      <c r="I8704" s="136"/>
      <c r="R8704" s="63" t="str">
        <f t="shared" si="60"/>
        <v>ZSI1_DOOR_WINDOWALT_UOM3_SIPI</v>
      </c>
    </row>
    <row r="8705" ht="15.75" customHeight="1">
      <c r="B8705" s="63">
        <f t="shared" si="1"/>
        <v>16</v>
      </c>
      <c r="C8705" s="135" t="s">
        <v>383</v>
      </c>
      <c r="D8705" s="161" t="s">
        <v>74</v>
      </c>
      <c r="E8705" s="135">
        <f t="shared" si="62"/>
        <v>26</v>
      </c>
      <c r="F8705" s="134" t="s">
        <v>3811</v>
      </c>
      <c r="G8705" s="63" t="str">
        <f>VLOOKUP(C8705, 'Class Def. - General Data'!$C$20:$C$1000,1,false)</f>
        <v>ZSI1_DOOR_WINDOW</v>
      </c>
      <c r="H8705" s="63" t="str">
        <f>IFERROR(__xludf.DUMMYFUNCTION("VLOOKUP(F8705, IMPORTRANGE(""https://docs.google.com/spreadsheets/d/1Lhp9OU0JdFf_VYSMzH5lBcEaU4o8teT1piV-SNzShjg/edit?gid=554141278#gid=554141278"", ""'Char Def. - Attributes'!C20:C2242""), 1,false)"),"ALT_DENUM_UOM3")</f>
        <v>ALT_DENUM_UOM3</v>
      </c>
      <c r="I8705" s="136"/>
      <c r="R8705" s="63" t="str">
        <f t="shared" si="60"/>
        <v>ZSI1_DOOR_WINDOWALT_DENUM_UOM3</v>
      </c>
    </row>
    <row r="8706" ht="15.75" customHeight="1">
      <c r="B8706" s="63">
        <f t="shared" si="1"/>
        <v>16</v>
      </c>
      <c r="C8706" s="135" t="s">
        <v>383</v>
      </c>
      <c r="D8706" s="161" t="s">
        <v>74</v>
      </c>
      <c r="E8706" s="135">
        <f t="shared" si="62"/>
        <v>27</v>
      </c>
      <c r="F8706" s="134" t="s">
        <v>3812</v>
      </c>
      <c r="G8706" s="63" t="str">
        <f>VLOOKUP(C8706, 'Class Def. - General Data'!$C$20:$C$1000,1,false)</f>
        <v>ZSI1_DOOR_WINDOW</v>
      </c>
      <c r="H8706" s="63" t="str">
        <f>IFERROR(__xludf.DUMMYFUNCTION("VLOOKUP(F8706, IMPORTRANGE(""https://docs.google.com/spreadsheets/d/1Lhp9OU0JdFf_VYSMzH5lBcEaU4o8teT1piV-SNzShjg/edit?gid=554141278#gid=554141278"", ""'Char Def. - Attributes'!C20:C2242""), 1,false)"),"ALT_NUM_UOM3")</f>
        <v>ALT_NUM_UOM3</v>
      </c>
      <c r="I8706" s="136"/>
      <c r="R8706" s="63" t="str">
        <f t="shared" si="60"/>
        <v>ZSI1_DOOR_WINDOWALT_NUM_UOM3</v>
      </c>
    </row>
    <row r="8707" ht="15.75" customHeight="1">
      <c r="B8707" s="63">
        <f t="shared" si="1"/>
        <v>16</v>
      </c>
      <c r="C8707" s="135" t="s">
        <v>383</v>
      </c>
      <c r="D8707" s="161" t="s">
        <v>74</v>
      </c>
      <c r="E8707" s="135">
        <f t="shared" si="62"/>
        <v>28</v>
      </c>
      <c r="F8707" s="134" t="s">
        <v>3813</v>
      </c>
      <c r="G8707" s="63" t="str">
        <f>VLOOKUP(C8707, 'Class Def. - General Data'!$C$20:$C$1000,1,false)</f>
        <v>ZSI1_DOOR_WINDOW</v>
      </c>
      <c r="H8707" s="63" t="str">
        <f>IFERROR(__xludf.DUMMYFUNCTION("VLOOKUP(F8707, IMPORTRANGE(""https://docs.google.com/spreadsheets/d/1Lhp9OU0JdFf_VYSMzH5lBcEaU4o8teT1piV-SNzShjg/edit?gid=554141278#gid=554141278"", ""'Char Def. - Attributes'!C20:C2242""), 1,false)"),"ALT_UOM4_SIPI")</f>
        <v>ALT_UOM4_SIPI</v>
      </c>
      <c r="I8707" s="136"/>
      <c r="R8707" s="63" t="str">
        <f t="shared" si="60"/>
        <v>ZSI1_DOOR_WINDOWALT_UOM4_SIPI</v>
      </c>
    </row>
    <row r="8708" ht="15.75" customHeight="1">
      <c r="B8708" s="63">
        <f t="shared" si="1"/>
        <v>16</v>
      </c>
      <c r="C8708" s="135" t="s">
        <v>383</v>
      </c>
      <c r="D8708" s="161" t="s">
        <v>74</v>
      </c>
      <c r="E8708" s="135">
        <f t="shared" si="62"/>
        <v>29</v>
      </c>
      <c r="F8708" s="134" t="s">
        <v>3814</v>
      </c>
      <c r="G8708" s="63" t="str">
        <f>VLOOKUP(C8708, 'Class Def. - General Data'!$C$20:$C$1000,1,false)</f>
        <v>ZSI1_DOOR_WINDOW</v>
      </c>
      <c r="H8708" s="63" t="str">
        <f>IFERROR(__xludf.DUMMYFUNCTION("VLOOKUP(F8708, IMPORTRANGE(""https://docs.google.com/spreadsheets/d/1Lhp9OU0JdFf_VYSMzH5lBcEaU4o8teT1piV-SNzShjg/edit?gid=554141278#gid=554141278"", ""'Char Def. - Attributes'!C20:C2242""), 1,false)"),"ALT_DENUM_UOM4")</f>
        <v>ALT_DENUM_UOM4</v>
      </c>
      <c r="I8708" s="136"/>
      <c r="R8708" s="63" t="str">
        <f t="shared" si="60"/>
        <v>ZSI1_DOOR_WINDOWALT_DENUM_UOM4</v>
      </c>
    </row>
    <row r="8709" ht="15.75" customHeight="1">
      <c r="B8709" s="63">
        <f t="shared" si="1"/>
        <v>16</v>
      </c>
      <c r="C8709" s="135" t="s">
        <v>383</v>
      </c>
      <c r="D8709" s="161" t="s">
        <v>74</v>
      </c>
      <c r="E8709" s="135">
        <f t="shared" si="62"/>
        <v>30</v>
      </c>
      <c r="F8709" s="134" t="s">
        <v>3815</v>
      </c>
      <c r="G8709" s="63" t="str">
        <f>VLOOKUP(C8709, 'Class Def. - General Data'!$C$20:$C$1000,1,false)</f>
        <v>ZSI1_DOOR_WINDOW</v>
      </c>
      <c r="H8709" s="63" t="str">
        <f>IFERROR(__xludf.DUMMYFUNCTION("VLOOKUP(F8709, IMPORTRANGE(""https://docs.google.com/spreadsheets/d/1Lhp9OU0JdFf_VYSMzH5lBcEaU4o8teT1piV-SNzShjg/edit?gid=554141278#gid=554141278"", ""'Char Def. - Attributes'!C20:C2242""), 1,false)"),"ALT_NUM_UOM4")</f>
        <v>ALT_NUM_UOM4</v>
      </c>
      <c r="I8709" s="136"/>
      <c r="R8709" s="63" t="str">
        <f t="shared" si="60"/>
        <v>ZSI1_DOOR_WINDOWALT_NUM_UOM4</v>
      </c>
    </row>
    <row r="8710" ht="15.75" customHeight="1">
      <c r="B8710" s="63">
        <f t="shared" si="1"/>
        <v>16</v>
      </c>
      <c r="C8710" s="135" t="s">
        <v>383</v>
      </c>
      <c r="D8710" s="161" t="s">
        <v>74</v>
      </c>
      <c r="E8710" s="135">
        <f t="shared" si="62"/>
        <v>31</v>
      </c>
      <c r="F8710" s="134" t="s">
        <v>3816</v>
      </c>
      <c r="G8710" s="63" t="str">
        <f>VLOOKUP(C8710, 'Class Def. - General Data'!$C$20:$C$1000,1,false)</f>
        <v>ZSI1_DOOR_WINDOW</v>
      </c>
      <c r="H8710" s="63" t="str">
        <f>IFERROR(__xludf.DUMMYFUNCTION("VLOOKUP(F8710, IMPORTRANGE(""https://docs.google.com/spreadsheets/d/1Lhp9OU0JdFf_VYSMzH5lBcEaU4o8teT1piV-SNzShjg/edit?gid=554141278#gid=554141278"", ""'Char Def. - Attributes'!C20:C2242""), 1,false)"),"ALT_UOM5_SIPI")</f>
        <v>ALT_UOM5_SIPI</v>
      </c>
      <c r="I8710" s="136"/>
      <c r="R8710" s="63" t="str">
        <f t="shared" si="60"/>
        <v>ZSI1_DOOR_WINDOWALT_UOM5_SIPI</v>
      </c>
    </row>
    <row r="8711" ht="15.75" customHeight="1">
      <c r="B8711" s="63">
        <f t="shared" si="1"/>
        <v>16</v>
      </c>
      <c r="C8711" s="135" t="s">
        <v>383</v>
      </c>
      <c r="D8711" s="161" t="s">
        <v>74</v>
      </c>
      <c r="E8711" s="135">
        <f t="shared" si="62"/>
        <v>32</v>
      </c>
      <c r="F8711" s="134" t="s">
        <v>3817</v>
      </c>
      <c r="G8711" s="63" t="str">
        <f>VLOOKUP(C8711, 'Class Def. - General Data'!$C$20:$C$1000,1,false)</f>
        <v>ZSI1_DOOR_WINDOW</v>
      </c>
      <c r="H8711" s="63" t="str">
        <f>IFERROR(__xludf.DUMMYFUNCTION("VLOOKUP(F8711, IMPORTRANGE(""https://docs.google.com/spreadsheets/d/1Lhp9OU0JdFf_VYSMzH5lBcEaU4o8teT1piV-SNzShjg/edit?gid=554141278#gid=554141278"", ""'Char Def. - Attributes'!C20:C2242""), 1,false)"),"ALT_DENUM_UOM5")</f>
        <v>ALT_DENUM_UOM5</v>
      </c>
      <c r="I8711" s="136"/>
      <c r="R8711" s="63" t="str">
        <f t="shared" si="60"/>
        <v>ZSI1_DOOR_WINDOWALT_DENUM_UOM5</v>
      </c>
    </row>
    <row r="8712" ht="15.75" customHeight="1">
      <c r="B8712" s="63">
        <f t="shared" si="1"/>
        <v>16</v>
      </c>
      <c r="C8712" s="135" t="s">
        <v>383</v>
      </c>
      <c r="D8712" s="161" t="s">
        <v>74</v>
      </c>
      <c r="E8712" s="135">
        <f t="shared" si="62"/>
        <v>33</v>
      </c>
      <c r="F8712" s="134" t="s">
        <v>3818</v>
      </c>
      <c r="G8712" s="63" t="str">
        <f>VLOOKUP(C8712, 'Class Def. - General Data'!$C$20:$C$1000,1,false)</f>
        <v>ZSI1_DOOR_WINDOW</v>
      </c>
      <c r="H8712" s="63" t="str">
        <f>IFERROR(__xludf.DUMMYFUNCTION("VLOOKUP(F8712, IMPORTRANGE(""https://docs.google.com/spreadsheets/d/1Lhp9OU0JdFf_VYSMzH5lBcEaU4o8teT1piV-SNzShjg/edit?gid=554141278#gid=554141278"", ""'Char Def. - Attributes'!C20:C2242""), 1,false)"),"ALT_NUM_UOM5")</f>
        <v>ALT_NUM_UOM5</v>
      </c>
      <c r="I8712" s="136"/>
      <c r="R8712" s="63" t="str">
        <f t="shared" si="60"/>
        <v>ZSI1_DOOR_WINDOWALT_NUM_UOM5</v>
      </c>
    </row>
    <row r="8713" ht="15.75" customHeight="1">
      <c r="B8713" s="63">
        <f t="shared" si="1"/>
        <v>13</v>
      </c>
      <c r="C8713" s="135" t="s">
        <v>531</v>
      </c>
      <c r="D8713" s="161" t="s">
        <v>74</v>
      </c>
      <c r="E8713" s="135">
        <f t="shared" si="62"/>
        <v>1</v>
      </c>
      <c r="F8713" s="134" t="s">
        <v>4412</v>
      </c>
      <c r="G8713" s="63" t="str">
        <f>VLOOKUP(C8713, 'Class Def. - General Data'!$C$20:$C$1000,1,false)</f>
        <v>ZSI1_DRUM_EQP</v>
      </c>
      <c r="H8713" s="63" t="str">
        <f>IFERROR(__xludf.DUMMYFUNCTION("VLOOKUP(F8713, IMPORTRANGE(""https://docs.google.com/spreadsheets/d/1Lhp9OU0JdFf_VYSMzH5lBcEaU4o8teT1piV-SNzShjg/edit?gid=554141278#gid=554141278"", ""'Char Def. - Attributes'!C20:C2242""), 1,false)"),"ITEM_NAME_DRUM_EQP")</f>
        <v>ITEM_NAME_DRUM_EQP</v>
      </c>
      <c r="I8713" s="136"/>
      <c r="R8713" s="63" t="str">
        <f t="shared" si="60"/>
        <v>ZSI1_DRUM_EQPITEM_NAME_DRUM_EQP</v>
      </c>
    </row>
    <row r="8714" ht="15.75" customHeight="1">
      <c r="B8714" s="63">
        <f t="shared" si="1"/>
        <v>13</v>
      </c>
      <c r="C8714" s="135" t="s">
        <v>531</v>
      </c>
      <c r="D8714" s="161" t="s">
        <v>74</v>
      </c>
      <c r="E8714" s="135">
        <f t="shared" si="62"/>
        <v>2</v>
      </c>
      <c r="F8714" s="134" t="s">
        <v>4413</v>
      </c>
      <c r="G8714" s="63" t="str">
        <f>VLOOKUP(C8714, 'Class Def. - General Data'!$C$20:$C$1000,1,false)</f>
        <v>ZSI1_DRUM_EQP</v>
      </c>
      <c r="H8714" s="63" t="str">
        <f>IFERROR(__xludf.DUMMYFUNCTION("VLOOKUP(F8714, IMPORTRANGE(""https://docs.google.com/spreadsheets/d/1Lhp9OU0JdFf_VYSMzH5lBcEaU4o8teT1piV-SNzShjg/edit?gid=554141278#gid=554141278"", ""'Char Def. - Attributes'!C20:C2242""), 1,false)"),"MFR_NO_DRUM_EQP")</f>
        <v>MFR_NO_DRUM_EQP</v>
      </c>
      <c r="I8714" s="136"/>
      <c r="R8714" s="63" t="str">
        <f t="shared" si="60"/>
        <v>ZSI1_DRUM_EQPMFR_NO_DRUM_EQP</v>
      </c>
    </row>
    <row r="8715" ht="15.75" customHeight="1">
      <c r="B8715" s="63">
        <f t="shared" si="1"/>
        <v>13</v>
      </c>
      <c r="C8715" s="135" t="s">
        <v>531</v>
      </c>
      <c r="D8715" s="161" t="s">
        <v>74</v>
      </c>
      <c r="E8715" s="135">
        <f t="shared" si="62"/>
        <v>3</v>
      </c>
      <c r="F8715" s="134" t="s">
        <v>3782</v>
      </c>
      <c r="G8715" s="63" t="str">
        <f>VLOOKUP(C8715, 'Class Def. - General Data'!$C$20:$C$1000,1,false)</f>
        <v>ZSI1_DRUM_EQP</v>
      </c>
      <c r="H8715" s="63" t="str">
        <f>IFERROR(__xludf.DUMMYFUNCTION("VLOOKUP(F8715, IMPORTRANGE(""https://docs.google.com/spreadsheets/d/1Lhp9OU0JdFf_VYSMzH5lBcEaU4o8teT1piV-SNzShjg/edit?gid=554141278#gid=554141278"", ""'Char Def. - Attributes'!C20:C2242""), 1,false)"),"BRAND_EXTERNAL")</f>
        <v>BRAND_EXTERNAL</v>
      </c>
      <c r="I8715" s="136"/>
      <c r="R8715" s="63" t="str">
        <f t="shared" si="60"/>
        <v>ZSI1_DRUM_EQPBRAND_EXTERNAL</v>
      </c>
    </row>
    <row r="8716" ht="15.75" customHeight="1">
      <c r="B8716" s="63">
        <f t="shared" si="1"/>
        <v>13</v>
      </c>
      <c r="C8716" s="135" t="s">
        <v>531</v>
      </c>
      <c r="D8716" s="161" t="s">
        <v>74</v>
      </c>
      <c r="E8716" s="135">
        <f t="shared" si="62"/>
        <v>4</v>
      </c>
      <c r="F8716" s="134" t="s">
        <v>3585</v>
      </c>
      <c r="G8716" s="63" t="str">
        <f>VLOOKUP(C8716, 'Class Def. - General Data'!$C$20:$C$1000,1,false)</f>
        <v>ZSI1_DRUM_EQP</v>
      </c>
      <c r="H8716" s="63" t="str">
        <f>IFERROR(__xludf.DUMMYFUNCTION("VLOOKUP(F8716, IMPORTRANGE(""https://docs.google.com/spreadsheets/d/1Lhp9OU0JdFf_VYSMzH5lBcEaU4o8teT1piV-SNzShjg/edit?gid=554141278#gid=554141278"", ""'Char Def. - Attributes'!C20:C2242""), 1,false)"),"HS_CODE")</f>
        <v>HS_CODE</v>
      </c>
      <c r="I8716" s="136"/>
      <c r="R8716" s="63" t="str">
        <f t="shared" si="60"/>
        <v>ZSI1_DRUM_EQPHS_CODE</v>
      </c>
    </row>
    <row r="8717" ht="15.75" customHeight="1">
      <c r="B8717" s="63">
        <f t="shared" si="1"/>
        <v>13</v>
      </c>
      <c r="C8717" s="135" t="s">
        <v>531</v>
      </c>
      <c r="D8717" s="161" t="s">
        <v>74</v>
      </c>
      <c r="E8717" s="135">
        <f t="shared" si="62"/>
        <v>5</v>
      </c>
      <c r="F8717" s="134" t="s">
        <v>3587</v>
      </c>
      <c r="G8717" s="63" t="str">
        <f>VLOOKUP(C8717, 'Class Def. - General Data'!$C$20:$C$1000,1,false)</f>
        <v>ZSI1_DRUM_EQP</v>
      </c>
      <c r="H8717" s="63" t="str">
        <f>IFERROR(__xludf.DUMMYFUNCTION("VLOOKUP(F8717, IMPORTRANGE(""https://docs.google.com/spreadsheets/d/1Lhp9OU0JdFf_VYSMzH5lBcEaU4o8teT1piV-SNzShjg/edit?gid=554141278#gid=554141278"", ""'Char Def. - Attributes'!C20:C2242""), 1,false)"),"PLANT_BUY")</f>
        <v>PLANT_BUY</v>
      </c>
      <c r="I8717" s="136"/>
      <c r="R8717" s="63" t="str">
        <f t="shared" si="60"/>
        <v>ZSI1_DRUM_EQPPLANT_BUY</v>
      </c>
    </row>
    <row r="8718" ht="15.75" customHeight="1">
      <c r="B8718" s="63">
        <f t="shared" si="1"/>
        <v>13</v>
      </c>
      <c r="C8718" s="135" t="s">
        <v>531</v>
      </c>
      <c r="D8718" s="161" t="s">
        <v>74</v>
      </c>
      <c r="E8718" s="135">
        <f t="shared" si="62"/>
        <v>6</v>
      </c>
      <c r="F8718" s="134" t="s">
        <v>4414</v>
      </c>
      <c r="G8718" s="63" t="str">
        <f>VLOOKUP(C8718, 'Class Def. - General Data'!$C$20:$C$1000,1,false)</f>
        <v>ZSI1_DRUM_EQP</v>
      </c>
      <c r="H8718" s="63" t="str">
        <f>IFERROR(__xludf.DUMMYFUNCTION("VLOOKUP(F8718, IMPORTRANGE(""https://docs.google.com/spreadsheets/d/1Lhp9OU0JdFf_VYSMzH5lBcEaU4o8teT1piV-SNzShjg/edit?gid=554141278#gid=554141278"", ""'Char Def. - Attributes'!C20:C2242""), 1,false)"),"BASE_UOM_DRUM_EQP")</f>
        <v>BASE_UOM_DRUM_EQP</v>
      </c>
      <c r="I8718" s="136"/>
      <c r="R8718" s="63" t="str">
        <f t="shared" si="60"/>
        <v>ZSI1_DRUM_EQPBASE_UOM_DRUM_EQP</v>
      </c>
    </row>
    <row r="8719" ht="15.75" customHeight="1">
      <c r="B8719" s="63">
        <f t="shared" si="1"/>
        <v>13</v>
      </c>
      <c r="C8719" s="135" t="s">
        <v>531</v>
      </c>
      <c r="D8719" s="161" t="s">
        <v>74</v>
      </c>
      <c r="E8719" s="135">
        <f t="shared" si="62"/>
        <v>7</v>
      </c>
      <c r="F8719" s="134" t="s">
        <v>4415</v>
      </c>
      <c r="G8719" s="63" t="str">
        <f>VLOOKUP(C8719, 'Class Def. - General Data'!$C$20:$C$1000,1,false)</f>
        <v>ZSI1_DRUM_EQP</v>
      </c>
      <c r="H8719" s="63" t="str">
        <f>IFERROR(__xludf.DUMMYFUNCTION("VLOOKUP(F8719, IMPORTRANGE(""https://docs.google.com/spreadsheets/d/1Lhp9OU0JdFf_VYSMzH5lBcEaU4o8teT1piV-SNzShjg/edit?gid=554141278#gid=554141278"", ""'Char Def. - Attributes'!C20:C2242""), 1,false)"),"ORDER_UNIT_DRUM_EQP")</f>
        <v>ORDER_UNIT_DRUM_EQP</v>
      </c>
      <c r="I8719" s="136"/>
      <c r="R8719" s="63" t="str">
        <f t="shared" si="60"/>
        <v>ZSI1_DRUM_EQPORDER_UNIT_DRUM_EQP</v>
      </c>
    </row>
    <row r="8720" ht="15.75" customHeight="1">
      <c r="B8720" s="63">
        <f t="shared" si="1"/>
        <v>13</v>
      </c>
      <c r="C8720" s="135" t="s">
        <v>531</v>
      </c>
      <c r="D8720" s="161" t="s">
        <v>74</v>
      </c>
      <c r="E8720" s="135">
        <f t="shared" si="62"/>
        <v>8</v>
      </c>
      <c r="F8720" s="134" t="s">
        <v>4056</v>
      </c>
      <c r="G8720" s="63" t="str">
        <f>VLOOKUP(C8720, 'Class Def. - General Data'!$C$20:$C$1000,1,false)</f>
        <v>ZSI1_DRUM_EQP</v>
      </c>
      <c r="H8720" s="63" t="str">
        <f>IFERROR(__xludf.DUMMYFUNCTION("VLOOKUP(F8720, IMPORTRANGE(""https://docs.google.com/spreadsheets/d/1Lhp9OU0JdFf_VYSMzH5lBcEaU4o8teT1piV-SNzShjg/edit?gid=554141278#gid=554141278"", ""'Char Def. - Attributes'!C20:C2242""), 1,false)"),"GROSS_WEIGHT_OPT")</f>
        <v>GROSS_WEIGHT_OPT</v>
      </c>
      <c r="I8720" s="136"/>
      <c r="R8720" s="63" t="str">
        <f t="shared" si="60"/>
        <v>ZSI1_DRUM_EQPGROSS_WEIGHT_OPT</v>
      </c>
    </row>
    <row r="8721" ht="15.75" customHeight="1">
      <c r="B8721" s="63">
        <f t="shared" si="1"/>
        <v>13</v>
      </c>
      <c r="C8721" s="135" t="s">
        <v>531</v>
      </c>
      <c r="D8721" s="161" t="s">
        <v>74</v>
      </c>
      <c r="E8721" s="135">
        <f t="shared" si="62"/>
        <v>9</v>
      </c>
      <c r="F8721" s="134" t="s">
        <v>4057</v>
      </c>
      <c r="G8721" s="63" t="str">
        <f>VLOOKUP(C8721, 'Class Def. - General Data'!$C$20:$C$1000,1,false)</f>
        <v>ZSI1_DRUM_EQP</v>
      </c>
      <c r="H8721" s="63" t="str">
        <f>IFERROR(__xludf.DUMMYFUNCTION("VLOOKUP(F8721, IMPORTRANGE(""https://docs.google.com/spreadsheets/d/1Lhp9OU0JdFf_VYSMzH5lBcEaU4o8teT1piV-SNzShjg/edit?gid=554141278#gid=554141278"", ""'Char Def. - Attributes'!C20:C2242""), 1,false)"),"NET_WEIGHT_OPT")</f>
        <v>NET_WEIGHT_OPT</v>
      </c>
      <c r="I8721" s="136"/>
      <c r="R8721" s="63" t="str">
        <f t="shared" si="60"/>
        <v>ZSI1_DRUM_EQPNET_WEIGHT_OPT</v>
      </c>
    </row>
    <row r="8722" ht="15.75" customHeight="1">
      <c r="B8722" s="63">
        <f t="shared" si="1"/>
        <v>13</v>
      </c>
      <c r="C8722" s="135" t="s">
        <v>531</v>
      </c>
      <c r="D8722" s="161" t="s">
        <v>74</v>
      </c>
      <c r="E8722" s="135">
        <f t="shared" si="62"/>
        <v>10</v>
      </c>
      <c r="F8722" s="134" t="s">
        <v>4058</v>
      </c>
      <c r="G8722" s="63" t="str">
        <f>VLOOKUP(C8722, 'Class Def. - General Data'!$C$20:$C$1000,1,false)</f>
        <v>ZSI1_DRUM_EQP</v>
      </c>
      <c r="H8722" s="63" t="str">
        <f>IFERROR(__xludf.DUMMYFUNCTION("VLOOKUP(F8722, IMPORTRANGE(""https://docs.google.com/spreadsheets/d/1Lhp9OU0JdFf_VYSMzH5lBcEaU4o8teT1piV-SNzShjg/edit?gid=554141278#gid=554141278"", ""'Char Def. - Attributes'!C20:C2242""), 1,false)"),"WEIGHT_UNIT_SI")</f>
        <v>WEIGHT_UNIT_SI</v>
      </c>
      <c r="I8722" s="136"/>
      <c r="R8722" s="63" t="str">
        <f t="shared" si="60"/>
        <v>ZSI1_DRUM_EQPWEIGHT_UNIT_SI</v>
      </c>
    </row>
    <row r="8723" ht="15.75" customHeight="1">
      <c r="B8723" s="63">
        <f t="shared" si="1"/>
        <v>13</v>
      </c>
      <c r="C8723" s="135" t="s">
        <v>531</v>
      </c>
      <c r="D8723" s="161" t="s">
        <v>74</v>
      </c>
      <c r="E8723" s="135">
        <f t="shared" si="62"/>
        <v>11</v>
      </c>
      <c r="F8723" s="134" t="s">
        <v>3877</v>
      </c>
      <c r="G8723" s="63" t="str">
        <f>VLOOKUP(C8723, 'Class Def. - General Data'!$C$20:$C$1000,1,false)</f>
        <v>ZSI1_DRUM_EQP</v>
      </c>
      <c r="H8723" s="63" t="str">
        <f>IFERROR(__xludf.DUMMYFUNCTION("VLOOKUP(F8723, IMPORTRANGE(""https://docs.google.com/spreadsheets/d/1Lhp9OU0JdFf_VYSMzH5lBcEaU4o8teT1piV-SNzShjg/edit?gid=554141278#gid=554141278"", ""'Char Def. - Attributes'!C20:C2242""), 1,false)"),"VOLUME_OPT")</f>
        <v>VOLUME_OPT</v>
      </c>
      <c r="I8723" s="136"/>
      <c r="R8723" s="63" t="str">
        <f t="shared" si="60"/>
        <v>ZSI1_DRUM_EQPVOLUME_OPT</v>
      </c>
    </row>
    <row r="8724" ht="15.75" customHeight="1">
      <c r="B8724" s="63">
        <f t="shared" si="1"/>
        <v>13</v>
      </c>
      <c r="C8724" s="135" t="s">
        <v>531</v>
      </c>
      <c r="D8724" s="161" t="s">
        <v>74</v>
      </c>
      <c r="E8724" s="135">
        <f t="shared" si="62"/>
        <v>12</v>
      </c>
      <c r="F8724" s="134" t="s">
        <v>4059</v>
      </c>
      <c r="G8724" s="63" t="str">
        <f>VLOOKUP(C8724, 'Class Def. - General Data'!$C$20:$C$1000,1,false)</f>
        <v>ZSI1_DRUM_EQP</v>
      </c>
      <c r="H8724" s="63" t="str">
        <f>IFERROR(__xludf.DUMMYFUNCTION("VLOOKUP(F8724, IMPORTRANGE(""https://docs.google.com/spreadsheets/d/1Lhp9OU0JdFf_VYSMzH5lBcEaU4o8teT1piV-SNzShjg/edit?gid=554141278#gid=554141278"", ""'Char Def. - Attributes'!C20:C2242""), 1,false)"),"VOLUME_UNIT_SI")</f>
        <v>VOLUME_UNIT_SI</v>
      </c>
      <c r="I8724" s="136"/>
      <c r="R8724" s="63" t="str">
        <f t="shared" si="60"/>
        <v>ZSI1_DRUM_EQPVOLUME_UNIT_SI</v>
      </c>
    </row>
    <row r="8725" ht="15.75" customHeight="1">
      <c r="B8725" s="63">
        <f t="shared" si="1"/>
        <v>13</v>
      </c>
      <c r="C8725" s="135" t="s">
        <v>531</v>
      </c>
      <c r="D8725" s="161" t="s">
        <v>74</v>
      </c>
      <c r="E8725" s="135">
        <f t="shared" si="62"/>
        <v>13</v>
      </c>
      <c r="F8725" s="134" t="s">
        <v>3804</v>
      </c>
      <c r="G8725" s="63" t="str">
        <f>VLOOKUP(C8725, 'Class Def. - General Data'!$C$20:$C$1000,1,false)</f>
        <v>ZSI1_DRUM_EQP</v>
      </c>
      <c r="H8725" s="63" t="str">
        <f>IFERROR(__xludf.DUMMYFUNCTION("VLOOKUP(F8725, IMPORTRANGE(""https://docs.google.com/spreadsheets/d/1Lhp9OU0JdFf_VYSMzH5lBcEaU4o8teT1piV-SNzShjg/edit?gid=554141278#gid=554141278"", ""'Char Def. - Attributes'!C20:C2242""), 1,false)"),"ALT_UOM1_SIPI")</f>
        <v>ALT_UOM1_SIPI</v>
      </c>
      <c r="I8725" s="136"/>
      <c r="R8725" s="63" t="str">
        <f t="shared" si="60"/>
        <v>ZSI1_DRUM_EQPALT_UOM1_SIPI</v>
      </c>
    </row>
    <row r="8726" ht="15.75" customHeight="1">
      <c r="B8726" s="63">
        <f t="shared" si="1"/>
        <v>13</v>
      </c>
      <c r="C8726" s="135" t="s">
        <v>531</v>
      </c>
      <c r="D8726" s="161" t="s">
        <v>74</v>
      </c>
      <c r="E8726" s="135">
        <f t="shared" si="62"/>
        <v>14</v>
      </c>
      <c r="F8726" s="134" t="s">
        <v>3805</v>
      </c>
      <c r="G8726" s="63" t="str">
        <f>VLOOKUP(C8726, 'Class Def. - General Data'!$C$20:$C$1000,1,false)</f>
        <v>ZSI1_DRUM_EQP</v>
      </c>
      <c r="H8726" s="63" t="str">
        <f>IFERROR(__xludf.DUMMYFUNCTION("VLOOKUP(F8726, IMPORTRANGE(""https://docs.google.com/spreadsheets/d/1Lhp9OU0JdFf_VYSMzH5lBcEaU4o8teT1piV-SNzShjg/edit?gid=554141278#gid=554141278"", ""'Char Def. - Attributes'!C20:C2242""), 1,false)"),"ALT_DENUM_UOM1")</f>
        <v>ALT_DENUM_UOM1</v>
      </c>
      <c r="I8726" s="136"/>
      <c r="R8726" s="63" t="str">
        <f t="shared" si="60"/>
        <v>ZSI1_DRUM_EQPALT_DENUM_UOM1</v>
      </c>
    </row>
    <row r="8727" ht="15.75" customHeight="1">
      <c r="B8727" s="63">
        <f t="shared" si="1"/>
        <v>13</v>
      </c>
      <c r="C8727" s="135" t="s">
        <v>531</v>
      </c>
      <c r="D8727" s="161" t="s">
        <v>74</v>
      </c>
      <c r="E8727" s="135">
        <f t="shared" si="62"/>
        <v>15</v>
      </c>
      <c r="F8727" s="134" t="s">
        <v>3806</v>
      </c>
      <c r="G8727" s="63" t="str">
        <f>VLOOKUP(C8727, 'Class Def. - General Data'!$C$20:$C$1000,1,false)</f>
        <v>ZSI1_DRUM_EQP</v>
      </c>
      <c r="H8727" s="63" t="str">
        <f>IFERROR(__xludf.DUMMYFUNCTION("VLOOKUP(F8727, IMPORTRANGE(""https://docs.google.com/spreadsheets/d/1Lhp9OU0JdFf_VYSMzH5lBcEaU4o8teT1piV-SNzShjg/edit?gid=554141278#gid=554141278"", ""'Char Def. - Attributes'!C20:C2242""), 1,false)"),"ALT_NUM_UOM1")</f>
        <v>ALT_NUM_UOM1</v>
      </c>
      <c r="I8727" s="136"/>
      <c r="R8727" s="63" t="str">
        <f t="shared" si="60"/>
        <v>ZSI1_DRUM_EQPALT_NUM_UOM1</v>
      </c>
    </row>
    <row r="8728" ht="15.75" customHeight="1">
      <c r="B8728" s="63">
        <f t="shared" si="1"/>
        <v>13</v>
      </c>
      <c r="C8728" s="135" t="s">
        <v>531</v>
      </c>
      <c r="D8728" s="161" t="s">
        <v>74</v>
      </c>
      <c r="E8728" s="135">
        <f t="shared" si="62"/>
        <v>16</v>
      </c>
      <c r="F8728" s="134" t="s">
        <v>3807</v>
      </c>
      <c r="G8728" s="63" t="str">
        <f>VLOOKUP(C8728, 'Class Def. - General Data'!$C$20:$C$1000,1,false)</f>
        <v>ZSI1_DRUM_EQP</v>
      </c>
      <c r="H8728" s="63" t="str">
        <f>IFERROR(__xludf.DUMMYFUNCTION("VLOOKUP(F8728, IMPORTRANGE(""https://docs.google.com/spreadsheets/d/1Lhp9OU0JdFf_VYSMzH5lBcEaU4o8teT1piV-SNzShjg/edit?gid=554141278#gid=554141278"", ""'Char Def. - Attributes'!C20:C2242""), 1,false)"),"ALT_UOM2_SIPI")</f>
        <v>ALT_UOM2_SIPI</v>
      </c>
      <c r="I8728" s="136"/>
      <c r="R8728" s="63" t="str">
        <f t="shared" si="60"/>
        <v>ZSI1_DRUM_EQPALT_UOM2_SIPI</v>
      </c>
    </row>
    <row r="8729" ht="15.75" customHeight="1">
      <c r="B8729" s="63">
        <f t="shared" si="1"/>
        <v>13</v>
      </c>
      <c r="C8729" s="135" t="s">
        <v>531</v>
      </c>
      <c r="D8729" s="161" t="s">
        <v>74</v>
      </c>
      <c r="E8729" s="135">
        <f t="shared" si="62"/>
        <v>17</v>
      </c>
      <c r="F8729" s="134" t="s">
        <v>3808</v>
      </c>
      <c r="G8729" s="63" t="str">
        <f>VLOOKUP(C8729, 'Class Def. - General Data'!$C$20:$C$1000,1,false)</f>
        <v>ZSI1_DRUM_EQP</v>
      </c>
      <c r="H8729" s="63" t="str">
        <f>IFERROR(__xludf.DUMMYFUNCTION("VLOOKUP(F8729, IMPORTRANGE(""https://docs.google.com/spreadsheets/d/1Lhp9OU0JdFf_VYSMzH5lBcEaU4o8teT1piV-SNzShjg/edit?gid=554141278#gid=554141278"", ""'Char Def. - Attributes'!C20:C2242""), 1,false)"),"ALT_DENUM_UOM2")</f>
        <v>ALT_DENUM_UOM2</v>
      </c>
      <c r="I8729" s="136"/>
      <c r="R8729" s="63" t="str">
        <f t="shared" si="60"/>
        <v>ZSI1_DRUM_EQPALT_DENUM_UOM2</v>
      </c>
    </row>
    <row r="8730" ht="15.75" customHeight="1">
      <c r="B8730" s="63">
        <f t="shared" si="1"/>
        <v>13</v>
      </c>
      <c r="C8730" s="135" t="s">
        <v>531</v>
      </c>
      <c r="D8730" s="161" t="s">
        <v>74</v>
      </c>
      <c r="E8730" s="135">
        <f t="shared" si="62"/>
        <v>18</v>
      </c>
      <c r="F8730" s="134" t="s">
        <v>3809</v>
      </c>
      <c r="G8730" s="63" t="str">
        <f>VLOOKUP(C8730, 'Class Def. - General Data'!$C$20:$C$1000,1,false)</f>
        <v>ZSI1_DRUM_EQP</v>
      </c>
      <c r="H8730" s="63" t="str">
        <f>IFERROR(__xludf.DUMMYFUNCTION("VLOOKUP(F8730, IMPORTRANGE(""https://docs.google.com/spreadsheets/d/1Lhp9OU0JdFf_VYSMzH5lBcEaU4o8teT1piV-SNzShjg/edit?gid=554141278#gid=554141278"", ""'Char Def. - Attributes'!C20:C2242""), 1,false)"),"ALT_NUM_UOM2")</f>
        <v>ALT_NUM_UOM2</v>
      </c>
      <c r="I8730" s="136"/>
      <c r="R8730" s="63" t="str">
        <f t="shared" si="60"/>
        <v>ZSI1_DRUM_EQPALT_NUM_UOM2</v>
      </c>
    </row>
    <row r="8731" ht="15.75" customHeight="1">
      <c r="B8731" s="63">
        <f t="shared" si="1"/>
        <v>13</v>
      </c>
      <c r="C8731" s="135" t="s">
        <v>531</v>
      </c>
      <c r="D8731" s="161" t="s">
        <v>74</v>
      </c>
      <c r="E8731" s="135">
        <f t="shared" si="62"/>
        <v>19</v>
      </c>
      <c r="F8731" s="134" t="s">
        <v>3810</v>
      </c>
      <c r="G8731" s="63" t="str">
        <f>VLOOKUP(C8731, 'Class Def. - General Data'!$C$20:$C$1000,1,false)</f>
        <v>ZSI1_DRUM_EQP</v>
      </c>
      <c r="H8731" s="63" t="str">
        <f>IFERROR(__xludf.DUMMYFUNCTION("VLOOKUP(F8731, IMPORTRANGE(""https://docs.google.com/spreadsheets/d/1Lhp9OU0JdFf_VYSMzH5lBcEaU4o8teT1piV-SNzShjg/edit?gid=554141278#gid=554141278"", ""'Char Def. - Attributes'!C20:C2242""), 1,false)"),"ALT_UOM3_SIPI")</f>
        <v>ALT_UOM3_SIPI</v>
      </c>
      <c r="I8731" s="136"/>
      <c r="R8731" s="63" t="str">
        <f t="shared" si="60"/>
        <v>ZSI1_DRUM_EQPALT_UOM3_SIPI</v>
      </c>
    </row>
    <row r="8732" ht="15.75" customHeight="1">
      <c r="B8732" s="63">
        <f t="shared" si="1"/>
        <v>13</v>
      </c>
      <c r="C8732" s="135" t="s">
        <v>531</v>
      </c>
      <c r="D8732" s="161" t="s">
        <v>74</v>
      </c>
      <c r="E8732" s="135">
        <f t="shared" si="62"/>
        <v>20</v>
      </c>
      <c r="F8732" s="134" t="s">
        <v>3811</v>
      </c>
      <c r="G8732" s="63" t="str">
        <f>VLOOKUP(C8732, 'Class Def. - General Data'!$C$20:$C$1000,1,false)</f>
        <v>ZSI1_DRUM_EQP</v>
      </c>
      <c r="H8732" s="63" t="str">
        <f>IFERROR(__xludf.DUMMYFUNCTION("VLOOKUP(F8732, IMPORTRANGE(""https://docs.google.com/spreadsheets/d/1Lhp9OU0JdFf_VYSMzH5lBcEaU4o8teT1piV-SNzShjg/edit?gid=554141278#gid=554141278"", ""'Char Def. - Attributes'!C20:C2242""), 1,false)"),"ALT_DENUM_UOM3")</f>
        <v>ALT_DENUM_UOM3</v>
      </c>
      <c r="I8732" s="136"/>
      <c r="R8732" s="63" t="str">
        <f t="shared" si="60"/>
        <v>ZSI1_DRUM_EQPALT_DENUM_UOM3</v>
      </c>
    </row>
    <row r="8733" ht="15.75" customHeight="1">
      <c r="B8733" s="63">
        <f t="shared" si="1"/>
        <v>13</v>
      </c>
      <c r="C8733" s="135" t="s">
        <v>531</v>
      </c>
      <c r="D8733" s="161" t="s">
        <v>74</v>
      </c>
      <c r="E8733" s="135">
        <f t="shared" si="62"/>
        <v>21</v>
      </c>
      <c r="F8733" s="134" t="s">
        <v>3812</v>
      </c>
      <c r="G8733" s="63" t="str">
        <f>VLOOKUP(C8733, 'Class Def. - General Data'!$C$20:$C$1000,1,false)</f>
        <v>ZSI1_DRUM_EQP</v>
      </c>
      <c r="H8733" s="63" t="str">
        <f>IFERROR(__xludf.DUMMYFUNCTION("VLOOKUP(F8733, IMPORTRANGE(""https://docs.google.com/spreadsheets/d/1Lhp9OU0JdFf_VYSMzH5lBcEaU4o8teT1piV-SNzShjg/edit?gid=554141278#gid=554141278"", ""'Char Def. - Attributes'!C20:C2242""), 1,false)"),"ALT_NUM_UOM3")</f>
        <v>ALT_NUM_UOM3</v>
      </c>
      <c r="I8733" s="136"/>
      <c r="R8733" s="63" t="str">
        <f t="shared" si="60"/>
        <v>ZSI1_DRUM_EQPALT_NUM_UOM3</v>
      </c>
    </row>
    <row r="8734" ht="15.75" customHeight="1">
      <c r="B8734" s="63">
        <f t="shared" si="1"/>
        <v>13</v>
      </c>
      <c r="C8734" s="135" t="s">
        <v>531</v>
      </c>
      <c r="D8734" s="161" t="s">
        <v>74</v>
      </c>
      <c r="E8734" s="135">
        <f t="shared" si="62"/>
        <v>22</v>
      </c>
      <c r="F8734" s="134" t="s">
        <v>3813</v>
      </c>
      <c r="G8734" s="63" t="str">
        <f>VLOOKUP(C8734, 'Class Def. - General Data'!$C$20:$C$1000,1,false)</f>
        <v>ZSI1_DRUM_EQP</v>
      </c>
      <c r="H8734" s="63" t="str">
        <f>IFERROR(__xludf.DUMMYFUNCTION("VLOOKUP(F8734, IMPORTRANGE(""https://docs.google.com/spreadsheets/d/1Lhp9OU0JdFf_VYSMzH5lBcEaU4o8teT1piV-SNzShjg/edit?gid=554141278#gid=554141278"", ""'Char Def. - Attributes'!C20:C2242""), 1,false)"),"ALT_UOM4_SIPI")</f>
        <v>ALT_UOM4_SIPI</v>
      </c>
      <c r="I8734" s="136"/>
      <c r="R8734" s="63" t="str">
        <f t="shared" si="60"/>
        <v>ZSI1_DRUM_EQPALT_UOM4_SIPI</v>
      </c>
    </row>
    <row r="8735" ht="15.75" customHeight="1">
      <c r="B8735" s="63">
        <f t="shared" si="1"/>
        <v>13</v>
      </c>
      <c r="C8735" s="135" t="s">
        <v>531</v>
      </c>
      <c r="D8735" s="161" t="s">
        <v>74</v>
      </c>
      <c r="E8735" s="135">
        <f t="shared" si="62"/>
        <v>23</v>
      </c>
      <c r="F8735" s="134" t="s">
        <v>3814</v>
      </c>
      <c r="G8735" s="63" t="str">
        <f>VLOOKUP(C8735, 'Class Def. - General Data'!$C$20:$C$1000,1,false)</f>
        <v>ZSI1_DRUM_EQP</v>
      </c>
      <c r="H8735" s="63" t="str">
        <f>IFERROR(__xludf.DUMMYFUNCTION("VLOOKUP(F8735, IMPORTRANGE(""https://docs.google.com/spreadsheets/d/1Lhp9OU0JdFf_VYSMzH5lBcEaU4o8teT1piV-SNzShjg/edit?gid=554141278#gid=554141278"", ""'Char Def. - Attributes'!C20:C2242""), 1,false)"),"ALT_DENUM_UOM4")</f>
        <v>ALT_DENUM_UOM4</v>
      </c>
      <c r="I8735" s="136"/>
      <c r="R8735" s="63" t="str">
        <f t="shared" si="60"/>
        <v>ZSI1_DRUM_EQPALT_DENUM_UOM4</v>
      </c>
    </row>
    <row r="8736" ht="15.75" customHeight="1">
      <c r="B8736" s="63">
        <f t="shared" si="1"/>
        <v>13</v>
      </c>
      <c r="C8736" s="135" t="s">
        <v>531</v>
      </c>
      <c r="D8736" s="161" t="s">
        <v>74</v>
      </c>
      <c r="E8736" s="135">
        <f t="shared" si="62"/>
        <v>24</v>
      </c>
      <c r="F8736" s="134" t="s">
        <v>3815</v>
      </c>
      <c r="G8736" s="63" t="str">
        <f>VLOOKUP(C8736, 'Class Def. - General Data'!$C$20:$C$1000,1,false)</f>
        <v>ZSI1_DRUM_EQP</v>
      </c>
      <c r="H8736" s="63" t="str">
        <f>IFERROR(__xludf.DUMMYFUNCTION("VLOOKUP(F8736, IMPORTRANGE(""https://docs.google.com/spreadsheets/d/1Lhp9OU0JdFf_VYSMzH5lBcEaU4o8teT1piV-SNzShjg/edit?gid=554141278#gid=554141278"", ""'Char Def. - Attributes'!C20:C2242""), 1,false)"),"ALT_NUM_UOM4")</f>
        <v>ALT_NUM_UOM4</v>
      </c>
      <c r="I8736" s="136"/>
      <c r="R8736" s="63" t="str">
        <f t="shared" si="60"/>
        <v>ZSI1_DRUM_EQPALT_NUM_UOM4</v>
      </c>
    </row>
    <row r="8737" ht="15.75" customHeight="1">
      <c r="B8737" s="63">
        <f t="shared" si="1"/>
        <v>13</v>
      </c>
      <c r="C8737" s="135" t="s">
        <v>531</v>
      </c>
      <c r="D8737" s="161" t="s">
        <v>74</v>
      </c>
      <c r="E8737" s="135">
        <f t="shared" si="62"/>
        <v>25</v>
      </c>
      <c r="F8737" s="134" t="s">
        <v>3816</v>
      </c>
      <c r="G8737" s="63" t="str">
        <f>VLOOKUP(C8737, 'Class Def. - General Data'!$C$20:$C$1000,1,false)</f>
        <v>ZSI1_DRUM_EQP</v>
      </c>
      <c r="H8737" s="63" t="str">
        <f>IFERROR(__xludf.DUMMYFUNCTION("VLOOKUP(F8737, IMPORTRANGE(""https://docs.google.com/spreadsheets/d/1Lhp9OU0JdFf_VYSMzH5lBcEaU4o8teT1piV-SNzShjg/edit?gid=554141278#gid=554141278"", ""'Char Def. - Attributes'!C20:C2242""), 1,false)"),"ALT_UOM5_SIPI")</f>
        <v>ALT_UOM5_SIPI</v>
      </c>
      <c r="I8737" s="136"/>
      <c r="R8737" s="63" t="str">
        <f t="shared" si="60"/>
        <v>ZSI1_DRUM_EQPALT_UOM5_SIPI</v>
      </c>
    </row>
    <row r="8738" ht="15.75" customHeight="1">
      <c r="B8738" s="63">
        <f t="shared" si="1"/>
        <v>13</v>
      </c>
      <c r="C8738" s="135" t="s">
        <v>531</v>
      </c>
      <c r="D8738" s="161" t="s">
        <v>74</v>
      </c>
      <c r="E8738" s="135">
        <f t="shared" si="62"/>
        <v>26</v>
      </c>
      <c r="F8738" s="134" t="s">
        <v>3817</v>
      </c>
      <c r="G8738" s="63" t="str">
        <f>VLOOKUP(C8738, 'Class Def. - General Data'!$C$20:$C$1000,1,false)</f>
        <v>ZSI1_DRUM_EQP</v>
      </c>
      <c r="H8738" s="63" t="str">
        <f>IFERROR(__xludf.DUMMYFUNCTION("VLOOKUP(F8738, IMPORTRANGE(""https://docs.google.com/spreadsheets/d/1Lhp9OU0JdFf_VYSMzH5lBcEaU4o8teT1piV-SNzShjg/edit?gid=554141278#gid=554141278"", ""'Char Def. - Attributes'!C20:C2242""), 1,false)"),"ALT_DENUM_UOM5")</f>
        <v>ALT_DENUM_UOM5</v>
      </c>
      <c r="I8738" s="136"/>
      <c r="R8738" s="63" t="str">
        <f t="shared" si="60"/>
        <v>ZSI1_DRUM_EQPALT_DENUM_UOM5</v>
      </c>
    </row>
    <row r="8739" ht="15.75" customHeight="1">
      <c r="B8739" s="63">
        <f t="shared" si="1"/>
        <v>13</v>
      </c>
      <c r="C8739" s="135" t="s">
        <v>531</v>
      </c>
      <c r="D8739" s="161" t="s">
        <v>74</v>
      </c>
      <c r="E8739" s="135">
        <f t="shared" si="62"/>
        <v>27</v>
      </c>
      <c r="F8739" s="134" t="s">
        <v>3818</v>
      </c>
      <c r="G8739" s="63" t="str">
        <f>VLOOKUP(C8739, 'Class Def. - General Data'!$C$20:$C$1000,1,false)</f>
        <v>ZSI1_DRUM_EQP</v>
      </c>
      <c r="H8739" s="63" t="str">
        <f>IFERROR(__xludf.DUMMYFUNCTION("VLOOKUP(F8739, IMPORTRANGE(""https://docs.google.com/spreadsheets/d/1Lhp9OU0JdFf_VYSMzH5lBcEaU4o8teT1piV-SNzShjg/edit?gid=554141278#gid=554141278"", ""'Char Def. - Attributes'!C20:C2242""), 1,false)"),"ALT_NUM_UOM5")</f>
        <v>ALT_NUM_UOM5</v>
      </c>
      <c r="I8739" s="136"/>
      <c r="R8739" s="63" t="str">
        <f t="shared" si="60"/>
        <v>ZSI1_DRUM_EQPALT_NUM_UOM5</v>
      </c>
    </row>
    <row r="8740" ht="15.75" customHeight="1">
      <c r="B8740" s="63">
        <f t="shared" si="1"/>
        <v>17</v>
      </c>
      <c r="C8740" s="135" t="s">
        <v>384</v>
      </c>
      <c r="D8740" s="161" t="s">
        <v>74</v>
      </c>
      <c r="E8740" s="135">
        <f t="shared" si="62"/>
        <v>1</v>
      </c>
      <c r="F8740" s="134" t="s">
        <v>4416</v>
      </c>
      <c r="G8740" s="63" t="str">
        <f>VLOOKUP(C8740, 'Class Def. - General Data'!$C$20:$C$1000,1,false)</f>
        <v>ZSI1_E_MONEY_CARD</v>
      </c>
      <c r="H8740" s="63" t="str">
        <f>IFERROR(__xludf.DUMMYFUNCTION("VLOOKUP(F8740, IMPORTRANGE(""https://docs.google.com/spreadsheets/d/1Lhp9OU0JdFf_VYSMzH5lBcEaU4o8teT1piV-SNzShjg/edit?gid=554141278#gid=554141278"", ""'Char Def. - Attributes'!C20:C2242""), 1,false)"),"ITEM_NAME_E_MONEY_CARD")</f>
        <v>ITEM_NAME_E_MONEY_CARD</v>
      </c>
      <c r="I8740" s="136"/>
      <c r="R8740" s="63" t="str">
        <f t="shared" si="60"/>
        <v>ZSI1_E_MONEY_CARDITEM_NAME_E_MONEY_CARD</v>
      </c>
    </row>
    <row r="8741" ht="15.75" customHeight="1">
      <c r="B8741" s="63">
        <f t="shared" si="1"/>
        <v>17</v>
      </c>
      <c r="C8741" s="135" t="s">
        <v>384</v>
      </c>
      <c r="D8741" s="161" t="s">
        <v>74</v>
      </c>
      <c r="E8741" s="135">
        <f t="shared" si="62"/>
        <v>2</v>
      </c>
      <c r="F8741" s="134" t="s">
        <v>4417</v>
      </c>
      <c r="G8741" s="63" t="str">
        <f>VLOOKUP(C8741, 'Class Def. - General Data'!$C$20:$C$1000,1,false)</f>
        <v>ZSI1_E_MONEY_CARD</v>
      </c>
      <c r="H8741" s="63" t="str">
        <f>IFERROR(__xludf.DUMMYFUNCTION("VLOOKUP(F8741, IMPORTRANGE(""https://docs.google.com/spreadsheets/d/1Lhp9OU0JdFf_VYSMzH5lBcEaU4o8teT1piV-SNzShjg/edit?gid=554141278#gid=554141278"", ""'Char Def. - Attributes'!C20:C2242""), 1,false)"),"CURRENCY_E_MONEY_CARD")</f>
        <v>CURRENCY_E_MONEY_CARD</v>
      </c>
      <c r="I8741" s="136"/>
      <c r="R8741" s="63" t="str">
        <f t="shared" si="60"/>
        <v>ZSI1_E_MONEY_CARDCURRENCY_E_MONEY_CARD</v>
      </c>
    </row>
    <row r="8742" ht="15.75" customHeight="1">
      <c r="B8742" s="63">
        <f t="shared" si="1"/>
        <v>17</v>
      </c>
      <c r="C8742" s="135" t="s">
        <v>384</v>
      </c>
      <c r="D8742" s="161" t="s">
        <v>74</v>
      </c>
      <c r="E8742" s="135">
        <f t="shared" si="62"/>
        <v>3</v>
      </c>
      <c r="F8742" s="134" t="s">
        <v>4418</v>
      </c>
      <c r="G8742" s="63" t="str">
        <f>VLOOKUP(C8742, 'Class Def. - General Data'!$C$20:$C$1000,1,false)</f>
        <v>ZSI1_E_MONEY_CARD</v>
      </c>
      <c r="H8742" s="63" t="str">
        <f>IFERROR(__xludf.DUMMYFUNCTION("VLOOKUP(F8742, IMPORTRANGE(""https://docs.google.com/spreadsheets/d/1Lhp9OU0JdFf_VYSMzH5lBcEaU4o8teT1piV-SNzShjg/edit?gid=554141278#gid=554141278"", ""'Char Def. - Attributes'!C20:C2242""), 1,false)"),"SALDO_AWAL_E_MONEY_CARD")</f>
        <v>SALDO_AWAL_E_MONEY_CARD</v>
      </c>
      <c r="I8742" s="136"/>
      <c r="R8742" s="63" t="str">
        <f t="shared" si="60"/>
        <v>ZSI1_E_MONEY_CARDSALDO_AWAL_E_MONEY_CARD</v>
      </c>
    </row>
    <row r="8743" ht="15.75" customHeight="1">
      <c r="B8743" s="63">
        <f t="shared" si="1"/>
        <v>17</v>
      </c>
      <c r="C8743" s="135" t="s">
        <v>384</v>
      </c>
      <c r="D8743" s="161" t="s">
        <v>74</v>
      </c>
      <c r="E8743" s="135">
        <f t="shared" si="62"/>
        <v>4</v>
      </c>
      <c r="F8743" s="134" t="s">
        <v>3779</v>
      </c>
      <c r="G8743" s="63" t="str">
        <f>VLOOKUP(C8743, 'Class Def. - General Data'!$C$20:$C$1000,1,false)</f>
        <v>ZSI1_E_MONEY_CARD</v>
      </c>
      <c r="H8743" s="63" t="str">
        <f>IFERROR(__xludf.DUMMYFUNCTION("VLOOKUP(F8743, IMPORTRANGE(""https://docs.google.com/spreadsheets/d/1Lhp9OU0JdFf_VYSMzH5lBcEaU4o8teT1piV-SNzShjg/edit?gid=554141278#gid=554141278"", ""'Char Def. - Attributes'!C20:C2242""), 1,false)"),"EMBOSSED_BRAND_WINGS")</f>
        <v>EMBOSSED_BRAND_WINGS</v>
      </c>
      <c r="I8743" s="136"/>
      <c r="R8743" s="63" t="str">
        <f t="shared" si="60"/>
        <v>ZSI1_E_MONEY_CARDEMBOSSED_BRAND_WINGS</v>
      </c>
    </row>
    <row r="8744" ht="15.75" customHeight="1">
      <c r="B8744" s="63">
        <f t="shared" si="1"/>
        <v>17</v>
      </c>
      <c r="C8744" s="135" t="s">
        <v>384</v>
      </c>
      <c r="D8744" s="161" t="s">
        <v>74</v>
      </c>
      <c r="E8744" s="135">
        <f t="shared" si="62"/>
        <v>5</v>
      </c>
      <c r="F8744" s="134" t="s">
        <v>3780</v>
      </c>
      <c r="G8744" s="63" t="str">
        <f>VLOOKUP(C8744, 'Class Def. - General Data'!$C$20:$C$1000,1,false)</f>
        <v>ZSI1_E_MONEY_CARD</v>
      </c>
      <c r="H8744" s="63" t="str">
        <f>IFERROR(__xludf.DUMMYFUNCTION("VLOOKUP(F8744, IMPORTRANGE(""https://docs.google.com/spreadsheets/d/1Lhp9OU0JdFf_VYSMzH5lBcEaU4o8teT1piV-SNzShjg/edit?gid=554141278#gid=554141278"", ""'Char Def. - Attributes'!C20:C2242""), 1,false)"),"BRAND_WINGS_SIPI")</f>
        <v>BRAND_WINGS_SIPI</v>
      </c>
      <c r="I8744" s="136"/>
      <c r="R8744" s="63" t="str">
        <f t="shared" si="60"/>
        <v>ZSI1_E_MONEY_CARDBRAND_WINGS_SIPI</v>
      </c>
    </row>
    <row r="8745" ht="15.75" customHeight="1">
      <c r="B8745" s="63">
        <f t="shared" si="1"/>
        <v>17</v>
      </c>
      <c r="C8745" s="135" t="s">
        <v>384</v>
      </c>
      <c r="D8745" s="161" t="s">
        <v>74</v>
      </c>
      <c r="E8745" s="135">
        <f t="shared" si="62"/>
        <v>6</v>
      </c>
      <c r="F8745" s="134" t="s">
        <v>3778</v>
      </c>
      <c r="G8745" s="63" t="str">
        <f>VLOOKUP(C8745, 'Class Def. - General Data'!$C$20:$C$1000,1,false)</f>
        <v>ZSI1_E_MONEY_CARD</v>
      </c>
      <c r="H8745" s="63" t="str">
        <f>IFERROR(__xludf.DUMMYFUNCTION("VLOOKUP(F8745, IMPORTRANGE(""https://docs.google.com/spreadsheets/d/1Lhp9OU0JdFf_VYSMzH5lBcEaU4o8teT1piV-SNzShjg/edit?gid=554141278#gid=554141278"", ""'Char Def. - Attributes'!C20:C2242""), 1,false)"),"SPECIAL_ACTIVITY")</f>
        <v>SPECIAL_ACTIVITY</v>
      </c>
      <c r="I8745" s="136"/>
      <c r="R8745" s="63" t="str">
        <f t="shared" si="60"/>
        <v>ZSI1_E_MONEY_CARDSPECIAL_ACTIVITY</v>
      </c>
    </row>
    <row r="8746" ht="15.75" customHeight="1">
      <c r="B8746" s="63">
        <f t="shared" si="1"/>
        <v>17</v>
      </c>
      <c r="C8746" s="135" t="s">
        <v>384</v>
      </c>
      <c r="D8746" s="161" t="s">
        <v>74</v>
      </c>
      <c r="E8746" s="135">
        <f t="shared" si="62"/>
        <v>7</v>
      </c>
      <c r="F8746" s="134" t="s">
        <v>3585</v>
      </c>
      <c r="G8746" s="63" t="str">
        <f>VLOOKUP(C8746, 'Class Def. - General Data'!$C$20:$C$1000,1,false)</f>
        <v>ZSI1_E_MONEY_CARD</v>
      </c>
      <c r="H8746" s="63" t="str">
        <f>IFERROR(__xludf.DUMMYFUNCTION("VLOOKUP(F8746, IMPORTRANGE(""https://docs.google.com/spreadsheets/d/1Lhp9OU0JdFf_VYSMzH5lBcEaU4o8teT1piV-SNzShjg/edit?gid=554141278#gid=554141278"", ""'Char Def. - Attributes'!C20:C2242""), 1,false)"),"HS_CODE")</f>
        <v>HS_CODE</v>
      </c>
      <c r="I8746" s="136"/>
      <c r="R8746" s="63" t="str">
        <f t="shared" si="60"/>
        <v>ZSI1_E_MONEY_CARDHS_CODE</v>
      </c>
    </row>
    <row r="8747" ht="15.75" customHeight="1">
      <c r="B8747" s="63">
        <f t="shared" si="1"/>
        <v>17</v>
      </c>
      <c r="C8747" s="135" t="s">
        <v>384</v>
      </c>
      <c r="D8747" s="161" t="s">
        <v>74</v>
      </c>
      <c r="E8747" s="135">
        <f t="shared" si="62"/>
        <v>8</v>
      </c>
      <c r="F8747" s="134" t="s">
        <v>3587</v>
      </c>
      <c r="G8747" s="63" t="str">
        <f>VLOOKUP(C8747, 'Class Def. - General Data'!$C$20:$C$1000,1,false)</f>
        <v>ZSI1_E_MONEY_CARD</v>
      </c>
      <c r="H8747" s="63" t="str">
        <f>IFERROR(__xludf.DUMMYFUNCTION("VLOOKUP(F8747, IMPORTRANGE(""https://docs.google.com/spreadsheets/d/1Lhp9OU0JdFf_VYSMzH5lBcEaU4o8teT1piV-SNzShjg/edit?gid=554141278#gid=554141278"", ""'Char Def. - Attributes'!C20:C2242""), 1,false)"),"PLANT_BUY")</f>
        <v>PLANT_BUY</v>
      </c>
      <c r="I8747" s="136"/>
      <c r="R8747" s="63" t="str">
        <f t="shared" si="60"/>
        <v>ZSI1_E_MONEY_CARDPLANT_BUY</v>
      </c>
    </row>
    <row r="8748" ht="15.75" customHeight="1">
      <c r="B8748" s="63">
        <f t="shared" si="1"/>
        <v>17</v>
      </c>
      <c r="C8748" s="135" t="s">
        <v>384</v>
      </c>
      <c r="D8748" s="161" t="s">
        <v>74</v>
      </c>
      <c r="E8748" s="135">
        <f t="shared" si="62"/>
        <v>9</v>
      </c>
      <c r="F8748" s="134" t="s">
        <v>4419</v>
      </c>
      <c r="G8748" s="63" t="str">
        <f>VLOOKUP(C8748, 'Class Def. - General Data'!$C$20:$C$1000,1,false)</f>
        <v>ZSI1_E_MONEY_CARD</v>
      </c>
      <c r="H8748" s="63" t="str">
        <f>IFERROR(__xludf.DUMMYFUNCTION("VLOOKUP(F8748, IMPORTRANGE(""https://docs.google.com/spreadsheets/d/1Lhp9OU0JdFf_VYSMzH5lBcEaU4o8teT1piV-SNzShjg/edit?gid=554141278#gid=554141278"", ""'Char Def. - Attributes'!C20:C2242""), 1,false)"),"BASE_UOM_E_MONEY_CARD")</f>
        <v>BASE_UOM_E_MONEY_CARD</v>
      </c>
      <c r="I8748" s="136"/>
      <c r="R8748" s="63" t="str">
        <f t="shared" si="60"/>
        <v>ZSI1_E_MONEY_CARDBASE_UOM_E_MONEY_CARD</v>
      </c>
    </row>
    <row r="8749" ht="15.75" customHeight="1">
      <c r="B8749" s="63">
        <f t="shared" si="1"/>
        <v>17</v>
      </c>
      <c r="C8749" s="135" t="s">
        <v>384</v>
      </c>
      <c r="D8749" s="161" t="s">
        <v>74</v>
      </c>
      <c r="E8749" s="135">
        <f t="shared" si="62"/>
        <v>10</v>
      </c>
      <c r="F8749" s="134" t="s">
        <v>4420</v>
      </c>
      <c r="G8749" s="63" t="str">
        <f>VLOOKUP(C8749, 'Class Def. - General Data'!$C$20:$C$1000,1,false)</f>
        <v>ZSI1_E_MONEY_CARD</v>
      </c>
      <c r="H8749" s="63" t="str">
        <f>IFERROR(__xludf.DUMMYFUNCTION("VLOOKUP(F8749, IMPORTRANGE(""https://docs.google.com/spreadsheets/d/1Lhp9OU0JdFf_VYSMzH5lBcEaU4o8teT1piV-SNzShjg/edit?gid=554141278#gid=554141278"", ""'Char Def. - Attributes'!C20:C2242""), 1,false)"),"ORDER_UNIT_E_MONEY_CARD")</f>
        <v>ORDER_UNIT_E_MONEY_CARD</v>
      </c>
      <c r="I8749" s="136"/>
      <c r="R8749" s="63" t="str">
        <f t="shared" si="60"/>
        <v>ZSI1_E_MONEY_CARDORDER_UNIT_E_MONEY_CARD</v>
      </c>
    </row>
    <row r="8750" ht="15.75" customHeight="1">
      <c r="B8750" s="63">
        <f t="shared" si="1"/>
        <v>17</v>
      </c>
      <c r="C8750" s="135" t="s">
        <v>384</v>
      </c>
      <c r="D8750" s="161" t="s">
        <v>74</v>
      </c>
      <c r="E8750" s="135">
        <f t="shared" si="62"/>
        <v>11</v>
      </c>
      <c r="F8750" s="134" t="s">
        <v>4056</v>
      </c>
      <c r="G8750" s="63" t="str">
        <f>VLOOKUP(C8750, 'Class Def. - General Data'!$C$20:$C$1000,1,false)</f>
        <v>ZSI1_E_MONEY_CARD</v>
      </c>
      <c r="H8750" s="63" t="str">
        <f>IFERROR(__xludf.DUMMYFUNCTION("VLOOKUP(F8750, IMPORTRANGE(""https://docs.google.com/spreadsheets/d/1Lhp9OU0JdFf_VYSMzH5lBcEaU4o8teT1piV-SNzShjg/edit?gid=554141278#gid=554141278"", ""'Char Def. - Attributes'!C20:C2242""), 1,false)"),"GROSS_WEIGHT_OPT")</f>
        <v>GROSS_WEIGHT_OPT</v>
      </c>
      <c r="I8750" s="136"/>
      <c r="R8750" s="63" t="str">
        <f t="shared" si="60"/>
        <v>ZSI1_E_MONEY_CARDGROSS_WEIGHT_OPT</v>
      </c>
    </row>
    <row r="8751" ht="15.75" customHeight="1">
      <c r="B8751" s="63">
        <f t="shared" si="1"/>
        <v>17</v>
      </c>
      <c r="C8751" s="135" t="s">
        <v>384</v>
      </c>
      <c r="D8751" s="161" t="s">
        <v>74</v>
      </c>
      <c r="E8751" s="135">
        <f t="shared" si="62"/>
        <v>12</v>
      </c>
      <c r="F8751" s="134" t="s">
        <v>4057</v>
      </c>
      <c r="G8751" s="63" t="str">
        <f>VLOOKUP(C8751, 'Class Def. - General Data'!$C$20:$C$1000,1,false)</f>
        <v>ZSI1_E_MONEY_CARD</v>
      </c>
      <c r="H8751" s="63" t="str">
        <f>IFERROR(__xludf.DUMMYFUNCTION("VLOOKUP(F8751, IMPORTRANGE(""https://docs.google.com/spreadsheets/d/1Lhp9OU0JdFf_VYSMzH5lBcEaU4o8teT1piV-SNzShjg/edit?gid=554141278#gid=554141278"", ""'Char Def. - Attributes'!C20:C2242""), 1,false)"),"NET_WEIGHT_OPT")</f>
        <v>NET_WEIGHT_OPT</v>
      </c>
      <c r="I8751" s="136"/>
      <c r="R8751" s="63" t="str">
        <f t="shared" si="60"/>
        <v>ZSI1_E_MONEY_CARDNET_WEIGHT_OPT</v>
      </c>
    </row>
    <row r="8752" ht="15.75" customHeight="1">
      <c r="B8752" s="63">
        <f t="shared" si="1"/>
        <v>17</v>
      </c>
      <c r="C8752" s="135" t="s">
        <v>384</v>
      </c>
      <c r="D8752" s="161" t="s">
        <v>74</v>
      </c>
      <c r="E8752" s="135">
        <f t="shared" si="62"/>
        <v>13</v>
      </c>
      <c r="F8752" s="134" t="s">
        <v>4058</v>
      </c>
      <c r="G8752" s="63" t="str">
        <f>VLOOKUP(C8752, 'Class Def. - General Data'!$C$20:$C$1000,1,false)</f>
        <v>ZSI1_E_MONEY_CARD</v>
      </c>
      <c r="H8752" s="63" t="str">
        <f>IFERROR(__xludf.DUMMYFUNCTION("VLOOKUP(F8752, IMPORTRANGE(""https://docs.google.com/spreadsheets/d/1Lhp9OU0JdFf_VYSMzH5lBcEaU4o8teT1piV-SNzShjg/edit?gid=554141278#gid=554141278"", ""'Char Def. - Attributes'!C20:C2242""), 1,false)"),"WEIGHT_UNIT_SI")</f>
        <v>WEIGHT_UNIT_SI</v>
      </c>
      <c r="I8752" s="136"/>
      <c r="R8752" s="63" t="str">
        <f t="shared" si="60"/>
        <v>ZSI1_E_MONEY_CARDWEIGHT_UNIT_SI</v>
      </c>
    </row>
    <row r="8753" ht="15.75" customHeight="1">
      <c r="B8753" s="63">
        <f t="shared" si="1"/>
        <v>17</v>
      </c>
      <c r="C8753" s="135" t="s">
        <v>384</v>
      </c>
      <c r="D8753" s="161" t="s">
        <v>74</v>
      </c>
      <c r="E8753" s="135">
        <f t="shared" si="62"/>
        <v>14</v>
      </c>
      <c r="F8753" s="134" t="s">
        <v>3877</v>
      </c>
      <c r="G8753" s="63" t="str">
        <f>VLOOKUP(C8753, 'Class Def. - General Data'!$C$20:$C$1000,1,false)</f>
        <v>ZSI1_E_MONEY_CARD</v>
      </c>
      <c r="H8753" s="63" t="str">
        <f>IFERROR(__xludf.DUMMYFUNCTION("VLOOKUP(F8753, IMPORTRANGE(""https://docs.google.com/spreadsheets/d/1Lhp9OU0JdFf_VYSMzH5lBcEaU4o8teT1piV-SNzShjg/edit?gid=554141278#gid=554141278"", ""'Char Def. - Attributes'!C20:C2242""), 1,false)"),"VOLUME_OPT")</f>
        <v>VOLUME_OPT</v>
      </c>
      <c r="I8753" s="136"/>
      <c r="R8753" s="63" t="str">
        <f t="shared" si="60"/>
        <v>ZSI1_E_MONEY_CARDVOLUME_OPT</v>
      </c>
    </row>
    <row r="8754" ht="15.75" customHeight="1">
      <c r="B8754" s="63">
        <f t="shared" si="1"/>
        <v>17</v>
      </c>
      <c r="C8754" s="135" t="s">
        <v>384</v>
      </c>
      <c r="D8754" s="161" t="s">
        <v>74</v>
      </c>
      <c r="E8754" s="135">
        <f t="shared" si="62"/>
        <v>15</v>
      </c>
      <c r="F8754" s="134" t="s">
        <v>4059</v>
      </c>
      <c r="G8754" s="63" t="str">
        <f>VLOOKUP(C8754, 'Class Def. - General Data'!$C$20:$C$1000,1,false)</f>
        <v>ZSI1_E_MONEY_CARD</v>
      </c>
      <c r="H8754" s="63" t="str">
        <f>IFERROR(__xludf.DUMMYFUNCTION("VLOOKUP(F8754, IMPORTRANGE(""https://docs.google.com/spreadsheets/d/1Lhp9OU0JdFf_VYSMzH5lBcEaU4o8teT1piV-SNzShjg/edit?gid=554141278#gid=554141278"", ""'Char Def. - Attributes'!C20:C2242""), 1,false)"),"VOLUME_UNIT_SI")</f>
        <v>VOLUME_UNIT_SI</v>
      </c>
      <c r="I8754" s="136"/>
      <c r="R8754" s="63" t="str">
        <f t="shared" si="60"/>
        <v>ZSI1_E_MONEY_CARDVOLUME_UNIT_SI</v>
      </c>
    </row>
    <row r="8755" ht="15.75" customHeight="1">
      <c r="B8755" s="63">
        <f t="shared" si="1"/>
        <v>17</v>
      </c>
      <c r="C8755" s="135" t="s">
        <v>384</v>
      </c>
      <c r="D8755" s="161" t="s">
        <v>74</v>
      </c>
      <c r="E8755" s="135">
        <f t="shared" si="62"/>
        <v>16</v>
      </c>
      <c r="F8755" s="134" t="s">
        <v>3804</v>
      </c>
      <c r="G8755" s="63" t="str">
        <f>VLOOKUP(C8755, 'Class Def. - General Data'!$C$20:$C$1000,1,false)</f>
        <v>ZSI1_E_MONEY_CARD</v>
      </c>
      <c r="H8755" s="63" t="str">
        <f>IFERROR(__xludf.DUMMYFUNCTION("VLOOKUP(F8755, IMPORTRANGE(""https://docs.google.com/spreadsheets/d/1Lhp9OU0JdFf_VYSMzH5lBcEaU4o8teT1piV-SNzShjg/edit?gid=554141278#gid=554141278"", ""'Char Def. - Attributes'!C20:C2242""), 1,false)"),"ALT_UOM1_SIPI")</f>
        <v>ALT_UOM1_SIPI</v>
      </c>
      <c r="I8755" s="136"/>
      <c r="R8755" s="63" t="str">
        <f t="shared" si="60"/>
        <v>ZSI1_E_MONEY_CARDALT_UOM1_SIPI</v>
      </c>
    </row>
    <row r="8756" ht="15.75" customHeight="1">
      <c r="B8756" s="63">
        <f t="shared" si="1"/>
        <v>17</v>
      </c>
      <c r="C8756" s="135" t="s">
        <v>384</v>
      </c>
      <c r="D8756" s="161" t="s">
        <v>74</v>
      </c>
      <c r="E8756" s="135">
        <f t="shared" si="62"/>
        <v>17</v>
      </c>
      <c r="F8756" s="134" t="s">
        <v>3805</v>
      </c>
      <c r="G8756" s="63" t="str">
        <f>VLOOKUP(C8756, 'Class Def. - General Data'!$C$20:$C$1000,1,false)</f>
        <v>ZSI1_E_MONEY_CARD</v>
      </c>
      <c r="H8756" s="63" t="str">
        <f>IFERROR(__xludf.DUMMYFUNCTION("VLOOKUP(F8756, IMPORTRANGE(""https://docs.google.com/spreadsheets/d/1Lhp9OU0JdFf_VYSMzH5lBcEaU4o8teT1piV-SNzShjg/edit?gid=554141278#gid=554141278"", ""'Char Def. - Attributes'!C20:C2242""), 1,false)"),"ALT_DENUM_UOM1")</f>
        <v>ALT_DENUM_UOM1</v>
      </c>
      <c r="I8756" s="136"/>
      <c r="R8756" s="63" t="str">
        <f t="shared" si="60"/>
        <v>ZSI1_E_MONEY_CARDALT_DENUM_UOM1</v>
      </c>
    </row>
    <row r="8757" ht="15.75" customHeight="1">
      <c r="B8757" s="63">
        <f t="shared" si="1"/>
        <v>17</v>
      </c>
      <c r="C8757" s="135" t="s">
        <v>384</v>
      </c>
      <c r="D8757" s="161" t="s">
        <v>74</v>
      </c>
      <c r="E8757" s="135">
        <f t="shared" si="62"/>
        <v>18</v>
      </c>
      <c r="F8757" s="134" t="s">
        <v>3806</v>
      </c>
      <c r="G8757" s="63" t="str">
        <f>VLOOKUP(C8757, 'Class Def. - General Data'!$C$20:$C$1000,1,false)</f>
        <v>ZSI1_E_MONEY_CARD</v>
      </c>
      <c r="H8757" s="63" t="str">
        <f>IFERROR(__xludf.DUMMYFUNCTION("VLOOKUP(F8757, IMPORTRANGE(""https://docs.google.com/spreadsheets/d/1Lhp9OU0JdFf_VYSMzH5lBcEaU4o8teT1piV-SNzShjg/edit?gid=554141278#gid=554141278"", ""'Char Def. - Attributes'!C20:C2242""), 1,false)"),"ALT_NUM_UOM1")</f>
        <v>ALT_NUM_UOM1</v>
      </c>
      <c r="I8757" s="136"/>
      <c r="R8757" s="63" t="str">
        <f t="shared" si="60"/>
        <v>ZSI1_E_MONEY_CARDALT_NUM_UOM1</v>
      </c>
    </row>
    <row r="8758" ht="15.75" customHeight="1">
      <c r="B8758" s="63">
        <f t="shared" si="1"/>
        <v>17</v>
      </c>
      <c r="C8758" s="135" t="s">
        <v>384</v>
      </c>
      <c r="D8758" s="161" t="s">
        <v>74</v>
      </c>
      <c r="E8758" s="135">
        <f t="shared" si="62"/>
        <v>19</v>
      </c>
      <c r="F8758" s="134" t="s">
        <v>3807</v>
      </c>
      <c r="G8758" s="63" t="str">
        <f>VLOOKUP(C8758, 'Class Def. - General Data'!$C$20:$C$1000,1,false)</f>
        <v>ZSI1_E_MONEY_CARD</v>
      </c>
      <c r="H8758" s="63" t="str">
        <f>IFERROR(__xludf.DUMMYFUNCTION("VLOOKUP(F8758, IMPORTRANGE(""https://docs.google.com/spreadsheets/d/1Lhp9OU0JdFf_VYSMzH5lBcEaU4o8teT1piV-SNzShjg/edit?gid=554141278#gid=554141278"", ""'Char Def. - Attributes'!C20:C2242""), 1,false)"),"ALT_UOM2_SIPI")</f>
        <v>ALT_UOM2_SIPI</v>
      </c>
      <c r="I8758" s="136"/>
      <c r="R8758" s="63" t="str">
        <f t="shared" si="60"/>
        <v>ZSI1_E_MONEY_CARDALT_UOM2_SIPI</v>
      </c>
    </row>
    <row r="8759" ht="15.75" customHeight="1">
      <c r="B8759" s="63">
        <f t="shared" si="1"/>
        <v>17</v>
      </c>
      <c r="C8759" s="135" t="s">
        <v>384</v>
      </c>
      <c r="D8759" s="161" t="s">
        <v>74</v>
      </c>
      <c r="E8759" s="135">
        <f t="shared" si="62"/>
        <v>20</v>
      </c>
      <c r="F8759" s="134" t="s">
        <v>3808</v>
      </c>
      <c r="G8759" s="63" t="str">
        <f>VLOOKUP(C8759, 'Class Def. - General Data'!$C$20:$C$1000,1,false)</f>
        <v>ZSI1_E_MONEY_CARD</v>
      </c>
      <c r="H8759" s="63" t="str">
        <f>IFERROR(__xludf.DUMMYFUNCTION("VLOOKUP(F8759, IMPORTRANGE(""https://docs.google.com/spreadsheets/d/1Lhp9OU0JdFf_VYSMzH5lBcEaU4o8teT1piV-SNzShjg/edit?gid=554141278#gid=554141278"", ""'Char Def. - Attributes'!C20:C2242""), 1,false)"),"ALT_DENUM_UOM2")</f>
        <v>ALT_DENUM_UOM2</v>
      </c>
      <c r="I8759" s="136"/>
      <c r="R8759" s="63" t="str">
        <f t="shared" si="60"/>
        <v>ZSI1_E_MONEY_CARDALT_DENUM_UOM2</v>
      </c>
    </row>
    <row r="8760" ht="15.75" customHeight="1">
      <c r="B8760" s="63">
        <f t="shared" si="1"/>
        <v>17</v>
      </c>
      <c r="C8760" s="135" t="s">
        <v>384</v>
      </c>
      <c r="D8760" s="161" t="s">
        <v>74</v>
      </c>
      <c r="E8760" s="135">
        <f t="shared" si="62"/>
        <v>21</v>
      </c>
      <c r="F8760" s="134" t="s">
        <v>3809</v>
      </c>
      <c r="G8760" s="63" t="str">
        <f>VLOOKUP(C8760, 'Class Def. - General Data'!$C$20:$C$1000,1,false)</f>
        <v>ZSI1_E_MONEY_CARD</v>
      </c>
      <c r="H8760" s="63" t="str">
        <f>IFERROR(__xludf.DUMMYFUNCTION("VLOOKUP(F8760, IMPORTRANGE(""https://docs.google.com/spreadsheets/d/1Lhp9OU0JdFf_VYSMzH5lBcEaU4o8teT1piV-SNzShjg/edit?gid=554141278#gid=554141278"", ""'Char Def. - Attributes'!C20:C2242""), 1,false)"),"ALT_NUM_UOM2")</f>
        <v>ALT_NUM_UOM2</v>
      </c>
      <c r="I8760" s="136"/>
      <c r="R8760" s="63" t="str">
        <f t="shared" si="60"/>
        <v>ZSI1_E_MONEY_CARDALT_NUM_UOM2</v>
      </c>
    </row>
    <row r="8761" ht="15.75" customHeight="1">
      <c r="B8761" s="63">
        <f t="shared" si="1"/>
        <v>17</v>
      </c>
      <c r="C8761" s="135" t="s">
        <v>384</v>
      </c>
      <c r="D8761" s="161" t="s">
        <v>74</v>
      </c>
      <c r="E8761" s="135">
        <f t="shared" si="62"/>
        <v>22</v>
      </c>
      <c r="F8761" s="134" t="s">
        <v>3810</v>
      </c>
      <c r="G8761" s="63" t="str">
        <f>VLOOKUP(C8761, 'Class Def. - General Data'!$C$20:$C$1000,1,false)</f>
        <v>ZSI1_E_MONEY_CARD</v>
      </c>
      <c r="H8761" s="63" t="str">
        <f>IFERROR(__xludf.DUMMYFUNCTION("VLOOKUP(F8761, IMPORTRANGE(""https://docs.google.com/spreadsheets/d/1Lhp9OU0JdFf_VYSMzH5lBcEaU4o8teT1piV-SNzShjg/edit?gid=554141278#gid=554141278"", ""'Char Def. - Attributes'!C20:C2242""), 1,false)"),"ALT_UOM3_SIPI")</f>
        <v>ALT_UOM3_SIPI</v>
      </c>
      <c r="I8761" s="136"/>
      <c r="R8761" s="63" t="str">
        <f t="shared" si="60"/>
        <v>ZSI1_E_MONEY_CARDALT_UOM3_SIPI</v>
      </c>
    </row>
    <row r="8762" ht="15.75" customHeight="1">
      <c r="B8762" s="63">
        <f t="shared" si="1"/>
        <v>17</v>
      </c>
      <c r="C8762" s="135" t="s">
        <v>384</v>
      </c>
      <c r="D8762" s="161" t="s">
        <v>74</v>
      </c>
      <c r="E8762" s="135">
        <f t="shared" si="62"/>
        <v>23</v>
      </c>
      <c r="F8762" s="134" t="s">
        <v>3811</v>
      </c>
      <c r="G8762" s="63" t="str">
        <f>VLOOKUP(C8762, 'Class Def. - General Data'!$C$20:$C$1000,1,false)</f>
        <v>ZSI1_E_MONEY_CARD</v>
      </c>
      <c r="H8762" s="63" t="str">
        <f>IFERROR(__xludf.DUMMYFUNCTION("VLOOKUP(F8762, IMPORTRANGE(""https://docs.google.com/spreadsheets/d/1Lhp9OU0JdFf_VYSMzH5lBcEaU4o8teT1piV-SNzShjg/edit?gid=554141278#gid=554141278"", ""'Char Def. - Attributes'!C20:C2242""), 1,false)"),"ALT_DENUM_UOM3")</f>
        <v>ALT_DENUM_UOM3</v>
      </c>
      <c r="I8762" s="136"/>
      <c r="R8762" s="63" t="str">
        <f t="shared" si="60"/>
        <v>ZSI1_E_MONEY_CARDALT_DENUM_UOM3</v>
      </c>
    </row>
    <row r="8763" ht="15.75" customHeight="1">
      <c r="B8763" s="63">
        <f t="shared" si="1"/>
        <v>17</v>
      </c>
      <c r="C8763" s="135" t="s">
        <v>384</v>
      </c>
      <c r="D8763" s="161" t="s">
        <v>74</v>
      </c>
      <c r="E8763" s="135">
        <f t="shared" si="62"/>
        <v>24</v>
      </c>
      <c r="F8763" s="134" t="s">
        <v>3812</v>
      </c>
      <c r="G8763" s="63" t="str">
        <f>VLOOKUP(C8763, 'Class Def. - General Data'!$C$20:$C$1000,1,false)</f>
        <v>ZSI1_E_MONEY_CARD</v>
      </c>
      <c r="H8763" s="63" t="str">
        <f>IFERROR(__xludf.DUMMYFUNCTION("VLOOKUP(F8763, IMPORTRANGE(""https://docs.google.com/spreadsheets/d/1Lhp9OU0JdFf_VYSMzH5lBcEaU4o8teT1piV-SNzShjg/edit?gid=554141278#gid=554141278"", ""'Char Def. - Attributes'!C20:C2242""), 1,false)"),"ALT_NUM_UOM3")</f>
        <v>ALT_NUM_UOM3</v>
      </c>
      <c r="I8763" s="136"/>
      <c r="R8763" s="63" t="str">
        <f t="shared" si="60"/>
        <v>ZSI1_E_MONEY_CARDALT_NUM_UOM3</v>
      </c>
    </row>
    <row r="8764" ht="15.75" customHeight="1">
      <c r="B8764" s="63">
        <f t="shared" si="1"/>
        <v>17</v>
      </c>
      <c r="C8764" s="135" t="s">
        <v>384</v>
      </c>
      <c r="D8764" s="161" t="s">
        <v>74</v>
      </c>
      <c r="E8764" s="135">
        <f t="shared" si="62"/>
        <v>25</v>
      </c>
      <c r="F8764" s="134" t="s">
        <v>3813</v>
      </c>
      <c r="G8764" s="63" t="str">
        <f>VLOOKUP(C8764, 'Class Def. - General Data'!$C$20:$C$1000,1,false)</f>
        <v>ZSI1_E_MONEY_CARD</v>
      </c>
      <c r="H8764" s="63" t="str">
        <f>IFERROR(__xludf.DUMMYFUNCTION("VLOOKUP(F8764, IMPORTRANGE(""https://docs.google.com/spreadsheets/d/1Lhp9OU0JdFf_VYSMzH5lBcEaU4o8teT1piV-SNzShjg/edit?gid=554141278#gid=554141278"", ""'Char Def. - Attributes'!C20:C2242""), 1,false)"),"ALT_UOM4_SIPI")</f>
        <v>ALT_UOM4_SIPI</v>
      </c>
      <c r="I8764" s="136"/>
      <c r="R8764" s="63" t="str">
        <f t="shared" si="60"/>
        <v>ZSI1_E_MONEY_CARDALT_UOM4_SIPI</v>
      </c>
    </row>
    <row r="8765" ht="15.75" customHeight="1">
      <c r="B8765" s="63">
        <f t="shared" si="1"/>
        <v>17</v>
      </c>
      <c r="C8765" s="135" t="s">
        <v>384</v>
      </c>
      <c r="D8765" s="161" t="s">
        <v>74</v>
      </c>
      <c r="E8765" s="135">
        <f t="shared" si="62"/>
        <v>26</v>
      </c>
      <c r="F8765" s="134" t="s">
        <v>3814</v>
      </c>
      <c r="G8765" s="63" t="str">
        <f>VLOOKUP(C8765, 'Class Def. - General Data'!$C$20:$C$1000,1,false)</f>
        <v>ZSI1_E_MONEY_CARD</v>
      </c>
      <c r="H8765" s="63" t="str">
        <f>IFERROR(__xludf.DUMMYFUNCTION("VLOOKUP(F8765, IMPORTRANGE(""https://docs.google.com/spreadsheets/d/1Lhp9OU0JdFf_VYSMzH5lBcEaU4o8teT1piV-SNzShjg/edit?gid=554141278#gid=554141278"", ""'Char Def. - Attributes'!C20:C2242""), 1,false)"),"ALT_DENUM_UOM4")</f>
        <v>ALT_DENUM_UOM4</v>
      </c>
      <c r="I8765" s="136"/>
      <c r="R8765" s="63" t="str">
        <f t="shared" si="60"/>
        <v>ZSI1_E_MONEY_CARDALT_DENUM_UOM4</v>
      </c>
    </row>
    <row r="8766" ht="15.75" customHeight="1">
      <c r="B8766" s="63">
        <f t="shared" si="1"/>
        <v>17</v>
      </c>
      <c r="C8766" s="135" t="s">
        <v>384</v>
      </c>
      <c r="D8766" s="161" t="s">
        <v>74</v>
      </c>
      <c r="E8766" s="135">
        <f t="shared" si="62"/>
        <v>27</v>
      </c>
      <c r="F8766" s="134" t="s">
        <v>3815</v>
      </c>
      <c r="G8766" s="63" t="str">
        <f>VLOOKUP(C8766, 'Class Def. - General Data'!$C$20:$C$1000,1,false)</f>
        <v>ZSI1_E_MONEY_CARD</v>
      </c>
      <c r="H8766" s="63" t="str">
        <f>IFERROR(__xludf.DUMMYFUNCTION("VLOOKUP(F8766, IMPORTRANGE(""https://docs.google.com/spreadsheets/d/1Lhp9OU0JdFf_VYSMzH5lBcEaU4o8teT1piV-SNzShjg/edit?gid=554141278#gid=554141278"", ""'Char Def. - Attributes'!C20:C2242""), 1,false)"),"ALT_NUM_UOM4")</f>
        <v>ALT_NUM_UOM4</v>
      </c>
      <c r="I8766" s="136"/>
      <c r="R8766" s="63" t="str">
        <f t="shared" si="60"/>
        <v>ZSI1_E_MONEY_CARDALT_NUM_UOM4</v>
      </c>
    </row>
    <row r="8767" ht="15.75" customHeight="1">
      <c r="B8767" s="63">
        <f t="shared" si="1"/>
        <v>17</v>
      </c>
      <c r="C8767" s="135" t="s">
        <v>384</v>
      </c>
      <c r="D8767" s="161" t="s">
        <v>74</v>
      </c>
      <c r="E8767" s="135">
        <f t="shared" si="62"/>
        <v>28</v>
      </c>
      <c r="F8767" s="134" t="s">
        <v>3816</v>
      </c>
      <c r="G8767" s="63" t="str">
        <f>VLOOKUP(C8767, 'Class Def. - General Data'!$C$20:$C$1000,1,false)</f>
        <v>ZSI1_E_MONEY_CARD</v>
      </c>
      <c r="H8767" s="63" t="str">
        <f>IFERROR(__xludf.DUMMYFUNCTION("VLOOKUP(F8767, IMPORTRANGE(""https://docs.google.com/spreadsheets/d/1Lhp9OU0JdFf_VYSMzH5lBcEaU4o8teT1piV-SNzShjg/edit?gid=554141278#gid=554141278"", ""'Char Def. - Attributes'!C20:C2242""), 1,false)"),"ALT_UOM5_SIPI")</f>
        <v>ALT_UOM5_SIPI</v>
      </c>
      <c r="I8767" s="136"/>
      <c r="R8767" s="63" t="str">
        <f t="shared" si="60"/>
        <v>ZSI1_E_MONEY_CARDALT_UOM5_SIPI</v>
      </c>
    </row>
    <row r="8768" ht="15.75" customHeight="1">
      <c r="B8768" s="63">
        <f t="shared" si="1"/>
        <v>17</v>
      </c>
      <c r="C8768" s="135" t="s">
        <v>384</v>
      </c>
      <c r="D8768" s="161" t="s">
        <v>74</v>
      </c>
      <c r="E8768" s="135">
        <f t="shared" si="62"/>
        <v>29</v>
      </c>
      <c r="F8768" s="134" t="s">
        <v>3817</v>
      </c>
      <c r="G8768" s="63" t="str">
        <f>VLOOKUP(C8768, 'Class Def. - General Data'!$C$20:$C$1000,1,false)</f>
        <v>ZSI1_E_MONEY_CARD</v>
      </c>
      <c r="H8768" s="63" t="str">
        <f>IFERROR(__xludf.DUMMYFUNCTION("VLOOKUP(F8768, IMPORTRANGE(""https://docs.google.com/spreadsheets/d/1Lhp9OU0JdFf_VYSMzH5lBcEaU4o8teT1piV-SNzShjg/edit?gid=554141278#gid=554141278"", ""'Char Def. - Attributes'!C20:C2242""), 1,false)"),"ALT_DENUM_UOM5")</f>
        <v>ALT_DENUM_UOM5</v>
      </c>
      <c r="I8768" s="136"/>
      <c r="R8768" s="63" t="str">
        <f t="shared" si="60"/>
        <v>ZSI1_E_MONEY_CARDALT_DENUM_UOM5</v>
      </c>
    </row>
    <row r="8769" ht="15.75" customHeight="1">
      <c r="B8769" s="63">
        <f t="shared" si="1"/>
        <v>17</v>
      </c>
      <c r="C8769" s="135" t="s">
        <v>384</v>
      </c>
      <c r="D8769" s="161" t="s">
        <v>74</v>
      </c>
      <c r="E8769" s="135">
        <f t="shared" si="62"/>
        <v>30</v>
      </c>
      <c r="F8769" s="134" t="s">
        <v>3818</v>
      </c>
      <c r="G8769" s="63" t="str">
        <f>VLOOKUP(C8769, 'Class Def. - General Data'!$C$20:$C$1000,1,false)</f>
        <v>ZSI1_E_MONEY_CARD</v>
      </c>
      <c r="H8769" s="63" t="str">
        <f>IFERROR(__xludf.DUMMYFUNCTION("VLOOKUP(F8769, IMPORTRANGE(""https://docs.google.com/spreadsheets/d/1Lhp9OU0JdFf_VYSMzH5lBcEaU4o8teT1piV-SNzShjg/edit?gid=554141278#gid=554141278"", ""'Char Def. - Attributes'!C20:C2242""), 1,false)"),"ALT_NUM_UOM5")</f>
        <v>ALT_NUM_UOM5</v>
      </c>
      <c r="I8769" s="136"/>
      <c r="R8769" s="63" t="str">
        <f t="shared" si="60"/>
        <v>ZSI1_E_MONEY_CARDALT_NUM_UOM5</v>
      </c>
    </row>
    <row r="8770" ht="15.75" customHeight="1">
      <c r="B8770" s="63">
        <f t="shared" si="1"/>
        <v>13</v>
      </c>
      <c r="C8770" s="135" t="s">
        <v>326</v>
      </c>
      <c r="D8770" s="161" t="s">
        <v>74</v>
      </c>
      <c r="E8770" s="135">
        <f t="shared" si="62"/>
        <v>1</v>
      </c>
      <c r="F8770" s="134" t="s">
        <v>4421</v>
      </c>
      <c r="G8770" s="63" t="str">
        <f>VLOOKUP(C8770, 'Class Def. - General Data'!$C$20:$C$1000,1,false)</f>
        <v>ZSI1_ELEC_BOX</v>
      </c>
      <c r="H8770" s="63" t="str">
        <f>IFERROR(__xludf.DUMMYFUNCTION("VLOOKUP(F8770, IMPORTRANGE(""https://docs.google.com/spreadsheets/d/1Lhp9OU0JdFf_VYSMzH5lBcEaU4o8teT1piV-SNzShjg/edit?gid=554141278#gid=554141278"", ""'Char Def. - Attributes'!C20:C2242""), 1,false)"),"ITEM_NAME_ELEC_BOX")</f>
        <v>ITEM_NAME_ELEC_BOX</v>
      </c>
      <c r="I8770" s="136"/>
      <c r="R8770" s="63" t="str">
        <f t="shared" si="60"/>
        <v>ZSI1_ELEC_BOXITEM_NAME_ELEC_BOX</v>
      </c>
    </row>
    <row r="8771" ht="15.75" customHeight="1">
      <c r="B8771" s="63">
        <f t="shared" si="1"/>
        <v>13</v>
      </c>
      <c r="C8771" s="135" t="s">
        <v>326</v>
      </c>
      <c r="D8771" s="161" t="s">
        <v>74</v>
      </c>
      <c r="E8771" s="135">
        <f t="shared" si="62"/>
        <v>2</v>
      </c>
      <c r="F8771" s="134" t="s">
        <v>4422</v>
      </c>
      <c r="G8771" s="63" t="str">
        <f>VLOOKUP(C8771, 'Class Def. - General Data'!$C$20:$C$1000,1,false)</f>
        <v>ZSI1_ELEC_BOX</v>
      </c>
      <c r="H8771" s="63" t="str">
        <f>IFERROR(__xludf.DUMMYFUNCTION("VLOOKUP(F8771, IMPORTRANGE(""https://docs.google.com/spreadsheets/d/1Lhp9OU0JdFf_VYSMzH5lBcEaU4o8teT1piV-SNzShjg/edit?gid=554141278#gid=554141278"", ""'Char Def. - Attributes'!C20:C2242""), 1,false)"),"MFR_NO_ELEC_BOX")</f>
        <v>MFR_NO_ELEC_BOX</v>
      </c>
      <c r="I8771" s="136"/>
      <c r="R8771" s="63" t="str">
        <f t="shared" si="60"/>
        <v>ZSI1_ELEC_BOXMFR_NO_ELEC_BOX</v>
      </c>
    </row>
    <row r="8772" ht="15.75" customHeight="1">
      <c r="B8772" s="63">
        <f t="shared" si="1"/>
        <v>13</v>
      </c>
      <c r="C8772" s="135" t="s">
        <v>326</v>
      </c>
      <c r="D8772" s="161" t="s">
        <v>74</v>
      </c>
      <c r="E8772" s="135">
        <f t="shared" si="62"/>
        <v>3</v>
      </c>
      <c r="F8772" s="134" t="s">
        <v>3782</v>
      </c>
      <c r="G8772" s="63" t="str">
        <f>VLOOKUP(C8772, 'Class Def. - General Data'!$C$20:$C$1000,1,false)</f>
        <v>ZSI1_ELEC_BOX</v>
      </c>
      <c r="H8772" s="63" t="str">
        <f>IFERROR(__xludf.DUMMYFUNCTION("VLOOKUP(F8772, IMPORTRANGE(""https://docs.google.com/spreadsheets/d/1Lhp9OU0JdFf_VYSMzH5lBcEaU4o8teT1piV-SNzShjg/edit?gid=554141278#gid=554141278"", ""'Char Def. - Attributes'!C20:C2242""), 1,false)"),"BRAND_EXTERNAL")</f>
        <v>BRAND_EXTERNAL</v>
      </c>
      <c r="I8772" s="136"/>
      <c r="R8772" s="63" t="str">
        <f t="shared" si="60"/>
        <v>ZSI1_ELEC_BOXBRAND_EXTERNAL</v>
      </c>
    </row>
    <row r="8773" ht="15.75" customHeight="1">
      <c r="B8773" s="63">
        <f t="shared" si="1"/>
        <v>13</v>
      </c>
      <c r="C8773" s="135" t="s">
        <v>326</v>
      </c>
      <c r="D8773" s="161" t="s">
        <v>74</v>
      </c>
      <c r="E8773" s="135">
        <f t="shared" si="62"/>
        <v>4</v>
      </c>
      <c r="F8773" s="134" t="s">
        <v>4062</v>
      </c>
      <c r="G8773" s="63" t="str">
        <f>VLOOKUP(C8773, 'Class Def. - General Data'!$C$20:$C$1000,1,false)</f>
        <v>ZSI1_ELEC_BOX</v>
      </c>
      <c r="H8773" s="63" t="str">
        <f>IFERROR(__xludf.DUMMYFUNCTION("VLOOKUP(F8773, IMPORTRANGE(""https://docs.google.com/spreadsheets/d/1Lhp9OU0JdFf_VYSMzH5lBcEaU4o8teT1piV-SNzShjg/edit?gid=554141278#gid=554141278"", ""'Char Def. - Attributes'!C20:C2242""), 1,false)"),"#N/A")</f>
        <v>#N/A</v>
      </c>
      <c r="I8773" s="136"/>
      <c r="R8773" s="63" t="str">
        <f t="shared" si="60"/>
        <v>ZSI1_ELEC_BOXADDTIONAL_SPECIFICATION</v>
      </c>
    </row>
    <row r="8774" ht="15.75" customHeight="1">
      <c r="B8774" s="63">
        <f t="shared" si="1"/>
        <v>13</v>
      </c>
      <c r="C8774" s="135" t="s">
        <v>326</v>
      </c>
      <c r="D8774" s="161" t="s">
        <v>74</v>
      </c>
      <c r="E8774" s="135">
        <f t="shared" si="62"/>
        <v>5</v>
      </c>
      <c r="F8774" s="134" t="s">
        <v>4053</v>
      </c>
      <c r="G8774" s="63" t="str">
        <f>VLOOKUP(C8774, 'Class Def. - General Data'!$C$20:$C$1000,1,false)</f>
        <v>ZSI1_ELEC_BOX</v>
      </c>
      <c r="H8774" s="63" t="str">
        <f>IFERROR(__xludf.DUMMYFUNCTION("VLOOKUP(F8774, IMPORTRANGE(""https://docs.google.com/spreadsheets/d/1Lhp9OU0JdFf_VYSMzH5lBcEaU4o8teT1piV-SNzShjg/edit?gid=554141278#gid=554141278"", ""'Char Def. - Attributes'!C20:C2242""), 1,false)"),"MAINTENANCE_ORDER_TYPE")</f>
        <v>MAINTENANCE_ORDER_TYPE</v>
      </c>
      <c r="I8774" s="136"/>
      <c r="R8774" s="63" t="str">
        <f t="shared" si="60"/>
        <v>ZSI1_ELEC_BOXMAINTENANCE_ORDER_TYPE</v>
      </c>
    </row>
    <row r="8775" ht="15.75" customHeight="1">
      <c r="B8775" s="63">
        <f t="shared" si="1"/>
        <v>13</v>
      </c>
      <c r="C8775" s="135" t="s">
        <v>326</v>
      </c>
      <c r="D8775" s="161" t="s">
        <v>74</v>
      </c>
      <c r="E8775" s="135">
        <f t="shared" si="62"/>
        <v>6</v>
      </c>
      <c r="F8775" s="134" t="s">
        <v>3585</v>
      </c>
      <c r="G8775" s="63" t="str">
        <f>VLOOKUP(C8775, 'Class Def. - General Data'!$C$20:$C$1000,1,false)</f>
        <v>ZSI1_ELEC_BOX</v>
      </c>
      <c r="H8775" s="63" t="str">
        <f>IFERROR(__xludf.DUMMYFUNCTION("VLOOKUP(F8775, IMPORTRANGE(""https://docs.google.com/spreadsheets/d/1Lhp9OU0JdFf_VYSMzH5lBcEaU4o8teT1piV-SNzShjg/edit?gid=554141278#gid=554141278"", ""'Char Def. - Attributes'!C20:C2242""), 1,false)"),"HS_CODE")</f>
        <v>HS_CODE</v>
      </c>
      <c r="I8775" s="136"/>
      <c r="R8775" s="63" t="str">
        <f t="shared" si="60"/>
        <v>ZSI1_ELEC_BOXHS_CODE</v>
      </c>
    </row>
    <row r="8776" ht="15.75" customHeight="1">
      <c r="B8776" s="63">
        <f t="shared" si="1"/>
        <v>13</v>
      </c>
      <c r="C8776" s="135" t="s">
        <v>326</v>
      </c>
      <c r="D8776" s="161" t="s">
        <v>74</v>
      </c>
      <c r="E8776" s="135">
        <f t="shared" si="62"/>
        <v>7</v>
      </c>
      <c r="F8776" s="134" t="s">
        <v>3587</v>
      </c>
      <c r="G8776" s="63" t="str">
        <f>VLOOKUP(C8776, 'Class Def. - General Data'!$C$20:$C$1000,1,false)</f>
        <v>ZSI1_ELEC_BOX</v>
      </c>
      <c r="H8776" s="63" t="str">
        <f>IFERROR(__xludf.DUMMYFUNCTION("VLOOKUP(F8776, IMPORTRANGE(""https://docs.google.com/spreadsheets/d/1Lhp9OU0JdFf_VYSMzH5lBcEaU4o8teT1piV-SNzShjg/edit?gid=554141278#gid=554141278"", ""'Char Def. - Attributes'!C20:C2242""), 1,false)"),"PLANT_BUY")</f>
        <v>PLANT_BUY</v>
      </c>
      <c r="I8776" s="136"/>
      <c r="R8776" s="63" t="str">
        <f t="shared" si="60"/>
        <v>ZSI1_ELEC_BOXPLANT_BUY</v>
      </c>
    </row>
    <row r="8777" ht="15.75" customHeight="1">
      <c r="B8777" s="63">
        <f t="shared" si="1"/>
        <v>13</v>
      </c>
      <c r="C8777" s="135" t="s">
        <v>326</v>
      </c>
      <c r="D8777" s="161" t="s">
        <v>74</v>
      </c>
      <c r="E8777" s="135">
        <f t="shared" si="62"/>
        <v>8</v>
      </c>
      <c r="F8777" s="134" t="s">
        <v>4423</v>
      </c>
      <c r="G8777" s="63" t="str">
        <f>VLOOKUP(C8777, 'Class Def. - General Data'!$C$20:$C$1000,1,false)</f>
        <v>ZSI1_ELEC_BOX</v>
      </c>
      <c r="H8777" s="63" t="str">
        <f>IFERROR(__xludf.DUMMYFUNCTION("VLOOKUP(F8777, IMPORTRANGE(""https://docs.google.com/spreadsheets/d/1Lhp9OU0JdFf_VYSMzH5lBcEaU4o8teT1piV-SNzShjg/edit?gid=554141278#gid=554141278"", ""'Char Def. - Attributes'!C20:C2242""), 1,false)"),"BASE_UOM_ELEC_BOX")</f>
        <v>BASE_UOM_ELEC_BOX</v>
      </c>
      <c r="I8777" s="136"/>
      <c r="R8777" s="63" t="str">
        <f t="shared" si="60"/>
        <v>ZSI1_ELEC_BOXBASE_UOM_ELEC_BOX</v>
      </c>
    </row>
    <row r="8778" ht="15.75" customHeight="1">
      <c r="B8778" s="63">
        <f t="shared" si="1"/>
        <v>13</v>
      </c>
      <c r="C8778" s="135" t="s">
        <v>326</v>
      </c>
      <c r="D8778" s="161" t="s">
        <v>74</v>
      </c>
      <c r="E8778" s="135">
        <f t="shared" si="62"/>
        <v>9</v>
      </c>
      <c r="F8778" s="134" t="s">
        <v>4424</v>
      </c>
      <c r="G8778" s="63" t="str">
        <f>VLOOKUP(C8778, 'Class Def. - General Data'!$C$20:$C$1000,1,false)</f>
        <v>ZSI1_ELEC_BOX</v>
      </c>
      <c r="H8778" s="63" t="str">
        <f>IFERROR(__xludf.DUMMYFUNCTION("VLOOKUP(F8778, IMPORTRANGE(""https://docs.google.com/spreadsheets/d/1Lhp9OU0JdFf_VYSMzH5lBcEaU4o8teT1piV-SNzShjg/edit?gid=554141278#gid=554141278"", ""'Char Def. - Attributes'!C20:C2242""), 1,false)"),"ORDER_UNIT_ELEC_BOX")</f>
        <v>ORDER_UNIT_ELEC_BOX</v>
      </c>
      <c r="I8778" s="136"/>
      <c r="R8778" s="63" t="str">
        <f t="shared" si="60"/>
        <v>ZSI1_ELEC_BOXORDER_UNIT_ELEC_BOX</v>
      </c>
    </row>
    <row r="8779" ht="15.75" customHeight="1">
      <c r="B8779" s="63">
        <f t="shared" si="1"/>
        <v>13</v>
      </c>
      <c r="C8779" s="135" t="s">
        <v>326</v>
      </c>
      <c r="D8779" s="161" t="s">
        <v>74</v>
      </c>
      <c r="E8779" s="135">
        <f t="shared" si="62"/>
        <v>10</v>
      </c>
      <c r="F8779" s="134" t="s">
        <v>4056</v>
      </c>
      <c r="G8779" s="63" t="str">
        <f>VLOOKUP(C8779, 'Class Def. - General Data'!$C$20:$C$1000,1,false)</f>
        <v>ZSI1_ELEC_BOX</v>
      </c>
      <c r="H8779" s="63" t="str">
        <f>IFERROR(__xludf.DUMMYFUNCTION("VLOOKUP(F8779, IMPORTRANGE(""https://docs.google.com/spreadsheets/d/1Lhp9OU0JdFf_VYSMzH5lBcEaU4o8teT1piV-SNzShjg/edit?gid=554141278#gid=554141278"", ""'Char Def. - Attributes'!C20:C2242""), 1,false)"),"GROSS_WEIGHT_OPT")</f>
        <v>GROSS_WEIGHT_OPT</v>
      </c>
      <c r="I8779" s="136"/>
      <c r="R8779" s="63" t="str">
        <f t="shared" si="60"/>
        <v>ZSI1_ELEC_BOXGROSS_WEIGHT_OPT</v>
      </c>
    </row>
    <row r="8780" ht="15.75" customHeight="1">
      <c r="B8780" s="63">
        <f t="shared" si="1"/>
        <v>13</v>
      </c>
      <c r="C8780" s="135" t="s">
        <v>326</v>
      </c>
      <c r="D8780" s="161" t="s">
        <v>74</v>
      </c>
      <c r="E8780" s="135">
        <f t="shared" si="62"/>
        <v>11</v>
      </c>
      <c r="F8780" s="134" t="s">
        <v>4057</v>
      </c>
      <c r="G8780" s="63" t="str">
        <f>VLOOKUP(C8780, 'Class Def. - General Data'!$C$20:$C$1000,1,false)</f>
        <v>ZSI1_ELEC_BOX</v>
      </c>
      <c r="H8780" s="63" t="str">
        <f>IFERROR(__xludf.DUMMYFUNCTION("VLOOKUP(F8780, IMPORTRANGE(""https://docs.google.com/spreadsheets/d/1Lhp9OU0JdFf_VYSMzH5lBcEaU4o8teT1piV-SNzShjg/edit?gid=554141278#gid=554141278"", ""'Char Def. - Attributes'!C20:C2242""), 1,false)"),"NET_WEIGHT_OPT")</f>
        <v>NET_WEIGHT_OPT</v>
      </c>
      <c r="I8780" s="136"/>
      <c r="R8780" s="63" t="str">
        <f t="shared" si="60"/>
        <v>ZSI1_ELEC_BOXNET_WEIGHT_OPT</v>
      </c>
    </row>
    <row r="8781" ht="15.75" customHeight="1">
      <c r="B8781" s="63">
        <f t="shared" si="1"/>
        <v>13</v>
      </c>
      <c r="C8781" s="135" t="s">
        <v>326</v>
      </c>
      <c r="D8781" s="161" t="s">
        <v>74</v>
      </c>
      <c r="E8781" s="135">
        <f t="shared" si="62"/>
        <v>12</v>
      </c>
      <c r="F8781" s="134" t="s">
        <v>4058</v>
      </c>
      <c r="G8781" s="63" t="str">
        <f>VLOOKUP(C8781, 'Class Def. - General Data'!$C$20:$C$1000,1,false)</f>
        <v>ZSI1_ELEC_BOX</v>
      </c>
      <c r="H8781" s="63" t="str">
        <f>IFERROR(__xludf.DUMMYFUNCTION("VLOOKUP(F8781, IMPORTRANGE(""https://docs.google.com/spreadsheets/d/1Lhp9OU0JdFf_VYSMzH5lBcEaU4o8teT1piV-SNzShjg/edit?gid=554141278#gid=554141278"", ""'Char Def. - Attributes'!C20:C2242""), 1,false)"),"WEIGHT_UNIT_SI")</f>
        <v>WEIGHT_UNIT_SI</v>
      </c>
      <c r="I8781" s="136"/>
      <c r="R8781" s="63" t="str">
        <f t="shared" si="60"/>
        <v>ZSI1_ELEC_BOXWEIGHT_UNIT_SI</v>
      </c>
    </row>
    <row r="8782" ht="15.75" customHeight="1">
      <c r="B8782" s="63">
        <f t="shared" si="1"/>
        <v>13</v>
      </c>
      <c r="C8782" s="135" t="s">
        <v>326</v>
      </c>
      <c r="D8782" s="161" t="s">
        <v>74</v>
      </c>
      <c r="E8782" s="135">
        <f t="shared" si="62"/>
        <v>13</v>
      </c>
      <c r="F8782" s="134" t="s">
        <v>3877</v>
      </c>
      <c r="G8782" s="63" t="str">
        <f>VLOOKUP(C8782, 'Class Def. - General Data'!$C$20:$C$1000,1,false)</f>
        <v>ZSI1_ELEC_BOX</v>
      </c>
      <c r="H8782" s="63" t="str">
        <f>IFERROR(__xludf.DUMMYFUNCTION("VLOOKUP(F8782, IMPORTRANGE(""https://docs.google.com/spreadsheets/d/1Lhp9OU0JdFf_VYSMzH5lBcEaU4o8teT1piV-SNzShjg/edit?gid=554141278#gid=554141278"", ""'Char Def. - Attributes'!C20:C2242""), 1,false)"),"VOLUME_OPT")</f>
        <v>VOLUME_OPT</v>
      </c>
      <c r="I8782" s="136"/>
      <c r="R8782" s="63" t="str">
        <f t="shared" si="60"/>
        <v>ZSI1_ELEC_BOXVOLUME_OPT</v>
      </c>
    </row>
    <row r="8783" ht="15.75" customHeight="1">
      <c r="B8783" s="63">
        <f t="shared" si="1"/>
        <v>13</v>
      </c>
      <c r="C8783" s="135" t="s">
        <v>326</v>
      </c>
      <c r="D8783" s="161" t="s">
        <v>74</v>
      </c>
      <c r="E8783" s="135">
        <f t="shared" si="62"/>
        <v>14</v>
      </c>
      <c r="F8783" s="134" t="s">
        <v>4059</v>
      </c>
      <c r="G8783" s="63" t="str">
        <f>VLOOKUP(C8783, 'Class Def. - General Data'!$C$20:$C$1000,1,false)</f>
        <v>ZSI1_ELEC_BOX</v>
      </c>
      <c r="H8783" s="63" t="str">
        <f>IFERROR(__xludf.DUMMYFUNCTION("VLOOKUP(F8783, IMPORTRANGE(""https://docs.google.com/spreadsheets/d/1Lhp9OU0JdFf_VYSMzH5lBcEaU4o8teT1piV-SNzShjg/edit?gid=554141278#gid=554141278"", ""'Char Def. - Attributes'!C20:C2242""), 1,false)"),"VOLUME_UNIT_SI")</f>
        <v>VOLUME_UNIT_SI</v>
      </c>
      <c r="I8783" s="136"/>
      <c r="R8783" s="63" t="str">
        <f t="shared" si="60"/>
        <v>ZSI1_ELEC_BOXVOLUME_UNIT_SI</v>
      </c>
    </row>
    <row r="8784" ht="15.75" customHeight="1">
      <c r="B8784" s="63">
        <f t="shared" si="1"/>
        <v>13</v>
      </c>
      <c r="C8784" s="135" t="s">
        <v>326</v>
      </c>
      <c r="D8784" s="161" t="s">
        <v>74</v>
      </c>
      <c r="E8784" s="135">
        <f t="shared" si="62"/>
        <v>15</v>
      </c>
      <c r="F8784" s="134" t="s">
        <v>3804</v>
      </c>
      <c r="G8784" s="63" t="str">
        <f>VLOOKUP(C8784, 'Class Def. - General Data'!$C$20:$C$1000,1,false)</f>
        <v>ZSI1_ELEC_BOX</v>
      </c>
      <c r="H8784" s="63" t="str">
        <f>IFERROR(__xludf.DUMMYFUNCTION("VLOOKUP(F8784, IMPORTRANGE(""https://docs.google.com/spreadsheets/d/1Lhp9OU0JdFf_VYSMzH5lBcEaU4o8teT1piV-SNzShjg/edit?gid=554141278#gid=554141278"", ""'Char Def. - Attributes'!C20:C2242""), 1,false)"),"ALT_UOM1_SIPI")</f>
        <v>ALT_UOM1_SIPI</v>
      </c>
      <c r="I8784" s="136"/>
      <c r="R8784" s="63" t="str">
        <f t="shared" si="60"/>
        <v>ZSI1_ELEC_BOXALT_UOM1_SIPI</v>
      </c>
    </row>
    <row r="8785" ht="15.75" customHeight="1">
      <c r="B8785" s="63">
        <f t="shared" si="1"/>
        <v>13</v>
      </c>
      <c r="C8785" s="135" t="s">
        <v>326</v>
      </c>
      <c r="D8785" s="161" t="s">
        <v>74</v>
      </c>
      <c r="E8785" s="135">
        <f t="shared" si="62"/>
        <v>16</v>
      </c>
      <c r="F8785" s="134" t="s">
        <v>3805</v>
      </c>
      <c r="G8785" s="63" t="str">
        <f>VLOOKUP(C8785, 'Class Def. - General Data'!$C$20:$C$1000,1,false)</f>
        <v>ZSI1_ELEC_BOX</v>
      </c>
      <c r="H8785" s="63" t="str">
        <f>IFERROR(__xludf.DUMMYFUNCTION("VLOOKUP(F8785, IMPORTRANGE(""https://docs.google.com/spreadsheets/d/1Lhp9OU0JdFf_VYSMzH5lBcEaU4o8teT1piV-SNzShjg/edit?gid=554141278#gid=554141278"", ""'Char Def. - Attributes'!C20:C2242""), 1,false)"),"ALT_DENUM_UOM1")</f>
        <v>ALT_DENUM_UOM1</v>
      </c>
      <c r="I8785" s="136"/>
      <c r="R8785" s="63" t="str">
        <f t="shared" si="60"/>
        <v>ZSI1_ELEC_BOXALT_DENUM_UOM1</v>
      </c>
    </row>
    <row r="8786" ht="15.75" customHeight="1">
      <c r="B8786" s="63">
        <f t="shared" si="1"/>
        <v>13</v>
      </c>
      <c r="C8786" s="135" t="s">
        <v>326</v>
      </c>
      <c r="D8786" s="161" t="s">
        <v>74</v>
      </c>
      <c r="E8786" s="135">
        <f t="shared" si="62"/>
        <v>17</v>
      </c>
      <c r="F8786" s="134" t="s">
        <v>3806</v>
      </c>
      <c r="G8786" s="63" t="str">
        <f>VLOOKUP(C8786, 'Class Def. - General Data'!$C$20:$C$1000,1,false)</f>
        <v>ZSI1_ELEC_BOX</v>
      </c>
      <c r="H8786" s="63" t="str">
        <f>IFERROR(__xludf.DUMMYFUNCTION("VLOOKUP(F8786, IMPORTRANGE(""https://docs.google.com/spreadsheets/d/1Lhp9OU0JdFf_VYSMzH5lBcEaU4o8teT1piV-SNzShjg/edit?gid=554141278#gid=554141278"", ""'Char Def. - Attributes'!C20:C2242""), 1,false)"),"ALT_NUM_UOM1")</f>
        <v>ALT_NUM_UOM1</v>
      </c>
      <c r="I8786" s="136"/>
      <c r="R8786" s="63" t="str">
        <f t="shared" si="60"/>
        <v>ZSI1_ELEC_BOXALT_NUM_UOM1</v>
      </c>
    </row>
    <row r="8787" ht="15.75" customHeight="1">
      <c r="B8787" s="63">
        <f t="shared" si="1"/>
        <v>13</v>
      </c>
      <c r="C8787" s="135" t="s">
        <v>326</v>
      </c>
      <c r="D8787" s="161" t="s">
        <v>74</v>
      </c>
      <c r="E8787" s="135">
        <f t="shared" si="62"/>
        <v>18</v>
      </c>
      <c r="F8787" s="134" t="s">
        <v>3807</v>
      </c>
      <c r="G8787" s="63" t="str">
        <f>VLOOKUP(C8787, 'Class Def. - General Data'!$C$20:$C$1000,1,false)</f>
        <v>ZSI1_ELEC_BOX</v>
      </c>
      <c r="H8787" s="63" t="str">
        <f>IFERROR(__xludf.DUMMYFUNCTION("VLOOKUP(F8787, IMPORTRANGE(""https://docs.google.com/spreadsheets/d/1Lhp9OU0JdFf_VYSMzH5lBcEaU4o8teT1piV-SNzShjg/edit?gid=554141278#gid=554141278"", ""'Char Def. - Attributes'!C20:C2242""), 1,false)"),"ALT_UOM2_SIPI")</f>
        <v>ALT_UOM2_SIPI</v>
      </c>
      <c r="I8787" s="136"/>
      <c r="R8787" s="63" t="str">
        <f t="shared" si="60"/>
        <v>ZSI1_ELEC_BOXALT_UOM2_SIPI</v>
      </c>
    </row>
    <row r="8788" ht="15.75" customHeight="1">
      <c r="B8788" s="63">
        <f t="shared" si="1"/>
        <v>13</v>
      </c>
      <c r="C8788" s="135" t="s">
        <v>326</v>
      </c>
      <c r="D8788" s="161" t="s">
        <v>74</v>
      </c>
      <c r="E8788" s="135">
        <f t="shared" si="62"/>
        <v>19</v>
      </c>
      <c r="F8788" s="134" t="s">
        <v>3808</v>
      </c>
      <c r="G8788" s="63" t="str">
        <f>VLOOKUP(C8788, 'Class Def. - General Data'!$C$20:$C$1000,1,false)</f>
        <v>ZSI1_ELEC_BOX</v>
      </c>
      <c r="H8788" s="63" t="str">
        <f>IFERROR(__xludf.DUMMYFUNCTION("VLOOKUP(F8788, IMPORTRANGE(""https://docs.google.com/spreadsheets/d/1Lhp9OU0JdFf_VYSMzH5lBcEaU4o8teT1piV-SNzShjg/edit?gid=554141278#gid=554141278"", ""'Char Def. - Attributes'!C20:C2242""), 1,false)"),"ALT_DENUM_UOM2")</f>
        <v>ALT_DENUM_UOM2</v>
      </c>
      <c r="I8788" s="136"/>
      <c r="R8788" s="63" t="str">
        <f t="shared" si="60"/>
        <v>ZSI1_ELEC_BOXALT_DENUM_UOM2</v>
      </c>
    </row>
    <row r="8789" ht="15.75" customHeight="1">
      <c r="B8789" s="63">
        <f t="shared" si="1"/>
        <v>13</v>
      </c>
      <c r="C8789" s="135" t="s">
        <v>326</v>
      </c>
      <c r="D8789" s="161" t="s">
        <v>74</v>
      </c>
      <c r="E8789" s="135">
        <f t="shared" si="62"/>
        <v>20</v>
      </c>
      <c r="F8789" s="134" t="s">
        <v>3809</v>
      </c>
      <c r="G8789" s="63" t="str">
        <f>VLOOKUP(C8789, 'Class Def. - General Data'!$C$20:$C$1000,1,false)</f>
        <v>ZSI1_ELEC_BOX</v>
      </c>
      <c r="H8789" s="63" t="str">
        <f>IFERROR(__xludf.DUMMYFUNCTION("VLOOKUP(F8789, IMPORTRANGE(""https://docs.google.com/spreadsheets/d/1Lhp9OU0JdFf_VYSMzH5lBcEaU4o8teT1piV-SNzShjg/edit?gid=554141278#gid=554141278"", ""'Char Def. - Attributes'!C20:C2242""), 1,false)"),"ALT_NUM_UOM2")</f>
        <v>ALT_NUM_UOM2</v>
      </c>
      <c r="I8789" s="136"/>
      <c r="R8789" s="63" t="str">
        <f t="shared" si="60"/>
        <v>ZSI1_ELEC_BOXALT_NUM_UOM2</v>
      </c>
    </row>
    <row r="8790" ht="15.75" customHeight="1">
      <c r="B8790" s="63">
        <f t="shared" si="1"/>
        <v>13</v>
      </c>
      <c r="C8790" s="135" t="s">
        <v>326</v>
      </c>
      <c r="D8790" s="161" t="s">
        <v>74</v>
      </c>
      <c r="E8790" s="135">
        <f t="shared" si="62"/>
        <v>21</v>
      </c>
      <c r="F8790" s="134" t="s">
        <v>3810</v>
      </c>
      <c r="G8790" s="63" t="str">
        <f>VLOOKUP(C8790, 'Class Def. - General Data'!$C$20:$C$1000,1,false)</f>
        <v>ZSI1_ELEC_BOX</v>
      </c>
      <c r="H8790" s="63" t="str">
        <f>IFERROR(__xludf.DUMMYFUNCTION("VLOOKUP(F8790, IMPORTRANGE(""https://docs.google.com/spreadsheets/d/1Lhp9OU0JdFf_VYSMzH5lBcEaU4o8teT1piV-SNzShjg/edit?gid=554141278#gid=554141278"", ""'Char Def. - Attributes'!C20:C2242""), 1,false)"),"ALT_UOM3_SIPI")</f>
        <v>ALT_UOM3_SIPI</v>
      </c>
      <c r="I8790" s="136"/>
      <c r="R8790" s="63" t="str">
        <f t="shared" si="60"/>
        <v>ZSI1_ELEC_BOXALT_UOM3_SIPI</v>
      </c>
    </row>
    <row r="8791" ht="15.75" customHeight="1">
      <c r="B8791" s="63">
        <f t="shared" si="1"/>
        <v>13</v>
      </c>
      <c r="C8791" s="135" t="s">
        <v>326</v>
      </c>
      <c r="D8791" s="161" t="s">
        <v>74</v>
      </c>
      <c r="E8791" s="135">
        <f t="shared" si="62"/>
        <v>22</v>
      </c>
      <c r="F8791" s="134" t="s">
        <v>3811</v>
      </c>
      <c r="G8791" s="63" t="str">
        <f>VLOOKUP(C8791, 'Class Def. - General Data'!$C$20:$C$1000,1,false)</f>
        <v>ZSI1_ELEC_BOX</v>
      </c>
      <c r="H8791" s="63" t="str">
        <f>IFERROR(__xludf.DUMMYFUNCTION("VLOOKUP(F8791, IMPORTRANGE(""https://docs.google.com/spreadsheets/d/1Lhp9OU0JdFf_VYSMzH5lBcEaU4o8teT1piV-SNzShjg/edit?gid=554141278#gid=554141278"", ""'Char Def. - Attributes'!C20:C2242""), 1,false)"),"ALT_DENUM_UOM3")</f>
        <v>ALT_DENUM_UOM3</v>
      </c>
      <c r="I8791" s="136"/>
      <c r="R8791" s="63" t="str">
        <f t="shared" si="60"/>
        <v>ZSI1_ELEC_BOXALT_DENUM_UOM3</v>
      </c>
    </row>
    <row r="8792" ht="15.75" customHeight="1">
      <c r="B8792" s="63">
        <f t="shared" si="1"/>
        <v>13</v>
      </c>
      <c r="C8792" s="135" t="s">
        <v>326</v>
      </c>
      <c r="D8792" s="161" t="s">
        <v>74</v>
      </c>
      <c r="E8792" s="135">
        <f t="shared" si="62"/>
        <v>23</v>
      </c>
      <c r="F8792" s="134" t="s">
        <v>3812</v>
      </c>
      <c r="G8792" s="63" t="str">
        <f>VLOOKUP(C8792, 'Class Def. - General Data'!$C$20:$C$1000,1,false)</f>
        <v>ZSI1_ELEC_BOX</v>
      </c>
      <c r="H8792" s="63" t="str">
        <f>IFERROR(__xludf.DUMMYFUNCTION("VLOOKUP(F8792, IMPORTRANGE(""https://docs.google.com/spreadsheets/d/1Lhp9OU0JdFf_VYSMzH5lBcEaU4o8teT1piV-SNzShjg/edit?gid=554141278#gid=554141278"", ""'Char Def. - Attributes'!C20:C2242""), 1,false)"),"ALT_NUM_UOM3")</f>
        <v>ALT_NUM_UOM3</v>
      </c>
      <c r="I8792" s="136"/>
      <c r="R8792" s="63" t="str">
        <f t="shared" si="60"/>
        <v>ZSI1_ELEC_BOXALT_NUM_UOM3</v>
      </c>
    </row>
    <row r="8793" ht="15.75" customHeight="1">
      <c r="B8793" s="63">
        <f t="shared" si="1"/>
        <v>13</v>
      </c>
      <c r="C8793" s="135" t="s">
        <v>326</v>
      </c>
      <c r="D8793" s="161" t="s">
        <v>74</v>
      </c>
      <c r="E8793" s="135">
        <f t="shared" si="62"/>
        <v>24</v>
      </c>
      <c r="F8793" s="134" t="s">
        <v>3813</v>
      </c>
      <c r="G8793" s="63" t="str">
        <f>VLOOKUP(C8793, 'Class Def. - General Data'!$C$20:$C$1000,1,false)</f>
        <v>ZSI1_ELEC_BOX</v>
      </c>
      <c r="H8793" s="63" t="str">
        <f>IFERROR(__xludf.DUMMYFUNCTION("VLOOKUP(F8793, IMPORTRANGE(""https://docs.google.com/spreadsheets/d/1Lhp9OU0JdFf_VYSMzH5lBcEaU4o8teT1piV-SNzShjg/edit?gid=554141278#gid=554141278"", ""'Char Def. - Attributes'!C20:C2242""), 1,false)"),"ALT_UOM4_SIPI")</f>
        <v>ALT_UOM4_SIPI</v>
      </c>
      <c r="I8793" s="136"/>
      <c r="R8793" s="63" t="str">
        <f t="shared" si="60"/>
        <v>ZSI1_ELEC_BOXALT_UOM4_SIPI</v>
      </c>
    </row>
    <row r="8794" ht="15.75" customHeight="1">
      <c r="B8794" s="63">
        <f t="shared" si="1"/>
        <v>13</v>
      </c>
      <c r="C8794" s="135" t="s">
        <v>326</v>
      </c>
      <c r="D8794" s="161" t="s">
        <v>74</v>
      </c>
      <c r="E8794" s="135">
        <f t="shared" si="62"/>
        <v>25</v>
      </c>
      <c r="F8794" s="134" t="s">
        <v>3814</v>
      </c>
      <c r="G8794" s="63" t="str">
        <f>VLOOKUP(C8794, 'Class Def. - General Data'!$C$20:$C$1000,1,false)</f>
        <v>ZSI1_ELEC_BOX</v>
      </c>
      <c r="H8794" s="63" t="str">
        <f>IFERROR(__xludf.DUMMYFUNCTION("VLOOKUP(F8794, IMPORTRANGE(""https://docs.google.com/spreadsheets/d/1Lhp9OU0JdFf_VYSMzH5lBcEaU4o8teT1piV-SNzShjg/edit?gid=554141278#gid=554141278"", ""'Char Def. - Attributes'!C20:C2242""), 1,false)"),"ALT_DENUM_UOM4")</f>
        <v>ALT_DENUM_UOM4</v>
      </c>
      <c r="I8794" s="136"/>
      <c r="R8794" s="63" t="str">
        <f t="shared" si="60"/>
        <v>ZSI1_ELEC_BOXALT_DENUM_UOM4</v>
      </c>
    </row>
    <row r="8795" ht="15.75" customHeight="1">
      <c r="B8795" s="63">
        <f t="shared" si="1"/>
        <v>13</v>
      </c>
      <c r="C8795" s="135" t="s">
        <v>326</v>
      </c>
      <c r="D8795" s="161" t="s">
        <v>74</v>
      </c>
      <c r="E8795" s="135">
        <f t="shared" si="62"/>
        <v>26</v>
      </c>
      <c r="F8795" s="134" t="s">
        <v>3815</v>
      </c>
      <c r="G8795" s="63" t="str">
        <f>VLOOKUP(C8795, 'Class Def. - General Data'!$C$20:$C$1000,1,false)</f>
        <v>ZSI1_ELEC_BOX</v>
      </c>
      <c r="H8795" s="63" t="str">
        <f>IFERROR(__xludf.DUMMYFUNCTION("VLOOKUP(F8795, IMPORTRANGE(""https://docs.google.com/spreadsheets/d/1Lhp9OU0JdFf_VYSMzH5lBcEaU4o8teT1piV-SNzShjg/edit?gid=554141278#gid=554141278"", ""'Char Def. - Attributes'!C20:C2242""), 1,false)"),"ALT_NUM_UOM4")</f>
        <v>ALT_NUM_UOM4</v>
      </c>
      <c r="I8795" s="136"/>
      <c r="R8795" s="63" t="str">
        <f t="shared" si="60"/>
        <v>ZSI1_ELEC_BOXALT_NUM_UOM4</v>
      </c>
    </row>
    <row r="8796" ht="15.75" customHeight="1">
      <c r="B8796" s="63">
        <f t="shared" si="1"/>
        <v>13</v>
      </c>
      <c r="C8796" s="135" t="s">
        <v>326</v>
      </c>
      <c r="D8796" s="161" t="s">
        <v>74</v>
      </c>
      <c r="E8796" s="135">
        <f t="shared" si="62"/>
        <v>27</v>
      </c>
      <c r="F8796" s="134" t="s">
        <v>3816</v>
      </c>
      <c r="G8796" s="63" t="str">
        <f>VLOOKUP(C8796, 'Class Def. - General Data'!$C$20:$C$1000,1,false)</f>
        <v>ZSI1_ELEC_BOX</v>
      </c>
      <c r="H8796" s="63" t="str">
        <f>IFERROR(__xludf.DUMMYFUNCTION("VLOOKUP(F8796, IMPORTRANGE(""https://docs.google.com/spreadsheets/d/1Lhp9OU0JdFf_VYSMzH5lBcEaU4o8teT1piV-SNzShjg/edit?gid=554141278#gid=554141278"", ""'Char Def. - Attributes'!C20:C2242""), 1,false)"),"ALT_UOM5_SIPI")</f>
        <v>ALT_UOM5_SIPI</v>
      </c>
      <c r="I8796" s="136"/>
      <c r="R8796" s="63" t="str">
        <f t="shared" si="60"/>
        <v>ZSI1_ELEC_BOXALT_UOM5_SIPI</v>
      </c>
    </row>
    <row r="8797" ht="15.75" customHeight="1">
      <c r="B8797" s="63">
        <f t="shared" si="1"/>
        <v>13</v>
      </c>
      <c r="C8797" s="135" t="s">
        <v>326</v>
      </c>
      <c r="D8797" s="161" t="s">
        <v>74</v>
      </c>
      <c r="E8797" s="135">
        <f t="shared" si="62"/>
        <v>28</v>
      </c>
      <c r="F8797" s="134" t="s">
        <v>3817</v>
      </c>
      <c r="G8797" s="63" t="str">
        <f>VLOOKUP(C8797, 'Class Def. - General Data'!$C$20:$C$1000,1,false)</f>
        <v>ZSI1_ELEC_BOX</v>
      </c>
      <c r="H8797" s="63" t="str">
        <f>IFERROR(__xludf.DUMMYFUNCTION("VLOOKUP(F8797, IMPORTRANGE(""https://docs.google.com/spreadsheets/d/1Lhp9OU0JdFf_VYSMzH5lBcEaU4o8teT1piV-SNzShjg/edit?gid=554141278#gid=554141278"", ""'Char Def. - Attributes'!C20:C2242""), 1,false)"),"ALT_DENUM_UOM5")</f>
        <v>ALT_DENUM_UOM5</v>
      </c>
      <c r="I8797" s="136"/>
      <c r="R8797" s="63" t="str">
        <f t="shared" si="60"/>
        <v>ZSI1_ELEC_BOXALT_DENUM_UOM5</v>
      </c>
    </row>
    <row r="8798" ht="15.75" customHeight="1">
      <c r="B8798" s="63">
        <f t="shared" si="1"/>
        <v>13</v>
      </c>
      <c r="C8798" s="135" t="s">
        <v>326</v>
      </c>
      <c r="D8798" s="161" t="s">
        <v>74</v>
      </c>
      <c r="E8798" s="135">
        <f t="shared" si="62"/>
        <v>29</v>
      </c>
      <c r="F8798" s="134" t="s">
        <v>3818</v>
      </c>
      <c r="G8798" s="63" t="str">
        <f>VLOOKUP(C8798, 'Class Def. - General Data'!$C$20:$C$1000,1,false)</f>
        <v>ZSI1_ELEC_BOX</v>
      </c>
      <c r="H8798" s="63" t="str">
        <f>IFERROR(__xludf.DUMMYFUNCTION("VLOOKUP(F8798, IMPORTRANGE(""https://docs.google.com/spreadsheets/d/1Lhp9OU0JdFf_VYSMzH5lBcEaU4o8teT1piV-SNzShjg/edit?gid=554141278#gid=554141278"", ""'Char Def. - Attributes'!C20:C2242""), 1,false)"),"ALT_NUM_UOM5")</f>
        <v>ALT_NUM_UOM5</v>
      </c>
      <c r="I8798" s="136"/>
      <c r="R8798" s="63" t="str">
        <f t="shared" si="60"/>
        <v>ZSI1_ELEC_BOXALT_NUM_UOM5</v>
      </c>
    </row>
    <row r="8799" ht="15.75" customHeight="1">
      <c r="B8799" s="63">
        <f t="shared" si="1"/>
        <v>15</v>
      </c>
      <c r="C8799" s="135" t="s">
        <v>327</v>
      </c>
      <c r="D8799" s="161" t="s">
        <v>74</v>
      </c>
      <c r="E8799" s="135">
        <f t="shared" si="62"/>
        <v>1</v>
      </c>
      <c r="F8799" s="134" t="s">
        <v>4425</v>
      </c>
      <c r="G8799" s="63" t="str">
        <f>VLOOKUP(C8799, 'Class Def. - General Data'!$C$20:$C$1000,1,false)</f>
        <v>ZSI1_ELEC_CABLE</v>
      </c>
      <c r="H8799" s="63" t="str">
        <f>IFERROR(__xludf.DUMMYFUNCTION("VLOOKUP(F8799, IMPORTRANGE(""https://docs.google.com/spreadsheets/d/1Lhp9OU0JdFf_VYSMzH5lBcEaU4o8teT1piV-SNzShjg/edit?gid=554141278#gid=554141278"", ""'Char Def. - Attributes'!C20:C2242""), 1,false)"),"ITEM_NAME_ELEC_CABLE")</f>
        <v>ITEM_NAME_ELEC_CABLE</v>
      </c>
      <c r="I8799" s="136"/>
      <c r="R8799" s="63" t="str">
        <f t="shared" si="60"/>
        <v>ZSI1_ELEC_CABLEITEM_NAME_ELEC_CABLE</v>
      </c>
    </row>
    <row r="8800" ht="15.75" customHeight="1">
      <c r="B8800" s="63">
        <f t="shared" si="1"/>
        <v>15</v>
      </c>
      <c r="C8800" s="135" t="s">
        <v>327</v>
      </c>
      <c r="D8800" s="161" t="s">
        <v>74</v>
      </c>
      <c r="E8800" s="135">
        <f t="shared" si="62"/>
        <v>2</v>
      </c>
      <c r="F8800" s="134" t="s">
        <v>4426</v>
      </c>
      <c r="G8800" s="63" t="str">
        <f>VLOOKUP(C8800, 'Class Def. - General Data'!$C$20:$C$1000,1,false)</f>
        <v>ZSI1_ELEC_CABLE</v>
      </c>
      <c r="H8800" s="63" t="str">
        <f>IFERROR(__xludf.DUMMYFUNCTION("VLOOKUP(F8800, IMPORTRANGE(""https://docs.google.com/spreadsheets/d/1Lhp9OU0JdFf_VYSMzH5lBcEaU4o8teT1piV-SNzShjg/edit?gid=554141278#gid=554141278"", ""'Char Def. - Attributes'!C20:C2242""), 1,false)"),"MFR_NO_ELEC_CABLE")</f>
        <v>MFR_NO_ELEC_CABLE</v>
      </c>
      <c r="I8800" s="136"/>
      <c r="R8800" s="63" t="str">
        <f t="shared" si="60"/>
        <v>ZSI1_ELEC_CABLEMFR_NO_ELEC_CABLE</v>
      </c>
    </row>
    <row r="8801" ht="15.75" customHeight="1">
      <c r="B8801" s="63">
        <f t="shared" si="1"/>
        <v>15</v>
      </c>
      <c r="C8801" s="135" t="s">
        <v>327</v>
      </c>
      <c r="D8801" s="161" t="s">
        <v>74</v>
      </c>
      <c r="E8801" s="135">
        <f t="shared" si="62"/>
        <v>3</v>
      </c>
      <c r="F8801" s="134" t="s">
        <v>3782</v>
      </c>
      <c r="G8801" s="63" t="str">
        <f>VLOOKUP(C8801, 'Class Def. - General Data'!$C$20:$C$1000,1,false)</f>
        <v>ZSI1_ELEC_CABLE</v>
      </c>
      <c r="H8801" s="63" t="str">
        <f>IFERROR(__xludf.DUMMYFUNCTION("VLOOKUP(F8801, IMPORTRANGE(""https://docs.google.com/spreadsheets/d/1Lhp9OU0JdFf_VYSMzH5lBcEaU4o8teT1piV-SNzShjg/edit?gid=554141278#gid=554141278"", ""'Char Def. - Attributes'!C20:C2242""), 1,false)"),"BRAND_EXTERNAL")</f>
        <v>BRAND_EXTERNAL</v>
      </c>
      <c r="I8801" s="136"/>
      <c r="R8801" s="63" t="str">
        <f t="shared" si="60"/>
        <v>ZSI1_ELEC_CABLEBRAND_EXTERNAL</v>
      </c>
    </row>
    <row r="8802" ht="15.75" customHeight="1">
      <c r="B8802" s="63">
        <f t="shared" si="1"/>
        <v>15</v>
      </c>
      <c r="C8802" s="135" t="s">
        <v>327</v>
      </c>
      <c r="D8802" s="161" t="s">
        <v>74</v>
      </c>
      <c r="E8802" s="135">
        <f t="shared" si="62"/>
        <v>4</v>
      </c>
      <c r="F8802" s="134" t="s">
        <v>4062</v>
      </c>
      <c r="G8802" s="63" t="str">
        <f>VLOOKUP(C8802, 'Class Def. - General Data'!$C$20:$C$1000,1,false)</f>
        <v>ZSI1_ELEC_CABLE</v>
      </c>
      <c r="H8802" s="63" t="str">
        <f>IFERROR(__xludf.DUMMYFUNCTION("VLOOKUP(F8802, IMPORTRANGE(""https://docs.google.com/spreadsheets/d/1Lhp9OU0JdFf_VYSMzH5lBcEaU4o8teT1piV-SNzShjg/edit?gid=554141278#gid=554141278"", ""'Char Def. - Attributes'!C20:C2242""), 1,false)"),"#N/A")</f>
        <v>#N/A</v>
      </c>
      <c r="I8802" s="136"/>
      <c r="R8802" s="63" t="str">
        <f t="shared" si="60"/>
        <v>ZSI1_ELEC_CABLEADDTIONAL_SPECIFICATION</v>
      </c>
    </row>
    <row r="8803" ht="15.75" customHeight="1">
      <c r="B8803" s="63">
        <f t="shared" si="1"/>
        <v>15</v>
      </c>
      <c r="C8803" s="135" t="s">
        <v>327</v>
      </c>
      <c r="D8803" s="161" t="s">
        <v>74</v>
      </c>
      <c r="E8803" s="135">
        <f t="shared" si="62"/>
        <v>5</v>
      </c>
      <c r="F8803" s="134" t="s">
        <v>4053</v>
      </c>
      <c r="G8803" s="63" t="str">
        <f>VLOOKUP(C8803, 'Class Def. - General Data'!$C$20:$C$1000,1,false)</f>
        <v>ZSI1_ELEC_CABLE</v>
      </c>
      <c r="H8803" s="63" t="str">
        <f>IFERROR(__xludf.DUMMYFUNCTION("VLOOKUP(F8803, IMPORTRANGE(""https://docs.google.com/spreadsheets/d/1Lhp9OU0JdFf_VYSMzH5lBcEaU4o8teT1piV-SNzShjg/edit?gid=554141278#gid=554141278"", ""'Char Def. - Attributes'!C20:C2242""), 1,false)"),"MAINTENANCE_ORDER_TYPE")</f>
        <v>MAINTENANCE_ORDER_TYPE</v>
      </c>
      <c r="I8803" s="136"/>
      <c r="R8803" s="63" t="str">
        <f t="shared" si="60"/>
        <v>ZSI1_ELEC_CABLEMAINTENANCE_ORDER_TYPE</v>
      </c>
    </row>
    <row r="8804" ht="15.75" customHeight="1">
      <c r="B8804" s="63">
        <f t="shared" si="1"/>
        <v>15</v>
      </c>
      <c r="C8804" s="135" t="s">
        <v>327</v>
      </c>
      <c r="D8804" s="161" t="s">
        <v>74</v>
      </c>
      <c r="E8804" s="135">
        <f t="shared" si="62"/>
        <v>6</v>
      </c>
      <c r="F8804" s="134" t="s">
        <v>3585</v>
      </c>
      <c r="G8804" s="63" t="str">
        <f>VLOOKUP(C8804, 'Class Def. - General Data'!$C$20:$C$1000,1,false)</f>
        <v>ZSI1_ELEC_CABLE</v>
      </c>
      <c r="H8804" s="63" t="str">
        <f>IFERROR(__xludf.DUMMYFUNCTION("VLOOKUP(F8804, IMPORTRANGE(""https://docs.google.com/spreadsheets/d/1Lhp9OU0JdFf_VYSMzH5lBcEaU4o8teT1piV-SNzShjg/edit?gid=554141278#gid=554141278"", ""'Char Def. - Attributes'!C20:C2242""), 1,false)"),"HS_CODE")</f>
        <v>HS_CODE</v>
      </c>
      <c r="I8804" s="136"/>
      <c r="R8804" s="63" t="str">
        <f t="shared" si="60"/>
        <v>ZSI1_ELEC_CABLEHS_CODE</v>
      </c>
    </row>
    <row r="8805" ht="15.75" customHeight="1">
      <c r="B8805" s="63">
        <f t="shared" si="1"/>
        <v>15</v>
      </c>
      <c r="C8805" s="135" t="s">
        <v>327</v>
      </c>
      <c r="D8805" s="161" t="s">
        <v>74</v>
      </c>
      <c r="E8805" s="135">
        <f t="shared" si="62"/>
        <v>7</v>
      </c>
      <c r="F8805" s="134" t="s">
        <v>3587</v>
      </c>
      <c r="G8805" s="63" t="str">
        <f>VLOOKUP(C8805, 'Class Def. - General Data'!$C$20:$C$1000,1,false)</f>
        <v>ZSI1_ELEC_CABLE</v>
      </c>
      <c r="H8805" s="63" t="str">
        <f>IFERROR(__xludf.DUMMYFUNCTION("VLOOKUP(F8805, IMPORTRANGE(""https://docs.google.com/spreadsheets/d/1Lhp9OU0JdFf_VYSMzH5lBcEaU4o8teT1piV-SNzShjg/edit?gid=554141278#gid=554141278"", ""'Char Def. - Attributes'!C20:C2242""), 1,false)"),"PLANT_BUY")</f>
        <v>PLANT_BUY</v>
      </c>
      <c r="I8805" s="136"/>
      <c r="R8805" s="63" t="str">
        <f t="shared" si="60"/>
        <v>ZSI1_ELEC_CABLEPLANT_BUY</v>
      </c>
    </row>
    <row r="8806" ht="15.75" customHeight="1">
      <c r="B8806" s="63">
        <f t="shared" si="1"/>
        <v>15</v>
      </c>
      <c r="C8806" s="135" t="s">
        <v>327</v>
      </c>
      <c r="D8806" s="161" t="s">
        <v>74</v>
      </c>
      <c r="E8806" s="135">
        <f t="shared" si="62"/>
        <v>8</v>
      </c>
      <c r="F8806" s="134" t="s">
        <v>4427</v>
      </c>
      <c r="G8806" s="63" t="str">
        <f>VLOOKUP(C8806, 'Class Def. - General Data'!$C$20:$C$1000,1,false)</f>
        <v>ZSI1_ELEC_CABLE</v>
      </c>
      <c r="H8806" s="63" t="str">
        <f>IFERROR(__xludf.DUMMYFUNCTION("VLOOKUP(F8806, IMPORTRANGE(""https://docs.google.com/spreadsheets/d/1Lhp9OU0JdFf_VYSMzH5lBcEaU4o8teT1piV-SNzShjg/edit?gid=554141278#gid=554141278"", ""'Char Def. - Attributes'!C20:C2242""), 1,false)"),"BASE_UOM_ELEC_CABLE")</f>
        <v>BASE_UOM_ELEC_CABLE</v>
      </c>
      <c r="I8806" s="136"/>
      <c r="R8806" s="63" t="str">
        <f t="shared" si="60"/>
        <v>ZSI1_ELEC_CABLEBASE_UOM_ELEC_CABLE</v>
      </c>
    </row>
    <row r="8807" ht="15.75" customHeight="1">
      <c r="B8807" s="63">
        <f t="shared" si="1"/>
        <v>15</v>
      </c>
      <c r="C8807" s="135" t="s">
        <v>327</v>
      </c>
      <c r="D8807" s="161" t="s">
        <v>74</v>
      </c>
      <c r="E8807" s="135">
        <f t="shared" si="62"/>
        <v>9</v>
      </c>
      <c r="F8807" s="134" t="s">
        <v>4428</v>
      </c>
      <c r="G8807" s="63" t="str">
        <f>VLOOKUP(C8807, 'Class Def. - General Data'!$C$20:$C$1000,1,false)</f>
        <v>ZSI1_ELEC_CABLE</v>
      </c>
      <c r="H8807" s="63" t="str">
        <f>IFERROR(__xludf.DUMMYFUNCTION("VLOOKUP(F8807, IMPORTRANGE(""https://docs.google.com/spreadsheets/d/1Lhp9OU0JdFf_VYSMzH5lBcEaU4o8teT1piV-SNzShjg/edit?gid=554141278#gid=554141278"", ""'Char Def. - Attributes'!C20:C2242""), 1,false)"),"ORDER_UNIT_ELEC_CABLE")</f>
        <v>ORDER_UNIT_ELEC_CABLE</v>
      </c>
      <c r="I8807" s="136"/>
      <c r="R8807" s="63" t="str">
        <f t="shared" si="60"/>
        <v>ZSI1_ELEC_CABLEORDER_UNIT_ELEC_CABLE</v>
      </c>
    </row>
    <row r="8808" ht="15.75" customHeight="1">
      <c r="B8808" s="63">
        <f t="shared" si="1"/>
        <v>15</v>
      </c>
      <c r="C8808" s="135" t="s">
        <v>327</v>
      </c>
      <c r="D8808" s="161" t="s">
        <v>74</v>
      </c>
      <c r="E8808" s="135">
        <f t="shared" si="62"/>
        <v>10</v>
      </c>
      <c r="F8808" s="134" t="s">
        <v>4056</v>
      </c>
      <c r="G8808" s="63" t="str">
        <f>VLOOKUP(C8808, 'Class Def. - General Data'!$C$20:$C$1000,1,false)</f>
        <v>ZSI1_ELEC_CABLE</v>
      </c>
      <c r="H8808" s="63" t="str">
        <f>IFERROR(__xludf.DUMMYFUNCTION("VLOOKUP(F8808, IMPORTRANGE(""https://docs.google.com/spreadsheets/d/1Lhp9OU0JdFf_VYSMzH5lBcEaU4o8teT1piV-SNzShjg/edit?gid=554141278#gid=554141278"", ""'Char Def. - Attributes'!C20:C2242""), 1,false)"),"GROSS_WEIGHT_OPT")</f>
        <v>GROSS_WEIGHT_OPT</v>
      </c>
      <c r="I8808" s="136"/>
      <c r="R8808" s="63" t="str">
        <f t="shared" si="60"/>
        <v>ZSI1_ELEC_CABLEGROSS_WEIGHT_OPT</v>
      </c>
    </row>
    <row r="8809" ht="15.75" customHeight="1">
      <c r="B8809" s="63">
        <f t="shared" si="1"/>
        <v>15</v>
      </c>
      <c r="C8809" s="135" t="s">
        <v>327</v>
      </c>
      <c r="D8809" s="161" t="s">
        <v>74</v>
      </c>
      <c r="E8809" s="135">
        <f t="shared" si="62"/>
        <v>11</v>
      </c>
      <c r="F8809" s="134" t="s">
        <v>4057</v>
      </c>
      <c r="G8809" s="63" t="str">
        <f>VLOOKUP(C8809, 'Class Def. - General Data'!$C$20:$C$1000,1,false)</f>
        <v>ZSI1_ELEC_CABLE</v>
      </c>
      <c r="H8809" s="63" t="str">
        <f>IFERROR(__xludf.DUMMYFUNCTION("VLOOKUP(F8809, IMPORTRANGE(""https://docs.google.com/spreadsheets/d/1Lhp9OU0JdFf_VYSMzH5lBcEaU4o8teT1piV-SNzShjg/edit?gid=554141278#gid=554141278"", ""'Char Def. - Attributes'!C20:C2242""), 1,false)"),"NET_WEIGHT_OPT")</f>
        <v>NET_WEIGHT_OPT</v>
      </c>
      <c r="I8809" s="136"/>
      <c r="R8809" s="63" t="str">
        <f t="shared" si="60"/>
        <v>ZSI1_ELEC_CABLENET_WEIGHT_OPT</v>
      </c>
    </row>
    <row r="8810" ht="15.75" customHeight="1">
      <c r="B8810" s="63">
        <f t="shared" si="1"/>
        <v>15</v>
      </c>
      <c r="C8810" s="135" t="s">
        <v>327</v>
      </c>
      <c r="D8810" s="161" t="s">
        <v>74</v>
      </c>
      <c r="E8810" s="135">
        <f t="shared" si="62"/>
        <v>12</v>
      </c>
      <c r="F8810" s="134" t="s">
        <v>4058</v>
      </c>
      <c r="G8810" s="63" t="str">
        <f>VLOOKUP(C8810, 'Class Def. - General Data'!$C$20:$C$1000,1,false)</f>
        <v>ZSI1_ELEC_CABLE</v>
      </c>
      <c r="H8810" s="63" t="str">
        <f>IFERROR(__xludf.DUMMYFUNCTION("VLOOKUP(F8810, IMPORTRANGE(""https://docs.google.com/spreadsheets/d/1Lhp9OU0JdFf_VYSMzH5lBcEaU4o8teT1piV-SNzShjg/edit?gid=554141278#gid=554141278"", ""'Char Def. - Attributes'!C20:C2242""), 1,false)"),"WEIGHT_UNIT_SI")</f>
        <v>WEIGHT_UNIT_SI</v>
      </c>
      <c r="I8810" s="136"/>
      <c r="R8810" s="63" t="str">
        <f t="shared" si="60"/>
        <v>ZSI1_ELEC_CABLEWEIGHT_UNIT_SI</v>
      </c>
    </row>
    <row r="8811" ht="15.75" customHeight="1">
      <c r="B8811" s="63">
        <f t="shared" si="1"/>
        <v>15</v>
      </c>
      <c r="C8811" s="135" t="s">
        <v>327</v>
      </c>
      <c r="D8811" s="161" t="s">
        <v>74</v>
      </c>
      <c r="E8811" s="135">
        <f t="shared" si="62"/>
        <v>13</v>
      </c>
      <c r="F8811" s="134" t="s">
        <v>3877</v>
      </c>
      <c r="G8811" s="63" t="str">
        <f>VLOOKUP(C8811, 'Class Def. - General Data'!$C$20:$C$1000,1,false)</f>
        <v>ZSI1_ELEC_CABLE</v>
      </c>
      <c r="H8811" s="63" t="str">
        <f>IFERROR(__xludf.DUMMYFUNCTION("VLOOKUP(F8811, IMPORTRANGE(""https://docs.google.com/spreadsheets/d/1Lhp9OU0JdFf_VYSMzH5lBcEaU4o8teT1piV-SNzShjg/edit?gid=554141278#gid=554141278"", ""'Char Def. - Attributes'!C20:C2242""), 1,false)"),"VOLUME_OPT")</f>
        <v>VOLUME_OPT</v>
      </c>
      <c r="I8811" s="136"/>
      <c r="R8811" s="63" t="str">
        <f t="shared" si="60"/>
        <v>ZSI1_ELEC_CABLEVOLUME_OPT</v>
      </c>
    </row>
    <row r="8812" ht="15.75" customHeight="1">
      <c r="B8812" s="63">
        <f t="shared" si="1"/>
        <v>15</v>
      </c>
      <c r="C8812" s="135" t="s">
        <v>327</v>
      </c>
      <c r="D8812" s="161" t="s">
        <v>74</v>
      </c>
      <c r="E8812" s="135">
        <f t="shared" si="62"/>
        <v>14</v>
      </c>
      <c r="F8812" s="134" t="s">
        <v>4059</v>
      </c>
      <c r="G8812" s="63" t="str">
        <f>VLOOKUP(C8812, 'Class Def. - General Data'!$C$20:$C$1000,1,false)</f>
        <v>ZSI1_ELEC_CABLE</v>
      </c>
      <c r="H8812" s="63" t="str">
        <f>IFERROR(__xludf.DUMMYFUNCTION("VLOOKUP(F8812, IMPORTRANGE(""https://docs.google.com/spreadsheets/d/1Lhp9OU0JdFf_VYSMzH5lBcEaU4o8teT1piV-SNzShjg/edit?gid=554141278#gid=554141278"", ""'Char Def. - Attributes'!C20:C2242""), 1,false)"),"VOLUME_UNIT_SI")</f>
        <v>VOLUME_UNIT_SI</v>
      </c>
      <c r="I8812" s="136"/>
      <c r="R8812" s="63" t="str">
        <f t="shared" si="60"/>
        <v>ZSI1_ELEC_CABLEVOLUME_UNIT_SI</v>
      </c>
    </row>
    <row r="8813" ht="15.75" customHeight="1">
      <c r="B8813" s="63">
        <f t="shared" si="1"/>
        <v>15</v>
      </c>
      <c r="C8813" s="135" t="s">
        <v>327</v>
      </c>
      <c r="D8813" s="161" t="s">
        <v>74</v>
      </c>
      <c r="E8813" s="135">
        <f t="shared" si="62"/>
        <v>15</v>
      </c>
      <c r="F8813" s="134" t="s">
        <v>3804</v>
      </c>
      <c r="G8813" s="63" t="str">
        <f>VLOOKUP(C8813, 'Class Def. - General Data'!$C$20:$C$1000,1,false)</f>
        <v>ZSI1_ELEC_CABLE</v>
      </c>
      <c r="H8813" s="63" t="str">
        <f>IFERROR(__xludf.DUMMYFUNCTION("VLOOKUP(F8813, IMPORTRANGE(""https://docs.google.com/spreadsheets/d/1Lhp9OU0JdFf_VYSMzH5lBcEaU4o8teT1piV-SNzShjg/edit?gid=554141278#gid=554141278"", ""'Char Def. - Attributes'!C20:C2242""), 1,false)"),"ALT_UOM1_SIPI")</f>
        <v>ALT_UOM1_SIPI</v>
      </c>
      <c r="I8813" s="136"/>
      <c r="R8813" s="63" t="str">
        <f t="shared" si="60"/>
        <v>ZSI1_ELEC_CABLEALT_UOM1_SIPI</v>
      </c>
    </row>
    <row r="8814" ht="15.75" customHeight="1">
      <c r="B8814" s="63">
        <f t="shared" si="1"/>
        <v>15</v>
      </c>
      <c r="C8814" s="135" t="s">
        <v>327</v>
      </c>
      <c r="D8814" s="161" t="s">
        <v>74</v>
      </c>
      <c r="E8814" s="135">
        <f t="shared" si="62"/>
        <v>16</v>
      </c>
      <c r="F8814" s="134" t="s">
        <v>3805</v>
      </c>
      <c r="G8814" s="63" t="str">
        <f>VLOOKUP(C8814, 'Class Def. - General Data'!$C$20:$C$1000,1,false)</f>
        <v>ZSI1_ELEC_CABLE</v>
      </c>
      <c r="H8814" s="63" t="str">
        <f>IFERROR(__xludf.DUMMYFUNCTION("VLOOKUP(F8814, IMPORTRANGE(""https://docs.google.com/spreadsheets/d/1Lhp9OU0JdFf_VYSMzH5lBcEaU4o8teT1piV-SNzShjg/edit?gid=554141278#gid=554141278"", ""'Char Def. - Attributes'!C20:C2242""), 1,false)"),"ALT_DENUM_UOM1")</f>
        <v>ALT_DENUM_UOM1</v>
      </c>
      <c r="I8814" s="136"/>
      <c r="R8814" s="63" t="str">
        <f t="shared" si="60"/>
        <v>ZSI1_ELEC_CABLEALT_DENUM_UOM1</v>
      </c>
    </row>
    <row r="8815" ht="15.75" customHeight="1">
      <c r="B8815" s="63">
        <f t="shared" si="1"/>
        <v>15</v>
      </c>
      <c r="C8815" s="135" t="s">
        <v>327</v>
      </c>
      <c r="D8815" s="161" t="s">
        <v>74</v>
      </c>
      <c r="E8815" s="135">
        <f t="shared" si="62"/>
        <v>17</v>
      </c>
      <c r="F8815" s="134" t="s">
        <v>3806</v>
      </c>
      <c r="G8815" s="63" t="str">
        <f>VLOOKUP(C8815, 'Class Def. - General Data'!$C$20:$C$1000,1,false)</f>
        <v>ZSI1_ELEC_CABLE</v>
      </c>
      <c r="H8815" s="63" t="str">
        <f>IFERROR(__xludf.DUMMYFUNCTION("VLOOKUP(F8815, IMPORTRANGE(""https://docs.google.com/spreadsheets/d/1Lhp9OU0JdFf_VYSMzH5lBcEaU4o8teT1piV-SNzShjg/edit?gid=554141278#gid=554141278"", ""'Char Def. - Attributes'!C20:C2242""), 1,false)"),"ALT_NUM_UOM1")</f>
        <v>ALT_NUM_UOM1</v>
      </c>
      <c r="I8815" s="136"/>
      <c r="R8815" s="63" t="str">
        <f t="shared" si="60"/>
        <v>ZSI1_ELEC_CABLEALT_NUM_UOM1</v>
      </c>
    </row>
    <row r="8816" ht="15.75" customHeight="1">
      <c r="B8816" s="63">
        <f t="shared" si="1"/>
        <v>15</v>
      </c>
      <c r="C8816" s="135" t="s">
        <v>327</v>
      </c>
      <c r="D8816" s="161" t="s">
        <v>74</v>
      </c>
      <c r="E8816" s="135">
        <f t="shared" si="62"/>
        <v>18</v>
      </c>
      <c r="F8816" s="134" t="s">
        <v>3807</v>
      </c>
      <c r="G8816" s="63" t="str">
        <f>VLOOKUP(C8816, 'Class Def. - General Data'!$C$20:$C$1000,1,false)</f>
        <v>ZSI1_ELEC_CABLE</v>
      </c>
      <c r="H8816" s="63" t="str">
        <f>IFERROR(__xludf.DUMMYFUNCTION("VLOOKUP(F8816, IMPORTRANGE(""https://docs.google.com/spreadsheets/d/1Lhp9OU0JdFf_VYSMzH5lBcEaU4o8teT1piV-SNzShjg/edit?gid=554141278#gid=554141278"", ""'Char Def. - Attributes'!C20:C2242""), 1,false)"),"ALT_UOM2_SIPI")</f>
        <v>ALT_UOM2_SIPI</v>
      </c>
      <c r="I8816" s="136"/>
      <c r="R8816" s="63" t="str">
        <f t="shared" si="60"/>
        <v>ZSI1_ELEC_CABLEALT_UOM2_SIPI</v>
      </c>
    </row>
    <row r="8817" ht="15.75" customHeight="1">
      <c r="B8817" s="63">
        <f t="shared" si="1"/>
        <v>15</v>
      </c>
      <c r="C8817" s="135" t="s">
        <v>327</v>
      </c>
      <c r="D8817" s="161" t="s">
        <v>74</v>
      </c>
      <c r="E8817" s="135">
        <f t="shared" si="62"/>
        <v>19</v>
      </c>
      <c r="F8817" s="134" t="s">
        <v>3808</v>
      </c>
      <c r="G8817" s="63" t="str">
        <f>VLOOKUP(C8817, 'Class Def. - General Data'!$C$20:$C$1000,1,false)</f>
        <v>ZSI1_ELEC_CABLE</v>
      </c>
      <c r="H8817" s="63" t="str">
        <f>IFERROR(__xludf.DUMMYFUNCTION("VLOOKUP(F8817, IMPORTRANGE(""https://docs.google.com/spreadsheets/d/1Lhp9OU0JdFf_VYSMzH5lBcEaU4o8teT1piV-SNzShjg/edit?gid=554141278#gid=554141278"", ""'Char Def. - Attributes'!C20:C2242""), 1,false)"),"ALT_DENUM_UOM2")</f>
        <v>ALT_DENUM_UOM2</v>
      </c>
      <c r="I8817" s="136"/>
      <c r="R8817" s="63" t="str">
        <f t="shared" si="60"/>
        <v>ZSI1_ELEC_CABLEALT_DENUM_UOM2</v>
      </c>
    </row>
    <row r="8818" ht="15.75" customHeight="1">
      <c r="B8818" s="63">
        <f t="shared" si="1"/>
        <v>15</v>
      </c>
      <c r="C8818" s="135" t="s">
        <v>327</v>
      </c>
      <c r="D8818" s="161" t="s">
        <v>74</v>
      </c>
      <c r="E8818" s="135">
        <f t="shared" si="62"/>
        <v>20</v>
      </c>
      <c r="F8818" s="134" t="s">
        <v>3809</v>
      </c>
      <c r="G8818" s="63" t="str">
        <f>VLOOKUP(C8818, 'Class Def. - General Data'!$C$20:$C$1000,1,false)</f>
        <v>ZSI1_ELEC_CABLE</v>
      </c>
      <c r="H8818" s="63" t="str">
        <f>IFERROR(__xludf.DUMMYFUNCTION("VLOOKUP(F8818, IMPORTRANGE(""https://docs.google.com/spreadsheets/d/1Lhp9OU0JdFf_VYSMzH5lBcEaU4o8teT1piV-SNzShjg/edit?gid=554141278#gid=554141278"", ""'Char Def. - Attributes'!C20:C2242""), 1,false)"),"ALT_NUM_UOM2")</f>
        <v>ALT_NUM_UOM2</v>
      </c>
      <c r="I8818" s="136"/>
      <c r="R8818" s="63" t="str">
        <f t="shared" si="60"/>
        <v>ZSI1_ELEC_CABLEALT_NUM_UOM2</v>
      </c>
    </row>
    <row r="8819" ht="15.75" customHeight="1">
      <c r="B8819" s="63">
        <f t="shared" si="1"/>
        <v>15</v>
      </c>
      <c r="C8819" s="135" t="s">
        <v>327</v>
      </c>
      <c r="D8819" s="161" t="s">
        <v>74</v>
      </c>
      <c r="E8819" s="135">
        <f t="shared" si="62"/>
        <v>21</v>
      </c>
      <c r="F8819" s="134" t="s">
        <v>3810</v>
      </c>
      <c r="G8819" s="63" t="str">
        <f>VLOOKUP(C8819, 'Class Def. - General Data'!$C$20:$C$1000,1,false)</f>
        <v>ZSI1_ELEC_CABLE</v>
      </c>
      <c r="H8819" s="63" t="str">
        <f>IFERROR(__xludf.DUMMYFUNCTION("VLOOKUP(F8819, IMPORTRANGE(""https://docs.google.com/spreadsheets/d/1Lhp9OU0JdFf_VYSMzH5lBcEaU4o8teT1piV-SNzShjg/edit?gid=554141278#gid=554141278"", ""'Char Def. - Attributes'!C20:C2242""), 1,false)"),"ALT_UOM3_SIPI")</f>
        <v>ALT_UOM3_SIPI</v>
      </c>
      <c r="I8819" s="136"/>
      <c r="R8819" s="63" t="str">
        <f t="shared" si="60"/>
        <v>ZSI1_ELEC_CABLEALT_UOM3_SIPI</v>
      </c>
    </row>
    <row r="8820" ht="15.75" customHeight="1">
      <c r="B8820" s="63">
        <f t="shared" si="1"/>
        <v>15</v>
      </c>
      <c r="C8820" s="135" t="s">
        <v>327</v>
      </c>
      <c r="D8820" s="161" t="s">
        <v>74</v>
      </c>
      <c r="E8820" s="135">
        <f t="shared" si="62"/>
        <v>22</v>
      </c>
      <c r="F8820" s="134" t="s">
        <v>3811</v>
      </c>
      <c r="G8820" s="63" t="str">
        <f>VLOOKUP(C8820, 'Class Def. - General Data'!$C$20:$C$1000,1,false)</f>
        <v>ZSI1_ELEC_CABLE</v>
      </c>
      <c r="H8820" s="63" t="str">
        <f>IFERROR(__xludf.DUMMYFUNCTION("VLOOKUP(F8820, IMPORTRANGE(""https://docs.google.com/spreadsheets/d/1Lhp9OU0JdFf_VYSMzH5lBcEaU4o8teT1piV-SNzShjg/edit?gid=554141278#gid=554141278"", ""'Char Def. - Attributes'!C20:C2242""), 1,false)"),"ALT_DENUM_UOM3")</f>
        <v>ALT_DENUM_UOM3</v>
      </c>
      <c r="I8820" s="136"/>
      <c r="R8820" s="63" t="str">
        <f t="shared" si="60"/>
        <v>ZSI1_ELEC_CABLEALT_DENUM_UOM3</v>
      </c>
    </row>
    <row r="8821" ht="15.75" customHeight="1">
      <c r="B8821" s="63">
        <f t="shared" si="1"/>
        <v>15</v>
      </c>
      <c r="C8821" s="135" t="s">
        <v>327</v>
      </c>
      <c r="D8821" s="161" t="s">
        <v>74</v>
      </c>
      <c r="E8821" s="135">
        <f t="shared" si="62"/>
        <v>23</v>
      </c>
      <c r="F8821" s="134" t="s">
        <v>3812</v>
      </c>
      <c r="G8821" s="63" t="str">
        <f>VLOOKUP(C8821, 'Class Def. - General Data'!$C$20:$C$1000,1,false)</f>
        <v>ZSI1_ELEC_CABLE</v>
      </c>
      <c r="H8821" s="63" t="str">
        <f>IFERROR(__xludf.DUMMYFUNCTION("VLOOKUP(F8821, IMPORTRANGE(""https://docs.google.com/spreadsheets/d/1Lhp9OU0JdFf_VYSMzH5lBcEaU4o8teT1piV-SNzShjg/edit?gid=554141278#gid=554141278"", ""'Char Def. - Attributes'!C20:C2242""), 1,false)"),"ALT_NUM_UOM3")</f>
        <v>ALT_NUM_UOM3</v>
      </c>
      <c r="I8821" s="136"/>
      <c r="R8821" s="63" t="str">
        <f t="shared" si="60"/>
        <v>ZSI1_ELEC_CABLEALT_NUM_UOM3</v>
      </c>
    </row>
    <row r="8822" ht="15.75" customHeight="1">
      <c r="B8822" s="63">
        <f t="shared" si="1"/>
        <v>15</v>
      </c>
      <c r="C8822" s="135" t="s">
        <v>327</v>
      </c>
      <c r="D8822" s="161" t="s">
        <v>74</v>
      </c>
      <c r="E8822" s="135">
        <f t="shared" si="62"/>
        <v>24</v>
      </c>
      <c r="F8822" s="134" t="s">
        <v>3813</v>
      </c>
      <c r="G8822" s="63" t="str">
        <f>VLOOKUP(C8822, 'Class Def. - General Data'!$C$20:$C$1000,1,false)</f>
        <v>ZSI1_ELEC_CABLE</v>
      </c>
      <c r="H8822" s="63" t="str">
        <f>IFERROR(__xludf.DUMMYFUNCTION("VLOOKUP(F8822, IMPORTRANGE(""https://docs.google.com/spreadsheets/d/1Lhp9OU0JdFf_VYSMzH5lBcEaU4o8teT1piV-SNzShjg/edit?gid=554141278#gid=554141278"", ""'Char Def. - Attributes'!C20:C2242""), 1,false)"),"ALT_UOM4_SIPI")</f>
        <v>ALT_UOM4_SIPI</v>
      </c>
      <c r="I8822" s="136"/>
      <c r="R8822" s="63" t="str">
        <f t="shared" si="60"/>
        <v>ZSI1_ELEC_CABLEALT_UOM4_SIPI</v>
      </c>
    </row>
    <row r="8823" ht="15.75" customHeight="1">
      <c r="B8823" s="63">
        <f t="shared" si="1"/>
        <v>15</v>
      </c>
      <c r="C8823" s="135" t="s">
        <v>327</v>
      </c>
      <c r="D8823" s="161" t="s">
        <v>74</v>
      </c>
      <c r="E8823" s="135">
        <f t="shared" si="62"/>
        <v>25</v>
      </c>
      <c r="F8823" s="134" t="s">
        <v>3814</v>
      </c>
      <c r="G8823" s="63" t="str">
        <f>VLOOKUP(C8823, 'Class Def. - General Data'!$C$20:$C$1000,1,false)</f>
        <v>ZSI1_ELEC_CABLE</v>
      </c>
      <c r="H8823" s="63" t="str">
        <f>IFERROR(__xludf.DUMMYFUNCTION("VLOOKUP(F8823, IMPORTRANGE(""https://docs.google.com/spreadsheets/d/1Lhp9OU0JdFf_VYSMzH5lBcEaU4o8teT1piV-SNzShjg/edit?gid=554141278#gid=554141278"", ""'Char Def. - Attributes'!C20:C2242""), 1,false)"),"ALT_DENUM_UOM4")</f>
        <v>ALT_DENUM_UOM4</v>
      </c>
      <c r="I8823" s="136"/>
      <c r="R8823" s="63" t="str">
        <f t="shared" si="60"/>
        <v>ZSI1_ELEC_CABLEALT_DENUM_UOM4</v>
      </c>
    </row>
    <row r="8824" ht="15.75" customHeight="1">
      <c r="B8824" s="63">
        <f t="shared" si="1"/>
        <v>15</v>
      </c>
      <c r="C8824" s="135" t="s">
        <v>327</v>
      </c>
      <c r="D8824" s="161" t="s">
        <v>74</v>
      </c>
      <c r="E8824" s="135">
        <f t="shared" si="62"/>
        <v>26</v>
      </c>
      <c r="F8824" s="134" t="s">
        <v>3815</v>
      </c>
      <c r="G8824" s="63" t="str">
        <f>VLOOKUP(C8824, 'Class Def. - General Data'!$C$20:$C$1000,1,false)</f>
        <v>ZSI1_ELEC_CABLE</v>
      </c>
      <c r="H8824" s="63" t="str">
        <f>IFERROR(__xludf.DUMMYFUNCTION("VLOOKUP(F8824, IMPORTRANGE(""https://docs.google.com/spreadsheets/d/1Lhp9OU0JdFf_VYSMzH5lBcEaU4o8teT1piV-SNzShjg/edit?gid=554141278#gid=554141278"", ""'Char Def. - Attributes'!C20:C2242""), 1,false)"),"ALT_NUM_UOM4")</f>
        <v>ALT_NUM_UOM4</v>
      </c>
      <c r="I8824" s="136"/>
      <c r="R8824" s="63" t="str">
        <f t="shared" si="60"/>
        <v>ZSI1_ELEC_CABLEALT_NUM_UOM4</v>
      </c>
    </row>
    <row r="8825" ht="15.75" customHeight="1">
      <c r="B8825" s="63">
        <f t="shared" si="1"/>
        <v>15</v>
      </c>
      <c r="C8825" s="135" t="s">
        <v>327</v>
      </c>
      <c r="D8825" s="161" t="s">
        <v>74</v>
      </c>
      <c r="E8825" s="135">
        <f t="shared" si="62"/>
        <v>27</v>
      </c>
      <c r="F8825" s="134" t="s">
        <v>3816</v>
      </c>
      <c r="G8825" s="63" t="str">
        <f>VLOOKUP(C8825, 'Class Def. - General Data'!$C$20:$C$1000,1,false)</f>
        <v>ZSI1_ELEC_CABLE</v>
      </c>
      <c r="H8825" s="63" t="str">
        <f>IFERROR(__xludf.DUMMYFUNCTION("VLOOKUP(F8825, IMPORTRANGE(""https://docs.google.com/spreadsheets/d/1Lhp9OU0JdFf_VYSMzH5lBcEaU4o8teT1piV-SNzShjg/edit?gid=554141278#gid=554141278"", ""'Char Def. - Attributes'!C20:C2242""), 1,false)"),"ALT_UOM5_SIPI")</f>
        <v>ALT_UOM5_SIPI</v>
      </c>
      <c r="I8825" s="136"/>
      <c r="R8825" s="63" t="str">
        <f t="shared" si="60"/>
        <v>ZSI1_ELEC_CABLEALT_UOM5_SIPI</v>
      </c>
    </row>
    <row r="8826" ht="15.75" customHeight="1">
      <c r="B8826" s="63">
        <f t="shared" si="1"/>
        <v>15</v>
      </c>
      <c r="C8826" s="135" t="s">
        <v>327</v>
      </c>
      <c r="D8826" s="161" t="s">
        <v>74</v>
      </c>
      <c r="E8826" s="135">
        <f t="shared" si="62"/>
        <v>28</v>
      </c>
      <c r="F8826" s="134" t="s">
        <v>3817</v>
      </c>
      <c r="G8826" s="63" t="str">
        <f>VLOOKUP(C8826, 'Class Def. - General Data'!$C$20:$C$1000,1,false)</f>
        <v>ZSI1_ELEC_CABLE</v>
      </c>
      <c r="H8826" s="63" t="str">
        <f>IFERROR(__xludf.DUMMYFUNCTION("VLOOKUP(F8826, IMPORTRANGE(""https://docs.google.com/spreadsheets/d/1Lhp9OU0JdFf_VYSMzH5lBcEaU4o8teT1piV-SNzShjg/edit?gid=554141278#gid=554141278"", ""'Char Def. - Attributes'!C20:C2242""), 1,false)"),"ALT_DENUM_UOM5")</f>
        <v>ALT_DENUM_UOM5</v>
      </c>
      <c r="I8826" s="136"/>
      <c r="R8826" s="63" t="str">
        <f t="shared" si="60"/>
        <v>ZSI1_ELEC_CABLEALT_DENUM_UOM5</v>
      </c>
    </row>
    <row r="8827" ht="15.75" customHeight="1">
      <c r="B8827" s="63">
        <f t="shared" si="1"/>
        <v>15</v>
      </c>
      <c r="C8827" s="135" t="s">
        <v>327</v>
      </c>
      <c r="D8827" s="161" t="s">
        <v>74</v>
      </c>
      <c r="E8827" s="135">
        <f t="shared" si="62"/>
        <v>29</v>
      </c>
      <c r="F8827" s="134" t="s">
        <v>3818</v>
      </c>
      <c r="G8827" s="63" t="str">
        <f>VLOOKUP(C8827, 'Class Def. - General Data'!$C$20:$C$1000,1,false)</f>
        <v>ZSI1_ELEC_CABLE</v>
      </c>
      <c r="H8827" s="63" t="str">
        <f>IFERROR(__xludf.DUMMYFUNCTION("VLOOKUP(F8827, IMPORTRANGE(""https://docs.google.com/spreadsheets/d/1Lhp9OU0JdFf_VYSMzH5lBcEaU4o8teT1piV-SNzShjg/edit?gid=554141278#gid=554141278"", ""'Char Def. - Attributes'!C20:C2242""), 1,false)"),"ALT_NUM_UOM5")</f>
        <v>ALT_NUM_UOM5</v>
      </c>
      <c r="I8827" s="136"/>
      <c r="R8827" s="63" t="str">
        <f t="shared" si="60"/>
        <v>ZSI1_ELEC_CABLEALT_NUM_UOM5</v>
      </c>
    </row>
    <row r="8828" ht="15.75" customHeight="1">
      <c r="B8828" s="63">
        <f t="shared" si="1"/>
        <v>17</v>
      </c>
      <c r="C8828" s="135" t="s">
        <v>385</v>
      </c>
      <c r="D8828" s="161" t="s">
        <v>74</v>
      </c>
      <c r="E8828" s="135">
        <f t="shared" si="62"/>
        <v>1</v>
      </c>
      <c r="F8828" s="134" t="s">
        <v>4429</v>
      </c>
      <c r="G8828" s="63" t="str">
        <f>VLOOKUP(C8828, 'Class Def. - General Data'!$C$20:$C$1000,1,false)</f>
        <v>ZSI1_ELEC_CONDUIT</v>
      </c>
      <c r="H8828" s="63" t="str">
        <f>IFERROR(__xludf.DUMMYFUNCTION("VLOOKUP(F8828, IMPORTRANGE(""https://docs.google.com/spreadsheets/d/1Lhp9OU0JdFf_VYSMzH5lBcEaU4o8teT1piV-SNzShjg/edit?gid=554141278#gid=554141278"", ""'Char Def. - Attributes'!C20:C2242""), 1,false)"),"ITEM_NAME_ELEC_CONDUIT")</f>
        <v>ITEM_NAME_ELEC_CONDUIT</v>
      </c>
      <c r="I8828" s="136"/>
      <c r="R8828" s="63" t="str">
        <f t="shared" si="60"/>
        <v>ZSI1_ELEC_CONDUITITEM_NAME_ELEC_CONDUIT</v>
      </c>
    </row>
    <row r="8829" ht="15.75" customHeight="1">
      <c r="B8829" s="63">
        <f t="shared" si="1"/>
        <v>17</v>
      </c>
      <c r="C8829" s="135" t="s">
        <v>385</v>
      </c>
      <c r="D8829" s="161" t="s">
        <v>74</v>
      </c>
      <c r="E8829" s="135">
        <f t="shared" si="62"/>
        <v>2</v>
      </c>
      <c r="F8829" s="134" t="s">
        <v>4430</v>
      </c>
      <c r="G8829" s="63" t="str">
        <f>VLOOKUP(C8829, 'Class Def. - General Data'!$C$20:$C$1000,1,false)</f>
        <v>ZSI1_ELEC_CONDUIT</v>
      </c>
      <c r="H8829" s="63" t="str">
        <f>IFERROR(__xludf.DUMMYFUNCTION("VLOOKUP(F8829, IMPORTRANGE(""https://docs.google.com/spreadsheets/d/1Lhp9OU0JdFf_VYSMzH5lBcEaU4o8teT1piV-SNzShjg/edit?gid=554141278#gid=554141278"", ""'Char Def. - Attributes'!C20:C2242""), 1,false)"),"TYPE_ELEC_CONDUIT")</f>
        <v>TYPE_ELEC_CONDUIT</v>
      </c>
      <c r="I8829" s="136"/>
      <c r="R8829" s="63" t="str">
        <f t="shared" si="60"/>
        <v>ZSI1_ELEC_CONDUITTYPE_ELEC_CONDUIT</v>
      </c>
    </row>
    <row r="8830" ht="15.75" customHeight="1">
      <c r="B8830" s="63">
        <f t="shared" si="1"/>
        <v>17</v>
      </c>
      <c r="C8830" s="135" t="s">
        <v>385</v>
      </c>
      <c r="D8830" s="161" t="s">
        <v>74</v>
      </c>
      <c r="E8830" s="135">
        <f t="shared" si="62"/>
        <v>3</v>
      </c>
      <c r="F8830" s="134" t="s">
        <v>4431</v>
      </c>
      <c r="G8830" s="63" t="str">
        <f>VLOOKUP(C8830, 'Class Def. - General Data'!$C$20:$C$1000,1,false)</f>
        <v>ZSI1_ELEC_CONDUIT</v>
      </c>
      <c r="H8830" s="63" t="str">
        <f>IFERROR(__xludf.DUMMYFUNCTION("VLOOKUP(F8830, IMPORTRANGE(""https://docs.google.com/spreadsheets/d/1Lhp9OU0JdFf_VYSMzH5lBcEaU4o8teT1piV-SNzShjg/edit?gid=554141278#gid=554141278"", ""'Char Def. - Attributes'!C20:C2242""), 1,false)"),"OUTSIDE_DIAMTR_MM_ELEC_CONDUIT")</f>
        <v>OUTSIDE_DIAMTR_MM_ELEC_CONDUIT</v>
      </c>
      <c r="I8830" s="136"/>
      <c r="R8830" s="63" t="str">
        <f t="shared" si="60"/>
        <v>ZSI1_ELEC_CONDUITOUTSIDE_DIAMTR_MM_ELEC_CONDUIT</v>
      </c>
    </row>
    <row r="8831" ht="15.75" customHeight="1">
      <c r="B8831" s="63">
        <f t="shared" si="1"/>
        <v>17</v>
      </c>
      <c r="C8831" s="135" t="s">
        <v>385</v>
      </c>
      <c r="D8831" s="161" t="s">
        <v>74</v>
      </c>
      <c r="E8831" s="135">
        <f t="shared" si="62"/>
        <v>4</v>
      </c>
      <c r="F8831" s="134" t="s">
        <v>4432</v>
      </c>
      <c r="G8831" s="63" t="str">
        <f>VLOOKUP(C8831, 'Class Def. - General Data'!$C$20:$C$1000,1,false)</f>
        <v>ZSI1_ELEC_CONDUIT</v>
      </c>
      <c r="H8831" s="63" t="str">
        <f>IFERROR(__xludf.DUMMYFUNCTION("VLOOKUP(F8831, IMPORTRANGE(""https://docs.google.com/spreadsheets/d/1Lhp9OU0JdFf_VYSMzH5lBcEaU4o8teT1piV-SNzShjg/edit?gid=554141278#gid=554141278"", ""'Char Def. - Attributes'!C20:C2242""), 1,false)"),"THICKNESS_MM_ELEC_CONDUIT")</f>
        <v>THICKNESS_MM_ELEC_CONDUIT</v>
      </c>
      <c r="I8831" s="136"/>
      <c r="R8831" s="63" t="str">
        <f t="shared" si="60"/>
        <v>ZSI1_ELEC_CONDUITTHICKNESS_MM_ELEC_CONDUIT</v>
      </c>
    </row>
    <row r="8832" ht="15.75" customHeight="1">
      <c r="B8832" s="63">
        <f t="shared" si="1"/>
        <v>17</v>
      </c>
      <c r="C8832" s="135" t="s">
        <v>385</v>
      </c>
      <c r="D8832" s="161" t="s">
        <v>74</v>
      </c>
      <c r="E8832" s="135">
        <f t="shared" si="62"/>
        <v>5</v>
      </c>
      <c r="F8832" s="134" t="s">
        <v>4433</v>
      </c>
      <c r="G8832" s="63" t="str">
        <f>VLOOKUP(C8832, 'Class Def. - General Data'!$C$20:$C$1000,1,false)</f>
        <v>ZSI1_ELEC_CONDUIT</v>
      </c>
      <c r="H8832" s="63" t="str">
        <f>IFERROR(__xludf.DUMMYFUNCTION("VLOOKUP(F8832, IMPORTRANGE(""https://docs.google.com/spreadsheets/d/1Lhp9OU0JdFf_VYSMzH5lBcEaU4o8teT1piV-SNzShjg/edit?gid=554141278#gid=554141278"", ""'Char Def. - Attributes'!C20:C2242""), 1,false)"),"LENGTH_M_ELEC_CONDUIT")</f>
        <v>LENGTH_M_ELEC_CONDUIT</v>
      </c>
      <c r="I8832" s="136"/>
      <c r="R8832" s="63" t="str">
        <f t="shared" si="60"/>
        <v>ZSI1_ELEC_CONDUITLENGTH_M_ELEC_CONDUIT</v>
      </c>
    </row>
    <row r="8833" ht="15.75" customHeight="1">
      <c r="B8833" s="63">
        <f t="shared" si="1"/>
        <v>17</v>
      </c>
      <c r="C8833" s="135" t="s">
        <v>385</v>
      </c>
      <c r="D8833" s="161" t="s">
        <v>74</v>
      </c>
      <c r="E8833" s="135">
        <f t="shared" si="62"/>
        <v>6</v>
      </c>
      <c r="F8833" s="134" t="s">
        <v>4434</v>
      </c>
      <c r="G8833" s="63" t="str">
        <f>VLOOKUP(C8833, 'Class Def. - General Data'!$C$20:$C$1000,1,false)</f>
        <v>ZSI1_ELEC_CONDUIT</v>
      </c>
      <c r="H8833" s="63" t="str">
        <f>IFERROR(__xludf.DUMMYFUNCTION("VLOOKUP(F8833, IMPORTRANGE(""https://docs.google.com/spreadsheets/d/1Lhp9OU0JdFf_VYSMzH5lBcEaU4o8teT1piV-SNzShjg/edit?gid=554141278#gid=554141278"", ""'Char Def. - Attributes'!C20:C2242""), 1,false)"),"MATERIAL_ELEC_CONDUIT")</f>
        <v>MATERIAL_ELEC_CONDUIT</v>
      </c>
      <c r="I8833" s="136"/>
      <c r="R8833" s="63" t="str">
        <f t="shared" si="60"/>
        <v>ZSI1_ELEC_CONDUITMATERIAL_ELEC_CONDUIT</v>
      </c>
    </row>
    <row r="8834" ht="15.75" customHeight="1">
      <c r="B8834" s="63">
        <f t="shared" si="1"/>
        <v>17</v>
      </c>
      <c r="C8834" s="135" t="s">
        <v>385</v>
      </c>
      <c r="D8834" s="161" t="s">
        <v>74</v>
      </c>
      <c r="E8834" s="135">
        <f t="shared" si="62"/>
        <v>7</v>
      </c>
      <c r="F8834" s="134" t="s">
        <v>3585</v>
      </c>
      <c r="G8834" s="63" t="str">
        <f>VLOOKUP(C8834, 'Class Def. - General Data'!$C$20:$C$1000,1,false)</f>
        <v>ZSI1_ELEC_CONDUIT</v>
      </c>
      <c r="H8834" s="63" t="str">
        <f>IFERROR(__xludf.DUMMYFUNCTION("VLOOKUP(F8834, IMPORTRANGE(""https://docs.google.com/spreadsheets/d/1Lhp9OU0JdFf_VYSMzH5lBcEaU4o8teT1piV-SNzShjg/edit?gid=554141278#gid=554141278"", ""'Char Def. - Attributes'!C20:C2242""), 1,false)"),"HS_CODE")</f>
        <v>HS_CODE</v>
      </c>
      <c r="I8834" s="136"/>
      <c r="R8834" s="63" t="str">
        <f t="shared" si="60"/>
        <v>ZSI1_ELEC_CONDUITHS_CODE</v>
      </c>
    </row>
    <row r="8835" ht="15.75" customHeight="1">
      <c r="B8835" s="63">
        <f t="shared" si="1"/>
        <v>17</v>
      </c>
      <c r="C8835" s="135" t="s">
        <v>385</v>
      </c>
      <c r="D8835" s="161" t="s">
        <v>74</v>
      </c>
      <c r="E8835" s="135">
        <f t="shared" si="62"/>
        <v>8</v>
      </c>
      <c r="F8835" s="134" t="s">
        <v>3587</v>
      </c>
      <c r="G8835" s="63" t="str">
        <f>VLOOKUP(C8835, 'Class Def. - General Data'!$C$20:$C$1000,1,false)</f>
        <v>ZSI1_ELEC_CONDUIT</v>
      </c>
      <c r="H8835" s="63" t="str">
        <f>IFERROR(__xludf.DUMMYFUNCTION("VLOOKUP(F8835, IMPORTRANGE(""https://docs.google.com/spreadsheets/d/1Lhp9OU0JdFf_VYSMzH5lBcEaU4o8teT1piV-SNzShjg/edit?gid=554141278#gid=554141278"", ""'Char Def. - Attributes'!C20:C2242""), 1,false)"),"PLANT_BUY")</f>
        <v>PLANT_BUY</v>
      </c>
      <c r="I8835" s="136"/>
      <c r="R8835" s="63" t="str">
        <f t="shared" si="60"/>
        <v>ZSI1_ELEC_CONDUITPLANT_BUY</v>
      </c>
    </row>
    <row r="8836" ht="15.75" customHeight="1">
      <c r="B8836" s="63">
        <f t="shared" si="1"/>
        <v>17</v>
      </c>
      <c r="C8836" s="135" t="s">
        <v>385</v>
      </c>
      <c r="D8836" s="161" t="s">
        <v>74</v>
      </c>
      <c r="E8836" s="135">
        <f t="shared" si="62"/>
        <v>9</v>
      </c>
      <c r="F8836" s="134" t="s">
        <v>4435</v>
      </c>
      <c r="G8836" s="63" t="str">
        <f>VLOOKUP(C8836, 'Class Def. - General Data'!$C$20:$C$1000,1,false)</f>
        <v>ZSI1_ELEC_CONDUIT</v>
      </c>
      <c r="H8836" s="63" t="str">
        <f>IFERROR(__xludf.DUMMYFUNCTION("VLOOKUP(F8836, IMPORTRANGE(""https://docs.google.com/spreadsheets/d/1Lhp9OU0JdFf_VYSMzH5lBcEaU4o8teT1piV-SNzShjg/edit?gid=554141278#gid=554141278"", ""'Char Def. - Attributes'!C20:C2242""), 1,false)"),"BASE_UOM_ELEC_CONDUIT")</f>
        <v>BASE_UOM_ELEC_CONDUIT</v>
      </c>
      <c r="I8836" s="136"/>
      <c r="R8836" s="63" t="str">
        <f t="shared" si="60"/>
        <v>ZSI1_ELEC_CONDUITBASE_UOM_ELEC_CONDUIT</v>
      </c>
    </row>
    <row r="8837" ht="15.75" customHeight="1">
      <c r="B8837" s="63">
        <f t="shared" si="1"/>
        <v>17</v>
      </c>
      <c r="C8837" s="135" t="s">
        <v>385</v>
      </c>
      <c r="D8837" s="161" t="s">
        <v>74</v>
      </c>
      <c r="E8837" s="135">
        <f t="shared" si="62"/>
        <v>10</v>
      </c>
      <c r="F8837" s="134" t="s">
        <v>4436</v>
      </c>
      <c r="G8837" s="63" t="str">
        <f>VLOOKUP(C8837, 'Class Def. - General Data'!$C$20:$C$1000,1,false)</f>
        <v>ZSI1_ELEC_CONDUIT</v>
      </c>
      <c r="H8837" s="63" t="str">
        <f>IFERROR(__xludf.DUMMYFUNCTION("VLOOKUP(F8837, IMPORTRANGE(""https://docs.google.com/spreadsheets/d/1Lhp9OU0JdFf_VYSMzH5lBcEaU4o8teT1piV-SNzShjg/edit?gid=554141278#gid=554141278"", ""'Char Def. - Attributes'!C20:C2242""), 1,false)"),"ORDER_UNIT_ELEC_CONDUIT")</f>
        <v>ORDER_UNIT_ELEC_CONDUIT</v>
      </c>
      <c r="I8837" s="136"/>
      <c r="R8837" s="63" t="str">
        <f t="shared" si="60"/>
        <v>ZSI1_ELEC_CONDUITORDER_UNIT_ELEC_CONDUIT</v>
      </c>
    </row>
    <row r="8838" ht="15.75" customHeight="1">
      <c r="B8838" s="63">
        <f t="shared" si="1"/>
        <v>17</v>
      </c>
      <c r="C8838" s="135" t="s">
        <v>385</v>
      </c>
      <c r="D8838" s="161" t="s">
        <v>74</v>
      </c>
      <c r="E8838" s="135">
        <f t="shared" si="62"/>
        <v>11</v>
      </c>
      <c r="F8838" s="134" t="s">
        <v>4056</v>
      </c>
      <c r="G8838" s="63" t="str">
        <f>VLOOKUP(C8838, 'Class Def. - General Data'!$C$20:$C$1000,1,false)</f>
        <v>ZSI1_ELEC_CONDUIT</v>
      </c>
      <c r="H8838" s="63" t="str">
        <f>IFERROR(__xludf.DUMMYFUNCTION("VLOOKUP(F8838, IMPORTRANGE(""https://docs.google.com/spreadsheets/d/1Lhp9OU0JdFf_VYSMzH5lBcEaU4o8teT1piV-SNzShjg/edit?gid=554141278#gid=554141278"", ""'Char Def. - Attributes'!C20:C2242""), 1,false)"),"GROSS_WEIGHT_OPT")</f>
        <v>GROSS_WEIGHT_OPT</v>
      </c>
      <c r="I8838" s="136"/>
      <c r="R8838" s="63" t="str">
        <f t="shared" si="60"/>
        <v>ZSI1_ELEC_CONDUITGROSS_WEIGHT_OPT</v>
      </c>
    </row>
    <row r="8839" ht="15.75" customHeight="1">
      <c r="B8839" s="63">
        <f t="shared" si="1"/>
        <v>17</v>
      </c>
      <c r="C8839" s="135" t="s">
        <v>385</v>
      </c>
      <c r="D8839" s="161" t="s">
        <v>74</v>
      </c>
      <c r="E8839" s="135">
        <f t="shared" si="62"/>
        <v>12</v>
      </c>
      <c r="F8839" s="134" t="s">
        <v>4057</v>
      </c>
      <c r="G8839" s="63" t="str">
        <f>VLOOKUP(C8839, 'Class Def. - General Data'!$C$20:$C$1000,1,false)</f>
        <v>ZSI1_ELEC_CONDUIT</v>
      </c>
      <c r="H8839" s="63" t="str">
        <f>IFERROR(__xludf.DUMMYFUNCTION("VLOOKUP(F8839, IMPORTRANGE(""https://docs.google.com/spreadsheets/d/1Lhp9OU0JdFf_VYSMzH5lBcEaU4o8teT1piV-SNzShjg/edit?gid=554141278#gid=554141278"", ""'Char Def. - Attributes'!C20:C2242""), 1,false)"),"NET_WEIGHT_OPT")</f>
        <v>NET_WEIGHT_OPT</v>
      </c>
      <c r="I8839" s="136"/>
      <c r="R8839" s="63" t="str">
        <f t="shared" si="60"/>
        <v>ZSI1_ELEC_CONDUITNET_WEIGHT_OPT</v>
      </c>
    </row>
    <row r="8840" ht="15.75" customHeight="1">
      <c r="B8840" s="63">
        <f t="shared" si="1"/>
        <v>17</v>
      </c>
      <c r="C8840" s="135" t="s">
        <v>385</v>
      </c>
      <c r="D8840" s="161" t="s">
        <v>74</v>
      </c>
      <c r="E8840" s="135">
        <f t="shared" si="62"/>
        <v>13</v>
      </c>
      <c r="F8840" s="134" t="s">
        <v>4058</v>
      </c>
      <c r="G8840" s="63" t="str">
        <f>VLOOKUP(C8840, 'Class Def. - General Data'!$C$20:$C$1000,1,false)</f>
        <v>ZSI1_ELEC_CONDUIT</v>
      </c>
      <c r="H8840" s="63" t="str">
        <f>IFERROR(__xludf.DUMMYFUNCTION("VLOOKUP(F8840, IMPORTRANGE(""https://docs.google.com/spreadsheets/d/1Lhp9OU0JdFf_VYSMzH5lBcEaU4o8teT1piV-SNzShjg/edit?gid=554141278#gid=554141278"", ""'Char Def. - Attributes'!C20:C2242""), 1,false)"),"WEIGHT_UNIT_SI")</f>
        <v>WEIGHT_UNIT_SI</v>
      </c>
      <c r="I8840" s="136"/>
      <c r="R8840" s="63" t="str">
        <f t="shared" si="60"/>
        <v>ZSI1_ELEC_CONDUITWEIGHT_UNIT_SI</v>
      </c>
    </row>
    <row r="8841" ht="15.75" customHeight="1">
      <c r="B8841" s="63">
        <f t="shared" si="1"/>
        <v>17</v>
      </c>
      <c r="C8841" s="135" t="s">
        <v>385</v>
      </c>
      <c r="D8841" s="161" t="s">
        <v>74</v>
      </c>
      <c r="E8841" s="135">
        <f t="shared" si="62"/>
        <v>14</v>
      </c>
      <c r="F8841" s="134" t="s">
        <v>3877</v>
      </c>
      <c r="G8841" s="63" t="str">
        <f>VLOOKUP(C8841, 'Class Def. - General Data'!$C$20:$C$1000,1,false)</f>
        <v>ZSI1_ELEC_CONDUIT</v>
      </c>
      <c r="H8841" s="63" t="str">
        <f>IFERROR(__xludf.DUMMYFUNCTION("VLOOKUP(F8841, IMPORTRANGE(""https://docs.google.com/spreadsheets/d/1Lhp9OU0JdFf_VYSMzH5lBcEaU4o8teT1piV-SNzShjg/edit?gid=554141278#gid=554141278"", ""'Char Def. - Attributes'!C20:C2242""), 1,false)"),"VOLUME_OPT")</f>
        <v>VOLUME_OPT</v>
      </c>
      <c r="I8841" s="136"/>
      <c r="R8841" s="63" t="str">
        <f t="shared" si="60"/>
        <v>ZSI1_ELEC_CONDUITVOLUME_OPT</v>
      </c>
    </row>
    <row r="8842" ht="15.75" customHeight="1">
      <c r="B8842" s="63">
        <f t="shared" si="1"/>
        <v>17</v>
      </c>
      <c r="C8842" s="135" t="s">
        <v>385</v>
      </c>
      <c r="D8842" s="161" t="s">
        <v>74</v>
      </c>
      <c r="E8842" s="135">
        <f t="shared" si="62"/>
        <v>15</v>
      </c>
      <c r="F8842" s="134" t="s">
        <v>4059</v>
      </c>
      <c r="G8842" s="63" t="str">
        <f>VLOOKUP(C8842, 'Class Def. - General Data'!$C$20:$C$1000,1,false)</f>
        <v>ZSI1_ELEC_CONDUIT</v>
      </c>
      <c r="H8842" s="63" t="str">
        <f>IFERROR(__xludf.DUMMYFUNCTION("VLOOKUP(F8842, IMPORTRANGE(""https://docs.google.com/spreadsheets/d/1Lhp9OU0JdFf_VYSMzH5lBcEaU4o8teT1piV-SNzShjg/edit?gid=554141278#gid=554141278"", ""'Char Def. - Attributes'!C20:C2242""), 1,false)"),"VOLUME_UNIT_SI")</f>
        <v>VOLUME_UNIT_SI</v>
      </c>
      <c r="I8842" s="136"/>
      <c r="R8842" s="63" t="str">
        <f t="shared" si="60"/>
        <v>ZSI1_ELEC_CONDUITVOLUME_UNIT_SI</v>
      </c>
    </row>
    <row r="8843" ht="15.75" customHeight="1">
      <c r="B8843" s="63">
        <f t="shared" si="1"/>
        <v>17</v>
      </c>
      <c r="C8843" s="135" t="s">
        <v>385</v>
      </c>
      <c r="D8843" s="161" t="s">
        <v>74</v>
      </c>
      <c r="E8843" s="135">
        <f t="shared" si="62"/>
        <v>16</v>
      </c>
      <c r="F8843" s="134" t="s">
        <v>3804</v>
      </c>
      <c r="G8843" s="63" t="str">
        <f>VLOOKUP(C8843, 'Class Def. - General Data'!$C$20:$C$1000,1,false)</f>
        <v>ZSI1_ELEC_CONDUIT</v>
      </c>
      <c r="H8843" s="63" t="str">
        <f>IFERROR(__xludf.DUMMYFUNCTION("VLOOKUP(F8843, IMPORTRANGE(""https://docs.google.com/spreadsheets/d/1Lhp9OU0JdFf_VYSMzH5lBcEaU4o8teT1piV-SNzShjg/edit?gid=554141278#gid=554141278"", ""'Char Def. - Attributes'!C20:C2242""), 1,false)"),"ALT_UOM1_SIPI")</f>
        <v>ALT_UOM1_SIPI</v>
      </c>
      <c r="I8843" s="136"/>
      <c r="R8843" s="63" t="str">
        <f t="shared" si="60"/>
        <v>ZSI1_ELEC_CONDUITALT_UOM1_SIPI</v>
      </c>
    </row>
    <row r="8844" ht="15.75" customHeight="1">
      <c r="B8844" s="63">
        <f t="shared" si="1"/>
        <v>17</v>
      </c>
      <c r="C8844" s="135" t="s">
        <v>385</v>
      </c>
      <c r="D8844" s="161" t="s">
        <v>74</v>
      </c>
      <c r="E8844" s="135">
        <f t="shared" si="62"/>
        <v>17</v>
      </c>
      <c r="F8844" s="134" t="s">
        <v>3805</v>
      </c>
      <c r="G8844" s="63" t="str">
        <f>VLOOKUP(C8844, 'Class Def. - General Data'!$C$20:$C$1000,1,false)</f>
        <v>ZSI1_ELEC_CONDUIT</v>
      </c>
      <c r="H8844" s="63" t="str">
        <f>IFERROR(__xludf.DUMMYFUNCTION("VLOOKUP(F8844, IMPORTRANGE(""https://docs.google.com/spreadsheets/d/1Lhp9OU0JdFf_VYSMzH5lBcEaU4o8teT1piV-SNzShjg/edit?gid=554141278#gid=554141278"", ""'Char Def. - Attributes'!C20:C2242""), 1,false)"),"ALT_DENUM_UOM1")</f>
        <v>ALT_DENUM_UOM1</v>
      </c>
      <c r="I8844" s="136"/>
      <c r="R8844" s="63" t="str">
        <f t="shared" si="60"/>
        <v>ZSI1_ELEC_CONDUITALT_DENUM_UOM1</v>
      </c>
    </row>
    <row r="8845" ht="15.75" customHeight="1">
      <c r="B8845" s="63">
        <f t="shared" si="1"/>
        <v>17</v>
      </c>
      <c r="C8845" s="135" t="s">
        <v>385</v>
      </c>
      <c r="D8845" s="161" t="s">
        <v>74</v>
      </c>
      <c r="E8845" s="135">
        <f t="shared" si="62"/>
        <v>18</v>
      </c>
      <c r="F8845" s="134" t="s">
        <v>3806</v>
      </c>
      <c r="G8845" s="63" t="str">
        <f>VLOOKUP(C8845, 'Class Def. - General Data'!$C$20:$C$1000,1,false)</f>
        <v>ZSI1_ELEC_CONDUIT</v>
      </c>
      <c r="H8845" s="63" t="str">
        <f>IFERROR(__xludf.DUMMYFUNCTION("VLOOKUP(F8845, IMPORTRANGE(""https://docs.google.com/spreadsheets/d/1Lhp9OU0JdFf_VYSMzH5lBcEaU4o8teT1piV-SNzShjg/edit?gid=554141278#gid=554141278"", ""'Char Def. - Attributes'!C20:C2242""), 1,false)"),"ALT_NUM_UOM1")</f>
        <v>ALT_NUM_UOM1</v>
      </c>
      <c r="I8845" s="136"/>
      <c r="R8845" s="63" t="str">
        <f t="shared" si="60"/>
        <v>ZSI1_ELEC_CONDUITALT_NUM_UOM1</v>
      </c>
    </row>
    <row r="8846" ht="15.75" customHeight="1">
      <c r="B8846" s="63">
        <f t="shared" si="1"/>
        <v>17</v>
      </c>
      <c r="C8846" s="135" t="s">
        <v>385</v>
      </c>
      <c r="D8846" s="161" t="s">
        <v>74</v>
      </c>
      <c r="E8846" s="135">
        <f t="shared" si="62"/>
        <v>19</v>
      </c>
      <c r="F8846" s="134" t="s">
        <v>3807</v>
      </c>
      <c r="G8846" s="63" t="str">
        <f>VLOOKUP(C8846, 'Class Def. - General Data'!$C$20:$C$1000,1,false)</f>
        <v>ZSI1_ELEC_CONDUIT</v>
      </c>
      <c r="H8846" s="63" t="str">
        <f>IFERROR(__xludf.DUMMYFUNCTION("VLOOKUP(F8846, IMPORTRANGE(""https://docs.google.com/spreadsheets/d/1Lhp9OU0JdFf_VYSMzH5lBcEaU4o8teT1piV-SNzShjg/edit?gid=554141278#gid=554141278"", ""'Char Def. - Attributes'!C20:C2242""), 1,false)"),"ALT_UOM2_SIPI")</f>
        <v>ALT_UOM2_SIPI</v>
      </c>
      <c r="I8846" s="136"/>
      <c r="R8846" s="63" t="str">
        <f t="shared" si="60"/>
        <v>ZSI1_ELEC_CONDUITALT_UOM2_SIPI</v>
      </c>
    </row>
    <row r="8847" ht="15.75" customHeight="1">
      <c r="B8847" s="63">
        <f t="shared" si="1"/>
        <v>17</v>
      </c>
      <c r="C8847" s="135" t="s">
        <v>385</v>
      </c>
      <c r="D8847" s="161" t="s">
        <v>74</v>
      </c>
      <c r="E8847" s="135">
        <f t="shared" si="62"/>
        <v>20</v>
      </c>
      <c r="F8847" s="134" t="s">
        <v>3808</v>
      </c>
      <c r="G8847" s="63" t="str">
        <f>VLOOKUP(C8847, 'Class Def. - General Data'!$C$20:$C$1000,1,false)</f>
        <v>ZSI1_ELEC_CONDUIT</v>
      </c>
      <c r="H8847" s="63" t="str">
        <f>IFERROR(__xludf.DUMMYFUNCTION("VLOOKUP(F8847, IMPORTRANGE(""https://docs.google.com/spreadsheets/d/1Lhp9OU0JdFf_VYSMzH5lBcEaU4o8teT1piV-SNzShjg/edit?gid=554141278#gid=554141278"", ""'Char Def. - Attributes'!C20:C2242""), 1,false)"),"ALT_DENUM_UOM2")</f>
        <v>ALT_DENUM_UOM2</v>
      </c>
      <c r="I8847" s="136"/>
      <c r="R8847" s="63" t="str">
        <f t="shared" si="60"/>
        <v>ZSI1_ELEC_CONDUITALT_DENUM_UOM2</v>
      </c>
    </row>
    <row r="8848" ht="15.75" customHeight="1">
      <c r="B8848" s="63">
        <f t="shared" si="1"/>
        <v>17</v>
      </c>
      <c r="C8848" s="135" t="s">
        <v>385</v>
      </c>
      <c r="D8848" s="161" t="s">
        <v>74</v>
      </c>
      <c r="E8848" s="135">
        <f t="shared" si="62"/>
        <v>21</v>
      </c>
      <c r="F8848" s="134" t="s">
        <v>3809</v>
      </c>
      <c r="G8848" s="63" t="str">
        <f>VLOOKUP(C8848, 'Class Def. - General Data'!$C$20:$C$1000,1,false)</f>
        <v>ZSI1_ELEC_CONDUIT</v>
      </c>
      <c r="H8848" s="63" t="str">
        <f>IFERROR(__xludf.DUMMYFUNCTION("VLOOKUP(F8848, IMPORTRANGE(""https://docs.google.com/spreadsheets/d/1Lhp9OU0JdFf_VYSMzH5lBcEaU4o8teT1piV-SNzShjg/edit?gid=554141278#gid=554141278"", ""'Char Def. - Attributes'!C20:C2242""), 1,false)"),"ALT_NUM_UOM2")</f>
        <v>ALT_NUM_UOM2</v>
      </c>
      <c r="I8848" s="136"/>
      <c r="R8848" s="63" t="str">
        <f t="shared" si="60"/>
        <v>ZSI1_ELEC_CONDUITALT_NUM_UOM2</v>
      </c>
    </row>
    <row r="8849" ht="15.75" customHeight="1">
      <c r="B8849" s="63">
        <f t="shared" si="1"/>
        <v>17</v>
      </c>
      <c r="C8849" s="135" t="s">
        <v>385</v>
      </c>
      <c r="D8849" s="161" t="s">
        <v>74</v>
      </c>
      <c r="E8849" s="135">
        <f t="shared" si="62"/>
        <v>22</v>
      </c>
      <c r="F8849" s="134" t="s">
        <v>3810</v>
      </c>
      <c r="G8849" s="63" t="str">
        <f>VLOOKUP(C8849, 'Class Def. - General Data'!$C$20:$C$1000,1,false)</f>
        <v>ZSI1_ELEC_CONDUIT</v>
      </c>
      <c r="H8849" s="63" t="str">
        <f>IFERROR(__xludf.DUMMYFUNCTION("VLOOKUP(F8849, IMPORTRANGE(""https://docs.google.com/spreadsheets/d/1Lhp9OU0JdFf_VYSMzH5lBcEaU4o8teT1piV-SNzShjg/edit?gid=554141278#gid=554141278"", ""'Char Def. - Attributes'!C20:C2242""), 1,false)"),"ALT_UOM3_SIPI")</f>
        <v>ALT_UOM3_SIPI</v>
      </c>
      <c r="I8849" s="136"/>
      <c r="R8849" s="63" t="str">
        <f t="shared" si="60"/>
        <v>ZSI1_ELEC_CONDUITALT_UOM3_SIPI</v>
      </c>
    </row>
    <row r="8850" ht="15.75" customHeight="1">
      <c r="B8850" s="63">
        <f t="shared" si="1"/>
        <v>17</v>
      </c>
      <c r="C8850" s="135" t="s">
        <v>385</v>
      </c>
      <c r="D8850" s="161" t="s">
        <v>74</v>
      </c>
      <c r="E8850" s="135">
        <f t="shared" si="62"/>
        <v>23</v>
      </c>
      <c r="F8850" s="134" t="s">
        <v>3811</v>
      </c>
      <c r="G8850" s="63" t="str">
        <f>VLOOKUP(C8850, 'Class Def. - General Data'!$C$20:$C$1000,1,false)</f>
        <v>ZSI1_ELEC_CONDUIT</v>
      </c>
      <c r="H8850" s="63" t="str">
        <f>IFERROR(__xludf.DUMMYFUNCTION("VLOOKUP(F8850, IMPORTRANGE(""https://docs.google.com/spreadsheets/d/1Lhp9OU0JdFf_VYSMzH5lBcEaU4o8teT1piV-SNzShjg/edit?gid=554141278#gid=554141278"", ""'Char Def. - Attributes'!C20:C2242""), 1,false)"),"ALT_DENUM_UOM3")</f>
        <v>ALT_DENUM_UOM3</v>
      </c>
      <c r="I8850" s="136"/>
      <c r="R8850" s="63" t="str">
        <f t="shared" si="60"/>
        <v>ZSI1_ELEC_CONDUITALT_DENUM_UOM3</v>
      </c>
    </row>
    <row r="8851" ht="15.75" customHeight="1">
      <c r="B8851" s="63">
        <f t="shared" si="1"/>
        <v>17</v>
      </c>
      <c r="C8851" s="135" t="s">
        <v>385</v>
      </c>
      <c r="D8851" s="161" t="s">
        <v>74</v>
      </c>
      <c r="E8851" s="135">
        <f t="shared" si="62"/>
        <v>24</v>
      </c>
      <c r="F8851" s="134" t="s">
        <v>3812</v>
      </c>
      <c r="G8851" s="63" t="str">
        <f>VLOOKUP(C8851, 'Class Def. - General Data'!$C$20:$C$1000,1,false)</f>
        <v>ZSI1_ELEC_CONDUIT</v>
      </c>
      <c r="H8851" s="63" t="str">
        <f>IFERROR(__xludf.DUMMYFUNCTION("VLOOKUP(F8851, IMPORTRANGE(""https://docs.google.com/spreadsheets/d/1Lhp9OU0JdFf_VYSMzH5lBcEaU4o8teT1piV-SNzShjg/edit?gid=554141278#gid=554141278"", ""'Char Def. - Attributes'!C20:C2242""), 1,false)"),"ALT_NUM_UOM3")</f>
        <v>ALT_NUM_UOM3</v>
      </c>
      <c r="I8851" s="136"/>
      <c r="R8851" s="63" t="str">
        <f t="shared" si="60"/>
        <v>ZSI1_ELEC_CONDUITALT_NUM_UOM3</v>
      </c>
    </row>
    <row r="8852" ht="15.75" customHeight="1">
      <c r="B8852" s="63">
        <f t="shared" si="1"/>
        <v>17</v>
      </c>
      <c r="C8852" s="135" t="s">
        <v>385</v>
      </c>
      <c r="D8852" s="161" t="s">
        <v>74</v>
      </c>
      <c r="E8852" s="135">
        <f t="shared" si="62"/>
        <v>25</v>
      </c>
      <c r="F8852" s="134" t="s">
        <v>3813</v>
      </c>
      <c r="G8852" s="63" t="str">
        <f>VLOOKUP(C8852, 'Class Def. - General Data'!$C$20:$C$1000,1,false)</f>
        <v>ZSI1_ELEC_CONDUIT</v>
      </c>
      <c r="H8852" s="63" t="str">
        <f>IFERROR(__xludf.DUMMYFUNCTION("VLOOKUP(F8852, IMPORTRANGE(""https://docs.google.com/spreadsheets/d/1Lhp9OU0JdFf_VYSMzH5lBcEaU4o8teT1piV-SNzShjg/edit?gid=554141278#gid=554141278"", ""'Char Def. - Attributes'!C20:C2242""), 1,false)"),"ALT_UOM4_SIPI")</f>
        <v>ALT_UOM4_SIPI</v>
      </c>
      <c r="I8852" s="136"/>
      <c r="R8852" s="63" t="str">
        <f t="shared" si="60"/>
        <v>ZSI1_ELEC_CONDUITALT_UOM4_SIPI</v>
      </c>
    </row>
    <row r="8853" ht="15.75" customHeight="1">
      <c r="B8853" s="63">
        <f t="shared" si="1"/>
        <v>17</v>
      </c>
      <c r="C8853" s="135" t="s">
        <v>385</v>
      </c>
      <c r="D8853" s="161" t="s">
        <v>74</v>
      </c>
      <c r="E8853" s="135">
        <f t="shared" si="62"/>
        <v>26</v>
      </c>
      <c r="F8853" s="134" t="s">
        <v>3814</v>
      </c>
      <c r="G8853" s="63" t="str">
        <f>VLOOKUP(C8853, 'Class Def. - General Data'!$C$20:$C$1000,1,false)</f>
        <v>ZSI1_ELEC_CONDUIT</v>
      </c>
      <c r="H8853" s="63" t="str">
        <f>IFERROR(__xludf.DUMMYFUNCTION("VLOOKUP(F8853, IMPORTRANGE(""https://docs.google.com/spreadsheets/d/1Lhp9OU0JdFf_VYSMzH5lBcEaU4o8teT1piV-SNzShjg/edit?gid=554141278#gid=554141278"", ""'Char Def. - Attributes'!C20:C2242""), 1,false)"),"ALT_DENUM_UOM4")</f>
        <v>ALT_DENUM_UOM4</v>
      </c>
      <c r="I8853" s="136"/>
      <c r="R8853" s="63" t="str">
        <f t="shared" si="60"/>
        <v>ZSI1_ELEC_CONDUITALT_DENUM_UOM4</v>
      </c>
    </row>
    <row r="8854" ht="15.75" customHeight="1">
      <c r="B8854" s="63">
        <f t="shared" si="1"/>
        <v>17</v>
      </c>
      <c r="C8854" s="135" t="s">
        <v>385</v>
      </c>
      <c r="D8854" s="161" t="s">
        <v>74</v>
      </c>
      <c r="E8854" s="135">
        <f t="shared" si="62"/>
        <v>27</v>
      </c>
      <c r="F8854" s="134" t="s">
        <v>3815</v>
      </c>
      <c r="G8854" s="63" t="str">
        <f>VLOOKUP(C8854, 'Class Def. - General Data'!$C$20:$C$1000,1,false)</f>
        <v>ZSI1_ELEC_CONDUIT</v>
      </c>
      <c r="H8854" s="63" t="str">
        <f>IFERROR(__xludf.DUMMYFUNCTION("VLOOKUP(F8854, IMPORTRANGE(""https://docs.google.com/spreadsheets/d/1Lhp9OU0JdFf_VYSMzH5lBcEaU4o8teT1piV-SNzShjg/edit?gid=554141278#gid=554141278"", ""'Char Def. - Attributes'!C20:C2242""), 1,false)"),"ALT_NUM_UOM4")</f>
        <v>ALT_NUM_UOM4</v>
      </c>
      <c r="I8854" s="136"/>
      <c r="R8854" s="63" t="str">
        <f t="shared" si="60"/>
        <v>ZSI1_ELEC_CONDUITALT_NUM_UOM4</v>
      </c>
    </row>
    <row r="8855" ht="15.75" customHeight="1">
      <c r="B8855" s="63">
        <f t="shared" si="1"/>
        <v>17</v>
      </c>
      <c r="C8855" s="135" t="s">
        <v>385</v>
      </c>
      <c r="D8855" s="161" t="s">
        <v>74</v>
      </c>
      <c r="E8855" s="135">
        <f t="shared" si="62"/>
        <v>28</v>
      </c>
      <c r="F8855" s="134" t="s">
        <v>3816</v>
      </c>
      <c r="G8855" s="63" t="str">
        <f>VLOOKUP(C8855, 'Class Def. - General Data'!$C$20:$C$1000,1,false)</f>
        <v>ZSI1_ELEC_CONDUIT</v>
      </c>
      <c r="H8855" s="63" t="str">
        <f>IFERROR(__xludf.DUMMYFUNCTION("VLOOKUP(F8855, IMPORTRANGE(""https://docs.google.com/spreadsheets/d/1Lhp9OU0JdFf_VYSMzH5lBcEaU4o8teT1piV-SNzShjg/edit?gid=554141278#gid=554141278"", ""'Char Def. - Attributes'!C20:C2242""), 1,false)"),"ALT_UOM5_SIPI")</f>
        <v>ALT_UOM5_SIPI</v>
      </c>
      <c r="I8855" s="136"/>
      <c r="R8855" s="63" t="str">
        <f t="shared" si="60"/>
        <v>ZSI1_ELEC_CONDUITALT_UOM5_SIPI</v>
      </c>
    </row>
    <row r="8856" ht="15.75" customHeight="1">
      <c r="B8856" s="63">
        <f t="shared" si="1"/>
        <v>17</v>
      </c>
      <c r="C8856" s="135" t="s">
        <v>385</v>
      </c>
      <c r="D8856" s="161" t="s">
        <v>74</v>
      </c>
      <c r="E8856" s="135">
        <f t="shared" si="62"/>
        <v>29</v>
      </c>
      <c r="F8856" s="134" t="s">
        <v>3817</v>
      </c>
      <c r="G8856" s="63" t="str">
        <f>VLOOKUP(C8856, 'Class Def. - General Data'!$C$20:$C$1000,1,false)</f>
        <v>ZSI1_ELEC_CONDUIT</v>
      </c>
      <c r="H8856" s="63" t="str">
        <f>IFERROR(__xludf.DUMMYFUNCTION("VLOOKUP(F8856, IMPORTRANGE(""https://docs.google.com/spreadsheets/d/1Lhp9OU0JdFf_VYSMzH5lBcEaU4o8teT1piV-SNzShjg/edit?gid=554141278#gid=554141278"", ""'Char Def. - Attributes'!C20:C2242""), 1,false)"),"ALT_DENUM_UOM5")</f>
        <v>ALT_DENUM_UOM5</v>
      </c>
      <c r="I8856" s="136"/>
      <c r="R8856" s="63" t="str">
        <f t="shared" si="60"/>
        <v>ZSI1_ELEC_CONDUITALT_DENUM_UOM5</v>
      </c>
    </row>
    <row r="8857" ht="15.75" customHeight="1">
      <c r="B8857" s="63">
        <f t="shared" si="1"/>
        <v>17</v>
      </c>
      <c r="C8857" s="135" t="s">
        <v>385</v>
      </c>
      <c r="D8857" s="161" t="s">
        <v>74</v>
      </c>
      <c r="E8857" s="135">
        <f t="shared" si="62"/>
        <v>30</v>
      </c>
      <c r="F8857" s="134" t="s">
        <v>3818</v>
      </c>
      <c r="G8857" s="63" t="str">
        <f>VLOOKUP(C8857, 'Class Def. - General Data'!$C$20:$C$1000,1,false)</f>
        <v>ZSI1_ELEC_CONDUIT</v>
      </c>
      <c r="H8857" s="63" t="str">
        <f>IFERROR(__xludf.DUMMYFUNCTION("VLOOKUP(F8857, IMPORTRANGE(""https://docs.google.com/spreadsheets/d/1Lhp9OU0JdFf_VYSMzH5lBcEaU4o8teT1piV-SNzShjg/edit?gid=554141278#gid=554141278"", ""'Char Def. - Attributes'!C20:C2242""), 1,false)"),"ALT_NUM_UOM5")</f>
        <v>ALT_NUM_UOM5</v>
      </c>
      <c r="I8857" s="136"/>
      <c r="R8857" s="63" t="str">
        <f t="shared" si="60"/>
        <v>ZSI1_ELEC_CONDUITALT_NUM_UOM5</v>
      </c>
    </row>
    <row r="8858" ht="15.75" customHeight="1">
      <c r="B8858" s="63">
        <f t="shared" si="1"/>
        <v>14</v>
      </c>
      <c r="C8858" s="135" t="s">
        <v>303</v>
      </c>
      <c r="D8858" s="161" t="s">
        <v>74</v>
      </c>
      <c r="E8858" s="135">
        <f t="shared" si="62"/>
        <v>1</v>
      </c>
      <c r="F8858" s="134" t="s">
        <v>4437</v>
      </c>
      <c r="G8858" s="63" t="str">
        <f>VLOOKUP(C8858, 'Class Def. - General Data'!$C$20:$C$1000,1,false)</f>
        <v>ZSI1_ELEC_CONN</v>
      </c>
      <c r="H8858" s="63" t="str">
        <f>IFERROR(__xludf.DUMMYFUNCTION("VLOOKUP(F8858, IMPORTRANGE(""https://docs.google.com/spreadsheets/d/1Lhp9OU0JdFf_VYSMzH5lBcEaU4o8teT1piV-SNzShjg/edit?gid=554141278#gid=554141278"", ""'Char Def. - Attributes'!C20:C2242""), 1,false)"),"ITEM_NAME_ELEC_CONN")</f>
        <v>ITEM_NAME_ELEC_CONN</v>
      </c>
      <c r="I8858" s="136"/>
      <c r="R8858" s="63" t="str">
        <f t="shared" si="60"/>
        <v>ZSI1_ELEC_CONNITEM_NAME_ELEC_CONN</v>
      </c>
    </row>
    <row r="8859" ht="15.75" customHeight="1">
      <c r="B8859" s="63">
        <f t="shared" si="1"/>
        <v>14</v>
      </c>
      <c r="C8859" s="135" t="s">
        <v>303</v>
      </c>
      <c r="D8859" s="161" t="s">
        <v>74</v>
      </c>
      <c r="E8859" s="135">
        <f t="shared" si="62"/>
        <v>2</v>
      </c>
      <c r="F8859" s="134" t="s">
        <v>4438</v>
      </c>
      <c r="G8859" s="63" t="str">
        <f>VLOOKUP(C8859, 'Class Def. - General Data'!$C$20:$C$1000,1,false)</f>
        <v>ZSI1_ELEC_CONN</v>
      </c>
      <c r="H8859" s="63" t="str">
        <f>IFERROR(__xludf.DUMMYFUNCTION("VLOOKUP(F8859, IMPORTRANGE(""https://docs.google.com/spreadsheets/d/1Lhp9OU0JdFf_VYSMzH5lBcEaU4o8teT1piV-SNzShjg/edit?gid=554141278#gid=554141278"", ""'Char Def. - Attributes'!C20:C2242""), 1,false)"),"MFR_NO_ELEC_CONN")</f>
        <v>MFR_NO_ELEC_CONN</v>
      </c>
      <c r="I8859" s="136"/>
      <c r="R8859" s="63" t="str">
        <f t="shared" si="60"/>
        <v>ZSI1_ELEC_CONNMFR_NO_ELEC_CONN</v>
      </c>
    </row>
    <row r="8860" ht="15.75" customHeight="1">
      <c r="B8860" s="63">
        <f t="shared" si="1"/>
        <v>14</v>
      </c>
      <c r="C8860" s="135" t="s">
        <v>303</v>
      </c>
      <c r="D8860" s="161" t="s">
        <v>74</v>
      </c>
      <c r="E8860" s="135">
        <f t="shared" si="62"/>
        <v>3</v>
      </c>
      <c r="F8860" s="134" t="s">
        <v>3782</v>
      </c>
      <c r="G8860" s="63" t="str">
        <f>VLOOKUP(C8860, 'Class Def. - General Data'!$C$20:$C$1000,1,false)</f>
        <v>ZSI1_ELEC_CONN</v>
      </c>
      <c r="H8860" s="63" t="str">
        <f>IFERROR(__xludf.DUMMYFUNCTION("VLOOKUP(F8860, IMPORTRANGE(""https://docs.google.com/spreadsheets/d/1Lhp9OU0JdFf_VYSMzH5lBcEaU4o8teT1piV-SNzShjg/edit?gid=554141278#gid=554141278"", ""'Char Def. - Attributes'!C20:C2242""), 1,false)"),"BRAND_EXTERNAL")</f>
        <v>BRAND_EXTERNAL</v>
      </c>
      <c r="I8860" s="136"/>
      <c r="R8860" s="63" t="str">
        <f t="shared" si="60"/>
        <v>ZSI1_ELEC_CONNBRAND_EXTERNAL</v>
      </c>
    </row>
    <row r="8861" ht="15.75" customHeight="1">
      <c r="B8861" s="63">
        <f t="shared" si="1"/>
        <v>14</v>
      </c>
      <c r="C8861" s="135" t="s">
        <v>303</v>
      </c>
      <c r="D8861" s="161" t="s">
        <v>74</v>
      </c>
      <c r="E8861" s="135">
        <f t="shared" si="62"/>
        <v>4</v>
      </c>
      <c r="F8861" s="134" t="s">
        <v>4062</v>
      </c>
      <c r="G8861" s="63" t="str">
        <f>VLOOKUP(C8861, 'Class Def. - General Data'!$C$20:$C$1000,1,false)</f>
        <v>ZSI1_ELEC_CONN</v>
      </c>
      <c r="H8861" s="63" t="str">
        <f>IFERROR(__xludf.DUMMYFUNCTION("VLOOKUP(F8861, IMPORTRANGE(""https://docs.google.com/spreadsheets/d/1Lhp9OU0JdFf_VYSMzH5lBcEaU4o8teT1piV-SNzShjg/edit?gid=554141278#gid=554141278"", ""'Char Def. - Attributes'!C20:C2242""), 1,false)"),"#N/A")</f>
        <v>#N/A</v>
      </c>
      <c r="I8861" s="136"/>
      <c r="R8861" s="63" t="str">
        <f t="shared" si="60"/>
        <v>ZSI1_ELEC_CONNADDTIONAL_SPECIFICATION</v>
      </c>
    </row>
    <row r="8862" ht="15.75" customHeight="1">
      <c r="B8862" s="63">
        <f t="shared" si="1"/>
        <v>14</v>
      </c>
      <c r="C8862" s="135" t="s">
        <v>303</v>
      </c>
      <c r="D8862" s="161" t="s">
        <v>74</v>
      </c>
      <c r="E8862" s="135">
        <f t="shared" si="62"/>
        <v>5</v>
      </c>
      <c r="F8862" s="134" t="s">
        <v>3585</v>
      </c>
      <c r="G8862" s="63" t="str">
        <f>VLOOKUP(C8862, 'Class Def. - General Data'!$C$20:$C$1000,1,false)</f>
        <v>ZSI1_ELEC_CONN</v>
      </c>
      <c r="H8862" s="63" t="str">
        <f>IFERROR(__xludf.DUMMYFUNCTION("VLOOKUP(F8862, IMPORTRANGE(""https://docs.google.com/spreadsheets/d/1Lhp9OU0JdFf_VYSMzH5lBcEaU4o8teT1piV-SNzShjg/edit?gid=554141278#gid=554141278"", ""'Char Def. - Attributes'!C20:C2242""), 1,false)"),"HS_CODE")</f>
        <v>HS_CODE</v>
      </c>
      <c r="I8862" s="136"/>
      <c r="R8862" s="63" t="str">
        <f t="shared" si="60"/>
        <v>ZSI1_ELEC_CONNHS_CODE</v>
      </c>
    </row>
    <row r="8863" ht="15.75" customHeight="1">
      <c r="B8863" s="63">
        <f t="shared" si="1"/>
        <v>14</v>
      </c>
      <c r="C8863" s="135" t="s">
        <v>303</v>
      </c>
      <c r="D8863" s="161" t="s">
        <v>74</v>
      </c>
      <c r="E8863" s="135">
        <f t="shared" si="62"/>
        <v>6</v>
      </c>
      <c r="F8863" s="134" t="s">
        <v>3587</v>
      </c>
      <c r="G8863" s="63" t="str">
        <f>VLOOKUP(C8863, 'Class Def. - General Data'!$C$20:$C$1000,1,false)</f>
        <v>ZSI1_ELEC_CONN</v>
      </c>
      <c r="H8863" s="63" t="str">
        <f>IFERROR(__xludf.DUMMYFUNCTION("VLOOKUP(F8863, IMPORTRANGE(""https://docs.google.com/spreadsheets/d/1Lhp9OU0JdFf_VYSMzH5lBcEaU4o8teT1piV-SNzShjg/edit?gid=554141278#gid=554141278"", ""'Char Def. - Attributes'!C20:C2242""), 1,false)"),"PLANT_BUY")</f>
        <v>PLANT_BUY</v>
      </c>
      <c r="I8863" s="136"/>
      <c r="R8863" s="63" t="str">
        <f t="shared" si="60"/>
        <v>ZSI1_ELEC_CONNPLANT_BUY</v>
      </c>
    </row>
    <row r="8864" ht="15.75" customHeight="1">
      <c r="B8864" s="63">
        <f t="shared" si="1"/>
        <v>14</v>
      </c>
      <c r="C8864" s="135" t="s">
        <v>303</v>
      </c>
      <c r="D8864" s="161" t="s">
        <v>74</v>
      </c>
      <c r="E8864" s="135">
        <f t="shared" si="62"/>
        <v>7</v>
      </c>
      <c r="F8864" s="134" t="s">
        <v>4439</v>
      </c>
      <c r="G8864" s="63" t="str">
        <f>VLOOKUP(C8864, 'Class Def. - General Data'!$C$20:$C$1000,1,false)</f>
        <v>ZSI1_ELEC_CONN</v>
      </c>
      <c r="H8864" s="63" t="str">
        <f>IFERROR(__xludf.DUMMYFUNCTION("VLOOKUP(F8864, IMPORTRANGE(""https://docs.google.com/spreadsheets/d/1Lhp9OU0JdFf_VYSMzH5lBcEaU4o8teT1piV-SNzShjg/edit?gid=554141278#gid=554141278"", ""'Char Def. - Attributes'!C20:C2242""), 1,false)"),"BASE_UOM_ELEC_CONN")</f>
        <v>BASE_UOM_ELEC_CONN</v>
      </c>
      <c r="I8864" s="136"/>
      <c r="R8864" s="63" t="str">
        <f t="shared" si="60"/>
        <v>ZSI1_ELEC_CONNBASE_UOM_ELEC_CONN</v>
      </c>
    </row>
    <row r="8865" ht="15.75" customHeight="1">
      <c r="B8865" s="63">
        <f t="shared" si="1"/>
        <v>14</v>
      </c>
      <c r="C8865" s="135" t="s">
        <v>303</v>
      </c>
      <c r="D8865" s="161" t="s">
        <v>74</v>
      </c>
      <c r="E8865" s="135">
        <f t="shared" si="62"/>
        <v>8</v>
      </c>
      <c r="F8865" s="134" t="s">
        <v>4440</v>
      </c>
      <c r="G8865" s="63" t="str">
        <f>VLOOKUP(C8865, 'Class Def. - General Data'!$C$20:$C$1000,1,false)</f>
        <v>ZSI1_ELEC_CONN</v>
      </c>
      <c r="H8865" s="63" t="str">
        <f>IFERROR(__xludf.DUMMYFUNCTION("VLOOKUP(F8865, IMPORTRANGE(""https://docs.google.com/spreadsheets/d/1Lhp9OU0JdFf_VYSMzH5lBcEaU4o8teT1piV-SNzShjg/edit?gid=554141278#gid=554141278"", ""'Char Def. - Attributes'!C20:C2242""), 1,false)"),"ORDER_UNIT_ELEC_CONN")</f>
        <v>ORDER_UNIT_ELEC_CONN</v>
      </c>
      <c r="I8865" s="136"/>
      <c r="R8865" s="63" t="str">
        <f t="shared" si="60"/>
        <v>ZSI1_ELEC_CONNORDER_UNIT_ELEC_CONN</v>
      </c>
    </row>
    <row r="8866" ht="15.75" customHeight="1">
      <c r="B8866" s="63">
        <f t="shared" si="1"/>
        <v>14</v>
      </c>
      <c r="C8866" s="135" t="s">
        <v>303</v>
      </c>
      <c r="D8866" s="161" t="s">
        <v>74</v>
      </c>
      <c r="E8866" s="135">
        <f t="shared" si="62"/>
        <v>9</v>
      </c>
      <c r="F8866" s="134" t="s">
        <v>4056</v>
      </c>
      <c r="G8866" s="63" t="str">
        <f>VLOOKUP(C8866, 'Class Def. - General Data'!$C$20:$C$1000,1,false)</f>
        <v>ZSI1_ELEC_CONN</v>
      </c>
      <c r="H8866" s="63" t="str">
        <f>IFERROR(__xludf.DUMMYFUNCTION("VLOOKUP(F8866, IMPORTRANGE(""https://docs.google.com/spreadsheets/d/1Lhp9OU0JdFf_VYSMzH5lBcEaU4o8teT1piV-SNzShjg/edit?gid=554141278#gid=554141278"", ""'Char Def. - Attributes'!C20:C2242""), 1,false)"),"GROSS_WEIGHT_OPT")</f>
        <v>GROSS_WEIGHT_OPT</v>
      </c>
      <c r="I8866" s="136"/>
      <c r="R8866" s="63" t="str">
        <f t="shared" si="60"/>
        <v>ZSI1_ELEC_CONNGROSS_WEIGHT_OPT</v>
      </c>
    </row>
    <row r="8867" ht="15.75" customHeight="1">
      <c r="B8867" s="63">
        <f t="shared" si="1"/>
        <v>14</v>
      </c>
      <c r="C8867" s="135" t="s">
        <v>303</v>
      </c>
      <c r="D8867" s="161" t="s">
        <v>74</v>
      </c>
      <c r="E8867" s="135">
        <f t="shared" si="62"/>
        <v>10</v>
      </c>
      <c r="F8867" s="134" t="s">
        <v>4057</v>
      </c>
      <c r="G8867" s="63" t="str">
        <f>VLOOKUP(C8867, 'Class Def. - General Data'!$C$20:$C$1000,1,false)</f>
        <v>ZSI1_ELEC_CONN</v>
      </c>
      <c r="H8867" s="63" t="str">
        <f>IFERROR(__xludf.DUMMYFUNCTION("VLOOKUP(F8867, IMPORTRANGE(""https://docs.google.com/spreadsheets/d/1Lhp9OU0JdFf_VYSMzH5lBcEaU4o8teT1piV-SNzShjg/edit?gid=554141278#gid=554141278"", ""'Char Def. - Attributes'!C20:C2242""), 1,false)"),"NET_WEIGHT_OPT")</f>
        <v>NET_WEIGHT_OPT</v>
      </c>
      <c r="I8867" s="136"/>
      <c r="R8867" s="63" t="str">
        <f t="shared" si="60"/>
        <v>ZSI1_ELEC_CONNNET_WEIGHT_OPT</v>
      </c>
    </row>
    <row r="8868" ht="15.75" customHeight="1">
      <c r="B8868" s="63">
        <f t="shared" si="1"/>
        <v>14</v>
      </c>
      <c r="C8868" s="135" t="s">
        <v>303</v>
      </c>
      <c r="D8868" s="161" t="s">
        <v>74</v>
      </c>
      <c r="E8868" s="135">
        <f t="shared" si="62"/>
        <v>11</v>
      </c>
      <c r="F8868" s="134" t="s">
        <v>4058</v>
      </c>
      <c r="G8868" s="63" t="str">
        <f>VLOOKUP(C8868, 'Class Def. - General Data'!$C$20:$C$1000,1,false)</f>
        <v>ZSI1_ELEC_CONN</v>
      </c>
      <c r="H8868" s="63" t="str">
        <f>IFERROR(__xludf.DUMMYFUNCTION("VLOOKUP(F8868, IMPORTRANGE(""https://docs.google.com/spreadsheets/d/1Lhp9OU0JdFf_VYSMzH5lBcEaU4o8teT1piV-SNzShjg/edit?gid=554141278#gid=554141278"", ""'Char Def. - Attributes'!C20:C2242""), 1,false)"),"WEIGHT_UNIT_SI")</f>
        <v>WEIGHT_UNIT_SI</v>
      </c>
      <c r="I8868" s="136"/>
      <c r="R8868" s="63" t="str">
        <f t="shared" si="60"/>
        <v>ZSI1_ELEC_CONNWEIGHT_UNIT_SI</v>
      </c>
    </row>
    <row r="8869" ht="15.75" customHeight="1">
      <c r="B8869" s="63">
        <f t="shared" si="1"/>
        <v>14</v>
      </c>
      <c r="C8869" s="135" t="s">
        <v>303</v>
      </c>
      <c r="D8869" s="161" t="s">
        <v>74</v>
      </c>
      <c r="E8869" s="135">
        <f t="shared" si="62"/>
        <v>12</v>
      </c>
      <c r="F8869" s="134" t="s">
        <v>3877</v>
      </c>
      <c r="G8869" s="63" t="str">
        <f>VLOOKUP(C8869, 'Class Def. - General Data'!$C$20:$C$1000,1,false)</f>
        <v>ZSI1_ELEC_CONN</v>
      </c>
      <c r="H8869" s="63" t="str">
        <f>IFERROR(__xludf.DUMMYFUNCTION("VLOOKUP(F8869, IMPORTRANGE(""https://docs.google.com/spreadsheets/d/1Lhp9OU0JdFf_VYSMzH5lBcEaU4o8teT1piV-SNzShjg/edit?gid=554141278#gid=554141278"", ""'Char Def. - Attributes'!C20:C2242""), 1,false)"),"VOLUME_OPT")</f>
        <v>VOLUME_OPT</v>
      </c>
      <c r="I8869" s="136"/>
      <c r="R8869" s="63" t="str">
        <f t="shared" si="60"/>
        <v>ZSI1_ELEC_CONNVOLUME_OPT</v>
      </c>
    </row>
    <row r="8870" ht="15.75" customHeight="1">
      <c r="B8870" s="63">
        <f t="shared" si="1"/>
        <v>14</v>
      </c>
      <c r="C8870" s="135" t="s">
        <v>303</v>
      </c>
      <c r="D8870" s="161" t="s">
        <v>74</v>
      </c>
      <c r="E8870" s="135">
        <f t="shared" si="62"/>
        <v>13</v>
      </c>
      <c r="F8870" s="134" t="s">
        <v>4059</v>
      </c>
      <c r="G8870" s="63" t="str">
        <f>VLOOKUP(C8870, 'Class Def. - General Data'!$C$20:$C$1000,1,false)</f>
        <v>ZSI1_ELEC_CONN</v>
      </c>
      <c r="H8870" s="63" t="str">
        <f>IFERROR(__xludf.DUMMYFUNCTION("VLOOKUP(F8870, IMPORTRANGE(""https://docs.google.com/spreadsheets/d/1Lhp9OU0JdFf_VYSMzH5lBcEaU4o8teT1piV-SNzShjg/edit?gid=554141278#gid=554141278"", ""'Char Def. - Attributes'!C20:C2242""), 1,false)"),"VOLUME_UNIT_SI")</f>
        <v>VOLUME_UNIT_SI</v>
      </c>
      <c r="I8870" s="136"/>
      <c r="R8870" s="63" t="str">
        <f t="shared" si="60"/>
        <v>ZSI1_ELEC_CONNVOLUME_UNIT_SI</v>
      </c>
    </row>
    <row r="8871" ht="15.75" customHeight="1">
      <c r="B8871" s="63">
        <f t="shared" si="1"/>
        <v>14</v>
      </c>
      <c r="C8871" s="135" t="s">
        <v>303</v>
      </c>
      <c r="D8871" s="161" t="s">
        <v>74</v>
      </c>
      <c r="E8871" s="135">
        <f t="shared" si="62"/>
        <v>14</v>
      </c>
      <c r="F8871" s="134" t="s">
        <v>3804</v>
      </c>
      <c r="G8871" s="63" t="str">
        <f>VLOOKUP(C8871, 'Class Def. - General Data'!$C$20:$C$1000,1,false)</f>
        <v>ZSI1_ELEC_CONN</v>
      </c>
      <c r="H8871" s="63" t="str">
        <f>IFERROR(__xludf.DUMMYFUNCTION("VLOOKUP(F8871, IMPORTRANGE(""https://docs.google.com/spreadsheets/d/1Lhp9OU0JdFf_VYSMzH5lBcEaU4o8teT1piV-SNzShjg/edit?gid=554141278#gid=554141278"", ""'Char Def. - Attributes'!C20:C2242""), 1,false)"),"ALT_UOM1_SIPI")</f>
        <v>ALT_UOM1_SIPI</v>
      </c>
      <c r="I8871" s="136"/>
      <c r="R8871" s="63" t="str">
        <f t="shared" si="60"/>
        <v>ZSI1_ELEC_CONNALT_UOM1_SIPI</v>
      </c>
    </row>
    <row r="8872" ht="15.75" customHeight="1">
      <c r="B8872" s="63">
        <f t="shared" si="1"/>
        <v>14</v>
      </c>
      <c r="C8872" s="135" t="s">
        <v>303</v>
      </c>
      <c r="D8872" s="161" t="s">
        <v>74</v>
      </c>
      <c r="E8872" s="135">
        <f t="shared" si="62"/>
        <v>15</v>
      </c>
      <c r="F8872" s="134" t="s">
        <v>3805</v>
      </c>
      <c r="G8872" s="63" t="str">
        <f>VLOOKUP(C8872, 'Class Def. - General Data'!$C$20:$C$1000,1,false)</f>
        <v>ZSI1_ELEC_CONN</v>
      </c>
      <c r="H8872" s="63" t="str">
        <f>IFERROR(__xludf.DUMMYFUNCTION("VLOOKUP(F8872, IMPORTRANGE(""https://docs.google.com/spreadsheets/d/1Lhp9OU0JdFf_VYSMzH5lBcEaU4o8teT1piV-SNzShjg/edit?gid=554141278#gid=554141278"", ""'Char Def. - Attributes'!C20:C2242""), 1,false)"),"ALT_DENUM_UOM1")</f>
        <v>ALT_DENUM_UOM1</v>
      </c>
      <c r="I8872" s="136"/>
      <c r="R8872" s="63" t="str">
        <f t="shared" si="60"/>
        <v>ZSI1_ELEC_CONNALT_DENUM_UOM1</v>
      </c>
    </row>
    <row r="8873" ht="15.75" customHeight="1">
      <c r="B8873" s="63">
        <f t="shared" si="1"/>
        <v>14</v>
      </c>
      <c r="C8873" s="135" t="s">
        <v>303</v>
      </c>
      <c r="D8873" s="161" t="s">
        <v>74</v>
      </c>
      <c r="E8873" s="135">
        <f t="shared" si="62"/>
        <v>16</v>
      </c>
      <c r="F8873" s="134" t="s">
        <v>3806</v>
      </c>
      <c r="G8873" s="63" t="str">
        <f>VLOOKUP(C8873, 'Class Def. - General Data'!$C$20:$C$1000,1,false)</f>
        <v>ZSI1_ELEC_CONN</v>
      </c>
      <c r="H8873" s="63" t="str">
        <f>IFERROR(__xludf.DUMMYFUNCTION("VLOOKUP(F8873, IMPORTRANGE(""https://docs.google.com/spreadsheets/d/1Lhp9OU0JdFf_VYSMzH5lBcEaU4o8teT1piV-SNzShjg/edit?gid=554141278#gid=554141278"", ""'Char Def. - Attributes'!C20:C2242""), 1,false)"),"ALT_NUM_UOM1")</f>
        <v>ALT_NUM_UOM1</v>
      </c>
      <c r="I8873" s="136"/>
      <c r="R8873" s="63" t="str">
        <f t="shared" si="60"/>
        <v>ZSI1_ELEC_CONNALT_NUM_UOM1</v>
      </c>
    </row>
    <row r="8874" ht="15.75" customHeight="1">
      <c r="B8874" s="63">
        <f t="shared" si="1"/>
        <v>14</v>
      </c>
      <c r="C8874" s="135" t="s">
        <v>303</v>
      </c>
      <c r="D8874" s="161" t="s">
        <v>74</v>
      </c>
      <c r="E8874" s="135">
        <f t="shared" si="62"/>
        <v>17</v>
      </c>
      <c r="F8874" s="134" t="s">
        <v>3807</v>
      </c>
      <c r="G8874" s="63" t="str">
        <f>VLOOKUP(C8874, 'Class Def. - General Data'!$C$20:$C$1000,1,false)</f>
        <v>ZSI1_ELEC_CONN</v>
      </c>
      <c r="H8874" s="63" t="str">
        <f>IFERROR(__xludf.DUMMYFUNCTION("VLOOKUP(F8874, IMPORTRANGE(""https://docs.google.com/spreadsheets/d/1Lhp9OU0JdFf_VYSMzH5lBcEaU4o8teT1piV-SNzShjg/edit?gid=554141278#gid=554141278"", ""'Char Def. - Attributes'!C20:C2242""), 1,false)"),"ALT_UOM2_SIPI")</f>
        <v>ALT_UOM2_SIPI</v>
      </c>
      <c r="I8874" s="136"/>
      <c r="R8874" s="63" t="str">
        <f t="shared" si="60"/>
        <v>ZSI1_ELEC_CONNALT_UOM2_SIPI</v>
      </c>
    </row>
    <row r="8875" ht="15.75" customHeight="1">
      <c r="B8875" s="63">
        <f t="shared" si="1"/>
        <v>14</v>
      </c>
      <c r="C8875" s="135" t="s">
        <v>303</v>
      </c>
      <c r="D8875" s="161" t="s">
        <v>74</v>
      </c>
      <c r="E8875" s="135">
        <f t="shared" si="62"/>
        <v>18</v>
      </c>
      <c r="F8875" s="134" t="s">
        <v>3808</v>
      </c>
      <c r="G8875" s="63" t="str">
        <f>VLOOKUP(C8875, 'Class Def. - General Data'!$C$20:$C$1000,1,false)</f>
        <v>ZSI1_ELEC_CONN</v>
      </c>
      <c r="H8875" s="63" t="str">
        <f>IFERROR(__xludf.DUMMYFUNCTION("VLOOKUP(F8875, IMPORTRANGE(""https://docs.google.com/spreadsheets/d/1Lhp9OU0JdFf_VYSMzH5lBcEaU4o8teT1piV-SNzShjg/edit?gid=554141278#gid=554141278"", ""'Char Def. - Attributes'!C20:C2242""), 1,false)"),"ALT_DENUM_UOM2")</f>
        <v>ALT_DENUM_UOM2</v>
      </c>
      <c r="I8875" s="136"/>
      <c r="R8875" s="63" t="str">
        <f t="shared" si="60"/>
        <v>ZSI1_ELEC_CONNALT_DENUM_UOM2</v>
      </c>
    </row>
    <row r="8876" ht="15.75" customHeight="1">
      <c r="B8876" s="63">
        <f t="shared" si="1"/>
        <v>14</v>
      </c>
      <c r="C8876" s="135" t="s">
        <v>303</v>
      </c>
      <c r="D8876" s="161" t="s">
        <v>74</v>
      </c>
      <c r="E8876" s="135">
        <f t="shared" si="62"/>
        <v>19</v>
      </c>
      <c r="F8876" s="134" t="s">
        <v>3809</v>
      </c>
      <c r="G8876" s="63" t="str">
        <f>VLOOKUP(C8876, 'Class Def. - General Data'!$C$20:$C$1000,1,false)</f>
        <v>ZSI1_ELEC_CONN</v>
      </c>
      <c r="H8876" s="63" t="str">
        <f>IFERROR(__xludf.DUMMYFUNCTION("VLOOKUP(F8876, IMPORTRANGE(""https://docs.google.com/spreadsheets/d/1Lhp9OU0JdFf_VYSMzH5lBcEaU4o8teT1piV-SNzShjg/edit?gid=554141278#gid=554141278"", ""'Char Def. - Attributes'!C20:C2242""), 1,false)"),"ALT_NUM_UOM2")</f>
        <v>ALT_NUM_UOM2</v>
      </c>
      <c r="I8876" s="136"/>
      <c r="R8876" s="63" t="str">
        <f t="shared" si="60"/>
        <v>ZSI1_ELEC_CONNALT_NUM_UOM2</v>
      </c>
    </row>
    <row r="8877" ht="15.75" customHeight="1">
      <c r="B8877" s="63">
        <f t="shared" si="1"/>
        <v>14</v>
      </c>
      <c r="C8877" s="135" t="s">
        <v>303</v>
      </c>
      <c r="D8877" s="161" t="s">
        <v>74</v>
      </c>
      <c r="E8877" s="135">
        <f t="shared" si="62"/>
        <v>20</v>
      </c>
      <c r="F8877" s="134" t="s">
        <v>3810</v>
      </c>
      <c r="G8877" s="63" t="str">
        <f>VLOOKUP(C8877, 'Class Def. - General Data'!$C$20:$C$1000,1,false)</f>
        <v>ZSI1_ELEC_CONN</v>
      </c>
      <c r="H8877" s="63" t="str">
        <f>IFERROR(__xludf.DUMMYFUNCTION("VLOOKUP(F8877, IMPORTRANGE(""https://docs.google.com/spreadsheets/d/1Lhp9OU0JdFf_VYSMzH5lBcEaU4o8teT1piV-SNzShjg/edit?gid=554141278#gid=554141278"", ""'Char Def. - Attributes'!C20:C2242""), 1,false)"),"ALT_UOM3_SIPI")</f>
        <v>ALT_UOM3_SIPI</v>
      </c>
      <c r="I8877" s="136"/>
      <c r="R8877" s="63" t="str">
        <f t="shared" si="60"/>
        <v>ZSI1_ELEC_CONNALT_UOM3_SIPI</v>
      </c>
    </row>
    <row r="8878" ht="15.75" customHeight="1">
      <c r="B8878" s="63">
        <f t="shared" si="1"/>
        <v>14</v>
      </c>
      <c r="C8878" s="135" t="s">
        <v>303</v>
      </c>
      <c r="D8878" s="161" t="s">
        <v>74</v>
      </c>
      <c r="E8878" s="135">
        <f t="shared" si="62"/>
        <v>21</v>
      </c>
      <c r="F8878" s="134" t="s">
        <v>3811</v>
      </c>
      <c r="G8878" s="63" t="str">
        <f>VLOOKUP(C8878, 'Class Def. - General Data'!$C$20:$C$1000,1,false)</f>
        <v>ZSI1_ELEC_CONN</v>
      </c>
      <c r="H8878" s="63" t="str">
        <f>IFERROR(__xludf.DUMMYFUNCTION("VLOOKUP(F8878, IMPORTRANGE(""https://docs.google.com/spreadsheets/d/1Lhp9OU0JdFf_VYSMzH5lBcEaU4o8teT1piV-SNzShjg/edit?gid=554141278#gid=554141278"", ""'Char Def. - Attributes'!C20:C2242""), 1,false)"),"ALT_DENUM_UOM3")</f>
        <v>ALT_DENUM_UOM3</v>
      </c>
      <c r="I8878" s="136"/>
      <c r="R8878" s="63" t="str">
        <f t="shared" si="60"/>
        <v>ZSI1_ELEC_CONNALT_DENUM_UOM3</v>
      </c>
    </row>
    <row r="8879" ht="15.75" customHeight="1">
      <c r="B8879" s="63">
        <f t="shared" si="1"/>
        <v>14</v>
      </c>
      <c r="C8879" s="135" t="s">
        <v>303</v>
      </c>
      <c r="D8879" s="161" t="s">
        <v>74</v>
      </c>
      <c r="E8879" s="135">
        <f t="shared" si="62"/>
        <v>22</v>
      </c>
      <c r="F8879" s="134" t="s">
        <v>3812</v>
      </c>
      <c r="G8879" s="63" t="str">
        <f>VLOOKUP(C8879, 'Class Def. - General Data'!$C$20:$C$1000,1,false)</f>
        <v>ZSI1_ELEC_CONN</v>
      </c>
      <c r="H8879" s="63" t="str">
        <f>IFERROR(__xludf.DUMMYFUNCTION("VLOOKUP(F8879, IMPORTRANGE(""https://docs.google.com/spreadsheets/d/1Lhp9OU0JdFf_VYSMzH5lBcEaU4o8teT1piV-SNzShjg/edit?gid=554141278#gid=554141278"", ""'Char Def. - Attributes'!C20:C2242""), 1,false)"),"ALT_NUM_UOM3")</f>
        <v>ALT_NUM_UOM3</v>
      </c>
      <c r="I8879" s="136"/>
      <c r="R8879" s="63" t="str">
        <f t="shared" si="60"/>
        <v>ZSI1_ELEC_CONNALT_NUM_UOM3</v>
      </c>
    </row>
    <row r="8880" ht="15.75" customHeight="1">
      <c r="B8880" s="63">
        <f t="shared" si="1"/>
        <v>14</v>
      </c>
      <c r="C8880" s="135" t="s">
        <v>303</v>
      </c>
      <c r="D8880" s="161" t="s">
        <v>74</v>
      </c>
      <c r="E8880" s="135">
        <f t="shared" si="62"/>
        <v>23</v>
      </c>
      <c r="F8880" s="134" t="s">
        <v>3813</v>
      </c>
      <c r="G8880" s="63" t="str">
        <f>VLOOKUP(C8880, 'Class Def. - General Data'!$C$20:$C$1000,1,false)</f>
        <v>ZSI1_ELEC_CONN</v>
      </c>
      <c r="H8880" s="63" t="str">
        <f>IFERROR(__xludf.DUMMYFUNCTION("VLOOKUP(F8880, IMPORTRANGE(""https://docs.google.com/spreadsheets/d/1Lhp9OU0JdFf_VYSMzH5lBcEaU4o8teT1piV-SNzShjg/edit?gid=554141278#gid=554141278"", ""'Char Def. - Attributes'!C20:C2242""), 1,false)"),"ALT_UOM4_SIPI")</f>
        <v>ALT_UOM4_SIPI</v>
      </c>
      <c r="I8880" s="136"/>
      <c r="R8880" s="63" t="str">
        <f t="shared" si="60"/>
        <v>ZSI1_ELEC_CONNALT_UOM4_SIPI</v>
      </c>
    </row>
    <row r="8881" ht="15.75" customHeight="1">
      <c r="B8881" s="63">
        <f t="shared" si="1"/>
        <v>14</v>
      </c>
      <c r="C8881" s="135" t="s">
        <v>303</v>
      </c>
      <c r="D8881" s="161" t="s">
        <v>74</v>
      </c>
      <c r="E8881" s="135">
        <f t="shared" si="62"/>
        <v>24</v>
      </c>
      <c r="F8881" s="134" t="s">
        <v>3814</v>
      </c>
      <c r="G8881" s="63" t="str">
        <f>VLOOKUP(C8881, 'Class Def. - General Data'!$C$20:$C$1000,1,false)</f>
        <v>ZSI1_ELEC_CONN</v>
      </c>
      <c r="H8881" s="63" t="str">
        <f>IFERROR(__xludf.DUMMYFUNCTION("VLOOKUP(F8881, IMPORTRANGE(""https://docs.google.com/spreadsheets/d/1Lhp9OU0JdFf_VYSMzH5lBcEaU4o8teT1piV-SNzShjg/edit?gid=554141278#gid=554141278"", ""'Char Def. - Attributes'!C20:C2242""), 1,false)"),"ALT_DENUM_UOM4")</f>
        <v>ALT_DENUM_UOM4</v>
      </c>
      <c r="I8881" s="136"/>
      <c r="R8881" s="63" t="str">
        <f t="shared" si="60"/>
        <v>ZSI1_ELEC_CONNALT_DENUM_UOM4</v>
      </c>
    </row>
    <row r="8882" ht="15.75" customHeight="1">
      <c r="B8882" s="63">
        <f t="shared" si="1"/>
        <v>14</v>
      </c>
      <c r="C8882" s="135" t="s">
        <v>303</v>
      </c>
      <c r="D8882" s="161" t="s">
        <v>74</v>
      </c>
      <c r="E8882" s="135">
        <f t="shared" si="62"/>
        <v>25</v>
      </c>
      <c r="F8882" s="134" t="s">
        <v>3815</v>
      </c>
      <c r="G8882" s="63" t="str">
        <f>VLOOKUP(C8882, 'Class Def. - General Data'!$C$20:$C$1000,1,false)</f>
        <v>ZSI1_ELEC_CONN</v>
      </c>
      <c r="H8882" s="63" t="str">
        <f>IFERROR(__xludf.DUMMYFUNCTION("VLOOKUP(F8882, IMPORTRANGE(""https://docs.google.com/spreadsheets/d/1Lhp9OU0JdFf_VYSMzH5lBcEaU4o8teT1piV-SNzShjg/edit?gid=554141278#gid=554141278"", ""'Char Def. - Attributes'!C20:C2242""), 1,false)"),"ALT_NUM_UOM4")</f>
        <v>ALT_NUM_UOM4</v>
      </c>
      <c r="I8882" s="136"/>
      <c r="R8882" s="63" t="str">
        <f t="shared" si="60"/>
        <v>ZSI1_ELEC_CONNALT_NUM_UOM4</v>
      </c>
    </row>
    <row r="8883" ht="15.75" customHeight="1">
      <c r="B8883" s="63">
        <f t="shared" si="1"/>
        <v>14</v>
      </c>
      <c r="C8883" s="135" t="s">
        <v>303</v>
      </c>
      <c r="D8883" s="161" t="s">
        <v>74</v>
      </c>
      <c r="E8883" s="135">
        <f t="shared" si="62"/>
        <v>26</v>
      </c>
      <c r="F8883" s="134" t="s">
        <v>3816</v>
      </c>
      <c r="G8883" s="63" t="str">
        <f>VLOOKUP(C8883, 'Class Def. - General Data'!$C$20:$C$1000,1,false)</f>
        <v>ZSI1_ELEC_CONN</v>
      </c>
      <c r="H8883" s="63" t="str">
        <f>IFERROR(__xludf.DUMMYFUNCTION("VLOOKUP(F8883, IMPORTRANGE(""https://docs.google.com/spreadsheets/d/1Lhp9OU0JdFf_VYSMzH5lBcEaU4o8teT1piV-SNzShjg/edit?gid=554141278#gid=554141278"", ""'Char Def. - Attributes'!C20:C2242""), 1,false)"),"ALT_UOM5_SIPI")</f>
        <v>ALT_UOM5_SIPI</v>
      </c>
      <c r="I8883" s="136"/>
      <c r="R8883" s="63" t="str">
        <f t="shared" si="60"/>
        <v>ZSI1_ELEC_CONNALT_UOM5_SIPI</v>
      </c>
    </row>
    <row r="8884" ht="15.75" customHeight="1">
      <c r="B8884" s="63">
        <f t="shared" si="1"/>
        <v>14</v>
      </c>
      <c r="C8884" s="135" t="s">
        <v>303</v>
      </c>
      <c r="D8884" s="161" t="s">
        <v>74</v>
      </c>
      <c r="E8884" s="135">
        <f t="shared" si="62"/>
        <v>27</v>
      </c>
      <c r="F8884" s="134" t="s">
        <v>3817</v>
      </c>
      <c r="G8884" s="63" t="str">
        <f>VLOOKUP(C8884, 'Class Def. - General Data'!$C$20:$C$1000,1,false)</f>
        <v>ZSI1_ELEC_CONN</v>
      </c>
      <c r="H8884" s="63" t="str">
        <f>IFERROR(__xludf.DUMMYFUNCTION("VLOOKUP(F8884, IMPORTRANGE(""https://docs.google.com/spreadsheets/d/1Lhp9OU0JdFf_VYSMzH5lBcEaU4o8teT1piV-SNzShjg/edit?gid=554141278#gid=554141278"", ""'Char Def. - Attributes'!C20:C2242""), 1,false)"),"ALT_DENUM_UOM5")</f>
        <v>ALT_DENUM_UOM5</v>
      </c>
      <c r="I8884" s="136"/>
      <c r="R8884" s="63" t="str">
        <f t="shared" si="60"/>
        <v>ZSI1_ELEC_CONNALT_DENUM_UOM5</v>
      </c>
    </row>
    <row r="8885" ht="15.75" customHeight="1">
      <c r="B8885" s="63">
        <f t="shared" si="1"/>
        <v>14</v>
      </c>
      <c r="C8885" s="135" t="s">
        <v>303</v>
      </c>
      <c r="D8885" s="161" t="s">
        <v>74</v>
      </c>
      <c r="E8885" s="135">
        <f t="shared" si="62"/>
        <v>28</v>
      </c>
      <c r="F8885" s="134" t="s">
        <v>3818</v>
      </c>
      <c r="G8885" s="63" t="str">
        <f>VLOOKUP(C8885, 'Class Def. - General Data'!$C$20:$C$1000,1,false)</f>
        <v>ZSI1_ELEC_CONN</v>
      </c>
      <c r="H8885" s="63" t="str">
        <f>IFERROR(__xludf.DUMMYFUNCTION("VLOOKUP(F8885, IMPORTRANGE(""https://docs.google.com/spreadsheets/d/1Lhp9OU0JdFf_VYSMzH5lBcEaU4o8teT1piV-SNzShjg/edit?gid=554141278#gid=554141278"", ""'Char Def. - Attributes'!C20:C2242""), 1,false)"),"ALT_NUM_UOM5")</f>
        <v>ALT_NUM_UOM5</v>
      </c>
      <c r="I8885" s="136"/>
      <c r="R8885" s="63" t="str">
        <f t="shared" si="60"/>
        <v>ZSI1_ELEC_CONNALT_NUM_UOM5</v>
      </c>
    </row>
    <row r="8886" ht="15.75" customHeight="1">
      <c r="B8886" s="63">
        <f t="shared" si="1"/>
        <v>17</v>
      </c>
      <c r="C8886" s="135" t="s">
        <v>298</v>
      </c>
      <c r="D8886" s="161" t="s">
        <v>74</v>
      </c>
      <c r="E8886" s="135">
        <f t="shared" si="62"/>
        <v>1</v>
      </c>
      <c r="F8886" s="134" t="s">
        <v>4441</v>
      </c>
      <c r="G8886" s="63" t="str">
        <f>VLOOKUP(C8886, 'Class Def. - General Data'!$C$20:$C$1000,1,false)</f>
        <v>ZSI1_ELEC_CONTROL</v>
      </c>
      <c r="H8886" s="63" t="str">
        <f>IFERROR(__xludf.DUMMYFUNCTION("VLOOKUP(F8886, IMPORTRANGE(""https://docs.google.com/spreadsheets/d/1Lhp9OU0JdFf_VYSMzH5lBcEaU4o8teT1piV-SNzShjg/edit?gid=554141278#gid=554141278"", ""'Char Def. - Attributes'!C20:C2242""), 1,false)"),"ITEM_NAME_ELEC_CONTROL")</f>
        <v>ITEM_NAME_ELEC_CONTROL</v>
      </c>
      <c r="I8886" s="136"/>
      <c r="R8886" s="63" t="str">
        <f t="shared" si="60"/>
        <v>ZSI1_ELEC_CONTROLITEM_NAME_ELEC_CONTROL</v>
      </c>
    </row>
    <row r="8887" ht="15.75" customHeight="1">
      <c r="B8887" s="63">
        <f t="shared" si="1"/>
        <v>17</v>
      </c>
      <c r="C8887" s="135" t="s">
        <v>298</v>
      </c>
      <c r="D8887" s="161" t="s">
        <v>74</v>
      </c>
      <c r="E8887" s="135">
        <f t="shared" si="62"/>
        <v>2</v>
      </c>
      <c r="F8887" s="134" t="s">
        <v>4442</v>
      </c>
      <c r="G8887" s="63" t="str">
        <f>VLOOKUP(C8887, 'Class Def. - General Data'!$C$20:$C$1000,1,false)</f>
        <v>ZSI1_ELEC_CONTROL</v>
      </c>
      <c r="H8887" s="63" t="str">
        <f>IFERROR(__xludf.DUMMYFUNCTION("VLOOKUP(F8887, IMPORTRANGE(""https://docs.google.com/spreadsheets/d/1Lhp9OU0JdFf_VYSMzH5lBcEaU4o8teT1piV-SNzShjg/edit?gid=554141278#gid=554141278"", ""'Char Def. - Attributes'!C20:C2242""), 1,false)"),"MFR_NO_ELEC_CONTROL")</f>
        <v>MFR_NO_ELEC_CONTROL</v>
      </c>
      <c r="I8887" s="136"/>
      <c r="R8887" s="63" t="str">
        <f t="shared" si="60"/>
        <v>ZSI1_ELEC_CONTROLMFR_NO_ELEC_CONTROL</v>
      </c>
    </row>
    <row r="8888" ht="15.75" customHeight="1">
      <c r="B8888" s="63">
        <f t="shared" si="1"/>
        <v>17</v>
      </c>
      <c r="C8888" s="135" t="s">
        <v>298</v>
      </c>
      <c r="D8888" s="161" t="s">
        <v>74</v>
      </c>
      <c r="E8888" s="135">
        <f t="shared" si="62"/>
        <v>3</v>
      </c>
      <c r="F8888" s="134" t="s">
        <v>3782</v>
      </c>
      <c r="G8888" s="63" t="str">
        <f>VLOOKUP(C8888, 'Class Def. - General Data'!$C$20:$C$1000,1,false)</f>
        <v>ZSI1_ELEC_CONTROL</v>
      </c>
      <c r="H8888" s="63" t="str">
        <f>IFERROR(__xludf.DUMMYFUNCTION("VLOOKUP(F8888, IMPORTRANGE(""https://docs.google.com/spreadsheets/d/1Lhp9OU0JdFf_VYSMzH5lBcEaU4o8teT1piV-SNzShjg/edit?gid=554141278#gid=554141278"", ""'Char Def. - Attributes'!C20:C2242""), 1,false)"),"BRAND_EXTERNAL")</f>
        <v>BRAND_EXTERNAL</v>
      </c>
      <c r="I8888" s="136"/>
      <c r="R8888" s="63" t="str">
        <f t="shared" si="60"/>
        <v>ZSI1_ELEC_CONTROLBRAND_EXTERNAL</v>
      </c>
    </row>
    <row r="8889" ht="15.75" customHeight="1">
      <c r="B8889" s="63">
        <f t="shared" si="1"/>
        <v>17</v>
      </c>
      <c r="C8889" s="135" t="s">
        <v>298</v>
      </c>
      <c r="D8889" s="161" t="s">
        <v>74</v>
      </c>
      <c r="E8889" s="135">
        <f t="shared" si="62"/>
        <v>4</v>
      </c>
      <c r="F8889" s="134" t="s">
        <v>4062</v>
      </c>
      <c r="G8889" s="63" t="str">
        <f>VLOOKUP(C8889, 'Class Def. - General Data'!$C$20:$C$1000,1,false)</f>
        <v>ZSI1_ELEC_CONTROL</v>
      </c>
      <c r="H8889" s="63" t="str">
        <f>IFERROR(__xludf.DUMMYFUNCTION("VLOOKUP(F8889, IMPORTRANGE(""https://docs.google.com/spreadsheets/d/1Lhp9OU0JdFf_VYSMzH5lBcEaU4o8teT1piV-SNzShjg/edit?gid=554141278#gid=554141278"", ""'Char Def. - Attributes'!C20:C2242""), 1,false)"),"#N/A")</f>
        <v>#N/A</v>
      </c>
      <c r="I8889" s="136"/>
      <c r="R8889" s="63" t="str">
        <f t="shared" si="60"/>
        <v>ZSI1_ELEC_CONTROLADDTIONAL_SPECIFICATION</v>
      </c>
    </row>
    <row r="8890" ht="15.75" customHeight="1">
      <c r="B8890" s="63">
        <f t="shared" si="1"/>
        <v>17</v>
      </c>
      <c r="C8890" s="135" t="s">
        <v>298</v>
      </c>
      <c r="D8890" s="161" t="s">
        <v>74</v>
      </c>
      <c r="E8890" s="135">
        <f t="shared" si="62"/>
        <v>5</v>
      </c>
      <c r="F8890" s="134" t="s">
        <v>4053</v>
      </c>
      <c r="G8890" s="63" t="str">
        <f>VLOOKUP(C8890, 'Class Def. - General Data'!$C$20:$C$1000,1,false)</f>
        <v>ZSI1_ELEC_CONTROL</v>
      </c>
      <c r="H8890" s="63" t="str">
        <f>IFERROR(__xludf.DUMMYFUNCTION("VLOOKUP(F8890, IMPORTRANGE(""https://docs.google.com/spreadsheets/d/1Lhp9OU0JdFf_VYSMzH5lBcEaU4o8teT1piV-SNzShjg/edit?gid=554141278#gid=554141278"", ""'Char Def. - Attributes'!C20:C2242""), 1,false)"),"MAINTENANCE_ORDER_TYPE")</f>
        <v>MAINTENANCE_ORDER_TYPE</v>
      </c>
      <c r="I8890" s="136"/>
      <c r="R8890" s="63" t="str">
        <f t="shared" si="60"/>
        <v>ZSI1_ELEC_CONTROLMAINTENANCE_ORDER_TYPE</v>
      </c>
    </row>
    <row r="8891" ht="15.75" customHeight="1">
      <c r="B8891" s="63">
        <f t="shared" si="1"/>
        <v>17</v>
      </c>
      <c r="C8891" s="135" t="s">
        <v>298</v>
      </c>
      <c r="D8891" s="161" t="s">
        <v>74</v>
      </c>
      <c r="E8891" s="135">
        <f t="shared" si="62"/>
        <v>6</v>
      </c>
      <c r="F8891" s="134" t="s">
        <v>3585</v>
      </c>
      <c r="G8891" s="63" t="str">
        <f>VLOOKUP(C8891, 'Class Def. - General Data'!$C$20:$C$1000,1,false)</f>
        <v>ZSI1_ELEC_CONTROL</v>
      </c>
      <c r="H8891" s="63" t="str">
        <f>IFERROR(__xludf.DUMMYFUNCTION("VLOOKUP(F8891, IMPORTRANGE(""https://docs.google.com/spreadsheets/d/1Lhp9OU0JdFf_VYSMzH5lBcEaU4o8teT1piV-SNzShjg/edit?gid=554141278#gid=554141278"", ""'Char Def. - Attributes'!C20:C2242""), 1,false)"),"HS_CODE")</f>
        <v>HS_CODE</v>
      </c>
      <c r="I8891" s="136"/>
      <c r="R8891" s="63" t="str">
        <f t="shared" si="60"/>
        <v>ZSI1_ELEC_CONTROLHS_CODE</v>
      </c>
    </row>
    <row r="8892" ht="15.75" customHeight="1">
      <c r="B8892" s="63">
        <f t="shared" si="1"/>
        <v>17</v>
      </c>
      <c r="C8892" s="135" t="s">
        <v>298</v>
      </c>
      <c r="D8892" s="161" t="s">
        <v>74</v>
      </c>
      <c r="E8892" s="135">
        <f t="shared" si="62"/>
        <v>7</v>
      </c>
      <c r="F8892" s="134" t="s">
        <v>3587</v>
      </c>
      <c r="G8892" s="63" t="str">
        <f>VLOOKUP(C8892, 'Class Def. - General Data'!$C$20:$C$1000,1,false)</f>
        <v>ZSI1_ELEC_CONTROL</v>
      </c>
      <c r="H8892" s="63" t="str">
        <f>IFERROR(__xludf.DUMMYFUNCTION("VLOOKUP(F8892, IMPORTRANGE(""https://docs.google.com/spreadsheets/d/1Lhp9OU0JdFf_VYSMzH5lBcEaU4o8teT1piV-SNzShjg/edit?gid=554141278#gid=554141278"", ""'Char Def. - Attributes'!C20:C2242""), 1,false)"),"PLANT_BUY")</f>
        <v>PLANT_BUY</v>
      </c>
      <c r="I8892" s="136"/>
      <c r="R8892" s="63" t="str">
        <f t="shared" si="60"/>
        <v>ZSI1_ELEC_CONTROLPLANT_BUY</v>
      </c>
    </row>
    <row r="8893" ht="15.75" customHeight="1">
      <c r="B8893" s="63">
        <f t="shared" si="1"/>
        <v>17</v>
      </c>
      <c r="C8893" s="135" t="s">
        <v>298</v>
      </c>
      <c r="D8893" s="161" t="s">
        <v>74</v>
      </c>
      <c r="E8893" s="135">
        <f t="shared" si="62"/>
        <v>8</v>
      </c>
      <c r="F8893" s="134" t="s">
        <v>4443</v>
      </c>
      <c r="G8893" s="63" t="str">
        <f>VLOOKUP(C8893, 'Class Def. - General Data'!$C$20:$C$1000,1,false)</f>
        <v>ZSI1_ELEC_CONTROL</v>
      </c>
      <c r="H8893" s="63" t="str">
        <f>IFERROR(__xludf.DUMMYFUNCTION("VLOOKUP(F8893, IMPORTRANGE(""https://docs.google.com/spreadsheets/d/1Lhp9OU0JdFf_VYSMzH5lBcEaU4o8teT1piV-SNzShjg/edit?gid=554141278#gid=554141278"", ""'Char Def. - Attributes'!C20:C2242""), 1,false)"),"BASE_UOM_ELEC_CONTROL")</f>
        <v>BASE_UOM_ELEC_CONTROL</v>
      </c>
      <c r="I8893" s="136"/>
      <c r="R8893" s="63" t="str">
        <f t="shared" si="60"/>
        <v>ZSI1_ELEC_CONTROLBASE_UOM_ELEC_CONTROL</v>
      </c>
    </row>
    <row r="8894" ht="15.75" customHeight="1">
      <c r="B8894" s="63">
        <f t="shared" si="1"/>
        <v>17</v>
      </c>
      <c r="C8894" s="135" t="s">
        <v>298</v>
      </c>
      <c r="D8894" s="161" t="s">
        <v>74</v>
      </c>
      <c r="E8894" s="135">
        <f t="shared" si="62"/>
        <v>9</v>
      </c>
      <c r="F8894" s="134" t="s">
        <v>4444</v>
      </c>
      <c r="G8894" s="63" t="str">
        <f>VLOOKUP(C8894, 'Class Def. - General Data'!$C$20:$C$1000,1,false)</f>
        <v>ZSI1_ELEC_CONTROL</v>
      </c>
      <c r="H8894" s="63" t="str">
        <f>IFERROR(__xludf.DUMMYFUNCTION("VLOOKUP(F8894, IMPORTRANGE(""https://docs.google.com/spreadsheets/d/1Lhp9OU0JdFf_VYSMzH5lBcEaU4o8teT1piV-SNzShjg/edit?gid=554141278#gid=554141278"", ""'Char Def. - Attributes'!C20:C2242""), 1,false)"),"ORDER_UNIT_ELEC_CONTROL")</f>
        <v>ORDER_UNIT_ELEC_CONTROL</v>
      </c>
      <c r="I8894" s="136"/>
      <c r="R8894" s="63" t="str">
        <f t="shared" si="60"/>
        <v>ZSI1_ELEC_CONTROLORDER_UNIT_ELEC_CONTROL</v>
      </c>
    </row>
    <row r="8895" ht="15.75" customHeight="1">
      <c r="B8895" s="63">
        <f t="shared" si="1"/>
        <v>17</v>
      </c>
      <c r="C8895" s="135" t="s">
        <v>298</v>
      </c>
      <c r="D8895" s="161" t="s">
        <v>74</v>
      </c>
      <c r="E8895" s="135">
        <f t="shared" si="62"/>
        <v>10</v>
      </c>
      <c r="F8895" s="134" t="s">
        <v>4056</v>
      </c>
      <c r="G8895" s="63" t="str">
        <f>VLOOKUP(C8895, 'Class Def. - General Data'!$C$20:$C$1000,1,false)</f>
        <v>ZSI1_ELEC_CONTROL</v>
      </c>
      <c r="H8895" s="63" t="str">
        <f>IFERROR(__xludf.DUMMYFUNCTION("VLOOKUP(F8895, IMPORTRANGE(""https://docs.google.com/spreadsheets/d/1Lhp9OU0JdFf_VYSMzH5lBcEaU4o8teT1piV-SNzShjg/edit?gid=554141278#gid=554141278"", ""'Char Def. - Attributes'!C20:C2242""), 1,false)"),"GROSS_WEIGHT_OPT")</f>
        <v>GROSS_WEIGHT_OPT</v>
      </c>
      <c r="I8895" s="136"/>
      <c r="R8895" s="63" t="str">
        <f t="shared" si="60"/>
        <v>ZSI1_ELEC_CONTROLGROSS_WEIGHT_OPT</v>
      </c>
    </row>
    <row r="8896" ht="15.75" customHeight="1">
      <c r="B8896" s="63">
        <f t="shared" si="1"/>
        <v>17</v>
      </c>
      <c r="C8896" s="135" t="s">
        <v>298</v>
      </c>
      <c r="D8896" s="161" t="s">
        <v>74</v>
      </c>
      <c r="E8896" s="135">
        <f t="shared" si="62"/>
        <v>11</v>
      </c>
      <c r="F8896" s="134" t="s">
        <v>4057</v>
      </c>
      <c r="G8896" s="63" t="str">
        <f>VLOOKUP(C8896, 'Class Def. - General Data'!$C$20:$C$1000,1,false)</f>
        <v>ZSI1_ELEC_CONTROL</v>
      </c>
      <c r="H8896" s="63" t="str">
        <f>IFERROR(__xludf.DUMMYFUNCTION("VLOOKUP(F8896, IMPORTRANGE(""https://docs.google.com/spreadsheets/d/1Lhp9OU0JdFf_VYSMzH5lBcEaU4o8teT1piV-SNzShjg/edit?gid=554141278#gid=554141278"", ""'Char Def. - Attributes'!C20:C2242""), 1,false)"),"NET_WEIGHT_OPT")</f>
        <v>NET_WEIGHT_OPT</v>
      </c>
      <c r="I8896" s="136"/>
      <c r="R8896" s="63" t="str">
        <f t="shared" si="60"/>
        <v>ZSI1_ELEC_CONTROLNET_WEIGHT_OPT</v>
      </c>
    </row>
    <row r="8897" ht="15.75" customHeight="1">
      <c r="B8897" s="63">
        <f t="shared" si="1"/>
        <v>17</v>
      </c>
      <c r="C8897" s="135" t="s">
        <v>298</v>
      </c>
      <c r="D8897" s="161" t="s">
        <v>74</v>
      </c>
      <c r="E8897" s="135">
        <f t="shared" si="62"/>
        <v>12</v>
      </c>
      <c r="F8897" s="134" t="s">
        <v>4058</v>
      </c>
      <c r="G8897" s="63" t="str">
        <f>VLOOKUP(C8897, 'Class Def. - General Data'!$C$20:$C$1000,1,false)</f>
        <v>ZSI1_ELEC_CONTROL</v>
      </c>
      <c r="H8897" s="63" t="str">
        <f>IFERROR(__xludf.DUMMYFUNCTION("VLOOKUP(F8897, IMPORTRANGE(""https://docs.google.com/spreadsheets/d/1Lhp9OU0JdFf_VYSMzH5lBcEaU4o8teT1piV-SNzShjg/edit?gid=554141278#gid=554141278"", ""'Char Def. - Attributes'!C20:C2242""), 1,false)"),"WEIGHT_UNIT_SI")</f>
        <v>WEIGHT_UNIT_SI</v>
      </c>
      <c r="I8897" s="136"/>
      <c r="R8897" s="63" t="str">
        <f t="shared" si="60"/>
        <v>ZSI1_ELEC_CONTROLWEIGHT_UNIT_SI</v>
      </c>
    </row>
    <row r="8898" ht="15.75" customHeight="1">
      <c r="B8898" s="63">
        <f t="shared" si="1"/>
        <v>17</v>
      </c>
      <c r="C8898" s="135" t="s">
        <v>298</v>
      </c>
      <c r="D8898" s="161" t="s">
        <v>74</v>
      </c>
      <c r="E8898" s="135">
        <f t="shared" si="62"/>
        <v>13</v>
      </c>
      <c r="F8898" s="134" t="s">
        <v>3877</v>
      </c>
      <c r="G8898" s="63" t="str">
        <f>VLOOKUP(C8898, 'Class Def. - General Data'!$C$20:$C$1000,1,false)</f>
        <v>ZSI1_ELEC_CONTROL</v>
      </c>
      <c r="H8898" s="63" t="str">
        <f>IFERROR(__xludf.DUMMYFUNCTION("VLOOKUP(F8898, IMPORTRANGE(""https://docs.google.com/spreadsheets/d/1Lhp9OU0JdFf_VYSMzH5lBcEaU4o8teT1piV-SNzShjg/edit?gid=554141278#gid=554141278"", ""'Char Def. - Attributes'!C20:C2242""), 1,false)"),"VOLUME_OPT")</f>
        <v>VOLUME_OPT</v>
      </c>
      <c r="I8898" s="136"/>
      <c r="R8898" s="63" t="str">
        <f t="shared" si="60"/>
        <v>ZSI1_ELEC_CONTROLVOLUME_OPT</v>
      </c>
    </row>
    <row r="8899" ht="15.75" customHeight="1">
      <c r="B8899" s="63">
        <f t="shared" si="1"/>
        <v>17</v>
      </c>
      <c r="C8899" s="135" t="s">
        <v>298</v>
      </c>
      <c r="D8899" s="161" t="s">
        <v>74</v>
      </c>
      <c r="E8899" s="135">
        <f t="shared" si="62"/>
        <v>14</v>
      </c>
      <c r="F8899" s="134" t="s">
        <v>4059</v>
      </c>
      <c r="G8899" s="63" t="str">
        <f>VLOOKUP(C8899, 'Class Def. - General Data'!$C$20:$C$1000,1,false)</f>
        <v>ZSI1_ELEC_CONTROL</v>
      </c>
      <c r="H8899" s="63" t="str">
        <f>IFERROR(__xludf.DUMMYFUNCTION("VLOOKUP(F8899, IMPORTRANGE(""https://docs.google.com/spreadsheets/d/1Lhp9OU0JdFf_VYSMzH5lBcEaU4o8teT1piV-SNzShjg/edit?gid=554141278#gid=554141278"", ""'Char Def. - Attributes'!C20:C2242""), 1,false)"),"VOLUME_UNIT_SI")</f>
        <v>VOLUME_UNIT_SI</v>
      </c>
      <c r="I8899" s="136"/>
      <c r="R8899" s="63" t="str">
        <f t="shared" si="60"/>
        <v>ZSI1_ELEC_CONTROLVOLUME_UNIT_SI</v>
      </c>
    </row>
    <row r="8900" ht="15.75" customHeight="1">
      <c r="B8900" s="63">
        <f t="shared" si="1"/>
        <v>17</v>
      </c>
      <c r="C8900" s="135" t="s">
        <v>298</v>
      </c>
      <c r="D8900" s="161" t="s">
        <v>74</v>
      </c>
      <c r="E8900" s="135">
        <f t="shared" si="62"/>
        <v>15</v>
      </c>
      <c r="F8900" s="134" t="s">
        <v>3804</v>
      </c>
      <c r="G8900" s="63" t="str">
        <f>VLOOKUP(C8900, 'Class Def. - General Data'!$C$20:$C$1000,1,false)</f>
        <v>ZSI1_ELEC_CONTROL</v>
      </c>
      <c r="H8900" s="63" t="str">
        <f>IFERROR(__xludf.DUMMYFUNCTION("VLOOKUP(F8900, IMPORTRANGE(""https://docs.google.com/spreadsheets/d/1Lhp9OU0JdFf_VYSMzH5lBcEaU4o8teT1piV-SNzShjg/edit?gid=554141278#gid=554141278"", ""'Char Def. - Attributes'!C20:C2242""), 1,false)"),"ALT_UOM1_SIPI")</f>
        <v>ALT_UOM1_SIPI</v>
      </c>
      <c r="I8900" s="136"/>
      <c r="R8900" s="63" t="str">
        <f t="shared" si="60"/>
        <v>ZSI1_ELEC_CONTROLALT_UOM1_SIPI</v>
      </c>
    </row>
    <row r="8901" ht="15.75" customHeight="1">
      <c r="B8901" s="63">
        <f t="shared" si="1"/>
        <v>17</v>
      </c>
      <c r="C8901" s="135" t="s">
        <v>298</v>
      </c>
      <c r="D8901" s="161" t="s">
        <v>74</v>
      </c>
      <c r="E8901" s="135">
        <f t="shared" si="62"/>
        <v>16</v>
      </c>
      <c r="F8901" s="134" t="s">
        <v>3805</v>
      </c>
      <c r="G8901" s="63" t="str">
        <f>VLOOKUP(C8901, 'Class Def. - General Data'!$C$20:$C$1000,1,false)</f>
        <v>ZSI1_ELEC_CONTROL</v>
      </c>
      <c r="H8901" s="63" t="str">
        <f>IFERROR(__xludf.DUMMYFUNCTION("VLOOKUP(F8901, IMPORTRANGE(""https://docs.google.com/spreadsheets/d/1Lhp9OU0JdFf_VYSMzH5lBcEaU4o8teT1piV-SNzShjg/edit?gid=554141278#gid=554141278"", ""'Char Def. - Attributes'!C20:C2242""), 1,false)"),"ALT_DENUM_UOM1")</f>
        <v>ALT_DENUM_UOM1</v>
      </c>
      <c r="I8901" s="136"/>
      <c r="R8901" s="63" t="str">
        <f t="shared" si="60"/>
        <v>ZSI1_ELEC_CONTROLALT_DENUM_UOM1</v>
      </c>
    </row>
    <row r="8902" ht="15.75" customHeight="1">
      <c r="B8902" s="63">
        <f t="shared" si="1"/>
        <v>17</v>
      </c>
      <c r="C8902" s="135" t="s">
        <v>298</v>
      </c>
      <c r="D8902" s="161" t="s">
        <v>74</v>
      </c>
      <c r="E8902" s="135">
        <f t="shared" si="62"/>
        <v>17</v>
      </c>
      <c r="F8902" s="134" t="s">
        <v>3806</v>
      </c>
      <c r="G8902" s="63" t="str">
        <f>VLOOKUP(C8902, 'Class Def. - General Data'!$C$20:$C$1000,1,false)</f>
        <v>ZSI1_ELEC_CONTROL</v>
      </c>
      <c r="H8902" s="63" t="str">
        <f>IFERROR(__xludf.DUMMYFUNCTION("VLOOKUP(F8902, IMPORTRANGE(""https://docs.google.com/spreadsheets/d/1Lhp9OU0JdFf_VYSMzH5lBcEaU4o8teT1piV-SNzShjg/edit?gid=554141278#gid=554141278"", ""'Char Def. - Attributes'!C20:C2242""), 1,false)"),"ALT_NUM_UOM1")</f>
        <v>ALT_NUM_UOM1</v>
      </c>
      <c r="I8902" s="136"/>
      <c r="R8902" s="63" t="str">
        <f t="shared" si="60"/>
        <v>ZSI1_ELEC_CONTROLALT_NUM_UOM1</v>
      </c>
    </row>
    <row r="8903" ht="15.75" customHeight="1">
      <c r="B8903" s="63">
        <f t="shared" si="1"/>
        <v>17</v>
      </c>
      <c r="C8903" s="135" t="s">
        <v>298</v>
      </c>
      <c r="D8903" s="161" t="s">
        <v>74</v>
      </c>
      <c r="E8903" s="135">
        <f t="shared" si="62"/>
        <v>18</v>
      </c>
      <c r="F8903" s="134" t="s">
        <v>3807</v>
      </c>
      <c r="G8903" s="63" t="str">
        <f>VLOOKUP(C8903, 'Class Def. - General Data'!$C$20:$C$1000,1,false)</f>
        <v>ZSI1_ELEC_CONTROL</v>
      </c>
      <c r="H8903" s="63" t="str">
        <f>IFERROR(__xludf.DUMMYFUNCTION("VLOOKUP(F8903, IMPORTRANGE(""https://docs.google.com/spreadsheets/d/1Lhp9OU0JdFf_VYSMzH5lBcEaU4o8teT1piV-SNzShjg/edit?gid=554141278#gid=554141278"", ""'Char Def. - Attributes'!C20:C2242""), 1,false)"),"ALT_UOM2_SIPI")</f>
        <v>ALT_UOM2_SIPI</v>
      </c>
      <c r="I8903" s="136"/>
      <c r="R8903" s="63" t="str">
        <f t="shared" si="60"/>
        <v>ZSI1_ELEC_CONTROLALT_UOM2_SIPI</v>
      </c>
    </row>
    <row r="8904" ht="15.75" customHeight="1">
      <c r="B8904" s="63">
        <f t="shared" si="1"/>
        <v>17</v>
      </c>
      <c r="C8904" s="135" t="s">
        <v>298</v>
      </c>
      <c r="D8904" s="161" t="s">
        <v>74</v>
      </c>
      <c r="E8904" s="135">
        <f t="shared" si="62"/>
        <v>19</v>
      </c>
      <c r="F8904" s="134" t="s">
        <v>3808</v>
      </c>
      <c r="G8904" s="63" t="str">
        <f>VLOOKUP(C8904, 'Class Def. - General Data'!$C$20:$C$1000,1,false)</f>
        <v>ZSI1_ELEC_CONTROL</v>
      </c>
      <c r="H8904" s="63" t="str">
        <f>IFERROR(__xludf.DUMMYFUNCTION("VLOOKUP(F8904, IMPORTRANGE(""https://docs.google.com/spreadsheets/d/1Lhp9OU0JdFf_VYSMzH5lBcEaU4o8teT1piV-SNzShjg/edit?gid=554141278#gid=554141278"", ""'Char Def. - Attributes'!C20:C2242""), 1,false)"),"ALT_DENUM_UOM2")</f>
        <v>ALT_DENUM_UOM2</v>
      </c>
      <c r="I8904" s="136"/>
      <c r="R8904" s="63" t="str">
        <f t="shared" si="60"/>
        <v>ZSI1_ELEC_CONTROLALT_DENUM_UOM2</v>
      </c>
    </row>
    <row r="8905" ht="15.75" customHeight="1">
      <c r="B8905" s="63">
        <f t="shared" si="1"/>
        <v>17</v>
      </c>
      <c r="C8905" s="135" t="s">
        <v>298</v>
      </c>
      <c r="D8905" s="161" t="s">
        <v>74</v>
      </c>
      <c r="E8905" s="135">
        <f t="shared" si="62"/>
        <v>20</v>
      </c>
      <c r="F8905" s="134" t="s">
        <v>3809</v>
      </c>
      <c r="G8905" s="63" t="str">
        <f>VLOOKUP(C8905, 'Class Def. - General Data'!$C$20:$C$1000,1,false)</f>
        <v>ZSI1_ELEC_CONTROL</v>
      </c>
      <c r="H8905" s="63" t="str">
        <f>IFERROR(__xludf.DUMMYFUNCTION("VLOOKUP(F8905, IMPORTRANGE(""https://docs.google.com/spreadsheets/d/1Lhp9OU0JdFf_VYSMzH5lBcEaU4o8teT1piV-SNzShjg/edit?gid=554141278#gid=554141278"", ""'Char Def. - Attributes'!C20:C2242""), 1,false)"),"ALT_NUM_UOM2")</f>
        <v>ALT_NUM_UOM2</v>
      </c>
      <c r="I8905" s="136"/>
      <c r="R8905" s="63" t="str">
        <f t="shared" si="60"/>
        <v>ZSI1_ELEC_CONTROLALT_NUM_UOM2</v>
      </c>
    </row>
    <row r="8906" ht="15.75" customHeight="1">
      <c r="B8906" s="63">
        <f t="shared" si="1"/>
        <v>17</v>
      </c>
      <c r="C8906" s="135" t="s">
        <v>298</v>
      </c>
      <c r="D8906" s="161" t="s">
        <v>74</v>
      </c>
      <c r="E8906" s="135">
        <f t="shared" si="62"/>
        <v>21</v>
      </c>
      <c r="F8906" s="134" t="s">
        <v>3810</v>
      </c>
      <c r="G8906" s="63" t="str">
        <f>VLOOKUP(C8906, 'Class Def. - General Data'!$C$20:$C$1000,1,false)</f>
        <v>ZSI1_ELEC_CONTROL</v>
      </c>
      <c r="H8906" s="63" t="str">
        <f>IFERROR(__xludf.DUMMYFUNCTION("VLOOKUP(F8906, IMPORTRANGE(""https://docs.google.com/spreadsheets/d/1Lhp9OU0JdFf_VYSMzH5lBcEaU4o8teT1piV-SNzShjg/edit?gid=554141278#gid=554141278"", ""'Char Def. - Attributes'!C20:C2242""), 1,false)"),"ALT_UOM3_SIPI")</f>
        <v>ALT_UOM3_SIPI</v>
      </c>
      <c r="I8906" s="136"/>
      <c r="R8906" s="63" t="str">
        <f t="shared" si="60"/>
        <v>ZSI1_ELEC_CONTROLALT_UOM3_SIPI</v>
      </c>
    </row>
    <row r="8907" ht="15.75" customHeight="1">
      <c r="B8907" s="63">
        <f t="shared" si="1"/>
        <v>17</v>
      </c>
      <c r="C8907" s="135" t="s">
        <v>298</v>
      </c>
      <c r="D8907" s="161" t="s">
        <v>74</v>
      </c>
      <c r="E8907" s="135">
        <f t="shared" si="62"/>
        <v>22</v>
      </c>
      <c r="F8907" s="134" t="s">
        <v>3811</v>
      </c>
      <c r="G8907" s="63" t="str">
        <f>VLOOKUP(C8907, 'Class Def. - General Data'!$C$20:$C$1000,1,false)</f>
        <v>ZSI1_ELEC_CONTROL</v>
      </c>
      <c r="H8907" s="63" t="str">
        <f>IFERROR(__xludf.DUMMYFUNCTION("VLOOKUP(F8907, IMPORTRANGE(""https://docs.google.com/spreadsheets/d/1Lhp9OU0JdFf_VYSMzH5lBcEaU4o8teT1piV-SNzShjg/edit?gid=554141278#gid=554141278"", ""'Char Def. - Attributes'!C20:C2242""), 1,false)"),"ALT_DENUM_UOM3")</f>
        <v>ALT_DENUM_UOM3</v>
      </c>
      <c r="I8907" s="136"/>
      <c r="R8907" s="63" t="str">
        <f t="shared" si="60"/>
        <v>ZSI1_ELEC_CONTROLALT_DENUM_UOM3</v>
      </c>
    </row>
    <row r="8908" ht="15.75" customHeight="1">
      <c r="B8908" s="63">
        <f t="shared" si="1"/>
        <v>17</v>
      </c>
      <c r="C8908" s="135" t="s">
        <v>298</v>
      </c>
      <c r="D8908" s="161" t="s">
        <v>74</v>
      </c>
      <c r="E8908" s="135">
        <f t="shared" si="62"/>
        <v>23</v>
      </c>
      <c r="F8908" s="134" t="s">
        <v>3812</v>
      </c>
      <c r="G8908" s="63" t="str">
        <f>VLOOKUP(C8908, 'Class Def. - General Data'!$C$20:$C$1000,1,false)</f>
        <v>ZSI1_ELEC_CONTROL</v>
      </c>
      <c r="H8908" s="63" t="str">
        <f>IFERROR(__xludf.DUMMYFUNCTION("VLOOKUP(F8908, IMPORTRANGE(""https://docs.google.com/spreadsheets/d/1Lhp9OU0JdFf_VYSMzH5lBcEaU4o8teT1piV-SNzShjg/edit?gid=554141278#gid=554141278"", ""'Char Def. - Attributes'!C20:C2242""), 1,false)"),"ALT_NUM_UOM3")</f>
        <v>ALT_NUM_UOM3</v>
      </c>
      <c r="I8908" s="136"/>
      <c r="R8908" s="63" t="str">
        <f t="shared" si="60"/>
        <v>ZSI1_ELEC_CONTROLALT_NUM_UOM3</v>
      </c>
    </row>
    <row r="8909" ht="15.75" customHeight="1">
      <c r="B8909" s="63">
        <f t="shared" si="1"/>
        <v>17</v>
      </c>
      <c r="C8909" s="135" t="s">
        <v>298</v>
      </c>
      <c r="D8909" s="161" t="s">
        <v>74</v>
      </c>
      <c r="E8909" s="135">
        <f t="shared" si="62"/>
        <v>24</v>
      </c>
      <c r="F8909" s="134" t="s">
        <v>3813</v>
      </c>
      <c r="G8909" s="63" t="str">
        <f>VLOOKUP(C8909, 'Class Def. - General Data'!$C$20:$C$1000,1,false)</f>
        <v>ZSI1_ELEC_CONTROL</v>
      </c>
      <c r="H8909" s="63" t="str">
        <f>IFERROR(__xludf.DUMMYFUNCTION("VLOOKUP(F8909, IMPORTRANGE(""https://docs.google.com/spreadsheets/d/1Lhp9OU0JdFf_VYSMzH5lBcEaU4o8teT1piV-SNzShjg/edit?gid=554141278#gid=554141278"", ""'Char Def. - Attributes'!C20:C2242""), 1,false)"),"ALT_UOM4_SIPI")</f>
        <v>ALT_UOM4_SIPI</v>
      </c>
      <c r="I8909" s="136"/>
      <c r="R8909" s="63" t="str">
        <f t="shared" si="60"/>
        <v>ZSI1_ELEC_CONTROLALT_UOM4_SIPI</v>
      </c>
    </row>
    <row r="8910" ht="15.75" customHeight="1">
      <c r="B8910" s="63">
        <f t="shared" si="1"/>
        <v>17</v>
      </c>
      <c r="C8910" s="135" t="s">
        <v>298</v>
      </c>
      <c r="D8910" s="161" t="s">
        <v>74</v>
      </c>
      <c r="E8910" s="135">
        <f t="shared" si="62"/>
        <v>25</v>
      </c>
      <c r="F8910" s="134" t="s">
        <v>3814</v>
      </c>
      <c r="G8910" s="63" t="str">
        <f>VLOOKUP(C8910, 'Class Def. - General Data'!$C$20:$C$1000,1,false)</f>
        <v>ZSI1_ELEC_CONTROL</v>
      </c>
      <c r="H8910" s="63" t="str">
        <f>IFERROR(__xludf.DUMMYFUNCTION("VLOOKUP(F8910, IMPORTRANGE(""https://docs.google.com/spreadsheets/d/1Lhp9OU0JdFf_VYSMzH5lBcEaU4o8teT1piV-SNzShjg/edit?gid=554141278#gid=554141278"", ""'Char Def. - Attributes'!C20:C2242""), 1,false)"),"ALT_DENUM_UOM4")</f>
        <v>ALT_DENUM_UOM4</v>
      </c>
      <c r="I8910" s="136"/>
      <c r="R8910" s="63" t="str">
        <f t="shared" si="60"/>
        <v>ZSI1_ELEC_CONTROLALT_DENUM_UOM4</v>
      </c>
    </row>
    <row r="8911" ht="15.75" customHeight="1">
      <c r="B8911" s="63">
        <f t="shared" si="1"/>
        <v>17</v>
      </c>
      <c r="C8911" s="135" t="s">
        <v>298</v>
      </c>
      <c r="D8911" s="161" t="s">
        <v>74</v>
      </c>
      <c r="E8911" s="135">
        <f t="shared" si="62"/>
        <v>26</v>
      </c>
      <c r="F8911" s="134" t="s">
        <v>3815</v>
      </c>
      <c r="G8911" s="63" t="str">
        <f>VLOOKUP(C8911, 'Class Def. - General Data'!$C$20:$C$1000,1,false)</f>
        <v>ZSI1_ELEC_CONTROL</v>
      </c>
      <c r="H8911" s="63" t="str">
        <f>IFERROR(__xludf.DUMMYFUNCTION("VLOOKUP(F8911, IMPORTRANGE(""https://docs.google.com/spreadsheets/d/1Lhp9OU0JdFf_VYSMzH5lBcEaU4o8teT1piV-SNzShjg/edit?gid=554141278#gid=554141278"", ""'Char Def. - Attributes'!C20:C2242""), 1,false)"),"ALT_NUM_UOM4")</f>
        <v>ALT_NUM_UOM4</v>
      </c>
      <c r="I8911" s="136"/>
      <c r="R8911" s="63" t="str">
        <f t="shared" si="60"/>
        <v>ZSI1_ELEC_CONTROLALT_NUM_UOM4</v>
      </c>
    </row>
    <row r="8912" ht="15.75" customHeight="1">
      <c r="B8912" s="63">
        <f t="shared" si="1"/>
        <v>17</v>
      </c>
      <c r="C8912" s="135" t="s">
        <v>298</v>
      </c>
      <c r="D8912" s="161" t="s">
        <v>74</v>
      </c>
      <c r="E8912" s="135">
        <f t="shared" si="62"/>
        <v>27</v>
      </c>
      <c r="F8912" s="134" t="s">
        <v>3816</v>
      </c>
      <c r="G8912" s="63" t="str">
        <f>VLOOKUP(C8912, 'Class Def. - General Data'!$C$20:$C$1000,1,false)</f>
        <v>ZSI1_ELEC_CONTROL</v>
      </c>
      <c r="H8912" s="63" t="str">
        <f>IFERROR(__xludf.DUMMYFUNCTION("VLOOKUP(F8912, IMPORTRANGE(""https://docs.google.com/spreadsheets/d/1Lhp9OU0JdFf_VYSMzH5lBcEaU4o8teT1piV-SNzShjg/edit?gid=554141278#gid=554141278"", ""'Char Def. - Attributes'!C20:C2242""), 1,false)"),"ALT_UOM5_SIPI")</f>
        <v>ALT_UOM5_SIPI</v>
      </c>
      <c r="I8912" s="136"/>
      <c r="R8912" s="63" t="str">
        <f t="shared" si="60"/>
        <v>ZSI1_ELEC_CONTROLALT_UOM5_SIPI</v>
      </c>
    </row>
    <row r="8913" ht="15.75" customHeight="1">
      <c r="B8913" s="63">
        <f t="shared" si="1"/>
        <v>17</v>
      </c>
      <c r="C8913" s="135" t="s">
        <v>298</v>
      </c>
      <c r="D8913" s="161" t="s">
        <v>74</v>
      </c>
      <c r="E8913" s="135">
        <f t="shared" si="62"/>
        <v>28</v>
      </c>
      <c r="F8913" s="134" t="s">
        <v>3817</v>
      </c>
      <c r="G8913" s="63" t="str">
        <f>VLOOKUP(C8913, 'Class Def. - General Data'!$C$20:$C$1000,1,false)</f>
        <v>ZSI1_ELEC_CONTROL</v>
      </c>
      <c r="H8913" s="63" t="str">
        <f>IFERROR(__xludf.DUMMYFUNCTION("VLOOKUP(F8913, IMPORTRANGE(""https://docs.google.com/spreadsheets/d/1Lhp9OU0JdFf_VYSMzH5lBcEaU4o8teT1piV-SNzShjg/edit?gid=554141278#gid=554141278"", ""'Char Def. - Attributes'!C20:C2242""), 1,false)"),"ALT_DENUM_UOM5")</f>
        <v>ALT_DENUM_UOM5</v>
      </c>
      <c r="I8913" s="136"/>
      <c r="R8913" s="63" t="str">
        <f t="shared" si="60"/>
        <v>ZSI1_ELEC_CONTROLALT_DENUM_UOM5</v>
      </c>
    </row>
    <row r="8914" ht="15.75" customHeight="1">
      <c r="B8914" s="63">
        <f t="shared" si="1"/>
        <v>17</v>
      </c>
      <c r="C8914" s="135" t="s">
        <v>298</v>
      </c>
      <c r="D8914" s="161" t="s">
        <v>74</v>
      </c>
      <c r="E8914" s="135">
        <f t="shared" si="62"/>
        <v>29</v>
      </c>
      <c r="F8914" s="134" t="s">
        <v>3818</v>
      </c>
      <c r="G8914" s="63" t="str">
        <f>VLOOKUP(C8914, 'Class Def. - General Data'!$C$20:$C$1000,1,false)</f>
        <v>ZSI1_ELEC_CONTROL</v>
      </c>
      <c r="H8914" s="63" t="str">
        <f>IFERROR(__xludf.DUMMYFUNCTION("VLOOKUP(F8914, IMPORTRANGE(""https://docs.google.com/spreadsheets/d/1Lhp9OU0JdFf_VYSMzH5lBcEaU4o8teT1piV-SNzShjg/edit?gid=554141278#gid=554141278"", ""'Char Def. - Attributes'!C20:C2242""), 1,false)"),"ALT_NUM_UOM5")</f>
        <v>ALT_NUM_UOM5</v>
      </c>
      <c r="I8914" s="136"/>
      <c r="R8914" s="63" t="str">
        <f t="shared" si="60"/>
        <v>ZSI1_ELEC_CONTROLALT_NUM_UOM5</v>
      </c>
    </row>
    <row r="8915" ht="15.75" customHeight="1">
      <c r="B8915" s="63">
        <f t="shared" si="1"/>
        <v>17</v>
      </c>
      <c r="C8915" s="135" t="s">
        <v>311</v>
      </c>
      <c r="D8915" s="161" t="s">
        <v>74</v>
      </c>
      <c r="E8915" s="135">
        <f t="shared" si="62"/>
        <v>1</v>
      </c>
      <c r="F8915" s="134" t="s">
        <v>4445</v>
      </c>
      <c r="G8915" s="63" t="str">
        <f>VLOOKUP(C8915, 'Class Def. - General Data'!$C$20:$C$1000,1,false)</f>
        <v>ZSI1_ELEC_DIST_CC</v>
      </c>
      <c r="H8915" s="63" t="str">
        <f>IFERROR(__xludf.DUMMYFUNCTION("VLOOKUP(F8915, IMPORTRANGE(""https://docs.google.com/spreadsheets/d/1Lhp9OU0JdFf_VYSMzH5lBcEaU4o8teT1piV-SNzShjg/edit?gid=554141278#gid=554141278"", ""'Char Def. - Attributes'!C20:C2242""), 1,false)"),"ITEM_NAME_ELEC_DIST_CC")</f>
        <v>ITEM_NAME_ELEC_DIST_CC</v>
      </c>
      <c r="I8915" s="136"/>
      <c r="R8915" s="63" t="str">
        <f t="shared" si="60"/>
        <v>ZSI1_ELEC_DIST_CCITEM_NAME_ELEC_DIST_CC</v>
      </c>
    </row>
    <row r="8916" ht="15.75" customHeight="1">
      <c r="B8916" s="63">
        <f t="shared" si="1"/>
        <v>17</v>
      </c>
      <c r="C8916" s="135" t="s">
        <v>311</v>
      </c>
      <c r="D8916" s="161" t="s">
        <v>74</v>
      </c>
      <c r="E8916" s="135">
        <f t="shared" si="62"/>
        <v>2</v>
      </c>
      <c r="F8916" s="134" t="s">
        <v>4446</v>
      </c>
      <c r="G8916" s="63" t="str">
        <f>VLOOKUP(C8916, 'Class Def. - General Data'!$C$20:$C$1000,1,false)</f>
        <v>ZSI1_ELEC_DIST_CC</v>
      </c>
      <c r="H8916" s="63" t="str">
        <f>IFERROR(__xludf.DUMMYFUNCTION("VLOOKUP(F8916, IMPORTRANGE(""https://docs.google.com/spreadsheets/d/1Lhp9OU0JdFf_VYSMzH5lBcEaU4o8teT1piV-SNzShjg/edit?gid=554141278#gid=554141278"", ""'Char Def. - Attributes'!C20:C2242""), 1,false)"),"MFR_NO_ELEC_DIST_CC")</f>
        <v>MFR_NO_ELEC_DIST_CC</v>
      </c>
      <c r="I8916" s="136"/>
      <c r="R8916" s="63" t="str">
        <f t="shared" si="60"/>
        <v>ZSI1_ELEC_DIST_CCMFR_NO_ELEC_DIST_CC</v>
      </c>
    </row>
    <row r="8917" ht="15.75" customHeight="1">
      <c r="B8917" s="63">
        <f t="shared" si="1"/>
        <v>17</v>
      </c>
      <c r="C8917" s="135" t="s">
        <v>311</v>
      </c>
      <c r="D8917" s="161" t="s">
        <v>74</v>
      </c>
      <c r="E8917" s="135">
        <f t="shared" si="62"/>
        <v>3</v>
      </c>
      <c r="F8917" s="134" t="s">
        <v>3782</v>
      </c>
      <c r="G8917" s="63" t="str">
        <f>VLOOKUP(C8917, 'Class Def. - General Data'!$C$20:$C$1000,1,false)</f>
        <v>ZSI1_ELEC_DIST_CC</v>
      </c>
      <c r="H8917" s="63" t="str">
        <f>IFERROR(__xludf.DUMMYFUNCTION("VLOOKUP(F8917, IMPORTRANGE(""https://docs.google.com/spreadsheets/d/1Lhp9OU0JdFf_VYSMzH5lBcEaU4o8teT1piV-SNzShjg/edit?gid=554141278#gid=554141278"", ""'Char Def. - Attributes'!C20:C2242""), 1,false)"),"BRAND_EXTERNAL")</f>
        <v>BRAND_EXTERNAL</v>
      </c>
      <c r="I8917" s="136"/>
      <c r="R8917" s="63" t="str">
        <f t="shared" si="60"/>
        <v>ZSI1_ELEC_DIST_CCBRAND_EXTERNAL</v>
      </c>
    </row>
    <row r="8918" ht="15.75" customHeight="1">
      <c r="B8918" s="63">
        <f t="shared" si="1"/>
        <v>17</v>
      </c>
      <c r="C8918" s="135" t="s">
        <v>311</v>
      </c>
      <c r="D8918" s="161" t="s">
        <v>74</v>
      </c>
      <c r="E8918" s="135">
        <f t="shared" si="62"/>
        <v>4</v>
      </c>
      <c r="F8918" s="134" t="s">
        <v>4062</v>
      </c>
      <c r="G8918" s="63" t="str">
        <f>VLOOKUP(C8918, 'Class Def. - General Data'!$C$20:$C$1000,1,false)</f>
        <v>ZSI1_ELEC_DIST_CC</v>
      </c>
      <c r="H8918" s="63" t="str">
        <f>IFERROR(__xludf.DUMMYFUNCTION("VLOOKUP(F8918, IMPORTRANGE(""https://docs.google.com/spreadsheets/d/1Lhp9OU0JdFf_VYSMzH5lBcEaU4o8teT1piV-SNzShjg/edit?gid=554141278#gid=554141278"", ""'Char Def. - Attributes'!C20:C2242""), 1,false)"),"#N/A")</f>
        <v>#N/A</v>
      </c>
      <c r="I8918" s="136"/>
      <c r="R8918" s="63" t="str">
        <f t="shared" si="60"/>
        <v>ZSI1_ELEC_DIST_CCADDTIONAL_SPECIFICATION</v>
      </c>
    </row>
    <row r="8919" ht="15.75" customHeight="1">
      <c r="B8919" s="63">
        <f t="shared" si="1"/>
        <v>17</v>
      </c>
      <c r="C8919" s="135" t="s">
        <v>311</v>
      </c>
      <c r="D8919" s="161" t="s">
        <v>74</v>
      </c>
      <c r="E8919" s="135">
        <f t="shared" si="62"/>
        <v>5</v>
      </c>
      <c r="F8919" s="134" t="s">
        <v>4053</v>
      </c>
      <c r="G8919" s="63" t="str">
        <f>VLOOKUP(C8919, 'Class Def. - General Data'!$C$20:$C$1000,1,false)</f>
        <v>ZSI1_ELEC_DIST_CC</v>
      </c>
      <c r="H8919" s="63" t="str">
        <f>IFERROR(__xludf.DUMMYFUNCTION("VLOOKUP(F8919, IMPORTRANGE(""https://docs.google.com/spreadsheets/d/1Lhp9OU0JdFf_VYSMzH5lBcEaU4o8teT1piV-SNzShjg/edit?gid=554141278#gid=554141278"", ""'Char Def. - Attributes'!C20:C2242""), 1,false)"),"MAINTENANCE_ORDER_TYPE")</f>
        <v>MAINTENANCE_ORDER_TYPE</v>
      </c>
      <c r="I8919" s="136"/>
      <c r="R8919" s="63" t="str">
        <f t="shared" si="60"/>
        <v>ZSI1_ELEC_DIST_CCMAINTENANCE_ORDER_TYPE</v>
      </c>
    </row>
    <row r="8920" ht="15.75" customHeight="1">
      <c r="B8920" s="63">
        <f t="shared" si="1"/>
        <v>17</v>
      </c>
      <c r="C8920" s="135" t="s">
        <v>311</v>
      </c>
      <c r="D8920" s="161" t="s">
        <v>74</v>
      </c>
      <c r="E8920" s="135">
        <f t="shared" si="62"/>
        <v>6</v>
      </c>
      <c r="F8920" s="134" t="s">
        <v>3585</v>
      </c>
      <c r="G8920" s="63" t="str">
        <f>VLOOKUP(C8920, 'Class Def. - General Data'!$C$20:$C$1000,1,false)</f>
        <v>ZSI1_ELEC_DIST_CC</v>
      </c>
      <c r="H8920" s="63" t="str">
        <f>IFERROR(__xludf.DUMMYFUNCTION("VLOOKUP(F8920, IMPORTRANGE(""https://docs.google.com/spreadsheets/d/1Lhp9OU0JdFf_VYSMzH5lBcEaU4o8teT1piV-SNzShjg/edit?gid=554141278#gid=554141278"", ""'Char Def. - Attributes'!C20:C2242""), 1,false)"),"HS_CODE")</f>
        <v>HS_CODE</v>
      </c>
      <c r="I8920" s="136"/>
      <c r="R8920" s="63" t="str">
        <f t="shared" si="60"/>
        <v>ZSI1_ELEC_DIST_CCHS_CODE</v>
      </c>
    </row>
    <row r="8921" ht="15.75" customHeight="1">
      <c r="B8921" s="63">
        <f t="shared" si="1"/>
        <v>17</v>
      </c>
      <c r="C8921" s="135" t="s">
        <v>311</v>
      </c>
      <c r="D8921" s="161" t="s">
        <v>74</v>
      </c>
      <c r="E8921" s="135">
        <f t="shared" si="62"/>
        <v>7</v>
      </c>
      <c r="F8921" s="134" t="s">
        <v>3587</v>
      </c>
      <c r="G8921" s="63" t="str">
        <f>VLOOKUP(C8921, 'Class Def. - General Data'!$C$20:$C$1000,1,false)</f>
        <v>ZSI1_ELEC_DIST_CC</v>
      </c>
      <c r="H8921" s="63" t="str">
        <f>IFERROR(__xludf.DUMMYFUNCTION("VLOOKUP(F8921, IMPORTRANGE(""https://docs.google.com/spreadsheets/d/1Lhp9OU0JdFf_VYSMzH5lBcEaU4o8teT1piV-SNzShjg/edit?gid=554141278#gid=554141278"", ""'Char Def. - Attributes'!C20:C2242""), 1,false)"),"PLANT_BUY")</f>
        <v>PLANT_BUY</v>
      </c>
      <c r="I8921" s="136"/>
      <c r="R8921" s="63" t="str">
        <f t="shared" si="60"/>
        <v>ZSI1_ELEC_DIST_CCPLANT_BUY</v>
      </c>
    </row>
    <row r="8922" ht="15.75" customHeight="1">
      <c r="B8922" s="63">
        <f t="shared" si="1"/>
        <v>17</v>
      </c>
      <c r="C8922" s="135" t="s">
        <v>311</v>
      </c>
      <c r="D8922" s="161" t="s">
        <v>74</v>
      </c>
      <c r="E8922" s="135">
        <f t="shared" si="62"/>
        <v>8</v>
      </c>
      <c r="F8922" s="134" t="s">
        <v>4447</v>
      </c>
      <c r="G8922" s="63" t="str">
        <f>VLOOKUP(C8922, 'Class Def. - General Data'!$C$20:$C$1000,1,false)</f>
        <v>ZSI1_ELEC_DIST_CC</v>
      </c>
      <c r="H8922" s="63" t="str">
        <f>IFERROR(__xludf.DUMMYFUNCTION("VLOOKUP(F8922, IMPORTRANGE(""https://docs.google.com/spreadsheets/d/1Lhp9OU0JdFf_VYSMzH5lBcEaU4o8teT1piV-SNzShjg/edit?gid=554141278#gid=554141278"", ""'Char Def. - Attributes'!C20:C2242""), 1,false)"),"BASE_UOM_ELEC_DIST_CC")</f>
        <v>BASE_UOM_ELEC_DIST_CC</v>
      </c>
      <c r="I8922" s="136"/>
      <c r="R8922" s="63" t="str">
        <f t="shared" si="60"/>
        <v>ZSI1_ELEC_DIST_CCBASE_UOM_ELEC_DIST_CC</v>
      </c>
    </row>
    <row r="8923" ht="15.75" customHeight="1">
      <c r="B8923" s="63">
        <f t="shared" si="1"/>
        <v>17</v>
      </c>
      <c r="C8923" s="135" t="s">
        <v>311</v>
      </c>
      <c r="D8923" s="161" t="s">
        <v>74</v>
      </c>
      <c r="E8923" s="135">
        <f t="shared" si="62"/>
        <v>9</v>
      </c>
      <c r="F8923" s="134" t="s">
        <v>4448</v>
      </c>
      <c r="G8923" s="63" t="str">
        <f>VLOOKUP(C8923, 'Class Def. - General Data'!$C$20:$C$1000,1,false)</f>
        <v>ZSI1_ELEC_DIST_CC</v>
      </c>
      <c r="H8923" s="63" t="str">
        <f>IFERROR(__xludf.DUMMYFUNCTION("VLOOKUP(F8923, IMPORTRANGE(""https://docs.google.com/spreadsheets/d/1Lhp9OU0JdFf_VYSMzH5lBcEaU4o8teT1piV-SNzShjg/edit?gid=554141278#gid=554141278"", ""'Char Def. - Attributes'!C20:C2242""), 1,false)"),"ORDER_UNIT_ELEC_DIST_CC")</f>
        <v>ORDER_UNIT_ELEC_DIST_CC</v>
      </c>
      <c r="I8923" s="136"/>
      <c r="R8923" s="63" t="str">
        <f t="shared" si="60"/>
        <v>ZSI1_ELEC_DIST_CCORDER_UNIT_ELEC_DIST_CC</v>
      </c>
    </row>
    <row r="8924" ht="15.75" customHeight="1">
      <c r="B8924" s="63">
        <f t="shared" si="1"/>
        <v>17</v>
      </c>
      <c r="C8924" s="135" t="s">
        <v>311</v>
      </c>
      <c r="D8924" s="161" t="s">
        <v>74</v>
      </c>
      <c r="E8924" s="135">
        <f t="shared" si="62"/>
        <v>10</v>
      </c>
      <c r="F8924" s="134" t="s">
        <v>4056</v>
      </c>
      <c r="G8924" s="63" t="str">
        <f>VLOOKUP(C8924, 'Class Def. - General Data'!$C$20:$C$1000,1,false)</f>
        <v>ZSI1_ELEC_DIST_CC</v>
      </c>
      <c r="H8924" s="63" t="str">
        <f>IFERROR(__xludf.DUMMYFUNCTION("VLOOKUP(F8924, IMPORTRANGE(""https://docs.google.com/spreadsheets/d/1Lhp9OU0JdFf_VYSMzH5lBcEaU4o8teT1piV-SNzShjg/edit?gid=554141278#gid=554141278"", ""'Char Def. - Attributes'!C20:C2242""), 1,false)"),"GROSS_WEIGHT_OPT")</f>
        <v>GROSS_WEIGHT_OPT</v>
      </c>
      <c r="I8924" s="136"/>
      <c r="R8924" s="63" t="str">
        <f t="shared" si="60"/>
        <v>ZSI1_ELEC_DIST_CCGROSS_WEIGHT_OPT</v>
      </c>
    </row>
    <row r="8925" ht="15.75" customHeight="1">
      <c r="B8925" s="63">
        <f t="shared" si="1"/>
        <v>17</v>
      </c>
      <c r="C8925" s="135" t="s">
        <v>311</v>
      </c>
      <c r="D8925" s="161" t="s">
        <v>74</v>
      </c>
      <c r="E8925" s="135">
        <f t="shared" si="62"/>
        <v>11</v>
      </c>
      <c r="F8925" s="134" t="s">
        <v>4057</v>
      </c>
      <c r="G8925" s="63" t="str">
        <f>VLOOKUP(C8925, 'Class Def. - General Data'!$C$20:$C$1000,1,false)</f>
        <v>ZSI1_ELEC_DIST_CC</v>
      </c>
      <c r="H8925" s="63" t="str">
        <f>IFERROR(__xludf.DUMMYFUNCTION("VLOOKUP(F8925, IMPORTRANGE(""https://docs.google.com/spreadsheets/d/1Lhp9OU0JdFf_VYSMzH5lBcEaU4o8teT1piV-SNzShjg/edit?gid=554141278#gid=554141278"", ""'Char Def. - Attributes'!C20:C2242""), 1,false)"),"NET_WEIGHT_OPT")</f>
        <v>NET_WEIGHT_OPT</v>
      </c>
      <c r="I8925" s="136"/>
      <c r="R8925" s="63" t="str">
        <f t="shared" si="60"/>
        <v>ZSI1_ELEC_DIST_CCNET_WEIGHT_OPT</v>
      </c>
    </row>
    <row r="8926" ht="15.75" customHeight="1">
      <c r="B8926" s="63">
        <f t="shared" si="1"/>
        <v>17</v>
      </c>
      <c r="C8926" s="135" t="s">
        <v>311</v>
      </c>
      <c r="D8926" s="161" t="s">
        <v>74</v>
      </c>
      <c r="E8926" s="135">
        <f t="shared" si="62"/>
        <v>12</v>
      </c>
      <c r="F8926" s="134" t="s">
        <v>4058</v>
      </c>
      <c r="G8926" s="63" t="str">
        <f>VLOOKUP(C8926, 'Class Def. - General Data'!$C$20:$C$1000,1,false)</f>
        <v>ZSI1_ELEC_DIST_CC</v>
      </c>
      <c r="H8926" s="63" t="str">
        <f>IFERROR(__xludf.DUMMYFUNCTION("VLOOKUP(F8926, IMPORTRANGE(""https://docs.google.com/spreadsheets/d/1Lhp9OU0JdFf_VYSMzH5lBcEaU4o8teT1piV-SNzShjg/edit?gid=554141278#gid=554141278"", ""'Char Def. - Attributes'!C20:C2242""), 1,false)"),"WEIGHT_UNIT_SI")</f>
        <v>WEIGHT_UNIT_SI</v>
      </c>
      <c r="I8926" s="136"/>
      <c r="R8926" s="63" t="str">
        <f t="shared" si="60"/>
        <v>ZSI1_ELEC_DIST_CCWEIGHT_UNIT_SI</v>
      </c>
    </row>
    <row r="8927" ht="15.75" customHeight="1">
      <c r="B8927" s="63">
        <f t="shared" si="1"/>
        <v>17</v>
      </c>
      <c r="C8927" s="135" t="s">
        <v>311</v>
      </c>
      <c r="D8927" s="161" t="s">
        <v>74</v>
      </c>
      <c r="E8927" s="135">
        <f t="shared" si="62"/>
        <v>13</v>
      </c>
      <c r="F8927" s="134" t="s">
        <v>3877</v>
      </c>
      <c r="G8927" s="63" t="str">
        <f>VLOOKUP(C8927, 'Class Def. - General Data'!$C$20:$C$1000,1,false)</f>
        <v>ZSI1_ELEC_DIST_CC</v>
      </c>
      <c r="H8927" s="63" t="str">
        <f>IFERROR(__xludf.DUMMYFUNCTION("VLOOKUP(F8927, IMPORTRANGE(""https://docs.google.com/spreadsheets/d/1Lhp9OU0JdFf_VYSMzH5lBcEaU4o8teT1piV-SNzShjg/edit?gid=554141278#gid=554141278"", ""'Char Def. - Attributes'!C20:C2242""), 1,false)"),"VOLUME_OPT")</f>
        <v>VOLUME_OPT</v>
      </c>
      <c r="I8927" s="136"/>
      <c r="R8927" s="63" t="str">
        <f t="shared" si="60"/>
        <v>ZSI1_ELEC_DIST_CCVOLUME_OPT</v>
      </c>
    </row>
    <row r="8928" ht="15.75" customHeight="1">
      <c r="B8928" s="63">
        <f t="shared" si="1"/>
        <v>17</v>
      </c>
      <c r="C8928" s="135" t="s">
        <v>311</v>
      </c>
      <c r="D8928" s="161" t="s">
        <v>74</v>
      </c>
      <c r="E8928" s="135">
        <f t="shared" si="62"/>
        <v>14</v>
      </c>
      <c r="F8928" s="134" t="s">
        <v>4059</v>
      </c>
      <c r="G8928" s="63" t="str">
        <f>VLOOKUP(C8928, 'Class Def. - General Data'!$C$20:$C$1000,1,false)</f>
        <v>ZSI1_ELEC_DIST_CC</v>
      </c>
      <c r="H8928" s="63" t="str">
        <f>IFERROR(__xludf.DUMMYFUNCTION("VLOOKUP(F8928, IMPORTRANGE(""https://docs.google.com/spreadsheets/d/1Lhp9OU0JdFf_VYSMzH5lBcEaU4o8teT1piV-SNzShjg/edit?gid=554141278#gid=554141278"", ""'Char Def. - Attributes'!C20:C2242""), 1,false)"),"VOLUME_UNIT_SI")</f>
        <v>VOLUME_UNIT_SI</v>
      </c>
      <c r="I8928" s="136"/>
      <c r="R8928" s="63" t="str">
        <f t="shared" si="60"/>
        <v>ZSI1_ELEC_DIST_CCVOLUME_UNIT_SI</v>
      </c>
    </row>
    <row r="8929" ht="15.75" customHeight="1">
      <c r="B8929" s="63">
        <f t="shared" si="1"/>
        <v>17</v>
      </c>
      <c r="C8929" s="135" t="s">
        <v>311</v>
      </c>
      <c r="D8929" s="161" t="s">
        <v>74</v>
      </c>
      <c r="E8929" s="135">
        <f t="shared" si="62"/>
        <v>15</v>
      </c>
      <c r="F8929" s="134" t="s">
        <v>3804</v>
      </c>
      <c r="G8929" s="63" t="str">
        <f>VLOOKUP(C8929, 'Class Def. - General Data'!$C$20:$C$1000,1,false)</f>
        <v>ZSI1_ELEC_DIST_CC</v>
      </c>
      <c r="H8929" s="63" t="str">
        <f>IFERROR(__xludf.DUMMYFUNCTION("VLOOKUP(F8929, IMPORTRANGE(""https://docs.google.com/spreadsheets/d/1Lhp9OU0JdFf_VYSMzH5lBcEaU4o8teT1piV-SNzShjg/edit?gid=554141278#gid=554141278"", ""'Char Def. - Attributes'!C20:C2242""), 1,false)"),"ALT_UOM1_SIPI")</f>
        <v>ALT_UOM1_SIPI</v>
      </c>
      <c r="I8929" s="136"/>
      <c r="R8929" s="63" t="str">
        <f t="shared" si="60"/>
        <v>ZSI1_ELEC_DIST_CCALT_UOM1_SIPI</v>
      </c>
    </row>
    <row r="8930" ht="15.75" customHeight="1">
      <c r="B8930" s="63">
        <f t="shared" si="1"/>
        <v>17</v>
      </c>
      <c r="C8930" s="135" t="s">
        <v>311</v>
      </c>
      <c r="D8930" s="161" t="s">
        <v>74</v>
      </c>
      <c r="E8930" s="135">
        <f t="shared" si="62"/>
        <v>16</v>
      </c>
      <c r="F8930" s="134" t="s">
        <v>3805</v>
      </c>
      <c r="G8930" s="63" t="str">
        <f>VLOOKUP(C8930, 'Class Def. - General Data'!$C$20:$C$1000,1,false)</f>
        <v>ZSI1_ELEC_DIST_CC</v>
      </c>
      <c r="H8930" s="63" t="str">
        <f>IFERROR(__xludf.DUMMYFUNCTION("VLOOKUP(F8930, IMPORTRANGE(""https://docs.google.com/spreadsheets/d/1Lhp9OU0JdFf_VYSMzH5lBcEaU4o8teT1piV-SNzShjg/edit?gid=554141278#gid=554141278"", ""'Char Def. - Attributes'!C20:C2242""), 1,false)"),"ALT_DENUM_UOM1")</f>
        <v>ALT_DENUM_UOM1</v>
      </c>
      <c r="I8930" s="136"/>
      <c r="R8930" s="63" t="str">
        <f t="shared" si="60"/>
        <v>ZSI1_ELEC_DIST_CCALT_DENUM_UOM1</v>
      </c>
    </row>
    <row r="8931" ht="15.75" customHeight="1">
      <c r="B8931" s="63">
        <f t="shared" si="1"/>
        <v>17</v>
      </c>
      <c r="C8931" s="135" t="s">
        <v>311</v>
      </c>
      <c r="D8931" s="161" t="s">
        <v>74</v>
      </c>
      <c r="E8931" s="135">
        <f t="shared" si="62"/>
        <v>17</v>
      </c>
      <c r="F8931" s="134" t="s">
        <v>3806</v>
      </c>
      <c r="G8931" s="63" t="str">
        <f>VLOOKUP(C8931, 'Class Def. - General Data'!$C$20:$C$1000,1,false)</f>
        <v>ZSI1_ELEC_DIST_CC</v>
      </c>
      <c r="H8931" s="63" t="str">
        <f>IFERROR(__xludf.DUMMYFUNCTION("VLOOKUP(F8931, IMPORTRANGE(""https://docs.google.com/spreadsheets/d/1Lhp9OU0JdFf_VYSMzH5lBcEaU4o8teT1piV-SNzShjg/edit?gid=554141278#gid=554141278"", ""'Char Def. - Attributes'!C20:C2242""), 1,false)"),"ALT_NUM_UOM1")</f>
        <v>ALT_NUM_UOM1</v>
      </c>
      <c r="I8931" s="136"/>
      <c r="R8931" s="63" t="str">
        <f t="shared" si="60"/>
        <v>ZSI1_ELEC_DIST_CCALT_NUM_UOM1</v>
      </c>
    </row>
    <row r="8932" ht="15.75" customHeight="1">
      <c r="B8932" s="63">
        <f t="shared" si="1"/>
        <v>17</v>
      </c>
      <c r="C8932" s="135" t="s">
        <v>311</v>
      </c>
      <c r="D8932" s="161" t="s">
        <v>74</v>
      </c>
      <c r="E8932" s="135">
        <f t="shared" si="62"/>
        <v>18</v>
      </c>
      <c r="F8932" s="134" t="s">
        <v>3807</v>
      </c>
      <c r="G8932" s="63" t="str">
        <f>VLOOKUP(C8932, 'Class Def. - General Data'!$C$20:$C$1000,1,false)</f>
        <v>ZSI1_ELEC_DIST_CC</v>
      </c>
      <c r="H8932" s="63" t="str">
        <f>IFERROR(__xludf.DUMMYFUNCTION("VLOOKUP(F8932, IMPORTRANGE(""https://docs.google.com/spreadsheets/d/1Lhp9OU0JdFf_VYSMzH5lBcEaU4o8teT1piV-SNzShjg/edit?gid=554141278#gid=554141278"", ""'Char Def. - Attributes'!C20:C2242""), 1,false)"),"ALT_UOM2_SIPI")</f>
        <v>ALT_UOM2_SIPI</v>
      </c>
      <c r="I8932" s="136"/>
      <c r="R8932" s="63" t="str">
        <f t="shared" si="60"/>
        <v>ZSI1_ELEC_DIST_CCALT_UOM2_SIPI</v>
      </c>
    </row>
    <row r="8933" ht="15.75" customHeight="1">
      <c r="B8933" s="63">
        <f t="shared" si="1"/>
        <v>17</v>
      </c>
      <c r="C8933" s="135" t="s">
        <v>311</v>
      </c>
      <c r="D8933" s="161" t="s">
        <v>74</v>
      </c>
      <c r="E8933" s="135">
        <f t="shared" si="62"/>
        <v>19</v>
      </c>
      <c r="F8933" s="134" t="s">
        <v>3808</v>
      </c>
      <c r="G8933" s="63" t="str">
        <f>VLOOKUP(C8933, 'Class Def. - General Data'!$C$20:$C$1000,1,false)</f>
        <v>ZSI1_ELEC_DIST_CC</v>
      </c>
      <c r="H8933" s="63" t="str">
        <f>IFERROR(__xludf.DUMMYFUNCTION("VLOOKUP(F8933, IMPORTRANGE(""https://docs.google.com/spreadsheets/d/1Lhp9OU0JdFf_VYSMzH5lBcEaU4o8teT1piV-SNzShjg/edit?gid=554141278#gid=554141278"", ""'Char Def. - Attributes'!C20:C2242""), 1,false)"),"ALT_DENUM_UOM2")</f>
        <v>ALT_DENUM_UOM2</v>
      </c>
      <c r="I8933" s="136"/>
      <c r="R8933" s="63" t="str">
        <f t="shared" si="60"/>
        <v>ZSI1_ELEC_DIST_CCALT_DENUM_UOM2</v>
      </c>
    </row>
    <row r="8934" ht="15.75" customHeight="1">
      <c r="B8934" s="63">
        <f t="shared" si="1"/>
        <v>17</v>
      </c>
      <c r="C8934" s="135" t="s">
        <v>311</v>
      </c>
      <c r="D8934" s="161" t="s">
        <v>74</v>
      </c>
      <c r="E8934" s="135">
        <f t="shared" si="62"/>
        <v>20</v>
      </c>
      <c r="F8934" s="134" t="s">
        <v>3809</v>
      </c>
      <c r="G8934" s="63" t="str">
        <f>VLOOKUP(C8934, 'Class Def. - General Data'!$C$20:$C$1000,1,false)</f>
        <v>ZSI1_ELEC_DIST_CC</v>
      </c>
      <c r="H8934" s="63" t="str">
        <f>IFERROR(__xludf.DUMMYFUNCTION("VLOOKUP(F8934, IMPORTRANGE(""https://docs.google.com/spreadsheets/d/1Lhp9OU0JdFf_VYSMzH5lBcEaU4o8teT1piV-SNzShjg/edit?gid=554141278#gid=554141278"", ""'Char Def. - Attributes'!C20:C2242""), 1,false)"),"ALT_NUM_UOM2")</f>
        <v>ALT_NUM_UOM2</v>
      </c>
      <c r="I8934" s="136"/>
      <c r="R8934" s="63" t="str">
        <f t="shared" si="60"/>
        <v>ZSI1_ELEC_DIST_CCALT_NUM_UOM2</v>
      </c>
    </row>
    <row r="8935" ht="15.75" customHeight="1">
      <c r="B8935" s="63">
        <f t="shared" si="1"/>
        <v>17</v>
      </c>
      <c r="C8935" s="135" t="s">
        <v>311</v>
      </c>
      <c r="D8935" s="161" t="s">
        <v>74</v>
      </c>
      <c r="E8935" s="135">
        <f t="shared" si="62"/>
        <v>21</v>
      </c>
      <c r="F8935" s="134" t="s">
        <v>3810</v>
      </c>
      <c r="G8935" s="63" t="str">
        <f>VLOOKUP(C8935, 'Class Def. - General Data'!$C$20:$C$1000,1,false)</f>
        <v>ZSI1_ELEC_DIST_CC</v>
      </c>
      <c r="H8935" s="63" t="str">
        <f>IFERROR(__xludf.DUMMYFUNCTION("VLOOKUP(F8935, IMPORTRANGE(""https://docs.google.com/spreadsheets/d/1Lhp9OU0JdFf_VYSMzH5lBcEaU4o8teT1piV-SNzShjg/edit?gid=554141278#gid=554141278"", ""'Char Def. - Attributes'!C20:C2242""), 1,false)"),"ALT_UOM3_SIPI")</f>
        <v>ALT_UOM3_SIPI</v>
      </c>
      <c r="I8935" s="136"/>
      <c r="R8935" s="63" t="str">
        <f t="shared" si="60"/>
        <v>ZSI1_ELEC_DIST_CCALT_UOM3_SIPI</v>
      </c>
    </row>
    <row r="8936" ht="15.75" customHeight="1">
      <c r="B8936" s="63">
        <f t="shared" si="1"/>
        <v>17</v>
      </c>
      <c r="C8936" s="135" t="s">
        <v>311</v>
      </c>
      <c r="D8936" s="161" t="s">
        <v>74</v>
      </c>
      <c r="E8936" s="135">
        <f t="shared" si="62"/>
        <v>22</v>
      </c>
      <c r="F8936" s="134" t="s">
        <v>3811</v>
      </c>
      <c r="G8936" s="63" t="str">
        <f>VLOOKUP(C8936, 'Class Def. - General Data'!$C$20:$C$1000,1,false)</f>
        <v>ZSI1_ELEC_DIST_CC</v>
      </c>
      <c r="H8936" s="63" t="str">
        <f>IFERROR(__xludf.DUMMYFUNCTION("VLOOKUP(F8936, IMPORTRANGE(""https://docs.google.com/spreadsheets/d/1Lhp9OU0JdFf_VYSMzH5lBcEaU4o8teT1piV-SNzShjg/edit?gid=554141278#gid=554141278"", ""'Char Def. - Attributes'!C20:C2242""), 1,false)"),"ALT_DENUM_UOM3")</f>
        <v>ALT_DENUM_UOM3</v>
      </c>
      <c r="I8936" s="136"/>
      <c r="R8936" s="63" t="str">
        <f t="shared" si="60"/>
        <v>ZSI1_ELEC_DIST_CCALT_DENUM_UOM3</v>
      </c>
    </row>
    <row r="8937" ht="15.75" customHeight="1">
      <c r="B8937" s="63">
        <f t="shared" si="1"/>
        <v>17</v>
      </c>
      <c r="C8937" s="135" t="s">
        <v>311</v>
      </c>
      <c r="D8937" s="161" t="s">
        <v>74</v>
      </c>
      <c r="E8937" s="135">
        <f t="shared" si="62"/>
        <v>23</v>
      </c>
      <c r="F8937" s="134" t="s">
        <v>3812</v>
      </c>
      <c r="G8937" s="63" t="str">
        <f>VLOOKUP(C8937, 'Class Def. - General Data'!$C$20:$C$1000,1,false)</f>
        <v>ZSI1_ELEC_DIST_CC</v>
      </c>
      <c r="H8937" s="63" t="str">
        <f>IFERROR(__xludf.DUMMYFUNCTION("VLOOKUP(F8937, IMPORTRANGE(""https://docs.google.com/spreadsheets/d/1Lhp9OU0JdFf_VYSMzH5lBcEaU4o8teT1piV-SNzShjg/edit?gid=554141278#gid=554141278"", ""'Char Def. - Attributes'!C20:C2242""), 1,false)"),"ALT_NUM_UOM3")</f>
        <v>ALT_NUM_UOM3</v>
      </c>
      <c r="I8937" s="136"/>
      <c r="R8937" s="63" t="str">
        <f t="shared" si="60"/>
        <v>ZSI1_ELEC_DIST_CCALT_NUM_UOM3</v>
      </c>
    </row>
    <row r="8938" ht="15.75" customHeight="1">
      <c r="B8938" s="63">
        <f t="shared" si="1"/>
        <v>17</v>
      </c>
      <c r="C8938" s="135" t="s">
        <v>311</v>
      </c>
      <c r="D8938" s="161" t="s">
        <v>74</v>
      </c>
      <c r="E8938" s="135">
        <f t="shared" si="62"/>
        <v>24</v>
      </c>
      <c r="F8938" s="134" t="s">
        <v>3813</v>
      </c>
      <c r="G8938" s="63" t="str">
        <f>VLOOKUP(C8938, 'Class Def. - General Data'!$C$20:$C$1000,1,false)</f>
        <v>ZSI1_ELEC_DIST_CC</v>
      </c>
      <c r="H8938" s="63" t="str">
        <f>IFERROR(__xludf.DUMMYFUNCTION("VLOOKUP(F8938, IMPORTRANGE(""https://docs.google.com/spreadsheets/d/1Lhp9OU0JdFf_VYSMzH5lBcEaU4o8teT1piV-SNzShjg/edit?gid=554141278#gid=554141278"", ""'Char Def. - Attributes'!C20:C2242""), 1,false)"),"ALT_UOM4_SIPI")</f>
        <v>ALT_UOM4_SIPI</v>
      </c>
      <c r="I8938" s="136"/>
      <c r="R8938" s="63" t="str">
        <f t="shared" si="60"/>
        <v>ZSI1_ELEC_DIST_CCALT_UOM4_SIPI</v>
      </c>
    </row>
    <row r="8939" ht="15.75" customHeight="1">
      <c r="B8939" s="63">
        <f t="shared" si="1"/>
        <v>17</v>
      </c>
      <c r="C8939" s="135" t="s">
        <v>311</v>
      </c>
      <c r="D8939" s="161" t="s">
        <v>74</v>
      </c>
      <c r="E8939" s="135">
        <f t="shared" si="62"/>
        <v>25</v>
      </c>
      <c r="F8939" s="134" t="s">
        <v>3814</v>
      </c>
      <c r="G8939" s="63" t="str">
        <f>VLOOKUP(C8939, 'Class Def. - General Data'!$C$20:$C$1000,1,false)</f>
        <v>ZSI1_ELEC_DIST_CC</v>
      </c>
      <c r="H8939" s="63" t="str">
        <f>IFERROR(__xludf.DUMMYFUNCTION("VLOOKUP(F8939, IMPORTRANGE(""https://docs.google.com/spreadsheets/d/1Lhp9OU0JdFf_VYSMzH5lBcEaU4o8teT1piV-SNzShjg/edit?gid=554141278#gid=554141278"", ""'Char Def. - Attributes'!C20:C2242""), 1,false)"),"ALT_DENUM_UOM4")</f>
        <v>ALT_DENUM_UOM4</v>
      </c>
      <c r="I8939" s="136"/>
      <c r="R8939" s="63" t="str">
        <f t="shared" si="60"/>
        <v>ZSI1_ELEC_DIST_CCALT_DENUM_UOM4</v>
      </c>
    </row>
    <row r="8940" ht="15.75" customHeight="1">
      <c r="B8940" s="63">
        <f t="shared" si="1"/>
        <v>17</v>
      </c>
      <c r="C8940" s="135" t="s">
        <v>311</v>
      </c>
      <c r="D8940" s="161" t="s">
        <v>74</v>
      </c>
      <c r="E8940" s="135">
        <f t="shared" si="62"/>
        <v>26</v>
      </c>
      <c r="F8940" s="134" t="s">
        <v>3815</v>
      </c>
      <c r="G8940" s="63" t="str">
        <f>VLOOKUP(C8940, 'Class Def. - General Data'!$C$20:$C$1000,1,false)</f>
        <v>ZSI1_ELEC_DIST_CC</v>
      </c>
      <c r="H8940" s="63" t="str">
        <f>IFERROR(__xludf.DUMMYFUNCTION("VLOOKUP(F8940, IMPORTRANGE(""https://docs.google.com/spreadsheets/d/1Lhp9OU0JdFf_VYSMzH5lBcEaU4o8teT1piV-SNzShjg/edit?gid=554141278#gid=554141278"", ""'Char Def. - Attributes'!C20:C2242""), 1,false)"),"ALT_NUM_UOM4")</f>
        <v>ALT_NUM_UOM4</v>
      </c>
      <c r="I8940" s="136"/>
      <c r="R8940" s="63" t="str">
        <f t="shared" si="60"/>
        <v>ZSI1_ELEC_DIST_CCALT_NUM_UOM4</v>
      </c>
    </row>
    <row r="8941" ht="15.75" customHeight="1">
      <c r="B8941" s="63">
        <f t="shared" si="1"/>
        <v>17</v>
      </c>
      <c r="C8941" s="135" t="s">
        <v>311</v>
      </c>
      <c r="D8941" s="161" t="s">
        <v>74</v>
      </c>
      <c r="E8941" s="135">
        <f t="shared" si="62"/>
        <v>27</v>
      </c>
      <c r="F8941" s="134" t="s">
        <v>3816</v>
      </c>
      <c r="G8941" s="63" t="str">
        <f>VLOOKUP(C8941, 'Class Def. - General Data'!$C$20:$C$1000,1,false)</f>
        <v>ZSI1_ELEC_DIST_CC</v>
      </c>
      <c r="H8941" s="63" t="str">
        <f>IFERROR(__xludf.DUMMYFUNCTION("VLOOKUP(F8941, IMPORTRANGE(""https://docs.google.com/spreadsheets/d/1Lhp9OU0JdFf_VYSMzH5lBcEaU4o8teT1piV-SNzShjg/edit?gid=554141278#gid=554141278"", ""'Char Def. - Attributes'!C20:C2242""), 1,false)"),"ALT_UOM5_SIPI")</f>
        <v>ALT_UOM5_SIPI</v>
      </c>
      <c r="I8941" s="136"/>
      <c r="R8941" s="63" t="str">
        <f t="shared" si="60"/>
        <v>ZSI1_ELEC_DIST_CCALT_UOM5_SIPI</v>
      </c>
    </row>
    <row r="8942" ht="15.75" customHeight="1">
      <c r="B8942" s="63">
        <f t="shared" si="1"/>
        <v>17</v>
      </c>
      <c r="C8942" s="135" t="s">
        <v>311</v>
      </c>
      <c r="D8942" s="161" t="s">
        <v>74</v>
      </c>
      <c r="E8942" s="135">
        <f t="shared" si="62"/>
        <v>28</v>
      </c>
      <c r="F8942" s="134" t="s">
        <v>3817</v>
      </c>
      <c r="G8942" s="63" t="str">
        <f>VLOOKUP(C8942, 'Class Def. - General Data'!$C$20:$C$1000,1,false)</f>
        <v>ZSI1_ELEC_DIST_CC</v>
      </c>
      <c r="H8942" s="63" t="str">
        <f>IFERROR(__xludf.DUMMYFUNCTION("VLOOKUP(F8942, IMPORTRANGE(""https://docs.google.com/spreadsheets/d/1Lhp9OU0JdFf_VYSMzH5lBcEaU4o8teT1piV-SNzShjg/edit?gid=554141278#gid=554141278"", ""'Char Def. - Attributes'!C20:C2242""), 1,false)"),"ALT_DENUM_UOM5")</f>
        <v>ALT_DENUM_UOM5</v>
      </c>
      <c r="I8942" s="136"/>
      <c r="R8942" s="63" t="str">
        <f t="shared" si="60"/>
        <v>ZSI1_ELEC_DIST_CCALT_DENUM_UOM5</v>
      </c>
    </row>
    <row r="8943" ht="15.75" customHeight="1">
      <c r="B8943" s="63">
        <f t="shared" si="1"/>
        <v>17</v>
      </c>
      <c r="C8943" s="135" t="s">
        <v>311</v>
      </c>
      <c r="D8943" s="161" t="s">
        <v>74</v>
      </c>
      <c r="E8943" s="135">
        <f t="shared" si="62"/>
        <v>29</v>
      </c>
      <c r="F8943" s="134" t="s">
        <v>3818</v>
      </c>
      <c r="G8943" s="63" t="str">
        <f>VLOOKUP(C8943, 'Class Def. - General Data'!$C$20:$C$1000,1,false)</f>
        <v>ZSI1_ELEC_DIST_CC</v>
      </c>
      <c r="H8943" s="63" t="str">
        <f>IFERROR(__xludf.DUMMYFUNCTION("VLOOKUP(F8943, IMPORTRANGE(""https://docs.google.com/spreadsheets/d/1Lhp9OU0JdFf_VYSMzH5lBcEaU4o8teT1piV-SNzShjg/edit?gid=554141278#gid=554141278"", ""'Char Def. - Attributes'!C20:C2242""), 1,false)"),"ALT_NUM_UOM5")</f>
        <v>ALT_NUM_UOM5</v>
      </c>
      <c r="I8943" s="136"/>
      <c r="R8943" s="63" t="str">
        <f t="shared" si="60"/>
        <v>ZSI1_ELEC_DIST_CCALT_NUM_UOM5</v>
      </c>
    </row>
    <row r="8944" ht="15.75" customHeight="1">
      <c r="B8944" s="63">
        <f t="shared" si="1"/>
        <v>18</v>
      </c>
      <c r="C8944" s="135" t="s">
        <v>515</v>
      </c>
      <c r="D8944" s="161" t="s">
        <v>74</v>
      </c>
      <c r="E8944" s="135">
        <f t="shared" si="62"/>
        <v>1</v>
      </c>
      <c r="F8944" s="134" t="s">
        <v>4449</v>
      </c>
      <c r="G8944" s="63" t="str">
        <f>VLOOKUP(C8944, 'Class Def. - General Data'!$C$20:$C$1000,1,false)</f>
        <v>ZSI1_ELEC_HARDWARE</v>
      </c>
      <c r="H8944" s="63" t="str">
        <f>IFERROR(__xludf.DUMMYFUNCTION("VLOOKUP(F8944, IMPORTRANGE(""https://docs.google.com/spreadsheets/d/1Lhp9OU0JdFf_VYSMzH5lBcEaU4o8teT1piV-SNzShjg/edit?gid=554141278#gid=554141278"", ""'Char Def. - Attributes'!C20:C2242""), 1,false)"),"ITEM_NAME_ELEC_HARDWARE")</f>
        <v>ITEM_NAME_ELEC_HARDWARE</v>
      </c>
      <c r="I8944" s="136"/>
      <c r="R8944" s="63" t="str">
        <f t="shared" si="60"/>
        <v>ZSI1_ELEC_HARDWAREITEM_NAME_ELEC_HARDWARE</v>
      </c>
    </row>
    <row r="8945" ht="15.75" customHeight="1">
      <c r="B8945" s="63">
        <f t="shared" si="1"/>
        <v>18</v>
      </c>
      <c r="C8945" s="135" t="s">
        <v>515</v>
      </c>
      <c r="D8945" s="161" t="s">
        <v>74</v>
      </c>
      <c r="E8945" s="135">
        <f t="shared" si="62"/>
        <v>2</v>
      </c>
      <c r="F8945" s="134" t="s">
        <v>4062</v>
      </c>
      <c r="G8945" s="63" t="str">
        <f>VLOOKUP(C8945, 'Class Def. - General Data'!$C$20:$C$1000,1,false)</f>
        <v>ZSI1_ELEC_HARDWARE</v>
      </c>
      <c r="H8945" s="63" t="str">
        <f>IFERROR(__xludf.DUMMYFUNCTION("VLOOKUP(F8945, IMPORTRANGE(""https://docs.google.com/spreadsheets/d/1Lhp9OU0JdFf_VYSMzH5lBcEaU4o8teT1piV-SNzShjg/edit?gid=554141278#gid=554141278"", ""'Char Def. - Attributes'!C20:C2242""), 1,false)"),"#N/A")</f>
        <v>#N/A</v>
      </c>
      <c r="I8945" s="136"/>
      <c r="R8945" s="63" t="str">
        <f t="shared" si="60"/>
        <v>ZSI1_ELEC_HARDWAREADDTIONAL_SPECIFICATION</v>
      </c>
    </row>
    <row r="8946" ht="15.75" customHeight="1">
      <c r="B8946" s="63">
        <f t="shared" si="1"/>
        <v>18</v>
      </c>
      <c r="C8946" s="135" t="s">
        <v>515</v>
      </c>
      <c r="D8946" s="161" t="s">
        <v>74</v>
      </c>
      <c r="E8946" s="135">
        <f t="shared" si="62"/>
        <v>3</v>
      </c>
      <c r="F8946" s="134" t="s">
        <v>4053</v>
      </c>
      <c r="G8946" s="63" t="str">
        <f>VLOOKUP(C8946, 'Class Def. - General Data'!$C$20:$C$1000,1,false)</f>
        <v>ZSI1_ELEC_HARDWARE</v>
      </c>
      <c r="H8946" s="63" t="str">
        <f>IFERROR(__xludf.DUMMYFUNCTION("VLOOKUP(F8946, IMPORTRANGE(""https://docs.google.com/spreadsheets/d/1Lhp9OU0JdFf_VYSMzH5lBcEaU4o8teT1piV-SNzShjg/edit?gid=554141278#gid=554141278"", ""'Char Def. - Attributes'!C20:C2242""), 1,false)"),"MAINTENANCE_ORDER_TYPE")</f>
        <v>MAINTENANCE_ORDER_TYPE</v>
      </c>
      <c r="I8946" s="136"/>
      <c r="R8946" s="63" t="str">
        <f t="shared" si="60"/>
        <v>ZSI1_ELEC_HARDWAREMAINTENANCE_ORDER_TYPE</v>
      </c>
    </row>
    <row r="8947" ht="15.75" customHeight="1">
      <c r="B8947" s="63">
        <f t="shared" si="1"/>
        <v>18</v>
      </c>
      <c r="C8947" s="135" t="s">
        <v>515</v>
      </c>
      <c r="D8947" s="161" t="s">
        <v>74</v>
      </c>
      <c r="E8947" s="135">
        <f t="shared" si="62"/>
        <v>4</v>
      </c>
      <c r="F8947" s="134" t="s">
        <v>3585</v>
      </c>
      <c r="G8947" s="63" t="str">
        <f>VLOOKUP(C8947, 'Class Def. - General Data'!$C$20:$C$1000,1,false)</f>
        <v>ZSI1_ELEC_HARDWARE</v>
      </c>
      <c r="H8947" s="63" t="str">
        <f>IFERROR(__xludf.DUMMYFUNCTION("VLOOKUP(F8947, IMPORTRANGE(""https://docs.google.com/spreadsheets/d/1Lhp9OU0JdFf_VYSMzH5lBcEaU4o8teT1piV-SNzShjg/edit?gid=554141278#gid=554141278"", ""'Char Def. - Attributes'!C20:C2242""), 1,false)"),"HS_CODE")</f>
        <v>HS_CODE</v>
      </c>
      <c r="I8947" s="136"/>
      <c r="R8947" s="63" t="str">
        <f t="shared" si="60"/>
        <v>ZSI1_ELEC_HARDWAREHS_CODE</v>
      </c>
    </row>
    <row r="8948" ht="15.75" customHeight="1">
      <c r="B8948" s="63">
        <f t="shared" si="1"/>
        <v>18</v>
      </c>
      <c r="C8948" s="135" t="s">
        <v>515</v>
      </c>
      <c r="D8948" s="161" t="s">
        <v>74</v>
      </c>
      <c r="E8948" s="135">
        <f t="shared" si="62"/>
        <v>5</v>
      </c>
      <c r="F8948" s="134" t="s">
        <v>3587</v>
      </c>
      <c r="G8948" s="63" t="str">
        <f>VLOOKUP(C8948, 'Class Def. - General Data'!$C$20:$C$1000,1,false)</f>
        <v>ZSI1_ELEC_HARDWARE</v>
      </c>
      <c r="H8948" s="63" t="str">
        <f>IFERROR(__xludf.DUMMYFUNCTION("VLOOKUP(F8948, IMPORTRANGE(""https://docs.google.com/spreadsheets/d/1Lhp9OU0JdFf_VYSMzH5lBcEaU4o8teT1piV-SNzShjg/edit?gid=554141278#gid=554141278"", ""'Char Def. - Attributes'!C20:C2242""), 1,false)"),"PLANT_BUY")</f>
        <v>PLANT_BUY</v>
      </c>
      <c r="I8948" s="136"/>
      <c r="R8948" s="63" t="str">
        <f t="shared" si="60"/>
        <v>ZSI1_ELEC_HARDWAREPLANT_BUY</v>
      </c>
    </row>
    <row r="8949" ht="15.75" customHeight="1">
      <c r="B8949" s="63">
        <f t="shared" si="1"/>
        <v>18</v>
      </c>
      <c r="C8949" s="135" t="s">
        <v>515</v>
      </c>
      <c r="D8949" s="161" t="s">
        <v>74</v>
      </c>
      <c r="E8949" s="135">
        <f t="shared" si="62"/>
        <v>6</v>
      </c>
      <c r="F8949" s="134" t="s">
        <v>4450</v>
      </c>
      <c r="G8949" s="63" t="str">
        <f>VLOOKUP(C8949, 'Class Def. - General Data'!$C$20:$C$1000,1,false)</f>
        <v>ZSI1_ELEC_HARDWARE</v>
      </c>
      <c r="H8949" s="63" t="str">
        <f>IFERROR(__xludf.DUMMYFUNCTION("VLOOKUP(F8949, IMPORTRANGE(""https://docs.google.com/spreadsheets/d/1Lhp9OU0JdFf_VYSMzH5lBcEaU4o8teT1piV-SNzShjg/edit?gid=554141278#gid=554141278"", ""'Char Def. - Attributes'!C20:C2242""), 1,false)"),"BASE_UOM_ELEC_HARDWARE")</f>
        <v>BASE_UOM_ELEC_HARDWARE</v>
      </c>
      <c r="I8949" s="136"/>
      <c r="R8949" s="63" t="str">
        <f t="shared" si="60"/>
        <v>ZSI1_ELEC_HARDWAREBASE_UOM_ELEC_HARDWARE</v>
      </c>
    </row>
    <row r="8950" ht="15.75" customHeight="1">
      <c r="B8950" s="63">
        <f t="shared" si="1"/>
        <v>18</v>
      </c>
      <c r="C8950" s="135" t="s">
        <v>515</v>
      </c>
      <c r="D8950" s="161" t="s">
        <v>74</v>
      </c>
      <c r="E8950" s="135">
        <f t="shared" si="62"/>
        <v>7</v>
      </c>
      <c r="F8950" s="134" t="s">
        <v>4451</v>
      </c>
      <c r="G8950" s="63" t="str">
        <f>VLOOKUP(C8950, 'Class Def. - General Data'!$C$20:$C$1000,1,false)</f>
        <v>ZSI1_ELEC_HARDWARE</v>
      </c>
      <c r="H8950" s="63" t="str">
        <f>IFERROR(__xludf.DUMMYFUNCTION("VLOOKUP(F8950, IMPORTRANGE(""https://docs.google.com/spreadsheets/d/1Lhp9OU0JdFf_VYSMzH5lBcEaU4o8teT1piV-SNzShjg/edit?gid=554141278#gid=554141278"", ""'Char Def. - Attributes'!C20:C2242""), 1,false)"),"ORDER_UNIT_ELEC_HARDWARE")</f>
        <v>ORDER_UNIT_ELEC_HARDWARE</v>
      </c>
      <c r="I8950" s="136"/>
      <c r="R8950" s="63" t="str">
        <f t="shared" si="60"/>
        <v>ZSI1_ELEC_HARDWAREORDER_UNIT_ELEC_HARDWARE</v>
      </c>
    </row>
    <row r="8951" ht="15.75" customHeight="1">
      <c r="B8951" s="63">
        <f t="shared" si="1"/>
        <v>18</v>
      </c>
      <c r="C8951" s="135" t="s">
        <v>515</v>
      </c>
      <c r="D8951" s="161" t="s">
        <v>74</v>
      </c>
      <c r="E8951" s="135">
        <f t="shared" si="62"/>
        <v>8</v>
      </c>
      <c r="F8951" s="134" t="s">
        <v>4056</v>
      </c>
      <c r="G8951" s="63" t="str">
        <f>VLOOKUP(C8951, 'Class Def. - General Data'!$C$20:$C$1000,1,false)</f>
        <v>ZSI1_ELEC_HARDWARE</v>
      </c>
      <c r="H8951" s="63" t="str">
        <f>IFERROR(__xludf.DUMMYFUNCTION("VLOOKUP(F8951, IMPORTRANGE(""https://docs.google.com/spreadsheets/d/1Lhp9OU0JdFf_VYSMzH5lBcEaU4o8teT1piV-SNzShjg/edit?gid=554141278#gid=554141278"", ""'Char Def. - Attributes'!C20:C2242""), 1,false)"),"GROSS_WEIGHT_OPT")</f>
        <v>GROSS_WEIGHT_OPT</v>
      </c>
      <c r="I8951" s="136"/>
      <c r="R8951" s="63" t="str">
        <f t="shared" si="60"/>
        <v>ZSI1_ELEC_HARDWAREGROSS_WEIGHT_OPT</v>
      </c>
    </row>
    <row r="8952" ht="15.75" customHeight="1">
      <c r="B8952" s="63">
        <f t="shared" si="1"/>
        <v>18</v>
      </c>
      <c r="C8952" s="135" t="s">
        <v>515</v>
      </c>
      <c r="D8952" s="161" t="s">
        <v>74</v>
      </c>
      <c r="E8952" s="135">
        <f t="shared" si="62"/>
        <v>9</v>
      </c>
      <c r="F8952" s="134" t="s">
        <v>4057</v>
      </c>
      <c r="G8952" s="63" t="str">
        <f>VLOOKUP(C8952, 'Class Def. - General Data'!$C$20:$C$1000,1,false)</f>
        <v>ZSI1_ELEC_HARDWARE</v>
      </c>
      <c r="H8952" s="63" t="str">
        <f>IFERROR(__xludf.DUMMYFUNCTION("VLOOKUP(F8952, IMPORTRANGE(""https://docs.google.com/spreadsheets/d/1Lhp9OU0JdFf_VYSMzH5lBcEaU4o8teT1piV-SNzShjg/edit?gid=554141278#gid=554141278"", ""'Char Def. - Attributes'!C20:C2242""), 1,false)"),"NET_WEIGHT_OPT")</f>
        <v>NET_WEIGHT_OPT</v>
      </c>
      <c r="I8952" s="136"/>
      <c r="R8952" s="63" t="str">
        <f t="shared" si="60"/>
        <v>ZSI1_ELEC_HARDWARENET_WEIGHT_OPT</v>
      </c>
    </row>
    <row r="8953" ht="15.75" customHeight="1">
      <c r="B8953" s="63">
        <f t="shared" si="1"/>
        <v>18</v>
      </c>
      <c r="C8953" s="135" t="s">
        <v>515</v>
      </c>
      <c r="D8953" s="161" t="s">
        <v>74</v>
      </c>
      <c r="E8953" s="135">
        <f t="shared" si="62"/>
        <v>10</v>
      </c>
      <c r="F8953" s="134" t="s">
        <v>4058</v>
      </c>
      <c r="G8953" s="63" t="str">
        <f>VLOOKUP(C8953, 'Class Def. - General Data'!$C$20:$C$1000,1,false)</f>
        <v>ZSI1_ELEC_HARDWARE</v>
      </c>
      <c r="H8953" s="63" t="str">
        <f>IFERROR(__xludf.DUMMYFUNCTION("VLOOKUP(F8953, IMPORTRANGE(""https://docs.google.com/spreadsheets/d/1Lhp9OU0JdFf_VYSMzH5lBcEaU4o8teT1piV-SNzShjg/edit?gid=554141278#gid=554141278"", ""'Char Def. - Attributes'!C20:C2242""), 1,false)"),"WEIGHT_UNIT_SI")</f>
        <v>WEIGHT_UNIT_SI</v>
      </c>
      <c r="I8953" s="136"/>
      <c r="R8953" s="63" t="str">
        <f t="shared" si="60"/>
        <v>ZSI1_ELEC_HARDWAREWEIGHT_UNIT_SI</v>
      </c>
    </row>
    <row r="8954" ht="15.75" customHeight="1">
      <c r="B8954" s="63">
        <f t="shared" si="1"/>
        <v>18</v>
      </c>
      <c r="C8954" s="135" t="s">
        <v>515</v>
      </c>
      <c r="D8954" s="161" t="s">
        <v>74</v>
      </c>
      <c r="E8954" s="135">
        <f t="shared" si="62"/>
        <v>11</v>
      </c>
      <c r="F8954" s="134" t="s">
        <v>3877</v>
      </c>
      <c r="G8954" s="63" t="str">
        <f>VLOOKUP(C8954, 'Class Def. - General Data'!$C$20:$C$1000,1,false)</f>
        <v>ZSI1_ELEC_HARDWARE</v>
      </c>
      <c r="H8954" s="63" t="str">
        <f>IFERROR(__xludf.DUMMYFUNCTION("VLOOKUP(F8954, IMPORTRANGE(""https://docs.google.com/spreadsheets/d/1Lhp9OU0JdFf_VYSMzH5lBcEaU4o8teT1piV-SNzShjg/edit?gid=554141278#gid=554141278"", ""'Char Def. - Attributes'!C20:C2242""), 1,false)"),"VOLUME_OPT")</f>
        <v>VOLUME_OPT</v>
      </c>
      <c r="I8954" s="136"/>
      <c r="R8954" s="63" t="str">
        <f t="shared" si="60"/>
        <v>ZSI1_ELEC_HARDWAREVOLUME_OPT</v>
      </c>
    </row>
    <row r="8955" ht="15.75" customHeight="1">
      <c r="B8955" s="63">
        <f t="shared" si="1"/>
        <v>18</v>
      </c>
      <c r="C8955" s="135" t="s">
        <v>515</v>
      </c>
      <c r="D8955" s="161" t="s">
        <v>74</v>
      </c>
      <c r="E8955" s="135">
        <f t="shared" si="62"/>
        <v>12</v>
      </c>
      <c r="F8955" s="134" t="s">
        <v>4059</v>
      </c>
      <c r="G8955" s="63" t="str">
        <f>VLOOKUP(C8955, 'Class Def. - General Data'!$C$20:$C$1000,1,false)</f>
        <v>ZSI1_ELEC_HARDWARE</v>
      </c>
      <c r="H8955" s="63" t="str">
        <f>IFERROR(__xludf.DUMMYFUNCTION("VLOOKUP(F8955, IMPORTRANGE(""https://docs.google.com/spreadsheets/d/1Lhp9OU0JdFf_VYSMzH5lBcEaU4o8teT1piV-SNzShjg/edit?gid=554141278#gid=554141278"", ""'Char Def. - Attributes'!C20:C2242""), 1,false)"),"VOLUME_UNIT_SI")</f>
        <v>VOLUME_UNIT_SI</v>
      </c>
      <c r="I8955" s="136"/>
      <c r="R8955" s="63" t="str">
        <f t="shared" si="60"/>
        <v>ZSI1_ELEC_HARDWAREVOLUME_UNIT_SI</v>
      </c>
    </row>
    <row r="8956" ht="15.75" customHeight="1">
      <c r="B8956" s="63">
        <f t="shared" si="1"/>
        <v>18</v>
      </c>
      <c r="C8956" s="135" t="s">
        <v>515</v>
      </c>
      <c r="D8956" s="161" t="s">
        <v>74</v>
      </c>
      <c r="E8956" s="135">
        <f t="shared" si="62"/>
        <v>13</v>
      </c>
      <c r="F8956" s="134" t="s">
        <v>3804</v>
      </c>
      <c r="G8956" s="63" t="str">
        <f>VLOOKUP(C8956, 'Class Def. - General Data'!$C$20:$C$1000,1,false)</f>
        <v>ZSI1_ELEC_HARDWARE</v>
      </c>
      <c r="H8956" s="63" t="str">
        <f>IFERROR(__xludf.DUMMYFUNCTION("VLOOKUP(F8956, IMPORTRANGE(""https://docs.google.com/spreadsheets/d/1Lhp9OU0JdFf_VYSMzH5lBcEaU4o8teT1piV-SNzShjg/edit?gid=554141278#gid=554141278"", ""'Char Def. - Attributes'!C20:C2242""), 1,false)"),"ALT_UOM1_SIPI")</f>
        <v>ALT_UOM1_SIPI</v>
      </c>
      <c r="I8956" s="136"/>
      <c r="R8956" s="63" t="str">
        <f t="shared" si="60"/>
        <v>ZSI1_ELEC_HARDWAREALT_UOM1_SIPI</v>
      </c>
    </row>
    <row r="8957" ht="15.75" customHeight="1">
      <c r="B8957" s="63">
        <f t="shared" si="1"/>
        <v>18</v>
      </c>
      <c r="C8957" s="135" t="s">
        <v>515</v>
      </c>
      <c r="D8957" s="161" t="s">
        <v>74</v>
      </c>
      <c r="E8957" s="135">
        <f t="shared" si="62"/>
        <v>14</v>
      </c>
      <c r="F8957" s="134" t="s">
        <v>3805</v>
      </c>
      <c r="G8957" s="63" t="str">
        <f>VLOOKUP(C8957, 'Class Def. - General Data'!$C$20:$C$1000,1,false)</f>
        <v>ZSI1_ELEC_HARDWARE</v>
      </c>
      <c r="H8957" s="63" t="str">
        <f>IFERROR(__xludf.DUMMYFUNCTION("VLOOKUP(F8957, IMPORTRANGE(""https://docs.google.com/spreadsheets/d/1Lhp9OU0JdFf_VYSMzH5lBcEaU4o8teT1piV-SNzShjg/edit?gid=554141278#gid=554141278"", ""'Char Def. - Attributes'!C20:C2242""), 1,false)"),"ALT_DENUM_UOM1")</f>
        <v>ALT_DENUM_UOM1</v>
      </c>
      <c r="I8957" s="136"/>
      <c r="R8957" s="63" t="str">
        <f t="shared" si="60"/>
        <v>ZSI1_ELEC_HARDWAREALT_DENUM_UOM1</v>
      </c>
    </row>
    <row r="8958" ht="15.75" customHeight="1">
      <c r="B8958" s="63">
        <f t="shared" si="1"/>
        <v>18</v>
      </c>
      <c r="C8958" s="135" t="s">
        <v>515</v>
      </c>
      <c r="D8958" s="161" t="s">
        <v>74</v>
      </c>
      <c r="E8958" s="135">
        <f t="shared" si="62"/>
        <v>15</v>
      </c>
      <c r="F8958" s="134" t="s">
        <v>3806</v>
      </c>
      <c r="G8958" s="63" t="str">
        <f>VLOOKUP(C8958, 'Class Def. - General Data'!$C$20:$C$1000,1,false)</f>
        <v>ZSI1_ELEC_HARDWARE</v>
      </c>
      <c r="H8958" s="63" t="str">
        <f>IFERROR(__xludf.DUMMYFUNCTION("VLOOKUP(F8958, IMPORTRANGE(""https://docs.google.com/spreadsheets/d/1Lhp9OU0JdFf_VYSMzH5lBcEaU4o8teT1piV-SNzShjg/edit?gid=554141278#gid=554141278"", ""'Char Def. - Attributes'!C20:C2242""), 1,false)"),"ALT_NUM_UOM1")</f>
        <v>ALT_NUM_UOM1</v>
      </c>
      <c r="I8958" s="136"/>
      <c r="R8958" s="63" t="str">
        <f t="shared" si="60"/>
        <v>ZSI1_ELEC_HARDWAREALT_NUM_UOM1</v>
      </c>
    </row>
    <row r="8959" ht="15.75" customHeight="1">
      <c r="B8959" s="63">
        <f t="shared" si="1"/>
        <v>18</v>
      </c>
      <c r="C8959" s="135" t="s">
        <v>515</v>
      </c>
      <c r="D8959" s="161" t="s">
        <v>74</v>
      </c>
      <c r="E8959" s="135">
        <f t="shared" si="62"/>
        <v>16</v>
      </c>
      <c r="F8959" s="134" t="s">
        <v>3807</v>
      </c>
      <c r="G8959" s="63" t="str">
        <f>VLOOKUP(C8959, 'Class Def. - General Data'!$C$20:$C$1000,1,false)</f>
        <v>ZSI1_ELEC_HARDWARE</v>
      </c>
      <c r="H8959" s="63" t="str">
        <f>IFERROR(__xludf.DUMMYFUNCTION("VLOOKUP(F8959, IMPORTRANGE(""https://docs.google.com/spreadsheets/d/1Lhp9OU0JdFf_VYSMzH5lBcEaU4o8teT1piV-SNzShjg/edit?gid=554141278#gid=554141278"", ""'Char Def. - Attributes'!C20:C2242""), 1,false)"),"ALT_UOM2_SIPI")</f>
        <v>ALT_UOM2_SIPI</v>
      </c>
      <c r="I8959" s="136"/>
      <c r="R8959" s="63" t="str">
        <f t="shared" si="60"/>
        <v>ZSI1_ELEC_HARDWAREALT_UOM2_SIPI</v>
      </c>
    </row>
    <row r="8960" ht="15.75" customHeight="1">
      <c r="B8960" s="63">
        <f t="shared" si="1"/>
        <v>18</v>
      </c>
      <c r="C8960" s="135" t="s">
        <v>515</v>
      </c>
      <c r="D8960" s="161" t="s">
        <v>74</v>
      </c>
      <c r="E8960" s="135">
        <f t="shared" si="62"/>
        <v>17</v>
      </c>
      <c r="F8960" s="134" t="s">
        <v>3808</v>
      </c>
      <c r="G8960" s="63" t="str">
        <f>VLOOKUP(C8960, 'Class Def. - General Data'!$C$20:$C$1000,1,false)</f>
        <v>ZSI1_ELEC_HARDWARE</v>
      </c>
      <c r="H8960" s="63" t="str">
        <f>IFERROR(__xludf.DUMMYFUNCTION("VLOOKUP(F8960, IMPORTRANGE(""https://docs.google.com/spreadsheets/d/1Lhp9OU0JdFf_VYSMzH5lBcEaU4o8teT1piV-SNzShjg/edit?gid=554141278#gid=554141278"", ""'Char Def. - Attributes'!C20:C2242""), 1,false)"),"ALT_DENUM_UOM2")</f>
        <v>ALT_DENUM_UOM2</v>
      </c>
      <c r="I8960" s="136"/>
      <c r="R8960" s="63" t="str">
        <f t="shared" si="60"/>
        <v>ZSI1_ELEC_HARDWAREALT_DENUM_UOM2</v>
      </c>
    </row>
    <row r="8961" ht="15.75" customHeight="1">
      <c r="B8961" s="63">
        <f t="shared" si="1"/>
        <v>18</v>
      </c>
      <c r="C8961" s="135" t="s">
        <v>515</v>
      </c>
      <c r="D8961" s="161" t="s">
        <v>74</v>
      </c>
      <c r="E8961" s="135">
        <f t="shared" si="62"/>
        <v>18</v>
      </c>
      <c r="F8961" s="134" t="s">
        <v>3809</v>
      </c>
      <c r="G8961" s="63" t="str">
        <f>VLOOKUP(C8961, 'Class Def. - General Data'!$C$20:$C$1000,1,false)</f>
        <v>ZSI1_ELEC_HARDWARE</v>
      </c>
      <c r="H8961" s="63" t="str">
        <f>IFERROR(__xludf.DUMMYFUNCTION("VLOOKUP(F8961, IMPORTRANGE(""https://docs.google.com/spreadsheets/d/1Lhp9OU0JdFf_VYSMzH5lBcEaU4o8teT1piV-SNzShjg/edit?gid=554141278#gid=554141278"", ""'Char Def. - Attributes'!C20:C2242""), 1,false)"),"ALT_NUM_UOM2")</f>
        <v>ALT_NUM_UOM2</v>
      </c>
      <c r="I8961" s="136"/>
      <c r="R8961" s="63" t="str">
        <f t="shared" si="60"/>
        <v>ZSI1_ELEC_HARDWAREALT_NUM_UOM2</v>
      </c>
    </row>
    <row r="8962" ht="15.75" customHeight="1">
      <c r="B8962" s="63">
        <f t="shared" si="1"/>
        <v>18</v>
      </c>
      <c r="C8962" s="135" t="s">
        <v>515</v>
      </c>
      <c r="D8962" s="161" t="s">
        <v>74</v>
      </c>
      <c r="E8962" s="135">
        <f t="shared" si="62"/>
        <v>19</v>
      </c>
      <c r="F8962" s="134" t="s">
        <v>3810</v>
      </c>
      <c r="G8962" s="63" t="str">
        <f>VLOOKUP(C8962, 'Class Def. - General Data'!$C$20:$C$1000,1,false)</f>
        <v>ZSI1_ELEC_HARDWARE</v>
      </c>
      <c r="H8962" s="63" t="str">
        <f>IFERROR(__xludf.DUMMYFUNCTION("VLOOKUP(F8962, IMPORTRANGE(""https://docs.google.com/spreadsheets/d/1Lhp9OU0JdFf_VYSMzH5lBcEaU4o8teT1piV-SNzShjg/edit?gid=554141278#gid=554141278"", ""'Char Def. - Attributes'!C20:C2242""), 1,false)"),"ALT_UOM3_SIPI")</f>
        <v>ALT_UOM3_SIPI</v>
      </c>
      <c r="I8962" s="136"/>
      <c r="R8962" s="63" t="str">
        <f t="shared" si="60"/>
        <v>ZSI1_ELEC_HARDWAREALT_UOM3_SIPI</v>
      </c>
    </row>
    <row r="8963" ht="15.75" customHeight="1">
      <c r="B8963" s="63">
        <f t="shared" si="1"/>
        <v>18</v>
      </c>
      <c r="C8963" s="135" t="s">
        <v>515</v>
      </c>
      <c r="D8963" s="161" t="s">
        <v>74</v>
      </c>
      <c r="E8963" s="135">
        <f t="shared" si="62"/>
        <v>20</v>
      </c>
      <c r="F8963" s="134" t="s">
        <v>3811</v>
      </c>
      <c r="G8963" s="63" t="str">
        <f>VLOOKUP(C8963, 'Class Def. - General Data'!$C$20:$C$1000,1,false)</f>
        <v>ZSI1_ELEC_HARDWARE</v>
      </c>
      <c r="H8963" s="63" t="str">
        <f>IFERROR(__xludf.DUMMYFUNCTION("VLOOKUP(F8963, IMPORTRANGE(""https://docs.google.com/spreadsheets/d/1Lhp9OU0JdFf_VYSMzH5lBcEaU4o8teT1piV-SNzShjg/edit?gid=554141278#gid=554141278"", ""'Char Def. - Attributes'!C20:C2242""), 1,false)"),"ALT_DENUM_UOM3")</f>
        <v>ALT_DENUM_UOM3</v>
      </c>
      <c r="I8963" s="136"/>
      <c r="R8963" s="63" t="str">
        <f t="shared" si="60"/>
        <v>ZSI1_ELEC_HARDWAREALT_DENUM_UOM3</v>
      </c>
    </row>
    <row r="8964" ht="15.75" customHeight="1">
      <c r="B8964" s="63">
        <f t="shared" si="1"/>
        <v>18</v>
      </c>
      <c r="C8964" s="135" t="s">
        <v>515</v>
      </c>
      <c r="D8964" s="161" t="s">
        <v>74</v>
      </c>
      <c r="E8964" s="135">
        <f t="shared" si="62"/>
        <v>21</v>
      </c>
      <c r="F8964" s="134" t="s">
        <v>3812</v>
      </c>
      <c r="G8964" s="63" t="str">
        <f>VLOOKUP(C8964, 'Class Def. - General Data'!$C$20:$C$1000,1,false)</f>
        <v>ZSI1_ELEC_HARDWARE</v>
      </c>
      <c r="H8964" s="63" t="str">
        <f>IFERROR(__xludf.DUMMYFUNCTION("VLOOKUP(F8964, IMPORTRANGE(""https://docs.google.com/spreadsheets/d/1Lhp9OU0JdFf_VYSMzH5lBcEaU4o8teT1piV-SNzShjg/edit?gid=554141278#gid=554141278"", ""'Char Def. - Attributes'!C20:C2242""), 1,false)"),"ALT_NUM_UOM3")</f>
        <v>ALT_NUM_UOM3</v>
      </c>
      <c r="I8964" s="136"/>
      <c r="R8964" s="63" t="str">
        <f t="shared" si="60"/>
        <v>ZSI1_ELEC_HARDWAREALT_NUM_UOM3</v>
      </c>
    </row>
    <row r="8965" ht="15.75" customHeight="1">
      <c r="B8965" s="63">
        <f t="shared" si="1"/>
        <v>18</v>
      </c>
      <c r="C8965" s="135" t="s">
        <v>515</v>
      </c>
      <c r="D8965" s="161" t="s">
        <v>74</v>
      </c>
      <c r="E8965" s="135">
        <f t="shared" si="62"/>
        <v>22</v>
      </c>
      <c r="F8965" s="134" t="s">
        <v>3813</v>
      </c>
      <c r="G8965" s="63" t="str">
        <f>VLOOKUP(C8965, 'Class Def. - General Data'!$C$20:$C$1000,1,false)</f>
        <v>ZSI1_ELEC_HARDWARE</v>
      </c>
      <c r="H8965" s="63" t="str">
        <f>IFERROR(__xludf.DUMMYFUNCTION("VLOOKUP(F8965, IMPORTRANGE(""https://docs.google.com/spreadsheets/d/1Lhp9OU0JdFf_VYSMzH5lBcEaU4o8teT1piV-SNzShjg/edit?gid=554141278#gid=554141278"", ""'Char Def. - Attributes'!C20:C2242""), 1,false)"),"ALT_UOM4_SIPI")</f>
        <v>ALT_UOM4_SIPI</v>
      </c>
      <c r="I8965" s="136"/>
      <c r="R8965" s="63" t="str">
        <f t="shared" si="60"/>
        <v>ZSI1_ELEC_HARDWAREALT_UOM4_SIPI</v>
      </c>
    </row>
    <row r="8966" ht="15.75" customHeight="1">
      <c r="B8966" s="63">
        <f t="shared" si="1"/>
        <v>18</v>
      </c>
      <c r="C8966" s="135" t="s">
        <v>515</v>
      </c>
      <c r="D8966" s="161" t="s">
        <v>74</v>
      </c>
      <c r="E8966" s="135">
        <f t="shared" si="62"/>
        <v>23</v>
      </c>
      <c r="F8966" s="134" t="s">
        <v>3814</v>
      </c>
      <c r="G8966" s="63" t="str">
        <f>VLOOKUP(C8966, 'Class Def. - General Data'!$C$20:$C$1000,1,false)</f>
        <v>ZSI1_ELEC_HARDWARE</v>
      </c>
      <c r="H8966" s="63" t="str">
        <f>IFERROR(__xludf.DUMMYFUNCTION("VLOOKUP(F8966, IMPORTRANGE(""https://docs.google.com/spreadsheets/d/1Lhp9OU0JdFf_VYSMzH5lBcEaU4o8teT1piV-SNzShjg/edit?gid=554141278#gid=554141278"", ""'Char Def. - Attributes'!C20:C2242""), 1,false)"),"ALT_DENUM_UOM4")</f>
        <v>ALT_DENUM_UOM4</v>
      </c>
      <c r="I8966" s="136"/>
      <c r="R8966" s="63" t="str">
        <f t="shared" si="60"/>
        <v>ZSI1_ELEC_HARDWAREALT_DENUM_UOM4</v>
      </c>
    </row>
    <row r="8967" ht="15.75" customHeight="1">
      <c r="B8967" s="63">
        <f t="shared" si="1"/>
        <v>18</v>
      </c>
      <c r="C8967" s="135" t="s">
        <v>515</v>
      </c>
      <c r="D8967" s="161" t="s">
        <v>74</v>
      </c>
      <c r="E8967" s="135">
        <f t="shared" si="62"/>
        <v>24</v>
      </c>
      <c r="F8967" s="134" t="s">
        <v>3815</v>
      </c>
      <c r="G8967" s="63" t="str">
        <f>VLOOKUP(C8967, 'Class Def. - General Data'!$C$20:$C$1000,1,false)</f>
        <v>ZSI1_ELEC_HARDWARE</v>
      </c>
      <c r="H8967" s="63" t="str">
        <f>IFERROR(__xludf.DUMMYFUNCTION("VLOOKUP(F8967, IMPORTRANGE(""https://docs.google.com/spreadsheets/d/1Lhp9OU0JdFf_VYSMzH5lBcEaU4o8teT1piV-SNzShjg/edit?gid=554141278#gid=554141278"", ""'Char Def. - Attributes'!C20:C2242""), 1,false)"),"ALT_NUM_UOM4")</f>
        <v>ALT_NUM_UOM4</v>
      </c>
      <c r="I8967" s="136"/>
      <c r="R8967" s="63" t="str">
        <f t="shared" si="60"/>
        <v>ZSI1_ELEC_HARDWAREALT_NUM_UOM4</v>
      </c>
    </row>
    <row r="8968" ht="15.75" customHeight="1">
      <c r="B8968" s="63">
        <f t="shared" si="1"/>
        <v>18</v>
      </c>
      <c r="C8968" s="135" t="s">
        <v>515</v>
      </c>
      <c r="D8968" s="161" t="s">
        <v>74</v>
      </c>
      <c r="E8968" s="135">
        <f t="shared" si="62"/>
        <v>25</v>
      </c>
      <c r="F8968" s="134" t="s">
        <v>3816</v>
      </c>
      <c r="G8968" s="63" t="str">
        <f>VLOOKUP(C8968, 'Class Def. - General Data'!$C$20:$C$1000,1,false)</f>
        <v>ZSI1_ELEC_HARDWARE</v>
      </c>
      <c r="H8968" s="63" t="str">
        <f>IFERROR(__xludf.DUMMYFUNCTION("VLOOKUP(F8968, IMPORTRANGE(""https://docs.google.com/spreadsheets/d/1Lhp9OU0JdFf_VYSMzH5lBcEaU4o8teT1piV-SNzShjg/edit?gid=554141278#gid=554141278"", ""'Char Def. - Attributes'!C20:C2242""), 1,false)"),"ALT_UOM5_SIPI")</f>
        <v>ALT_UOM5_SIPI</v>
      </c>
      <c r="I8968" s="136"/>
      <c r="R8968" s="63" t="str">
        <f t="shared" si="60"/>
        <v>ZSI1_ELEC_HARDWAREALT_UOM5_SIPI</v>
      </c>
    </row>
    <row r="8969" ht="15.75" customHeight="1">
      <c r="B8969" s="63">
        <f t="shared" si="1"/>
        <v>18</v>
      </c>
      <c r="C8969" s="135" t="s">
        <v>515</v>
      </c>
      <c r="D8969" s="161" t="s">
        <v>74</v>
      </c>
      <c r="E8969" s="135">
        <f t="shared" si="62"/>
        <v>26</v>
      </c>
      <c r="F8969" s="134" t="s">
        <v>3817</v>
      </c>
      <c r="G8969" s="63" t="str">
        <f>VLOOKUP(C8969, 'Class Def. - General Data'!$C$20:$C$1000,1,false)</f>
        <v>ZSI1_ELEC_HARDWARE</v>
      </c>
      <c r="H8969" s="63" t="str">
        <f>IFERROR(__xludf.DUMMYFUNCTION("VLOOKUP(F8969, IMPORTRANGE(""https://docs.google.com/spreadsheets/d/1Lhp9OU0JdFf_VYSMzH5lBcEaU4o8teT1piV-SNzShjg/edit?gid=554141278#gid=554141278"", ""'Char Def. - Attributes'!C20:C2242""), 1,false)"),"ALT_DENUM_UOM5")</f>
        <v>ALT_DENUM_UOM5</v>
      </c>
      <c r="I8969" s="136"/>
      <c r="R8969" s="63" t="str">
        <f t="shared" si="60"/>
        <v>ZSI1_ELEC_HARDWAREALT_DENUM_UOM5</v>
      </c>
    </row>
    <row r="8970" ht="15.75" customHeight="1">
      <c r="B8970" s="63">
        <f t="shared" si="1"/>
        <v>18</v>
      </c>
      <c r="C8970" s="135" t="s">
        <v>515</v>
      </c>
      <c r="D8970" s="161" t="s">
        <v>74</v>
      </c>
      <c r="E8970" s="135">
        <f t="shared" si="62"/>
        <v>27</v>
      </c>
      <c r="F8970" s="134" t="s">
        <v>3818</v>
      </c>
      <c r="G8970" s="63" t="str">
        <f>VLOOKUP(C8970, 'Class Def. - General Data'!$C$20:$C$1000,1,false)</f>
        <v>ZSI1_ELEC_HARDWARE</v>
      </c>
      <c r="H8970" s="63" t="str">
        <f>IFERROR(__xludf.DUMMYFUNCTION("VLOOKUP(F8970, IMPORTRANGE(""https://docs.google.com/spreadsheets/d/1Lhp9OU0JdFf_VYSMzH5lBcEaU4o8teT1piV-SNzShjg/edit?gid=554141278#gid=554141278"", ""'Char Def. - Attributes'!C20:C2242""), 1,false)"),"ALT_NUM_UOM5")</f>
        <v>ALT_NUM_UOM5</v>
      </c>
      <c r="I8970" s="136"/>
      <c r="R8970" s="63" t="str">
        <f t="shared" si="60"/>
        <v>ZSI1_ELEC_HARDWAREALT_NUM_UOM5</v>
      </c>
    </row>
    <row r="8971" ht="15.75" customHeight="1">
      <c r="B8971" s="63">
        <f t="shared" si="1"/>
        <v>13</v>
      </c>
      <c r="C8971" s="135" t="s">
        <v>495</v>
      </c>
      <c r="D8971" s="161" t="s">
        <v>74</v>
      </c>
      <c r="E8971" s="135">
        <f t="shared" si="62"/>
        <v>1</v>
      </c>
      <c r="F8971" s="134" t="s">
        <v>4452</v>
      </c>
      <c r="G8971" s="63" t="str">
        <f>VLOOKUP(C8971, 'Class Def. - General Data'!$C$20:$C$1000,1,false)</f>
        <v>ZSI1_ELEC_LUG</v>
      </c>
      <c r="H8971" s="63" t="str">
        <f>IFERROR(__xludf.DUMMYFUNCTION("VLOOKUP(F8971, IMPORTRANGE(""https://docs.google.com/spreadsheets/d/1Lhp9OU0JdFf_VYSMzH5lBcEaU4o8teT1piV-SNzShjg/edit?gid=554141278#gid=554141278"", ""'Char Def. - Attributes'!C20:C2242""), 1,false)"),"ITEM_NAME_ELEC_LUG")</f>
        <v>ITEM_NAME_ELEC_LUG</v>
      </c>
      <c r="I8971" s="136"/>
      <c r="R8971" s="63" t="str">
        <f t="shared" si="60"/>
        <v>ZSI1_ELEC_LUGITEM_NAME_ELEC_LUG</v>
      </c>
    </row>
    <row r="8972" ht="15.75" customHeight="1">
      <c r="B8972" s="63">
        <f t="shared" si="1"/>
        <v>13</v>
      </c>
      <c r="C8972" s="135" t="s">
        <v>495</v>
      </c>
      <c r="D8972" s="161" t="s">
        <v>74</v>
      </c>
      <c r="E8972" s="135">
        <f t="shared" si="62"/>
        <v>2</v>
      </c>
      <c r="F8972" s="134" t="s">
        <v>4453</v>
      </c>
      <c r="G8972" s="63" t="str">
        <f>VLOOKUP(C8972, 'Class Def. - General Data'!$C$20:$C$1000,1,false)</f>
        <v>ZSI1_ELEC_LUG</v>
      </c>
      <c r="H8972" s="63" t="str">
        <f>IFERROR(__xludf.DUMMYFUNCTION("VLOOKUP(F8972, IMPORTRANGE(""https://docs.google.com/spreadsheets/d/1Lhp9OU0JdFf_VYSMzH5lBcEaU4o8teT1piV-SNzShjg/edit?gid=554141278#gid=554141278"", ""'Char Def. - Attributes'!C20:C2242""), 1,false)"),"DESIGN_ELEC_LUG")</f>
        <v>DESIGN_ELEC_LUG</v>
      </c>
      <c r="I8972" s="136"/>
      <c r="R8972" s="63" t="str">
        <f t="shared" si="60"/>
        <v>ZSI1_ELEC_LUGDESIGN_ELEC_LUG</v>
      </c>
    </row>
    <row r="8973" ht="15.75" customHeight="1">
      <c r="B8973" s="63">
        <f t="shared" si="1"/>
        <v>13</v>
      </c>
      <c r="C8973" s="135" t="s">
        <v>495</v>
      </c>
      <c r="D8973" s="161" t="s">
        <v>74</v>
      </c>
      <c r="E8973" s="135">
        <f t="shared" si="62"/>
        <v>3</v>
      </c>
      <c r="F8973" s="134" t="s">
        <v>4454</v>
      </c>
      <c r="G8973" s="63" t="str">
        <f>VLOOKUP(C8973, 'Class Def. - General Data'!$C$20:$C$1000,1,false)</f>
        <v>ZSI1_ELEC_LUG</v>
      </c>
      <c r="H8973" s="63" t="str">
        <f>IFERROR(__xludf.DUMMYFUNCTION("VLOOKUP(F8973, IMPORTRANGE(""https://docs.google.com/spreadsheets/d/1Lhp9OU0JdFf_VYSMzH5lBcEaU4o8teT1piV-SNzShjg/edit?gid=554141278#gid=554141278"", ""'Char Def. - Attributes'!C20:C2242""), 1,false)"),"CABLE_SIZE_MM2_ELEC_LUG")</f>
        <v>CABLE_SIZE_MM2_ELEC_LUG</v>
      </c>
      <c r="I8973" s="136"/>
      <c r="R8973" s="63" t="str">
        <f t="shared" si="60"/>
        <v>ZSI1_ELEC_LUGCABLE_SIZE_MM2_ELEC_LUG</v>
      </c>
    </row>
    <row r="8974" ht="15.75" customHeight="1">
      <c r="B8974" s="63">
        <f t="shared" si="1"/>
        <v>13</v>
      </c>
      <c r="C8974" s="135" t="s">
        <v>495</v>
      </c>
      <c r="D8974" s="161" t="s">
        <v>74</v>
      </c>
      <c r="E8974" s="135">
        <f t="shared" si="62"/>
        <v>4</v>
      </c>
      <c r="F8974" s="134" t="s">
        <v>4455</v>
      </c>
      <c r="G8974" s="63" t="str">
        <f>VLOOKUP(C8974, 'Class Def. - General Data'!$C$20:$C$1000,1,false)</f>
        <v>ZSI1_ELEC_LUG</v>
      </c>
      <c r="H8974" s="63" t="str">
        <f>IFERROR(__xludf.DUMMYFUNCTION("VLOOKUP(F8974, IMPORTRANGE(""https://docs.google.com/spreadsheets/d/1Lhp9OU0JdFf_VYSMzH5lBcEaU4o8teT1piV-SNzShjg/edit?gid=554141278#gid=554141278"", ""'Char Def. - Attributes'!C20:C2242""), 1,false)"),"STUD_SIZE_MM_ELEC_LUG")</f>
        <v>STUD_SIZE_MM_ELEC_LUG</v>
      </c>
      <c r="I8974" s="136"/>
      <c r="R8974" s="63" t="str">
        <f t="shared" si="60"/>
        <v>ZSI1_ELEC_LUGSTUD_SIZE_MM_ELEC_LUG</v>
      </c>
    </row>
    <row r="8975" ht="15.75" customHeight="1">
      <c r="B8975" s="63">
        <f t="shared" si="1"/>
        <v>13</v>
      </c>
      <c r="C8975" s="135" t="s">
        <v>495</v>
      </c>
      <c r="D8975" s="161" t="s">
        <v>74</v>
      </c>
      <c r="E8975" s="135">
        <f t="shared" si="62"/>
        <v>5</v>
      </c>
      <c r="F8975" s="134" t="s">
        <v>4456</v>
      </c>
      <c r="G8975" s="63" t="str">
        <f>VLOOKUP(C8975, 'Class Def. - General Data'!$C$20:$C$1000,1,false)</f>
        <v>ZSI1_ELEC_LUG</v>
      </c>
      <c r="H8975" s="63" t="str">
        <f>IFERROR(__xludf.DUMMYFUNCTION("VLOOKUP(F8975, IMPORTRANGE(""https://docs.google.com/spreadsheets/d/1Lhp9OU0JdFf_VYSMzH5lBcEaU4o8teT1piV-SNzShjg/edit?gid=554141278#gid=554141278"", ""'Char Def. - Attributes'!C20:C2242""), 1,false)"),"PIN_DIAMETER_MM_ELEC_LUG")</f>
        <v>PIN_DIAMETER_MM_ELEC_LUG</v>
      </c>
      <c r="I8975" s="136"/>
      <c r="R8975" s="63" t="str">
        <f t="shared" si="60"/>
        <v>ZSI1_ELEC_LUGPIN_DIAMETER_MM_ELEC_LUG</v>
      </c>
    </row>
    <row r="8976" ht="15.75" customHeight="1">
      <c r="B8976" s="63">
        <f t="shared" si="1"/>
        <v>13</v>
      </c>
      <c r="C8976" s="135" t="s">
        <v>495</v>
      </c>
      <c r="D8976" s="161" t="s">
        <v>74</v>
      </c>
      <c r="E8976" s="135">
        <f t="shared" si="62"/>
        <v>6</v>
      </c>
      <c r="F8976" s="134" t="s">
        <v>4457</v>
      </c>
      <c r="G8976" s="63" t="str">
        <f>VLOOKUP(C8976, 'Class Def. - General Data'!$C$20:$C$1000,1,false)</f>
        <v>ZSI1_ELEC_LUG</v>
      </c>
      <c r="H8976" s="63" t="str">
        <f>IFERROR(__xludf.DUMMYFUNCTION("VLOOKUP(F8976, IMPORTRANGE(""https://docs.google.com/spreadsheets/d/1Lhp9OU0JdFf_VYSMzH5lBcEaU4o8teT1piV-SNzShjg/edit?gid=554141278#gid=554141278"", ""'Char Def. - Attributes'!C20:C2242""), 1,false)"),"NO_OF_STUD_HOLE_ELEC_LUG")</f>
        <v>NO_OF_STUD_HOLE_ELEC_LUG</v>
      </c>
      <c r="I8976" s="136"/>
      <c r="R8976" s="63" t="str">
        <f t="shared" si="60"/>
        <v>ZSI1_ELEC_LUGNO_OF_STUD_HOLE_ELEC_LUG</v>
      </c>
    </row>
    <row r="8977" ht="15.75" customHeight="1">
      <c r="B8977" s="63">
        <f t="shared" si="1"/>
        <v>13</v>
      </c>
      <c r="C8977" s="135" t="s">
        <v>495</v>
      </c>
      <c r="D8977" s="161" t="s">
        <v>74</v>
      </c>
      <c r="E8977" s="135">
        <f t="shared" si="62"/>
        <v>7</v>
      </c>
      <c r="F8977" s="134" t="s">
        <v>4458</v>
      </c>
      <c r="G8977" s="63" t="str">
        <f>VLOOKUP(C8977, 'Class Def. - General Data'!$C$20:$C$1000,1,false)</f>
        <v>ZSI1_ELEC_LUG</v>
      </c>
      <c r="H8977" s="63" t="str">
        <f>IFERROR(__xludf.DUMMYFUNCTION("VLOOKUP(F8977, IMPORTRANGE(""https://docs.google.com/spreadsheets/d/1Lhp9OU0JdFf_VYSMzH5lBcEaU4o8teT1piV-SNzShjg/edit?gid=554141278#gid=554141278"", ""'Char Def. - Attributes'!C20:C2242""), 1,false)"),"MATERIAL_ELEC_LUG")</f>
        <v>MATERIAL_ELEC_LUG</v>
      </c>
      <c r="I8977" s="136"/>
      <c r="R8977" s="63" t="str">
        <f t="shared" si="60"/>
        <v>ZSI1_ELEC_LUGMATERIAL_ELEC_LUG</v>
      </c>
    </row>
    <row r="8978" ht="15.75" customHeight="1">
      <c r="B8978" s="63">
        <f t="shared" si="1"/>
        <v>13</v>
      </c>
      <c r="C8978" s="135" t="s">
        <v>495</v>
      </c>
      <c r="D8978" s="161" t="s">
        <v>74</v>
      </c>
      <c r="E8978" s="135">
        <f t="shared" si="62"/>
        <v>8</v>
      </c>
      <c r="F8978" s="134" t="s">
        <v>4459</v>
      </c>
      <c r="G8978" s="63" t="str">
        <f>VLOOKUP(C8978, 'Class Def. - General Data'!$C$20:$C$1000,1,false)</f>
        <v>ZSI1_ELEC_LUG</v>
      </c>
      <c r="H8978" s="63" t="str">
        <f>IFERROR(__xludf.DUMMYFUNCTION("VLOOKUP(F8978, IMPORTRANGE(""https://docs.google.com/spreadsheets/d/1Lhp9OU0JdFf_VYSMzH5lBcEaU4o8teT1piV-SNzShjg/edit?gid=554141278#gid=554141278"", ""'Char Def. - Attributes'!C20:C2242""), 1,false)"),"INSULATION_ELEC_LUG")</f>
        <v>INSULATION_ELEC_LUG</v>
      </c>
      <c r="I8978" s="136"/>
      <c r="R8978" s="63" t="str">
        <f t="shared" si="60"/>
        <v>ZSI1_ELEC_LUGINSULATION_ELEC_LUG</v>
      </c>
    </row>
    <row r="8979" ht="15.75" customHeight="1">
      <c r="B8979" s="63">
        <f t="shared" si="1"/>
        <v>13</v>
      </c>
      <c r="C8979" s="135" t="s">
        <v>495</v>
      </c>
      <c r="D8979" s="161" t="s">
        <v>74</v>
      </c>
      <c r="E8979" s="135">
        <f t="shared" si="62"/>
        <v>9</v>
      </c>
      <c r="F8979" s="134" t="s">
        <v>4053</v>
      </c>
      <c r="G8979" s="63" t="str">
        <f>VLOOKUP(C8979, 'Class Def. - General Data'!$C$20:$C$1000,1,false)</f>
        <v>ZSI1_ELEC_LUG</v>
      </c>
      <c r="H8979" s="63" t="str">
        <f>IFERROR(__xludf.DUMMYFUNCTION("VLOOKUP(F8979, IMPORTRANGE(""https://docs.google.com/spreadsheets/d/1Lhp9OU0JdFf_VYSMzH5lBcEaU4o8teT1piV-SNzShjg/edit?gid=554141278#gid=554141278"", ""'Char Def. - Attributes'!C20:C2242""), 1,false)"),"MAINTENANCE_ORDER_TYPE")</f>
        <v>MAINTENANCE_ORDER_TYPE</v>
      </c>
      <c r="I8979" s="136"/>
      <c r="R8979" s="63" t="str">
        <f t="shared" si="60"/>
        <v>ZSI1_ELEC_LUGMAINTENANCE_ORDER_TYPE</v>
      </c>
    </row>
    <row r="8980" ht="15.75" customHeight="1">
      <c r="B8980" s="63">
        <f t="shared" si="1"/>
        <v>13</v>
      </c>
      <c r="C8980" s="135" t="s">
        <v>495</v>
      </c>
      <c r="D8980" s="161" t="s">
        <v>74</v>
      </c>
      <c r="E8980" s="135">
        <f t="shared" si="62"/>
        <v>10</v>
      </c>
      <c r="F8980" s="134" t="s">
        <v>3585</v>
      </c>
      <c r="G8980" s="63" t="str">
        <f>VLOOKUP(C8980, 'Class Def. - General Data'!$C$20:$C$1000,1,false)</f>
        <v>ZSI1_ELEC_LUG</v>
      </c>
      <c r="H8980" s="63" t="str">
        <f>IFERROR(__xludf.DUMMYFUNCTION("VLOOKUP(F8980, IMPORTRANGE(""https://docs.google.com/spreadsheets/d/1Lhp9OU0JdFf_VYSMzH5lBcEaU4o8teT1piV-SNzShjg/edit?gid=554141278#gid=554141278"", ""'Char Def. - Attributes'!C20:C2242""), 1,false)"),"HS_CODE")</f>
        <v>HS_CODE</v>
      </c>
      <c r="I8980" s="136"/>
      <c r="R8980" s="63" t="str">
        <f t="shared" si="60"/>
        <v>ZSI1_ELEC_LUGHS_CODE</v>
      </c>
    </row>
    <row r="8981" ht="15.75" customHeight="1">
      <c r="B8981" s="63">
        <f t="shared" si="1"/>
        <v>13</v>
      </c>
      <c r="C8981" s="135" t="s">
        <v>495</v>
      </c>
      <c r="D8981" s="161" t="s">
        <v>74</v>
      </c>
      <c r="E8981" s="135">
        <f t="shared" si="62"/>
        <v>11</v>
      </c>
      <c r="F8981" s="134" t="s">
        <v>3587</v>
      </c>
      <c r="G8981" s="63" t="str">
        <f>VLOOKUP(C8981, 'Class Def. - General Data'!$C$20:$C$1000,1,false)</f>
        <v>ZSI1_ELEC_LUG</v>
      </c>
      <c r="H8981" s="63" t="str">
        <f>IFERROR(__xludf.DUMMYFUNCTION("VLOOKUP(F8981, IMPORTRANGE(""https://docs.google.com/spreadsheets/d/1Lhp9OU0JdFf_VYSMzH5lBcEaU4o8teT1piV-SNzShjg/edit?gid=554141278#gid=554141278"", ""'Char Def. - Attributes'!C20:C2242""), 1,false)"),"PLANT_BUY")</f>
        <v>PLANT_BUY</v>
      </c>
      <c r="I8981" s="136"/>
      <c r="R8981" s="63" t="str">
        <f t="shared" si="60"/>
        <v>ZSI1_ELEC_LUGPLANT_BUY</v>
      </c>
    </row>
    <row r="8982" ht="15.75" customHeight="1">
      <c r="B8982" s="63">
        <f t="shared" si="1"/>
        <v>13</v>
      </c>
      <c r="C8982" s="135" t="s">
        <v>495</v>
      </c>
      <c r="D8982" s="161" t="s">
        <v>74</v>
      </c>
      <c r="E8982" s="135">
        <f t="shared" si="62"/>
        <v>12</v>
      </c>
      <c r="F8982" s="134" t="s">
        <v>4460</v>
      </c>
      <c r="G8982" s="63" t="str">
        <f>VLOOKUP(C8982, 'Class Def. - General Data'!$C$20:$C$1000,1,false)</f>
        <v>ZSI1_ELEC_LUG</v>
      </c>
      <c r="H8982" s="63" t="str">
        <f>IFERROR(__xludf.DUMMYFUNCTION("VLOOKUP(F8982, IMPORTRANGE(""https://docs.google.com/spreadsheets/d/1Lhp9OU0JdFf_VYSMzH5lBcEaU4o8teT1piV-SNzShjg/edit?gid=554141278#gid=554141278"", ""'Char Def. - Attributes'!C20:C2242""), 1,false)"),"BASE_UOM_ELEC_LUG")</f>
        <v>BASE_UOM_ELEC_LUG</v>
      </c>
      <c r="I8982" s="136"/>
      <c r="R8982" s="63" t="str">
        <f t="shared" si="60"/>
        <v>ZSI1_ELEC_LUGBASE_UOM_ELEC_LUG</v>
      </c>
    </row>
    <row r="8983" ht="15.75" customHeight="1">
      <c r="B8983" s="63">
        <f t="shared" si="1"/>
        <v>13</v>
      </c>
      <c r="C8983" s="135" t="s">
        <v>495</v>
      </c>
      <c r="D8983" s="161" t="s">
        <v>74</v>
      </c>
      <c r="E8983" s="135">
        <f t="shared" si="62"/>
        <v>13</v>
      </c>
      <c r="F8983" s="134" t="s">
        <v>4461</v>
      </c>
      <c r="G8983" s="63" t="str">
        <f>VLOOKUP(C8983, 'Class Def. - General Data'!$C$20:$C$1000,1,false)</f>
        <v>ZSI1_ELEC_LUG</v>
      </c>
      <c r="H8983" s="63" t="str">
        <f>IFERROR(__xludf.DUMMYFUNCTION("VLOOKUP(F8983, IMPORTRANGE(""https://docs.google.com/spreadsheets/d/1Lhp9OU0JdFf_VYSMzH5lBcEaU4o8teT1piV-SNzShjg/edit?gid=554141278#gid=554141278"", ""'Char Def. - Attributes'!C20:C2242""), 1,false)"),"ORDER_UNIT_ELEC_LUG")</f>
        <v>ORDER_UNIT_ELEC_LUG</v>
      </c>
      <c r="I8983" s="136"/>
      <c r="R8983" s="63" t="str">
        <f t="shared" si="60"/>
        <v>ZSI1_ELEC_LUGORDER_UNIT_ELEC_LUG</v>
      </c>
    </row>
    <row r="8984" ht="15.75" customHeight="1">
      <c r="B8984" s="63">
        <f t="shared" si="1"/>
        <v>13</v>
      </c>
      <c r="C8984" s="135" t="s">
        <v>495</v>
      </c>
      <c r="D8984" s="161" t="s">
        <v>74</v>
      </c>
      <c r="E8984" s="135">
        <f t="shared" si="62"/>
        <v>14</v>
      </c>
      <c r="F8984" s="134" t="s">
        <v>4056</v>
      </c>
      <c r="G8984" s="63" t="str">
        <f>VLOOKUP(C8984, 'Class Def. - General Data'!$C$20:$C$1000,1,false)</f>
        <v>ZSI1_ELEC_LUG</v>
      </c>
      <c r="H8984" s="63" t="str">
        <f>IFERROR(__xludf.DUMMYFUNCTION("VLOOKUP(F8984, IMPORTRANGE(""https://docs.google.com/spreadsheets/d/1Lhp9OU0JdFf_VYSMzH5lBcEaU4o8teT1piV-SNzShjg/edit?gid=554141278#gid=554141278"", ""'Char Def. - Attributes'!C20:C2242""), 1,false)"),"GROSS_WEIGHT_OPT")</f>
        <v>GROSS_WEIGHT_OPT</v>
      </c>
      <c r="I8984" s="136"/>
      <c r="R8984" s="63" t="str">
        <f t="shared" si="60"/>
        <v>ZSI1_ELEC_LUGGROSS_WEIGHT_OPT</v>
      </c>
    </row>
    <row r="8985" ht="15.75" customHeight="1">
      <c r="B8985" s="63">
        <f t="shared" si="1"/>
        <v>13</v>
      </c>
      <c r="C8985" s="135" t="s">
        <v>495</v>
      </c>
      <c r="D8985" s="161" t="s">
        <v>74</v>
      </c>
      <c r="E8985" s="135">
        <f t="shared" si="62"/>
        <v>15</v>
      </c>
      <c r="F8985" s="134" t="s">
        <v>4057</v>
      </c>
      <c r="G8985" s="63" t="str">
        <f>VLOOKUP(C8985, 'Class Def. - General Data'!$C$20:$C$1000,1,false)</f>
        <v>ZSI1_ELEC_LUG</v>
      </c>
      <c r="H8985" s="63" t="str">
        <f>IFERROR(__xludf.DUMMYFUNCTION("VLOOKUP(F8985, IMPORTRANGE(""https://docs.google.com/spreadsheets/d/1Lhp9OU0JdFf_VYSMzH5lBcEaU4o8teT1piV-SNzShjg/edit?gid=554141278#gid=554141278"", ""'Char Def. - Attributes'!C20:C2242""), 1,false)"),"NET_WEIGHT_OPT")</f>
        <v>NET_WEIGHT_OPT</v>
      </c>
      <c r="I8985" s="136"/>
      <c r="R8985" s="63" t="str">
        <f t="shared" si="60"/>
        <v>ZSI1_ELEC_LUGNET_WEIGHT_OPT</v>
      </c>
    </row>
    <row r="8986" ht="15.75" customHeight="1">
      <c r="B8986" s="63">
        <f t="shared" si="1"/>
        <v>13</v>
      </c>
      <c r="C8986" s="135" t="s">
        <v>495</v>
      </c>
      <c r="D8986" s="161" t="s">
        <v>74</v>
      </c>
      <c r="E8986" s="135">
        <f t="shared" si="62"/>
        <v>16</v>
      </c>
      <c r="F8986" s="134" t="s">
        <v>4058</v>
      </c>
      <c r="G8986" s="63" t="str">
        <f>VLOOKUP(C8986, 'Class Def. - General Data'!$C$20:$C$1000,1,false)</f>
        <v>ZSI1_ELEC_LUG</v>
      </c>
      <c r="H8986" s="63" t="str">
        <f>IFERROR(__xludf.DUMMYFUNCTION("VLOOKUP(F8986, IMPORTRANGE(""https://docs.google.com/spreadsheets/d/1Lhp9OU0JdFf_VYSMzH5lBcEaU4o8teT1piV-SNzShjg/edit?gid=554141278#gid=554141278"", ""'Char Def. - Attributes'!C20:C2242""), 1,false)"),"WEIGHT_UNIT_SI")</f>
        <v>WEIGHT_UNIT_SI</v>
      </c>
      <c r="I8986" s="136"/>
      <c r="R8986" s="63" t="str">
        <f t="shared" si="60"/>
        <v>ZSI1_ELEC_LUGWEIGHT_UNIT_SI</v>
      </c>
    </row>
    <row r="8987" ht="15.75" customHeight="1">
      <c r="B8987" s="63">
        <f t="shared" si="1"/>
        <v>13</v>
      </c>
      <c r="C8987" s="135" t="s">
        <v>495</v>
      </c>
      <c r="D8987" s="161" t="s">
        <v>74</v>
      </c>
      <c r="E8987" s="135">
        <f t="shared" si="62"/>
        <v>17</v>
      </c>
      <c r="F8987" s="134" t="s">
        <v>3877</v>
      </c>
      <c r="G8987" s="63" t="str">
        <f>VLOOKUP(C8987, 'Class Def. - General Data'!$C$20:$C$1000,1,false)</f>
        <v>ZSI1_ELEC_LUG</v>
      </c>
      <c r="H8987" s="63" t="str">
        <f>IFERROR(__xludf.DUMMYFUNCTION("VLOOKUP(F8987, IMPORTRANGE(""https://docs.google.com/spreadsheets/d/1Lhp9OU0JdFf_VYSMzH5lBcEaU4o8teT1piV-SNzShjg/edit?gid=554141278#gid=554141278"", ""'Char Def. - Attributes'!C20:C2242""), 1,false)"),"VOLUME_OPT")</f>
        <v>VOLUME_OPT</v>
      </c>
      <c r="I8987" s="136"/>
      <c r="R8987" s="63" t="str">
        <f t="shared" si="60"/>
        <v>ZSI1_ELEC_LUGVOLUME_OPT</v>
      </c>
    </row>
    <row r="8988" ht="15.75" customHeight="1">
      <c r="B8988" s="63">
        <f t="shared" si="1"/>
        <v>13</v>
      </c>
      <c r="C8988" s="135" t="s">
        <v>495</v>
      </c>
      <c r="D8988" s="161" t="s">
        <v>74</v>
      </c>
      <c r="E8988" s="135">
        <f t="shared" si="62"/>
        <v>18</v>
      </c>
      <c r="F8988" s="134" t="s">
        <v>4059</v>
      </c>
      <c r="G8988" s="63" t="str">
        <f>VLOOKUP(C8988, 'Class Def. - General Data'!$C$20:$C$1000,1,false)</f>
        <v>ZSI1_ELEC_LUG</v>
      </c>
      <c r="H8988" s="63" t="str">
        <f>IFERROR(__xludf.DUMMYFUNCTION("VLOOKUP(F8988, IMPORTRANGE(""https://docs.google.com/spreadsheets/d/1Lhp9OU0JdFf_VYSMzH5lBcEaU4o8teT1piV-SNzShjg/edit?gid=554141278#gid=554141278"", ""'Char Def. - Attributes'!C20:C2242""), 1,false)"),"VOLUME_UNIT_SI")</f>
        <v>VOLUME_UNIT_SI</v>
      </c>
      <c r="I8988" s="136"/>
      <c r="R8988" s="63" t="str">
        <f t="shared" si="60"/>
        <v>ZSI1_ELEC_LUGVOLUME_UNIT_SI</v>
      </c>
    </row>
    <row r="8989" ht="15.75" customHeight="1">
      <c r="B8989" s="63">
        <f t="shared" si="1"/>
        <v>13</v>
      </c>
      <c r="C8989" s="135" t="s">
        <v>495</v>
      </c>
      <c r="D8989" s="161" t="s">
        <v>74</v>
      </c>
      <c r="E8989" s="135">
        <f t="shared" si="62"/>
        <v>19</v>
      </c>
      <c r="F8989" s="134" t="s">
        <v>3804</v>
      </c>
      <c r="G8989" s="63" t="str">
        <f>VLOOKUP(C8989, 'Class Def. - General Data'!$C$20:$C$1000,1,false)</f>
        <v>ZSI1_ELEC_LUG</v>
      </c>
      <c r="H8989" s="63" t="str">
        <f>IFERROR(__xludf.DUMMYFUNCTION("VLOOKUP(F8989, IMPORTRANGE(""https://docs.google.com/spreadsheets/d/1Lhp9OU0JdFf_VYSMzH5lBcEaU4o8teT1piV-SNzShjg/edit?gid=554141278#gid=554141278"", ""'Char Def. - Attributes'!C20:C2242""), 1,false)"),"ALT_UOM1_SIPI")</f>
        <v>ALT_UOM1_SIPI</v>
      </c>
      <c r="I8989" s="136"/>
      <c r="R8989" s="63" t="str">
        <f t="shared" si="60"/>
        <v>ZSI1_ELEC_LUGALT_UOM1_SIPI</v>
      </c>
    </row>
    <row r="8990" ht="15.75" customHeight="1">
      <c r="B8990" s="63">
        <f t="shared" si="1"/>
        <v>13</v>
      </c>
      <c r="C8990" s="135" t="s">
        <v>495</v>
      </c>
      <c r="D8990" s="161" t="s">
        <v>74</v>
      </c>
      <c r="E8990" s="135">
        <f t="shared" si="62"/>
        <v>20</v>
      </c>
      <c r="F8990" s="134" t="s">
        <v>3805</v>
      </c>
      <c r="G8990" s="63" t="str">
        <f>VLOOKUP(C8990, 'Class Def. - General Data'!$C$20:$C$1000,1,false)</f>
        <v>ZSI1_ELEC_LUG</v>
      </c>
      <c r="H8990" s="63" t="str">
        <f>IFERROR(__xludf.DUMMYFUNCTION("VLOOKUP(F8990, IMPORTRANGE(""https://docs.google.com/spreadsheets/d/1Lhp9OU0JdFf_VYSMzH5lBcEaU4o8teT1piV-SNzShjg/edit?gid=554141278#gid=554141278"", ""'Char Def. - Attributes'!C20:C2242""), 1,false)"),"ALT_DENUM_UOM1")</f>
        <v>ALT_DENUM_UOM1</v>
      </c>
      <c r="I8990" s="136"/>
      <c r="R8990" s="63" t="str">
        <f t="shared" si="60"/>
        <v>ZSI1_ELEC_LUGALT_DENUM_UOM1</v>
      </c>
    </row>
    <row r="8991" ht="15.75" customHeight="1">
      <c r="B8991" s="63">
        <f t="shared" si="1"/>
        <v>13</v>
      </c>
      <c r="C8991" s="135" t="s">
        <v>495</v>
      </c>
      <c r="D8991" s="161" t="s">
        <v>74</v>
      </c>
      <c r="E8991" s="135">
        <f t="shared" si="62"/>
        <v>21</v>
      </c>
      <c r="F8991" s="134" t="s">
        <v>3806</v>
      </c>
      <c r="G8991" s="63" t="str">
        <f>VLOOKUP(C8991, 'Class Def. - General Data'!$C$20:$C$1000,1,false)</f>
        <v>ZSI1_ELEC_LUG</v>
      </c>
      <c r="H8991" s="63" t="str">
        <f>IFERROR(__xludf.DUMMYFUNCTION("VLOOKUP(F8991, IMPORTRANGE(""https://docs.google.com/spreadsheets/d/1Lhp9OU0JdFf_VYSMzH5lBcEaU4o8teT1piV-SNzShjg/edit?gid=554141278#gid=554141278"", ""'Char Def. - Attributes'!C20:C2242""), 1,false)"),"ALT_NUM_UOM1")</f>
        <v>ALT_NUM_UOM1</v>
      </c>
      <c r="I8991" s="136"/>
      <c r="R8991" s="63" t="str">
        <f t="shared" si="60"/>
        <v>ZSI1_ELEC_LUGALT_NUM_UOM1</v>
      </c>
    </row>
    <row r="8992" ht="15.75" customHeight="1">
      <c r="B8992" s="63">
        <f t="shared" si="1"/>
        <v>13</v>
      </c>
      <c r="C8992" s="135" t="s">
        <v>495</v>
      </c>
      <c r="D8992" s="161" t="s">
        <v>74</v>
      </c>
      <c r="E8992" s="135">
        <f t="shared" si="62"/>
        <v>22</v>
      </c>
      <c r="F8992" s="134" t="s">
        <v>3807</v>
      </c>
      <c r="G8992" s="63" t="str">
        <f>VLOOKUP(C8992, 'Class Def. - General Data'!$C$20:$C$1000,1,false)</f>
        <v>ZSI1_ELEC_LUG</v>
      </c>
      <c r="H8992" s="63" t="str">
        <f>IFERROR(__xludf.DUMMYFUNCTION("VLOOKUP(F8992, IMPORTRANGE(""https://docs.google.com/spreadsheets/d/1Lhp9OU0JdFf_VYSMzH5lBcEaU4o8teT1piV-SNzShjg/edit?gid=554141278#gid=554141278"", ""'Char Def. - Attributes'!C20:C2242""), 1,false)"),"ALT_UOM2_SIPI")</f>
        <v>ALT_UOM2_SIPI</v>
      </c>
      <c r="I8992" s="136"/>
      <c r="R8992" s="63" t="str">
        <f t="shared" si="60"/>
        <v>ZSI1_ELEC_LUGALT_UOM2_SIPI</v>
      </c>
    </row>
    <row r="8993" ht="15.75" customHeight="1">
      <c r="B8993" s="63">
        <f t="shared" si="1"/>
        <v>13</v>
      </c>
      <c r="C8993" s="135" t="s">
        <v>495</v>
      </c>
      <c r="D8993" s="161" t="s">
        <v>74</v>
      </c>
      <c r="E8993" s="135">
        <f t="shared" si="62"/>
        <v>23</v>
      </c>
      <c r="F8993" s="134" t="s">
        <v>3808</v>
      </c>
      <c r="G8993" s="63" t="str">
        <f>VLOOKUP(C8993, 'Class Def. - General Data'!$C$20:$C$1000,1,false)</f>
        <v>ZSI1_ELEC_LUG</v>
      </c>
      <c r="H8993" s="63" t="str">
        <f>IFERROR(__xludf.DUMMYFUNCTION("VLOOKUP(F8993, IMPORTRANGE(""https://docs.google.com/spreadsheets/d/1Lhp9OU0JdFf_VYSMzH5lBcEaU4o8teT1piV-SNzShjg/edit?gid=554141278#gid=554141278"", ""'Char Def. - Attributes'!C20:C2242""), 1,false)"),"ALT_DENUM_UOM2")</f>
        <v>ALT_DENUM_UOM2</v>
      </c>
      <c r="I8993" s="136"/>
      <c r="R8993" s="63" t="str">
        <f t="shared" si="60"/>
        <v>ZSI1_ELEC_LUGALT_DENUM_UOM2</v>
      </c>
    </row>
    <row r="8994" ht="15.75" customHeight="1">
      <c r="B8994" s="63">
        <f t="shared" si="1"/>
        <v>13</v>
      </c>
      <c r="C8994" s="135" t="s">
        <v>495</v>
      </c>
      <c r="D8994" s="161" t="s">
        <v>74</v>
      </c>
      <c r="E8994" s="135">
        <f t="shared" si="62"/>
        <v>24</v>
      </c>
      <c r="F8994" s="134" t="s">
        <v>3809</v>
      </c>
      <c r="G8994" s="63" t="str">
        <f>VLOOKUP(C8994, 'Class Def. - General Data'!$C$20:$C$1000,1,false)</f>
        <v>ZSI1_ELEC_LUG</v>
      </c>
      <c r="H8994" s="63" t="str">
        <f>IFERROR(__xludf.DUMMYFUNCTION("VLOOKUP(F8994, IMPORTRANGE(""https://docs.google.com/spreadsheets/d/1Lhp9OU0JdFf_VYSMzH5lBcEaU4o8teT1piV-SNzShjg/edit?gid=554141278#gid=554141278"", ""'Char Def. - Attributes'!C20:C2242""), 1,false)"),"ALT_NUM_UOM2")</f>
        <v>ALT_NUM_UOM2</v>
      </c>
      <c r="I8994" s="136"/>
      <c r="R8994" s="63" t="str">
        <f t="shared" si="60"/>
        <v>ZSI1_ELEC_LUGALT_NUM_UOM2</v>
      </c>
    </row>
    <row r="8995" ht="15.75" customHeight="1">
      <c r="B8995" s="63">
        <f t="shared" si="1"/>
        <v>13</v>
      </c>
      <c r="C8995" s="135" t="s">
        <v>495</v>
      </c>
      <c r="D8995" s="161" t="s">
        <v>74</v>
      </c>
      <c r="E8995" s="135">
        <f t="shared" si="62"/>
        <v>25</v>
      </c>
      <c r="F8995" s="134" t="s">
        <v>3810</v>
      </c>
      <c r="G8995" s="63" t="str">
        <f>VLOOKUP(C8995, 'Class Def. - General Data'!$C$20:$C$1000,1,false)</f>
        <v>ZSI1_ELEC_LUG</v>
      </c>
      <c r="H8995" s="63" t="str">
        <f>IFERROR(__xludf.DUMMYFUNCTION("VLOOKUP(F8995, IMPORTRANGE(""https://docs.google.com/spreadsheets/d/1Lhp9OU0JdFf_VYSMzH5lBcEaU4o8teT1piV-SNzShjg/edit?gid=554141278#gid=554141278"", ""'Char Def. - Attributes'!C20:C2242""), 1,false)"),"ALT_UOM3_SIPI")</f>
        <v>ALT_UOM3_SIPI</v>
      </c>
      <c r="I8995" s="136"/>
      <c r="R8995" s="63" t="str">
        <f t="shared" si="60"/>
        <v>ZSI1_ELEC_LUGALT_UOM3_SIPI</v>
      </c>
    </row>
    <row r="8996" ht="15.75" customHeight="1">
      <c r="B8996" s="63">
        <f t="shared" si="1"/>
        <v>13</v>
      </c>
      <c r="C8996" s="135" t="s">
        <v>495</v>
      </c>
      <c r="D8996" s="161" t="s">
        <v>74</v>
      </c>
      <c r="E8996" s="135">
        <f t="shared" si="62"/>
        <v>26</v>
      </c>
      <c r="F8996" s="134" t="s">
        <v>3811</v>
      </c>
      <c r="G8996" s="63" t="str">
        <f>VLOOKUP(C8996, 'Class Def. - General Data'!$C$20:$C$1000,1,false)</f>
        <v>ZSI1_ELEC_LUG</v>
      </c>
      <c r="H8996" s="63" t="str">
        <f>IFERROR(__xludf.DUMMYFUNCTION("VLOOKUP(F8996, IMPORTRANGE(""https://docs.google.com/spreadsheets/d/1Lhp9OU0JdFf_VYSMzH5lBcEaU4o8teT1piV-SNzShjg/edit?gid=554141278#gid=554141278"", ""'Char Def. - Attributes'!C20:C2242""), 1,false)"),"ALT_DENUM_UOM3")</f>
        <v>ALT_DENUM_UOM3</v>
      </c>
      <c r="I8996" s="136"/>
      <c r="R8996" s="63" t="str">
        <f t="shared" si="60"/>
        <v>ZSI1_ELEC_LUGALT_DENUM_UOM3</v>
      </c>
    </row>
    <row r="8997" ht="15.75" customHeight="1">
      <c r="B8997" s="63">
        <f t="shared" si="1"/>
        <v>13</v>
      </c>
      <c r="C8997" s="135" t="s">
        <v>495</v>
      </c>
      <c r="D8997" s="161" t="s">
        <v>74</v>
      </c>
      <c r="E8997" s="135">
        <f t="shared" si="62"/>
        <v>27</v>
      </c>
      <c r="F8997" s="134" t="s">
        <v>3812</v>
      </c>
      <c r="G8997" s="63" t="str">
        <f>VLOOKUP(C8997, 'Class Def. - General Data'!$C$20:$C$1000,1,false)</f>
        <v>ZSI1_ELEC_LUG</v>
      </c>
      <c r="H8997" s="63" t="str">
        <f>IFERROR(__xludf.DUMMYFUNCTION("VLOOKUP(F8997, IMPORTRANGE(""https://docs.google.com/spreadsheets/d/1Lhp9OU0JdFf_VYSMzH5lBcEaU4o8teT1piV-SNzShjg/edit?gid=554141278#gid=554141278"", ""'Char Def. - Attributes'!C20:C2242""), 1,false)"),"ALT_NUM_UOM3")</f>
        <v>ALT_NUM_UOM3</v>
      </c>
      <c r="I8997" s="136"/>
      <c r="R8997" s="63" t="str">
        <f t="shared" si="60"/>
        <v>ZSI1_ELEC_LUGALT_NUM_UOM3</v>
      </c>
    </row>
    <row r="8998" ht="15.75" customHeight="1">
      <c r="B8998" s="63">
        <f t="shared" si="1"/>
        <v>13</v>
      </c>
      <c r="C8998" s="135" t="s">
        <v>495</v>
      </c>
      <c r="D8998" s="161" t="s">
        <v>74</v>
      </c>
      <c r="E8998" s="135">
        <f t="shared" si="62"/>
        <v>28</v>
      </c>
      <c r="F8998" s="134" t="s">
        <v>3813</v>
      </c>
      <c r="G8998" s="63" t="str">
        <f>VLOOKUP(C8998, 'Class Def. - General Data'!$C$20:$C$1000,1,false)</f>
        <v>ZSI1_ELEC_LUG</v>
      </c>
      <c r="H8998" s="63" t="str">
        <f>IFERROR(__xludf.DUMMYFUNCTION("VLOOKUP(F8998, IMPORTRANGE(""https://docs.google.com/spreadsheets/d/1Lhp9OU0JdFf_VYSMzH5lBcEaU4o8teT1piV-SNzShjg/edit?gid=554141278#gid=554141278"", ""'Char Def. - Attributes'!C20:C2242""), 1,false)"),"ALT_UOM4_SIPI")</f>
        <v>ALT_UOM4_SIPI</v>
      </c>
      <c r="I8998" s="136"/>
      <c r="R8998" s="63" t="str">
        <f t="shared" si="60"/>
        <v>ZSI1_ELEC_LUGALT_UOM4_SIPI</v>
      </c>
    </row>
    <row r="8999" ht="15.75" customHeight="1">
      <c r="B8999" s="63">
        <f t="shared" si="1"/>
        <v>13</v>
      </c>
      <c r="C8999" s="135" t="s">
        <v>495</v>
      </c>
      <c r="D8999" s="161" t="s">
        <v>74</v>
      </c>
      <c r="E8999" s="135">
        <f t="shared" si="62"/>
        <v>29</v>
      </c>
      <c r="F8999" s="134" t="s">
        <v>3814</v>
      </c>
      <c r="G8999" s="63" t="str">
        <f>VLOOKUP(C8999, 'Class Def. - General Data'!$C$20:$C$1000,1,false)</f>
        <v>ZSI1_ELEC_LUG</v>
      </c>
      <c r="H8999" s="63" t="str">
        <f>IFERROR(__xludf.DUMMYFUNCTION("VLOOKUP(F8999, IMPORTRANGE(""https://docs.google.com/spreadsheets/d/1Lhp9OU0JdFf_VYSMzH5lBcEaU4o8teT1piV-SNzShjg/edit?gid=554141278#gid=554141278"", ""'Char Def. - Attributes'!C20:C2242""), 1,false)"),"ALT_DENUM_UOM4")</f>
        <v>ALT_DENUM_UOM4</v>
      </c>
      <c r="I8999" s="136"/>
      <c r="R8999" s="63" t="str">
        <f t="shared" si="60"/>
        <v>ZSI1_ELEC_LUGALT_DENUM_UOM4</v>
      </c>
    </row>
    <row r="9000" ht="15.75" customHeight="1">
      <c r="B9000" s="63">
        <f t="shared" si="1"/>
        <v>13</v>
      </c>
      <c r="C9000" s="135" t="s">
        <v>495</v>
      </c>
      <c r="D9000" s="161" t="s">
        <v>74</v>
      </c>
      <c r="E9000" s="135">
        <f t="shared" si="62"/>
        <v>30</v>
      </c>
      <c r="F9000" s="134" t="s">
        <v>3815</v>
      </c>
      <c r="G9000" s="63" t="str">
        <f>VLOOKUP(C9000, 'Class Def. - General Data'!$C$20:$C$1000,1,false)</f>
        <v>ZSI1_ELEC_LUG</v>
      </c>
      <c r="H9000" s="63" t="str">
        <f>IFERROR(__xludf.DUMMYFUNCTION("VLOOKUP(F9000, IMPORTRANGE(""https://docs.google.com/spreadsheets/d/1Lhp9OU0JdFf_VYSMzH5lBcEaU4o8teT1piV-SNzShjg/edit?gid=554141278#gid=554141278"", ""'Char Def. - Attributes'!C20:C2242""), 1,false)"),"ALT_NUM_UOM4")</f>
        <v>ALT_NUM_UOM4</v>
      </c>
      <c r="I9000" s="136"/>
      <c r="R9000" s="63" t="str">
        <f t="shared" si="60"/>
        <v>ZSI1_ELEC_LUGALT_NUM_UOM4</v>
      </c>
    </row>
    <row r="9001" ht="15.75" customHeight="1">
      <c r="B9001" s="63">
        <f t="shared" si="1"/>
        <v>13</v>
      </c>
      <c r="C9001" s="135" t="s">
        <v>495</v>
      </c>
      <c r="D9001" s="161" t="s">
        <v>74</v>
      </c>
      <c r="E9001" s="135">
        <f t="shared" si="62"/>
        <v>31</v>
      </c>
      <c r="F9001" s="134" t="s">
        <v>3816</v>
      </c>
      <c r="G9001" s="63" t="str">
        <f>VLOOKUP(C9001, 'Class Def. - General Data'!$C$20:$C$1000,1,false)</f>
        <v>ZSI1_ELEC_LUG</v>
      </c>
      <c r="H9001" s="63" t="str">
        <f>IFERROR(__xludf.DUMMYFUNCTION("VLOOKUP(F9001, IMPORTRANGE(""https://docs.google.com/spreadsheets/d/1Lhp9OU0JdFf_VYSMzH5lBcEaU4o8teT1piV-SNzShjg/edit?gid=554141278#gid=554141278"", ""'Char Def. - Attributes'!C20:C2242""), 1,false)"),"ALT_UOM5_SIPI")</f>
        <v>ALT_UOM5_SIPI</v>
      </c>
      <c r="I9001" s="136"/>
      <c r="R9001" s="63" t="str">
        <f t="shared" si="60"/>
        <v>ZSI1_ELEC_LUGALT_UOM5_SIPI</v>
      </c>
    </row>
    <row r="9002" ht="15.75" customHeight="1">
      <c r="B9002" s="63">
        <f t="shared" si="1"/>
        <v>13</v>
      </c>
      <c r="C9002" s="135" t="s">
        <v>495</v>
      </c>
      <c r="D9002" s="161" t="s">
        <v>74</v>
      </c>
      <c r="E9002" s="135">
        <f t="shared" si="62"/>
        <v>32</v>
      </c>
      <c r="F9002" s="134" t="s">
        <v>3817</v>
      </c>
      <c r="G9002" s="63" t="str">
        <f>VLOOKUP(C9002, 'Class Def. - General Data'!$C$20:$C$1000,1,false)</f>
        <v>ZSI1_ELEC_LUG</v>
      </c>
      <c r="H9002" s="63" t="str">
        <f>IFERROR(__xludf.DUMMYFUNCTION("VLOOKUP(F9002, IMPORTRANGE(""https://docs.google.com/spreadsheets/d/1Lhp9OU0JdFf_VYSMzH5lBcEaU4o8teT1piV-SNzShjg/edit?gid=554141278#gid=554141278"", ""'Char Def. - Attributes'!C20:C2242""), 1,false)"),"ALT_DENUM_UOM5")</f>
        <v>ALT_DENUM_UOM5</v>
      </c>
      <c r="I9002" s="136"/>
      <c r="R9002" s="63" t="str">
        <f t="shared" si="60"/>
        <v>ZSI1_ELEC_LUGALT_DENUM_UOM5</v>
      </c>
    </row>
    <row r="9003" ht="15.75" customHeight="1">
      <c r="B9003" s="63">
        <f t="shared" si="1"/>
        <v>13</v>
      </c>
      <c r="C9003" s="135" t="s">
        <v>495</v>
      </c>
      <c r="D9003" s="161" t="s">
        <v>74</v>
      </c>
      <c r="E9003" s="135">
        <f t="shared" si="62"/>
        <v>33</v>
      </c>
      <c r="F9003" s="134" t="s">
        <v>3818</v>
      </c>
      <c r="G9003" s="63" t="str">
        <f>VLOOKUP(C9003, 'Class Def. - General Data'!$C$20:$C$1000,1,false)</f>
        <v>ZSI1_ELEC_LUG</v>
      </c>
      <c r="H9003" s="63" t="str">
        <f>IFERROR(__xludf.DUMMYFUNCTION("VLOOKUP(F9003, IMPORTRANGE(""https://docs.google.com/spreadsheets/d/1Lhp9OU0JdFf_VYSMzH5lBcEaU4o8teT1piV-SNzShjg/edit?gid=554141278#gid=554141278"", ""'Char Def. - Attributes'!C20:C2242""), 1,false)"),"ALT_NUM_UOM5")</f>
        <v>ALT_NUM_UOM5</v>
      </c>
      <c r="I9003" s="136"/>
      <c r="R9003" s="63" t="str">
        <f t="shared" si="60"/>
        <v>ZSI1_ELEC_LUGALT_NUM_UOM5</v>
      </c>
    </row>
    <row r="9004" ht="15.75" customHeight="1">
      <c r="B9004" s="63">
        <f t="shared" si="1"/>
        <v>15</v>
      </c>
      <c r="C9004" s="135" t="s">
        <v>316</v>
      </c>
      <c r="D9004" s="161" t="s">
        <v>74</v>
      </c>
      <c r="E9004" s="135">
        <f t="shared" si="62"/>
        <v>1</v>
      </c>
      <c r="F9004" s="134" t="s">
        <v>4462</v>
      </c>
      <c r="G9004" s="63" t="str">
        <f>VLOOKUP(C9004, 'Class Def. - General Data'!$C$20:$C$1000,1,false)</f>
        <v>ZSI1_ELEC_PANEL</v>
      </c>
      <c r="H9004" s="63" t="str">
        <f>IFERROR(__xludf.DUMMYFUNCTION("VLOOKUP(F9004, IMPORTRANGE(""https://docs.google.com/spreadsheets/d/1Lhp9OU0JdFf_VYSMzH5lBcEaU4o8teT1piV-SNzShjg/edit?gid=554141278#gid=554141278"", ""'Char Def. - Attributes'!C20:C2242""), 1,false)"),"ITEM_NAME_ELEC_PANEL")</f>
        <v>ITEM_NAME_ELEC_PANEL</v>
      </c>
      <c r="I9004" s="136"/>
      <c r="R9004" s="63" t="str">
        <f t="shared" si="60"/>
        <v>ZSI1_ELEC_PANELITEM_NAME_ELEC_PANEL</v>
      </c>
    </row>
    <row r="9005" ht="15.75" customHeight="1">
      <c r="B9005" s="63">
        <f t="shared" si="1"/>
        <v>15</v>
      </c>
      <c r="C9005" s="135" t="s">
        <v>316</v>
      </c>
      <c r="D9005" s="161" t="s">
        <v>74</v>
      </c>
      <c r="E9005" s="135">
        <f t="shared" si="62"/>
        <v>2</v>
      </c>
      <c r="F9005" s="134" t="s">
        <v>4463</v>
      </c>
      <c r="G9005" s="63" t="str">
        <f>VLOOKUP(C9005, 'Class Def. - General Data'!$C$20:$C$1000,1,false)</f>
        <v>ZSI1_ELEC_PANEL</v>
      </c>
      <c r="H9005" s="63" t="str">
        <f>IFERROR(__xludf.DUMMYFUNCTION("VLOOKUP(F9005, IMPORTRANGE(""https://docs.google.com/spreadsheets/d/1Lhp9OU0JdFf_VYSMzH5lBcEaU4o8teT1piV-SNzShjg/edit?gid=554141278#gid=554141278"", ""'Char Def. - Attributes'!C20:C2242""), 1,false)"),"MFR_NO_ELEC_PANEL")</f>
        <v>MFR_NO_ELEC_PANEL</v>
      </c>
      <c r="I9005" s="136"/>
      <c r="R9005" s="63" t="str">
        <f t="shared" si="60"/>
        <v>ZSI1_ELEC_PANELMFR_NO_ELEC_PANEL</v>
      </c>
    </row>
    <row r="9006" ht="15.75" customHeight="1">
      <c r="B9006" s="63">
        <f t="shared" si="1"/>
        <v>15</v>
      </c>
      <c r="C9006" s="135" t="s">
        <v>316</v>
      </c>
      <c r="D9006" s="161" t="s">
        <v>74</v>
      </c>
      <c r="E9006" s="135">
        <f t="shared" si="62"/>
        <v>3</v>
      </c>
      <c r="F9006" s="134" t="s">
        <v>3782</v>
      </c>
      <c r="G9006" s="63" t="str">
        <f>VLOOKUP(C9006, 'Class Def. - General Data'!$C$20:$C$1000,1,false)</f>
        <v>ZSI1_ELEC_PANEL</v>
      </c>
      <c r="H9006" s="63" t="str">
        <f>IFERROR(__xludf.DUMMYFUNCTION("VLOOKUP(F9006, IMPORTRANGE(""https://docs.google.com/spreadsheets/d/1Lhp9OU0JdFf_VYSMzH5lBcEaU4o8teT1piV-SNzShjg/edit?gid=554141278#gid=554141278"", ""'Char Def. - Attributes'!C20:C2242""), 1,false)"),"BRAND_EXTERNAL")</f>
        <v>BRAND_EXTERNAL</v>
      </c>
      <c r="I9006" s="136"/>
      <c r="R9006" s="63" t="str">
        <f t="shared" si="60"/>
        <v>ZSI1_ELEC_PANELBRAND_EXTERNAL</v>
      </c>
    </row>
    <row r="9007" ht="15.75" customHeight="1">
      <c r="B9007" s="63">
        <f t="shared" si="1"/>
        <v>15</v>
      </c>
      <c r="C9007" s="135" t="s">
        <v>316</v>
      </c>
      <c r="D9007" s="161" t="s">
        <v>74</v>
      </c>
      <c r="E9007" s="135">
        <f t="shared" si="62"/>
        <v>4</v>
      </c>
      <c r="F9007" s="134" t="s">
        <v>4062</v>
      </c>
      <c r="G9007" s="63" t="str">
        <f>VLOOKUP(C9007, 'Class Def. - General Data'!$C$20:$C$1000,1,false)</f>
        <v>ZSI1_ELEC_PANEL</v>
      </c>
      <c r="H9007" s="63" t="str">
        <f>IFERROR(__xludf.DUMMYFUNCTION("VLOOKUP(F9007, IMPORTRANGE(""https://docs.google.com/spreadsheets/d/1Lhp9OU0JdFf_VYSMzH5lBcEaU4o8teT1piV-SNzShjg/edit?gid=554141278#gid=554141278"", ""'Char Def. - Attributes'!C20:C2242""), 1,false)"),"#N/A")</f>
        <v>#N/A</v>
      </c>
      <c r="I9007" s="136"/>
      <c r="R9007" s="63" t="str">
        <f t="shared" si="60"/>
        <v>ZSI1_ELEC_PANELADDTIONAL_SPECIFICATION</v>
      </c>
    </row>
    <row r="9008" ht="15.75" customHeight="1">
      <c r="B9008" s="63">
        <f t="shared" si="1"/>
        <v>15</v>
      </c>
      <c r="C9008" s="135" t="s">
        <v>316</v>
      </c>
      <c r="D9008" s="161" t="s">
        <v>74</v>
      </c>
      <c r="E9008" s="135">
        <f t="shared" si="62"/>
        <v>5</v>
      </c>
      <c r="F9008" s="134" t="s">
        <v>4053</v>
      </c>
      <c r="G9008" s="63" t="str">
        <f>VLOOKUP(C9008, 'Class Def. - General Data'!$C$20:$C$1000,1,false)</f>
        <v>ZSI1_ELEC_PANEL</v>
      </c>
      <c r="H9008" s="63" t="str">
        <f>IFERROR(__xludf.DUMMYFUNCTION("VLOOKUP(F9008, IMPORTRANGE(""https://docs.google.com/spreadsheets/d/1Lhp9OU0JdFf_VYSMzH5lBcEaU4o8teT1piV-SNzShjg/edit?gid=554141278#gid=554141278"", ""'Char Def. - Attributes'!C20:C2242""), 1,false)"),"MAINTENANCE_ORDER_TYPE")</f>
        <v>MAINTENANCE_ORDER_TYPE</v>
      </c>
      <c r="I9008" s="136"/>
      <c r="R9008" s="63" t="str">
        <f t="shared" si="60"/>
        <v>ZSI1_ELEC_PANELMAINTENANCE_ORDER_TYPE</v>
      </c>
    </row>
    <row r="9009" ht="15.75" customHeight="1">
      <c r="B9009" s="63">
        <f t="shared" si="1"/>
        <v>15</v>
      </c>
      <c r="C9009" s="135" t="s">
        <v>316</v>
      </c>
      <c r="D9009" s="161" t="s">
        <v>74</v>
      </c>
      <c r="E9009" s="135">
        <f t="shared" si="62"/>
        <v>6</v>
      </c>
      <c r="F9009" s="134" t="s">
        <v>3585</v>
      </c>
      <c r="G9009" s="63" t="str">
        <f>VLOOKUP(C9009, 'Class Def. - General Data'!$C$20:$C$1000,1,false)</f>
        <v>ZSI1_ELEC_PANEL</v>
      </c>
      <c r="H9009" s="63" t="str">
        <f>IFERROR(__xludf.DUMMYFUNCTION("VLOOKUP(F9009, IMPORTRANGE(""https://docs.google.com/spreadsheets/d/1Lhp9OU0JdFf_VYSMzH5lBcEaU4o8teT1piV-SNzShjg/edit?gid=554141278#gid=554141278"", ""'Char Def. - Attributes'!C20:C2242""), 1,false)"),"HS_CODE")</f>
        <v>HS_CODE</v>
      </c>
      <c r="I9009" s="136"/>
      <c r="R9009" s="63" t="str">
        <f t="shared" si="60"/>
        <v>ZSI1_ELEC_PANELHS_CODE</v>
      </c>
    </row>
    <row r="9010" ht="15.75" customHeight="1">
      <c r="B9010" s="63">
        <f t="shared" si="1"/>
        <v>15</v>
      </c>
      <c r="C9010" s="135" t="s">
        <v>316</v>
      </c>
      <c r="D9010" s="161" t="s">
        <v>74</v>
      </c>
      <c r="E9010" s="135">
        <f t="shared" si="62"/>
        <v>7</v>
      </c>
      <c r="F9010" s="134" t="s">
        <v>3587</v>
      </c>
      <c r="G9010" s="63" t="str">
        <f>VLOOKUP(C9010, 'Class Def. - General Data'!$C$20:$C$1000,1,false)</f>
        <v>ZSI1_ELEC_PANEL</v>
      </c>
      <c r="H9010" s="63" t="str">
        <f>IFERROR(__xludf.DUMMYFUNCTION("VLOOKUP(F9010, IMPORTRANGE(""https://docs.google.com/spreadsheets/d/1Lhp9OU0JdFf_VYSMzH5lBcEaU4o8teT1piV-SNzShjg/edit?gid=554141278#gid=554141278"", ""'Char Def. - Attributes'!C20:C2242""), 1,false)"),"PLANT_BUY")</f>
        <v>PLANT_BUY</v>
      </c>
      <c r="I9010" s="136"/>
      <c r="R9010" s="63" t="str">
        <f t="shared" si="60"/>
        <v>ZSI1_ELEC_PANELPLANT_BUY</v>
      </c>
    </row>
    <row r="9011" ht="15.75" customHeight="1">
      <c r="B9011" s="63">
        <f t="shared" si="1"/>
        <v>15</v>
      </c>
      <c r="C9011" s="135" t="s">
        <v>316</v>
      </c>
      <c r="D9011" s="161" t="s">
        <v>74</v>
      </c>
      <c r="E9011" s="135">
        <f t="shared" si="62"/>
        <v>8</v>
      </c>
      <c r="F9011" s="134" t="s">
        <v>4464</v>
      </c>
      <c r="G9011" s="63" t="str">
        <f>VLOOKUP(C9011, 'Class Def. - General Data'!$C$20:$C$1000,1,false)</f>
        <v>ZSI1_ELEC_PANEL</v>
      </c>
      <c r="H9011" s="63" t="str">
        <f>IFERROR(__xludf.DUMMYFUNCTION("VLOOKUP(F9011, IMPORTRANGE(""https://docs.google.com/spreadsheets/d/1Lhp9OU0JdFf_VYSMzH5lBcEaU4o8teT1piV-SNzShjg/edit?gid=554141278#gid=554141278"", ""'Char Def. - Attributes'!C20:C2242""), 1,false)"),"BASE_UOM_ELEC_PANEL")</f>
        <v>BASE_UOM_ELEC_PANEL</v>
      </c>
      <c r="I9011" s="136"/>
      <c r="R9011" s="63" t="str">
        <f t="shared" si="60"/>
        <v>ZSI1_ELEC_PANELBASE_UOM_ELEC_PANEL</v>
      </c>
    </row>
    <row r="9012" ht="15.75" customHeight="1">
      <c r="B9012" s="63">
        <f t="shared" si="1"/>
        <v>15</v>
      </c>
      <c r="C9012" s="135" t="s">
        <v>316</v>
      </c>
      <c r="D9012" s="161" t="s">
        <v>74</v>
      </c>
      <c r="E9012" s="135">
        <f t="shared" si="62"/>
        <v>9</v>
      </c>
      <c r="F9012" s="134" t="s">
        <v>4465</v>
      </c>
      <c r="G9012" s="63" t="str">
        <f>VLOOKUP(C9012, 'Class Def. - General Data'!$C$20:$C$1000,1,false)</f>
        <v>ZSI1_ELEC_PANEL</v>
      </c>
      <c r="H9012" s="63" t="str">
        <f>IFERROR(__xludf.DUMMYFUNCTION("VLOOKUP(F9012, IMPORTRANGE(""https://docs.google.com/spreadsheets/d/1Lhp9OU0JdFf_VYSMzH5lBcEaU4o8teT1piV-SNzShjg/edit?gid=554141278#gid=554141278"", ""'Char Def. - Attributes'!C20:C2242""), 1,false)"),"ORDER_UNIT_ELEC_PANEL")</f>
        <v>ORDER_UNIT_ELEC_PANEL</v>
      </c>
      <c r="I9012" s="136"/>
      <c r="R9012" s="63" t="str">
        <f t="shared" si="60"/>
        <v>ZSI1_ELEC_PANELORDER_UNIT_ELEC_PANEL</v>
      </c>
    </row>
    <row r="9013" ht="15.75" customHeight="1">
      <c r="B9013" s="63">
        <f t="shared" si="1"/>
        <v>15</v>
      </c>
      <c r="C9013" s="135" t="s">
        <v>316</v>
      </c>
      <c r="D9013" s="161" t="s">
        <v>74</v>
      </c>
      <c r="E9013" s="135">
        <f t="shared" si="62"/>
        <v>10</v>
      </c>
      <c r="F9013" s="134" t="s">
        <v>4056</v>
      </c>
      <c r="G9013" s="63" t="str">
        <f>VLOOKUP(C9013, 'Class Def. - General Data'!$C$20:$C$1000,1,false)</f>
        <v>ZSI1_ELEC_PANEL</v>
      </c>
      <c r="H9013" s="63" t="str">
        <f>IFERROR(__xludf.DUMMYFUNCTION("VLOOKUP(F9013, IMPORTRANGE(""https://docs.google.com/spreadsheets/d/1Lhp9OU0JdFf_VYSMzH5lBcEaU4o8teT1piV-SNzShjg/edit?gid=554141278#gid=554141278"", ""'Char Def. - Attributes'!C20:C2242""), 1,false)"),"GROSS_WEIGHT_OPT")</f>
        <v>GROSS_WEIGHT_OPT</v>
      </c>
      <c r="I9013" s="136"/>
      <c r="R9013" s="63" t="str">
        <f t="shared" si="60"/>
        <v>ZSI1_ELEC_PANELGROSS_WEIGHT_OPT</v>
      </c>
    </row>
    <row r="9014" ht="15.75" customHeight="1">
      <c r="B9014" s="63">
        <f t="shared" si="1"/>
        <v>15</v>
      </c>
      <c r="C9014" s="135" t="s">
        <v>316</v>
      </c>
      <c r="D9014" s="161" t="s">
        <v>74</v>
      </c>
      <c r="E9014" s="135">
        <f t="shared" si="62"/>
        <v>11</v>
      </c>
      <c r="F9014" s="134" t="s">
        <v>4057</v>
      </c>
      <c r="G9014" s="63" t="str">
        <f>VLOOKUP(C9014, 'Class Def. - General Data'!$C$20:$C$1000,1,false)</f>
        <v>ZSI1_ELEC_PANEL</v>
      </c>
      <c r="H9014" s="63" t="str">
        <f>IFERROR(__xludf.DUMMYFUNCTION("VLOOKUP(F9014, IMPORTRANGE(""https://docs.google.com/spreadsheets/d/1Lhp9OU0JdFf_VYSMzH5lBcEaU4o8teT1piV-SNzShjg/edit?gid=554141278#gid=554141278"", ""'Char Def. - Attributes'!C20:C2242""), 1,false)"),"NET_WEIGHT_OPT")</f>
        <v>NET_WEIGHT_OPT</v>
      </c>
      <c r="I9014" s="136"/>
      <c r="R9014" s="63" t="str">
        <f t="shared" si="60"/>
        <v>ZSI1_ELEC_PANELNET_WEIGHT_OPT</v>
      </c>
    </row>
    <row r="9015" ht="15.75" customHeight="1">
      <c r="B9015" s="63">
        <f t="shared" si="1"/>
        <v>15</v>
      </c>
      <c r="C9015" s="135" t="s">
        <v>316</v>
      </c>
      <c r="D9015" s="161" t="s">
        <v>74</v>
      </c>
      <c r="E9015" s="135">
        <f t="shared" si="62"/>
        <v>12</v>
      </c>
      <c r="F9015" s="134" t="s">
        <v>4058</v>
      </c>
      <c r="G9015" s="63" t="str">
        <f>VLOOKUP(C9015, 'Class Def. - General Data'!$C$20:$C$1000,1,false)</f>
        <v>ZSI1_ELEC_PANEL</v>
      </c>
      <c r="H9015" s="63" t="str">
        <f>IFERROR(__xludf.DUMMYFUNCTION("VLOOKUP(F9015, IMPORTRANGE(""https://docs.google.com/spreadsheets/d/1Lhp9OU0JdFf_VYSMzH5lBcEaU4o8teT1piV-SNzShjg/edit?gid=554141278#gid=554141278"", ""'Char Def. - Attributes'!C20:C2242""), 1,false)"),"WEIGHT_UNIT_SI")</f>
        <v>WEIGHT_UNIT_SI</v>
      </c>
      <c r="I9015" s="136"/>
      <c r="R9015" s="63" t="str">
        <f t="shared" si="60"/>
        <v>ZSI1_ELEC_PANELWEIGHT_UNIT_SI</v>
      </c>
    </row>
    <row r="9016" ht="15.75" customHeight="1">
      <c r="B9016" s="63">
        <f t="shared" si="1"/>
        <v>15</v>
      </c>
      <c r="C9016" s="135" t="s">
        <v>316</v>
      </c>
      <c r="D9016" s="161" t="s">
        <v>74</v>
      </c>
      <c r="E9016" s="135">
        <f t="shared" si="62"/>
        <v>13</v>
      </c>
      <c r="F9016" s="134" t="s">
        <v>3877</v>
      </c>
      <c r="G9016" s="63" t="str">
        <f>VLOOKUP(C9016, 'Class Def. - General Data'!$C$20:$C$1000,1,false)</f>
        <v>ZSI1_ELEC_PANEL</v>
      </c>
      <c r="H9016" s="63" t="str">
        <f>IFERROR(__xludf.DUMMYFUNCTION("VLOOKUP(F9016, IMPORTRANGE(""https://docs.google.com/spreadsheets/d/1Lhp9OU0JdFf_VYSMzH5lBcEaU4o8teT1piV-SNzShjg/edit?gid=554141278#gid=554141278"", ""'Char Def. - Attributes'!C20:C2242""), 1,false)"),"VOLUME_OPT")</f>
        <v>VOLUME_OPT</v>
      </c>
      <c r="I9016" s="136"/>
      <c r="R9016" s="63" t="str">
        <f t="shared" si="60"/>
        <v>ZSI1_ELEC_PANELVOLUME_OPT</v>
      </c>
    </row>
    <row r="9017" ht="15.75" customHeight="1">
      <c r="B9017" s="63">
        <f t="shared" si="1"/>
        <v>15</v>
      </c>
      <c r="C9017" s="135" t="s">
        <v>316</v>
      </c>
      <c r="D9017" s="161" t="s">
        <v>74</v>
      </c>
      <c r="E9017" s="135">
        <f t="shared" si="62"/>
        <v>14</v>
      </c>
      <c r="F9017" s="134" t="s">
        <v>4059</v>
      </c>
      <c r="G9017" s="63" t="str">
        <f>VLOOKUP(C9017, 'Class Def. - General Data'!$C$20:$C$1000,1,false)</f>
        <v>ZSI1_ELEC_PANEL</v>
      </c>
      <c r="H9017" s="63" t="str">
        <f>IFERROR(__xludf.DUMMYFUNCTION("VLOOKUP(F9017, IMPORTRANGE(""https://docs.google.com/spreadsheets/d/1Lhp9OU0JdFf_VYSMzH5lBcEaU4o8teT1piV-SNzShjg/edit?gid=554141278#gid=554141278"", ""'Char Def. - Attributes'!C20:C2242""), 1,false)"),"VOLUME_UNIT_SI")</f>
        <v>VOLUME_UNIT_SI</v>
      </c>
      <c r="I9017" s="136"/>
      <c r="R9017" s="63" t="str">
        <f t="shared" si="60"/>
        <v>ZSI1_ELEC_PANELVOLUME_UNIT_SI</v>
      </c>
    </row>
    <row r="9018" ht="15.75" customHeight="1">
      <c r="B9018" s="63">
        <f t="shared" si="1"/>
        <v>15</v>
      </c>
      <c r="C9018" s="135" t="s">
        <v>316</v>
      </c>
      <c r="D9018" s="161" t="s">
        <v>74</v>
      </c>
      <c r="E9018" s="135">
        <f t="shared" si="62"/>
        <v>15</v>
      </c>
      <c r="F9018" s="134" t="s">
        <v>3804</v>
      </c>
      <c r="G9018" s="63" t="str">
        <f>VLOOKUP(C9018, 'Class Def. - General Data'!$C$20:$C$1000,1,false)</f>
        <v>ZSI1_ELEC_PANEL</v>
      </c>
      <c r="H9018" s="63" t="str">
        <f>IFERROR(__xludf.DUMMYFUNCTION("VLOOKUP(F9018, IMPORTRANGE(""https://docs.google.com/spreadsheets/d/1Lhp9OU0JdFf_VYSMzH5lBcEaU4o8teT1piV-SNzShjg/edit?gid=554141278#gid=554141278"", ""'Char Def. - Attributes'!C20:C2242""), 1,false)"),"ALT_UOM1_SIPI")</f>
        <v>ALT_UOM1_SIPI</v>
      </c>
      <c r="I9018" s="136"/>
      <c r="R9018" s="63" t="str">
        <f t="shared" si="60"/>
        <v>ZSI1_ELEC_PANELALT_UOM1_SIPI</v>
      </c>
    </row>
    <row r="9019" ht="15.75" customHeight="1">
      <c r="B9019" s="63">
        <f t="shared" si="1"/>
        <v>15</v>
      </c>
      <c r="C9019" s="135" t="s">
        <v>316</v>
      </c>
      <c r="D9019" s="161" t="s">
        <v>74</v>
      </c>
      <c r="E9019" s="135">
        <f t="shared" si="62"/>
        <v>16</v>
      </c>
      <c r="F9019" s="134" t="s">
        <v>3805</v>
      </c>
      <c r="G9019" s="63" t="str">
        <f>VLOOKUP(C9019, 'Class Def. - General Data'!$C$20:$C$1000,1,false)</f>
        <v>ZSI1_ELEC_PANEL</v>
      </c>
      <c r="H9019" s="63" t="str">
        <f>IFERROR(__xludf.DUMMYFUNCTION("VLOOKUP(F9019, IMPORTRANGE(""https://docs.google.com/spreadsheets/d/1Lhp9OU0JdFf_VYSMzH5lBcEaU4o8teT1piV-SNzShjg/edit?gid=554141278#gid=554141278"", ""'Char Def. - Attributes'!C20:C2242""), 1,false)"),"ALT_DENUM_UOM1")</f>
        <v>ALT_DENUM_UOM1</v>
      </c>
      <c r="I9019" s="136"/>
      <c r="R9019" s="63" t="str">
        <f t="shared" si="60"/>
        <v>ZSI1_ELEC_PANELALT_DENUM_UOM1</v>
      </c>
    </row>
    <row r="9020" ht="15.75" customHeight="1">
      <c r="B9020" s="63">
        <f t="shared" si="1"/>
        <v>15</v>
      </c>
      <c r="C9020" s="135" t="s">
        <v>316</v>
      </c>
      <c r="D9020" s="161" t="s">
        <v>74</v>
      </c>
      <c r="E9020" s="135">
        <f t="shared" si="62"/>
        <v>17</v>
      </c>
      <c r="F9020" s="134" t="s">
        <v>3806</v>
      </c>
      <c r="G9020" s="63" t="str">
        <f>VLOOKUP(C9020, 'Class Def. - General Data'!$C$20:$C$1000,1,false)</f>
        <v>ZSI1_ELEC_PANEL</v>
      </c>
      <c r="H9020" s="63" t="str">
        <f>IFERROR(__xludf.DUMMYFUNCTION("VLOOKUP(F9020, IMPORTRANGE(""https://docs.google.com/spreadsheets/d/1Lhp9OU0JdFf_VYSMzH5lBcEaU4o8teT1piV-SNzShjg/edit?gid=554141278#gid=554141278"", ""'Char Def. - Attributes'!C20:C2242""), 1,false)"),"ALT_NUM_UOM1")</f>
        <v>ALT_NUM_UOM1</v>
      </c>
      <c r="I9020" s="136"/>
      <c r="R9020" s="63" t="str">
        <f t="shared" si="60"/>
        <v>ZSI1_ELEC_PANELALT_NUM_UOM1</v>
      </c>
    </row>
    <row r="9021" ht="15.75" customHeight="1">
      <c r="B9021" s="63">
        <f t="shared" si="1"/>
        <v>15</v>
      </c>
      <c r="C9021" s="135" t="s">
        <v>316</v>
      </c>
      <c r="D9021" s="161" t="s">
        <v>74</v>
      </c>
      <c r="E9021" s="135">
        <f t="shared" si="62"/>
        <v>18</v>
      </c>
      <c r="F9021" s="134" t="s">
        <v>3807</v>
      </c>
      <c r="G9021" s="63" t="str">
        <f>VLOOKUP(C9021, 'Class Def. - General Data'!$C$20:$C$1000,1,false)</f>
        <v>ZSI1_ELEC_PANEL</v>
      </c>
      <c r="H9021" s="63" t="str">
        <f>IFERROR(__xludf.DUMMYFUNCTION("VLOOKUP(F9021, IMPORTRANGE(""https://docs.google.com/spreadsheets/d/1Lhp9OU0JdFf_VYSMzH5lBcEaU4o8teT1piV-SNzShjg/edit?gid=554141278#gid=554141278"", ""'Char Def. - Attributes'!C20:C2242""), 1,false)"),"ALT_UOM2_SIPI")</f>
        <v>ALT_UOM2_SIPI</v>
      </c>
      <c r="I9021" s="136"/>
      <c r="R9021" s="63" t="str">
        <f t="shared" si="60"/>
        <v>ZSI1_ELEC_PANELALT_UOM2_SIPI</v>
      </c>
    </row>
    <row r="9022" ht="15.75" customHeight="1">
      <c r="B9022" s="63">
        <f t="shared" si="1"/>
        <v>15</v>
      </c>
      <c r="C9022" s="135" t="s">
        <v>316</v>
      </c>
      <c r="D9022" s="161" t="s">
        <v>74</v>
      </c>
      <c r="E9022" s="135">
        <f t="shared" si="62"/>
        <v>19</v>
      </c>
      <c r="F9022" s="134" t="s">
        <v>3808</v>
      </c>
      <c r="G9022" s="63" t="str">
        <f>VLOOKUP(C9022, 'Class Def. - General Data'!$C$20:$C$1000,1,false)</f>
        <v>ZSI1_ELEC_PANEL</v>
      </c>
      <c r="H9022" s="63" t="str">
        <f>IFERROR(__xludf.DUMMYFUNCTION("VLOOKUP(F9022, IMPORTRANGE(""https://docs.google.com/spreadsheets/d/1Lhp9OU0JdFf_VYSMzH5lBcEaU4o8teT1piV-SNzShjg/edit?gid=554141278#gid=554141278"", ""'Char Def. - Attributes'!C20:C2242""), 1,false)"),"ALT_DENUM_UOM2")</f>
        <v>ALT_DENUM_UOM2</v>
      </c>
      <c r="I9022" s="136"/>
      <c r="R9022" s="63" t="str">
        <f t="shared" si="60"/>
        <v>ZSI1_ELEC_PANELALT_DENUM_UOM2</v>
      </c>
    </row>
    <row r="9023" ht="15.75" customHeight="1">
      <c r="B9023" s="63">
        <f t="shared" si="1"/>
        <v>15</v>
      </c>
      <c r="C9023" s="135" t="s">
        <v>316</v>
      </c>
      <c r="D9023" s="161" t="s">
        <v>74</v>
      </c>
      <c r="E9023" s="135">
        <f t="shared" si="62"/>
        <v>20</v>
      </c>
      <c r="F9023" s="134" t="s">
        <v>3809</v>
      </c>
      <c r="G9023" s="63" t="str">
        <f>VLOOKUP(C9023, 'Class Def. - General Data'!$C$20:$C$1000,1,false)</f>
        <v>ZSI1_ELEC_PANEL</v>
      </c>
      <c r="H9023" s="63" t="str">
        <f>IFERROR(__xludf.DUMMYFUNCTION("VLOOKUP(F9023, IMPORTRANGE(""https://docs.google.com/spreadsheets/d/1Lhp9OU0JdFf_VYSMzH5lBcEaU4o8teT1piV-SNzShjg/edit?gid=554141278#gid=554141278"", ""'Char Def. - Attributes'!C20:C2242""), 1,false)"),"ALT_NUM_UOM2")</f>
        <v>ALT_NUM_UOM2</v>
      </c>
      <c r="I9023" s="136"/>
      <c r="R9023" s="63" t="str">
        <f t="shared" si="60"/>
        <v>ZSI1_ELEC_PANELALT_NUM_UOM2</v>
      </c>
    </row>
    <row r="9024" ht="15.75" customHeight="1">
      <c r="B9024" s="63">
        <f t="shared" si="1"/>
        <v>15</v>
      </c>
      <c r="C9024" s="135" t="s">
        <v>316</v>
      </c>
      <c r="D9024" s="161" t="s">
        <v>74</v>
      </c>
      <c r="E9024" s="135">
        <f t="shared" si="62"/>
        <v>21</v>
      </c>
      <c r="F9024" s="134" t="s">
        <v>3810</v>
      </c>
      <c r="G9024" s="63" t="str">
        <f>VLOOKUP(C9024, 'Class Def. - General Data'!$C$20:$C$1000,1,false)</f>
        <v>ZSI1_ELEC_PANEL</v>
      </c>
      <c r="H9024" s="63" t="str">
        <f>IFERROR(__xludf.DUMMYFUNCTION("VLOOKUP(F9024, IMPORTRANGE(""https://docs.google.com/spreadsheets/d/1Lhp9OU0JdFf_VYSMzH5lBcEaU4o8teT1piV-SNzShjg/edit?gid=554141278#gid=554141278"", ""'Char Def. - Attributes'!C20:C2242""), 1,false)"),"ALT_UOM3_SIPI")</f>
        <v>ALT_UOM3_SIPI</v>
      </c>
      <c r="I9024" s="136"/>
      <c r="R9024" s="63" t="str">
        <f t="shared" si="60"/>
        <v>ZSI1_ELEC_PANELALT_UOM3_SIPI</v>
      </c>
    </row>
    <row r="9025" ht="15.75" customHeight="1">
      <c r="B9025" s="63">
        <f t="shared" si="1"/>
        <v>15</v>
      </c>
      <c r="C9025" s="135" t="s">
        <v>316</v>
      </c>
      <c r="D9025" s="161" t="s">
        <v>74</v>
      </c>
      <c r="E9025" s="135">
        <f t="shared" si="62"/>
        <v>22</v>
      </c>
      <c r="F9025" s="134" t="s">
        <v>3811</v>
      </c>
      <c r="G9025" s="63" t="str">
        <f>VLOOKUP(C9025, 'Class Def. - General Data'!$C$20:$C$1000,1,false)</f>
        <v>ZSI1_ELEC_PANEL</v>
      </c>
      <c r="H9025" s="63" t="str">
        <f>IFERROR(__xludf.DUMMYFUNCTION("VLOOKUP(F9025, IMPORTRANGE(""https://docs.google.com/spreadsheets/d/1Lhp9OU0JdFf_VYSMzH5lBcEaU4o8teT1piV-SNzShjg/edit?gid=554141278#gid=554141278"", ""'Char Def. - Attributes'!C20:C2242""), 1,false)"),"ALT_DENUM_UOM3")</f>
        <v>ALT_DENUM_UOM3</v>
      </c>
      <c r="I9025" s="136"/>
      <c r="R9025" s="63" t="str">
        <f t="shared" si="60"/>
        <v>ZSI1_ELEC_PANELALT_DENUM_UOM3</v>
      </c>
    </row>
    <row r="9026" ht="15.75" customHeight="1">
      <c r="B9026" s="63">
        <f t="shared" si="1"/>
        <v>15</v>
      </c>
      <c r="C9026" s="135" t="s">
        <v>316</v>
      </c>
      <c r="D9026" s="161" t="s">
        <v>74</v>
      </c>
      <c r="E9026" s="135">
        <f t="shared" si="62"/>
        <v>23</v>
      </c>
      <c r="F9026" s="134" t="s">
        <v>3812</v>
      </c>
      <c r="G9026" s="63" t="str">
        <f>VLOOKUP(C9026, 'Class Def. - General Data'!$C$20:$C$1000,1,false)</f>
        <v>ZSI1_ELEC_PANEL</v>
      </c>
      <c r="H9026" s="63" t="str">
        <f>IFERROR(__xludf.DUMMYFUNCTION("VLOOKUP(F9026, IMPORTRANGE(""https://docs.google.com/spreadsheets/d/1Lhp9OU0JdFf_VYSMzH5lBcEaU4o8teT1piV-SNzShjg/edit?gid=554141278#gid=554141278"", ""'Char Def. - Attributes'!C20:C2242""), 1,false)"),"ALT_NUM_UOM3")</f>
        <v>ALT_NUM_UOM3</v>
      </c>
      <c r="I9026" s="136"/>
      <c r="R9026" s="63" t="str">
        <f t="shared" si="60"/>
        <v>ZSI1_ELEC_PANELALT_NUM_UOM3</v>
      </c>
    </row>
    <row r="9027" ht="15.75" customHeight="1">
      <c r="B9027" s="63">
        <f t="shared" si="1"/>
        <v>15</v>
      </c>
      <c r="C9027" s="135" t="s">
        <v>316</v>
      </c>
      <c r="D9027" s="161" t="s">
        <v>74</v>
      </c>
      <c r="E9027" s="135">
        <f t="shared" si="62"/>
        <v>24</v>
      </c>
      <c r="F9027" s="134" t="s">
        <v>3813</v>
      </c>
      <c r="G9027" s="63" t="str">
        <f>VLOOKUP(C9027, 'Class Def. - General Data'!$C$20:$C$1000,1,false)</f>
        <v>ZSI1_ELEC_PANEL</v>
      </c>
      <c r="H9027" s="63" t="str">
        <f>IFERROR(__xludf.DUMMYFUNCTION("VLOOKUP(F9027, IMPORTRANGE(""https://docs.google.com/spreadsheets/d/1Lhp9OU0JdFf_VYSMzH5lBcEaU4o8teT1piV-SNzShjg/edit?gid=554141278#gid=554141278"", ""'Char Def. - Attributes'!C20:C2242""), 1,false)"),"ALT_UOM4_SIPI")</f>
        <v>ALT_UOM4_SIPI</v>
      </c>
      <c r="I9027" s="136"/>
      <c r="R9027" s="63" t="str">
        <f t="shared" si="60"/>
        <v>ZSI1_ELEC_PANELALT_UOM4_SIPI</v>
      </c>
    </row>
    <row r="9028" ht="15.75" customHeight="1">
      <c r="B9028" s="63">
        <f t="shared" si="1"/>
        <v>15</v>
      </c>
      <c r="C9028" s="135" t="s">
        <v>316</v>
      </c>
      <c r="D9028" s="161" t="s">
        <v>74</v>
      </c>
      <c r="E9028" s="135">
        <f t="shared" si="62"/>
        <v>25</v>
      </c>
      <c r="F9028" s="134" t="s">
        <v>3814</v>
      </c>
      <c r="G9028" s="63" t="str">
        <f>VLOOKUP(C9028, 'Class Def. - General Data'!$C$20:$C$1000,1,false)</f>
        <v>ZSI1_ELEC_PANEL</v>
      </c>
      <c r="H9028" s="63" t="str">
        <f>IFERROR(__xludf.DUMMYFUNCTION("VLOOKUP(F9028, IMPORTRANGE(""https://docs.google.com/spreadsheets/d/1Lhp9OU0JdFf_VYSMzH5lBcEaU4o8teT1piV-SNzShjg/edit?gid=554141278#gid=554141278"", ""'Char Def. - Attributes'!C20:C2242""), 1,false)"),"ALT_DENUM_UOM4")</f>
        <v>ALT_DENUM_UOM4</v>
      </c>
      <c r="I9028" s="136"/>
      <c r="R9028" s="63" t="str">
        <f t="shared" si="60"/>
        <v>ZSI1_ELEC_PANELALT_DENUM_UOM4</v>
      </c>
    </row>
    <row r="9029" ht="15.75" customHeight="1">
      <c r="B9029" s="63">
        <f t="shared" si="1"/>
        <v>15</v>
      </c>
      <c r="C9029" s="135" t="s">
        <v>316</v>
      </c>
      <c r="D9029" s="161" t="s">
        <v>74</v>
      </c>
      <c r="E9029" s="135">
        <f t="shared" si="62"/>
        <v>26</v>
      </c>
      <c r="F9029" s="134" t="s">
        <v>3815</v>
      </c>
      <c r="G9029" s="63" t="str">
        <f>VLOOKUP(C9029, 'Class Def. - General Data'!$C$20:$C$1000,1,false)</f>
        <v>ZSI1_ELEC_PANEL</v>
      </c>
      <c r="H9029" s="63" t="str">
        <f>IFERROR(__xludf.DUMMYFUNCTION("VLOOKUP(F9029, IMPORTRANGE(""https://docs.google.com/spreadsheets/d/1Lhp9OU0JdFf_VYSMzH5lBcEaU4o8teT1piV-SNzShjg/edit?gid=554141278#gid=554141278"", ""'Char Def. - Attributes'!C20:C2242""), 1,false)"),"ALT_NUM_UOM4")</f>
        <v>ALT_NUM_UOM4</v>
      </c>
      <c r="I9029" s="136"/>
      <c r="R9029" s="63" t="str">
        <f t="shared" si="60"/>
        <v>ZSI1_ELEC_PANELALT_NUM_UOM4</v>
      </c>
    </row>
    <row r="9030" ht="15.75" customHeight="1">
      <c r="B9030" s="63">
        <f t="shared" si="1"/>
        <v>15</v>
      </c>
      <c r="C9030" s="135" t="s">
        <v>316</v>
      </c>
      <c r="D9030" s="161" t="s">
        <v>74</v>
      </c>
      <c r="E9030" s="135">
        <f t="shared" si="62"/>
        <v>27</v>
      </c>
      <c r="F9030" s="134" t="s">
        <v>3816</v>
      </c>
      <c r="G9030" s="63" t="str">
        <f>VLOOKUP(C9030, 'Class Def. - General Data'!$C$20:$C$1000,1,false)</f>
        <v>ZSI1_ELEC_PANEL</v>
      </c>
      <c r="H9030" s="63" t="str">
        <f>IFERROR(__xludf.DUMMYFUNCTION("VLOOKUP(F9030, IMPORTRANGE(""https://docs.google.com/spreadsheets/d/1Lhp9OU0JdFf_VYSMzH5lBcEaU4o8teT1piV-SNzShjg/edit?gid=554141278#gid=554141278"", ""'Char Def. - Attributes'!C20:C2242""), 1,false)"),"ALT_UOM5_SIPI")</f>
        <v>ALT_UOM5_SIPI</v>
      </c>
      <c r="I9030" s="136"/>
      <c r="R9030" s="63" t="str">
        <f t="shared" si="60"/>
        <v>ZSI1_ELEC_PANELALT_UOM5_SIPI</v>
      </c>
    </row>
    <row r="9031" ht="15.75" customHeight="1">
      <c r="B9031" s="63">
        <f t="shared" si="1"/>
        <v>15</v>
      </c>
      <c r="C9031" s="135" t="s">
        <v>316</v>
      </c>
      <c r="D9031" s="161" t="s">
        <v>74</v>
      </c>
      <c r="E9031" s="135">
        <f t="shared" si="62"/>
        <v>28</v>
      </c>
      <c r="F9031" s="134" t="s">
        <v>3817</v>
      </c>
      <c r="G9031" s="63" t="str">
        <f>VLOOKUP(C9031, 'Class Def. - General Data'!$C$20:$C$1000,1,false)</f>
        <v>ZSI1_ELEC_PANEL</v>
      </c>
      <c r="H9031" s="63" t="str">
        <f>IFERROR(__xludf.DUMMYFUNCTION("VLOOKUP(F9031, IMPORTRANGE(""https://docs.google.com/spreadsheets/d/1Lhp9OU0JdFf_VYSMzH5lBcEaU4o8teT1piV-SNzShjg/edit?gid=554141278#gid=554141278"", ""'Char Def. - Attributes'!C20:C2242""), 1,false)"),"ALT_DENUM_UOM5")</f>
        <v>ALT_DENUM_UOM5</v>
      </c>
      <c r="I9031" s="136"/>
      <c r="R9031" s="63" t="str">
        <f t="shared" si="60"/>
        <v>ZSI1_ELEC_PANELALT_DENUM_UOM5</v>
      </c>
    </row>
    <row r="9032" ht="15.75" customHeight="1">
      <c r="B9032" s="63">
        <f t="shared" si="1"/>
        <v>15</v>
      </c>
      <c r="C9032" s="135" t="s">
        <v>316</v>
      </c>
      <c r="D9032" s="161" t="s">
        <v>74</v>
      </c>
      <c r="E9032" s="135">
        <f t="shared" si="62"/>
        <v>29</v>
      </c>
      <c r="F9032" s="134" t="s">
        <v>3818</v>
      </c>
      <c r="G9032" s="63" t="str">
        <f>VLOOKUP(C9032, 'Class Def. - General Data'!$C$20:$C$1000,1,false)</f>
        <v>ZSI1_ELEC_PANEL</v>
      </c>
      <c r="H9032" s="63" t="str">
        <f>IFERROR(__xludf.DUMMYFUNCTION("VLOOKUP(F9032, IMPORTRANGE(""https://docs.google.com/spreadsheets/d/1Lhp9OU0JdFf_VYSMzH5lBcEaU4o8teT1piV-SNzShjg/edit?gid=554141278#gid=554141278"", ""'Char Def. - Attributes'!C20:C2242""), 1,false)"),"ALT_NUM_UOM5")</f>
        <v>ALT_NUM_UOM5</v>
      </c>
      <c r="I9032" s="136"/>
      <c r="R9032" s="63" t="str">
        <f t="shared" si="60"/>
        <v>ZSI1_ELEC_PANELALT_NUM_UOM5</v>
      </c>
    </row>
    <row r="9033" ht="15.75" customHeight="1">
      <c r="B9033" s="63">
        <f t="shared" si="1"/>
        <v>15</v>
      </c>
      <c r="C9033" s="135" t="s">
        <v>313</v>
      </c>
      <c r="D9033" s="161" t="s">
        <v>74</v>
      </c>
      <c r="E9033" s="135">
        <f t="shared" si="62"/>
        <v>1</v>
      </c>
      <c r="F9033" s="134" t="s">
        <v>4466</v>
      </c>
      <c r="G9033" s="63" t="str">
        <f>VLOOKUP(C9033, 'Class Def. - General Data'!$C$20:$C$1000,1,false)</f>
        <v>ZSI1_ELEC_RELAY</v>
      </c>
      <c r="H9033" s="63" t="str">
        <f>IFERROR(__xludf.DUMMYFUNCTION("VLOOKUP(F9033, IMPORTRANGE(""https://docs.google.com/spreadsheets/d/1Lhp9OU0JdFf_VYSMzH5lBcEaU4o8teT1piV-SNzShjg/edit?gid=554141278#gid=554141278"", ""'Char Def. - Attributes'!C20:C2242""), 1,false)"),"ITEM_NAME_ELEC_RELAY")</f>
        <v>ITEM_NAME_ELEC_RELAY</v>
      </c>
      <c r="I9033" s="136"/>
      <c r="R9033" s="63" t="str">
        <f t="shared" si="60"/>
        <v>ZSI1_ELEC_RELAYITEM_NAME_ELEC_RELAY</v>
      </c>
    </row>
    <row r="9034" ht="15.75" customHeight="1">
      <c r="B9034" s="63">
        <f t="shared" si="1"/>
        <v>15</v>
      </c>
      <c r="C9034" s="135" t="s">
        <v>313</v>
      </c>
      <c r="D9034" s="161" t="s">
        <v>74</v>
      </c>
      <c r="E9034" s="135">
        <f t="shared" si="62"/>
        <v>2</v>
      </c>
      <c r="F9034" s="134" t="s">
        <v>4467</v>
      </c>
      <c r="G9034" s="63" t="str">
        <f>VLOOKUP(C9034, 'Class Def. - General Data'!$C$20:$C$1000,1,false)</f>
        <v>ZSI1_ELEC_RELAY</v>
      </c>
      <c r="H9034" s="63" t="str">
        <f>IFERROR(__xludf.DUMMYFUNCTION("VLOOKUP(F9034, IMPORTRANGE(""https://docs.google.com/spreadsheets/d/1Lhp9OU0JdFf_VYSMzH5lBcEaU4o8teT1piV-SNzShjg/edit?gid=554141278#gid=554141278"", ""'Char Def. - Attributes'!C20:C2242""), 1,false)"),"MFR_NO_ELEC_RELAY")</f>
        <v>MFR_NO_ELEC_RELAY</v>
      </c>
      <c r="I9034" s="136"/>
      <c r="R9034" s="63" t="str">
        <f t="shared" si="60"/>
        <v>ZSI1_ELEC_RELAYMFR_NO_ELEC_RELAY</v>
      </c>
    </row>
    <row r="9035" ht="15.75" customHeight="1">
      <c r="B9035" s="63">
        <f t="shared" si="1"/>
        <v>15</v>
      </c>
      <c r="C9035" s="135" t="s">
        <v>313</v>
      </c>
      <c r="D9035" s="161" t="s">
        <v>74</v>
      </c>
      <c r="E9035" s="135">
        <f t="shared" si="62"/>
        <v>3</v>
      </c>
      <c r="F9035" s="134" t="s">
        <v>3782</v>
      </c>
      <c r="G9035" s="63" t="str">
        <f>VLOOKUP(C9035, 'Class Def. - General Data'!$C$20:$C$1000,1,false)</f>
        <v>ZSI1_ELEC_RELAY</v>
      </c>
      <c r="H9035" s="63" t="str">
        <f>IFERROR(__xludf.DUMMYFUNCTION("VLOOKUP(F9035, IMPORTRANGE(""https://docs.google.com/spreadsheets/d/1Lhp9OU0JdFf_VYSMzH5lBcEaU4o8teT1piV-SNzShjg/edit?gid=554141278#gid=554141278"", ""'Char Def. - Attributes'!C20:C2242""), 1,false)"),"BRAND_EXTERNAL")</f>
        <v>BRAND_EXTERNAL</v>
      </c>
      <c r="I9035" s="136"/>
      <c r="R9035" s="63" t="str">
        <f t="shared" si="60"/>
        <v>ZSI1_ELEC_RELAYBRAND_EXTERNAL</v>
      </c>
    </row>
    <row r="9036" ht="15.75" customHeight="1">
      <c r="B9036" s="63">
        <f t="shared" si="1"/>
        <v>15</v>
      </c>
      <c r="C9036" s="135" t="s">
        <v>313</v>
      </c>
      <c r="D9036" s="161" t="s">
        <v>74</v>
      </c>
      <c r="E9036" s="135">
        <f t="shared" si="62"/>
        <v>4</v>
      </c>
      <c r="F9036" s="134" t="s">
        <v>4062</v>
      </c>
      <c r="G9036" s="63" t="str">
        <f>VLOOKUP(C9036, 'Class Def. - General Data'!$C$20:$C$1000,1,false)</f>
        <v>ZSI1_ELEC_RELAY</v>
      </c>
      <c r="H9036" s="63" t="str">
        <f>IFERROR(__xludf.DUMMYFUNCTION("VLOOKUP(F9036, IMPORTRANGE(""https://docs.google.com/spreadsheets/d/1Lhp9OU0JdFf_VYSMzH5lBcEaU4o8teT1piV-SNzShjg/edit?gid=554141278#gid=554141278"", ""'Char Def. - Attributes'!C20:C2242""), 1,false)"),"#N/A")</f>
        <v>#N/A</v>
      </c>
      <c r="I9036" s="136"/>
      <c r="R9036" s="63" t="str">
        <f t="shared" si="60"/>
        <v>ZSI1_ELEC_RELAYADDTIONAL_SPECIFICATION</v>
      </c>
    </row>
    <row r="9037" ht="15.75" customHeight="1">
      <c r="B9037" s="63">
        <f t="shared" si="1"/>
        <v>15</v>
      </c>
      <c r="C9037" s="135" t="s">
        <v>313</v>
      </c>
      <c r="D9037" s="161" t="s">
        <v>74</v>
      </c>
      <c r="E9037" s="135">
        <f t="shared" si="62"/>
        <v>5</v>
      </c>
      <c r="F9037" s="134" t="s">
        <v>3585</v>
      </c>
      <c r="G9037" s="63" t="str">
        <f>VLOOKUP(C9037, 'Class Def. - General Data'!$C$20:$C$1000,1,false)</f>
        <v>ZSI1_ELEC_RELAY</v>
      </c>
      <c r="H9037" s="63" t="str">
        <f>IFERROR(__xludf.DUMMYFUNCTION("VLOOKUP(F9037, IMPORTRANGE(""https://docs.google.com/spreadsheets/d/1Lhp9OU0JdFf_VYSMzH5lBcEaU4o8teT1piV-SNzShjg/edit?gid=554141278#gid=554141278"", ""'Char Def. - Attributes'!C20:C2242""), 1,false)"),"HS_CODE")</f>
        <v>HS_CODE</v>
      </c>
      <c r="I9037" s="136"/>
      <c r="R9037" s="63" t="str">
        <f t="shared" si="60"/>
        <v>ZSI1_ELEC_RELAYHS_CODE</v>
      </c>
    </row>
    <row r="9038" ht="15.75" customHeight="1">
      <c r="B9038" s="63">
        <f t="shared" si="1"/>
        <v>15</v>
      </c>
      <c r="C9038" s="135" t="s">
        <v>313</v>
      </c>
      <c r="D9038" s="161" t="s">
        <v>74</v>
      </c>
      <c r="E9038" s="135">
        <f t="shared" si="62"/>
        <v>6</v>
      </c>
      <c r="F9038" s="134" t="s">
        <v>3587</v>
      </c>
      <c r="G9038" s="63" t="str">
        <f>VLOOKUP(C9038, 'Class Def. - General Data'!$C$20:$C$1000,1,false)</f>
        <v>ZSI1_ELEC_RELAY</v>
      </c>
      <c r="H9038" s="63" t="str">
        <f>IFERROR(__xludf.DUMMYFUNCTION("VLOOKUP(F9038, IMPORTRANGE(""https://docs.google.com/spreadsheets/d/1Lhp9OU0JdFf_VYSMzH5lBcEaU4o8teT1piV-SNzShjg/edit?gid=554141278#gid=554141278"", ""'Char Def. - Attributes'!C20:C2242""), 1,false)"),"PLANT_BUY")</f>
        <v>PLANT_BUY</v>
      </c>
      <c r="I9038" s="136"/>
      <c r="R9038" s="63" t="str">
        <f t="shared" si="60"/>
        <v>ZSI1_ELEC_RELAYPLANT_BUY</v>
      </c>
    </row>
    <row r="9039" ht="15.75" customHeight="1">
      <c r="B9039" s="63">
        <f t="shared" si="1"/>
        <v>15</v>
      </c>
      <c r="C9039" s="135" t="s">
        <v>313</v>
      </c>
      <c r="D9039" s="161" t="s">
        <v>74</v>
      </c>
      <c r="E9039" s="135">
        <f t="shared" si="62"/>
        <v>7</v>
      </c>
      <c r="F9039" s="134" t="s">
        <v>4468</v>
      </c>
      <c r="G9039" s="63" t="str">
        <f>VLOOKUP(C9039, 'Class Def. - General Data'!$C$20:$C$1000,1,false)</f>
        <v>ZSI1_ELEC_RELAY</v>
      </c>
      <c r="H9039" s="63" t="str">
        <f>IFERROR(__xludf.DUMMYFUNCTION("VLOOKUP(F9039, IMPORTRANGE(""https://docs.google.com/spreadsheets/d/1Lhp9OU0JdFf_VYSMzH5lBcEaU4o8teT1piV-SNzShjg/edit?gid=554141278#gid=554141278"", ""'Char Def. - Attributes'!C20:C2242""), 1,false)"),"BASE_UOM_ELEC_RELAY")</f>
        <v>BASE_UOM_ELEC_RELAY</v>
      </c>
      <c r="I9039" s="136"/>
      <c r="R9039" s="63" t="str">
        <f t="shared" si="60"/>
        <v>ZSI1_ELEC_RELAYBASE_UOM_ELEC_RELAY</v>
      </c>
    </row>
    <row r="9040" ht="15.75" customHeight="1">
      <c r="B9040" s="63">
        <f t="shared" si="1"/>
        <v>15</v>
      </c>
      <c r="C9040" s="135" t="s">
        <v>313</v>
      </c>
      <c r="D9040" s="161" t="s">
        <v>74</v>
      </c>
      <c r="E9040" s="135">
        <f t="shared" si="62"/>
        <v>8</v>
      </c>
      <c r="F9040" s="134" t="s">
        <v>4469</v>
      </c>
      <c r="G9040" s="63" t="str">
        <f>VLOOKUP(C9040, 'Class Def. - General Data'!$C$20:$C$1000,1,false)</f>
        <v>ZSI1_ELEC_RELAY</v>
      </c>
      <c r="H9040" s="63" t="str">
        <f>IFERROR(__xludf.DUMMYFUNCTION("VLOOKUP(F9040, IMPORTRANGE(""https://docs.google.com/spreadsheets/d/1Lhp9OU0JdFf_VYSMzH5lBcEaU4o8teT1piV-SNzShjg/edit?gid=554141278#gid=554141278"", ""'Char Def. - Attributes'!C20:C2242""), 1,false)"),"ORDER_UNIT_ELEC_RELAY")</f>
        <v>ORDER_UNIT_ELEC_RELAY</v>
      </c>
      <c r="I9040" s="136"/>
      <c r="R9040" s="63" t="str">
        <f t="shared" si="60"/>
        <v>ZSI1_ELEC_RELAYORDER_UNIT_ELEC_RELAY</v>
      </c>
    </row>
    <row r="9041" ht="15.75" customHeight="1">
      <c r="B9041" s="63">
        <f t="shared" si="1"/>
        <v>15</v>
      </c>
      <c r="C9041" s="135" t="s">
        <v>313</v>
      </c>
      <c r="D9041" s="161" t="s">
        <v>74</v>
      </c>
      <c r="E9041" s="135">
        <f t="shared" si="62"/>
        <v>9</v>
      </c>
      <c r="F9041" s="134" t="s">
        <v>4056</v>
      </c>
      <c r="G9041" s="63" t="str">
        <f>VLOOKUP(C9041, 'Class Def. - General Data'!$C$20:$C$1000,1,false)</f>
        <v>ZSI1_ELEC_RELAY</v>
      </c>
      <c r="H9041" s="63" t="str">
        <f>IFERROR(__xludf.DUMMYFUNCTION("VLOOKUP(F9041, IMPORTRANGE(""https://docs.google.com/spreadsheets/d/1Lhp9OU0JdFf_VYSMzH5lBcEaU4o8teT1piV-SNzShjg/edit?gid=554141278#gid=554141278"", ""'Char Def. - Attributes'!C20:C2242""), 1,false)"),"GROSS_WEIGHT_OPT")</f>
        <v>GROSS_WEIGHT_OPT</v>
      </c>
      <c r="I9041" s="136"/>
      <c r="R9041" s="63" t="str">
        <f t="shared" si="60"/>
        <v>ZSI1_ELEC_RELAYGROSS_WEIGHT_OPT</v>
      </c>
    </row>
    <row r="9042" ht="15.75" customHeight="1">
      <c r="B9042" s="63">
        <f t="shared" si="1"/>
        <v>15</v>
      </c>
      <c r="C9042" s="135" t="s">
        <v>313</v>
      </c>
      <c r="D9042" s="161" t="s">
        <v>74</v>
      </c>
      <c r="E9042" s="135">
        <f t="shared" si="62"/>
        <v>10</v>
      </c>
      <c r="F9042" s="134" t="s">
        <v>4057</v>
      </c>
      <c r="G9042" s="63" t="str">
        <f>VLOOKUP(C9042, 'Class Def. - General Data'!$C$20:$C$1000,1,false)</f>
        <v>ZSI1_ELEC_RELAY</v>
      </c>
      <c r="H9042" s="63" t="str">
        <f>IFERROR(__xludf.DUMMYFUNCTION("VLOOKUP(F9042, IMPORTRANGE(""https://docs.google.com/spreadsheets/d/1Lhp9OU0JdFf_VYSMzH5lBcEaU4o8teT1piV-SNzShjg/edit?gid=554141278#gid=554141278"", ""'Char Def. - Attributes'!C20:C2242""), 1,false)"),"NET_WEIGHT_OPT")</f>
        <v>NET_WEIGHT_OPT</v>
      </c>
      <c r="I9042" s="136"/>
      <c r="R9042" s="63" t="str">
        <f t="shared" si="60"/>
        <v>ZSI1_ELEC_RELAYNET_WEIGHT_OPT</v>
      </c>
    </row>
    <row r="9043" ht="15.75" customHeight="1">
      <c r="B9043" s="63">
        <f t="shared" si="1"/>
        <v>15</v>
      </c>
      <c r="C9043" s="135" t="s">
        <v>313</v>
      </c>
      <c r="D9043" s="161" t="s">
        <v>74</v>
      </c>
      <c r="E9043" s="135">
        <f t="shared" si="62"/>
        <v>11</v>
      </c>
      <c r="F9043" s="134" t="s">
        <v>4058</v>
      </c>
      <c r="G9043" s="63" t="str">
        <f>VLOOKUP(C9043, 'Class Def. - General Data'!$C$20:$C$1000,1,false)</f>
        <v>ZSI1_ELEC_RELAY</v>
      </c>
      <c r="H9043" s="63" t="str">
        <f>IFERROR(__xludf.DUMMYFUNCTION("VLOOKUP(F9043, IMPORTRANGE(""https://docs.google.com/spreadsheets/d/1Lhp9OU0JdFf_VYSMzH5lBcEaU4o8teT1piV-SNzShjg/edit?gid=554141278#gid=554141278"", ""'Char Def. - Attributes'!C20:C2242""), 1,false)"),"WEIGHT_UNIT_SI")</f>
        <v>WEIGHT_UNIT_SI</v>
      </c>
      <c r="I9043" s="136"/>
      <c r="R9043" s="63" t="str">
        <f t="shared" si="60"/>
        <v>ZSI1_ELEC_RELAYWEIGHT_UNIT_SI</v>
      </c>
    </row>
    <row r="9044" ht="15.75" customHeight="1">
      <c r="B9044" s="63">
        <f t="shared" si="1"/>
        <v>15</v>
      </c>
      <c r="C9044" s="135" t="s">
        <v>313</v>
      </c>
      <c r="D9044" s="161" t="s">
        <v>74</v>
      </c>
      <c r="E9044" s="135">
        <f t="shared" si="62"/>
        <v>12</v>
      </c>
      <c r="F9044" s="134" t="s">
        <v>3877</v>
      </c>
      <c r="G9044" s="63" t="str">
        <f>VLOOKUP(C9044, 'Class Def. - General Data'!$C$20:$C$1000,1,false)</f>
        <v>ZSI1_ELEC_RELAY</v>
      </c>
      <c r="H9044" s="63" t="str">
        <f>IFERROR(__xludf.DUMMYFUNCTION("VLOOKUP(F9044, IMPORTRANGE(""https://docs.google.com/spreadsheets/d/1Lhp9OU0JdFf_VYSMzH5lBcEaU4o8teT1piV-SNzShjg/edit?gid=554141278#gid=554141278"", ""'Char Def. - Attributes'!C20:C2242""), 1,false)"),"VOLUME_OPT")</f>
        <v>VOLUME_OPT</v>
      </c>
      <c r="I9044" s="136"/>
      <c r="R9044" s="63" t="str">
        <f t="shared" si="60"/>
        <v>ZSI1_ELEC_RELAYVOLUME_OPT</v>
      </c>
    </row>
    <row r="9045" ht="15.75" customHeight="1">
      <c r="B9045" s="63">
        <f t="shared" si="1"/>
        <v>15</v>
      </c>
      <c r="C9045" s="135" t="s">
        <v>313</v>
      </c>
      <c r="D9045" s="161" t="s">
        <v>74</v>
      </c>
      <c r="E9045" s="135">
        <f t="shared" si="62"/>
        <v>13</v>
      </c>
      <c r="F9045" s="134" t="s">
        <v>4059</v>
      </c>
      <c r="G9045" s="63" t="str">
        <f>VLOOKUP(C9045, 'Class Def. - General Data'!$C$20:$C$1000,1,false)</f>
        <v>ZSI1_ELEC_RELAY</v>
      </c>
      <c r="H9045" s="63" t="str">
        <f>IFERROR(__xludf.DUMMYFUNCTION("VLOOKUP(F9045, IMPORTRANGE(""https://docs.google.com/spreadsheets/d/1Lhp9OU0JdFf_VYSMzH5lBcEaU4o8teT1piV-SNzShjg/edit?gid=554141278#gid=554141278"", ""'Char Def. - Attributes'!C20:C2242""), 1,false)"),"VOLUME_UNIT_SI")</f>
        <v>VOLUME_UNIT_SI</v>
      </c>
      <c r="I9045" s="136"/>
      <c r="R9045" s="63" t="str">
        <f t="shared" si="60"/>
        <v>ZSI1_ELEC_RELAYVOLUME_UNIT_SI</v>
      </c>
    </row>
    <row r="9046" ht="15.75" customHeight="1">
      <c r="B9046" s="63">
        <f t="shared" si="1"/>
        <v>15</v>
      </c>
      <c r="C9046" s="135" t="s">
        <v>313</v>
      </c>
      <c r="D9046" s="161" t="s">
        <v>74</v>
      </c>
      <c r="E9046" s="135">
        <f t="shared" si="62"/>
        <v>14</v>
      </c>
      <c r="F9046" s="134" t="s">
        <v>3804</v>
      </c>
      <c r="G9046" s="63" t="str">
        <f>VLOOKUP(C9046, 'Class Def. - General Data'!$C$20:$C$1000,1,false)</f>
        <v>ZSI1_ELEC_RELAY</v>
      </c>
      <c r="H9046" s="63" t="str">
        <f>IFERROR(__xludf.DUMMYFUNCTION("VLOOKUP(F9046, IMPORTRANGE(""https://docs.google.com/spreadsheets/d/1Lhp9OU0JdFf_VYSMzH5lBcEaU4o8teT1piV-SNzShjg/edit?gid=554141278#gid=554141278"", ""'Char Def. - Attributes'!C20:C2242""), 1,false)"),"ALT_UOM1_SIPI")</f>
        <v>ALT_UOM1_SIPI</v>
      </c>
      <c r="I9046" s="136"/>
      <c r="R9046" s="63" t="str">
        <f t="shared" si="60"/>
        <v>ZSI1_ELEC_RELAYALT_UOM1_SIPI</v>
      </c>
    </row>
    <row r="9047" ht="15.75" customHeight="1">
      <c r="B9047" s="63">
        <f t="shared" si="1"/>
        <v>15</v>
      </c>
      <c r="C9047" s="135" t="s">
        <v>313</v>
      </c>
      <c r="D9047" s="161" t="s">
        <v>74</v>
      </c>
      <c r="E9047" s="135">
        <f t="shared" si="62"/>
        <v>15</v>
      </c>
      <c r="F9047" s="134" t="s">
        <v>3805</v>
      </c>
      <c r="G9047" s="63" t="str">
        <f>VLOOKUP(C9047, 'Class Def. - General Data'!$C$20:$C$1000,1,false)</f>
        <v>ZSI1_ELEC_RELAY</v>
      </c>
      <c r="H9047" s="63" t="str">
        <f>IFERROR(__xludf.DUMMYFUNCTION("VLOOKUP(F9047, IMPORTRANGE(""https://docs.google.com/spreadsheets/d/1Lhp9OU0JdFf_VYSMzH5lBcEaU4o8teT1piV-SNzShjg/edit?gid=554141278#gid=554141278"", ""'Char Def. - Attributes'!C20:C2242""), 1,false)"),"ALT_DENUM_UOM1")</f>
        <v>ALT_DENUM_UOM1</v>
      </c>
      <c r="I9047" s="136"/>
      <c r="R9047" s="63" t="str">
        <f t="shared" si="60"/>
        <v>ZSI1_ELEC_RELAYALT_DENUM_UOM1</v>
      </c>
    </row>
    <row r="9048" ht="15.75" customHeight="1">
      <c r="B9048" s="63">
        <f t="shared" si="1"/>
        <v>15</v>
      </c>
      <c r="C9048" s="135" t="s">
        <v>313</v>
      </c>
      <c r="D9048" s="161" t="s">
        <v>74</v>
      </c>
      <c r="E9048" s="135">
        <f t="shared" si="62"/>
        <v>16</v>
      </c>
      <c r="F9048" s="134" t="s">
        <v>3806</v>
      </c>
      <c r="G9048" s="63" t="str">
        <f>VLOOKUP(C9048, 'Class Def. - General Data'!$C$20:$C$1000,1,false)</f>
        <v>ZSI1_ELEC_RELAY</v>
      </c>
      <c r="H9048" s="63" t="str">
        <f>IFERROR(__xludf.DUMMYFUNCTION("VLOOKUP(F9048, IMPORTRANGE(""https://docs.google.com/spreadsheets/d/1Lhp9OU0JdFf_VYSMzH5lBcEaU4o8teT1piV-SNzShjg/edit?gid=554141278#gid=554141278"", ""'Char Def. - Attributes'!C20:C2242""), 1,false)"),"ALT_NUM_UOM1")</f>
        <v>ALT_NUM_UOM1</v>
      </c>
      <c r="I9048" s="136"/>
      <c r="R9048" s="63" t="str">
        <f t="shared" si="60"/>
        <v>ZSI1_ELEC_RELAYALT_NUM_UOM1</v>
      </c>
    </row>
    <row r="9049" ht="15.75" customHeight="1">
      <c r="B9049" s="63">
        <f t="shared" si="1"/>
        <v>15</v>
      </c>
      <c r="C9049" s="135" t="s">
        <v>313</v>
      </c>
      <c r="D9049" s="161" t="s">
        <v>74</v>
      </c>
      <c r="E9049" s="135">
        <f t="shared" si="62"/>
        <v>17</v>
      </c>
      <c r="F9049" s="134" t="s">
        <v>3807</v>
      </c>
      <c r="G9049" s="63" t="str">
        <f>VLOOKUP(C9049, 'Class Def. - General Data'!$C$20:$C$1000,1,false)</f>
        <v>ZSI1_ELEC_RELAY</v>
      </c>
      <c r="H9049" s="63" t="str">
        <f>IFERROR(__xludf.DUMMYFUNCTION("VLOOKUP(F9049, IMPORTRANGE(""https://docs.google.com/spreadsheets/d/1Lhp9OU0JdFf_VYSMzH5lBcEaU4o8teT1piV-SNzShjg/edit?gid=554141278#gid=554141278"", ""'Char Def. - Attributes'!C20:C2242""), 1,false)"),"ALT_UOM2_SIPI")</f>
        <v>ALT_UOM2_SIPI</v>
      </c>
      <c r="I9049" s="136"/>
      <c r="R9049" s="63" t="str">
        <f t="shared" si="60"/>
        <v>ZSI1_ELEC_RELAYALT_UOM2_SIPI</v>
      </c>
    </row>
    <row r="9050" ht="15.75" customHeight="1">
      <c r="B9050" s="63">
        <f t="shared" si="1"/>
        <v>15</v>
      </c>
      <c r="C9050" s="135" t="s">
        <v>313</v>
      </c>
      <c r="D9050" s="161" t="s">
        <v>74</v>
      </c>
      <c r="E9050" s="135">
        <f t="shared" si="62"/>
        <v>18</v>
      </c>
      <c r="F9050" s="134" t="s">
        <v>3808</v>
      </c>
      <c r="G9050" s="63" t="str">
        <f>VLOOKUP(C9050, 'Class Def. - General Data'!$C$20:$C$1000,1,false)</f>
        <v>ZSI1_ELEC_RELAY</v>
      </c>
      <c r="H9050" s="63" t="str">
        <f>IFERROR(__xludf.DUMMYFUNCTION("VLOOKUP(F9050, IMPORTRANGE(""https://docs.google.com/spreadsheets/d/1Lhp9OU0JdFf_VYSMzH5lBcEaU4o8teT1piV-SNzShjg/edit?gid=554141278#gid=554141278"", ""'Char Def. - Attributes'!C20:C2242""), 1,false)"),"ALT_DENUM_UOM2")</f>
        <v>ALT_DENUM_UOM2</v>
      </c>
      <c r="I9050" s="136"/>
      <c r="R9050" s="63" t="str">
        <f t="shared" si="60"/>
        <v>ZSI1_ELEC_RELAYALT_DENUM_UOM2</v>
      </c>
    </row>
    <row r="9051" ht="15.75" customHeight="1">
      <c r="B9051" s="63">
        <f t="shared" si="1"/>
        <v>15</v>
      </c>
      <c r="C9051" s="135" t="s">
        <v>313</v>
      </c>
      <c r="D9051" s="161" t="s">
        <v>74</v>
      </c>
      <c r="E9051" s="135">
        <f t="shared" si="62"/>
        <v>19</v>
      </c>
      <c r="F9051" s="134" t="s">
        <v>3809</v>
      </c>
      <c r="G9051" s="63" t="str">
        <f>VLOOKUP(C9051, 'Class Def. - General Data'!$C$20:$C$1000,1,false)</f>
        <v>ZSI1_ELEC_RELAY</v>
      </c>
      <c r="H9051" s="63" t="str">
        <f>IFERROR(__xludf.DUMMYFUNCTION("VLOOKUP(F9051, IMPORTRANGE(""https://docs.google.com/spreadsheets/d/1Lhp9OU0JdFf_VYSMzH5lBcEaU4o8teT1piV-SNzShjg/edit?gid=554141278#gid=554141278"", ""'Char Def. - Attributes'!C20:C2242""), 1,false)"),"ALT_NUM_UOM2")</f>
        <v>ALT_NUM_UOM2</v>
      </c>
      <c r="I9051" s="136"/>
      <c r="R9051" s="63" t="str">
        <f t="shared" si="60"/>
        <v>ZSI1_ELEC_RELAYALT_NUM_UOM2</v>
      </c>
    </row>
    <row r="9052" ht="15.75" customHeight="1">
      <c r="B9052" s="63">
        <f t="shared" si="1"/>
        <v>15</v>
      </c>
      <c r="C9052" s="135" t="s">
        <v>313</v>
      </c>
      <c r="D9052" s="161" t="s">
        <v>74</v>
      </c>
      <c r="E9052" s="135">
        <f t="shared" si="62"/>
        <v>20</v>
      </c>
      <c r="F9052" s="134" t="s">
        <v>3810</v>
      </c>
      <c r="G9052" s="63" t="str">
        <f>VLOOKUP(C9052, 'Class Def. - General Data'!$C$20:$C$1000,1,false)</f>
        <v>ZSI1_ELEC_RELAY</v>
      </c>
      <c r="H9052" s="63" t="str">
        <f>IFERROR(__xludf.DUMMYFUNCTION("VLOOKUP(F9052, IMPORTRANGE(""https://docs.google.com/spreadsheets/d/1Lhp9OU0JdFf_VYSMzH5lBcEaU4o8teT1piV-SNzShjg/edit?gid=554141278#gid=554141278"", ""'Char Def. - Attributes'!C20:C2242""), 1,false)"),"ALT_UOM3_SIPI")</f>
        <v>ALT_UOM3_SIPI</v>
      </c>
      <c r="I9052" s="136"/>
      <c r="R9052" s="63" t="str">
        <f t="shared" si="60"/>
        <v>ZSI1_ELEC_RELAYALT_UOM3_SIPI</v>
      </c>
    </row>
    <row r="9053" ht="15.75" customHeight="1">
      <c r="B9053" s="63">
        <f t="shared" si="1"/>
        <v>15</v>
      </c>
      <c r="C9053" s="135" t="s">
        <v>313</v>
      </c>
      <c r="D9053" s="161" t="s">
        <v>74</v>
      </c>
      <c r="E9053" s="135">
        <f t="shared" si="62"/>
        <v>21</v>
      </c>
      <c r="F9053" s="134" t="s">
        <v>3811</v>
      </c>
      <c r="G9053" s="63" t="str">
        <f>VLOOKUP(C9053, 'Class Def. - General Data'!$C$20:$C$1000,1,false)</f>
        <v>ZSI1_ELEC_RELAY</v>
      </c>
      <c r="H9053" s="63" t="str">
        <f>IFERROR(__xludf.DUMMYFUNCTION("VLOOKUP(F9053, IMPORTRANGE(""https://docs.google.com/spreadsheets/d/1Lhp9OU0JdFf_VYSMzH5lBcEaU4o8teT1piV-SNzShjg/edit?gid=554141278#gid=554141278"", ""'Char Def. - Attributes'!C20:C2242""), 1,false)"),"ALT_DENUM_UOM3")</f>
        <v>ALT_DENUM_UOM3</v>
      </c>
      <c r="I9053" s="136"/>
      <c r="R9053" s="63" t="str">
        <f t="shared" si="60"/>
        <v>ZSI1_ELEC_RELAYALT_DENUM_UOM3</v>
      </c>
    </row>
    <row r="9054" ht="15.75" customHeight="1">
      <c r="B9054" s="63">
        <f t="shared" si="1"/>
        <v>15</v>
      </c>
      <c r="C9054" s="135" t="s">
        <v>313</v>
      </c>
      <c r="D9054" s="161" t="s">
        <v>74</v>
      </c>
      <c r="E9054" s="135">
        <f t="shared" si="62"/>
        <v>22</v>
      </c>
      <c r="F9054" s="134" t="s">
        <v>3812</v>
      </c>
      <c r="G9054" s="63" t="str">
        <f>VLOOKUP(C9054, 'Class Def. - General Data'!$C$20:$C$1000,1,false)</f>
        <v>ZSI1_ELEC_RELAY</v>
      </c>
      <c r="H9054" s="63" t="str">
        <f>IFERROR(__xludf.DUMMYFUNCTION("VLOOKUP(F9054, IMPORTRANGE(""https://docs.google.com/spreadsheets/d/1Lhp9OU0JdFf_VYSMzH5lBcEaU4o8teT1piV-SNzShjg/edit?gid=554141278#gid=554141278"", ""'Char Def. - Attributes'!C20:C2242""), 1,false)"),"ALT_NUM_UOM3")</f>
        <v>ALT_NUM_UOM3</v>
      </c>
      <c r="I9054" s="136"/>
      <c r="R9054" s="63" t="str">
        <f t="shared" si="60"/>
        <v>ZSI1_ELEC_RELAYALT_NUM_UOM3</v>
      </c>
    </row>
    <row r="9055" ht="15.75" customHeight="1">
      <c r="B9055" s="63">
        <f t="shared" si="1"/>
        <v>15</v>
      </c>
      <c r="C9055" s="135" t="s">
        <v>313</v>
      </c>
      <c r="D9055" s="161" t="s">
        <v>74</v>
      </c>
      <c r="E9055" s="135">
        <f t="shared" si="62"/>
        <v>23</v>
      </c>
      <c r="F9055" s="134" t="s">
        <v>3813</v>
      </c>
      <c r="G9055" s="63" t="str">
        <f>VLOOKUP(C9055, 'Class Def. - General Data'!$C$20:$C$1000,1,false)</f>
        <v>ZSI1_ELEC_RELAY</v>
      </c>
      <c r="H9055" s="63" t="str">
        <f>IFERROR(__xludf.DUMMYFUNCTION("VLOOKUP(F9055, IMPORTRANGE(""https://docs.google.com/spreadsheets/d/1Lhp9OU0JdFf_VYSMzH5lBcEaU4o8teT1piV-SNzShjg/edit?gid=554141278#gid=554141278"", ""'Char Def. - Attributes'!C20:C2242""), 1,false)"),"ALT_UOM4_SIPI")</f>
        <v>ALT_UOM4_SIPI</v>
      </c>
      <c r="I9055" s="136"/>
      <c r="R9055" s="63" t="str">
        <f t="shared" si="60"/>
        <v>ZSI1_ELEC_RELAYALT_UOM4_SIPI</v>
      </c>
    </row>
    <row r="9056" ht="15.75" customHeight="1">
      <c r="B9056" s="63">
        <f t="shared" si="1"/>
        <v>15</v>
      </c>
      <c r="C9056" s="135" t="s">
        <v>313</v>
      </c>
      <c r="D9056" s="161" t="s">
        <v>74</v>
      </c>
      <c r="E9056" s="135">
        <f t="shared" si="62"/>
        <v>24</v>
      </c>
      <c r="F9056" s="134" t="s">
        <v>3814</v>
      </c>
      <c r="G9056" s="63" t="str">
        <f>VLOOKUP(C9056, 'Class Def. - General Data'!$C$20:$C$1000,1,false)</f>
        <v>ZSI1_ELEC_RELAY</v>
      </c>
      <c r="H9056" s="63" t="str">
        <f>IFERROR(__xludf.DUMMYFUNCTION("VLOOKUP(F9056, IMPORTRANGE(""https://docs.google.com/spreadsheets/d/1Lhp9OU0JdFf_VYSMzH5lBcEaU4o8teT1piV-SNzShjg/edit?gid=554141278#gid=554141278"", ""'Char Def. - Attributes'!C20:C2242""), 1,false)"),"ALT_DENUM_UOM4")</f>
        <v>ALT_DENUM_UOM4</v>
      </c>
      <c r="I9056" s="136"/>
      <c r="R9056" s="63" t="str">
        <f t="shared" si="60"/>
        <v>ZSI1_ELEC_RELAYALT_DENUM_UOM4</v>
      </c>
    </row>
    <row r="9057" ht="15.75" customHeight="1">
      <c r="B9057" s="63">
        <f t="shared" si="1"/>
        <v>15</v>
      </c>
      <c r="C9057" s="135" t="s">
        <v>313</v>
      </c>
      <c r="D9057" s="161" t="s">
        <v>74</v>
      </c>
      <c r="E9057" s="135">
        <f t="shared" si="62"/>
        <v>25</v>
      </c>
      <c r="F9057" s="134" t="s">
        <v>3815</v>
      </c>
      <c r="G9057" s="63" t="str">
        <f>VLOOKUP(C9057, 'Class Def. - General Data'!$C$20:$C$1000,1,false)</f>
        <v>ZSI1_ELEC_RELAY</v>
      </c>
      <c r="H9057" s="63" t="str">
        <f>IFERROR(__xludf.DUMMYFUNCTION("VLOOKUP(F9057, IMPORTRANGE(""https://docs.google.com/spreadsheets/d/1Lhp9OU0JdFf_VYSMzH5lBcEaU4o8teT1piV-SNzShjg/edit?gid=554141278#gid=554141278"", ""'Char Def. - Attributes'!C20:C2242""), 1,false)"),"ALT_NUM_UOM4")</f>
        <v>ALT_NUM_UOM4</v>
      </c>
      <c r="I9057" s="136"/>
      <c r="R9057" s="63" t="str">
        <f t="shared" si="60"/>
        <v>ZSI1_ELEC_RELAYALT_NUM_UOM4</v>
      </c>
    </row>
    <row r="9058" ht="15.75" customHeight="1">
      <c r="B9058" s="63">
        <f t="shared" si="1"/>
        <v>15</v>
      </c>
      <c r="C9058" s="135" t="s">
        <v>313</v>
      </c>
      <c r="D9058" s="161" t="s">
        <v>74</v>
      </c>
      <c r="E9058" s="135">
        <f t="shared" si="62"/>
        <v>26</v>
      </c>
      <c r="F9058" s="134" t="s">
        <v>3816</v>
      </c>
      <c r="G9058" s="63" t="str">
        <f>VLOOKUP(C9058, 'Class Def. - General Data'!$C$20:$C$1000,1,false)</f>
        <v>ZSI1_ELEC_RELAY</v>
      </c>
      <c r="H9058" s="63" t="str">
        <f>IFERROR(__xludf.DUMMYFUNCTION("VLOOKUP(F9058, IMPORTRANGE(""https://docs.google.com/spreadsheets/d/1Lhp9OU0JdFf_VYSMzH5lBcEaU4o8teT1piV-SNzShjg/edit?gid=554141278#gid=554141278"", ""'Char Def. - Attributes'!C20:C2242""), 1,false)"),"ALT_UOM5_SIPI")</f>
        <v>ALT_UOM5_SIPI</v>
      </c>
      <c r="I9058" s="136"/>
      <c r="R9058" s="63" t="str">
        <f t="shared" si="60"/>
        <v>ZSI1_ELEC_RELAYALT_UOM5_SIPI</v>
      </c>
    </row>
    <row r="9059" ht="15.75" customHeight="1">
      <c r="B9059" s="63">
        <f t="shared" si="1"/>
        <v>15</v>
      </c>
      <c r="C9059" s="135" t="s">
        <v>313</v>
      </c>
      <c r="D9059" s="161" t="s">
        <v>74</v>
      </c>
      <c r="E9059" s="135">
        <f t="shared" si="62"/>
        <v>27</v>
      </c>
      <c r="F9059" s="134" t="s">
        <v>3817</v>
      </c>
      <c r="G9059" s="63" t="str">
        <f>VLOOKUP(C9059, 'Class Def. - General Data'!$C$20:$C$1000,1,false)</f>
        <v>ZSI1_ELEC_RELAY</v>
      </c>
      <c r="H9059" s="63" t="str">
        <f>IFERROR(__xludf.DUMMYFUNCTION("VLOOKUP(F9059, IMPORTRANGE(""https://docs.google.com/spreadsheets/d/1Lhp9OU0JdFf_VYSMzH5lBcEaU4o8teT1piV-SNzShjg/edit?gid=554141278#gid=554141278"", ""'Char Def. - Attributes'!C20:C2242""), 1,false)"),"ALT_DENUM_UOM5")</f>
        <v>ALT_DENUM_UOM5</v>
      </c>
      <c r="I9059" s="136"/>
      <c r="R9059" s="63" t="str">
        <f t="shared" si="60"/>
        <v>ZSI1_ELEC_RELAYALT_DENUM_UOM5</v>
      </c>
    </row>
    <row r="9060" ht="15.75" customHeight="1">
      <c r="B9060" s="63">
        <f t="shared" si="1"/>
        <v>15</v>
      </c>
      <c r="C9060" s="135" t="s">
        <v>313</v>
      </c>
      <c r="D9060" s="161" t="s">
        <v>74</v>
      </c>
      <c r="E9060" s="135">
        <f t="shared" si="62"/>
        <v>28</v>
      </c>
      <c r="F9060" s="134" t="s">
        <v>3818</v>
      </c>
      <c r="G9060" s="63" t="str">
        <f>VLOOKUP(C9060, 'Class Def. - General Data'!$C$20:$C$1000,1,false)</f>
        <v>ZSI1_ELEC_RELAY</v>
      </c>
      <c r="H9060" s="63" t="str">
        <f>IFERROR(__xludf.DUMMYFUNCTION("VLOOKUP(F9060, IMPORTRANGE(""https://docs.google.com/spreadsheets/d/1Lhp9OU0JdFf_VYSMzH5lBcEaU4o8teT1piV-SNzShjg/edit?gid=554141278#gid=554141278"", ""'Char Def. - Attributes'!C20:C2242""), 1,false)"),"ALT_NUM_UOM5")</f>
        <v>ALT_NUM_UOM5</v>
      </c>
      <c r="I9060" s="136"/>
      <c r="R9060" s="63" t="str">
        <f t="shared" si="60"/>
        <v>ZSI1_ELEC_RELAYALT_NUM_UOM5</v>
      </c>
    </row>
    <row r="9061" ht="15.75" customHeight="1">
      <c r="B9061" s="63">
        <f t="shared" si="1"/>
        <v>16</v>
      </c>
      <c r="C9061" s="135" t="s">
        <v>310</v>
      </c>
      <c r="D9061" s="161" t="s">
        <v>74</v>
      </c>
      <c r="E9061" s="135">
        <f t="shared" si="62"/>
        <v>1</v>
      </c>
      <c r="F9061" s="134" t="s">
        <v>4470</v>
      </c>
      <c r="G9061" s="63" t="str">
        <f>VLOOKUP(C9061, 'Class Def. - General Data'!$C$20:$C$1000,1,false)</f>
        <v>ZSI1_ELEC_SWITCH</v>
      </c>
      <c r="H9061" s="63" t="str">
        <f>IFERROR(__xludf.DUMMYFUNCTION("VLOOKUP(F9061, IMPORTRANGE(""https://docs.google.com/spreadsheets/d/1Lhp9OU0JdFf_VYSMzH5lBcEaU4o8teT1piV-SNzShjg/edit?gid=554141278#gid=554141278"", ""'Char Def. - Attributes'!C20:C2242""), 1,false)"),"ITEM_NAME_ELEC_SWITCH")</f>
        <v>ITEM_NAME_ELEC_SWITCH</v>
      </c>
      <c r="I9061" s="136"/>
      <c r="R9061" s="63" t="str">
        <f t="shared" si="60"/>
        <v>ZSI1_ELEC_SWITCHITEM_NAME_ELEC_SWITCH</v>
      </c>
    </row>
    <row r="9062" ht="15.75" customHeight="1">
      <c r="B9062" s="63">
        <f t="shared" si="1"/>
        <v>16</v>
      </c>
      <c r="C9062" s="135" t="s">
        <v>310</v>
      </c>
      <c r="D9062" s="161" t="s">
        <v>74</v>
      </c>
      <c r="E9062" s="135">
        <f t="shared" si="62"/>
        <v>2</v>
      </c>
      <c r="F9062" s="134" t="s">
        <v>4471</v>
      </c>
      <c r="G9062" s="63" t="str">
        <f>VLOOKUP(C9062, 'Class Def. - General Data'!$C$20:$C$1000,1,false)</f>
        <v>ZSI1_ELEC_SWITCH</v>
      </c>
      <c r="H9062" s="63" t="str">
        <f>IFERROR(__xludf.DUMMYFUNCTION("VLOOKUP(F9062, IMPORTRANGE(""https://docs.google.com/spreadsheets/d/1Lhp9OU0JdFf_VYSMzH5lBcEaU4o8teT1piV-SNzShjg/edit?gid=554141278#gid=554141278"", ""'Char Def. - Attributes'!C20:C2242""), 1,false)"),"MFR_NO_ELEC_SWITCH")</f>
        <v>MFR_NO_ELEC_SWITCH</v>
      </c>
      <c r="I9062" s="136"/>
      <c r="R9062" s="63" t="str">
        <f t="shared" si="60"/>
        <v>ZSI1_ELEC_SWITCHMFR_NO_ELEC_SWITCH</v>
      </c>
    </row>
    <row r="9063" ht="15.75" customHeight="1">
      <c r="B9063" s="63">
        <f t="shared" si="1"/>
        <v>16</v>
      </c>
      <c r="C9063" s="135" t="s">
        <v>310</v>
      </c>
      <c r="D9063" s="161" t="s">
        <v>74</v>
      </c>
      <c r="E9063" s="135">
        <f t="shared" si="62"/>
        <v>3</v>
      </c>
      <c r="F9063" s="134" t="s">
        <v>3782</v>
      </c>
      <c r="G9063" s="63" t="str">
        <f>VLOOKUP(C9063, 'Class Def. - General Data'!$C$20:$C$1000,1,false)</f>
        <v>ZSI1_ELEC_SWITCH</v>
      </c>
      <c r="H9063" s="63" t="str">
        <f>IFERROR(__xludf.DUMMYFUNCTION("VLOOKUP(F9063, IMPORTRANGE(""https://docs.google.com/spreadsheets/d/1Lhp9OU0JdFf_VYSMzH5lBcEaU4o8teT1piV-SNzShjg/edit?gid=554141278#gid=554141278"", ""'Char Def. - Attributes'!C20:C2242""), 1,false)"),"BRAND_EXTERNAL")</f>
        <v>BRAND_EXTERNAL</v>
      </c>
      <c r="I9063" s="136"/>
      <c r="R9063" s="63" t="str">
        <f t="shared" si="60"/>
        <v>ZSI1_ELEC_SWITCHBRAND_EXTERNAL</v>
      </c>
    </row>
    <row r="9064" ht="15.75" customHeight="1">
      <c r="B9064" s="63">
        <f t="shared" si="1"/>
        <v>16</v>
      </c>
      <c r="C9064" s="135" t="s">
        <v>310</v>
      </c>
      <c r="D9064" s="161" t="s">
        <v>74</v>
      </c>
      <c r="E9064" s="135">
        <f t="shared" si="62"/>
        <v>4</v>
      </c>
      <c r="F9064" s="134" t="s">
        <v>4062</v>
      </c>
      <c r="G9064" s="63" t="str">
        <f>VLOOKUP(C9064, 'Class Def. - General Data'!$C$20:$C$1000,1,false)</f>
        <v>ZSI1_ELEC_SWITCH</v>
      </c>
      <c r="H9064" s="63" t="str">
        <f>IFERROR(__xludf.DUMMYFUNCTION("VLOOKUP(F9064, IMPORTRANGE(""https://docs.google.com/spreadsheets/d/1Lhp9OU0JdFf_VYSMzH5lBcEaU4o8teT1piV-SNzShjg/edit?gid=554141278#gid=554141278"", ""'Char Def. - Attributes'!C20:C2242""), 1,false)"),"#N/A")</f>
        <v>#N/A</v>
      </c>
      <c r="I9064" s="136"/>
      <c r="R9064" s="63" t="str">
        <f t="shared" si="60"/>
        <v>ZSI1_ELEC_SWITCHADDTIONAL_SPECIFICATION</v>
      </c>
    </row>
    <row r="9065" ht="15.75" customHeight="1">
      <c r="B9065" s="63">
        <f t="shared" si="1"/>
        <v>16</v>
      </c>
      <c r="C9065" s="135" t="s">
        <v>310</v>
      </c>
      <c r="D9065" s="161" t="s">
        <v>74</v>
      </c>
      <c r="E9065" s="135">
        <f t="shared" si="62"/>
        <v>5</v>
      </c>
      <c r="F9065" s="134" t="s">
        <v>4053</v>
      </c>
      <c r="G9065" s="63" t="str">
        <f>VLOOKUP(C9065, 'Class Def. - General Data'!$C$20:$C$1000,1,false)</f>
        <v>ZSI1_ELEC_SWITCH</v>
      </c>
      <c r="H9065" s="63" t="str">
        <f>IFERROR(__xludf.DUMMYFUNCTION("VLOOKUP(F9065, IMPORTRANGE(""https://docs.google.com/spreadsheets/d/1Lhp9OU0JdFf_VYSMzH5lBcEaU4o8teT1piV-SNzShjg/edit?gid=554141278#gid=554141278"", ""'Char Def. - Attributes'!C20:C2242""), 1,false)"),"MAINTENANCE_ORDER_TYPE")</f>
        <v>MAINTENANCE_ORDER_TYPE</v>
      </c>
      <c r="I9065" s="136"/>
      <c r="R9065" s="63" t="str">
        <f t="shared" si="60"/>
        <v>ZSI1_ELEC_SWITCHMAINTENANCE_ORDER_TYPE</v>
      </c>
    </row>
    <row r="9066" ht="15.75" customHeight="1">
      <c r="B9066" s="63">
        <f t="shared" si="1"/>
        <v>16</v>
      </c>
      <c r="C9066" s="135" t="s">
        <v>310</v>
      </c>
      <c r="D9066" s="161" t="s">
        <v>74</v>
      </c>
      <c r="E9066" s="135">
        <f t="shared" si="62"/>
        <v>6</v>
      </c>
      <c r="F9066" s="134" t="s">
        <v>3585</v>
      </c>
      <c r="G9066" s="63" t="str">
        <f>VLOOKUP(C9066, 'Class Def. - General Data'!$C$20:$C$1000,1,false)</f>
        <v>ZSI1_ELEC_SWITCH</v>
      </c>
      <c r="H9066" s="63" t="str">
        <f>IFERROR(__xludf.DUMMYFUNCTION("VLOOKUP(F9066, IMPORTRANGE(""https://docs.google.com/spreadsheets/d/1Lhp9OU0JdFf_VYSMzH5lBcEaU4o8teT1piV-SNzShjg/edit?gid=554141278#gid=554141278"", ""'Char Def. - Attributes'!C20:C2242""), 1,false)"),"HS_CODE")</f>
        <v>HS_CODE</v>
      </c>
      <c r="I9066" s="136"/>
      <c r="R9066" s="63" t="str">
        <f t="shared" si="60"/>
        <v>ZSI1_ELEC_SWITCHHS_CODE</v>
      </c>
    </row>
    <row r="9067" ht="15.75" customHeight="1">
      <c r="B9067" s="63">
        <f t="shared" si="1"/>
        <v>16</v>
      </c>
      <c r="C9067" s="135" t="s">
        <v>310</v>
      </c>
      <c r="D9067" s="161" t="s">
        <v>74</v>
      </c>
      <c r="E9067" s="135">
        <f t="shared" si="62"/>
        <v>7</v>
      </c>
      <c r="F9067" s="134" t="s">
        <v>3587</v>
      </c>
      <c r="G9067" s="63" t="str">
        <f>VLOOKUP(C9067, 'Class Def. - General Data'!$C$20:$C$1000,1,false)</f>
        <v>ZSI1_ELEC_SWITCH</v>
      </c>
      <c r="H9067" s="63" t="str">
        <f>IFERROR(__xludf.DUMMYFUNCTION("VLOOKUP(F9067, IMPORTRANGE(""https://docs.google.com/spreadsheets/d/1Lhp9OU0JdFf_VYSMzH5lBcEaU4o8teT1piV-SNzShjg/edit?gid=554141278#gid=554141278"", ""'Char Def. - Attributes'!C20:C2242""), 1,false)"),"PLANT_BUY")</f>
        <v>PLANT_BUY</v>
      </c>
      <c r="I9067" s="136"/>
      <c r="R9067" s="63" t="str">
        <f t="shared" si="60"/>
        <v>ZSI1_ELEC_SWITCHPLANT_BUY</v>
      </c>
    </row>
    <row r="9068" ht="15.75" customHeight="1">
      <c r="B9068" s="63">
        <f t="shared" si="1"/>
        <v>16</v>
      </c>
      <c r="C9068" s="135" t="s">
        <v>310</v>
      </c>
      <c r="D9068" s="161" t="s">
        <v>74</v>
      </c>
      <c r="E9068" s="135">
        <f t="shared" si="62"/>
        <v>8</v>
      </c>
      <c r="F9068" s="134" t="s">
        <v>4472</v>
      </c>
      <c r="G9068" s="63" t="str">
        <f>VLOOKUP(C9068, 'Class Def. - General Data'!$C$20:$C$1000,1,false)</f>
        <v>ZSI1_ELEC_SWITCH</v>
      </c>
      <c r="H9068" s="63" t="str">
        <f>IFERROR(__xludf.DUMMYFUNCTION("VLOOKUP(F9068, IMPORTRANGE(""https://docs.google.com/spreadsheets/d/1Lhp9OU0JdFf_VYSMzH5lBcEaU4o8teT1piV-SNzShjg/edit?gid=554141278#gid=554141278"", ""'Char Def. - Attributes'!C20:C2242""), 1,false)"),"BASE_UOM_ELEC_SWITCH")</f>
        <v>BASE_UOM_ELEC_SWITCH</v>
      </c>
      <c r="I9068" s="136"/>
      <c r="R9068" s="63" t="str">
        <f t="shared" si="60"/>
        <v>ZSI1_ELEC_SWITCHBASE_UOM_ELEC_SWITCH</v>
      </c>
    </row>
    <row r="9069" ht="15.75" customHeight="1">
      <c r="B9069" s="63">
        <f t="shared" si="1"/>
        <v>16</v>
      </c>
      <c r="C9069" s="135" t="s">
        <v>310</v>
      </c>
      <c r="D9069" s="161" t="s">
        <v>74</v>
      </c>
      <c r="E9069" s="135">
        <f t="shared" si="62"/>
        <v>9</v>
      </c>
      <c r="F9069" s="134" t="s">
        <v>4473</v>
      </c>
      <c r="G9069" s="63" t="str">
        <f>VLOOKUP(C9069, 'Class Def. - General Data'!$C$20:$C$1000,1,false)</f>
        <v>ZSI1_ELEC_SWITCH</v>
      </c>
      <c r="H9069" s="63" t="str">
        <f>IFERROR(__xludf.DUMMYFUNCTION("VLOOKUP(F9069, IMPORTRANGE(""https://docs.google.com/spreadsheets/d/1Lhp9OU0JdFf_VYSMzH5lBcEaU4o8teT1piV-SNzShjg/edit?gid=554141278#gid=554141278"", ""'Char Def. - Attributes'!C20:C2242""), 1,false)"),"ORDER_UNIT_ELEC_SWITCH")</f>
        <v>ORDER_UNIT_ELEC_SWITCH</v>
      </c>
      <c r="I9069" s="136"/>
      <c r="R9069" s="63" t="str">
        <f t="shared" si="60"/>
        <v>ZSI1_ELEC_SWITCHORDER_UNIT_ELEC_SWITCH</v>
      </c>
    </row>
    <row r="9070" ht="15.75" customHeight="1">
      <c r="B9070" s="63">
        <f t="shared" si="1"/>
        <v>16</v>
      </c>
      <c r="C9070" s="135" t="s">
        <v>310</v>
      </c>
      <c r="D9070" s="161" t="s">
        <v>74</v>
      </c>
      <c r="E9070" s="135">
        <f t="shared" si="62"/>
        <v>10</v>
      </c>
      <c r="F9070" s="134" t="s">
        <v>4056</v>
      </c>
      <c r="G9070" s="63" t="str">
        <f>VLOOKUP(C9070, 'Class Def. - General Data'!$C$20:$C$1000,1,false)</f>
        <v>ZSI1_ELEC_SWITCH</v>
      </c>
      <c r="H9070" s="63" t="str">
        <f>IFERROR(__xludf.DUMMYFUNCTION("VLOOKUP(F9070, IMPORTRANGE(""https://docs.google.com/spreadsheets/d/1Lhp9OU0JdFf_VYSMzH5lBcEaU4o8teT1piV-SNzShjg/edit?gid=554141278#gid=554141278"", ""'Char Def. - Attributes'!C20:C2242""), 1,false)"),"GROSS_WEIGHT_OPT")</f>
        <v>GROSS_WEIGHT_OPT</v>
      </c>
      <c r="I9070" s="136"/>
      <c r="R9070" s="63" t="str">
        <f t="shared" si="60"/>
        <v>ZSI1_ELEC_SWITCHGROSS_WEIGHT_OPT</v>
      </c>
    </row>
    <row r="9071" ht="15.75" customHeight="1">
      <c r="B9071" s="63">
        <f t="shared" si="1"/>
        <v>16</v>
      </c>
      <c r="C9071" s="135" t="s">
        <v>310</v>
      </c>
      <c r="D9071" s="161" t="s">
        <v>74</v>
      </c>
      <c r="E9071" s="135">
        <f t="shared" si="62"/>
        <v>11</v>
      </c>
      <c r="F9071" s="134" t="s">
        <v>4057</v>
      </c>
      <c r="G9071" s="63" t="str">
        <f>VLOOKUP(C9071, 'Class Def. - General Data'!$C$20:$C$1000,1,false)</f>
        <v>ZSI1_ELEC_SWITCH</v>
      </c>
      <c r="H9071" s="63" t="str">
        <f>IFERROR(__xludf.DUMMYFUNCTION("VLOOKUP(F9071, IMPORTRANGE(""https://docs.google.com/spreadsheets/d/1Lhp9OU0JdFf_VYSMzH5lBcEaU4o8teT1piV-SNzShjg/edit?gid=554141278#gid=554141278"", ""'Char Def. - Attributes'!C20:C2242""), 1,false)"),"NET_WEIGHT_OPT")</f>
        <v>NET_WEIGHT_OPT</v>
      </c>
      <c r="I9071" s="136"/>
      <c r="R9071" s="63" t="str">
        <f t="shared" si="60"/>
        <v>ZSI1_ELEC_SWITCHNET_WEIGHT_OPT</v>
      </c>
    </row>
    <row r="9072" ht="15.75" customHeight="1">
      <c r="B9072" s="63">
        <f t="shared" si="1"/>
        <v>16</v>
      </c>
      <c r="C9072" s="135" t="s">
        <v>310</v>
      </c>
      <c r="D9072" s="161" t="s">
        <v>74</v>
      </c>
      <c r="E9072" s="135">
        <f t="shared" si="62"/>
        <v>12</v>
      </c>
      <c r="F9072" s="134" t="s">
        <v>4058</v>
      </c>
      <c r="G9072" s="63" t="str">
        <f>VLOOKUP(C9072, 'Class Def. - General Data'!$C$20:$C$1000,1,false)</f>
        <v>ZSI1_ELEC_SWITCH</v>
      </c>
      <c r="H9072" s="63" t="str">
        <f>IFERROR(__xludf.DUMMYFUNCTION("VLOOKUP(F9072, IMPORTRANGE(""https://docs.google.com/spreadsheets/d/1Lhp9OU0JdFf_VYSMzH5lBcEaU4o8teT1piV-SNzShjg/edit?gid=554141278#gid=554141278"", ""'Char Def. - Attributes'!C20:C2242""), 1,false)"),"WEIGHT_UNIT_SI")</f>
        <v>WEIGHT_UNIT_SI</v>
      </c>
      <c r="I9072" s="136"/>
      <c r="R9072" s="63" t="str">
        <f t="shared" si="60"/>
        <v>ZSI1_ELEC_SWITCHWEIGHT_UNIT_SI</v>
      </c>
    </row>
    <row r="9073" ht="15.75" customHeight="1">
      <c r="B9073" s="63">
        <f t="shared" si="1"/>
        <v>16</v>
      </c>
      <c r="C9073" s="135" t="s">
        <v>310</v>
      </c>
      <c r="D9073" s="161" t="s">
        <v>74</v>
      </c>
      <c r="E9073" s="135">
        <f t="shared" si="62"/>
        <v>13</v>
      </c>
      <c r="F9073" s="134" t="s">
        <v>3877</v>
      </c>
      <c r="G9073" s="63" t="str">
        <f>VLOOKUP(C9073, 'Class Def. - General Data'!$C$20:$C$1000,1,false)</f>
        <v>ZSI1_ELEC_SWITCH</v>
      </c>
      <c r="H9073" s="63" t="str">
        <f>IFERROR(__xludf.DUMMYFUNCTION("VLOOKUP(F9073, IMPORTRANGE(""https://docs.google.com/spreadsheets/d/1Lhp9OU0JdFf_VYSMzH5lBcEaU4o8teT1piV-SNzShjg/edit?gid=554141278#gid=554141278"", ""'Char Def. - Attributes'!C20:C2242""), 1,false)"),"VOLUME_OPT")</f>
        <v>VOLUME_OPT</v>
      </c>
      <c r="I9073" s="136"/>
      <c r="R9073" s="63" t="str">
        <f t="shared" si="60"/>
        <v>ZSI1_ELEC_SWITCHVOLUME_OPT</v>
      </c>
    </row>
    <row r="9074" ht="15.75" customHeight="1">
      <c r="B9074" s="63">
        <f t="shared" si="1"/>
        <v>16</v>
      </c>
      <c r="C9074" s="135" t="s">
        <v>310</v>
      </c>
      <c r="D9074" s="161" t="s">
        <v>74</v>
      </c>
      <c r="E9074" s="135">
        <f t="shared" si="62"/>
        <v>14</v>
      </c>
      <c r="F9074" s="134" t="s">
        <v>4059</v>
      </c>
      <c r="G9074" s="63" t="str">
        <f>VLOOKUP(C9074, 'Class Def. - General Data'!$C$20:$C$1000,1,false)</f>
        <v>ZSI1_ELEC_SWITCH</v>
      </c>
      <c r="H9074" s="63" t="str">
        <f>IFERROR(__xludf.DUMMYFUNCTION("VLOOKUP(F9074, IMPORTRANGE(""https://docs.google.com/spreadsheets/d/1Lhp9OU0JdFf_VYSMzH5lBcEaU4o8teT1piV-SNzShjg/edit?gid=554141278#gid=554141278"", ""'Char Def. - Attributes'!C20:C2242""), 1,false)"),"VOLUME_UNIT_SI")</f>
        <v>VOLUME_UNIT_SI</v>
      </c>
      <c r="I9074" s="136"/>
      <c r="R9074" s="63" t="str">
        <f t="shared" si="60"/>
        <v>ZSI1_ELEC_SWITCHVOLUME_UNIT_SI</v>
      </c>
    </row>
    <row r="9075" ht="15.75" customHeight="1">
      <c r="B9075" s="63">
        <f t="shared" si="1"/>
        <v>16</v>
      </c>
      <c r="C9075" s="135" t="s">
        <v>310</v>
      </c>
      <c r="D9075" s="161" t="s">
        <v>74</v>
      </c>
      <c r="E9075" s="135">
        <f t="shared" si="62"/>
        <v>15</v>
      </c>
      <c r="F9075" s="134" t="s">
        <v>3804</v>
      </c>
      <c r="G9075" s="63" t="str">
        <f>VLOOKUP(C9075, 'Class Def. - General Data'!$C$20:$C$1000,1,false)</f>
        <v>ZSI1_ELEC_SWITCH</v>
      </c>
      <c r="H9075" s="63" t="str">
        <f>IFERROR(__xludf.DUMMYFUNCTION("VLOOKUP(F9075, IMPORTRANGE(""https://docs.google.com/spreadsheets/d/1Lhp9OU0JdFf_VYSMzH5lBcEaU4o8teT1piV-SNzShjg/edit?gid=554141278#gid=554141278"", ""'Char Def. - Attributes'!C20:C2242""), 1,false)"),"ALT_UOM1_SIPI")</f>
        <v>ALT_UOM1_SIPI</v>
      </c>
      <c r="I9075" s="136"/>
      <c r="R9075" s="63" t="str">
        <f t="shared" si="60"/>
        <v>ZSI1_ELEC_SWITCHALT_UOM1_SIPI</v>
      </c>
    </row>
    <row r="9076" ht="15.75" customHeight="1">
      <c r="B9076" s="63">
        <f t="shared" si="1"/>
        <v>16</v>
      </c>
      <c r="C9076" s="135" t="s">
        <v>310</v>
      </c>
      <c r="D9076" s="161" t="s">
        <v>74</v>
      </c>
      <c r="E9076" s="135">
        <f t="shared" si="62"/>
        <v>16</v>
      </c>
      <c r="F9076" s="134" t="s">
        <v>3805</v>
      </c>
      <c r="G9076" s="63" t="str">
        <f>VLOOKUP(C9076, 'Class Def. - General Data'!$C$20:$C$1000,1,false)</f>
        <v>ZSI1_ELEC_SWITCH</v>
      </c>
      <c r="H9076" s="63" t="str">
        <f>IFERROR(__xludf.DUMMYFUNCTION("VLOOKUP(F9076, IMPORTRANGE(""https://docs.google.com/spreadsheets/d/1Lhp9OU0JdFf_VYSMzH5lBcEaU4o8teT1piV-SNzShjg/edit?gid=554141278#gid=554141278"", ""'Char Def. - Attributes'!C20:C2242""), 1,false)"),"ALT_DENUM_UOM1")</f>
        <v>ALT_DENUM_UOM1</v>
      </c>
      <c r="I9076" s="136"/>
      <c r="R9076" s="63" t="str">
        <f t="shared" si="60"/>
        <v>ZSI1_ELEC_SWITCHALT_DENUM_UOM1</v>
      </c>
    </row>
    <row r="9077" ht="15.75" customHeight="1">
      <c r="B9077" s="63">
        <f t="shared" si="1"/>
        <v>16</v>
      </c>
      <c r="C9077" s="135" t="s">
        <v>310</v>
      </c>
      <c r="D9077" s="161" t="s">
        <v>74</v>
      </c>
      <c r="E9077" s="135">
        <f t="shared" si="62"/>
        <v>17</v>
      </c>
      <c r="F9077" s="134" t="s">
        <v>3806</v>
      </c>
      <c r="G9077" s="63" t="str">
        <f>VLOOKUP(C9077, 'Class Def. - General Data'!$C$20:$C$1000,1,false)</f>
        <v>ZSI1_ELEC_SWITCH</v>
      </c>
      <c r="H9077" s="63" t="str">
        <f>IFERROR(__xludf.DUMMYFUNCTION("VLOOKUP(F9077, IMPORTRANGE(""https://docs.google.com/spreadsheets/d/1Lhp9OU0JdFf_VYSMzH5lBcEaU4o8teT1piV-SNzShjg/edit?gid=554141278#gid=554141278"", ""'Char Def. - Attributes'!C20:C2242""), 1,false)"),"ALT_NUM_UOM1")</f>
        <v>ALT_NUM_UOM1</v>
      </c>
      <c r="I9077" s="136"/>
      <c r="R9077" s="63" t="str">
        <f t="shared" si="60"/>
        <v>ZSI1_ELEC_SWITCHALT_NUM_UOM1</v>
      </c>
    </row>
    <row r="9078" ht="15.75" customHeight="1">
      <c r="B9078" s="63">
        <f t="shared" si="1"/>
        <v>16</v>
      </c>
      <c r="C9078" s="135" t="s">
        <v>310</v>
      </c>
      <c r="D9078" s="161" t="s">
        <v>74</v>
      </c>
      <c r="E9078" s="135">
        <f t="shared" si="62"/>
        <v>18</v>
      </c>
      <c r="F9078" s="134" t="s">
        <v>3807</v>
      </c>
      <c r="G9078" s="63" t="str">
        <f>VLOOKUP(C9078, 'Class Def. - General Data'!$C$20:$C$1000,1,false)</f>
        <v>ZSI1_ELEC_SWITCH</v>
      </c>
      <c r="H9078" s="63" t="str">
        <f>IFERROR(__xludf.DUMMYFUNCTION("VLOOKUP(F9078, IMPORTRANGE(""https://docs.google.com/spreadsheets/d/1Lhp9OU0JdFf_VYSMzH5lBcEaU4o8teT1piV-SNzShjg/edit?gid=554141278#gid=554141278"", ""'Char Def. - Attributes'!C20:C2242""), 1,false)"),"ALT_UOM2_SIPI")</f>
        <v>ALT_UOM2_SIPI</v>
      </c>
      <c r="I9078" s="136"/>
      <c r="R9078" s="63" t="str">
        <f t="shared" si="60"/>
        <v>ZSI1_ELEC_SWITCHALT_UOM2_SIPI</v>
      </c>
    </row>
    <row r="9079" ht="15.75" customHeight="1">
      <c r="B9079" s="63">
        <f t="shared" si="1"/>
        <v>16</v>
      </c>
      <c r="C9079" s="135" t="s">
        <v>310</v>
      </c>
      <c r="D9079" s="161" t="s">
        <v>74</v>
      </c>
      <c r="E9079" s="135">
        <f t="shared" si="62"/>
        <v>19</v>
      </c>
      <c r="F9079" s="134" t="s">
        <v>3808</v>
      </c>
      <c r="G9079" s="63" t="str">
        <f>VLOOKUP(C9079, 'Class Def. - General Data'!$C$20:$C$1000,1,false)</f>
        <v>ZSI1_ELEC_SWITCH</v>
      </c>
      <c r="H9079" s="63" t="str">
        <f>IFERROR(__xludf.DUMMYFUNCTION("VLOOKUP(F9079, IMPORTRANGE(""https://docs.google.com/spreadsheets/d/1Lhp9OU0JdFf_VYSMzH5lBcEaU4o8teT1piV-SNzShjg/edit?gid=554141278#gid=554141278"", ""'Char Def. - Attributes'!C20:C2242""), 1,false)"),"ALT_DENUM_UOM2")</f>
        <v>ALT_DENUM_UOM2</v>
      </c>
      <c r="I9079" s="136"/>
      <c r="R9079" s="63" t="str">
        <f t="shared" si="60"/>
        <v>ZSI1_ELEC_SWITCHALT_DENUM_UOM2</v>
      </c>
    </row>
    <row r="9080" ht="15.75" customHeight="1">
      <c r="B9080" s="63">
        <f t="shared" si="1"/>
        <v>16</v>
      </c>
      <c r="C9080" s="135" t="s">
        <v>310</v>
      </c>
      <c r="D9080" s="161" t="s">
        <v>74</v>
      </c>
      <c r="E9080" s="135">
        <f t="shared" si="62"/>
        <v>20</v>
      </c>
      <c r="F9080" s="134" t="s">
        <v>3809</v>
      </c>
      <c r="G9080" s="63" t="str">
        <f>VLOOKUP(C9080, 'Class Def. - General Data'!$C$20:$C$1000,1,false)</f>
        <v>ZSI1_ELEC_SWITCH</v>
      </c>
      <c r="H9080" s="63" t="str">
        <f>IFERROR(__xludf.DUMMYFUNCTION("VLOOKUP(F9080, IMPORTRANGE(""https://docs.google.com/spreadsheets/d/1Lhp9OU0JdFf_VYSMzH5lBcEaU4o8teT1piV-SNzShjg/edit?gid=554141278#gid=554141278"", ""'Char Def. - Attributes'!C20:C2242""), 1,false)"),"ALT_NUM_UOM2")</f>
        <v>ALT_NUM_UOM2</v>
      </c>
      <c r="I9080" s="136"/>
      <c r="R9080" s="63" t="str">
        <f t="shared" si="60"/>
        <v>ZSI1_ELEC_SWITCHALT_NUM_UOM2</v>
      </c>
    </row>
    <row r="9081" ht="15.75" customHeight="1">
      <c r="B9081" s="63">
        <f t="shared" si="1"/>
        <v>16</v>
      </c>
      <c r="C9081" s="135" t="s">
        <v>310</v>
      </c>
      <c r="D9081" s="161" t="s">
        <v>74</v>
      </c>
      <c r="E9081" s="135">
        <f t="shared" si="62"/>
        <v>21</v>
      </c>
      <c r="F9081" s="134" t="s">
        <v>3810</v>
      </c>
      <c r="G9081" s="63" t="str">
        <f>VLOOKUP(C9081, 'Class Def. - General Data'!$C$20:$C$1000,1,false)</f>
        <v>ZSI1_ELEC_SWITCH</v>
      </c>
      <c r="H9081" s="63" t="str">
        <f>IFERROR(__xludf.DUMMYFUNCTION("VLOOKUP(F9081, IMPORTRANGE(""https://docs.google.com/spreadsheets/d/1Lhp9OU0JdFf_VYSMzH5lBcEaU4o8teT1piV-SNzShjg/edit?gid=554141278#gid=554141278"", ""'Char Def. - Attributes'!C20:C2242""), 1,false)"),"ALT_UOM3_SIPI")</f>
        <v>ALT_UOM3_SIPI</v>
      </c>
      <c r="I9081" s="136"/>
      <c r="R9081" s="63" t="str">
        <f t="shared" si="60"/>
        <v>ZSI1_ELEC_SWITCHALT_UOM3_SIPI</v>
      </c>
    </row>
    <row r="9082" ht="15.75" customHeight="1">
      <c r="B9082" s="63">
        <f t="shared" si="1"/>
        <v>16</v>
      </c>
      <c r="C9082" s="135" t="s">
        <v>310</v>
      </c>
      <c r="D9082" s="161" t="s">
        <v>74</v>
      </c>
      <c r="E9082" s="135">
        <f t="shared" si="62"/>
        <v>22</v>
      </c>
      <c r="F9082" s="134" t="s">
        <v>3811</v>
      </c>
      <c r="G9082" s="63" t="str">
        <f>VLOOKUP(C9082, 'Class Def. - General Data'!$C$20:$C$1000,1,false)</f>
        <v>ZSI1_ELEC_SWITCH</v>
      </c>
      <c r="H9082" s="63" t="str">
        <f>IFERROR(__xludf.DUMMYFUNCTION("VLOOKUP(F9082, IMPORTRANGE(""https://docs.google.com/spreadsheets/d/1Lhp9OU0JdFf_VYSMzH5lBcEaU4o8teT1piV-SNzShjg/edit?gid=554141278#gid=554141278"", ""'Char Def. - Attributes'!C20:C2242""), 1,false)"),"ALT_DENUM_UOM3")</f>
        <v>ALT_DENUM_UOM3</v>
      </c>
      <c r="I9082" s="136"/>
      <c r="R9082" s="63" t="str">
        <f t="shared" si="60"/>
        <v>ZSI1_ELEC_SWITCHALT_DENUM_UOM3</v>
      </c>
    </row>
    <row r="9083" ht="15.75" customHeight="1">
      <c r="B9083" s="63">
        <f t="shared" si="1"/>
        <v>16</v>
      </c>
      <c r="C9083" s="135" t="s">
        <v>310</v>
      </c>
      <c r="D9083" s="161" t="s">
        <v>74</v>
      </c>
      <c r="E9083" s="135">
        <f t="shared" si="62"/>
        <v>23</v>
      </c>
      <c r="F9083" s="134" t="s">
        <v>3812</v>
      </c>
      <c r="G9083" s="63" t="str">
        <f>VLOOKUP(C9083, 'Class Def. - General Data'!$C$20:$C$1000,1,false)</f>
        <v>ZSI1_ELEC_SWITCH</v>
      </c>
      <c r="H9083" s="63" t="str">
        <f>IFERROR(__xludf.DUMMYFUNCTION("VLOOKUP(F9083, IMPORTRANGE(""https://docs.google.com/spreadsheets/d/1Lhp9OU0JdFf_VYSMzH5lBcEaU4o8teT1piV-SNzShjg/edit?gid=554141278#gid=554141278"", ""'Char Def. - Attributes'!C20:C2242""), 1,false)"),"ALT_NUM_UOM3")</f>
        <v>ALT_NUM_UOM3</v>
      </c>
      <c r="I9083" s="136"/>
      <c r="R9083" s="63" t="str">
        <f t="shared" si="60"/>
        <v>ZSI1_ELEC_SWITCHALT_NUM_UOM3</v>
      </c>
    </row>
    <row r="9084" ht="15.75" customHeight="1">
      <c r="B9084" s="63">
        <f t="shared" si="1"/>
        <v>16</v>
      </c>
      <c r="C9084" s="135" t="s">
        <v>310</v>
      </c>
      <c r="D9084" s="161" t="s">
        <v>74</v>
      </c>
      <c r="E9084" s="135">
        <f t="shared" si="62"/>
        <v>24</v>
      </c>
      <c r="F9084" s="134" t="s">
        <v>3813</v>
      </c>
      <c r="G9084" s="63" t="str">
        <f>VLOOKUP(C9084, 'Class Def. - General Data'!$C$20:$C$1000,1,false)</f>
        <v>ZSI1_ELEC_SWITCH</v>
      </c>
      <c r="H9084" s="63" t="str">
        <f>IFERROR(__xludf.DUMMYFUNCTION("VLOOKUP(F9084, IMPORTRANGE(""https://docs.google.com/spreadsheets/d/1Lhp9OU0JdFf_VYSMzH5lBcEaU4o8teT1piV-SNzShjg/edit?gid=554141278#gid=554141278"", ""'Char Def. - Attributes'!C20:C2242""), 1,false)"),"ALT_UOM4_SIPI")</f>
        <v>ALT_UOM4_SIPI</v>
      </c>
      <c r="I9084" s="136"/>
      <c r="R9084" s="63" t="str">
        <f t="shared" si="60"/>
        <v>ZSI1_ELEC_SWITCHALT_UOM4_SIPI</v>
      </c>
    </row>
    <row r="9085" ht="15.75" customHeight="1">
      <c r="B9085" s="63">
        <f t="shared" si="1"/>
        <v>16</v>
      </c>
      <c r="C9085" s="135" t="s">
        <v>310</v>
      </c>
      <c r="D9085" s="161" t="s">
        <v>74</v>
      </c>
      <c r="E9085" s="135">
        <f t="shared" si="62"/>
        <v>25</v>
      </c>
      <c r="F9085" s="134" t="s">
        <v>3814</v>
      </c>
      <c r="G9085" s="63" t="str">
        <f>VLOOKUP(C9085, 'Class Def. - General Data'!$C$20:$C$1000,1,false)</f>
        <v>ZSI1_ELEC_SWITCH</v>
      </c>
      <c r="H9085" s="63" t="str">
        <f>IFERROR(__xludf.DUMMYFUNCTION("VLOOKUP(F9085, IMPORTRANGE(""https://docs.google.com/spreadsheets/d/1Lhp9OU0JdFf_VYSMzH5lBcEaU4o8teT1piV-SNzShjg/edit?gid=554141278#gid=554141278"", ""'Char Def. - Attributes'!C20:C2242""), 1,false)"),"ALT_DENUM_UOM4")</f>
        <v>ALT_DENUM_UOM4</v>
      </c>
      <c r="I9085" s="136"/>
      <c r="R9085" s="63" t="str">
        <f t="shared" si="60"/>
        <v>ZSI1_ELEC_SWITCHALT_DENUM_UOM4</v>
      </c>
    </row>
    <row r="9086" ht="15.75" customHeight="1">
      <c r="B9086" s="63">
        <f t="shared" si="1"/>
        <v>16</v>
      </c>
      <c r="C9086" s="135" t="s">
        <v>310</v>
      </c>
      <c r="D9086" s="161" t="s">
        <v>74</v>
      </c>
      <c r="E9086" s="135">
        <f t="shared" si="62"/>
        <v>26</v>
      </c>
      <c r="F9086" s="134" t="s">
        <v>3815</v>
      </c>
      <c r="G9086" s="63" t="str">
        <f>VLOOKUP(C9086, 'Class Def. - General Data'!$C$20:$C$1000,1,false)</f>
        <v>ZSI1_ELEC_SWITCH</v>
      </c>
      <c r="H9086" s="63" t="str">
        <f>IFERROR(__xludf.DUMMYFUNCTION("VLOOKUP(F9086, IMPORTRANGE(""https://docs.google.com/spreadsheets/d/1Lhp9OU0JdFf_VYSMzH5lBcEaU4o8teT1piV-SNzShjg/edit?gid=554141278#gid=554141278"", ""'Char Def. - Attributes'!C20:C2242""), 1,false)"),"ALT_NUM_UOM4")</f>
        <v>ALT_NUM_UOM4</v>
      </c>
      <c r="I9086" s="136"/>
      <c r="R9086" s="63" t="str">
        <f t="shared" si="60"/>
        <v>ZSI1_ELEC_SWITCHALT_NUM_UOM4</v>
      </c>
    </row>
    <row r="9087" ht="15.75" customHeight="1">
      <c r="B9087" s="63">
        <f t="shared" si="1"/>
        <v>16</v>
      </c>
      <c r="C9087" s="135" t="s">
        <v>310</v>
      </c>
      <c r="D9087" s="161" t="s">
        <v>74</v>
      </c>
      <c r="E9087" s="135">
        <f t="shared" si="62"/>
        <v>27</v>
      </c>
      <c r="F9087" s="134" t="s">
        <v>3816</v>
      </c>
      <c r="G9087" s="63" t="str">
        <f>VLOOKUP(C9087, 'Class Def. - General Data'!$C$20:$C$1000,1,false)</f>
        <v>ZSI1_ELEC_SWITCH</v>
      </c>
      <c r="H9087" s="63" t="str">
        <f>IFERROR(__xludf.DUMMYFUNCTION("VLOOKUP(F9087, IMPORTRANGE(""https://docs.google.com/spreadsheets/d/1Lhp9OU0JdFf_VYSMzH5lBcEaU4o8teT1piV-SNzShjg/edit?gid=554141278#gid=554141278"", ""'Char Def. - Attributes'!C20:C2242""), 1,false)"),"ALT_UOM5_SIPI")</f>
        <v>ALT_UOM5_SIPI</v>
      </c>
      <c r="I9087" s="136"/>
      <c r="R9087" s="63" t="str">
        <f t="shared" si="60"/>
        <v>ZSI1_ELEC_SWITCHALT_UOM5_SIPI</v>
      </c>
    </row>
    <row r="9088" ht="15.75" customHeight="1">
      <c r="B9088" s="63">
        <f t="shared" si="1"/>
        <v>16</v>
      </c>
      <c r="C9088" s="135" t="s">
        <v>310</v>
      </c>
      <c r="D9088" s="161" t="s">
        <v>74</v>
      </c>
      <c r="E9088" s="135">
        <f t="shared" si="62"/>
        <v>28</v>
      </c>
      <c r="F9088" s="134" t="s">
        <v>3817</v>
      </c>
      <c r="G9088" s="63" t="str">
        <f>VLOOKUP(C9088, 'Class Def. - General Data'!$C$20:$C$1000,1,false)</f>
        <v>ZSI1_ELEC_SWITCH</v>
      </c>
      <c r="H9088" s="63" t="str">
        <f>IFERROR(__xludf.DUMMYFUNCTION("VLOOKUP(F9088, IMPORTRANGE(""https://docs.google.com/spreadsheets/d/1Lhp9OU0JdFf_VYSMzH5lBcEaU4o8teT1piV-SNzShjg/edit?gid=554141278#gid=554141278"", ""'Char Def. - Attributes'!C20:C2242""), 1,false)"),"ALT_DENUM_UOM5")</f>
        <v>ALT_DENUM_UOM5</v>
      </c>
      <c r="I9088" s="136"/>
      <c r="R9088" s="63" t="str">
        <f t="shared" si="60"/>
        <v>ZSI1_ELEC_SWITCHALT_DENUM_UOM5</v>
      </c>
    </row>
    <row r="9089" ht="15.75" customHeight="1">
      <c r="B9089" s="63">
        <f t="shared" si="1"/>
        <v>16</v>
      </c>
      <c r="C9089" s="135" t="s">
        <v>310</v>
      </c>
      <c r="D9089" s="161" t="s">
        <v>74</v>
      </c>
      <c r="E9089" s="135">
        <f t="shared" si="62"/>
        <v>29</v>
      </c>
      <c r="F9089" s="134" t="s">
        <v>3818</v>
      </c>
      <c r="G9089" s="63" t="str">
        <f>VLOOKUP(C9089, 'Class Def. - General Data'!$C$20:$C$1000,1,false)</f>
        <v>ZSI1_ELEC_SWITCH</v>
      </c>
      <c r="H9089" s="63" t="str">
        <f>IFERROR(__xludf.DUMMYFUNCTION("VLOOKUP(F9089, IMPORTRANGE(""https://docs.google.com/spreadsheets/d/1Lhp9OU0JdFf_VYSMzH5lBcEaU4o8teT1piV-SNzShjg/edit?gid=554141278#gid=554141278"", ""'Char Def. - Attributes'!C20:C2242""), 1,false)"),"ALT_NUM_UOM5")</f>
        <v>ALT_NUM_UOM5</v>
      </c>
      <c r="I9089" s="136"/>
      <c r="R9089" s="63" t="str">
        <f t="shared" si="60"/>
        <v>ZSI1_ELEC_SWITCHALT_NUM_UOM5</v>
      </c>
    </row>
    <row r="9090" ht="15.75" customHeight="1">
      <c r="B9090" s="63">
        <f t="shared" si="1"/>
        <v>14</v>
      </c>
      <c r="C9090" s="135" t="s">
        <v>540</v>
      </c>
      <c r="D9090" s="161" t="s">
        <v>74</v>
      </c>
      <c r="E9090" s="135">
        <f t="shared" si="62"/>
        <v>1</v>
      </c>
      <c r="F9090" s="134" t="s">
        <v>4474</v>
      </c>
      <c r="G9090" s="63" t="str">
        <f>VLOOKUP(C9090, 'Class Def. - General Data'!$C$20:$C$1000,1,false)</f>
        <v>ZSI1_ELEC_WIRE</v>
      </c>
      <c r="H9090" s="63" t="str">
        <f>IFERROR(__xludf.DUMMYFUNCTION("VLOOKUP(F9090, IMPORTRANGE(""https://docs.google.com/spreadsheets/d/1Lhp9OU0JdFf_VYSMzH5lBcEaU4o8teT1piV-SNzShjg/edit?gid=554141278#gid=554141278"", ""'Char Def. - Attributes'!C20:C2242""), 1,false)"),"WIRE_NAME_ELEC_WIRE")</f>
        <v>WIRE_NAME_ELEC_WIRE</v>
      </c>
      <c r="I9090" s="136"/>
      <c r="R9090" s="63" t="str">
        <f t="shared" si="60"/>
        <v>ZSI1_ELEC_WIREWIRE_NAME_ELEC_WIRE</v>
      </c>
    </row>
    <row r="9091" ht="15.75" customHeight="1">
      <c r="B9091" s="63">
        <f t="shared" si="1"/>
        <v>14</v>
      </c>
      <c r="C9091" s="135" t="s">
        <v>540</v>
      </c>
      <c r="D9091" s="161" t="s">
        <v>74</v>
      </c>
      <c r="E9091" s="135">
        <f t="shared" si="62"/>
        <v>2</v>
      </c>
      <c r="F9091" s="134" t="s">
        <v>4475</v>
      </c>
      <c r="G9091" s="63" t="str">
        <f>VLOOKUP(C9091, 'Class Def. - General Data'!$C$20:$C$1000,1,false)</f>
        <v>ZSI1_ELEC_WIRE</v>
      </c>
      <c r="H9091" s="63" t="str">
        <f>IFERROR(__xludf.DUMMYFUNCTION("VLOOKUP(F9091, IMPORTRANGE(""https://docs.google.com/spreadsheets/d/1Lhp9OU0JdFf_VYSMzH5lBcEaU4o8teT1piV-SNzShjg/edit?gid=554141278#gid=554141278"", ""'Char Def. - Attributes'!C20:C2242""), 1,false)"),"DIAMETER_MM_ELEC_WIRE")</f>
        <v>DIAMETER_MM_ELEC_WIRE</v>
      </c>
      <c r="I9091" s="136"/>
      <c r="R9091" s="63" t="str">
        <f t="shared" si="60"/>
        <v>ZSI1_ELEC_WIREDIAMETER_MM_ELEC_WIRE</v>
      </c>
    </row>
    <row r="9092" ht="15.75" customHeight="1">
      <c r="B9092" s="63">
        <f t="shared" si="1"/>
        <v>14</v>
      </c>
      <c r="C9092" s="135" t="s">
        <v>540</v>
      </c>
      <c r="D9092" s="161" t="s">
        <v>74</v>
      </c>
      <c r="E9092" s="135">
        <f t="shared" si="62"/>
        <v>3</v>
      </c>
      <c r="F9092" s="134" t="s">
        <v>4062</v>
      </c>
      <c r="G9092" s="63" t="str">
        <f>VLOOKUP(C9092, 'Class Def. - General Data'!$C$20:$C$1000,1,false)</f>
        <v>ZSI1_ELEC_WIRE</v>
      </c>
      <c r="H9092" s="63" t="str">
        <f>IFERROR(__xludf.DUMMYFUNCTION("VLOOKUP(F9092, IMPORTRANGE(""https://docs.google.com/spreadsheets/d/1Lhp9OU0JdFf_VYSMzH5lBcEaU4o8teT1piV-SNzShjg/edit?gid=554141278#gid=554141278"", ""'Char Def. - Attributes'!C20:C2242""), 1,false)"),"#N/A")</f>
        <v>#N/A</v>
      </c>
      <c r="I9092" s="136"/>
      <c r="R9092" s="63" t="str">
        <f t="shared" si="60"/>
        <v>ZSI1_ELEC_WIREADDTIONAL_SPECIFICATION</v>
      </c>
    </row>
    <row r="9093" ht="15.75" customHeight="1">
      <c r="B9093" s="63">
        <f t="shared" si="1"/>
        <v>14</v>
      </c>
      <c r="C9093" s="135" t="s">
        <v>540</v>
      </c>
      <c r="D9093" s="161" t="s">
        <v>74</v>
      </c>
      <c r="E9093" s="135">
        <f t="shared" si="62"/>
        <v>4</v>
      </c>
      <c r="F9093" s="134" t="s">
        <v>3585</v>
      </c>
      <c r="G9093" s="63" t="str">
        <f>VLOOKUP(C9093, 'Class Def. - General Data'!$C$20:$C$1000,1,false)</f>
        <v>ZSI1_ELEC_WIRE</v>
      </c>
      <c r="H9093" s="63" t="str">
        <f>IFERROR(__xludf.DUMMYFUNCTION("VLOOKUP(F9093, IMPORTRANGE(""https://docs.google.com/spreadsheets/d/1Lhp9OU0JdFf_VYSMzH5lBcEaU4o8teT1piV-SNzShjg/edit?gid=554141278#gid=554141278"", ""'Char Def. - Attributes'!C20:C2242""), 1,false)"),"HS_CODE")</f>
        <v>HS_CODE</v>
      </c>
      <c r="I9093" s="136"/>
      <c r="R9093" s="63" t="str">
        <f t="shared" si="60"/>
        <v>ZSI1_ELEC_WIREHS_CODE</v>
      </c>
    </row>
    <row r="9094" ht="15.75" customHeight="1">
      <c r="B9094" s="63">
        <f t="shared" si="1"/>
        <v>14</v>
      </c>
      <c r="C9094" s="135" t="s">
        <v>540</v>
      </c>
      <c r="D9094" s="161" t="s">
        <v>74</v>
      </c>
      <c r="E9094" s="135">
        <f t="shared" si="62"/>
        <v>5</v>
      </c>
      <c r="F9094" s="134" t="s">
        <v>3587</v>
      </c>
      <c r="G9094" s="63" t="str">
        <f>VLOOKUP(C9094, 'Class Def. - General Data'!$C$20:$C$1000,1,false)</f>
        <v>ZSI1_ELEC_WIRE</v>
      </c>
      <c r="H9094" s="63" t="str">
        <f>IFERROR(__xludf.DUMMYFUNCTION("VLOOKUP(F9094, IMPORTRANGE(""https://docs.google.com/spreadsheets/d/1Lhp9OU0JdFf_VYSMzH5lBcEaU4o8teT1piV-SNzShjg/edit?gid=554141278#gid=554141278"", ""'Char Def. - Attributes'!C20:C2242""), 1,false)"),"PLANT_BUY")</f>
        <v>PLANT_BUY</v>
      </c>
      <c r="I9094" s="136"/>
      <c r="R9094" s="63" t="str">
        <f t="shared" si="60"/>
        <v>ZSI1_ELEC_WIREPLANT_BUY</v>
      </c>
    </row>
    <row r="9095" ht="15.75" customHeight="1">
      <c r="B9095" s="63">
        <f t="shared" si="1"/>
        <v>14</v>
      </c>
      <c r="C9095" s="135" t="s">
        <v>540</v>
      </c>
      <c r="D9095" s="161" t="s">
        <v>74</v>
      </c>
      <c r="E9095" s="135">
        <f t="shared" si="62"/>
        <v>6</v>
      </c>
      <c r="F9095" s="134" t="s">
        <v>4476</v>
      </c>
      <c r="G9095" s="63" t="str">
        <f>VLOOKUP(C9095, 'Class Def. - General Data'!$C$20:$C$1000,1,false)</f>
        <v>ZSI1_ELEC_WIRE</v>
      </c>
      <c r="H9095" s="63" t="str">
        <f>IFERROR(__xludf.DUMMYFUNCTION("VLOOKUP(F9095, IMPORTRANGE(""https://docs.google.com/spreadsheets/d/1Lhp9OU0JdFf_VYSMzH5lBcEaU4o8teT1piV-SNzShjg/edit?gid=554141278#gid=554141278"", ""'Char Def. - Attributes'!C20:C2242""), 1,false)"),"BASE_UOM_ELEC_WIRE")</f>
        <v>BASE_UOM_ELEC_WIRE</v>
      </c>
      <c r="I9095" s="136"/>
      <c r="R9095" s="63" t="str">
        <f t="shared" si="60"/>
        <v>ZSI1_ELEC_WIREBASE_UOM_ELEC_WIRE</v>
      </c>
    </row>
    <row r="9096" ht="15.75" customHeight="1">
      <c r="B9096" s="63">
        <f t="shared" si="1"/>
        <v>14</v>
      </c>
      <c r="C9096" s="135" t="s">
        <v>540</v>
      </c>
      <c r="D9096" s="161" t="s">
        <v>74</v>
      </c>
      <c r="E9096" s="135">
        <f t="shared" si="62"/>
        <v>7</v>
      </c>
      <c r="F9096" s="134" t="s">
        <v>4477</v>
      </c>
      <c r="G9096" s="63" t="str">
        <f>VLOOKUP(C9096, 'Class Def. - General Data'!$C$20:$C$1000,1,false)</f>
        <v>ZSI1_ELEC_WIRE</v>
      </c>
      <c r="H9096" s="63" t="str">
        <f>IFERROR(__xludf.DUMMYFUNCTION("VLOOKUP(F9096, IMPORTRANGE(""https://docs.google.com/spreadsheets/d/1Lhp9OU0JdFf_VYSMzH5lBcEaU4o8teT1piV-SNzShjg/edit?gid=554141278#gid=554141278"", ""'Char Def. - Attributes'!C20:C2242""), 1,false)"),"ORDER_UNIT_ELEC_WIRE")</f>
        <v>ORDER_UNIT_ELEC_WIRE</v>
      </c>
      <c r="I9096" s="136"/>
      <c r="R9096" s="63" t="str">
        <f t="shared" si="60"/>
        <v>ZSI1_ELEC_WIREORDER_UNIT_ELEC_WIRE</v>
      </c>
    </row>
    <row r="9097" ht="15.75" customHeight="1">
      <c r="B9097" s="63">
        <f t="shared" si="1"/>
        <v>14</v>
      </c>
      <c r="C9097" s="135" t="s">
        <v>540</v>
      </c>
      <c r="D9097" s="161" t="s">
        <v>74</v>
      </c>
      <c r="E9097" s="135">
        <f t="shared" si="62"/>
        <v>8</v>
      </c>
      <c r="F9097" s="134" t="s">
        <v>4056</v>
      </c>
      <c r="G9097" s="63" t="str">
        <f>VLOOKUP(C9097, 'Class Def. - General Data'!$C$20:$C$1000,1,false)</f>
        <v>ZSI1_ELEC_WIRE</v>
      </c>
      <c r="H9097" s="63" t="str">
        <f>IFERROR(__xludf.DUMMYFUNCTION("VLOOKUP(F9097, IMPORTRANGE(""https://docs.google.com/spreadsheets/d/1Lhp9OU0JdFf_VYSMzH5lBcEaU4o8teT1piV-SNzShjg/edit?gid=554141278#gid=554141278"", ""'Char Def. - Attributes'!C20:C2242""), 1,false)"),"GROSS_WEIGHT_OPT")</f>
        <v>GROSS_WEIGHT_OPT</v>
      </c>
      <c r="I9097" s="136"/>
      <c r="R9097" s="63" t="str">
        <f t="shared" si="60"/>
        <v>ZSI1_ELEC_WIREGROSS_WEIGHT_OPT</v>
      </c>
    </row>
    <row r="9098" ht="15.75" customHeight="1">
      <c r="B9098" s="63">
        <f t="shared" si="1"/>
        <v>14</v>
      </c>
      <c r="C9098" s="135" t="s">
        <v>540</v>
      </c>
      <c r="D9098" s="161" t="s">
        <v>74</v>
      </c>
      <c r="E9098" s="135">
        <f t="shared" si="62"/>
        <v>9</v>
      </c>
      <c r="F9098" s="134" t="s">
        <v>4057</v>
      </c>
      <c r="G9098" s="63" t="str">
        <f>VLOOKUP(C9098, 'Class Def. - General Data'!$C$20:$C$1000,1,false)</f>
        <v>ZSI1_ELEC_WIRE</v>
      </c>
      <c r="H9098" s="63" t="str">
        <f>IFERROR(__xludf.DUMMYFUNCTION("VLOOKUP(F9098, IMPORTRANGE(""https://docs.google.com/spreadsheets/d/1Lhp9OU0JdFf_VYSMzH5lBcEaU4o8teT1piV-SNzShjg/edit?gid=554141278#gid=554141278"", ""'Char Def. - Attributes'!C20:C2242""), 1,false)"),"NET_WEIGHT_OPT")</f>
        <v>NET_WEIGHT_OPT</v>
      </c>
      <c r="I9098" s="136"/>
      <c r="R9098" s="63" t="str">
        <f t="shared" si="60"/>
        <v>ZSI1_ELEC_WIRENET_WEIGHT_OPT</v>
      </c>
    </row>
    <row r="9099" ht="15.75" customHeight="1">
      <c r="B9099" s="63">
        <f t="shared" si="1"/>
        <v>14</v>
      </c>
      <c r="C9099" s="135" t="s">
        <v>540</v>
      </c>
      <c r="D9099" s="161" t="s">
        <v>74</v>
      </c>
      <c r="E9099" s="135">
        <f t="shared" si="62"/>
        <v>10</v>
      </c>
      <c r="F9099" s="134" t="s">
        <v>4058</v>
      </c>
      <c r="G9099" s="63" t="str">
        <f>VLOOKUP(C9099, 'Class Def. - General Data'!$C$20:$C$1000,1,false)</f>
        <v>ZSI1_ELEC_WIRE</v>
      </c>
      <c r="H9099" s="63" t="str">
        <f>IFERROR(__xludf.DUMMYFUNCTION("VLOOKUP(F9099, IMPORTRANGE(""https://docs.google.com/spreadsheets/d/1Lhp9OU0JdFf_VYSMzH5lBcEaU4o8teT1piV-SNzShjg/edit?gid=554141278#gid=554141278"", ""'Char Def. - Attributes'!C20:C2242""), 1,false)"),"WEIGHT_UNIT_SI")</f>
        <v>WEIGHT_UNIT_SI</v>
      </c>
      <c r="I9099" s="136"/>
      <c r="R9099" s="63" t="str">
        <f t="shared" si="60"/>
        <v>ZSI1_ELEC_WIREWEIGHT_UNIT_SI</v>
      </c>
    </row>
    <row r="9100" ht="15.75" customHeight="1">
      <c r="B9100" s="63">
        <f t="shared" si="1"/>
        <v>14</v>
      </c>
      <c r="C9100" s="135" t="s">
        <v>540</v>
      </c>
      <c r="D9100" s="161" t="s">
        <v>74</v>
      </c>
      <c r="E9100" s="135">
        <f t="shared" si="62"/>
        <v>11</v>
      </c>
      <c r="F9100" s="134" t="s">
        <v>3877</v>
      </c>
      <c r="G9100" s="63" t="str">
        <f>VLOOKUP(C9100, 'Class Def. - General Data'!$C$20:$C$1000,1,false)</f>
        <v>ZSI1_ELEC_WIRE</v>
      </c>
      <c r="H9100" s="63" t="str">
        <f>IFERROR(__xludf.DUMMYFUNCTION("VLOOKUP(F9100, IMPORTRANGE(""https://docs.google.com/spreadsheets/d/1Lhp9OU0JdFf_VYSMzH5lBcEaU4o8teT1piV-SNzShjg/edit?gid=554141278#gid=554141278"", ""'Char Def. - Attributes'!C20:C2242""), 1,false)"),"VOLUME_OPT")</f>
        <v>VOLUME_OPT</v>
      </c>
      <c r="I9100" s="136"/>
      <c r="R9100" s="63" t="str">
        <f t="shared" si="60"/>
        <v>ZSI1_ELEC_WIREVOLUME_OPT</v>
      </c>
    </row>
    <row r="9101" ht="15.75" customHeight="1">
      <c r="B9101" s="63">
        <f t="shared" si="1"/>
        <v>14</v>
      </c>
      <c r="C9101" s="135" t="s">
        <v>540</v>
      </c>
      <c r="D9101" s="161" t="s">
        <v>74</v>
      </c>
      <c r="E9101" s="135">
        <f t="shared" si="62"/>
        <v>12</v>
      </c>
      <c r="F9101" s="134" t="s">
        <v>4059</v>
      </c>
      <c r="G9101" s="63" t="str">
        <f>VLOOKUP(C9101, 'Class Def. - General Data'!$C$20:$C$1000,1,false)</f>
        <v>ZSI1_ELEC_WIRE</v>
      </c>
      <c r="H9101" s="63" t="str">
        <f>IFERROR(__xludf.DUMMYFUNCTION("VLOOKUP(F9101, IMPORTRANGE(""https://docs.google.com/spreadsheets/d/1Lhp9OU0JdFf_VYSMzH5lBcEaU4o8teT1piV-SNzShjg/edit?gid=554141278#gid=554141278"", ""'Char Def. - Attributes'!C20:C2242""), 1,false)"),"VOLUME_UNIT_SI")</f>
        <v>VOLUME_UNIT_SI</v>
      </c>
      <c r="I9101" s="136"/>
      <c r="R9101" s="63" t="str">
        <f t="shared" si="60"/>
        <v>ZSI1_ELEC_WIREVOLUME_UNIT_SI</v>
      </c>
    </row>
    <row r="9102" ht="15.75" customHeight="1">
      <c r="B9102" s="63">
        <f t="shared" si="1"/>
        <v>14</v>
      </c>
      <c r="C9102" s="135" t="s">
        <v>540</v>
      </c>
      <c r="D9102" s="161" t="s">
        <v>74</v>
      </c>
      <c r="E9102" s="135">
        <f t="shared" si="62"/>
        <v>13</v>
      </c>
      <c r="F9102" s="134" t="s">
        <v>3804</v>
      </c>
      <c r="G9102" s="63" t="str">
        <f>VLOOKUP(C9102, 'Class Def. - General Data'!$C$20:$C$1000,1,false)</f>
        <v>ZSI1_ELEC_WIRE</v>
      </c>
      <c r="H9102" s="63" t="str">
        <f>IFERROR(__xludf.DUMMYFUNCTION("VLOOKUP(F9102, IMPORTRANGE(""https://docs.google.com/spreadsheets/d/1Lhp9OU0JdFf_VYSMzH5lBcEaU4o8teT1piV-SNzShjg/edit?gid=554141278#gid=554141278"", ""'Char Def. - Attributes'!C20:C2242""), 1,false)"),"ALT_UOM1_SIPI")</f>
        <v>ALT_UOM1_SIPI</v>
      </c>
      <c r="I9102" s="136"/>
      <c r="R9102" s="63" t="str">
        <f t="shared" si="60"/>
        <v>ZSI1_ELEC_WIREALT_UOM1_SIPI</v>
      </c>
    </row>
    <row r="9103" ht="15.75" customHeight="1">
      <c r="B9103" s="63">
        <f t="shared" si="1"/>
        <v>14</v>
      </c>
      <c r="C9103" s="135" t="s">
        <v>540</v>
      </c>
      <c r="D9103" s="161" t="s">
        <v>74</v>
      </c>
      <c r="E9103" s="135">
        <f t="shared" si="62"/>
        <v>14</v>
      </c>
      <c r="F9103" s="134" t="s">
        <v>3805</v>
      </c>
      <c r="G9103" s="63" t="str">
        <f>VLOOKUP(C9103, 'Class Def. - General Data'!$C$20:$C$1000,1,false)</f>
        <v>ZSI1_ELEC_WIRE</v>
      </c>
      <c r="H9103" s="63" t="str">
        <f>IFERROR(__xludf.DUMMYFUNCTION("VLOOKUP(F9103, IMPORTRANGE(""https://docs.google.com/spreadsheets/d/1Lhp9OU0JdFf_VYSMzH5lBcEaU4o8teT1piV-SNzShjg/edit?gid=554141278#gid=554141278"", ""'Char Def. - Attributes'!C20:C2242""), 1,false)"),"ALT_DENUM_UOM1")</f>
        <v>ALT_DENUM_UOM1</v>
      </c>
      <c r="I9103" s="136"/>
      <c r="R9103" s="63" t="str">
        <f t="shared" si="60"/>
        <v>ZSI1_ELEC_WIREALT_DENUM_UOM1</v>
      </c>
    </row>
    <row r="9104" ht="15.75" customHeight="1">
      <c r="B9104" s="63">
        <f t="shared" si="1"/>
        <v>14</v>
      </c>
      <c r="C9104" s="135" t="s">
        <v>540</v>
      </c>
      <c r="D9104" s="161" t="s">
        <v>74</v>
      </c>
      <c r="E9104" s="135">
        <f t="shared" si="62"/>
        <v>15</v>
      </c>
      <c r="F9104" s="134" t="s">
        <v>3806</v>
      </c>
      <c r="G9104" s="63" t="str">
        <f>VLOOKUP(C9104, 'Class Def. - General Data'!$C$20:$C$1000,1,false)</f>
        <v>ZSI1_ELEC_WIRE</v>
      </c>
      <c r="H9104" s="63" t="str">
        <f>IFERROR(__xludf.DUMMYFUNCTION("VLOOKUP(F9104, IMPORTRANGE(""https://docs.google.com/spreadsheets/d/1Lhp9OU0JdFf_VYSMzH5lBcEaU4o8teT1piV-SNzShjg/edit?gid=554141278#gid=554141278"", ""'Char Def. - Attributes'!C20:C2242""), 1,false)"),"ALT_NUM_UOM1")</f>
        <v>ALT_NUM_UOM1</v>
      </c>
      <c r="I9104" s="136"/>
      <c r="R9104" s="63" t="str">
        <f t="shared" si="60"/>
        <v>ZSI1_ELEC_WIREALT_NUM_UOM1</v>
      </c>
    </row>
    <row r="9105" ht="15.75" customHeight="1">
      <c r="B9105" s="63">
        <f t="shared" si="1"/>
        <v>14</v>
      </c>
      <c r="C9105" s="135" t="s">
        <v>540</v>
      </c>
      <c r="D9105" s="161" t="s">
        <v>74</v>
      </c>
      <c r="E9105" s="135">
        <f t="shared" si="62"/>
        <v>16</v>
      </c>
      <c r="F9105" s="134" t="s">
        <v>3807</v>
      </c>
      <c r="G9105" s="63" t="str">
        <f>VLOOKUP(C9105, 'Class Def. - General Data'!$C$20:$C$1000,1,false)</f>
        <v>ZSI1_ELEC_WIRE</v>
      </c>
      <c r="H9105" s="63" t="str">
        <f>IFERROR(__xludf.DUMMYFUNCTION("VLOOKUP(F9105, IMPORTRANGE(""https://docs.google.com/spreadsheets/d/1Lhp9OU0JdFf_VYSMzH5lBcEaU4o8teT1piV-SNzShjg/edit?gid=554141278#gid=554141278"", ""'Char Def. - Attributes'!C20:C2242""), 1,false)"),"ALT_UOM2_SIPI")</f>
        <v>ALT_UOM2_SIPI</v>
      </c>
      <c r="I9105" s="136"/>
      <c r="R9105" s="63" t="str">
        <f t="shared" si="60"/>
        <v>ZSI1_ELEC_WIREALT_UOM2_SIPI</v>
      </c>
    </row>
    <row r="9106" ht="15.75" customHeight="1">
      <c r="B9106" s="63">
        <f t="shared" si="1"/>
        <v>14</v>
      </c>
      <c r="C9106" s="135" t="s">
        <v>540</v>
      </c>
      <c r="D9106" s="161" t="s">
        <v>74</v>
      </c>
      <c r="E9106" s="135">
        <f t="shared" si="62"/>
        <v>17</v>
      </c>
      <c r="F9106" s="134" t="s">
        <v>3808</v>
      </c>
      <c r="G9106" s="63" t="str">
        <f>VLOOKUP(C9106, 'Class Def. - General Data'!$C$20:$C$1000,1,false)</f>
        <v>ZSI1_ELEC_WIRE</v>
      </c>
      <c r="H9106" s="63" t="str">
        <f>IFERROR(__xludf.DUMMYFUNCTION("VLOOKUP(F9106, IMPORTRANGE(""https://docs.google.com/spreadsheets/d/1Lhp9OU0JdFf_VYSMzH5lBcEaU4o8teT1piV-SNzShjg/edit?gid=554141278#gid=554141278"", ""'Char Def. - Attributes'!C20:C2242""), 1,false)"),"ALT_DENUM_UOM2")</f>
        <v>ALT_DENUM_UOM2</v>
      </c>
      <c r="I9106" s="136"/>
      <c r="R9106" s="63" t="str">
        <f t="shared" si="60"/>
        <v>ZSI1_ELEC_WIREALT_DENUM_UOM2</v>
      </c>
    </row>
    <row r="9107" ht="15.75" customHeight="1">
      <c r="B9107" s="63">
        <f t="shared" si="1"/>
        <v>14</v>
      </c>
      <c r="C9107" s="135" t="s">
        <v>540</v>
      </c>
      <c r="D9107" s="161" t="s">
        <v>74</v>
      </c>
      <c r="E9107" s="135">
        <f t="shared" si="62"/>
        <v>18</v>
      </c>
      <c r="F9107" s="134" t="s">
        <v>3809</v>
      </c>
      <c r="G9107" s="63" t="str">
        <f>VLOOKUP(C9107, 'Class Def. - General Data'!$C$20:$C$1000,1,false)</f>
        <v>ZSI1_ELEC_WIRE</v>
      </c>
      <c r="H9107" s="63" t="str">
        <f>IFERROR(__xludf.DUMMYFUNCTION("VLOOKUP(F9107, IMPORTRANGE(""https://docs.google.com/spreadsheets/d/1Lhp9OU0JdFf_VYSMzH5lBcEaU4o8teT1piV-SNzShjg/edit?gid=554141278#gid=554141278"", ""'Char Def. - Attributes'!C20:C2242""), 1,false)"),"ALT_NUM_UOM2")</f>
        <v>ALT_NUM_UOM2</v>
      </c>
      <c r="I9107" s="136"/>
      <c r="R9107" s="63" t="str">
        <f t="shared" si="60"/>
        <v>ZSI1_ELEC_WIREALT_NUM_UOM2</v>
      </c>
    </row>
    <row r="9108" ht="15.75" customHeight="1">
      <c r="B9108" s="63">
        <f t="shared" si="1"/>
        <v>14</v>
      </c>
      <c r="C9108" s="135" t="s">
        <v>540</v>
      </c>
      <c r="D9108" s="161" t="s">
        <v>74</v>
      </c>
      <c r="E9108" s="135">
        <f t="shared" si="62"/>
        <v>19</v>
      </c>
      <c r="F9108" s="134" t="s">
        <v>3810</v>
      </c>
      <c r="G9108" s="63" t="str">
        <f>VLOOKUP(C9108, 'Class Def. - General Data'!$C$20:$C$1000,1,false)</f>
        <v>ZSI1_ELEC_WIRE</v>
      </c>
      <c r="H9108" s="63" t="str">
        <f>IFERROR(__xludf.DUMMYFUNCTION("VLOOKUP(F9108, IMPORTRANGE(""https://docs.google.com/spreadsheets/d/1Lhp9OU0JdFf_VYSMzH5lBcEaU4o8teT1piV-SNzShjg/edit?gid=554141278#gid=554141278"", ""'Char Def. - Attributes'!C20:C2242""), 1,false)"),"ALT_UOM3_SIPI")</f>
        <v>ALT_UOM3_SIPI</v>
      </c>
      <c r="I9108" s="136"/>
      <c r="R9108" s="63" t="str">
        <f t="shared" si="60"/>
        <v>ZSI1_ELEC_WIREALT_UOM3_SIPI</v>
      </c>
    </row>
    <row r="9109" ht="15.75" customHeight="1">
      <c r="B9109" s="63">
        <f t="shared" si="1"/>
        <v>14</v>
      </c>
      <c r="C9109" s="135" t="s">
        <v>540</v>
      </c>
      <c r="D9109" s="161" t="s">
        <v>74</v>
      </c>
      <c r="E9109" s="135">
        <f t="shared" si="62"/>
        <v>20</v>
      </c>
      <c r="F9109" s="134" t="s">
        <v>3811</v>
      </c>
      <c r="G9109" s="63" t="str">
        <f>VLOOKUP(C9109, 'Class Def. - General Data'!$C$20:$C$1000,1,false)</f>
        <v>ZSI1_ELEC_WIRE</v>
      </c>
      <c r="H9109" s="63" t="str">
        <f>IFERROR(__xludf.DUMMYFUNCTION("VLOOKUP(F9109, IMPORTRANGE(""https://docs.google.com/spreadsheets/d/1Lhp9OU0JdFf_VYSMzH5lBcEaU4o8teT1piV-SNzShjg/edit?gid=554141278#gid=554141278"", ""'Char Def. - Attributes'!C20:C2242""), 1,false)"),"ALT_DENUM_UOM3")</f>
        <v>ALT_DENUM_UOM3</v>
      </c>
      <c r="I9109" s="136"/>
      <c r="R9109" s="63" t="str">
        <f t="shared" si="60"/>
        <v>ZSI1_ELEC_WIREALT_DENUM_UOM3</v>
      </c>
    </row>
    <row r="9110" ht="15.75" customHeight="1">
      <c r="B9110" s="63">
        <f t="shared" si="1"/>
        <v>14</v>
      </c>
      <c r="C9110" s="135" t="s">
        <v>540</v>
      </c>
      <c r="D9110" s="161" t="s">
        <v>74</v>
      </c>
      <c r="E9110" s="135">
        <f t="shared" si="62"/>
        <v>21</v>
      </c>
      <c r="F9110" s="134" t="s">
        <v>3812</v>
      </c>
      <c r="G9110" s="63" t="str">
        <f>VLOOKUP(C9110, 'Class Def. - General Data'!$C$20:$C$1000,1,false)</f>
        <v>ZSI1_ELEC_WIRE</v>
      </c>
      <c r="H9110" s="63" t="str">
        <f>IFERROR(__xludf.DUMMYFUNCTION("VLOOKUP(F9110, IMPORTRANGE(""https://docs.google.com/spreadsheets/d/1Lhp9OU0JdFf_VYSMzH5lBcEaU4o8teT1piV-SNzShjg/edit?gid=554141278#gid=554141278"", ""'Char Def. - Attributes'!C20:C2242""), 1,false)"),"ALT_NUM_UOM3")</f>
        <v>ALT_NUM_UOM3</v>
      </c>
      <c r="I9110" s="136"/>
      <c r="R9110" s="63" t="str">
        <f t="shared" si="60"/>
        <v>ZSI1_ELEC_WIREALT_NUM_UOM3</v>
      </c>
    </row>
    <row r="9111" ht="15.75" customHeight="1">
      <c r="B9111" s="63">
        <f t="shared" si="1"/>
        <v>14</v>
      </c>
      <c r="C9111" s="135" t="s">
        <v>540</v>
      </c>
      <c r="D9111" s="161" t="s">
        <v>74</v>
      </c>
      <c r="E9111" s="135">
        <f t="shared" si="62"/>
        <v>22</v>
      </c>
      <c r="F9111" s="134" t="s">
        <v>3813</v>
      </c>
      <c r="G9111" s="63" t="str">
        <f>VLOOKUP(C9111, 'Class Def. - General Data'!$C$20:$C$1000,1,false)</f>
        <v>ZSI1_ELEC_WIRE</v>
      </c>
      <c r="H9111" s="63" t="str">
        <f>IFERROR(__xludf.DUMMYFUNCTION("VLOOKUP(F9111, IMPORTRANGE(""https://docs.google.com/spreadsheets/d/1Lhp9OU0JdFf_VYSMzH5lBcEaU4o8teT1piV-SNzShjg/edit?gid=554141278#gid=554141278"", ""'Char Def. - Attributes'!C20:C2242""), 1,false)"),"ALT_UOM4_SIPI")</f>
        <v>ALT_UOM4_SIPI</v>
      </c>
      <c r="I9111" s="136"/>
      <c r="R9111" s="63" t="str">
        <f t="shared" si="60"/>
        <v>ZSI1_ELEC_WIREALT_UOM4_SIPI</v>
      </c>
    </row>
    <row r="9112" ht="15.75" customHeight="1">
      <c r="B9112" s="63">
        <f t="shared" si="1"/>
        <v>14</v>
      </c>
      <c r="C9112" s="135" t="s">
        <v>540</v>
      </c>
      <c r="D9112" s="161" t="s">
        <v>74</v>
      </c>
      <c r="E9112" s="135">
        <f t="shared" si="62"/>
        <v>23</v>
      </c>
      <c r="F9112" s="134" t="s">
        <v>3814</v>
      </c>
      <c r="G9112" s="63" t="str">
        <f>VLOOKUP(C9112, 'Class Def. - General Data'!$C$20:$C$1000,1,false)</f>
        <v>ZSI1_ELEC_WIRE</v>
      </c>
      <c r="H9112" s="63" t="str">
        <f>IFERROR(__xludf.DUMMYFUNCTION("VLOOKUP(F9112, IMPORTRANGE(""https://docs.google.com/spreadsheets/d/1Lhp9OU0JdFf_VYSMzH5lBcEaU4o8teT1piV-SNzShjg/edit?gid=554141278#gid=554141278"", ""'Char Def. - Attributes'!C20:C2242""), 1,false)"),"ALT_DENUM_UOM4")</f>
        <v>ALT_DENUM_UOM4</v>
      </c>
      <c r="I9112" s="136"/>
      <c r="R9112" s="63" t="str">
        <f t="shared" si="60"/>
        <v>ZSI1_ELEC_WIREALT_DENUM_UOM4</v>
      </c>
    </row>
    <row r="9113" ht="15.75" customHeight="1">
      <c r="B9113" s="63">
        <f t="shared" si="1"/>
        <v>14</v>
      </c>
      <c r="C9113" s="135" t="s">
        <v>540</v>
      </c>
      <c r="D9113" s="161" t="s">
        <v>74</v>
      </c>
      <c r="E9113" s="135">
        <f t="shared" si="62"/>
        <v>24</v>
      </c>
      <c r="F9113" s="134" t="s">
        <v>3815</v>
      </c>
      <c r="G9113" s="63" t="str">
        <f>VLOOKUP(C9113, 'Class Def. - General Data'!$C$20:$C$1000,1,false)</f>
        <v>ZSI1_ELEC_WIRE</v>
      </c>
      <c r="H9113" s="63" t="str">
        <f>IFERROR(__xludf.DUMMYFUNCTION("VLOOKUP(F9113, IMPORTRANGE(""https://docs.google.com/spreadsheets/d/1Lhp9OU0JdFf_VYSMzH5lBcEaU4o8teT1piV-SNzShjg/edit?gid=554141278#gid=554141278"", ""'Char Def. - Attributes'!C20:C2242""), 1,false)"),"ALT_NUM_UOM4")</f>
        <v>ALT_NUM_UOM4</v>
      </c>
      <c r="I9113" s="136"/>
      <c r="R9113" s="63" t="str">
        <f t="shared" si="60"/>
        <v>ZSI1_ELEC_WIREALT_NUM_UOM4</v>
      </c>
    </row>
    <row r="9114" ht="15.75" customHeight="1">
      <c r="B9114" s="63">
        <f t="shared" si="1"/>
        <v>14</v>
      </c>
      <c r="C9114" s="135" t="s">
        <v>540</v>
      </c>
      <c r="D9114" s="161" t="s">
        <v>74</v>
      </c>
      <c r="E9114" s="135">
        <f t="shared" si="62"/>
        <v>25</v>
      </c>
      <c r="F9114" s="134" t="s">
        <v>3816</v>
      </c>
      <c r="G9114" s="63" t="str">
        <f>VLOOKUP(C9114, 'Class Def. - General Data'!$C$20:$C$1000,1,false)</f>
        <v>ZSI1_ELEC_WIRE</v>
      </c>
      <c r="H9114" s="63" t="str">
        <f>IFERROR(__xludf.DUMMYFUNCTION("VLOOKUP(F9114, IMPORTRANGE(""https://docs.google.com/spreadsheets/d/1Lhp9OU0JdFf_VYSMzH5lBcEaU4o8teT1piV-SNzShjg/edit?gid=554141278#gid=554141278"", ""'Char Def. - Attributes'!C20:C2242""), 1,false)"),"ALT_UOM5_SIPI")</f>
        <v>ALT_UOM5_SIPI</v>
      </c>
      <c r="I9114" s="136"/>
      <c r="R9114" s="63" t="str">
        <f t="shared" si="60"/>
        <v>ZSI1_ELEC_WIREALT_UOM5_SIPI</v>
      </c>
    </row>
    <row r="9115" ht="15.75" customHeight="1">
      <c r="B9115" s="63">
        <f t="shared" si="1"/>
        <v>14</v>
      </c>
      <c r="C9115" s="135" t="s">
        <v>540</v>
      </c>
      <c r="D9115" s="161" t="s">
        <v>74</v>
      </c>
      <c r="E9115" s="135">
        <f t="shared" si="62"/>
        <v>26</v>
      </c>
      <c r="F9115" s="134" t="s">
        <v>3817</v>
      </c>
      <c r="G9115" s="63" t="str">
        <f>VLOOKUP(C9115, 'Class Def. - General Data'!$C$20:$C$1000,1,false)</f>
        <v>ZSI1_ELEC_WIRE</v>
      </c>
      <c r="H9115" s="63" t="str">
        <f>IFERROR(__xludf.DUMMYFUNCTION("VLOOKUP(F9115, IMPORTRANGE(""https://docs.google.com/spreadsheets/d/1Lhp9OU0JdFf_VYSMzH5lBcEaU4o8teT1piV-SNzShjg/edit?gid=554141278#gid=554141278"", ""'Char Def. - Attributes'!C20:C2242""), 1,false)"),"ALT_DENUM_UOM5")</f>
        <v>ALT_DENUM_UOM5</v>
      </c>
      <c r="I9115" s="136"/>
      <c r="R9115" s="63" t="str">
        <f t="shared" si="60"/>
        <v>ZSI1_ELEC_WIREALT_DENUM_UOM5</v>
      </c>
    </row>
    <row r="9116" ht="15.75" customHeight="1">
      <c r="B9116" s="63">
        <f t="shared" si="1"/>
        <v>14</v>
      </c>
      <c r="C9116" s="135" t="s">
        <v>540</v>
      </c>
      <c r="D9116" s="161" t="s">
        <v>74</v>
      </c>
      <c r="E9116" s="135">
        <f t="shared" si="62"/>
        <v>27</v>
      </c>
      <c r="F9116" s="134" t="s">
        <v>3818</v>
      </c>
      <c r="G9116" s="63" t="str">
        <f>VLOOKUP(C9116, 'Class Def. - General Data'!$C$20:$C$1000,1,false)</f>
        <v>ZSI1_ELEC_WIRE</v>
      </c>
      <c r="H9116" s="63" t="str">
        <f>IFERROR(__xludf.DUMMYFUNCTION("VLOOKUP(F9116, IMPORTRANGE(""https://docs.google.com/spreadsheets/d/1Lhp9OU0JdFf_VYSMzH5lBcEaU4o8teT1piV-SNzShjg/edit?gid=554141278#gid=554141278"", ""'Char Def. - Attributes'!C20:C2242""), 1,false)"),"ALT_NUM_UOM5")</f>
        <v>ALT_NUM_UOM5</v>
      </c>
      <c r="I9116" s="136"/>
      <c r="R9116" s="63" t="str">
        <f t="shared" si="60"/>
        <v>ZSI1_ELEC_WIREALT_NUM_UOM5</v>
      </c>
    </row>
    <row r="9117" ht="15.75" customHeight="1">
      <c r="B9117" s="63">
        <f t="shared" si="1"/>
        <v>18</v>
      </c>
      <c r="C9117" s="135" t="s">
        <v>386</v>
      </c>
      <c r="D9117" s="161" t="s">
        <v>74</v>
      </c>
      <c r="E9117" s="135">
        <f t="shared" si="62"/>
        <v>1</v>
      </c>
      <c r="F9117" s="134" t="s">
        <v>4478</v>
      </c>
      <c r="G9117" s="63" t="str">
        <f>VLOOKUP(C9117, 'Class Def. - General Data'!$C$20:$C$1000,1,false)</f>
        <v>ZSI1_ELECTROD_HOLD</v>
      </c>
      <c r="H9117" s="63" t="str">
        <f>IFERROR(__xludf.DUMMYFUNCTION("VLOOKUP(F9117, IMPORTRANGE(""https://docs.google.com/spreadsheets/d/1Lhp9OU0JdFf_VYSMzH5lBcEaU4o8teT1piV-SNzShjg/edit?gid=554141278#gid=554141278"", ""'Char Def. - Attributes'!C20:C2242""), 1,false)"),"ITEM_NAME_ELECTROD_HOLD")</f>
        <v>ITEM_NAME_ELECTROD_HOLD</v>
      </c>
      <c r="I9117" s="136"/>
      <c r="R9117" s="63" t="str">
        <f t="shared" si="60"/>
        <v>ZSI1_ELECTROD_HOLDITEM_NAME_ELECTROD_HOLD</v>
      </c>
    </row>
    <row r="9118" ht="15.75" customHeight="1">
      <c r="B9118" s="63">
        <f t="shared" si="1"/>
        <v>18</v>
      </c>
      <c r="C9118" s="135" t="s">
        <v>386</v>
      </c>
      <c r="D9118" s="161" t="s">
        <v>74</v>
      </c>
      <c r="E9118" s="135">
        <f t="shared" si="62"/>
        <v>2</v>
      </c>
      <c r="F9118" s="134" t="s">
        <v>4479</v>
      </c>
      <c r="G9118" s="63" t="str">
        <f>VLOOKUP(C9118, 'Class Def. - General Data'!$C$20:$C$1000,1,false)</f>
        <v>ZSI1_ELECTROD_HOLD</v>
      </c>
      <c r="H9118" s="63" t="str">
        <f>IFERROR(__xludf.DUMMYFUNCTION("VLOOKUP(F9118, IMPORTRANGE(""https://docs.google.com/spreadsheets/d/1Lhp9OU0JdFf_VYSMzH5lBcEaU4o8teT1piV-SNzShjg/edit?gid=554141278#gid=554141278"", ""'Char Def. - Attributes'!C20:C2242""), 1,false)"),"MFR_NO_ELECTROD_HOLD")</f>
        <v>MFR_NO_ELECTROD_HOLD</v>
      </c>
      <c r="I9118" s="136"/>
      <c r="R9118" s="63" t="str">
        <f t="shared" si="60"/>
        <v>ZSI1_ELECTROD_HOLDMFR_NO_ELECTROD_HOLD</v>
      </c>
    </row>
    <row r="9119" ht="15.75" customHeight="1">
      <c r="B9119" s="63">
        <f t="shared" si="1"/>
        <v>18</v>
      </c>
      <c r="C9119" s="135" t="s">
        <v>386</v>
      </c>
      <c r="D9119" s="161" t="s">
        <v>74</v>
      </c>
      <c r="E9119" s="135">
        <f t="shared" si="62"/>
        <v>3</v>
      </c>
      <c r="F9119" s="134" t="s">
        <v>3782</v>
      </c>
      <c r="G9119" s="63" t="str">
        <f>VLOOKUP(C9119, 'Class Def. - General Data'!$C$20:$C$1000,1,false)</f>
        <v>ZSI1_ELECTROD_HOLD</v>
      </c>
      <c r="H9119" s="63" t="str">
        <f>IFERROR(__xludf.DUMMYFUNCTION("VLOOKUP(F9119, IMPORTRANGE(""https://docs.google.com/spreadsheets/d/1Lhp9OU0JdFf_VYSMzH5lBcEaU4o8teT1piV-SNzShjg/edit?gid=554141278#gid=554141278"", ""'Char Def. - Attributes'!C20:C2242""), 1,false)"),"BRAND_EXTERNAL")</f>
        <v>BRAND_EXTERNAL</v>
      </c>
      <c r="I9119" s="136"/>
      <c r="R9119" s="63" t="str">
        <f t="shared" si="60"/>
        <v>ZSI1_ELECTROD_HOLDBRAND_EXTERNAL</v>
      </c>
    </row>
    <row r="9120" ht="15.75" customHeight="1">
      <c r="B9120" s="63">
        <f t="shared" si="1"/>
        <v>18</v>
      </c>
      <c r="C9120" s="135" t="s">
        <v>386</v>
      </c>
      <c r="D9120" s="161" t="s">
        <v>74</v>
      </c>
      <c r="E9120" s="135">
        <f t="shared" si="62"/>
        <v>4</v>
      </c>
      <c r="F9120" s="134" t="s">
        <v>3585</v>
      </c>
      <c r="G9120" s="63" t="str">
        <f>VLOOKUP(C9120, 'Class Def. - General Data'!$C$20:$C$1000,1,false)</f>
        <v>ZSI1_ELECTROD_HOLD</v>
      </c>
      <c r="H9120" s="63" t="str">
        <f>IFERROR(__xludf.DUMMYFUNCTION("VLOOKUP(F9120, IMPORTRANGE(""https://docs.google.com/spreadsheets/d/1Lhp9OU0JdFf_VYSMzH5lBcEaU4o8teT1piV-SNzShjg/edit?gid=554141278#gid=554141278"", ""'Char Def. - Attributes'!C20:C2242""), 1,false)"),"HS_CODE")</f>
        <v>HS_CODE</v>
      </c>
      <c r="I9120" s="136"/>
      <c r="R9120" s="63" t="str">
        <f t="shared" si="60"/>
        <v>ZSI1_ELECTROD_HOLDHS_CODE</v>
      </c>
    </row>
    <row r="9121" ht="15.75" customHeight="1">
      <c r="B9121" s="63">
        <f t="shared" si="1"/>
        <v>18</v>
      </c>
      <c r="C9121" s="135" t="s">
        <v>386</v>
      </c>
      <c r="D9121" s="161" t="s">
        <v>74</v>
      </c>
      <c r="E9121" s="135">
        <f t="shared" si="62"/>
        <v>5</v>
      </c>
      <c r="F9121" s="134" t="s">
        <v>3587</v>
      </c>
      <c r="G9121" s="63" t="str">
        <f>VLOOKUP(C9121, 'Class Def. - General Data'!$C$20:$C$1000,1,false)</f>
        <v>ZSI1_ELECTROD_HOLD</v>
      </c>
      <c r="H9121" s="63" t="str">
        <f>IFERROR(__xludf.DUMMYFUNCTION("VLOOKUP(F9121, IMPORTRANGE(""https://docs.google.com/spreadsheets/d/1Lhp9OU0JdFf_VYSMzH5lBcEaU4o8teT1piV-SNzShjg/edit?gid=554141278#gid=554141278"", ""'Char Def. - Attributes'!C20:C2242""), 1,false)"),"PLANT_BUY")</f>
        <v>PLANT_BUY</v>
      </c>
      <c r="I9121" s="136"/>
      <c r="R9121" s="63" t="str">
        <f t="shared" si="60"/>
        <v>ZSI1_ELECTROD_HOLDPLANT_BUY</v>
      </c>
    </row>
    <row r="9122" ht="15.75" customHeight="1">
      <c r="B9122" s="63">
        <f t="shared" si="1"/>
        <v>18</v>
      </c>
      <c r="C9122" s="135" t="s">
        <v>386</v>
      </c>
      <c r="D9122" s="161" t="s">
        <v>74</v>
      </c>
      <c r="E9122" s="135">
        <f t="shared" si="62"/>
        <v>6</v>
      </c>
      <c r="F9122" s="134" t="s">
        <v>4480</v>
      </c>
      <c r="G9122" s="63" t="str">
        <f>VLOOKUP(C9122, 'Class Def. - General Data'!$C$20:$C$1000,1,false)</f>
        <v>ZSI1_ELECTROD_HOLD</v>
      </c>
      <c r="H9122" s="63" t="str">
        <f>IFERROR(__xludf.DUMMYFUNCTION("VLOOKUP(F9122, IMPORTRANGE(""https://docs.google.com/spreadsheets/d/1Lhp9OU0JdFf_VYSMzH5lBcEaU4o8teT1piV-SNzShjg/edit?gid=554141278#gid=554141278"", ""'Char Def. - Attributes'!C20:C2242""), 1,false)"),"BASE_UOM_ELECTROD_HOLD")</f>
        <v>BASE_UOM_ELECTROD_HOLD</v>
      </c>
      <c r="I9122" s="136"/>
      <c r="R9122" s="63" t="str">
        <f t="shared" si="60"/>
        <v>ZSI1_ELECTROD_HOLDBASE_UOM_ELECTROD_HOLD</v>
      </c>
    </row>
    <row r="9123" ht="15.75" customHeight="1">
      <c r="B9123" s="63">
        <f t="shared" si="1"/>
        <v>18</v>
      </c>
      <c r="C9123" s="135" t="s">
        <v>386</v>
      </c>
      <c r="D9123" s="161" t="s">
        <v>74</v>
      </c>
      <c r="E9123" s="135">
        <f t="shared" si="62"/>
        <v>7</v>
      </c>
      <c r="F9123" s="134" t="s">
        <v>4481</v>
      </c>
      <c r="G9123" s="63" t="str">
        <f>VLOOKUP(C9123, 'Class Def. - General Data'!$C$20:$C$1000,1,false)</f>
        <v>ZSI1_ELECTROD_HOLD</v>
      </c>
      <c r="H9123" s="63" t="str">
        <f>IFERROR(__xludf.DUMMYFUNCTION("VLOOKUP(F9123, IMPORTRANGE(""https://docs.google.com/spreadsheets/d/1Lhp9OU0JdFf_VYSMzH5lBcEaU4o8teT1piV-SNzShjg/edit?gid=554141278#gid=554141278"", ""'Char Def. - Attributes'!C20:C2242""), 1,false)"),"ORDER_UNIT_ELECTROD_HOLD")</f>
        <v>ORDER_UNIT_ELECTROD_HOLD</v>
      </c>
      <c r="I9123" s="136"/>
      <c r="R9123" s="63" t="str">
        <f t="shared" si="60"/>
        <v>ZSI1_ELECTROD_HOLDORDER_UNIT_ELECTROD_HOLD</v>
      </c>
    </row>
    <row r="9124" ht="15.75" customHeight="1">
      <c r="B9124" s="63">
        <f t="shared" si="1"/>
        <v>18</v>
      </c>
      <c r="C9124" s="135" t="s">
        <v>386</v>
      </c>
      <c r="D9124" s="161" t="s">
        <v>74</v>
      </c>
      <c r="E9124" s="135">
        <f t="shared" si="62"/>
        <v>8</v>
      </c>
      <c r="F9124" s="134" t="s">
        <v>4056</v>
      </c>
      <c r="G9124" s="63" t="str">
        <f>VLOOKUP(C9124, 'Class Def. - General Data'!$C$20:$C$1000,1,false)</f>
        <v>ZSI1_ELECTROD_HOLD</v>
      </c>
      <c r="H9124" s="63" t="str">
        <f>IFERROR(__xludf.DUMMYFUNCTION("VLOOKUP(F9124, IMPORTRANGE(""https://docs.google.com/spreadsheets/d/1Lhp9OU0JdFf_VYSMzH5lBcEaU4o8teT1piV-SNzShjg/edit?gid=554141278#gid=554141278"", ""'Char Def. - Attributes'!C20:C2242""), 1,false)"),"GROSS_WEIGHT_OPT")</f>
        <v>GROSS_WEIGHT_OPT</v>
      </c>
      <c r="I9124" s="136"/>
      <c r="R9124" s="63" t="str">
        <f t="shared" si="60"/>
        <v>ZSI1_ELECTROD_HOLDGROSS_WEIGHT_OPT</v>
      </c>
    </row>
    <row r="9125" ht="15.75" customHeight="1">
      <c r="B9125" s="63">
        <f t="shared" si="1"/>
        <v>18</v>
      </c>
      <c r="C9125" s="135" t="s">
        <v>386</v>
      </c>
      <c r="D9125" s="161" t="s">
        <v>74</v>
      </c>
      <c r="E9125" s="135">
        <f t="shared" si="62"/>
        <v>9</v>
      </c>
      <c r="F9125" s="134" t="s">
        <v>4057</v>
      </c>
      <c r="G9125" s="63" t="str">
        <f>VLOOKUP(C9125, 'Class Def. - General Data'!$C$20:$C$1000,1,false)</f>
        <v>ZSI1_ELECTROD_HOLD</v>
      </c>
      <c r="H9125" s="63" t="str">
        <f>IFERROR(__xludf.DUMMYFUNCTION("VLOOKUP(F9125, IMPORTRANGE(""https://docs.google.com/spreadsheets/d/1Lhp9OU0JdFf_VYSMzH5lBcEaU4o8teT1piV-SNzShjg/edit?gid=554141278#gid=554141278"", ""'Char Def. - Attributes'!C20:C2242""), 1,false)"),"NET_WEIGHT_OPT")</f>
        <v>NET_WEIGHT_OPT</v>
      </c>
      <c r="I9125" s="136"/>
      <c r="R9125" s="63" t="str">
        <f t="shared" si="60"/>
        <v>ZSI1_ELECTROD_HOLDNET_WEIGHT_OPT</v>
      </c>
    </row>
    <row r="9126" ht="15.75" customHeight="1">
      <c r="B9126" s="63">
        <f t="shared" si="1"/>
        <v>18</v>
      </c>
      <c r="C9126" s="135" t="s">
        <v>386</v>
      </c>
      <c r="D9126" s="161" t="s">
        <v>74</v>
      </c>
      <c r="E9126" s="135">
        <f t="shared" si="62"/>
        <v>10</v>
      </c>
      <c r="F9126" s="134" t="s">
        <v>4058</v>
      </c>
      <c r="G9126" s="63" t="str">
        <f>VLOOKUP(C9126, 'Class Def. - General Data'!$C$20:$C$1000,1,false)</f>
        <v>ZSI1_ELECTROD_HOLD</v>
      </c>
      <c r="H9126" s="63" t="str">
        <f>IFERROR(__xludf.DUMMYFUNCTION("VLOOKUP(F9126, IMPORTRANGE(""https://docs.google.com/spreadsheets/d/1Lhp9OU0JdFf_VYSMzH5lBcEaU4o8teT1piV-SNzShjg/edit?gid=554141278#gid=554141278"", ""'Char Def. - Attributes'!C20:C2242""), 1,false)"),"WEIGHT_UNIT_SI")</f>
        <v>WEIGHT_UNIT_SI</v>
      </c>
      <c r="I9126" s="136"/>
      <c r="R9126" s="63" t="str">
        <f t="shared" si="60"/>
        <v>ZSI1_ELECTROD_HOLDWEIGHT_UNIT_SI</v>
      </c>
    </row>
    <row r="9127" ht="15.75" customHeight="1">
      <c r="B9127" s="63">
        <f t="shared" si="1"/>
        <v>18</v>
      </c>
      <c r="C9127" s="135" t="s">
        <v>386</v>
      </c>
      <c r="D9127" s="161" t="s">
        <v>74</v>
      </c>
      <c r="E9127" s="135">
        <f t="shared" si="62"/>
        <v>11</v>
      </c>
      <c r="F9127" s="134" t="s">
        <v>3877</v>
      </c>
      <c r="G9127" s="63" t="str">
        <f>VLOOKUP(C9127, 'Class Def. - General Data'!$C$20:$C$1000,1,false)</f>
        <v>ZSI1_ELECTROD_HOLD</v>
      </c>
      <c r="H9127" s="63" t="str">
        <f>IFERROR(__xludf.DUMMYFUNCTION("VLOOKUP(F9127, IMPORTRANGE(""https://docs.google.com/spreadsheets/d/1Lhp9OU0JdFf_VYSMzH5lBcEaU4o8teT1piV-SNzShjg/edit?gid=554141278#gid=554141278"", ""'Char Def. - Attributes'!C20:C2242""), 1,false)"),"VOLUME_OPT")</f>
        <v>VOLUME_OPT</v>
      </c>
      <c r="I9127" s="136"/>
      <c r="R9127" s="63" t="str">
        <f t="shared" si="60"/>
        <v>ZSI1_ELECTROD_HOLDVOLUME_OPT</v>
      </c>
    </row>
    <row r="9128" ht="15.75" customHeight="1">
      <c r="B9128" s="63">
        <f t="shared" si="1"/>
        <v>18</v>
      </c>
      <c r="C9128" s="135" t="s">
        <v>386</v>
      </c>
      <c r="D9128" s="161" t="s">
        <v>74</v>
      </c>
      <c r="E9128" s="135">
        <f t="shared" si="62"/>
        <v>12</v>
      </c>
      <c r="F9128" s="134" t="s">
        <v>4059</v>
      </c>
      <c r="G9128" s="63" t="str">
        <f>VLOOKUP(C9128, 'Class Def. - General Data'!$C$20:$C$1000,1,false)</f>
        <v>ZSI1_ELECTROD_HOLD</v>
      </c>
      <c r="H9128" s="63" t="str">
        <f>IFERROR(__xludf.DUMMYFUNCTION("VLOOKUP(F9128, IMPORTRANGE(""https://docs.google.com/spreadsheets/d/1Lhp9OU0JdFf_VYSMzH5lBcEaU4o8teT1piV-SNzShjg/edit?gid=554141278#gid=554141278"", ""'Char Def. - Attributes'!C20:C2242""), 1,false)"),"VOLUME_UNIT_SI")</f>
        <v>VOLUME_UNIT_SI</v>
      </c>
      <c r="I9128" s="136"/>
      <c r="R9128" s="63" t="str">
        <f t="shared" si="60"/>
        <v>ZSI1_ELECTROD_HOLDVOLUME_UNIT_SI</v>
      </c>
    </row>
    <row r="9129" ht="15.75" customHeight="1">
      <c r="B9129" s="63">
        <f t="shared" si="1"/>
        <v>18</v>
      </c>
      <c r="C9129" s="135" t="s">
        <v>386</v>
      </c>
      <c r="D9129" s="161" t="s">
        <v>74</v>
      </c>
      <c r="E9129" s="135">
        <f t="shared" si="62"/>
        <v>13</v>
      </c>
      <c r="F9129" s="134" t="s">
        <v>3804</v>
      </c>
      <c r="G9129" s="63" t="str">
        <f>VLOOKUP(C9129, 'Class Def. - General Data'!$C$20:$C$1000,1,false)</f>
        <v>ZSI1_ELECTROD_HOLD</v>
      </c>
      <c r="H9129" s="63" t="str">
        <f>IFERROR(__xludf.DUMMYFUNCTION("VLOOKUP(F9129, IMPORTRANGE(""https://docs.google.com/spreadsheets/d/1Lhp9OU0JdFf_VYSMzH5lBcEaU4o8teT1piV-SNzShjg/edit?gid=554141278#gid=554141278"", ""'Char Def. - Attributes'!C20:C2242""), 1,false)"),"ALT_UOM1_SIPI")</f>
        <v>ALT_UOM1_SIPI</v>
      </c>
      <c r="I9129" s="136"/>
      <c r="R9129" s="63" t="str">
        <f t="shared" si="60"/>
        <v>ZSI1_ELECTROD_HOLDALT_UOM1_SIPI</v>
      </c>
    </row>
    <row r="9130" ht="15.75" customHeight="1">
      <c r="B9130" s="63">
        <f t="shared" si="1"/>
        <v>18</v>
      </c>
      <c r="C9130" s="135" t="s">
        <v>386</v>
      </c>
      <c r="D9130" s="161" t="s">
        <v>74</v>
      </c>
      <c r="E9130" s="135">
        <f t="shared" si="62"/>
        <v>14</v>
      </c>
      <c r="F9130" s="134" t="s">
        <v>3805</v>
      </c>
      <c r="G9130" s="63" t="str">
        <f>VLOOKUP(C9130, 'Class Def. - General Data'!$C$20:$C$1000,1,false)</f>
        <v>ZSI1_ELECTROD_HOLD</v>
      </c>
      <c r="H9130" s="63" t="str">
        <f>IFERROR(__xludf.DUMMYFUNCTION("VLOOKUP(F9130, IMPORTRANGE(""https://docs.google.com/spreadsheets/d/1Lhp9OU0JdFf_VYSMzH5lBcEaU4o8teT1piV-SNzShjg/edit?gid=554141278#gid=554141278"", ""'Char Def. - Attributes'!C20:C2242""), 1,false)"),"ALT_DENUM_UOM1")</f>
        <v>ALT_DENUM_UOM1</v>
      </c>
      <c r="I9130" s="136"/>
      <c r="R9130" s="63" t="str">
        <f t="shared" si="60"/>
        <v>ZSI1_ELECTROD_HOLDALT_DENUM_UOM1</v>
      </c>
    </row>
    <row r="9131" ht="15.75" customHeight="1">
      <c r="B9131" s="63">
        <f t="shared" si="1"/>
        <v>18</v>
      </c>
      <c r="C9131" s="135" t="s">
        <v>386</v>
      </c>
      <c r="D9131" s="161" t="s">
        <v>74</v>
      </c>
      <c r="E9131" s="135">
        <f t="shared" si="62"/>
        <v>15</v>
      </c>
      <c r="F9131" s="134" t="s">
        <v>3806</v>
      </c>
      <c r="G9131" s="63" t="str">
        <f>VLOOKUP(C9131, 'Class Def. - General Data'!$C$20:$C$1000,1,false)</f>
        <v>ZSI1_ELECTROD_HOLD</v>
      </c>
      <c r="H9131" s="63" t="str">
        <f>IFERROR(__xludf.DUMMYFUNCTION("VLOOKUP(F9131, IMPORTRANGE(""https://docs.google.com/spreadsheets/d/1Lhp9OU0JdFf_VYSMzH5lBcEaU4o8teT1piV-SNzShjg/edit?gid=554141278#gid=554141278"", ""'Char Def. - Attributes'!C20:C2242""), 1,false)"),"ALT_NUM_UOM1")</f>
        <v>ALT_NUM_UOM1</v>
      </c>
      <c r="I9131" s="136"/>
      <c r="R9131" s="63" t="str">
        <f t="shared" si="60"/>
        <v>ZSI1_ELECTROD_HOLDALT_NUM_UOM1</v>
      </c>
    </row>
    <row r="9132" ht="15.75" customHeight="1">
      <c r="B9132" s="63">
        <f t="shared" si="1"/>
        <v>18</v>
      </c>
      <c r="C9132" s="135" t="s">
        <v>386</v>
      </c>
      <c r="D9132" s="161" t="s">
        <v>74</v>
      </c>
      <c r="E9132" s="135">
        <f t="shared" si="62"/>
        <v>16</v>
      </c>
      <c r="F9132" s="134" t="s">
        <v>3807</v>
      </c>
      <c r="G9132" s="63" t="str">
        <f>VLOOKUP(C9132, 'Class Def. - General Data'!$C$20:$C$1000,1,false)</f>
        <v>ZSI1_ELECTROD_HOLD</v>
      </c>
      <c r="H9132" s="63" t="str">
        <f>IFERROR(__xludf.DUMMYFUNCTION("VLOOKUP(F9132, IMPORTRANGE(""https://docs.google.com/spreadsheets/d/1Lhp9OU0JdFf_VYSMzH5lBcEaU4o8teT1piV-SNzShjg/edit?gid=554141278#gid=554141278"", ""'Char Def. - Attributes'!C20:C2242""), 1,false)"),"ALT_UOM2_SIPI")</f>
        <v>ALT_UOM2_SIPI</v>
      </c>
      <c r="I9132" s="136"/>
      <c r="R9132" s="63" t="str">
        <f t="shared" si="60"/>
        <v>ZSI1_ELECTROD_HOLDALT_UOM2_SIPI</v>
      </c>
    </row>
    <row r="9133" ht="15.75" customHeight="1">
      <c r="B9133" s="63">
        <f t="shared" si="1"/>
        <v>18</v>
      </c>
      <c r="C9133" s="135" t="s">
        <v>386</v>
      </c>
      <c r="D9133" s="161" t="s">
        <v>74</v>
      </c>
      <c r="E9133" s="135">
        <f t="shared" si="62"/>
        <v>17</v>
      </c>
      <c r="F9133" s="134" t="s">
        <v>3808</v>
      </c>
      <c r="G9133" s="63" t="str">
        <f>VLOOKUP(C9133, 'Class Def. - General Data'!$C$20:$C$1000,1,false)</f>
        <v>ZSI1_ELECTROD_HOLD</v>
      </c>
      <c r="H9133" s="63" t="str">
        <f>IFERROR(__xludf.DUMMYFUNCTION("VLOOKUP(F9133, IMPORTRANGE(""https://docs.google.com/spreadsheets/d/1Lhp9OU0JdFf_VYSMzH5lBcEaU4o8teT1piV-SNzShjg/edit?gid=554141278#gid=554141278"", ""'Char Def. - Attributes'!C20:C2242""), 1,false)"),"ALT_DENUM_UOM2")</f>
        <v>ALT_DENUM_UOM2</v>
      </c>
      <c r="I9133" s="136"/>
      <c r="R9133" s="63" t="str">
        <f t="shared" si="60"/>
        <v>ZSI1_ELECTROD_HOLDALT_DENUM_UOM2</v>
      </c>
    </row>
    <row r="9134" ht="15.75" customHeight="1">
      <c r="B9134" s="63">
        <f t="shared" si="1"/>
        <v>18</v>
      </c>
      <c r="C9134" s="135" t="s">
        <v>386</v>
      </c>
      <c r="D9134" s="161" t="s">
        <v>74</v>
      </c>
      <c r="E9134" s="135">
        <f t="shared" si="62"/>
        <v>18</v>
      </c>
      <c r="F9134" s="134" t="s">
        <v>3809</v>
      </c>
      <c r="G9134" s="63" t="str">
        <f>VLOOKUP(C9134, 'Class Def. - General Data'!$C$20:$C$1000,1,false)</f>
        <v>ZSI1_ELECTROD_HOLD</v>
      </c>
      <c r="H9134" s="63" t="str">
        <f>IFERROR(__xludf.DUMMYFUNCTION("VLOOKUP(F9134, IMPORTRANGE(""https://docs.google.com/spreadsheets/d/1Lhp9OU0JdFf_VYSMzH5lBcEaU4o8teT1piV-SNzShjg/edit?gid=554141278#gid=554141278"", ""'Char Def. - Attributes'!C20:C2242""), 1,false)"),"ALT_NUM_UOM2")</f>
        <v>ALT_NUM_UOM2</v>
      </c>
      <c r="I9134" s="136"/>
      <c r="R9134" s="63" t="str">
        <f t="shared" si="60"/>
        <v>ZSI1_ELECTROD_HOLDALT_NUM_UOM2</v>
      </c>
    </row>
    <row r="9135" ht="15.75" customHeight="1">
      <c r="B9135" s="63">
        <f t="shared" si="1"/>
        <v>18</v>
      </c>
      <c r="C9135" s="135" t="s">
        <v>386</v>
      </c>
      <c r="D9135" s="161" t="s">
        <v>74</v>
      </c>
      <c r="E9135" s="135">
        <f t="shared" si="62"/>
        <v>19</v>
      </c>
      <c r="F9135" s="134" t="s">
        <v>3810</v>
      </c>
      <c r="G9135" s="63" t="str">
        <f>VLOOKUP(C9135, 'Class Def. - General Data'!$C$20:$C$1000,1,false)</f>
        <v>ZSI1_ELECTROD_HOLD</v>
      </c>
      <c r="H9135" s="63" t="str">
        <f>IFERROR(__xludf.DUMMYFUNCTION("VLOOKUP(F9135, IMPORTRANGE(""https://docs.google.com/spreadsheets/d/1Lhp9OU0JdFf_VYSMzH5lBcEaU4o8teT1piV-SNzShjg/edit?gid=554141278#gid=554141278"", ""'Char Def. - Attributes'!C20:C2242""), 1,false)"),"ALT_UOM3_SIPI")</f>
        <v>ALT_UOM3_SIPI</v>
      </c>
      <c r="I9135" s="136"/>
      <c r="R9135" s="63" t="str">
        <f t="shared" si="60"/>
        <v>ZSI1_ELECTROD_HOLDALT_UOM3_SIPI</v>
      </c>
    </row>
    <row r="9136" ht="15.75" customHeight="1">
      <c r="B9136" s="63">
        <f t="shared" si="1"/>
        <v>18</v>
      </c>
      <c r="C9136" s="135" t="s">
        <v>386</v>
      </c>
      <c r="D9136" s="161" t="s">
        <v>74</v>
      </c>
      <c r="E9136" s="135">
        <f t="shared" si="62"/>
        <v>20</v>
      </c>
      <c r="F9136" s="134" t="s">
        <v>3811</v>
      </c>
      <c r="G9136" s="63" t="str">
        <f>VLOOKUP(C9136, 'Class Def. - General Data'!$C$20:$C$1000,1,false)</f>
        <v>ZSI1_ELECTROD_HOLD</v>
      </c>
      <c r="H9136" s="63" t="str">
        <f>IFERROR(__xludf.DUMMYFUNCTION("VLOOKUP(F9136, IMPORTRANGE(""https://docs.google.com/spreadsheets/d/1Lhp9OU0JdFf_VYSMzH5lBcEaU4o8teT1piV-SNzShjg/edit?gid=554141278#gid=554141278"", ""'Char Def. - Attributes'!C20:C2242""), 1,false)"),"ALT_DENUM_UOM3")</f>
        <v>ALT_DENUM_UOM3</v>
      </c>
      <c r="I9136" s="136"/>
      <c r="R9136" s="63" t="str">
        <f t="shared" si="60"/>
        <v>ZSI1_ELECTROD_HOLDALT_DENUM_UOM3</v>
      </c>
    </row>
    <row r="9137" ht="15.75" customHeight="1">
      <c r="B9137" s="63">
        <f t="shared" si="1"/>
        <v>18</v>
      </c>
      <c r="C9137" s="135" t="s">
        <v>386</v>
      </c>
      <c r="D9137" s="161" t="s">
        <v>74</v>
      </c>
      <c r="E9137" s="135">
        <f t="shared" si="62"/>
        <v>21</v>
      </c>
      <c r="F9137" s="134" t="s">
        <v>3812</v>
      </c>
      <c r="G9137" s="63" t="str">
        <f>VLOOKUP(C9137, 'Class Def. - General Data'!$C$20:$C$1000,1,false)</f>
        <v>ZSI1_ELECTROD_HOLD</v>
      </c>
      <c r="H9137" s="63" t="str">
        <f>IFERROR(__xludf.DUMMYFUNCTION("VLOOKUP(F9137, IMPORTRANGE(""https://docs.google.com/spreadsheets/d/1Lhp9OU0JdFf_VYSMzH5lBcEaU4o8teT1piV-SNzShjg/edit?gid=554141278#gid=554141278"", ""'Char Def. - Attributes'!C20:C2242""), 1,false)"),"ALT_NUM_UOM3")</f>
        <v>ALT_NUM_UOM3</v>
      </c>
      <c r="I9137" s="136"/>
      <c r="R9137" s="63" t="str">
        <f t="shared" si="60"/>
        <v>ZSI1_ELECTROD_HOLDALT_NUM_UOM3</v>
      </c>
    </row>
    <row r="9138" ht="15.75" customHeight="1">
      <c r="B9138" s="63">
        <f t="shared" si="1"/>
        <v>18</v>
      </c>
      <c r="C9138" s="135" t="s">
        <v>386</v>
      </c>
      <c r="D9138" s="161" t="s">
        <v>74</v>
      </c>
      <c r="E9138" s="135">
        <f t="shared" si="62"/>
        <v>22</v>
      </c>
      <c r="F9138" s="134" t="s">
        <v>3813</v>
      </c>
      <c r="G9138" s="63" t="str">
        <f>VLOOKUP(C9138, 'Class Def. - General Data'!$C$20:$C$1000,1,false)</f>
        <v>ZSI1_ELECTROD_HOLD</v>
      </c>
      <c r="H9138" s="63" t="str">
        <f>IFERROR(__xludf.DUMMYFUNCTION("VLOOKUP(F9138, IMPORTRANGE(""https://docs.google.com/spreadsheets/d/1Lhp9OU0JdFf_VYSMzH5lBcEaU4o8teT1piV-SNzShjg/edit?gid=554141278#gid=554141278"", ""'Char Def. - Attributes'!C20:C2242""), 1,false)"),"ALT_UOM4_SIPI")</f>
        <v>ALT_UOM4_SIPI</v>
      </c>
      <c r="I9138" s="136"/>
      <c r="R9138" s="63" t="str">
        <f t="shared" si="60"/>
        <v>ZSI1_ELECTROD_HOLDALT_UOM4_SIPI</v>
      </c>
    </row>
    <row r="9139" ht="15.75" customHeight="1">
      <c r="B9139" s="63">
        <f t="shared" si="1"/>
        <v>18</v>
      </c>
      <c r="C9139" s="135" t="s">
        <v>386</v>
      </c>
      <c r="D9139" s="161" t="s">
        <v>74</v>
      </c>
      <c r="E9139" s="135">
        <f t="shared" si="62"/>
        <v>23</v>
      </c>
      <c r="F9139" s="134" t="s">
        <v>3814</v>
      </c>
      <c r="G9139" s="63" t="str">
        <f>VLOOKUP(C9139, 'Class Def. - General Data'!$C$20:$C$1000,1,false)</f>
        <v>ZSI1_ELECTROD_HOLD</v>
      </c>
      <c r="H9139" s="63" t="str">
        <f>IFERROR(__xludf.DUMMYFUNCTION("VLOOKUP(F9139, IMPORTRANGE(""https://docs.google.com/spreadsheets/d/1Lhp9OU0JdFf_VYSMzH5lBcEaU4o8teT1piV-SNzShjg/edit?gid=554141278#gid=554141278"", ""'Char Def. - Attributes'!C20:C2242""), 1,false)"),"ALT_DENUM_UOM4")</f>
        <v>ALT_DENUM_UOM4</v>
      </c>
      <c r="I9139" s="136"/>
      <c r="R9139" s="63" t="str">
        <f t="shared" si="60"/>
        <v>ZSI1_ELECTROD_HOLDALT_DENUM_UOM4</v>
      </c>
    </row>
    <row r="9140" ht="15.75" customHeight="1">
      <c r="B9140" s="63">
        <f t="shared" si="1"/>
        <v>18</v>
      </c>
      <c r="C9140" s="135" t="s">
        <v>386</v>
      </c>
      <c r="D9140" s="161" t="s">
        <v>74</v>
      </c>
      <c r="E9140" s="135">
        <f t="shared" si="62"/>
        <v>24</v>
      </c>
      <c r="F9140" s="134" t="s">
        <v>3815</v>
      </c>
      <c r="G9140" s="63" t="str">
        <f>VLOOKUP(C9140, 'Class Def. - General Data'!$C$20:$C$1000,1,false)</f>
        <v>ZSI1_ELECTROD_HOLD</v>
      </c>
      <c r="H9140" s="63" t="str">
        <f>IFERROR(__xludf.DUMMYFUNCTION("VLOOKUP(F9140, IMPORTRANGE(""https://docs.google.com/spreadsheets/d/1Lhp9OU0JdFf_VYSMzH5lBcEaU4o8teT1piV-SNzShjg/edit?gid=554141278#gid=554141278"", ""'Char Def. - Attributes'!C20:C2242""), 1,false)"),"ALT_NUM_UOM4")</f>
        <v>ALT_NUM_UOM4</v>
      </c>
      <c r="I9140" s="136"/>
      <c r="R9140" s="63" t="str">
        <f t="shared" si="60"/>
        <v>ZSI1_ELECTROD_HOLDALT_NUM_UOM4</v>
      </c>
    </row>
    <row r="9141" ht="15.75" customHeight="1">
      <c r="B9141" s="63">
        <f t="shared" si="1"/>
        <v>18</v>
      </c>
      <c r="C9141" s="135" t="s">
        <v>386</v>
      </c>
      <c r="D9141" s="161" t="s">
        <v>74</v>
      </c>
      <c r="E9141" s="135">
        <f t="shared" si="62"/>
        <v>25</v>
      </c>
      <c r="F9141" s="134" t="s">
        <v>3816</v>
      </c>
      <c r="G9141" s="63" t="str">
        <f>VLOOKUP(C9141, 'Class Def. - General Data'!$C$20:$C$1000,1,false)</f>
        <v>ZSI1_ELECTROD_HOLD</v>
      </c>
      <c r="H9141" s="63" t="str">
        <f>IFERROR(__xludf.DUMMYFUNCTION("VLOOKUP(F9141, IMPORTRANGE(""https://docs.google.com/spreadsheets/d/1Lhp9OU0JdFf_VYSMzH5lBcEaU4o8teT1piV-SNzShjg/edit?gid=554141278#gid=554141278"", ""'Char Def. - Attributes'!C20:C2242""), 1,false)"),"ALT_UOM5_SIPI")</f>
        <v>ALT_UOM5_SIPI</v>
      </c>
      <c r="I9141" s="136"/>
      <c r="R9141" s="63" t="str">
        <f t="shared" si="60"/>
        <v>ZSI1_ELECTROD_HOLDALT_UOM5_SIPI</v>
      </c>
    </row>
    <row r="9142" ht="15.75" customHeight="1">
      <c r="B9142" s="63">
        <f t="shared" si="1"/>
        <v>18</v>
      </c>
      <c r="C9142" s="135" t="s">
        <v>386</v>
      </c>
      <c r="D9142" s="161" t="s">
        <v>74</v>
      </c>
      <c r="E9142" s="135">
        <f t="shared" si="62"/>
        <v>26</v>
      </c>
      <c r="F9142" s="134" t="s">
        <v>3817</v>
      </c>
      <c r="G9142" s="63" t="str">
        <f>VLOOKUP(C9142, 'Class Def. - General Data'!$C$20:$C$1000,1,false)</f>
        <v>ZSI1_ELECTROD_HOLD</v>
      </c>
      <c r="H9142" s="63" t="str">
        <f>IFERROR(__xludf.DUMMYFUNCTION("VLOOKUP(F9142, IMPORTRANGE(""https://docs.google.com/spreadsheets/d/1Lhp9OU0JdFf_VYSMzH5lBcEaU4o8teT1piV-SNzShjg/edit?gid=554141278#gid=554141278"", ""'Char Def. - Attributes'!C20:C2242""), 1,false)"),"ALT_DENUM_UOM5")</f>
        <v>ALT_DENUM_UOM5</v>
      </c>
      <c r="I9142" s="136"/>
      <c r="R9142" s="63" t="str">
        <f t="shared" si="60"/>
        <v>ZSI1_ELECTROD_HOLDALT_DENUM_UOM5</v>
      </c>
    </row>
    <row r="9143" ht="15.75" customHeight="1">
      <c r="B9143" s="63">
        <f t="shared" si="1"/>
        <v>18</v>
      </c>
      <c r="C9143" s="135" t="s">
        <v>386</v>
      </c>
      <c r="D9143" s="161" t="s">
        <v>74</v>
      </c>
      <c r="E9143" s="135">
        <f t="shared" si="62"/>
        <v>27</v>
      </c>
      <c r="F9143" s="134" t="s">
        <v>3818</v>
      </c>
      <c r="G9143" s="63" t="str">
        <f>VLOOKUP(C9143, 'Class Def. - General Data'!$C$20:$C$1000,1,false)</f>
        <v>ZSI1_ELECTROD_HOLD</v>
      </c>
      <c r="H9143" s="63" t="str">
        <f>IFERROR(__xludf.DUMMYFUNCTION("VLOOKUP(F9143, IMPORTRANGE(""https://docs.google.com/spreadsheets/d/1Lhp9OU0JdFf_VYSMzH5lBcEaU4o8teT1piV-SNzShjg/edit?gid=554141278#gid=554141278"", ""'Char Def. - Attributes'!C20:C2242""), 1,false)"),"ALT_NUM_UOM5")</f>
        <v>ALT_NUM_UOM5</v>
      </c>
      <c r="I9143" s="136"/>
      <c r="R9143" s="63" t="str">
        <f t="shared" si="60"/>
        <v>ZSI1_ELECTROD_HOLDALT_NUM_UOM5</v>
      </c>
    </row>
    <row r="9144" ht="15.75" customHeight="1">
      <c r="B9144" s="63">
        <f t="shared" si="1"/>
        <v>16</v>
      </c>
      <c r="C9144" s="135" t="s">
        <v>355</v>
      </c>
      <c r="D9144" s="161" t="s">
        <v>74</v>
      </c>
      <c r="E9144" s="135">
        <f t="shared" si="62"/>
        <v>1</v>
      </c>
      <c r="F9144" s="134" t="s">
        <v>4482</v>
      </c>
      <c r="G9144" s="63" t="str">
        <f>VLOOKUP(C9144, 'Class Def. - General Data'!$C$20:$C$1000,1,false)</f>
        <v>ZSI1_ELECTRONICS</v>
      </c>
      <c r="H9144" s="63" t="str">
        <f>IFERROR(__xludf.DUMMYFUNCTION("VLOOKUP(F9144, IMPORTRANGE(""https://docs.google.com/spreadsheets/d/1Lhp9OU0JdFf_VYSMzH5lBcEaU4o8teT1piV-SNzShjg/edit?gid=554141278#gid=554141278"", ""'Char Def. - Attributes'!C20:C2242""), 1,false)"),"ITEM_NAME_ELECTRONICS")</f>
        <v>ITEM_NAME_ELECTRONICS</v>
      </c>
      <c r="I9144" s="136"/>
      <c r="R9144" s="63" t="str">
        <f t="shared" si="60"/>
        <v>ZSI1_ELECTRONICSITEM_NAME_ELECTRONICS</v>
      </c>
    </row>
    <row r="9145" ht="15.75" customHeight="1">
      <c r="B9145" s="63">
        <f t="shared" si="1"/>
        <v>16</v>
      </c>
      <c r="C9145" s="135" t="s">
        <v>355</v>
      </c>
      <c r="D9145" s="161" t="s">
        <v>74</v>
      </c>
      <c r="E9145" s="135">
        <f t="shared" si="62"/>
        <v>2</v>
      </c>
      <c r="F9145" s="134" t="s">
        <v>3778</v>
      </c>
      <c r="G9145" s="63" t="str">
        <f>VLOOKUP(C9145, 'Class Def. - General Data'!$C$20:$C$1000,1,false)</f>
        <v>ZSI1_ELECTRONICS</v>
      </c>
      <c r="H9145" s="63" t="str">
        <f>IFERROR(__xludf.DUMMYFUNCTION("VLOOKUP(F9145, IMPORTRANGE(""https://docs.google.com/spreadsheets/d/1Lhp9OU0JdFf_VYSMzH5lBcEaU4o8teT1piV-SNzShjg/edit?gid=554141278#gid=554141278"", ""'Char Def. - Attributes'!C20:C2242""), 1,false)"),"SPECIAL_ACTIVITY")</f>
        <v>SPECIAL_ACTIVITY</v>
      </c>
      <c r="I9145" s="136"/>
      <c r="R9145" s="63" t="str">
        <f t="shared" si="60"/>
        <v>ZSI1_ELECTRONICSSPECIAL_ACTIVITY</v>
      </c>
    </row>
    <row r="9146" ht="15.75" customHeight="1">
      <c r="B9146" s="63">
        <f t="shared" si="1"/>
        <v>16</v>
      </c>
      <c r="C9146" s="135" t="s">
        <v>355</v>
      </c>
      <c r="D9146" s="161" t="s">
        <v>74</v>
      </c>
      <c r="E9146" s="135">
        <f t="shared" si="62"/>
        <v>3</v>
      </c>
      <c r="F9146" s="134" t="s">
        <v>3779</v>
      </c>
      <c r="G9146" s="63" t="str">
        <f>VLOOKUP(C9146, 'Class Def. - General Data'!$C$20:$C$1000,1,false)</f>
        <v>ZSI1_ELECTRONICS</v>
      </c>
      <c r="H9146" s="63" t="str">
        <f>IFERROR(__xludf.DUMMYFUNCTION("VLOOKUP(F9146, IMPORTRANGE(""https://docs.google.com/spreadsheets/d/1Lhp9OU0JdFf_VYSMzH5lBcEaU4o8teT1piV-SNzShjg/edit?gid=554141278#gid=554141278"", ""'Char Def. - Attributes'!C20:C2242""), 1,false)"),"EMBOSSED_BRAND_WINGS")</f>
        <v>EMBOSSED_BRAND_WINGS</v>
      </c>
      <c r="I9146" s="136"/>
      <c r="R9146" s="63" t="str">
        <f t="shared" si="60"/>
        <v>ZSI1_ELECTRONICSEMBOSSED_BRAND_WINGS</v>
      </c>
    </row>
    <row r="9147" ht="15.75" customHeight="1">
      <c r="B9147" s="63">
        <f t="shared" si="1"/>
        <v>16</v>
      </c>
      <c r="C9147" s="135" t="s">
        <v>355</v>
      </c>
      <c r="D9147" s="161" t="s">
        <v>74</v>
      </c>
      <c r="E9147" s="135">
        <f t="shared" si="62"/>
        <v>4</v>
      </c>
      <c r="F9147" s="134" t="s">
        <v>3780</v>
      </c>
      <c r="G9147" s="63" t="str">
        <f>VLOOKUP(C9147, 'Class Def. - General Data'!$C$20:$C$1000,1,false)</f>
        <v>ZSI1_ELECTRONICS</v>
      </c>
      <c r="H9147" s="63" t="str">
        <f>IFERROR(__xludf.DUMMYFUNCTION("VLOOKUP(F9147, IMPORTRANGE(""https://docs.google.com/spreadsheets/d/1Lhp9OU0JdFf_VYSMzH5lBcEaU4o8teT1piV-SNzShjg/edit?gid=554141278#gid=554141278"", ""'Char Def. - Attributes'!C20:C2242""), 1,false)"),"BRAND_WINGS_SIPI")</f>
        <v>BRAND_WINGS_SIPI</v>
      </c>
      <c r="I9147" s="136"/>
      <c r="R9147" s="63" t="str">
        <f t="shared" si="60"/>
        <v>ZSI1_ELECTRONICSBRAND_WINGS_SIPI</v>
      </c>
    </row>
    <row r="9148" ht="15.75" customHeight="1">
      <c r="B9148" s="63">
        <f t="shared" si="1"/>
        <v>16</v>
      </c>
      <c r="C9148" s="135" t="s">
        <v>355</v>
      </c>
      <c r="D9148" s="161" t="s">
        <v>74</v>
      </c>
      <c r="E9148" s="135">
        <f t="shared" si="62"/>
        <v>5</v>
      </c>
      <c r="F9148" s="134" t="s">
        <v>3782</v>
      </c>
      <c r="G9148" s="63" t="str">
        <f>VLOOKUP(C9148, 'Class Def. - General Data'!$C$20:$C$1000,1,false)</f>
        <v>ZSI1_ELECTRONICS</v>
      </c>
      <c r="H9148" s="63" t="str">
        <f>IFERROR(__xludf.DUMMYFUNCTION("VLOOKUP(F9148, IMPORTRANGE(""https://docs.google.com/spreadsheets/d/1Lhp9OU0JdFf_VYSMzH5lBcEaU4o8teT1piV-SNzShjg/edit?gid=554141278#gid=554141278"", ""'Char Def. - Attributes'!C20:C2242""), 1,false)"),"BRAND_EXTERNAL")</f>
        <v>BRAND_EXTERNAL</v>
      </c>
      <c r="I9148" s="136"/>
      <c r="R9148" s="63" t="str">
        <f t="shared" si="60"/>
        <v>ZSI1_ELECTRONICSBRAND_EXTERNAL</v>
      </c>
    </row>
    <row r="9149" ht="15.75" customHeight="1">
      <c r="B9149" s="63">
        <f t="shared" si="1"/>
        <v>16</v>
      </c>
      <c r="C9149" s="135" t="s">
        <v>355</v>
      </c>
      <c r="D9149" s="161" t="s">
        <v>74</v>
      </c>
      <c r="E9149" s="135">
        <f t="shared" si="62"/>
        <v>6</v>
      </c>
      <c r="F9149" s="134" t="s">
        <v>4483</v>
      </c>
      <c r="G9149" s="63" t="str">
        <f>VLOOKUP(C9149, 'Class Def. - General Data'!$C$20:$C$1000,1,false)</f>
        <v>ZSI1_ELECTRONICS</v>
      </c>
      <c r="H9149" s="63" t="str">
        <f>IFERROR(__xludf.DUMMYFUNCTION("VLOOKUP(F9149, IMPORTRANGE(""https://docs.google.com/spreadsheets/d/1Lhp9OU0JdFf_VYSMzH5lBcEaU4o8teT1piV-SNzShjg/edit?gid=554141278#gid=554141278"", ""'Char Def. - Attributes'!C20:C2242""), 1,false)"),"TYPE_ELECTRONICS")</f>
        <v>TYPE_ELECTRONICS</v>
      </c>
      <c r="I9149" s="136"/>
      <c r="R9149" s="63" t="str">
        <f t="shared" si="60"/>
        <v>ZSI1_ELECTRONICSTYPE_ELECTRONICS</v>
      </c>
    </row>
    <row r="9150" ht="15.75" customHeight="1">
      <c r="B9150" s="63">
        <f t="shared" si="1"/>
        <v>16</v>
      </c>
      <c r="C9150" s="135" t="s">
        <v>355</v>
      </c>
      <c r="D9150" s="161" t="s">
        <v>74</v>
      </c>
      <c r="E9150" s="135">
        <f t="shared" si="62"/>
        <v>7</v>
      </c>
      <c r="F9150" s="134" t="s">
        <v>4484</v>
      </c>
      <c r="G9150" s="63" t="str">
        <f>VLOOKUP(C9150, 'Class Def. - General Data'!$C$20:$C$1000,1,false)</f>
        <v>ZSI1_ELECTRONICS</v>
      </c>
      <c r="H9150" s="63" t="str">
        <f>IFERROR(__xludf.DUMMYFUNCTION("VLOOKUP(F9150, IMPORTRANGE(""https://docs.google.com/spreadsheets/d/1Lhp9OU0JdFf_VYSMzH5lBcEaU4o8teT1piV-SNzShjg/edit?gid=554141278#gid=554141278"", ""'Char Def. - Attributes'!C20:C2242""), 1,false)"),"SIZE_INCH_ELECTRONICS")</f>
        <v>SIZE_INCH_ELECTRONICS</v>
      </c>
      <c r="I9150" s="136"/>
      <c r="R9150" s="63" t="str">
        <f t="shared" si="60"/>
        <v>ZSI1_ELECTRONICSSIZE_INCH_ELECTRONICS</v>
      </c>
    </row>
    <row r="9151" ht="15.75" customHeight="1">
      <c r="B9151" s="63">
        <f t="shared" si="1"/>
        <v>16</v>
      </c>
      <c r="C9151" s="135" t="s">
        <v>355</v>
      </c>
      <c r="D9151" s="161" t="s">
        <v>74</v>
      </c>
      <c r="E9151" s="135">
        <f t="shared" si="62"/>
        <v>8</v>
      </c>
      <c r="F9151" s="134" t="s">
        <v>4485</v>
      </c>
      <c r="G9151" s="63" t="str">
        <f>VLOOKUP(C9151, 'Class Def. - General Data'!$C$20:$C$1000,1,false)</f>
        <v>ZSI1_ELECTRONICS</v>
      </c>
      <c r="H9151" s="63" t="str">
        <f>IFERROR(__xludf.DUMMYFUNCTION("VLOOKUP(F9151, IMPORTRANGE(""https://docs.google.com/spreadsheets/d/1Lhp9OU0JdFf_VYSMzH5lBcEaU4o8teT1piV-SNzShjg/edit?gid=554141278#gid=554141278"", ""'Char Def. - Attributes'!C20:C2242""), 1,false)"),"IMAGE_QUALITY_ELECTRONICS")</f>
        <v>IMAGE_QUALITY_ELECTRONICS</v>
      </c>
      <c r="I9151" s="136"/>
      <c r="R9151" s="63" t="str">
        <f t="shared" si="60"/>
        <v>ZSI1_ELECTRONICSIMAGE_QUALITY_ELECTRONICS</v>
      </c>
    </row>
    <row r="9152" ht="15.75" customHeight="1">
      <c r="B9152" s="63">
        <f t="shared" si="1"/>
        <v>16</v>
      </c>
      <c r="C9152" s="135" t="s">
        <v>355</v>
      </c>
      <c r="D9152" s="161" t="s">
        <v>74</v>
      </c>
      <c r="E9152" s="135">
        <f t="shared" si="62"/>
        <v>9</v>
      </c>
      <c r="F9152" s="134" t="s">
        <v>3585</v>
      </c>
      <c r="G9152" s="63" t="str">
        <f>VLOOKUP(C9152, 'Class Def. - General Data'!$C$20:$C$1000,1,false)</f>
        <v>ZSI1_ELECTRONICS</v>
      </c>
      <c r="H9152" s="63" t="str">
        <f>IFERROR(__xludf.DUMMYFUNCTION("VLOOKUP(F9152, IMPORTRANGE(""https://docs.google.com/spreadsheets/d/1Lhp9OU0JdFf_VYSMzH5lBcEaU4o8teT1piV-SNzShjg/edit?gid=554141278#gid=554141278"", ""'Char Def. - Attributes'!C20:C2242""), 1,false)"),"HS_CODE")</f>
        <v>HS_CODE</v>
      </c>
      <c r="I9152" s="136"/>
      <c r="R9152" s="63" t="str">
        <f t="shared" si="60"/>
        <v>ZSI1_ELECTRONICSHS_CODE</v>
      </c>
    </row>
    <row r="9153" ht="15.75" customHeight="1">
      <c r="B9153" s="63">
        <f t="shared" si="1"/>
        <v>16</v>
      </c>
      <c r="C9153" s="135" t="s">
        <v>355</v>
      </c>
      <c r="D9153" s="161" t="s">
        <v>74</v>
      </c>
      <c r="E9153" s="135">
        <f t="shared" si="62"/>
        <v>10</v>
      </c>
      <c r="F9153" s="134" t="s">
        <v>3587</v>
      </c>
      <c r="G9153" s="63" t="str">
        <f>VLOOKUP(C9153, 'Class Def. - General Data'!$C$20:$C$1000,1,false)</f>
        <v>ZSI1_ELECTRONICS</v>
      </c>
      <c r="H9153" s="63" t="str">
        <f>IFERROR(__xludf.DUMMYFUNCTION("VLOOKUP(F9153, IMPORTRANGE(""https://docs.google.com/spreadsheets/d/1Lhp9OU0JdFf_VYSMzH5lBcEaU4o8teT1piV-SNzShjg/edit?gid=554141278#gid=554141278"", ""'Char Def. - Attributes'!C20:C2242""), 1,false)"),"PLANT_BUY")</f>
        <v>PLANT_BUY</v>
      </c>
      <c r="I9153" s="136"/>
      <c r="R9153" s="63" t="str">
        <f t="shared" si="60"/>
        <v>ZSI1_ELECTRONICSPLANT_BUY</v>
      </c>
    </row>
    <row r="9154" ht="15.75" customHeight="1">
      <c r="B9154" s="63">
        <f t="shared" si="1"/>
        <v>16</v>
      </c>
      <c r="C9154" s="135" t="s">
        <v>355</v>
      </c>
      <c r="D9154" s="161" t="s">
        <v>74</v>
      </c>
      <c r="E9154" s="135">
        <f t="shared" si="62"/>
        <v>11</v>
      </c>
      <c r="F9154" s="134" t="s">
        <v>4486</v>
      </c>
      <c r="G9154" s="63" t="str">
        <f>VLOOKUP(C9154, 'Class Def. - General Data'!$C$20:$C$1000,1,false)</f>
        <v>ZSI1_ELECTRONICS</v>
      </c>
      <c r="H9154" s="63" t="str">
        <f>IFERROR(__xludf.DUMMYFUNCTION("VLOOKUP(F9154, IMPORTRANGE(""https://docs.google.com/spreadsheets/d/1Lhp9OU0JdFf_VYSMzH5lBcEaU4o8teT1piV-SNzShjg/edit?gid=554141278#gid=554141278"", ""'Char Def. - Attributes'!C20:C2242""), 1,false)"),"BASE_UOM_ELECTRONICS")</f>
        <v>BASE_UOM_ELECTRONICS</v>
      </c>
      <c r="I9154" s="136"/>
      <c r="R9154" s="63" t="str">
        <f t="shared" si="60"/>
        <v>ZSI1_ELECTRONICSBASE_UOM_ELECTRONICS</v>
      </c>
    </row>
    <row r="9155" ht="15.75" customHeight="1">
      <c r="B9155" s="63">
        <f t="shared" si="1"/>
        <v>16</v>
      </c>
      <c r="C9155" s="135" t="s">
        <v>355</v>
      </c>
      <c r="D9155" s="161" t="s">
        <v>74</v>
      </c>
      <c r="E9155" s="135">
        <f t="shared" si="62"/>
        <v>12</v>
      </c>
      <c r="F9155" s="134" t="s">
        <v>4487</v>
      </c>
      <c r="G9155" s="63" t="str">
        <f>VLOOKUP(C9155, 'Class Def. - General Data'!$C$20:$C$1000,1,false)</f>
        <v>ZSI1_ELECTRONICS</v>
      </c>
      <c r="H9155" s="63" t="str">
        <f>IFERROR(__xludf.DUMMYFUNCTION("VLOOKUP(F9155, IMPORTRANGE(""https://docs.google.com/spreadsheets/d/1Lhp9OU0JdFf_VYSMzH5lBcEaU4o8teT1piV-SNzShjg/edit?gid=554141278#gid=554141278"", ""'Char Def. - Attributes'!C20:C2242""), 1,false)"),"ORDER_UNIT_ELECTRONICS")</f>
        <v>ORDER_UNIT_ELECTRONICS</v>
      </c>
      <c r="I9155" s="136"/>
      <c r="R9155" s="63" t="str">
        <f t="shared" si="60"/>
        <v>ZSI1_ELECTRONICSORDER_UNIT_ELECTRONICS</v>
      </c>
    </row>
    <row r="9156" ht="15.75" customHeight="1">
      <c r="B9156" s="63">
        <f t="shared" si="1"/>
        <v>16</v>
      </c>
      <c r="C9156" s="135" t="s">
        <v>355</v>
      </c>
      <c r="D9156" s="161" t="s">
        <v>74</v>
      </c>
      <c r="E9156" s="135">
        <f t="shared" si="62"/>
        <v>13</v>
      </c>
      <c r="F9156" s="134" t="s">
        <v>4056</v>
      </c>
      <c r="G9156" s="63" t="str">
        <f>VLOOKUP(C9156, 'Class Def. - General Data'!$C$20:$C$1000,1,false)</f>
        <v>ZSI1_ELECTRONICS</v>
      </c>
      <c r="H9156" s="63" t="str">
        <f>IFERROR(__xludf.DUMMYFUNCTION("VLOOKUP(F9156, IMPORTRANGE(""https://docs.google.com/spreadsheets/d/1Lhp9OU0JdFf_VYSMzH5lBcEaU4o8teT1piV-SNzShjg/edit?gid=554141278#gid=554141278"", ""'Char Def. - Attributes'!C20:C2242""), 1,false)"),"GROSS_WEIGHT_OPT")</f>
        <v>GROSS_WEIGHT_OPT</v>
      </c>
      <c r="I9156" s="136"/>
      <c r="R9156" s="63" t="str">
        <f t="shared" si="60"/>
        <v>ZSI1_ELECTRONICSGROSS_WEIGHT_OPT</v>
      </c>
    </row>
    <row r="9157" ht="15.75" customHeight="1">
      <c r="B9157" s="63">
        <f t="shared" si="1"/>
        <v>16</v>
      </c>
      <c r="C9157" s="135" t="s">
        <v>355</v>
      </c>
      <c r="D9157" s="161" t="s">
        <v>74</v>
      </c>
      <c r="E9157" s="135">
        <f t="shared" si="62"/>
        <v>14</v>
      </c>
      <c r="F9157" s="134" t="s">
        <v>4057</v>
      </c>
      <c r="G9157" s="63" t="str">
        <f>VLOOKUP(C9157, 'Class Def. - General Data'!$C$20:$C$1000,1,false)</f>
        <v>ZSI1_ELECTRONICS</v>
      </c>
      <c r="H9157" s="63" t="str">
        <f>IFERROR(__xludf.DUMMYFUNCTION("VLOOKUP(F9157, IMPORTRANGE(""https://docs.google.com/spreadsheets/d/1Lhp9OU0JdFf_VYSMzH5lBcEaU4o8teT1piV-SNzShjg/edit?gid=554141278#gid=554141278"", ""'Char Def. - Attributes'!C20:C2242""), 1,false)"),"NET_WEIGHT_OPT")</f>
        <v>NET_WEIGHT_OPT</v>
      </c>
      <c r="I9157" s="136"/>
      <c r="R9157" s="63" t="str">
        <f t="shared" si="60"/>
        <v>ZSI1_ELECTRONICSNET_WEIGHT_OPT</v>
      </c>
    </row>
    <row r="9158" ht="15.75" customHeight="1">
      <c r="B9158" s="63">
        <f t="shared" si="1"/>
        <v>16</v>
      </c>
      <c r="C9158" s="135" t="s">
        <v>355</v>
      </c>
      <c r="D9158" s="161" t="s">
        <v>74</v>
      </c>
      <c r="E9158" s="135">
        <f t="shared" si="62"/>
        <v>15</v>
      </c>
      <c r="F9158" s="134" t="s">
        <v>4058</v>
      </c>
      <c r="G9158" s="63" t="str">
        <f>VLOOKUP(C9158, 'Class Def. - General Data'!$C$20:$C$1000,1,false)</f>
        <v>ZSI1_ELECTRONICS</v>
      </c>
      <c r="H9158" s="63" t="str">
        <f>IFERROR(__xludf.DUMMYFUNCTION("VLOOKUP(F9158, IMPORTRANGE(""https://docs.google.com/spreadsheets/d/1Lhp9OU0JdFf_VYSMzH5lBcEaU4o8teT1piV-SNzShjg/edit?gid=554141278#gid=554141278"", ""'Char Def. - Attributes'!C20:C2242""), 1,false)"),"WEIGHT_UNIT_SI")</f>
        <v>WEIGHT_UNIT_SI</v>
      </c>
      <c r="I9158" s="136"/>
      <c r="R9158" s="63" t="str">
        <f t="shared" si="60"/>
        <v>ZSI1_ELECTRONICSWEIGHT_UNIT_SI</v>
      </c>
    </row>
    <row r="9159" ht="15.75" customHeight="1">
      <c r="B9159" s="63">
        <f t="shared" si="1"/>
        <v>16</v>
      </c>
      <c r="C9159" s="135" t="s">
        <v>355</v>
      </c>
      <c r="D9159" s="161" t="s">
        <v>74</v>
      </c>
      <c r="E9159" s="135">
        <f t="shared" si="62"/>
        <v>16</v>
      </c>
      <c r="F9159" s="134" t="s">
        <v>3877</v>
      </c>
      <c r="G9159" s="63" t="str">
        <f>VLOOKUP(C9159, 'Class Def. - General Data'!$C$20:$C$1000,1,false)</f>
        <v>ZSI1_ELECTRONICS</v>
      </c>
      <c r="H9159" s="63" t="str">
        <f>IFERROR(__xludf.DUMMYFUNCTION("VLOOKUP(F9159, IMPORTRANGE(""https://docs.google.com/spreadsheets/d/1Lhp9OU0JdFf_VYSMzH5lBcEaU4o8teT1piV-SNzShjg/edit?gid=554141278#gid=554141278"", ""'Char Def. - Attributes'!C20:C2242""), 1,false)"),"VOLUME_OPT")</f>
        <v>VOLUME_OPT</v>
      </c>
      <c r="I9159" s="136"/>
      <c r="R9159" s="63" t="str">
        <f t="shared" si="60"/>
        <v>ZSI1_ELECTRONICSVOLUME_OPT</v>
      </c>
    </row>
    <row r="9160" ht="15.75" customHeight="1">
      <c r="B9160" s="63">
        <f t="shared" si="1"/>
        <v>16</v>
      </c>
      <c r="C9160" s="135" t="s">
        <v>355</v>
      </c>
      <c r="D9160" s="161" t="s">
        <v>74</v>
      </c>
      <c r="E9160" s="135">
        <f t="shared" si="62"/>
        <v>17</v>
      </c>
      <c r="F9160" s="134" t="s">
        <v>4059</v>
      </c>
      <c r="G9160" s="63" t="str">
        <f>VLOOKUP(C9160, 'Class Def. - General Data'!$C$20:$C$1000,1,false)</f>
        <v>ZSI1_ELECTRONICS</v>
      </c>
      <c r="H9160" s="63" t="str">
        <f>IFERROR(__xludf.DUMMYFUNCTION("VLOOKUP(F9160, IMPORTRANGE(""https://docs.google.com/spreadsheets/d/1Lhp9OU0JdFf_VYSMzH5lBcEaU4o8teT1piV-SNzShjg/edit?gid=554141278#gid=554141278"", ""'Char Def. - Attributes'!C20:C2242""), 1,false)"),"VOLUME_UNIT_SI")</f>
        <v>VOLUME_UNIT_SI</v>
      </c>
      <c r="I9160" s="136"/>
      <c r="R9160" s="63" t="str">
        <f t="shared" si="60"/>
        <v>ZSI1_ELECTRONICSVOLUME_UNIT_SI</v>
      </c>
    </row>
    <row r="9161" ht="15.75" customHeight="1">
      <c r="B9161" s="63">
        <f t="shared" si="1"/>
        <v>16</v>
      </c>
      <c r="C9161" s="135" t="s">
        <v>355</v>
      </c>
      <c r="D9161" s="161" t="s">
        <v>74</v>
      </c>
      <c r="E9161" s="135">
        <f t="shared" si="62"/>
        <v>18</v>
      </c>
      <c r="F9161" s="134" t="s">
        <v>3804</v>
      </c>
      <c r="G9161" s="63" t="str">
        <f>VLOOKUP(C9161, 'Class Def. - General Data'!$C$20:$C$1000,1,false)</f>
        <v>ZSI1_ELECTRONICS</v>
      </c>
      <c r="H9161" s="63" t="str">
        <f>IFERROR(__xludf.DUMMYFUNCTION("VLOOKUP(F9161, IMPORTRANGE(""https://docs.google.com/spreadsheets/d/1Lhp9OU0JdFf_VYSMzH5lBcEaU4o8teT1piV-SNzShjg/edit?gid=554141278#gid=554141278"", ""'Char Def. - Attributes'!C20:C2242""), 1,false)"),"ALT_UOM1_SIPI")</f>
        <v>ALT_UOM1_SIPI</v>
      </c>
      <c r="I9161" s="136"/>
      <c r="R9161" s="63" t="str">
        <f t="shared" si="60"/>
        <v>ZSI1_ELECTRONICSALT_UOM1_SIPI</v>
      </c>
    </row>
    <row r="9162" ht="15.75" customHeight="1">
      <c r="B9162" s="63">
        <f t="shared" si="1"/>
        <v>16</v>
      </c>
      <c r="C9162" s="135" t="s">
        <v>355</v>
      </c>
      <c r="D9162" s="161" t="s">
        <v>74</v>
      </c>
      <c r="E9162" s="135">
        <f t="shared" si="62"/>
        <v>19</v>
      </c>
      <c r="F9162" s="134" t="s">
        <v>3805</v>
      </c>
      <c r="G9162" s="63" t="str">
        <f>VLOOKUP(C9162, 'Class Def. - General Data'!$C$20:$C$1000,1,false)</f>
        <v>ZSI1_ELECTRONICS</v>
      </c>
      <c r="H9162" s="63" t="str">
        <f>IFERROR(__xludf.DUMMYFUNCTION("VLOOKUP(F9162, IMPORTRANGE(""https://docs.google.com/spreadsheets/d/1Lhp9OU0JdFf_VYSMzH5lBcEaU4o8teT1piV-SNzShjg/edit?gid=554141278#gid=554141278"", ""'Char Def. - Attributes'!C20:C2242""), 1,false)"),"ALT_DENUM_UOM1")</f>
        <v>ALT_DENUM_UOM1</v>
      </c>
      <c r="I9162" s="136"/>
      <c r="R9162" s="63" t="str">
        <f t="shared" si="60"/>
        <v>ZSI1_ELECTRONICSALT_DENUM_UOM1</v>
      </c>
    </row>
    <row r="9163" ht="15.75" customHeight="1">
      <c r="B9163" s="63">
        <f t="shared" si="1"/>
        <v>16</v>
      </c>
      <c r="C9163" s="135" t="s">
        <v>355</v>
      </c>
      <c r="D9163" s="161" t="s">
        <v>74</v>
      </c>
      <c r="E9163" s="135">
        <f t="shared" si="62"/>
        <v>20</v>
      </c>
      <c r="F9163" s="134" t="s">
        <v>3806</v>
      </c>
      <c r="G9163" s="63" t="str">
        <f>VLOOKUP(C9163, 'Class Def. - General Data'!$C$20:$C$1000,1,false)</f>
        <v>ZSI1_ELECTRONICS</v>
      </c>
      <c r="H9163" s="63" t="str">
        <f>IFERROR(__xludf.DUMMYFUNCTION("VLOOKUP(F9163, IMPORTRANGE(""https://docs.google.com/spreadsheets/d/1Lhp9OU0JdFf_VYSMzH5lBcEaU4o8teT1piV-SNzShjg/edit?gid=554141278#gid=554141278"", ""'Char Def. - Attributes'!C20:C2242""), 1,false)"),"ALT_NUM_UOM1")</f>
        <v>ALT_NUM_UOM1</v>
      </c>
      <c r="I9163" s="136"/>
      <c r="R9163" s="63" t="str">
        <f t="shared" si="60"/>
        <v>ZSI1_ELECTRONICSALT_NUM_UOM1</v>
      </c>
    </row>
    <row r="9164" ht="15.75" customHeight="1">
      <c r="B9164" s="63">
        <f t="shared" si="1"/>
        <v>16</v>
      </c>
      <c r="C9164" s="135" t="s">
        <v>355</v>
      </c>
      <c r="D9164" s="161" t="s">
        <v>74</v>
      </c>
      <c r="E9164" s="135">
        <f t="shared" si="62"/>
        <v>21</v>
      </c>
      <c r="F9164" s="134" t="s">
        <v>3807</v>
      </c>
      <c r="G9164" s="63" t="str">
        <f>VLOOKUP(C9164, 'Class Def. - General Data'!$C$20:$C$1000,1,false)</f>
        <v>ZSI1_ELECTRONICS</v>
      </c>
      <c r="H9164" s="63" t="str">
        <f>IFERROR(__xludf.DUMMYFUNCTION("VLOOKUP(F9164, IMPORTRANGE(""https://docs.google.com/spreadsheets/d/1Lhp9OU0JdFf_VYSMzH5lBcEaU4o8teT1piV-SNzShjg/edit?gid=554141278#gid=554141278"", ""'Char Def. - Attributes'!C20:C2242""), 1,false)"),"ALT_UOM2_SIPI")</f>
        <v>ALT_UOM2_SIPI</v>
      </c>
      <c r="I9164" s="136"/>
      <c r="R9164" s="63" t="str">
        <f t="shared" si="60"/>
        <v>ZSI1_ELECTRONICSALT_UOM2_SIPI</v>
      </c>
    </row>
    <row r="9165" ht="15.75" customHeight="1">
      <c r="B9165" s="63">
        <f t="shared" si="1"/>
        <v>16</v>
      </c>
      <c r="C9165" s="135" t="s">
        <v>355</v>
      </c>
      <c r="D9165" s="161" t="s">
        <v>74</v>
      </c>
      <c r="E9165" s="135">
        <f t="shared" si="62"/>
        <v>22</v>
      </c>
      <c r="F9165" s="134" t="s">
        <v>3808</v>
      </c>
      <c r="G9165" s="63" t="str">
        <f>VLOOKUP(C9165, 'Class Def. - General Data'!$C$20:$C$1000,1,false)</f>
        <v>ZSI1_ELECTRONICS</v>
      </c>
      <c r="H9165" s="63" t="str">
        <f>IFERROR(__xludf.DUMMYFUNCTION("VLOOKUP(F9165, IMPORTRANGE(""https://docs.google.com/spreadsheets/d/1Lhp9OU0JdFf_VYSMzH5lBcEaU4o8teT1piV-SNzShjg/edit?gid=554141278#gid=554141278"", ""'Char Def. - Attributes'!C20:C2242""), 1,false)"),"ALT_DENUM_UOM2")</f>
        <v>ALT_DENUM_UOM2</v>
      </c>
      <c r="I9165" s="136"/>
      <c r="R9165" s="63" t="str">
        <f t="shared" si="60"/>
        <v>ZSI1_ELECTRONICSALT_DENUM_UOM2</v>
      </c>
    </row>
    <row r="9166" ht="15.75" customHeight="1">
      <c r="B9166" s="63">
        <f t="shared" si="1"/>
        <v>16</v>
      </c>
      <c r="C9166" s="135" t="s">
        <v>355</v>
      </c>
      <c r="D9166" s="161" t="s">
        <v>74</v>
      </c>
      <c r="E9166" s="135">
        <f t="shared" si="62"/>
        <v>23</v>
      </c>
      <c r="F9166" s="134" t="s">
        <v>3809</v>
      </c>
      <c r="G9166" s="63" t="str">
        <f>VLOOKUP(C9166, 'Class Def. - General Data'!$C$20:$C$1000,1,false)</f>
        <v>ZSI1_ELECTRONICS</v>
      </c>
      <c r="H9166" s="63" t="str">
        <f>IFERROR(__xludf.DUMMYFUNCTION("VLOOKUP(F9166, IMPORTRANGE(""https://docs.google.com/spreadsheets/d/1Lhp9OU0JdFf_VYSMzH5lBcEaU4o8teT1piV-SNzShjg/edit?gid=554141278#gid=554141278"", ""'Char Def. - Attributes'!C20:C2242""), 1,false)"),"ALT_NUM_UOM2")</f>
        <v>ALT_NUM_UOM2</v>
      </c>
      <c r="I9166" s="136"/>
      <c r="R9166" s="63" t="str">
        <f t="shared" si="60"/>
        <v>ZSI1_ELECTRONICSALT_NUM_UOM2</v>
      </c>
    </row>
    <row r="9167" ht="15.75" customHeight="1">
      <c r="B9167" s="63">
        <f t="shared" si="1"/>
        <v>16</v>
      </c>
      <c r="C9167" s="135" t="s">
        <v>355</v>
      </c>
      <c r="D9167" s="161" t="s">
        <v>74</v>
      </c>
      <c r="E9167" s="135">
        <f t="shared" si="62"/>
        <v>24</v>
      </c>
      <c r="F9167" s="134" t="s">
        <v>3810</v>
      </c>
      <c r="G9167" s="63" t="str">
        <f>VLOOKUP(C9167, 'Class Def. - General Data'!$C$20:$C$1000,1,false)</f>
        <v>ZSI1_ELECTRONICS</v>
      </c>
      <c r="H9167" s="63" t="str">
        <f>IFERROR(__xludf.DUMMYFUNCTION("VLOOKUP(F9167, IMPORTRANGE(""https://docs.google.com/spreadsheets/d/1Lhp9OU0JdFf_VYSMzH5lBcEaU4o8teT1piV-SNzShjg/edit?gid=554141278#gid=554141278"", ""'Char Def. - Attributes'!C20:C2242""), 1,false)"),"ALT_UOM3_SIPI")</f>
        <v>ALT_UOM3_SIPI</v>
      </c>
      <c r="I9167" s="136"/>
      <c r="R9167" s="63" t="str">
        <f t="shared" si="60"/>
        <v>ZSI1_ELECTRONICSALT_UOM3_SIPI</v>
      </c>
    </row>
    <row r="9168" ht="15.75" customHeight="1">
      <c r="B9168" s="63">
        <f t="shared" si="1"/>
        <v>16</v>
      </c>
      <c r="C9168" s="135" t="s">
        <v>355</v>
      </c>
      <c r="D9168" s="161" t="s">
        <v>74</v>
      </c>
      <c r="E9168" s="135">
        <f t="shared" si="62"/>
        <v>25</v>
      </c>
      <c r="F9168" s="134" t="s">
        <v>3811</v>
      </c>
      <c r="G9168" s="63" t="str">
        <f>VLOOKUP(C9168, 'Class Def. - General Data'!$C$20:$C$1000,1,false)</f>
        <v>ZSI1_ELECTRONICS</v>
      </c>
      <c r="H9168" s="63" t="str">
        <f>IFERROR(__xludf.DUMMYFUNCTION("VLOOKUP(F9168, IMPORTRANGE(""https://docs.google.com/spreadsheets/d/1Lhp9OU0JdFf_VYSMzH5lBcEaU4o8teT1piV-SNzShjg/edit?gid=554141278#gid=554141278"", ""'Char Def. - Attributes'!C20:C2242""), 1,false)"),"ALT_DENUM_UOM3")</f>
        <v>ALT_DENUM_UOM3</v>
      </c>
      <c r="I9168" s="136"/>
      <c r="R9168" s="63" t="str">
        <f t="shared" si="60"/>
        <v>ZSI1_ELECTRONICSALT_DENUM_UOM3</v>
      </c>
    </row>
    <row r="9169" ht="15.75" customHeight="1">
      <c r="B9169" s="63">
        <f t="shared" si="1"/>
        <v>16</v>
      </c>
      <c r="C9169" s="135" t="s">
        <v>355</v>
      </c>
      <c r="D9169" s="161" t="s">
        <v>74</v>
      </c>
      <c r="E9169" s="135">
        <f t="shared" si="62"/>
        <v>26</v>
      </c>
      <c r="F9169" s="134" t="s">
        <v>3812</v>
      </c>
      <c r="G9169" s="63" t="str">
        <f>VLOOKUP(C9169, 'Class Def. - General Data'!$C$20:$C$1000,1,false)</f>
        <v>ZSI1_ELECTRONICS</v>
      </c>
      <c r="H9169" s="63" t="str">
        <f>IFERROR(__xludf.DUMMYFUNCTION("VLOOKUP(F9169, IMPORTRANGE(""https://docs.google.com/spreadsheets/d/1Lhp9OU0JdFf_VYSMzH5lBcEaU4o8teT1piV-SNzShjg/edit?gid=554141278#gid=554141278"", ""'Char Def. - Attributes'!C20:C2242""), 1,false)"),"ALT_NUM_UOM3")</f>
        <v>ALT_NUM_UOM3</v>
      </c>
      <c r="I9169" s="136"/>
      <c r="R9169" s="63" t="str">
        <f t="shared" si="60"/>
        <v>ZSI1_ELECTRONICSALT_NUM_UOM3</v>
      </c>
    </row>
    <row r="9170" ht="15.75" customHeight="1">
      <c r="B9170" s="63">
        <f t="shared" si="1"/>
        <v>16</v>
      </c>
      <c r="C9170" s="135" t="s">
        <v>355</v>
      </c>
      <c r="D9170" s="161" t="s">
        <v>74</v>
      </c>
      <c r="E9170" s="135">
        <f t="shared" si="62"/>
        <v>27</v>
      </c>
      <c r="F9170" s="134" t="s">
        <v>3813</v>
      </c>
      <c r="G9170" s="63" t="str">
        <f>VLOOKUP(C9170, 'Class Def. - General Data'!$C$20:$C$1000,1,false)</f>
        <v>ZSI1_ELECTRONICS</v>
      </c>
      <c r="H9170" s="63" t="str">
        <f>IFERROR(__xludf.DUMMYFUNCTION("VLOOKUP(F9170, IMPORTRANGE(""https://docs.google.com/spreadsheets/d/1Lhp9OU0JdFf_VYSMzH5lBcEaU4o8teT1piV-SNzShjg/edit?gid=554141278#gid=554141278"", ""'Char Def. - Attributes'!C20:C2242""), 1,false)"),"ALT_UOM4_SIPI")</f>
        <v>ALT_UOM4_SIPI</v>
      </c>
      <c r="I9170" s="136"/>
      <c r="R9170" s="63" t="str">
        <f t="shared" si="60"/>
        <v>ZSI1_ELECTRONICSALT_UOM4_SIPI</v>
      </c>
    </row>
    <row r="9171" ht="15.75" customHeight="1">
      <c r="B9171" s="63">
        <f t="shared" si="1"/>
        <v>16</v>
      </c>
      <c r="C9171" s="135" t="s">
        <v>355</v>
      </c>
      <c r="D9171" s="161" t="s">
        <v>74</v>
      </c>
      <c r="E9171" s="135">
        <f t="shared" si="62"/>
        <v>28</v>
      </c>
      <c r="F9171" s="134" t="s">
        <v>3814</v>
      </c>
      <c r="G9171" s="63" t="str">
        <f>VLOOKUP(C9171, 'Class Def. - General Data'!$C$20:$C$1000,1,false)</f>
        <v>ZSI1_ELECTRONICS</v>
      </c>
      <c r="H9171" s="63" t="str">
        <f>IFERROR(__xludf.DUMMYFUNCTION("VLOOKUP(F9171, IMPORTRANGE(""https://docs.google.com/spreadsheets/d/1Lhp9OU0JdFf_VYSMzH5lBcEaU4o8teT1piV-SNzShjg/edit?gid=554141278#gid=554141278"", ""'Char Def. - Attributes'!C20:C2242""), 1,false)"),"ALT_DENUM_UOM4")</f>
        <v>ALT_DENUM_UOM4</v>
      </c>
      <c r="I9171" s="136"/>
      <c r="R9171" s="63" t="str">
        <f t="shared" si="60"/>
        <v>ZSI1_ELECTRONICSALT_DENUM_UOM4</v>
      </c>
    </row>
    <row r="9172" ht="15.75" customHeight="1">
      <c r="B9172" s="63">
        <f t="shared" si="1"/>
        <v>16</v>
      </c>
      <c r="C9172" s="135" t="s">
        <v>355</v>
      </c>
      <c r="D9172" s="161" t="s">
        <v>74</v>
      </c>
      <c r="E9172" s="135">
        <f t="shared" si="62"/>
        <v>29</v>
      </c>
      <c r="F9172" s="134" t="s">
        <v>3815</v>
      </c>
      <c r="G9172" s="63" t="str">
        <f>VLOOKUP(C9172, 'Class Def. - General Data'!$C$20:$C$1000,1,false)</f>
        <v>ZSI1_ELECTRONICS</v>
      </c>
      <c r="H9172" s="63" t="str">
        <f>IFERROR(__xludf.DUMMYFUNCTION("VLOOKUP(F9172, IMPORTRANGE(""https://docs.google.com/spreadsheets/d/1Lhp9OU0JdFf_VYSMzH5lBcEaU4o8teT1piV-SNzShjg/edit?gid=554141278#gid=554141278"", ""'Char Def. - Attributes'!C20:C2242""), 1,false)"),"ALT_NUM_UOM4")</f>
        <v>ALT_NUM_UOM4</v>
      </c>
      <c r="I9172" s="136"/>
      <c r="R9172" s="63" t="str">
        <f t="shared" si="60"/>
        <v>ZSI1_ELECTRONICSALT_NUM_UOM4</v>
      </c>
    </row>
    <row r="9173" ht="15.75" customHeight="1">
      <c r="B9173" s="63">
        <f t="shared" si="1"/>
        <v>16</v>
      </c>
      <c r="C9173" s="135" t="s">
        <v>355</v>
      </c>
      <c r="D9173" s="161" t="s">
        <v>74</v>
      </c>
      <c r="E9173" s="135">
        <f t="shared" si="62"/>
        <v>30</v>
      </c>
      <c r="F9173" s="134" t="s">
        <v>3816</v>
      </c>
      <c r="G9173" s="63" t="str">
        <f>VLOOKUP(C9173, 'Class Def. - General Data'!$C$20:$C$1000,1,false)</f>
        <v>ZSI1_ELECTRONICS</v>
      </c>
      <c r="H9173" s="63" t="str">
        <f>IFERROR(__xludf.DUMMYFUNCTION("VLOOKUP(F9173, IMPORTRANGE(""https://docs.google.com/spreadsheets/d/1Lhp9OU0JdFf_VYSMzH5lBcEaU4o8teT1piV-SNzShjg/edit?gid=554141278#gid=554141278"", ""'Char Def. - Attributes'!C20:C2242""), 1,false)"),"ALT_UOM5_SIPI")</f>
        <v>ALT_UOM5_SIPI</v>
      </c>
      <c r="I9173" s="136"/>
      <c r="R9173" s="63" t="str">
        <f t="shared" si="60"/>
        <v>ZSI1_ELECTRONICSALT_UOM5_SIPI</v>
      </c>
    </row>
    <row r="9174" ht="15.75" customHeight="1">
      <c r="B9174" s="63">
        <f t="shared" si="1"/>
        <v>16</v>
      </c>
      <c r="C9174" s="135" t="s">
        <v>355</v>
      </c>
      <c r="D9174" s="161" t="s">
        <v>74</v>
      </c>
      <c r="E9174" s="135">
        <f t="shared" si="62"/>
        <v>31</v>
      </c>
      <c r="F9174" s="134" t="s">
        <v>3817</v>
      </c>
      <c r="G9174" s="63" t="str">
        <f>VLOOKUP(C9174, 'Class Def. - General Data'!$C$20:$C$1000,1,false)</f>
        <v>ZSI1_ELECTRONICS</v>
      </c>
      <c r="H9174" s="63" t="str">
        <f>IFERROR(__xludf.DUMMYFUNCTION("VLOOKUP(F9174, IMPORTRANGE(""https://docs.google.com/spreadsheets/d/1Lhp9OU0JdFf_VYSMzH5lBcEaU4o8teT1piV-SNzShjg/edit?gid=554141278#gid=554141278"", ""'Char Def. - Attributes'!C20:C2242""), 1,false)"),"ALT_DENUM_UOM5")</f>
        <v>ALT_DENUM_UOM5</v>
      </c>
      <c r="I9174" s="136"/>
      <c r="R9174" s="63" t="str">
        <f t="shared" si="60"/>
        <v>ZSI1_ELECTRONICSALT_DENUM_UOM5</v>
      </c>
    </row>
    <row r="9175" ht="15.75" customHeight="1">
      <c r="B9175" s="63">
        <f t="shared" si="1"/>
        <v>16</v>
      </c>
      <c r="C9175" s="135" t="s">
        <v>355</v>
      </c>
      <c r="D9175" s="161" t="s">
        <v>74</v>
      </c>
      <c r="E9175" s="135">
        <f t="shared" si="62"/>
        <v>32</v>
      </c>
      <c r="F9175" s="134" t="s">
        <v>3818</v>
      </c>
      <c r="G9175" s="63" t="str">
        <f>VLOOKUP(C9175, 'Class Def. - General Data'!$C$20:$C$1000,1,false)</f>
        <v>ZSI1_ELECTRONICS</v>
      </c>
      <c r="H9175" s="63" t="str">
        <f>IFERROR(__xludf.DUMMYFUNCTION("VLOOKUP(F9175, IMPORTRANGE(""https://docs.google.com/spreadsheets/d/1Lhp9OU0JdFf_VYSMzH5lBcEaU4o8teT1piV-SNzShjg/edit?gid=554141278#gid=554141278"", ""'Char Def. - Attributes'!C20:C2242""), 1,false)"),"ALT_NUM_UOM5")</f>
        <v>ALT_NUM_UOM5</v>
      </c>
      <c r="I9175" s="136"/>
      <c r="R9175" s="63" t="str">
        <f t="shared" si="60"/>
        <v>ZSI1_ELECTRONICSALT_NUM_UOM5</v>
      </c>
    </row>
    <row r="9176" ht="15.75" customHeight="1">
      <c r="B9176" s="63">
        <f t="shared" si="1"/>
        <v>13</v>
      </c>
      <c r="C9176" s="135" t="s">
        <v>387</v>
      </c>
      <c r="D9176" s="161" t="s">
        <v>74</v>
      </c>
      <c r="E9176" s="135">
        <f t="shared" si="62"/>
        <v>1</v>
      </c>
      <c r="F9176" s="134" t="s">
        <v>4488</v>
      </c>
      <c r="G9176" s="63" t="str">
        <f>VLOOKUP(C9176, 'Class Def. - General Data'!$C$20:$C$1000,1,false)</f>
        <v>ZSI1_END_MILL</v>
      </c>
      <c r="H9176" s="63" t="str">
        <f>IFERROR(__xludf.DUMMYFUNCTION("VLOOKUP(F9176, IMPORTRANGE(""https://docs.google.com/spreadsheets/d/1Lhp9OU0JdFf_VYSMzH5lBcEaU4o8teT1piV-SNzShjg/edit?gid=554141278#gid=554141278"", ""'Char Def. - Attributes'!C20:C2242""), 1,false)"),"ITEM_NAME_END_MILL")</f>
        <v>ITEM_NAME_END_MILL</v>
      </c>
      <c r="I9176" s="136"/>
      <c r="R9176" s="63" t="str">
        <f t="shared" si="60"/>
        <v>ZSI1_END_MILLITEM_NAME_END_MILL</v>
      </c>
    </row>
    <row r="9177" ht="15.75" customHeight="1">
      <c r="B9177" s="63">
        <f t="shared" si="1"/>
        <v>13</v>
      </c>
      <c r="C9177" s="135" t="s">
        <v>387</v>
      </c>
      <c r="D9177" s="161" t="s">
        <v>74</v>
      </c>
      <c r="E9177" s="135">
        <f t="shared" si="62"/>
        <v>2</v>
      </c>
      <c r="F9177" s="134" t="s">
        <v>4489</v>
      </c>
      <c r="G9177" s="63" t="str">
        <f>VLOOKUP(C9177, 'Class Def. - General Data'!$C$20:$C$1000,1,false)</f>
        <v>ZSI1_END_MILL</v>
      </c>
      <c r="H9177" s="63" t="str">
        <f>IFERROR(__xludf.DUMMYFUNCTION("VLOOKUP(F9177, IMPORTRANGE(""https://docs.google.com/spreadsheets/d/1Lhp9OU0JdFf_VYSMzH5lBcEaU4o8teT1piV-SNzShjg/edit?gid=554141278#gid=554141278"", ""'Char Def. - Attributes'!C20:C2242""), 1,false)"),"MATERIAL_END_MILL")</f>
        <v>MATERIAL_END_MILL</v>
      </c>
      <c r="I9177" s="136"/>
      <c r="R9177" s="63" t="str">
        <f t="shared" si="60"/>
        <v>ZSI1_END_MILLMATERIAL_END_MILL</v>
      </c>
    </row>
    <row r="9178" ht="15.75" customHeight="1">
      <c r="B9178" s="63">
        <f t="shared" si="1"/>
        <v>13</v>
      </c>
      <c r="C9178" s="135" t="s">
        <v>387</v>
      </c>
      <c r="D9178" s="161" t="s">
        <v>74</v>
      </c>
      <c r="E9178" s="135">
        <f t="shared" si="62"/>
        <v>3</v>
      </c>
      <c r="F9178" s="134" t="s">
        <v>4490</v>
      </c>
      <c r="G9178" s="63" t="str">
        <f>VLOOKUP(C9178, 'Class Def. - General Data'!$C$20:$C$1000,1,false)</f>
        <v>ZSI1_END_MILL</v>
      </c>
      <c r="H9178" s="63" t="str">
        <f>IFERROR(__xludf.DUMMYFUNCTION("VLOOKUP(F9178, IMPORTRANGE(""https://docs.google.com/spreadsheets/d/1Lhp9OU0JdFf_VYSMzH5lBcEaU4o8teT1piV-SNzShjg/edit?gid=554141278#gid=554141278"", ""'Char Def. - Attributes'!C20:C2242""), 1,false)"),"CUTTING_DIAMETER_END_MILL")</f>
        <v>CUTTING_DIAMETER_END_MILL</v>
      </c>
      <c r="I9178" s="136"/>
      <c r="R9178" s="63" t="str">
        <f t="shared" si="60"/>
        <v>ZSI1_END_MILLCUTTING_DIAMETER_END_MILL</v>
      </c>
    </row>
    <row r="9179" ht="15.75" customHeight="1">
      <c r="B9179" s="63">
        <f t="shared" si="1"/>
        <v>13</v>
      </c>
      <c r="C9179" s="135" t="s">
        <v>387</v>
      </c>
      <c r="D9179" s="161" t="s">
        <v>74</v>
      </c>
      <c r="E9179" s="135">
        <f t="shared" si="62"/>
        <v>4</v>
      </c>
      <c r="F9179" s="134" t="s">
        <v>4491</v>
      </c>
      <c r="G9179" s="63" t="str">
        <f>VLOOKUP(C9179, 'Class Def. - General Data'!$C$20:$C$1000,1,false)</f>
        <v>ZSI1_END_MILL</v>
      </c>
      <c r="H9179" s="63" t="str">
        <f>IFERROR(__xludf.DUMMYFUNCTION("VLOOKUP(F9179, IMPORTRANGE(""https://docs.google.com/spreadsheets/d/1Lhp9OU0JdFf_VYSMzH5lBcEaU4o8teT1piV-SNzShjg/edit?gid=554141278#gid=554141278"", ""'Char Def. - Attributes'!C20:C2242""), 1,false)"),"MFR_NO_END_MILL")</f>
        <v>MFR_NO_END_MILL</v>
      </c>
      <c r="I9179" s="136"/>
      <c r="R9179" s="63" t="str">
        <f t="shared" si="60"/>
        <v>ZSI1_END_MILLMFR_NO_END_MILL</v>
      </c>
    </row>
    <row r="9180" ht="15.75" customHeight="1">
      <c r="B9180" s="63">
        <f t="shared" si="1"/>
        <v>13</v>
      </c>
      <c r="C9180" s="135" t="s">
        <v>387</v>
      </c>
      <c r="D9180" s="161" t="s">
        <v>74</v>
      </c>
      <c r="E9180" s="135">
        <f t="shared" si="62"/>
        <v>5</v>
      </c>
      <c r="F9180" s="134" t="s">
        <v>3782</v>
      </c>
      <c r="G9180" s="63" t="str">
        <f>VLOOKUP(C9180, 'Class Def. - General Data'!$C$20:$C$1000,1,false)</f>
        <v>ZSI1_END_MILL</v>
      </c>
      <c r="H9180" s="63" t="str">
        <f>IFERROR(__xludf.DUMMYFUNCTION("VLOOKUP(F9180, IMPORTRANGE(""https://docs.google.com/spreadsheets/d/1Lhp9OU0JdFf_VYSMzH5lBcEaU4o8teT1piV-SNzShjg/edit?gid=554141278#gid=554141278"", ""'Char Def. - Attributes'!C20:C2242""), 1,false)"),"BRAND_EXTERNAL")</f>
        <v>BRAND_EXTERNAL</v>
      </c>
      <c r="I9180" s="136"/>
      <c r="R9180" s="63" t="str">
        <f t="shared" si="60"/>
        <v>ZSI1_END_MILLBRAND_EXTERNAL</v>
      </c>
    </row>
    <row r="9181" ht="15.75" customHeight="1">
      <c r="B9181" s="63">
        <f t="shared" si="1"/>
        <v>13</v>
      </c>
      <c r="C9181" s="135" t="s">
        <v>387</v>
      </c>
      <c r="D9181" s="161" t="s">
        <v>74</v>
      </c>
      <c r="E9181" s="135">
        <f t="shared" si="62"/>
        <v>6</v>
      </c>
      <c r="F9181" s="134" t="s">
        <v>3585</v>
      </c>
      <c r="G9181" s="63" t="str">
        <f>VLOOKUP(C9181, 'Class Def. - General Data'!$C$20:$C$1000,1,false)</f>
        <v>ZSI1_END_MILL</v>
      </c>
      <c r="H9181" s="63" t="str">
        <f>IFERROR(__xludf.DUMMYFUNCTION("VLOOKUP(F9181, IMPORTRANGE(""https://docs.google.com/spreadsheets/d/1Lhp9OU0JdFf_VYSMzH5lBcEaU4o8teT1piV-SNzShjg/edit?gid=554141278#gid=554141278"", ""'Char Def. - Attributes'!C20:C2242""), 1,false)"),"HS_CODE")</f>
        <v>HS_CODE</v>
      </c>
      <c r="I9181" s="136"/>
      <c r="R9181" s="63" t="str">
        <f t="shared" si="60"/>
        <v>ZSI1_END_MILLHS_CODE</v>
      </c>
    </row>
    <row r="9182" ht="15.75" customHeight="1">
      <c r="B9182" s="63">
        <f t="shared" si="1"/>
        <v>13</v>
      </c>
      <c r="C9182" s="135" t="s">
        <v>387</v>
      </c>
      <c r="D9182" s="161" t="s">
        <v>74</v>
      </c>
      <c r="E9182" s="135">
        <f t="shared" si="62"/>
        <v>7</v>
      </c>
      <c r="F9182" s="134" t="s">
        <v>3587</v>
      </c>
      <c r="G9182" s="63" t="str">
        <f>VLOOKUP(C9182, 'Class Def. - General Data'!$C$20:$C$1000,1,false)</f>
        <v>ZSI1_END_MILL</v>
      </c>
      <c r="H9182" s="63" t="str">
        <f>IFERROR(__xludf.DUMMYFUNCTION("VLOOKUP(F9182, IMPORTRANGE(""https://docs.google.com/spreadsheets/d/1Lhp9OU0JdFf_VYSMzH5lBcEaU4o8teT1piV-SNzShjg/edit?gid=554141278#gid=554141278"", ""'Char Def. - Attributes'!C20:C2242""), 1,false)"),"PLANT_BUY")</f>
        <v>PLANT_BUY</v>
      </c>
      <c r="I9182" s="136"/>
      <c r="R9182" s="63" t="str">
        <f t="shared" si="60"/>
        <v>ZSI1_END_MILLPLANT_BUY</v>
      </c>
    </row>
    <row r="9183" ht="15.75" customHeight="1">
      <c r="B9183" s="63">
        <f t="shared" si="1"/>
        <v>13</v>
      </c>
      <c r="C9183" s="135" t="s">
        <v>387</v>
      </c>
      <c r="D9183" s="161" t="s">
        <v>74</v>
      </c>
      <c r="E9183" s="135">
        <f t="shared" si="62"/>
        <v>8</v>
      </c>
      <c r="F9183" s="134" t="s">
        <v>4492</v>
      </c>
      <c r="G9183" s="63" t="str">
        <f>VLOOKUP(C9183, 'Class Def. - General Data'!$C$20:$C$1000,1,false)</f>
        <v>ZSI1_END_MILL</v>
      </c>
      <c r="H9183" s="63" t="str">
        <f>IFERROR(__xludf.DUMMYFUNCTION("VLOOKUP(F9183, IMPORTRANGE(""https://docs.google.com/spreadsheets/d/1Lhp9OU0JdFf_VYSMzH5lBcEaU4o8teT1piV-SNzShjg/edit?gid=554141278#gid=554141278"", ""'Char Def. - Attributes'!C20:C2242""), 1,false)"),"BASE_UOM_END_MILL")</f>
        <v>BASE_UOM_END_MILL</v>
      </c>
      <c r="I9183" s="136"/>
      <c r="R9183" s="63" t="str">
        <f t="shared" si="60"/>
        <v>ZSI1_END_MILLBASE_UOM_END_MILL</v>
      </c>
    </row>
    <row r="9184" ht="15.75" customHeight="1">
      <c r="B9184" s="63">
        <f t="shared" si="1"/>
        <v>13</v>
      </c>
      <c r="C9184" s="135" t="s">
        <v>387</v>
      </c>
      <c r="D9184" s="161" t="s">
        <v>74</v>
      </c>
      <c r="E9184" s="135">
        <f t="shared" si="62"/>
        <v>9</v>
      </c>
      <c r="F9184" s="134" t="s">
        <v>4493</v>
      </c>
      <c r="G9184" s="63" t="str">
        <f>VLOOKUP(C9184, 'Class Def. - General Data'!$C$20:$C$1000,1,false)</f>
        <v>ZSI1_END_MILL</v>
      </c>
      <c r="H9184" s="63" t="str">
        <f>IFERROR(__xludf.DUMMYFUNCTION("VLOOKUP(F9184, IMPORTRANGE(""https://docs.google.com/spreadsheets/d/1Lhp9OU0JdFf_VYSMzH5lBcEaU4o8teT1piV-SNzShjg/edit?gid=554141278#gid=554141278"", ""'Char Def. - Attributes'!C20:C2242""), 1,false)"),"ORDER_UNIT_END_MILL")</f>
        <v>ORDER_UNIT_END_MILL</v>
      </c>
      <c r="I9184" s="136"/>
      <c r="R9184" s="63" t="str">
        <f t="shared" si="60"/>
        <v>ZSI1_END_MILLORDER_UNIT_END_MILL</v>
      </c>
    </row>
    <row r="9185" ht="15.75" customHeight="1">
      <c r="B9185" s="63">
        <f t="shared" si="1"/>
        <v>13</v>
      </c>
      <c r="C9185" s="135" t="s">
        <v>387</v>
      </c>
      <c r="D9185" s="161" t="s">
        <v>74</v>
      </c>
      <c r="E9185" s="135">
        <f t="shared" si="62"/>
        <v>10</v>
      </c>
      <c r="F9185" s="134" t="s">
        <v>4056</v>
      </c>
      <c r="G9185" s="63" t="str">
        <f>VLOOKUP(C9185, 'Class Def. - General Data'!$C$20:$C$1000,1,false)</f>
        <v>ZSI1_END_MILL</v>
      </c>
      <c r="H9185" s="63" t="str">
        <f>IFERROR(__xludf.DUMMYFUNCTION("VLOOKUP(F9185, IMPORTRANGE(""https://docs.google.com/spreadsheets/d/1Lhp9OU0JdFf_VYSMzH5lBcEaU4o8teT1piV-SNzShjg/edit?gid=554141278#gid=554141278"", ""'Char Def. - Attributes'!C20:C2242""), 1,false)"),"GROSS_WEIGHT_OPT")</f>
        <v>GROSS_WEIGHT_OPT</v>
      </c>
      <c r="I9185" s="136"/>
      <c r="R9185" s="63" t="str">
        <f t="shared" si="60"/>
        <v>ZSI1_END_MILLGROSS_WEIGHT_OPT</v>
      </c>
    </row>
    <row r="9186" ht="15.75" customHeight="1">
      <c r="B9186" s="63">
        <f t="shared" si="1"/>
        <v>13</v>
      </c>
      <c r="C9186" s="135" t="s">
        <v>387</v>
      </c>
      <c r="D9186" s="161" t="s">
        <v>74</v>
      </c>
      <c r="E9186" s="135">
        <f t="shared" si="62"/>
        <v>11</v>
      </c>
      <c r="F9186" s="134" t="s">
        <v>4057</v>
      </c>
      <c r="G9186" s="63" t="str">
        <f>VLOOKUP(C9186, 'Class Def. - General Data'!$C$20:$C$1000,1,false)</f>
        <v>ZSI1_END_MILL</v>
      </c>
      <c r="H9186" s="63" t="str">
        <f>IFERROR(__xludf.DUMMYFUNCTION("VLOOKUP(F9186, IMPORTRANGE(""https://docs.google.com/spreadsheets/d/1Lhp9OU0JdFf_VYSMzH5lBcEaU4o8teT1piV-SNzShjg/edit?gid=554141278#gid=554141278"", ""'Char Def. - Attributes'!C20:C2242""), 1,false)"),"NET_WEIGHT_OPT")</f>
        <v>NET_WEIGHT_OPT</v>
      </c>
      <c r="I9186" s="136"/>
      <c r="R9186" s="63" t="str">
        <f t="shared" si="60"/>
        <v>ZSI1_END_MILLNET_WEIGHT_OPT</v>
      </c>
    </row>
    <row r="9187" ht="15.75" customHeight="1">
      <c r="B9187" s="63">
        <f t="shared" si="1"/>
        <v>13</v>
      </c>
      <c r="C9187" s="135" t="s">
        <v>387</v>
      </c>
      <c r="D9187" s="161" t="s">
        <v>74</v>
      </c>
      <c r="E9187" s="135">
        <f t="shared" si="62"/>
        <v>12</v>
      </c>
      <c r="F9187" s="134" t="s">
        <v>4058</v>
      </c>
      <c r="G9187" s="63" t="str">
        <f>VLOOKUP(C9187, 'Class Def. - General Data'!$C$20:$C$1000,1,false)</f>
        <v>ZSI1_END_MILL</v>
      </c>
      <c r="H9187" s="63" t="str">
        <f>IFERROR(__xludf.DUMMYFUNCTION("VLOOKUP(F9187, IMPORTRANGE(""https://docs.google.com/spreadsheets/d/1Lhp9OU0JdFf_VYSMzH5lBcEaU4o8teT1piV-SNzShjg/edit?gid=554141278#gid=554141278"", ""'Char Def. - Attributes'!C20:C2242""), 1,false)"),"WEIGHT_UNIT_SI")</f>
        <v>WEIGHT_UNIT_SI</v>
      </c>
      <c r="I9187" s="136"/>
      <c r="R9187" s="63" t="str">
        <f t="shared" si="60"/>
        <v>ZSI1_END_MILLWEIGHT_UNIT_SI</v>
      </c>
    </row>
    <row r="9188" ht="15.75" customHeight="1">
      <c r="B9188" s="63">
        <f t="shared" si="1"/>
        <v>13</v>
      </c>
      <c r="C9188" s="135" t="s">
        <v>387</v>
      </c>
      <c r="D9188" s="161" t="s">
        <v>74</v>
      </c>
      <c r="E9188" s="135">
        <f t="shared" si="62"/>
        <v>13</v>
      </c>
      <c r="F9188" s="134" t="s">
        <v>3877</v>
      </c>
      <c r="G9188" s="63" t="str">
        <f>VLOOKUP(C9188, 'Class Def. - General Data'!$C$20:$C$1000,1,false)</f>
        <v>ZSI1_END_MILL</v>
      </c>
      <c r="H9188" s="63" t="str">
        <f>IFERROR(__xludf.DUMMYFUNCTION("VLOOKUP(F9188, IMPORTRANGE(""https://docs.google.com/spreadsheets/d/1Lhp9OU0JdFf_VYSMzH5lBcEaU4o8teT1piV-SNzShjg/edit?gid=554141278#gid=554141278"", ""'Char Def. - Attributes'!C20:C2242""), 1,false)"),"VOLUME_OPT")</f>
        <v>VOLUME_OPT</v>
      </c>
      <c r="I9188" s="136"/>
      <c r="R9188" s="63" t="str">
        <f t="shared" si="60"/>
        <v>ZSI1_END_MILLVOLUME_OPT</v>
      </c>
    </row>
    <row r="9189" ht="15.75" customHeight="1">
      <c r="B9189" s="63">
        <f t="shared" si="1"/>
        <v>13</v>
      </c>
      <c r="C9189" s="135" t="s">
        <v>387</v>
      </c>
      <c r="D9189" s="161" t="s">
        <v>74</v>
      </c>
      <c r="E9189" s="135">
        <f t="shared" si="62"/>
        <v>14</v>
      </c>
      <c r="F9189" s="134" t="s">
        <v>4059</v>
      </c>
      <c r="G9189" s="63" t="str">
        <f>VLOOKUP(C9189, 'Class Def. - General Data'!$C$20:$C$1000,1,false)</f>
        <v>ZSI1_END_MILL</v>
      </c>
      <c r="H9189" s="63" t="str">
        <f>IFERROR(__xludf.DUMMYFUNCTION("VLOOKUP(F9189, IMPORTRANGE(""https://docs.google.com/spreadsheets/d/1Lhp9OU0JdFf_VYSMzH5lBcEaU4o8teT1piV-SNzShjg/edit?gid=554141278#gid=554141278"", ""'Char Def. - Attributes'!C20:C2242""), 1,false)"),"VOLUME_UNIT_SI")</f>
        <v>VOLUME_UNIT_SI</v>
      </c>
      <c r="I9189" s="136"/>
      <c r="R9189" s="63" t="str">
        <f t="shared" si="60"/>
        <v>ZSI1_END_MILLVOLUME_UNIT_SI</v>
      </c>
    </row>
    <row r="9190" ht="15.75" customHeight="1">
      <c r="B9190" s="63">
        <f t="shared" si="1"/>
        <v>13</v>
      </c>
      <c r="C9190" s="135" t="s">
        <v>387</v>
      </c>
      <c r="D9190" s="161" t="s">
        <v>74</v>
      </c>
      <c r="E9190" s="135">
        <f t="shared" si="62"/>
        <v>15</v>
      </c>
      <c r="F9190" s="134" t="s">
        <v>3804</v>
      </c>
      <c r="G9190" s="63" t="str">
        <f>VLOOKUP(C9190, 'Class Def. - General Data'!$C$20:$C$1000,1,false)</f>
        <v>ZSI1_END_MILL</v>
      </c>
      <c r="H9190" s="63" t="str">
        <f>IFERROR(__xludf.DUMMYFUNCTION("VLOOKUP(F9190, IMPORTRANGE(""https://docs.google.com/spreadsheets/d/1Lhp9OU0JdFf_VYSMzH5lBcEaU4o8teT1piV-SNzShjg/edit?gid=554141278#gid=554141278"", ""'Char Def. - Attributes'!C20:C2242""), 1,false)"),"ALT_UOM1_SIPI")</f>
        <v>ALT_UOM1_SIPI</v>
      </c>
      <c r="I9190" s="136"/>
      <c r="R9190" s="63" t="str">
        <f t="shared" si="60"/>
        <v>ZSI1_END_MILLALT_UOM1_SIPI</v>
      </c>
    </row>
    <row r="9191" ht="15.75" customHeight="1">
      <c r="B9191" s="63">
        <f t="shared" si="1"/>
        <v>13</v>
      </c>
      <c r="C9191" s="135" t="s">
        <v>387</v>
      </c>
      <c r="D9191" s="161" t="s">
        <v>74</v>
      </c>
      <c r="E9191" s="135">
        <f t="shared" si="62"/>
        <v>16</v>
      </c>
      <c r="F9191" s="134" t="s">
        <v>3805</v>
      </c>
      <c r="G9191" s="63" t="str">
        <f>VLOOKUP(C9191, 'Class Def. - General Data'!$C$20:$C$1000,1,false)</f>
        <v>ZSI1_END_MILL</v>
      </c>
      <c r="H9191" s="63" t="str">
        <f>IFERROR(__xludf.DUMMYFUNCTION("VLOOKUP(F9191, IMPORTRANGE(""https://docs.google.com/spreadsheets/d/1Lhp9OU0JdFf_VYSMzH5lBcEaU4o8teT1piV-SNzShjg/edit?gid=554141278#gid=554141278"", ""'Char Def. - Attributes'!C20:C2242""), 1,false)"),"ALT_DENUM_UOM1")</f>
        <v>ALT_DENUM_UOM1</v>
      </c>
      <c r="I9191" s="136"/>
      <c r="R9191" s="63" t="str">
        <f t="shared" si="60"/>
        <v>ZSI1_END_MILLALT_DENUM_UOM1</v>
      </c>
    </row>
    <row r="9192" ht="15.75" customHeight="1">
      <c r="B9192" s="63">
        <f t="shared" si="1"/>
        <v>13</v>
      </c>
      <c r="C9192" s="135" t="s">
        <v>387</v>
      </c>
      <c r="D9192" s="161" t="s">
        <v>74</v>
      </c>
      <c r="E9192" s="135">
        <f t="shared" si="62"/>
        <v>17</v>
      </c>
      <c r="F9192" s="134" t="s">
        <v>3806</v>
      </c>
      <c r="G9192" s="63" t="str">
        <f>VLOOKUP(C9192, 'Class Def. - General Data'!$C$20:$C$1000,1,false)</f>
        <v>ZSI1_END_MILL</v>
      </c>
      <c r="H9192" s="63" t="str">
        <f>IFERROR(__xludf.DUMMYFUNCTION("VLOOKUP(F9192, IMPORTRANGE(""https://docs.google.com/spreadsheets/d/1Lhp9OU0JdFf_VYSMzH5lBcEaU4o8teT1piV-SNzShjg/edit?gid=554141278#gid=554141278"", ""'Char Def. - Attributes'!C20:C2242""), 1,false)"),"ALT_NUM_UOM1")</f>
        <v>ALT_NUM_UOM1</v>
      </c>
      <c r="I9192" s="136"/>
      <c r="R9192" s="63" t="str">
        <f t="shared" si="60"/>
        <v>ZSI1_END_MILLALT_NUM_UOM1</v>
      </c>
    </row>
    <row r="9193" ht="15.75" customHeight="1">
      <c r="B9193" s="63">
        <f t="shared" si="1"/>
        <v>13</v>
      </c>
      <c r="C9193" s="135" t="s">
        <v>387</v>
      </c>
      <c r="D9193" s="161" t="s">
        <v>74</v>
      </c>
      <c r="E9193" s="135">
        <f t="shared" si="62"/>
        <v>18</v>
      </c>
      <c r="F9193" s="134" t="s">
        <v>3807</v>
      </c>
      <c r="G9193" s="63" t="str">
        <f>VLOOKUP(C9193, 'Class Def. - General Data'!$C$20:$C$1000,1,false)</f>
        <v>ZSI1_END_MILL</v>
      </c>
      <c r="H9193" s="63" t="str">
        <f>IFERROR(__xludf.DUMMYFUNCTION("VLOOKUP(F9193, IMPORTRANGE(""https://docs.google.com/spreadsheets/d/1Lhp9OU0JdFf_VYSMzH5lBcEaU4o8teT1piV-SNzShjg/edit?gid=554141278#gid=554141278"", ""'Char Def. - Attributes'!C20:C2242""), 1,false)"),"ALT_UOM2_SIPI")</f>
        <v>ALT_UOM2_SIPI</v>
      </c>
      <c r="I9193" s="136"/>
      <c r="R9193" s="63" t="str">
        <f t="shared" si="60"/>
        <v>ZSI1_END_MILLALT_UOM2_SIPI</v>
      </c>
    </row>
    <row r="9194" ht="15.75" customHeight="1">
      <c r="B9194" s="63">
        <f t="shared" si="1"/>
        <v>13</v>
      </c>
      <c r="C9194" s="135" t="s">
        <v>387</v>
      </c>
      <c r="D9194" s="161" t="s">
        <v>74</v>
      </c>
      <c r="E9194" s="135">
        <f t="shared" si="62"/>
        <v>19</v>
      </c>
      <c r="F9194" s="134" t="s">
        <v>3808</v>
      </c>
      <c r="G9194" s="63" t="str">
        <f>VLOOKUP(C9194, 'Class Def. - General Data'!$C$20:$C$1000,1,false)</f>
        <v>ZSI1_END_MILL</v>
      </c>
      <c r="H9194" s="63" t="str">
        <f>IFERROR(__xludf.DUMMYFUNCTION("VLOOKUP(F9194, IMPORTRANGE(""https://docs.google.com/spreadsheets/d/1Lhp9OU0JdFf_VYSMzH5lBcEaU4o8teT1piV-SNzShjg/edit?gid=554141278#gid=554141278"", ""'Char Def. - Attributes'!C20:C2242""), 1,false)"),"ALT_DENUM_UOM2")</f>
        <v>ALT_DENUM_UOM2</v>
      </c>
      <c r="I9194" s="136"/>
      <c r="R9194" s="63" t="str">
        <f t="shared" si="60"/>
        <v>ZSI1_END_MILLALT_DENUM_UOM2</v>
      </c>
    </row>
    <row r="9195" ht="15.75" customHeight="1">
      <c r="B9195" s="63">
        <f t="shared" si="1"/>
        <v>13</v>
      </c>
      <c r="C9195" s="135" t="s">
        <v>387</v>
      </c>
      <c r="D9195" s="161" t="s">
        <v>74</v>
      </c>
      <c r="E9195" s="135">
        <f t="shared" si="62"/>
        <v>20</v>
      </c>
      <c r="F9195" s="134" t="s">
        <v>3809</v>
      </c>
      <c r="G9195" s="63" t="str">
        <f>VLOOKUP(C9195, 'Class Def. - General Data'!$C$20:$C$1000,1,false)</f>
        <v>ZSI1_END_MILL</v>
      </c>
      <c r="H9195" s="63" t="str">
        <f>IFERROR(__xludf.DUMMYFUNCTION("VLOOKUP(F9195, IMPORTRANGE(""https://docs.google.com/spreadsheets/d/1Lhp9OU0JdFf_VYSMzH5lBcEaU4o8teT1piV-SNzShjg/edit?gid=554141278#gid=554141278"", ""'Char Def. - Attributes'!C20:C2242""), 1,false)"),"ALT_NUM_UOM2")</f>
        <v>ALT_NUM_UOM2</v>
      </c>
      <c r="I9195" s="136"/>
      <c r="R9195" s="63" t="str">
        <f t="shared" si="60"/>
        <v>ZSI1_END_MILLALT_NUM_UOM2</v>
      </c>
    </row>
    <row r="9196" ht="15.75" customHeight="1">
      <c r="B9196" s="63">
        <f t="shared" si="1"/>
        <v>13</v>
      </c>
      <c r="C9196" s="135" t="s">
        <v>387</v>
      </c>
      <c r="D9196" s="161" t="s">
        <v>74</v>
      </c>
      <c r="E9196" s="135">
        <f t="shared" si="62"/>
        <v>21</v>
      </c>
      <c r="F9196" s="134" t="s">
        <v>3810</v>
      </c>
      <c r="G9196" s="63" t="str">
        <f>VLOOKUP(C9196, 'Class Def. - General Data'!$C$20:$C$1000,1,false)</f>
        <v>ZSI1_END_MILL</v>
      </c>
      <c r="H9196" s="63" t="str">
        <f>IFERROR(__xludf.DUMMYFUNCTION("VLOOKUP(F9196, IMPORTRANGE(""https://docs.google.com/spreadsheets/d/1Lhp9OU0JdFf_VYSMzH5lBcEaU4o8teT1piV-SNzShjg/edit?gid=554141278#gid=554141278"", ""'Char Def. - Attributes'!C20:C2242""), 1,false)"),"ALT_UOM3_SIPI")</f>
        <v>ALT_UOM3_SIPI</v>
      </c>
      <c r="I9196" s="136"/>
      <c r="R9196" s="63" t="str">
        <f t="shared" si="60"/>
        <v>ZSI1_END_MILLALT_UOM3_SIPI</v>
      </c>
    </row>
    <row r="9197" ht="15.75" customHeight="1">
      <c r="B9197" s="63">
        <f t="shared" si="1"/>
        <v>13</v>
      </c>
      <c r="C9197" s="135" t="s">
        <v>387</v>
      </c>
      <c r="D9197" s="161" t="s">
        <v>74</v>
      </c>
      <c r="E9197" s="135">
        <f t="shared" si="62"/>
        <v>22</v>
      </c>
      <c r="F9197" s="134" t="s">
        <v>3811</v>
      </c>
      <c r="G9197" s="63" t="str">
        <f>VLOOKUP(C9197, 'Class Def. - General Data'!$C$20:$C$1000,1,false)</f>
        <v>ZSI1_END_MILL</v>
      </c>
      <c r="H9197" s="63" t="str">
        <f>IFERROR(__xludf.DUMMYFUNCTION("VLOOKUP(F9197, IMPORTRANGE(""https://docs.google.com/spreadsheets/d/1Lhp9OU0JdFf_VYSMzH5lBcEaU4o8teT1piV-SNzShjg/edit?gid=554141278#gid=554141278"", ""'Char Def. - Attributes'!C20:C2242""), 1,false)"),"ALT_DENUM_UOM3")</f>
        <v>ALT_DENUM_UOM3</v>
      </c>
      <c r="I9197" s="136"/>
      <c r="R9197" s="63" t="str">
        <f t="shared" si="60"/>
        <v>ZSI1_END_MILLALT_DENUM_UOM3</v>
      </c>
    </row>
    <row r="9198" ht="15.75" customHeight="1">
      <c r="B9198" s="63">
        <f t="shared" si="1"/>
        <v>13</v>
      </c>
      <c r="C9198" s="135" t="s">
        <v>387</v>
      </c>
      <c r="D9198" s="161" t="s">
        <v>74</v>
      </c>
      <c r="E9198" s="135">
        <f t="shared" si="62"/>
        <v>23</v>
      </c>
      <c r="F9198" s="134" t="s">
        <v>3812</v>
      </c>
      <c r="G9198" s="63" t="str">
        <f>VLOOKUP(C9198, 'Class Def. - General Data'!$C$20:$C$1000,1,false)</f>
        <v>ZSI1_END_MILL</v>
      </c>
      <c r="H9198" s="63" t="str">
        <f>IFERROR(__xludf.DUMMYFUNCTION("VLOOKUP(F9198, IMPORTRANGE(""https://docs.google.com/spreadsheets/d/1Lhp9OU0JdFf_VYSMzH5lBcEaU4o8teT1piV-SNzShjg/edit?gid=554141278#gid=554141278"", ""'Char Def. - Attributes'!C20:C2242""), 1,false)"),"ALT_NUM_UOM3")</f>
        <v>ALT_NUM_UOM3</v>
      </c>
      <c r="I9198" s="136"/>
      <c r="R9198" s="63" t="str">
        <f t="shared" si="60"/>
        <v>ZSI1_END_MILLALT_NUM_UOM3</v>
      </c>
    </row>
    <row r="9199" ht="15.75" customHeight="1">
      <c r="B9199" s="63">
        <f t="shared" si="1"/>
        <v>13</v>
      </c>
      <c r="C9199" s="135" t="s">
        <v>387</v>
      </c>
      <c r="D9199" s="161" t="s">
        <v>74</v>
      </c>
      <c r="E9199" s="135">
        <f t="shared" si="62"/>
        <v>24</v>
      </c>
      <c r="F9199" s="134" t="s">
        <v>3813</v>
      </c>
      <c r="G9199" s="63" t="str">
        <f>VLOOKUP(C9199, 'Class Def. - General Data'!$C$20:$C$1000,1,false)</f>
        <v>ZSI1_END_MILL</v>
      </c>
      <c r="H9199" s="63" t="str">
        <f>IFERROR(__xludf.DUMMYFUNCTION("VLOOKUP(F9199, IMPORTRANGE(""https://docs.google.com/spreadsheets/d/1Lhp9OU0JdFf_VYSMzH5lBcEaU4o8teT1piV-SNzShjg/edit?gid=554141278#gid=554141278"", ""'Char Def. - Attributes'!C20:C2242""), 1,false)"),"ALT_UOM4_SIPI")</f>
        <v>ALT_UOM4_SIPI</v>
      </c>
      <c r="I9199" s="136"/>
      <c r="R9199" s="63" t="str">
        <f t="shared" si="60"/>
        <v>ZSI1_END_MILLALT_UOM4_SIPI</v>
      </c>
    </row>
    <row r="9200" ht="15.75" customHeight="1">
      <c r="B9200" s="63">
        <f t="shared" si="1"/>
        <v>13</v>
      </c>
      <c r="C9200" s="135" t="s">
        <v>387</v>
      </c>
      <c r="D9200" s="161" t="s">
        <v>74</v>
      </c>
      <c r="E9200" s="135">
        <f t="shared" si="62"/>
        <v>25</v>
      </c>
      <c r="F9200" s="134" t="s">
        <v>3814</v>
      </c>
      <c r="G9200" s="63" t="str">
        <f>VLOOKUP(C9200, 'Class Def. - General Data'!$C$20:$C$1000,1,false)</f>
        <v>ZSI1_END_MILL</v>
      </c>
      <c r="H9200" s="63" t="str">
        <f>IFERROR(__xludf.DUMMYFUNCTION("VLOOKUP(F9200, IMPORTRANGE(""https://docs.google.com/spreadsheets/d/1Lhp9OU0JdFf_VYSMzH5lBcEaU4o8teT1piV-SNzShjg/edit?gid=554141278#gid=554141278"", ""'Char Def. - Attributes'!C20:C2242""), 1,false)"),"ALT_DENUM_UOM4")</f>
        <v>ALT_DENUM_UOM4</v>
      </c>
      <c r="I9200" s="136"/>
      <c r="R9200" s="63" t="str">
        <f t="shared" si="60"/>
        <v>ZSI1_END_MILLALT_DENUM_UOM4</v>
      </c>
    </row>
    <row r="9201" ht="15.75" customHeight="1">
      <c r="B9201" s="63">
        <f t="shared" si="1"/>
        <v>13</v>
      </c>
      <c r="C9201" s="135" t="s">
        <v>387</v>
      </c>
      <c r="D9201" s="161" t="s">
        <v>74</v>
      </c>
      <c r="E9201" s="135">
        <f t="shared" si="62"/>
        <v>26</v>
      </c>
      <c r="F9201" s="134" t="s">
        <v>3815</v>
      </c>
      <c r="G9201" s="63" t="str">
        <f>VLOOKUP(C9201, 'Class Def. - General Data'!$C$20:$C$1000,1,false)</f>
        <v>ZSI1_END_MILL</v>
      </c>
      <c r="H9201" s="63" t="str">
        <f>IFERROR(__xludf.DUMMYFUNCTION("VLOOKUP(F9201, IMPORTRANGE(""https://docs.google.com/spreadsheets/d/1Lhp9OU0JdFf_VYSMzH5lBcEaU4o8teT1piV-SNzShjg/edit?gid=554141278#gid=554141278"", ""'Char Def. - Attributes'!C20:C2242""), 1,false)"),"ALT_NUM_UOM4")</f>
        <v>ALT_NUM_UOM4</v>
      </c>
      <c r="I9201" s="136"/>
      <c r="R9201" s="63" t="str">
        <f t="shared" si="60"/>
        <v>ZSI1_END_MILLALT_NUM_UOM4</v>
      </c>
    </row>
    <row r="9202" ht="15.75" customHeight="1">
      <c r="B9202" s="63">
        <f t="shared" si="1"/>
        <v>13</v>
      </c>
      <c r="C9202" s="135" t="s">
        <v>387</v>
      </c>
      <c r="D9202" s="161" t="s">
        <v>74</v>
      </c>
      <c r="E9202" s="135">
        <f t="shared" si="62"/>
        <v>27</v>
      </c>
      <c r="F9202" s="134" t="s">
        <v>3816</v>
      </c>
      <c r="G9202" s="63" t="str">
        <f>VLOOKUP(C9202, 'Class Def. - General Data'!$C$20:$C$1000,1,false)</f>
        <v>ZSI1_END_MILL</v>
      </c>
      <c r="H9202" s="63" t="str">
        <f>IFERROR(__xludf.DUMMYFUNCTION("VLOOKUP(F9202, IMPORTRANGE(""https://docs.google.com/spreadsheets/d/1Lhp9OU0JdFf_VYSMzH5lBcEaU4o8teT1piV-SNzShjg/edit?gid=554141278#gid=554141278"", ""'Char Def. - Attributes'!C20:C2242""), 1,false)"),"ALT_UOM5_SIPI")</f>
        <v>ALT_UOM5_SIPI</v>
      </c>
      <c r="I9202" s="136"/>
      <c r="R9202" s="63" t="str">
        <f t="shared" si="60"/>
        <v>ZSI1_END_MILLALT_UOM5_SIPI</v>
      </c>
    </row>
    <row r="9203" ht="15.75" customHeight="1">
      <c r="B9203" s="63">
        <f t="shared" si="1"/>
        <v>13</v>
      </c>
      <c r="C9203" s="135" t="s">
        <v>387</v>
      </c>
      <c r="D9203" s="161" t="s">
        <v>74</v>
      </c>
      <c r="E9203" s="135">
        <f t="shared" si="62"/>
        <v>28</v>
      </c>
      <c r="F9203" s="134" t="s">
        <v>3817</v>
      </c>
      <c r="G9203" s="63" t="str">
        <f>VLOOKUP(C9203, 'Class Def. - General Data'!$C$20:$C$1000,1,false)</f>
        <v>ZSI1_END_MILL</v>
      </c>
      <c r="H9203" s="63" t="str">
        <f>IFERROR(__xludf.DUMMYFUNCTION("VLOOKUP(F9203, IMPORTRANGE(""https://docs.google.com/spreadsheets/d/1Lhp9OU0JdFf_VYSMzH5lBcEaU4o8teT1piV-SNzShjg/edit?gid=554141278#gid=554141278"", ""'Char Def. - Attributes'!C20:C2242""), 1,false)"),"ALT_DENUM_UOM5")</f>
        <v>ALT_DENUM_UOM5</v>
      </c>
      <c r="I9203" s="136"/>
      <c r="R9203" s="63" t="str">
        <f t="shared" si="60"/>
        <v>ZSI1_END_MILLALT_DENUM_UOM5</v>
      </c>
    </row>
    <row r="9204" ht="15.75" customHeight="1">
      <c r="B9204" s="63">
        <f t="shared" si="1"/>
        <v>13</v>
      </c>
      <c r="C9204" s="135" t="s">
        <v>387</v>
      </c>
      <c r="D9204" s="161" t="s">
        <v>74</v>
      </c>
      <c r="E9204" s="135">
        <f t="shared" si="62"/>
        <v>29</v>
      </c>
      <c r="F9204" s="134" t="s">
        <v>3818</v>
      </c>
      <c r="G9204" s="63" t="str">
        <f>VLOOKUP(C9204, 'Class Def. - General Data'!$C$20:$C$1000,1,false)</f>
        <v>ZSI1_END_MILL</v>
      </c>
      <c r="H9204" s="63" t="str">
        <f>IFERROR(__xludf.DUMMYFUNCTION("VLOOKUP(F9204, IMPORTRANGE(""https://docs.google.com/spreadsheets/d/1Lhp9OU0JdFf_VYSMzH5lBcEaU4o8teT1piV-SNzShjg/edit?gid=554141278#gid=554141278"", ""'Char Def. - Attributes'!C20:C2242""), 1,false)"),"ALT_NUM_UOM5")</f>
        <v>ALT_NUM_UOM5</v>
      </c>
      <c r="I9204" s="136"/>
      <c r="R9204" s="63" t="str">
        <f t="shared" si="60"/>
        <v>ZSI1_END_MILLALT_NUM_UOM5</v>
      </c>
    </row>
    <row r="9205" ht="15.75" customHeight="1">
      <c r="B9205" s="63">
        <f t="shared" si="1"/>
        <v>18</v>
      </c>
      <c r="C9205" s="135" t="s">
        <v>388</v>
      </c>
      <c r="D9205" s="161" t="s">
        <v>74</v>
      </c>
      <c r="E9205" s="135">
        <f t="shared" si="62"/>
        <v>1</v>
      </c>
      <c r="F9205" s="134" t="s">
        <v>4494</v>
      </c>
      <c r="G9205" s="63" t="str">
        <f>VLOOKUP(C9205, 'Class Def. - General Data'!$C$20:$C$1000,1,false)</f>
        <v>ZSI1_FABRICAT_ITEM</v>
      </c>
      <c r="H9205" s="63" t="str">
        <f>IFERROR(__xludf.DUMMYFUNCTION("VLOOKUP(F9205, IMPORTRANGE(""https://docs.google.com/spreadsheets/d/1Lhp9OU0JdFf_VYSMzH5lBcEaU4o8teT1piV-SNzShjg/edit?gid=554141278#gid=554141278"", ""'Char Def. - Attributes'!C20:C2242""), 1,false)"),"ITEM_NAME_FABRICAT_ITEM")</f>
        <v>ITEM_NAME_FABRICAT_ITEM</v>
      </c>
      <c r="I9205" s="136"/>
      <c r="R9205" s="63" t="str">
        <f t="shared" si="60"/>
        <v>ZSI1_FABRICAT_ITEMITEM_NAME_FABRICAT_ITEM</v>
      </c>
    </row>
    <row r="9206" ht="15.75" customHeight="1">
      <c r="B9206" s="63">
        <f t="shared" si="1"/>
        <v>18</v>
      </c>
      <c r="C9206" s="135" t="s">
        <v>388</v>
      </c>
      <c r="D9206" s="161" t="s">
        <v>74</v>
      </c>
      <c r="E9206" s="135">
        <f t="shared" si="62"/>
        <v>2</v>
      </c>
      <c r="F9206" s="134" t="s">
        <v>4495</v>
      </c>
      <c r="G9206" s="63" t="str">
        <f>VLOOKUP(C9206, 'Class Def. - General Data'!$C$20:$C$1000,1,false)</f>
        <v>ZSI1_FABRICAT_ITEM</v>
      </c>
      <c r="H9206" s="63" t="str">
        <f>IFERROR(__xludf.DUMMYFUNCTION("VLOOKUP(F9206, IMPORTRANGE(""https://docs.google.com/spreadsheets/d/1Lhp9OU0JdFf_VYSMzH5lBcEaU4o8teT1piV-SNzShjg/edit?gid=554141278#gid=554141278"", ""'Char Def. - Attributes'!C20:C2242""), 1,false)"),"DRAWING_NUMBER_FABRICAT_ITEM")</f>
        <v>DRAWING_NUMBER_FABRICAT_ITEM</v>
      </c>
      <c r="I9206" s="136"/>
      <c r="R9206" s="63" t="str">
        <f t="shared" si="60"/>
        <v>ZSI1_FABRICAT_ITEMDRAWING_NUMBER_FABRICAT_ITEM</v>
      </c>
    </row>
    <row r="9207" ht="15.75" customHeight="1">
      <c r="B9207" s="63">
        <f t="shared" si="1"/>
        <v>18</v>
      </c>
      <c r="C9207" s="135" t="s">
        <v>388</v>
      </c>
      <c r="D9207" s="161" t="s">
        <v>74</v>
      </c>
      <c r="E9207" s="135">
        <f t="shared" si="62"/>
        <v>3</v>
      </c>
      <c r="F9207" s="134" t="s">
        <v>4496</v>
      </c>
      <c r="G9207" s="63" t="str">
        <f>VLOOKUP(C9207, 'Class Def. - General Data'!$C$20:$C$1000,1,false)</f>
        <v>ZSI1_FABRICAT_ITEM</v>
      </c>
      <c r="H9207" s="63" t="str">
        <f>IFERROR(__xludf.DUMMYFUNCTION("VLOOKUP(F9207, IMPORTRANGE(""https://docs.google.com/spreadsheets/d/1Lhp9OU0JdFf_VYSMzH5lBcEaU4o8teT1piV-SNzShjg/edit?gid=554141278#gid=554141278"", ""'Char Def. - Attributes'!C20:C2242""), 1,false)"),"DRAWING_MAKER_FABRICAT_ITEM")</f>
        <v>DRAWING_MAKER_FABRICAT_ITEM</v>
      </c>
      <c r="I9207" s="136"/>
      <c r="R9207" s="63" t="str">
        <f t="shared" si="60"/>
        <v>ZSI1_FABRICAT_ITEMDRAWING_MAKER_FABRICAT_ITEM</v>
      </c>
    </row>
    <row r="9208" ht="15.75" customHeight="1">
      <c r="B9208" s="63">
        <f t="shared" si="1"/>
        <v>18</v>
      </c>
      <c r="C9208" s="135" t="s">
        <v>388</v>
      </c>
      <c r="D9208" s="161" t="s">
        <v>74</v>
      </c>
      <c r="E9208" s="135">
        <f t="shared" si="62"/>
        <v>4</v>
      </c>
      <c r="F9208" s="134" t="s">
        <v>4053</v>
      </c>
      <c r="G9208" s="63" t="str">
        <f>VLOOKUP(C9208, 'Class Def. - General Data'!$C$20:$C$1000,1,false)</f>
        <v>ZSI1_FABRICAT_ITEM</v>
      </c>
      <c r="H9208" s="63" t="str">
        <f>IFERROR(__xludf.DUMMYFUNCTION("VLOOKUP(F9208, IMPORTRANGE(""https://docs.google.com/spreadsheets/d/1Lhp9OU0JdFf_VYSMzH5lBcEaU4o8teT1piV-SNzShjg/edit?gid=554141278#gid=554141278"", ""'Char Def. - Attributes'!C20:C2242""), 1,false)"),"MAINTENANCE_ORDER_TYPE")</f>
        <v>MAINTENANCE_ORDER_TYPE</v>
      </c>
      <c r="I9208" s="136"/>
      <c r="R9208" s="63" t="str">
        <f t="shared" si="60"/>
        <v>ZSI1_FABRICAT_ITEMMAINTENANCE_ORDER_TYPE</v>
      </c>
    </row>
    <row r="9209" ht="15.75" customHeight="1">
      <c r="B9209" s="63">
        <f t="shared" si="1"/>
        <v>18</v>
      </c>
      <c r="C9209" s="135" t="s">
        <v>388</v>
      </c>
      <c r="D9209" s="161" t="s">
        <v>74</v>
      </c>
      <c r="E9209" s="135">
        <f t="shared" si="62"/>
        <v>5</v>
      </c>
      <c r="F9209" s="134" t="s">
        <v>3585</v>
      </c>
      <c r="G9209" s="63" t="str">
        <f>VLOOKUP(C9209, 'Class Def. - General Data'!$C$20:$C$1000,1,false)</f>
        <v>ZSI1_FABRICAT_ITEM</v>
      </c>
      <c r="H9209" s="63" t="str">
        <f>IFERROR(__xludf.DUMMYFUNCTION("VLOOKUP(F9209, IMPORTRANGE(""https://docs.google.com/spreadsheets/d/1Lhp9OU0JdFf_VYSMzH5lBcEaU4o8teT1piV-SNzShjg/edit?gid=554141278#gid=554141278"", ""'Char Def. - Attributes'!C20:C2242""), 1,false)"),"HS_CODE")</f>
        <v>HS_CODE</v>
      </c>
      <c r="I9209" s="136"/>
      <c r="R9209" s="63" t="str">
        <f t="shared" si="60"/>
        <v>ZSI1_FABRICAT_ITEMHS_CODE</v>
      </c>
    </row>
    <row r="9210" ht="15.75" customHeight="1">
      <c r="B9210" s="63">
        <f t="shared" si="1"/>
        <v>18</v>
      </c>
      <c r="C9210" s="135" t="s">
        <v>388</v>
      </c>
      <c r="D9210" s="161" t="s">
        <v>74</v>
      </c>
      <c r="E9210" s="135">
        <f t="shared" si="62"/>
        <v>6</v>
      </c>
      <c r="F9210" s="134" t="s">
        <v>3587</v>
      </c>
      <c r="G9210" s="63" t="str">
        <f>VLOOKUP(C9210, 'Class Def. - General Data'!$C$20:$C$1000,1,false)</f>
        <v>ZSI1_FABRICAT_ITEM</v>
      </c>
      <c r="H9210" s="63" t="str">
        <f>IFERROR(__xludf.DUMMYFUNCTION("VLOOKUP(F9210, IMPORTRANGE(""https://docs.google.com/spreadsheets/d/1Lhp9OU0JdFf_VYSMzH5lBcEaU4o8teT1piV-SNzShjg/edit?gid=554141278#gid=554141278"", ""'Char Def. - Attributes'!C20:C2242""), 1,false)"),"PLANT_BUY")</f>
        <v>PLANT_BUY</v>
      </c>
      <c r="I9210" s="136"/>
      <c r="R9210" s="63" t="str">
        <f t="shared" si="60"/>
        <v>ZSI1_FABRICAT_ITEMPLANT_BUY</v>
      </c>
    </row>
    <row r="9211" ht="15.75" customHeight="1">
      <c r="B9211" s="63">
        <f t="shared" si="1"/>
        <v>18</v>
      </c>
      <c r="C9211" s="135" t="s">
        <v>388</v>
      </c>
      <c r="D9211" s="161" t="s">
        <v>74</v>
      </c>
      <c r="E9211" s="135">
        <f t="shared" si="62"/>
        <v>7</v>
      </c>
      <c r="F9211" s="134" t="s">
        <v>4497</v>
      </c>
      <c r="G9211" s="63" t="str">
        <f>VLOOKUP(C9211, 'Class Def. - General Data'!$C$20:$C$1000,1,false)</f>
        <v>ZSI1_FABRICAT_ITEM</v>
      </c>
      <c r="H9211" s="63" t="str">
        <f>IFERROR(__xludf.DUMMYFUNCTION("VLOOKUP(F9211, IMPORTRANGE(""https://docs.google.com/spreadsheets/d/1Lhp9OU0JdFf_VYSMzH5lBcEaU4o8teT1piV-SNzShjg/edit?gid=554141278#gid=554141278"", ""'Char Def. - Attributes'!C20:C2242""), 1,false)"),"BASE_UOM_FABRICAT_ITEM")</f>
        <v>BASE_UOM_FABRICAT_ITEM</v>
      </c>
      <c r="I9211" s="136"/>
      <c r="R9211" s="63" t="str">
        <f t="shared" si="60"/>
        <v>ZSI1_FABRICAT_ITEMBASE_UOM_FABRICAT_ITEM</v>
      </c>
    </row>
    <row r="9212" ht="15.75" customHeight="1">
      <c r="B9212" s="63">
        <f t="shared" si="1"/>
        <v>18</v>
      </c>
      <c r="C9212" s="135" t="s">
        <v>388</v>
      </c>
      <c r="D9212" s="161" t="s">
        <v>74</v>
      </c>
      <c r="E9212" s="135">
        <f t="shared" si="62"/>
        <v>8</v>
      </c>
      <c r="F9212" s="134" t="s">
        <v>4498</v>
      </c>
      <c r="G9212" s="63" t="str">
        <f>VLOOKUP(C9212, 'Class Def. - General Data'!$C$20:$C$1000,1,false)</f>
        <v>ZSI1_FABRICAT_ITEM</v>
      </c>
      <c r="H9212" s="63" t="str">
        <f>IFERROR(__xludf.DUMMYFUNCTION("VLOOKUP(F9212, IMPORTRANGE(""https://docs.google.com/spreadsheets/d/1Lhp9OU0JdFf_VYSMzH5lBcEaU4o8teT1piV-SNzShjg/edit?gid=554141278#gid=554141278"", ""'Char Def. - Attributes'!C20:C2242""), 1,false)"),"ORDER_UNIT_FABRICAT_ITEM")</f>
        <v>ORDER_UNIT_FABRICAT_ITEM</v>
      </c>
      <c r="I9212" s="136"/>
      <c r="R9212" s="63" t="str">
        <f t="shared" si="60"/>
        <v>ZSI1_FABRICAT_ITEMORDER_UNIT_FABRICAT_ITEM</v>
      </c>
    </row>
    <row r="9213" ht="15.75" customHeight="1">
      <c r="B9213" s="63">
        <f t="shared" si="1"/>
        <v>18</v>
      </c>
      <c r="C9213" s="135" t="s">
        <v>388</v>
      </c>
      <c r="D9213" s="161" t="s">
        <v>74</v>
      </c>
      <c r="E9213" s="135">
        <f t="shared" si="62"/>
        <v>9</v>
      </c>
      <c r="F9213" s="134" t="s">
        <v>4056</v>
      </c>
      <c r="G9213" s="63" t="str">
        <f>VLOOKUP(C9213, 'Class Def. - General Data'!$C$20:$C$1000,1,false)</f>
        <v>ZSI1_FABRICAT_ITEM</v>
      </c>
      <c r="H9213" s="63" t="str">
        <f>IFERROR(__xludf.DUMMYFUNCTION("VLOOKUP(F9213, IMPORTRANGE(""https://docs.google.com/spreadsheets/d/1Lhp9OU0JdFf_VYSMzH5lBcEaU4o8teT1piV-SNzShjg/edit?gid=554141278#gid=554141278"", ""'Char Def. - Attributes'!C20:C2242""), 1,false)"),"GROSS_WEIGHT_OPT")</f>
        <v>GROSS_WEIGHT_OPT</v>
      </c>
      <c r="I9213" s="136"/>
      <c r="R9213" s="63" t="str">
        <f t="shared" si="60"/>
        <v>ZSI1_FABRICAT_ITEMGROSS_WEIGHT_OPT</v>
      </c>
    </row>
    <row r="9214" ht="15.75" customHeight="1">
      <c r="B9214" s="63">
        <f t="shared" si="1"/>
        <v>18</v>
      </c>
      <c r="C9214" s="135" t="s">
        <v>388</v>
      </c>
      <c r="D9214" s="161" t="s">
        <v>74</v>
      </c>
      <c r="E9214" s="135">
        <f t="shared" si="62"/>
        <v>10</v>
      </c>
      <c r="F9214" s="134" t="s">
        <v>4057</v>
      </c>
      <c r="G9214" s="63" t="str">
        <f>VLOOKUP(C9214, 'Class Def. - General Data'!$C$20:$C$1000,1,false)</f>
        <v>ZSI1_FABRICAT_ITEM</v>
      </c>
      <c r="H9214" s="63" t="str">
        <f>IFERROR(__xludf.DUMMYFUNCTION("VLOOKUP(F9214, IMPORTRANGE(""https://docs.google.com/spreadsheets/d/1Lhp9OU0JdFf_VYSMzH5lBcEaU4o8teT1piV-SNzShjg/edit?gid=554141278#gid=554141278"", ""'Char Def. - Attributes'!C20:C2242""), 1,false)"),"NET_WEIGHT_OPT")</f>
        <v>NET_WEIGHT_OPT</v>
      </c>
      <c r="I9214" s="136"/>
      <c r="R9214" s="63" t="str">
        <f t="shared" si="60"/>
        <v>ZSI1_FABRICAT_ITEMNET_WEIGHT_OPT</v>
      </c>
    </row>
    <row r="9215" ht="15.75" customHeight="1">
      <c r="B9215" s="63">
        <f t="shared" si="1"/>
        <v>18</v>
      </c>
      <c r="C9215" s="135" t="s">
        <v>388</v>
      </c>
      <c r="D9215" s="161" t="s">
        <v>74</v>
      </c>
      <c r="E9215" s="135">
        <f t="shared" si="62"/>
        <v>11</v>
      </c>
      <c r="F9215" s="134" t="s">
        <v>4058</v>
      </c>
      <c r="G9215" s="63" t="str">
        <f>VLOOKUP(C9215, 'Class Def. - General Data'!$C$20:$C$1000,1,false)</f>
        <v>ZSI1_FABRICAT_ITEM</v>
      </c>
      <c r="H9215" s="63" t="str">
        <f>IFERROR(__xludf.DUMMYFUNCTION("VLOOKUP(F9215, IMPORTRANGE(""https://docs.google.com/spreadsheets/d/1Lhp9OU0JdFf_VYSMzH5lBcEaU4o8teT1piV-SNzShjg/edit?gid=554141278#gid=554141278"", ""'Char Def. - Attributes'!C20:C2242""), 1,false)"),"WEIGHT_UNIT_SI")</f>
        <v>WEIGHT_UNIT_SI</v>
      </c>
      <c r="I9215" s="136"/>
      <c r="R9215" s="63" t="str">
        <f t="shared" si="60"/>
        <v>ZSI1_FABRICAT_ITEMWEIGHT_UNIT_SI</v>
      </c>
    </row>
    <row r="9216" ht="15.75" customHeight="1">
      <c r="B9216" s="63">
        <f t="shared" si="1"/>
        <v>18</v>
      </c>
      <c r="C9216" s="135" t="s">
        <v>388</v>
      </c>
      <c r="D9216" s="161" t="s">
        <v>74</v>
      </c>
      <c r="E9216" s="135">
        <f t="shared" si="62"/>
        <v>12</v>
      </c>
      <c r="F9216" s="134" t="s">
        <v>3877</v>
      </c>
      <c r="G9216" s="63" t="str">
        <f>VLOOKUP(C9216, 'Class Def. - General Data'!$C$20:$C$1000,1,false)</f>
        <v>ZSI1_FABRICAT_ITEM</v>
      </c>
      <c r="H9216" s="63" t="str">
        <f>IFERROR(__xludf.DUMMYFUNCTION("VLOOKUP(F9216, IMPORTRANGE(""https://docs.google.com/spreadsheets/d/1Lhp9OU0JdFf_VYSMzH5lBcEaU4o8teT1piV-SNzShjg/edit?gid=554141278#gid=554141278"", ""'Char Def. - Attributes'!C20:C2242""), 1,false)"),"VOLUME_OPT")</f>
        <v>VOLUME_OPT</v>
      </c>
      <c r="I9216" s="136"/>
      <c r="R9216" s="63" t="str">
        <f t="shared" si="60"/>
        <v>ZSI1_FABRICAT_ITEMVOLUME_OPT</v>
      </c>
    </row>
    <row r="9217" ht="15.75" customHeight="1">
      <c r="B9217" s="63">
        <f t="shared" si="1"/>
        <v>18</v>
      </c>
      <c r="C9217" s="135" t="s">
        <v>388</v>
      </c>
      <c r="D9217" s="161" t="s">
        <v>74</v>
      </c>
      <c r="E9217" s="135">
        <f t="shared" si="62"/>
        <v>13</v>
      </c>
      <c r="F9217" s="134" t="s">
        <v>4059</v>
      </c>
      <c r="G9217" s="63" t="str">
        <f>VLOOKUP(C9217, 'Class Def. - General Data'!$C$20:$C$1000,1,false)</f>
        <v>ZSI1_FABRICAT_ITEM</v>
      </c>
      <c r="H9217" s="63" t="str">
        <f>IFERROR(__xludf.DUMMYFUNCTION("VLOOKUP(F9217, IMPORTRANGE(""https://docs.google.com/spreadsheets/d/1Lhp9OU0JdFf_VYSMzH5lBcEaU4o8teT1piV-SNzShjg/edit?gid=554141278#gid=554141278"", ""'Char Def. - Attributes'!C20:C2242""), 1,false)"),"VOLUME_UNIT_SI")</f>
        <v>VOLUME_UNIT_SI</v>
      </c>
      <c r="I9217" s="136"/>
      <c r="R9217" s="63" t="str">
        <f t="shared" si="60"/>
        <v>ZSI1_FABRICAT_ITEMVOLUME_UNIT_SI</v>
      </c>
    </row>
    <row r="9218" ht="15.75" customHeight="1">
      <c r="B9218" s="63">
        <f t="shared" si="1"/>
        <v>18</v>
      </c>
      <c r="C9218" s="135" t="s">
        <v>388</v>
      </c>
      <c r="D9218" s="161" t="s">
        <v>74</v>
      </c>
      <c r="E9218" s="135">
        <f t="shared" si="62"/>
        <v>14</v>
      </c>
      <c r="F9218" s="134" t="s">
        <v>3804</v>
      </c>
      <c r="G9218" s="63" t="str">
        <f>VLOOKUP(C9218, 'Class Def. - General Data'!$C$20:$C$1000,1,false)</f>
        <v>ZSI1_FABRICAT_ITEM</v>
      </c>
      <c r="H9218" s="63" t="str">
        <f>IFERROR(__xludf.DUMMYFUNCTION("VLOOKUP(F9218, IMPORTRANGE(""https://docs.google.com/spreadsheets/d/1Lhp9OU0JdFf_VYSMzH5lBcEaU4o8teT1piV-SNzShjg/edit?gid=554141278#gid=554141278"", ""'Char Def. - Attributes'!C20:C2242""), 1,false)"),"ALT_UOM1_SIPI")</f>
        <v>ALT_UOM1_SIPI</v>
      </c>
      <c r="I9218" s="136"/>
      <c r="R9218" s="63" t="str">
        <f t="shared" si="60"/>
        <v>ZSI1_FABRICAT_ITEMALT_UOM1_SIPI</v>
      </c>
    </row>
    <row r="9219" ht="15.75" customHeight="1">
      <c r="B9219" s="63">
        <f t="shared" si="1"/>
        <v>18</v>
      </c>
      <c r="C9219" s="135" t="s">
        <v>388</v>
      </c>
      <c r="D9219" s="161" t="s">
        <v>74</v>
      </c>
      <c r="E9219" s="135">
        <f t="shared" si="62"/>
        <v>15</v>
      </c>
      <c r="F9219" s="134" t="s">
        <v>3805</v>
      </c>
      <c r="G9219" s="63" t="str">
        <f>VLOOKUP(C9219, 'Class Def. - General Data'!$C$20:$C$1000,1,false)</f>
        <v>ZSI1_FABRICAT_ITEM</v>
      </c>
      <c r="H9219" s="63" t="str">
        <f>IFERROR(__xludf.DUMMYFUNCTION("VLOOKUP(F9219, IMPORTRANGE(""https://docs.google.com/spreadsheets/d/1Lhp9OU0JdFf_VYSMzH5lBcEaU4o8teT1piV-SNzShjg/edit?gid=554141278#gid=554141278"", ""'Char Def. - Attributes'!C20:C2242""), 1,false)"),"ALT_DENUM_UOM1")</f>
        <v>ALT_DENUM_UOM1</v>
      </c>
      <c r="I9219" s="136"/>
      <c r="R9219" s="63" t="str">
        <f t="shared" si="60"/>
        <v>ZSI1_FABRICAT_ITEMALT_DENUM_UOM1</v>
      </c>
    </row>
    <row r="9220" ht="15.75" customHeight="1">
      <c r="B9220" s="63">
        <f t="shared" si="1"/>
        <v>18</v>
      </c>
      <c r="C9220" s="135" t="s">
        <v>388</v>
      </c>
      <c r="D9220" s="161" t="s">
        <v>74</v>
      </c>
      <c r="E9220" s="135">
        <f t="shared" si="62"/>
        <v>16</v>
      </c>
      <c r="F9220" s="134" t="s">
        <v>3806</v>
      </c>
      <c r="G9220" s="63" t="str">
        <f>VLOOKUP(C9220, 'Class Def. - General Data'!$C$20:$C$1000,1,false)</f>
        <v>ZSI1_FABRICAT_ITEM</v>
      </c>
      <c r="H9220" s="63" t="str">
        <f>IFERROR(__xludf.DUMMYFUNCTION("VLOOKUP(F9220, IMPORTRANGE(""https://docs.google.com/spreadsheets/d/1Lhp9OU0JdFf_VYSMzH5lBcEaU4o8teT1piV-SNzShjg/edit?gid=554141278#gid=554141278"", ""'Char Def. - Attributes'!C20:C2242""), 1,false)"),"ALT_NUM_UOM1")</f>
        <v>ALT_NUM_UOM1</v>
      </c>
      <c r="I9220" s="136"/>
      <c r="R9220" s="63" t="str">
        <f t="shared" si="60"/>
        <v>ZSI1_FABRICAT_ITEMALT_NUM_UOM1</v>
      </c>
    </row>
    <row r="9221" ht="15.75" customHeight="1">
      <c r="B9221" s="63">
        <f t="shared" si="1"/>
        <v>18</v>
      </c>
      <c r="C9221" s="135" t="s">
        <v>388</v>
      </c>
      <c r="D9221" s="161" t="s">
        <v>74</v>
      </c>
      <c r="E9221" s="135">
        <f t="shared" si="62"/>
        <v>17</v>
      </c>
      <c r="F9221" s="134" t="s">
        <v>3807</v>
      </c>
      <c r="G9221" s="63" t="str">
        <f>VLOOKUP(C9221, 'Class Def. - General Data'!$C$20:$C$1000,1,false)</f>
        <v>ZSI1_FABRICAT_ITEM</v>
      </c>
      <c r="H9221" s="63" t="str">
        <f>IFERROR(__xludf.DUMMYFUNCTION("VLOOKUP(F9221, IMPORTRANGE(""https://docs.google.com/spreadsheets/d/1Lhp9OU0JdFf_VYSMzH5lBcEaU4o8teT1piV-SNzShjg/edit?gid=554141278#gid=554141278"", ""'Char Def. - Attributes'!C20:C2242""), 1,false)"),"ALT_UOM2_SIPI")</f>
        <v>ALT_UOM2_SIPI</v>
      </c>
      <c r="I9221" s="136"/>
      <c r="R9221" s="63" t="str">
        <f t="shared" si="60"/>
        <v>ZSI1_FABRICAT_ITEMALT_UOM2_SIPI</v>
      </c>
    </row>
    <row r="9222" ht="15.75" customHeight="1">
      <c r="B9222" s="63">
        <f t="shared" si="1"/>
        <v>18</v>
      </c>
      <c r="C9222" s="135" t="s">
        <v>388</v>
      </c>
      <c r="D9222" s="161" t="s">
        <v>74</v>
      </c>
      <c r="E9222" s="135">
        <f t="shared" si="62"/>
        <v>18</v>
      </c>
      <c r="F9222" s="134" t="s">
        <v>3808</v>
      </c>
      <c r="G9222" s="63" t="str">
        <f>VLOOKUP(C9222, 'Class Def. - General Data'!$C$20:$C$1000,1,false)</f>
        <v>ZSI1_FABRICAT_ITEM</v>
      </c>
      <c r="H9222" s="63" t="str">
        <f>IFERROR(__xludf.DUMMYFUNCTION("VLOOKUP(F9222, IMPORTRANGE(""https://docs.google.com/spreadsheets/d/1Lhp9OU0JdFf_VYSMzH5lBcEaU4o8teT1piV-SNzShjg/edit?gid=554141278#gid=554141278"", ""'Char Def. - Attributes'!C20:C2242""), 1,false)"),"ALT_DENUM_UOM2")</f>
        <v>ALT_DENUM_UOM2</v>
      </c>
      <c r="I9222" s="136"/>
      <c r="R9222" s="63" t="str">
        <f t="shared" si="60"/>
        <v>ZSI1_FABRICAT_ITEMALT_DENUM_UOM2</v>
      </c>
    </row>
    <row r="9223" ht="15.75" customHeight="1">
      <c r="B9223" s="63">
        <f t="shared" si="1"/>
        <v>18</v>
      </c>
      <c r="C9223" s="135" t="s">
        <v>388</v>
      </c>
      <c r="D9223" s="161" t="s">
        <v>74</v>
      </c>
      <c r="E9223" s="135">
        <f t="shared" si="62"/>
        <v>19</v>
      </c>
      <c r="F9223" s="134" t="s">
        <v>3809</v>
      </c>
      <c r="G9223" s="63" t="str">
        <f>VLOOKUP(C9223, 'Class Def. - General Data'!$C$20:$C$1000,1,false)</f>
        <v>ZSI1_FABRICAT_ITEM</v>
      </c>
      <c r="H9223" s="63" t="str">
        <f>IFERROR(__xludf.DUMMYFUNCTION("VLOOKUP(F9223, IMPORTRANGE(""https://docs.google.com/spreadsheets/d/1Lhp9OU0JdFf_VYSMzH5lBcEaU4o8teT1piV-SNzShjg/edit?gid=554141278#gid=554141278"", ""'Char Def. - Attributes'!C20:C2242""), 1,false)"),"ALT_NUM_UOM2")</f>
        <v>ALT_NUM_UOM2</v>
      </c>
      <c r="I9223" s="136"/>
      <c r="R9223" s="63" t="str">
        <f t="shared" si="60"/>
        <v>ZSI1_FABRICAT_ITEMALT_NUM_UOM2</v>
      </c>
    </row>
    <row r="9224" ht="15.75" customHeight="1">
      <c r="B9224" s="63">
        <f t="shared" si="1"/>
        <v>18</v>
      </c>
      <c r="C9224" s="135" t="s">
        <v>388</v>
      </c>
      <c r="D9224" s="161" t="s">
        <v>74</v>
      </c>
      <c r="E9224" s="135">
        <f t="shared" si="62"/>
        <v>20</v>
      </c>
      <c r="F9224" s="134" t="s">
        <v>3810</v>
      </c>
      <c r="G9224" s="63" t="str">
        <f>VLOOKUP(C9224, 'Class Def. - General Data'!$C$20:$C$1000,1,false)</f>
        <v>ZSI1_FABRICAT_ITEM</v>
      </c>
      <c r="H9224" s="63" t="str">
        <f>IFERROR(__xludf.DUMMYFUNCTION("VLOOKUP(F9224, IMPORTRANGE(""https://docs.google.com/spreadsheets/d/1Lhp9OU0JdFf_VYSMzH5lBcEaU4o8teT1piV-SNzShjg/edit?gid=554141278#gid=554141278"", ""'Char Def. - Attributes'!C20:C2242""), 1,false)"),"ALT_UOM3_SIPI")</f>
        <v>ALT_UOM3_SIPI</v>
      </c>
      <c r="I9224" s="136"/>
      <c r="R9224" s="63" t="str">
        <f t="shared" si="60"/>
        <v>ZSI1_FABRICAT_ITEMALT_UOM3_SIPI</v>
      </c>
    </row>
    <row r="9225" ht="15.75" customHeight="1">
      <c r="B9225" s="63">
        <f t="shared" si="1"/>
        <v>18</v>
      </c>
      <c r="C9225" s="135" t="s">
        <v>388</v>
      </c>
      <c r="D9225" s="161" t="s">
        <v>74</v>
      </c>
      <c r="E9225" s="135">
        <f t="shared" si="62"/>
        <v>21</v>
      </c>
      <c r="F9225" s="134" t="s">
        <v>3811</v>
      </c>
      <c r="G9225" s="63" t="str">
        <f>VLOOKUP(C9225, 'Class Def. - General Data'!$C$20:$C$1000,1,false)</f>
        <v>ZSI1_FABRICAT_ITEM</v>
      </c>
      <c r="H9225" s="63" t="str">
        <f>IFERROR(__xludf.DUMMYFUNCTION("VLOOKUP(F9225, IMPORTRANGE(""https://docs.google.com/spreadsheets/d/1Lhp9OU0JdFf_VYSMzH5lBcEaU4o8teT1piV-SNzShjg/edit?gid=554141278#gid=554141278"", ""'Char Def. - Attributes'!C20:C2242""), 1,false)"),"ALT_DENUM_UOM3")</f>
        <v>ALT_DENUM_UOM3</v>
      </c>
      <c r="I9225" s="136"/>
      <c r="R9225" s="63" t="str">
        <f t="shared" si="60"/>
        <v>ZSI1_FABRICAT_ITEMALT_DENUM_UOM3</v>
      </c>
    </row>
    <row r="9226" ht="15.75" customHeight="1">
      <c r="B9226" s="63">
        <f t="shared" si="1"/>
        <v>18</v>
      </c>
      <c r="C9226" s="135" t="s">
        <v>388</v>
      </c>
      <c r="D9226" s="161" t="s">
        <v>74</v>
      </c>
      <c r="E9226" s="135">
        <f t="shared" si="62"/>
        <v>22</v>
      </c>
      <c r="F9226" s="134" t="s">
        <v>3812</v>
      </c>
      <c r="G9226" s="63" t="str">
        <f>VLOOKUP(C9226, 'Class Def. - General Data'!$C$20:$C$1000,1,false)</f>
        <v>ZSI1_FABRICAT_ITEM</v>
      </c>
      <c r="H9226" s="63" t="str">
        <f>IFERROR(__xludf.DUMMYFUNCTION("VLOOKUP(F9226, IMPORTRANGE(""https://docs.google.com/spreadsheets/d/1Lhp9OU0JdFf_VYSMzH5lBcEaU4o8teT1piV-SNzShjg/edit?gid=554141278#gid=554141278"", ""'Char Def. - Attributes'!C20:C2242""), 1,false)"),"ALT_NUM_UOM3")</f>
        <v>ALT_NUM_UOM3</v>
      </c>
      <c r="I9226" s="136"/>
      <c r="R9226" s="63" t="str">
        <f t="shared" si="60"/>
        <v>ZSI1_FABRICAT_ITEMALT_NUM_UOM3</v>
      </c>
    </row>
    <row r="9227" ht="15.75" customHeight="1">
      <c r="B9227" s="63">
        <f t="shared" si="1"/>
        <v>18</v>
      </c>
      <c r="C9227" s="135" t="s">
        <v>388</v>
      </c>
      <c r="D9227" s="161" t="s">
        <v>74</v>
      </c>
      <c r="E9227" s="135">
        <f t="shared" si="62"/>
        <v>23</v>
      </c>
      <c r="F9227" s="134" t="s">
        <v>3813</v>
      </c>
      <c r="G9227" s="63" t="str">
        <f>VLOOKUP(C9227, 'Class Def. - General Data'!$C$20:$C$1000,1,false)</f>
        <v>ZSI1_FABRICAT_ITEM</v>
      </c>
      <c r="H9227" s="63" t="str">
        <f>IFERROR(__xludf.DUMMYFUNCTION("VLOOKUP(F9227, IMPORTRANGE(""https://docs.google.com/spreadsheets/d/1Lhp9OU0JdFf_VYSMzH5lBcEaU4o8teT1piV-SNzShjg/edit?gid=554141278#gid=554141278"", ""'Char Def. - Attributes'!C20:C2242""), 1,false)"),"ALT_UOM4_SIPI")</f>
        <v>ALT_UOM4_SIPI</v>
      </c>
      <c r="I9227" s="136"/>
      <c r="R9227" s="63" t="str">
        <f t="shared" si="60"/>
        <v>ZSI1_FABRICAT_ITEMALT_UOM4_SIPI</v>
      </c>
    </row>
    <row r="9228" ht="15.75" customHeight="1">
      <c r="B9228" s="63">
        <f t="shared" si="1"/>
        <v>18</v>
      </c>
      <c r="C9228" s="135" t="s">
        <v>388</v>
      </c>
      <c r="D9228" s="161" t="s">
        <v>74</v>
      </c>
      <c r="E9228" s="135">
        <f t="shared" si="62"/>
        <v>24</v>
      </c>
      <c r="F9228" s="134" t="s">
        <v>3814</v>
      </c>
      <c r="G9228" s="63" t="str">
        <f>VLOOKUP(C9228, 'Class Def. - General Data'!$C$20:$C$1000,1,false)</f>
        <v>ZSI1_FABRICAT_ITEM</v>
      </c>
      <c r="H9228" s="63" t="str">
        <f>IFERROR(__xludf.DUMMYFUNCTION("VLOOKUP(F9228, IMPORTRANGE(""https://docs.google.com/spreadsheets/d/1Lhp9OU0JdFf_VYSMzH5lBcEaU4o8teT1piV-SNzShjg/edit?gid=554141278#gid=554141278"", ""'Char Def. - Attributes'!C20:C2242""), 1,false)"),"ALT_DENUM_UOM4")</f>
        <v>ALT_DENUM_UOM4</v>
      </c>
      <c r="I9228" s="136"/>
      <c r="R9228" s="63" t="str">
        <f t="shared" si="60"/>
        <v>ZSI1_FABRICAT_ITEMALT_DENUM_UOM4</v>
      </c>
    </row>
    <row r="9229" ht="15.75" customHeight="1">
      <c r="B9229" s="63">
        <f t="shared" si="1"/>
        <v>18</v>
      </c>
      <c r="C9229" s="135" t="s">
        <v>388</v>
      </c>
      <c r="D9229" s="161" t="s">
        <v>74</v>
      </c>
      <c r="E9229" s="135">
        <f t="shared" si="62"/>
        <v>25</v>
      </c>
      <c r="F9229" s="134" t="s">
        <v>3815</v>
      </c>
      <c r="G9229" s="63" t="str">
        <f>VLOOKUP(C9229, 'Class Def. - General Data'!$C$20:$C$1000,1,false)</f>
        <v>ZSI1_FABRICAT_ITEM</v>
      </c>
      <c r="H9229" s="63" t="str">
        <f>IFERROR(__xludf.DUMMYFUNCTION("VLOOKUP(F9229, IMPORTRANGE(""https://docs.google.com/spreadsheets/d/1Lhp9OU0JdFf_VYSMzH5lBcEaU4o8teT1piV-SNzShjg/edit?gid=554141278#gid=554141278"", ""'Char Def. - Attributes'!C20:C2242""), 1,false)"),"ALT_NUM_UOM4")</f>
        <v>ALT_NUM_UOM4</v>
      </c>
      <c r="I9229" s="136"/>
      <c r="R9229" s="63" t="str">
        <f t="shared" si="60"/>
        <v>ZSI1_FABRICAT_ITEMALT_NUM_UOM4</v>
      </c>
    </row>
    <row r="9230" ht="15.75" customHeight="1">
      <c r="B9230" s="63">
        <f t="shared" si="1"/>
        <v>18</v>
      </c>
      <c r="C9230" s="135" t="s">
        <v>388</v>
      </c>
      <c r="D9230" s="161" t="s">
        <v>74</v>
      </c>
      <c r="E9230" s="135">
        <f t="shared" si="62"/>
        <v>26</v>
      </c>
      <c r="F9230" s="134" t="s">
        <v>3816</v>
      </c>
      <c r="G9230" s="63" t="str">
        <f>VLOOKUP(C9230, 'Class Def. - General Data'!$C$20:$C$1000,1,false)</f>
        <v>ZSI1_FABRICAT_ITEM</v>
      </c>
      <c r="H9230" s="63" t="str">
        <f>IFERROR(__xludf.DUMMYFUNCTION("VLOOKUP(F9230, IMPORTRANGE(""https://docs.google.com/spreadsheets/d/1Lhp9OU0JdFf_VYSMzH5lBcEaU4o8teT1piV-SNzShjg/edit?gid=554141278#gid=554141278"", ""'Char Def. - Attributes'!C20:C2242""), 1,false)"),"ALT_UOM5_SIPI")</f>
        <v>ALT_UOM5_SIPI</v>
      </c>
      <c r="I9230" s="136"/>
      <c r="R9230" s="63" t="str">
        <f t="shared" si="60"/>
        <v>ZSI1_FABRICAT_ITEMALT_UOM5_SIPI</v>
      </c>
    </row>
    <row r="9231" ht="15.75" customHeight="1">
      <c r="B9231" s="63">
        <f t="shared" si="1"/>
        <v>18</v>
      </c>
      <c r="C9231" s="135" t="s">
        <v>388</v>
      </c>
      <c r="D9231" s="161" t="s">
        <v>74</v>
      </c>
      <c r="E9231" s="135">
        <f t="shared" si="62"/>
        <v>27</v>
      </c>
      <c r="F9231" s="134" t="s">
        <v>3817</v>
      </c>
      <c r="G9231" s="63" t="str">
        <f>VLOOKUP(C9231, 'Class Def. - General Data'!$C$20:$C$1000,1,false)</f>
        <v>ZSI1_FABRICAT_ITEM</v>
      </c>
      <c r="H9231" s="63" t="str">
        <f>IFERROR(__xludf.DUMMYFUNCTION("VLOOKUP(F9231, IMPORTRANGE(""https://docs.google.com/spreadsheets/d/1Lhp9OU0JdFf_VYSMzH5lBcEaU4o8teT1piV-SNzShjg/edit?gid=554141278#gid=554141278"", ""'Char Def. - Attributes'!C20:C2242""), 1,false)"),"ALT_DENUM_UOM5")</f>
        <v>ALT_DENUM_UOM5</v>
      </c>
      <c r="I9231" s="136"/>
      <c r="R9231" s="63" t="str">
        <f t="shared" si="60"/>
        <v>ZSI1_FABRICAT_ITEMALT_DENUM_UOM5</v>
      </c>
    </row>
    <row r="9232" ht="15.75" customHeight="1">
      <c r="B9232" s="63">
        <f t="shared" si="1"/>
        <v>18</v>
      </c>
      <c r="C9232" s="135" t="s">
        <v>388</v>
      </c>
      <c r="D9232" s="161" t="s">
        <v>74</v>
      </c>
      <c r="E9232" s="135">
        <f t="shared" si="62"/>
        <v>28</v>
      </c>
      <c r="F9232" s="134" t="s">
        <v>3818</v>
      </c>
      <c r="G9232" s="63" t="str">
        <f>VLOOKUP(C9232, 'Class Def. - General Data'!$C$20:$C$1000,1,false)</f>
        <v>ZSI1_FABRICAT_ITEM</v>
      </c>
      <c r="H9232" s="63" t="str">
        <f>IFERROR(__xludf.DUMMYFUNCTION("VLOOKUP(F9232, IMPORTRANGE(""https://docs.google.com/spreadsheets/d/1Lhp9OU0JdFf_VYSMzH5lBcEaU4o8teT1piV-SNzShjg/edit?gid=554141278#gid=554141278"", ""'Char Def. - Attributes'!C20:C2242""), 1,false)"),"ALT_NUM_UOM5")</f>
        <v>ALT_NUM_UOM5</v>
      </c>
      <c r="I9232" s="136"/>
      <c r="R9232" s="63" t="str">
        <f t="shared" si="60"/>
        <v>ZSI1_FABRICAT_ITEMALT_NUM_UOM5</v>
      </c>
    </row>
    <row r="9233" ht="15.75" customHeight="1">
      <c r="B9233" s="63">
        <f t="shared" si="1"/>
        <v>11</v>
      </c>
      <c r="C9233" s="135" t="s">
        <v>496</v>
      </c>
      <c r="D9233" s="161" t="s">
        <v>74</v>
      </c>
      <c r="E9233" s="135">
        <f t="shared" si="62"/>
        <v>1</v>
      </c>
      <c r="F9233" s="134" t="s">
        <v>4499</v>
      </c>
      <c r="G9233" s="63" t="str">
        <f>VLOOKUP(C9233, 'Class Def. - General Data'!$C$20:$C$1000,1,false)</f>
        <v>ZSI1_FILTER</v>
      </c>
      <c r="H9233" s="63" t="str">
        <f>IFERROR(__xludf.DUMMYFUNCTION("VLOOKUP(F9233, IMPORTRANGE(""https://docs.google.com/spreadsheets/d/1Lhp9OU0JdFf_VYSMzH5lBcEaU4o8teT1piV-SNzShjg/edit?gid=554141278#gid=554141278"", ""'Char Def. - Attributes'!C20:C2242""), 1,false)"),"ITEM_NAME_FILTER")</f>
        <v>ITEM_NAME_FILTER</v>
      </c>
      <c r="I9233" s="136"/>
      <c r="R9233" s="63" t="str">
        <f t="shared" si="60"/>
        <v>ZSI1_FILTERITEM_NAME_FILTER</v>
      </c>
    </row>
    <row r="9234" ht="15.75" customHeight="1">
      <c r="B9234" s="63">
        <f t="shared" si="1"/>
        <v>11</v>
      </c>
      <c r="C9234" s="135" t="s">
        <v>496</v>
      </c>
      <c r="D9234" s="161" t="s">
        <v>74</v>
      </c>
      <c r="E9234" s="135">
        <f t="shared" si="62"/>
        <v>2</v>
      </c>
      <c r="F9234" s="134" t="s">
        <v>4500</v>
      </c>
      <c r="G9234" s="63" t="str">
        <f>VLOOKUP(C9234, 'Class Def. - General Data'!$C$20:$C$1000,1,false)</f>
        <v>ZSI1_FILTER</v>
      </c>
      <c r="H9234" s="63" t="str">
        <f>IFERROR(__xludf.DUMMYFUNCTION("VLOOKUP(F9234, IMPORTRANGE(""https://docs.google.com/spreadsheets/d/1Lhp9OU0JdFf_VYSMzH5lBcEaU4o8teT1piV-SNzShjg/edit?gid=554141278#gid=554141278"", ""'Char Def. - Attributes'!C20:C2242""), 1,false)"),"MFR_NO_FILTER")</f>
        <v>MFR_NO_FILTER</v>
      </c>
      <c r="I9234" s="136"/>
      <c r="R9234" s="63" t="str">
        <f t="shared" si="60"/>
        <v>ZSI1_FILTERMFR_NO_FILTER</v>
      </c>
    </row>
    <row r="9235" ht="15.75" customHeight="1">
      <c r="B9235" s="63">
        <f t="shared" si="1"/>
        <v>11</v>
      </c>
      <c r="C9235" s="135" t="s">
        <v>496</v>
      </c>
      <c r="D9235" s="161" t="s">
        <v>74</v>
      </c>
      <c r="E9235" s="135">
        <f t="shared" si="62"/>
        <v>3</v>
      </c>
      <c r="F9235" s="134" t="s">
        <v>3782</v>
      </c>
      <c r="G9235" s="63" t="str">
        <f>VLOOKUP(C9235, 'Class Def. - General Data'!$C$20:$C$1000,1,false)</f>
        <v>ZSI1_FILTER</v>
      </c>
      <c r="H9235" s="63" t="str">
        <f>IFERROR(__xludf.DUMMYFUNCTION("VLOOKUP(F9235, IMPORTRANGE(""https://docs.google.com/spreadsheets/d/1Lhp9OU0JdFf_VYSMzH5lBcEaU4o8teT1piV-SNzShjg/edit?gid=554141278#gid=554141278"", ""'Char Def. - Attributes'!C20:C2242""), 1,false)"),"BRAND_EXTERNAL")</f>
        <v>BRAND_EXTERNAL</v>
      </c>
      <c r="I9235" s="136"/>
      <c r="R9235" s="63" t="str">
        <f t="shared" si="60"/>
        <v>ZSI1_FILTERBRAND_EXTERNAL</v>
      </c>
    </row>
    <row r="9236" ht="15.75" customHeight="1">
      <c r="B9236" s="63">
        <f t="shared" si="1"/>
        <v>11</v>
      </c>
      <c r="C9236" s="135" t="s">
        <v>496</v>
      </c>
      <c r="D9236" s="161" t="s">
        <v>74</v>
      </c>
      <c r="E9236" s="135">
        <f t="shared" si="62"/>
        <v>4</v>
      </c>
      <c r="F9236" s="134" t="s">
        <v>4053</v>
      </c>
      <c r="G9236" s="63" t="str">
        <f>VLOOKUP(C9236, 'Class Def. - General Data'!$C$20:$C$1000,1,false)</f>
        <v>ZSI1_FILTER</v>
      </c>
      <c r="H9236" s="63" t="str">
        <f>IFERROR(__xludf.DUMMYFUNCTION("VLOOKUP(F9236, IMPORTRANGE(""https://docs.google.com/spreadsheets/d/1Lhp9OU0JdFf_VYSMzH5lBcEaU4o8teT1piV-SNzShjg/edit?gid=554141278#gid=554141278"", ""'Char Def. - Attributes'!C20:C2242""), 1,false)"),"MAINTENANCE_ORDER_TYPE")</f>
        <v>MAINTENANCE_ORDER_TYPE</v>
      </c>
      <c r="I9236" s="136"/>
      <c r="R9236" s="63" t="str">
        <f t="shared" si="60"/>
        <v>ZSI1_FILTERMAINTENANCE_ORDER_TYPE</v>
      </c>
    </row>
    <row r="9237" ht="15.75" customHeight="1">
      <c r="B9237" s="63">
        <f t="shared" si="1"/>
        <v>11</v>
      </c>
      <c r="C9237" s="135" t="s">
        <v>496</v>
      </c>
      <c r="D9237" s="161" t="s">
        <v>74</v>
      </c>
      <c r="E9237" s="135">
        <f t="shared" si="62"/>
        <v>5</v>
      </c>
      <c r="F9237" s="134" t="s">
        <v>3585</v>
      </c>
      <c r="G9237" s="63" t="str">
        <f>VLOOKUP(C9237, 'Class Def. - General Data'!$C$20:$C$1000,1,false)</f>
        <v>ZSI1_FILTER</v>
      </c>
      <c r="H9237" s="63" t="str">
        <f>IFERROR(__xludf.DUMMYFUNCTION("VLOOKUP(F9237, IMPORTRANGE(""https://docs.google.com/spreadsheets/d/1Lhp9OU0JdFf_VYSMzH5lBcEaU4o8teT1piV-SNzShjg/edit?gid=554141278#gid=554141278"", ""'Char Def. - Attributes'!C20:C2242""), 1,false)"),"HS_CODE")</f>
        <v>HS_CODE</v>
      </c>
      <c r="I9237" s="136"/>
      <c r="R9237" s="63" t="str">
        <f t="shared" si="60"/>
        <v>ZSI1_FILTERHS_CODE</v>
      </c>
    </row>
    <row r="9238" ht="15.75" customHeight="1">
      <c r="B9238" s="63">
        <f t="shared" si="1"/>
        <v>11</v>
      </c>
      <c r="C9238" s="135" t="s">
        <v>496</v>
      </c>
      <c r="D9238" s="161" t="s">
        <v>74</v>
      </c>
      <c r="E9238" s="135">
        <f t="shared" si="62"/>
        <v>6</v>
      </c>
      <c r="F9238" s="134" t="s">
        <v>3587</v>
      </c>
      <c r="G9238" s="63" t="str">
        <f>VLOOKUP(C9238, 'Class Def. - General Data'!$C$20:$C$1000,1,false)</f>
        <v>ZSI1_FILTER</v>
      </c>
      <c r="H9238" s="63" t="str">
        <f>IFERROR(__xludf.DUMMYFUNCTION("VLOOKUP(F9238, IMPORTRANGE(""https://docs.google.com/spreadsheets/d/1Lhp9OU0JdFf_VYSMzH5lBcEaU4o8teT1piV-SNzShjg/edit?gid=554141278#gid=554141278"", ""'Char Def. - Attributes'!C20:C2242""), 1,false)"),"PLANT_BUY")</f>
        <v>PLANT_BUY</v>
      </c>
      <c r="I9238" s="136"/>
      <c r="R9238" s="63" t="str">
        <f t="shared" si="60"/>
        <v>ZSI1_FILTERPLANT_BUY</v>
      </c>
    </row>
    <row r="9239" ht="15.75" customHeight="1">
      <c r="B9239" s="63">
        <f t="shared" si="1"/>
        <v>11</v>
      </c>
      <c r="C9239" s="135" t="s">
        <v>496</v>
      </c>
      <c r="D9239" s="161" t="s">
        <v>74</v>
      </c>
      <c r="E9239" s="135">
        <f t="shared" si="62"/>
        <v>7</v>
      </c>
      <c r="F9239" s="134" t="s">
        <v>4501</v>
      </c>
      <c r="G9239" s="63" t="str">
        <f>VLOOKUP(C9239, 'Class Def. - General Data'!$C$20:$C$1000,1,false)</f>
        <v>ZSI1_FILTER</v>
      </c>
      <c r="H9239" s="63" t="str">
        <f>IFERROR(__xludf.DUMMYFUNCTION("VLOOKUP(F9239, IMPORTRANGE(""https://docs.google.com/spreadsheets/d/1Lhp9OU0JdFf_VYSMzH5lBcEaU4o8teT1piV-SNzShjg/edit?gid=554141278#gid=554141278"", ""'Char Def. - Attributes'!C20:C2242""), 1,false)"),"BASE_UOM_FILTER")</f>
        <v>BASE_UOM_FILTER</v>
      </c>
      <c r="I9239" s="136"/>
      <c r="R9239" s="63" t="str">
        <f t="shared" si="60"/>
        <v>ZSI1_FILTERBASE_UOM_FILTER</v>
      </c>
    </row>
    <row r="9240" ht="15.75" customHeight="1">
      <c r="B9240" s="63">
        <f t="shared" si="1"/>
        <v>11</v>
      </c>
      <c r="C9240" s="135" t="s">
        <v>496</v>
      </c>
      <c r="D9240" s="161" t="s">
        <v>74</v>
      </c>
      <c r="E9240" s="135">
        <f t="shared" si="62"/>
        <v>8</v>
      </c>
      <c r="F9240" s="134" t="s">
        <v>4502</v>
      </c>
      <c r="G9240" s="63" t="str">
        <f>VLOOKUP(C9240, 'Class Def. - General Data'!$C$20:$C$1000,1,false)</f>
        <v>ZSI1_FILTER</v>
      </c>
      <c r="H9240" s="63" t="str">
        <f>IFERROR(__xludf.DUMMYFUNCTION("VLOOKUP(F9240, IMPORTRANGE(""https://docs.google.com/spreadsheets/d/1Lhp9OU0JdFf_VYSMzH5lBcEaU4o8teT1piV-SNzShjg/edit?gid=554141278#gid=554141278"", ""'Char Def. - Attributes'!C20:C2242""), 1,false)"),"ORDER_UNIT_FILTER")</f>
        <v>ORDER_UNIT_FILTER</v>
      </c>
      <c r="I9240" s="136"/>
      <c r="R9240" s="63" t="str">
        <f t="shared" si="60"/>
        <v>ZSI1_FILTERORDER_UNIT_FILTER</v>
      </c>
    </row>
    <row r="9241" ht="15.75" customHeight="1">
      <c r="B9241" s="63">
        <f t="shared" si="1"/>
        <v>11</v>
      </c>
      <c r="C9241" s="135" t="s">
        <v>496</v>
      </c>
      <c r="D9241" s="161" t="s">
        <v>74</v>
      </c>
      <c r="E9241" s="135">
        <f t="shared" si="62"/>
        <v>9</v>
      </c>
      <c r="F9241" s="134" t="s">
        <v>4056</v>
      </c>
      <c r="G9241" s="63" t="str">
        <f>VLOOKUP(C9241, 'Class Def. - General Data'!$C$20:$C$1000,1,false)</f>
        <v>ZSI1_FILTER</v>
      </c>
      <c r="H9241" s="63" t="str">
        <f>IFERROR(__xludf.DUMMYFUNCTION("VLOOKUP(F9241, IMPORTRANGE(""https://docs.google.com/spreadsheets/d/1Lhp9OU0JdFf_VYSMzH5lBcEaU4o8teT1piV-SNzShjg/edit?gid=554141278#gid=554141278"", ""'Char Def. - Attributes'!C20:C2242""), 1,false)"),"GROSS_WEIGHT_OPT")</f>
        <v>GROSS_WEIGHT_OPT</v>
      </c>
      <c r="I9241" s="136"/>
      <c r="R9241" s="63" t="str">
        <f t="shared" si="60"/>
        <v>ZSI1_FILTERGROSS_WEIGHT_OPT</v>
      </c>
    </row>
    <row r="9242" ht="15.75" customHeight="1">
      <c r="B9242" s="63">
        <f t="shared" si="1"/>
        <v>11</v>
      </c>
      <c r="C9242" s="135" t="s">
        <v>496</v>
      </c>
      <c r="D9242" s="161" t="s">
        <v>74</v>
      </c>
      <c r="E9242" s="135">
        <f t="shared" si="62"/>
        <v>10</v>
      </c>
      <c r="F9242" s="134" t="s">
        <v>4057</v>
      </c>
      <c r="G9242" s="63" t="str">
        <f>VLOOKUP(C9242, 'Class Def. - General Data'!$C$20:$C$1000,1,false)</f>
        <v>ZSI1_FILTER</v>
      </c>
      <c r="H9242" s="63" t="str">
        <f>IFERROR(__xludf.DUMMYFUNCTION("VLOOKUP(F9242, IMPORTRANGE(""https://docs.google.com/spreadsheets/d/1Lhp9OU0JdFf_VYSMzH5lBcEaU4o8teT1piV-SNzShjg/edit?gid=554141278#gid=554141278"", ""'Char Def. - Attributes'!C20:C2242""), 1,false)"),"NET_WEIGHT_OPT")</f>
        <v>NET_WEIGHT_OPT</v>
      </c>
      <c r="I9242" s="136"/>
      <c r="R9242" s="63" t="str">
        <f t="shared" si="60"/>
        <v>ZSI1_FILTERNET_WEIGHT_OPT</v>
      </c>
    </row>
    <row r="9243" ht="15.75" customHeight="1">
      <c r="B9243" s="63">
        <f t="shared" si="1"/>
        <v>11</v>
      </c>
      <c r="C9243" s="135" t="s">
        <v>496</v>
      </c>
      <c r="D9243" s="161" t="s">
        <v>74</v>
      </c>
      <c r="E9243" s="135">
        <f t="shared" si="62"/>
        <v>11</v>
      </c>
      <c r="F9243" s="134" t="s">
        <v>4058</v>
      </c>
      <c r="G9243" s="63" t="str">
        <f>VLOOKUP(C9243, 'Class Def. - General Data'!$C$20:$C$1000,1,false)</f>
        <v>ZSI1_FILTER</v>
      </c>
      <c r="H9243" s="63" t="str">
        <f>IFERROR(__xludf.DUMMYFUNCTION("VLOOKUP(F9243, IMPORTRANGE(""https://docs.google.com/spreadsheets/d/1Lhp9OU0JdFf_VYSMzH5lBcEaU4o8teT1piV-SNzShjg/edit?gid=554141278#gid=554141278"", ""'Char Def. - Attributes'!C20:C2242""), 1,false)"),"WEIGHT_UNIT_SI")</f>
        <v>WEIGHT_UNIT_SI</v>
      </c>
      <c r="I9243" s="136"/>
      <c r="R9243" s="63" t="str">
        <f t="shared" si="60"/>
        <v>ZSI1_FILTERWEIGHT_UNIT_SI</v>
      </c>
    </row>
    <row r="9244" ht="15.75" customHeight="1">
      <c r="B9244" s="63">
        <f t="shared" si="1"/>
        <v>11</v>
      </c>
      <c r="C9244" s="135" t="s">
        <v>496</v>
      </c>
      <c r="D9244" s="161" t="s">
        <v>74</v>
      </c>
      <c r="E9244" s="135">
        <f t="shared" si="62"/>
        <v>12</v>
      </c>
      <c r="F9244" s="134" t="s">
        <v>3877</v>
      </c>
      <c r="G9244" s="63" t="str">
        <f>VLOOKUP(C9244, 'Class Def. - General Data'!$C$20:$C$1000,1,false)</f>
        <v>ZSI1_FILTER</v>
      </c>
      <c r="H9244" s="63" t="str">
        <f>IFERROR(__xludf.DUMMYFUNCTION("VLOOKUP(F9244, IMPORTRANGE(""https://docs.google.com/spreadsheets/d/1Lhp9OU0JdFf_VYSMzH5lBcEaU4o8teT1piV-SNzShjg/edit?gid=554141278#gid=554141278"", ""'Char Def. - Attributes'!C20:C2242""), 1,false)"),"VOLUME_OPT")</f>
        <v>VOLUME_OPT</v>
      </c>
      <c r="I9244" s="136"/>
      <c r="R9244" s="63" t="str">
        <f t="shared" si="60"/>
        <v>ZSI1_FILTERVOLUME_OPT</v>
      </c>
    </row>
    <row r="9245" ht="15.75" customHeight="1">
      <c r="B9245" s="63">
        <f t="shared" si="1"/>
        <v>11</v>
      </c>
      <c r="C9245" s="135" t="s">
        <v>496</v>
      </c>
      <c r="D9245" s="161" t="s">
        <v>74</v>
      </c>
      <c r="E9245" s="135">
        <f t="shared" si="62"/>
        <v>13</v>
      </c>
      <c r="F9245" s="134" t="s">
        <v>4059</v>
      </c>
      <c r="G9245" s="63" t="str">
        <f>VLOOKUP(C9245, 'Class Def. - General Data'!$C$20:$C$1000,1,false)</f>
        <v>ZSI1_FILTER</v>
      </c>
      <c r="H9245" s="63" t="str">
        <f>IFERROR(__xludf.DUMMYFUNCTION("VLOOKUP(F9245, IMPORTRANGE(""https://docs.google.com/spreadsheets/d/1Lhp9OU0JdFf_VYSMzH5lBcEaU4o8teT1piV-SNzShjg/edit?gid=554141278#gid=554141278"", ""'Char Def. - Attributes'!C20:C2242""), 1,false)"),"VOLUME_UNIT_SI")</f>
        <v>VOLUME_UNIT_SI</v>
      </c>
      <c r="I9245" s="136"/>
      <c r="R9245" s="63" t="str">
        <f t="shared" si="60"/>
        <v>ZSI1_FILTERVOLUME_UNIT_SI</v>
      </c>
    </row>
    <row r="9246" ht="15.75" customHeight="1">
      <c r="B9246" s="63">
        <f t="shared" si="1"/>
        <v>11</v>
      </c>
      <c r="C9246" s="135" t="s">
        <v>496</v>
      </c>
      <c r="D9246" s="161" t="s">
        <v>74</v>
      </c>
      <c r="E9246" s="135">
        <f t="shared" si="62"/>
        <v>14</v>
      </c>
      <c r="F9246" s="134" t="s">
        <v>3804</v>
      </c>
      <c r="G9246" s="63" t="str">
        <f>VLOOKUP(C9246, 'Class Def. - General Data'!$C$20:$C$1000,1,false)</f>
        <v>ZSI1_FILTER</v>
      </c>
      <c r="H9246" s="63" t="str">
        <f>IFERROR(__xludf.DUMMYFUNCTION("VLOOKUP(F9246, IMPORTRANGE(""https://docs.google.com/spreadsheets/d/1Lhp9OU0JdFf_VYSMzH5lBcEaU4o8teT1piV-SNzShjg/edit?gid=554141278#gid=554141278"", ""'Char Def. - Attributes'!C20:C2242""), 1,false)"),"ALT_UOM1_SIPI")</f>
        <v>ALT_UOM1_SIPI</v>
      </c>
      <c r="I9246" s="136"/>
      <c r="R9246" s="63" t="str">
        <f t="shared" si="60"/>
        <v>ZSI1_FILTERALT_UOM1_SIPI</v>
      </c>
    </row>
    <row r="9247" ht="15.75" customHeight="1">
      <c r="B9247" s="63">
        <f t="shared" si="1"/>
        <v>11</v>
      </c>
      <c r="C9247" s="135" t="s">
        <v>496</v>
      </c>
      <c r="D9247" s="161" t="s">
        <v>74</v>
      </c>
      <c r="E9247" s="135">
        <f t="shared" si="62"/>
        <v>15</v>
      </c>
      <c r="F9247" s="134" t="s">
        <v>3805</v>
      </c>
      <c r="G9247" s="63" t="str">
        <f>VLOOKUP(C9247, 'Class Def. - General Data'!$C$20:$C$1000,1,false)</f>
        <v>ZSI1_FILTER</v>
      </c>
      <c r="H9247" s="63" t="str">
        <f>IFERROR(__xludf.DUMMYFUNCTION("VLOOKUP(F9247, IMPORTRANGE(""https://docs.google.com/spreadsheets/d/1Lhp9OU0JdFf_VYSMzH5lBcEaU4o8teT1piV-SNzShjg/edit?gid=554141278#gid=554141278"", ""'Char Def. - Attributes'!C20:C2242""), 1,false)"),"ALT_DENUM_UOM1")</f>
        <v>ALT_DENUM_UOM1</v>
      </c>
      <c r="I9247" s="136"/>
      <c r="R9247" s="63" t="str">
        <f t="shared" si="60"/>
        <v>ZSI1_FILTERALT_DENUM_UOM1</v>
      </c>
    </row>
    <row r="9248" ht="15.75" customHeight="1">
      <c r="B9248" s="63">
        <f t="shared" si="1"/>
        <v>11</v>
      </c>
      <c r="C9248" s="135" t="s">
        <v>496</v>
      </c>
      <c r="D9248" s="161" t="s">
        <v>74</v>
      </c>
      <c r="E9248" s="135">
        <f t="shared" si="62"/>
        <v>16</v>
      </c>
      <c r="F9248" s="134" t="s">
        <v>3806</v>
      </c>
      <c r="G9248" s="63" t="str">
        <f>VLOOKUP(C9248, 'Class Def. - General Data'!$C$20:$C$1000,1,false)</f>
        <v>ZSI1_FILTER</v>
      </c>
      <c r="H9248" s="63" t="str">
        <f>IFERROR(__xludf.DUMMYFUNCTION("VLOOKUP(F9248, IMPORTRANGE(""https://docs.google.com/spreadsheets/d/1Lhp9OU0JdFf_VYSMzH5lBcEaU4o8teT1piV-SNzShjg/edit?gid=554141278#gid=554141278"", ""'Char Def. - Attributes'!C20:C2242""), 1,false)"),"ALT_NUM_UOM1")</f>
        <v>ALT_NUM_UOM1</v>
      </c>
      <c r="I9248" s="136"/>
      <c r="R9248" s="63" t="str">
        <f t="shared" si="60"/>
        <v>ZSI1_FILTERALT_NUM_UOM1</v>
      </c>
    </row>
    <row r="9249" ht="15.75" customHeight="1">
      <c r="B9249" s="63">
        <f t="shared" si="1"/>
        <v>11</v>
      </c>
      <c r="C9249" s="135" t="s">
        <v>496</v>
      </c>
      <c r="D9249" s="161" t="s">
        <v>74</v>
      </c>
      <c r="E9249" s="135">
        <f t="shared" si="62"/>
        <v>17</v>
      </c>
      <c r="F9249" s="134" t="s">
        <v>3807</v>
      </c>
      <c r="G9249" s="63" t="str">
        <f>VLOOKUP(C9249, 'Class Def. - General Data'!$C$20:$C$1000,1,false)</f>
        <v>ZSI1_FILTER</v>
      </c>
      <c r="H9249" s="63" t="str">
        <f>IFERROR(__xludf.DUMMYFUNCTION("VLOOKUP(F9249, IMPORTRANGE(""https://docs.google.com/spreadsheets/d/1Lhp9OU0JdFf_VYSMzH5lBcEaU4o8teT1piV-SNzShjg/edit?gid=554141278#gid=554141278"", ""'Char Def. - Attributes'!C20:C2242""), 1,false)"),"ALT_UOM2_SIPI")</f>
        <v>ALT_UOM2_SIPI</v>
      </c>
      <c r="I9249" s="136"/>
      <c r="R9249" s="63" t="str">
        <f t="shared" si="60"/>
        <v>ZSI1_FILTERALT_UOM2_SIPI</v>
      </c>
    </row>
    <row r="9250" ht="15.75" customHeight="1">
      <c r="B9250" s="63">
        <f t="shared" si="1"/>
        <v>11</v>
      </c>
      <c r="C9250" s="135" t="s">
        <v>496</v>
      </c>
      <c r="D9250" s="161" t="s">
        <v>74</v>
      </c>
      <c r="E9250" s="135">
        <f t="shared" si="62"/>
        <v>18</v>
      </c>
      <c r="F9250" s="134" t="s">
        <v>3808</v>
      </c>
      <c r="G9250" s="63" t="str">
        <f>VLOOKUP(C9250, 'Class Def. - General Data'!$C$20:$C$1000,1,false)</f>
        <v>ZSI1_FILTER</v>
      </c>
      <c r="H9250" s="63" t="str">
        <f>IFERROR(__xludf.DUMMYFUNCTION("VLOOKUP(F9250, IMPORTRANGE(""https://docs.google.com/spreadsheets/d/1Lhp9OU0JdFf_VYSMzH5lBcEaU4o8teT1piV-SNzShjg/edit?gid=554141278#gid=554141278"", ""'Char Def. - Attributes'!C20:C2242""), 1,false)"),"ALT_DENUM_UOM2")</f>
        <v>ALT_DENUM_UOM2</v>
      </c>
      <c r="I9250" s="136"/>
      <c r="R9250" s="63" t="str">
        <f t="shared" si="60"/>
        <v>ZSI1_FILTERALT_DENUM_UOM2</v>
      </c>
    </row>
    <row r="9251" ht="15.75" customHeight="1">
      <c r="B9251" s="63">
        <f t="shared" si="1"/>
        <v>11</v>
      </c>
      <c r="C9251" s="135" t="s">
        <v>496</v>
      </c>
      <c r="D9251" s="161" t="s">
        <v>74</v>
      </c>
      <c r="E9251" s="135">
        <f t="shared" si="62"/>
        <v>19</v>
      </c>
      <c r="F9251" s="134" t="s">
        <v>3809</v>
      </c>
      <c r="G9251" s="63" t="str">
        <f>VLOOKUP(C9251, 'Class Def. - General Data'!$C$20:$C$1000,1,false)</f>
        <v>ZSI1_FILTER</v>
      </c>
      <c r="H9251" s="63" t="str">
        <f>IFERROR(__xludf.DUMMYFUNCTION("VLOOKUP(F9251, IMPORTRANGE(""https://docs.google.com/spreadsheets/d/1Lhp9OU0JdFf_VYSMzH5lBcEaU4o8teT1piV-SNzShjg/edit?gid=554141278#gid=554141278"", ""'Char Def. - Attributes'!C20:C2242""), 1,false)"),"ALT_NUM_UOM2")</f>
        <v>ALT_NUM_UOM2</v>
      </c>
      <c r="I9251" s="136"/>
      <c r="R9251" s="63" t="str">
        <f t="shared" si="60"/>
        <v>ZSI1_FILTERALT_NUM_UOM2</v>
      </c>
    </row>
    <row r="9252" ht="15.75" customHeight="1">
      <c r="B9252" s="63">
        <f t="shared" si="1"/>
        <v>11</v>
      </c>
      <c r="C9252" s="135" t="s">
        <v>496</v>
      </c>
      <c r="D9252" s="161" t="s">
        <v>74</v>
      </c>
      <c r="E9252" s="135">
        <f t="shared" si="62"/>
        <v>20</v>
      </c>
      <c r="F9252" s="134" t="s">
        <v>3810</v>
      </c>
      <c r="G9252" s="63" t="str">
        <f>VLOOKUP(C9252, 'Class Def. - General Data'!$C$20:$C$1000,1,false)</f>
        <v>ZSI1_FILTER</v>
      </c>
      <c r="H9252" s="63" t="str">
        <f>IFERROR(__xludf.DUMMYFUNCTION("VLOOKUP(F9252, IMPORTRANGE(""https://docs.google.com/spreadsheets/d/1Lhp9OU0JdFf_VYSMzH5lBcEaU4o8teT1piV-SNzShjg/edit?gid=554141278#gid=554141278"", ""'Char Def. - Attributes'!C20:C2242""), 1,false)"),"ALT_UOM3_SIPI")</f>
        <v>ALT_UOM3_SIPI</v>
      </c>
      <c r="I9252" s="136"/>
      <c r="R9252" s="63" t="str">
        <f t="shared" si="60"/>
        <v>ZSI1_FILTERALT_UOM3_SIPI</v>
      </c>
    </row>
    <row r="9253" ht="15.75" customHeight="1">
      <c r="B9253" s="63">
        <f t="shared" si="1"/>
        <v>11</v>
      </c>
      <c r="C9253" s="135" t="s">
        <v>496</v>
      </c>
      <c r="D9253" s="161" t="s">
        <v>74</v>
      </c>
      <c r="E9253" s="135">
        <f t="shared" si="62"/>
        <v>21</v>
      </c>
      <c r="F9253" s="134" t="s">
        <v>3811</v>
      </c>
      <c r="G9253" s="63" t="str">
        <f>VLOOKUP(C9253, 'Class Def. - General Data'!$C$20:$C$1000,1,false)</f>
        <v>ZSI1_FILTER</v>
      </c>
      <c r="H9253" s="63" t="str">
        <f>IFERROR(__xludf.DUMMYFUNCTION("VLOOKUP(F9253, IMPORTRANGE(""https://docs.google.com/spreadsheets/d/1Lhp9OU0JdFf_VYSMzH5lBcEaU4o8teT1piV-SNzShjg/edit?gid=554141278#gid=554141278"", ""'Char Def. - Attributes'!C20:C2242""), 1,false)"),"ALT_DENUM_UOM3")</f>
        <v>ALT_DENUM_UOM3</v>
      </c>
      <c r="I9253" s="136"/>
      <c r="R9253" s="63" t="str">
        <f t="shared" si="60"/>
        <v>ZSI1_FILTERALT_DENUM_UOM3</v>
      </c>
    </row>
    <row r="9254" ht="15.75" customHeight="1">
      <c r="B9254" s="63">
        <f t="shared" si="1"/>
        <v>11</v>
      </c>
      <c r="C9254" s="135" t="s">
        <v>496</v>
      </c>
      <c r="D9254" s="161" t="s">
        <v>74</v>
      </c>
      <c r="E9254" s="135">
        <f t="shared" si="62"/>
        <v>22</v>
      </c>
      <c r="F9254" s="134" t="s">
        <v>3812</v>
      </c>
      <c r="G9254" s="63" t="str">
        <f>VLOOKUP(C9254, 'Class Def. - General Data'!$C$20:$C$1000,1,false)</f>
        <v>ZSI1_FILTER</v>
      </c>
      <c r="H9254" s="63" t="str">
        <f>IFERROR(__xludf.DUMMYFUNCTION("VLOOKUP(F9254, IMPORTRANGE(""https://docs.google.com/spreadsheets/d/1Lhp9OU0JdFf_VYSMzH5lBcEaU4o8teT1piV-SNzShjg/edit?gid=554141278#gid=554141278"", ""'Char Def. - Attributes'!C20:C2242""), 1,false)"),"ALT_NUM_UOM3")</f>
        <v>ALT_NUM_UOM3</v>
      </c>
      <c r="I9254" s="136"/>
      <c r="R9254" s="63" t="str">
        <f t="shared" si="60"/>
        <v>ZSI1_FILTERALT_NUM_UOM3</v>
      </c>
    </row>
    <row r="9255" ht="15.75" customHeight="1">
      <c r="B9255" s="63">
        <f t="shared" si="1"/>
        <v>11</v>
      </c>
      <c r="C9255" s="135" t="s">
        <v>496</v>
      </c>
      <c r="D9255" s="161" t="s">
        <v>74</v>
      </c>
      <c r="E9255" s="135">
        <f t="shared" si="62"/>
        <v>23</v>
      </c>
      <c r="F9255" s="134" t="s">
        <v>3813</v>
      </c>
      <c r="G9255" s="63" t="str">
        <f>VLOOKUP(C9255, 'Class Def. - General Data'!$C$20:$C$1000,1,false)</f>
        <v>ZSI1_FILTER</v>
      </c>
      <c r="H9255" s="63" t="str">
        <f>IFERROR(__xludf.DUMMYFUNCTION("VLOOKUP(F9255, IMPORTRANGE(""https://docs.google.com/spreadsheets/d/1Lhp9OU0JdFf_VYSMzH5lBcEaU4o8teT1piV-SNzShjg/edit?gid=554141278#gid=554141278"", ""'Char Def. - Attributes'!C20:C2242""), 1,false)"),"ALT_UOM4_SIPI")</f>
        <v>ALT_UOM4_SIPI</v>
      </c>
      <c r="I9255" s="136"/>
      <c r="R9255" s="63" t="str">
        <f t="shared" si="60"/>
        <v>ZSI1_FILTERALT_UOM4_SIPI</v>
      </c>
    </row>
    <row r="9256" ht="15.75" customHeight="1">
      <c r="B9256" s="63">
        <f t="shared" si="1"/>
        <v>11</v>
      </c>
      <c r="C9256" s="135" t="s">
        <v>496</v>
      </c>
      <c r="D9256" s="161" t="s">
        <v>74</v>
      </c>
      <c r="E9256" s="135">
        <f t="shared" si="62"/>
        <v>24</v>
      </c>
      <c r="F9256" s="134" t="s">
        <v>3814</v>
      </c>
      <c r="G9256" s="63" t="str">
        <f>VLOOKUP(C9256, 'Class Def. - General Data'!$C$20:$C$1000,1,false)</f>
        <v>ZSI1_FILTER</v>
      </c>
      <c r="H9256" s="63" t="str">
        <f>IFERROR(__xludf.DUMMYFUNCTION("VLOOKUP(F9256, IMPORTRANGE(""https://docs.google.com/spreadsheets/d/1Lhp9OU0JdFf_VYSMzH5lBcEaU4o8teT1piV-SNzShjg/edit?gid=554141278#gid=554141278"", ""'Char Def. - Attributes'!C20:C2242""), 1,false)"),"ALT_DENUM_UOM4")</f>
        <v>ALT_DENUM_UOM4</v>
      </c>
      <c r="I9256" s="136"/>
      <c r="R9256" s="63" t="str">
        <f t="shared" si="60"/>
        <v>ZSI1_FILTERALT_DENUM_UOM4</v>
      </c>
    </row>
    <row r="9257" ht="15.75" customHeight="1">
      <c r="B9257" s="63">
        <f t="shared" si="1"/>
        <v>11</v>
      </c>
      <c r="C9257" s="135" t="s">
        <v>496</v>
      </c>
      <c r="D9257" s="161" t="s">
        <v>74</v>
      </c>
      <c r="E9257" s="135">
        <f t="shared" si="62"/>
        <v>25</v>
      </c>
      <c r="F9257" s="134" t="s">
        <v>3815</v>
      </c>
      <c r="G9257" s="63" t="str">
        <f>VLOOKUP(C9257, 'Class Def. - General Data'!$C$20:$C$1000,1,false)</f>
        <v>ZSI1_FILTER</v>
      </c>
      <c r="H9257" s="63" t="str">
        <f>IFERROR(__xludf.DUMMYFUNCTION("VLOOKUP(F9257, IMPORTRANGE(""https://docs.google.com/spreadsheets/d/1Lhp9OU0JdFf_VYSMzH5lBcEaU4o8teT1piV-SNzShjg/edit?gid=554141278#gid=554141278"", ""'Char Def. - Attributes'!C20:C2242""), 1,false)"),"ALT_NUM_UOM4")</f>
        <v>ALT_NUM_UOM4</v>
      </c>
      <c r="I9257" s="136"/>
      <c r="R9257" s="63" t="str">
        <f t="shared" si="60"/>
        <v>ZSI1_FILTERALT_NUM_UOM4</v>
      </c>
    </row>
    <row r="9258" ht="15.75" customHeight="1">
      <c r="B9258" s="63">
        <f t="shared" si="1"/>
        <v>11</v>
      </c>
      <c r="C9258" s="135" t="s">
        <v>496</v>
      </c>
      <c r="D9258" s="161" t="s">
        <v>74</v>
      </c>
      <c r="E9258" s="135">
        <f t="shared" si="62"/>
        <v>26</v>
      </c>
      <c r="F9258" s="134" t="s">
        <v>3816</v>
      </c>
      <c r="G9258" s="63" t="str">
        <f>VLOOKUP(C9258, 'Class Def. - General Data'!$C$20:$C$1000,1,false)</f>
        <v>ZSI1_FILTER</v>
      </c>
      <c r="H9258" s="63" t="str">
        <f>IFERROR(__xludf.DUMMYFUNCTION("VLOOKUP(F9258, IMPORTRANGE(""https://docs.google.com/spreadsheets/d/1Lhp9OU0JdFf_VYSMzH5lBcEaU4o8teT1piV-SNzShjg/edit?gid=554141278#gid=554141278"", ""'Char Def. - Attributes'!C20:C2242""), 1,false)"),"ALT_UOM5_SIPI")</f>
        <v>ALT_UOM5_SIPI</v>
      </c>
      <c r="I9258" s="136"/>
      <c r="R9258" s="63" t="str">
        <f t="shared" si="60"/>
        <v>ZSI1_FILTERALT_UOM5_SIPI</v>
      </c>
    </row>
    <row r="9259" ht="15.75" customHeight="1">
      <c r="B9259" s="63">
        <f t="shared" si="1"/>
        <v>11</v>
      </c>
      <c r="C9259" s="135" t="s">
        <v>496</v>
      </c>
      <c r="D9259" s="161" t="s">
        <v>74</v>
      </c>
      <c r="E9259" s="135">
        <f t="shared" si="62"/>
        <v>27</v>
      </c>
      <c r="F9259" s="134" t="s">
        <v>3817</v>
      </c>
      <c r="G9259" s="63" t="str">
        <f>VLOOKUP(C9259, 'Class Def. - General Data'!$C$20:$C$1000,1,false)</f>
        <v>ZSI1_FILTER</v>
      </c>
      <c r="H9259" s="63" t="str">
        <f>IFERROR(__xludf.DUMMYFUNCTION("VLOOKUP(F9259, IMPORTRANGE(""https://docs.google.com/spreadsheets/d/1Lhp9OU0JdFf_VYSMzH5lBcEaU4o8teT1piV-SNzShjg/edit?gid=554141278#gid=554141278"", ""'Char Def. - Attributes'!C20:C2242""), 1,false)"),"ALT_DENUM_UOM5")</f>
        <v>ALT_DENUM_UOM5</v>
      </c>
      <c r="I9259" s="136"/>
      <c r="R9259" s="63" t="str">
        <f t="shared" si="60"/>
        <v>ZSI1_FILTERALT_DENUM_UOM5</v>
      </c>
    </row>
    <row r="9260" ht="15.75" customHeight="1">
      <c r="B9260" s="63">
        <f t="shared" si="1"/>
        <v>11</v>
      </c>
      <c r="C9260" s="135" t="s">
        <v>496</v>
      </c>
      <c r="D9260" s="161" t="s">
        <v>74</v>
      </c>
      <c r="E9260" s="135">
        <f t="shared" si="62"/>
        <v>28</v>
      </c>
      <c r="F9260" s="134" t="s">
        <v>3818</v>
      </c>
      <c r="G9260" s="63" t="str">
        <f>VLOOKUP(C9260, 'Class Def. - General Data'!$C$20:$C$1000,1,false)</f>
        <v>ZSI1_FILTER</v>
      </c>
      <c r="H9260" s="63" t="str">
        <f>IFERROR(__xludf.DUMMYFUNCTION("VLOOKUP(F9260, IMPORTRANGE(""https://docs.google.com/spreadsheets/d/1Lhp9OU0JdFf_VYSMzH5lBcEaU4o8teT1piV-SNzShjg/edit?gid=554141278#gid=554141278"", ""'Char Def. - Attributes'!C20:C2242""), 1,false)"),"ALT_NUM_UOM5")</f>
        <v>ALT_NUM_UOM5</v>
      </c>
      <c r="I9260" s="136"/>
      <c r="R9260" s="63" t="str">
        <f t="shared" si="60"/>
        <v>ZSI1_FILTERALT_NUM_UOM5</v>
      </c>
    </row>
    <row r="9261" ht="15.75" customHeight="1">
      <c r="B9261" s="63">
        <f t="shared" si="1"/>
        <v>18</v>
      </c>
      <c r="C9261" s="135" t="s">
        <v>346</v>
      </c>
      <c r="D9261" s="161" t="s">
        <v>74</v>
      </c>
      <c r="E9261" s="135">
        <f t="shared" si="62"/>
        <v>1</v>
      </c>
      <c r="F9261" s="134" t="s">
        <v>4503</v>
      </c>
      <c r="G9261" s="63" t="str">
        <f>VLOOKUP(C9261, 'Class Def. - General Data'!$C$20:$C$1000,1,false)</f>
        <v>ZSI1_FIRE_DETECTOR</v>
      </c>
      <c r="H9261" s="63" t="str">
        <f>IFERROR(__xludf.DUMMYFUNCTION("VLOOKUP(F9261, IMPORTRANGE(""https://docs.google.com/spreadsheets/d/1Lhp9OU0JdFf_VYSMzH5lBcEaU4o8teT1piV-SNzShjg/edit?gid=554141278#gid=554141278"", ""'Char Def. - Attributes'!C20:C2242""), 1,false)"),"ITEM_NAME_FIRE_DETECTOR")</f>
        <v>ITEM_NAME_FIRE_DETECTOR</v>
      </c>
      <c r="I9261" s="136"/>
      <c r="R9261" s="63" t="str">
        <f t="shared" si="60"/>
        <v>ZSI1_FIRE_DETECTORITEM_NAME_FIRE_DETECTOR</v>
      </c>
    </row>
    <row r="9262" ht="15.75" customHeight="1">
      <c r="B9262" s="63">
        <f t="shared" si="1"/>
        <v>18</v>
      </c>
      <c r="C9262" s="135" t="s">
        <v>346</v>
      </c>
      <c r="D9262" s="161" t="s">
        <v>74</v>
      </c>
      <c r="E9262" s="135">
        <f t="shared" si="62"/>
        <v>2</v>
      </c>
      <c r="F9262" s="134" t="s">
        <v>4504</v>
      </c>
      <c r="G9262" s="63" t="str">
        <f>VLOOKUP(C9262, 'Class Def. - General Data'!$C$20:$C$1000,1,false)</f>
        <v>ZSI1_FIRE_DETECTOR</v>
      </c>
      <c r="H9262" s="63" t="str">
        <f>IFERROR(__xludf.DUMMYFUNCTION("VLOOKUP(F9262, IMPORTRANGE(""https://docs.google.com/spreadsheets/d/1Lhp9OU0JdFf_VYSMzH5lBcEaU4o8teT1piV-SNzShjg/edit?gid=554141278#gid=554141278"", ""'Char Def. - Attributes'!C20:C2242""), 1,false)"),"MFR_NO_FIRE_DETECTOR")</f>
        <v>MFR_NO_FIRE_DETECTOR</v>
      </c>
      <c r="I9262" s="136"/>
      <c r="R9262" s="63" t="str">
        <f t="shared" si="60"/>
        <v>ZSI1_FIRE_DETECTORMFR_NO_FIRE_DETECTOR</v>
      </c>
    </row>
    <row r="9263" ht="15.75" customHeight="1">
      <c r="B9263" s="63">
        <f t="shared" si="1"/>
        <v>18</v>
      </c>
      <c r="C9263" s="135" t="s">
        <v>346</v>
      </c>
      <c r="D9263" s="161" t="s">
        <v>74</v>
      </c>
      <c r="E9263" s="135">
        <f t="shared" si="62"/>
        <v>3</v>
      </c>
      <c r="F9263" s="134" t="s">
        <v>3782</v>
      </c>
      <c r="G9263" s="63" t="str">
        <f>VLOOKUP(C9263, 'Class Def. - General Data'!$C$20:$C$1000,1,false)</f>
        <v>ZSI1_FIRE_DETECTOR</v>
      </c>
      <c r="H9263" s="63" t="str">
        <f>IFERROR(__xludf.DUMMYFUNCTION("VLOOKUP(F9263, IMPORTRANGE(""https://docs.google.com/spreadsheets/d/1Lhp9OU0JdFf_VYSMzH5lBcEaU4o8teT1piV-SNzShjg/edit?gid=554141278#gid=554141278"", ""'Char Def. - Attributes'!C20:C2242""), 1,false)"),"BRAND_EXTERNAL")</f>
        <v>BRAND_EXTERNAL</v>
      </c>
      <c r="I9263" s="136"/>
      <c r="R9263" s="63" t="str">
        <f t="shared" si="60"/>
        <v>ZSI1_FIRE_DETECTORBRAND_EXTERNAL</v>
      </c>
    </row>
    <row r="9264" ht="15.75" customHeight="1">
      <c r="B9264" s="63">
        <f t="shared" si="1"/>
        <v>18</v>
      </c>
      <c r="C9264" s="135" t="s">
        <v>346</v>
      </c>
      <c r="D9264" s="161" t="s">
        <v>74</v>
      </c>
      <c r="E9264" s="135">
        <f t="shared" si="62"/>
        <v>4</v>
      </c>
      <c r="F9264" s="134" t="s">
        <v>4062</v>
      </c>
      <c r="G9264" s="63" t="str">
        <f>VLOOKUP(C9264, 'Class Def. - General Data'!$C$20:$C$1000,1,false)</f>
        <v>ZSI1_FIRE_DETECTOR</v>
      </c>
      <c r="H9264" s="63" t="str">
        <f>IFERROR(__xludf.DUMMYFUNCTION("VLOOKUP(F9264, IMPORTRANGE(""https://docs.google.com/spreadsheets/d/1Lhp9OU0JdFf_VYSMzH5lBcEaU4o8teT1piV-SNzShjg/edit?gid=554141278#gid=554141278"", ""'Char Def. - Attributes'!C20:C2242""), 1,false)"),"#N/A")</f>
        <v>#N/A</v>
      </c>
      <c r="I9264" s="136"/>
      <c r="R9264" s="63" t="str">
        <f t="shared" si="60"/>
        <v>ZSI1_FIRE_DETECTORADDTIONAL_SPECIFICATION</v>
      </c>
    </row>
    <row r="9265" ht="15.75" customHeight="1">
      <c r="B9265" s="63">
        <f t="shared" si="1"/>
        <v>18</v>
      </c>
      <c r="C9265" s="135" t="s">
        <v>346</v>
      </c>
      <c r="D9265" s="161" t="s">
        <v>74</v>
      </c>
      <c r="E9265" s="135">
        <f t="shared" si="62"/>
        <v>5</v>
      </c>
      <c r="F9265" s="134" t="s">
        <v>3585</v>
      </c>
      <c r="G9265" s="63" t="str">
        <f>VLOOKUP(C9265, 'Class Def. - General Data'!$C$20:$C$1000,1,false)</f>
        <v>ZSI1_FIRE_DETECTOR</v>
      </c>
      <c r="H9265" s="63" t="str">
        <f>IFERROR(__xludf.DUMMYFUNCTION("VLOOKUP(F9265, IMPORTRANGE(""https://docs.google.com/spreadsheets/d/1Lhp9OU0JdFf_VYSMzH5lBcEaU4o8teT1piV-SNzShjg/edit?gid=554141278#gid=554141278"", ""'Char Def. - Attributes'!C20:C2242""), 1,false)"),"HS_CODE")</f>
        <v>HS_CODE</v>
      </c>
      <c r="I9265" s="136"/>
      <c r="R9265" s="63" t="str">
        <f t="shared" si="60"/>
        <v>ZSI1_FIRE_DETECTORHS_CODE</v>
      </c>
    </row>
    <row r="9266" ht="15.75" customHeight="1">
      <c r="B9266" s="63">
        <f t="shared" si="1"/>
        <v>18</v>
      </c>
      <c r="C9266" s="135" t="s">
        <v>346</v>
      </c>
      <c r="D9266" s="161" t="s">
        <v>74</v>
      </c>
      <c r="E9266" s="135">
        <f t="shared" si="62"/>
        <v>6</v>
      </c>
      <c r="F9266" s="134" t="s">
        <v>3587</v>
      </c>
      <c r="G9266" s="63" t="str">
        <f>VLOOKUP(C9266, 'Class Def. - General Data'!$C$20:$C$1000,1,false)</f>
        <v>ZSI1_FIRE_DETECTOR</v>
      </c>
      <c r="H9266" s="63" t="str">
        <f>IFERROR(__xludf.DUMMYFUNCTION("VLOOKUP(F9266, IMPORTRANGE(""https://docs.google.com/spreadsheets/d/1Lhp9OU0JdFf_VYSMzH5lBcEaU4o8teT1piV-SNzShjg/edit?gid=554141278#gid=554141278"", ""'Char Def. - Attributes'!C20:C2242""), 1,false)"),"PLANT_BUY")</f>
        <v>PLANT_BUY</v>
      </c>
      <c r="I9266" s="136"/>
      <c r="R9266" s="63" t="str">
        <f t="shared" si="60"/>
        <v>ZSI1_FIRE_DETECTORPLANT_BUY</v>
      </c>
    </row>
    <row r="9267" ht="15.75" customHeight="1">
      <c r="B9267" s="63">
        <f t="shared" si="1"/>
        <v>18</v>
      </c>
      <c r="C9267" s="135" t="s">
        <v>346</v>
      </c>
      <c r="D9267" s="161" t="s">
        <v>74</v>
      </c>
      <c r="E9267" s="135">
        <f t="shared" si="62"/>
        <v>7</v>
      </c>
      <c r="F9267" s="134" t="s">
        <v>4505</v>
      </c>
      <c r="G9267" s="63" t="str">
        <f>VLOOKUP(C9267, 'Class Def. - General Data'!$C$20:$C$1000,1,false)</f>
        <v>ZSI1_FIRE_DETECTOR</v>
      </c>
      <c r="H9267" s="63" t="str">
        <f>IFERROR(__xludf.DUMMYFUNCTION("VLOOKUP(F9267, IMPORTRANGE(""https://docs.google.com/spreadsheets/d/1Lhp9OU0JdFf_VYSMzH5lBcEaU4o8teT1piV-SNzShjg/edit?gid=554141278#gid=554141278"", ""'Char Def. - Attributes'!C20:C2242""), 1,false)"),"BASE_UOM_FIRE_DETECTOR")</f>
        <v>BASE_UOM_FIRE_DETECTOR</v>
      </c>
      <c r="I9267" s="136"/>
      <c r="R9267" s="63" t="str">
        <f t="shared" si="60"/>
        <v>ZSI1_FIRE_DETECTORBASE_UOM_FIRE_DETECTOR</v>
      </c>
    </row>
    <row r="9268" ht="15.75" customHeight="1">
      <c r="B9268" s="63">
        <f t="shared" si="1"/>
        <v>18</v>
      </c>
      <c r="C9268" s="135" t="s">
        <v>346</v>
      </c>
      <c r="D9268" s="161" t="s">
        <v>74</v>
      </c>
      <c r="E9268" s="135">
        <f t="shared" si="62"/>
        <v>8</v>
      </c>
      <c r="F9268" s="134" t="s">
        <v>4506</v>
      </c>
      <c r="G9268" s="63" t="str">
        <f>VLOOKUP(C9268, 'Class Def. - General Data'!$C$20:$C$1000,1,false)</f>
        <v>ZSI1_FIRE_DETECTOR</v>
      </c>
      <c r="H9268" s="63" t="str">
        <f>IFERROR(__xludf.DUMMYFUNCTION("VLOOKUP(F9268, IMPORTRANGE(""https://docs.google.com/spreadsheets/d/1Lhp9OU0JdFf_VYSMzH5lBcEaU4o8teT1piV-SNzShjg/edit?gid=554141278#gid=554141278"", ""'Char Def. - Attributes'!C20:C2242""), 1,false)"),"ORDER_UNIT_FIRE_DETECTOR")</f>
        <v>ORDER_UNIT_FIRE_DETECTOR</v>
      </c>
      <c r="I9268" s="136"/>
      <c r="R9268" s="63" t="str">
        <f t="shared" si="60"/>
        <v>ZSI1_FIRE_DETECTORORDER_UNIT_FIRE_DETECTOR</v>
      </c>
    </row>
    <row r="9269" ht="15.75" customHeight="1">
      <c r="B9269" s="63">
        <f t="shared" si="1"/>
        <v>18</v>
      </c>
      <c r="C9269" s="135" t="s">
        <v>346</v>
      </c>
      <c r="D9269" s="161" t="s">
        <v>74</v>
      </c>
      <c r="E9269" s="135">
        <f t="shared" si="62"/>
        <v>9</v>
      </c>
      <c r="F9269" s="134" t="s">
        <v>4056</v>
      </c>
      <c r="G9269" s="63" t="str">
        <f>VLOOKUP(C9269, 'Class Def. - General Data'!$C$20:$C$1000,1,false)</f>
        <v>ZSI1_FIRE_DETECTOR</v>
      </c>
      <c r="H9269" s="63" t="str">
        <f>IFERROR(__xludf.DUMMYFUNCTION("VLOOKUP(F9269, IMPORTRANGE(""https://docs.google.com/spreadsheets/d/1Lhp9OU0JdFf_VYSMzH5lBcEaU4o8teT1piV-SNzShjg/edit?gid=554141278#gid=554141278"", ""'Char Def. - Attributes'!C20:C2242""), 1,false)"),"GROSS_WEIGHT_OPT")</f>
        <v>GROSS_WEIGHT_OPT</v>
      </c>
      <c r="I9269" s="136"/>
      <c r="R9269" s="63" t="str">
        <f t="shared" si="60"/>
        <v>ZSI1_FIRE_DETECTORGROSS_WEIGHT_OPT</v>
      </c>
    </row>
    <row r="9270" ht="15.75" customHeight="1">
      <c r="B9270" s="63">
        <f t="shared" si="1"/>
        <v>18</v>
      </c>
      <c r="C9270" s="135" t="s">
        <v>346</v>
      </c>
      <c r="D9270" s="161" t="s">
        <v>74</v>
      </c>
      <c r="E9270" s="135">
        <f t="shared" si="62"/>
        <v>10</v>
      </c>
      <c r="F9270" s="134" t="s">
        <v>4057</v>
      </c>
      <c r="G9270" s="63" t="str">
        <f>VLOOKUP(C9270, 'Class Def. - General Data'!$C$20:$C$1000,1,false)</f>
        <v>ZSI1_FIRE_DETECTOR</v>
      </c>
      <c r="H9270" s="63" t="str">
        <f>IFERROR(__xludf.DUMMYFUNCTION("VLOOKUP(F9270, IMPORTRANGE(""https://docs.google.com/spreadsheets/d/1Lhp9OU0JdFf_VYSMzH5lBcEaU4o8teT1piV-SNzShjg/edit?gid=554141278#gid=554141278"", ""'Char Def. - Attributes'!C20:C2242""), 1,false)"),"NET_WEIGHT_OPT")</f>
        <v>NET_WEIGHT_OPT</v>
      </c>
      <c r="I9270" s="136"/>
      <c r="R9270" s="63" t="str">
        <f t="shared" si="60"/>
        <v>ZSI1_FIRE_DETECTORNET_WEIGHT_OPT</v>
      </c>
    </row>
    <row r="9271" ht="15.75" customHeight="1">
      <c r="B9271" s="63">
        <f t="shared" si="1"/>
        <v>18</v>
      </c>
      <c r="C9271" s="135" t="s">
        <v>346</v>
      </c>
      <c r="D9271" s="161" t="s">
        <v>74</v>
      </c>
      <c r="E9271" s="135">
        <f t="shared" si="62"/>
        <v>11</v>
      </c>
      <c r="F9271" s="134" t="s">
        <v>4058</v>
      </c>
      <c r="G9271" s="63" t="str">
        <f>VLOOKUP(C9271, 'Class Def. - General Data'!$C$20:$C$1000,1,false)</f>
        <v>ZSI1_FIRE_DETECTOR</v>
      </c>
      <c r="H9271" s="63" t="str">
        <f>IFERROR(__xludf.DUMMYFUNCTION("VLOOKUP(F9271, IMPORTRANGE(""https://docs.google.com/spreadsheets/d/1Lhp9OU0JdFf_VYSMzH5lBcEaU4o8teT1piV-SNzShjg/edit?gid=554141278#gid=554141278"", ""'Char Def. - Attributes'!C20:C2242""), 1,false)"),"WEIGHT_UNIT_SI")</f>
        <v>WEIGHT_UNIT_SI</v>
      </c>
      <c r="I9271" s="136"/>
      <c r="R9271" s="63" t="str">
        <f t="shared" si="60"/>
        <v>ZSI1_FIRE_DETECTORWEIGHT_UNIT_SI</v>
      </c>
    </row>
    <row r="9272" ht="15.75" customHeight="1">
      <c r="B9272" s="63">
        <f t="shared" si="1"/>
        <v>18</v>
      </c>
      <c r="C9272" s="135" t="s">
        <v>346</v>
      </c>
      <c r="D9272" s="161" t="s">
        <v>74</v>
      </c>
      <c r="E9272" s="135">
        <f t="shared" si="62"/>
        <v>12</v>
      </c>
      <c r="F9272" s="134" t="s">
        <v>3877</v>
      </c>
      <c r="G9272" s="63" t="str">
        <f>VLOOKUP(C9272, 'Class Def. - General Data'!$C$20:$C$1000,1,false)</f>
        <v>ZSI1_FIRE_DETECTOR</v>
      </c>
      <c r="H9272" s="63" t="str">
        <f>IFERROR(__xludf.DUMMYFUNCTION("VLOOKUP(F9272, IMPORTRANGE(""https://docs.google.com/spreadsheets/d/1Lhp9OU0JdFf_VYSMzH5lBcEaU4o8teT1piV-SNzShjg/edit?gid=554141278#gid=554141278"", ""'Char Def. - Attributes'!C20:C2242""), 1,false)"),"VOLUME_OPT")</f>
        <v>VOLUME_OPT</v>
      </c>
      <c r="I9272" s="136"/>
      <c r="R9272" s="63" t="str">
        <f t="shared" si="60"/>
        <v>ZSI1_FIRE_DETECTORVOLUME_OPT</v>
      </c>
    </row>
    <row r="9273" ht="15.75" customHeight="1">
      <c r="B9273" s="63">
        <f t="shared" si="1"/>
        <v>18</v>
      </c>
      <c r="C9273" s="135" t="s">
        <v>346</v>
      </c>
      <c r="D9273" s="161" t="s">
        <v>74</v>
      </c>
      <c r="E9273" s="135">
        <f t="shared" si="62"/>
        <v>13</v>
      </c>
      <c r="F9273" s="134" t="s">
        <v>4059</v>
      </c>
      <c r="G9273" s="63" t="str">
        <f>VLOOKUP(C9273, 'Class Def. - General Data'!$C$20:$C$1000,1,false)</f>
        <v>ZSI1_FIRE_DETECTOR</v>
      </c>
      <c r="H9273" s="63" t="str">
        <f>IFERROR(__xludf.DUMMYFUNCTION("VLOOKUP(F9273, IMPORTRANGE(""https://docs.google.com/spreadsheets/d/1Lhp9OU0JdFf_VYSMzH5lBcEaU4o8teT1piV-SNzShjg/edit?gid=554141278#gid=554141278"", ""'Char Def. - Attributes'!C20:C2242""), 1,false)"),"VOLUME_UNIT_SI")</f>
        <v>VOLUME_UNIT_SI</v>
      </c>
      <c r="I9273" s="136"/>
      <c r="R9273" s="63" t="str">
        <f t="shared" si="60"/>
        <v>ZSI1_FIRE_DETECTORVOLUME_UNIT_SI</v>
      </c>
    </row>
    <row r="9274" ht="15.75" customHeight="1">
      <c r="B9274" s="63">
        <f t="shared" si="1"/>
        <v>18</v>
      </c>
      <c r="C9274" s="135" t="s">
        <v>346</v>
      </c>
      <c r="D9274" s="161" t="s">
        <v>74</v>
      </c>
      <c r="E9274" s="135">
        <f t="shared" si="62"/>
        <v>14</v>
      </c>
      <c r="F9274" s="134" t="s">
        <v>3804</v>
      </c>
      <c r="G9274" s="63" t="str">
        <f>VLOOKUP(C9274, 'Class Def. - General Data'!$C$20:$C$1000,1,false)</f>
        <v>ZSI1_FIRE_DETECTOR</v>
      </c>
      <c r="H9274" s="63" t="str">
        <f>IFERROR(__xludf.DUMMYFUNCTION("VLOOKUP(F9274, IMPORTRANGE(""https://docs.google.com/spreadsheets/d/1Lhp9OU0JdFf_VYSMzH5lBcEaU4o8teT1piV-SNzShjg/edit?gid=554141278#gid=554141278"", ""'Char Def. - Attributes'!C20:C2242""), 1,false)"),"ALT_UOM1_SIPI")</f>
        <v>ALT_UOM1_SIPI</v>
      </c>
      <c r="I9274" s="136"/>
      <c r="R9274" s="63" t="str">
        <f t="shared" si="60"/>
        <v>ZSI1_FIRE_DETECTORALT_UOM1_SIPI</v>
      </c>
    </row>
    <row r="9275" ht="15.75" customHeight="1">
      <c r="B9275" s="63">
        <f t="shared" si="1"/>
        <v>18</v>
      </c>
      <c r="C9275" s="135" t="s">
        <v>346</v>
      </c>
      <c r="D9275" s="161" t="s">
        <v>74</v>
      </c>
      <c r="E9275" s="135">
        <f t="shared" si="62"/>
        <v>15</v>
      </c>
      <c r="F9275" s="134" t="s">
        <v>3805</v>
      </c>
      <c r="G9275" s="63" t="str">
        <f>VLOOKUP(C9275, 'Class Def. - General Data'!$C$20:$C$1000,1,false)</f>
        <v>ZSI1_FIRE_DETECTOR</v>
      </c>
      <c r="H9275" s="63" t="str">
        <f>IFERROR(__xludf.DUMMYFUNCTION("VLOOKUP(F9275, IMPORTRANGE(""https://docs.google.com/spreadsheets/d/1Lhp9OU0JdFf_VYSMzH5lBcEaU4o8teT1piV-SNzShjg/edit?gid=554141278#gid=554141278"", ""'Char Def. - Attributes'!C20:C2242""), 1,false)"),"ALT_DENUM_UOM1")</f>
        <v>ALT_DENUM_UOM1</v>
      </c>
      <c r="I9275" s="136"/>
      <c r="R9275" s="63" t="str">
        <f t="shared" si="60"/>
        <v>ZSI1_FIRE_DETECTORALT_DENUM_UOM1</v>
      </c>
    </row>
    <row r="9276" ht="15.75" customHeight="1">
      <c r="B9276" s="63">
        <f t="shared" si="1"/>
        <v>18</v>
      </c>
      <c r="C9276" s="135" t="s">
        <v>346</v>
      </c>
      <c r="D9276" s="161" t="s">
        <v>74</v>
      </c>
      <c r="E9276" s="135">
        <f t="shared" si="62"/>
        <v>16</v>
      </c>
      <c r="F9276" s="134" t="s">
        <v>3806</v>
      </c>
      <c r="G9276" s="63" t="str">
        <f>VLOOKUP(C9276, 'Class Def. - General Data'!$C$20:$C$1000,1,false)</f>
        <v>ZSI1_FIRE_DETECTOR</v>
      </c>
      <c r="H9276" s="63" t="str">
        <f>IFERROR(__xludf.DUMMYFUNCTION("VLOOKUP(F9276, IMPORTRANGE(""https://docs.google.com/spreadsheets/d/1Lhp9OU0JdFf_VYSMzH5lBcEaU4o8teT1piV-SNzShjg/edit?gid=554141278#gid=554141278"", ""'Char Def. - Attributes'!C20:C2242""), 1,false)"),"ALT_NUM_UOM1")</f>
        <v>ALT_NUM_UOM1</v>
      </c>
      <c r="I9276" s="136"/>
      <c r="R9276" s="63" t="str">
        <f t="shared" si="60"/>
        <v>ZSI1_FIRE_DETECTORALT_NUM_UOM1</v>
      </c>
    </row>
    <row r="9277" ht="15.75" customHeight="1">
      <c r="B9277" s="63">
        <f t="shared" si="1"/>
        <v>18</v>
      </c>
      <c r="C9277" s="135" t="s">
        <v>346</v>
      </c>
      <c r="D9277" s="161" t="s">
        <v>74</v>
      </c>
      <c r="E9277" s="135">
        <f t="shared" si="62"/>
        <v>17</v>
      </c>
      <c r="F9277" s="134" t="s">
        <v>3807</v>
      </c>
      <c r="G9277" s="63" t="str">
        <f>VLOOKUP(C9277, 'Class Def. - General Data'!$C$20:$C$1000,1,false)</f>
        <v>ZSI1_FIRE_DETECTOR</v>
      </c>
      <c r="H9277" s="63" t="str">
        <f>IFERROR(__xludf.DUMMYFUNCTION("VLOOKUP(F9277, IMPORTRANGE(""https://docs.google.com/spreadsheets/d/1Lhp9OU0JdFf_VYSMzH5lBcEaU4o8teT1piV-SNzShjg/edit?gid=554141278#gid=554141278"", ""'Char Def. - Attributes'!C20:C2242""), 1,false)"),"ALT_UOM2_SIPI")</f>
        <v>ALT_UOM2_SIPI</v>
      </c>
      <c r="I9277" s="136"/>
      <c r="R9277" s="63" t="str">
        <f t="shared" si="60"/>
        <v>ZSI1_FIRE_DETECTORALT_UOM2_SIPI</v>
      </c>
    </row>
    <row r="9278" ht="15.75" customHeight="1">
      <c r="B9278" s="63">
        <f t="shared" si="1"/>
        <v>18</v>
      </c>
      <c r="C9278" s="135" t="s">
        <v>346</v>
      </c>
      <c r="D9278" s="161" t="s">
        <v>74</v>
      </c>
      <c r="E9278" s="135">
        <f t="shared" si="62"/>
        <v>18</v>
      </c>
      <c r="F9278" s="134" t="s">
        <v>3808</v>
      </c>
      <c r="G9278" s="63" t="str">
        <f>VLOOKUP(C9278, 'Class Def. - General Data'!$C$20:$C$1000,1,false)</f>
        <v>ZSI1_FIRE_DETECTOR</v>
      </c>
      <c r="H9278" s="63" t="str">
        <f>IFERROR(__xludf.DUMMYFUNCTION("VLOOKUP(F9278, IMPORTRANGE(""https://docs.google.com/spreadsheets/d/1Lhp9OU0JdFf_VYSMzH5lBcEaU4o8teT1piV-SNzShjg/edit?gid=554141278#gid=554141278"", ""'Char Def. - Attributes'!C20:C2242""), 1,false)"),"ALT_DENUM_UOM2")</f>
        <v>ALT_DENUM_UOM2</v>
      </c>
      <c r="I9278" s="136"/>
      <c r="R9278" s="63" t="str">
        <f t="shared" si="60"/>
        <v>ZSI1_FIRE_DETECTORALT_DENUM_UOM2</v>
      </c>
    </row>
    <row r="9279" ht="15.75" customHeight="1">
      <c r="B9279" s="63">
        <f t="shared" si="1"/>
        <v>18</v>
      </c>
      <c r="C9279" s="135" t="s">
        <v>346</v>
      </c>
      <c r="D9279" s="161" t="s">
        <v>74</v>
      </c>
      <c r="E9279" s="135">
        <f t="shared" si="62"/>
        <v>19</v>
      </c>
      <c r="F9279" s="134" t="s">
        <v>3809</v>
      </c>
      <c r="G9279" s="63" t="str">
        <f>VLOOKUP(C9279, 'Class Def. - General Data'!$C$20:$C$1000,1,false)</f>
        <v>ZSI1_FIRE_DETECTOR</v>
      </c>
      <c r="H9279" s="63" t="str">
        <f>IFERROR(__xludf.DUMMYFUNCTION("VLOOKUP(F9279, IMPORTRANGE(""https://docs.google.com/spreadsheets/d/1Lhp9OU0JdFf_VYSMzH5lBcEaU4o8teT1piV-SNzShjg/edit?gid=554141278#gid=554141278"", ""'Char Def. - Attributes'!C20:C2242""), 1,false)"),"ALT_NUM_UOM2")</f>
        <v>ALT_NUM_UOM2</v>
      </c>
      <c r="I9279" s="136"/>
      <c r="R9279" s="63" t="str">
        <f t="shared" si="60"/>
        <v>ZSI1_FIRE_DETECTORALT_NUM_UOM2</v>
      </c>
    </row>
    <row r="9280" ht="15.75" customHeight="1">
      <c r="B9280" s="63">
        <f t="shared" si="1"/>
        <v>18</v>
      </c>
      <c r="C9280" s="135" t="s">
        <v>346</v>
      </c>
      <c r="D9280" s="161" t="s">
        <v>74</v>
      </c>
      <c r="E9280" s="135">
        <f t="shared" si="62"/>
        <v>20</v>
      </c>
      <c r="F9280" s="134" t="s">
        <v>3810</v>
      </c>
      <c r="G9280" s="63" t="str">
        <f>VLOOKUP(C9280, 'Class Def. - General Data'!$C$20:$C$1000,1,false)</f>
        <v>ZSI1_FIRE_DETECTOR</v>
      </c>
      <c r="H9280" s="63" t="str">
        <f>IFERROR(__xludf.DUMMYFUNCTION("VLOOKUP(F9280, IMPORTRANGE(""https://docs.google.com/spreadsheets/d/1Lhp9OU0JdFf_VYSMzH5lBcEaU4o8teT1piV-SNzShjg/edit?gid=554141278#gid=554141278"", ""'Char Def. - Attributes'!C20:C2242""), 1,false)"),"ALT_UOM3_SIPI")</f>
        <v>ALT_UOM3_SIPI</v>
      </c>
      <c r="I9280" s="136"/>
      <c r="R9280" s="63" t="str">
        <f t="shared" si="60"/>
        <v>ZSI1_FIRE_DETECTORALT_UOM3_SIPI</v>
      </c>
    </row>
    <row r="9281" ht="15.75" customHeight="1">
      <c r="B9281" s="63">
        <f t="shared" si="1"/>
        <v>18</v>
      </c>
      <c r="C9281" s="135" t="s">
        <v>346</v>
      </c>
      <c r="D9281" s="161" t="s">
        <v>74</v>
      </c>
      <c r="E9281" s="135">
        <f t="shared" si="62"/>
        <v>21</v>
      </c>
      <c r="F9281" s="134" t="s">
        <v>3811</v>
      </c>
      <c r="G9281" s="63" t="str">
        <f>VLOOKUP(C9281, 'Class Def. - General Data'!$C$20:$C$1000,1,false)</f>
        <v>ZSI1_FIRE_DETECTOR</v>
      </c>
      <c r="H9281" s="63" t="str">
        <f>IFERROR(__xludf.DUMMYFUNCTION("VLOOKUP(F9281, IMPORTRANGE(""https://docs.google.com/spreadsheets/d/1Lhp9OU0JdFf_VYSMzH5lBcEaU4o8teT1piV-SNzShjg/edit?gid=554141278#gid=554141278"", ""'Char Def. - Attributes'!C20:C2242""), 1,false)"),"ALT_DENUM_UOM3")</f>
        <v>ALT_DENUM_UOM3</v>
      </c>
      <c r="I9281" s="136"/>
      <c r="R9281" s="63" t="str">
        <f t="shared" si="60"/>
        <v>ZSI1_FIRE_DETECTORALT_DENUM_UOM3</v>
      </c>
    </row>
    <row r="9282" ht="15.75" customHeight="1">
      <c r="B9282" s="63">
        <f t="shared" si="1"/>
        <v>18</v>
      </c>
      <c r="C9282" s="135" t="s">
        <v>346</v>
      </c>
      <c r="D9282" s="161" t="s">
        <v>74</v>
      </c>
      <c r="E9282" s="135">
        <f t="shared" si="62"/>
        <v>22</v>
      </c>
      <c r="F9282" s="134" t="s">
        <v>3812</v>
      </c>
      <c r="G9282" s="63" t="str">
        <f>VLOOKUP(C9282, 'Class Def. - General Data'!$C$20:$C$1000,1,false)</f>
        <v>ZSI1_FIRE_DETECTOR</v>
      </c>
      <c r="H9282" s="63" t="str">
        <f>IFERROR(__xludf.DUMMYFUNCTION("VLOOKUP(F9282, IMPORTRANGE(""https://docs.google.com/spreadsheets/d/1Lhp9OU0JdFf_VYSMzH5lBcEaU4o8teT1piV-SNzShjg/edit?gid=554141278#gid=554141278"", ""'Char Def. - Attributes'!C20:C2242""), 1,false)"),"ALT_NUM_UOM3")</f>
        <v>ALT_NUM_UOM3</v>
      </c>
      <c r="I9282" s="136"/>
      <c r="R9282" s="63" t="str">
        <f t="shared" si="60"/>
        <v>ZSI1_FIRE_DETECTORALT_NUM_UOM3</v>
      </c>
    </row>
    <row r="9283" ht="15.75" customHeight="1">
      <c r="B9283" s="63">
        <f t="shared" si="1"/>
        <v>18</v>
      </c>
      <c r="C9283" s="135" t="s">
        <v>346</v>
      </c>
      <c r="D9283" s="161" t="s">
        <v>74</v>
      </c>
      <c r="E9283" s="135">
        <f t="shared" si="62"/>
        <v>23</v>
      </c>
      <c r="F9283" s="134" t="s">
        <v>3813</v>
      </c>
      <c r="G9283" s="63" t="str">
        <f>VLOOKUP(C9283, 'Class Def. - General Data'!$C$20:$C$1000,1,false)</f>
        <v>ZSI1_FIRE_DETECTOR</v>
      </c>
      <c r="H9283" s="63" t="str">
        <f>IFERROR(__xludf.DUMMYFUNCTION("VLOOKUP(F9283, IMPORTRANGE(""https://docs.google.com/spreadsheets/d/1Lhp9OU0JdFf_VYSMzH5lBcEaU4o8teT1piV-SNzShjg/edit?gid=554141278#gid=554141278"", ""'Char Def. - Attributes'!C20:C2242""), 1,false)"),"ALT_UOM4_SIPI")</f>
        <v>ALT_UOM4_SIPI</v>
      </c>
      <c r="I9283" s="136"/>
      <c r="R9283" s="63" t="str">
        <f t="shared" si="60"/>
        <v>ZSI1_FIRE_DETECTORALT_UOM4_SIPI</v>
      </c>
    </row>
    <row r="9284" ht="15.75" customHeight="1">
      <c r="B9284" s="63">
        <f t="shared" si="1"/>
        <v>18</v>
      </c>
      <c r="C9284" s="135" t="s">
        <v>346</v>
      </c>
      <c r="D9284" s="161" t="s">
        <v>74</v>
      </c>
      <c r="E9284" s="135">
        <f t="shared" si="62"/>
        <v>24</v>
      </c>
      <c r="F9284" s="134" t="s">
        <v>3814</v>
      </c>
      <c r="G9284" s="63" t="str">
        <f>VLOOKUP(C9284, 'Class Def. - General Data'!$C$20:$C$1000,1,false)</f>
        <v>ZSI1_FIRE_DETECTOR</v>
      </c>
      <c r="H9284" s="63" t="str">
        <f>IFERROR(__xludf.DUMMYFUNCTION("VLOOKUP(F9284, IMPORTRANGE(""https://docs.google.com/spreadsheets/d/1Lhp9OU0JdFf_VYSMzH5lBcEaU4o8teT1piV-SNzShjg/edit?gid=554141278#gid=554141278"", ""'Char Def. - Attributes'!C20:C2242""), 1,false)"),"ALT_DENUM_UOM4")</f>
        <v>ALT_DENUM_UOM4</v>
      </c>
      <c r="I9284" s="136"/>
      <c r="R9284" s="63" t="str">
        <f t="shared" si="60"/>
        <v>ZSI1_FIRE_DETECTORALT_DENUM_UOM4</v>
      </c>
    </row>
    <row r="9285" ht="15.75" customHeight="1">
      <c r="B9285" s="63">
        <f t="shared" si="1"/>
        <v>18</v>
      </c>
      <c r="C9285" s="135" t="s">
        <v>346</v>
      </c>
      <c r="D9285" s="161" t="s">
        <v>74</v>
      </c>
      <c r="E9285" s="135">
        <f t="shared" si="62"/>
        <v>25</v>
      </c>
      <c r="F9285" s="134" t="s">
        <v>3815</v>
      </c>
      <c r="G9285" s="63" t="str">
        <f>VLOOKUP(C9285, 'Class Def. - General Data'!$C$20:$C$1000,1,false)</f>
        <v>ZSI1_FIRE_DETECTOR</v>
      </c>
      <c r="H9285" s="63" t="str">
        <f>IFERROR(__xludf.DUMMYFUNCTION("VLOOKUP(F9285, IMPORTRANGE(""https://docs.google.com/spreadsheets/d/1Lhp9OU0JdFf_VYSMzH5lBcEaU4o8teT1piV-SNzShjg/edit?gid=554141278#gid=554141278"", ""'Char Def. - Attributes'!C20:C2242""), 1,false)"),"ALT_NUM_UOM4")</f>
        <v>ALT_NUM_UOM4</v>
      </c>
      <c r="I9285" s="136"/>
      <c r="R9285" s="63" t="str">
        <f t="shared" si="60"/>
        <v>ZSI1_FIRE_DETECTORALT_NUM_UOM4</v>
      </c>
    </row>
    <row r="9286" ht="15.75" customHeight="1">
      <c r="B9286" s="63">
        <f t="shared" si="1"/>
        <v>18</v>
      </c>
      <c r="C9286" s="135" t="s">
        <v>346</v>
      </c>
      <c r="D9286" s="161" t="s">
        <v>74</v>
      </c>
      <c r="E9286" s="135">
        <f t="shared" si="62"/>
        <v>26</v>
      </c>
      <c r="F9286" s="134" t="s">
        <v>3816</v>
      </c>
      <c r="G9286" s="63" t="str">
        <f>VLOOKUP(C9286, 'Class Def. - General Data'!$C$20:$C$1000,1,false)</f>
        <v>ZSI1_FIRE_DETECTOR</v>
      </c>
      <c r="H9286" s="63" t="str">
        <f>IFERROR(__xludf.DUMMYFUNCTION("VLOOKUP(F9286, IMPORTRANGE(""https://docs.google.com/spreadsheets/d/1Lhp9OU0JdFf_VYSMzH5lBcEaU4o8teT1piV-SNzShjg/edit?gid=554141278#gid=554141278"", ""'Char Def. - Attributes'!C20:C2242""), 1,false)"),"ALT_UOM5_SIPI")</f>
        <v>ALT_UOM5_SIPI</v>
      </c>
      <c r="I9286" s="136"/>
      <c r="R9286" s="63" t="str">
        <f t="shared" si="60"/>
        <v>ZSI1_FIRE_DETECTORALT_UOM5_SIPI</v>
      </c>
    </row>
    <row r="9287" ht="15.75" customHeight="1">
      <c r="B9287" s="63">
        <f t="shared" si="1"/>
        <v>18</v>
      </c>
      <c r="C9287" s="135" t="s">
        <v>346</v>
      </c>
      <c r="D9287" s="161" t="s">
        <v>74</v>
      </c>
      <c r="E9287" s="135">
        <f t="shared" si="62"/>
        <v>27</v>
      </c>
      <c r="F9287" s="134" t="s">
        <v>3817</v>
      </c>
      <c r="G9287" s="63" t="str">
        <f>VLOOKUP(C9287, 'Class Def. - General Data'!$C$20:$C$1000,1,false)</f>
        <v>ZSI1_FIRE_DETECTOR</v>
      </c>
      <c r="H9287" s="63" t="str">
        <f>IFERROR(__xludf.DUMMYFUNCTION("VLOOKUP(F9287, IMPORTRANGE(""https://docs.google.com/spreadsheets/d/1Lhp9OU0JdFf_VYSMzH5lBcEaU4o8teT1piV-SNzShjg/edit?gid=554141278#gid=554141278"", ""'Char Def. - Attributes'!C20:C2242""), 1,false)"),"ALT_DENUM_UOM5")</f>
        <v>ALT_DENUM_UOM5</v>
      </c>
      <c r="I9287" s="136"/>
      <c r="R9287" s="63" t="str">
        <f t="shared" si="60"/>
        <v>ZSI1_FIRE_DETECTORALT_DENUM_UOM5</v>
      </c>
    </row>
    <row r="9288" ht="15.75" customHeight="1">
      <c r="B9288" s="63">
        <f t="shared" si="1"/>
        <v>18</v>
      </c>
      <c r="C9288" s="135" t="s">
        <v>346</v>
      </c>
      <c r="D9288" s="161" t="s">
        <v>74</v>
      </c>
      <c r="E9288" s="135">
        <f t="shared" si="62"/>
        <v>28</v>
      </c>
      <c r="F9288" s="134" t="s">
        <v>3818</v>
      </c>
      <c r="G9288" s="63" t="str">
        <f>VLOOKUP(C9288, 'Class Def. - General Data'!$C$20:$C$1000,1,false)</f>
        <v>ZSI1_FIRE_DETECTOR</v>
      </c>
      <c r="H9288" s="63" t="str">
        <f>IFERROR(__xludf.DUMMYFUNCTION("VLOOKUP(F9288, IMPORTRANGE(""https://docs.google.com/spreadsheets/d/1Lhp9OU0JdFf_VYSMzH5lBcEaU4o8teT1piV-SNzShjg/edit?gid=554141278#gid=554141278"", ""'Char Def. - Attributes'!C20:C2242""), 1,false)"),"ALT_NUM_UOM5")</f>
        <v>ALT_NUM_UOM5</v>
      </c>
      <c r="I9288" s="136"/>
      <c r="R9288" s="63" t="str">
        <f t="shared" si="60"/>
        <v>ZSI1_FIRE_DETECTORALT_NUM_UOM5</v>
      </c>
    </row>
    <row r="9289" ht="15.75" customHeight="1">
      <c r="B9289" s="63">
        <f t="shared" si="1"/>
        <v>18</v>
      </c>
      <c r="C9289" s="135" t="s">
        <v>347</v>
      </c>
      <c r="D9289" s="161" t="s">
        <v>74</v>
      </c>
      <c r="E9289" s="135">
        <f t="shared" si="62"/>
        <v>1</v>
      </c>
      <c r="F9289" s="134" t="s">
        <v>4507</v>
      </c>
      <c r="G9289" s="63" t="str">
        <f>VLOOKUP(C9289, 'Class Def. - General Data'!$C$20:$C$1000,1,false)</f>
        <v>ZSI1_FIRE_EXTINGSH</v>
      </c>
      <c r="H9289" s="63" t="str">
        <f>IFERROR(__xludf.DUMMYFUNCTION("VLOOKUP(F9289, IMPORTRANGE(""https://docs.google.com/spreadsheets/d/1Lhp9OU0JdFf_VYSMzH5lBcEaU4o8teT1piV-SNzShjg/edit?gid=554141278#gid=554141278"", ""'Char Def. - Attributes'!C20:C2242""), 1,false)"),"ITEM_NAME_FIRE_EXTINGSH")</f>
        <v>ITEM_NAME_FIRE_EXTINGSH</v>
      </c>
      <c r="I9289" s="136"/>
      <c r="R9289" s="63" t="str">
        <f t="shared" si="60"/>
        <v>ZSI1_FIRE_EXTINGSHITEM_NAME_FIRE_EXTINGSH</v>
      </c>
    </row>
    <row r="9290" ht="15.75" customHeight="1">
      <c r="B9290" s="63">
        <f t="shared" si="1"/>
        <v>18</v>
      </c>
      <c r="C9290" s="135" t="s">
        <v>347</v>
      </c>
      <c r="D9290" s="161" t="s">
        <v>74</v>
      </c>
      <c r="E9290" s="135">
        <f t="shared" si="62"/>
        <v>2</v>
      </c>
      <c r="F9290" s="134" t="s">
        <v>4508</v>
      </c>
      <c r="G9290" s="63" t="str">
        <f>VLOOKUP(C9290, 'Class Def. - General Data'!$C$20:$C$1000,1,false)</f>
        <v>ZSI1_FIRE_EXTINGSH</v>
      </c>
      <c r="H9290" s="63" t="str">
        <f>IFERROR(__xludf.DUMMYFUNCTION("VLOOKUP(F9290, IMPORTRANGE(""https://docs.google.com/spreadsheets/d/1Lhp9OU0JdFf_VYSMzH5lBcEaU4o8teT1piV-SNzShjg/edit?gid=554141278#gid=554141278"", ""'Char Def. - Attributes'!C20:C2242""), 1,false)"),"TYPE_FIRE_EXTINGSH")</f>
        <v>TYPE_FIRE_EXTINGSH</v>
      </c>
      <c r="I9290" s="136"/>
      <c r="R9290" s="63" t="str">
        <f t="shared" si="60"/>
        <v>ZSI1_FIRE_EXTINGSHTYPE_FIRE_EXTINGSH</v>
      </c>
    </row>
    <row r="9291" ht="15.75" customHeight="1">
      <c r="B9291" s="63">
        <f t="shared" si="1"/>
        <v>18</v>
      </c>
      <c r="C9291" s="135" t="s">
        <v>347</v>
      </c>
      <c r="D9291" s="161" t="s">
        <v>74</v>
      </c>
      <c r="E9291" s="135">
        <f t="shared" si="62"/>
        <v>3</v>
      </c>
      <c r="F9291" s="134" t="s">
        <v>3782</v>
      </c>
      <c r="G9291" s="63" t="str">
        <f>VLOOKUP(C9291, 'Class Def. - General Data'!$C$20:$C$1000,1,false)</f>
        <v>ZSI1_FIRE_EXTINGSH</v>
      </c>
      <c r="H9291" s="63" t="str">
        <f>IFERROR(__xludf.DUMMYFUNCTION("VLOOKUP(F9291, IMPORTRANGE(""https://docs.google.com/spreadsheets/d/1Lhp9OU0JdFf_VYSMzH5lBcEaU4o8teT1piV-SNzShjg/edit?gid=554141278#gid=554141278"", ""'Char Def. - Attributes'!C20:C2242""), 1,false)"),"BRAND_EXTERNAL")</f>
        <v>BRAND_EXTERNAL</v>
      </c>
      <c r="I9291" s="136"/>
      <c r="R9291" s="63" t="str">
        <f t="shared" si="60"/>
        <v>ZSI1_FIRE_EXTINGSHBRAND_EXTERNAL</v>
      </c>
    </row>
    <row r="9292" ht="15.75" customHeight="1">
      <c r="B9292" s="63">
        <f t="shared" si="1"/>
        <v>18</v>
      </c>
      <c r="C9292" s="135" t="s">
        <v>347</v>
      </c>
      <c r="D9292" s="161" t="s">
        <v>74</v>
      </c>
      <c r="E9292" s="135">
        <f t="shared" si="62"/>
        <v>4</v>
      </c>
      <c r="F9292" s="134" t="s">
        <v>4509</v>
      </c>
      <c r="G9292" s="63" t="str">
        <f>VLOOKUP(C9292, 'Class Def. - General Data'!$C$20:$C$1000,1,false)</f>
        <v>ZSI1_FIRE_EXTINGSH</v>
      </c>
      <c r="H9292" s="63" t="str">
        <f>IFERROR(__xludf.DUMMYFUNCTION("VLOOKUP(F9292, IMPORTRANGE(""https://docs.google.com/spreadsheets/d/1Lhp9OU0JdFf_VYSMzH5lBcEaU4o8teT1piV-SNzShjg/edit?gid=554141278#gid=554141278"", ""'Char Def. - Attributes'!C20:C2242""), 1,false)"),"SIZE_KG_FIRE_EXTINGSH")</f>
        <v>SIZE_KG_FIRE_EXTINGSH</v>
      </c>
      <c r="I9292" s="136"/>
      <c r="R9292" s="63" t="str">
        <f t="shared" si="60"/>
        <v>ZSI1_FIRE_EXTINGSHSIZE_KG_FIRE_EXTINGSH</v>
      </c>
    </row>
    <row r="9293" ht="15.75" customHeight="1">
      <c r="B9293" s="63">
        <f t="shared" si="1"/>
        <v>18</v>
      </c>
      <c r="C9293" s="135" t="s">
        <v>347</v>
      </c>
      <c r="D9293" s="161" t="s">
        <v>74</v>
      </c>
      <c r="E9293" s="135">
        <f t="shared" si="62"/>
        <v>5</v>
      </c>
      <c r="F9293" s="134" t="s">
        <v>3585</v>
      </c>
      <c r="G9293" s="63" t="str">
        <f>VLOOKUP(C9293, 'Class Def. - General Data'!$C$20:$C$1000,1,false)</f>
        <v>ZSI1_FIRE_EXTINGSH</v>
      </c>
      <c r="H9293" s="63" t="str">
        <f>IFERROR(__xludf.DUMMYFUNCTION("VLOOKUP(F9293, IMPORTRANGE(""https://docs.google.com/spreadsheets/d/1Lhp9OU0JdFf_VYSMzH5lBcEaU4o8teT1piV-SNzShjg/edit?gid=554141278#gid=554141278"", ""'Char Def. - Attributes'!C20:C2242""), 1,false)"),"HS_CODE")</f>
        <v>HS_CODE</v>
      </c>
      <c r="I9293" s="136"/>
      <c r="R9293" s="63" t="str">
        <f t="shared" si="60"/>
        <v>ZSI1_FIRE_EXTINGSHHS_CODE</v>
      </c>
    </row>
    <row r="9294" ht="15.75" customHeight="1">
      <c r="B9294" s="63">
        <f t="shared" si="1"/>
        <v>18</v>
      </c>
      <c r="C9294" s="135" t="s">
        <v>347</v>
      </c>
      <c r="D9294" s="161" t="s">
        <v>74</v>
      </c>
      <c r="E9294" s="135">
        <f t="shared" si="62"/>
        <v>6</v>
      </c>
      <c r="F9294" s="134" t="s">
        <v>3587</v>
      </c>
      <c r="G9294" s="63" t="str">
        <f>VLOOKUP(C9294, 'Class Def. - General Data'!$C$20:$C$1000,1,false)</f>
        <v>ZSI1_FIRE_EXTINGSH</v>
      </c>
      <c r="H9294" s="63" t="str">
        <f>IFERROR(__xludf.DUMMYFUNCTION("VLOOKUP(F9294, IMPORTRANGE(""https://docs.google.com/spreadsheets/d/1Lhp9OU0JdFf_VYSMzH5lBcEaU4o8teT1piV-SNzShjg/edit?gid=554141278#gid=554141278"", ""'Char Def. - Attributes'!C20:C2242""), 1,false)"),"PLANT_BUY")</f>
        <v>PLANT_BUY</v>
      </c>
      <c r="I9294" s="136"/>
      <c r="R9294" s="63" t="str">
        <f t="shared" si="60"/>
        <v>ZSI1_FIRE_EXTINGSHPLANT_BUY</v>
      </c>
    </row>
    <row r="9295" ht="15.75" customHeight="1">
      <c r="B9295" s="63">
        <f t="shared" si="1"/>
        <v>18</v>
      </c>
      <c r="C9295" s="135" t="s">
        <v>347</v>
      </c>
      <c r="D9295" s="161" t="s">
        <v>74</v>
      </c>
      <c r="E9295" s="135">
        <f t="shared" si="62"/>
        <v>7</v>
      </c>
      <c r="F9295" s="134" t="s">
        <v>4510</v>
      </c>
      <c r="G9295" s="63" t="str">
        <f>VLOOKUP(C9295, 'Class Def. - General Data'!$C$20:$C$1000,1,false)</f>
        <v>ZSI1_FIRE_EXTINGSH</v>
      </c>
      <c r="H9295" s="63" t="str">
        <f>IFERROR(__xludf.DUMMYFUNCTION("VLOOKUP(F9295, IMPORTRANGE(""https://docs.google.com/spreadsheets/d/1Lhp9OU0JdFf_VYSMzH5lBcEaU4o8teT1piV-SNzShjg/edit?gid=554141278#gid=554141278"", ""'Char Def. - Attributes'!C20:C2242""), 1,false)"),"BASE_UOM_FIRE_EXTINGSH")</f>
        <v>BASE_UOM_FIRE_EXTINGSH</v>
      </c>
      <c r="I9295" s="136"/>
      <c r="R9295" s="63" t="str">
        <f t="shared" si="60"/>
        <v>ZSI1_FIRE_EXTINGSHBASE_UOM_FIRE_EXTINGSH</v>
      </c>
    </row>
    <row r="9296" ht="15.75" customHeight="1">
      <c r="B9296" s="63">
        <f t="shared" si="1"/>
        <v>18</v>
      </c>
      <c r="C9296" s="135" t="s">
        <v>347</v>
      </c>
      <c r="D9296" s="161" t="s">
        <v>74</v>
      </c>
      <c r="E9296" s="135">
        <f t="shared" si="62"/>
        <v>8</v>
      </c>
      <c r="F9296" s="134" t="s">
        <v>4511</v>
      </c>
      <c r="G9296" s="63" t="str">
        <f>VLOOKUP(C9296, 'Class Def. - General Data'!$C$20:$C$1000,1,false)</f>
        <v>ZSI1_FIRE_EXTINGSH</v>
      </c>
      <c r="H9296" s="63" t="str">
        <f>IFERROR(__xludf.DUMMYFUNCTION("VLOOKUP(F9296, IMPORTRANGE(""https://docs.google.com/spreadsheets/d/1Lhp9OU0JdFf_VYSMzH5lBcEaU4o8teT1piV-SNzShjg/edit?gid=554141278#gid=554141278"", ""'Char Def. - Attributes'!C20:C2242""), 1,false)"),"ORDER_UNIT_FIRE_EXTINGSH")</f>
        <v>ORDER_UNIT_FIRE_EXTINGSH</v>
      </c>
      <c r="I9296" s="136"/>
      <c r="R9296" s="63" t="str">
        <f t="shared" si="60"/>
        <v>ZSI1_FIRE_EXTINGSHORDER_UNIT_FIRE_EXTINGSH</v>
      </c>
    </row>
    <row r="9297" ht="15.75" customHeight="1">
      <c r="B9297" s="63">
        <f t="shared" si="1"/>
        <v>18</v>
      </c>
      <c r="C9297" s="135" t="s">
        <v>347</v>
      </c>
      <c r="D9297" s="161" t="s">
        <v>74</v>
      </c>
      <c r="E9297" s="135">
        <f t="shared" si="62"/>
        <v>9</v>
      </c>
      <c r="F9297" s="134" t="s">
        <v>4056</v>
      </c>
      <c r="G9297" s="63" t="str">
        <f>VLOOKUP(C9297, 'Class Def. - General Data'!$C$20:$C$1000,1,false)</f>
        <v>ZSI1_FIRE_EXTINGSH</v>
      </c>
      <c r="H9297" s="63" t="str">
        <f>IFERROR(__xludf.DUMMYFUNCTION("VLOOKUP(F9297, IMPORTRANGE(""https://docs.google.com/spreadsheets/d/1Lhp9OU0JdFf_VYSMzH5lBcEaU4o8teT1piV-SNzShjg/edit?gid=554141278#gid=554141278"", ""'Char Def. - Attributes'!C20:C2242""), 1,false)"),"GROSS_WEIGHT_OPT")</f>
        <v>GROSS_WEIGHT_OPT</v>
      </c>
      <c r="I9297" s="136"/>
      <c r="R9297" s="63" t="str">
        <f t="shared" si="60"/>
        <v>ZSI1_FIRE_EXTINGSHGROSS_WEIGHT_OPT</v>
      </c>
    </row>
    <row r="9298" ht="15.75" customHeight="1">
      <c r="B9298" s="63">
        <f t="shared" si="1"/>
        <v>18</v>
      </c>
      <c r="C9298" s="135" t="s">
        <v>347</v>
      </c>
      <c r="D9298" s="161" t="s">
        <v>74</v>
      </c>
      <c r="E9298" s="135">
        <f t="shared" si="62"/>
        <v>10</v>
      </c>
      <c r="F9298" s="134" t="s">
        <v>4057</v>
      </c>
      <c r="G9298" s="63" t="str">
        <f>VLOOKUP(C9298, 'Class Def. - General Data'!$C$20:$C$1000,1,false)</f>
        <v>ZSI1_FIRE_EXTINGSH</v>
      </c>
      <c r="H9298" s="63" t="str">
        <f>IFERROR(__xludf.DUMMYFUNCTION("VLOOKUP(F9298, IMPORTRANGE(""https://docs.google.com/spreadsheets/d/1Lhp9OU0JdFf_VYSMzH5lBcEaU4o8teT1piV-SNzShjg/edit?gid=554141278#gid=554141278"", ""'Char Def. - Attributes'!C20:C2242""), 1,false)"),"NET_WEIGHT_OPT")</f>
        <v>NET_WEIGHT_OPT</v>
      </c>
      <c r="I9298" s="136"/>
      <c r="R9298" s="63" t="str">
        <f t="shared" si="60"/>
        <v>ZSI1_FIRE_EXTINGSHNET_WEIGHT_OPT</v>
      </c>
    </row>
    <row r="9299" ht="15.75" customHeight="1">
      <c r="B9299" s="63">
        <f t="shared" si="1"/>
        <v>18</v>
      </c>
      <c r="C9299" s="135" t="s">
        <v>347</v>
      </c>
      <c r="D9299" s="161" t="s">
        <v>74</v>
      </c>
      <c r="E9299" s="135">
        <f t="shared" si="62"/>
        <v>11</v>
      </c>
      <c r="F9299" s="134" t="s">
        <v>4058</v>
      </c>
      <c r="G9299" s="63" t="str">
        <f>VLOOKUP(C9299, 'Class Def. - General Data'!$C$20:$C$1000,1,false)</f>
        <v>ZSI1_FIRE_EXTINGSH</v>
      </c>
      <c r="H9299" s="63" t="str">
        <f>IFERROR(__xludf.DUMMYFUNCTION("VLOOKUP(F9299, IMPORTRANGE(""https://docs.google.com/spreadsheets/d/1Lhp9OU0JdFf_VYSMzH5lBcEaU4o8teT1piV-SNzShjg/edit?gid=554141278#gid=554141278"", ""'Char Def. - Attributes'!C20:C2242""), 1,false)"),"WEIGHT_UNIT_SI")</f>
        <v>WEIGHT_UNIT_SI</v>
      </c>
      <c r="I9299" s="136"/>
      <c r="R9299" s="63" t="str">
        <f t="shared" si="60"/>
        <v>ZSI1_FIRE_EXTINGSHWEIGHT_UNIT_SI</v>
      </c>
    </row>
    <row r="9300" ht="15.75" customHeight="1">
      <c r="B9300" s="63">
        <f t="shared" si="1"/>
        <v>18</v>
      </c>
      <c r="C9300" s="135" t="s">
        <v>347</v>
      </c>
      <c r="D9300" s="161" t="s">
        <v>74</v>
      </c>
      <c r="E9300" s="135">
        <f t="shared" si="62"/>
        <v>12</v>
      </c>
      <c r="F9300" s="134" t="s">
        <v>3877</v>
      </c>
      <c r="G9300" s="63" t="str">
        <f>VLOOKUP(C9300, 'Class Def. - General Data'!$C$20:$C$1000,1,false)</f>
        <v>ZSI1_FIRE_EXTINGSH</v>
      </c>
      <c r="H9300" s="63" t="str">
        <f>IFERROR(__xludf.DUMMYFUNCTION("VLOOKUP(F9300, IMPORTRANGE(""https://docs.google.com/spreadsheets/d/1Lhp9OU0JdFf_VYSMzH5lBcEaU4o8teT1piV-SNzShjg/edit?gid=554141278#gid=554141278"", ""'Char Def. - Attributes'!C20:C2242""), 1,false)"),"VOLUME_OPT")</f>
        <v>VOLUME_OPT</v>
      </c>
      <c r="I9300" s="136"/>
      <c r="R9300" s="63" t="str">
        <f t="shared" si="60"/>
        <v>ZSI1_FIRE_EXTINGSHVOLUME_OPT</v>
      </c>
    </row>
    <row r="9301" ht="15.75" customHeight="1">
      <c r="B9301" s="63">
        <f t="shared" si="1"/>
        <v>18</v>
      </c>
      <c r="C9301" s="135" t="s">
        <v>347</v>
      </c>
      <c r="D9301" s="161" t="s">
        <v>74</v>
      </c>
      <c r="E9301" s="135">
        <f t="shared" si="62"/>
        <v>13</v>
      </c>
      <c r="F9301" s="134" t="s">
        <v>4059</v>
      </c>
      <c r="G9301" s="63" t="str">
        <f>VLOOKUP(C9301, 'Class Def. - General Data'!$C$20:$C$1000,1,false)</f>
        <v>ZSI1_FIRE_EXTINGSH</v>
      </c>
      <c r="H9301" s="63" t="str">
        <f>IFERROR(__xludf.DUMMYFUNCTION("VLOOKUP(F9301, IMPORTRANGE(""https://docs.google.com/spreadsheets/d/1Lhp9OU0JdFf_VYSMzH5lBcEaU4o8teT1piV-SNzShjg/edit?gid=554141278#gid=554141278"", ""'Char Def. - Attributes'!C20:C2242""), 1,false)"),"VOLUME_UNIT_SI")</f>
        <v>VOLUME_UNIT_SI</v>
      </c>
      <c r="I9301" s="136"/>
      <c r="R9301" s="63" t="str">
        <f t="shared" si="60"/>
        <v>ZSI1_FIRE_EXTINGSHVOLUME_UNIT_SI</v>
      </c>
    </row>
    <row r="9302" ht="15.75" customHeight="1">
      <c r="B9302" s="63">
        <f t="shared" si="1"/>
        <v>18</v>
      </c>
      <c r="C9302" s="135" t="s">
        <v>347</v>
      </c>
      <c r="D9302" s="161" t="s">
        <v>74</v>
      </c>
      <c r="E9302" s="135">
        <f t="shared" si="62"/>
        <v>14</v>
      </c>
      <c r="F9302" s="134" t="s">
        <v>3804</v>
      </c>
      <c r="G9302" s="63" t="str">
        <f>VLOOKUP(C9302, 'Class Def. - General Data'!$C$20:$C$1000,1,false)</f>
        <v>ZSI1_FIRE_EXTINGSH</v>
      </c>
      <c r="H9302" s="63" t="str">
        <f>IFERROR(__xludf.DUMMYFUNCTION("VLOOKUP(F9302, IMPORTRANGE(""https://docs.google.com/spreadsheets/d/1Lhp9OU0JdFf_VYSMzH5lBcEaU4o8teT1piV-SNzShjg/edit?gid=554141278#gid=554141278"", ""'Char Def. - Attributes'!C20:C2242""), 1,false)"),"ALT_UOM1_SIPI")</f>
        <v>ALT_UOM1_SIPI</v>
      </c>
      <c r="I9302" s="136"/>
      <c r="R9302" s="63" t="str">
        <f t="shared" si="60"/>
        <v>ZSI1_FIRE_EXTINGSHALT_UOM1_SIPI</v>
      </c>
    </row>
    <row r="9303" ht="15.75" customHeight="1">
      <c r="B9303" s="63">
        <f t="shared" si="1"/>
        <v>18</v>
      </c>
      <c r="C9303" s="135" t="s">
        <v>347</v>
      </c>
      <c r="D9303" s="161" t="s">
        <v>74</v>
      </c>
      <c r="E9303" s="135">
        <f t="shared" si="62"/>
        <v>15</v>
      </c>
      <c r="F9303" s="134" t="s">
        <v>3805</v>
      </c>
      <c r="G9303" s="63" t="str">
        <f>VLOOKUP(C9303, 'Class Def. - General Data'!$C$20:$C$1000,1,false)</f>
        <v>ZSI1_FIRE_EXTINGSH</v>
      </c>
      <c r="H9303" s="63" t="str">
        <f>IFERROR(__xludf.DUMMYFUNCTION("VLOOKUP(F9303, IMPORTRANGE(""https://docs.google.com/spreadsheets/d/1Lhp9OU0JdFf_VYSMzH5lBcEaU4o8teT1piV-SNzShjg/edit?gid=554141278#gid=554141278"", ""'Char Def. - Attributes'!C20:C2242""), 1,false)"),"ALT_DENUM_UOM1")</f>
        <v>ALT_DENUM_UOM1</v>
      </c>
      <c r="I9303" s="136"/>
      <c r="R9303" s="63" t="str">
        <f t="shared" si="60"/>
        <v>ZSI1_FIRE_EXTINGSHALT_DENUM_UOM1</v>
      </c>
    </row>
    <row r="9304" ht="15.75" customHeight="1">
      <c r="B9304" s="63">
        <f t="shared" si="1"/>
        <v>18</v>
      </c>
      <c r="C9304" s="135" t="s">
        <v>347</v>
      </c>
      <c r="D9304" s="161" t="s">
        <v>74</v>
      </c>
      <c r="E9304" s="135">
        <f t="shared" si="62"/>
        <v>16</v>
      </c>
      <c r="F9304" s="134" t="s">
        <v>3806</v>
      </c>
      <c r="G9304" s="63" t="str">
        <f>VLOOKUP(C9304, 'Class Def. - General Data'!$C$20:$C$1000,1,false)</f>
        <v>ZSI1_FIRE_EXTINGSH</v>
      </c>
      <c r="H9304" s="63" t="str">
        <f>IFERROR(__xludf.DUMMYFUNCTION("VLOOKUP(F9304, IMPORTRANGE(""https://docs.google.com/spreadsheets/d/1Lhp9OU0JdFf_VYSMzH5lBcEaU4o8teT1piV-SNzShjg/edit?gid=554141278#gid=554141278"", ""'Char Def. - Attributes'!C20:C2242""), 1,false)"),"ALT_NUM_UOM1")</f>
        <v>ALT_NUM_UOM1</v>
      </c>
      <c r="I9304" s="136"/>
      <c r="R9304" s="63" t="str">
        <f t="shared" si="60"/>
        <v>ZSI1_FIRE_EXTINGSHALT_NUM_UOM1</v>
      </c>
    </row>
    <row r="9305" ht="15.75" customHeight="1">
      <c r="B9305" s="63">
        <f t="shared" si="1"/>
        <v>18</v>
      </c>
      <c r="C9305" s="135" t="s">
        <v>347</v>
      </c>
      <c r="D9305" s="161" t="s">
        <v>74</v>
      </c>
      <c r="E9305" s="135">
        <f t="shared" si="62"/>
        <v>17</v>
      </c>
      <c r="F9305" s="134" t="s">
        <v>3807</v>
      </c>
      <c r="G9305" s="63" t="str">
        <f>VLOOKUP(C9305, 'Class Def. - General Data'!$C$20:$C$1000,1,false)</f>
        <v>ZSI1_FIRE_EXTINGSH</v>
      </c>
      <c r="H9305" s="63" t="str">
        <f>IFERROR(__xludf.DUMMYFUNCTION("VLOOKUP(F9305, IMPORTRANGE(""https://docs.google.com/spreadsheets/d/1Lhp9OU0JdFf_VYSMzH5lBcEaU4o8teT1piV-SNzShjg/edit?gid=554141278#gid=554141278"", ""'Char Def. - Attributes'!C20:C2242""), 1,false)"),"ALT_UOM2_SIPI")</f>
        <v>ALT_UOM2_SIPI</v>
      </c>
      <c r="I9305" s="136"/>
      <c r="R9305" s="63" t="str">
        <f t="shared" si="60"/>
        <v>ZSI1_FIRE_EXTINGSHALT_UOM2_SIPI</v>
      </c>
    </row>
    <row r="9306" ht="15.75" customHeight="1">
      <c r="B9306" s="63">
        <f t="shared" si="1"/>
        <v>18</v>
      </c>
      <c r="C9306" s="135" t="s">
        <v>347</v>
      </c>
      <c r="D9306" s="161" t="s">
        <v>74</v>
      </c>
      <c r="E9306" s="135">
        <f t="shared" si="62"/>
        <v>18</v>
      </c>
      <c r="F9306" s="134" t="s">
        <v>3808</v>
      </c>
      <c r="G9306" s="63" t="str">
        <f>VLOOKUP(C9306, 'Class Def. - General Data'!$C$20:$C$1000,1,false)</f>
        <v>ZSI1_FIRE_EXTINGSH</v>
      </c>
      <c r="H9306" s="63" t="str">
        <f>IFERROR(__xludf.DUMMYFUNCTION("VLOOKUP(F9306, IMPORTRANGE(""https://docs.google.com/spreadsheets/d/1Lhp9OU0JdFf_VYSMzH5lBcEaU4o8teT1piV-SNzShjg/edit?gid=554141278#gid=554141278"", ""'Char Def. - Attributes'!C20:C2242""), 1,false)"),"ALT_DENUM_UOM2")</f>
        <v>ALT_DENUM_UOM2</v>
      </c>
      <c r="I9306" s="136"/>
      <c r="R9306" s="63" t="str">
        <f t="shared" si="60"/>
        <v>ZSI1_FIRE_EXTINGSHALT_DENUM_UOM2</v>
      </c>
    </row>
    <row r="9307" ht="15.75" customHeight="1">
      <c r="B9307" s="63">
        <f t="shared" si="1"/>
        <v>18</v>
      </c>
      <c r="C9307" s="135" t="s">
        <v>347</v>
      </c>
      <c r="D9307" s="161" t="s">
        <v>74</v>
      </c>
      <c r="E9307" s="135">
        <f t="shared" si="62"/>
        <v>19</v>
      </c>
      <c r="F9307" s="134" t="s">
        <v>3809</v>
      </c>
      <c r="G9307" s="63" t="str">
        <f>VLOOKUP(C9307, 'Class Def. - General Data'!$C$20:$C$1000,1,false)</f>
        <v>ZSI1_FIRE_EXTINGSH</v>
      </c>
      <c r="H9307" s="63" t="str">
        <f>IFERROR(__xludf.DUMMYFUNCTION("VLOOKUP(F9307, IMPORTRANGE(""https://docs.google.com/spreadsheets/d/1Lhp9OU0JdFf_VYSMzH5lBcEaU4o8teT1piV-SNzShjg/edit?gid=554141278#gid=554141278"", ""'Char Def. - Attributes'!C20:C2242""), 1,false)"),"ALT_NUM_UOM2")</f>
        <v>ALT_NUM_UOM2</v>
      </c>
      <c r="I9307" s="136"/>
      <c r="R9307" s="63" t="str">
        <f t="shared" si="60"/>
        <v>ZSI1_FIRE_EXTINGSHALT_NUM_UOM2</v>
      </c>
    </row>
    <row r="9308" ht="15.75" customHeight="1">
      <c r="B9308" s="63">
        <f t="shared" si="1"/>
        <v>18</v>
      </c>
      <c r="C9308" s="135" t="s">
        <v>347</v>
      </c>
      <c r="D9308" s="161" t="s">
        <v>74</v>
      </c>
      <c r="E9308" s="135">
        <f t="shared" si="62"/>
        <v>20</v>
      </c>
      <c r="F9308" s="134" t="s">
        <v>3810</v>
      </c>
      <c r="G9308" s="63" t="str">
        <f>VLOOKUP(C9308, 'Class Def. - General Data'!$C$20:$C$1000,1,false)</f>
        <v>ZSI1_FIRE_EXTINGSH</v>
      </c>
      <c r="H9308" s="63" t="str">
        <f>IFERROR(__xludf.DUMMYFUNCTION("VLOOKUP(F9308, IMPORTRANGE(""https://docs.google.com/spreadsheets/d/1Lhp9OU0JdFf_VYSMzH5lBcEaU4o8teT1piV-SNzShjg/edit?gid=554141278#gid=554141278"", ""'Char Def. - Attributes'!C20:C2242""), 1,false)"),"ALT_UOM3_SIPI")</f>
        <v>ALT_UOM3_SIPI</v>
      </c>
      <c r="I9308" s="136"/>
      <c r="R9308" s="63" t="str">
        <f t="shared" si="60"/>
        <v>ZSI1_FIRE_EXTINGSHALT_UOM3_SIPI</v>
      </c>
    </row>
    <row r="9309" ht="15.75" customHeight="1">
      <c r="B9309" s="63">
        <f t="shared" si="1"/>
        <v>18</v>
      </c>
      <c r="C9309" s="135" t="s">
        <v>347</v>
      </c>
      <c r="D9309" s="161" t="s">
        <v>74</v>
      </c>
      <c r="E9309" s="135">
        <f t="shared" si="62"/>
        <v>21</v>
      </c>
      <c r="F9309" s="134" t="s">
        <v>3811</v>
      </c>
      <c r="G9309" s="63" t="str">
        <f>VLOOKUP(C9309, 'Class Def. - General Data'!$C$20:$C$1000,1,false)</f>
        <v>ZSI1_FIRE_EXTINGSH</v>
      </c>
      <c r="H9309" s="63" t="str">
        <f>IFERROR(__xludf.DUMMYFUNCTION("VLOOKUP(F9309, IMPORTRANGE(""https://docs.google.com/spreadsheets/d/1Lhp9OU0JdFf_VYSMzH5lBcEaU4o8teT1piV-SNzShjg/edit?gid=554141278#gid=554141278"", ""'Char Def. - Attributes'!C20:C2242""), 1,false)"),"ALT_DENUM_UOM3")</f>
        <v>ALT_DENUM_UOM3</v>
      </c>
      <c r="I9309" s="136"/>
      <c r="R9309" s="63" t="str">
        <f t="shared" si="60"/>
        <v>ZSI1_FIRE_EXTINGSHALT_DENUM_UOM3</v>
      </c>
    </row>
    <row r="9310" ht="15.75" customHeight="1">
      <c r="B9310" s="63">
        <f t="shared" si="1"/>
        <v>18</v>
      </c>
      <c r="C9310" s="135" t="s">
        <v>347</v>
      </c>
      <c r="D9310" s="161" t="s">
        <v>74</v>
      </c>
      <c r="E9310" s="135">
        <f t="shared" si="62"/>
        <v>22</v>
      </c>
      <c r="F9310" s="134" t="s">
        <v>3812</v>
      </c>
      <c r="G9310" s="63" t="str">
        <f>VLOOKUP(C9310, 'Class Def. - General Data'!$C$20:$C$1000,1,false)</f>
        <v>ZSI1_FIRE_EXTINGSH</v>
      </c>
      <c r="H9310" s="63" t="str">
        <f>IFERROR(__xludf.DUMMYFUNCTION("VLOOKUP(F9310, IMPORTRANGE(""https://docs.google.com/spreadsheets/d/1Lhp9OU0JdFf_VYSMzH5lBcEaU4o8teT1piV-SNzShjg/edit?gid=554141278#gid=554141278"", ""'Char Def. - Attributes'!C20:C2242""), 1,false)"),"ALT_NUM_UOM3")</f>
        <v>ALT_NUM_UOM3</v>
      </c>
      <c r="I9310" s="136"/>
      <c r="R9310" s="63" t="str">
        <f t="shared" si="60"/>
        <v>ZSI1_FIRE_EXTINGSHALT_NUM_UOM3</v>
      </c>
    </row>
    <row r="9311" ht="15.75" customHeight="1">
      <c r="B9311" s="63">
        <f t="shared" si="1"/>
        <v>18</v>
      </c>
      <c r="C9311" s="135" t="s">
        <v>347</v>
      </c>
      <c r="D9311" s="161" t="s">
        <v>74</v>
      </c>
      <c r="E9311" s="135">
        <f t="shared" si="62"/>
        <v>23</v>
      </c>
      <c r="F9311" s="134" t="s">
        <v>3813</v>
      </c>
      <c r="G9311" s="63" t="str">
        <f>VLOOKUP(C9311, 'Class Def. - General Data'!$C$20:$C$1000,1,false)</f>
        <v>ZSI1_FIRE_EXTINGSH</v>
      </c>
      <c r="H9311" s="63" t="str">
        <f>IFERROR(__xludf.DUMMYFUNCTION("VLOOKUP(F9311, IMPORTRANGE(""https://docs.google.com/spreadsheets/d/1Lhp9OU0JdFf_VYSMzH5lBcEaU4o8teT1piV-SNzShjg/edit?gid=554141278#gid=554141278"", ""'Char Def. - Attributes'!C20:C2242""), 1,false)"),"ALT_UOM4_SIPI")</f>
        <v>ALT_UOM4_SIPI</v>
      </c>
      <c r="I9311" s="136"/>
      <c r="R9311" s="63" t="str">
        <f t="shared" si="60"/>
        <v>ZSI1_FIRE_EXTINGSHALT_UOM4_SIPI</v>
      </c>
    </row>
    <row r="9312" ht="15.75" customHeight="1">
      <c r="B9312" s="63">
        <f t="shared" si="1"/>
        <v>18</v>
      </c>
      <c r="C9312" s="135" t="s">
        <v>347</v>
      </c>
      <c r="D9312" s="161" t="s">
        <v>74</v>
      </c>
      <c r="E9312" s="135">
        <f t="shared" si="62"/>
        <v>24</v>
      </c>
      <c r="F9312" s="134" t="s">
        <v>3814</v>
      </c>
      <c r="G9312" s="63" t="str">
        <f>VLOOKUP(C9312, 'Class Def. - General Data'!$C$20:$C$1000,1,false)</f>
        <v>ZSI1_FIRE_EXTINGSH</v>
      </c>
      <c r="H9312" s="63" t="str">
        <f>IFERROR(__xludf.DUMMYFUNCTION("VLOOKUP(F9312, IMPORTRANGE(""https://docs.google.com/spreadsheets/d/1Lhp9OU0JdFf_VYSMzH5lBcEaU4o8teT1piV-SNzShjg/edit?gid=554141278#gid=554141278"", ""'Char Def. - Attributes'!C20:C2242""), 1,false)"),"ALT_DENUM_UOM4")</f>
        <v>ALT_DENUM_UOM4</v>
      </c>
      <c r="I9312" s="136"/>
      <c r="R9312" s="63" t="str">
        <f t="shared" si="60"/>
        <v>ZSI1_FIRE_EXTINGSHALT_DENUM_UOM4</v>
      </c>
    </row>
    <row r="9313" ht="15.75" customHeight="1">
      <c r="B9313" s="63">
        <f t="shared" si="1"/>
        <v>18</v>
      </c>
      <c r="C9313" s="135" t="s">
        <v>347</v>
      </c>
      <c r="D9313" s="161" t="s">
        <v>74</v>
      </c>
      <c r="E9313" s="135">
        <f t="shared" si="62"/>
        <v>25</v>
      </c>
      <c r="F9313" s="134" t="s">
        <v>3815</v>
      </c>
      <c r="G9313" s="63" t="str">
        <f>VLOOKUP(C9313, 'Class Def. - General Data'!$C$20:$C$1000,1,false)</f>
        <v>ZSI1_FIRE_EXTINGSH</v>
      </c>
      <c r="H9313" s="63" t="str">
        <f>IFERROR(__xludf.DUMMYFUNCTION("VLOOKUP(F9313, IMPORTRANGE(""https://docs.google.com/spreadsheets/d/1Lhp9OU0JdFf_VYSMzH5lBcEaU4o8teT1piV-SNzShjg/edit?gid=554141278#gid=554141278"", ""'Char Def. - Attributes'!C20:C2242""), 1,false)"),"ALT_NUM_UOM4")</f>
        <v>ALT_NUM_UOM4</v>
      </c>
      <c r="I9313" s="136"/>
      <c r="R9313" s="63" t="str">
        <f t="shared" si="60"/>
        <v>ZSI1_FIRE_EXTINGSHALT_NUM_UOM4</v>
      </c>
    </row>
    <row r="9314" ht="15.75" customHeight="1">
      <c r="B9314" s="63">
        <f t="shared" si="1"/>
        <v>18</v>
      </c>
      <c r="C9314" s="135" t="s">
        <v>347</v>
      </c>
      <c r="D9314" s="161" t="s">
        <v>74</v>
      </c>
      <c r="E9314" s="135">
        <f t="shared" si="62"/>
        <v>26</v>
      </c>
      <c r="F9314" s="134" t="s">
        <v>3816</v>
      </c>
      <c r="G9314" s="63" t="str">
        <f>VLOOKUP(C9314, 'Class Def. - General Data'!$C$20:$C$1000,1,false)</f>
        <v>ZSI1_FIRE_EXTINGSH</v>
      </c>
      <c r="H9314" s="63" t="str">
        <f>IFERROR(__xludf.DUMMYFUNCTION("VLOOKUP(F9314, IMPORTRANGE(""https://docs.google.com/spreadsheets/d/1Lhp9OU0JdFf_VYSMzH5lBcEaU4o8teT1piV-SNzShjg/edit?gid=554141278#gid=554141278"", ""'Char Def. - Attributes'!C20:C2242""), 1,false)"),"ALT_UOM5_SIPI")</f>
        <v>ALT_UOM5_SIPI</v>
      </c>
      <c r="I9314" s="136"/>
      <c r="R9314" s="63" t="str">
        <f t="shared" si="60"/>
        <v>ZSI1_FIRE_EXTINGSHALT_UOM5_SIPI</v>
      </c>
    </row>
    <row r="9315" ht="15.75" customHeight="1">
      <c r="B9315" s="63">
        <f t="shared" si="1"/>
        <v>18</v>
      </c>
      <c r="C9315" s="135" t="s">
        <v>347</v>
      </c>
      <c r="D9315" s="161" t="s">
        <v>74</v>
      </c>
      <c r="E9315" s="135">
        <f t="shared" si="62"/>
        <v>27</v>
      </c>
      <c r="F9315" s="134" t="s">
        <v>3817</v>
      </c>
      <c r="G9315" s="63" t="str">
        <f>VLOOKUP(C9315, 'Class Def. - General Data'!$C$20:$C$1000,1,false)</f>
        <v>ZSI1_FIRE_EXTINGSH</v>
      </c>
      <c r="H9315" s="63" t="str">
        <f>IFERROR(__xludf.DUMMYFUNCTION("VLOOKUP(F9315, IMPORTRANGE(""https://docs.google.com/spreadsheets/d/1Lhp9OU0JdFf_VYSMzH5lBcEaU4o8teT1piV-SNzShjg/edit?gid=554141278#gid=554141278"", ""'Char Def. - Attributes'!C20:C2242""), 1,false)"),"ALT_DENUM_UOM5")</f>
        <v>ALT_DENUM_UOM5</v>
      </c>
      <c r="I9315" s="136"/>
      <c r="R9315" s="63" t="str">
        <f t="shared" si="60"/>
        <v>ZSI1_FIRE_EXTINGSHALT_DENUM_UOM5</v>
      </c>
    </row>
    <row r="9316" ht="15.75" customHeight="1">
      <c r="B9316" s="63">
        <f t="shared" si="1"/>
        <v>18</v>
      </c>
      <c r="C9316" s="135" t="s">
        <v>347</v>
      </c>
      <c r="D9316" s="161" t="s">
        <v>74</v>
      </c>
      <c r="E9316" s="135">
        <f t="shared" si="62"/>
        <v>28</v>
      </c>
      <c r="F9316" s="134" t="s">
        <v>3818</v>
      </c>
      <c r="G9316" s="63" t="str">
        <f>VLOOKUP(C9316, 'Class Def. - General Data'!$C$20:$C$1000,1,false)</f>
        <v>ZSI1_FIRE_EXTINGSH</v>
      </c>
      <c r="H9316" s="63" t="str">
        <f>IFERROR(__xludf.DUMMYFUNCTION("VLOOKUP(F9316, IMPORTRANGE(""https://docs.google.com/spreadsheets/d/1Lhp9OU0JdFf_VYSMzH5lBcEaU4o8teT1piV-SNzShjg/edit?gid=554141278#gid=554141278"", ""'Char Def. - Attributes'!C20:C2242""), 1,false)"),"ALT_NUM_UOM5")</f>
        <v>ALT_NUM_UOM5</v>
      </c>
      <c r="I9316" s="136"/>
      <c r="R9316" s="63" t="str">
        <f t="shared" si="60"/>
        <v>ZSI1_FIRE_EXTINGSHALT_NUM_UOM5</v>
      </c>
    </row>
    <row r="9317" ht="15.75" customHeight="1">
      <c r="B9317" s="63">
        <f t="shared" si="1"/>
        <v>15</v>
      </c>
      <c r="C9317" s="135" t="s">
        <v>390</v>
      </c>
      <c r="D9317" s="161" t="s">
        <v>74</v>
      </c>
      <c r="E9317" s="135">
        <f t="shared" si="62"/>
        <v>1</v>
      </c>
      <c r="F9317" s="134" t="s">
        <v>4512</v>
      </c>
      <c r="G9317" s="63" t="str">
        <f>VLOOKUP(C9317, 'Class Def. - General Data'!$C$20:$C$1000,1,false)</f>
        <v>ZSI1_FLEX_JOINT</v>
      </c>
      <c r="H9317" s="63" t="str">
        <f>IFERROR(__xludf.DUMMYFUNCTION("VLOOKUP(F9317, IMPORTRANGE(""https://docs.google.com/spreadsheets/d/1Lhp9OU0JdFf_VYSMzH5lBcEaU4o8teT1piV-SNzShjg/edit?gid=554141278#gid=554141278"", ""'Char Def. - Attributes'!C20:C2242""), 1,false)"),"ITEM_NAME_FLEX_JOINT")</f>
        <v>ITEM_NAME_FLEX_JOINT</v>
      </c>
      <c r="I9317" s="136"/>
      <c r="R9317" s="63" t="str">
        <f t="shared" si="60"/>
        <v>ZSI1_FLEX_JOINTITEM_NAME_FLEX_JOINT</v>
      </c>
    </row>
    <row r="9318" ht="15.75" customHeight="1">
      <c r="B9318" s="63">
        <f t="shared" si="1"/>
        <v>15</v>
      </c>
      <c r="C9318" s="135" t="s">
        <v>390</v>
      </c>
      <c r="D9318" s="161" t="s">
        <v>74</v>
      </c>
      <c r="E9318" s="135">
        <f t="shared" si="62"/>
        <v>2</v>
      </c>
      <c r="F9318" s="134" t="s">
        <v>4513</v>
      </c>
      <c r="G9318" s="63" t="str">
        <f>VLOOKUP(C9318, 'Class Def. - General Data'!$C$20:$C$1000,1,false)</f>
        <v>ZSI1_FLEX_JOINT</v>
      </c>
      <c r="H9318" s="63" t="str">
        <f>IFERROR(__xludf.DUMMYFUNCTION("VLOOKUP(F9318, IMPORTRANGE(""https://docs.google.com/spreadsheets/d/1Lhp9OU0JdFf_VYSMzH5lBcEaU4o8teT1piV-SNzShjg/edit?gid=554141278#gid=554141278"", ""'Char Def. - Attributes'!C20:C2242""), 1,false)"),"MATERIAL_FLEX_JOINT")</f>
        <v>MATERIAL_FLEX_JOINT</v>
      </c>
      <c r="I9318" s="136"/>
      <c r="R9318" s="63" t="str">
        <f t="shared" si="60"/>
        <v>ZSI1_FLEX_JOINTMATERIAL_FLEX_JOINT</v>
      </c>
    </row>
    <row r="9319" ht="15.75" customHeight="1">
      <c r="B9319" s="63">
        <f t="shared" si="1"/>
        <v>15</v>
      </c>
      <c r="C9319" s="135" t="s">
        <v>390</v>
      </c>
      <c r="D9319" s="161" t="s">
        <v>74</v>
      </c>
      <c r="E9319" s="135">
        <f t="shared" si="62"/>
        <v>3</v>
      </c>
      <c r="F9319" s="134" t="s">
        <v>4514</v>
      </c>
      <c r="G9319" s="63" t="str">
        <f>VLOOKUP(C9319, 'Class Def. - General Data'!$C$20:$C$1000,1,false)</f>
        <v>ZSI1_FLEX_JOINT</v>
      </c>
      <c r="H9319" s="63" t="str">
        <f>IFERROR(__xludf.DUMMYFUNCTION("VLOOKUP(F9319, IMPORTRANGE(""https://docs.google.com/spreadsheets/d/1Lhp9OU0JdFf_VYSMzH5lBcEaU4o8teT1piV-SNzShjg/edit?gid=554141278#gid=554141278"", ""'Char Def. - Attributes'!C20:C2242""), 1,false)"),"RATING_FLEX_JOINT")</f>
        <v>RATING_FLEX_JOINT</v>
      </c>
      <c r="I9319" s="136"/>
      <c r="R9319" s="63" t="str">
        <f t="shared" si="60"/>
        <v>ZSI1_FLEX_JOINTRATING_FLEX_JOINT</v>
      </c>
    </row>
    <row r="9320" ht="15.75" customHeight="1">
      <c r="B9320" s="63">
        <f t="shared" si="1"/>
        <v>15</v>
      </c>
      <c r="C9320" s="135" t="s">
        <v>390</v>
      </c>
      <c r="D9320" s="161" t="s">
        <v>74</v>
      </c>
      <c r="E9320" s="135">
        <f t="shared" si="62"/>
        <v>4</v>
      </c>
      <c r="F9320" s="134" t="s">
        <v>4515</v>
      </c>
      <c r="G9320" s="63" t="str">
        <f>VLOOKUP(C9320, 'Class Def. - General Data'!$C$20:$C$1000,1,false)</f>
        <v>ZSI1_FLEX_JOINT</v>
      </c>
      <c r="H9320" s="63" t="str">
        <f>IFERROR(__xludf.DUMMYFUNCTION("VLOOKUP(F9320, IMPORTRANGE(""https://docs.google.com/spreadsheets/d/1Lhp9OU0JdFf_VYSMzH5lBcEaU4o8teT1piV-SNzShjg/edit?gid=554141278#gid=554141278"", ""'Char Def. - Attributes'!C20:C2242""), 1,false)"),"SIZE_DIMENSION_FLEX_JOINT")</f>
        <v>SIZE_DIMENSION_FLEX_JOINT</v>
      </c>
      <c r="I9320" s="136"/>
      <c r="R9320" s="63" t="str">
        <f t="shared" si="60"/>
        <v>ZSI1_FLEX_JOINTSIZE_DIMENSION_FLEX_JOINT</v>
      </c>
    </row>
    <row r="9321" ht="15.75" customHeight="1">
      <c r="B9321" s="63">
        <f t="shared" si="1"/>
        <v>15</v>
      </c>
      <c r="C9321" s="135" t="s">
        <v>390</v>
      </c>
      <c r="D9321" s="161" t="s">
        <v>74</v>
      </c>
      <c r="E9321" s="135">
        <f t="shared" si="62"/>
        <v>5</v>
      </c>
      <c r="F9321" s="134" t="s">
        <v>4516</v>
      </c>
      <c r="G9321" s="63" t="str">
        <f>VLOOKUP(C9321, 'Class Def. - General Data'!$C$20:$C$1000,1,false)</f>
        <v>ZSI1_FLEX_JOINT</v>
      </c>
      <c r="H9321" s="63" t="str">
        <f>IFERROR(__xludf.DUMMYFUNCTION("VLOOKUP(F9321, IMPORTRANGE(""https://docs.google.com/spreadsheets/d/1Lhp9OU0JdFf_VYSMzH5lBcEaU4o8teT1piV-SNzShjg/edit?gid=554141278#gid=554141278"", ""'Char Def. - Attributes'!C20:C2242""), 1,false)"),"SIZE_MM_FLEX_JOINT")</f>
        <v>SIZE_MM_FLEX_JOINT</v>
      </c>
      <c r="I9321" s="136"/>
      <c r="R9321" s="63" t="str">
        <f t="shared" si="60"/>
        <v>ZSI1_FLEX_JOINTSIZE_MM_FLEX_JOINT</v>
      </c>
    </row>
    <row r="9322" ht="15.75" customHeight="1">
      <c r="B9322" s="63">
        <f t="shared" si="1"/>
        <v>15</v>
      </c>
      <c r="C9322" s="135" t="s">
        <v>390</v>
      </c>
      <c r="D9322" s="161" t="s">
        <v>74</v>
      </c>
      <c r="E9322" s="135">
        <f t="shared" si="62"/>
        <v>6</v>
      </c>
      <c r="F9322" s="134" t="s">
        <v>4517</v>
      </c>
      <c r="G9322" s="63" t="str">
        <f>VLOOKUP(C9322, 'Class Def. - General Data'!$C$20:$C$1000,1,false)</f>
        <v>ZSI1_FLEX_JOINT</v>
      </c>
      <c r="H9322" s="63" t="str">
        <f>IFERROR(__xludf.DUMMYFUNCTION("VLOOKUP(F9322, IMPORTRANGE(""https://docs.google.com/spreadsheets/d/1Lhp9OU0JdFf_VYSMzH5lBcEaU4o8teT1piV-SNzShjg/edit?gid=554141278#gid=554141278"", ""'Char Def. - Attributes'!C20:C2242""), 1,false)"),"SIZE_INCH_FLEX_JOINT")</f>
        <v>SIZE_INCH_FLEX_JOINT</v>
      </c>
      <c r="I9322" s="136"/>
      <c r="R9322" s="63" t="str">
        <f t="shared" si="60"/>
        <v>ZSI1_FLEX_JOINTSIZE_INCH_FLEX_JOINT</v>
      </c>
    </row>
    <row r="9323" ht="15.75" customHeight="1">
      <c r="B9323" s="63">
        <f t="shared" si="1"/>
        <v>15</v>
      </c>
      <c r="C9323" s="135" t="s">
        <v>390</v>
      </c>
      <c r="D9323" s="161" t="s">
        <v>74</v>
      </c>
      <c r="E9323" s="135">
        <f t="shared" si="62"/>
        <v>7</v>
      </c>
      <c r="F9323" s="134" t="s">
        <v>3585</v>
      </c>
      <c r="G9323" s="63" t="str">
        <f>VLOOKUP(C9323, 'Class Def. - General Data'!$C$20:$C$1000,1,false)</f>
        <v>ZSI1_FLEX_JOINT</v>
      </c>
      <c r="H9323" s="63" t="str">
        <f>IFERROR(__xludf.DUMMYFUNCTION("VLOOKUP(F9323, IMPORTRANGE(""https://docs.google.com/spreadsheets/d/1Lhp9OU0JdFf_VYSMzH5lBcEaU4o8teT1piV-SNzShjg/edit?gid=554141278#gid=554141278"", ""'Char Def. - Attributes'!C20:C2242""), 1,false)"),"HS_CODE")</f>
        <v>HS_CODE</v>
      </c>
      <c r="I9323" s="136"/>
      <c r="R9323" s="63" t="str">
        <f t="shared" si="60"/>
        <v>ZSI1_FLEX_JOINTHS_CODE</v>
      </c>
    </row>
    <row r="9324" ht="15.75" customHeight="1">
      <c r="B9324" s="63">
        <f t="shared" si="1"/>
        <v>15</v>
      </c>
      <c r="C9324" s="135" t="s">
        <v>390</v>
      </c>
      <c r="D9324" s="161" t="s">
        <v>74</v>
      </c>
      <c r="E9324" s="135">
        <f t="shared" si="62"/>
        <v>8</v>
      </c>
      <c r="F9324" s="134" t="s">
        <v>3587</v>
      </c>
      <c r="G9324" s="63" t="str">
        <f>VLOOKUP(C9324, 'Class Def. - General Data'!$C$20:$C$1000,1,false)</f>
        <v>ZSI1_FLEX_JOINT</v>
      </c>
      <c r="H9324" s="63" t="str">
        <f>IFERROR(__xludf.DUMMYFUNCTION("VLOOKUP(F9324, IMPORTRANGE(""https://docs.google.com/spreadsheets/d/1Lhp9OU0JdFf_VYSMzH5lBcEaU4o8teT1piV-SNzShjg/edit?gid=554141278#gid=554141278"", ""'Char Def. - Attributes'!C20:C2242""), 1,false)"),"PLANT_BUY")</f>
        <v>PLANT_BUY</v>
      </c>
      <c r="I9324" s="136"/>
      <c r="R9324" s="63" t="str">
        <f t="shared" si="60"/>
        <v>ZSI1_FLEX_JOINTPLANT_BUY</v>
      </c>
    </row>
    <row r="9325" ht="15.75" customHeight="1">
      <c r="B9325" s="63">
        <f t="shared" si="1"/>
        <v>15</v>
      </c>
      <c r="C9325" s="135" t="s">
        <v>390</v>
      </c>
      <c r="D9325" s="161" t="s">
        <v>74</v>
      </c>
      <c r="E9325" s="135">
        <f t="shared" si="62"/>
        <v>9</v>
      </c>
      <c r="F9325" s="134" t="s">
        <v>4518</v>
      </c>
      <c r="G9325" s="63" t="str">
        <f>VLOOKUP(C9325, 'Class Def. - General Data'!$C$20:$C$1000,1,false)</f>
        <v>ZSI1_FLEX_JOINT</v>
      </c>
      <c r="H9325" s="63" t="str">
        <f>IFERROR(__xludf.DUMMYFUNCTION("VLOOKUP(F9325, IMPORTRANGE(""https://docs.google.com/spreadsheets/d/1Lhp9OU0JdFf_VYSMzH5lBcEaU4o8teT1piV-SNzShjg/edit?gid=554141278#gid=554141278"", ""'Char Def. - Attributes'!C20:C2242""), 1,false)"),"BASE_UOM_FLEX_JOINT")</f>
        <v>BASE_UOM_FLEX_JOINT</v>
      </c>
      <c r="I9325" s="136"/>
      <c r="R9325" s="63" t="str">
        <f t="shared" si="60"/>
        <v>ZSI1_FLEX_JOINTBASE_UOM_FLEX_JOINT</v>
      </c>
    </row>
    <row r="9326" ht="15.75" customHeight="1">
      <c r="B9326" s="63">
        <f t="shared" si="1"/>
        <v>15</v>
      </c>
      <c r="C9326" s="135" t="s">
        <v>390</v>
      </c>
      <c r="D9326" s="161" t="s">
        <v>74</v>
      </c>
      <c r="E9326" s="135">
        <f t="shared" si="62"/>
        <v>10</v>
      </c>
      <c r="F9326" s="134" t="s">
        <v>4519</v>
      </c>
      <c r="G9326" s="63" t="str">
        <f>VLOOKUP(C9326, 'Class Def. - General Data'!$C$20:$C$1000,1,false)</f>
        <v>ZSI1_FLEX_JOINT</v>
      </c>
      <c r="H9326" s="63" t="str">
        <f>IFERROR(__xludf.DUMMYFUNCTION("VLOOKUP(F9326, IMPORTRANGE(""https://docs.google.com/spreadsheets/d/1Lhp9OU0JdFf_VYSMzH5lBcEaU4o8teT1piV-SNzShjg/edit?gid=554141278#gid=554141278"", ""'Char Def. - Attributes'!C20:C2242""), 1,false)"),"ORDER_UNIT_FLEX_JOINT")</f>
        <v>ORDER_UNIT_FLEX_JOINT</v>
      </c>
      <c r="I9326" s="136"/>
      <c r="R9326" s="63" t="str">
        <f t="shared" si="60"/>
        <v>ZSI1_FLEX_JOINTORDER_UNIT_FLEX_JOINT</v>
      </c>
    </row>
    <row r="9327" ht="15.75" customHeight="1">
      <c r="B9327" s="63">
        <f t="shared" si="1"/>
        <v>15</v>
      </c>
      <c r="C9327" s="135" t="s">
        <v>390</v>
      </c>
      <c r="D9327" s="161" t="s">
        <v>74</v>
      </c>
      <c r="E9327" s="135">
        <f t="shared" si="62"/>
        <v>11</v>
      </c>
      <c r="F9327" s="134" t="s">
        <v>4056</v>
      </c>
      <c r="G9327" s="63" t="str">
        <f>VLOOKUP(C9327, 'Class Def. - General Data'!$C$20:$C$1000,1,false)</f>
        <v>ZSI1_FLEX_JOINT</v>
      </c>
      <c r="H9327" s="63" t="str">
        <f>IFERROR(__xludf.DUMMYFUNCTION("VLOOKUP(F9327, IMPORTRANGE(""https://docs.google.com/spreadsheets/d/1Lhp9OU0JdFf_VYSMzH5lBcEaU4o8teT1piV-SNzShjg/edit?gid=554141278#gid=554141278"", ""'Char Def. - Attributes'!C20:C2242""), 1,false)"),"GROSS_WEIGHT_OPT")</f>
        <v>GROSS_WEIGHT_OPT</v>
      </c>
      <c r="I9327" s="136"/>
      <c r="R9327" s="63" t="str">
        <f t="shared" si="60"/>
        <v>ZSI1_FLEX_JOINTGROSS_WEIGHT_OPT</v>
      </c>
    </row>
    <row r="9328" ht="15.75" customHeight="1">
      <c r="B9328" s="63">
        <f t="shared" si="1"/>
        <v>15</v>
      </c>
      <c r="C9328" s="135" t="s">
        <v>390</v>
      </c>
      <c r="D9328" s="161" t="s">
        <v>74</v>
      </c>
      <c r="E9328" s="135">
        <f t="shared" si="62"/>
        <v>12</v>
      </c>
      <c r="F9328" s="134" t="s">
        <v>4057</v>
      </c>
      <c r="G9328" s="63" t="str">
        <f>VLOOKUP(C9328, 'Class Def. - General Data'!$C$20:$C$1000,1,false)</f>
        <v>ZSI1_FLEX_JOINT</v>
      </c>
      <c r="H9328" s="63" t="str">
        <f>IFERROR(__xludf.DUMMYFUNCTION("VLOOKUP(F9328, IMPORTRANGE(""https://docs.google.com/spreadsheets/d/1Lhp9OU0JdFf_VYSMzH5lBcEaU4o8teT1piV-SNzShjg/edit?gid=554141278#gid=554141278"", ""'Char Def. - Attributes'!C20:C2242""), 1,false)"),"NET_WEIGHT_OPT")</f>
        <v>NET_WEIGHT_OPT</v>
      </c>
      <c r="I9328" s="136"/>
      <c r="R9328" s="63" t="str">
        <f t="shared" si="60"/>
        <v>ZSI1_FLEX_JOINTNET_WEIGHT_OPT</v>
      </c>
    </row>
    <row r="9329" ht="15.75" customHeight="1">
      <c r="B9329" s="63">
        <f t="shared" si="1"/>
        <v>15</v>
      </c>
      <c r="C9329" s="135" t="s">
        <v>390</v>
      </c>
      <c r="D9329" s="161" t="s">
        <v>74</v>
      </c>
      <c r="E9329" s="135">
        <f t="shared" si="62"/>
        <v>13</v>
      </c>
      <c r="F9329" s="134" t="s">
        <v>4058</v>
      </c>
      <c r="G9329" s="63" t="str">
        <f>VLOOKUP(C9329, 'Class Def. - General Data'!$C$20:$C$1000,1,false)</f>
        <v>ZSI1_FLEX_JOINT</v>
      </c>
      <c r="H9329" s="63" t="str">
        <f>IFERROR(__xludf.DUMMYFUNCTION("VLOOKUP(F9329, IMPORTRANGE(""https://docs.google.com/spreadsheets/d/1Lhp9OU0JdFf_VYSMzH5lBcEaU4o8teT1piV-SNzShjg/edit?gid=554141278#gid=554141278"", ""'Char Def. - Attributes'!C20:C2242""), 1,false)"),"WEIGHT_UNIT_SI")</f>
        <v>WEIGHT_UNIT_SI</v>
      </c>
      <c r="I9329" s="136"/>
      <c r="R9329" s="63" t="str">
        <f t="shared" si="60"/>
        <v>ZSI1_FLEX_JOINTWEIGHT_UNIT_SI</v>
      </c>
    </row>
    <row r="9330" ht="15.75" customHeight="1">
      <c r="B9330" s="63">
        <f t="shared" si="1"/>
        <v>15</v>
      </c>
      <c r="C9330" s="135" t="s">
        <v>390</v>
      </c>
      <c r="D9330" s="161" t="s">
        <v>74</v>
      </c>
      <c r="E9330" s="135">
        <f t="shared" si="62"/>
        <v>14</v>
      </c>
      <c r="F9330" s="134" t="s">
        <v>3877</v>
      </c>
      <c r="G9330" s="63" t="str">
        <f>VLOOKUP(C9330, 'Class Def. - General Data'!$C$20:$C$1000,1,false)</f>
        <v>ZSI1_FLEX_JOINT</v>
      </c>
      <c r="H9330" s="63" t="str">
        <f>IFERROR(__xludf.DUMMYFUNCTION("VLOOKUP(F9330, IMPORTRANGE(""https://docs.google.com/spreadsheets/d/1Lhp9OU0JdFf_VYSMzH5lBcEaU4o8teT1piV-SNzShjg/edit?gid=554141278#gid=554141278"", ""'Char Def. - Attributes'!C20:C2242""), 1,false)"),"VOLUME_OPT")</f>
        <v>VOLUME_OPT</v>
      </c>
      <c r="I9330" s="136"/>
      <c r="R9330" s="63" t="str">
        <f t="shared" si="60"/>
        <v>ZSI1_FLEX_JOINTVOLUME_OPT</v>
      </c>
    </row>
    <row r="9331" ht="15.75" customHeight="1">
      <c r="B9331" s="63">
        <f t="shared" si="1"/>
        <v>15</v>
      </c>
      <c r="C9331" s="135" t="s">
        <v>390</v>
      </c>
      <c r="D9331" s="161" t="s">
        <v>74</v>
      </c>
      <c r="E9331" s="135">
        <f t="shared" si="62"/>
        <v>15</v>
      </c>
      <c r="F9331" s="134" t="s">
        <v>4059</v>
      </c>
      <c r="G9331" s="63" t="str">
        <f>VLOOKUP(C9331, 'Class Def. - General Data'!$C$20:$C$1000,1,false)</f>
        <v>ZSI1_FLEX_JOINT</v>
      </c>
      <c r="H9331" s="63" t="str">
        <f>IFERROR(__xludf.DUMMYFUNCTION("VLOOKUP(F9331, IMPORTRANGE(""https://docs.google.com/spreadsheets/d/1Lhp9OU0JdFf_VYSMzH5lBcEaU4o8teT1piV-SNzShjg/edit?gid=554141278#gid=554141278"", ""'Char Def. - Attributes'!C20:C2242""), 1,false)"),"VOLUME_UNIT_SI")</f>
        <v>VOLUME_UNIT_SI</v>
      </c>
      <c r="I9331" s="136"/>
      <c r="R9331" s="63" t="str">
        <f t="shared" si="60"/>
        <v>ZSI1_FLEX_JOINTVOLUME_UNIT_SI</v>
      </c>
    </row>
    <row r="9332" ht="15.75" customHeight="1">
      <c r="B9332" s="63">
        <f t="shared" si="1"/>
        <v>15</v>
      </c>
      <c r="C9332" s="135" t="s">
        <v>390</v>
      </c>
      <c r="D9332" s="161" t="s">
        <v>74</v>
      </c>
      <c r="E9332" s="135">
        <f t="shared" si="62"/>
        <v>16</v>
      </c>
      <c r="F9332" s="134" t="s">
        <v>3804</v>
      </c>
      <c r="G9332" s="63" t="str">
        <f>VLOOKUP(C9332, 'Class Def. - General Data'!$C$20:$C$1000,1,false)</f>
        <v>ZSI1_FLEX_JOINT</v>
      </c>
      <c r="H9332" s="63" t="str">
        <f>IFERROR(__xludf.DUMMYFUNCTION("VLOOKUP(F9332, IMPORTRANGE(""https://docs.google.com/spreadsheets/d/1Lhp9OU0JdFf_VYSMzH5lBcEaU4o8teT1piV-SNzShjg/edit?gid=554141278#gid=554141278"", ""'Char Def. - Attributes'!C20:C2242""), 1,false)"),"ALT_UOM1_SIPI")</f>
        <v>ALT_UOM1_SIPI</v>
      </c>
      <c r="I9332" s="136"/>
      <c r="R9332" s="63" t="str">
        <f t="shared" si="60"/>
        <v>ZSI1_FLEX_JOINTALT_UOM1_SIPI</v>
      </c>
    </row>
    <row r="9333" ht="15.75" customHeight="1">
      <c r="B9333" s="63">
        <f t="shared" si="1"/>
        <v>15</v>
      </c>
      <c r="C9333" s="135" t="s">
        <v>390</v>
      </c>
      <c r="D9333" s="161" t="s">
        <v>74</v>
      </c>
      <c r="E9333" s="135">
        <f t="shared" si="62"/>
        <v>17</v>
      </c>
      <c r="F9333" s="134" t="s">
        <v>3805</v>
      </c>
      <c r="G9333" s="63" t="str">
        <f>VLOOKUP(C9333, 'Class Def. - General Data'!$C$20:$C$1000,1,false)</f>
        <v>ZSI1_FLEX_JOINT</v>
      </c>
      <c r="H9333" s="63" t="str">
        <f>IFERROR(__xludf.DUMMYFUNCTION("VLOOKUP(F9333, IMPORTRANGE(""https://docs.google.com/spreadsheets/d/1Lhp9OU0JdFf_VYSMzH5lBcEaU4o8teT1piV-SNzShjg/edit?gid=554141278#gid=554141278"", ""'Char Def. - Attributes'!C20:C2242""), 1,false)"),"ALT_DENUM_UOM1")</f>
        <v>ALT_DENUM_UOM1</v>
      </c>
      <c r="I9333" s="136"/>
      <c r="R9333" s="63" t="str">
        <f t="shared" si="60"/>
        <v>ZSI1_FLEX_JOINTALT_DENUM_UOM1</v>
      </c>
    </row>
    <row r="9334" ht="15.75" customHeight="1">
      <c r="B9334" s="63">
        <f t="shared" si="1"/>
        <v>15</v>
      </c>
      <c r="C9334" s="135" t="s">
        <v>390</v>
      </c>
      <c r="D9334" s="161" t="s">
        <v>74</v>
      </c>
      <c r="E9334" s="135">
        <f t="shared" si="62"/>
        <v>18</v>
      </c>
      <c r="F9334" s="134" t="s">
        <v>3806</v>
      </c>
      <c r="G9334" s="63" t="str">
        <f>VLOOKUP(C9334, 'Class Def. - General Data'!$C$20:$C$1000,1,false)</f>
        <v>ZSI1_FLEX_JOINT</v>
      </c>
      <c r="H9334" s="63" t="str">
        <f>IFERROR(__xludf.DUMMYFUNCTION("VLOOKUP(F9334, IMPORTRANGE(""https://docs.google.com/spreadsheets/d/1Lhp9OU0JdFf_VYSMzH5lBcEaU4o8teT1piV-SNzShjg/edit?gid=554141278#gid=554141278"", ""'Char Def. - Attributes'!C20:C2242""), 1,false)"),"ALT_NUM_UOM1")</f>
        <v>ALT_NUM_UOM1</v>
      </c>
      <c r="I9334" s="136"/>
      <c r="R9334" s="63" t="str">
        <f t="shared" si="60"/>
        <v>ZSI1_FLEX_JOINTALT_NUM_UOM1</v>
      </c>
    </row>
    <row r="9335" ht="15.75" customHeight="1">
      <c r="B9335" s="63">
        <f t="shared" si="1"/>
        <v>15</v>
      </c>
      <c r="C9335" s="135" t="s">
        <v>390</v>
      </c>
      <c r="D9335" s="161" t="s">
        <v>74</v>
      </c>
      <c r="E9335" s="135">
        <f t="shared" si="62"/>
        <v>19</v>
      </c>
      <c r="F9335" s="134" t="s">
        <v>3807</v>
      </c>
      <c r="G9335" s="63" t="str">
        <f>VLOOKUP(C9335, 'Class Def. - General Data'!$C$20:$C$1000,1,false)</f>
        <v>ZSI1_FLEX_JOINT</v>
      </c>
      <c r="H9335" s="63" t="str">
        <f>IFERROR(__xludf.DUMMYFUNCTION("VLOOKUP(F9335, IMPORTRANGE(""https://docs.google.com/spreadsheets/d/1Lhp9OU0JdFf_VYSMzH5lBcEaU4o8teT1piV-SNzShjg/edit?gid=554141278#gid=554141278"", ""'Char Def. - Attributes'!C20:C2242""), 1,false)"),"ALT_UOM2_SIPI")</f>
        <v>ALT_UOM2_SIPI</v>
      </c>
      <c r="I9335" s="136"/>
      <c r="R9335" s="63" t="str">
        <f t="shared" si="60"/>
        <v>ZSI1_FLEX_JOINTALT_UOM2_SIPI</v>
      </c>
    </row>
    <row r="9336" ht="15.75" customHeight="1">
      <c r="B9336" s="63">
        <f t="shared" si="1"/>
        <v>15</v>
      </c>
      <c r="C9336" s="135" t="s">
        <v>390</v>
      </c>
      <c r="D9336" s="161" t="s">
        <v>74</v>
      </c>
      <c r="E9336" s="135">
        <f t="shared" si="62"/>
        <v>20</v>
      </c>
      <c r="F9336" s="134" t="s">
        <v>3808</v>
      </c>
      <c r="G9336" s="63" t="str">
        <f>VLOOKUP(C9336, 'Class Def. - General Data'!$C$20:$C$1000,1,false)</f>
        <v>ZSI1_FLEX_JOINT</v>
      </c>
      <c r="H9336" s="63" t="str">
        <f>IFERROR(__xludf.DUMMYFUNCTION("VLOOKUP(F9336, IMPORTRANGE(""https://docs.google.com/spreadsheets/d/1Lhp9OU0JdFf_VYSMzH5lBcEaU4o8teT1piV-SNzShjg/edit?gid=554141278#gid=554141278"", ""'Char Def. - Attributes'!C20:C2242""), 1,false)"),"ALT_DENUM_UOM2")</f>
        <v>ALT_DENUM_UOM2</v>
      </c>
      <c r="I9336" s="136"/>
      <c r="R9336" s="63" t="str">
        <f t="shared" si="60"/>
        <v>ZSI1_FLEX_JOINTALT_DENUM_UOM2</v>
      </c>
    </row>
    <row r="9337" ht="15.75" customHeight="1">
      <c r="B9337" s="63">
        <f t="shared" si="1"/>
        <v>15</v>
      </c>
      <c r="C9337" s="135" t="s">
        <v>390</v>
      </c>
      <c r="D9337" s="161" t="s">
        <v>74</v>
      </c>
      <c r="E9337" s="135">
        <f t="shared" si="62"/>
        <v>21</v>
      </c>
      <c r="F9337" s="134" t="s">
        <v>3809</v>
      </c>
      <c r="G9337" s="63" t="str">
        <f>VLOOKUP(C9337, 'Class Def. - General Data'!$C$20:$C$1000,1,false)</f>
        <v>ZSI1_FLEX_JOINT</v>
      </c>
      <c r="H9337" s="63" t="str">
        <f>IFERROR(__xludf.DUMMYFUNCTION("VLOOKUP(F9337, IMPORTRANGE(""https://docs.google.com/spreadsheets/d/1Lhp9OU0JdFf_VYSMzH5lBcEaU4o8teT1piV-SNzShjg/edit?gid=554141278#gid=554141278"", ""'Char Def. - Attributes'!C20:C2242""), 1,false)"),"ALT_NUM_UOM2")</f>
        <v>ALT_NUM_UOM2</v>
      </c>
      <c r="I9337" s="136"/>
      <c r="R9337" s="63" t="str">
        <f t="shared" si="60"/>
        <v>ZSI1_FLEX_JOINTALT_NUM_UOM2</v>
      </c>
    </row>
    <row r="9338" ht="15.75" customHeight="1">
      <c r="B9338" s="63">
        <f t="shared" si="1"/>
        <v>15</v>
      </c>
      <c r="C9338" s="135" t="s">
        <v>390</v>
      </c>
      <c r="D9338" s="161" t="s">
        <v>74</v>
      </c>
      <c r="E9338" s="135">
        <f t="shared" si="62"/>
        <v>22</v>
      </c>
      <c r="F9338" s="134" t="s">
        <v>3810</v>
      </c>
      <c r="G9338" s="63" t="str">
        <f>VLOOKUP(C9338, 'Class Def. - General Data'!$C$20:$C$1000,1,false)</f>
        <v>ZSI1_FLEX_JOINT</v>
      </c>
      <c r="H9338" s="63" t="str">
        <f>IFERROR(__xludf.DUMMYFUNCTION("VLOOKUP(F9338, IMPORTRANGE(""https://docs.google.com/spreadsheets/d/1Lhp9OU0JdFf_VYSMzH5lBcEaU4o8teT1piV-SNzShjg/edit?gid=554141278#gid=554141278"", ""'Char Def. - Attributes'!C20:C2242""), 1,false)"),"ALT_UOM3_SIPI")</f>
        <v>ALT_UOM3_SIPI</v>
      </c>
      <c r="I9338" s="136"/>
      <c r="R9338" s="63" t="str">
        <f t="shared" si="60"/>
        <v>ZSI1_FLEX_JOINTALT_UOM3_SIPI</v>
      </c>
    </row>
    <row r="9339" ht="15.75" customHeight="1">
      <c r="B9339" s="63">
        <f t="shared" si="1"/>
        <v>15</v>
      </c>
      <c r="C9339" s="135" t="s">
        <v>390</v>
      </c>
      <c r="D9339" s="161" t="s">
        <v>74</v>
      </c>
      <c r="E9339" s="135">
        <f t="shared" si="62"/>
        <v>23</v>
      </c>
      <c r="F9339" s="134" t="s">
        <v>3811</v>
      </c>
      <c r="G9339" s="63" t="str">
        <f>VLOOKUP(C9339, 'Class Def. - General Data'!$C$20:$C$1000,1,false)</f>
        <v>ZSI1_FLEX_JOINT</v>
      </c>
      <c r="H9339" s="63" t="str">
        <f>IFERROR(__xludf.DUMMYFUNCTION("VLOOKUP(F9339, IMPORTRANGE(""https://docs.google.com/spreadsheets/d/1Lhp9OU0JdFf_VYSMzH5lBcEaU4o8teT1piV-SNzShjg/edit?gid=554141278#gid=554141278"", ""'Char Def. - Attributes'!C20:C2242""), 1,false)"),"ALT_DENUM_UOM3")</f>
        <v>ALT_DENUM_UOM3</v>
      </c>
      <c r="I9339" s="136"/>
      <c r="R9339" s="63" t="str">
        <f t="shared" si="60"/>
        <v>ZSI1_FLEX_JOINTALT_DENUM_UOM3</v>
      </c>
    </row>
    <row r="9340" ht="15.75" customHeight="1">
      <c r="B9340" s="63">
        <f t="shared" si="1"/>
        <v>15</v>
      </c>
      <c r="C9340" s="135" t="s">
        <v>390</v>
      </c>
      <c r="D9340" s="161" t="s">
        <v>74</v>
      </c>
      <c r="E9340" s="135">
        <f t="shared" si="62"/>
        <v>24</v>
      </c>
      <c r="F9340" s="134" t="s">
        <v>3812</v>
      </c>
      <c r="G9340" s="63" t="str">
        <f>VLOOKUP(C9340, 'Class Def. - General Data'!$C$20:$C$1000,1,false)</f>
        <v>ZSI1_FLEX_JOINT</v>
      </c>
      <c r="H9340" s="63" t="str">
        <f>IFERROR(__xludf.DUMMYFUNCTION("VLOOKUP(F9340, IMPORTRANGE(""https://docs.google.com/spreadsheets/d/1Lhp9OU0JdFf_VYSMzH5lBcEaU4o8teT1piV-SNzShjg/edit?gid=554141278#gid=554141278"", ""'Char Def. - Attributes'!C20:C2242""), 1,false)"),"ALT_NUM_UOM3")</f>
        <v>ALT_NUM_UOM3</v>
      </c>
      <c r="I9340" s="136"/>
      <c r="R9340" s="63" t="str">
        <f t="shared" si="60"/>
        <v>ZSI1_FLEX_JOINTALT_NUM_UOM3</v>
      </c>
    </row>
    <row r="9341" ht="15.75" customHeight="1">
      <c r="B9341" s="63">
        <f t="shared" si="1"/>
        <v>15</v>
      </c>
      <c r="C9341" s="135" t="s">
        <v>390</v>
      </c>
      <c r="D9341" s="161" t="s">
        <v>74</v>
      </c>
      <c r="E9341" s="135">
        <f t="shared" si="62"/>
        <v>25</v>
      </c>
      <c r="F9341" s="134" t="s">
        <v>3813</v>
      </c>
      <c r="G9341" s="63" t="str">
        <f>VLOOKUP(C9341, 'Class Def. - General Data'!$C$20:$C$1000,1,false)</f>
        <v>ZSI1_FLEX_JOINT</v>
      </c>
      <c r="H9341" s="63" t="str">
        <f>IFERROR(__xludf.DUMMYFUNCTION("VLOOKUP(F9341, IMPORTRANGE(""https://docs.google.com/spreadsheets/d/1Lhp9OU0JdFf_VYSMzH5lBcEaU4o8teT1piV-SNzShjg/edit?gid=554141278#gid=554141278"", ""'Char Def. - Attributes'!C20:C2242""), 1,false)"),"ALT_UOM4_SIPI")</f>
        <v>ALT_UOM4_SIPI</v>
      </c>
      <c r="I9341" s="136"/>
      <c r="R9341" s="63" t="str">
        <f t="shared" si="60"/>
        <v>ZSI1_FLEX_JOINTALT_UOM4_SIPI</v>
      </c>
    </row>
    <row r="9342" ht="15.75" customHeight="1">
      <c r="B9342" s="63">
        <f t="shared" si="1"/>
        <v>15</v>
      </c>
      <c r="C9342" s="135" t="s">
        <v>390</v>
      </c>
      <c r="D9342" s="161" t="s">
        <v>74</v>
      </c>
      <c r="E9342" s="135">
        <f t="shared" si="62"/>
        <v>26</v>
      </c>
      <c r="F9342" s="134" t="s">
        <v>3814</v>
      </c>
      <c r="G9342" s="63" t="str">
        <f>VLOOKUP(C9342, 'Class Def. - General Data'!$C$20:$C$1000,1,false)</f>
        <v>ZSI1_FLEX_JOINT</v>
      </c>
      <c r="H9342" s="63" t="str">
        <f>IFERROR(__xludf.DUMMYFUNCTION("VLOOKUP(F9342, IMPORTRANGE(""https://docs.google.com/spreadsheets/d/1Lhp9OU0JdFf_VYSMzH5lBcEaU4o8teT1piV-SNzShjg/edit?gid=554141278#gid=554141278"", ""'Char Def. - Attributes'!C20:C2242""), 1,false)"),"ALT_DENUM_UOM4")</f>
        <v>ALT_DENUM_UOM4</v>
      </c>
      <c r="I9342" s="136"/>
      <c r="R9342" s="63" t="str">
        <f t="shared" si="60"/>
        <v>ZSI1_FLEX_JOINTALT_DENUM_UOM4</v>
      </c>
    </row>
    <row r="9343" ht="15.75" customHeight="1">
      <c r="B9343" s="63">
        <f t="shared" si="1"/>
        <v>15</v>
      </c>
      <c r="C9343" s="135" t="s">
        <v>390</v>
      </c>
      <c r="D9343" s="161" t="s">
        <v>74</v>
      </c>
      <c r="E9343" s="135">
        <f t="shared" si="62"/>
        <v>27</v>
      </c>
      <c r="F9343" s="134" t="s">
        <v>3815</v>
      </c>
      <c r="G9343" s="63" t="str">
        <f>VLOOKUP(C9343, 'Class Def. - General Data'!$C$20:$C$1000,1,false)</f>
        <v>ZSI1_FLEX_JOINT</v>
      </c>
      <c r="H9343" s="63" t="str">
        <f>IFERROR(__xludf.DUMMYFUNCTION("VLOOKUP(F9343, IMPORTRANGE(""https://docs.google.com/spreadsheets/d/1Lhp9OU0JdFf_VYSMzH5lBcEaU4o8teT1piV-SNzShjg/edit?gid=554141278#gid=554141278"", ""'Char Def. - Attributes'!C20:C2242""), 1,false)"),"ALT_NUM_UOM4")</f>
        <v>ALT_NUM_UOM4</v>
      </c>
      <c r="I9343" s="136"/>
      <c r="R9343" s="63" t="str">
        <f t="shared" si="60"/>
        <v>ZSI1_FLEX_JOINTALT_NUM_UOM4</v>
      </c>
    </row>
    <row r="9344" ht="15.75" customHeight="1">
      <c r="B9344" s="63">
        <f t="shared" si="1"/>
        <v>15</v>
      </c>
      <c r="C9344" s="135" t="s">
        <v>390</v>
      </c>
      <c r="D9344" s="161" t="s">
        <v>74</v>
      </c>
      <c r="E9344" s="135">
        <f t="shared" si="62"/>
        <v>28</v>
      </c>
      <c r="F9344" s="134" t="s">
        <v>3816</v>
      </c>
      <c r="G9344" s="63" t="str">
        <f>VLOOKUP(C9344, 'Class Def. - General Data'!$C$20:$C$1000,1,false)</f>
        <v>ZSI1_FLEX_JOINT</v>
      </c>
      <c r="H9344" s="63" t="str">
        <f>IFERROR(__xludf.DUMMYFUNCTION("VLOOKUP(F9344, IMPORTRANGE(""https://docs.google.com/spreadsheets/d/1Lhp9OU0JdFf_VYSMzH5lBcEaU4o8teT1piV-SNzShjg/edit?gid=554141278#gid=554141278"", ""'Char Def. - Attributes'!C20:C2242""), 1,false)"),"ALT_UOM5_SIPI")</f>
        <v>ALT_UOM5_SIPI</v>
      </c>
      <c r="I9344" s="136"/>
      <c r="R9344" s="63" t="str">
        <f t="shared" si="60"/>
        <v>ZSI1_FLEX_JOINTALT_UOM5_SIPI</v>
      </c>
    </row>
    <row r="9345" ht="15.75" customHeight="1">
      <c r="B9345" s="63">
        <f t="shared" si="1"/>
        <v>15</v>
      </c>
      <c r="C9345" s="135" t="s">
        <v>390</v>
      </c>
      <c r="D9345" s="161" t="s">
        <v>74</v>
      </c>
      <c r="E9345" s="135">
        <f t="shared" si="62"/>
        <v>29</v>
      </c>
      <c r="F9345" s="134" t="s">
        <v>3817</v>
      </c>
      <c r="G9345" s="63" t="str">
        <f>VLOOKUP(C9345, 'Class Def. - General Data'!$C$20:$C$1000,1,false)</f>
        <v>ZSI1_FLEX_JOINT</v>
      </c>
      <c r="H9345" s="63" t="str">
        <f>IFERROR(__xludf.DUMMYFUNCTION("VLOOKUP(F9345, IMPORTRANGE(""https://docs.google.com/spreadsheets/d/1Lhp9OU0JdFf_VYSMzH5lBcEaU4o8teT1piV-SNzShjg/edit?gid=554141278#gid=554141278"", ""'Char Def. - Attributes'!C20:C2242""), 1,false)"),"ALT_DENUM_UOM5")</f>
        <v>ALT_DENUM_UOM5</v>
      </c>
      <c r="I9345" s="136"/>
      <c r="R9345" s="63" t="str">
        <f t="shared" si="60"/>
        <v>ZSI1_FLEX_JOINTALT_DENUM_UOM5</v>
      </c>
    </row>
    <row r="9346" ht="15.75" customHeight="1">
      <c r="B9346" s="63">
        <f t="shared" si="1"/>
        <v>15</v>
      </c>
      <c r="C9346" s="135" t="s">
        <v>390</v>
      </c>
      <c r="D9346" s="161" t="s">
        <v>74</v>
      </c>
      <c r="E9346" s="135">
        <f t="shared" si="62"/>
        <v>30</v>
      </c>
      <c r="F9346" s="134" t="s">
        <v>3818</v>
      </c>
      <c r="G9346" s="63" t="str">
        <f>VLOOKUP(C9346, 'Class Def. - General Data'!$C$20:$C$1000,1,false)</f>
        <v>ZSI1_FLEX_JOINT</v>
      </c>
      <c r="H9346" s="63" t="str">
        <f>IFERROR(__xludf.DUMMYFUNCTION("VLOOKUP(F9346, IMPORTRANGE(""https://docs.google.com/spreadsheets/d/1Lhp9OU0JdFf_VYSMzH5lBcEaU4o8teT1piV-SNzShjg/edit?gid=554141278#gid=554141278"", ""'Char Def. - Attributes'!C20:C2242""), 1,false)"),"ALT_NUM_UOM5")</f>
        <v>ALT_NUM_UOM5</v>
      </c>
      <c r="I9346" s="136"/>
      <c r="R9346" s="63" t="str">
        <f t="shared" si="60"/>
        <v>ZSI1_FLEX_JOINTALT_NUM_UOM5</v>
      </c>
    </row>
    <row r="9347" ht="15.75" customHeight="1">
      <c r="B9347" s="63">
        <f t="shared" si="1"/>
        <v>17</v>
      </c>
      <c r="C9347" s="135" t="s">
        <v>389</v>
      </c>
      <c r="D9347" s="161" t="s">
        <v>74</v>
      </c>
      <c r="E9347" s="135">
        <f t="shared" si="62"/>
        <v>1</v>
      </c>
      <c r="F9347" s="134" t="s">
        <v>4520</v>
      </c>
      <c r="G9347" s="63" t="str">
        <f>VLOOKUP(C9347, 'Class Def. - General Data'!$C$20:$C$1000,1,false)</f>
        <v>ZSI1_FLEXIBLE_CON</v>
      </c>
      <c r="H9347" s="63" t="str">
        <f>IFERROR(__xludf.DUMMYFUNCTION("VLOOKUP(F9347, IMPORTRANGE(""https://docs.google.com/spreadsheets/d/1Lhp9OU0JdFf_VYSMzH5lBcEaU4o8teT1piV-SNzShjg/edit?gid=554141278#gid=554141278"", ""'Char Def. - Attributes'!C20:C2242""), 1,false)"),"ITEM_NAME_FLEXIBLE_CON")</f>
        <v>ITEM_NAME_FLEXIBLE_CON</v>
      </c>
      <c r="I9347" s="136"/>
      <c r="R9347" s="63" t="str">
        <f t="shared" si="60"/>
        <v>ZSI1_FLEXIBLE_CONITEM_NAME_FLEXIBLE_CON</v>
      </c>
    </row>
    <row r="9348" ht="15.75" customHeight="1">
      <c r="B9348" s="63">
        <f t="shared" si="1"/>
        <v>17</v>
      </c>
      <c r="C9348" s="135" t="s">
        <v>389</v>
      </c>
      <c r="D9348" s="161" t="s">
        <v>74</v>
      </c>
      <c r="E9348" s="135">
        <f t="shared" si="62"/>
        <v>2</v>
      </c>
      <c r="F9348" s="134" t="s">
        <v>4521</v>
      </c>
      <c r="G9348" s="63" t="str">
        <f>VLOOKUP(C9348, 'Class Def. - General Data'!$C$20:$C$1000,1,false)</f>
        <v>ZSI1_FLEXIBLE_CON</v>
      </c>
      <c r="H9348" s="63" t="str">
        <f>IFERROR(__xludf.DUMMYFUNCTION("VLOOKUP(F9348, IMPORTRANGE(""https://docs.google.com/spreadsheets/d/1Lhp9OU0JdFf_VYSMzH5lBcEaU4o8teT1piV-SNzShjg/edit?gid=554141278#gid=554141278"", ""'Char Def. - Attributes'!C20:C2242""), 1,false)"),"MATERIAL_FLEXIBLE_CON")</f>
        <v>MATERIAL_FLEXIBLE_CON</v>
      </c>
      <c r="I9348" s="136"/>
      <c r="R9348" s="63" t="str">
        <f t="shared" si="60"/>
        <v>ZSI1_FLEXIBLE_CONMATERIAL_FLEXIBLE_CON</v>
      </c>
    </row>
    <row r="9349" ht="15.75" customHeight="1">
      <c r="B9349" s="63">
        <f t="shared" si="1"/>
        <v>17</v>
      </c>
      <c r="C9349" s="135" t="s">
        <v>389</v>
      </c>
      <c r="D9349" s="161" t="s">
        <v>74</v>
      </c>
      <c r="E9349" s="135">
        <f t="shared" si="62"/>
        <v>3</v>
      </c>
      <c r="F9349" s="134" t="s">
        <v>4522</v>
      </c>
      <c r="G9349" s="63" t="str">
        <f>VLOOKUP(C9349, 'Class Def. - General Data'!$C$20:$C$1000,1,false)</f>
        <v>ZSI1_FLEXIBLE_CON</v>
      </c>
      <c r="H9349" s="63" t="str">
        <f>IFERROR(__xludf.DUMMYFUNCTION("VLOOKUP(F9349, IMPORTRANGE(""https://docs.google.com/spreadsheets/d/1Lhp9OU0JdFf_VYSMzH5lBcEaU4o8teT1piV-SNzShjg/edit?gid=554141278#gid=554141278"", ""'Char Def. - Attributes'!C20:C2242""), 1,false)"),"SIZE_DESIGNATION_FLEXIBLE_CON")</f>
        <v>SIZE_DESIGNATION_FLEXIBLE_CON</v>
      </c>
      <c r="I9349" s="136"/>
      <c r="R9349" s="63" t="str">
        <f t="shared" si="60"/>
        <v>ZSI1_FLEXIBLE_CONSIZE_DESIGNATION_FLEXIBLE_CON</v>
      </c>
    </row>
    <row r="9350" ht="15.75" customHeight="1">
      <c r="B9350" s="63">
        <f t="shared" si="1"/>
        <v>17</v>
      </c>
      <c r="C9350" s="135" t="s">
        <v>389</v>
      </c>
      <c r="D9350" s="161" t="s">
        <v>74</v>
      </c>
      <c r="E9350" s="135">
        <f t="shared" si="62"/>
        <v>4</v>
      </c>
      <c r="F9350" s="134" t="s">
        <v>3585</v>
      </c>
      <c r="G9350" s="63" t="str">
        <f>VLOOKUP(C9350, 'Class Def. - General Data'!$C$20:$C$1000,1,false)</f>
        <v>ZSI1_FLEXIBLE_CON</v>
      </c>
      <c r="H9350" s="63" t="str">
        <f>IFERROR(__xludf.DUMMYFUNCTION("VLOOKUP(F9350, IMPORTRANGE(""https://docs.google.com/spreadsheets/d/1Lhp9OU0JdFf_VYSMzH5lBcEaU4o8teT1piV-SNzShjg/edit?gid=554141278#gid=554141278"", ""'Char Def. - Attributes'!C20:C2242""), 1,false)"),"HS_CODE")</f>
        <v>HS_CODE</v>
      </c>
      <c r="I9350" s="136"/>
      <c r="R9350" s="63" t="str">
        <f t="shared" si="60"/>
        <v>ZSI1_FLEXIBLE_CONHS_CODE</v>
      </c>
    </row>
    <row r="9351" ht="15.75" customHeight="1">
      <c r="B9351" s="63">
        <f t="shared" si="1"/>
        <v>17</v>
      </c>
      <c r="C9351" s="135" t="s">
        <v>389</v>
      </c>
      <c r="D9351" s="161" t="s">
        <v>74</v>
      </c>
      <c r="E9351" s="135">
        <f t="shared" si="62"/>
        <v>5</v>
      </c>
      <c r="F9351" s="134" t="s">
        <v>3587</v>
      </c>
      <c r="G9351" s="63" t="str">
        <f>VLOOKUP(C9351, 'Class Def. - General Data'!$C$20:$C$1000,1,false)</f>
        <v>ZSI1_FLEXIBLE_CON</v>
      </c>
      <c r="H9351" s="63" t="str">
        <f>IFERROR(__xludf.DUMMYFUNCTION("VLOOKUP(F9351, IMPORTRANGE(""https://docs.google.com/spreadsheets/d/1Lhp9OU0JdFf_VYSMzH5lBcEaU4o8teT1piV-SNzShjg/edit?gid=554141278#gid=554141278"", ""'Char Def. - Attributes'!C20:C2242""), 1,false)"),"PLANT_BUY")</f>
        <v>PLANT_BUY</v>
      </c>
      <c r="I9351" s="136"/>
      <c r="R9351" s="63" t="str">
        <f t="shared" si="60"/>
        <v>ZSI1_FLEXIBLE_CONPLANT_BUY</v>
      </c>
    </row>
    <row r="9352" ht="15.75" customHeight="1">
      <c r="B9352" s="63">
        <f t="shared" si="1"/>
        <v>17</v>
      </c>
      <c r="C9352" s="135" t="s">
        <v>389</v>
      </c>
      <c r="D9352" s="161" t="s">
        <v>74</v>
      </c>
      <c r="E9352" s="135">
        <f t="shared" si="62"/>
        <v>6</v>
      </c>
      <c r="F9352" s="134" t="s">
        <v>4523</v>
      </c>
      <c r="G9352" s="63" t="str">
        <f>VLOOKUP(C9352, 'Class Def. - General Data'!$C$20:$C$1000,1,false)</f>
        <v>ZSI1_FLEXIBLE_CON</v>
      </c>
      <c r="H9352" s="63" t="str">
        <f>IFERROR(__xludf.DUMMYFUNCTION("VLOOKUP(F9352, IMPORTRANGE(""https://docs.google.com/spreadsheets/d/1Lhp9OU0JdFf_VYSMzH5lBcEaU4o8teT1piV-SNzShjg/edit?gid=554141278#gid=554141278"", ""'Char Def. - Attributes'!C20:C2242""), 1,false)"),"BASE_UOM_FLEXIBLE_CON")</f>
        <v>BASE_UOM_FLEXIBLE_CON</v>
      </c>
      <c r="I9352" s="136"/>
      <c r="R9352" s="63" t="str">
        <f t="shared" si="60"/>
        <v>ZSI1_FLEXIBLE_CONBASE_UOM_FLEXIBLE_CON</v>
      </c>
    </row>
    <row r="9353" ht="15.75" customHeight="1">
      <c r="B9353" s="63">
        <f t="shared" si="1"/>
        <v>17</v>
      </c>
      <c r="C9353" s="135" t="s">
        <v>389</v>
      </c>
      <c r="D9353" s="161" t="s">
        <v>74</v>
      </c>
      <c r="E9353" s="135">
        <f t="shared" si="62"/>
        <v>7</v>
      </c>
      <c r="F9353" s="134" t="s">
        <v>4524</v>
      </c>
      <c r="G9353" s="63" t="str">
        <f>VLOOKUP(C9353, 'Class Def. - General Data'!$C$20:$C$1000,1,false)</f>
        <v>ZSI1_FLEXIBLE_CON</v>
      </c>
      <c r="H9353" s="63" t="str">
        <f>IFERROR(__xludf.DUMMYFUNCTION("VLOOKUP(F9353, IMPORTRANGE(""https://docs.google.com/spreadsheets/d/1Lhp9OU0JdFf_VYSMzH5lBcEaU4o8teT1piV-SNzShjg/edit?gid=554141278#gid=554141278"", ""'Char Def. - Attributes'!C20:C2242""), 1,false)"),"ORDER_UNIT_FLEXIBLE_CON")</f>
        <v>ORDER_UNIT_FLEXIBLE_CON</v>
      </c>
      <c r="I9353" s="136"/>
      <c r="R9353" s="63" t="str">
        <f t="shared" si="60"/>
        <v>ZSI1_FLEXIBLE_CONORDER_UNIT_FLEXIBLE_CON</v>
      </c>
    </row>
    <row r="9354" ht="15.75" customHeight="1">
      <c r="B9354" s="63">
        <f t="shared" si="1"/>
        <v>17</v>
      </c>
      <c r="C9354" s="135" t="s">
        <v>389</v>
      </c>
      <c r="D9354" s="161" t="s">
        <v>74</v>
      </c>
      <c r="E9354" s="135">
        <f t="shared" si="62"/>
        <v>8</v>
      </c>
      <c r="F9354" s="134" t="s">
        <v>4056</v>
      </c>
      <c r="G9354" s="63" t="str">
        <f>VLOOKUP(C9354, 'Class Def. - General Data'!$C$20:$C$1000,1,false)</f>
        <v>ZSI1_FLEXIBLE_CON</v>
      </c>
      <c r="H9354" s="63" t="str">
        <f>IFERROR(__xludf.DUMMYFUNCTION("VLOOKUP(F9354, IMPORTRANGE(""https://docs.google.com/spreadsheets/d/1Lhp9OU0JdFf_VYSMzH5lBcEaU4o8teT1piV-SNzShjg/edit?gid=554141278#gid=554141278"", ""'Char Def. - Attributes'!C20:C2242""), 1,false)"),"GROSS_WEIGHT_OPT")</f>
        <v>GROSS_WEIGHT_OPT</v>
      </c>
      <c r="I9354" s="136"/>
      <c r="R9354" s="63" t="str">
        <f t="shared" si="60"/>
        <v>ZSI1_FLEXIBLE_CONGROSS_WEIGHT_OPT</v>
      </c>
    </row>
    <row r="9355" ht="15.75" customHeight="1">
      <c r="B9355" s="63">
        <f t="shared" si="1"/>
        <v>17</v>
      </c>
      <c r="C9355" s="135" t="s">
        <v>389</v>
      </c>
      <c r="D9355" s="161" t="s">
        <v>74</v>
      </c>
      <c r="E9355" s="135">
        <f t="shared" si="62"/>
        <v>9</v>
      </c>
      <c r="F9355" s="134" t="s">
        <v>4057</v>
      </c>
      <c r="G9355" s="63" t="str">
        <f>VLOOKUP(C9355, 'Class Def. - General Data'!$C$20:$C$1000,1,false)</f>
        <v>ZSI1_FLEXIBLE_CON</v>
      </c>
      <c r="H9355" s="63" t="str">
        <f>IFERROR(__xludf.DUMMYFUNCTION("VLOOKUP(F9355, IMPORTRANGE(""https://docs.google.com/spreadsheets/d/1Lhp9OU0JdFf_VYSMzH5lBcEaU4o8teT1piV-SNzShjg/edit?gid=554141278#gid=554141278"", ""'Char Def. - Attributes'!C20:C2242""), 1,false)"),"NET_WEIGHT_OPT")</f>
        <v>NET_WEIGHT_OPT</v>
      </c>
      <c r="I9355" s="136"/>
      <c r="R9355" s="63" t="str">
        <f t="shared" si="60"/>
        <v>ZSI1_FLEXIBLE_CONNET_WEIGHT_OPT</v>
      </c>
    </row>
    <row r="9356" ht="15.75" customHeight="1">
      <c r="B9356" s="63">
        <f t="shared" si="1"/>
        <v>17</v>
      </c>
      <c r="C9356" s="135" t="s">
        <v>389</v>
      </c>
      <c r="D9356" s="161" t="s">
        <v>74</v>
      </c>
      <c r="E9356" s="135">
        <f t="shared" si="62"/>
        <v>10</v>
      </c>
      <c r="F9356" s="134" t="s">
        <v>4058</v>
      </c>
      <c r="G9356" s="63" t="str">
        <f>VLOOKUP(C9356, 'Class Def. - General Data'!$C$20:$C$1000,1,false)</f>
        <v>ZSI1_FLEXIBLE_CON</v>
      </c>
      <c r="H9356" s="63" t="str">
        <f>IFERROR(__xludf.DUMMYFUNCTION("VLOOKUP(F9356, IMPORTRANGE(""https://docs.google.com/spreadsheets/d/1Lhp9OU0JdFf_VYSMzH5lBcEaU4o8teT1piV-SNzShjg/edit?gid=554141278#gid=554141278"", ""'Char Def. - Attributes'!C20:C2242""), 1,false)"),"WEIGHT_UNIT_SI")</f>
        <v>WEIGHT_UNIT_SI</v>
      </c>
      <c r="I9356" s="136"/>
      <c r="R9356" s="63" t="str">
        <f t="shared" si="60"/>
        <v>ZSI1_FLEXIBLE_CONWEIGHT_UNIT_SI</v>
      </c>
    </row>
    <row r="9357" ht="15.75" customHeight="1">
      <c r="B9357" s="63">
        <f t="shared" si="1"/>
        <v>17</v>
      </c>
      <c r="C9357" s="135" t="s">
        <v>389</v>
      </c>
      <c r="D9357" s="161" t="s">
        <v>74</v>
      </c>
      <c r="E9357" s="135">
        <f t="shared" si="62"/>
        <v>11</v>
      </c>
      <c r="F9357" s="134" t="s">
        <v>3877</v>
      </c>
      <c r="G9357" s="63" t="str">
        <f>VLOOKUP(C9357, 'Class Def. - General Data'!$C$20:$C$1000,1,false)</f>
        <v>ZSI1_FLEXIBLE_CON</v>
      </c>
      <c r="H9357" s="63" t="str">
        <f>IFERROR(__xludf.DUMMYFUNCTION("VLOOKUP(F9357, IMPORTRANGE(""https://docs.google.com/spreadsheets/d/1Lhp9OU0JdFf_VYSMzH5lBcEaU4o8teT1piV-SNzShjg/edit?gid=554141278#gid=554141278"", ""'Char Def. - Attributes'!C20:C2242""), 1,false)"),"VOLUME_OPT")</f>
        <v>VOLUME_OPT</v>
      </c>
      <c r="I9357" s="136"/>
      <c r="R9357" s="63" t="str">
        <f t="shared" si="60"/>
        <v>ZSI1_FLEXIBLE_CONVOLUME_OPT</v>
      </c>
    </row>
    <row r="9358" ht="15.75" customHeight="1">
      <c r="B9358" s="63">
        <f t="shared" si="1"/>
        <v>17</v>
      </c>
      <c r="C9358" s="135" t="s">
        <v>389</v>
      </c>
      <c r="D9358" s="161" t="s">
        <v>74</v>
      </c>
      <c r="E9358" s="135">
        <f t="shared" si="62"/>
        <v>12</v>
      </c>
      <c r="F9358" s="134" t="s">
        <v>4059</v>
      </c>
      <c r="G9358" s="63" t="str">
        <f>VLOOKUP(C9358, 'Class Def. - General Data'!$C$20:$C$1000,1,false)</f>
        <v>ZSI1_FLEXIBLE_CON</v>
      </c>
      <c r="H9358" s="63" t="str">
        <f>IFERROR(__xludf.DUMMYFUNCTION("VLOOKUP(F9358, IMPORTRANGE(""https://docs.google.com/spreadsheets/d/1Lhp9OU0JdFf_VYSMzH5lBcEaU4o8teT1piV-SNzShjg/edit?gid=554141278#gid=554141278"", ""'Char Def. - Attributes'!C20:C2242""), 1,false)"),"VOLUME_UNIT_SI")</f>
        <v>VOLUME_UNIT_SI</v>
      </c>
      <c r="I9358" s="136"/>
      <c r="R9358" s="63" t="str">
        <f t="shared" si="60"/>
        <v>ZSI1_FLEXIBLE_CONVOLUME_UNIT_SI</v>
      </c>
    </row>
    <row r="9359" ht="15.75" customHeight="1">
      <c r="B9359" s="63">
        <f t="shared" si="1"/>
        <v>17</v>
      </c>
      <c r="C9359" s="135" t="s">
        <v>389</v>
      </c>
      <c r="D9359" s="161" t="s">
        <v>74</v>
      </c>
      <c r="E9359" s="135">
        <f t="shared" si="62"/>
        <v>13</v>
      </c>
      <c r="F9359" s="134" t="s">
        <v>3804</v>
      </c>
      <c r="G9359" s="63" t="str">
        <f>VLOOKUP(C9359, 'Class Def. - General Data'!$C$20:$C$1000,1,false)</f>
        <v>ZSI1_FLEXIBLE_CON</v>
      </c>
      <c r="H9359" s="63" t="str">
        <f>IFERROR(__xludf.DUMMYFUNCTION("VLOOKUP(F9359, IMPORTRANGE(""https://docs.google.com/spreadsheets/d/1Lhp9OU0JdFf_VYSMzH5lBcEaU4o8teT1piV-SNzShjg/edit?gid=554141278#gid=554141278"", ""'Char Def. - Attributes'!C20:C2242""), 1,false)"),"ALT_UOM1_SIPI")</f>
        <v>ALT_UOM1_SIPI</v>
      </c>
      <c r="I9359" s="136"/>
      <c r="R9359" s="63" t="str">
        <f t="shared" si="60"/>
        <v>ZSI1_FLEXIBLE_CONALT_UOM1_SIPI</v>
      </c>
    </row>
    <row r="9360" ht="15.75" customHeight="1">
      <c r="B9360" s="63">
        <f t="shared" si="1"/>
        <v>17</v>
      </c>
      <c r="C9360" s="135" t="s">
        <v>389</v>
      </c>
      <c r="D9360" s="161" t="s">
        <v>74</v>
      </c>
      <c r="E9360" s="135">
        <f t="shared" si="62"/>
        <v>14</v>
      </c>
      <c r="F9360" s="134" t="s">
        <v>3805</v>
      </c>
      <c r="G9360" s="63" t="str">
        <f>VLOOKUP(C9360, 'Class Def. - General Data'!$C$20:$C$1000,1,false)</f>
        <v>ZSI1_FLEXIBLE_CON</v>
      </c>
      <c r="H9360" s="63" t="str">
        <f>IFERROR(__xludf.DUMMYFUNCTION("VLOOKUP(F9360, IMPORTRANGE(""https://docs.google.com/spreadsheets/d/1Lhp9OU0JdFf_VYSMzH5lBcEaU4o8teT1piV-SNzShjg/edit?gid=554141278#gid=554141278"", ""'Char Def. - Attributes'!C20:C2242""), 1,false)"),"ALT_DENUM_UOM1")</f>
        <v>ALT_DENUM_UOM1</v>
      </c>
      <c r="I9360" s="136"/>
      <c r="R9360" s="63" t="str">
        <f t="shared" si="60"/>
        <v>ZSI1_FLEXIBLE_CONALT_DENUM_UOM1</v>
      </c>
    </row>
    <row r="9361" ht="15.75" customHeight="1">
      <c r="B9361" s="63">
        <f t="shared" si="1"/>
        <v>17</v>
      </c>
      <c r="C9361" s="135" t="s">
        <v>389</v>
      </c>
      <c r="D9361" s="161" t="s">
        <v>74</v>
      </c>
      <c r="E9361" s="135">
        <f t="shared" si="62"/>
        <v>15</v>
      </c>
      <c r="F9361" s="134" t="s">
        <v>3806</v>
      </c>
      <c r="G9361" s="63" t="str">
        <f>VLOOKUP(C9361, 'Class Def. - General Data'!$C$20:$C$1000,1,false)</f>
        <v>ZSI1_FLEXIBLE_CON</v>
      </c>
      <c r="H9361" s="63" t="str">
        <f>IFERROR(__xludf.DUMMYFUNCTION("VLOOKUP(F9361, IMPORTRANGE(""https://docs.google.com/spreadsheets/d/1Lhp9OU0JdFf_VYSMzH5lBcEaU4o8teT1piV-SNzShjg/edit?gid=554141278#gid=554141278"", ""'Char Def. - Attributes'!C20:C2242""), 1,false)"),"ALT_NUM_UOM1")</f>
        <v>ALT_NUM_UOM1</v>
      </c>
      <c r="I9361" s="136"/>
      <c r="R9361" s="63" t="str">
        <f t="shared" si="60"/>
        <v>ZSI1_FLEXIBLE_CONALT_NUM_UOM1</v>
      </c>
    </row>
    <row r="9362" ht="15.75" customHeight="1">
      <c r="B9362" s="63">
        <f t="shared" si="1"/>
        <v>17</v>
      </c>
      <c r="C9362" s="135" t="s">
        <v>389</v>
      </c>
      <c r="D9362" s="161" t="s">
        <v>74</v>
      </c>
      <c r="E9362" s="135">
        <f t="shared" si="62"/>
        <v>16</v>
      </c>
      <c r="F9362" s="134" t="s">
        <v>3807</v>
      </c>
      <c r="G9362" s="63" t="str">
        <f>VLOOKUP(C9362, 'Class Def. - General Data'!$C$20:$C$1000,1,false)</f>
        <v>ZSI1_FLEXIBLE_CON</v>
      </c>
      <c r="H9362" s="63" t="str">
        <f>IFERROR(__xludf.DUMMYFUNCTION("VLOOKUP(F9362, IMPORTRANGE(""https://docs.google.com/spreadsheets/d/1Lhp9OU0JdFf_VYSMzH5lBcEaU4o8teT1piV-SNzShjg/edit?gid=554141278#gid=554141278"", ""'Char Def. - Attributes'!C20:C2242""), 1,false)"),"ALT_UOM2_SIPI")</f>
        <v>ALT_UOM2_SIPI</v>
      </c>
      <c r="I9362" s="136"/>
      <c r="R9362" s="63" t="str">
        <f t="shared" si="60"/>
        <v>ZSI1_FLEXIBLE_CONALT_UOM2_SIPI</v>
      </c>
    </row>
    <row r="9363" ht="15.75" customHeight="1">
      <c r="B9363" s="63">
        <f t="shared" si="1"/>
        <v>17</v>
      </c>
      <c r="C9363" s="135" t="s">
        <v>389</v>
      </c>
      <c r="D9363" s="161" t="s">
        <v>74</v>
      </c>
      <c r="E9363" s="135">
        <f t="shared" si="62"/>
        <v>17</v>
      </c>
      <c r="F9363" s="134" t="s">
        <v>3808</v>
      </c>
      <c r="G9363" s="63" t="str">
        <f>VLOOKUP(C9363, 'Class Def. - General Data'!$C$20:$C$1000,1,false)</f>
        <v>ZSI1_FLEXIBLE_CON</v>
      </c>
      <c r="H9363" s="63" t="str">
        <f>IFERROR(__xludf.DUMMYFUNCTION("VLOOKUP(F9363, IMPORTRANGE(""https://docs.google.com/spreadsheets/d/1Lhp9OU0JdFf_VYSMzH5lBcEaU4o8teT1piV-SNzShjg/edit?gid=554141278#gid=554141278"", ""'Char Def. - Attributes'!C20:C2242""), 1,false)"),"ALT_DENUM_UOM2")</f>
        <v>ALT_DENUM_UOM2</v>
      </c>
      <c r="I9363" s="136"/>
      <c r="R9363" s="63" t="str">
        <f t="shared" si="60"/>
        <v>ZSI1_FLEXIBLE_CONALT_DENUM_UOM2</v>
      </c>
    </row>
    <row r="9364" ht="15.75" customHeight="1">
      <c r="B9364" s="63">
        <f t="shared" si="1"/>
        <v>17</v>
      </c>
      <c r="C9364" s="135" t="s">
        <v>389</v>
      </c>
      <c r="D9364" s="161" t="s">
        <v>74</v>
      </c>
      <c r="E9364" s="135">
        <f t="shared" si="62"/>
        <v>18</v>
      </c>
      <c r="F9364" s="134" t="s">
        <v>3809</v>
      </c>
      <c r="G9364" s="63" t="str">
        <f>VLOOKUP(C9364, 'Class Def. - General Data'!$C$20:$C$1000,1,false)</f>
        <v>ZSI1_FLEXIBLE_CON</v>
      </c>
      <c r="H9364" s="63" t="str">
        <f>IFERROR(__xludf.DUMMYFUNCTION("VLOOKUP(F9364, IMPORTRANGE(""https://docs.google.com/spreadsheets/d/1Lhp9OU0JdFf_VYSMzH5lBcEaU4o8teT1piV-SNzShjg/edit?gid=554141278#gid=554141278"", ""'Char Def. - Attributes'!C20:C2242""), 1,false)"),"ALT_NUM_UOM2")</f>
        <v>ALT_NUM_UOM2</v>
      </c>
      <c r="I9364" s="136"/>
      <c r="R9364" s="63" t="str">
        <f t="shared" si="60"/>
        <v>ZSI1_FLEXIBLE_CONALT_NUM_UOM2</v>
      </c>
    </row>
    <row r="9365" ht="15.75" customHeight="1">
      <c r="B9365" s="63">
        <f t="shared" si="1"/>
        <v>17</v>
      </c>
      <c r="C9365" s="135" t="s">
        <v>389</v>
      </c>
      <c r="D9365" s="161" t="s">
        <v>74</v>
      </c>
      <c r="E9365" s="135">
        <f t="shared" si="62"/>
        <v>19</v>
      </c>
      <c r="F9365" s="134" t="s">
        <v>3810</v>
      </c>
      <c r="G9365" s="63" t="str">
        <f>VLOOKUP(C9365, 'Class Def. - General Data'!$C$20:$C$1000,1,false)</f>
        <v>ZSI1_FLEXIBLE_CON</v>
      </c>
      <c r="H9365" s="63" t="str">
        <f>IFERROR(__xludf.DUMMYFUNCTION("VLOOKUP(F9365, IMPORTRANGE(""https://docs.google.com/spreadsheets/d/1Lhp9OU0JdFf_VYSMzH5lBcEaU4o8teT1piV-SNzShjg/edit?gid=554141278#gid=554141278"", ""'Char Def. - Attributes'!C20:C2242""), 1,false)"),"ALT_UOM3_SIPI")</f>
        <v>ALT_UOM3_SIPI</v>
      </c>
      <c r="I9365" s="136"/>
      <c r="R9365" s="63" t="str">
        <f t="shared" si="60"/>
        <v>ZSI1_FLEXIBLE_CONALT_UOM3_SIPI</v>
      </c>
    </row>
    <row r="9366" ht="15.75" customHeight="1">
      <c r="B9366" s="63">
        <f t="shared" si="1"/>
        <v>17</v>
      </c>
      <c r="C9366" s="135" t="s">
        <v>389</v>
      </c>
      <c r="D9366" s="161" t="s">
        <v>74</v>
      </c>
      <c r="E9366" s="135">
        <f t="shared" si="62"/>
        <v>20</v>
      </c>
      <c r="F9366" s="134" t="s">
        <v>3811</v>
      </c>
      <c r="G9366" s="63" t="str">
        <f>VLOOKUP(C9366, 'Class Def. - General Data'!$C$20:$C$1000,1,false)</f>
        <v>ZSI1_FLEXIBLE_CON</v>
      </c>
      <c r="H9366" s="63" t="str">
        <f>IFERROR(__xludf.DUMMYFUNCTION("VLOOKUP(F9366, IMPORTRANGE(""https://docs.google.com/spreadsheets/d/1Lhp9OU0JdFf_VYSMzH5lBcEaU4o8teT1piV-SNzShjg/edit?gid=554141278#gid=554141278"", ""'Char Def. - Attributes'!C20:C2242""), 1,false)"),"ALT_DENUM_UOM3")</f>
        <v>ALT_DENUM_UOM3</v>
      </c>
      <c r="I9366" s="136"/>
      <c r="R9366" s="63" t="str">
        <f t="shared" si="60"/>
        <v>ZSI1_FLEXIBLE_CONALT_DENUM_UOM3</v>
      </c>
    </row>
    <row r="9367" ht="15.75" customHeight="1">
      <c r="B9367" s="63">
        <f t="shared" si="1"/>
        <v>17</v>
      </c>
      <c r="C9367" s="135" t="s">
        <v>389</v>
      </c>
      <c r="D9367" s="161" t="s">
        <v>74</v>
      </c>
      <c r="E9367" s="135">
        <f t="shared" si="62"/>
        <v>21</v>
      </c>
      <c r="F9367" s="134" t="s">
        <v>3812</v>
      </c>
      <c r="G9367" s="63" t="str">
        <f>VLOOKUP(C9367, 'Class Def. - General Data'!$C$20:$C$1000,1,false)</f>
        <v>ZSI1_FLEXIBLE_CON</v>
      </c>
      <c r="H9367" s="63" t="str">
        <f>IFERROR(__xludf.DUMMYFUNCTION("VLOOKUP(F9367, IMPORTRANGE(""https://docs.google.com/spreadsheets/d/1Lhp9OU0JdFf_VYSMzH5lBcEaU4o8teT1piV-SNzShjg/edit?gid=554141278#gid=554141278"", ""'Char Def. - Attributes'!C20:C2242""), 1,false)"),"ALT_NUM_UOM3")</f>
        <v>ALT_NUM_UOM3</v>
      </c>
      <c r="I9367" s="136"/>
      <c r="R9367" s="63" t="str">
        <f t="shared" si="60"/>
        <v>ZSI1_FLEXIBLE_CONALT_NUM_UOM3</v>
      </c>
    </row>
    <row r="9368" ht="15.75" customHeight="1">
      <c r="B9368" s="63">
        <f t="shared" si="1"/>
        <v>17</v>
      </c>
      <c r="C9368" s="135" t="s">
        <v>389</v>
      </c>
      <c r="D9368" s="161" t="s">
        <v>74</v>
      </c>
      <c r="E9368" s="135">
        <f t="shared" si="62"/>
        <v>22</v>
      </c>
      <c r="F9368" s="134" t="s">
        <v>3813</v>
      </c>
      <c r="G9368" s="63" t="str">
        <f>VLOOKUP(C9368, 'Class Def. - General Data'!$C$20:$C$1000,1,false)</f>
        <v>ZSI1_FLEXIBLE_CON</v>
      </c>
      <c r="H9368" s="63" t="str">
        <f>IFERROR(__xludf.DUMMYFUNCTION("VLOOKUP(F9368, IMPORTRANGE(""https://docs.google.com/spreadsheets/d/1Lhp9OU0JdFf_VYSMzH5lBcEaU4o8teT1piV-SNzShjg/edit?gid=554141278#gid=554141278"", ""'Char Def. - Attributes'!C20:C2242""), 1,false)"),"ALT_UOM4_SIPI")</f>
        <v>ALT_UOM4_SIPI</v>
      </c>
      <c r="I9368" s="136"/>
      <c r="R9368" s="63" t="str">
        <f t="shared" si="60"/>
        <v>ZSI1_FLEXIBLE_CONALT_UOM4_SIPI</v>
      </c>
    </row>
    <row r="9369" ht="15.75" customHeight="1">
      <c r="B9369" s="63">
        <f t="shared" si="1"/>
        <v>17</v>
      </c>
      <c r="C9369" s="135" t="s">
        <v>389</v>
      </c>
      <c r="D9369" s="161" t="s">
        <v>74</v>
      </c>
      <c r="E9369" s="135">
        <f t="shared" si="62"/>
        <v>23</v>
      </c>
      <c r="F9369" s="134" t="s">
        <v>3814</v>
      </c>
      <c r="G9369" s="63" t="str">
        <f>VLOOKUP(C9369, 'Class Def. - General Data'!$C$20:$C$1000,1,false)</f>
        <v>ZSI1_FLEXIBLE_CON</v>
      </c>
      <c r="H9369" s="63" t="str">
        <f>IFERROR(__xludf.DUMMYFUNCTION("VLOOKUP(F9369, IMPORTRANGE(""https://docs.google.com/spreadsheets/d/1Lhp9OU0JdFf_VYSMzH5lBcEaU4o8teT1piV-SNzShjg/edit?gid=554141278#gid=554141278"", ""'Char Def. - Attributes'!C20:C2242""), 1,false)"),"ALT_DENUM_UOM4")</f>
        <v>ALT_DENUM_UOM4</v>
      </c>
      <c r="I9369" s="136"/>
      <c r="R9369" s="63" t="str">
        <f t="shared" si="60"/>
        <v>ZSI1_FLEXIBLE_CONALT_DENUM_UOM4</v>
      </c>
    </row>
    <row r="9370" ht="15.75" customHeight="1">
      <c r="B9370" s="63">
        <f t="shared" si="1"/>
        <v>17</v>
      </c>
      <c r="C9370" s="135" t="s">
        <v>389</v>
      </c>
      <c r="D9370" s="161" t="s">
        <v>74</v>
      </c>
      <c r="E9370" s="135">
        <f t="shared" si="62"/>
        <v>24</v>
      </c>
      <c r="F9370" s="134" t="s">
        <v>3815</v>
      </c>
      <c r="G9370" s="63" t="str">
        <f>VLOOKUP(C9370, 'Class Def. - General Data'!$C$20:$C$1000,1,false)</f>
        <v>ZSI1_FLEXIBLE_CON</v>
      </c>
      <c r="H9370" s="63" t="str">
        <f>IFERROR(__xludf.DUMMYFUNCTION("VLOOKUP(F9370, IMPORTRANGE(""https://docs.google.com/spreadsheets/d/1Lhp9OU0JdFf_VYSMzH5lBcEaU4o8teT1piV-SNzShjg/edit?gid=554141278#gid=554141278"", ""'Char Def. - Attributes'!C20:C2242""), 1,false)"),"ALT_NUM_UOM4")</f>
        <v>ALT_NUM_UOM4</v>
      </c>
      <c r="I9370" s="136"/>
      <c r="R9370" s="63" t="str">
        <f t="shared" si="60"/>
        <v>ZSI1_FLEXIBLE_CONALT_NUM_UOM4</v>
      </c>
    </row>
    <row r="9371" ht="15.75" customHeight="1">
      <c r="B9371" s="63">
        <f t="shared" si="1"/>
        <v>17</v>
      </c>
      <c r="C9371" s="135" t="s">
        <v>389</v>
      </c>
      <c r="D9371" s="161" t="s">
        <v>74</v>
      </c>
      <c r="E9371" s="135">
        <f t="shared" si="62"/>
        <v>25</v>
      </c>
      <c r="F9371" s="134" t="s">
        <v>3816</v>
      </c>
      <c r="G9371" s="63" t="str">
        <f>VLOOKUP(C9371, 'Class Def. - General Data'!$C$20:$C$1000,1,false)</f>
        <v>ZSI1_FLEXIBLE_CON</v>
      </c>
      <c r="H9371" s="63" t="str">
        <f>IFERROR(__xludf.DUMMYFUNCTION("VLOOKUP(F9371, IMPORTRANGE(""https://docs.google.com/spreadsheets/d/1Lhp9OU0JdFf_VYSMzH5lBcEaU4o8teT1piV-SNzShjg/edit?gid=554141278#gid=554141278"", ""'Char Def. - Attributes'!C20:C2242""), 1,false)"),"ALT_UOM5_SIPI")</f>
        <v>ALT_UOM5_SIPI</v>
      </c>
      <c r="I9371" s="136"/>
      <c r="R9371" s="63" t="str">
        <f t="shared" si="60"/>
        <v>ZSI1_FLEXIBLE_CONALT_UOM5_SIPI</v>
      </c>
    </row>
    <row r="9372" ht="15.75" customHeight="1">
      <c r="B9372" s="63">
        <f t="shared" si="1"/>
        <v>17</v>
      </c>
      <c r="C9372" s="135" t="s">
        <v>389</v>
      </c>
      <c r="D9372" s="161" t="s">
        <v>74</v>
      </c>
      <c r="E9372" s="135">
        <f t="shared" si="62"/>
        <v>26</v>
      </c>
      <c r="F9372" s="134" t="s">
        <v>3817</v>
      </c>
      <c r="G9372" s="63" t="str">
        <f>VLOOKUP(C9372, 'Class Def. - General Data'!$C$20:$C$1000,1,false)</f>
        <v>ZSI1_FLEXIBLE_CON</v>
      </c>
      <c r="H9372" s="63" t="str">
        <f>IFERROR(__xludf.DUMMYFUNCTION("VLOOKUP(F9372, IMPORTRANGE(""https://docs.google.com/spreadsheets/d/1Lhp9OU0JdFf_VYSMzH5lBcEaU4o8teT1piV-SNzShjg/edit?gid=554141278#gid=554141278"", ""'Char Def. - Attributes'!C20:C2242""), 1,false)"),"ALT_DENUM_UOM5")</f>
        <v>ALT_DENUM_UOM5</v>
      </c>
      <c r="I9372" s="136"/>
      <c r="R9372" s="63" t="str">
        <f t="shared" si="60"/>
        <v>ZSI1_FLEXIBLE_CONALT_DENUM_UOM5</v>
      </c>
    </row>
    <row r="9373" ht="15.75" customHeight="1">
      <c r="B9373" s="63">
        <f t="shared" si="1"/>
        <v>17</v>
      </c>
      <c r="C9373" s="135" t="s">
        <v>389</v>
      </c>
      <c r="D9373" s="161" t="s">
        <v>74</v>
      </c>
      <c r="E9373" s="135">
        <f t="shared" si="62"/>
        <v>27</v>
      </c>
      <c r="F9373" s="134" t="s">
        <v>3818</v>
      </c>
      <c r="G9373" s="63" t="str">
        <f>VLOOKUP(C9373, 'Class Def. - General Data'!$C$20:$C$1000,1,false)</f>
        <v>ZSI1_FLEXIBLE_CON</v>
      </c>
      <c r="H9373" s="63" t="str">
        <f>IFERROR(__xludf.DUMMYFUNCTION("VLOOKUP(F9373, IMPORTRANGE(""https://docs.google.com/spreadsheets/d/1Lhp9OU0JdFf_VYSMzH5lBcEaU4o8teT1piV-SNzShjg/edit?gid=554141278#gid=554141278"", ""'Char Def. - Attributes'!C20:C2242""), 1,false)"),"ALT_NUM_UOM5")</f>
        <v>ALT_NUM_UOM5</v>
      </c>
      <c r="I9373" s="136"/>
      <c r="R9373" s="63" t="str">
        <f t="shared" si="60"/>
        <v>ZSI1_FLEXIBLE_CONALT_NUM_UOM5</v>
      </c>
    </row>
    <row r="9374" ht="15.75" customHeight="1">
      <c r="B9374" s="63">
        <f t="shared" si="1"/>
        <v>18</v>
      </c>
      <c r="C9374" s="135" t="s">
        <v>341</v>
      </c>
      <c r="D9374" s="161" t="s">
        <v>74</v>
      </c>
      <c r="E9374" s="135">
        <f t="shared" si="62"/>
        <v>1</v>
      </c>
      <c r="F9374" s="134" t="s">
        <v>4525</v>
      </c>
      <c r="G9374" s="63" t="str">
        <f>VLOOKUP(C9374, 'Class Def. - General Data'!$C$20:$C$1000,1,false)</f>
        <v>ZSI1_FLEXIBLE_HOSE</v>
      </c>
      <c r="H9374" s="63" t="str">
        <f>IFERROR(__xludf.DUMMYFUNCTION("VLOOKUP(F9374, IMPORTRANGE(""https://docs.google.com/spreadsheets/d/1Lhp9OU0JdFf_VYSMzH5lBcEaU4o8teT1piV-SNzShjg/edit?gid=554141278#gid=554141278"", ""'Char Def. - Attributes'!C20:C2242""), 1,false)"),"ITEM_NAME_FLEXIBLE_HOSE")</f>
        <v>ITEM_NAME_FLEXIBLE_HOSE</v>
      </c>
      <c r="I9374" s="136"/>
      <c r="R9374" s="63" t="str">
        <f t="shared" si="60"/>
        <v>ZSI1_FLEXIBLE_HOSEITEM_NAME_FLEXIBLE_HOSE</v>
      </c>
    </row>
    <row r="9375" ht="15.75" customHeight="1">
      <c r="B9375" s="63">
        <f t="shared" si="1"/>
        <v>18</v>
      </c>
      <c r="C9375" s="135" t="s">
        <v>341</v>
      </c>
      <c r="D9375" s="161" t="s">
        <v>74</v>
      </c>
      <c r="E9375" s="135">
        <f t="shared" si="62"/>
        <v>2</v>
      </c>
      <c r="F9375" s="134" t="s">
        <v>4526</v>
      </c>
      <c r="G9375" s="63" t="str">
        <f>VLOOKUP(C9375, 'Class Def. - General Data'!$C$20:$C$1000,1,false)</f>
        <v>ZSI1_FLEXIBLE_HOSE</v>
      </c>
      <c r="H9375" s="63" t="str">
        <f>IFERROR(__xludf.DUMMYFUNCTION("VLOOKUP(F9375, IMPORTRANGE(""https://docs.google.com/spreadsheets/d/1Lhp9OU0JdFf_VYSMzH5lBcEaU4o8teT1piV-SNzShjg/edit?gid=554141278#gid=554141278"", ""'Char Def. - Attributes'!C20:C2242""), 1,false)"),"DIAMETER_INCH_FLEXIBLE_HOSE")</f>
        <v>DIAMETER_INCH_FLEXIBLE_HOSE</v>
      </c>
      <c r="I9375" s="136"/>
      <c r="R9375" s="63" t="str">
        <f t="shared" si="60"/>
        <v>ZSI1_FLEXIBLE_HOSEDIAMETER_INCH_FLEXIBLE_HOSE</v>
      </c>
    </row>
    <row r="9376" ht="15.75" customHeight="1">
      <c r="B9376" s="63">
        <f t="shared" si="1"/>
        <v>18</v>
      </c>
      <c r="C9376" s="135" t="s">
        <v>341</v>
      </c>
      <c r="D9376" s="161" t="s">
        <v>74</v>
      </c>
      <c r="E9376" s="135">
        <f t="shared" si="62"/>
        <v>3</v>
      </c>
      <c r="F9376" s="134" t="s">
        <v>4527</v>
      </c>
      <c r="G9376" s="63" t="str">
        <f>VLOOKUP(C9376, 'Class Def. - General Data'!$C$20:$C$1000,1,false)</f>
        <v>ZSI1_FLEXIBLE_HOSE</v>
      </c>
      <c r="H9376" s="63" t="str">
        <f>IFERROR(__xludf.DUMMYFUNCTION("VLOOKUP(F9376, IMPORTRANGE(""https://docs.google.com/spreadsheets/d/1Lhp9OU0JdFf_VYSMzH5lBcEaU4o8teT1piV-SNzShjg/edit?gid=554141278#gid=554141278"", ""'Char Def. - Attributes'!C20:C2242""), 1,false)"),"LENGTH_MM_FLEXIBLE_HOSE")</f>
        <v>LENGTH_MM_FLEXIBLE_HOSE</v>
      </c>
      <c r="I9376" s="136"/>
      <c r="R9376" s="63" t="str">
        <f t="shared" si="60"/>
        <v>ZSI1_FLEXIBLE_HOSELENGTH_MM_FLEXIBLE_HOSE</v>
      </c>
    </row>
    <row r="9377" ht="15.75" customHeight="1">
      <c r="B9377" s="63">
        <f t="shared" si="1"/>
        <v>18</v>
      </c>
      <c r="C9377" s="135" t="s">
        <v>341</v>
      </c>
      <c r="D9377" s="161" t="s">
        <v>74</v>
      </c>
      <c r="E9377" s="135">
        <f t="shared" si="62"/>
        <v>4</v>
      </c>
      <c r="F9377" s="134" t="s">
        <v>4528</v>
      </c>
      <c r="G9377" s="63" t="str">
        <f>VLOOKUP(C9377, 'Class Def. - General Data'!$C$20:$C$1000,1,false)</f>
        <v>ZSI1_FLEXIBLE_HOSE</v>
      </c>
      <c r="H9377" s="63" t="str">
        <f>IFERROR(__xludf.DUMMYFUNCTION("VLOOKUP(F9377, IMPORTRANGE(""https://docs.google.com/spreadsheets/d/1Lhp9OU0JdFf_VYSMzH5lBcEaU4o8teT1piV-SNzShjg/edit?gid=554141278#gid=554141278"", ""'Char Def. - Attributes'!C20:C2242""), 1,false)"),"CONNECTION_FLEXIBLE_HOSE")</f>
        <v>CONNECTION_FLEXIBLE_HOSE</v>
      </c>
      <c r="I9377" s="136"/>
      <c r="R9377" s="63" t="str">
        <f t="shared" si="60"/>
        <v>ZSI1_FLEXIBLE_HOSECONNECTION_FLEXIBLE_HOSE</v>
      </c>
    </row>
    <row r="9378" ht="15.75" customHeight="1">
      <c r="B9378" s="63">
        <f t="shared" si="1"/>
        <v>18</v>
      </c>
      <c r="C9378" s="135" t="s">
        <v>341</v>
      </c>
      <c r="D9378" s="161" t="s">
        <v>74</v>
      </c>
      <c r="E9378" s="135">
        <f t="shared" si="62"/>
        <v>5</v>
      </c>
      <c r="F9378" s="134" t="s">
        <v>4529</v>
      </c>
      <c r="G9378" s="63" t="str">
        <f>VLOOKUP(C9378, 'Class Def. - General Data'!$C$20:$C$1000,1,false)</f>
        <v>ZSI1_FLEXIBLE_HOSE</v>
      </c>
      <c r="H9378" s="63" t="str">
        <f>IFERROR(__xludf.DUMMYFUNCTION("VLOOKUP(F9378, IMPORTRANGE(""https://docs.google.com/spreadsheets/d/1Lhp9OU0JdFf_VYSMzH5lBcEaU4o8teT1piV-SNzShjg/edit?gid=554141278#gid=554141278"", ""'Char Def. - Attributes'!C20:C2242""), 1,false)"),"RATING_FLEXIBLE_HOSE")</f>
        <v>RATING_FLEXIBLE_HOSE</v>
      </c>
      <c r="I9378" s="136"/>
      <c r="R9378" s="63" t="str">
        <f t="shared" si="60"/>
        <v>ZSI1_FLEXIBLE_HOSERATING_FLEXIBLE_HOSE</v>
      </c>
    </row>
    <row r="9379" ht="15.75" customHeight="1">
      <c r="B9379" s="63">
        <f t="shared" si="1"/>
        <v>18</v>
      </c>
      <c r="C9379" s="135" t="s">
        <v>341</v>
      </c>
      <c r="D9379" s="161" t="s">
        <v>74</v>
      </c>
      <c r="E9379" s="135">
        <f t="shared" si="62"/>
        <v>6</v>
      </c>
      <c r="F9379" s="134" t="s">
        <v>4530</v>
      </c>
      <c r="G9379" s="63" t="str">
        <f>VLOOKUP(C9379, 'Class Def. - General Data'!$C$20:$C$1000,1,false)</f>
        <v>ZSI1_FLEXIBLE_HOSE</v>
      </c>
      <c r="H9379" s="63" t="str">
        <f>IFERROR(__xludf.DUMMYFUNCTION("VLOOKUP(F9379, IMPORTRANGE(""https://docs.google.com/spreadsheets/d/1Lhp9OU0JdFf_VYSMzH5lBcEaU4o8teT1piV-SNzShjg/edit?gid=554141278#gid=554141278"", ""'Char Def. - Attributes'!C20:C2242""), 1,false)"),"MATERIAL_FLEXIBLE_HOSE")</f>
        <v>MATERIAL_FLEXIBLE_HOSE</v>
      </c>
      <c r="I9379" s="136"/>
      <c r="R9379" s="63" t="str">
        <f t="shared" si="60"/>
        <v>ZSI1_FLEXIBLE_HOSEMATERIAL_FLEXIBLE_HOSE</v>
      </c>
    </row>
    <row r="9380" ht="15.75" customHeight="1">
      <c r="B9380" s="63">
        <f t="shared" si="1"/>
        <v>18</v>
      </c>
      <c r="C9380" s="135" t="s">
        <v>341</v>
      </c>
      <c r="D9380" s="161" t="s">
        <v>74</v>
      </c>
      <c r="E9380" s="135">
        <f t="shared" si="62"/>
        <v>7</v>
      </c>
      <c r="F9380" s="134" t="s">
        <v>4531</v>
      </c>
      <c r="G9380" s="63" t="str">
        <f>VLOOKUP(C9380, 'Class Def. - General Data'!$C$20:$C$1000,1,false)</f>
        <v>ZSI1_FLEXIBLE_HOSE</v>
      </c>
      <c r="H9380" s="63" t="str">
        <f>IFERROR(__xludf.DUMMYFUNCTION("VLOOKUP(F9380, IMPORTRANGE(""https://docs.google.com/spreadsheets/d/1Lhp9OU0JdFf_VYSMzH5lBcEaU4o8teT1piV-SNzShjg/edit?gid=554141278#gid=554141278"", ""'Char Def. - Attributes'!C20:C2242""), 1,false)"),"BRAIDED_MATERIAL_FLEXIBLE_HOSE")</f>
        <v>BRAIDED_MATERIAL_FLEXIBLE_HOSE</v>
      </c>
      <c r="I9380" s="136"/>
      <c r="R9380" s="63" t="str">
        <f t="shared" si="60"/>
        <v>ZSI1_FLEXIBLE_HOSEBRAIDED_MATERIAL_FLEXIBLE_HOSE</v>
      </c>
    </row>
    <row r="9381" ht="15.75" customHeight="1">
      <c r="B9381" s="63">
        <f t="shared" si="1"/>
        <v>18</v>
      </c>
      <c r="C9381" s="135" t="s">
        <v>341</v>
      </c>
      <c r="D9381" s="161" t="s">
        <v>74</v>
      </c>
      <c r="E9381" s="135">
        <f t="shared" si="62"/>
        <v>8</v>
      </c>
      <c r="F9381" s="134" t="s">
        <v>4532</v>
      </c>
      <c r="G9381" s="63" t="str">
        <f>VLOOKUP(C9381, 'Class Def. - General Data'!$C$20:$C$1000,1,false)</f>
        <v>ZSI1_FLEXIBLE_HOSE</v>
      </c>
      <c r="H9381" s="63" t="str">
        <f>IFERROR(__xludf.DUMMYFUNCTION("VLOOKUP(F9381, IMPORTRANGE(""https://docs.google.com/spreadsheets/d/1Lhp9OU0JdFf_VYSMzH5lBcEaU4o8teT1piV-SNzShjg/edit?gid=554141278#gid=554141278"", ""'Char Def. - Attributes'!C20:C2242""), 1,false)"),"BRAIDED_PLY_FLEXIBLE_HOSE")</f>
        <v>BRAIDED_PLY_FLEXIBLE_HOSE</v>
      </c>
      <c r="I9381" s="136"/>
      <c r="R9381" s="63" t="str">
        <f t="shared" si="60"/>
        <v>ZSI1_FLEXIBLE_HOSEBRAIDED_PLY_FLEXIBLE_HOSE</v>
      </c>
    </row>
    <row r="9382" ht="15.75" customHeight="1">
      <c r="B9382" s="63">
        <f t="shared" si="1"/>
        <v>18</v>
      </c>
      <c r="C9382" s="135" t="s">
        <v>341</v>
      </c>
      <c r="D9382" s="161" t="s">
        <v>74</v>
      </c>
      <c r="E9382" s="135">
        <f t="shared" si="62"/>
        <v>9</v>
      </c>
      <c r="F9382" s="134" t="s">
        <v>4533</v>
      </c>
      <c r="G9382" s="63" t="str">
        <f>VLOOKUP(C9382, 'Class Def. - General Data'!$C$20:$C$1000,1,false)</f>
        <v>ZSI1_FLEXIBLE_HOSE</v>
      </c>
      <c r="H9382" s="63" t="str">
        <f>IFERROR(__xludf.DUMMYFUNCTION("VLOOKUP(F9382, IMPORTRANGE(""https://docs.google.com/spreadsheets/d/1Lhp9OU0JdFf_VYSMzH5lBcEaU4o8teT1piV-SNzShjg/edit?gid=554141278#gid=554141278"", ""'Char Def. - Attributes'!C20:C2242""), 1,false)"),"FITTING_TYPE_FLEXIBLE_HOSE")</f>
        <v>FITTING_TYPE_FLEXIBLE_HOSE</v>
      </c>
      <c r="I9382" s="136"/>
      <c r="R9382" s="63" t="str">
        <f t="shared" si="60"/>
        <v>ZSI1_FLEXIBLE_HOSEFITTING_TYPE_FLEXIBLE_HOSE</v>
      </c>
    </row>
    <row r="9383" ht="15.75" customHeight="1">
      <c r="B9383" s="63">
        <f t="shared" si="1"/>
        <v>18</v>
      </c>
      <c r="C9383" s="135" t="s">
        <v>341</v>
      </c>
      <c r="D9383" s="161" t="s">
        <v>74</v>
      </c>
      <c r="E9383" s="135">
        <f t="shared" si="62"/>
        <v>10</v>
      </c>
      <c r="F9383" s="134" t="s">
        <v>4053</v>
      </c>
      <c r="G9383" s="63" t="str">
        <f>VLOOKUP(C9383, 'Class Def. - General Data'!$C$20:$C$1000,1,false)</f>
        <v>ZSI1_FLEXIBLE_HOSE</v>
      </c>
      <c r="H9383" s="63" t="str">
        <f>IFERROR(__xludf.DUMMYFUNCTION("VLOOKUP(F9383, IMPORTRANGE(""https://docs.google.com/spreadsheets/d/1Lhp9OU0JdFf_VYSMzH5lBcEaU4o8teT1piV-SNzShjg/edit?gid=554141278#gid=554141278"", ""'Char Def. - Attributes'!C20:C2242""), 1,false)"),"MAINTENANCE_ORDER_TYPE")</f>
        <v>MAINTENANCE_ORDER_TYPE</v>
      </c>
      <c r="I9383" s="136"/>
      <c r="R9383" s="63" t="str">
        <f t="shared" si="60"/>
        <v>ZSI1_FLEXIBLE_HOSEMAINTENANCE_ORDER_TYPE</v>
      </c>
    </row>
    <row r="9384" ht="15.75" customHeight="1">
      <c r="B9384" s="63">
        <f t="shared" si="1"/>
        <v>18</v>
      </c>
      <c r="C9384" s="135" t="s">
        <v>341</v>
      </c>
      <c r="D9384" s="161" t="s">
        <v>74</v>
      </c>
      <c r="E9384" s="135">
        <f t="shared" si="62"/>
        <v>11</v>
      </c>
      <c r="F9384" s="134" t="s">
        <v>3585</v>
      </c>
      <c r="G9384" s="63" t="str">
        <f>VLOOKUP(C9384, 'Class Def. - General Data'!$C$20:$C$1000,1,false)</f>
        <v>ZSI1_FLEXIBLE_HOSE</v>
      </c>
      <c r="H9384" s="63" t="str">
        <f>IFERROR(__xludf.DUMMYFUNCTION("VLOOKUP(F9384, IMPORTRANGE(""https://docs.google.com/spreadsheets/d/1Lhp9OU0JdFf_VYSMzH5lBcEaU4o8teT1piV-SNzShjg/edit?gid=554141278#gid=554141278"", ""'Char Def. - Attributes'!C20:C2242""), 1,false)"),"HS_CODE")</f>
        <v>HS_CODE</v>
      </c>
      <c r="I9384" s="136"/>
      <c r="R9384" s="63" t="str">
        <f t="shared" si="60"/>
        <v>ZSI1_FLEXIBLE_HOSEHS_CODE</v>
      </c>
    </row>
    <row r="9385" ht="15.75" customHeight="1">
      <c r="B9385" s="63">
        <f t="shared" si="1"/>
        <v>18</v>
      </c>
      <c r="C9385" s="135" t="s">
        <v>341</v>
      </c>
      <c r="D9385" s="161" t="s">
        <v>74</v>
      </c>
      <c r="E9385" s="135">
        <f t="shared" si="62"/>
        <v>12</v>
      </c>
      <c r="F9385" s="134" t="s">
        <v>3587</v>
      </c>
      <c r="G9385" s="63" t="str">
        <f>VLOOKUP(C9385, 'Class Def. - General Data'!$C$20:$C$1000,1,false)</f>
        <v>ZSI1_FLEXIBLE_HOSE</v>
      </c>
      <c r="H9385" s="63" t="str">
        <f>IFERROR(__xludf.DUMMYFUNCTION("VLOOKUP(F9385, IMPORTRANGE(""https://docs.google.com/spreadsheets/d/1Lhp9OU0JdFf_VYSMzH5lBcEaU4o8teT1piV-SNzShjg/edit?gid=554141278#gid=554141278"", ""'Char Def. - Attributes'!C20:C2242""), 1,false)"),"PLANT_BUY")</f>
        <v>PLANT_BUY</v>
      </c>
      <c r="I9385" s="136"/>
      <c r="R9385" s="63" t="str">
        <f t="shared" si="60"/>
        <v>ZSI1_FLEXIBLE_HOSEPLANT_BUY</v>
      </c>
    </row>
    <row r="9386" ht="15.75" customHeight="1">
      <c r="B9386" s="63">
        <f t="shared" si="1"/>
        <v>18</v>
      </c>
      <c r="C9386" s="135" t="s">
        <v>341</v>
      </c>
      <c r="D9386" s="161" t="s">
        <v>74</v>
      </c>
      <c r="E9386" s="135">
        <f t="shared" si="62"/>
        <v>13</v>
      </c>
      <c r="F9386" s="134" t="s">
        <v>4534</v>
      </c>
      <c r="G9386" s="63" t="str">
        <f>VLOOKUP(C9386, 'Class Def. - General Data'!$C$20:$C$1000,1,false)</f>
        <v>ZSI1_FLEXIBLE_HOSE</v>
      </c>
      <c r="H9386" s="63" t="str">
        <f>IFERROR(__xludf.DUMMYFUNCTION("VLOOKUP(F9386, IMPORTRANGE(""https://docs.google.com/spreadsheets/d/1Lhp9OU0JdFf_VYSMzH5lBcEaU4o8teT1piV-SNzShjg/edit?gid=554141278#gid=554141278"", ""'Char Def. - Attributes'!C20:C2242""), 1,false)"),"BASE_UOM_FLEXIBLE_HOSE")</f>
        <v>BASE_UOM_FLEXIBLE_HOSE</v>
      </c>
      <c r="I9386" s="136"/>
      <c r="R9386" s="63" t="str">
        <f t="shared" si="60"/>
        <v>ZSI1_FLEXIBLE_HOSEBASE_UOM_FLEXIBLE_HOSE</v>
      </c>
    </row>
    <row r="9387" ht="15.75" customHeight="1">
      <c r="B9387" s="63">
        <f t="shared" si="1"/>
        <v>18</v>
      </c>
      <c r="C9387" s="135" t="s">
        <v>341</v>
      </c>
      <c r="D9387" s="161" t="s">
        <v>74</v>
      </c>
      <c r="E9387" s="135">
        <f t="shared" si="62"/>
        <v>14</v>
      </c>
      <c r="F9387" s="134" t="s">
        <v>4535</v>
      </c>
      <c r="G9387" s="63" t="str">
        <f>VLOOKUP(C9387, 'Class Def. - General Data'!$C$20:$C$1000,1,false)</f>
        <v>ZSI1_FLEXIBLE_HOSE</v>
      </c>
      <c r="H9387" s="63" t="str">
        <f>IFERROR(__xludf.DUMMYFUNCTION("VLOOKUP(F9387, IMPORTRANGE(""https://docs.google.com/spreadsheets/d/1Lhp9OU0JdFf_VYSMzH5lBcEaU4o8teT1piV-SNzShjg/edit?gid=554141278#gid=554141278"", ""'Char Def. - Attributes'!C20:C2242""), 1,false)"),"ORDER_UNIT_FLEXIBLE_HOSE")</f>
        <v>ORDER_UNIT_FLEXIBLE_HOSE</v>
      </c>
      <c r="I9387" s="136"/>
      <c r="R9387" s="63" t="str">
        <f t="shared" si="60"/>
        <v>ZSI1_FLEXIBLE_HOSEORDER_UNIT_FLEXIBLE_HOSE</v>
      </c>
    </row>
    <row r="9388" ht="15.75" customHeight="1">
      <c r="B9388" s="63">
        <f t="shared" si="1"/>
        <v>18</v>
      </c>
      <c r="C9388" s="135" t="s">
        <v>341</v>
      </c>
      <c r="D9388" s="161" t="s">
        <v>74</v>
      </c>
      <c r="E9388" s="135">
        <f t="shared" si="62"/>
        <v>15</v>
      </c>
      <c r="F9388" s="134" t="s">
        <v>4056</v>
      </c>
      <c r="G9388" s="63" t="str">
        <f>VLOOKUP(C9388, 'Class Def. - General Data'!$C$20:$C$1000,1,false)</f>
        <v>ZSI1_FLEXIBLE_HOSE</v>
      </c>
      <c r="H9388" s="63" t="str">
        <f>IFERROR(__xludf.DUMMYFUNCTION("VLOOKUP(F9388, IMPORTRANGE(""https://docs.google.com/spreadsheets/d/1Lhp9OU0JdFf_VYSMzH5lBcEaU4o8teT1piV-SNzShjg/edit?gid=554141278#gid=554141278"", ""'Char Def. - Attributes'!C20:C2242""), 1,false)"),"GROSS_WEIGHT_OPT")</f>
        <v>GROSS_WEIGHT_OPT</v>
      </c>
      <c r="I9388" s="136"/>
      <c r="R9388" s="63" t="str">
        <f t="shared" si="60"/>
        <v>ZSI1_FLEXIBLE_HOSEGROSS_WEIGHT_OPT</v>
      </c>
    </row>
    <row r="9389" ht="15.75" customHeight="1">
      <c r="B9389" s="63">
        <f t="shared" si="1"/>
        <v>18</v>
      </c>
      <c r="C9389" s="135" t="s">
        <v>341</v>
      </c>
      <c r="D9389" s="161" t="s">
        <v>74</v>
      </c>
      <c r="E9389" s="135">
        <f t="shared" si="62"/>
        <v>16</v>
      </c>
      <c r="F9389" s="134" t="s">
        <v>4057</v>
      </c>
      <c r="G9389" s="63" t="str">
        <f>VLOOKUP(C9389, 'Class Def. - General Data'!$C$20:$C$1000,1,false)</f>
        <v>ZSI1_FLEXIBLE_HOSE</v>
      </c>
      <c r="H9389" s="63" t="str">
        <f>IFERROR(__xludf.DUMMYFUNCTION("VLOOKUP(F9389, IMPORTRANGE(""https://docs.google.com/spreadsheets/d/1Lhp9OU0JdFf_VYSMzH5lBcEaU4o8teT1piV-SNzShjg/edit?gid=554141278#gid=554141278"", ""'Char Def. - Attributes'!C20:C2242""), 1,false)"),"NET_WEIGHT_OPT")</f>
        <v>NET_WEIGHT_OPT</v>
      </c>
      <c r="I9389" s="136"/>
      <c r="R9389" s="63" t="str">
        <f t="shared" si="60"/>
        <v>ZSI1_FLEXIBLE_HOSENET_WEIGHT_OPT</v>
      </c>
    </row>
    <row r="9390" ht="15.75" customHeight="1">
      <c r="B9390" s="63">
        <f t="shared" si="1"/>
        <v>18</v>
      </c>
      <c r="C9390" s="135" t="s">
        <v>341</v>
      </c>
      <c r="D9390" s="161" t="s">
        <v>74</v>
      </c>
      <c r="E9390" s="135">
        <f t="shared" si="62"/>
        <v>17</v>
      </c>
      <c r="F9390" s="134" t="s">
        <v>4058</v>
      </c>
      <c r="G9390" s="63" t="str">
        <f>VLOOKUP(C9390, 'Class Def. - General Data'!$C$20:$C$1000,1,false)</f>
        <v>ZSI1_FLEXIBLE_HOSE</v>
      </c>
      <c r="H9390" s="63" t="str">
        <f>IFERROR(__xludf.DUMMYFUNCTION("VLOOKUP(F9390, IMPORTRANGE(""https://docs.google.com/spreadsheets/d/1Lhp9OU0JdFf_VYSMzH5lBcEaU4o8teT1piV-SNzShjg/edit?gid=554141278#gid=554141278"", ""'Char Def. - Attributes'!C20:C2242""), 1,false)"),"WEIGHT_UNIT_SI")</f>
        <v>WEIGHT_UNIT_SI</v>
      </c>
      <c r="I9390" s="136"/>
      <c r="R9390" s="63" t="str">
        <f t="shared" si="60"/>
        <v>ZSI1_FLEXIBLE_HOSEWEIGHT_UNIT_SI</v>
      </c>
    </row>
    <row r="9391" ht="15.75" customHeight="1">
      <c r="B9391" s="63">
        <f t="shared" si="1"/>
        <v>18</v>
      </c>
      <c r="C9391" s="135" t="s">
        <v>341</v>
      </c>
      <c r="D9391" s="161" t="s">
        <v>74</v>
      </c>
      <c r="E9391" s="135">
        <f t="shared" si="62"/>
        <v>18</v>
      </c>
      <c r="F9391" s="134" t="s">
        <v>3877</v>
      </c>
      <c r="G9391" s="63" t="str">
        <f>VLOOKUP(C9391, 'Class Def. - General Data'!$C$20:$C$1000,1,false)</f>
        <v>ZSI1_FLEXIBLE_HOSE</v>
      </c>
      <c r="H9391" s="63" t="str">
        <f>IFERROR(__xludf.DUMMYFUNCTION("VLOOKUP(F9391, IMPORTRANGE(""https://docs.google.com/spreadsheets/d/1Lhp9OU0JdFf_VYSMzH5lBcEaU4o8teT1piV-SNzShjg/edit?gid=554141278#gid=554141278"", ""'Char Def. - Attributes'!C20:C2242""), 1,false)"),"VOLUME_OPT")</f>
        <v>VOLUME_OPT</v>
      </c>
      <c r="I9391" s="136"/>
      <c r="R9391" s="63" t="str">
        <f t="shared" si="60"/>
        <v>ZSI1_FLEXIBLE_HOSEVOLUME_OPT</v>
      </c>
    </row>
    <row r="9392" ht="15.75" customHeight="1">
      <c r="B9392" s="63">
        <f t="shared" si="1"/>
        <v>18</v>
      </c>
      <c r="C9392" s="135" t="s">
        <v>341</v>
      </c>
      <c r="D9392" s="161" t="s">
        <v>74</v>
      </c>
      <c r="E9392" s="135">
        <f t="shared" si="62"/>
        <v>19</v>
      </c>
      <c r="F9392" s="134" t="s">
        <v>4059</v>
      </c>
      <c r="G9392" s="63" t="str">
        <f>VLOOKUP(C9392, 'Class Def. - General Data'!$C$20:$C$1000,1,false)</f>
        <v>ZSI1_FLEXIBLE_HOSE</v>
      </c>
      <c r="H9392" s="63" t="str">
        <f>IFERROR(__xludf.DUMMYFUNCTION("VLOOKUP(F9392, IMPORTRANGE(""https://docs.google.com/spreadsheets/d/1Lhp9OU0JdFf_VYSMzH5lBcEaU4o8teT1piV-SNzShjg/edit?gid=554141278#gid=554141278"", ""'Char Def. - Attributes'!C20:C2242""), 1,false)"),"VOLUME_UNIT_SI")</f>
        <v>VOLUME_UNIT_SI</v>
      </c>
      <c r="I9392" s="136"/>
      <c r="R9392" s="63" t="str">
        <f t="shared" si="60"/>
        <v>ZSI1_FLEXIBLE_HOSEVOLUME_UNIT_SI</v>
      </c>
    </row>
    <row r="9393" ht="15.75" customHeight="1">
      <c r="B9393" s="63">
        <f t="shared" si="1"/>
        <v>18</v>
      </c>
      <c r="C9393" s="135" t="s">
        <v>341</v>
      </c>
      <c r="D9393" s="161" t="s">
        <v>74</v>
      </c>
      <c r="E9393" s="135">
        <f t="shared" si="62"/>
        <v>20</v>
      </c>
      <c r="F9393" s="134" t="s">
        <v>3804</v>
      </c>
      <c r="G9393" s="63" t="str">
        <f>VLOOKUP(C9393, 'Class Def. - General Data'!$C$20:$C$1000,1,false)</f>
        <v>ZSI1_FLEXIBLE_HOSE</v>
      </c>
      <c r="H9393" s="63" t="str">
        <f>IFERROR(__xludf.DUMMYFUNCTION("VLOOKUP(F9393, IMPORTRANGE(""https://docs.google.com/spreadsheets/d/1Lhp9OU0JdFf_VYSMzH5lBcEaU4o8teT1piV-SNzShjg/edit?gid=554141278#gid=554141278"", ""'Char Def. - Attributes'!C20:C2242""), 1,false)"),"ALT_UOM1_SIPI")</f>
        <v>ALT_UOM1_SIPI</v>
      </c>
      <c r="I9393" s="136"/>
      <c r="R9393" s="63" t="str">
        <f t="shared" si="60"/>
        <v>ZSI1_FLEXIBLE_HOSEALT_UOM1_SIPI</v>
      </c>
    </row>
    <row r="9394" ht="15.75" customHeight="1">
      <c r="B9394" s="63">
        <f t="shared" si="1"/>
        <v>18</v>
      </c>
      <c r="C9394" s="135" t="s">
        <v>341</v>
      </c>
      <c r="D9394" s="161" t="s">
        <v>74</v>
      </c>
      <c r="E9394" s="135">
        <f t="shared" si="62"/>
        <v>21</v>
      </c>
      <c r="F9394" s="134" t="s">
        <v>3805</v>
      </c>
      <c r="G9394" s="63" t="str">
        <f>VLOOKUP(C9394, 'Class Def. - General Data'!$C$20:$C$1000,1,false)</f>
        <v>ZSI1_FLEXIBLE_HOSE</v>
      </c>
      <c r="H9394" s="63" t="str">
        <f>IFERROR(__xludf.DUMMYFUNCTION("VLOOKUP(F9394, IMPORTRANGE(""https://docs.google.com/spreadsheets/d/1Lhp9OU0JdFf_VYSMzH5lBcEaU4o8teT1piV-SNzShjg/edit?gid=554141278#gid=554141278"", ""'Char Def. - Attributes'!C20:C2242""), 1,false)"),"ALT_DENUM_UOM1")</f>
        <v>ALT_DENUM_UOM1</v>
      </c>
      <c r="I9394" s="136"/>
      <c r="R9394" s="63" t="str">
        <f t="shared" si="60"/>
        <v>ZSI1_FLEXIBLE_HOSEALT_DENUM_UOM1</v>
      </c>
    </row>
    <row r="9395" ht="15.75" customHeight="1">
      <c r="B9395" s="63">
        <f t="shared" si="1"/>
        <v>18</v>
      </c>
      <c r="C9395" s="135" t="s">
        <v>341</v>
      </c>
      <c r="D9395" s="161" t="s">
        <v>74</v>
      </c>
      <c r="E9395" s="135">
        <f t="shared" si="62"/>
        <v>22</v>
      </c>
      <c r="F9395" s="134" t="s">
        <v>3806</v>
      </c>
      <c r="G9395" s="63" t="str">
        <f>VLOOKUP(C9395, 'Class Def. - General Data'!$C$20:$C$1000,1,false)</f>
        <v>ZSI1_FLEXIBLE_HOSE</v>
      </c>
      <c r="H9395" s="63" t="str">
        <f>IFERROR(__xludf.DUMMYFUNCTION("VLOOKUP(F9395, IMPORTRANGE(""https://docs.google.com/spreadsheets/d/1Lhp9OU0JdFf_VYSMzH5lBcEaU4o8teT1piV-SNzShjg/edit?gid=554141278#gid=554141278"", ""'Char Def. - Attributes'!C20:C2242""), 1,false)"),"ALT_NUM_UOM1")</f>
        <v>ALT_NUM_UOM1</v>
      </c>
      <c r="I9395" s="136"/>
      <c r="R9395" s="63" t="str">
        <f t="shared" si="60"/>
        <v>ZSI1_FLEXIBLE_HOSEALT_NUM_UOM1</v>
      </c>
    </row>
    <row r="9396" ht="15.75" customHeight="1">
      <c r="B9396" s="63">
        <f t="shared" si="1"/>
        <v>18</v>
      </c>
      <c r="C9396" s="135" t="s">
        <v>341</v>
      </c>
      <c r="D9396" s="161" t="s">
        <v>74</v>
      </c>
      <c r="E9396" s="135">
        <f t="shared" si="62"/>
        <v>23</v>
      </c>
      <c r="F9396" s="134" t="s">
        <v>3807</v>
      </c>
      <c r="G9396" s="63" t="str">
        <f>VLOOKUP(C9396, 'Class Def. - General Data'!$C$20:$C$1000,1,false)</f>
        <v>ZSI1_FLEXIBLE_HOSE</v>
      </c>
      <c r="H9396" s="63" t="str">
        <f>IFERROR(__xludf.DUMMYFUNCTION("VLOOKUP(F9396, IMPORTRANGE(""https://docs.google.com/spreadsheets/d/1Lhp9OU0JdFf_VYSMzH5lBcEaU4o8teT1piV-SNzShjg/edit?gid=554141278#gid=554141278"", ""'Char Def. - Attributes'!C20:C2242""), 1,false)"),"ALT_UOM2_SIPI")</f>
        <v>ALT_UOM2_SIPI</v>
      </c>
      <c r="I9396" s="136"/>
      <c r="R9396" s="63" t="str">
        <f t="shared" si="60"/>
        <v>ZSI1_FLEXIBLE_HOSEALT_UOM2_SIPI</v>
      </c>
    </row>
    <row r="9397" ht="15.75" customHeight="1">
      <c r="B9397" s="63">
        <f t="shared" si="1"/>
        <v>18</v>
      </c>
      <c r="C9397" s="135" t="s">
        <v>341</v>
      </c>
      <c r="D9397" s="161" t="s">
        <v>74</v>
      </c>
      <c r="E9397" s="135">
        <f t="shared" si="62"/>
        <v>24</v>
      </c>
      <c r="F9397" s="134" t="s">
        <v>3808</v>
      </c>
      <c r="G9397" s="63" t="str">
        <f>VLOOKUP(C9397, 'Class Def. - General Data'!$C$20:$C$1000,1,false)</f>
        <v>ZSI1_FLEXIBLE_HOSE</v>
      </c>
      <c r="H9397" s="63" t="str">
        <f>IFERROR(__xludf.DUMMYFUNCTION("VLOOKUP(F9397, IMPORTRANGE(""https://docs.google.com/spreadsheets/d/1Lhp9OU0JdFf_VYSMzH5lBcEaU4o8teT1piV-SNzShjg/edit?gid=554141278#gid=554141278"", ""'Char Def. - Attributes'!C20:C2242""), 1,false)"),"ALT_DENUM_UOM2")</f>
        <v>ALT_DENUM_UOM2</v>
      </c>
      <c r="I9397" s="136"/>
      <c r="R9397" s="63" t="str">
        <f t="shared" si="60"/>
        <v>ZSI1_FLEXIBLE_HOSEALT_DENUM_UOM2</v>
      </c>
    </row>
    <row r="9398" ht="15.75" customHeight="1">
      <c r="B9398" s="63">
        <f t="shared" si="1"/>
        <v>18</v>
      </c>
      <c r="C9398" s="135" t="s">
        <v>341</v>
      </c>
      <c r="D9398" s="161" t="s">
        <v>74</v>
      </c>
      <c r="E9398" s="135">
        <f t="shared" si="62"/>
        <v>25</v>
      </c>
      <c r="F9398" s="134" t="s">
        <v>3809</v>
      </c>
      <c r="G9398" s="63" t="str">
        <f>VLOOKUP(C9398, 'Class Def. - General Data'!$C$20:$C$1000,1,false)</f>
        <v>ZSI1_FLEXIBLE_HOSE</v>
      </c>
      <c r="H9398" s="63" t="str">
        <f>IFERROR(__xludf.DUMMYFUNCTION("VLOOKUP(F9398, IMPORTRANGE(""https://docs.google.com/spreadsheets/d/1Lhp9OU0JdFf_VYSMzH5lBcEaU4o8teT1piV-SNzShjg/edit?gid=554141278#gid=554141278"", ""'Char Def. - Attributes'!C20:C2242""), 1,false)"),"ALT_NUM_UOM2")</f>
        <v>ALT_NUM_UOM2</v>
      </c>
      <c r="I9398" s="136"/>
      <c r="R9398" s="63" t="str">
        <f t="shared" si="60"/>
        <v>ZSI1_FLEXIBLE_HOSEALT_NUM_UOM2</v>
      </c>
    </row>
    <row r="9399" ht="15.75" customHeight="1">
      <c r="B9399" s="63">
        <f t="shared" si="1"/>
        <v>18</v>
      </c>
      <c r="C9399" s="135" t="s">
        <v>341</v>
      </c>
      <c r="D9399" s="161" t="s">
        <v>74</v>
      </c>
      <c r="E9399" s="135">
        <f t="shared" si="62"/>
        <v>26</v>
      </c>
      <c r="F9399" s="134" t="s">
        <v>3810</v>
      </c>
      <c r="G9399" s="63" t="str">
        <f>VLOOKUP(C9399, 'Class Def. - General Data'!$C$20:$C$1000,1,false)</f>
        <v>ZSI1_FLEXIBLE_HOSE</v>
      </c>
      <c r="H9399" s="63" t="str">
        <f>IFERROR(__xludf.DUMMYFUNCTION("VLOOKUP(F9399, IMPORTRANGE(""https://docs.google.com/spreadsheets/d/1Lhp9OU0JdFf_VYSMzH5lBcEaU4o8teT1piV-SNzShjg/edit?gid=554141278#gid=554141278"", ""'Char Def. - Attributes'!C20:C2242""), 1,false)"),"ALT_UOM3_SIPI")</f>
        <v>ALT_UOM3_SIPI</v>
      </c>
      <c r="I9399" s="136"/>
      <c r="R9399" s="63" t="str">
        <f t="shared" si="60"/>
        <v>ZSI1_FLEXIBLE_HOSEALT_UOM3_SIPI</v>
      </c>
    </row>
    <row r="9400" ht="15.75" customHeight="1">
      <c r="B9400" s="63">
        <f t="shared" si="1"/>
        <v>18</v>
      </c>
      <c r="C9400" s="135" t="s">
        <v>341</v>
      </c>
      <c r="D9400" s="161" t="s">
        <v>74</v>
      </c>
      <c r="E9400" s="135">
        <f t="shared" si="62"/>
        <v>27</v>
      </c>
      <c r="F9400" s="134" t="s">
        <v>3811</v>
      </c>
      <c r="G9400" s="63" t="str">
        <f>VLOOKUP(C9400, 'Class Def. - General Data'!$C$20:$C$1000,1,false)</f>
        <v>ZSI1_FLEXIBLE_HOSE</v>
      </c>
      <c r="H9400" s="63" t="str">
        <f>IFERROR(__xludf.DUMMYFUNCTION("VLOOKUP(F9400, IMPORTRANGE(""https://docs.google.com/spreadsheets/d/1Lhp9OU0JdFf_VYSMzH5lBcEaU4o8teT1piV-SNzShjg/edit?gid=554141278#gid=554141278"", ""'Char Def. - Attributes'!C20:C2242""), 1,false)"),"ALT_DENUM_UOM3")</f>
        <v>ALT_DENUM_UOM3</v>
      </c>
      <c r="I9400" s="136"/>
      <c r="R9400" s="63" t="str">
        <f t="shared" si="60"/>
        <v>ZSI1_FLEXIBLE_HOSEALT_DENUM_UOM3</v>
      </c>
    </row>
    <row r="9401" ht="15.75" customHeight="1">
      <c r="B9401" s="63">
        <f t="shared" si="1"/>
        <v>18</v>
      </c>
      <c r="C9401" s="135" t="s">
        <v>341</v>
      </c>
      <c r="D9401" s="161" t="s">
        <v>74</v>
      </c>
      <c r="E9401" s="135">
        <f t="shared" si="62"/>
        <v>28</v>
      </c>
      <c r="F9401" s="134" t="s">
        <v>3812</v>
      </c>
      <c r="G9401" s="63" t="str">
        <f>VLOOKUP(C9401, 'Class Def. - General Data'!$C$20:$C$1000,1,false)</f>
        <v>ZSI1_FLEXIBLE_HOSE</v>
      </c>
      <c r="H9401" s="63" t="str">
        <f>IFERROR(__xludf.DUMMYFUNCTION("VLOOKUP(F9401, IMPORTRANGE(""https://docs.google.com/spreadsheets/d/1Lhp9OU0JdFf_VYSMzH5lBcEaU4o8teT1piV-SNzShjg/edit?gid=554141278#gid=554141278"", ""'Char Def. - Attributes'!C20:C2242""), 1,false)"),"ALT_NUM_UOM3")</f>
        <v>ALT_NUM_UOM3</v>
      </c>
      <c r="I9401" s="136"/>
      <c r="R9401" s="63" t="str">
        <f t="shared" si="60"/>
        <v>ZSI1_FLEXIBLE_HOSEALT_NUM_UOM3</v>
      </c>
    </row>
    <row r="9402" ht="15.75" customHeight="1">
      <c r="B9402" s="63">
        <f t="shared" si="1"/>
        <v>18</v>
      </c>
      <c r="C9402" s="135" t="s">
        <v>341</v>
      </c>
      <c r="D9402" s="161" t="s">
        <v>74</v>
      </c>
      <c r="E9402" s="135">
        <f t="shared" si="62"/>
        <v>29</v>
      </c>
      <c r="F9402" s="134" t="s">
        <v>3813</v>
      </c>
      <c r="G9402" s="63" t="str">
        <f>VLOOKUP(C9402, 'Class Def. - General Data'!$C$20:$C$1000,1,false)</f>
        <v>ZSI1_FLEXIBLE_HOSE</v>
      </c>
      <c r="H9402" s="63" t="str">
        <f>IFERROR(__xludf.DUMMYFUNCTION("VLOOKUP(F9402, IMPORTRANGE(""https://docs.google.com/spreadsheets/d/1Lhp9OU0JdFf_VYSMzH5lBcEaU4o8teT1piV-SNzShjg/edit?gid=554141278#gid=554141278"", ""'Char Def. - Attributes'!C20:C2242""), 1,false)"),"ALT_UOM4_SIPI")</f>
        <v>ALT_UOM4_SIPI</v>
      </c>
      <c r="I9402" s="136"/>
      <c r="R9402" s="63" t="str">
        <f t="shared" si="60"/>
        <v>ZSI1_FLEXIBLE_HOSEALT_UOM4_SIPI</v>
      </c>
    </row>
    <row r="9403" ht="15.75" customHeight="1">
      <c r="B9403" s="63">
        <f t="shared" si="1"/>
        <v>18</v>
      </c>
      <c r="C9403" s="135" t="s">
        <v>341</v>
      </c>
      <c r="D9403" s="161" t="s">
        <v>74</v>
      </c>
      <c r="E9403" s="135">
        <f t="shared" si="62"/>
        <v>30</v>
      </c>
      <c r="F9403" s="134" t="s">
        <v>3814</v>
      </c>
      <c r="G9403" s="63" t="str">
        <f>VLOOKUP(C9403, 'Class Def. - General Data'!$C$20:$C$1000,1,false)</f>
        <v>ZSI1_FLEXIBLE_HOSE</v>
      </c>
      <c r="H9403" s="63" t="str">
        <f>IFERROR(__xludf.DUMMYFUNCTION("VLOOKUP(F9403, IMPORTRANGE(""https://docs.google.com/spreadsheets/d/1Lhp9OU0JdFf_VYSMzH5lBcEaU4o8teT1piV-SNzShjg/edit?gid=554141278#gid=554141278"", ""'Char Def. - Attributes'!C20:C2242""), 1,false)"),"ALT_DENUM_UOM4")</f>
        <v>ALT_DENUM_UOM4</v>
      </c>
      <c r="I9403" s="136"/>
      <c r="R9403" s="63" t="str">
        <f t="shared" si="60"/>
        <v>ZSI1_FLEXIBLE_HOSEALT_DENUM_UOM4</v>
      </c>
    </row>
    <row r="9404" ht="15.75" customHeight="1">
      <c r="B9404" s="63">
        <f t="shared" si="1"/>
        <v>18</v>
      </c>
      <c r="C9404" s="135" t="s">
        <v>341</v>
      </c>
      <c r="D9404" s="161" t="s">
        <v>74</v>
      </c>
      <c r="E9404" s="135">
        <f t="shared" si="62"/>
        <v>31</v>
      </c>
      <c r="F9404" s="134" t="s">
        <v>3815</v>
      </c>
      <c r="G9404" s="63" t="str">
        <f>VLOOKUP(C9404, 'Class Def. - General Data'!$C$20:$C$1000,1,false)</f>
        <v>ZSI1_FLEXIBLE_HOSE</v>
      </c>
      <c r="H9404" s="63" t="str">
        <f>IFERROR(__xludf.DUMMYFUNCTION("VLOOKUP(F9404, IMPORTRANGE(""https://docs.google.com/spreadsheets/d/1Lhp9OU0JdFf_VYSMzH5lBcEaU4o8teT1piV-SNzShjg/edit?gid=554141278#gid=554141278"", ""'Char Def. - Attributes'!C20:C2242""), 1,false)"),"ALT_NUM_UOM4")</f>
        <v>ALT_NUM_UOM4</v>
      </c>
      <c r="I9404" s="136"/>
      <c r="R9404" s="63" t="str">
        <f t="shared" si="60"/>
        <v>ZSI1_FLEXIBLE_HOSEALT_NUM_UOM4</v>
      </c>
    </row>
    <row r="9405" ht="15.75" customHeight="1">
      <c r="B9405" s="63">
        <f t="shared" si="1"/>
        <v>18</v>
      </c>
      <c r="C9405" s="135" t="s">
        <v>341</v>
      </c>
      <c r="D9405" s="161" t="s">
        <v>74</v>
      </c>
      <c r="E9405" s="135">
        <f t="shared" si="62"/>
        <v>32</v>
      </c>
      <c r="F9405" s="134" t="s">
        <v>3816</v>
      </c>
      <c r="G9405" s="63" t="str">
        <f>VLOOKUP(C9405, 'Class Def. - General Data'!$C$20:$C$1000,1,false)</f>
        <v>ZSI1_FLEXIBLE_HOSE</v>
      </c>
      <c r="H9405" s="63" t="str">
        <f>IFERROR(__xludf.DUMMYFUNCTION("VLOOKUP(F9405, IMPORTRANGE(""https://docs.google.com/spreadsheets/d/1Lhp9OU0JdFf_VYSMzH5lBcEaU4o8teT1piV-SNzShjg/edit?gid=554141278#gid=554141278"", ""'Char Def. - Attributes'!C20:C2242""), 1,false)"),"ALT_UOM5_SIPI")</f>
        <v>ALT_UOM5_SIPI</v>
      </c>
      <c r="I9405" s="136"/>
      <c r="R9405" s="63" t="str">
        <f t="shared" si="60"/>
        <v>ZSI1_FLEXIBLE_HOSEALT_UOM5_SIPI</v>
      </c>
    </row>
    <row r="9406" ht="15.75" customHeight="1">
      <c r="B9406" s="63">
        <f t="shared" si="1"/>
        <v>18</v>
      </c>
      <c r="C9406" s="135" t="s">
        <v>341</v>
      </c>
      <c r="D9406" s="161" t="s">
        <v>74</v>
      </c>
      <c r="E9406" s="135">
        <f t="shared" si="62"/>
        <v>33</v>
      </c>
      <c r="F9406" s="134" t="s">
        <v>3817</v>
      </c>
      <c r="G9406" s="63" t="str">
        <f>VLOOKUP(C9406, 'Class Def. - General Data'!$C$20:$C$1000,1,false)</f>
        <v>ZSI1_FLEXIBLE_HOSE</v>
      </c>
      <c r="H9406" s="63" t="str">
        <f>IFERROR(__xludf.DUMMYFUNCTION("VLOOKUP(F9406, IMPORTRANGE(""https://docs.google.com/spreadsheets/d/1Lhp9OU0JdFf_VYSMzH5lBcEaU4o8teT1piV-SNzShjg/edit?gid=554141278#gid=554141278"", ""'Char Def. - Attributes'!C20:C2242""), 1,false)"),"ALT_DENUM_UOM5")</f>
        <v>ALT_DENUM_UOM5</v>
      </c>
      <c r="I9406" s="136"/>
      <c r="R9406" s="63" t="str">
        <f t="shared" si="60"/>
        <v>ZSI1_FLEXIBLE_HOSEALT_DENUM_UOM5</v>
      </c>
    </row>
    <row r="9407" ht="15.75" customHeight="1">
      <c r="B9407" s="63">
        <f t="shared" si="1"/>
        <v>18</v>
      </c>
      <c r="C9407" s="135" t="s">
        <v>341</v>
      </c>
      <c r="D9407" s="161" t="s">
        <v>74</v>
      </c>
      <c r="E9407" s="135">
        <f t="shared" si="62"/>
        <v>34</v>
      </c>
      <c r="F9407" s="134" t="s">
        <v>3818</v>
      </c>
      <c r="G9407" s="63" t="str">
        <f>VLOOKUP(C9407, 'Class Def. - General Data'!$C$20:$C$1000,1,false)</f>
        <v>ZSI1_FLEXIBLE_HOSE</v>
      </c>
      <c r="H9407" s="63" t="str">
        <f>IFERROR(__xludf.DUMMYFUNCTION("VLOOKUP(F9407, IMPORTRANGE(""https://docs.google.com/spreadsheets/d/1Lhp9OU0JdFf_VYSMzH5lBcEaU4o8teT1piV-SNzShjg/edit?gid=554141278#gid=554141278"", ""'Char Def. - Attributes'!C20:C2242""), 1,false)"),"ALT_NUM_UOM5")</f>
        <v>ALT_NUM_UOM5</v>
      </c>
      <c r="I9407" s="136"/>
      <c r="R9407" s="63" t="str">
        <f t="shared" si="60"/>
        <v>ZSI1_FLEXIBLE_HOSEALT_NUM_UOM5</v>
      </c>
    </row>
    <row r="9408" ht="15.75" customHeight="1">
      <c r="B9408" s="63">
        <f t="shared" si="1"/>
        <v>17</v>
      </c>
      <c r="C9408" s="135" t="s">
        <v>391</v>
      </c>
      <c r="D9408" s="161" t="s">
        <v>74</v>
      </c>
      <c r="E9408" s="135">
        <f t="shared" si="62"/>
        <v>1</v>
      </c>
      <c r="F9408" s="134" t="s">
        <v>4536</v>
      </c>
      <c r="G9408" s="63" t="str">
        <f>VLOOKUP(C9408, 'Class Def. - General Data'!$C$20:$C$1000,1,false)</f>
        <v>ZSI1_FLWR_ARRANGE</v>
      </c>
      <c r="H9408" s="63" t="str">
        <f>IFERROR(__xludf.DUMMYFUNCTION("VLOOKUP(F9408, IMPORTRANGE(""https://docs.google.com/spreadsheets/d/1Lhp9OU0JdFf_VYSMzH5lBcEaU4o8teT1piV-SNzShjg/edit?gid=554141278#gid=554141278"", ""'Char Def. - Attributes'!C20:C2242""), 1,false)"),"ITEM_NAME_FLWR_ARRANGE")</f>
        <v>ITEM_NAME_FLWR_ARRANGE</v>
      </c>
      <c r="I9408" s="136"/>
      <c r="R9408" s="63" t="str">
        <f t="shared" si="60"/>
        <v>ZSI1_FLWR_ARRANGEITEM_NAME_FLWR_ARRANGE</v>
      </c>
    </row>
    <row r="9409" ht="15.75" customHeight="1">
      <c r="B9409" s="63">
        <f t="shared" si="1"/>
        <v>17</v>
      </c>
      <c r="C9409" s="135" t="s">
        <v>391</v>
      </c>
      <c r="D9409" s="161" t="s">
        <v>74</v>
      </c>
      <c r="E9409" s="135">
        <f t="shared" si="62"/>
        <v>2</v>
      </c>
      <c r="F9409" s="134" t="s">
        <v>4537</v>
      </c>
      <c r="G9409" s="63" t="str">
        <f>VLOOKUP(C9409, 'Class Def. - General Data'!$C$20:$C$1000,1,false)</f>
        <v>ZSI1_FLWR_ARRANGE</v>
      </c>
      <c r="H9409" s="63" t="str">
        <f>IFERROR(__xludf.DUMMYFUNCTION("VLOOKUP(F9409, IMPORTRANGE(""https://docs.google.com/spreadsheets/d/1Lhp9OU0JdFf_VYSMzH5lBcEaU4o8teT1piV-SNzShjg/edit?gid=554141278#gid=554141278"", ""'Char Def. - Attributes'!C20:C2242""), 1,false)"),"DESIGN_FLWR_ARRANGE")</f>
        <v>DESIGN_FLWR_ARRANGE</v>
      </c>
      <c r="I9409" s="136"/>
      <c r="R9409" s="63" t="str">
        <f t="shared" si="60"/>
        <v>ZSI1_FLWR_ARRANGEDESIGN_FLWR_ARRANGE</v>
      </c>
    </row>
    <row r="9410" ht="15.75" customHeight="1">
      <c r="B9410" s="63">
        <f t="shared" si="1"/>
        <v>17</v>
      </c>
      <c r="C9410" s="135" t="s">
        <v>391</v>
      </c>
      <c r="D9410" s="161" t="s">
        <v>74</v>
      </c>
      <c r="E9410" s="135">
        <f t="shared" si="62"/>
        <v>3</v>
      </c>
      <c r="F9410" s="134" t="s">
        <v>3585</v>
      </c>
      <c r="G9410" s="63" t="str">
        <f>VLOOKUP(C9410, 'Class Def. - General Data'!$C$20:$C$1000,1,false)</f>
        <v>ZSI1_FLWR_ARRANGE</v>
      </c>
      <c r="H9410" s="63" t="str">
        <f>IFERROR(__xludf.DUMMYFUNCTION("VLOOKUP(F9410, IMPORTRANGE(""https://docs.google.com/spreadsheets/d/1Lhp9OU0JdFf_VYSMzH5lBcEaU4o8teT1piV-SNzShjg/edit?gid=554141278#gid=554141278"", ""'Char Def. - Attributes'!C20:C2242""), 1,false)"),"HS_CODE")</f>
        <v>HS_CODE</v>
      </c>
      <c r="I9410" s="136"/>
      <c r="R9410" s="63" t="str">
        <f t="shared" si="60"/>
        <v>ZSI1_FLWR_ARRANGEHS_CODE</v>
      </c>
    </row>
    <row r="9411" ht="15.75" customHeight="1">
      <c r="B9411" s="63">
        <f t="shared" si="1"/>
        <v>17</v>
      </c>
      <c r="C9411" s="135" t="s">
        <v>391</v>
      </c>
      <c r="D9411" s="161" t="s">
        <v>74</v>
      </c>
      <c r="E9411" s="135">
        <f t="shared" si="62"/>
        <v>4</v>
      </c>
      <c r="F9411" s="134" t="s">
        <v>3587</v>
      </c>
      <c r="G9411" s="63" t="str">
        <f>VLOOKUP(C9411, 'Class Def. - General Data'!$C$20:$C$1000,1,false)</f>
        <v>ZSI1_FLWR_ARRANGE</v>
      </c>
      <c r="H9411" s="63" t="str">
        <f>IFERROR(__xludf.DUMMYFUNCTION("VLOOKUP(F9411, IMPORTRANGE(""https://docs.google.com/spreadsheets/d/1Lhp9OU0JdFf_VYSMzH5lBcEaU4o8teT1piV-SNzShjg/edit?gid=554141278#gid=554141278"", ""'Char Def. - Attributes'!C20:C2242""), 1,false)"),"PLANT_BUY")</f>
        <v>PLANT_BUY</v>
      </c>
      <c r="I9411" s="136"/>
      <c r="R9411" s="63" t="str">
        <f t="shared" si="60"/>
        <v>ZSI1_FLWR_ARRANGEPLANT_BUY</v>
      </c>
    </row>
    <row r="9412" ht="15.75" customHeight="1">
      <c r="B9412" s="63">
        <f t="shared" si="1"/>
        <v>17</v>
      </c>
      <c r="C9412" s="135" t="s">
        <v>391</v>
      </c>
      <c r="D9412" s="161" t="s">
        <v>74</v>
      </c>
      <c r="E9412" s="135">
        <f t="shared" si="62"/>
        <v>5</v>
      </c>
      <c r="F9412" s="134" t="s">
        <v>4538</v>
      </c>
      <c r="G9412" s="63" t="str">
        <f>VLOOKUP(C9412, 'Class Def. - General Data'!$C$20:$C$1000,1,false)</f>
        <v>ZSI1_FLWR_ARRANGE</v>
      </c>
      <c r="H9412" s="63" t="str">
        <f>IFERROR(__xludf.DUMMYFUNCTION("VLOOKUP(F9412, IMPORTRANGE(""https://docs.google.com/spreadsheets/d/1Lhp9OU0JdFf_VYSMzH5lBcEaU4o8teT1piV-SNzShjg/edit?gid=554141278#gid=554141278"", ""'Char Def. - Attributes'!C20:C2242""), 1,false)"),"BASE_UOM_FLWR_ARRANGE")</f>
        <v>BASE_UOM_FLWR_ARRANGE</v>
      </c>
      <c r="I9412" s="136"/>
      <c r="R9412" s="63" t="str">
        <f t="shared" si="60"/>
        <v>ZSI1_FLWR_ARRANGEBASE_UOM_FLWR_ARRANGE</v>
      </c>
    </row>
    <row r="9413" ht="15.75" customHeight="1">
      <c r="B9413" s="63">
        <f t="shared" si="1"/>
        <v>17</v>
      </c>
      <c r="C9413" s="135" t="s">
        <v>391</v>
      </c>
      <c r="D9413" s="161" t="s">
        <v>74</v>
      </c>
      <c r="E9413" s="135">
        <f t="shared" si="62"/>
        <v>6</v>
      </c>
      <c r="F9413" s="134" t="s">
        <v>4539</v>
      </c>
      <c r="G9413" s="63" t="str">
        <f>VLOOKUP(C9413, 'Class Def. - General Data'!$C$20:$C$1000,1,false)</f>
        <v>ZSI1_FLWR_ARRANGE</v>
      </c>
      <c r="H9413" s="63" t="str">
        <f>IFERROR(__xludf.DUMMYFUNCTION("VLOOKUP(F9413, IMPORTRANGE(""https://docs.google.com/spreadsheets/d/1Lhp9OU0JdFf_VYSMzH5lBcEaU4o8teT1piV-SNzShjg/edit?gid=554141278#gid=554141278"", ""'Char Def. - Attributes'!C20:C2242""), 1,false)"),"ORDER_UNIT_FLWR_ARRANGE")</f>
        <v>ORDER_UNIT_FLWR_ARRANGE</v>
      </c>
      <c r="I9413" s="136"/>
      <c r="R9413" s="63" t="str">
        <f t="shared" si="60"/>
        <v>ZSI1_FLWR_ARRANGEORDER_UNIT_FLWR_ARRANGE</v>
      </c>
    </row>
    <row r="9414" ht="15.75" customHeight="1">
      <c r="B9414" s="63">
        <f t="shared" si="1"/>
        <v>17</v>
      </c>
      <c r="C9414" s="135" t="s">
        <v>391</v>
      </c>
      <c r="D9414" s="161" t="s">
        <v>74</v>
      </c>
      <c r="E9414" s="135">
        <f t="shared" si="62"/>
        <v>7</v>
      </c>
      <c r="F9414" s="134" t="s">
        <v>4056</v>
      </c>
      <c r="G9414" s="63" t="str">
        <f>VLOOKUP(C9414, 'Class Def. - General Data'!$C$20:$C$1000,1,false)</f>
        <v>ZSI1_FLWR_ARRANGE</v>
      </c>
      <c r="H9414" s="63" t="str">
        <f>IFERROR(__xludf.DUMMYFUNCTION("VLOOKUP(F9414, IMPORTRANGE(""https://docs.google.com/spreadsheets/d/1Lhp9OU0JdFf_VYSMzH5lBcEaU4o8teT1piV-SNzShjg/edit?gid=554141278#gid=554141278"", ""'Char Def. - Attributes'!C20:C2242""), 1,false)"),"GROSS_WEIGHT_OPT")</f>
        <v>GROSS_WEIGHT_OPT</v>
      </c>
      <c r="I9414" s="136"/>
      <c r="R9414" s="63" t="str">
        <f t="shared" si="60"/>
        <v>ZSI1_FLWR_ARRANGEGROSS_WEIGHT_OPT</v>
      </c>
    </row>
    <row r="9415" ht="15.75" customHeight="1">
      <c r="B9415" s="63">
        <f t="shared" si="1"/>
        <v>17</v>
      </c>
      <c r="C9415" s="135" t="s">
        <v>391</v>
      </c>
      <c r="D9415" s="161" t="s">
        <v>74</v>
      </c>
      <c r="E9415" s="135">
        <f t="shared" si="62"/>
        <v>8</v>
      </c>
      <c r="F9415" s="134" t="s">
        <v>4057</v>
      </c>
      <c r="G9415" s="63" t="str">
        <f>VLOOKUP(C9415, 'Class Def. - General Data'!$C$20:$C$1000,1,false)</f>
        <v>ZSI1_FLWR_ARRANGE</v>
      </c>
      <c r="H9415" s="63" t="str">
        <f>IFERROR(__xludf.DUMMYFUNCTION("VLOOKUP(F9415, IMPORTRANGE(""https://docs.google.com/spreadsheets/d/1Lhp9OU0JdFf_VYSMzH5lBcEaU4o8teT1piV-SNzShjg/edit?gid=554141278#gid=554141278"", ""'Char Def. - Attributes'!C20:C2242""), 1,false)"),"NET_WEIGHT_OPT")</f>
        <v>NET_WEIGHT_OPT</v>
      </c>
      <c r="I9415" s="136"/>
      <c r="R9415" s="63" t="str">
        <f t="shared" si="60"/>
        <v>ZSI1_FLWR_ARRANGENET_WEIGHT_OPT</v>
      </c>
    </row>
    <row r="9416" ht="15.75" customHeight="1">
      <c r="B9416" s="63">
        <f t="shared" si="1"/>
        <v>17</v>
      </c>
      <c r="C9416" s="135" t="s">
        <v>391</v>
      </c>
      <c r="D9416" s="161" t="s">
        <v>74</v>
      </c>
      <c r="E9416" s="135">
        <f t="shared" si="62"/>
        <v>9</v>
      </c>
      <c r="F9416" s="134" t="s">
        <v>4058</v>
      </c>
      <c r="G9416" s="63" t="str">
        <f>VLOOKUP(C9416, 'Class Def. - General Data'!$C$20:$C$1000,1,false)</f>
        <v>ZSI1_FLWR_ARRANGE</v>
      </c>
      <c r="H9416" s="63" t="str">
        <f>IFERROR(__xludf.DUMMYFUNCTION("VLOOKUP(F9416, IMPORTRANGE(""https://docs.google.com/spreadsheets/d/1Lhp9OU0JdFf_VYSMzH5lBcEaU4o8teT1piV-SNzShjg/edit?gid=554141278#gid=554141278"", ""'Char Def. - Attributes'!C20:C2242""), 1,false)"),"WEIGHT_UNIT_SI")</f>
        <v>WEIGHT_UNIT_SI</v>
      </c>
      <c r="I9416" s="136"/>
      <c r="R9416" s="63" t="str">
        <f t="shared" si="60"/>
        <v>ZSI1_FLWR_ARRANGEWEIGHT_UNIT_SI</v>
      </c>
    </row>
    <row r="9417" ht="15.75" customHeight="1">
      <c r="B9417" s="63">
        <f t="shared" si="1"/>
        <v>17</v>
      </c>
      <c r="C9417" s="135" t="s">
        <v>391</v>
      </c>
      <c r="D9417" s="161" t="s">
        <v>74</v>
      </c>
      <c r="E9417" s="135">
        <f t="shared" si="62"/>
        <v>10</v>
      </c>
      <c r="F9417" s="134" t="s">
        <v>3877</v>
      </c>
      <c r="G9417" s="63" t="str">
        <f>VLOOKUP(C9417, 'Class Def. - General Data'!$C$20:$C$1000,1,false)</f>
        <v>ZSI1_FLWR_ARRANGE</v>
      </c>
      <c r="H9417" s="63" t="str">
        <f>IFERROR(__xludf.DUMMYFUNCTION("VLOOKUP(F9417, IMPORTRANGE(""https://docs.google.com/spreadsheets/d/1Lhp9OU0JdFf_VYSMzH5lBcEaU4o8teT1piV-SNzShjg/edit?gid=554141278#gid=554141278"", ""'Char Def. - Attributes'!C20:C2242""), 1,false)"),"VOLUME_OPT")</f>
        <v>VOLUME_OPT</v>
      </c>
      <c r="I9417" s="136"/>
      <c r="R9417" s="63" t="str">
        <f t="shared" si="60"/>
        <v>ZSI1_FLWR_ARRANGEVOLUME_OPT</v>
      </c>
    </row>
    <row r="9418" ht="15.75" customHeight="1">
      <c r="B9418" s="63">
        <f t="shared" si="1"/>
        <v>17</v>
      </c>
      <c r="C9418" s="135" t="s">
        <v>391</v>
      </c>
      <c r="D9418" s="161" t="s">
        <v>74</v>
      </c>
      <c r="E9418" s="135">
        <f t="shared" si="62"/>
        <v>11</v>
      </c>
      <c r="F9418" s="134" t="s">
        <v>4059</v>
      </c>
      <c r="G9418" s="63" t="str">
        <f>VLOOKUP(C9418, 'Class Def. - General Data'!$C$20:$C$1000,1,false)</f>
        <v>ZSI1_FLWR_ARRANGE</v>
      </c>
      <c r="H9418" s="63" t="str">
        <f>IFERROR(__xludf.DUMMYFUNCTION("VLOOKUP(F9418, IMPORTRANGE(""https://docs.google.com/spreadsheets/d/1Lhp9OU0JdFf_VYSMzH5lBcEaU4o8teT1piV-SNzShjg/edit?gid=554141278#gid=554141278"", ""'Char Def. - Attributes'!C20:C2242""), 1,false)"),"VOLUME_UNIT_SI")</f>
        <v>VOLUME_UNIT_SI</v>
      </c>
      <c r="I9418" s="136"/>
      <c r="R9418" s="63" t="str">
        <f t="shared" si="60"/>
        <v>ZSI1_FLWR_ARRANGEVOLUME_UNIT_SI</v>
      </c>
    </row>
    <row r="9419" ht="15.75" customHeight="1">
      <c r="B9419" s="63">
        <f t="shared" si="1"/>
        <v>17</v>
      </c>
      <c r="C9419" s="135" t="s">
        <v>391</v>
      </c>
      <c r="D9419" s="161" t="s">
        <v>74</v>
      </c>
      <c r="E9419" s="135">
        <f t="shared" si="62"/>
        <v>12</v>
      </c>
      <c r="F9419" s="134" t="s">
        <v>3804</v>
      </c>
      <c r="G9419" s="63" t="str">
        <f>VLOOKUP(C9419, 'Class Def. - General Data'!$C$20:$C$1000,1,false)</f>
        <v>ZSI1_FLWR_ARRANGE</v>
      </c>
      <c r="H9419" s="63" t="str">
        <f>IFERROR(__xludf.DUMMYFUNCTION("VLOOKUP(F9419, IMPORTRANGE(""https://docs.google.com/spreadsheets/d/1Lhp9OU0JdFf_VYSMzH5lBcEaU4o8teT1piV-SNzShjg/edit?gid=554141278#gid=554141278"", ""'Char Def. - Attributes'!C20:C2242""), 1,false)"),"ALT_UOM1_SIPI")</f>
        <v>ALT_UOM1_SIPI</v>
      </c>
      <c r="I9419" s="136"/>
      <c r="R9419" s="63" t="str">
        <f t="shared" si="60"/>
        <v>ZSI1_FLWR_ARRANGEALT_UOM1_SIPI</v>
      </c>
    </row>
    <row r="9420" ht="15.75" customHeight="1">
      <c r="B9420" s="63">
        <f t="shared" si="1"/>
        <v>17</v>
      </c>
      <c r="C9420" s="135" t="s">
        <v>391</v>
      </c>
      <c r="D9420" s="161" t="s">
        <v>74</v>
      </c>
      <c r="E9420" s="135">
        <f t="shared" si="62"/>
        <v>13</v>
      </c>
      <c r="F9420" s="134" t="s">
        <v>3805</v>
      </c>
      <c r="G9420" s="63" t="str">
        <f>VLOOKUP(C9420, 'Class Def. - General Data'!$C$20:$C$1000,1,false)</f>
        <v>ZSI1_FLWR_ARRANGE</v>
      </c>
      <c r="H9420" s="63" t="str">
        <f>IFERROR(__xludf.DUMMYFUNCTION("VLOOKUP(F9420, IMPORTRANGE(""https://docs.google.com/spreadsheets/d/1Lhp9OU0JdFf_VYSMzH5lBcEaU4o8teT1piV-SNzShjg/edit?gid=554141278#gid=554141278"", ""'Char Def. - Attributes'!C20:C2242""), 1,false)"),"ALT_DENUM_UOM1")</f>
        <v>ALT_DENUM_UOM1</v>
      </c>
      <c r="I9420" s="136"/>
      <c r="R9420" s="63" t="str">
        <f t="shared" si="60"/>
        <v>ZSI1_FLWR_ARRANGEALT_DENUM_UOM1</v>
      </c>
    </row>
    <row r="9421" ht="15.75" customHeight="1">
      <c r="B9421" s="63">
        <f t="shared" si="1"/>
        <v>17</v>
      </c>
      <c r="C9421" s="135" t="s">
        <v>391</v>
      </c>
      <c r="D9421" s="161" t="s">
        <v>74</v>
      </c>
      <c r="E9421" s="135">
        <f t="shared" si="62"/>
        <v>14</v>
      </c>
      <c r="F9421" s="134" t="s">
        <v>3806</v>
      </c>
      <c r="G9421" s="63" t="str">
        <f>VLOOKUP(C9421, 'Class Def. - General Data'!$C$20:$C$1000,1,false)</f>
        <v>ZSI1_FLWR_ARRANGE</v>
      </c>
      <c r="H9421" s="63" t="str">
        <f>IFERROR(__xludf.DUMMYFUNCTION("VLOOKUP(F9421, IMPORTRANGE(""https://docs.google.com/spreadsheets/d/1Lhp9OU0JdFf_VYSMzH5lBcEaU4o8teT1piV-SNzShjg/edit?gid=554141278#gid=554141278"", ""'Char Def. - Attributes'!C20:C2242""), 1,false)"),"ALT_NUM_UOM1")</f>
        <v>ALT_NUM_UOM1</v>
      </c>
      <c r="I9421" s="136"/>
      <c r="R9421" s="63" t="str">
        <f t="shared" si="60"/>
        <v>ZSI1_FLWR_ARRANGEALT_NUM_UOM1</v>
      </c>
    </row>
    <row r="9422" ht="15.75" customHeight="1">
      <c r="B9422" s="63">
        <f t="shared" si="1"/>
        <v>17</v>
      </c>
      <c r="C9422" s="135" t="s">
        <v>391</v>
      </c>
      <c r="D9422" s="161" t="s">
        <v>74</v>
      </c>
      <c r="E9422" s="135">
        <f t="shared" si="62"/>
        <v>15</v>
      </c>
      <c r="F9422" s="134" t="s">
        <v>3807</v>
      </c>
      <c r="G9422" s="63" t="str">
        <f>VLOOKUP(C9422, 'Class Def. - General Data'!$C$20:$C$1000,1,false)</f>
        <v>ZSI1_FLWR_ARRANGE</v>
      </c>
      <c r="H9422" s="63" t="str">
        <f>IFERROR(__xludf.DUMMYFUNCTION("VLOOKUP(F9422, IMPORTRANGE(""https://docs.google.com/spreadsheets/d/1Lhp9OU0JdFf_VYSMzH5lBcEaU4o8teT1piV-SNzShjg/edit?gid=554141278#gid=554141278"", ""'Char Def. - Attributes'!C20:C2242""), 1,false)"),"ALT_UOM2_SIPI")</f>
        <v>ALT_UOM2_SIPI</v>
      </c>
      <c r="I9422" s="136"/>
      <c r="R9422" s="63" t="str">
        <f t="shared" si="60"/>
        <v>ZSI1_FLWR_ARRANGEALT_UOM2_SIPI</v>
      </c>
    </row>
    <row r="9423" ht="15.75" customHeight="1">
      <c r="B9423" s="63">
        <f t="shared" si="1"/>
        <v>17</v>
      </c>
      <c r="C9423" s="135" t="s">
        <v>391</v>
      </c>
      <c r="D9423" s="161" t="s">
        <v>74</v>
      </c>
      <c r="E9423" s="135">
        <f t="shared" si="62"/>
        <v>16</v>
      </c>
      <c r="F9423" s="134" t="s">
        <v>3808</v>
      </c>
      <c r="G9423" s="63" t="str">
        <f>VLOOKUP(C9423, 'Class Def. - General Data'!$C$20:$C$1000,1,false)</f>
        <v>ZSI1_FLWR_ARRANGE</v>
      </c>
      <c r="H9423" s="63" t="str">
        <f>IFERROR(__xludf.DUMMYFUNCTION("VLOOKUP(F9423, IMPORTRANGE(""https://docs.google.com/spreadsheets/d/1Lhp9OU0JdFf_VYSMzH5lBcEaU4o8teT1piV-SNzShjg/edit?gid=554141278#gid=554141278"", ""'Char Def. - Attributes'!C20:C2242""), 1,false)"),"ALT_DENUM_UOM2")</f>
        <v>ALT_DENUM_UOM2</v>
      </c>
      <c r="I9423" s="136"/>
      <c r="R9423" s="63" t="str">
        <f t="shared" si="60"/>
        <v>ZSI1_FLWR_ARRANGEALT_DENUM_UOM2</v>
      </c>
    </row>
    <row r="9424" ht="15.75" customHeight="1">
      <c r="B9424" s="63">
        <f t="shared" si="1"/>
        <v>17</v>
      </c>
      <c r="C9424" s="135" t="s">
        <v>391</v>
      </c>
      <c r="D9424" s="161" t="s">
        <v>74</v>
      </c>
      <c r="E9424" s="135">
        <f t="shared" si="62"/>
        <v>17</v>
      </c>
      <c r="F9424" s="134" t="s">
        <v>3809</v>
      </c>
      <c r="G9424" s="63" t="str">
        <f>VLOOKUP(C9424, 'Class Def. - General Data'!$C$20:$C$1000,1,false)</f>
        <v>ZSI1_FLWR_ARRANGE</v>
      </c>
      <c r="H9424" s="63" t="str">
        <f>IFERROR(__xludf.DUMMYFUNCTION("VLOOKUP(F9424, IMPORTRANGE(""https://docs.google.com/spreadsheets/d/1Lhp9OU0JdFf_VYSMzH5lBcEaU4o8teT1piV-SNzShjg/edit?gid=554141278#gid=554141278"", ""'Char Def. - Attributes'!C20:C2242""), 1,false)"),"ALT_NUM_UOM2")</f>
        <v>ALT_NUM_UOM2</v>
      </c>
      <c r="I9424" s="136"/>
      <c r="R9424" s="63" t="str">
        <f t="shared" si="60"/>
        <v>ZSI1_FLWR_ARRANGEALT_NUM_UOM2</v>
      </c>
    </row>
    <row r="9425" ht="15.75" customHeight="1">
      <c r="B9425" s="63">
        <f t="shared" si="1"/>
        <v>17</v>
      </c>
      <c r="C9425" s="135" t="s">
        <v>391</v>
      </c>
      <c r="D9425" s="161" t="s">
        <v>74</v>
      </c>
      <c r="E9425" s="135">
        <f t="shared" si="62"/>
        <v>18</v>
      </c>
      <c r="F9425" s="134" t="s">
        <v>3810</v>
      </c>
      <c r="G9425" s="63" t="str">
        <f>VLOOKUP(C9425, 'Class Def. - General Data'!$C$20:$C$1000,1,false)</f>
        <v>ZSI1_FLWR_ARRANGE</v>
      </c>
      <c r="H9425" s="63" t="str">
        <f>IFERROR(__xludf.DUMMYFUNCTION("VLOOKUP(F9425, IMPORTRANGE(""https://docs.google.com/spreadsheets/d/1Lhp9OU0JdFf_VYSMzH5lBcEaU4o8teT1piV-SNzShjg/edit?gid=554141278#gid=554141278"", ""'Char Def. - Attributes'!C20:C2242""), 1,false)"),"ALT_UOM3_SIPI")</f>
        <v>ALT_UOM3_SIPI</v>
      </c>
      <c r="I9425" s="136"/>
      <c r="R9425" s="63" t="str">
        <f t="shared" si="60"/>
        <v>ZSI1_FLWR_ARRANGEALT_UOM3_SIPI</v>
      </c>
    </row>
    <row r="9426" ht="15.75" customHeight="1">
      <c r="B9426" s="63">
        <f t="shared" si="1"/>
        <v>17</v>
      </c>
      <c r="C9426" s="135" t="s">
        <v>391</v>
      </c>
      <c r="D9426" s="161" t="s">
        <v>74</v>
      </c>
      <c r="E9426" s="135">
        <f t="shared" si="62"/>
        <v>19</v>
      </c>
      <c r="F9426" s="134" t="s">
        <v>3811</v>
      </c>
      <c r="G9426" s="63" t="str">
        <f>VLOOKUP(C9426, 'Class Def. - General Data'!$C$20:$C$1000,1,false)</f>
        <v>ZSI1_FLWR_ARRANGE</v>
      </c>
      <c r="H9426" s="63" t="str">
        <f>IFERROR(__xludf.DUMMYFUNCTION("VLOOKUP(F9426, IMPORTRANGE(""https://docs.google.com/spreadsheets/d/1Lhp9OU0JdFf_VYSMzH5lBcEaU4o8teT1piV-SNzShjg/edit?gid=554141278#gid=554141278"", ""'Char Def. - Attributes'!C20:C2242""), 1,false)"),"ALT_DENUM_UOM3")</f>
        <v>ALT_DENUM_UOM3</v>
      </c>
      <c r="I9426" s="136"/>
      <c r="R9426" s="63" t="str">
        <f t="shared" si="60"/>
        <v>ZSI1_FLWR_ARRANGEALT_DENUM_UOM3</v>
      </c>
    </row>
    <row r="9427" ht="15.75" customHeight="1">
      <c r="B9427" s="63">
        <f t="shared" si="1"/>
        <v>17</v>
      </c>
      <c r="C9427" s="135" t="s">
        <v>391</v>
      </c>
      <c r="D9427" s="161" t="s">
        <v>74</v>
      </c>
      <c r="E9427" s="135">
        <f t="shared" si="62"/>
        <v>20</v>
      </c>
      <c r="F9427" s="134" t="s">
        <v>3812</v>
      </c>
      <c r="G9427" s="63" t="str">
        <f>VLOOKUP(C9427, 'Class Def. - General Data'!$C$20:$C$1000,1,false)</f>
        <v>ZSI1_FLWR_ARRANGE</v>
      </c>
      <c r="H9427" s="63" t="str">
        <f>IFERROR(__xludf.DUMMYFUNCTION("VLOOKUP(F9427, IMPORTRANGE(""https://docs.google.com/spreadsheets/d/1Lhp9OU0JdFf_VYSMzH5lBcEaU4o8teT1piV-SNzShjg/edit?gid=554141278#gid=554141278"", ""'Char Def. - Attributes'!C20:C2242""), 1,false)"),"ALT_NUM_UOM3")</f>
        <v>ALT_NUM_UOM3</v>
      </c>
      <c r="I9427" s="136"/>
      <c r="R9427" s="63" t="str">
        <f t="shared" si="60"/>
        <v>ZSI1_FLWR_ARRANGEALT_NUM_UOM3</v>
      </c>
    </row>
    <row r="9428" ht="15.75" customHeight="1">
      <c r="B9428" s="63">
        <f t="shared" si="1"/>
        <v>17</v>
      </c>
      <c r="C9428" s="135" t="s">
        <v>391</v>
      </c>
      <c r="D9428" s="161" t="s">
        <v>74</v>
      </c>
      <c r="E9428" s="135">
        <f t="shared" si="62"/>
        <v>21</v>
      </c>
      <c r="F9428" s="134" t="s">
        <v>3813</v>
      </c>
      <c r="G9428" s="63" t="str">
        <f>VLOOKUP(C9428, 'Class Def. - General Data'!$C$20:$C$1000,1,false)</f>
        <v>ZSI1_FLWR_ARRANGE</v>
      </c>
      <c r="H9428" s="63" t="str">
        <f>IFERROR(__xludf.DUMMYFUNCTION("VLOOKUP(F9428, IMPORTRANGE(""https://docs.google.com/spreadsheets/d/1Lhp9OU0JdFf_VYSMzH5lBcEaU4o8teT1piV-SNzShjg/edit?gid=554141278#gid=554141278"", ""'Char Def. - Attributes'!C20:C2242""), 1,false)"),"ALT_UOM4_SIPI")</f>
        <v>ALT_UOM4_SIPI</v>
      </c>
      <c r="I9428" s="136"/>
      <c r="R9428" s="63" t="str">
        <f t="shared" si="60"/>
        <v>ZSI1_FLWR_ARRANGEALT_UOM4_SIPI</v>
      </c>
    </row>
    <row r="9429" ht="15.75" customHeight="1">
      <c r="B9429" s="63">
        <f t="shared" si="1"/>
        <v>17</v>
      </c>
      <c r="C9429" s="135" t="s">
        <v>391</v>
      </c>
      <c r="D9429" s="161" t="s">
        <v>74</v>
      </c>
      <c r="E9429" s="135">
        <f t="shared" si="62"/>
        <v>22</v>
      </c>
      <c r="F9429" s="134" t="s">
        <v>3814</v>
      </c>
      <c r="G9429" s="63" t="str">
        <f>VLOOKUP(C9429, 'Class Def. - General Data'!$C$20:$C$1000,1,false)</f>
        <v>ZSI1_FLWR_ARRANGE</v>
      </c>
      <c r="H9429" s="63" t="str">
        <f>IFERROR(__xludf.DUMMYFUNCTION("VLOOKUP(F9429, IMPORTRANGE(""https://docs.google.com/spreadsheets/d/1Lhp9OU0JdFf_VYSMzH5lBcEaU4o8teT1piV-SNzShjg/edit?gid=554141278#gid=554141278"", ""'Char Def. - Attributes'!C20:C2242""), 1,false)"),"ALT_DENUM_UOM4")</f>
        <v>ALT_DENUM_UOM4</v>
      </c>
      <c r="I9429" s="136"/>
      <c r="R9429" s="63" t="str">
        <f t="shared" si="60"/>
        <v>ZSI1_FLWR_ARRANGEALT_DENUM_UOM4</v>
      </c>
    </row>
    <row r="9430" ht="15.75" customHeight="1">
      <c r="B9430" s="63">
        <f t="shared" si="1"/>
        <v>17</v>
      </c>
      <c r="C9430" s="135" t="s">
        <v>391</v>
      </c>
      <c r="D9430" s="161" t="s">
        <v>74</v>
      </c>
      <c r="E9430" s="135">
        <f t="shared" si="62"/>
        <v>23</v>
      </c>
      <c r="F9430" s="134" t="s">
        <v>3815</v>
      </c>
      <c r="G9430" s="63" t="str">
        <f>VLOOKUP(C9430, 'Class Def. - General Data'!$C$20:$C$1000,1,false)</f>
        <v>ZSI1_FLWR_ARRANGE</v>
      </c>
      <c r="H9430" s="63" t="str">
        <f>IFERROR(__xludf.DUMMYFUNCTION("VLOOKUP(F9430, IMPORTRANGE(""https://docs.google.com/spreadsheets/d/1Lhp9OU0JdFf_VYSMzH5lBcEaU4o8teT1piV-SNzShjg/edit?gid=554141278#gid=554141278"", ""'Char Def. - Attributes'!C20:C2242""), 1,false)"),"ALT_NUM_UOM4")</f>
        <v>ALT_NUM_UOM4</v>
      </c>
      <c r="I9430" s="136"/>
      <c r="R9430" s="63" t="str">
        <f t="shared" si="60"/>
        <v>ZSI1_FLWR_ARRANGEALT_NUM_UOM4</v>
      </c>
    </row>
    <row r="9431" ht="15.75" customHeight="1">
      <c r="B9431" s="63">
        <f t="shared" si="1"/>
        <v>17</v>
      </c>
      <c r="C9431" s="135" t="s">
        <v>391</v>
      </c>
      <c r="D9431" s="161" t="s">
        <v>74</v>
      </c>
      <c r="E9431" s="135">
        <f t="shared" si="62"/>
        <v>24</v>
      </c>
      <c r="F9431" s="134" t="s">
        <v>3816</v>
      </c>
      <c r="G9431" s="63" t="str">
        <f>VLOOKUP(C9431, 'Class Def. - General Data'!$C$20:$C$1000,1,false)</f>
        <v>ZSI1_FLWR_ARRANGE</v>
      </c>
      <c r="H9431" s="63" t="str">
        <f>IFERROR(__xludf.DUMMYFUNCTION("VLOOKUP(F9431, IMPORTRANGE(""https://docs.google.com/spreadsheets/d/1Lhp9OU0JdFf_VYSMzH5lBcEaU4o8teT1piV-SNzShjg/edit?gid=554141278#gid=554141278"", ""'Char Def. - Attributes'!C20:C2242""), 1,false)"),"ALT_UOM5_SIPI")</f>
        <v>ALT_UOM5_SIPI</v>
      </c>
      <c r="I9431" s="136"/>
      <c r="R9431" s="63" t="str">
        <f t="shared" si="60"/>
        <v>ZSI1_FLWR_ARRANGEALT_UOM5_SIPI</v>
      </c>
    </row>
    <row r="9432" ht="15.75" customHeight="1">
      <c r="B9432" s="63">
        <f t="shared" si="1"/>
        <v>17</v>
      </c>
      <c r="C9432" s="135" t="s">
        <v>391</v>
      </c>
      <c r="D9432" s="161" t="s">
        <v>74</v>
      </c>
      <c r="E9432" s="135">
        <f t="shared" si="62"/>
        <v>25</v>
      </c>
      <c r="F9432" s="134" t="s">
        <v>3817</v>
      </c>
      <c r="G9432" s="63" t="str">
        <f>VLOOKUP(C9432, 'Class Def. - General Data'!$C$20:$C$1000,1,false)</f>
        <v>ZSI1_FLWR_ARRANGE</v>
      </c>
      <c r="H9432" s="63" t="str">
        <f>IFERROR(__xludf.DUMMYFUNCTION("VLOOKUP(F9432, IMPORTRANGE(""https://docs.google.com/spreadsheets/d/1Lhp9OU0JdFf_VYSMzH5lBcEaU4o8teT1piV-SNzShjg/edit?gid=554141278#gid=554141278"", ""'Char Def. - Attributes'!C20:C2242""), 1,false)"),"ALT_DENUM_UOM5")</f>
        <v>ALT_DENUM_UOM5</v>
      </c>
      <c r="I9432" s="136"/>
      <c r="R9432" s="63" t="str">
        <f t="shared" si="60"/>
        <v>ZSI1_FLWR_ARRANGEALT_DENUM_UOM5</v>
      </c>
    </row>
    <row r="9433" ht="15.75" customHeight="1">
      <c r="B9433" s="63">
        <f t="shared" si="1"/>
        <v>17</v>
      </c>
      <c r="C9433" s="135" t="s">
        <v>391</v>
      </c>
      <c r="D9433" s="161" t="s">
        <v>74</v>
      </c>
      <c r="E9433" s="135">
        <f t="shared" si="62"/>
        <v>26</v>
      </c>
      <c r="F9433" s="134" t="s">
        <v>3818</v>
      </c>
      <c r="G9433" s="63" t="str">
        <f>VLOOKUP(C9433, 'Class Def. - General Data'!$C$20:$C$1000,1,false)</f>
        <v>ZSI1_FLWR_ARRANGE</v>
      </c>
      <c r="H9433" s="63" t="str">
        <f>IFERROR(__xludf.DUMMYFUNCTION("VLOOKUP(F9433, IMPORTRANGE(""https://docs.google.com/spreadsheets/d/1Lhp9OU0JdFf_VYSMzH5lBcEaU4o8teT1piV-SNzShjg/edit?gid=554141278#gid=554141278"", ""'Char Def. - Attributes'!C20:C2242""), 1,false)"),"ALT_NUM_UOM5")</f>
        <v>ALT_NUM_UOM5</v>
      </c>
      <c r="I9433" s="136"/>
      <c r="R9433" s="63" t="str">
        <f t="shared" si="60"/>
        <v>ZSI1_FLWR_ARRANGEALT_NUM_UOM5</v>
      </c>
    </row>
    <row r="9434" ht="15.75" customHeight="1">
      <c r="B9434" s="63">
        <f t="shared" si="1"/>
        <v>13</v>
      </c>
      <c r="C9434" s="135" t="s">
        <v>392</v>
      </c>
      <c r="D9434" s="161" t="s">
        <v>74</v>
      </c>
      <c r="E9434" s="135">
        <f t="shared" si="62"/>
        <v>1</v>
      </c>
      <c r="F9434" s="134" t="s">
        <v>4540</v>
      </c>
      <c r="G9434" s="63" t="str">
        <f>VLOOKUP(C9434, 'Class Def. - General Data'!$C$20:$C$1000,1,false)</f>
        <v>ZSI1_FOOD_BEV</v>
      </c>
      <c r="H9434" s="63" t="str">
        <f>IFERROR(__xludf.DUMMYFUNCTION("VLOOKUP(F9434, IMPORTRANGE(""https://docs.google.com/spreadsheets/d/1Lhp9OU0JdFf_VYSMzH5lBcEaU4o8teT1piV-SNzShjg/edit?gid=554141278#gid=554141278"", ""'Char Def. - Attributes'!C20:C2242""), 1,false)"),"ITEM_NAME_FOOD_BEV")</f>
        <v>ITEM_NAME_FOOD_BEV</v>
      </c>
      <c r="I9434" s="136"/>
      <c r="R9434" s="63" t="str">
        <f t="shared" si="60"/>
        <v>ZSI1_FOOD_BEVITEM_NAME_FOOD_BEV</v>
      </c>
    </row>
    <row r="9435" ht="15.75" customHeight="1">
      <c r="B9435" s="63">
        <f t="shared" si="1"/>
        <v>13</v>
      </c>
      <c r="C9435" s="135" t="s">
        <v>392</v>
      </c>
      <c r="D9435" s="161" t="s">
        <v>74</v>
      </c>
      <c r="E9435" s="135">
        <f t="shared" si="62"/>
        <v>2</v>
      </c>
      <c r="F9435" s="134" t="s">
        <v>4541</v>
      </c>
      <c r="G9435" s="63" t="str">
        <f>VLOOKUP(C9435, 'Class Def. - General Data'!$C$20:$C$1000,1,false)</f>
        <v>ZSI1_FOOD_BEV</v>
      </c>
      <c r="H9435" s="63" t="str">
        <f>IFERROR(__xludf.DUMMYFUNCTION("VLOOKUP(F9435, IMPORTRANGE(""https://docs.google.com/spreadsheets/d/1Lhp9OU0JdFf_VYSMzH5lBcEaU4o8teT1piV-SNzShjg/edit?gid=554141278#gid=554141278"", ""'Char Def. - Attributes'!C20:C2242""), 1,false)"),"PERLU_BRAND")</f>
        <v>PERLU_BRAND</v>
      </c>
      <c r="I9435" s="136"/>
      <c r="R9435" s="63" t="str">
        <f t="shared" si="60"/>
        <v>ZSI1_FOOD_BEVPERLU_BRAND</v>
      </c>
    </row>
    <row r="9436" ht="15.75" customHeight="1">
      <c r="B9436" s="63">
        <f t="shared" si="1"/>
        <v>13</v>
      </c>
      <c r="C9436" s="135" t="s">
        <v>392</v>
      </c>
      <c r="D9436" s="161" t="s">
        <v>74</v>
      </c>
      <c r="E9436" s="135">
        <f t="shared" si="62"/>
        <v>3</v>
      </c>
      <c r="F9436" s="134" t="s">
        <v>3782</v>
      </c>
      <c r="G9436" s="63" t="str">
        <f>VLOOKUP(C9436, 'Class Def. - General Data'!$C$20:$C$1000,1,false)</f>
        <v>ZSI1_FOOD_BEV</v>
      </c>
      <c r="H9436" s="63" t="str">
        <f>IFERROR(__xludf.DUMMYFUNCTION("VLOOKUP(F9436, IMPORTRANGE(""https://docs.google.com/spreadsheets/d/1Lhp9OU0JdFf_VYSMzH5lBcEaU4o8teT1piV-SNzShjg/edit?gid=554141278#gid=554141278"", ""'Char Def. - Attributes'!C20:C2242""), 1,false)"),"BRAND_EXTERNAL")</f>
        <v>BRAND_EXTERNAL</v>
      </c>
      <c r="I9436" s="136"/>
      <c r="R9436" s="63" t="str">
        <f t="shared" si="60"/>
        <v>ZSI1_FOOD_BEVBRAND_EXTERNAL</v>
      </c>
    </row>
    <row r="9437" ht="15.75" customHeight="1">
      <c r="B9437" s="63">
        <f t="shared" si="1"/>
        <v>13</v>
      </c>
      <c r="C9437" s="135" t="s">
        <v>392</v>
      </c>
      <c r="D9437" s="161" t="s">
        <v>74</v>
      </c>
      <c r="E9437" s="135">
        <f t="shared" si="62"/>
        <v>4</v>
      </c>
      <c r="F9437" s="134" t="s">
        <v>4542</v>
      </c>
      <c r="G9437" s="63" t="str">
        <f>VLOOKUP(C9437, 'Class Def. - General Data'!$C$20:$C$1000,1,false)</f>
        <v>ZSI1_FOOD_BEV</v>
      </c>
      <c r="H9437" s="63" t="str">
        <f>IFERROR(__xludf.DUMMYFUNCTION("VLOOKUP(F9437, IMPORTRANGE(""https://docs.google.com/spreadsheets/d/1Lhp9OU0JdFf_VYSMzH5lBcEaU4o8teT1piV-SNzShjg/edit?gid=554141278#gid=554141278"", ""'Char Def. - Attributes'!C20:C2242""), 1,false)"),"SIZE_FOOD_BEV")</f>
        <v>SIZE_FOOD_BEV</v>
      </c>
      <c r="I9437" s="136"/>
      <c r="R9437" s="63" t="str">
        <f t="shared" si="60"/>
        <v>ZSI1_FOOD_BEVSIZE_FOOD_BEV</v>
      </c>
    </row>
    <row r="9438" ht="15.75" customHeight="1">
      <c r="B9438" s="63">
        <f t="shared" si="1"/>
        <v>13</v>
      </c>
      <c r="C9438" s="135" t="s">
        <v>392</v>
      </c>
      <c r="D9438" s="161" t="s">
        <v>74</v>
      </c>
      <c r="E9438" s="135">
        <f t="shared" si="62"/>
        <v>5</v>
      </c>
      <c r="F9438" s="134" t="s">
        <v>4062</v>
      </c>
      <c r="G9438" s="63" t="str">
        <f>VLOOKUP(C9438, 'Class Def. - General Data'!$C$20:$C$1000,1,false)</f>
        <v>ZSI1_FOOD_BEV</v>
      </c>
      <c r="H9438" s="63" t="str">
        <f>IFERROR(__xludf.DUMMYFUNCTION("VLOOKUP(F9438, IMPORTRANGE(""https://docs.google.com/spreadsheets/d/1Lhp9OU0JdFf_VYSMzH5lBcEaU4o8teT1piV-SNzShjg/edit?gid=554141278#gid=554141278"", ""'Char Def. - Attributes'!C20:C2242""), 1,false)"),"#N/A")</f>
        <v>#N/A</v>
      </c>
      <c r="I9438" s="136"/>
      <c r="R9438" s="63" t="str">
        <f t="shared" si="60"/>
        <v>ZSI1_FOOD_BEVADDTIONAL_SPECIFICATION</v>
      </c>
    </row>
    <row r="9439" ht="15.75" customHeight="1">
      <c r="B9439" s="63">
        <f t="shared" si="1"/>
        <v>13</v>
      </c>
      <c r="C9439" s="135" t="s">
        <v>392</v>
      </c>
      <c r="D9439" s="161" t="s">
        <v>74</v>
      </c>
      <c r="E9439" s="135">
        <f t="shared" si="62"/>
        <v>6</v>
      </c>
      <c r="F9439" s="134" t="s">
        <v>3585</v>
      </c>
      <c r="G9439" s="63" t="str">
        <f>VLOOKUP(C9439, 'Class Def. - General Data'!$C$20:$C$1000,1,false)</f>
        <v>ZSI1_FOOD_BEV</v>
      </c>
      <c r="H9439" s="63" t="str">
        <f>IFERROR(__xludf.DUMMYFUNCTION("VLOOKUP(F9439, IMPORTRANGE(""https://docs.google.com/spreadsheets/d/1Lhp9OU0JdFf_VYSMzH5lBcEaU4o8teT1piV-SNzShjg/edit?gid=554141278#gid=554141278"", ""'Char Def. - Attributes'!C20:C2242""), 1,false)"),"HS_CODE")</f>
        <v>HS_CODE</v>
      </c>
      <c r="I9439" s="136"/>
      <c r="R9439" s="63" t="str">
        <f t="shared" si="60"/>
        <v>ZSI1_FOOD_BEVHS_CODE</v>
      </c>
    </row>
    <row r="9440" ht="15.75" customHeight="1">
      <c r="B9440" s="63">
        <f t="shared" si="1"/>
        <v>13</v>
      </c>
      <c r="C9440" s="135" t="s">
        <v>392</v>
      </c>
      <c r="D9440" s="161" t="s">
        <v>74</v>
      </c>
      <c r="E9440" s="135">
        <f t="shared" si="62"/>
        <v>7</v>
      </c>
      <c r="F9440" s="134" t="s">
        <v>3587</v>
      </c>
      <c r="G9440" s="63" t="str">
        <f>VLOOKUP(C9440, 'Class Def. - General Data'!$C$20:$C$1000,1,false)</f>
        <v>ZSI1_FOOD_BEV</v>
      </c>
      <c r="H9440" s="63" t="str">
        <f>IFERROR(__xludf.DUMMYFUNCTION("VLOOKUP(F9440, IMPORTRANGE(""https://docs.google.com/spreadsheets/d/1Lhp9OU0JdFf_VYSMzH5lBcEaU4o8teT1piV-SNzShjg/edit?gid=554141278#gid=554141278"", ""'Char Def. - Attributes'!C20:C2242""), 1,false)"),"PLANT_BUY")</f>
        <v>PLANT_BUY</v>
      </c>
      <c r="I9440" s="136"/>
      <c r="R9440" s="63" t="str">
        <f t="shared" si="60"/>
        <v>ZSI1_FOOD_BEVPLANT_BUY</v>
      </c>
    </row>
    <row r="9441" ht="15.75" customHeight="1">
      <c r="B9441" s="63">
        <f t="shared" si="1"/>
        <v>13</v>
      </c>
      <c r="C9441" s="135" t="s">
        <v>392</v>
      </c>
      <c r="D9441" s="161" t="s">
        <v>74</v>
      </c>
      <c r="E9441" s="135">
        <f t="shared" si="62"/>
        <v>8</v>
      </c>
      <c r="F9441" s="134" t="s">
        <v>4543</v>
      </c>
      <c r="G9441" s="63" t="str">
        <f>VLOOKUP(C9441, 'Class Def. - General Data'!$C$20:$C$1000,1,false)</f>
        <v>ZSI1_FOOD_BEV</v>
      </c>
      <c r="H9441" s="63" t="str">
        <f>IFERROR(__xludf.DUMMYFUNCTION("VLOOKUP(F9441, IMPORTRANGE(""https://docs.google.com/spreadsheets/d/1Lhp9OU0JdFf_VYSMzH5lBcEaU4o8teT1piV-SNzShjg/edit?gid=554141278#gid=554141278"", ""'Char Def. - Attributes'!C20:C2242""), 1,false)"),"BASE_UOM_FOOD_BEV")</f>
        <v>BASE_UOM_FOOD_BEV</v>
      </c>
      <c r="I9441" s="136"/>
      <c r="R9441" s="63" t="str">
        <f t="shared" si="60"/>
        <v>ZSI1_FOOD_BEVBASE_UOM_FOOD_BEV</v>
      </c>
    </row>
    <row r="9442" ht="15.75" customHeight="1">
      <c r="B9442" s="63">
        <f t="shared" si="1"/>
        <v>13</v>
      </c>
      <c r="C9442" s="135" t="s">
        <v>392</v>
      </c>
      <c r="D9442" s="161" t="s">
        <v>74</v>
      </c>
      <c r="E9442" s="135">
        <f t="shared" si="62"/>
        <v>9</v>
      </c>
      <c r="F9442" s="134" t="s">
        <v>4544</v>
      </c>
      <c r="G9442" s="63" t="str">
        <f>VLOOKUP(C9442, 'Class Def. - General Data'!$C$20:$C$1000,1,false)</f>
        <v>ZSI1_FOOD_BEV</v>
      </c>
      <c r="H9442" s="63" t="str">
        <f>IFERROR(__xludf.DUMMYFUNCTION("VLOOKUP(F9442, IMPORTRANGE(""https://docs.google.com/spreadsheets/d/1Lhp9OU0JdFf_VYSMzH5lBcEaU4o8teT1piV-SNzShjg/edit?gid=554141278#gid=554141278"", ""'Char Def. - Attributes'!C20:C2242""), 1,false)"),"ORDER_UNIT_FOOD_BEV")</f>
        <v>ORDER_UNIT_FOOD_BEV</v>
      </c>
      <c r="I9442" s="136"/>
      <c r="R9442" s="63" t="str">
        <f t="shared" si="60"/>
        <v>ZSI1_FOOD_BEVORDER_UNIT_FOOD_BEV</v>
      </c>
    </row>
    <row r="9443" ht="15.75" customHeight="1">
      <c r="B9443" s="63">
        <f t="shared" si="1"/>
        <v>13</v>
      </c>
      <c r="C9443" s="135" t="s">
        <v>392</v>
      </c>
      <c r="D9443" s="161" t="s">
        <v>74</v>
      </c>
      <c r="E9443" s="135">
        <f t="shared" si="62"/>
        <v>10</v>
      </c>
      <c r="F9443" s="134" t="s">
        <v>4056</v>
      </c>
      <c r="G9443" s="63" t="str">
        <f>VLOOKUP(C9443, 'Class Def. - General Data'!$C$20:$C$1000,1,false)</f>
        <v>ZSI1_FOOD_BEV</v>
      </c>
      <c r="H9443" s="63" t="str">
        <f>IFERROR(__xludf.DUMMYFUNCTION("VLOOKUP(F9443, IMPORTRANGE(""https://docs.google.com/spreadsheets/d/1Lhp9OU0JdFf_VYSMzH5lBcEaU4o8teT1piV-SNzShjg/edit?gid=554141278#gid=554141278"", ""'Char Def. - Attributes'!C20:C2242""), 1,false)"),"GROSS_WEIGHT_OPT")</f>
        <v>GROSS_WEIGHT_OPT</v>
      </c>
      <c r="I9443" s="136"/>
      <c r="R9443" s="63" t="str">
        <f t="shared" si="60"/>
        <v>ZSI1_FOOD_BEVGROSS_WEIGHT_OPT</v>
      </c>
    </row>
    <row r="9444" ht="15.75" customHeight="1">
      <c r="B9444" s="63">
        <f t="shared" si="1"/>
        <v>13</v>
      </c>
      <c r="C9444" s="135" t="s">
        <v>392</v>
      </c>
      <c r="D9444" s="161" t="s">
        <v>74</v>
      </c>
      <c r="E9444" s="135">
        <f t="shared" si="62"/>
        <v>11</v>
      </c>
      <c r="F9444" s="134" t="s">
        <v>4057</v>
      </c>
      <c r="G9444" s="63" t="str">
        <f>VLOOKUP(C9444, 'Class Def. - General Data'!$C$20:$C$1000,1,false)</f>
        <v>ZSI1_FOOD_BEV</v>
      </c>
      <c r="H9444" s="63" t="str">
        <f>IFERROR(__xludf.DUMMYFUNCTION("VLOOKUP(F9444, IMPORTRANGE(""https://docs.google.com/spreadsheets/d/1Lhp9OU0JdFf_VYSMzH5lBcEaU4o8teT1piV-SNzShjg/edit?gid=554141278#gid=554141278"", ""'Char Def. - Attributes'!C20:C2242""), 1,false)"),"NET_WEIGHT_OPT")</f>
        <v>NET_WEIGHT_OPT</v>
      </c>
      <c r="I9444" s="136"/>
      <c r="R9444" s="63" t="str">
        <f t="shared" si="60"/>
        <v>ZSI1_FOOD_BEVNET_WEIGHT_OPT</v>
      </c>
    </row>
    <row r="9445" ht="15.75" customHeight="1">
      <c r="B9445" s="63">
        <f t="shared" si="1"/>
        <v>13</v>
      </c>
      <c r="C9445" s="135" t="s">
        <v>392</v>
      </c>
      <c r="D9445" s="161" t="s">
        <v>74</v>
      </c>
      <c r="E9445" s="135">
        <f t="shared" si="62"/>
        <v>12</v>
      </c>
      <c r="F9445" s="134" t="s">
        <v>4058</v>
      </c>
      <c r="G9445" s="63" t="str">
        <f>VLOOKUP(C9445, 'Class Def. - General Data'!$C$20:$C$1000,1,false)</f>
        <v>ZSI1_FOOD_BEV</v>
      </c>
      <c r="H9445" s="63" t="str">
        <f>IFERROR(__xludf.DUMMYFUNCTION("VLOOKUP(F9445, IMPORTRANGE(""https://docs.google.com/spreadsheets/d/1Lhp9OU0JdFf_VYSMzH5lBcEaU4o8teT1piV-SNzShjg/edit?gid=554141278#gid=554141278"", ""'Char Def. - Attributes'!C20:C2242""), 1,false)"),"WEIGHT_UNIT_SI")</f>
        <v>WEIGHT_UNIT_SI</v>
      </c>
      <c r="I9445" s="136"/>
      <c r="R9445" s="63" t="str">
        <f t="shared" si="60"/>
        <v>ZSI1_FOOD_BEVWEIGHT_UNIT_SI</v>
      </c>
    </row>
    <row r="9446" ht="15.75" customHeight="1">
      <c r="B9446" s="63">
        <f t="shared" si="1"/>
        <v>13</v>
      </c>
      <c r="C9446" s="135" t="s">
        <v>392</v>
      </c>
      <c r="D9446" s="161" t="s">
        <v>74</v>
      </c>
      <c r="E9446" s="135">
        <f t="shared" si="62"/>
        <v>13</v>
      </c>
      <c r="F9446" s="134" t="s">
        <v>3877</v>
      </c>
      <c r="G9446" s="63" t="str">
        <f>VLOOKUP(C9446, 'Class Def. - General Data'!$C$20:$C$1000,1,false)</f>
        <v>ZSI1_FOOD_BEV</v>
      </c>
      <c r="H9446" s="63" t="str">
        <f>IFERROR(__xludf.DUMMYFUNCTION("VLOOKUP(F9446, IMPORTRANGE(""https://docs.google.com/spreadsheets/d/1Lhp9OU0JdFf_VYSMzH5lBcEaU4o8teT1piV-SNzShjg/edit?gid=554141278#gid=554141278"", ""'Char Def. - Attributes'!C20:C2242""), 1,false)"),"VOLUME_OPT")</f>
        <v>VOLUME_OPT</v>
      </c>
      <c r="I9446" s="136"/>
      <c r="R9446" s="63" t="str">
        <f t="shared" si="60"/>
        <v>ZSI1_FOOD_BEVVOLUME_OPT</v>
      </c>
    </row>
    <row r="9447" ht="15.75" customHeight="1">
      <c r="B9447" s="63">
        <f t="shared" si="1"/>
        <v>13</v>
      </c>
      <c r="C9447" s="135" t="s">
        <v>392</v>
      </c>
      <c r="D9447" s="161" t="s">
        <v>74</v>
      </c>
      <c r="E9447" s="135">
        <f t="shared" si="62"/>
        <v>14</v>
      </c>
      <c r="F9447" s="134" t="s">
        <v>4059</v>
      </c>
      <c r="G9447" s="63" t="str">
        <f>VLOOKUP(C9447, 'Class Def. - General Data'!$C$20:$C$1000,1,false)</f>
        <v>ZSI1_FOOD_BEV</v>
      </c>
      <c r="H9447" s="63" t="str">
        <f>IFERROR(__xludf.DUMMYFUNCTION("VLOOKUP(F9447, IMPORTRANGE(""https://docs.google.com/spreadsheets/d/1Lhp9OU0JdFf_VYSMzH5lBcEaU4o8teT1piV-SNzShjg/edit?gid=554141278#gid=554141278"", ""'Char Def. - Attributes'!C20:C2242""), 1,false)"),"VOLUME_UNIT_SI")</f>
        <v>VOLUME_UNIT_SI</v>
      </c>
      <c r="I9447" s="136"/>
      <c r="R9447" s="63" t="str">
        <f t="shared" si="60"/>
        <v>ZSI1_FOOD_BEVVOLUME_UNIT_SI</v>
      </c>
    </row>
    <row r="9448" ht="15.75" customHeight="1">
      <c r="B9448" s="63">
        <f t="shared" si="1"/>
        <v>13</v>
      </c>
      <c r="C9448" s="135" t="s">
        <v>392</v>
      </c>
      <c r="D9448" s="161" t="s">
        <v>74</v>
      </c>
      <c r="E9448" s="135">
        <f t="shared" si="62"/>
        <v>15</v>
      </c>
      <c r="F9448" s="134" t="s">
        <v>3804</v>
      </c>
      <c r="G9448" s="63" t="str">
        <f>VLOOKUP(C9448, 'Class Def. - General Data'!$C$20:$C$1000,1,false)</f>
        <v>ZSI1_FOOD_BEV</v>
      </c>
      <c r="H9448" s="63" t="str">
        <f>IFERROR(__xludf.DUMMYFUNCTION("VLOOKUP(F9448, IMPORTRANGE(""https://docs.google.com/spreadsheets/d/1Lhp9OU0JdFf_VYSMzH5lBcEaU4o8teT1piV-SNzShjg/edit?gid=554141278#gid=554141278"", ""'Char Def. - Attributes'!C20:C2242""), 1,false)"),"ALT_UOM1_SIPI")</f>
        <v>ALT_UOM1_SIPI</v>
      </c>
      <c r="I9448" s="136"/>
      <c r="R9448" s="63" t="str">
        <f t="shared" si="60"/>
        <v>ZSI1_FOOD_BEVALT_UOM1_SIPI</v>
      </c>
    </row>
    <row r="9449" ht="15.75" customHeight="1">
      <c r="B9449" s="63">
        <f t="shared" si="1"/>
        <v>13</v>
      </c>
      <c r="C9449" s="135" t="s">
        <v>392</v>
      </c>
      <c r="D9449" s="161" t="s">
        <v>74</v>
      </c>
      <c r="E9449" s="135">
        <f t="shared" si="62"/>
        <v>16</v>
      </c>
      <c r="F9449" s="134" t="s">
        <v>3805</v>
      </c>
      <c r="G9449" s="63" t="str">
        <f>VLOOKUP(C9449, 'Class Def. - General Data'!$C$20:$C$1000,1,false)</f>
        <v>ZSI1_FOOD_BEV</v>
      </c>
      <c r="H9449" s="63" t="str">
        <f>IFERROR(__xludf.DUMMYFUNCTION("VLOOKUP(F9449, IMPORTRANGE(""https://docs.google.com/spreadsheets/d/1Lhp9OU0JdFf_VYSMzH5lBcEaU4o8teT1piV-SNzShjg/edit?gid=554141278#gid=554141278"", ""'Char Def. - Attributes'!C20:C2242""), 1,false)"),"ALT_DENUM_UOM1")</f>
        <v>ALT_DENUM_UOM1</v>
      </c>
      <c r="I9449" s="136"/>
      <c r="R9449" s="63" t="str">
        <f t="shared" si="60"/>
        <v>ZSI1_FOOD_BEVALT_DENUM_UOM1</v>
      </c>
    </row>
    <row r="9450" ht="15.75" customHeight="1">
      <c r="B9450" s="63">
        <f t="shared" si="1"/>
        <v>13</v>
      </c>
      <c r="C9450" s="135" t="s">
        <v>392</v>
      </c>
      <c r="D9450" s="161" t="s">
        <v>74</v>
      </c>
      <c r="E9450" s="135">
        <f t="shared" si="62"/>
        <v>17</v>
      </c>
      <c r="F9450" s="134" t="s">
        <v>3806</v>
      </c>
      <c r="G9450" s="63" t="str">
        <f>VLOOKUP(C9450, 'Class Def. - General Data'!$C$20:$C$1000,1,false)</f>
        <v>ZSI1_FOOD_BEV</v>
      </c>
      <c r="H9450" s="63" t="str">
        <f>IFERROR(__xludf.DUMMYFUNCTION("VLOOKUP(F9450, IMPORTRANGE(""https://docs.google.com/spreadsheets/d/1Lhp9OU0JdFf_VYSMzH5lBcEaU4o8teT1piV-SNzShjg/edit?gid=554141278#gid=554141278"", ""'Char Def. - Attributes'!C20:C2242""), 1,false)"),"ALT_NUM_UOM1")</f>
        <v>ALT_NUM_UOM1</v>
      </c>
      <c r="I9450" s="136"/>
      <c r="R9450" s="63" t="str">
        <f t="shared" si="60"/>
        <v>ZSI1_FOOD_BEVALT_NUM_UOM1</v>
      </c>
    </row>
    <row r="9451" ht="15.75" customHeight="1">
      <c r="B9451" s="63">
        <f t="shared" si="1"/>
        <v>13</v>
      </c>
      <c r="C9451" s="135" t="s">
        <v>392</v>
      </c>
      <c r="D9451" s="161" t="s">
        <v>74</v>
      </c>
      <c r="E9451" s="135">
        <f t="shared" si="62"/>
        <v>18</v>
      </c>
      <c r="F9451" s="134" t="s">
        <v>3807</v>
      </c>
      <c r="G9451" s="63" t="str">
        <f>VLOOKUP(C9451, 'Class Def. - General Data'!$C$20:$C$1000,1,false)</f>
        <v>ZSI1_FOOD_BEV</v>
      </c>
      <c r="H9451" s="63" t="str">
        <f>IFERROR(__xludf.DUMMYFUNCTION("VLOOKUP(F9451, IMPORTRANGE(""https://docs.google.com/spreadsheets/d/1Lhp9OU0JdFf_VYSMzH5lBcEaU4o8teT1piV-SNzShjg/edit?gid=554141278#gid=554141278"", ""'Char Def. - Attributes'!C20:C2242""), 1,false)"),"ALT_UOM2_SIPI")</f>
        <v>ALT_UOM2_SIPI</v>
      </c>
      <c r="I9451" s="136"/>
      <c r="R9451" s="63" t="str">
        <f t="shared" si="60"/>
        <v>ZSI1_FOOD_BEVALT_UOM2_SIPI</v>
      </c>
    </row>
    <row r="9452" ht="15.75" customHeight="1">
      <c r="B9452" s="63">
        <f t="shared" si="1"/>
        <v>13</v>
      </c>
      <c r="C9452" s="135" t="s">
        <v>392</v>
      </c>
      <c r="D9452" s="161" t="s">
        <v>74</v>
      </c>
      <c r="E9452" s="135">
        <f t="shared" si="62"/>
        <v>19</v>
      </c>
      <c r="F9452" s="134" t="s">
        <v>3808</v>
      </c>
      <c r="G9452" s="63" t="str">
        <f>VLOOKUP(C9452, 'Class Def. - General Data'!$C$20:$C$1000,1,false)</f>
        <v>ZSI1_FOOD_BEV</v>
      </c>
      <c r="H9452" s="63" t="str">
        <f>IFERROR(__xludf.DUMMYFUNCTION("VLOOKUP(F9452, IMPORTRANGE(""https://docs.google.com/spreadsheets/d/1Lhp9OU0JdFf_VYSMzH5lBcEaU4o8teT1piV-SNzShjg/edit?gid=554141278#gid=554141278"", ""'Char Def. - Attributes'!C20:C2242""), 1,false)"),"ALT_DENUM_UOM2")</f>
        <v>ALT_DENUM_UOM2</v>
      </c>
      <c r="I9452" s="136"/>
      <c r="R9452" s="63" t="str">
        <f t="shared" si="60"/>
        <v>ZSI1_FOOD_BEVALT_DENUM_UOM2</v>
      </c>
    </row>
    <row r="9453" ht="15.75" customHeight="1">
      <c r="B9453" s="63">
        <f t="shared" si="1"/>
        <v>13</v>
      </c>
      <c r="C9453" s="135" t="s">
        <v>392</v>
      </c>
      <c r="D9453" s="161" t="s">
        <v>74</v>
      </c>
      <c r="E9453" s="135">
        <f t="shared" si="62"/>
        <v>20</v>
      </c>
      <c r="F9453" s="134" t="s">
        <v>3809</v>
      </c>
      <c r="G9453" s="63" t="str">
        <f>VLOOKUP(C9453, 'Class Def. - General Data'!$C$20:$C$1000,1,false)</f>
        <v>ZSI1_FOOD_BEV</v>
      </c>
      <c r="H9453" s="63" t="str">
        <f>IFERROR(__xludf.DUMMYFUNCTION("VLOOKUP(F9453, IMPORTRANGE(""https://docs.google.com/spreadsheets/d/1Lhp9OU0JdFf_VYSMzH5lBcEaU4o8teT1piV-SNzShjg/edit?gid=554141278#gid=554141278"", ""'Char Def. - Attributes'!C20:C2242""), 1,false)"),"ALT_NUM_UOM2")</f>
        <v>ALT_NUM_UOM2</v>
      </c>
      <c r="I9453" s="136"/>
      <c r="R9453" s="63" t="str">
        <f t="shared" si="60"/>
        <v>ZSI1_FOOD_BEVALT_NUM_UOM2</v>
      </c>
    </row>
    <row r="9454" ht="15.75" customHeight="1">
      <c r="B9454" s="63">
        <f t="shared" si="1"/>
        <v>13</v>
      </c>
      <c r="C9454" s="135" t="s">
        <v>392</v>
      </c>
      <c r="D9454" s="161" t="s">
        <v>74</v>
      </c>
      <c r="E9454" s="135">
        <f t="shared" si="62"/>
        <v>21</v>
      </c>
      <c r="F9454" s="134" t="s">
        <v>3810</v>
      </c>
      <c r="G9454" s="63" t="str">
        <f>VLOOKUP(C9454, 'Class Def. - General Data'!$C$20:$C$1000,1,false)</f>
        <v>ZSI1_FOOD_BEV</v>
      </c>
      <c r="H9454" s="63" t="str">
        <f>IFERROR(__xludf.DUMMYFUNCTION("VLOOKUP(F9454, IMPORTRANGE(""https://docs.google.com/spreadsheets/d/1Lhp9OU0JdFf_VYSMzH5lBcEaU4o8teT1piV-SNzShjg/edit?gid=554141278#gid=554141278"", ""'Char Def. - Attributes'!C20:C2242""), 1,false)"),"ALT_UOM3_SIPI")</f>
        <v>ALT_UOM3_SIPI</v>
      </c>
      <c r="I9454" s="136"/>
      <c r="R9454" s="63" t="str">
        <f t="shared" si="60"/>
        <v>ZSI1_FOOD_BEVALT_UOM3_SIPI</v>
      </c>
    </row>
    <row r="9455" ht="15.75" customHeight="1">
      <c r="B9455" s="63">
        <f t="shared" si="1"/>
        <v>13</v>
      </c>
      <c r="C9455" s="135" t="s">
        <v>392</v>
      </c>
      <c r="D9455" s="161" t="s">
        <v>74</v>
      </c>
      <c r="E9455" s="135">
        <f t="shared" si="62"/>
        <v>22</v>
      </c>
      <c r="F9455" s="134" t="s">
        <v>3811</v>
      </c>
      <c r="G9455" s="63" t="str">
        <f>VLOOKUP(C9455, 'Class Def. - General Data'!$C$20:$C$1000,1,false)</f>
        <v>ZSI1_FOOD_BEV</v>
      </c>
      <c r="H9455" s="63" t="str">
        <f>IFERROR(__xludf.DUMMYFUNCTION("VLOOKUP(F9455, IMPORTRANGE(""https://docs.google.com/spreadsheets/d/1Lhp9OU0JdFf_VYSMzH5lBcEaU4o8teT1piV-SNzShjg/edit?gid=554141278#gid=554141278"", ""'Char Def. - Attributes'!C20:C2242""), 1,false)"),"ALT_DENUM_UOM3")</f>
        <v>ALT_DENUM_UOM3</v>
      </c>
      <c r="I9455" s="136"/>
      <c r="R9455" s="63" t="str">
        <f t="shared" si="60"/>
        <v>ZSI1_FOOD_BEVALT_DENUM_UOM3</v>
      </c>
    </row>
    <row r="9456" ht="15.75" customHeight="1">
      <c r="B9456" s="63">
        <f t="shared" si="1"/>
        <v>13</v>
      </c>
      <c r="C9456" s="135" t="s">
        <v>392</v>
      </c>
      <c r="D9456" s="161" t="s">
        <v>74</v>
      </c>
      <c r="E9456" s="135">
        <f t="shared" si="62"/>
        <v>23</v>
      </c>
      <c r="F9456" s="134" t="s">
        <v>3812</v>
      </c>
      <c r="G9456" s="63" t="str">
        <f>VLOOKUP(C9456, 'Class Def. - General Data'!$C$20:$C$1000,1,false)</f>
        <v>ZSI1_FOOD_BEV</v>
      </c>
      <c r="H9456" s="63" t="str">
        <f>IFERROR(__xludf.DUMMYFUNCTION("VLOOKUP(F9456, IMPORTRANGE(""https://docs.google.com/spreadsheets/d/1Lhp9OU0JdFf_VYSMzH5lBcEaU4o8teT1piV-SNzShjg/edit?gid=554141278#gid=554141278"", ""'Char Def. - Attributes'!C20:C2242""), 1,false)"),"ALT_NUM_UOM3")</f>
        <v>ALT_NUM_UOM3</v>
      </c>
      <c r="I9456" s="136"/>
      <c r="R9456" s="63" t="str">
        <f t="shared" si="60"/>
        <v>ZSI1_FOOD_BEVALT_NUM_UOM3</v>
      </c>
    </row>
    <row r="9457" ht="15.75" customHeight="1">
      <c r="B9457" s="63">
        <f t="shared" si="1"/>
        <v>13</v>
      </c>
      <c r="C9457" s="135" t="s">
        <v>392</v>
      </c>
      <c r="D9457" s="161" t="s">
        <v>74</v>
      </c>
      <c r="E9457" s="135">
        <f t="shared" si="62"/>
        <v>24</v>
      </c>
      <c r="F9457" s="134" t="s">
        <v>3813</v>
      </c>
      <c r="G9457" s="63" t="str">
        <f>VLOOKUP(C9457, 'Class Def. - General Data'!$C$20:$C$1000,1,false)</f>
        <v>ZSI1_FOOD_BEV</v>
      </c>
      <c r="H9457" s="63" t="str">
        <f>IFERROR(__xludf.DUMMYFUNCTION("VLOOKUP(F9457, IMPORTRANGE(""https://docs.google.com/spreadsheets/d/1Lhp9OU0JdFf_VYSMzH5lBcEaU4o8teT1piV-SNzShjg/edit?gid=554141278#gid=554141278"", ""'Char Def. - Attributes'!C20:C2242""), 1,false)"),"ALT_UOM4_SIPI")</f>
        <v>ALT_UOM4_SIPI</v>
      </c>
      <c r="I9457" s="136"/>
      <c r="R9457" s="63" t="str">
        <f t="shared" si="60"/>
        <v>ZSI1_FOOD_BEVALT_UOM4_SIPI</v>
      </c>
    </row>
    <row r="9458" ht="15.75" customHeight="1">
      <c r="B9458" s="63">
        <f t="shared" si="1"/>
        <v>13</v>
      </c>
      <c r="C9458" s="135" t="s">
        <v>392</v>
      </c>
      <c r="D9458" s="161" t="s">
        <v>74</v>
      </c>
      <c r="E9458" s="135">
        <f t="shared" si="62"/>
        <v>25</v>
      </c>
      <c r="F9458" s="134" t="s">
        <v>3814</v>
      </c>
      <c r="G9458" s="63" t="str">
        <f>VLOOKUP(C9458, 'Class Def. - General Data'!$C$20:$C$1000,1,false)</f>
        <v>ZSI1_FOOD_BEV</v>
      </c>
      <c r="H9458" s="63" t="str">
        <f>IFERROR(__xludf.DUMMYFUNCTION("VLOOKUP(F9458, IMPORTRANGE(""https://docs.google.com/spreadsheets/d/1Lhp9OU0JdFf_VYSMzH5lBcEaU4o8teT1piV-SNzShjg/edit?gid=554141278#gid=554141278"", ""'Char Def. - Attributes'!C20:C2242""), 1,false)"),"ALT_DENUM_UOM4")</f>
        <v>ALT_DENUM_UOM4</v>
      </c>
      <c r="I9458" s="136"/>
      <c r="R9458" s="63" t="str">
        <f t="shared" si="60"/>
        <v>ZSI1_FOOD_BEVALT_DENUM_UOM4</v>
      </c>
    </row>
    <row r="9459" ht="15.75" customHeight="1">
      <c r="B9459" s="63">
        <f t="shared" si="1"/>
        <v>13</v>
      </c>
      <c r="C9459" s="135" t="s">
        <v>392</v>
      </c>
      <c r="D9459" s="161" t="s">
        <v>74</v>
      </c>
      <c r="E9459" s="135">
        <f t="shared" si="62"/>
        <v>26</v>
      </c>
      <c r="F9459" s="134" t="s">
        <v>3815</v>
      </c>
      <c r="G9459" s="63" t="str">
        <f>VLOOKUP(C9459, 'Class Def. - General Data'!$C$20:$C$1000,1,false)</f>
        <v>ZSI1_FOOD_BEV</v>
      </c>
      <c r="H9459" s="63" t="str">
        <f>IFERROR(__xludf.DUMMYFUNCTION("VLOOKUP(F9459, IMPORTRANGE(""https://docs.google.com/spreadsheets/d/1Lhp9OU0JdFf_VYSMzH5lBcEaU4o8teT1piV-SNzShjg/edit?gid=554141278#gid=554141278"", ""'Char Def. - Attributes'!C20:C2242""), 1,false)"),"ALT_NUM_UOM4")</f>
        <v>ALT_NUM_UOM4</v>
      </c>
      <c r="I9459" s="136"/>
      <c r="R9459" s="63" t="str">
        <f t="shared" si="60"/>
        <v>ZSI1_FOOD_BEVALT_NUM_UOM4</v>
      </c>
    </row>
    <row r="9460" ht="15.75" customHeight="1">
      <c r="B9460" s="63">
        <f t="shared" si="1"/>
        <v>13</v>
      </c>
      <c r="C9460" s="135" t="s">
        <v>392</v>
      </c>
      <c r="D9460" s="161" t="s">
        <v>74</v>
      </c>
      <c r="E9460" s="135">
        <f t="shared" si="62"/>
        <v>27</v>
      </c>
      <c r="F9460" s="134" t="s">
        <v>3816</v>
      </c>
      <c r="G9460" s="63" t="str">
        <f>VLOOKUP(C9460, 'Class Def. - General Data'!$C$20:$C$1000,1,false)</f>
        <v>ZSI1_FOOD_BEV</v>
      </c>
      <c r="H9460" s="63" t="str">
        <f>IFERROR(__xludf.DUMMYFUNCTION("VLOOKUP(F9460, IMPORTRANGE(""https://docs.google.com/spreadsheets/d/1Lhp9OU0JdFf_VYSMzH5lBcEaU4o8teT1piV-SNzShjg/edit?gid=554141278#gid=554141278"", ""'Char Def. - Attributes'!C20:C2242""), 1,false)"),"ALT_UOM5_SIPI")</f>
        <v>ALT_UOM5_SIPI</v>
      </c>
      <c r="I9460" s="136"/>
      <c r="R9460" s="63" t="str">
        <f t="shared" si="60"/>
        <v>ZSI1_FOOD_BEVALT_UOM5_SIPI</v>
      </c>
    </row>
    <row r="9461" ht="15.75" customHeight="1">
      <c r="B9461" s="63">
        <f t="shared" si="1"/>
        <v>13</v>
      </c>
      <c r="C9461" s="135" t="s">
        <v>392</v>
      </c>
      <c r="D9461" s="161" t="s">
        <v>74</v>
      </c>
      <c r="E9461" s="135">
        <f t="shared" si="62"/>
        <v>28</v>
      </c>
      <c r="F9461" s="134" t="s">
        <v>3817</v>
      </c>
      <c r="G9461" s="63" t="str">
        <f>VLOOKUP(C9461, 'Class Def. - General Data'!$C$20:$C$1000,1,false)</f>
        <v>ZSI1_FOOD_BEV</v>
      </c>
      <c r="H9461" s="63" t="str">
        <f>IFERROR(__xludf.DUMMYFUNCTION("VLOOKUP(F9461, IMPORTRANGE(""https://docs.google.com/spreadsheets/d/1Lhp9OU0JdFf_VYSMzH5lBcEaU4o8teT1piV-SNzShjg/edit?gid=554141278#gid=554141278"", ""'Char Def. - Attributes'!C20:C2242""), 1,false)"),"ALT_DENUM_UOM5")</f>
        <v>ALT_DENUM_UOM5</v>
      </c>
      <c r="I9461" s="136"/>
      <c r="R9461" s="63" t="str">
        <f t="shared" si="60"/>
        <v>ZSI1_FOOD_BEVALT_DENUM_UOM5</v>
      </c>
    </row>
    <row r="9462" ht="15.75" customHeight="1">
      <c r="B9462" s="63">
        <f t="shared" si="1"/>
        <v>13</v>
      </c>
      <c r="C9462" s="135" t="s">
        <v>392</v>
      </c>
      <c r="D9462" s="161" t="s">
        <v>74</v>
      </c>
      <c r="E9462" s="135">
        <f t="shared" si="62"/>
        <v>29</v>
      </c>
      <c r="F9462" s="134" t="s">
        <v>3818</v>
      </c>
      <c r="G9462" s="63" t="str">
        <f>VLOOKUP(C9462, 'Class Def. - General Data'!$C$20:$C$1000,1,false)</f>
        <v>ZSI1_FOOD_BEV</v>
      </c>
      <c r="H9462" s="63" t="str">
        <f>IFERROR(__xludf.DUMMYFUNCTION("VLOOKUP(F9462, IMPORTRANGE(""https://docs.google.com/spreadsheets/d/1Lhp9OU0JdFf_VYSMzH5lBcEaU4o8teT1piV-SNzShjg/edit?gid=554141278#gid=554141278"", ""'Char Def. - Attributes'!C20:C2242""), 1,false)"),"ALT_NUM_UOM5")</f>
        <v>ALT_NUM_UOM5</v>
      </c>
      <c r="I9462" s="136"/>
      <c r="R9462" s="63" t="str">
        <f t="shared" si="60"/>
        <v>ZSI1_FOOD_BEVALT_NUM_UOM5</v>
      </c>
    </row>
    <row r="9463" ht="15.75" customHeight="1">
      <c r="B9463" s="63">
        <f t="shared" si="1"/>
        <v>16</v>
      </c>
      <c r="C9463" s="135" t="s">
        <v>486</v>
      </c>
      <c r="D9463" s="161" t="s">
        <v>74</v>
      </c>
      <c r="E9463" s="135">
        <f t="shared" si="62"/>
        <v>1</v>
      </c>
      <c r="F9463" s="134" t="s">
        <v>4545</v>
      </c>
      <c r="G9463" s="63" t="str">
        <f>VLOOKUP(C9463, 'Class Def. - General Data'!$C$20:$C$1000,1,false)</f>
        <v>ZSI1_FOOD_CUT_MC</v>
      </c>
      <c r="H9463" s="63" t="str">
        <f>IFERROR(__xludf.DUMMYFUNCTION("VLOOKUP(F9463, IMPORTRANGE(""https://docs.google.com/spreadsheets/d/1Lhp9OU0JdFf_VYSMzH5lBcEaU4o8teT1piV-SNzShjg/edit?gid=554141278#gid=554141278"", ""'Char Def. - Attributes'!C20:C2242""), 1,false)"),"ITEM_NAME_FOOD_CUT_MC")</f>
        <v>ITEM_NAME_FOOD_CUT_MC</v>
      </c>
      <c r="I9463" s="136"/>
      <c r="R9463" s="63" t="str">
        <f t="shared" si="60"/>
        <v>ZSI1_FOOD_CUT_MCITEM_NAME_FOOD_CUT_MC</v>
      </c>
    </row>
    <row r="9464" ht="15.75" customHeight="1">
      <c r="B9464" s="63">
        <f t="shared" si="1"/>
        <v>16</v>
      </c>
      <c r="C9464" s="135" t="s">
        <v>486</v>
      </c>
      <c r="D9464" s="161" t="s">
        <v>74</v>
      </c>
      <c r="E9464" s="135">
        <f t="shared" si="62"/>
        <v>2</v>
      </c>
      <c r="F9464" s="134" t="s">
        <v>4546</v>
      </c>
      <c r="G9464" s="63" t="str">
        <f>VLOOKUP(C9464, 'Class Def. - General Data'!$C$20:$C$1000,1,false)</f>
        <v>ZSI1_FOOD_CUT_MC</v>
      </c>
      <c r="H9464" s="63" t="str">
        <f>IFERROR(__xludf.DUMMYFUNCTION("VLOOKUP(F9464, IMPORTRANGE(""https://docs.google.com/spreadsheets/d/1Lhp9OU0JdFf_VYSMzH5lBcEaU4o8teT1piV-SNzShjg/edit?gid=554141278#gid=554141278"", ""'Char Def. - Attributes'!C20:C2242""), 1,false)"),"MFR_NO_FOOD_CUT_MC")</f>
        <v>MFR_NO_FOOD_CUT_MC</v>
      </c>
      <c r="I9464" s="136"/>
      <c r="R9464" s="63" t="str">
        <f t="shared" si="60"/>
        <v>ZSI1_FOOD_CUT_MCMFR_NO_FOOD_CUT_MC</v>
      </c>
    </row>
    <row r="9465" ht="15.75" customHeight="1">
      <c r="B9465" s="63">
        <f t="shared" si="1"/>
        <v>16</v>
      </c>
      <c r="C9465" s="135" t="s">
        <v>486</v>
      </c>
      <c r="D9465" s="161" t="s">
        <v>74</v>
      </c>
      <c r="E9465" s="135">
        <f t="shared" si="62"/>
        <v>3</v>
      </c>
      <c r="F9465" s="134" t="s">
        <v>3782</v>
      </c>
      <c r="G9465" s="63" t="str">
        <f>VLOOKUP(C9465, 'Class Def. - General Data'!$C$20:$C$1000,1,false)</f>
        <v>ZSI1_FOOD_CUT_MC</v>
      </c>
      <c r="H9465" s="63" t="str">
        <f>IFERROR(__xludf.DUMMYFUNCTION("VLOOKUP(F9465, IMPORTRANGE(""https://docs.google.com/spreadsheets/d/1Lhp9OU0JdFf_VYSMzH5lBcEaU4o8teT1piV-SNzShjg/edit?gid=554141278#gid=554141278"", ""'Char Def. - Attributes'!C20:C2242""), 1,false)"),"BRAND_EXTERNAL")</f>
        <v>BRAND_EXTERNAL</v>
      </c>
      <c r="I9465" s="136"/>
      <c r="R9465" s="63" t="str">
        <f t="shared" si="60"/>
        <v>ZSI1_FOOD_CUT_MCBRAND_EXTERNAL</v>
      </c>
    </row>
    <row r="9466" ht="15.75" customHeight="1">
      <c r="B9466" s="63">
        <f t="shared" si="1"/>
        <v>16</v>
      </c>
      <c r="C9466" s="135" t="s">
        <v>486</v>
      </c>
      <c r="D9466" s="161" t="s">
        <v>74</v>
      </c>
      <c r="E9466" s="135">
        <f t="shared" si="62"/>
        <v>4</v>
      </c>
      <c r="F9466" s="134" t="s">
        <v>4062</v>
      </c>
      <c r="G9466" s="63" t="str">
        <f>VLOOKUP(C9466, 'Class Def. - General Data'!$C$20:$C$1000,1,false)</f>
        <v>ZSI1_FOOD_CUT_MC</v>
      </c>
      <c r="H9466" s="63" t="str">
        <f>IFERROR(__xludf.DUMMYFUNCTION("VLOOKUP(F9466, IMPORTRANGE(""https://docs.google.com/spreadsheets/d/1Lhp9OU0JdFf_VYSMzH5lBcEaU4o8teT1piV-SNzShjg/edit?gid=554141278#gid=554141278"", ""'Char Def. - Attributes'!C20:C2242""), 1,false)"),"#N/A")</f>
        <v>#N/A</v>
      </c>
      <c r="I9466" s="136"/>
      <c r="R9466" s="63" t="str">
        <f t="shared" si="60"/>
        <v>ZSI1_FOOD_CUT_MCADDTIONAL_SPECIFICATION</v>
      </c>
    </row>
    <row r="9467" ht="15.75" customHeight="1">
      <c r="B9467" s="63">
        <f t="shared" si="1"/>
        <v>16</v>
      </c>
      <c r="C9467" s="135" t="s">
        <v>486</v>
      </c>
      <c r="D9467" s="161" t="s">
        <v>74</v>
      </c>
      <c r="E9467" s="135">
        <f t="shared" si="62"/>
        <v>5</v>
      </c>
      <c r="F9467" s="134" t="s">
        <v>3585</v>
      </c>
      <c r="G9467" s="63" t="str">
        <f>VLOOKUP(C9467, 'Class Def. - General Data'!$C$20:$C$1000,1,false)</f>
        <v>ZSI1_FOOD_CUT_MC</v>
      </c>
      <c r="H9467" s="63" t="str">
        <f>IFERROR(__xludf.DUMMYFUNCTION("VLOOKUP(F9467, IMPORTRANGE(""https://docs.google.com/spreadsheets/d/1Lhp9OU0JdFf_VYSMzH5lBcEaU4o8teT1piV-SNzShjg/edit?gid=554141278#gid=554141278"", ""'Char Def. - Attributes'!C20:C2242""), 1,false)"),"HS_CODE")</f>
        <v>HS_CODE</v>
      </c>
      <c r="I9467" s="136"/>
      <c r="R9467" s="63" t="str">
        <f t="shared" si="60"/>
        <v>ZSI1_FOOD_CUT_MCHS_CODE</v>
      </c>
    </row>
    <row r="9468" ht="15.75" customHeight="1">
      <c r="B9468" s="63">
        <f t="shared" si="1"/>
        <v>16</v>
      </c>
      <c r="C9468" s="135" t="s">
        <v>486</v>
      </c>
      <c r="D9468" s="161" t="s">
        <v>74</v>
      </c>
      <c r="E9468" s="135">
        <f t="shared" si="62"/>
        <v>6</v>
      </c>
      <c r="F9468" s="134" t="s">
        <v>3587</v>
      </c>
      <c r="G9468" s="63" t="str">
        <f>VLOOKUP(C9468, 'Class Def. - General Data'!$C$20:$C$1000,1,false)</f>
        <v>ZSI1_FOOD_CUT_MC</v>
      </c>
      <c r="H9468" s="63" t="str">
        <f>IFERROR(__xludf.DUMMYFUNCTION("VLOOKUP(F9468, IMPORTRANGE(""https://docs.google.com/spreadsheets/d/1Lhp9OU0JdFf_VYSMzH5lBcEaU4o8teT1piV-SNzShjg/edit?gid=554141278#gid=554141278"", ""'Char Def. - Attributes'!C20:C2242""), 1,false)"),"PLANT_BUY")</f>
        <v>PLANT_BUY</v>
      </c>
      <c r="I9468" s="136"/>
      <c r="R9468" s="63" t="str">
        <f t="shared" si="60"/>
        <v>ZSI1_FOOD_CUT_MCPLANT_BUY</v>
      </c>
    </row>
    <row r="9469" ht="15.75" customHeight="1">
      <c r="B9469" s="63">
        <f t="shared" si="1"/>
        <v>16</v>
      </c>
      <c r="C9469" s="135" t="s">
        <v>486</v>
      </c>
      <c r="D9469" s="161" t="s">
        <v>74</v>
      </c>
      <c r="E9469" s="135">
        <f t="shared" si="62"/>
        <v>7</v>
      </c>
      <c r="F9469" s="134" t="s">
        <v>4547</v>
      </c>
      <c r="G9469" s="63" t="str">
        <f>VLOOKUP(C9469, 'Class Def. - General Data'!$C$20:$C$1000,1,false)</f>
        <v>ZSI1_FOOD_CUT_MC</v>
      </c>
      <c r="H9469" s="63" t="str">
        <f>IFERROR(__xludf.DUMMYFUNCTION("VLOOKUP(F9469, IMPORTRANGE(""https://docs.google.com/spreadsheets/d/1Lhp9OU0JdFf_VYSMzH5lBcEaU4o8teT1piV-SNzShjg/edit?gid=554141278#gid=554141278"", ""'Char Def. - Attributes'!C20:C2242""), 1,false)"),"BASE_UOM_FOOD_CUT_MC")</f>
        <v>BASE_UOM_FOOD_CUT_MC</v>
      </c>
      <c r="I9469" s="136"/>
      <c r="R9469" s="63" t="str">
        <f t="shared" si="60"/>
        <v>ZSI1_FOOD_CUT_MCBASE_UOM_FOOD_CUT_MC</v>
      </c>
    </row>
    <row r="9470" ht="15.75" customHeight="1">
      <c r="B9470" s="63">
        <f t="shared" si="1"/>
        <v>16</v>
      </c>
      <c r="C9470" s="135" t="s">
        <v>486</v>
      </c>
      <c r="D9470" s="161" t="s">
        <v>74</v>
      </c>
      <c r="E9470" s="135">
        <f t="shared" si="62"/>
        <v>8</v>
      </c>
      <c r="F9470" s="134" t="s">
        <v>4548</v>
      </c>
      <c r="G9470" s="63" t="str">
        <f>VLOOKUP(C9470, 'Class Def. - General Data'!$C$20:$C$1000,1,false)</f>
        <v>ZSI1_FOOD_CUT_MC</v>
      </c>
      <c r="H9470" s="63" t="str">
        <f>IFERROR(__xludf.DUMMYFUNCTION("VLOOKUP(F9470, IMPORTRANGE(""https://docs.google.com/spreadsheets/d/1Lhp9OU0JdFf_VYSMzH5lBcEaU4o8teT1piV-SNzShjg/edit?gid=554141278#gid=554141278"", ""'Char Def. - Attributes'!C20:C2242""), 1,false)"),"ORDER_UNIT_FOOD_CUT_MC")</f>
        <v>ORDER_UNIT_FOOD_CUT_MC</v>
      </c>
      <c r="I9470" s="136"/>
      <c r="R9470" s="63" t="str">
        <f t="shared" si="60"/>
        <v>ZSI1_FOOD_CUT_MCORDER_UNIT_FOOD_CUT_MC</v>
      </c>
    </row>
    <row r="9471" ht="15.75" customHeight="1">
      <c r="B9471" s="63">
        <f t="shared" si="1"/>
        <v>16</v>
      </c>
      <c r="C9471" s="135" t="s">
        <v>486</v>
      </c>
      <c r="D9471" s="161" t="s">
        <v>74</v>
      </c>
      <c r="E9471" s="135">
        <f t="shared" si="62"/>
        <v>9</v>
      </c>
      <c r="F9471" s="134" t="s">
        <v>4056</v>
      </c>
      <c r="G9471" s="63" t="str">
        <f>VLOOKUP(C9471, 'Class Def. - General Data'!$C$20:$C$1000,1,false)</f>
        <v>ZSI1_FOOD_CUT_MC</v>
      </c>
      <c r="H9471" s="63" t="str">
        <f>IFERROR(__xludf.DUMMYFUNCTION("VLOOKUP(F9471, IMPORTRANGE(""https://docs.google.com/spreadsheets/d/1Lhp9OU0JdFf_VYSMzH5lBcEaU4o8teT1piV-SNzShjg/edit?gid=554141278#gid=554141278"", ""'Char Def. - Attributes'!C20:C2242""), 1,false)"),"GROSS_WEIGHT_OPT")</f>
        <v>GROSS_WEIGHT_OPT</v>
      </c>
      <c r="I9471" s="136"/>
      <c r="R9471" s="63" t="str">
        <f t="shared" si="60"/>
        <v>ZSI1_FOOD_CUT_MCGROSS_WEIGHT_OPT</v>
      </c>
    </row>
    <row r="9472" ht="15.75" customHeight="1">
      <c r="B9472" s="63">
        <f t="shared" si="1"/>
        <v>16</v>
      </c>
      <c r="C9472" s="135" t="s">
        <v>486</v>
      </c>
      <c r="D9472" s="161" t="s">
        <v>74</v>
      </c>
      <c r="E9472" s="135">
        <f t="shared" si="62"/>
        <v>10</v>
      </c>
      <c r="F9472" s="134" t="s">
        <v>4057</v>
      </c>
      <c r="G9472" s="63" t="str">
        <f>VLOOKUP(C9472, 'Class Def. - General Data'!$C$20:$C$1000,1,false)</f>
        <v>ZSI1_FOOD_CUT_MC</v>
      </c>
      <c r="H9472" s="63" t="str">
        <f>IFERROR(__xludf.DUMMYFUNCTION("VLOOKUP(F9472, IMPORTRANGE(""https://docs.google.com/spreadsheets/d/1Lhp9OU0JdFf_VYSMzH5lBcEaU4o8teT1piV-SNzShjg/edit?gid=554141278#gid=554141278"", ""'Char Def. - Attributes'!C20:C2242""), 1,false)"),"NET_WEIGHT_OPT")</f>
        <v>NET_WEIGHT_OPT</v>
      </c>
      <c r="I9472" s="136"/>
      <c r="R9472" s="63" t="str">
        <f t="shared" si="60"/>
        <v>ZSI1_FOOD_CUT_MCNET_WEIGHT_OPT</v>
      </c>
    </row>
    <row r="9473" ht="15.75" customHeight="1">
      <c r="B9473" s="63">
        <f t="shared" si="1"/>
        <v>16</v>
      </c>
      <c r="C9473" s="135" t="s">
        <v>486</v>
      </c>
      <c r="D9473" s="161" t="s">
        <v>74</v>
      </c>
      <c r="E9473" s="135">
        <f t="shared" si="62"/>
        <v>11</v>
      </c>
      <c r="F9473" s="134" t="s">
        <v>4058</v>
      </c>
      <c r="G9473" s="63" t="str">
        <f>VLOOKUP(C9473, 'Class Def. - General Data'!$C$20:$C$1000,1,false)</f>
        <v>ZSI1_FOOD_CUT_MC</v>
      </c>
      <c r="H9473" s="63" t="str">
        <f>IFERROR(__xludf.DUMMYFUNCTION("VLOOKUP(F9473, IMPORTRANGE(""https://docs.google.com/spreadsheets/d/1Lhp9OU0JdFf_VYSMzH5lBcEaU4o8teT1piV-SNzShjg/edit?gid=554141278#gid=554141278"", ""'Char Def. - Attributes'!C20:C2242""), 1,false)"),"WEIGHT_UNIT_SI")</f>
        <v>WEIGHT_UNIT_SI</v>
      </c>
      <c r="I9473" s="136"/>
      <c r="R9473" s="63" t="str">
        <f t="shared" si="60"/>
        <v>ZSI1_FOOD_CUT_MCWEIGHT_UNIT_SI</v>
      </c>
    </row>
    <row r="9474" ht="15.75" customHeight="1">
      <c r="B9474" s="63">
        <f t="shared" si="1"/>
        <v>16</v>
      </c>
      <c r="C9474" s="135" t="s">
        <v>486</v>
      </c>
      <c r="D9474" s="161" t="s">
        <v>74</v>
      </c>
      <c r="E9474" s="135">
        <f t="shared" si="62"/>
        <v>12</v>
      </c>
      <c r="F9474" s="134" t="s">
        <v>3877</v>
      </c>
      <c r="G9474" s="63" t="str">
        <f>VLOOKUP(C9474, 'Class Def. - General Data'!$C$20:$C$1000,1,false)</f>
        <v>ZSI1_FOOD_CUT_MC</v>
      </c>
      <c r="H9474" s="63" t="str">
        <f>IFERROR(__xludf.DUMMYFUNCTION("VLOOKUP(F9474, IMPORTRANGE(""https://docs.google.com/spreadsheets/d/1Lhp9OU0JdFf_VYSMzH5lBcEaU4o8teT1piV-SNzShjg/edit?gid=554141278#gid=554141278"", ""'Char Def. - Attributes'!C20:C2242""), 1,false)"),"VOLUME_OPT")</f>
        <v>VOLUME_OPT</v>
      </c>
      <c r="I9474" s="136"/>
      <c r="R9474" s="63" t="str">
        <f t="shared" si="60"/>
        <v>ZSI1_FOOD_CUT_MCVOLUME_OPT</v>
      </c>
    </row>
    <row r="9475" ht="15.75" customHeight="1">
      <c r="B9475" s="63">
        <f t="shared" si="1"/>
        <v>16</v>
      </c>
      <c r="C9475" s="135" t="s">
        <v>486</v>
      </c>
      <c r="D9475" s="161" t="s">
        <v>74</v>
      </c>
      <c r="E9475" s="135">
        <f t="shared" si="62"/>
        <v>13</v>
      </c>
      <c r="F9475" s="134" t="s">
        <v>4059</v>
      </c>
      <c r="G9475" s="63" t="str">
        <f>VLOOKUP(C9475, 'Class Def. - General Data'!$C$20:$C$1000,1,false)</f>
        <v>ZSI1_FOOD_CUT_MC</v>
      </c>
      <c r="H9475" s="63" t="str">
        <f>IFERROR(__xludf.DUMMYFUNCTION("VLOOKUP(F9475, IMPORTRANGE(""https://docs.google.com/spreadsheets/d/1Lhp9OU0JdFf_VYSMzH5lBcEaU4o8teT1piV-SNzShjg/edit?gid=554141278#gid=554141278"", ""'Char Def. - Attributes'!C20:C2242""), 1,false)"),"VOLUME_UNIT_SI")</f>
        <v>VOLUME_UNIT_SI</v>
      </c>
      <c r="I9475" s="136"/>
      <c r="R9475" s="63" t="str">
        <f t="shared" si="60"/>
        <v>ZSI1_FOOD_CUT_MCVOLUME_UNIT_SI</v>
      </c>
    </row>
    <row r="9476" ht="15.75" customHeight="1">
      <c r="B9476" s="63">
        <f t="shared" si="1"/>
        <v>16</v>
      </c>
      <c r="C9476" s="135" t="s">
        <v>486</v>
      </c>
      <c r="D9476" s="161" t="s">
        <v>74</v>
      </c>
      <c r="E9476" s="135">
        <f t="shared" si="62"/>
        <v>14</v>
      </c>
      <c r="F9476" s="134" t="s">
        <v>3804</v>
      </c>
      <c r="G9476" s="63" t="str">
        <f>VLOOKUP(C9476, 'Class Def. - General Data'!$C$20:$C$1000,1,false)</f>
        <v>ZSI1_FOOD_CUT_MC</v>
      </c>
      <c r="H9476" s="63" t="str">
        <f>IFERROR(__xludf.DUMMYFUNCTION("VLOOKUP(F9476, IMPORTRANGE(""https://docs.google.com/spreadsheets/d/1Lhp9OU0JdFf_VYSMzH5lBcEaU4o8teT1piV-SNzShjg/edit?gid=554141278#gid=554141278"", ""'Char Def. - Attributes'!C20:C2242""), 1,false)"),"ALT_UOM1_SIPI")</f>
        <v>ALT_UOM1_SIPI</v>
      </c>
      <c r="I9476" s="136"/>
      <c r="R9476" s="63" t="str">
        <f t="shared" si="60"/>
        <v>ZSI1_FOOD_CUT_MCALT_UOM1_SIPI</v>
      </c>
    </row>
    <row r="9477" ht="15.75" customHeight="1">
      <c r="B9477" s="63">
        <f t="shared" si="1"/>
        <v>16</v>
      </c>
      <c r="C9477" s="135" t="s">
        <v>486</v>
      </c>
      <c r="D9477" s="161" t="s">
        <v>74</v>
      </c>
      <c r="E9477" s="135">
        <f t="shared" si="62"/>
        <v>15</v>
      </c>
      <c r="F9477" s="134" t="s">
        <v>3805</v>
      </c>
      <c r="G9477" s="63" t="str">
        <f>VLOOKUP(C9477, 'Class Def. - General Data'!$C$20:$C$1000,1,false)</f>
        <v>ZSI1_FOOD_CUT_MC</v>
      </c>
      <c r="H9477" s="63" t="str">
        <f>IFERROR(__xludf.DUMMYFUNCTION("VLOOKUP(F9477, IMPORTRANGE(""https://docs.google.com/spreadsheets/d/1Lhp9OU0JdFf_VYSMzH5lBcEaU4o8teT1piV-SNzShjg/edit?gid=554141278#gid=554141278"", ""'Char Def. - Attributes'!C20:C2242""), 1,false)"),"ALT_DENUM_UOM1")</f>
        <v>ALT_DENUM_UOM1</v>
      </c>
      <c r="I9477" s="136"/>
      <c r="R9477" s="63" t="str">
        <f t="shared" si="60"/>
        <v>ZSI1_FOOD_CUT_MCALT_DENUM_UOM1</v>
      </c>
    </row>
    <row r="9478" ht="15.75" customHeight="1">
      <c r="B9478" s="63">
        <f t="shared" si="1"/>
        <v>16</v>
      </c>
      <c r="C9478" s="135" t="s">
        <v>486</v>
      </c>
      <c r="D9478" s="161" t="s">
        <v>74</v>
      </c>
      <c r="E9478" s="135">
        <f t="shared" si="62"/>
        <v>16</v>
      </c>
      <c r="F9478" s="134" t="s">
        <v>3806</v>
      </c>
      <c r="G9478" s="63" t="str">
        <f>VLOOKUP(C9478, 'Class Def. - General Data'!$C$20:$C$1000,1,false)</f>
        <v>ZSI1_FOOD_CUT_MC</v>
      </c>
      <c r="H9478" s="63" t="str">
        <f>IFERROR(__xludf.DUMMYFUNCTION("VLOOKUP(F9478, IMPORTRANGE(""https://docs.google.com/spreadsheets/d/1Lhp9OU0JdFf_VYSMzH5lBcEaU4o8teT1piV-SNzShjg/edit?gid=554141278#gid=554141278"", ""'Char Def. - Attributes'!C20:C2242""), 1,false)"),"ALT_NUM_UOM1")</f>
        <v>ALT_NUM_UOM1</v>
      </c>
      <c r="I9478" s="136"/>
      <c r="R9478" s="63" t="str">
        <f t="shared" si="60"/>
        <v>ZSI1_FOOD_CUT_MCALT_NUM_UOM1</v>
      </c>
    </row>
    <row r="9479" ht="15.75" customHeight="1">
      <c r="B9479" s="63">
        <f t="shared" si="1"/>
        <v>16</v>
      </c>
      <c r="C9479" s="135" t="s">
        <v>486</v>
      </c>
      <c r="D9479" s="161" t="s">
        <v>74</v>
      </c>
      <c r="E9479" s="135">
        <f t="shared" si="62"/>
        <v>17</v>
      </c>
      <c r="F9479" s="134" t="s">
        <v>3807</v>
      </c>
      <c r="G9479" s="63" t="str">
        <f>VLOOKUP(C9479, 'Class Def. - General Data'!$C$20:$C$1000,1,false)</f>
        <v>ZSI1_FOOD_CUT_MC</v>
      </c>
      <c r="H9479" s="63" t="str">
        <f>IFERROR(__xludf.DUMMYFUNCTION("VLOOKUP(F9479, IMPORTRANGE(""https://docs.google.com/spreadsheets/d/1Lhp9OU0JdFf_VYSMzH5lBcEaU4o8teT1piV-SNzShjg/edit?gid=554141278#gid=554141278"", ""'Char Def. - Attributes'!C20:C2242""), 1,false)"),"ALT_UOM2_SIPI")</f>
        <v>ALT_UOM2_SIPI</v>
      </c>
      <c r="I9479" s="136"/>
      <c r="R9479" s="63" t="str">
        <f t="shared" si="60"/>
        <v>ZSI1_FOOD_CUT_MCALT_UOM2_SIPI</v>
      </c>
    </row>
    <row r="9480" ht="15.75" customHeight="1">
      <c r="B9480" s="63">
        <f t="shared" si="1"/>
        <v>16</v>
      </c>
      <c r="C9480" s="135" t="s">
        <v>486</v>
      </c>
      <c r="D9480" s="161" t="s">
        <v>74</v>
      </c>
      <c r="E9480" s="135">
        <f t="shared" si="62"/>
        <v>18</v>
      </c>
      <c r="F9480" s="134" t="s">
        <v>3808</v>
      </c>
      <c r="G9480" s="63" t="str">
        <f>VLOOKUP(C9480, 'Class Def. - General Data'!$C$20:$C$1000,1,false)</f>
        <v>ZSI1_FOOD_CUT_MC</v>
      </c>
      <c r="H9480" s="63" t="str">
        <f>IFERROR(__xludf.DUMMYFUNCTION("VLOOKUP(F9480, IMPORTRANGE(""https://docs.google.com/spreadsheets/d/1Lhp9OU0JdFf_VYSMzH5lBcEaU4o8teT1piV-SNzShjg/edit?gid=554141278#gid=554141278"", ""'Char Def. - Attributes'!C20:C2242""), 1,false)"),"ALT_DENUM_UOM2")</f>
        <v>ALT_DENUM_UOM2</v>
      </c>
      <c r="I9480" s="136"/>
      <c r="R9480" s="63" t="str">
        <f t="shared" si="60"/>
        <v>ZSI1_FOOD_CUT_MCALT_DENUM_UOM2</v>
      </c>
    </row>
    <row r="9481" ht="15.75" customHeight="1">
      <c r="B9481" s="63">
        <f t="shared" si="1"/>
        <v>16</v>
      </c>
      <c r="C9481" s="135" t="s">
        <v>486</v>
      </c>
      <c r="D9481" s="161" t="s">
        <v>74</v>
      </c>
      <c r="E9481" s="135">
        <f t="shared" si="62"/>
        <v>19</v>
      </c>
      <c r="F9481" s="134" t="s">
        <v>3809</v>
      </c>
      <c r="G9481" s="63" t="str">
        <f>VLOOKUP(C9481, 'Class Def. - General Data'!$C$20:$C$1000,1,false)</f>
        <v>ZSI1_FOOD_CUT_MC</v>
      </c>
      <c r="H9481" s="63" t="str">
        <f>IFERROR(__xludf.DUMMYFUNCTION("VLOOKUP(F9481, IMPORTRANGE(""https://docs.google.com/spreadsheets/d/1Lhp9OU0JdFf_VYSMzH5lBcEaU4o8teT1piV-SNzShjg/edit?gid=554141278#gid=554141278"", ""'Char Def. - Attributes'!C20:C2242""), 1,false)"),"ALT_NUM_UOM2")</f>
        <v>ALT_NUM_UOM2</v>
      </c>
      <c r="I9481" s="136"/>
      <c r="R9481" s="63" t="str">
        <f t="shared" si="60"/>
        <v>ZSI1_FOOD_CUT_MCALT_NUM_UOM2</v>
      </c>
    </row>
    <row r="9482" ht="15.75" customHeight="1">
      <c r="B9482" s="63">
        <f t="shared" si="1"/>
        <v>16</v>
      </c>
      <c r="C9482" s="135" t="s">
        <v>486</v>
      </c>
      <c r="D9482" s="161" t="s">
        <v>74</v>
      </c>
      <c r="E9482" s="135">
        <f t="shared" si="62"/>
        <v>20</v>
      </c>
      <c r="F9482" s="134" t="s">
        <v>3810</v>
      </c>
      <c r="G9482" s="63" t="str">
        <f>VLOOKUP(C9482, 'Class Def. - General Data'!$C$20:$C$1000,1,false)</f>
        <v>ZSI1_FOOD_CUT_MC</v>
      </c>
      <c r="H9482" s="63" t="str">
        <f>IFERROR(__xludf.DUMMYFUNCTION("VLOOKUP(F9482, IMPORTRANGE(""https://docs.google.com/spreadsheets/d/1Lhp9OU0JdFf_VYSMzH5lBcEaU4o8teT1piV-SNzShjg/edit?gid=554141278#gid=554141278"", ""'Char Def. - Attributes'!C20:C2242""), 1,false)"),"ALT_UOM3_SIPI")</f>
        <v>ALT_UOM3_SIPI</v>
      </c>
      <c r="I9482" s="136"/>
      <c r="R9482" s="63" t="str">
        <f t="shared" si="60"/>
        <v>ZSI1_FOOD_CUT_MCALT_UOM3_SIPI</v>
      </c>
    </row>
    <row r="9483" ht="15.75" customHeight="1">
      <c r="B9483" s="63">
        <f t="shared" si="1"/>
        <v>16</v>
      </c>
      <c r="C9483" s="135" t="s">
        <v>486</v>
      </c>
      <c r="D9483" s="161" t="s">
        <v>74</v>
      </c>
      <c r="E9483" s="135">
        <f t="shared" si="62"/>
        <v>21</v>
      </c>
      <c r="F9483" s="134" t="s">
        <v>3811</v>
      </c>
      <c r="G9483" s="63" t="str">
        <f>VLOOKUP(C9483, 'Class Def. - General Data'!$C$20:$C$1000,1,false)</f>
        <v>ZSI1_FOOD_CUT_MC</v>
      </c>
      <c r="H9483" s="63" t="str">
        <f>IFERROR(__xludf.DUMMYFUNCTION("VLOOKUP(F9483, IMPORTRANGE(""https://docs.google.com/spreadsheets/d/1Lhp9OU0JdFf_VYSMzH5lBcEaU4o8teT1piV-SNzShjg/edit?gid=554141278#gid=554141278"", ""'Char Def. - Attributes'!C20:C2242""), 1,false)"),"ALT_DENUM_UOM3")</f>
        <v>ALT_DENUM_UOM3</v>
      </c>
      <c r="I9483" s="136"/>
      <c r="R9483" s="63" t="str">
        <f t="shared" si="60"/>
        <v>ZSI1_FOOD_CUT_MCALT_DENUM_UOM3</v>
      </c>
    </row>
    <row r="9484" ht="15.75" customHeight="1">
      <c r="B9484" s="63">
        <f t="shared" si="1"/>
        <v>16</v>
      </c>
      <c r="C9484" s="135" t="s">
        <v>486</v>
      </c>
      <c r="D9484" s="161" t="s">
        <v>74</v>
      </c>
      <c r="E9484" s="135">
        <f t="shared" si="62"/>
        <v>22</v>
      </c>
      <c r="F9484" s="134" t="s">
        <v>3812</v>
      </c>
      <c r="G9484" s="63" t="str">
        <f>VLOOKUP(C9484, 'Class Def. - General Data'!$C$20:$C$1000,1,false)</f>
        <v>ZSI1_FOOD_CUT_MC</v>
      </c>
      <c r="H9484" s="63" t="str">
        <f>IFERROR(__xludf.DUMMYFUNCTION("VLOOKUP(F9484, IMPORTRANGE(""https://docs.google.com/spreadsheets/d/1Lhp9OU0JdFf_VYSMzH5lBcEaU4o8teT1piV-SNzShjg/edit?gid=554141278#gid=554141278"", ""'Char Def. - Attributes'!C20:C2242""), 1,false)"),"ALT_NUM_UOM3")</f>
        <v>ALT_NUM_UOM3</v>
      </c>
      <c r="I9484" s="136"/>
      <c r="R9484" s="63" t="str">
        <f t="shared" si="60"/>
        <v>ZSI1_FOOD_CUT_MCALT_NUM_UOM3</v>
      </c>
    </row>
    <row r="9485" ht="15.75" customHeight="1">
      <c r="B9485" s="63">
        <f t="shared" si="1"/>
        <v>16</v>
      </c>
      <c r="C9485" s="135" t="s">
        <v>486</v>
      </c>
      <c r="D9485" s="161" t="s">
        <v>74</v>
      </c>
      <c r="E9485" s="135">
        <f t="shared" si="62"/>
        <v>23</v>
      </c>
      <c r="F9485" s="134" t="s">
        <v>3813</v>
      </c>
      <c r="G9485" s="63" t="str">
        <f>VLOOKUP(C9485, 'Class Def. - General Data'!$C$20:$C$1000,1,false)</f>
        <v>ZSI1_FOOD_CUT_MC</v>
      </c>
      <c r="H9485" s="63" t="str">
        <f>IFERROR(__xludf.DUMMYFUNCTION("VLOOKUP(F9485, IMPORTRANGE(""https://docs.google.com/spreadsheets/d/1Lhp9OU0JdFf_VYSMzH5lBcEaU4o8teT1piV-SNzShjg/edit?gid=554141278#gid=554141278"", ""'Char Def. - Attributes'!C20:C2242""), 1,false)"),"ALT_UOM4_SIPI")</f>
        <v>ALT_UOM4_SIPI</v>
      </c>
      <c r="I9485" s="136"/>
      <c r="R9485" s="63" t="str">
        <f t="shared" si="60"/>
        <v>ZSI1_FOOD_CUT_MCALT_UOM4_SIPI</v>
      </c>
    </row>
    <row r="9486" ht="15.75" customHeight="1">
      <c r="B9486" s="63">
        <f t="shared" si="1"/>
        <v>16</v>
      </c>
      <c r="C9486" s="135" t="s">
        <v>486</v>
      </c>
      <c r="D9486" s="161" t="s">
        <v>74</v>
      </c>
      <c r="E9486" s="135">
        <f t="shared" si="62"/>
        <v>24</v>
      </c>
      <c r="F9486" s="134" t="s">
        <v>3814</v>
      </c>
      <c r="G9486" s="63" t="str">
        <f>VLOOKUP(C9486, 'Class Def. - General Data'!$C$20:$C$1000,1,false)</f>
        <v>ZSI1_FOOD_CUT_MC</v>
      </c>
      <c r="H9486" s="63" t="str">
        <f>IFERROR(__xludf.DUMMYFUNCTION("VLOOKUP(F9486, IMPORTRANGE(""https://docs.google.com/spreadsheets/d/1Lhp9OU0JdFf_VYSMzH5lBcEaU4o8teT1piV-SNzShjg/edit?gid=554141278#gid=554141278"", ""'Char Def. - Attributes'!C20:C2242""), 1,false)"),"ALT_DENUM_UOM4")</f>
        <v>ALT_DENUM_UOM4</v>
      </c>
      <c r="I9486" s="136"/>
      <c r="R9486" s="63" t="str">
        <f t="shared" si="60"/>
        <v>ZSI1_FOOD_CUT_MCALT_DENUM_UOM4</v>
      </c>
    </row>
    <row r="9487" ht="15.75" customHeight="1">
      <c r="B9487" s="63">
        <f t="shared" si="1"/>
        <v>16</v>
      </c>
      <c r="C9487" s="135" t="s">
        <v>486</v>
      </c>
      <c r="D9487" s="161" t="s">
        <v>74</v>
      </c>
      <c r="E9487" s="135">
        <f t="shared" si="62"/>
        <v>25</v>
      </c>
      <c r="F9487" s="134" t="s">
        <v>3815</v>
      </c>
      <c r="G9487" s="63" t="str">
        <f>VLOOKUP(C9487, 'Class Def. - General Data'!$C$20:$C$1000,1,false)</f>
        <v>ZSI1_FOOD_CUT_MC</v>
      </c>
      <c r="H9487" s="63" t="str">
        <f>IFERROR(__xludf.DUMMYFUNCTION("VLOOKUP(F9487, IMPORTRANGE(""https://docs.google.com/spreadsheets/d/1Lhp9OU0JdFf_VYSMzH5lBcEaU4o8teT1piV-SNzShjg/edit?gid=554141278#gid=554141278"", ""'Char Def. - Attributes'!C20:C2242""), 1,false)"),"ALT_NUM_UOM4")</f>
        <v>ALT_NUM_UOM4</v>
      </c>
      <c r="I9487" s="136"/>
      <c r="R9487" s="63" t="str">
        <f t="shared" si="60"/>
        <v>ZSI1_FOOD_CUT_MCALT_NUM_UOM4</v>
      </c>
    </row>
    <row r="9488" ht="15.75" customHeight="1">
      <c r="B9488" s="63">
        <f t="shared" si="1"/>
        <v>16</v>
      </c>
      <c r="C9488" s="135" t="s">
        <v>486</v>
      </c>
      <c r="D9488" s="161" t="s">
        <v>74</v>
      </c>
      <c r="E9488" s="135">
        <f t="shared" si="62"/>
        <v>26</v>
      </c>
      <c r="F9488" s="134" t="s">
        <v>3816</v>
      </c>
      <c r="G9488" s="63" t="str">
        <f>VLOOKUP(C9488, 'Class Def. - General Data'!$C$20:$C$1000,1,false)</f>
        <v>ZSI1_FOOD_CUT_MC</v>
      </c>
      <c r="H9488" s="63" t="str">
        <f>IFERROR(__xludf.DUMMYFUNCTION("VLOOKUP(F9488, IMPORTRANGE(""https://docs.google.com/spreadsheets/d/1Lhp9OU0JdFf_VYSMzH5lBcEaU4o8teT1piV-SNzShjg/edit?gid=554141278#gid=554141278"", ""'Char Def. - Attributes'!C20:C2242""), 1,false)"),"ALT_UOM5_SIPI")</f>
        <v>ALT_UOM5_SIPI</v>
      </c>
      <c r="I9488" s="136"/>
      <c r="R9488" s="63" t="str">
        <f t="shared" si="60"/>
        <v>ZSI1_FOOD_CUT_MCALT_UOM5_SIPI</v>
      </c>
    </row>
    <row r="9489" ht="15.75" customHeight="1">
      <c r="B9489" s="63">
        <f t="shared" si="1"/>
        <v>16</v>
      </c>
      <c r="C9489" s="135" t="s">
        <v>486</v>
      </c>
      <c r="D9489" s="161" t="s">
        <v>74</v>
      </c>
      <c r="E9489" s="135">
        <f t="shared" si="62"/>
        <v>27</v>
      </c>
      <c r="F9489" s="134" t="s">
        <v>3817</v>
      </c>
      <c r="G9489" s="63" t="str">
        <f>VLOOKUP(C9489, 'Class Def. - General Data'!$C$20:$C$1000,1,false)</f>
        <v>ZSI1_FOOD_CUT_MC</v>
      </c>
      <c r="H9489" s="63" t="str">
        <f>IFERROR(__xludf.DUMMYFUNCTION("VLOOKUP(F9489, IMPORTRANGE(""https://docs.google.com/spreadsheets/d/1Lhp9OU0JdFf_VYSMzH5lBcEaU4o8teT1piV-SNzShjg/edit?gid=554141278#gid=554141278"", ""'Char Def. - Attributes'!C20:C2242""), 1,false)"),"ALT_DENUM_UOM5")</f>
        <v>ALT_DENUM_UOM5</v>
      </c>
      <c r="I9489" s="136"/>
      <c r="R9489" s="63" t="str">
        <f t="shared" si="60"/>
        <v>ZSI1_FOOD_CUT_MCALT_DENUM_UOM5</v>
      </c>
    </row>
    <row r="9490" ht="15.75" customHeight="1">
      <c r="B9490" s="63">
        <f t="shared" si="1"/>
        <v>16</v>
      </c>
      <c r="C9490" s="135" t="s">
        <v>486</v>
      </c>
      <c r="D9490" s="161" t="s">
        <v>74</v>
      </c>
      <c r="E9490" s="135">
        <f t="shared" si="62"/>
        <v>28</v>
      </c>
      <c r="F9490" s="134" t="s">
        <v>3818</v>
      </c>
      <c r="G9490" s="63" t="str">
        <f>VLOOKUP(C9490, 'Class Def. - General Data'!$C$20:$C$1000,1,false)</f>
        <v>ZSI1_FOOD_CUT_MC</v>
      </c>
      <c r="H9490" s="63" t="str">
        <f>IFERROR(__xludf.DUMMYFUNCTION("VLOOKUP(F9490, IMPORTRANGE(""https://docs.google.com/spreadsheets/d/1Lhp9OU0JdFf_VYSMzH5lBcEaU4o8teT1piV-SNzShjg/edit?gid=554141278#gid=554141278"", ""'Char Def. - Attributes'!C20:C2242""), 1,false)"),"ALT_NUM_UOM5")</f>
        <v>ALT_NUM_UOM5</v>
      </c>
      <c r="I9490" s="136"/>
      <c r="R9490" s="63" t="str">
        <f t="shared" si="60"/>
        <v>ZSI1_FOOD_CUT_MCALT_NUM_UOM5</v>
      </c>
    </row>
    <row r="9491" ht="15.75" customHeight="1">
      <c r="B9491" s="63">
        <f t="shared" si="1"/>
        <v>17</v>
      </c>
      <c r="C9491" s="135" t="s">
        <v>306</v>
      </c>
      <c r="D9491" s="161" t="s">
        <v>74</v>
      </c>
      <c r="E9491" s="135">
        <f t="shared" si="62"/>
        <v>1</v>
      </c>
      <c r="F9491" s="134" t="s">
        <v>4549</v>
      </c>
      <c r="G9491" s="63" t="str">
        <f>VLOOKUP(C9491, 'Class Def. - General Data'!$C$20:$C$1000,1,false)</f>
        <v>ZSI1_FOOD_PREP_MC</v>
      </c>
      <c r="H9491" s="63" t="str">
        <f>IFERROR(__xludf.DUMMYFUNCTION("VLOOKUP(F9491, IMPORTRANGE(""https://docs.google.com/spreadsheets/d/1Lhp9OU0JdFf_VYSMzH5lBcEaU4o8teT1piV-SNzShjg/edit?gid=554141278#gid=554141278"", ""'Char Def. - Attributes'!C20:C2242""), 1,false)"),"ITEM_NAME_FOOD_PREP_MC")</f>
        <v>ITEM_NAME_FOOD_PREP_MC</v>
      </c>
      <c r="I9491" s="136"/>
      <c r="R9491" s="63" t="str">
        <f t="shared" si="60"/>
        <v>ZSI1_FOOD_PREP_MCITEM_NAME_FOOD_PREP_MC</v>
      </c>
    </row>
    <row r="9492" ht="15.75" customHeight="1">
      <c r="B9492" s="63">
        <f t="shared" si="1"/>
        <v>17</v>
      </c>
      <c r="C9492" s="135" t="s">
        <v>306</v>
      </c>
      <c r="D9492" s="161" t="s">
        <v>74</v>
      </c>
      <c r="E9492" s="135">
        <f t="shared" si="62"/>
        <v>2</v>
      </c>
      <c r="F9492" s="134" t="s">
        <v>4550</v>
      </c>
      <c r="G9492" s="63" t="str">
        <f>VLOOKUP(C9492, 'Class Def. - General Data'!$C$20:$C$1000,1,false)</f>
        <v>ZSI1_FOOD_PREP_MC</v>
      </c>
      <c r="H9492" s="63" t="str">
        <f>IFERROR(__xludf.DUMMYFUNCTION("VLOOKUP(F9492, IMPORTRANGE(""https://docs.google.com/spreadsheets/d/1Lhp9OU0JdFf_VYSMzH5lBcEaU4o8teT1piV-SNzShjg/edit?gid=554141278#gid=554141278"", ""'Char Def. - Attributes'!C20:C2242""), 1,false)"),"MFR_NO_FOOD_PREP_MC")</f>
        <v>MFR_NO_FOOD_PREP_MC</v>
      </c>
      <c r="I9492" s="136"/>
      <c r="R9492" s="63" t="str">
        <f t="shared" si="60"/>
        <v>ZSI1_FOOD_PREP_MCMFR_NO_FOOD_PREP_MC</v>
      </c>
    </row>
    <row r="9493" ht="15.75" customHeight="1">
      <c r="B9493" s="63">
        <f t="shared" si="1"/>
        <v>17</v>
      </c>
      <c r="C9493" s="135" t="s">
        <v>306</v>
      </c>
      <c r="D9493" s="161" t="s">
        <v>74</v>
      </c>
      <c r="E9493" s="135">
        <f t="shared" si="62"/>
        <v>3</v>
      </c>
      <c r="F9493" s="134" t="s">
        <v>3782</v>
      </c>
      <c r="G9493" s="63" t="str">
        <f>VLOOKUP(C9493, 'Class Def. - General Data'!$C$20:$C$1000,1,false)</f>
        <v>ZSI1_FOOD_PREP_MC</v>
      </c>
      <c r="H9493" s="63" t="str">
        <f>IFERROR(__xludf.DUMMYFUNCTION("VLOOKUP(F9493, IMPORTRANGE(""https://docs.google.com/spreadsheets/d/1Lhp9OU0JdFf_VYSMzH5lBcEaU4o8teT1piV-SNzShjg/edit?gid=554141278#gid=554141278"", ""'Char Def. - Attributes'!C20:C2242""), 1,false)"),"BRAND_EXTERNAL")</f>
        <v>BRAND_EXTERNAL</v>
      </c>
      <c r="I9493" s="136"/>
      <c r="R9493" s="63" t="str">
        <f t="shared" si="60"/>
        <v>ZSI1_FOOD_PREP_MCBRAND_EXTERNAL</v>
      </c>
    </row>
    <row r="9494" ht="15.75" customHeight="1">
      <c r="B9494" s="63">
        <f t="shared" si="1"/>
        <v>17</v>
      </c>
      <c r="C9494" s="135" t="s">
        <v>306</v>
      </c>
      <c r="D9494" s="161" t="s">
        <v>74</v>
      </c>
      <c r="E9494" s="135">
        <f t="shared" si="62"/>
        <v>4</v>
      </c>
      <c r="F9494" s="134" t="s">
        <v>4062</v>
      </c>
      <c r="G9494" s="63" t="str">
        <f>VLOOKUP(C9494, 'Class Def. - General Data'!$C$20:$C$1000,1,false)</f>
        <v>ZSI1_FOOD_PREP_MC</v>
      </c>
      <c r="H9494" s="63" t="str">
        <f>IFERROR(__xludf.DUMMYFUNCTION("VLOOKUP(F9494, IMPORTRANGE(""https://docs.google.com/spreadsheets/d/1Lhp9OU0JdFf_VYSMzH5lBcEaU4o8teT1piV-SNzShjg/edit?gid=554141278#gid=554141278"", ""'Char Def. - Attributes'!C20:C2242""), 1,false)"),"#N/A")</f>
        <v>#N/A</v>
      </c>
      <c r="I9494" s="136"/>
      <c r="R9494" s="63" t="str">
        <f t="shared" si="60"/>
        <v>ZSI1_FOOD_PREP_MCADDTIONAL_SPECIFICATION</v>
      </c>
    </row>
    <row r="9495" ht="15.75" customHeight="1">
      <c r="B9495" s="63">
        <f t="shared" si="1"/>
        <v>17</v>
      </c>
      <c r="C9495" s="135" t="s">
        <v>306</v>
      </c>
      <c r="D9495" s="161" t="s">
        <v>74</v>
      </c>
      <c r="E9495" s="135">
        <f t="shared" si="62"/>
        <v>5</v>
      </c>
      <c r="F9495" s="134" t="s">
        <v>3585</v>
      </c>
      <c r="G9495" s="63" t="str">
        <f>VLOOKUP(C9495, 'Class Def. - General Data'!$C$20:$C$1000,1,false)</f>
        <v>ZSI1_FOOD_PREP_MC</v>
      </c>
      <c r="H9495" s="63" t="str">
        <f>IFERROR(__xludf.DUMMYFUNCTION("VLOOKUP(F9495, IMPORTRANGE(""https://docs.google.com/spreadsheets/d/1Lhp9OU0JdFf_VYSMzH5lBcEaU4o8teT1piV-SNzShjg/edit?gid=554141278#gid=554141278"", ""'Char Def. - Attributes'!C20:C2242""), 1,false)"),"HS_CODE")</f>
        <v>HS_CODE</v>
      </c>
      <c r="I9495" s="136"/>
      <c r="R9495" s="63" t="str">
        <f t="shared" si="60"/>
        <v>ZSI1_FOOD_PREP_MCHS_CODE</v>
      </c>
    </row>
    <row r="9496" ht="15.75" customHeight="1">
      <c r="B9496" s="63">
        <f t="shared" si="1"/>
        <v>17</v>
      </c>
      <c r="C9496" s="135" t="s">
        <v>306</v>
      </c>
      <c r="D9496" s="161" t="s">
        <v>74</v>
      </c>
      <c r="E9496" s="135">
        <f t="shared" si="62"/>
        <v>6</v>
      </c>
      <c r="F9496" s="134" t="s">
        <v>3587</v>
      </c>
      <c r="G9496" s="63" t="str">
        <f>VLOOKUP(C9496, 'Class Def. - General Data'!$C$20:$C$1000,1,false)</f>
        <v>ZSI1_FOOD_PREP_MC</v>
      </c>
      <c r="H9496" s="63" t="str">
        <f>IFERROR(__xludf.DUMMYFUNCTION("VLOOKUP(F9496, IMPORTRANGE(""https://docs.google.com/spreadsheets/d/1Lhp9OU0JdFf_VYSMzH5lBcEaU4o8teT1piV-SNzShjg/edit?gid=554141278#gid=554141278"", ""'Char Def. - Attributes'!C20:C2242""), 1,false)"),"PLANT_BUY")</f>
        <v>PLANT_BUY</v>
      </c>
      <c r="I9496" s="136"/>
      <c r="R9496" s="63" t="str">
        <f t="shared" si="60"/>
        <v>ZSI1_FOOD_PREP_MCPLANT_BUY</v>
      </c>
    </row>
    <row r="9497" ht="15.75" customHeight="1">
      <c r="B9497" s="63">
        <f t="shared" si="1"/>
        <v>17</v>
      </c>
      <c r="C9497" s="135" t="s">
        <v>306</v>
      </c>
      <c r="D9497" s="161" t="s">
        <v>74</v>
      </c>
      <c r="E9497" s="135">
        <f t="shared" si="62"/>
        <v>7</v>
      </c>
      <c r="F9497" s="134" t="s">
        <v>4551</v>
      </c>
      <c r="G9497" s="63" t="str">
        <f>VLOOKUP(C9497, 'Class Def. - General Data'!$C$20:$C$1000,1,false)</f>
        <v>ZSI1_FOOD_PREP_MC</v>
      </c>
      <c r="H9497" s="63" t="str">
        <f>IFERROR(__xludf.DUMMYFUNCTION("VLOOKUP(F9497, IMPORTRANGE(""https://docs.google.com/spreadsheets/d/1Lhp9OU0JdFf_VYSMzH5lBcEaU4o8teT1piV-SNzShjg/edit?gid=554141278#gid=554141278"", ""'Char Def. - Attributes'!C20:C2242""), 1,false)"),"BASE_UOM_FOOD_PREP_MC")</f>
        <v>BASE_UOM_FOOD_PREP_MC</v>
      </c>
      <c r="I9497" s="136"/>
      <c r="R9497" s="63" t="str">
        <f t="shared" si="60"/>
        <v>ZSI1_FOOD_PREP_MCBASE_UOM_FOOD_PREP_MC</v>
      </c>
    </row>
    <row r="9498" ht="15.75" customHeight="1">
      <c r="B9498" s="63">
        <f t="shared" si="1"/>
        <v>17</v>
      </c>
      <c r="C9498" s="135" t="s">
        <v>306</v>
      </c>
      <c r="D9498" s="161" t="s">
        <v>74</v>
      </c>
      <c r="E9498" s="135">
        <f t="shared" si="62"/>
        <v>8</v>
      </c>
      <c r="F9498" s="134" t="s">
        <v>4552</v>
      </c>
      <c r="G9498" s="63" t="str">
        <f>VLOOKUP(C9498, 'Class Def. - General Data'!$C$20:$C$1000,1,false)</f>
        <v>ZSI1_FOOD_PREP_MC</v>
      </c>
      <c r="H9498" s="63" t="str">
        <f>IFERROR(__xludf.DUMMYFUNCTION("VLOOKUP(F9498, IMPORTRANGE(""https://docs.google.com/spreadsheets/d/1Lhp9OU0JdFf_VYSMzH5lBcEaU4o8teT1piV-SNzShjg/edit?gid=554141278#gid=554141278"", ""'Char Def. - Attributes'!C20:C2242""), 1,false)"),"ORDER_UNIT_FOOD_PREP_MC")</f>
        <v>ORDER_UNIT_FOOD_PREP_MC</v>
      </c>
      <c r="I9498" s="136"/>
      <c r="R9498" s="63" t="str">
        <f t="shared" si="60"/>
        <v>ZSI1_FOOD_PREP_MCORDER_UNIT_FOOD_PREP_MC</v>
      </c>
    </row>
    <row r="9499" ht="15.75" customHeight="1">
      <c r="B9499" s="63">
        <f t="shared" si="1"/>
        <v>17</v>
      </c>
      <c r="C9499" s="135" t="s">
        <v>306</v>
      </c>
      <c r="D9499" s="161" t="s">
        <v>74</v>
      </c>
      <c r="E9499" s="135">
        <f t="shared" si="62"/>
        <v>9</v>
      </c>
      <c r="F9499" s="134" t="s">
        <v>4056</v>
      </c>
      <c r="G9499" s="63" t="str">
        <f>VLOOKUP(C9499, 'Class Def. - General Data'!$C$20:$C$1000,1,false)</f>
        <v>ZSI1_FOOD_PREP_MC</v>
      </c>
      <c r="H9499" s="63" t="str">
        <f>IFERROR(__xludf.DUMMYFUNCTION("VLOOKUP(F9499, IMPORTRANGE(""https://docs.google.com/spreadsheets/d/1Lhp9OU0JdFf_VYSMzH5lBcEaU4o8teT1piV-SNzShjg/edit?gid=554141278#gid=554141278"", ""'Char Def. - Attributes'!C20:C2242""), 1,false)"),"GROSS_WEIGHT_OPT")</f>
        <v>GROSS_WEIGHT_OPT</v>
      </c>
      <c r="I9499" s="136"/>
      <c r="R9499" s="63" t="str">
        <f t="shared" si="60"/>
        <v>ZSI1_FOOD_PREP_MCGROSS_WEIGHT_OPT</v>
      </c>
    </row>
    <row r="9500" ht="15.75" customHeight="1">
      <c r="B9500" s="63">
        <f t="shared" si="1"/>
        <v>17</v>
      </c>
      <c r="C9500" s="135" t="s">
        <v>306</v>
      </c>
      <c r="D9500" s="161" t="s">
        <v>74</v>
      </c>
      <c r="E9500" s="135">
        <f t="shared" si="62"/>
        <v>10</v>
      </c>
      <c r="F9500" s="134" t="s">
        <v>4057</v>
      </c>
      <c r="G9500" s="63" t="str">
        <f>VLOOKUP(C9500, 'Class Def. - General Data'!$C$20:$C$1000,1,false)</f>
        <v>ZSI1_FOOD_PREP_MC</v>
      </c>
      <c r="H9500" s="63" t="str">
        <f>IFERROR(__xludf.DUMMYFUNCTION("VLOOKUP(F9500, IMPORTRANGE(""https://docs.google.com/spreadsheets/d/1Lhp9OU0JdFf_VYSMzH5lBcEaU4o8teT1piV-SNzShjg/edit?gid=554141278#gid=554141278"", ""'Char Def. - Attributes'!C20:C2242""), 1,false)"),"NET_WEIGHT_OPT")</f>
        <v>NET_WEIGHT_OPT</v>
      </c>
      <c r="I9500" s="136"/>
      <c r="R9500" s="63" t="str">
        <f t="shared" si="60"/>
        <v>ZSI1_FOOD_PREP_MCNET_WEIGHT_OPT</v>
      </c>
    </row>
    <row r="9501" ht="15.75" customHeight="1">
      <c r="B9501" s="63">
        <f t="shared" si="1"/>
        <v>17</v>
      </c>
      <c r="C9501" s="135" t="s">
        <v>306</v>
      </c>
      <c r="D9501" s="161" t="s">
        <v>74</v>
      </c>
      <c r="E9501" s="135">
        <f t="shared" si="62"/>
        <v>11</v>
      </c>
      <c r="F9501" s="134" t="s">
        <v>4058</v>
      </c>
      <c r="G9501" s="63" t="str">
        <f>VLOOKUP(C9501, 'Class Def. - General Data'!$C$20:$C$1000,1,false)</f>
        <v>ZSI1_FOOD_PREP_MC</v>
      </c>
      <c r="H9501" s="63" t="str">
        <f>IFERROR(__xludf.DUMMYFUNCTION("VLOOKUP(F9501, IMPORTRANGE(""https://docs.google.com/spreadsheets/d/1Lhp9OU0JdFf_VYSMzH5lBcEaU4o8teT1piV-SNzShjg/edit?gid=554141278#gid=554141278"", ""'Char Def. - Attributes'!C20:C2242""), 1,false)"),"WEIGHT_UNIT_SI")</f>
        <v>WEIGHT_UNIT_SI</v>
      </c>
      <c r="I9501" s="136"/>
      <c r="R9501" s="63" t="str">
        <f t="shared" si="60"/>
        <v>ZSI1_FOOD_PREP_MCWEIGHT_UNIT_SI</v>
      </c>
    </row>
    <row r="9502" ht="15.75" customHeight="1">
      <c r="B9502" s="63">
        <f t="shared" si="1"/>
        <v>17</v>
      </c>
      <c r="C9502" s="135" t="s">
        <v>306</v>
      </c>
      <c r="D9502" s="161" t="s">
        <v>74</v>
      </c>
      <c r="E9502" s="135">
        <f t="shared" si="62"/>
        <v>12</v>
      </c>
      <c r="F9502" s="134" t="s">
        <v>3877</v>
      </c>
      <c r="G9502" s="63" t="str">
        <f>VLOOKUP(C9502, 'Class Def. - General Data'!$C$20:$C$1000,1,false)</f>
        <v>ZSI1_FOOD_PREP_MC</v>
      </c>
      <c r="H9502" s="63" t="str">
        <f>IFERROR(__xludf.DUMMYFUNCTION("VLOOKUP(F9502, IMPORTRANGE(""https://docs.google.com/spreadsheets/d/1Lhp9OU0JdFf_VYSMzH5lBcEaU4o8teT1piV-SNzShjg/edit?gid=554141278#gid=554141278"", ""'Char Def. - Attributes'!C20:C2242""), 1,false)"),"VOLUME_OPT")</f>
        <v>VOLUME_OPT</v>
      </c>
      <c r="I9502" s="136"/>
      <c r="R9502" s="63" t="str">
        <f t="shared" si="60"/>
        <v>ZSI1_FOOD_PREP_MCVOLUME_OPT</v>
      </c>
    </row>
    <row r="9503" ht="15.75" customHeight="1">
      <c r="B9503" s="63">
        <f t="shared" si="1"/>
        <v>17</v>
      </c>
      <c r="C9503" s="135" t="s">
        <v>306</v>
      </c>
      <c r="D9503" s="161" t="s">
        <v>74</v>
      </c>
      <c r="E9503" s="135">
        <f t="shared" si="62"/>
        <v>13</v>
      </c>
      <c r="F9503" s="134" t="s">
        <v>4059</v>
      </c>
      <c r="G9503" s="63" t="str">
        <f>VLOOKUP(C9503, 'Class Def. - General Data'!$C$20:$C$1000,1,false)</f>
        <v>ZSI1_FOOD_PREP_MC</v>
      </c>
      <c r="H9503" s="63" t="str">
        <f>IFERROR(__xludf.DUMMYFUNCTION("VLOOKUP(F9503, IMPORTRANGE(""https://docs.google.com/spreadsheets/d/1Lhp9OU0JdFf_VYSMzH5lBcEaU4o8teT1piV-SNzShjg/edit?gid=554141278#gid=554141278"", ""'Char Def. - Attributes'!C20:C2242""), 1,false)"),"VOLUME_UNIT_SI")</f>
        <v>VOLUME_UNIT_SI</v>
      </c>
      <c r="I9503" s="136"/>
      <c r="R9503" s="63" t="str">
        <f t="shared" si="60"/>
        <v>ZSI1_FOOD_PREP_MCVOLUME_UNIT_SI</v>
      </c>
    </row>
    <row r="9504" ht="15.75" customHeight="1">
      <c r="B9504" s="63">
        <f t="shared" si="1"/>
        <v>17</v>
      </c>
      <c r="C9504" s="135" t="s">
        <v>306</v>
      </c>
      <c r="D9504" s="161" t="s">
        <v>74</v>
      </c>
      <c r="E9504" s="135">
        <f t="shared" si="62"/>
        <v>14</v>
      </c>
      <c r="F9504" s="134" t="s">
        <v>3804</v>
      </c>
      <c r="G9504" s="63" t="str">
        <f>VLOOKUP(C9504, 'Class Def. - General Data'!$C$20:$C$1000,1,false)</f>
        <v>ZSI1_FOOD_PREP_MC</v>
      </c>
      <c r="H9504" s="63" t="str">
        <f>IFERROR(__xludf.DUMMYFUNCTION("VLOOKUP(F9504, IMPORTRANGE(""https://docs.google.com/spreadsheets/d/1Lhp9OU0JdFf_VYSMzH5lBcEaU4o8teT1piV-SNzShjg/edit?gid=554141278#gid=554141278"", ""'Char Def. - Attributes'!C20:C2242""), 1,false)"),"ALT_UOM1_SIPI")</f>
        <v>ALT_UOM1_SIPI</v>
      </c>
      <c r="I9504" s="136"/>
      <c r="R9504" s="63" t="str">
        <f t="shared" si="60"/>
        <v>ZSI1_FOOD_PREP_MCALT_UOM1_SIPI</v>
      </c>
    </row>
    <row r="9505" ht="15.75" customHeight="1">
      <c r="B9505" s="63">
        <f t="shared" si="1"/>
        <v>17</v>
      </c>
      <c r="C9505" s="135" t="s">
        <v>306</v>
      </c>
      <c r="D9505" s="161" t="s">
        <v>74</v>
      </c>
      <c r="E9505" s="135">
        <f t="shared" si="62"/>
        <v>15</v>
      </c>
      <c r="F9505" s="134" t="s">
        <v>3805</v>
      </c>
      <c r="G9505" s="63" t="str">
        <f>VLOOKUP(C9505, 'Class Def. - General Data'!$C$20:$C$1000,1,false)</f>
        <v>ZSI1_FOOD_PREP_MC</v>
      </c>
      <c r="H9505" s="63" t="str">
        <f>IFERROR(__xludf.DUMMYFUNCTION("VLOOKUP(F9505, IMPORTRANGE(""https://docs.google.com/spreadsheets/d/1Lhp9OU0JdFf_VYSMzH5lBcEaU4o8teT1piV-SNzShjg/edit?gid=554141278#gid=554141278"", ""'Char Def. - Attributes'!C20:C2242""), 1,false)"),"ALT_DENUM_UOM1")</f>
        <v>ALT_DENUM_UOM1</v>
      </c>
      <c r="I9505" s="136"/>
      <c r="R9505" s="63" t="str">
        <f t="shared" si="60"/>
        <v>ZSI1_FOOD_PREP_MCALT_DENUM_UOM1</v>
      </c>
    </row>
    <row r="9506" ht="15.75" customHeight="1">
      <c r="B9506" s="63">
        <f t="shared" si="1"/>
        <v>17</v>
      </c>
      <c r="C9506" s="135" t="s">
        <v>306</v>
      </c>
      <c r="D9506" s="161" t="s">
        <v>74</v>
      </c>
      <c r="E9506" s="135">
        <f t="shared" si="62"/>
        <v>16</v>
      </c>
      <c r="F9506" s="134" t="s">
        <v>3806</v>
      </c>
      <c r="G9506" s="63" t="str">
        <f>VLOOKUP(C9506, 'Class Def. - General Data'!$C$20:$C$1000,1,false)</f>
        <v>ZSI1_FOOD_PREP_MC</v>
      </c>
      <c r="H9506" s="63" t="str">
        <f>IFERROR(__xludf.DUMMYFUNCTION("VLOOKUP(F9506, IMPORTRANGE(""https://docs.google.com/spreadsheets/d/1Lhp9OU0JdFf_VYSMzH5lBcEaU4o8teT1piV-SNzShjg/edit?gid=554141278#gid=554141278"", ""'Char Def. - Attributes'!C20:C2242""), 1,false)"),"ALT_NUM_UOM1")</f>
        <v>ALT_NUM_UOM1</v>
      </c>
      <c r="I9506" s="136"/>
      <c r="R9506" s="63" t="str">
        <f t="shared" si="60"/>
        <v>ZSI1_FOOD_PREP_MCALT_NUM_UOM1</v>
      </c>
    </row>
    <row r="9507" ht="15.75" customHeight="1">
      <c r="B9507" s="63">
        <f t="shared" si="1"/>
        <v>17</v>
      </c>
      <c r="C9507" s="135" t="s">
        <v>306</v>
      </c>
      <c r="D9507" s="161" t="s">
        <v>74</v>
      </c>
      <c r="E9507" s="135">
        <f t="shared" si="62"/>
        <v>17</v>
      </c>
      <c r="F9507" s="134" t="s">
        <v>3807</v>
      </c>
      <c r="G9507" s="63" t="str">
        <f>VLOOKUP(C9507, 'Class Def. - General Data'!$C$20:$C$1000,1,false)</f>
        <v>ZSI1_FOOD_PREP_MC</v>
      </c>
      <c r="H9507" s="63" t="str">
        <f>IFERROR(__xludf.DUMMYFUNCTION("VLOOKUP(F9507, IMPORTRANGE(""https://docs.google.com/spreadsheets/d/1Lhp9OU0JdFf_VYSMzH5lBcEaU4o8teT1piV-SNzShjg/edit?gid=554141278#gid=554141278"", ""'Char Def. - Attributes'!C20:C2242""), 1,false)"),"ALT_UOM2_SIPI")</f>
        <v>ALT_UOM2_SIPI</v>
      </c>
      <c r="I9507" s="136"/>
      <c r="R9507" s="63" t="str">
        <f t="shared" si="60"/>
        <v>ZSI1_FOOD_PREP_MCALT_UOM2_SIPI</v>
      </c>
    </row>
    <row r="9508" ht="15.75" customHeight="1">
      <c r="B9508" s="63">
        <f t="shared" si="1"/>
        <v>17</v>
      </c>
      <c r="C9508" s="135" t="s">
        <v>306</v>
      </c>
      <c r="D9508" s="161" t="s">
        <v>74</v>
      </c>
      <c r="E9508" s="135">
        <f t="shared" si="62"/>
        <v>18</v>
      </c>
      <c r="F9508" s="134" t="s">
        <v>3808</v>
      </c>
      <c r="G9508" s="63" t="str">
        <f>VLOOKUP(C9508, 'Class Def. - General Data'!$C$20:$C$1000,1,false)</f>
        <v>ZSI1_FOOD_PREP_MC</v>
      </c>
      <c r="H9508" s="63" t="str">
        <f>IFERROR(__xludf.DUMMYFUNCTION("VLOOKUP(F9508, IMPORTRANGE(""https://docs.google.com/spreadsheets/d/1Lhp9OU0JdFf_VYSMzH5lBcEaU4o8teT1piV-SNzShjg/edit?gid=554141278#gid=554141278"", ""'Char Def. - Attributes'!C20:C2242""), 1,false)"),"ALT_DENUM_UOM2")</f>
        <v>ALT_DENUM_UOM2</v>
      </c>
      <c r="I9508" s="136"/>
      <c r="R9508" s="63" t="str">
        <f t="shared" si="60"/>
        <v>ZSI1_FOOD_PREP_MCALT_DENUM_UOM2</v>
      </c>
    </row>
    <row r="9509" ht="15.75" customHeight="1">
      <c r="B9509" s="63">
        <f t="shared" si="1"/>
        <v>17</v>
      </c>
      <c r="C9509" s="135" t="s">
        <v>306</v>
      </c>
      <c r="D9509" s="161" t="s">
        <v>74</v>
      </c>
      <c r="E9509" s="135">
        <f t="shared" si="62"/>
        <v>19</v>
      </c>
      <c r="F9509" s="134" t="s">
        <v>3809</v>
      </c>
      <c r="G9509" s="63" t="str">
        <f>VLOOKUP(C9509, 'Class Def. - General Data'!$C$20:$C$1000,1,false)</f>
        <v>ZSI1_FOOD_PREP_MC</v>
      </c>
      <c r="H9509" s="63" t="str">
        <f>IFERROR(__xludf.DUMMYFUNCTION("VLOOKUP(F9509, IMPORTRANGE(""https://docs.google.com/spreadsheets/d/1Lhp9OU0JdFf_VYSMzH5lBcEaU4o8teT1piV-SNzShjg/edit?gid=554141278#gid=554141278"", ""'Char Def. - Attributes'!C20:C2242""), 1,false)"),"ALT_NUM_UOM2")</f>
        <v>ALT_NUM_UOM2</v>
      </c>
      <c r="I9509" s="136"/>
      <c r="R9509" s="63" t="str">
        <f t="shared" si="60"/>
        <v>ZSI1_FOOD_PREP_MCALT_NUM_UOM2</v>
      </c>
    </row>
    <row r="9510" ht="15.75" customHeight="1">
      <c r="B9510" s="63">
        <f t="shared" si="1"/>
        <v>17</v>
      </c>
      <c r="C9510" s="135" t="s">
        <v>306</v>
      </c>
      <c r="D9510" s="161" t="s">
        <v>74</v>
      </c>
      <c r="E9510" s="135">
        <f t="shared" si="62"/>
        <v>20</v>
      </c>
      <c r="F9510" s="134" t="s">
        <v>3810</v>
      </c>
      <c r="G9510" s="63" t="str">
        <f>VLOOKUP(C9510, 'Class Def. - General Data'!$C$20:$C$1000,1,false)</f>
        <v>ZSI1_FOOD_PREP_MC</v>
      </c>
      <c r="H9510" s="63" t="str">
        <f>IFERROR(__xludf.DUMMYFUNCTION("VLOOKUP(F9510, IMPORTRANGE(""https://docs.google.com/spreadsheets/d/1Lhp9OU0JdFf_VYSMzH5lBcEaU4o8teT1piV-SNzShjg/edit?gid=554141278#gid=554141278"", ""'Char Def. - Attributes'!C20:C2242""), 1,false)"),"ALT_UOM3_SIPI")</f>
        <v>ALT_UOM3_SIPI</v>
      </c>
      <c r="I9510" s="136"/>
      <c r="R9510" s="63" t="str">
        <f t="shared" si="60"/>
        <v>ZSI1_FOOD_PREP_MCALT_UOM3_SIPI</v>
      </c>
    </row>
    <row r="9511" ht="15.75" customHeight="1">
      <c r="B9511" s="63">
        <f t="shared" si="1"/>
        <v>17</v>
      </c>
      <c r="C9511" s="135" t="s">
        <v>306</v>
      </c>
      <c r="D9511" s="161" t="s">
        <v>74</v>
      </c>
      <c r="E9511" s="135">
        <f t="shared" si="62"/>
        <v>21</v>
      </c>
      <c r="F9511" s="134" t="s">
        <v>3811</v>
      </c>
      <c r="G9511" s="63" t="str">
        <f>VLOOKUP(C9511, 'Class Def. - General Data'!$C$20:$C$1000,1,false)</f>
        <v>ZSI1_FOOD_PREP_MC</v>
      </c>
      <c r="H9511" s="63" t="str">
        <f>IFERROR(__xludf.DUMMYFUNCTION("VLOOKUP(F9511, IMPORTRANGE(""https://docs.google.com/spreadsheets/d/1Lhp9OU0JdFf_VYSMzH5lBcEaU4o8teT1piV-SNzShjg/edit?gid=554141278#gid=554141278"", ""'Char Def. - Attributes'!C20:C2242""), 1,false)"),"ALT_DENUM_UOM3")</f>
        <v>ALT_DENUM_UOM3</v>
      </c>
      <c r="I9511" s="136"/>
      <c r="R9511" s="63" t="str">
        <f t="shared" si="60"/>
        <v>ZSI1_FOOD_PREP_MCALT_DENUM_UOM3</v>
      </c>
    </row>
    <row r="9512" ht="15.75" customHeight="1">
      <c r="B9512" s="63">
        <f t="shared" si="1"/>
        <v>17</v>
      </c>
      <c r="C9512" s="135" t="s">
        <v>306</v>
      </c>
      <c r="D9512" s="161" t="s">
        <v>74</v>
      </c>
      <c r="E9512" s="135">
        <f t="shared" si="62"/>
        <v>22</v>
      </c>
      <c r="F9512" s="134" t="s">
        <v>3812</v>
      </c>
      <c r="G9512" s="63" t="str">
        <f>VLOOKUP(C9512, 'Class Def. - General Data'!$C$20:$C$1000,1,false)</f>
        <v>ZSI1_FOOD_PREP_MC</v>
      </c>
      <c r="H9512" s="63" t="str">
        <f>IFERROR(__xludf.DUMMYFUNCTION("VLOOKUP(F9512, IMPORTRANGE(""https://docs.google.com/spreadsheets/d/1Lhp9OU0JdFf_VYSMzH5lBcEaU4o8teT1piV-SNzShjg/edit?gid=554141278#gid=554141278"", ""'Char Def. - Attributes'!C20:C2242""), 1,false)"),"ALT_NUM_UOM3")</f>
        <v>ALT_NUM_UOM3</v>
      </c>
      <c r="I9512" s="136"/>
      <c r="R9512" s="63" t="str">
        <f t="shared" si="60"/>
        <v>ZSI1_FOOD_PREP_MCALT_NUM_UOM3</v>
      </c>
    </row>
    <row r="9513" ht="15.75" customHeight="1">
      <c r="B9513" s="63">
        <f t="shared" si="1"/>
        <v>17</v>
      </c>
      <c r="C9513" s="135" t="s">
        <v>306</v>
      </c>
      <c r="D9513" s="161" t="s">
        <v>74</v>
      </c>
      <c r="E9513" s="135">
        <f t="shared" si="62"/>
        <v>23</v>
      </c>
      <c r="F9513" s="134" t="s">
        <v>3813</v>
      </c>
      <c r="G9513" s="63" t="str">
        <f>VLOOKUP(C9513, 'Class Def. - General Data'!$C$20:$C$1000,1,false)</f>
        <v>ZSI1_FOOD_PREP_MC</v>
      </c>
      <c r="H9513" s="63" t="str">
        <f>IFERROR(__xludf.DUMMYFUNCTION("VLOOKUP(F9513, IMPORTRANGE(""https://docs.google.com/spreadsheets/d/1Lhp9OU0JdFf_VYSMzH5lBcEaU4o8teT1piV-SNzShjg/edit?gid=554141278#gid=554141278"", ""'Char Def. - Attributes'!C20:C2242""), 1,false)"),"ALT_UOM4_SIPI")</f>
        <v>ALT_UOM4_SIPI</v>
      </c>
      <c r="I9513" s="136"/>
      <c r="R9513" s="63" t="str">
        <f t="shared" si="60"/>
        <v>ZSI1_FOOD_PREP_MCALT_UOM4_SIPI</v>
      </c>
    </row>
    <row r="9514" ht="15.75" customHeight="1">
      <c r="B9514" s="63">
        <f t="shared" si="1"/>
        <v>17</v>
      </c>
      <c r="C9514" s="135" t="s">
        <v>306</v>
      </c>
      <c r="D9514" s="161" t="s">
        <v>74</v>
      </c>
      <c r="E9514" s="135">
        <f t="shared" si="62"/>
        <v>24</v>
      </c>
      <c r="F9514" s="134" t="s">
        <v>3814</v>
      </c>
      <c r="G9514" s="63" t="str">
        <f>VLOOKUP(C9514, 'Class Def. - General Data'!$C$20:$C$1000,1,false)</f>
        <v>ZSI1_FOOD_PREP_MC</v>
      </c>
      <c r="H9514" s="63" t="str">
        <f>IFERROR(__xludf.DUMMYFUNCTION("VLOOKUP(F9514, IMPORTRANGE(""https://docs.google.com/spreadsheets/d/1Lhp9OU0JdFf_VYSMzH5lBcEaU4o8teT1piV-SNzShjg/edit?gid=554141278#gid=554141278"", ""'Char Def. - Attributes'!C20:C2242""), 1,false)"),"ALT_DENUM_UOM4")</f>
        <v>ALT_DENUM_UOM4</v>
      </c>
      <c r="I9514" s="136"/>
      <c r="R9514" s="63" t="str">
        <f t="shared" si="60"/>
        <v>ZSI1_FOOD_PREP_MCALT_DENUM_UOM4</v>
      </c>
    </row>
    <row r="9515" ht="15.75" customHeight="1">
      <c r="B9515" s="63">
        <f t="shared" si="1"/>
        <v>17</v>
      </c>
      <c r="C9515" s="135" t="s">
        <v>306</v>
      </c>
      <c r="D9515" s="161" t="s">
        <v>74</v>
      </c>
      <c r="E9515" s="135">
        <f t="shared" si="62"/>
        <v>25</v>
      </c>
      <c r="F9515" s="134" t="s">
        <v>3815</v>
      </c>
      <c r="G9515" s="63" t="str">
        <f>VLOOKUP(C9515, 'Class Def. - General Data'!$C$20:$C$1000,1,false)</f>
        <v>ZSI1_FOOD_PREP_MC</v>
      </c>
      <c r="H9515" s="63" t="str">
        <f>IFERROR(__xludf.DUMMYFUNCTION("VLOOKUP(F9515, IMPORTRANGE(""https://docs.google.com/spreadsheets/d/1Lhp9OU0JdFf_VYSMzH5lBcEaU4o8teT1piV-SNzShjg/edit?gid=554141278#gid=554141278"", ""'Char Def. - Attributes'!C20:C2242""), 1,false)"),"ALT_NUM_UOM4")</f>
        <v>ALT_NUM_UOM4</v>
      </c>
      <c r="I9515" s="136"/>
      <c r="R9515" s="63" t="str">
        <f t="shared" si="60"/>
        <v>ZSI1_FOOD_PREP_MCALT_NUM_UOM4</v>
      </c>
    </row>
    <row r="9516" ht="15.75" customHeight="1">
      <c r="B9516" s="63">
        <f t="shared" si="1"/>
        <v>17</v>
      </c>
      <c r="C9516" s="135" t="s">
        <v>306</v>
      </c>
      <c r="D9516" s="161" t="s">
        <v>74</v>
      </c>
      <c r="E9516" s="135">
        <f t="shared" si="62"/>
        <v>26</v>
      </c>
      <c r="F9516" s="134" t="s">
        <v>3816</v>
      </c>
      <c r="G9516" s="63" t="str">
        <f>VLOOKUP(C9516, 'Class Def. - General Data'!$C$20:$C$1000,1,false)</f>
        <v>ZSI1_FOOD_PREP_MC</v>
      </c>
      <c r="H9516" s="63" t="str">
        <f>IFERROR(__xludf.DUMMYFUNCTION("VLOOKUP(F9516, IMPORTRANGE(""https://docs.google.com/spreadsheets/d/1Lhp9OU0JdFf_VYSMzH5lBcEaU4o8teT1piV-SNzShjg/edit?gid=554141278#gid=554141278"", ""'Char Def. - Attributes'!C20:C2242""), 1,false)"),"ALT_UOM5_SIPI")</f>
        <v>ALT_UOM5_SIPI</v>
      </c>
      <c r="I9516" s="136"/>
      <c r="R9516" s="63" t="str">
        <f t="shared" si="60"/>
        <v>ZSI1_FOOD_PREP_MCALT_UOM5_SIPI</v>
      </c>
    </row>
    <row r="9517" ht="15.75" customHeight="1">
      <c r="B9517" s="63">
        <f t="shared" si="1"/>
        <v>17</v>
      </c>
      <c r="C9517" s="135" t="s">
        <v>306</v>
      </c>
      <c r="D9517" s="161" t="s">
        <v>74</v>
      </c>
      <c r="E9517" s="135">
        <f t="shared" si="62"/>
        <v>27</v>
      </c>
      <c r="F9517" s="134" t="s">
        <v>3817</v>
      </c>
      <c r="G9517" s="63" t="str">
        <f>VLOOKUP(C9517, 'Class Def. - General Data'!$C$20:$C$1000,1,false)</f>
        <v>ZSI1_FOOD_PREP_MC</v>
      </c>
      <c r="H9517" s="63" t="str">
        <f>IFERROR(__xludf.DUMMYFUNCTION("VLOOKUP(F9517, IMPORTRANGE(""https://docs.google.com/spreadsheets/d/1Lhp9OU0JdFf_VYSMzH5lBcEaU4o8teT1piV-SNzShjg/edit?gid=554141278#gid=554141278"", ""'Char Def. - Attributes'!C20:C2242""), 1,false)"),"ALT_DENUM_UOM5")</f>
        <v>ALT_DENUM_UOM5</v>
      </c>
      <c r="I9517" s="136"/>
      <c r="R9517" s="63" t="str">
        <f t="shared" si="60"/>
        <v>ZSI1_FOOD_PREP_MCALT_DENUM_UOM5</v>
      </c>
    </row>
    <row r="9518" ht="15.75" customHeight="1">
      <c r="B9518" s="63">
        <f t="shared" si="1"/>
        <v>17</v>
      </c>
      <c r="C9518" s="135" t="s">
        <v>306</v>
      </c>
      <c r="D9518" s="161" t="s">
        <v>74</v>
      </c>
      <c r="E9518" s="135">
        <f t="shared" si="62"/>
        <v>28</v>
      </c>
      <c r="F9518" s="134" t="s">
        <v>3818</v>
      </c>
      <c r="G9518" s="63" t="str">
        <f>VLOOKUP(C9518, 'Class Def. - General Data'!$C$20:$C$1000,1,false)</f>
        <v>ZSI1_FOOD_PREP_MC</v>
      </c>
      <c r="H9518" s="63" t="str">
        <f>IFERROR(__xludf.DUMMYFUNCTION("VLOOKUP(F9518, IMPORTRANGE(""https://docs.google.com/spreadsheets/d/1Lhp9OU0JdFf_VYSMzH5lBcEaU4o8teT1piV-SNzShjg/edit?gid=554141278#gid=554141278"", ""'Char Def. - Attributes'!C20:C2242""), 1,false)"),"ALT_NUM_UOM5")</f>
        <v>ALT_NUM_UOM5</v>
      </c>
      <c r="I9518" s="136"/>
      <c r="R9518" s="63" t="str">
        <f t="shared" si="60"/>
        <v>ZSI1_FOOD_PREP_MCALT_NUM_UOM5</v>
      </c>
    </row>
    <row r="9519" ht="15.75" customHeight="1">
      <c r="B9519" s="63">
        <f t="shared" si="1"/>
        <v>10</v>
      </c>
      <c r="C9519" s="135" t="s">
        <v>349</v>
      </c>
      <c r="D9519" s="161" t="s">
        <v>74</v>
      </c>
      <c r="E9519" s="135">
        <f t="shared" si="62"/>
        <v>1</v>
      </c>
      <c r="F9519" s="134" t="s">
        <v>4553</v>
      </c>
      <c r="G9519" s="63" t="str">
        <f>VLOOKUP(C9519, 'Class Def. - General Data'!$C$20:$C$1000,1,false)</f>
        <v>ZSI1_FORMS</v>
      </c>
      <c r="H9519" s="63" t="str">
        <f>IFERROR(__xludf.DUMMYFUNCTION("VLOOKUP(F9519, IMPORTRANGE(""https://docs.google.com/spreadsheets/d/1Lhp9OU0JdFf_VYSMzH5lBcEaU4o8teT1piV-SNzShjg/edit?gid=554141278#gid=554141278"", ""'Char Def. - Attributes'!C20:C2242""), 1,false)"),"FORM_NAME_FORMS")</f>
        <v>FORM_NAME_FORMS</v>
      </c>
      <c r="I9519" s="136"/>
      <c r="R9519" s="63" t="str">
        <f t="shared" si="60"/>
        <v>ZSI1_FORMSFORM_NAME_FORMS</v>
      </c>
    </row>
    <row r="9520" ht="15.75" customHeight="1">
      <c r="B9520" s="63">
        <f t="shared" si="1"/>
        <v>10</v>
      </c>
      <c r="C9520" s="135" t="s">
        <v>349</v>
      </c>
      <c r="D9520" s="161" t="s">
        <v>74</v>
      </c>
      <c r="E9520" s="135">
        <f t="shared" si="62"/>
        <v>2</v>
      </c>
      <c r="F9520" s="134" t="s">
        <v>4554</v>
      </c>
      <c r="G9520" s="63" t="str">
        <f>VLOOKUP(C9520, 'Class Def. - General Data'!$C$20:$C$1000,1,false)</f>
        <v>ZSI1_FORMS</v>
      </c>
      <c r="H9520" s="63" t="str">
        <f>IFERROR(__xludf.DUMMYFUNCTION("VLOOKUP(F9520, IMPORTRANGE(""https://docs.google.com/spreadsheets/d/1Lhp9OU0JdFf_VYSMzH5lBcEaU4o8teT1piV-SNzShjg/edit?gid=554141278#gid=554141278"", ""'Char Def. - Attributes'!C20:C2242""), 1,false)"),"FORM_TYPE_FORMS")</f>
        <v>FORM_TYPE_FORMS</v>
      </c>
      <c r="I9520" s="136"/>
      <c r="R9520" s="63" t="str">
        <f t="shared" si="60"/>
        <v>ZSI1_FORMSFORM_TYPE_FORMS</v>
      </c>
    </row>
    <row r="9521" ht="15.75" customHeight="1">
      <c r="B9521" s="63">
        <f t="shared" si="1"/>
        <v>10</v>
      </c>
      <c r="C9521" s="135" t="s">
        <v>349</v>
      </c>
      <c r="D9521" s="161" t="s">
        <v>74</v>
      </c>
      <c r="E9521" s="135">
        <f t="shared" si="62"/>
        <v>3</v>
      </c>
      <c r="F9521" s="134" t="s">
        <v>4555</v>
      </c>
      <c r="G9521" s="63" t="str">
        <f>VLOOKUP(C9521, 'Class Def. - General Data'!$C$20:$C$1000,1,false)</f>
        <v>ZSI1_FORMS</v>
      </c>
      <c r="H9521" s="63" t="str">
        <f>IFERROR(__xludf.DUMMYFUNCTION("VLOOKUP(F9521, IMPORTRANGE(""https://docs.google.com/spreadsheets/d/1Lhp9OU0JdFf_VYSMzH5lBcEaU4o8teT1piV-SNzShjg/edit?gid=554141278#gid=554141278"", ""'Char Def. - Attributes'!C20:C2242""), 1,false)"),"NUMB_OF_PLY_FORMS")</f>
        <v>NUMB_OF_PLY_FORMS</v>
      </c>
      <c r="I9521" s="136"/>
      <c r="R9521" s="63" t="str">
        <f t="shared" si="60"/>
        <v>ZSI1_FORMSNUMB_OF_PLY_FORMS</v>
      </c>
    </row>
    <row r="9522" ht="15.75" customHeight="1">
      <c r="B9522" s="63">
        <f t="shared" si="1"/>
        <v>10</v>
      </c>
      <c r="C9522" s="135" t="s">
        <v>349</v>
      </c>
      <c r="D9522" s="161" t="s">
        <v>74</v>
      </c>
      <c r="E9522" s="135">
        <f t="shared" si="62"/>
        <v>4</v>
      </c>
      <c r="F9522" s="134" t="s">
        <v>4556</v>
      </c>
      <c r="G9522" s="63" t="str">
        <f>VLOOKUP(C9522, 'Class Def. - General Data'!$C$20:$C$1000,1,false)</f>
        <v>ZSI1_FORMS</v>
      </c>
      <c r="H9522" s="63" t="str">
        <f>IFERROR(__xludf.DUMMYFUNCTION("VLOOKUP(F9522, IMPORTRANGE(""https://docs.google.com/spreadsheets/d/1Lhp9OU0JdFf_VYSMzH5lBcEaU4o8teT1piV-SNzShjg/edit?gid=554141278#gid=554141278"", ""'Char Def. - Attributes'!C20:C2242""), 1,false)"),"DIMENSION_FORMS")</f>
        <v>DIMENSION_FORMS</v>
      </c>
      <c r="I9522" s="136"/>
      <c r="R9522" s="63" t="str">
        <f t="shared" si="60"/>
        <v>ZSI1_FORMSDIMENSION_FORMS</v>
      </c>
    </row>
    <row r="9523" ht="15.75" customHeight="1">
      <c r="B9523" s="63">
        <f t="shared" si="1"/>
        <v>10</v>
      </c>
      <c r="C9523" s="135" t="s">
        <v>349</v>
      </c>
      <c r="D9523" s="161" t="s">
        <v>74</v>
      </c>
      <c r="E9523" s="135">
        <f t="shared" si="62"/>
        <v>5</v>
      </c>
      <c r="F9523" s="134" t="s">
        <v>4557</v>
      </c>
      <c r="G9523" s="63" t="str">
        <f>VLOOKUP(C9523, 'Class Def. - General Data'!$C$20:$C$1000,1,false)</f>
        <v>ZSI1_FORMS</v>
      </c>
      <c r="H9523" s="63" t="str">
        <f>IFERROR(__xludf.DUMMYFUNCTION("VLOOKUP(F9523, IMPORTRANGE(""https://docs.google.com/spreadsheets/d/1Lhp9OU0JdFf_VYSMzH5lBcEaU4o8teT1piV-SNzShjg/edit?gid=554141278#gid=554141278"", ""'Char Def. - Attributes'!C20:C2242""), 1,false)"),"WIDTH_MM_FORMS")</f>
        <v>WIDTH_MM_FORMS</v>
      </c>
      <c r="I9523" s="136"/>
      <c r="R9523" s="63" t="str">
        <f t="shared" si="60"/>
        <v>ZSI1_FORMSWIDTH_MM_FORMS</v>
      </c>
    </row>
    <row r="9524" ht="15.75" customHeight="1">
      <c r="B9524" s="63">
        <f t="shared" si="1"/>
        <v>10</v>
      </c>
      <c r="C9524" s="135" t="s">
        <v>349</v>
      </c>
      <c r="D9524" s="161" t="s">
        <v>74</v>
      </c>
      <c r="E9524" s="135">
        <f t="shared" si="62"/>
        <v>6</v>
      </c>
      <c r="F9524" s="134" t="s">
        <v>4558</v>
      </c>
      <c r="G9524" s="63" t="str">
        <f>VLOOKUP(C9524, 'Class Def. - General Data'!$C$20:$C$1000,1,false)</f>
        <v>ZSI1_FORMS</v>
      </c>
      <c r="H9524" s="63" t="str">
        <f>IFERROR(__xludf.DUMMYFUNCTION("VLOOKUP(F9524, IMPORTRANGE(""https://docs.google.com/spreadsheets/d/1Lhp9OU0JdFf_VYSMzH5lBcEaU4o8teT1piV-SNzShjg/edit?gid=554141278#gid=554141278"", ""'Char Def. - Attributes'!C20:C2242""), 1,false)"),"WIDTH_INCH_FORMS")</f>
        <v>WIDTH_INCH_FORMS</v>
      </c>
      <c r="I9524" s="136"/>
      <c r="R9524" s="63" t="str">
        <f t="shared" si="60"/>
        <v>ZSI1_FORMSWIDTH_INCH_FORMS</v>
      </c>
    </row>
    <row r="9525" ht="15.75" customHeight="1">
      <c r="B9525" s="63">
        <f t="shared" si="1"/>
        <v>10</v>
      </c>
      <c r="C9525" s="135" t="s">
        <v>349</v>
      </c>
      <c r="D9525" s="161" t="s">
        <v>74</v>
      </c>
      <c r="E9525" s="135">
        <f t="shared" si="62"/>
        <v>7</v>
      </c>
      <c r="F9525" s="134" t="s">
        <v>4559</v>
      </c>
      <c r="G9525" s="63" t="str">
        <f>VLOOKUP(C9525, 'Class Def. - General Data'!$C$20:$C$1000,1,false)</f>
        <v>ZSI1_FORMS</v>
      </c>
      <c r="H9525" s="63" t="str">
        <f>IFERROR(__xludf.DUMMYFUNCTION("VLOOKUP(F9525, IMPORTRANGE(""https://docs.google.com/spreadsheets/d/1Lhp9OU0JdFf_VYSMzH5lBcEaU4o8teT1piV-SNzShjg/edit?gid=554141278#gid=554141278"", ""'Char Def. - Attributes'!C20:C2242""), 1,false)"),"LENGTH_MM_FORMS")</f>
        <v>LENGTH_MM_FORMS</v>
      </c>
      <c r="I9525" s="136"/>
      <c r="R9525" s="63" t="str">
        <f t="shared" si="60"/>
        <v>ZSI1_FORMSLENGTH_MM_FORMS</v>
      </c>
    </row>
    <row r="9526" ht="15.75" customHeight="1">
      <c r="B9526" s="63">
        <f t="shared" si="1"/>
        <v>10</v>
      </c>
      <c r="C9526" s="135" t="s">
        <v>349</v>
      </c>
      <c r="D9526" s="161" t="s">
        <v>74</v>
      </c>
      <c r="E9526" s="135">
        <f t="shared" si="62"/>
        <v>8</v>
      </c>
      <c r="F9526" s="134" t="s">
        <v>4560</v>
      </c>
      <c r="G9526" s="63" t="str">
        <f>VLOOKUP(C9526, 'Class Def. - General Data'!$C$20:$C$1000,1,false)</f>
        <v>ZSI1_FORMS</v>
      </c>
      <c r="H9526" s="63" t="str">
        <f>IFERROR(__xludf.DUMMYFUNCTION("VLOOKUP(F9526, IMPORTRANGE(""https://docs.google.com/spreadsheets/d/1Lhp9OU0JdFf_VYSMzH5lBcEaU4o8teT1piV-SNzShjg/edit?gid=554141278#gid=554141278"", ""'Char Def. - Attributes'!C20:C2242""), 1,false)"),"LENGTH_INCH_FORMS")</f>
        <v>LENGTH_INCH_FORMS</v>
      </c>
      <c r="I9526" s="136"/>
      <c r="R9526" s="63" t="str">
        <f t="shared" si="60"/>
        <v>ZSI1_FORMSLENGTH_INCH_FORMS</v>
      </c>
    </row>
    <row r="9527" ht="15.75" customHeight="1">
      <c r="B9527" s="63">
        <f t="shared" si="1"/>
        <v>10</v>
      </c>
      <c r="C9527" s="135" t="s">
        <v>349</v>
      </c>
      <c r="D9527" s="161" t="s">
        <v>74</v>
      </c>
      <c r="E9527" s="135">
        <f t="shared" si="62"/>
        <v>9</v>
      </c>
      <c r="F9527" s="134" t="s">
        <v>4561</v>
      </c>
      <c r="G9527" s="63" t="str">
        <f>VLOOKUP(C9527, 'Class Def. - General Data'!$C$20:$C$1000,1,false)</f>
        <v>ZSI1_FORMS</v>
      </c>
      <c r="H9527" s="63" t="str">
        <f>IFERROR(__xludf.DUMMYFUNCTION("VLOOKUP(F9527, IMPORTRANGE(""https://docs.google.com/spreadsheets/d/1Lhp9OU0JdFf_VYSMzH5lBcEaU4o8teT1piV-SNzShjg/edit?gid=554141278#gid=554141278"", ""'Char Def. - Attributes'!C20:C2242""), 1,false)"),"NCR_FORMS")</f>
        <v>NCR_FORMS</v>
      </c>
      <c r="I9527" s="136"/>
      <c r="R9527" s="63" t="str">
        <f t="shared" si="60"/>
        <v>ZSI1_FORMSNCR_FORMS</v>
      </c>
    </row>
    <row r="9528" ht="15.75" customHeight="1">
      <c r="B9528" s="63">
        <f t="shared" si="1"/>
        <v>10</v>
      </c>
      <c r="C9528" s="135" t="s">
        <v>349</v>
      </c>
      <c r="D9528" s="161" t="s">
        <v>74</v>
      </c>
      <c r="E9528" s="135">
        <f t="shared" si="62"/>
        <v>10</v>
      </c>
      <c r="F9528" s="134" t="s">
        <v>4562</v>
      </c>
      <c r="G9528" s="63" t="str">
        <f>VLOOKUP(C9528, 'Class Def. - General Data'!$C$20:$C$1000,1,false)</f>
        <v>ZSI1_FORMS</v>
      </c>
      <c r="H9528" s="63" t="str">
        <f>IFERROR(__xludf.DUMMYFUNCTION("VLOOKUP(F9528, IMPORTRANGE(""https://docs.google.com/spreadsheets/d/1Lhp9OU0JdFf_VYSMzH5lBcEaU4o8teT1piV-SNzShjg/edit?gid=554141278#gid=554141278"", ""'Char Def. - Attributes'!C20:C2242""), 1,false)"),"NUMB_OF_COLOR_MAX4_FRONT_FORMS")</f>
        <v>NUMB_OF_COLOR_MAX4_FRONT_FORMS</v>
      </c>
      <c r="I9528" s="136"/>
      <c r="R9528" s="63" t="str">
        <f t="shared" si="60"/>
        <v>ZSI1_FORMSNUMB_OF_COLOR_MAX4_FRONT_FORMS</v>
      </c>
    </row>
    <row r="9529" ht="15.75" customHeight="1">
      <c r="B9529" s="63">
        <f t="shared" si="1"/>
        <v>10</v>
      </c>
      <c r="C9529" s="135" t="s">
        <v>349</v>
      </c>
      <c r="D9529" s="161" t="s">
        <v>74</v>
      </c>
      <c r="E9529" s="135">
        <f t="shared" si="62"/>
        <v>11</v>
      </c>
      <c r="F9529" s="134" t="s">
        <v>4563</v>
      </c>
      <c r="G9529" s="63" t="str">
        <f>VLOOKUP(C9529, 'Class Def. - General Data'!$C$20:$C$1000,1,false)</f>
        <v>ZSI1_FORMS</v>
      </c>
      <c r="H9529" s="63" t="str">
        <f>IFERROR(__xludf.DUMMYFUNCTION("VLOOKUP(F9529, IMPORTRANGE(""https://docs.google.com/spreadsheets/d/1Lhp9OU0JdFf_VYSMzH5lBcEaU4o8teT1piV-SNzShjg/edit?gid=554141278#gid=554141278"", ""'Char Def. - Attributes'!C20:C2242""), 1,false)"),"NUMB_OF_COLORS_MAX4_BACK_FORMS")</f>
        <v>NUMB_OF_COLORS_MAX4_BACK_FORMS</v>
      </c>
      <c r="I9529" s="136"/>
      <c r="R9529" s="63" t="str">
        <f t="shared" si="60"/>
        <v>ZSI1_FORMSNUMB_OF_COLORS_MAX4_BACK_FORMS</v>
      </c>
    </row>
    <row r="9530" ht="15.75" customHeight="1">
      <c r="B9530" s="63">
        <f t="shared" si="1"/>
        <v>10</v>
      </c>
      <c r="C9530" s="135" t="s">
        <v>349</v>
      </c>
      <c r="D9530" s="161" t="s">
        <v>74</v>
      </c>
      <c r="E9530" s="135">
        <f t="shared" si="62"/>
        <v>12</v>
      </c>
      <c r="F9530" s="134" t="s">
        <v>3585</v>
      </c>
      <c r="G9530" s="63" t="str">
        <f>VLOOKUP(C9530, 'Class Def. - General Data'!$C$20:$C$1000,1,false)</f>
        <v>ZSI1_FORMS</v>
      </c>
      <c r="H9530" s="63" t="str">
        <f>IFERROR(__xludf.DUMMYFUNCTION("VLOOKUP(F9530, IMPORTRANGE(""https://docs.google.com/spreadsheets/d/1Lhp9OU0JdFf_VYSMzH5lBcEaU4o8teT1piV-SNzShjg/edit?gid=554141278#gid=554141278"", ""'Char Def. - Attributes'!C20:C2242""), 1,false)"),"HS_CODE")</f>
        <v>HS_CODE</v>
      </c>
      <c r="I9530" s="136"/>
      <c r="R9530" s="63" t="str">
        <f t="shared" si="60"/>
        <v>ZSI1_FORMSHS_CODE</v>
      </c>
    </row>
    <row r="9531" ht="15.75" customHeight="1">
      <c r="B9531" s="63">
        <f t="shared" si="1"/>
        <v>10</v>
      </c>
      <c r="C9531" s="135" t="s">
        <v>349</v>
      </c>
      <c r="D9531" s="161" t="s">
        <v>74</v>
      </c>
      <c r="E9531" s="135">
        <f t="shared" si="62"/>
        <v>13</v>
      </c>
      <c r="F9531" s="134" t="s">
        <v>3587</v>
      </c>
      <c r="G9531" s="63" t="str">
        <f>VLOOKUP(C9531, 'Class Def. - General Data'!$C$20:$C$1000,1,false)</f>
        <v>ZSI1_FORMS</v>
      </c>
      <c r="H9531" s="63" t="str">
        <f>IFERROR(__xludf.DUMMYFUNCTION("VLOOKUP(F9531, IMPORTRANGE(""https://docs.google.com/spreadsheets/d/1Lhp9OU0JdFf_VYSMzH5lBcEaU4o8teT1piV-SNzShjg/edit?gid=554141278#gid=554141278"", ""'Char Def. - Attributes'!C20:C2242""), 1,false)"),"PLANT_BUY")</f>
        <v>PLANT_BUY</v>
      </c>
      <c r="I9531" s="136"/>
      <c r="R9531" s="63" t="str">
        <f t="shared" si="60"/>
        <v>ZSI1_FORMSPLANT_BUY</v>
      </c>
    </row>
    <row r="9532" ht="15.75" customHeight="1">
      <c r="B9532" s="63">
        <f t="shared" si="1"/>
        <v>10</v>
      </c>
      <c r="C9532" s="135" t="s">
        <v>349</v>
      </c>
      <c r="D9532" s="161" t="s">
        <v>74</v>
      </c>
      <c r="E9532" s="135">
        <f t="shared" si="62"/>
        <v>14</v>
      </c>
      <c r="F9532" s="134" t="s">
        <v>4564</v>
      </c>
      <c r="G9532" s="63" t="str">
        <f>VLOOKUP(C9532, 'Class Def. - General Data'!$C$20:$C$1000,1,false)</f>
        <v>ZSI1_FORMS</v>
      </c>
      <c r="H9532" s="63" t="str">
        <f>IFERROR(__xludf.DUMMYFUNCTION("VLOOKUP(F9532, IMPORTRANGE(""https://docs.google.com/spreadsheets/d/1Lhp9OU0JdFf_VYSMzH5lBcEaU4o8teT1piV-SNzShjg/edit?gid=554141278#gid=554141278"", ""'Char Def. - Attributes'!C20:C2242""), 1,false)"),"BASE_UOM_FORMS")</f>
        <v>BASE_UOM_FORMS</v>
      </c>
      <c r="I9532" s="136"/>
      <c r="R9532" s="63" t="str">
        <f t="shared" si="60"/>
        <v>ZSI1_FORMSBASE_UOM_FORMS</v>
      </c>
    </row>
    <row r="9533" ht="15.75" customHeight="1">
      <c r="B9533" s="63">
        <f t="shared" si="1"/>
        <v>10</v>
      </c>
      <c r="C9533" s="135" t="s">
        <v>349</v>
      </c>
      <c r="D9533" s="161" t="s">
        <v>74</v>
      </c>
      <c r="E9533" s="135">
        <f t="shared" si="62"/>
        <v>15</v>
      </c>
      <c r="F9533" s="134" t="s">
        <v>4565</v>
      </c>
      <c r="G9533" s="63" t="str">
        <f>VLOOKUP(C9533, 'Class Def. - General Data'!$C$20:$C$1000,1,false)</f>
        <v>ZSI1_FORMS</v>
      </c>
      <c r="H9533" s="63" t="str">
        <f>IFERROR(__xludf.DUMMYFUNCTION("VLOOKUP(F9533, IMPORTRANGE(""https://docs.google.com/spreadsheets/d/1Lhp9OU0JdFf_VYSMzH5lBcEaU4o8teT1piV-SNzShjg/edit?gid=554141278#gid=554141278"", ""'Char Def. - Attributes'!C20:C2242""), 1,false)"),"ORDER_UNIT_FORMS")</f>
        <v>ORDER_UNIT_FORMS</v>
      </c>
      <c r="I9533" s="136"/>
      <c r="R9533" s="63" t="str">
        <f t="shared" si="60"/>
        <v>ZSI1_FORMSORDER_UNIT_FORMS</v>
      </c>
    </row>
    <row r="9534" ht="15.75" customHeight="1">
      <c r="B9534" s="63">
        <f t="shared" si="1"/>
        <v>10</v>
      </c>
      <c r="C9534" s="135" t="s">
        <v>349</v>
      </c>
      <c r="D9534" s="161" t="s">
        <v>74</v>
      </c>
      <c r="E9534" s="135">
        <f t="shared" si="62"/>
        <v>16</v>
      </c>
      <c r="F9534" s="134" t="s">
        <v>4056</v>
      </c>
      <c r="G9534" s="63" t="str">
        <f>VLOOKUP(C9534, 'Class Def. - General Data'!$C$20:$C$1000,1,false)</f>
        <v>ZSI1_FORMS</v>
      </c>
      <c r="H9534" s="63" t="str">
        <f>IFERROR(__xludf.DUMMYFUNCTION("VLOOKUP(F9534, IMPORTRANGE(""https://docs.google.com/spreadsheets/d/1Lhp9OU0JdFf_VYSMzH5lBcEaU4o8teT1piV-SNzShjg/edit?gid=554141278#gid=554141278"", ""'Char Def. - Attributes'!C20:C2242""), 1,false)"),"GROSS_WEIGHT_OPT")</f>
        <v>GROSS_WEIGHT_OPT</v>
      </c>
      <c r="I9534" s="136"/>
      <c r="R9534" s="63" t="str">
        <f t="shared" si="60"/>
        <v>ZSI1_FORMSGROSS_WEIGHT_OPT</v>
      </c>
    </row>
    <row r="9535" ht="15.75" customHeight="1">
      <c r="B9535" s="63">
        <f t="shared" si="1"/>
        <v>10</v>
      </c>
      <c r="C9535" s="135" t="s">
        <v>349</v>
      </c>
      <c r="D9535" s="161" t="s">
        <v>74</v>
      </c>
      <c r="E9535" s="135">
        <f t="shared" si="62"/>
        <v>17</v>
      </c>
      <c r="F9535" s="134" t="s">
        <v>4057</v>
      </c>
      <c r="G9535" s="63" t="str">
        <f>VLOOKUP(C9535, 'Class Def. - General Data'!$C$20:$C$1000,1,false)</f>
        <v>ZSI1_FORMS</v>
      </c>
      <c r="H9535" s="63" t="str">
        <f>IFERROR(__xludf.DUMMYFUNCTION("VLOOKUP(F9535, IMPORTRANGE(""https://docs.google.com/spreadsheets/d/1Lhp9OU0JdFf_VYSMzH5lBcEaU4o8teT1piV-SNzShjg/edit?gid=554141278#gid=554141278"", ""'Char Def. - Attributes'!C20:C2242""), 1,false)"),"NET_WEIGHT_OPT")</f>
        <v>NET_WEIGHT_OPT</v>
      </c>
      <c r="I9535" s="136"/>
      <c r="R9535" s="63" t="str">
        <f t="shared" si="60"/>
        <v>ZSI1_FORMSNET_WEIGHT_OPT</v>
      </c>
    </row>
    <row r="9536" ht="15.75" customHeight="1">
      <c r="B9536" s="63">
        <f t="shared" si="1"/>
        <v>10</v>
      </c>
      <c r="C9536" s="135" t="s">
        <v>349</v>
      </c>
      <c r="D9536" s="161" t="s">
        <v>74</v>
      </c>
      <c r="E9536" s="135">
        <f t="shared" si="62"/>
        <v>18</v>
      </c>
      <c r="F9536" s="134" t="s">
        <v>4058</v>
      </c>
      <c r="G9536" s="63" t="str">
        <f>VLOOKUP(C9536, 'Class Def. - General Data'!$C$20:$C$1000,1,false)</f>
        <v>ZSI1_FORMS</v>
      </c>
      <c r="H9536" s="63" t="str">
        <f>IFERROR(__xludf.DUMMYFUNCTION("VLOOKUP(F9536, IMPORTRANGE(""https://docs.google.com/spreadsheets/d/1Lhp9OU0JdFf_VYSMzH5lBcEaU4o8teT1piV-SNzShjg/edit?gid=554141278#gid=554141278"", ""'Char Def. - Attributes'!C20:C2242""), 1,false)"),"WEIGHT_UNIT_SI")</f>
        <v>WEIGHT_UNIT_SI</v>
      </c>
      <c r="I9536" s="136"/>
      <c r="R9536" s="63" t="str">
        <f t="shared" si="60"/>
        <v>ZSI1_FORMSWEIGHT_UNIT_SI</v>
      </c>
    </row>
    <row r="9537" ht="15.75" customHeight="1">
      <c r="B9537" s="63">
        <f t="shared" si="1"/>
        <v>10</v>
      </c>
      <c r="C9537" s="135" t="s">
        <v>349</v>
      </c>
      <c r="D9537" s="161" t="s">
        <v>74</v>
      </c>
      <c r="E9537" s="135">
        <f t="shared" si="62"/>
        <v>19</v>
      </c>
      <c r="F9537" s="134" t="s">
        <v>3877</v>
      </c>
      <c r="G9537" s="63" t="str">
        <f>VLOOKUP(C9537, 'Class Def. - General Data'!$C$20:$C$1000,1,false)</f>
        <v>ZSI1_FORMS</v>
      </c>
      <c r="H9537" s="63" t="str">
        <f>IFERROR(__xludf.DUMMYFUNCTION("VLOOKUP(F9537, IMPORTRANGE(""https://docs.google.com/spreadsheets/d/1Lhp9OU0JdFf_VYSMzH5lBcEaU4o8teT1piV-SNzShjg/edit?gid=554141278#gid=554141278"", ""'Char Def. - Attributes'!C20:C2242""), 1,false)"),"VOLUME_OPT")</f>
        <v>VOLUME_OPT</v>
      </c>
      <c r="I9537" s="136"/>
      <c r="R9537" s="63" t="str">
        <f t="shared" si="60"/>
        <v>ZSI1_FORMSVOLUME_OPT</v>
      </c>
    </row>
    <row r="9538" ht="15.75" customHeight="1">
      <c r="B9538" s="63">
        <f t="shared" si="1"/>
        <v>10</v>
      </c>
      <c r="C9538" s="135" t="s">
        <v>349</v>
      </c>
      <c r="D9538" s="161" t="s">
        <v>74</v>
      </c>
      <c r="E9538" s="135">
        <f t="shared" si="62"/>
        <v>20</v>
      </c>
      <c r="F9538" s="134" t="s">
        <v>4059</v>
      </c>
      <c r="G9538" s="63" t="str">
        <f>VLOOKUP(C9538, 'Class Def. - General Data'!$C$20:$C$1000,1,false)</f>
        <v>ZSI1_FORMS</v>
      </c>
      <c r="H9538" s="63" t="str">
        <f>IFERROR(__xludf.DUMMYFUNCTION("VLOOKUP(F9538, IMPORTRANGE(""https://docs.google.com/spreadsheets/d/1Lhp9OU0JdFf_VYSMzH5lBcEaU4o8teT1piV-SNzShjg/edit?gid=554141278#gid=554141278"", ""'Char Def. - Attributes'!C20:C2242""), 1,false)"),"VOLUME_UNIT_SI")</f>
        <v>VOLUME_UNIT_SI</v>
      </c>
      <c r="I9538" s="136"/>
      <c r="R9538" s="63" t="str">
        <f t="shared" si="60"/>
        <v>ZSI1_FORMSVOLUME_UNIT_SI</v>
      </c>
    </row>
    <row r="9539" ht="15.75" customHeight="1">
      <c r="B9539" s="63">
        <f t="shared" si="1"/>
        <v>10</v>
      </c>
      <c r="C9539" s="135" t="s">
        <v>349</v>
      </c>
      <c r="D9539" s="161" t="s">
        <v>74</v>
      </c>
      <c r="E9539" s="135">
        <f t="shared" si="62"/>
        <v>21</v>
      </c>
      <c r="F9539" s="134" t="s">
        <v>3804</v>
      </c>
      <c r="G9539" s="63" t="str">
        <f>VLOOKUP(C9539, 'Class Def. - General Data'!$C$20:$C$1000,1,false)</f>
        <v>ZSI1_FORMS</v>
      </c>
      <c r="H9539" s="63" t="str">
        <f>IFERROR(__xludf.DUMMYFUNCTION("VLOOKUP(F9539, IMPORTRANGE(""https://docs.google.com/spreadsheets/d/1Lhp9OU0JdFf_VYSMzH5lBcEaU4o8teT1piV-SNzShjg/edit?gid=554141278#gid=554141278"", ""'Char Def. - Attributes'!C20:C2242""), 1,false)"),"ALT_UOM1_SIPI")</f>
        <v>ALT_UOM1_SIPI</v>
      </c>
      <c r="I9539" s="136"/>
      <c r="R9539" s="63" t="str">
        <f t="shared" si="60"/>
        <v>ZSI1_FORMSALT_UOM1_SIPI</v>
      </c>
    </row>
    <row r="9540" ht="15.75" customHeight="1">
      <c r="B9540" s="63">
        <f t="shared" si="1"/>
        <v>10</v>
      </c>
      <c r="C9540" s="135" t="s">
        <v>349</v>
      </c>
      <c r="D9540" s="161" t="s">
        <v>74</v>
      </c>
      <c r="E9540" s="135">
        <f t="shared" si="62"/>
        <v>22</v>
      </c>
      <c r="F9540" s="134" t="s">
        <v>3805</v>
      </c>
      <c r="G9540" s="63" t="str">
        <f>VLOOKUP(C9540, 'Class Def. - General Data'!$C$20:$C$1000,1,false)</f>
        <v>ZSI1_FORMS</v>
      </c>
      <c r="H9540" s="63" t="str">
        <f>IFERROR(__xludf.DUMMYFUNCTION("VLOOKUP(F9540, IMPORTRANGE(""https://docs.google.com/spreadsheets/d/1Lhp9OU0JdFf_VYSMzH5lBcEaU4o8teT1piV-SNzShjg/edit?gid=554141278#gid=554141278"", ""'Char Def. - Attributes'!C20:C2242""), 1,false)"),"ALT_DENUM_UOM1")</f>
        <v>ALT_DENUM_UOM1</v>
      </c>
      <c r="I9540" s="136"/>
      <c r="R9540" s="63" t="str">
        <f t="shared" si="60"/>
        <v>ZSI1_FORMSALT_DENUM_UOM1</v>
      </c>
    </row>
    <row r="9541" ht="15.75" customHeight="1">
      <c r="B9541" s="63">
        <f t="shared" si="1"/>
        <v>10</v>
      </c>
      <c r="C9541" s="135" t="s">
        <v>349</v>
      </c>
      <c r="D9541" s="161" t="s">
        <v>74</v>
      </c>
      <c r="E9541" s="135">
        <f t="shared" si="62"/>
        <v>23</v>
      </c>
      <c r="F9541" s="134" t="s">
        <v>3806</v>
      </c>
      <c r="G9541" s="63" t="str">
        <f>VLOOKUP(C9541, 'Class Def. - General Data'!$C$20:$C$1000,1,false)</f>
        <v>ZSI1_FORMS</v>
      </c>
      <c r="H9541" s="63" t="str">
        <f>IFERROR(__xludf.DUMMYFUNCTION("VLOOKUP(F9541, IMPORTRANGE(""https://docs.google.com/spreadsheets/d/1Lhp9OU0JdFf_VYSMzH5lBcEaU4o8teT1piV-SNzShjg/edit?gid=554141278#gid=554141278"", ""'Char Def. - Attributes'!C20:C2242""), 1,false)"),"ALT_NUM_UOM1")</f>
        <v>ALT_NUM_UOM1</v>
      </c>
      <c r="I9541" s="136"/>
      <c r="R9541" s="63" t="str">
        <f t="shared" si="60"/>
        <v>ZSI1_FORMSALT_NUM_UOM1</v>
      </c>
    </row>
    <row r="9542" ht="15.75" customHeight="1">
      <c r="B9542" s="63">
        <f t="shared" si="1"/>
        <v>10</v>
      </c>
      <c r="C9542" s="135" t="s">
        <v>349</v>
      </c>
      <c r="D9542" s="161" t="s">
        <v>74</v>
      </c>
      <c r="E9542" s="135">
        <f t="shared" si="62"/>
        <v>24</v>
      </c>
      <c r="F9542" s="134" t="s">
        <v>3807</v>
      </c>
      <c r="G9542" s="63" t="str">
        <f>VLOOKUP(C9542, 'Class Def. - General Data'!$C$20:$C$1000,1,false)</f>
        <v>ZSI1_FORMS</v>
      </c>
      <c r="H9542" s="63" t="str">
        <f>IFERROR(__xludf.DUMMYFUNCTION("VLOOKUP(F9542, IMPORTRANGE(""https://docs.google.com/spreadsheets/d/1Lhp9OU0JdFf_VYSMzH5lBcEaU4o8teT1piV-SNzShjg/edit?gid=554141278#gid=554141278"", ""'Char Def. - Attributes'!C20:C2242""), 1,false)"),"ALT_UOM2_SIPI")</f>
        <v>ALT_UOM2_SIPI</v>
      </c>
      <c r="I9542" s="136"/>
      <c r="R9542" s="63" t="str">
        <f t="shared" si="60"/>
        <v>ZSI1_FORMSALT_UOM2_SIPI</v>
      </c>
    </row>
    <row r="9543" ht="15.75" customHeight="1">
      <c r="B9543" s="63">
        <f t="shared" si="1"/>
        <v>10</v>
      </c>
      <c r="C9543" s="135" t="s">
        <v>349</v>
      </c>
      <c r="D9543" s="161" t="s">
        <v>74</v>
      </c>
      <c r="E9543" s="135">
        <f t="shared" si="62"/>
        <v>25</v>
      </c>
      <c r="F9543" s="134" t="s">
        <v>3808</v>
      </c>
      <c r="G9543" s="63" t="str">
        <f>VLOOKUP(C9543, 'Class Def. - General Data'!$C$20:$C$1000,1,false)</f>
        <v>ZSI1_FORMS</v>
      </c>
      <c r="H9543" s="63" t="str">
        <f>IFERROR(__xludf.DUMMYFUNCTION("VLOOKUP(F9543, IMPORTRANGE(""https://docs.google.com/spreadsheets/d/1Lhp9OU0JdFf_VYSMzH5lBcEaU4o8teT1piV-SNzShjg/edit?gid=554141278#gid=554141278"", ""'Char Def. - Attributes'!C20:C2242""), 1,false)"),"ALT_DENUM_UOM2")</f>
        <v>ALT_DENUM_UOM2</v>
      </c>
      <c r="I9543" s="136"/>
      <c r="R9543" s="63" t="str">
        <f t="shared" si="60"/>
        <v>ZSI1_FORMSALT_DENUM_UOM2</v>
      </c>
    </row>
    <row r="9544" ht="15.75" customHeight="1">
      <c r="B9544" s="63">
        <f t="shared" si="1"/>
        <v>10</v>
      </c>
      <c r="C9544" s="135" t="s">
        <v>349</v>
      </c>
      <c r="D9544" s="161" t="s">
        <v>74</v>
      </c>
      <c r="E9544" s="135">
        <f t="shared" si="62"/>
        <v>26</v>
      </c>
      <c r="F9544" s="134" t="s">
        <v>3809</v>
      </c>
      <c r="G9544" s="63" t="str">
        <f>VLOOKUP(C9544, 'Class Def. - General Data'!$C$20:$C$1000,1,false)</f>
        <v>ZSI1_FORMS</v>
      </c>
      <c r="H9544" s="63" t="str">
        <f>IFERROR(__xludf.DUMMYFUNCTION("VLOOKUP(F9544, IMPORTRANGE(""https://docs.google.com/spreadsheets/d/1Lhp9OU0JdFf_VYSMzH5lBcEaU4o8teT1piV-SNzShjg/edit?gid=554141278#gid=554141278"", ""'Char Def. - Attributes'!C20:C2242""), 1,false)"),"ALT_NUM_UOM2")</f>
        <v>ALT_NUM_UOM2</v>
      </c>
      <c r="I9544" s="136"/>
      <c r="R9544" s="63" t="str">
        <f t="shared" si="60"/>
        <v>ZSI1_FORMSALT_NUM_UOM2</v>
      </c>
    </row>
    <row r="9545" ht="15.75" customHeight="1">
      <c r="B9545" s="63">
        <f t="shared" si="1"/>
        <v>10</v>
      </c>
      <c r="C9545" s="135" t="s">
        <v>349</v>
      </c>
      <c r="D9545" s="161" t="s">
        <v>74</v>
      </c>
      <c r="E9545" s="135">
        <f t="shared" si="62"/>
        <v>27</v>
      </c>
      <c r="F9545" s="134" t="s">
        <v>3810</v>
      </c>
      <c r="G9545" s="63" t="str">
        <f>VLOOKUP(C9545, 'Class Def. - General Data'!$C$20:$C$1000,1,false)</f>
        <v>ZSI1_FORMS</v>
      </c>
      <c r="H9545" s="63" t="str">
        <f>IFERROR(__xludf.DUMMYFUNCTION("VLOOKUP(F9545, IMPORTRANGE(""https://docs.google.com/spreadsheets/d/1Lhp9OU0JdFf_VYSMzH5lBcEaU4o8teT1piV-SNzShjg/edit?gid=554141278#gid=554141278"", ""'Char Def. - Attributes'!C20:C2242""), 1,false)"),"ALT_UOM3_SIPI")</f>
        <v>ALT_UOM3_SIPI</v>
      </c>
      <c r="I9545" s="136"/>
      <c r="R9545" s="63" t="str">
        <f t="shared" si="60"/>
        <v>ZSI1_FORMSALT_UOM3_SIPI</v>
      </c>
    </row>
    <row r="9546" ht="15.75" customHeight="1">
      <c r="B9546" s="63">
        <f t="shared" si="1"/>
        <v>10</v>
      </c>
      <c r="C9546" s="135" t="s">
        <v>349</v>
      </c>
      <c r="D9546" s="161" t="s">
        <v>74</v>
      </c>
      <c r="E9546" s="135">
        <f t="shared" si="62"/>
        <v>28</v>
      </c>
      <c r="F9546" s="134" t="s">
        <v>3811</v>
      </c>
      <c r="G9546" s="63" t="str">
        <f>VLOOKUP(C9546, 'Class Def. - General Data'!$C$20:$C$1000,1,false)</f>
        <v>ZSI1_FORMS</v>
      </c>
      <c r="H9546" s="63" t="str">
        <f>IFERROR(__xludf.DUMMYFUNCTION("VLOOKUP(F9546, IMPORTRANGE(""https://docs.google.com/spreadsheets/d/1Lhp9OU0JdFf_VYSMzH5lBcEaU4o8teT1piV-SNzShjg/edit?gid=554141278#gid=554141278"", ""'Char Def. - Attributes'!C20:C2242""), 1,false)"),"ALT_DENUM_UOM3")</f>
        <v>ALT_DENUM_UOM3</v>
      </c>
      <c r="I9546" s="136"/>
      <c r="R9546" s="63" t="str">
        <f t="shared" si="60"/>
        <v>ZSI1_FORMSALT_DENUM_UOM3</v>
      </c>
    </row>
    <row r="9547" ht="15.75" customHeight="1">
      <c r="B9547" s="63">
        <f t="shared" si="1"/>
        <v>10</v>
      </c>
      <c r="C9547" s="135" t="s">
        <v>349</v>
      </c>
      <c r="D9547" s="161" t="s">
        <v>74</v>
      </c>
      <c r="E9547" s="135">
        <f t="shared" si="62"/>
        <v>29</v>
      </c>
      <c r="F9547" s="134" t="s">
        <v>3812</v>
      </c>
      <c r="G9547" s="63" t="str">
        <f>VLOOKUP(C9547, 'Class Def. - General Data'!$C$20:$C$1000,1,false)</f>
        <v>ZSI1_FORMS</v>
      </c>
      <c r="H9547" s="63" t="str">
        <f>IFERROR(__xludf.DUMMYFUNCTION("VLOOKUP(F9547, IMPORTRANGE(""https://docs.google.com/spreadsheets/d/1Lhp9OU0JdFf_VYSMzH5lBcEaU4o8teT1piV-SNzShjg/edit?gid=554141278#gid=554141278"", ""'Char Def. - Attributes'!C20:C2242""), 1,false)"),"ALT_NUM_UOM3")</f>
        <v>ALT_NUM_UOM3</v>
      </c>
      <c r="I9547" s="136"/>
      <c r="R9547" s="63" t="str">
        <f t="shared" si="60"/>
        <v>ZSI1_FORMSALT_NUM_UOM3</v>
      </c>
    </row>
    <row r="9548" ht="15.75" customHeight="1">
      <c r="B9548" s="63">
        <f t="shared" si="1"/>
        <v>10</v>
      </c>
      <c r="C9548" s="135" t="s">
        <v>349</v>
      </c>
      <c r="D9548" s="161" t="s">
        <v>74</v>
      </c>
      <c r="E9548" s="135">
        <f t="shared" si="62"/>
        <v>30</v>
      </c>
      <c r="F9548" s="134" t="s">
        <v>3813</v>
      </c>
      <c r="G9548" s="63" t="str">
        <f>VLOOKUP(C9548, 'Class Def. - General Data'!$C$20:$C$1000,1,false)</f>
        <v>ZSI1_FORMS</v>
      </c>
      <c r="H9548" s="63" t="str">
        <f>IFERROR(__xludf.DUMMYFUNCTION("VLOOKUP(F9548, IMPORTRANGE(""https://docs.google.com/spreadsheets/d/1Lhp9OU0JdFf_VYSMzH5lBcEaU4o8teT1piV-SNzShjg/edit?gid=554141278#gid=554141278"", ""'Char Def. - Attributes'!C20:C2242""), 1,false)"),"ALT_UOM4_SIPI")</f>
        <v>ALT_UOM4_SIPI</v>
      </c>
      <c r="I9548" s="136"/>
      <c r="R9548" s="63" t="str">
        <f t="shared" si="60"/>
        <v>ZSI1_FORMSALT_UOM4_SIPI</v>
      </c>
    </row>
    <row r="9549" ht="15.75" customHeight="1">
      <c r="B9549" s="63">
        <f t="shared" si="1"/>
        <v>10</v>
      </c>
      <c r="C9549" s="135" t="s">
        <v>349</v>
      </c>
      <c r="D9549" s="161" t="s">
        <v>74</v>
      </c>
      <c r="E9549" s="135">
        <f t="shared" si="62"/>
        <v>31</v>
      </c>
      <c r="F9549" s="134" t="s">
        <v>3814</v>
      </c>
      <c r="G9549" s="63" t="str">
        <f>VLOOKUP(C9549, 'Class Def. - General Data'!$C$20:$C$1000,1,false)</f>
        <v>ZSI1_FORMS</v>
      </c>
      <c r="H9549" s="63" t="str">
        <f>IFERROR(__xludf.DUMMYFUNCTION("VLOOKUP(F9549, IMPORTRANGE(""https://docs.google.com/spreadsheets/d/1Lhp9OU0JdFf_VYSMzH5lBcEaU4o8teT1piV-SNzShjg/edit?gid=554141278#gid=554141278"", ""'Char Def. - Attributes'!C20:C2242""), 1,false)"),"ALT_DENUM_UOM4")</f>
        <v>ALT_DENUM_UOM4</v>
      </c>
      <c r="I9549" s="136"/>
      <c r="R9549" s="63" t="str">
        <f t="shared" si="60"/>
        <v>ZSI1_FORMSALT_DENUM_UOM4</v>
      </c>
    </row>
    <row r="9550" ht="15.75" customHeight="1">
      <c r="B9550" s="63">
        <f t="shared" si="1"/>
        <v>10</v>
      </c>
      <c r="C9550" s="135" t="s">
        <v>349</v>
      </c>
      <c r="D9550" s="161" t="s">
        <v>74</v>
      </c>
      <c r="E9550" s="135">
        <f t="shared" si="62"/>
        <v>32</v>
      </c>
      <c r="F9550" s="134" t="s">
        <v>3815</v>
      </c>
      <c r="G9550" s="63" t="str">
        <f>VLOOKUP(C9550, 'Class Def. - General Data'!$C$20:$C$1000,1,false)</f>
        <v>ZSI1_FORMS</v>
      </c>
      <c r="H9550" s="63" t="str">
        <f>IFERROR(__xludf.DUMMYFUNCTION("VLOOKUP(F9550, IMPORTRANGE(""https://docs.google.com/spreadsheets/d/1Lhp9OU0JdFf_VYSMzH5lBcEaU4o8teT1piV-SNzShjg/edit?gid=554141278#gid=554141278"", ""'Char Def. - Attributes'!C20:C2242""), 1,false)"),"ALT_NUM_UOM4")</f>
        <v>ALT_NUM_UOM4</v>
      </c>
      <c r="I9550" s="136"/>
      <c r="R9550" s="63" t="str">
        <f t="shared" si="60"/>
        <v>ZSI1_FORMSALT_NUM_UOM4</v>
      </c>
    </row>
    <row r="9551" ht="15.75" customHeight="1">
      <c r="B9551" s="63">
        <f t="shared" si="1"/>
        <v>10</v>
      </c>
      <c r="C9551" s="135" t="s">
        <v>349</v>
      </c>
      <c r="D9551" s="161" t="s">
        <v>74</v>
      </c>
      <c r="E9551" s="135">
        <f t="shared" si="62"/>
        <v>33</v>
      </c>
      <c r="F9551" s="134" t="s">
        <v>3816</v>
      </c>
      <c r="G9551" s="63" t="str">
        <f>VLOOKUP(C9551, 'Class Def. - General Data'!$C$20:$C$1000,1,false)</f>
        <v>ZSI1_FORMS</v>
      </c>
      <c r="H9551" s="63" t="str">
        <f>IFERROR(__xludf.DUMMYFUNCTION("VLOOKUP(F9551, IMPORTRANGE(""https://docs.google.com/spreadsheets/d/1Lhp9OU0JdFf_VYSMzH5lBcEaU4o8teT1piV-SNzShjg/edit?gid=554141278#gid=554141278"", ""'Char Def. - Attributes'!C20:C2242""), 1,false)"),"ALT_UOM5_SIPI")</f>
        <v>ALT_UOM5_SIPI</v>
      </c>
      <c r="I9551" s="136"/>
      <c r="R9551" s="63" t="str">
        <f t="shared" si="60"/>
        <v>ZSI1_FORMSALT_UOM5_SIPI</v>
      </c>
    </row>
    <row r="9552" ht="15.75" customHeight="1">
      <c r="B9552" s="63">
        <f t="shared" si="1"/>
        <v>10</v>
      </c>
      <c r="C9552" s="135" t="s">
        <v>349</v>
      </c>
      <c r="D9552" s="161" t="s">
        <v>74</v>
      </c>
      <c r="E9552" s="135">
        <f t="shared" si="62"/>
        <v>34</v>
      </c>
      <c r="F9552" s="134" t="s">
        <v>3817</v>
      </c>
      <c r="G9552" s="63" t="str">
        <f>VLOOKUP(C9552, 'Class Def. - General Data'!$C$20:$C$1000,1,false)</f>
        <v>ZSI1_FORMS</v>
      </c>
      <c r="H9552" s="63" t="str">
        <f>IFERROR(__xludf.DUMMYFUNCTION("VLOOKUP(F9552, IMPORTRANGE(""https://docs.google.com/spreadsheets/d/1Lhp9OU0JdFf_VYSMzH5lBcEaU4o8teT1piV-SNzShjg/edit?gid=554141278#gid=554141278"", ""'Char Def. - Attributes'!C20:C2242""), 1,false)"),"ALT_DENUM_UOM5")</f>
        <v>ALT_DENUM_UOM5</v>
      </c>
      <c r="I9552" s="136"/>
      <c r="R9552" s="63" t="str">
        <f t="shared" si="60"/>
        <v>ZSI1_FORMSALT_DENUM_UOM5</v>
      </c>
    </row>
    <row r="9553" ht="15.75" customHeight="1">
      <c r="B9553" s="63">
        <f t="shared" si="1"/>
        <v>10</v>
      </c>
      <c r="C9553" s="135" t="s">
        <v>349</v>
      </c>
      <c r="D9553" s="161" t="s">
        <v>74</v>
      </c>
      <c r="E9553" s="135">
        <f t="shared" si="62"/>
        <v>35</v>
      </c>
      <c r="F9553" s="134" t="s">
        <v>3818</v>
      </c>
      <c r="G9553" s="63" t="str">
        <f>VLOOKUP(C9553, 'Class Def. - General Data'!$C$20:$C$1000,1,false)</f>
        <v>ZSI1_FORMS</v>
      </c>
      <c r="H9553" s="63" t="str">
        <f>IFERROR(__xludf.DUMMYFUNCTION("VLOOKUP(F9553, IMPORTRANGE(""https://docs.google.com/spreadsheets/d/1Lhp9OU0JdFf_VYSMzH5lBcEaU4o8teT1piV-SNzShjg/edit?gid=554141278#gid=554141278"", ""'Char Def. - Attributes'!C20:C2242""), 1,false)"),"ALT_NUM_UOM5")</f>
        <v>ALT_NUM_UOM5</v>
      </c>
      <c r="I9553" s="136"/>
      <c r="R9553" s="63" t="str">
        <f t="shared" si="60"/>
        <v>ZSI1_FORMSALT_NUM_UOM5</v>
      </c>
    </row>
    <row r="9554" ht="15.75" customHeight="1">
      <c r="B9554" s="63">
        <f t="shared" si="1"/>
        <v>10</v>
      </c>
      <c r="C9554" s="135" t="s">
        <v>393</v>
      </c>
      <c r="D9554" s="161" t="s">
        <v>74</v>
      </c>
      <c r="E9554" s="135">
        <f t="shared" si="62"/>
        <v>1</v>
      </c>
      <c r="F9554" s="134" t="s">
        <v>4566</v>
      </c>
      <c r="G9554" s="63" t="str">
        <f>VLOOKUP(C9554, 'Class Def. - General Data'!$C$20:$C$1000,1,false)</f>
        <v>ZSI1_FUELS</v>
      </c>
      <c r="H9554" s="63" t="str">
        <f>IFERROR(__xludf.DUMMYFUNCTION("VLOOKUP(F9554, IMPORTRANGE(""https://docs.google.com/spreadsheets/d/1Lhp9OU0JdFf_VYSMzH5lBcEaU4o8teT1piV-SNzShjg/edit?gid=554141278#gid=554141278"", ""'Char Def. - Attributes'!C20:C2242""), 1,false)"),"ITEM_NAME_FUELS")</f>
        <v>ITEM_NAME_FUELS</v>
      </c>
      <c r="I9554" s="136"/>
      <c r="R9554" s="63" t="str">
        <f t="shared" si="60"/>
        <v>ZSI1_FUELSITEM_NAME_FUELS</v>
      </c>
    </row>
    <row r="9555" ht="15.75" customHeight="1">
      <c r="B9555" s="63">
        <f t="shared" si="1"/>
        <v>10</v>
      </c>
      <c r="C9555" s="135" t="s">
        <v>393</v>
      </c>
      <c r="D9555" s="161" t="s">
        <v>74</v>
      </c>
      <c r="E9555" s="135">
        <f t="shared" si="62"/>
        <v>2</v>
      </c>
      <c r="F9555" s="134" t="s">
        <v>4062</v>
      </c>
      <c r="G9555" s="63" t="str">
        <f>VLOOKUP(C9555, 'Class Def. - General Data'!$C$20:$C$1000,1,false)</f>
        <v>ZSI1_FUELS</v>
      </c>
      <c r="H9555" s="63" t="str">
        <f>IFERROR(__xludf.DUMMYFUNCTION("VLOOKUP(F9555, IMPORTRANGE(""https://docs.google.com/spreadsheets/d/1Lhp9OU0JdFf_VYSMzH5lBcEaU4o8teT1piV-SNzShjg/edit?gid=554141278#gid=554141278"", ""'Char Def. - Attributes'!C20:C2242""), 1,false)"),"#N/A")</f>
        <v>#N/A</v>
      </c>
      <c r="I9555" s="136"/>
      <c r="R9555" s="63" t="str">
        <f t="shared" si="60"/>
        <v>ZSI1_FUELSADDTIONAL_SPECIFICATION</v>
      </c>
    </row>
    <row r="9556" ht="15.75" customHeight="1">
      <c r="B9556" s="63">
        <f t="shared" si="1"/>
        <v>10</v>
      </c>
      <c r="C9556" s="135" t="s">
        <v>393</v>
      </c>
      <c r="D9556" s="161" t="s">
        <v>74</v>
      </c>
      <c r="E9556" s="135">
        <f t="shared" si="62"/>
        <v>3</v>
      </c>
      <c r="F9556" s="134" t="s">
        <v>3585</v>
      </c>
      <c r="G9556" s="63" t="str">
        <f>VLOOKUP(C9556, 'Class Def. - General Data'!$C$20:$C$1000,1,false)</f>
        <v>ZSI1_FUELS</v>
      </c>
      <c r="H9556" s="63" t="str">
        <f>IFERROR(__xludf.DUMMYFUNCTION("VLOOKUP(F9556, IMPORTRANGE(""https://docs.google.com/spreadsheets/d/1Lhp9OU0JdFf_VYSMzH5lBcEaU4o8teT1piV-SNzShjg/edit?gid=554141278#gid=554141278"", ""'Char Def. - Attributes'!C20:C2242""), 1,false)"),"HS_CODE")</f>
        <v>HS_CODE</v>
      </c>
      <c r="I9556" s="136"/>
      <c r="R9556" s="63" t="str">
        <f t="shared" si="60"/>
        <v>ZSI1_FUELSHS_CODE</v>
      </c>
    </row>
    <row r="9557" ht="15.75" customHeight="1">
      <c r="B9557" s="63">
        <f t="shared" si="1"/>
        <v>10</v>
      </c>
      <c r="C9557" s="135" t="s">
        <v>393</v>
      </c>
      <c r="D9557" s="161" t="s">
        <v>74</v>
      </c>
      <c r="E9557" s="135">
        <f t="shared" si="62"/>
        <v>4</v>
      </c>
      <c r="F9557" s="134" t="s">
        <v>3587</v>
      </c>
      <c r="G9557" s="63" t="str">
        <f>VLOOKUP(C9557, 'Class Def. - General Data'!$C$20:$C$1000,1,false)</f>
        <v>ZSI1_FUELS</v>
      </c>
      <c r="H9557" s="63" t="str">
        <f>IFERROR(__xludf.DUMMYFUNCTION("VLOOKUP(F9557, IMPORTRANGE(""https://docs.google.com/spreadsheets/d/1Lhp9OU0JdFf_VYSMzH5lBcEaU4o8teT1piV-SNzShjg/edit?gid=554141278#gid=554141278"", ""'Char Def. - Attributes'!C20:C2242""), 1,false)"),"PLANT_BUY")</f>
        <v>PLANT_BUY</v>
      </c>
      <c r="I9557" s="136"/>
      <c r="R9557" s="63" t="str">
        <f t="shared" si="60"/>
        <v>ZSI1_FUELSPLANT_BUY</v>
      </c>
    </row>
    <row r="9558" ht="15.75" customHeight="1">
      <c r="B9558" s="63">
        <f t="shared" si="1"/>
        <v>10</v>
      </c>
      <c r="C9558" s="135" t="s">
        <v>393</v>
      </c>
      <c r="D9558" s="161" t="s">
        <v>74</v>
      </c>
      <c r="E9558" s="135">
        <f t="shared" si="62"/>
        <v>5</v>
      </c>
      <c r="F9558" s="134" t="s">
        <v>4567</v>
      </c>
      <c r="G9558" s="63" t="str">
        <f>VLOOKUP(C9558, 'Class Def. - General Data'!$C$20:$C$1000,1,false)</f>
        <v>ZSI1_FUELS</v>
      </c>
      <c r="H9558" s="63" t="str">
        <f>IFERROR(__xludf.DUMMYFUNCTION("VLOOKUP(F9558, IMPORTRANGE(""https://docs.google.com/spreadsheets/d/1Lhp9OU0JdFf_VYSMzH5lBcEaU4o8teT1piV-SNzShjg/edit?gid=554141278#gid=554141278"", ""'Char Def. - Attributes'!C20:C2242""), 1,false)"),"BASE_UOM_FUELS")</f>
        <v>BASE_UOM_FUELS</v>
      </c>
      <c r="I9558" s="136"/>
      <c r="R9558" s="63" t="str">
        <f t="shared" si="60"/>
        <v>ZSI1_FUELSBASE_UOM_FUELS</v>
      </c>
    </row>
    <row r="9559" ht="15.75" customHeight="1">
      <c r="B9559" s="63">
        <f t="shared" si="1"/>
        <v>10</v>
      </c>
      <c r="C9559" s="135" t="s">
        <v>393</v>
      </c>
      <c r="D9559" s="161" t="s">
        <v>74</v>
      </c>
      <c r="E9559" s="135">
        <f t="shared" si="62"/>
        <v>6</v>
      </c>
      <c r="F9559" s="134" t="s">
        <v>4568</v>
      </c>
      <c r="G9559" s="63" t="str">
        <f>VLOOKUP(C9559, 'Class Def. - General Data'!$C$20:$C$1000,1,false)</f>
        <v>ZSI1_FUELS</v>
      </c>
      <c r="H9559" s="63" t="str">
        <f>IFERROR(__xludf.DUMMYFUNCTION("VLOOKUP(F9559, IMPORTRANGE(""https://docs.google.com/spreadsheets/d/1Lhp9OU0JdFf_VYSMzH5lBcEaU4o8teT1piV-SNzShjg/edit?gid=554141278#gid=554141278"", ""'Char Def. - Attributes'!C20:C2242""), 1,false)"),"ORDER_UNIT_FUELS")</f>
        <v>ORDER_UNIT_FUELS</v>
      </c>
      <c r="I9559" s="136"/>
      <c r="R9559" s="63" t="str">
        <f t="shared" si="60"/>
        <v>ZSI1_FUELSORDER_UNIT_FUELS</v>
      </c>
    </row>
    <row r="9560" ht="15.75" customHeight="1">
      <c r="B9560" s="63">
        <f t="shared" si="1"/>
        <v>10</v>
      </c>
      <c r="C9560" s="135" t="s">
        <v>393</v>
      </c>
      <c r="D9560" s="161" t="s">
        <v>74</v>
      </c>
      <c r="E9560" s="135">
        <f t="shared" si="62"/>
        <v>7</v>
      </c>
      <c r="F9560" s="134" t="s">
        <v>4056</v>
      </c>
      <c r="G9560" s="63" t="str">
        <f>VLOOKUP(C9560, 'Class Def. - General Data'!$C$20:$C$1000,1,false)</f>
        <v>ZSI1_FUELS</v>
      </c>
      <c r="H9560" s="63" t="str">
        <f>IFERROR(__xludf.DUMMYFUNCTION("VLOOKUP(F9560, IMPORTRANGE(""https://docs.google.com/spreadsheets/d/1Lhp9OU0JdFf_VYSMzH5lBcEaU4o8teT1piV-SNzShjg/edit?gid=554141278#gid=554141278"", ""'Char Def. - Attributes'!C20:C2242""), 1,false)"),"GROSS_WEIGHT_OPT")</f>
        <v>GROSS_WEIGHT_OPT</v>
      </c>
      <c r="I9560" s="136"/>
      <c r="R9560" s="63" t="str">
        <f t="shared" si="60"/>
        <v>ZSI1_FUELSGROSS_WEIGHT_OPT</v>
      </c>
    </row>
    <row r="9561" ht="15.75" customHeight="1">
      <c r="B9561" s="63">
        <f t="shared" si="1"/>
        <v>10</v>
      </c>
      <c r="C9561" s="135" t="s">
        <v>393</v>
      </c>
      <c r="D9561" s="161" t="s">
        <v>74</v>
      </c>
      <c r="E9561" s="135">
        <f t="shared" si="62"/>
        <v>8</v>
      </c>
      <c r="F9561" s="134" t="s">
        <v>4057</v>
      </c>
      <c r="G9561" s="63" t="str">
        <f>VLOOKUP(C9561, 'Class Def. - General Data'!$C$20:$C$1000,1,false)</f>
        <v>ZSI1_FUELS</v>
      </c>
      <c r="H9561" s="63" t="str">
        <f>IFERROR(__xludf.DUMMYFUNCTION("VLOOKUP(F9561, IMPORTRANGE(""https://docs.google.com/spreadsheets/d/1Lhp9OU0JdFf_VYSMzH5lBcEaU4o8teT1piV-SNzShjg/edit?gid=554141278#gid=554141278"", ""'Char Def. - Attributes'!C20:C2242""), 1,false)"),"NET_WEIGHT_OPT")</f>
        <v>NET_WEIGHT_OPT</v>
      </c>
      <c r="I9561" s="136"/>
      <c r="R9561" s="63" t="str">
        <f t="shared" si="60"/>
        <v>ZSI1_FUELSNET_WEIGHT_OPT</v>
      </c>
    </row>
    <row r="9562" ht="15.75" customHeight="1">
      <c r="B9562" s="63">
        <f t="shared" si="1"/>
        <v>10</v>
      </c>
      <c r="C9562" s="135" t="s">
        <v>393</v>
      </c>
      <c r="D9562" s="161" t="s">
        <v>74</v>
      </c>
      <c r="E9562" s="135">
        <f t="shared" si="62"/>
        <v>9</v>
      </c>
      <c r="F9562" s="134" t="s">
        <v>4058</v>
      </c>
      <c r="G9562" s="63" t="str">
        <f>VLOOKUP(C9562, 'Class Def. - General Data'!$C$20:$C$1000,1,false)</f>
        <v>ZSI1_FUELS</v>
      </c>
      <c r="H9562" s="63" t="str">
        <f>IFERROR(__xludf.DUMMYFUNCTION("VLOOKUP(F9562, IMPORTRANGE(""https://docs.google.com/spreadsheets/d/1Lhp9OU0JdFf_VYSMzH5lBcEaU4o8teT1piV-SNzShjg/edit?gid=554141278#gid=554141278"", ""'Char Def. - Attributes'!C20:C2242""), 1,false)"),"WEIGHT_UNIT_SI")</f>
        <v>WEIGHT_UNIT_SI</v>
      </c>
      <c r="I9562" s="136"/>
      <c r="R9562" s="63" t="str">
        <f t="shared" si="60"/>
        <v>ZSI1_FUELSWEIGHT_UNIT_SI</v>
      </c>
    </row>
    <row r="9563" ht="15.75" customHeight="1">
      <c r="B9563" s="63">
        <f t="shared" si="1"/>
        <v>10</v>
      </c>
      <c r="C9563" s="135" t="s">
        <v>393</v>
      </c>
      <c r="D9563" s="161" t="s">
        <v>74</v>
      </c>
      <c r="E9563" s="135">
        <f t="shared" si="62"/>
        <v>10</v>
      </c>
      <c r="F9563" s="134" t="s">
        <v>3877</v>
      </c>
      <c r="G9563" s="63" t="str">
        <f>VLOOKUP(C9563, 'Class Def. - General Data'!$C$20:$C$1000,1,false)</f>
        <v>ZSI1_FUELS</v>
      </c>
      <c r="H9563" s="63" t="str">
        <f>IFERROR(__xludf.DUMMYFUNCTION("VLOOKUP(F9563, IMPORTRANGE(""https://docs.google.com/spreadsheets/d/1Lhp9OU0JdFf_VYSMzH5lBcEaU4o8teT1piV-SNzShjg/edit?gid=554141278#gid=554141278"", ""'Char Def. - Attributes'!C20:C2242""), 1,false)"),"VOLUME_OPT")</f>
        <v>VOLUME_OPT</v>
      </c>
      <c r="I9563" s="136"/>
      <c r="R9563" s="63" t="str">
        <f t="shared" si="60"/>
        <v>ZSI1_FUELSVOLUME_OPT</v>
      </c>
    </row>
    <row r="9564" ht="15.75" customHeight="1">
      <c r="B9564" s="63">
        <f t="shared" si="1"/>
        <v>10</v>
      </c>
      <c r="C9564" s="135" t="s">
        <v>393</v>
      </c>
      <c r="D9564" s="161" t="s">
        <v>74</v>
      </c>
      <c r="E9564" s="135">
        <f t="shared" si="62"/>
        <v>11</v>
      </c>
      <c r="F9564" s="134" t="s">
        <v>4059</v>
      </c>
      <c r="G9564" s="63" t="str">
        <f>VLOOKUP(C9564, 'Class Def. - General Data'!$C$20:$C$1000,1,false)</f>
        <v>ZSI1_FUELS</v>
      </c>
      <c r="H9564" s="63" t="str">
        <f>IFERROR(__xludf.DUMMYFUNCTION("VLOOKUP(F9564, IMPORTRANGE(""https://docs.google.com/spreadsheets/d/1Lhp9OU0JdFf_VYSMzH5lBcEaU4o8teT1piV-SNzShjg/edit?gid=554141278#gid=554141278"", ""'Char Def. - Attributes'!C20:C2242""), 1,false)"),"VOLUME_UNIT_SI")</f>
        <v>VOLUME_UNIT_SI</v>
      </c>
      <c r="I9564" s="136"/>
      <c r="R9564" s="63" t="str">
        <f t="shared" si="60"/>
        <v>ZSI1_FUELSVOLUME_UNIT_SI</v>
      </c>
    </row>
    <row r="9565" ht="15.75" customHeight="1">
      <c r="B9565" s="63">
        <f t="shared" si="1"/>
        <v>10</v>
      </c>
      <c r="C9565" s="135" t="s">
        <v>393</v>
      </c>
      <c r="D9565" s="161" t="s">
        <v>74</v>
      </c>
      <c r="E9565" s="135">
        <f t="shared" si="62"/>
        <v>12</v>
      </c>
      <c r="F9565" s="134" t="s">
        <v>3804</v>
      </c>
      <c r="G9565" s="63" t="str">
        <f>VLOOKUP(C9565, 'Class Def. - General Data'!$C$20:$C$1000,1,false)</f>
        <v>ZSI1_FUELS</v>
      </c>
      <c r="H9565" s="63" t="str">
        <f>IFERROR(__xludf.DUMMYFUNCTION("VLOOKUP(F9565, IMPORTRANGE(""https://docs.google.com/spreadsheets/d/1Lhp9OU0JdFf_VYSMzH5lBcEaU4o8teT1piV-SNzShjg/edit?gid=554141278#gid=554141278"", ""'Char Def. - Attributes'!C20:C2242""), 1,false)"),"ALT_UOM1_SIPI")</f>
        <v>ALT_UOM1_SIPI</v>
      </c>
      <c r="I9565" s="136"/>
      <c r="R9565" s="63" t="str">
        <f t="shared" si="60"/>
        <v>ZSI1_FUELSALT_UOM1_SIPI</v>
      </c>
    </row>
    <row r="9566" ht="15.75" customHeight="1">
      <c r="B9566" s="63">
        <f t="shared" si="1"/>
        <v>10</v>
      </c>
      <c r="C9566" s="135" t="s">
        <v>393</v>
      </c>
      <c r="D9566" s="161" t="s">
        <v>74</v>
      </c>
      <c r="E9566" s="135">
        <f t="shared" si="62"/>
        <v>13</v>
      </c>
      <c r="F9566" s="134" t="s">
        <v>3805</v>
      </c>
      <c r="G9566" s="63" t="str">
        <f>VLOOKUP(C9566, 'Class Def. - General Data'!$C$20:$C$1000,1,false)</f>
        <v>ZSI1_FUELS</v>
      </c>
      <c r="H9566" s="63" t="str">
        <f>IFERROR(__xludf.DUMMYFUNCTION("VLOOKUP(F9566, IMPORTRANGE(""https://docs.google.com/spreadsheets/d/1Lhp9OU0JdFf_VYSMzH5lBcEaU4o8teT1piV-SNzShjg/edit?gid=554141278#gid=554141278"", ""'Char Def. - Attributes'!C20:C2242""), 1,false)"),"ALT_DENUM_UOM1")</f>
        <v>ALT_DENUM_UOM1</v>
      </c>
      <c r="I9566" s="136"/>
      <c r="R9566" s="63" t="str">
        <f t="shared" si="60"/>
        <v>ZSI1_FUELSALT_DENUM_UOM1</v>
      </c>
    </row>
    <row r="9567" ht="15.75" customHeight="1">
      <c r="B9567" s="63">
        <f t="shared" si="1"/>
        <v>10</v>
      </c>
      <c r="C9567" s="135" t="s">
        <v>393</v>
      </c>
      <c r="D9567" s="161" t="s">
        <v>74</v>
      </c>
      <c r="E9567" s="135">
        <f t="shared" si="62"/>
        <v>14</v>
      </c>
      <c r="F9567" s="134" t="s">
        <v>3806</v>
      </c>
      <c r="G9567" s="63" t="str">
        <f>VLOOKUP(C9567, 'Class Def. - General Data'!$C$20:$C$1000,1,false)</f>
        <v>ZSI1_FUELS</v>
      </c>
      <c r="H9567" s="63" t="str">
        <f>IFERROR(__xludf.DUMMYFUNCTION("VLOOKUP(F9567, IMPORTRANGE(""https://docs.google.com/spreadsheets/d/1Lhp9OU0JdFf_VYSMzH5lBcEaU4o8teT1piV-SNzShjg/edit?gid=554141278#gid=554141278"", ""'Char Def. - Attributes'!C20:C2242""), 1,false)"),"ALT_NUM_UOM1")</f>
        <v>ALT_NUM_UOM1</v>
      </c>
      <c r="I9567" s="136"/>
      <c r="R9567" s="63" t="str">
        <f t="shared" si="60"/>
        <v>ZSI1_FUELSALT_NUM_UOM1</v>
      </c>
    </row>
    <row r="9568" ht="15.75" customHeight="1">
      <c r="B9568" s="63">
        <f t="shared" si="1"/>
        <v>10</v>
      </c>
      <c r="C9568" s="135" t="s">
        <v>393</v>
      </c>
      <c r="D9568" s="161" t="s">
        <v>74</v>
      </c>
      <c r="E9568" s="135">
        <f t="shared" si="62"/>
        <v>15</v>
      </c>
      <c r="F9568" s="134" t="s">
        <v>3807</v>
      </c>
      <c r="G9568" s="63" t="str">
        <f>VLOOKUP(C9568, 'Class Def. - General Data'!$C$20:$C$1000,1,false)</f>
        <v>ZSI1_FUELS</v>
      </c>
      <c r="H9568" s="63" t="str">
        <f>IFERROR(__xludf.DUMMYFUNCTION("VLOOKUP(F9568, IMPORTRANGE(""https://docs.google.com/spreadsheets/d/1Lhp9OU0JdFf_VYSMzH5lBcEaU4o8teT1piV-SNzShjg/edit?gid=554141278#gid=554141278"", ""'Char Def. - Attributes'!C20:C2242""), 1,false)"),"ALT_UOM2_SIPI")</f>
        <v>ALT_UOM2_SIPI</v>
      </c>
      <c r="I9568" s="136"/>
      <c r="R9568" s="63" t="str">
        <f t="shared" si="60"/>
        <v>ZSI1_FUELSALT_UOM2_SIPI</v>
      </c>
    </row>
    <row r="9569" ht="15.75" customHeight="1">
      <c r="B9569" s="63">
        <f t="shared" si="1"/>
        <v>10</v>
      </c>
      <c r="C9569" s="135" t="s">
        <v>393</v>
      </c>
      <c r="D9569" s="161" t="s">
        <v>74</v>
      </c>
      <c r="E9569" s="135">
        <f t="shared" si="62"/>
        <v>16</v>
      </c>
      <c r="F9569" s="134" t="s">
        <v>3808</v>
      </c>
      <c r="G9569" s="63" t="str">
        <f>VLOOKUP(C9569, 'Class Def. - General Data'!$C$20:$C$1000,1,false)</f>
        <v>ZSI1_FUELS</v>
      </c>
      <c r="H9569" s="63" t="str">
        <f>IFERROR(__xludf.DUMMYFUNCTION("VLOOKUP(F9569, IMPORTRANGE(""https://docs.google.com/spreadsheets/d/1Lhp9OU0JdFf_VYSMzH5lBcEaU4o8teT1piV-SNzShjg/edit?gid=554141278#gid=554141278"", ""'Char Def. - Attributes'!C20:C2242""), 1,false)"),"ALT_DENUM_UOM2")</f>
        <v>ALT_DENUM_UOM2</v>
      </c>
      <c r="I9569" s="136"/>
      <c r="R9569" s="63" t="str">
        <f t="shared" si="60"/>
        <v>ZSI1_FUELSALT_DENUM_UOM2</v>
      </c>
    </row>
    <row r="9570" ht="15.75" customHeight="1">
      <c r="B9570" s="63">
        <f t="shared" si="1"/>
        <v>10</v>
      </c>
      <c r="C9570" s="135" t="s">
        <v>393</v>
      </c>
      <c r="D9570" s="161" t="s">
        <v>74</v>
      </c>
      <c r="E9570" s="135">
        <f t="shared" si="62"/>
        <v>17</v>
      </c>
      <c r="F9570" s="134" t="s">
        <v>3809</v>
      </c>
      <c r="G9570" s="63" t="str">
        <f>VLOOKUP(C9570, 'Class Def. - General Data'!$C$20:$C$1000,1,false)</f>
        <v>ZSI1_FUELS</v>
      </c>
      <c r="H9570" s="63" t="str">
        <f>IFERROR(__xludf.DUMMYFUNCTION("VLOOKUP(F9570, IMPORTRANGE(""https://docs.google.com/spreadsheets/d/1Lhp9OU0JdFf_VYSMzH5lBcEaU4o8teT1piV-SNzShjg/edit?gid=554141278#gid=554141278"", ""'Char Def. - Attributes'!C20:C2242""), 1,false)"),"ALT_NUM_UOM2")</f>
        <v>ALT_NUM_UOM2</v>
      </c>
      <c r="I9570" s="136"/>
      <c r="R9570" s="63" t="str">
        <f t="shared" si="60"/>
        <v>ZSI1_FUELSALT_NUM_UOM2</v>
      </c>
    </row>
    <row r="9571" ht="15.75" customHeight="1">
      <c r="B9571" s="63">
        <f t="shared" si="1"/>
        <v>10</v>
      </c>
      <c r="C9571" s="135" t="s">
        <v>393</v>
      </c>
      <c r="D9571" s="161" t="s">
        <v>74</v>
      </c>
      <c r="E9571" s="135">
        <f t="shared" si="62"/>
        <v>18</v>
      </c>
      <c r="F9571" s="134" t="s">
        <v>3810</v>
      </c>
      <c r="G9571" s="63" t="str">
        <f>VLOOKUP(C9571, 'Class Def. - General Data'!$C$20:$C$1000,1,false)</f>
        <v>ZSI1_FUELS</v>
      </c>
      <c r="H9571" s="63" t="str">
        <f>IFERROR(__xludf.DUMMYFUNCTION("VLOOKUP(F9571, IMPORTRANGE(""https://docs.google.com/spreadsheets/d/1Lhp9OU0JdFf_VYSMzH5lBcEaU4o8teT1piV-SNzShjg/edit?gid=554141278#gid=554141278"", ""'Char Def. - Attributes'!C20:C2242""), 1,false)"),"ALT_UOM3_SIPI")</f>
        <v>ALT_UOM3_SIPI</v>
      </c>
      <c r="I9571" s="136"/>
      <c r="R9571" s="63" t="str">
        <f t="shared" si="60"/>
        <v>ZSI1_FUELSALT_UOM3_SIPI</v>
      </c>
    </row>
    <row r="9572" ht="15.75" customHeight="1">
      <c r="B9572" s="63">
        <f t="shared" si="1"/>
        <v>10</v>
      </c>
      <c r="C9572" s="135" t="s">
        <v>393</v>
      </c>
      <c r="D9572" s="161" t="s">
        <v>74</v>
      </c>
      <c r="E9572" s="135">
        <f t="shared" si="62"/>
        <v>19</v>
      </c>
      <c r="F9572" s="134" t="s">
        <v>3811</v>
      </c>
      <c r="G9572" s="63" t="str">
        <f>VLOOKUP(C9572, 'Class Def. - General Data'!$C$20:$C$1000,1,false)</f>
        <v>ZSI1_FUELS</v>
      </c>
      <c r="H9572" s="63" t="str">
        <f>IFERROR(__xludf.DUMMYFUNCTION("VLOOKUP(F9572, IMPORTRANGE(""https://docs.google.com/spreadsheets/d/1Lhp9OU0JdFf_VYSMzH5lBcEaU4o8teT1piV-SNzShjg/edit?gid=554141278#gid=554141278"", ""'Char Def. - Attributes'!C20:C2242""), 1,false)"),"ALT_DENUM_UOM3")</f>
        <v>ALT_DENUM_UOM3</v>
      </c>
      <c r="I9572" s="136"/>
      <c r="R9572" s="63" t="str">
        <f t="shared" si="60"/>
        <v>ZSI1_FUELSALT_DENUM_UOM3</v>
      </c>
    </row>
    <row r="9573" ht="15.75" customHeight="1">
      <c r="B9573" s="63">
        <f t="shared" si="1"/>
        <v>10</v>
      </c>
      <c r="C9573" s="135" t="s">
        <v>393</v>
      </c>
      <c r="D9573" s="161" t="s">
        <v>74</v>
      </c>
      <c r="E9573" s="135">
        <f t="shared" si="62"/>
        <v>20</v>
      </c>
      <c r="F9573" s="134" t="s">
        <v>3812</v>
      </c>
      <c r="G9573" s="63" t="str">
        <f>VLOOKUP(C9573, 'Class Def. - General Data'!$C$20:$C$1000,1,false)</f>
        <v>ZSI1_FUELS</v>
      </c>
      <c r="H9573" s="63" t="str">
        <f>IFERROR(__xludf.DUMMYFUNCTION("VLOOKUP(F9573, IMPORTRANGE(""https://docs.google.com/spreadsheets/d/1Lhp9OU0JdFf_VYSMzH5lBcEaU4o8teT1piV-SNzShjg/edit?gid=554141278#gid=554141278"", ""'Char Def. - Attributes'!C20:C2242""), 1,false)"),"ALT_NUM_UOM3")</f>
        <v>ALT_NUM_UOM3</v>
      </c>
      <c r="I9573" s="136"/>
      <c r="R9573" s="63" t="str">
        <f t="shared" si="60"/>
        <v>ZSI1_FUELSALT_NUM_UOM3</v>
      </c>
    </row>
    <row r="9574" ht="15.75" customHeight="1">
      <c r="B9574" s="63">
        <f t="shared" si="1"/>
        <v>10</v>
      </c>
      <c r="C9574" s="135" t="s">
        <v>393</v>
      </c>
      <c r="D9574" s="161" t="s">
        <v>74</v>
      </c>
      <c r="E9574" s="135">
        <f t="shared" si="62"/>
        <v>21</v>
      </c>
      <c r="F9574" s="134" t="s">
        <v>3813</v>
      </c>
      <c r="G9574" s="63" t="str">
        <f>VLOOKUP(C9574, 'Class Def. - General Data'!$C$20:$C$1000,1,false)</f>
        <v>ZSI1_FUELS</v>
      </c>
      <c r="H9574" s="63" t="str">
        <f>IFERROR(__xludf.DUMMYFUNCTION("VLOOKUP(F9574, IMPORTRANGE(""https://docs.google.com/spreadsheets/d/1Lhp9OU0JdFf_VYSMzH5lBcEaU4o8teT1piV-SNzShjg/edit?gid=554141278#gid=554141278"", ""'Char Def. - Attributes'!C20:C2242""), 1,false)"),"ALT_UOM4_SIPI")</f>
        <v>ALT_UOM4_SIPI</v>
      </c>
      <c r="I9574" s="136"/>
      <c r="R9574" s="63" t="str">
        <f t="shared" si="60"/>
        <v>ZSI1_FUELSALT_UOM4_SIPI</v>
      </c>
    </row>
    <row r="9575" ht="15.75" customHeight="1">
      <c r="B9575" s="63">
        <f t="shared" si="1"/>
        <v>10</v>
      </c>
      <c r="C9575" s="135" t="s">
        <v>393</v>
      </c>
      <c r="D9575" s="161" t="s">
        <v>74</v>
      </c>
      <c r="E9575" s="135">
        <f t="shared" si="62"/>
        <v>22</v>
      </c>
      <c r="F9575" s="134" t="s">
        <v>3814</v>
      </c>
      <c r="G9575" s="63" t="str">
        <f>VLOOKUP(C9575, 'Class Def. - General Data'!$C$20:$C$1000,1,false)</f>
        <v>ZSI1_FUELS</v>
      </c>
      <c r="H9575" s="63" t="str">
        <f>IFERROR(__xludf.DUMMYFUNCTION("VLOOKUP(F9575, IMPORTRANGE(""https://docs.google.com/spreadsheets/d/1Lhp9OU0JdFf_VYSMzH5lBcEaU4o8teT1piV-SNzShjg/edit?gid=554141278#gid=554141278"", ""'Char Def. - Attributes'!C20:C2242""), 1,false)"),"ALT_DENUM_UOM4")</f>
        <v>ALT_DENUM_UOM4</v>
      </c>
      <c r="I9575" s="136"/>
      <c r="R9575" s="63" t="str">
        <f t="shared" si="60"/>
        <v>ZSI1_FUELSALT_DENUM_UOM4</v>
      </c>
    </row>
    <row r="9576" ht="15.75" customHeight="1">
      <c r="B9576" s="63">
        <f t="shared" si="1"/>
        <v>10</v>
      </c>
      <c r="C9576" s="135" t="s">
        <v>393</v>
      </c>
      <c r="D9576" s="161" t="s">
        <v>74</v>
      </c>
      <c r="E9576" s="135">
        <f t="shared" si="62"/>
        <v>23</v>
      </c>
      <c r="F9576" s="134" t="s">
        <v>3815</v>
      </c>
      <c r="G9576" s="63" t="str">
        <f>VLOOKUP(C9576, 'Class Def. - General Data'!$C$20:$C$1000,1,false)</f>
        <v>ZSI1_FUELS</v>
      </c>
      <c r="H9576" s="63" t="str">
        <f>IFERROR(__xludf.DUMMYFUNCTION("VLOOKUP(F9576, IMPORTRANGE(""https://docs.google.com/spreadsheets/d/1Lhp9OU0JdFf_VYSMzH5lBcEaU4o8teT1piV-SNzShjg/edit?gid=554141278#gid=554141278"", ""'Char Def. - Attributes'!C20:C2242""), 1,false)"),"ALT_NUM_UOM4")</f>
        <v>ALT_NUM_UOM4</v>
      </c>
      <c r="I9576" s="136"/>
      <c r="R9576" s="63" t="str">
        <f t="shared" si="60"/>
        <v>ZSI1_FUELSALT_NUM_UOM4</v>
      </c>
    </row>
    <row r="9577" ht="15.75" customHeight="1">
      <c r="B9577" s="63">
        <f t="shared" si="1"/>
        <v>10</v>
      </c>
      <c r="C9577" s="135" t="s">
        <v>393</v>
      </c>
      <c r="D9577" s="161" t="s">
        <v>74</v>
      </c>
      <c r="E9577" s="135">
        <f t="shared" si="62"/>
        <v>24</v>
      </c>
      <c r="F9577" s="134" t="s">
        <v>3816</v>
      </c>
      <c r="G9577" s="63" t="str">
        <f>VLOOKUP(C9577, 'Class Def. - General Data'!$C$20:$C$1000,1,false)</f>
        <v>ZSI1_FUELS</v>
      </c>
      <c r="H9577" s="63" t="str">
        <f>IFERROR(__xludf.DUMMYFUNCTION("VLOOKUP(F9577, IMPORTRANGE(""https://docs.google.com/spreadsheets/d/1Lhp9OU0JdFf_VYSMzH5lBcEaU4o8teT1piV-SNzShjg/edit?gid=554141278#gid=554141278"", ""'Char Def. - Attributes'!C20:C2242""), 1,false)"),"ALT_UOM5_SIPI")</f>
        <v>ALT_UOM5_SIPI</v>
      </c>
      <c r="I9577" s="136"/>
      <c r="R9577" s="63" t="str">
        <f t="shared" si="60"/>
        <v>ZSI1_FUELSALT_UOM5_SIPI</v>
      </c>
    </row>
    <row r="9578" ht="15.75" customHeight="1">
      <c r="B9578" s="63">
        <f t="shared" si="1"/>
        <v>10</v>
      </c>
      <c r="C9578" s="135" t="s">
        <v>393</v>
      </c>
      <c r="D9578" s="161" t="s">
        <v>74</v>
      </c>
      <c r="E9578" s="135">
        <f t="shared" si="62"/>
        <v>25</v>
      </c>
      <c r="F9578" s="134" t="s">
        <v>3817</v>
      </c>
      <c r="G9578" s="63" t="str">
        <f>VLOOKUP(C9578, 'Class Def. - General Data'!$C$20:$C$1000,1,false)</f>
        <v>ZSI1_FUELS</v>
      </c>
      <c r="H9578" s="63" t="str">
        <f>IFERROR(__xludf.DUMMYFUNCTION("VLOOKUP(F9578, IMPORTRANGE(""https://docs.google.com/spreadsheets/d/1Lhp9OU0JdFf_VYSMzH5lBcEaU4o8teT1piV-SNzShjg/edit?gid=554141278#gid=554141278"", ""'Char Def. - Attributes'!C20:C2242""), 1,false)"),"ALT_DENUM_UOM5")</f>
        <v>ALT_DENUM_UOM5</v>
      </c>
      <c r="I9578" s="136"/>
      <c r="R9578" s="63" t="str">
        <f t="shared" si="60"/>
        <v>ZSI1_FUELSALT_DENUM_UOM5</v>
      </c>
    </row>
    <row r="9579" ht="15.75" customHeight="1">
      <c r="B9579" s="63">
        <f t="shared" si="1"/>
        <v>10</v>
      </c>
      <c r="C9579" s="135" t="s">
        <v>393</v>
      </c>
      <c r="D9579" s="161" t="s">
        <v>74</v>
      </c>
      <c r="E9579" s="135">
        <f t="shared" si="62"/>
        <v>26</v>
      </c>
      <c r="F9579" s="134" t="s">
        <v>3818</v>
      </c>
      <c r="G9579" s="63" t="str">
        <f>VLOOKUP(C9579, 'Class Def. - General Data'!$C$20:$C$1000,1,false)</f>
        <v>ZSI1_FUELS</v>
      </c>
      <c r="H9579" s="63" t="str">
        <f>IFERROR(__xludf.DUMMYFUNCTION("VLOOKUP(F9579, IMPORTRANGE(""https://docs.google.com/spreadsheets/d/1Lhp9OU0JdFf_VYSMzH5lBcEaU4o8teT1piV-SNzShjg/edit?gid=554141278#gid=554141278"", ""'Char Def. - Attributes'!C20:C2242""), 1,false)"),"ALT_NUM_UOM5")</f>
        <v>ALT_NUM_UOM5</v>
      </c>
      <c r="I9579" s="136"/>
      <c r="R9579" s="63" t="str">
        <f t="shared" si="60"/>
        <v>ZSI1_FUELSALT_NUM_UOM5</v>
      </c>
    </row>
    <row r="9580" ht="15.75" customHeight="1">
      <c r="B9580" s="63">
        <f t="shared" si="1"/>
        <v>14</v>
      </c>
      <c r="C9580" s="135" t="s">
        <v>359</v>
      </c>
      <c r="D9580" s="161" t="s">
        <v>74</v>
      </c>
      <c r="E9580" s="135">
        <f t="shared" si="62"/>
        <v>1</v>
      </c>
      <c r="F9580" s="134" t="s">
        <v>4569</v>
      </c>
      <c r="G9580" s="63" t="str">
        <f>VLOOKUP(C9580, 'Class Def. - General Data'!$C$20:$C$1000,1,false)</f>
        <v>ZSI1_FURNITURE</v>
      </c>
      <c r="H9580" s="63" t="str">
        <f>IFERROR(__xludf.DUMMYFUNCTION("VLOOKUP(F9580, IMPORTRANGE(""https://docs.google.com/spreadsheets/d/1Lhp9OU0JdFf_VYSMzH5lBcEaU4o8teT1piV-SNzShjg/edit?gid=554141278#gid=554141278"", ""'Char Def. - Attributes'!C20:C2242""), 1,false)"),"FURNITURE_TYPE_FURNITURE")</f>
        <v>FURNITURE_TYPE_FURNITURE</v>
      </c>
      <c r="I9580" s="136"/>
      <c r="R9580" s="63" t="str">
        <f t="shared" si="60"/>
        <v>ZSI1_FURNITUREFURNITURE_TYPE_FURNITURE</v>
      </c>
    </row>
    <row r="9581" ht="15.75" customHeight="1">
      <c r="B9581" s="63">
        <f t="shared" si="1"/>
        <v>14</v>
      </c>
      <c r="C9581" s="135" t="s">
        <v>359</v>
      </c>
      <c r="D9581" s="161" t="s">
        <v>74</v>
      </c>
      <c r="E9581" s="135">
        <f t="shared" si="62"/>
        <v>2</v>
      </c>
      <c r="F9581" s="134" t="s">
        <v>4570</v>
      </c>
      <c r="G9581" s="63" t="str">
        <f>VLOOKUP(C9581, 'Class Def. - General Data'!$C$20:$C$1000,1,false)</f>
        <v>ZSI1_FURNITURE</v>
      </c>
      <c r="H9581" s="63" t="str">
        <f>IFERROR(__xludf.DUMMYFUNCTION("VLOOKUP(F9581, IMPORTRANGE(""https://docs.google.com/spreadsheets/d/1Lhp9OU0JdFf_VYSMzH5lBcEaU4o8teT1piV-SNzShjg/edit?gid=554141278#gid=554141278"", ""'Char Def. - Attributes'!C20:C2242""), 1,false)"),"ITEM_NAME_FURNITURE")</f>
        <v>ITEM_NAME_FURNITURE</v>
      </c>
      <c r="I9581" s="136"/>
      <c r="R9581" s="63" t="str">
        <f t="shared" si="60"/>
        <v>ZSI1_FURNITUREITEM_NAME_FURNITURE</v>
      </c>
    </row>
    <row r="9582" ht="15.75" customHeight="1">
      <c r="B9582" s="63">
        <f t="shared" si="1"/>
        <v>14</v>
      </c>
      <c r="C9582" s="135" t="s">
        <v>359</v>
      </c>
      <c r="D9582" s="161" t="s">
        <v>74</v>
      </c>
      <c r="E9582" s="135">
        <f t="shared" si="62"/>
        <v>3</v>
      </c>
      <c r="F9582" s="134" t="s">
        <v>3778</v>
      </c>
      <c r="G9582" s="63" t="str">
        <f>VLOOKUP(C9582, 'Class Def. - General Data'!$C$20:$C$1000,1,false)</f>
        <v>ZSI1_FURNITURE</v>
      </c>
      <c r="H9582" s="63" t="str">
        <f>IFERROR(__xludf.DUMMYFUNCTION("VLOOKUP(F9582, IMPORTRANGE(""https://docs.google.com/spreadsheets/d/1Lhp9OU0JdFf_VYSMzH5lBcEaU4o8teT1piV-SNzShjg/edit?gid=554141278#gid=554141278"", ""'Char Def. - Attributes'!C20:C2242""), 1,false)"),"SPECIAL_ACTIVITY")</f>
        <v>SPECIAL_ACTIVITY</v>
      </c>
      <c r="I9582" s="136"/>
      <c r="R9582" s="63" t="str">
        <f t="shared" si="60"/>
        <v>ZSI1_FURNITURESPECIAL_ACTIVITY</v>
      </c>
    </row>
    <row r="9583" ht="15.75" customHeight="1">
      <c r="B9583" s="63">
        <f t="shared" si="1"/>
        <v>14</v>
      </c>
      <c r="C9583" s="135" t="s">
        <v>359</v>
      </c>
      <c r="D9583" s="161" t="s">
        <v>74</v>
      </c>
      <c r="E9583" s="135">
        <f t="shared" si="62"/>
        <v>4</v>
      </c>
      <c r="F9583" s="134" t="s">
        <v>3779</v>
      </c>
      <c r="G9583" s="63" t="str">
        <f>VLOOKUP(C9583, 'Class Def. - General Data'!$C$20:$C$1000,1,false)</f>
        <v>ZSI1_FURNITURE</v>
      </c>
      <c r="H9583" s="63" t="str">
        <f>IFERROR(__xludf.DUMMYFUNCTION("VLOOKUP(F9583, IMPORTRANGE(""https://docs.google.com/spreadsheets/d/1Lhp9OU0JdFf_VYSMzH5lBcEaU4o8teT1piV-SNzShjg/edit?gid=554141278#gid=554141278"", ""'Char Def. - Attributes'!C20:C2242""), 1,false)"),"EMBOSSED_BRAND_WINGS")</f>
        <v>EMBOSSED_BRAND_WINGS</v>
      </c>
      <c r="I9583" s="136"/>
      <c r="R9583" s="63" t="str">
        <f t="shared" si="60"/>
        <v>ZSI1_FURNITUREEMBOSSED_BRAND_WINGS</v>
      </c>
    </row>
    <row r="9584" ht="15.75" customHeight="1">
      <c r="B9584" s="63">
        <f t="shared" si="1"/>
        <v>14</v>
      </c>
      <c r="C9584" s="135" t="s">
        <v>359</v>
      </c>
      <c r="D9584" s="161" t="s">
        <v>74</v>
      </c>
      <c r="E9584" s="135">
        <f t="shared" si="62"/>
        <v>5</v>
      </c>
      <c r="F9584" s="134" t="s">
        <v>3780</v>
      </c>
      <c r="G9584" s="63" t="str">
        <f>VLOOKUP(C9584, 'Class Def. - General Data'!$C$20:$C$1000,1,false)</f>
        <v>ZSI1_FURNITURE</v>
      </c>
      <c r="H9584" s="63" t="str">
        <f>IFERROR(__xludf.DUMMYFUNCTION("VLOOKUP(F9584, IMPORTRANGE(""https://docs.google.com/spreadsheets/d/1Lhp9OU0JdFf_VYSMzH5lBcEaU4o8teT1piV-SNzShjg/edit?gid=554141278#gid=554141278"", ""'Char Def. - Attributes'!C20:C2242""), 1,false)"),"BRAND_WINGS_SIPI")</f>
        <v>BRAND_WINGS_SIPI</v>
      </c>
      <c r="I9584" s="136"/>
      <c r="R9584" s="63" t="str">
        <f t="shared" si="60"/>
        <v>ZSI1_FURNITUREBRAND_WINGS_SIPI</v>
      </c>
    </row>
    <row r="9585" ht="15.75" customHeight="1">
      <c r="B9585" s="63">
        <f t="shared" si="1"/>
        <v>14</v>
      </c>
      <c r="C9585" s="135" t="s">
        <v>359</v>
      </c>
      <c r="D9585" s="161" t="s">
        <v>74</v>
      </c>
      <c r="E9585" s="135">
        <f t="shared" si="62"/>
        <v>6</v>
      </c>
      <c r="F9585" s="134" t="s">
        <v>4571</v>
      </c>
      <c r="G9585" s="63" t="str">
        <f>VLOOKUP(C9585, 'Class Def. - General Data'!$C$20:$C$1000,1,false)</f>
        <v>ZSI1_FURNITURE</v>
      </c>
      <c r="H9585" s="63" t="str">
        <f>IFERROR(__xludf.DUMMYFUNCTION("VLOOKUP(F9585, IMPORTRANGE(""https://docs.google.com/spreadsheets/d/1Lhp9OU0JdFf_VYSMzH5lBcEaU4o8teT1piV-SNzShjg/edit?gid=554141278#gid=554141278"", ""'Char Def. - Attributes'!C20:C2242""), 1,false)"),"SERI_FURNITURE")</f>
        <v>SERI_FURNITURE</v>
      </c>
      <c r="I9585" s="136"/>
      <c r="R9585" s="63" t="str">
        <f t="shared" si="60"/>
        <v>ZSI1_FURNITURESERI_FURNITURE</v>
      </c>
    </row>
    <row r="9586" ht="15.75" customHeight="1">
      <c r="B9586" s="63">
        <f t="shared" si="1"/>
        <v>14</v>
      </c>
      <c r="C9586" s="135" t="s">
        <v>359</v>
      </c>
      <c r="D9586" s="161" t="s">
        <v>74</v>
      </c>
      <c r="E9586" s="135">
        <f t="shared" si="62"/>
        <v>7</v>
      </c>
      <c r="F9586" s="134" t="s">
        <v>4541</v>
      </c>
      <c r="G9586" s="63" t="str">
        <f>VLOOKUP(C9586, 'Class Def. - General Data'!$C$20:$C$1000,1,false)</f>
        <v>ZSI1_FURNITURE</v>
      </c>
      <c r="H9586" s="63" t="str">
        <f>IFERROR(__xludf.DUMMYFUNCTION("VLOOKUP(F9586, IMPORTRANGE(""https://docs.google.com/spreadsheets/d/1Lhp9OU0JdFf_VYSMzH5lBcEaU4o8teT1piV-SNzShjg/edit?gid=554141278#gid=554141278"", ""'Char Def. - Attributes'!C20:C2242""), 1,false)"),"PERLU_BRAND")</f>
        <v>PERLU_BRAND</v>
      </c>
      <c r="I9586" s="136"/>
      <c r="R9586" s="63" t="str">
        <f t="shared" si="60"/>
        <v>ZSI1_FURNITUREPERLU_BRAND</v>
      </c>
    </row>
    <row r="9587" ht="15.75" customHeight="1">
      <c r="B9587" s="63">
        <f t="shared" si="1"/>
        <v>14</v>
      </c>
      <c r="C9587" s="135" t="s">
        <v>359</v>
      </c>
      <c r="D9587" s="161" t="s">
        <v>74</v>
      </c>
      <c r="E9587" s="135">
        <f t="shared" si="62"/>
        <v>8</v>
      </c>
      <c r="F9587" s="134" t="s">
        <v>3782</v>
      </c>
      <c r="G9587" s="63" t="str">
        <f>VLOOKUP(C9587, 'Class Def. - General Data'!$C$20:$C$1000,1,false)</f>
        <v>ZSI1_FURNITURE</v>
      </c>
      <c r="H9587" s="63" t="str">
        <f>IFERROR(__xludf.DUMMYFUNCTION("VLOOKUP(F9587, IMPORTRANGE(""https://docs.google.com/spreadsheets/d/1Lhp9OU0JdFf_VYSMzH5lBcEaU4o8teT1piV-SNzShjg/edit?gid=554141278#gid=554141278"", ""'Char Def. - Attributes'!C20:C2242""), 1,false)"),"BRAND_EXTERNAL")</f>
        <v>BRAND_EXTERNAL</v>
      </c>
      <c r="I9587" s="136"/>
      <c r="R9587" s="63" t="str">
        <f t="shared" si="60"/>
        <v>ZSI1_FURNITUREBRAND_EXTERNAL</v>
      </c>
    </row>
    <row r="9588" ht="15.75" customHeight="1">
      <c r="B9588" s="63">
        <f t="shared" si="1"/>
        <v>14</v>
      </c>
      <c r="C9588" s="135" t="s">
        <v>359</v>
      </c>
      <c r="D9588" s="161" t="s">
        <v>74</v>
      </c>
      <c r="E9588" s="135">
        <f t="shared" si="62"/>
        <v>9</v>
      </c>
      <c r="F9588" s="134" t="s">
        <v>4572</v>
      </c>
      <c r="G9588" s="63" t="str">
        <f>VLOOKUP(C9588, 'Class Def. - General Data'!$C$20:$C$1000,1,false)</f>
        <v>ZSI1_FURNITURE</v>
      </c>
      <c r="H9588" s="63" t="str">
        <f>IFERROR(__xludf.DUMMYFUNCTION("VLOOKUP(F9588, IMPORTRANGE(""https://docs.google.com/spreadsheets/d/1Lhp9OU0JdFf_VYSMzH5lBcEaU4o8teT1piV-SNzShjg/edit?gid=554141278#gid=554141278"", ""'Char Def. - Attributes'!C20:C2242""), 1,false)"),"PERLU_MAINTAIN_PXLXT")</f>
        <v>PERLU_MAINTAIN_PXLXT</v>
      </c>
      <c r="I9588" s="136"/>
      <c r="R9588" s="63" t="str">
        <f t="shared" si="60"/>
        <v>ZSI1_FURNITUREPERLU_MAINTAIN_PXLXT</v>
      </c>
    </row>
    <row r="9589" ht="15.75" customHeight="1">
      <c r="B9589" s="63">
        <f t="shared" si="1"/>
        <v>14</v>
      </c>
      <c r="C9589" s="135" t="s">
        <v>359</v>
      </c>
      <c r="D9589" s="161" t="s">
        <v>74</v>
      </c>
      <c r="E9589" s="135">
        <f t="shared" si="62"/>
        <v>10</v>
      </c>
      <c r="F9589" s="134" t="s">
        <v>4573</v>
      </c>
      <c r="G9589" s="63" t="str">
        <f>VLOOKUP(C9589, 'Class Def. - General Data'!$C$20:$C$1000,1,false)</f>
        <v>ZSI1_FURNITURE</v>
      </c>
      <c r="H9589" s="63" t="str">
        <f>IFERROR(__xludf.DUMMYFUNCTION("VLOOKUP(F9589, IMPORTRANGE(""https://docs.google.com/spreadsheets/d/1Lhp9OU0JdFf_VYSMzH5lBcEaU4o8teT1piV-SNzShjg/edit?gid=554141278#gid=554141278"", ""'Char Def. - Attributes'!C20:C2242""), 1,false)"),"DIMENSION_FURNITURE")</f>
        <v>DIMENSION_FURNITURE</v>
      </c>
      <c r="I9589" s="136"/>
      <c r="R9589" s="63" t="str">
        <f t="shared" si="60"/>
        <v>ZSI1_FURNITUREDIMENSION_FURNITURE</v>
      </c>
    </row>
    <row r="9590" ht="15.75" customHeight="1">
      <c r="B9590" s="63">
        <f t="shared" si="1"/>
        <v>14</v>
      </c>
      <c r="C9590" s="135" t="s">
        <v>359</v>
      </c>
      <c r="D9590" s="161" t="s">
        <v>74</v>
      </c>
      <c r="E9590" s="135">
        <f t="shared" si="62"/>
        <v>11</v>
      </c>
      <c r="F9590" s="134" t="s">
        <v>4574</v>
      </c>
      <c r="G9590" s="63" t="str">
        <f>VLOOKUP(C9590, 'Class Def. - General Data'!$C$20:$C$1000,1,false)</f>
        <v>ZSI1_FURNITURE</v>
      </c>
      <c r="H9590" s="63" t="str">
        <f>IFERROR(__xludf.DUMMYFUNCTION("VLOOKUP(F9590, IMPORTRANGE(""https://docs.google.com/spreadsheets/d/1Lhp9OU0JdFf_VYSMzH5lBcEaU4o8teT1piV-SNzShjg/edit?gid=554141278#gid=554141278"", ""'Char Def. - Attributes'!C20:C2242""), 1,false)"),"LENGTH_CM_FURNITURE")</f>
        <v>LENGTH_CM_FURNITURE</v>
      </c>
      <c r="I9590" s="136"/>
      <c r="R9590" s="63" t="str">
        <f t="shared" si="60"/>
        <v>ZSI1_FURNITURELENGTH_CM_FURNITURE</v>
      </c>
    </row>
    <row r="9591" ht="15.75" customHeight="1">
      <c r="B9591" s="63">
        <f t="shared" si="1"/>
        <v>14</v>
      </c>
      <c r="C9591" s="135" t="s">
        <v>359</v>
      </c>
      <c r="D9591" s="161" t="s">
        <v>74</v>
      </c>
      <c r="E9591" s="135">
        <f t="shared" si="62"/>
        <v>12</v>
      </c>
      <c r="F9591" s="134" t="s">
        <v>4575</v>
      </c>
      <c r="G9591" s="63" t="str">
        <f>VLOOKUP(C9591, 'Class Def. - General Data'!$C$20:$C$1000,1,false)</f>
        <v>ZSI1_FURNITURE</v>
      </c>
      <c r="H9591" s="63" t="str">
        <f>IFERROR(__xludf.DUMMYFUNCTION("VLOOKUP(F9591, IMPORTRANGE(""https://docs.google.com/spreadsheets/d/1Lhp9OU0JdFf_VYSMzH5lBcEaU4o8teT1piV-SNzShjg/edit?gid=554141278#gid=554141278"", ""'Char Def. - Attributes'!C20:C2242""), 1,false)"),"HEIGHT_CM_FURNITURE")</f>
        <v>HEIGHT_CM_FURNITURE</v>
      </c>
      <c r="I9591" s="136"/>
      <c r="R9591" s="63" t="str">
        <f t="shared" si="60"/>
        <v>ZSI1_FURNITUREHEIGHT_CM_FURNITURE</v>
      </c>
    </row>
    <row r="9592" ht="15.75" customHeight="1">
      <c r="B9592" s="63">
        <f t="shared" si="1"/>
        <v>14</v>
      </c>
      <c r="C9592" s="135" t="s">
        <v>359</v>
      </c>
      <c r="D9592" s="161" t="s">
        <v>74</v>
      </c>
      <c r="E9592" s="135">
        <f t="shared" si="62"/>
        <v>13</v>
      </c>
      <c r="F9592" s="134" t="s">
        <v>4576</v>
      </c>
      <c r="G9592" s="63" t="str">
        <f>VLOOKUP(C9592, 'Class Def. - General Data'!$C$20:$C$1000,1,false)</f>
        <v>ZSI1_FURNITURE</v>
      </c>
      <c r="H9592" s="63" t="str">
        <f>IFERROR(__xludf.DUMMYFUNCTION("VLOOKUP(F9592, IMPORTRANGE(""https://docs.google.com/spreadsheets/d/1Lhp9OU0JdFf_VYSMzH5lBcEaU4o8teT1piV-SNzShjg/edit?gid=554141278#gid=554141278"", ""'Char Def. - Attributes'!C20:C2242""), 1,false)"),"WIDTH_CM_FURNITURE")</f>
        <v>WIDTH_CM_FURNITURE</v>
      </c>
      <c r="I9592" s="136"/>
      <c r="R9592" s="63" t="str">
        <f t="shared" si="60"/>
        <v>ZSI1_FURNITUREWIDTH_CM_FURNITURE</v>
      </c>
    </row>
    <row r="9593" ht="15.75" customHeight="1">
      <c r="B9593" s="63">
        <f t="shared" si="1"/>
        <v>14</v>
      </c>
      <c r="C9593" s="135" t="s">
        <v>359</v>
      </c>
      <c r="D9593" s="161" t="s">
        <v>74</v>
      </c>
      <c r="E9593" s="135">
        <f t="shared" si="62"/>
        <v>14</v>
      </c>
      <c r="F9593" s="134" t="s">
        <v>4577</v>
      </c>
      <c r="G9593" s="63" t="str">
        <f>VLOOKUP(C9593, 'Class Def. - General Data'!$C$20:$C$1000,1,false)</f>
        <v>ZSI1_FURNITURE</v>
      </c>
      <c r="H9593" s="63" t="str">
        <f>IFERROR(__xludf.DUMMYFUNCTION("VLOOKUP(F9593, IMPORTRANGE(""https://docs.google.com/spreadsheets/d/1Lhp9OU0JdFf_VYSMzH5lBcEaU4o8teT1piV-SNzShjg/edit?gid=554141278#gid=554141278"", ""'Char Def. - Attributes'!C20:C2242""), 1,false)"),"LENGTH_INCH_FURNITURE")</f>
        <v>LENGTH_INCH_FURNITURE</v>
      </c>
      <c r="I9593" s="136"/>
      <c r="R9593" s="63" t="str">
        <f t="shared" si="60"/>
        <v>ZSI1_FURNITURELENGTH_INCH_FURNITURE</v>
      </c>
    </row>
    <row r="9594" ht="15.75" customHeight="1">
      <c r="B9594" s="63">
        <f t="shared" si="1"/>
        <v>14</v>
      </c>
      <c r="C9594" s="135" t="s">
        <v>359</v>
      </c>
      <c r="D9594" s="161" t="s">
        <v>74</v>
      </c>
      <c r="E9594" s="135">
        <f t="shared" si="62"/>
        <v>15</v>
      </c>
      <c r="F9594" s="134" t="s">
        <v>4578</v>
      </c>
      <c r="G9594" s="63" t="str">
        <f>VLOOKUP(C9594, 'Class Def. - General Data'!$C$20:$C$1000,1,false)</f>
        <v>ZSI1_FURNITURE</v>
      </c>
      <c r="H9594" s="63" t="str">
        <f>IFERROR(__xludf.DUMMYFUNCTION("VLOOKUP(F9594, IMPORTRANGE(""https://docs.google.com/spreadsheets/d/1Lhp9OU0JdFf_VYSMzH5lBcEaU4o8teT1piV-SNzShjg/edit?gid=554141278#gid=554141278"", ""'Char Def. - Attributes'!C20:C2242""), 1,false)"),"HEIGHT_INCH_FURNITURE")</f>
        <v>HEIGHT_INCH_FURNITURE</v>
      </c>
      <c r="I9594" s="136"/>
      <c r="R9594" s="63" t="str">
        <f t="shared" si="60"/>
        <v>ZSI1_FURNITUREHEIGHT_INCH_FURNITURE</v>
      </c>
    </row>
    <row r="9595" ht="15.75" customHeight="1">
      <c r="B9595" s="63">
        <f t="shared" si="1"/>
        <v>14</v>
      </c>
      <c r="C9595" s="135" t="s">
        <v>359</v>
      </c>
      <c r="D9595" s="161" t="s">
        <v>74</v>
      </c>
      <c r="E9595" s="135">
        <f t="shared" si="62"/>
        <v>16</v>
      </c>
      <c r="F9595" s="134" t="s">
        <v>4579</v>
      </c>
      <c r="G9595" s="63" t="str">
        <f>VLOOKUP(C9595, 'Class Def. - General Data'!$C$20:$C$1000,1,false)</f>
        <v>ZSI1_FURNITURE</v>
      </c>
      <c r="H9595" s="63" t="str">
        <f>IFERROR(__xludf.DUMMYFUNCTION("VLOOKUP(F9595, IMPORTRANGE(""https://docs.google.com/spreadsheets/d/1Lhp9OU0JdFf_VYSMzH5lBcEaU4o8teT1piV-SNzShjg/edit?gid=554141278#gid=554141278"", ""'Char Def. - Attributes'!C20:C2242""), 1,false)"),"WIDTH_INCH_FURNITURE")</f>
        <v>WIDTH_INCH_FURNITURE</v>
      </c>
      <c r="I9595" s="136"/>
      <c r="R9595" s="63" t="str">
        <f t="shared" si="60"/>
        <v>ZSI1_FURNITUREWIDTH_INCH_FURNITURE</v>
      </c>
    </row>
    <row r="9596" ht="15.75" customHeight="1">
      <c r="B9596" s="63">
        <f t="shared" si="1"/>
        <v>14</v>
      </c>
      <c r="C9596" s="135" t="s">
        <v>359</v>
      </c>
      <c r="D9596" s="161" t="s">
        <v>74</v>
      </c>
      <c r="E9596" s="135">
        <f t="shared" si="62"/>
        <v>17</v>
      </c>
      <c r="F9596" s="134" t="s">
        <v>3585</v>
      </c>
      <c r="G9596" s="63" t="str">
        <f>VLOOKUP(C9596, 'Class Def. - General Data'!$C$20:$C$1000,1,false)</f>
        <v>ZSI1_FURNITURE</v>
      </c>
      <c r="H9596" s="63" t="str">
        <f>IFERROR(__xludf.DUMMYFUNCTION("VLOOKUP(F9596, IMPORTRANGE(""https://docs.google.com/spreadsheets/d/1Lhp9OU0JdFf_VYSMzH5lBcEaU4o8teT1piV-SNzShjg/edit?gid=554141278#gid=554141278"", ""'Char Def. - Attributes'!C20:C2242""), 1,false)"),"HS_CODE")</f>
        <v>HS_CODE</v>
      </c>
      <c r="I9596" s="136"/>
      <c r="R9596" s="63" t="str">
        <f t="shared" si="60"/>
        <v>ZSI1_FURNITUREHS_CODE</v>
      </c>
    </row>
    <row r="9597" ht="15.75" customHeight="1">
      <c r="B9597" s="63">
        <f t="shared" si="1"/>
        <v>14</v>
      </c>
      <c r="C9597" s="135" t="s">
        <v>359</v>
      </c>
      <c r="D9597" s="161" t="s">
        <v>74</v>
      </c>
      <c r="E9597" s="135">
        <f t="shared" si="62"/>
        <v>18</v>
      </c>
      <c r="F9597" s="134" t="s">
        <v>3587</v>
      </c>
      <c r="G9597" s="63" t="str">
        <f>VLOOKUP(C9597, 'Class Def. - General Data'!$C$20:$C$1000,1,false)</f>
        <v>ZSI1_FURNITURE</v>
      </c>
      <c r="H9597" s="63" t="str">
        <f>IFERROR(__xludf.DUMMYFUNCTION("VLOOKUP(F9597, IMPORTRANGE(""https://docs.google.com/spreadsheets/d/1Lhp9OU0JdFf_VYSMzH5lBcEaU4o8teT1piV-SNzShjg/edit?gid=554141278#gid=554141278"", ""'Char Def. - Attributes'!C20:C2242""), 1,false)"),"PLANT_BUY")</f>
        <v>PLANT_BUY</v>
      </c>
      <c r="I9597" s="136"/>
      <c r="R9597" s="63" t="str">
        <f t="shared" si="60"/>
        <v>ZSI1_FURNITUREPLANT_BUY</v>
      </c>
    </row>
    <row r="9598" ht="15.75" customHeight="1">
      <c r="B9598" s="63">
        <f t="shared" si="1"/>
        <v>14</v>
      </c>
      <c r="C9598" s="135" t="s">
        <v>359</v>
      </c>
      <c r="D9598" s="161" t="s">
        <v>74</v>
      </c>
      <c r="E9598" s="135">
        <f t="shared" si="62"/>
        <v>19</v>
      </c>
      <c r="F9598" s="134" t="s">
        <v>4580</v>
      </c>
      <c r="G9598" s="63" t="str">
        <f>VLOOKUP(C9598, 'Class Def. - General Data'!$C$20:$C$1000,1,false)</f>
        <v>ZSI1_FURNITURE</v>
      </c>
      <c r="H9598" s="63" t="str">
        <f>IFERROR(__xludf.DUMMYFUNCTION("VLOOKUP(F9598, IMPORTRANGE(""https://docs.google.com/spreadsheets/d/1Lhp9OU0JdFf_VYSMzH5lBcEaU4o8teT1piV-SNzShjg/edit?gid=554141278#gid=554141278"", ""'Char Def. - Attributes'!C20:C2242""), 1,false)"),"BASE_UOM_FURNITURE")</f>
        <v>BASE_UOM_FURNITURE</v>
      </c>
      <c r="I9598" s="136"/>
      <c r="R9598" s="63" t="str">
        <f t="shared" si="60"/>
        <v>ZSI1_FURNITUREBASE_UOM_FURNITURE</v>
      </c>
    </row>
    <row r="9599" ht="15.75" customHeight="1">
      <c r="B9599" s="63">
        <f t="shared" si="1"/>
        <v>14</v>
      </c>
      <c r="C9599" s="135" t="s">
        <v>359</v>
      </c>
      <c r="D9599" s="161" t="s">
        <v>74</v>
      </c>
      <c r="E9599" s="135">
        <f t="shared" si="62"/>
        <v>20</v>
      </c>
      <c r="F9599" s="134" t="s">
        <v>4581</v>
      </c>
      <c r="G9599" s="63" t="str">
        <f>VLOOKUP(C9599, 'Class Def. - General Data'!$C$20:$C$1000,1,false)</f>
        <v>ZSI1_FURNITURE</v>
      </c>
      <c r="H9599" s="63" t="str">
        <f>IFERROR(__xludf.DUMMYFUNCTION("VLOOKUP(F9599, IMPORTRANGE(""https://docs.google.com/spreadsheets/d/1Lhp9OU0JdFf_VYSMzH5lBcEaU4o8teT1piV-SNzShjg/edit?gid=554141278#gid=554141278"", ""'Char Def. - Attributes'!C20:C2242""), 1,false)"),"ORDER_UNIT_FURNITURE")</f>
        <v>ORDER_UNIT_FURNITURE</v>
      </c>
      <c r="I9599" s="136"/>
      <c r="R9599" s="63" t="str">
        <f t="shared" si="60"/>
        <v>ZSI1_FURNITUREORDER_UNIT_FURNITURE</v>
      </c>
    </row>
    <row r="9600" ht="15.75" customHeight="1">
      <c r="B9600" s="63">
        <f t="shared" si="1"/>
        <v>14</v>
      </c>
      <c r="C9600" s="135" t="s">
        <v>359</v>
      </c>
      <c r="D9600" s="161" t="s">
        <v>74</v>
      </c>
      <c r="E9600" s="135">
        <f t="shared" si="62"/>
        <v>21</v>
      </c>
      <c r="F9600" s="134" t="s">
        <v>4056</v>
      </c>
      <c r="G9600" s="63" t="str">
        <f>VLOOKUP(C9600, 'Class Def. - General Data'!$C$20:$C$1000,1,false)</f>
        <v>ZSI1_FURNITURE</v>
      </c>
      <c r="H9600" s="63" t="str">
        <f>IFERROR(__xludf.DUMMYFUNCTION("VLOOKUP(F9600, IMPORTRANGE(""https://docs.google.com/spreadsheets/d/1Lhp9OU0JdFf_VYSMzH5lBcEaU4o8teT1piV-SNzShjg/edit?gid=554141278#gid=554141278"", ""'Char Def. - Attributes'!C20:C2242""), 1,false)"),"GROSS_WEIGHT_OPT")</f>
        <v>GROSS_WEIGHT_OPT</v>
      </c>
      <c r="I9600" s="136"/>
      <c r="R9600" s="63" t="str">
        <f t="shared" si="60"/>
        <v>ZSI1_FURNITUREGROSS_WEIGHT_OPT</v>
      </c>
    </row>
    <row r="9601" ht="15.75" customHeight="1">
      <c r="B9601" s="63">
        <f t="shared" si="1"/>
        <v>14</v>
      </c>
      <c r="C9601" s="135" t="s">
        <v>359</v>
      </c>
      <c r="D9601" s="161" t="s">
        <v>74</v>
      </c>
      <c r="E9601" s="135">
        <f t="shared" si="62"/>
        <v>22</v>
      </c>
      <c r="F9601" s="134" t="s">
        <v>4057</v>
      </c>
      <c r="G9601" s="63" t="str">
        <f>VLOOKUP(C9601, 'Class Def. - General Data'!$C$20:$C$1000,1,false)</f>
        <v>ZSI1_FURNITURE</v>
      </c>
      <c r="H9601" s="63" t="str">
        <f>IFERROR(__xludf.DUMMYFUNCTION("VLOOKUP(F9601, IMPORTRANGE(""https://docs.google.com/spreadsheets/d/1Lhp9OU0JdFf_VYSMzH5lBcEaU4o8teT1piV-SNzShjg/edit?gid=554141278#gid=554141278"", ""'Char Def. - Attributes'!C20:C2242""), 1,false)"),"NET_WEIGHT_OPT")</f>
        <v>NET_WEIGHT_OPT</v>
      </c>
      <c r="I9601" s="136"/>
      <c r="R9601" s="63" t="str">
        <f t="shared" si="60"/>
        <v>ZSI1_FURNITURENET_WEIGHT_OPT</v>
      </c>
    </row>
    <row r="9602" ht="15.75" customHeight="1">
      <c r="B9602" s="63">
        <f t="shared" si="1"/>
        <v>14</v>
      </c>
      <c r="C9602" s="135" t="s">
        <v>359</v>
      </c>
      <c r="D9602" s="161" t="s">
        <v>74</v>
      </c>
      <c r="E9602" s="135">
        <f t="shared" si="62"/>
        <v>23</v>
      </c>
      <c r="F9602" s="134" t="s">
        <v>4058</v>
      </c>
      <c r="G9602" s="63" t="str">
        <f>VLOOKUP(C9602, 'Class Def. - General Data'!$C$20:$C$1000,1,false)</f>
        <v>ZSI1_FURNITURE</v>
      </c>
      <c r="H9602" s="63" t="str">
        <f>IFERROR(__xludf.DUMMYFUNCTION("VLOOKUP(F9602, IMPORTRANGE(""https://docs.google.com/spreadsheets/d/1Lhp9OU0JdFf_VYSMzH5lBcEaU4o8teT1piV-SNzShjg/edit?gid=554141278#gid=554141278"", ""'Char Def. - Attributes'!C20:C2242""), 1,false)"),"WEIGHT_UNIT_SI")</f>
        <v>WEIGHT_UNIT_SI</v>
      </c>
      <c r="I9602" s="136"/>
      <c r="R9602" s="63" t="str">
        <f t="shared" si="60"/>
        <v>ZSI1_FURNITUREWEIGHT_UNIT_SI</v>
      </c>
    </row>
    <row r="9603" ht="15.75" customHeight="1">
      <c r="B9603" s="63">
        <f t="shared" si="1"/>
        <v>14</v>
      </c>
      <c r="C9603" s="135" t="s">
        <v>359</v>
      </c>
      <c r="D9603" s="161" t="s">
        <v>74</v>
      </c>
      <c r="E9603" s="135">
        <f t="shared" si="62"/>
        <v>24</v>
      </c>
      <c r="F9603" s="134" t="s">
        <v>3877</v>
      </c>
      <c r="G9603" s="63" t="str">
        <f>VLOOKUP(C9603, 'Class Def. - General Data'!$C$20:$C$1000,1,false)</f>
        <v>ZSI1_FURNITURE</v>
      </c>
      <c r="H9603" s="63" t="str">
        <f>IFERROR(__xludf.DUMMYFUNCTION("VLOOKUP(F9603, IMPORTRANGE(""https://docs.google.com/spreadsheets/d/1Lhp9OU0JdFf_VYSMzH5lBcEaU4o8teT1piV-SNzShjg/edit?gid=554141278#gid=554141278"", ""'Char Def. - Attributes'!C20:C2242""), 1,false)"),"VOLUME_OPT")</f>
        <v>VOLUME_OPT</v>
      </c>
      <c r="I9603" s="136"/>
      <c r="R9603" s="63" t="str">
        <f t="shared" si="60"/>
        <v>ZSI1_FURNITUREVOLUME_OPT</v>
      </c>
    </row>
    <row r="9604" ht="15.75" customHeight="1">
      <c r="B9604" s="63">
        <f t="shared" si="1"/>
        <v>14</v>
      </c>
      <c r="C9604" s="135" t="s">
        <v>359</v>
      </c>
      <c r="D9604" s="161" t="s">
        <v>74</v>
      </c>
      <c r="E9604" s="135">
        <f t="shared" si="62"/>
        <v>25</v>
      </c>
      <c r="F9604" s="134" t="s">
        <v>4059</v>
      </c>
      <c r="G9604" s="63" t="str">
        <f>VLOOKUP(C9604, 'Class Def. - General Data'!$C$20:$C$1000,1,false)</f>
        <v>ZSI1_FURNITURE</v>
      </c>
      <c r="H9604" s="63" t="str">
        <f>IFERROR(__xludf.DUMMYFUNCTION("VLOOKUP(F9604, IMPORTRANGE(""https://docs.google.com/spreadsheets/d/1Lhp9OU0JdFf_VYSMzH5lBcEaU4o8teT1piV-SNzShjg/edit?gid=554141278#gid=554141278"", ""'Char Def. - Attributes'!C20:C2242""), 1,false)"),"VOLUME_UNIT_SI")</f>
        <v>VOLUME_UNIT_SI</v>
      </c>
      <c r="I9604" s="136"/>
      <c r="R9604" s="63" t="str">
        <f t="shared" si="60"/>
        <v>ZSI1_FURNITUREVOLUME_UNIT_SI</v>
      </c>
    </row>
    <row r="9605" ht="15.75" customHeight="1">
      <c r="B9605" s="63">
        <f t="shared" si="1"/>
        <v>14</v>
      </c>
      <c r="C9605" s="135" t="s">
        <v>359</v>
      </c>
      <c r="D9605" s="161" t="s">
        <v>74</v>
      </c>
      <c r="E9605" s="135">
        <f t="shared" si="62"/>
        <v>26</v>
      </c>
      <c r="F9605" s="134" t="s">
        <v>3804</v>
      </c>
      <c r="G9605" s="63" t="str">
        <f>VLOOKUP(C9605, 'Class Def. - General Data'!$C$20:$C$1000,1,false)</f>
        <v>ZSI1_FURNITURE</v>
      </c>
      <c r="H9605" s="63" t="str">
        <f>IFERROR(__xludf.DUMMYFUNCTION("VLOOKUP(F9605, IMPORTRANGE(""https://docs.google.com/spreadsheets/d/1Lhp9OU0JdFf_VYSMzH5lBcEaU4o8teT1piV-SNzShjg/edit?gid=554141278#gid=554141278"", ""'Char Def. - Attributes'!C20:C2242""), 1,false)"),"ALT_UOM1_SIPI")</f>
        <v>ALT_UOM1_SIPI</v>
      </c>
      <c r="I9605" s="136"/>
      <c r="R9605" s="63" t="str">
        <f t="shared" si="60"/>
        <v>ZSI1_FURNITUREALT_UOM1_SIPI</v>
      </c>
    </row>
    <row r="9606" ht="15.75" customHeight="1">
      <c r="B9606" s="63">
        <f t="shared" si="1"/>
        <v>14</v>
      </c>
      <c r="C9606" s="135" t="s">
        <v>359</v>
      </c>
      <c r="D9606" s="161" t="s">
        <v>74</v>
      </c>
      <c r="E9606" s="135">
        <f t="shared" si="62"/>
        <v>27</v>
      </c>
      <c r="F9606" s="134" t="s">
        <v>3805</v>
      </c>
      <c r="G9606" s="63" t="str">
        <f>VLOOKUP(C9606, 'Class Def. - General Data'!$C$20:$C$1000,1,false)</f>
        <v>ZSI1_FURNITURE</v>
      </c>
      <c r="H9606" s="63" t="str">
        <f>IFERROR(__xludf.DUMMYFUNCTION("VLOOKUP(F9606, IMPORTRANGE(""https://docs.google.com/spreadsheets/d/1Lhp9OU0JdFf_VYSMzH5lBcEaU4o8teT1piV-SNzShjg/edit?gid=554141278#gid=554141278"", ""'Char Def. - Attributes'!C20:C2242""), 1,false)"),"ALT_DENUM_UOM1")</f>
        <v>ALT_DENUM_UOM1</v>
      </c>
      <c r="I9606" s="136"/>
      <c r="R9606" s="63" t="str">
        <f t="shared" si="60"/>
        <v>ZSI1_FURNITUREALT_DENUM_UOM1</v>
      </c>
    </row>
    <row r="9607" ht="15.75" customHeight="1">
      <c r="B9607" s="63">
        <f t="shared" si="1"/>
        <v>14</v>
      </c>
      <c r="C9607" s="135" t="s">
        <v>359</v>
      </c>
      <c r="D9607" s="161" t="s">
        <v>74</v>
      </c>
      <c r="E9607" s="135">
        <f t="shared" si="62"/>
        <v>28</v>
      </c>
      <c r="F9607" s="134" t="s">
        <v>3806</v>
      </c>
      <c r="G9607" s="63" t="str">
        <f>VLOOKUP(C9607, 'Class Def. - General Data'!$C$20:$C$1000,1,false)</f>
        <v>ZSI1_FURNITURE</v>
      </c>
      <c r="H9607" s="63" t="str">
        <f>IFERROR(__xludf.DUMMYFUNCTION("VLOOKUP(F9607, IMPORTRANGE(""https://docs.google.com/spreadsheets/d/1Lhp9OU0JdFf_VYSMzH5lBcEaU4o8teT1piV-SNzShjg/edit?gid=554141278#gid=554141278"", ""'Char Def. - Attributes'!C20:C2242""), 1,false)"),"ALT_NUM_UOM1")</f>
        <v>ALT_NUM_UOM1</v>
      </c>
      <c r="I9607" s="136"/>
      <c r="R9607" s="63" t="str">
        <f t="shared" si="60"/>
        <v>ZSI1_FURNITUREALT_NUM_UOM1</v>
      </c>
    </row>
    <row r="9608" ht="15.75" customHeight="1">
      <c r="B9608" s="63">
        <f t="shared" si="1"/>
        <v>14</v>
      </c>
      <c r="C9608" s="135" t="s">
        <v>359</v>
      </c>
      <c r="D9608" s="161" t="s">
        <v>74</v>
      </c>
      <c r="E9608" s="135">
        <f t="shared" si="62"/>
        <v>29</v>
      </c>
      <c r="F9608" s="134" t="s">
        <v>3807</v>
      </c>
      <c r="G9608" s="63" t="str">
        <f>VLOOKUP(C9608, 'Class Def. - General Data'!$C$20:$C$1000,1,false)</f>
        <v>ZSI1_FURNITURE</v>
      </c>
      <c r="H9608" s="63" t="str">
        <f>IFERROR(__xludf.DUMMYFUNCTION("VLOOKUP(F9608, IMPORTRANGE(""https://docs.google.com/spreadsheets/d/1Lhp9OU0JdFf_VYSMzH5lBcEaU4o8teT1piV-SNzShjg/edit?gid=554141278#gid=554141278"", ""'Char Def. - Attributes'!C20:C2242""), 1,false)"),"ALT_UOM2_SIPI")</f>
        <v>ALT_UOM2_SIPI</v>
      </c>
      <c r="I9608" s="136"/>
      <c r="R9608" s="63" t="str">
        <f t="shared" si="60"/>
        <v>ZSI1_FURNITUREALT_UOM2_SIPI</v>
      </c>
    </row>
    <row r="9609" ht="15.75" customHeight="1">
      <c r="B9609" s="63">
        <f t="shared" si="1"/>
        <v>14</v>
      </c>
      <c r="C9609" s="135" t="s">
        <v>359</v>
      </c>
      <c r="D9609" s="161" t="s">
        <v>74</v>
      </c>
      <c r="E9609" s="135">
        <f t="shared" si="62"/>
        <v>30</v>
      </c>
      <c r="F9609" s="134" t="s">
        <v>3808</v>
      </c>
      <c r="G9609" s="63" t="str">
        <f>VLOOKUP(C9609, 'Class Def. - General Data'!$C$20:$C$1000,1,false)</f>
        <v>ZSI1_FURNITURE</v>
      </c>
      <c r="H9609" s="63" t="str">
        <f>IFERROR(__xludf.DUMMYFUNCTION("VLOOKUP(F9609, IMPORTRANGE(""https://docs.google.com/spreadsheets/d/1Lhp9OU0JdFf_VYSMzH5lBcEaU4o8teT1piV-SNzShjg/edit?gid=554141278#gid=554141278"", ""'Char Def. - Attributes'!C20:C2242""), 1,false)"),"ALT_DENUM_UOM2")</f>
        <v>ALT_DENUM_UOM2</v>
      </c>
      <c r="I9609" s="136"/>
      <c r="R9609" s="63" t="str">
        <f t="shared" si="60"/>
        <v>ZSI1_FURNITUREALT_DENUM_UOM2</v>
      </c>
    </row>
    <row r="9610" ht="15.75" customHeight="1">
      <c r="B9610" s="63">
        <f t="shared" si="1"/>
        <v>14</v>
      </c>
      <c r="C9610" s="135" t="s">
        <v>359</v>
      </c>
      <c r="D9610" s="161" t="s">
        <v>74</v>
      </c>
      <c r="E9610" s="135">
        <f t="shared" si="62"/>
        <v>31</v>
      </c>
      <c r="F9610" s="134" t="s">
        <v>3809</v>
      </c>
      <c r="G9610" s="63" t="str">
        <f>VLOOKUP(C9610, 'Class Def. - General Data'!$C$20:$C$1000,1,false)</f>
        <v>ZSI1_FURNITURE</v>
      </c>
      <c r="H9610" s="63" t="str">
        <f>IFERROR(__xludf.DUMMYFUNCTION("VLOOKUP(F9610, IMPORTRANGE(""https://docs.google.com/spreadsheets/d/1Lhp9OU0JdFf_VYSMzH5lBcEaU4o8teT1piV-SNzShjg/edit?gid=554141278#gid=554141278"", ""'Char Def. - Attributes'!C20:C2242""), 1,false)"),"ALT_NUM_UOM2")</f>
        <v>ALT_NUM_UOM2</v>
      </c>
      <c r="I9610" s="136"/>
      <c r="R9610" s="63" t="str">
        <f t="shared" si="60"/>
        <v>ZSI1_FURNITUREALT_NUM_UOM2</v>
      </c>
    </row>
    <row r="9611" ht="15.75" customHeight="1">
      <c r="B9611" s="63">
        <f t="shared" si="1"/>
        <v>14</v>
      </c>
      <c r="C9611" s="135" t="s">
        <v>359</v>
      </c>
      <c r="D9611" s="161" t="s">
        <v>74</v>
      </c>
      <c r="E9611" s="135">
        <f t="shared" si="62"/>
        <v>32</v>
      </c>
      <c r="F9611" s="134" t="s">
        <v>3810</v>
      </c>
      <c r="G9611" s="63" t="str">
        <f>VLOOKUP(C9611, 'Class Def. - General Data'!$C$20:$C$1000,1,false)</f>
        <v>ZSI1_FURNITURE</v>
      </c>
      <c r="H9611" s="63" t="str">
        <f>IFERROR(__xludf.DUMMYFUNCTION("VLOOKUP(F9611, IMPORTRANGE(""https://docs.google.com/spreadsheets/d/1Lhp9OU0JdFf_VYSMzH5lBcEaU4o8teT1piV-SNzShjg/edit?gid=554141278#gid=554141278"", ""'Char Def. - Attributes'!C20:C2242""), 1,false)"),"ALT_UOM3_SIPI")</f>
        <v>ALT_UOM3_SIPI</v>
      </c>
      <c r="I9611" s="136"/>
      <c r="R9611" s="63" t="str">
        <f t="shared" si="60"/>
        <v>ZSI1_FURNITUREALT_UOM3_SIPI</v>
      </c>
    </row>
    <row r="9612" ht="15.75" customHeight="1">
      <c r="B9612" s="63">
        <f t="shared" si="1"/>
        <v>14</v>
      </c>
      <c r="C9612" s="135" t="s">
        <v>359</v>
      </c>
      <c r="D9612" s="161" t="s">
        <v>74</v>
      </c>
      <c r="E9612" s="135">
        <f t="shared" si="62"/>
        <v>33</v>
      </c>
      <c r="F9612" s="134" t="s">
        <v>3811</v>
      </c>
      <c r="G9612" s="63" t="str">
        <f>VLOOKUP(C9612, 'Class Def. - General Data'!$C$20:$C$1000,1,false)</f>
        <v>ZSI1_FURNITURE</v>
      </c>
      <c r="H9612" s="63" t="str">
        <f>IFERROR(__xludf.DUMMYFUNCTION("VLOOKUP(F9612, IMPORTRANGE(""https://docs.google.com/spreadsheets/d/1Lhp9OU0JdFf_VYSMzH5lBcEaU4o8teT1piV-SNzShjg/edit?gid=554141278#gid=554141278"", ""'Char Def. - Attributes'!C20:C2242""), 1,false)"),"ALT_DENUM_UOM3")</f>
        <v>ALT_DENUM_UOM3</v>
      </c>
      <c r="I9612" s="136"/>
      <c r="R9612" s="63" t="str">
        <f t="shared" si="60"/>
        <v>ZSI1_FURNITUREALT_DENUM_UOM3</v>
      </c>
    </row>
    <row r="9613" ht="15.75" customHeight="1">
      <c r="B9613" s="63">
        <f t="shared" si="1"/>
        <v>14</v>
      </c>
      <c r="C9613" s="135" t="s">
        <v>359</v>
      </c>
      <c r="D9613" s="161" t="s">
        <v>74</v>
      </c>
      <c r="E9613" s="135">
        <f t="shared" si="62"/>
        <v>34</v>
      </c>
      <c r="F9613" s="134" t="s">
        <v>3812</v>
      </c>
      <c r="G9613" s="63" t="str">
        <f>VLOOKUP(C9613, 'Class Def. - General Data'!$C$20:$C$1000,1,false)</f>
        <v>ZSI1_FURNITURE</v>
      </c>
      <c r="H9613" s="63" t="str">
        <f>IFERROR(__xludf.DUMMYFUNCTION("VLOOKUP(F9613, IMPORTRANGE(""https://docs.google.com/spreadsheets/d/1Lhp9OU0JdFf_VYSMzH5lBcEaU4o8teT1piV-SNzShjg/edit?gid=554141278#gid=554141278"", ""'Char Def. - Attributes'!C20:C2242""), 1,false)"),"ALT_NUM_UOM3")</f>
        <v>ALT_NUM_UOM3</v>
      </c>
      <c r="I9613" s="136"/>
      <c r="R9613" s="63" t="str">
        <f t="shared" si="60"/>
        <v>ZSI1_FURNITUREALT_NUM_UOM3</v>
      </c>
    </row>
    <row r="9614" ht="15.75" customHeight="1">
      <c r="B9614" s="63">
        <f t="shared" si="1"/>
        <v>14</v>
      </c>
      <c r="C9614" s="135" t="s">
        <v>359</v>
      </c>
      <c r="D9614" s="161" t="s">
        <v>74</v>
      </c>
      <c r="E9614" s="135">
        <f t="shared" si="62"/>
        <v>35</v>
      </c>
      <c r="F9614" s="134" t="s">
        <v>3813</v>
      </c>
      <c r="G9614" s="63" t="str">
        <f>VLOOKUP(C9614, 'Class Def. - General Data'!$C$20:$C$1000,1,false)</f>
        <v>ZSI1_FURNITURE</v>
      </c>
      <c r="H9614" s="63" t="str">
        <f>IFERROR(__xludf.DUMMYFUNCTION("VLOOKUP(F9614, IMPORTRANGE(""https://docs.google.com/spreadsheets/d/1Lhp9OU0JdFf_VYSMzH5lBcEaU4o8teT1piV-SNzShjg/edit?gid=554141278#gid=554141278"", ""'Char Def. - Attributes'!C20:C2242""), 1,false)"),"ALT_UOM4_SIPI")</f>
        <v>ALT_UOM4_SIPI</v>
      </c>
      <c r="I9614" s="136"/>
      <c r="R9614" s="63" t="str">
        <f t="shared" si="60"/>
        <v>ZSI1_FURNITUREALT_UOM4_SIPI</v>
      </c>
    </row>
    <row r="9615" ht="15.75" customHeight="1">
      <c r="B9615" s="63">
        <f t="shared" si="1"/>
        <v>14</v>
      </c>
      <c r="C9615" s="135" t="s">
        <v>359</v>
      </c>
      <c r="D9615" s="161" t="s">
        <v>74</v>
      </c>
      <c r="E9615" s="135">
        <f t="shared" si="62"/>
        <v>36</v>
      </c>
      <c r="F9615" s="134" t="s">
        <v>3814</v>
      </c>
      <c r="G9615" s="63" t="str">
        <f>VLOOKUP(C9615, 'Class Def. - General Data'!$C$20:$C$1000,1,false)</f>
        <v>ZSI1_FURNITURE</v>
      </c>
      <c r="H9615" s="63" t="str">
        <f>IFERROR(__xludf.DUMMYFUNCTION("VLOOKUP(F9615, IMPORTRANGE(""https://docs.google.com/spreadsheets/d/1Lhp9OU0JdFf_VYSMzH5lBcEaU4o8teT1piV-SNzShjg/edit?gid=554141278#gid=554141278"", ""'Char Def. - Attributes'!C20:C2242""), 1,false)"),"ALT_DENUM_UOM4")</f>
        <v>ALT_DENUM_UOM4</v>
      </c>
      <c r="I9615" s="136"/>
      <c r="R9615" s="63" t="str">
        <f t="shared" si="60"/>
        <v>ZSI1_FURNITUREALT_DENUM_UOM4</v>
      </c>
    </row>
    <row r="9616" ht="15.75" customHeight="1">
      <c r="B9616" s="63">
        <f t="shared" si="1"/>
        <v>14</v>
      </c>
      <c r="C9616" s="135" t="s">
        <v>359</v>
      </c>
      <c r="D9616" s="161" t="s">
        <v>74</v>
      </c>
      <c r="E9616" s="135">
        <f t="shared" si="62"/>
        <v>37</v>
      </c>
      <c r="F9616" s="134" t="s">
        <v>3815</v>
      </c>
      <c r="G9616" s="63" t="str">
        <f>VLOOKUP(C9616, 'Class Def. - General Data'!$C$20:$C$1000,1,false)</f>
        <v>ZSI1_FURNITURE</v>
      </c>
      <c r="H9616" s="63" t="str">
        <f>IFERROR(__xludf.DUMMYFUNCTION("VLOOKUP(F9616, IMPORTRANGE(""https://docs.google.com/spreadsheets/d/1Lhp9OU0JdFf_VYSMzH5lBcEaU4o8teT1piV-SNzShjg/edit?gid=554141278#gid=554141278"", ""'Char Def. - Attributes'!C20:C2242""), 1,false)"),"ALT_NUM_UOM4")</f>
        <v>ALT_NUM_UOM4</v>
      </c>
      <c r="I9616" s="136"/>
      <c r="R9616" s="63" t="str">
        <f t="shared" si="60"/>
        <v>ZSI1_FURNITUREALT_NUM_UOM4</v>
      </c>
    </row>
    <row r="9617" ht="15.75" customHeight="1">
      <c r="B9617" s="63">
        <f t="shared" si="1"/>
        <v>14</v>
      </c>
      <c r="C9617" s="135" t="s">
        <v>359</v>
      </c>
      <c r="D9617" s="161" t="s">
        <v>74</v>
      </c>
      <c r="E9617" s="135">
        <f t="shared" si="62"/>
        <v>38</v>
      </c>
      <c r="F9617" s="134" t="s">
        <v>3816</v>
      </c>
      <c r="G9617" s="63" t="str">
        <f>VLOOKUP(C9617, 'Class Def. - General Data'!$C$20:$C$1000,1,false)</f>
        <v>ZSI1_FURNITURE</v>
      </c>
      <c r="H9617" s="63" t="str">
        <f>IFERROR(__xludf.DUMMYFUNCTION("VLOOKUP(F9617, IMPORTRANGE(""https://docs.google.com/spreadsheets/d/1Lhp9OU0JdFf_VYSMzH5lBcEaU4o8teT1piV-SNzShjg/edit?gid=554141278#gid=554141278"", ""'Char Def. - Attributes'!C20:C2242""), 1,false)"),"ALT_UOM5_SIPI")</f>
        <v>ALT_UOM5_SIPI</v>
      </c>
      <c r="I9617" s="136"/>
      <c r="R9617" s="63" t="str">
        <f t="shared" si="60"/>
        <v>ZSI1_FURNITUREALT_UOM5_SIPI</v>
      </c>
    </row>
    <row r="9618" ht="15.75" customHeight="1">
      <c r="B9618" s="63">
        <f t="shared" si="1"/>
        <v>14</v>
      </c>
      <c r="C9618" s="135" t="s">
        <v>359</v>
      </c>
      <c r="D9618" s="161" t="s">
        <v>74</v>
      </c>
      <c r="E9618" s="135">
        <f t="shared" si="62"/>
        <v>39</v>
      </c>
      <c r="F9618" s="134" t="s">
        <v>3817</v>
      </c>
      <c r="G9618" s="63" t="str">
        <f>VLOOKUP(C9618, 'Class Def. - General Data'!$C$20:$C$1000,1,false)</f>
        <v>ZSI1_FURNITURE</v>
      </c>
      <c r="H9618" s="63" t="str">
        <f>IFERROR(__xludf.DUMMYFUNCTION("VLOOKUP(F9618, IMPORTRANGE(""https://docs.google.com/spreadsheets/d/1Lhp9OU0JdFf_VYSMzH5lBcEaU4o8teT1piV-SNzShjg/edit?gid=554141278#gid=554141278"", ""'Char Def. - Attributes'!C20:C2242""), 1,false)"),"ALT_DENUM_UOM5")</f>
        <v>ALT_DENUM_UOM5</v>
      </c>
      <c r="I9618" s="136"/>
      <c r="R9618" s="63" t="str">
        <f t="shared" si="60"/>
        <v>ZSI1_FURNITUREALT_DENUM_UOM5</v>
      </c>
    </row>
    <row r="9619" ht="15.75" customHeight="1">
      <c r="B9619" s="63">
        <f t="shared" si="1"/>
        <v>14</v>
      </c>
      <c r="C9619" s="135" t="s">
        <v>359</v>
      </c>
      <c r="D9619" s="161" t="s">
        <v>74</v>
      </c>
      <c r="E9619" s="135">
        <f t="shared" si="62"/>
        <v>40</v>
      </c>
      <c r="F9619" s="134" t="s">
        <v>3818</v>
      </c>
      <c r="G9619" s="63" t="str">
        <f>VLOOKUP(C9619, 'Class Def. - General Data'!$C$20:$C$1000,1,false)</f>
        <v>ZSI1_FURNITURE</v>
      </c>
      <c r="H9619" s="63" t="str">
        <f>IFERROR(__xludf.DUMMYFUNCTION("VLOOKUP(F9619, IMPORTRANGE(""https://docs.google.com/spreadsheets/d/1Lhp9OU0JdFf_VYSMzH5lBcEaU4o8teT1piV-SNzShjg/edit?gid=554141278#gid=554141278"", ""'Char Def. - Attributes'!C20:C2242""), 1,false)"),"ALT_NUM_UOM5")</f>
        <v>ALT_NUM_UOM5</v>
      </c>
      <c r="I9619" s="136"/>
      <c r="R9619" s="63" t="str">
        <f t="shared" si="60"/>
        <v>ZSI1_FURNITUREALT_NUM_UOM5</v>
      </c>
    </row>
    <row r="9620" ht="15.75" customHeight="1">
      <c r="B9620" s="63">
        <f t="shared" si="1"/>
        <v>11</v>
      </c>
      <c r="C9620" s="135" t="s">
        <v>542</v>
      </c>
      <c r="D9620" s="161" t="s">
        <v>74</v>
      </c>
      <c r="E9620" s="135">
        <f t="shared" si="62"/>
        <v>1</v>
      </c>
      <c r="F9620" s="134" t="s">
        <v>4582</v>
      </c>
      <c r="G9620" s="63" t="str">
        <f>VLOOKUP(C9620, 'Class Def. - General Data'!$C$20:$C$1000,1,false)</f>
        <v>ZSI1_GASKET</v>
      </c>
      <c r="H9620" s="63" t="str">
        <f>IFERROR(__xludf.DUMMYFUNCTION("VLOOKUP(F9620, IMPORTRANGE(""https://docs.google.com/spreadsheets/d/1Lhp9OU0JdFf_VYSMzH5lBcEaU4o8teT1piV-SNzShjg/edit?gid=554141278#gid=554141278"", ""'Char Def. - Attributes'!C20:C2242""), 1,false)"),"ITEM_NAME_GASKET")</f>
        <v>ITEM_NAME_GASKET</v>
      </c>
      <c r="I9620" s="136"/>
      <c r="R9620" s="63" t="str">
        <f t="shared" si="60"/>
        <v>ZSI1_GASKETITEM_NAME_GASKET</v>
      </c>
    </row>
    <row r="9621" ht="15.75" customHeight="1">
      <c r="B9621" s="63">
        <f t="shared" si="1"/>
        <v>11</v>
      </c>
      <c r="C9621" s="135" t="s">
        <v>542</v>
      </c>
      <c r="D9621" s="161" t="s">
        <v>74</v>
      </c>
      <c r="E9621" s="135">
        <f t="shared" si="62"/>
        <v>2</v>
      </c>
      <c r="F9621" s="134" t="s">
        <v>4583</v>
      </c>
      <c r="G9621" s="63" t="str">
        <f>VLOOKUP(C9621, 'Class Def. - General Data'!$C$20:$C$1000,1,false)</f>
        <v>ZSI1_GASKET</v>
      </c>
      <c r="H9621" s="63" t="str">
        <f>IFERROR(__xludf.DUMMYFUNCTION("VLOOKUP(F9621, IMPORTRANGE(""https://docs.google.com/spreadsheets/d/1Lhp9OU0JdFf_VYSMzH5lBcEaU4o8teT1piV-SNzShjg/edit?gid=554141278#gid=554141278"", ""'Char Def. - Attributes'!C20:C2242""), 1,false)"),"DIMENSION_GASKET")</f>
        <v>DIMENSION_GASKET</v>
      </c>
      <c r="I9621" s="136"/>
      <c r="R9621" s="63" t="str">
        <f t="shared" si="60"/>
        <v>ZSI1_GASKETDIMENSION_GASKET</v>
      </c>
    </row>
    <row r="9622" ht="15.75" customHeight="1">
      <c r="B9622" s="63">
        <f t="shared" si="1"/>
        <v>11</v>
      </c>
      <c r="C9622" s="135" t="s">
        <v>542</v>
      </c>
      <c r="D9622" s="161" t="s">
        <v>74</v>
      </c>
      <c r="E9622" s="135">
        <f t="shared" si="62"/>
        <v>3</v>
      </c>
      <c r="F9622" s="134" t="s">
        <v>4584</v>
      </c>
      <c r="G9622" s="63" t="str">
        <f>VLOOKUP(C9622, 'Class Def. - General Data'!$C$20:$C$1000,1,false)</f>
        <v>ZSI1_GASKET</v>
      </c>
      <c r="H9622" s="63" t="str">
        <f>IFERROR(__xludf.DUMMYFUNCTION("VLOOKUP(F9622, IMPORTRANGE(""https://docs.google.com/spreadsheets/d/1Lhp9OU0JdFf_VYSMzH5lBcEaU4o8teT1piV-SNzShjg/edit?gid=554141278#gid=554141278"", ""'Char Def. - Attributes'!C20:C2242""), 1,false)"),"INSIDE_DIAMETER_GASKET")</f>
        <v>INSIDE_DIAMETER_GASKET</v>
      </c>
      <c r="I9622" s="136"/>
      <c r="R9622" s="63" t="str">
        <f t="shared" si="60"/>
        <v>ZSI1_GASKETINSIDE_DIAMETER_GASKET</v>
      </c>
    </row>
    <row r="9623" ht="15.75" customHeight="1">
      <c r="B9623" s="63">
        <f t="shared" si="1"/>
        <v>11</v>
      </c>
      <c r="C9623" s="135" t="s">
        <v>542</v>
      </c>
      <c r="D9623" s="161" t="s">
        <v>74</v>
      </c>
      <c r="E9623" s="135">
        <f t="shared" si="62"/>
        <v>4</v>
      </c>
      <c r="F9623" s="134" t="s">
        <v>4585</v>
      </c>
      <c r="G9623" s="63" t="str">
        <f>VLOOKUP(C9623, 'Class Def. - General Data'!$C$20:$C$1000,1,false)</f>
        <v>ZSI1_GASKET</v>
      </c>
      <c r="H9623" s="63" t="str">
        <f>IFERROR(__xludf.DUMMYFUNCTION("VLOOKUP(F9623, IMPORTRANGE(""https://docs.google.com/spreadsheets/d/1Lhp9OU0JdFf_VYSMzH5lBcEaU4o8teT1piV-SNzShjg/edit?gid=554141278#gid=554141278"", ""'Char Def. - Attributes'!C20:C2242""), 1,false)"),"OUTSIDE_DIAMETER_GASKET")</f>
        <v>OUTSIDE_DIAMETER_GASKET</v>
      </c>
      <c r="I9623" s="136"/>
      <c r="R9623" s="63" t="str">
        <f t="shared" si="60"/>
        <v>ZSI1_GASKETOUTSIDE_DIAMETER_GASKET</v>
      </c>
    </row>
    <row r="9624" ht="15.75" customHeight="1">
      <c r="B9624" s="63">
        <f t="shared" si="1"/>
        <v>11</v>
      </c>
      <c r="C9624" s="135" t="s">
        <v>542</v>
      </c>
      <c r="D9624" s="161" t="s">
        <v>74</v>
      </c>
      <c r="E9624" s="135">
        <f t="shared" si="62"/>
        <v>5</v>
      </c>
      <c r="F9624" s="134" t="s">
        <v>4586</v>
      </c>
      <c r="G9624" s="63" t="str">
        <f>VLOOKUP(C9624, 'Class Def. - General Data'!$C$20:$C$1000,1,false)</f>
        <v>ZSI1_GASKET</v>
      </c>
      <c r="H9624" s="63" t="str">
        <f>IFERROR(__xludf.DUMMYFUNCTION("VLOOKUP(F9624, IMPORTRANGE(""https://docs.google.com/spreadsheets/d/1Lhp9OU0JdFf_VYSMzH5lBcEaU4o8teT1piV-SNzShjg/edit?gid=554141278#gid=554141278"", ""'Char Def. - Attributes'!C20:C2242""), 1,false)"),"THICKNESS_DIAMETER_GASKET")</f>
        <v>THICKNESS_DIAMETER_GASKET</v>
      </c>
      <c r="I9624" s="136"/>
      <c r="R9624" s="63" t="str">
        <f t="shared" si="60"/>
        <v>ZSI1_GASKETTHICKNESS_DIAMETER_GASKET</v>
      </c>
    </row>
    <row r="9625" ht="15.75" customHeight="1">
      <c r="B9625" s="63">
        <f t="shared" si="1"/>
        <v>11</v>
      </c>
      <c r="C9625" s="135" t="s">
        <v>542</v>
      </c>
      <c r="D9625" s="161" t="s">
        <v>74</v>
      </c>
      <c r="E9625" s="135">
        <f t="shared" si="62"/>
        <v>6</v>
      </c>
      <c r="F9625" s="134" t="s">
        <v>3585</v>
      </c>
      <c r="G9625" s="63" t="str">
        <f>VLOOKUP(C9625, 'Class Def. - General Data'!$C$20:$C$1000,1,false)</f>
        <v>ZSI1_GASKET</v>
      </c>
      <c r="H9625" s="63" t="str">
        <f>IFERROR(__xludf.DUMMYFUNCTION("VLOOKUP(F9625, IMPORTRANGE(""https://docs.google.com/spreadsheets/d/1Lhp9OU0JdFf_VYSMzH5lBcEaU4o8teT1piV-SNzShjg/edit?gid=554141278#gid=554141278"", ""'Char Def. - Attributes'!C20:C2242""), 1,false)"),"HS_CODE")</f>
        <v>HS_CODE</v>
      </c>
      <c r="I9625" s="136"/>
      <c r="R9625" s="63" t="str">
        <f t="shared" si="60"/>
        <v>ZSI1_GASKETHS_CODE</v>
      </c>
    </row>
    <row r="9626" ht="15.75" customHeight="1">
      <c r="B9626" s="63">
        <f t="shared" si="1"/>
        <v>11</v>
      </c>
      <c r="C9626" s="135" t="s">
        <v>542</v>
      </c>
      <c r="D9626" s="161" t="s">
        <v>74</v>
      </c>
      <c r="E9626" s="135">
        <f t="shared" si="62"/>
        <v>7</v>
      </c>
      <c r="F9626" s="134" t="s">
        <v>3587</v>
      </c>
      <c r="G9626" s="63" t="str">
        <f>VLOOKUP(C9626, 'Class Def. - General Data'!$C$20:$C$1000,1,false)</f>
        <v>ZSI1_GASKET</v>
      </c>
      <c r="H9626" s="63" t="str">
        <f>IFERROR(__xludf.DUMMYFUNCTION("VLOOKUP(F9626, IMPORTRANGE(""https://docs.google.com/spreadsheets/d/1Lhp9OU0JdFf_VYSMzH5lBcEaU4o8teT1piV-SNzShjg/edit?gid=554141278#gid=554141278"", ""'Char Def. - Attributes'!C20:C2242""), 1,false)"),"PLANT_BUY")</f>
        <v>PLANT_BUY</v>
      </c>
      <c r="I9626" s="136"/>
      <c r="R9626" s="63" t="str">
        <f t="shared" si="60"/>
        <v>ZSI1_GASKETPLANT_BUY</v>
      </c>
    </row>
    <row r="9627" ht="15.75" customHeight="1">
      <c r="B9627" s="63">
        <f t="shared" si="1"/>
        <v>11</v>
      </c>
      <c r="C9627" s="135" t="s">
        <v>542</v>
      </c>
      <c r="D9627" s="161" t="s">
        <v>74</v>
      </c>
      <c r="E9627" s="135">
        <f t="shared" si="62"/>
        <v>8</v>
      </c>
      <c r="F9627" s="134" t="s">
        <v>4587</v>
      </c>
      <c r="G9627" s="63" t="str">
        <f>VLOOKUP(C9627, 'Class Def. - General Data'!$C$20:$C$1000,1,false)</f>
        <v>ZSI1_GASKET</v>
      </c>
      <c r="H9627" s="63" t="str">
        <f>IFERROR(__xludf.DUMMYFUNCTION("VLOOKUP(F9627, IMPORTRANGE(""https://docs.google.com/spreadsheets/d/1Lhp9OU0JdFf_VYSMzH5lBcEaU4o8teT1piV-SNzShjg/edit?gid=554141278#gid=554141278"", ""'Char Def. - Attributes'!C20:C2242""), 1,false)"),"BASE_UOM_GASKET")</f>
        <v>BASE_UOM_GASKET</v>
      </c>
      <c r="I9627" s="136"/>
      <c r="R9627" s="63" t="str">
        <f t="shared" si="60"/>
        <v>ZSI1_GASKETBASE_UOM_GASKET</v>
      </c>
    </row>
    <row r="9628" ht="15.75" customHeight="1">
      <c r="B9628" s="63">
        <f t="shared" si="1"/>
        <v>11</v>
      </c>
      <c r="C9628" s="135" t="s">
        <v>542</v>
      </c>
      <c r="D9628" s="161" t="s">
        <v>74</v>
      </c>
      <c r="E9628" s="135">
        <f t="shared" si="62"/>
        <v>9</v>
      </c>
      <c r="F9628" s="134" t="s">
        <v>4588</v>
      </c>
      <c r="G9628" s="63" t="str">
        <f>VLOOKUP(C9628, 'Class Def. - General Data'!$C$20:$C$1000,1,false)</f>
        <v>ZSI1_GASKET</v>
      </c>
      <c r="H9628" s="63" t="str">
        <f>IFERROR(__xludf.DUMMYFUNCTION("VLOOKUP(F9628, IMPORTRANGE(""https://docs.google.com/spreadsheets/d/1Lhp9OU0JdFf_VYSMzH5lBcEaU4o8teT1piV-SNzShjg/edit?gid=554141278#gid=554141278"", ""'Char Def. - Attributes'!C20:C2242""), 1,false)"),"ORDER_UNIT_GASKET")</f>
        <v>ORDER_UNIT_GASKET</v>
      </c>
      <c r="I9628" s="136"/>
      <c r="R9628" s="63" t="str">
        <f t="shared" si="60"/>
        <v>ZSI1_GASKETORDER_UNIT_GASKET</v>
      </c>
    </row>
    <row r="9629" ht="15.75" customHeight="1">
      <c r="B9629" s="63">
        <f t="shared" si="1"/>
        <v>11</v>
      </c>
      <c r="C9629" s="135" t="s">
        <v>542</v>
      </c>
      <c r="D9629" s="161" t="s">
        <v>74</v>
      </c>
      <c r="E9629" s="135">
        <f t="shared" si="62"/>
        <v>10</v>
      </c>
      <c r="F9629" s="134" t="s">
        <v>4056</v>
      </c>
      <c r="G9629" s="63" t="str">
        <f>VLOOKUP(C9629, 'Class Def. - General Data'!$C$20:$C$1000,1,false)</f>
        <v>ZSI1_GASKET</v>
      </c>
      <c r="H9629" s="63" t="str">
        <f>IFERROR(__xludf.DUMMYFUNCTION("VLOOKUP(F9629, IMPORTRANGE(""https://docs.google.com/spreadsheets/d/1Lhp9OU0JdFf_VYSMzH5lBcEaU4o8teT1piV-SNzShjg/edit?gid=554141278#gid=554141278"", ""'Char Def. - Attributes'!C20:C2242""), 1,false)"),"GROSS_WEIGHT_OPT")</f>
        <v>GROSS_WEIGHT_OPT</v>
      </c>
      <c r="I9629" s="136"/>
      <c r="R9629" s="63" t="str">
        <f t="shared" si="60"/>
        <v>ZSI1_GASKETGROSS_WEIGHT_OPT</v>
      </c>
    </row>
    <row r="9630" ht="15.75" customHeight="1">
      <c r="B9630" s="63">
        <f t="shared" si="1"/>
        <v>11</v>
      </c>
      <c r="C9630" s="135" t="s">
        <v>542</v>
      </c>
      <c r="D9630" s="161" t="s">
        <v>74</v>
      </c>
      <c r="E9630" s="135">
        <f t="shared" si="62"/>
        <v>11</v>
      </c>
      <c r="F9630" s="134" t="s">
        <v>4057</v>
      </c>
      <c r="G9630" s="63" t="str">
        <f>VLOOKUP(C9630, 'Class Def. - General Data'!$C$20:$C$1000,1,false)</f>
        <v>ZSI1_GASKET</v>
      </c>
      <c r="H9630" s="63" t="str">
        <f>IFERROR(__xludf.DUMMYFUNCTION("VLOOKUP(F9630, IMPORTRANGE(""https://docs.google.com/spreadsheets/d/1Lhp9OU0JdFf_VYSMzH5lBcEaU4o8teT1piV-SNzShjg/edit?gid=554141278#gid=554141278"", ""'Char Def. - Attributes'!C20:C2242""), 1,false)"),"NET_WEIGHT_OPT")</f>
        <v>NET_WEIGHT_OPT</v>
      </c>
      <c r="I9630" s="136"/>
      <c r="R9630" s="63" t="str">
        <f t="shared" si="60"/>
        <v>ZSI1_GASKETNET_WEIGHT_OPT</v>
      </c>
    </row>
    <row r="9631" ht="15.75" customHeight="1">
      <c r="B9631" s="63">
        <f t="shared" si="1"/>
        <v>11</v>
      </c>
      <c r="C9631" s="135" t="s">
        <v>542</v>
      </c>
      <c r="D9631" s="161" t="s">
        <v>74</v>
      </c>
      <c r="E9631" s="135">
        <f t="shared" si="62"/>
        <v>12</v>
      </c>
      <c r="F9631" s="134" t="s">
        <v>4058</v>
      </c>
      <c r="G9631" s="63" t="str">
        <f>VLOOKUP(C9631, 'Class Def. - General Data'!$C$20:$C$1000,1,false)</f>
        <v>ZSI1_GASKET</v>
      </c>
      <c r="H9631" s="63" t="str">
        <f>IFERROR(__xludf.DUMMYFUNCTION("VLOOKUP(F9631, IMPORTRANGE(""https://docs.google.com/spreadsheets/d/1Lhp9OU0JdFf_VYSMzH5lBcEaU4o8teT1piV-SNzShjg/edit?gid=554141278#gid=554141278"", ""'Char Def. - Attributes'!C20:C2242""), 1,false)"),"WEIGHT_UNIT_SI")</f>
        <v>WEIGHT_UNIT_SI</v>
      </c>
      <c r="I9631" s="136"/>
      <c r="R9631" s="63" t="str">
        <f t="shared" si="60"/>
        <v>ZSI1_GASKETWEIGHT_UNIT_SI</v>
      </c>
    </row>
    <row r="9632" ht="15.75" customHeight="1">
      <c r="B9632" s="63">
        <f t="shared" si="1"/>
        <v>11</v>
      </c>
      <c r="C9632" s="135" t="s">
        <v>542</v>
      </c>
      <c r="D9632" s="161" t="s">
        <v>74</v>
      </c>
      <c r="E9632" s="135">
        <f t="shared" si="62"/>
        <v>13</v>
      </c>
      <c r="F9632" s="134" t="s">
        <v>3877</v>
      </c>
      <c r="G9632" s="63" t="str">
        <f>VLOOKUP(C9632, 'Class Def. - General Data'!$C$20:$C$1000,1,false)</f>
        <v>ZSI1_GASKET</v>
      </c>
      <c r="H9632" s="63" t="str">
        <f>IFERROR(__xludf.DUMMYFUNCTION("VLOOKUP(F9632, IMPORTRANGE(""https://docs.google.com/spreadsheets/d/1Lhp9OU0JdFf_VYSMzH5lBcEaU4o8teT1piV-SNzShjg/edit?gid=554141278#gid=554141278"", ""'Char Def. - Attributes'!C20:C2242""), 1,false)"),"VOLUME_OPT")</f>
        <v>VOLUME_OPT</v>
      </c>
      <c r="I9632" s="136"/>
      <c r="R9632" s="63" t="str">
        <f t="shared" si="60"/>
        <v>ZSI1_GASKETVOLUME_OPT</v>
      </c>
    </row>
    <row r="9633" ht="15.75" customHeight="1">
      <c r="B9633" s="63">
        <f t="shared" si="1"/>
        <v>11</v>
      </c>
      <c r="C9633" s="135" t="s">
        <v>542</v>
      </c>
      <c r="D9633" s="161" t="s">
        <v>74</v>
      </c>
      <c r="E9633" s="135">
        <f t="shared" si="62"/>
        <v>14</v>
      </c>
      <c r="F9633" s="134" t="s">
        <v>4059</v>
      </c>
      <c r="G9633" s="63" t="str">
        <f>VLOOKUP(C9633, 'Class Def. - General Data'!$C$20:$C$1000,1,false)</f>
        <v>ZSI1_GASKET</v>
      </c>
      <c r="H9633" s="63" t="str">
        <f>IFERROR(__xludf.DUMMYFUNCTION("VLOOKUP(F9633, IMPORTRANGE(""https://docs.google.com/spreadsheets/d/1Lhp9OU0JdFf_VYSMzH5lBcEaU4o8teT1piV-SNzShjg/edit?gid=554141278#gid=554141278"", ""'Char Def. - Attributes'!C20:C2242""), 1,false)"),"VOLUME_UNIT_SI")</f>
        <v>VOLUME_UNIT_SI</v>
      </c>
      <c r="I9633" s="136"/>
      <c r="R9633" s="63" t="str">
        <f t="shared" si="60"/>
        <v>ZSI1_GASKETVOLUME_UNIT_SI</v>
      </c>
    </row>
    <row r="9634" ht="15.75" customHeight="1">
      <c r="B9634" s="63">
        <f t="shared" si="1"/>
        <v>11</v>
      </c>
      <c r="C9634" s="135" t="s">
        <v>542</v>
      </c>
      <c r="D9634" s="161" t="s">
        <v>74</v>
      </c>
      <c r="E9634" s="135">
        <f t="shared" si="62"/>
        <v>15</v>
      </c>
      <c r="F9634" s="134" t="s">
        <v>3804</v>
      </c>
      <c r="G9634" s="63" t="str">
        <f>VLOOKUP(C9634, 'Class Def. - General Data'!$C$20:$C$1000,1,false)</f>
        <v>ZSI1_GASKET</v>
      </c>
      <c r="H9634" s="63" t="str">
        <f>IFERROR(__xludf.DUMMYFUNCTION("VLOOKUP(F9634, IMPORTRANGE(""https://docs.google.com/spreadsheets/d/1Lhp9OU0JdFf_VYSMzH5lBcEaU4o8teT1piV-SNzShjg/edit?gid=554141278#gid=554141278"", ""'Char Def. - Attributes'!C20:C2242""), 1,false)"),"ALT_UOM1_SIPI")</f>
        <v>ALT_UOM1_SIPI</v>
      </c>
      <c r="I9634" s="136"/>
      <c r="R9634" s="63" t="str">
        <f t="shared" si="60"/>
        <v>ZSI1_GASKETALT_UOM1_SIPI</v>
      </c>
    </row>
    <row r="9635" ht="15.75" customHeight="1">
      <c r="B9635" s="63">
        <f t="shared" si="1"/>
        <v>11</v>
      </c>
      <c r="C9635" s="135" t="s">
        <v>542</v>
      </c>
      <c r="D9635" s="161" t="s">
        <v>74</v>
      </c>
      <c r="E9635" s="135">
        <f t="shared" si="62"/>
        <v>16</v>
      </c>
      <c r="F9635" s="134" t="s">
        <v>3805</v>
      </c>
      <c r="G9635" s="63" t="str">
        <f>VLOOKUP(C9635, 'Class Def. - General Data'!$C$20:$C$1000,1,false)</f>
        <v>ZSI1_GASKET</v>
      </c>
      <c r="H9635" s="63" t="str">
        <f>IFERROR(__xludf.DUMMYFUNCTION("VLOOKUP(F9635, IMPORTRANGE(""https://docs.google.com/spreadsheets/d/1Lhp9OU0JdFf_VYSMzH5lBcEaU4o8teT1piV-SNzShjg/edit?gid=554141278#gid=554141278"", ""'Char Def. - Attributes'!C20:C2242""), 1,false)"),"ALT_DENUM_UOM1")</f>
        <v>ALT_DENUM_UOM1</v>
      </c>
      <c r="I9635" s="136"/>
      <c r="R9635" s="63" t="str">
        <f t="shared" si="60"/>
        <v>ZSI1_GASKETALT_DENUM_UOM1</v>
      </c>
    </row>
    <row r="9636" ht="15.75" customHeight="1">
      <c r="B9636" s="63">
        <f t="shared" si="1"/>
        <v>11</v>
      </c>
      <c r="C9636" s="135" t="s">
        <v>542</v>
      </c>
      <c r="D9636" s="161" t="s">
        <v>74</v>
      </c>
      <c r="E9636" s="135">
        <f t="shared" si="62"/>
        <v>17</v>
      </c>
      <c r="F9636" s="134" t="s">
        <v>3806</v>
      </c>
      <c r="G9636" s="63" t="str">
        <f>VLOOKUP(C9636, 'Class Def. - General Data'!$C$20:$C$1000,1,false)</f>
        <v>ZSI1_GASKET</v>
      </c>
      <c r="H9636" s="63" t="str">
        <f>IFERROR(__xludf.DUMMYFUNCTION("VLOOKUP(F9636, IMPORTRANGE(""https://docs.google.com/spreadsheets/d/1Lhp9OU0JdFf_VYSMzH5lBcEaU4o8teT1piV-SNzShjg/edit?gid=554141278#gid=554141278"", ""'Char Def. - Attributes'!C20:C2242""), 1,false)"),"ALT_NUM_UOM1")</f>
        <v>ALT_NUM_UOM1</v>
      </c>
      <c r="I9636" s="136"/>
      <c r="R9636" s="63" t="str">
        <f t="shared" si="60"/>
        <v>ZSI1_GASKETALT_NUM_UOM1</v>
      </c>
    </row>
    <row r="9637" ht="15.75" customHeight="1">
      <c r="B9637" s="63">
        <f t="shared" si="1"/>
        <v>11</v>
      </c>
      <c r="C9637" s="135" t="s">
        <v>542</v>
      </c>
      <c r="D9637" s="161" t="s">
        <v>74</v>
      </c>
      <c r="E9637" s="135">
        <f t="shared" si="62"/>
        <v>18</v>
      </c>
      <c r="F9637" s="134" t="s">
        <v>3807</v>
      </c>
      <c r="G9637" s="63" t="str">
        <f>VLOOKUP(C9637, 'Class Def. - General Data'!$C$20:$C$1000,1,false)</f>
        <v>ZSI1_GASKET</v>
      </c>
      <c r="H9637" s="63" t="str">
        <f>IFERROR(__xludf.DUMMYFUNCTION("VLOOKUP(F9637, IMPORTRANGE(""https://docs.google.com/spreadsheets/d/1Lhp9OU0JdFf_VYSMzH5lBcEaU4o8teT1piV-SNzShjg/edit?gid=554141278#gid=554141278"", ""'Char Def. - Attributes'!C20:C2242""), 1,false)"),"ALT_UOM2_SIPI")</f>
        <v>ALT_UOM2_SIPI</v>
      </c>
      <c r="I9637" s="136"/>
      <c r="R9637" s="63" t="str">
        <f t="shared" si="60"/>
        <v>ZSI1_GASKETALT_UOM2_SIPI</v>
      </c>
    </row>
    <row r="9638" ht="15.75" customHeight="1">
      <c r="B9638" s="63">
        <f t="shared" si="1"/>
        <v>11</v>
      </c>
      <c r="C9638" s="135" t="s">
        <v>542</v>
      </c>
      <c r="D9638" s="161" t="s">
        <v>74</v>
      </c>
      <c r="E9638" s="135">
        <f t="shared" si="62"/>
        <v>19</v>
      </c>
      <c r="F9638" s="134" t="s">
        <v>3808</v>
      </c>
      <c r="G9638" s="63" t="str">
        <f>VLOOKUP(C9638, 'Class Def. - General Data'!$C$20:$C$1000,1,false)</f>
        <v>ZSI1_GASKET</v>
      </c>
      <c r="H9638" s="63" t="str">
        <f>IFERROR(__xludf.DUMMYFUNCTION("VLOOKUP(F9638, IMPORTRANGE(""https://docs.google.com/spreadsheets/d/1Lhp9OU0JdFf_VYSMzH5lBcEaU4o8teT1piV-SNzShjg/edit?gid=554141278#gid=554141278"", ""'Char Def. - Attributes'!C20:C2242""), 1,false)"),"ALT_DENUM_UOM2")</f>
        <v>ALT_DENUM_UOM2</v>
      </c>
      <c r="I9638" s="136"/>
      <c r="R9638" s="63" t="str">
        <f t="shared" si="60"/>
        <v>ZSI1_GASKETALT_DENUM_UOM2</v>
      </c>
    </row>
    <row r="9639" ht="15.75" customHeight="1">
      <c r="B9639" s="63">
        <f t="shared" si="1"/>
        <v>11</v>
      </c>
      <c r="C9639" s="135" t="s">
        <v>542</v>
      </c>
      <c r="D9639" s="161" t="s">
        <v>74</v>
      </c>
      <c r="E9639" s="135">
        <f t="shared" si="62"/>
        <v>20</v>
      </c>
      <c r="F9639" s="134" t="s">
        <v>3809</v>
      </c>
      <c r="G9639" s="63" t="str">
        <f>VLOOKUP(C9639, 'Class Def. - General Data'!$C$20:$C$1000,1,false)</f>
        <v>ZSI1_GASKET</v>
      </c>
      <c r="H9639" s="63" t="str">
        <f>IFERROR(__xludf.DUMMYFUNCTION("VLOOKUP(F9639, IMPORTRANGE(""https://docs.google.com/spreadsheets/d/1Lhp9OU0JdFf_VYSMzH5lBcEaU4o8teT1piV-SNzShjg/edit?gid=554141278#gid=554141278"", ""'Char Def. - Attributes'!C20:C2242""), 1,false)"),"ALT_NUM_UOM2")</f>
        <v>ALT_NUM_UOM2</v>
      </c>
      <c r="I9639" s="136"/>
      <c r="R9639" s="63" t="str">
        <f t="shared" si="60"/>
        <v>ZSI1_GASKETALT_NUM_UOM2</v>
      </c>
    </row>
    <row r="9640" ht="15.75" customHeight="1">
      <c r="B9640" s="63">
        <f t="shared" si="1"/>
        <v>11</v>
      </c>
      <c r="C9640" s="135" t="s">
        <v>542</v>
      </c>
      <c r="D9640" s="161" t="s">
        <v>74</v>
      </c>
      <c r="E9640" s="135">
        <f t="shared" si="62"/>
        <v>21</v>
      </c>
      <c r="F9640" s="134" t="s">
        <v>3810</v>
      </c>
      <c r="G9640" s="63" t="str">
        <f>VLOOKUP(C9640, 'Class Def. - General Data'!$C$20:$C$1000,1,false)</f>
        <v>ZSI1_GASKET</v>
      </c>
      <c r="H9640" s="63" t="str">
        <f>IFERROR(__xludf.DUMMYFUNCTION("VLOOKUP(F9640, IMPORTRANGE(""https://docs.google.com/spreadsheets/d/1Lhp9OU0JdFf_VYSMzH5lBcEaU4o8teT1piV-SNzShjg/edit?gid=554141278#gid=554141278"", ""'Char Def. - Attributes'!C20:C2242""), 1,false)"),"ALT_UOM3_SIPI")</f>
        <v>ALT_UOM3_SIPI</v>
      </c>
      <c r="I9640" s="136"/>
      <c r="R9640" s="63" t="str">
        <f t="shared" si="60"/>
        <v>ZSI1_GASKETALT_UOM3_SIPI</v>
      </c>
    </row>
    <row r="9641" ht="15.75" customHeight="1">
      <c r="B9641" s="63">
        <f t="shared" si="1"/>
        <v>11</v>
      </c>
      <c r="C9641" s="135" t="s">
        <v>542</v>
      </c>
      <c r="D9641" s="161" t="s">
        <v>74</v>
      </c>
      <c r="E9641" s="135">
        <f t="shared" si="62"/>
        <v>22</v>
      </c>
      <c r="F9641" s="134" t="s">
        <v>3811</v>
      </c>
      <c r="G9641" s="63" t="str">
        <f>VLOOKUP(C9641, 'Class Def. - General Data'!$C$20:$C$1000,1,false)</f>
        <v>ZSI1_GASKET</v>
      </c>
      <c r="H9641" s="63" t="str">
        <f>IFERROR(__xludf.DUMMYFUNCTION("VLOOKUP(F9641, IMPORTRANGE(""https://docs.google.com/spreadsheets/d/1Lhp9OU0JdFf_VYSMzH5lBcEaU4o8teT1piV-SNzShjg/edit?gid=554141278#gid=554141278"", ""'Char Def. - Attributes'!C20:C2242""), 1,false)"),"ALT_DENUM_UOM3")</f>
        <v>ALT_DENUM_UOM3</v>
      </c>
      <c r="I9641" s="136"/>
      <c r="R9641" s="63" t="str">
        <f t="shared" si="60"/>
        <v>ZSI1_GASKETALT_DENUM_UOM3</v>
      </c>
    </row>
    <row r="9642" ht="15.75" customHeight="1">
      <c r="B9642" s="63">
        <f t="shared" si="1"/>
        <v>11</v>
      </c>
      <c r="C9642" s="135" t="s">
        <v>542</v>
      </c>
      <c r="D9642" s="161" t="s">
        <v>74</v>
      </c>
      <c r="E9642" s="135">
        <f t="shared" si="62"/>
        <v>23</v>
      </c>
      <c r="F9642" s="134" t="s">
        <v>3812</v>
      </c>
      <c r="G9642" s="63" t="str">
        <f>VLOOKUP(C9642, 'Class Def. - General Data'!$C$20:$C$1000,1,false)</f>
        <v>ZSI1_GASKET</v>
      </c>
      <c r="H9642" s="63" t="str">
        <f>IFERROR(__xludf.DUMMYFUNCTION("VLOOKUP(F9642, IMPORTRANGE(""https://docs.google.com/spreadsheets/d/1Lhp9OU0JdFf_VYSMzH5lBcEaU4o8teT1piV-SNzShjg/edit?gid=554141278#gid=554141278"", ""'Char Def. - Attributes'!C20:C2242""), 1,false)"),"ALT_NUM_UOM3")</f>
        <v>ALT_NUM_UOM3</v>
      </c>
      <c r="I9642" s="136"/>
      <c r="R9642" s="63" t="str">
        <f t="shared" si="60"/>
        <v>ZSI1_GASKETALT_NUM_UOM3</v>
      </c>
    </row>
    <row r="9643" ht="15.75" customHeight="1">
      <c r="B9643" s="63">
        <f t="shared" si="1"/>
        <v>11</v>
      </c>
      <c r="C9643" s="135" t="s">
        <v>542</v>
      </c>
      <c r="D9643" s="161" t="s">
        <v>74</v>
      </c>
      <c r="E9643" s="135">
        <f t="shared" si="62"/>
        <v>24</v>
      </c>
      <c r="F9643" s="134" t="s">
        <v>3813</v>
      </c>
      <c r="G9643" s="63" t="str">
        <f>VLOOKUP(C9643, 'Class Def. - General Data'!$C$20:$C$1000,1,false)</f>
        <v>ZSI1_GASKET</v>
      </c>
      <c r="H9643" s="63" t="str">
        <f>IFERROR(__xludf.DUMMYFUNCTION("VLOOKUP(F9643, IMPORTRANGE(""https://docs.google.com/spreadsheets/d/1Lhp9OU0JdFf_VYSMzH5lBcEaU4o8teT1piV-SNzShjg/edit?gid=554141278#gid=554141278"", ""'Char Def. - Attributes'!C20:C2242""), 1,false)"),"ALT_UOM4_SIPI")</f>
        <v>ALT_UOM4_SIPI</v>
      </c>
      <c r="I9643" s="136"/>
      <c r="R9643" s="63" t="str">
        <f t="shared" si="60"/>
        <v>ZSI1_GASKETALT_UOM4_SIPI</v>
      </c>
    </row>
    <row r="9644" ht="15.75" customHeight="1">
      <c r="B9644" s="63">
        <f t="shared" si="1"/>
        <v>11</v>
      </c>
      <c r="C9644" s="135" t="s">
        <v>542</v>
      </c>
      <c r="D9644" s="161" t="s">
        <v>74</v>
      </c>
      <c r="E9644" s="135">
        <f t="shared" si="62"/>
        <v>25</v>
      </c>
      <c r="F9644" s="134" t="s">
        <v>3814</v>
      </c>
      <c r="G9644" s="63" t="str">
        <f>VLOOKUP(C9644, 'Class Def. - General Data'!$C$20:$C$1000,1,false)</f>
        <v>ZSI1_GASKET</v>
      </c>
      <c r="H9644" s="63" t="str">
        <f>IFERROR(__xludf.DUMMYFUNCTION("VLOOKUP(F9644, IMPORTRANGE(""https://docs.google.com/spreadsheets/d/1Lhp9OU0JdFf_VYSMzH5lBcEaU4o8teT1piV-SNzShjg/edit?gid=554141278#gid=554141278"", ""'Char Def. - Attributes'!C20:C2242""), 1,false)"),"ALT_DENUM_UOM4")</f>
        <v>ALT_DENUM_UOM4</v>
      </c>
      <c r="I9644" s="136"/>
      <c r="R9644" s="63" t="str">
        <f t="shared" si="60"/>
        <v>ZSI1_GASKETALT_DENUM_UOM4</v>
      </c>
    </row>
    <row r="9645" ht="15.75" customHeight="1">
      <c r="B9645" s="63">
        <f t="shared" si="1"/>
        <v>11</v>
      </c>
      <c r="C9645" s="135" t="s">
        <v>542</v>
      </c>
      <c r="D9645" s="161" t="s">
        <v>74</v>
      </c>
      <c r="E9645" s="135">
        <f t="shared" si="62"/>
        <v>26</v>
      </c>
      <c r="F9645" s="134" t="s">
        <v>3815</v>
      </c>
      <c r="G9645" s="63" t="str">
        <f>VLOOKUP(C9645, 'Class Def. - General Data'!$C$20:$C$1000,1,false)</f>
        <v>ZSI1_GASKET</v>
      </c>
      <c r="H9645" s="63" t="str">
        <f>IFERROR(__xludf.DUMMYFUNCTION("VLOOKUP(F9645, IMPORTRANGE(""https://docs.google.com/spreadsheets/d/1Lhp9OU0JdFf_VYSMzH5lBcEaU4o8teT1piV-SNzShjg/edit?gid=554141278#gid=554141278"", ""'Char Def. - Attributes'!C20:C2242""), 1,false)"),"ALT_NUM_UOM4")</f>
        <v>ALT_NUM_UOM4</v>
      </c>
      <c r="I9645" s="136"/>
      <c r="R9645" s="63" t="str">
        <f t="shared" si="60"/>
        <v>ZSI1_GASKETALT_NUM_UOM4</v>
      </c>
    </row>
    <row r="9646" ht="15.75" customHeight="1">
      <c r="B9646" s="63">
        <f t="shared" si="1"/>
        <v>11</v>
      </c>
      <c r="C9646" s="135" t="s">
        <v>542</v>
      </c>
      <c r="D9646" s="161" t="s">
        <v>74</v>
      </c>
      <c r="E9646" s="135">
        <f t="shared" si="62"/>
        <v>27</v>
      </c>
      <c r="F9646" s="134" t="s">
        <v>3816</v>
      </c>
      <c r="G9646" s="63" t="str">
        <f>VLOOKUP(C9646, 'Class Def. - General Data'!$C$20:$C$1000,1,false)</f>
        <v>ZSI1_GASKET</v>
      </c>
      <c r="H9646" s="63" t="str">
        <f>IFERROR(__xludf.DUMMYFUNCTION("VLOOKUP(F9646, IMPORTRANGE(""https://docs.google.com/spreadsheets/d/1Lhp9OU0JdFf_VYSMzH5lBcEaU4o8teT1piV-SNzShjg/edit?gid=554141278#gid=554141278"", ""'Char Def. - Attributes'!C20:C2242""), 1,false)"),"ALT_UOM5_SIPI")</f>
        <v>ALT_UOM5_SIPI</v>
      </c>
      <c r="I9646" s="136"/>
      <c r="R9646" s="63" t="str">
        <f t="shared" si="60"/>
        <v>ZSI1_GASKETALT_UOM5_SIPI</v>
      </c>
    </row>
    <row r="9647" ht="15.75" customHeight="1">
      <c r="B9647" s="63">
        <f t="shared" si="1"/>
        <v>11</v>
      </c>
      <c r="C9647" s="135" t="s">
        <v>542</v>
      </c>
      <c r="D9647" s="161" t="s">
        <v>74</v>
      </c>
      <c r="E9647" s="135">
        <f t="shared" si="62"/>
        <v>28</v>
      </c>
      <c r="F9647" s="134" t="s">
        <v>3817</v>
      </c>
      <c r="G9647" s="63" t="str">
        <f>VLOOKUP(C9647, 'Class Def. - General Data'!$C$20:$C$1000,1,false)</f>
        <v>ZSI1_GASKET</v>
      </c>
      <c r="H9647" s="63" t="str">
        <f>IFERROR(__xludf.DUMMYFUNCTION("VLOOKUP(F9647, IMPORTRANGE(""https://docs.google.com/spreadsheets/d/1Lhp9OU0JdFf_VYSMzH5lBcEaU4o8teT1piV-SNzShjg/edit?gid=554141278#gid=554141278"", ""'Char Def. - Attributes'!C20:C2242""), 1,false)"),"ALT_DENUM_UOM5")</f>
        <v>ALT_DENUM_UOM5</v>
      </c>
      <c r="I9647" s="136"/>
      <c r="R9647" s="63" t="str">
        <f t="shared" si="60"/>
        <v>ZSI1_GASKETALT_DENUM_UOM5</v>
      </c>
    </row>
    <row r="9648" ht="15.75" customHeight="1">
      <c r="B9648" s="63">
        <f t="shared" si="1"/>
        <v>11</v>
      </c>
      <c r="C9648" s="135" t="s">
        <v>542</v>
      </c>
      <c r="D9648" s="161" t="s">
        <v>74</v>
      </c>
      <c r="E9648" s="135">
        <f t="shared" si="62"/>
        <v>29</v>
      </c>
      <c r="F9648" s="134" t="s">
        <v>3818</v>
      </c>
      <c r="G9648" s="63" t="str">
        <f>VLOOKUP(C9648, 'Class Def. - General Data'!$C$20:$C$1000,1,false)</f>
        <v>ZSI1_GASKET</v>
      </c>
      <c r="H9648" s="63" t="str">
        <f>IFERROR(__xludf.DUMMYFUNCTION("VLOOKUP(F9648, IMPORTRANGE(""https://docs.google.com/spreadsheets/d/1Lhp9OU0JdFf_VYSMzH5lBcEaU4o8teT1piV-SNzShjg/edit?gid=554141278#gid=554141278"", ""'Char Def. - Attributes'!C20:C2242""), 1,false)"),"ALT_NUM_UOM5")</f>
        <v>ALT_NUM_UOM5</v>
      </c>
      <c r="I9648" s="136"/>
      <c r="R9648" s="63" t="str">
        <f t="shared" si="60"/>
        <v>ZSI1_GASKETALT_NUM_UOM5</v>
      </c>
    </row>
    <row r="9649" ht="15.75" customHeight="1">
      <c r="B9649" s="63">
        <f t="shared" si="1"/>
        <v>17</v>
      </c>
      <c r="C9649" s="135" t="s">
        <v>394</v>
      </c>
      <c r="D9649" s="161" t="s">
        <v>74</v>
      </c>
      <c r="E9649" s="135">
        <f t="shared" si="62"/>
        <v>1</v>
      </c>
      <c r="F9649" s="134" t="s">
        <v>4589</v>
      </c>
      <c r="G9649" s="63" t="str">
        <f>VLOOKUP(C9649, 'Class Def. - General Data'!$C$20:$C$1000,1,false)</f>
        <v>ZSI1_GASKET_SHEET</v>
      </c>
      <c r="H9649" s="63" t="str">
        <f>IFERROR(__xludf.DUMMYFUNCTION("VLOOKUP(F9649, IMPORTRANGE(""https://docs.google.com/spreadsheets/d/1Lhp9OU0JdFf_VYSMzH5lBcEaU4o8teT1piV-SNzShjg/edit?gid=554141278#gid=554141278"", ""'Char Def. - Attributes'!C20:C2242""), 1,false)"),"ITEM_NAME_GASKET_SHEET")</f>
        <v>ITEM_NAME_GASKET_SHEET</v>
      </c>
      <c r="I9649" s="136"/>
      <c r="R9649" s="63" t="str">
        <f t="shared" si="60"/>
        <v>ZSI1_GASKET_SHEETITEM_NAME_GASKET_SHEET</v>
      </c>
    </row>
    <row r="9650" ht="15.75" customHeight="1">
      <c r="B9650" s="63">
        <f t="shared" si="1"/>
        <v>17</v>
      </c>
      <c r="C9650" s="135" t="s">
        <v>394</v>
      </c>
      <c r="D9650" s="161" t="s">
        <v>74</v>
      </c>
      <c r="E9650" s="135">
        <f t="shared" si="62"/>
        <v>2</v>
      </c>
      <c r="F9650" s="134" t="s">
        <v>4590</v>
      </c>
      <c r="G9650" s="63" t="str">
        <f>VLOOKUP(C9650, 'Class Def. - General Data'!$C$20:$C$1000,1,false)</f>
        <v>ZSI1_GASKET_SHEET</v>
      </c>
      <c r="H9650" s="63" t="str">
        <f>IFERROR(__xludf.DUMMYFUNCTION("VLOOKUP(F9650, IMPORTRANGE(""https://docs.google.com/spreadsheets/d/1Lhp9OU0JdFf_VYSMzH5lBcEaU4o8teT1piV-SNzShjg/edit?gid=554141278#gid=554141278"", ""'Char Def. - Attributes'!C20:C2242""), 1,false)"),"THICKNESS_MM_GASKET_SHEET")</f>
        <v>THICKNESS_MM_GASKET_SHEET</v>
      </c>
      <c r="I9650" s="136"/>
      <c r="R9650" s="63" t="str">
        <f t="shared" si="60"/>
        <v>ZSI1_GASKET_SHEETTHICKNESS_MM_GASKET_SHEET</v>
      </c>
    </row>
    <row r="9651" ht="15.75" customHeight="1">
      <c r="B9651" s="63">
        <f t="shared" si="1"/>
        <v>17</v>
      </c>
      <c r="C9651" s="135" t="s">
        <v>394</v>
      </c>
      <c r="D9651" s="161" t="s">
        <v>74</v>
      </c>
      <c r="E9651" s="135">
        <f t="shared" si="62"/>
        <v>3</v>
      </c>
      <c r="F9651" s="134" t="s">
        <v>4591</v>
      </c>
      <c r="G9651" s="63" t="str">
        <f>VLOOKUP(C9651, 'Class Def. - General Data'!$C$20:$C$1000,1,false)</f>
        <v>ZSI1_GASKET_SHEET</v>
      </c>
      <c r="H9651" s="63" t="str">
        <f>IFERROR(__xludf.DUMMYFUNCTION("VLOOKUP(F9651, IMPORTRANGE(""https://docs.google.com/spreadsheets/d/1Lhp9OU0JdFf_VYSMzH5lBcEaU4o8teT1piV-SNzShjg/edit?gid=554141278#gid=554141278"", ""'Char Def. - Attributes'!C20:C2242""), 1,false)"),"LENGTH_MM_GASKET_SHEET")</f>
        <v>LENGTH_MM_GASKET_SHEET</v>
      </c>
      <c r="I9651" s="136"/>
      <c r="R9651" s="63" t="str">
        <f t="shared" si="60"/>
        <v>ZSI1_GASKET_SHEETLENGTH_MM_GASKET_SHEET</v>
      </c>
    </row>
    <row r="9652" ht="15.75" customHeight="1">
      <c r="B9652" s="63">
        <f t="shared" si="1"/>
        <v>17</v>
      </c>
      <c r="C9652" s="135" t="s">
        <v>394</v>
      </c>
      <c r="D9652" s="161" t="s">
        <v>74</v>
      </c>
      <c r="E9652" s="135">
        <f t="shared" si="62"/>
        <v>4</v>
      </c>
      <c r="F9652" s="134" t="s">
        <v>4592</v>
      </c>
      <c r="G9652" s="63" t="str">
        <f>VLOOKUP(C9652, 'Class Def. - General Data'!$C$20:$C$1000,1,false)</f>
        <v>ZSI1_GASKET_SHEET</v>
      </c>
      <c r="H9652" s="63" t="str">
        <f>IFERROR(__xludf.DUMMYFUNCTION("VLOOKUP(F9652, IMPORTRANGE(""https://docs.google.com/spreadsheets/d/1Lhp9OU0JdFf_VYSMzH5lBcEaU4o8teT1piV-SNzShjg/edit?gid=554141278#gid=554141278"", ""'Char Def. - Attributes'!C20:C2242""), 1,false)"),"WIDTH_MM_GASKET_SHEET")</f>
        <v>WIDTH_MM_GASKET_SHEET</v>
      </c>
      <c r="I9652" s="136"/>
      <c r="R9652" s="63" t="str">
        <f t="shared" si="60"/>
        <v>ZSI1_GASKET_SHEETWIDTH_MM_GASKET_SHEET</v>
      </c>
    </row>
    <row r="9653" ht="15.75" customHeight="1">
      <c r="B9653" s="63">
        <f t="shared" si="1"/>
        <v>17</v>
      </c>
      <c r="C9653" s="135" t="s">
        <v>394</v>
      </c>
      <c r="D9653" s="161" t="s">
        <v>74</v>
      </c>
      <c r="E9653" s="135">
        <f t="shared" si="62"/>
        <v>5</v>
      </c>
      <c r="F9653" s="134" t="s">
        <v>4593</v>
      </c>
      <c r="G9653" s="63" t="str">
        <f>VLOOKUP(C9653, 'Class Def. - General Data'!$C$20:$C$1000,1,false)</f>
        <v>ZSI1_GASKET_SHEET</v>
      </c>
      <c r="H9653" s="63" t="str">
        <f>IFERROR(__xludf.DUMMYFUNCTION("VLOOKUP(F9653, IMPORTRANGE(""https://docs.google.com/spreadsheets/d/1Lhp9OU0JdFf_VYSMzH5lBcEaU4o8teT1piV-SNzShjg/edit?gid=554141278#gid=554141278"", ""'Char Def. - Attributes'!C20:C2242""), 1,false)"),"MATERIAL_GASKET_SHEET")</f>
        <v>MATERIAL_GASKET_SHEET</v>
      </c>
      <c r="I9653" s="136"/>
      <c r="R9653" s="63" t="str">
        <f t="shared" si="60"/>
        <v>ZSI1_GASKET_SHEETMATERIAL_GASKET_SHEET</v>
      </c>
    </row>
    <row r="9654" ht="15.75" customHeight="1">
      <c r="B9654" s="63">
        <f t="shared" si="1"/>
        <v>17</v>
      </c>
      <c r="C9654" s="135" t="s">
        <v>394</v>
      </c>
      <c r="D9654" s="161" t="s">
        <v>74</v>
      </c>
      <c r="E9654" s="135">
        <f t="shared" si="62"/>
        <v>6</v>
      </c>
      <c r="F9654" s="134" t="s">
        <v>4594</v>
      </c>
      <c r="G9654" s="63" t="str">
        <f>VLOOKUP(C9654, 'Class Def. - General Data'!$C$20:$C$1000,1,false)</f>
        <v>ZSI1_GASKET_SHEET</v>
      </c>
      <c r="H9654" s="63" t="str">
        <f>IFERROR(__xludf.DUMMYFUNCTION("VLOOKUP(F9654, IMPORTRANGE(""https://docs.google.com/spreadsheets/d/1Lhp9OU0JdFf_VYSMzH5lBcEaU4o8teT1piV-SNzShjg/edit?gid=554141278#gid=554141278"", ""'Char Def. - Attributes'!C20:C2242""), 1,false)"),"PRESSURE_PSI_GASKET_SHEET")</f>
        <v>PRESSURE_PSI_GASKET_SHEET</v>
      </c>
      <c r="I9654" s="136"/>
      <c r="R9654" s="63" t="str">
        <f t="shared" si="60"/>
        <v>ZSI1_GASKET_SHEETPRESSURE_PSI_GASKET_SHEET</v>
      </c>
    </row>
    <row r="9655" ht="15.75" customHeight="1">
      <c r="B9655" s="63">
        <f t="shared" si="1"/>
        <v>17</v>
      </c>
      <c r="C9655" s="135" t="s">
        <v>394</v>
      </c>
      <c r="D9655" s="161" t="s">
        <v>74</v>
      </c>
      <c r="E9655" s="135">
        <f t="shared" si="62"/>
        <v>7</v>
      </c>
      <c r="F9655" s="134" t="s">
        <v>4053</v>
      </c>
      <c r="G9655" s="63" t="str">
        <f>VLOOKUP(C9655, 'Class Def. - General Data'!$C$20:$C$1000,1,false)</f>
        <v>ZSI1_GASKET_SHEET</v>
      </c>
      <c r="H9655" s="63" t="str">
        <f>IFERROR(__xludf.DUMMYFUNCTION("VLOOKUP(F9655, IMPORTRANGE(""https://docs.google.com/spreadsheets/d/1Lhp9OU0JdFf_VYSMzH5lBcEaU4o8teT1piV-SNzShjg/edit?gid=554141278#gid=554141278"", ""'Char Def. - Attributes'!C20:C2242""), 1,false)"),"MAINTENANCE_ORDER_TYPE")</f>
        <v>MAINTENANCE_ORDER_TYPE</v>
      </c>
      <c r="I9655" s="136"/>
      <c r="R9655" s="63" t="str">
        <f t="shared" si="60"/>
        <v>ZSI1_GASKET_SHEETMAINTENANCE_ORDER_TYPE</v>
      </c>
    </row>
    <row r="9656" ht="15.75" customHeight="1">
      <c r="B9656" s="63">
        <f t="shared" si="1"/>
        <v>17</v>
      </c>
      <c r="C9656" s="135" t="s">
        <v>394</v>
      </c>
      <c r="D9656" s="161" t="s">
        <v>74</v>
      </c>
      <c r="E9656" s="135">
        <f t="shared" si="62"/>
        <v>8</v>
      </c>
      <c r="F9656" s="134" t="s">
        <v>3585</v>
      </c>
      <c r="G9656" s="63" t="str">
        <f>VLOOKUP(C9656, 'Class Def. - General Data'!$C$20:$C$1000,1,false)</f>
        <v>ZSI1_GASKET_SHEET</v>
      </c>
      <c r="H9656" s="63" t="str">
        <f>IFERROR(__xludf.DUMMYFUNCTION("VLOOKUP(F9656, IMPORTRANGE(""https://docs.google.com/spreadsheets/d/1Lhp9OU0JdFf_VYSMzH5lBcEaU4o8teT1piV-SNzShjg/edit?gid=554141278#gid=554141278"", ""'Char Def. - Attributes'!C20:C2242""), 1,false)"),"HS_CODE")</f>
        <v>HS_CODE</v>
      </c>
      <c r="I9656" s="136"/>
      <c r="R9656" s="63" t="str">
        <f t="shared" si="60"/>
        <v>ZSI1_GASKET_SHEETHS_CODE</v>
      </c>
    </row>
    <row r="9657" ht="15.75" customHeight="1">
      <c r="B9657" s="63">
        <f t="shared" si="1"/>
        <v>17</v>
      </c>
      <c r="C9657" s="135" t="s">
        <v>394</v>
      </c>
      <c r="D9657" s="161" t="s">
        <v>74</v>
      </c>
      <c r="E9657" s="135">
        <f t="shared" si="62"/>
        <v>9</v>
      </c>
      <c r="F9657" s="134" t="s">
        <v>3587</v>
      </c>
      <c r="G9657" s="63" t="str">
        <f>VLOOKUP(C9657, 'Class Def. - General Data'!$C$20:$C$1000,1,false)</f>
        <v>ZSI1_GASKET_SHEET</v>
      </c>
      <c r="H9657" s="63" t="str">
        <f>IFERROR(__xludf.DUMMYFUNCTION("VLOOKUP(F9657, IMPORTRANGE(""https://docs.google.com/spreadsheets/d/1Lhp9OU0JdFf_VYSMzH5lBcEaU4o8teT1piV-SNzShjg/edit?gid=554141278#gid=554141278"", ""'Char Def. - Attributes'!C20:C2242""), 1,false)"),"PLANT_BUY")</f>
        <v>PLANT_BUY</v>
      </c>
      <c r="I9657" s="136"/>
      <c r="R9657" s="63" t="str">
        <f t="shared" si="60"/>
        <v>ZSI1_GASKET_SHEETPLANT_BUY</v>
      </c>
    </row>
    <row r="9658" ht="15.75" customHeight="1">
      <c r="B9658" s="63">
        <f t="shared" si="1"/>
        <v>17</v>
      </c>
      <c r="C9658" s="135" t="s">
        <v>394</v>
      </c>
      <c r="D9658" s="161" t="s">
        <v>74</v>
      </c>
      <c r="E9658" s="135">
        <f t="shared" si="62"/>
        <v>10</v>
      </c>
      <c r="F9658" s="134" t="s">
        <v>4595</v>
      </c>
      <c r="G9658" s="63" t="str">
        <f>VLOOKUP(C9658, 'Class Def. - General Data'!$C$20:$C$1000,1,false)</f>
        <v>ZSI1_GASKET_SHEET</v>
      </c>
      <c r="H9658" s="63" t="str">
        <f>IFERROR(__xludf.DUMMYFUNCTION("VLOOKUP(F9658, IMPORTRANGE(""https://docs.google.com/spreadsheets/d/1Lhp9OU0JdFf_VYSMzH5lBcEaU4o8teT1piV-SNzShjg/edit?gid=554141278#gid=554141278"", ""'Char Def. - Attributes'!C20:C2242""), 1,false)"),"BASE_UOM_GASKET_SHEET")</f>
        <v>BASE_UOM_GASKET_SHEET</v>
      </c>
      <c r="I9658" s="136"/>
      <c r="R9658" s="63" t="str">
        <f t="shared" si="60"/>
        <v>ZSI1_GASKET_SHEETBASE_UOM_GASKET_SHEET</v>
      </c>
    </row>
    <row r="9659" ht="15.75" customHeight="1">
      <c r="B9659" s="63">
        <f t="shared" si="1"/>
        <v>17</v>
      </c>
      <c r="C9659" s="135" t="s">
        <v>394</v>
      </c>
      <c r="D9659" s="161" t="s">
        <v>74</v>
      </c>
      <c r="E9659" s="135">
        <f t="shared" si="62"/>
        <v>11</v>
      </c>
      <c r="F9659" s="134" t="s">
        <v>4596</v>
      </c>
      <c r="G9659" s="63" t="str">
        <f>VLOOKUP(C9659, 'Class Def. - General Data'!$C$20:$C$1000,1,false)</f>
        <v>ZSI1_GASKET_SHEET</v>
      </c>
      <c r="H9659" s="63" t="str">
        <f>IFERROR(__xludf.DUMMYFUNCTION("VLOOKUP(F9659, IMPORTRANGE(""https://docs.google.com/spreadsheets/d/1Lhp9OU0JdFf_VYSMzH5lBcEaU4o8teT1piV-SNzShjg/edit?gid=554141278#gid=554141278"", ""'Char Def. - Attributes'!C20:C2242""), 1,false)"),"ORDER_UNIT_GASKET_SHEET")</f>
        <v>ORDER_UNIT_GASKET_SHEET</v>
      </c>
      <c r="I9659" s="136"/>
      <c r="R9659" s="63" t="str">
        <f t="shared" si="60"/>
        <v>ZSI1_GASKET_SHEETORDER_UNIT_GASKET_SHEET</v>
      </c>
    </row>
    <row r="9660" ht="15.75" customHeight="1">
      <c r="B9660" s="63">
        <f t="shared" si="1"/>
        <v>17</v>
      </c>
      <c r="C9660" s="135" t="s">
        <v>394</v>
      </c>
      <c r="D9660" s="161" t="s">
        <v>74</v>
      </c>
      <c r="E9660" s="135">
        <f t="shared" si="62"/>
        <v>12</v>
      </c>
      <c r="F9660" s="134" t="s">
        <v>4056</v>
      </c>
      <c r="G9660" s="63" t="str">
        <f>VLOOKUP(C9660, 'Class Def. - General Data'!$C$20:$C$1000,1,false)</f>
        <v>ZSI1_GASKET_SHEET</v>
      </c>
      <c r="H9660" s="63" t="str">
        <f>IFERROR(__xludf.DUMMYFUNCTION("VLOOKUP(F9660, IMPORTRANGE(""https://docs.google.com/spreadsheets/d/1Lhp9OU0JdFf_VYSMzH5lBcEaU4o8teT1piV-SNzShjg/edit?gid=554141278#gid=554141278"", ""'Char Def. - Attributes'!C20:C2242""), 1,false)"),"GROSS_WEIGHT_OPT")</f>
        <v>GROSS_WEIGHT_OPT</v>
      </c>
      <c r="I9660" s="136"/>
      <c r="R9660" s="63" t="str">
        <f t="shared" si="60"/>
        <v>ZSI1_GASKET_SHEETGROSS_WEIGHT_OPT</v>
      </c>
    </row>
    <row r="9661" ht="15.75" customHeight="1">
      <c r="B9661" s="63">
        <f t="shared" si="1"/>
        <v>17</v>
      </c>
      <c r="C9661" s="135" t="s">
        <v>394</v>
      </c>
      <c r="D9661" s="161" t="s">
        <v>74</v>
      </c>
      <c r="E9661" s="135">
        <f t="shared" si="62"/>
        <v>13</v>
      </c>
      <c r="F9661" s="134" t="s">
        <v>4057</v>
      </c>
      <c r="G9661" s="63" t="str">
        <f>VLOOKUP(C9661, 'Class Def. - General Data'!$C$20:$C$1000,1,false)</f>
        <v>ZSI1_GASKET_SHEET</v>
      </c>
      <c r="H9661" s="63" t="str">
        <f>IFERROR(__xludf.DUMMYFUNCTION("VLOOKUP(F9661, IMPORTRANGE(""https://docs.google.com/spreadsheets/d/1Lhp9OU0JdFf_VYSMzH5lBcEaU4o8teT1piV-SNzShjg/edit?gid=554141278#gid=554141278"", ""'Char Def. - Attributes'!C20:C2242""), 1,false)"),"NET_WEIGHT_OPT")</f>
        <v>NET_WEIGHT_OPT</v>
      </c>
      <c r="I9661" s="136"/>
      <c r="R9661" s="63" t="str">
        <f t="shared" si="60"/>
        <v>ZSI1_GASKET_SHEETNET_WEIGHT_OPT</v>
      </c>
    </row>
    <row r="9662" ht="15.75" customHeight="1">
      <c r="B9662" s="63">
        <f t="shared" si="1"/>
        <v>17</v>
      </c>
      <c r="C9662" s="135" t="s">
        <v>394</v>
      </c>
      <c r="D9662" s="161" t="s">
        <v>74</v>
      </c>
      <c r="E9662" s="135">
        <f t="shared" si="62"/>
        <v>14</v>
      </c>
      <c r="F9662" s="134" t="s">
        <v>4058</v>
      </c>
      <c r="G9662" s="63" t="str">
        <f>VLOOKUP(C9662, 'Class Def. - General Data'!$C$20:$C$1000,1,false)</f>
        <v>ZSI1_GASKET_SHEET</v>
      </c>
      <c r="H9662" s="63" t="str">
        <f>IFERROR(__xludf.DUMMYFUNCTION("VLOOKUP(F9662, IMPORTRANGE(""https://docs.google.com/spreadsheets/d/1Lhp9OU0JdFf_VYSMzH5lBcEaU4o8teT1piV-SNzShjg/edit?gid=554141278#gid=554141278"", ""'Char Def. - Attributes'!C20:C2242""), 1,false)"),"WEIGHT_UNIT_SI")</f>
        <v>WEIGHT_UNIT_SI</v>
      </c>
      <c r="I9662" s="136"/>
      <c r="R9662" s="63" t="str">
        <f t="shared" si="60"/>
        <v>ZSI1_GASKET_SHEETWEIGHT_UNIT_SI</v>
      </c>
    </row>
    <row r="9663" ht="15.75" customHeight="1">
      <c r="B9663" s="63">
        <f t="shared" si="1"/>
        <v>17</v>
      </c>
      <c r="C9663" s="135" t="s">
        <v>394</v>
      </c>
      <c r="D9663" s="161" t="s">
        <v>74</v>
      </c>
      <c r="E9663" s="135">
        <f t="shared" si="62"/>
        <v>15</v>
      </c>
      <c r="F9663" s="134" t="s">
        <v>3877</v>
      </c>
      <c r="G9663" s="63" t="str">
        <f>VLOOKUP(C9663, 'Class Def. - General Data'!$C$20:$C$1000,1,false)</f>
        <v>ZSI1_GASKET_SHEET</v>
      </c>
      <c r="H9663" s="63" t="str">
        <f>IFERROR(__xludf.DUMMYFUNCTION("VLOOKUP(F9663, IMPORTRANGE(""https://docs.google.com/spreadsheets/d/1Lhp9OU0JdFf_VYSMzH5lBcEaU4o8teT1piV-SNzShjg/edit?gid=554141278#gid=554141278"", ""'Char Def. - Attributes'!C20:C2242""), 1,false)"),"VOLUME_OPT")</f>
        <v>VOLUME_OPT</v>
      </c>
      <c r="I9663" s="136"/>
      <c r="R9663" s="63" t="str">
        <f t="shared" si="60"/>
        <v>ZSI1_GASKET_SHEETVOLUME_OPT</v>
      </c>
    </row>
    <row r="9664" ht="15.75" customHeight="1">
      <c r="B9664" s="63">
        <f t="shared" si="1"/>
        <v>17</v>
      </c>
      <c r="C9664" s="135" t="s">
        <v>394</v>
      </c>
      <c r="D9664" s="161" t="s">
        <v>74</v>
      </c>
      <c r="E9664" s="135">
        <f t="shared" si="62"/>
        <v>16</v>
      </c>
      <c r="F9664" s="134" t="s">
        <v>4059</v>
      </c>
      <c r="G9664" s="63" t="str">
        <f>VLOOKUP(C9664, 'Class Def. - General Data'!$C$20:$C$1000,1,false)</f>
        <v>ZSI1_GASKET_SHEET</v>
      </c>
      <c r="H9664" s="63" t="str">
        <f>IFERROR(__xludf.DUMMYFUNCTION("VLOOKUP(F9664, IMPORTRANGE(""https://docs.google.com/spreadsheets/d/1Lhp9OU0JdFf_VYSMzH5lBcEaU4o8teT1piV-SNzShjg/edit?gid=554141278#gid=554141278"", ""'Char Def. - Attributes'!C20:C2242""), 1,false)"),"VOLUME_UNIT_SI")</f>
        <v>VOLUME_UNIT_SI</v>
      </c>
      <c r="I9664" s="136"/>
      <c r="R9664" s="63" t="str">
        <f t="shared" si="60"/>
        <v>ZSI1_GASKET_SHEETVOLUME_UNIT_SI</v>
      </c>
    </row>
    <row r="9665" ht="15.75" customHeight="1">
      <c r="B9665" s="63">
        <f t="shared" si="1"/>
        <v>17</v>
      </c>
      <c r="C9665" s="135" t="s">
        <v>394</v>
      </c>
      <c r="D9665" s="161" t="s">
        <v>74</v>
      </c>
      <c r="E9665" s="135">
        <f t="shared" si="62"/>
        <v>17</v>
      </c>
      <c r="F9665" s="134" t="s">
        <v>3804</v>
      </c>
      <c r="G9665" s="63" t="str">
        <f>VLOOKUP(C9665, 'Class Def. - General Data'!$C$20:$C$1000,1,false)</f>
        <v>ZSI1_GASKET_SHEET</v>
      </c>
      <c r="H9665" s="63" t="str">
        <f>IFERROR(__xludf.DUMMYFUNCTION("VLOOKUP(F9665, IMPORTRANGE(""https://docs.google.com/spreadsheets/d/1Lhp9OU0JdFf_VYSMzH5lBcEaU4o8teT1piV-SNzShjg/edit?gid=554141278#gid=554141278"", ""'Char Def. - Attributes'!C20:C2242""), 1,false)"),"ALT_UOM1_SIPI")</f>
        <v>ALT_UOM1_SIPI</v>
      </c>
      <c r="I9665" s="136"/>
      <c r="R9665" s="63" t="str">
        <f t="shared" si="60"/>
        <v>ZSI1_GASKET_SHEETALT_UOM1_SIPI</v>
      </c>
    </row>
    <row r="9666" ht="15.75" customHeight="1">
      <c r="B9666" s="63">
        <f t="shared" si="1"/>
        <v>17</v>
      </c>
      <c r="C9666" s="135" t="s">
        <v>394</v>
      </c>
      <c r="D9666" s="161" t="s">
        <v>74</v>
      </c>
      <c r="E9666" s="135">
        <f t="shared" si="62"/>
        <v>18</v>
      </c>
      <c r="F9666" s="134" t="s">
        <v>3805</v>
      </c>
      <c r="G9666" s="63" t="str">
        <f>VLOOKUP(C9666, 'Class Def. - General Data'!$C$20:$C$1000,1,false)</f>
        <v>ZSI1_GASKET_SHEET</v>
      </c>
      <c r="H9666" s="63" t="str">
        <f>IFERROR(__xludf.DUMMYFUNCTION("VLOOKUP(F9666, IMPORTRANGE(""https://docs.google.com/spreadsheets/d/1Lhp9OU0JdFf_VYSMzH5lBcEaU4o8teT1piV-SNzShjg/edit?gid=554141278#gid=554141278"", ""'Char Def. - Attributes'!C20:C2242""), 1,false)"),"ALT_DENUM_UOM1")</f>
        <v>ALT_DENUM_UOM1</v>
      </c>
      <c r="I9666" s="136"/>
      <c r="R9666" s="63" t="str">
        <f t="shared" si="60"/>
        <v>ZSI1_GASKET_SHEETALT_DENUM_UOM1</v>
      </c>
    </row>
    <row r="9667" ht="15.75" customHeight="1">
      <c r="B9667" s="63">
        <f t="shared" si="1"/>
        <v>17</v>
      </c>
      <c r="C9667" s="135" t="s">
        <v>394</v>
      </c>
      <c r="D9667" s="161" t="s">
        <v>74</v>
      </c>
      <c r="E9667" s="135">
        <f t="shared" si="62"/>
        <v>19</v>
      </c>
      <c r="F9667" s="134" t="s">
        <v>3806</v>
      </c>
      <c r="G9667" s="63" t="str">
        <f>VLOOKUP(C9667, 'Class Def. - General Data'!$C$20:$C$1000,1,false)</f>
        <v>ZSI1_GASKET_SHEET</v>
      </c>
      <c r="H9667" s="63" t="str">
        <f>IFERROR(__xludf.DUMMYFUNCTION("VLOOKUP(F9667, IMPORTRANGE(""https://docs.google.com/spreadsheets/d/1Lhp9OU0JdFf_VYSMzH5lBcEaU4o8teT1piV-SNzShjg/edit?gid=554141278#gid=554141278"", ""'Char Def. - Attributes'!C20:C2242""), 1,false)"),"ALT_NUM_UOM1")</f>
        <v>ALT_NUM_UOM1</v>
      </c>
      <c r="I9667" s="136"/>
      <c r="R9667" s="63" t="str">
        <f t="shared" si="60"/>
        <v>ZSI1_GASKET_SHEETALT_NUM_UOM1</v>
      </c>
    </row>
    <row r="9668" ht="15.75" customHeight="1">
      <c r="B9668" s="63">
        <f t="shared" si="1"/>
        <v>17</v>
      </c>
      <c r="C9668" s="135" t="s">
        <v>394</v>
      </c>
      <c r="D9668" s="161" t="s">
        <v>74</v>
      </c>
      <c r="E9668" s="135">
        <f t="shared" si="62"/>
        <v>20</v>
      </c>
      <c r="F9668" s="134" t="s">
        <v>3807</v>
      </c>
      <c r="G9668" s="63" t="str">
        <f>VLOOKUP(C9668, 'Class Def. - General Data'!$C$20:$C$1000,1,false)</f>
        <v>ZSI1_GASKET_SHEET</v>
      </c>
      <c r="H9668" s="63" t="str">
        <f>IFERROR(__xludf.DUMMYFUNCTION("VLOOKUP(F9668, IMPORTRANGE(""https://docs.google.com/spreadsheets/d/1Lhp9OU0JdFf_VYSMzH5lBcEaU4o8teT1piV-SNzShjg/edit?gid=554141278#gid=554141278"", ""'Char Def. - Attributes'!C20:C2242""), 1,false)"),"ALT_UOM2_SIPI")</f>
        <v>ALT_UOM2_SIPI</v>
      </c>
      <c r="I9668" s="136"/>
      <c r="R9668" s="63" t="str">
        <f t="shared" si="60"/>
        <v>ZSI1_GASKET_SHEETALT_UOM2_SIPI</v>
      </c>
    </row>
    <row r="9669" ht="15.75" customHeight="1">
      <c r="B9669" s="63">
        <f t="shared" si="1"/>
        <v>17</v>
      </c>
      <c r="C9669" s="135" t="s">
        <v>394</v>
      </c>
      <c r="D9669" s="161" t="s">
        <v>74</v>
      </c>
      <c r="E9669" s="135">
        <f t="shared" si="62"/>
        <v>21</v>
      </c>
      <c r="F9669" s="134" t="s">
        <v>3808</v>
      </c>
      <c r="G9669" s="63" t="str">
        <f>VLOOKUP(C9669, 'Class Def. - General Data'!$C$20:$C$1000,1,false)</f>
        <v>ZSI1_GASKET_SHEET</v>
      </c>
      <c r="H9669" s="63" t="str">
        <f>IFERROR(__xludf.DUMMYFUNCTION("VLOOKUP(F9669, IMPORTRANGE(""https://docs.google.com/spreadsheets/d/1Lhp9OU0JdFf_VYSMzH5lBcEaU4o8teT1piV-SNzShjg/edit?gid=554141278#gid=554141278"", ""'Char Def. - Attributes'!C20:C2242""), 1,false)"),"ALT_DENUM_UOM2")</f>
        <v>ALT_DENUM_UOM2</v>
      </c>
      <c r="I9669" s="136"/>
      <c r="R9669" s="63" t="str">
        <f t="shared" si="60"/>
        <v>ZSI1_GASKET_SHEETALT_DENUM_UOM2</v>
      </c>
    </row>
    <row r="9670" ht="15.75" customHeight="1">
      <c r="B9670" s="63">
        <f t="shared" si="1"/>
        <v>17</v>
      </c>
      <c r="C9670" s="135" t="s">
        <v>394</v>
      </c>
      <c r="D9670" s="161" t="s">
        <v>74</v>
      </c>
      <c r="E9670" s="135">
        <f t="shared" si="62"/>
        <v>22</v>
      </c>
      <c r="F9670" s="134" t="s">
        <v>3809</v>
      </c>
      <c r="G9670" s="63" t="str">
        <f>VLOOKUP(C9670, 'Class Def. - General Data'!$C$20:$C$1000,1,false)</f>
        <v>ZSI1_GASKET_SHEET</v>
      </c>
      <c r="H9670" s="63" t="str">
        <f>IFERROR(__xludf.DUMMYFUNCTION("VLOOKUP(F9670, IMPORTRANGE(""https://docs.google.com/spreadsheets/d/1Lhp9OU0JdFf_VYSMzH5lBcEaU4o8teT1piV-SNzShjg/edit?gid=554141278#gid=554141278"", ""'Char Def. - Attributes'!C20:C2242""), 1,false)"),"ALT_NUM_UOM2")</f>
        <v>ALT_NUM_UOM2</v>
      </c>
      <c r="I9670" s="136"/>
      <c r="R9670" s="63" t="str">
        <f t="shared" si="60"/>
        <v>ZSI1_GASKET_SHEETALT_NUM_UOM2</v>
      </c>
    </row>
    <row r="9671" ht="15.75" customHeight="1">
      <c r="B9671" s="63">
        <f t="shared" si="1"/>
        <v>17</v>
      </c>
      <c r="C9671" s="135" t="s">
        <v>394</v>
      </c>
      <c r="D9671" s="161" t="s">
        <v>74</v>
      </c>
      <c r="E9671" s="135">
        <f t="shared" si="62"/>
        <v>23</v>
      </c>
      <c r="F9671" s="134" t="s">
        <v>3810</v>
      </c>
      <c r="G9671" s="63" t="str">
        <f>VLOOKUP(C9671, 'Class Def. - General Data'!$C$20:$C$1000,1,false)</f>
        <v>ZSI1_GASKET_SHEET</v>
      </c>
      <c r="H9671" s="63" t="str">
        <f>IFERROR(__xludf.DUMMYFUNCTION("VLOOKUP(F9671, IMPORTRANGE(""https://docs.google.com/spreadsheets/d/1Lhp9OU0JdFf_VYSMzH5lBcEaU4o8teT1piV-SNzShjg/edit?gid=554141278#gid=554141278"", ""'Char Def. - Attributes'!C20:C2242""), 1,false)"),"ALT_UOM3_SIPI")</f>
        <v>ALT_UOM3_SIPI</v>
      </c>
      <c r="I9671" s="136"/>
      <c r="R9671" s="63" t="str">
        <f t="shared" si="60"/>
        <v>ZSI1_GASKET_SHEETALT_UOM3_SIPI</v>
      </c>
    </row>
    <row r="9672" ht="15.75" customHeight="1">
      <c r="B9672" s="63">
        <f t="shared" si="1"/>
        <v>17</v>
      </c>
      <c r="C9672" s="135" t="s">
        <v>394</v>
      </c>
      <c r="D9672" s="161" t="s">
        <v>74</v>
      </c>
      <c r="E9672" s="135">
        <f t="shared" si="62"/>
        <v>24</v>
      </c>
      <c r="F9672" s="134" t="s">
        <v>3811</v>
      </c>
      <c r="G9672" s="63" t="str">
        <f>VLOOKUP(C9672, 'Class Def. - General Data'!$C$20:$C$1000,1,false)</f>
        <v>ZSI1_GASKET_SHEET</v>
      </c>
      <c r="H9672" s="63" t="str">
        <f>IFERROR(__xludf.DUMMYFUNCTION("VLOOKUP(F9672, IMPORTRANGE(""https://docs.google.com/spreadsheets/d/1Lhp9OU0JdFf_VYSMzH5lBcEaU4o8teT1piV-SNzShjg/edit?gid=554141278#gid=554141278"", ""'Char Def. - Attributes'!C20:C2242""), 1,false)"),"ALT_DENUM_UOM3")</f>
        <v>ALT_DENUM_UOM3</v>
      </c>
      <c r="I9672" s="136"/>
      <c r="R9672" s="63" t="str">
        <f t="shared" si="60"/>
        <v>ZSI1_GASKET_SHEETALT_DENUM_UOM3</v>
      </c>
    </row>
    <row r="9673" ht="15.75" customHeight="1">
      <c r="B9673" s="63">
        <f t="shared" si="1"/>
        <v>17</v>
      </c>
      <c r="C9673" s="135" t="s">
        <v>394</v>
      </c>
      <c r="D9673" s="161" t="s">
        <v>74</v>
      </c>
      <c r="E9673" s="135">
        <f t="shared" si="62"/>
        <v>25</v>
      </c>
      <c r="F9673" s="134" t="s">
        <v>3812</v>
      </c>
      <c r="G9673" s="63" t="str">
        <f>VLOOKUP(C9673, 'Class Def. - General Data'!$C$20:$C$1000,1,false)</f>
        <v>ZSI1_GASKET_SHEET</v>
      </c>
      <c r="H9673" s="63" t="str">
        <f>IFERROR(__xludf.DUMMYFUNCTION("VLOOKUP(F9673, IMPORTRANGE(""https://docs.google.com/spreadsheets/d/1Lhp9OU0JdFf_VYSMzH5lBcEaU4o8teT1piV-SNzShjg/edit?gid=554141278#gid=554141278"", ""'Char Def. - Attributes'!C20:C2242""), 1,false)"),"ALT_NUM_UOM3")</f>
        <v>ALT_NUM_UOM3</v>
      </c>
      <c r="I9673" s="136"/>
      <c r="R9673" s="63" t="str">
        <f t="shared" si="60"/>
        <v>ZSI1_GASKET_SHEETALT_NUM_UOM3</v>
      </c>
    </row>
    <row r="9674" ht="15.75" customHeight="1">
      <c r="B9674" s="63">
        <f t="shared" si="1"/>
        <v>17</v>
      </c>
      <c r="C9674" s="135" t="s">
        <v>394</v>
      </c>
      <c r="D9674" s="161" t="s">
        <v>74</v>
      </c>
      <c r="E9674" s="135">
        <f t="shared" si="62"/>
        <v>26</v>
      </c>
      <c r="F9674" s="134" t="s">
        <v>3813</v>
      </c>
      <c r="G9674" s="63" t="str">
        <f>VLOOKUP(C9674, 'Class Def. - General Data'!$C$20:$C$1000,1,false)</f>
        <v>ZSI1_GASKET_SHEET</v>
      </c>
      <c r="H9674" s="63" t="str">
        <f>IFERROR(__xludf.DUMMYFUNCTION("VLOOKUP(F9674, IMPORTRANGE(""https://docs.google.com/spreadsheets/d/1Lhp9OU0JdFf_VYSMzH5lBcEaU4o8teT1piV-SNzShjg/edit?gid=554141278#gid=554141278"", ""'Char Def. - Attributes'!C20:C2242""), 1,false)"),"ALT_UOM4_SIPI")</f>
        <v>ALT_UOM4_SIPI</v>
      </c>
      <c r="I9674" s="136"/>
      <c r="R9674" s="63" t="str">
        <f t="shared" si="60"/>
        <v>ZSI1_GASKET_SHEETALT_UOM4_SIPI</v>
      </c>
    </row>
    <row r="9675" ht="15.75" customHeight="1">
      <c r="B9675" s="63">
        <f t="shared" si="1"/>
        <v>17</v>
      </c>
      <c r="C9675" s="135" t="s">
        <v>394</v>
      </c>
      <c r="D9675" s="161" t="s">
        <v>74</v>
      </c>
      <c r="E9675" s="135">
        <f t="shared" si="62"/>
        <v>27</v>
      </c>
      <c r="F9675" s="134" t="s">
        <v>3814</v>
      </c>
      <c r="G9675" s="63" t="str">
        <f>VLOOKUP(C9675, 'Class Def. - General Data'!$C$20:$C$1000,1,false)</f>
        <v>ZSI1_GASKET_SHEET</v>
      </c>
      <c r="H9675" s="63" t="str">
        <f>IFERROR(__xludf.DUMMYFUNCTION("VLOOKUP(F9675, IMPORTRANGE(""https://docs.google.com/spreadsheets/d/1Lhp9OU0JdFf_VYSMzH5lBcEaU4o8teT1piV-SNzShjg/edit?gid=554141278#gid=554141278"", ""'Char Def. - Attributes'!C20:C2242""), 1,false)"),"ALT_DENUM_UOM4")</f>
        <v>ALT_DENUM_UOM4</v>
      </c>
      <c r="I9675" s="136"/>
      <c r="R9675" s="63" t="str">
        <f t="shared" si="60"/>
        <v>ZSI1_GASKET_SHEETALT_DENUM_UOM4</v>
      </c>
    </row>
    <row r="9676" ht="15.75" customHeight="1">
      <c r="B9676" s="63">
        <f t="shared" si="1"/>
        <v>17</v>
      </c>
      <c r="C9676" s="135" t="s">
        <v>394</v>
      </c>
      <c r="D9676" s="161" t="s">
        <v>74</v>
      </c>
      <c r="E9676" s="135">
        <f t="shared" si="62"/>
        <v>28</v>
      </c>
      <c r="F9676" s="134" t="s">
        <v>3815</v>
      </c>
      <c r="G9676" s="63" t="str">
        <f>VLOOKUP(C9676, 'Class Def. - General Data'!$C$20:$C$1000,1,false)</f>
        <v>ZSI1_GASKET_SHEET</v>
      </c>
      <c r="H9676" s="63" t="str">
        <f>IFERROR(__xludf.DUMMYFUNCTION("VLOOKUP(F9676, IMPORTRANGE(""https://docs.google.com/spreadsheets/d/1Lhp9OU0JdFf_VYSMzH5lBcEaU4o8teT1piV-SNzShjg/edit?gid=554141278#gid=554141278"", ""'Char Def. - Attributes'!C20:C2242""), 1,false)"),"ALT_NUM_UOM4")</f>
        <v>ALT_NUM_UOM4</v>
      </c>
      <c r="I9676" s="136"/>
      <c r="R9676" s="63" t="str">
        <f t="shared" si="60"/>
        <v>ZSI1_GASKET_SHEETALT_NUM_UOM4</v>
      </c>
    </row>
    <row r="9677" ht="15.75" customHeight="1">
      <c r="B9677" s="63">
        <f t="shared" si="1"/>
        <v>17</v>
      </c>
      <c r="C9677" s="135" t="s">
        <v>394</v>
      </c>
      <c r="D9677" s="161" t="s">
        <v>74</v>
      </c>
      <c r="E9677" s="135">
        <f t="shared" si="62"/>
        <v>29</v>
      </c>
      <c r="F9677" s="134" t="s">
        <v>3816</v>
      </c>
      <c r="G9677" s="63" t="str">
        <f>VLOOKUP(C9677, 'Class Def. - General Data'!$C$20:$C$1000,1,false)</f>
        <v>ZSI1_GASKET_SHEET</v>
      </c>
      <c r="H9677" s="63" t="str">
        <f>IFERROR(__xludf.DUMMYFUNCTION("VLOOKUP(F9677, IMPORTRANGE(""https://docs.google.com/spreadsheets/d/1Lhp9OU0JdFf_VYSMzH5lBcEaU4o8teT1piV-SNzShjg/edit?gid=554141278#gid=554141278"", ""'Char Def. - Attributes'!C20:C2242""), 1,false)"),"ALT_UOM5_SIPI")</f>
        <v>ALT_UOM5_SIPI</v>
      </c>
      <c r="I9677" s="136"/>
      <c r="R9677" s="63" t="str">
        <f t="shared" si="60"/>
        <v>ZSI1_GASKET_SHEETALT_UOM5_SIPI</v>
      </c>
    </row>
    <row r="9678" ht="15.75" customHeight="1">
      <c r="B9678" s="63">
        <f t="shared" si="1"/>
        <v>17</v>
      </c>
      <c r="C9678" s="135" t="s">
        <v>394</v>
      </c>
      <c r="D9678" s="161" t="s">
        <v>74</v>
      </c>
      <c r="E9678" s="135">
        <f t="shared" si="62"/>
        <v>30</v>
      </c>
      <c r="F9678" s="134" t="s">
        <v>3817</v>
      </c>
      <c r="G9678" s="63" t="str">
        <f>VLOOKUP(C9678, 'Class Def. - General Data'!$C$20:$C$1000,1,false)</f>
        <v>ZSI1_GASKET_SHEET</v>
      </c>
      <c r="H9678" s="63" t="str">
        <f>IFERROR(__xludf.DUMMYFUNCTION("VLOOKUP(F9678, IMPORTRANGE(""https://docs.google.com/spreadsheets/d/1Lhp9OU0JdFf_VYSMzH5lBcEaU4o8teT1piV-SNzShjg/edit?gid=554141278#gid=554141278"", ""'Char Def. - Attributes'!C20:C2242""), 1,false)"),"ALT_DENUM_UOM5")</f>
        <v>ALT_DENUM_UOM5</v>
      </c>
      <c r="I9678" s="136"/>
      <c r="R9678" s="63" t="str">
        <f t="shared" si="60"/>
        <v>ZSI1_GASKET_SHEETALT_DENUM_UOM5</v>
      </c>
    </row>
    <row r="9679" ht="15.75" customHeight="1">
      <c r="B9679" s="63">
        <f t="shared" si="1"/>
        <v>17</v>
      </c>
      <c r="C9679" s="135" t="s">
        <v>394</v>
      </c>
      <c r="D9679" s="161" t="s">
        <v>74</v>
      </c>
      <c r="E9679" s="135">
        <f t="shared" si="62"/>
        <v>31</v>
      </c>
      <c r="F9679" s="134" t="s">
        <v>3818</v>
      </c>
      <c r="G9679" s="63" t="str">
        <f>VLOOKUP(C9679, 'Class Def. - General Data'!$C$20:$C$1000,1,false)</f>
        <v>ZSI1_GASKET_SHEET</v>
      </c>
      <c r="H9679" s="63" t="str">
        <f>IFERROR(__xludf.DUMMYFUNCTION("VLOOKUP(F9679, IMPORTRANGE(""https://docs.google.com/spreadsheets/d/1Lhp9OU0JdFf_VYSMzH5lBcEaU4o8teT1piV-SNzShjg/edit?gid=554141278#gid=554141278"", ""'Char Def. - Attributes'!C20:C2242""), 1,false)"),"ALT_NUM_UOM5")</f>
        <v>ALT_NUM_UOM5</v>
      </c>
      <c r="I9679" s="136"/>
      <c r="R9679" s="63" t="str">
        <f t="shared" si="60"/>
        <v>ZSI1_GASKET_SHEETALT_NUM_UOM5</v>
      </c>
    </row>
    <row r="9680" ht="15.75" customHeight="1">
      <c r="B9680" s="63">
        <f t="shared" si="1"/>
        <v>18</v>
      </c>
      <c r="C9680" s="135" t="s">
        <v>395</v>
      </c>
      <c r="D9680" s="161" t="s">
        <v>74</v>
      </c>
      <c r="E9680" s="135">
        <f t="shared" si="62"/>
        <v>1</v>
      </c>
      <c r="F9680" s="134" t="s">
        <v>4597</v>
      </c>
      <c r="G9680" s="63" t="str">
        <f>VLOOKUP(C9680, 'Class Def. - General Data'!$C$20:$C$1000,1,false)</f>
        <v>ZSI1_GASKET_SP_WND</v>
      </c>
      <c r="H9680" s="63" t="str">
        <f>IFERROR(__xludf.DUMMYFUNCTION("VLOOKUP(F9680, IMPORTRANGE(""https://docs.google.com/spreadsheets/d/1Lhp9OU0JdFf_VYSMzH5lBcEaU4o8teT1piV-SNzShjg/edit?gid=554141278#gid=554141278"", ""'Char Def. - Attributes'!C20:C2242""), 1,false)"),"ITEM_NAME_GASKET_SP_WND")</f>
        <v>ITEM_NAME_GASKET_SP_WND</v>
      </c>
      <c r="I9680" s="136"/>
      <c r="R9680" s="63" t="str">
        <f t="shared" si="60"/>
        <v>ZSI1_GASKET_SP_WNDITEM_NAME_GASKET_SP_WND</v>
      </c>
    </row>
    <row r="9681" ht="15.75" customHeight="1">
      <c r="B9681" s="63">
        <f t="shared" si="1"/>
        <v>18</v>
      </c>
      <c r="C9681" s="135" t="s">
        <v>395</v>
      </c>
      <c r="D9681" s="161" t="s">
        <v>74</v>
      </c>
      <c r="E9681" s="135">
        <f t="shared" si="62"/>
        <v>2</v>
      </c>
      <c r="F9681" s="134" t="s">
        <v>4598</v>
      </c>
      <c r="G9681" s="63" t="str">
        <f>VLOOKUP(C9681, 'Class Def. - General Data'!$C$20:$C$1000,1,false)</f>
        <v>ZSI1_GASKET_SP_WND</v>
      </c>
      <c r="H9681" s="63" t="str">
        <f>IFERROR(__xludf.DUMMYFUNCTION("VLOOKUP(F9681, IMPORTRANGE(""https://docs.google.com/spreadsheets/d/1Lhp9OU0JdFf_VYSMzH5lBcEaU4o8teT1piV-SNzShjg/edit?gid=554141278#gid=554141278"", ""'Char Def. - Attributes'!C20:C2242""), 1,false)"),"PRESSUR_CLASS_PN_GASKET_SP_WND")</f>
        <v>PRESSUR_CLASS_PN_GASKET_SP_WND</v>
      </c>
      <c r="I9681" s="136"/>
      <c r="R9681" s="63" t="str">
        <f t="shared" si="60"/>
        <v>ZSI1_GASKET_SP_WNDPRESSUR_CLASS_PN_GASKET_SP_WND</v>
      </c>
    </row>
    <row r="9682" ht="15.75" customHeight="1">
      <c r="B9682" s="63">
        <f t="shared" si="1"/>
        <v>18</v>
      </c>
      <c r="C9682" s="135" t="s">
        <v>395</v>
      </c>
      <c r="D9682" s="161" t="s">
        <v>74</v>
      </c>
      <c r="E9682" s="135">
        <f t="shared" si="62"/>
        <v>3</v>
      </c>
      <c r="F9682" s="134" t="s">
        <v>4599</v>
      </c>
      <c r="G9682" s="63" t="str">
        <f>VLOOKUP(C9682, 'Class Def. - General Data'!$C$20:$C$1000,1,false)</f>
        <v>ZSI1_GASKET_SP_WND</v>
      </c>
      <c r="H9682" s="63" t="str">
        <f>IFERROR(__xludf.DUMMYFUNCTION("VLOOKUP(F9682, IMPORTRANGE(""https://docs.google.com/spreadsheets/d/1Lhp9OU0JdFf_VYSMzH5lBcEaU4o8teT1piV-SNzShjg/edit?gid=554141278#gid=554141278"", ""'Char Def. - Attributes'!C20:C2242""), 1,false)"),"STDPIPESZ_DN_JIS_GASKET_SP_WND")</f>
        <v>STDPIPESZ_DN_JIS_GASKET_SP_WND</v>
      </c>
      <c r="I9682" s="136"/>
      <c r="R9682" s="63" t="str">
        <f t="shared" si="60"/>
        <v>ZSI1_GASKET_SP_WNDSTDPIPESZ_DN_JIS_GASKET_SP_WND</v>
      </c>
    </row>
    <row r="9683" ht="15.75" customHeight="1">
      <c r="B9683" s="63">
        <f t="shared" si="1"/>
        <v>18</v>
      </c>
      <c r="C9683" s="135" t="s">
        <v>395</v>
      </c>
      <c r="D9683" s="161" t="s">
        <v>74</v>
      </c>
      <c r="E9683" s="135">
        <f t="shared" si="62"/>
        <v>4</v>
      </c>
      <c r="F9683" s="134" t="s">
        <v>4053</v>
      </c>
      <c r="G9683" s="63" t="str">
        <f>VLOOKUP(C9683, 'Class Def. - General Data'!$C$20:$C$1000,1,false)</f>
        <v>ZSI1_GASKET_SP_WND</v>
      </c>
      <c r="H9683" s="63" t="str">
        <f>IFERROR(__xludf.DUMMYFUNCTION("VLOOKUP(F9683, IMPORTRANGE(""https://docs.google.com/spreadsheets/d/1Lhp9OU0JdFf_VYSMzH5lBcEaU4o8teT1piV-SNzShjg/edit?gid=554141278#gid=554141278"", ""'Char Def. - Attributes'!C20:C2242""), 1,false)"),"MAINTENANCE_ORDER_TYPE")</f>
        <v>MAINTENANCE_ORDER_TYPE</v>
      </c>
      <c r="I9683" s="136"/>
      <c r="R9683" s="63" t="str">
        <f t="shared" si="60"/>
        <v>ZSI1_GASKET_SP_WNDMAINTENANCE_ORDER_TYPE</v>
      </c>
    </row>
    <row r="9684" ht="15.75" customHeight="1">
      <c r="B9684" s="63">
        <f t="shared" si="1"/>
        <v>18</v>
      </c>
      <c r="C9684" s="135" t="s">
        <v>395</v>
      </c>
      <c r="D9684" s="161" t="s">
        <v>74</v>
      </c>
      <c r="E9684" s="135">
        <f t="shared" si="62"/>
        <v>5</v>
      </c>
      <c r="F9684" s="134" t="s">
        <v>3585</v>
      </c>
      <c r="G9684" s="63" t="str">
        <f>VLOOKUP(C9684, 'Class Def. - General Data'!$C$20:$C$1000,1,false)</f>
        <v>ZSI1_GASKET_SP_WND</v>
      </c>
      <c r="H9684" s="63" t="str">
        <f>IFERROR(__xludf.DUMMYFUNCTION("VLOOKUP(F9684, IMPORTRANGE(""https://docs.google.com/spreadsheets/d/1Lhp9OU0JdFf_VYSMzH5lBcEaU4o8teT1piV-SNzShjg/edit?gid=554141278#gid=554141278"", ""'Char Def. - Attributes'!C20:C2242""), 1,false)"),"HS_CODE")</f>
        <v>HS_CODE</v>
      </c>
      <c r="I9684" s="136"/>
      <c r="R9684" s="63" t="str">
        <f t="shared" si="60"/>
        <v>ZSI1_GASKET_SP_WNDHS_CODE</v>
      </c>
    </row>
    <row r="9685" ht="15.75" customHeight="1">
      <c r="B9685" s="63">
        <f t="shared" si="1"/>
        <v>18</v>
      </c>
      <c r="C9685" s="135" t="s">
        <v>395</v>
      </c>
      <c r="D9685" s="161" t="s">
        <v>74</v>
      </c>
      <c r="E9685" s="135">
        <f t="shared" si="62"/>
        <v>6</v>
      </c>
      <c r="F9685" s="134" t="s">
        <v>3587</v>
      </c>
      <c r="G9685" s="63" t="str">
        <f>VLOOKUP(C9685, 'Class Def. - General Data'!$C$20:$C$1000,1,false)</f>
        <v>ZSI1_GASKET_SP_WND</v>
      </c>
      <c r="H9685" s="63" t="str">
        <f>IFERROR(__xludf.DUMMYFUNCTION("VLOOKUP(F9685, IMPORTRANGE(""https://docs.google.com/spreadsheets/d/1Lhp9OU0JdFf_VYSMzH5lBcEaU4o8teT1piV-SNzShjg/edit?gid=554141278#gid=554141278"", ""'Char Def. - Attributes'!C20:C2242""), 1,false)"),"PLANT_BUY")</f>
        <v>PLANT_BUY</v>
      </c>
      <c r="I9685" s="136"/>
      <c r="R9685" s="63" t="str">
        <f t="shared" si="60"/>
        <v>ZSI1_GASKET_SP_WNDPLANT_BUY</v>
      </c>
    </row>
    <row r="9686" ht="15.75" customHeight="1">
      <c r="B9686" s="63">
        <f t="shared" si="1"/>
        <v>18</v>
      </c>
      <c r="C9686" s="135" t="s">
        <v>395</v>
      </c>
      <c r="D9686" s="161" t="s">
        <v>74</v>
      </c>
      <c r="E9686" s="135">
        <f t="shared" si="62"/>
        <v>7</v>
      </c>
      <c r="F9686" s="134" t="s">
        <v>4600</v>
      </c>
      <c r="G9686" s="63" t="str">
        <f>VLOOKUP(C9686, 'Class Def. - General Data'!$C$20:$C$1000,1,false)</f>
        <v>ZSI1_GASKET_SP_WND</v>
      </c>
      <c r="H9686" s="63" t="str">
        <f>IFERROR(__xludf.DUMMYFUNCTION("VLOOKUP(F9686, IMPORTRANGE(""https://docs.google.com/spreadsheets/d/1Lhp9OU0JdFf_VYSMzH5lBcEaU4o8teT1piV-SNzShjg/edit?gid=554141278#gid=554141278"", ""'Char Def. - Attributes'!C20:C2242""), 1,false)"),"BASE_UOM_GASKET_SP_WND")</f>
        <v>BASE_UOM_GASKET_SP_WND</v>
      </c>
      <c r="I9686" s="136"/>
      <c r="R9686" s="63" t="str">
        <f t="shared" si="60"/>
        <v>ZSI1_GASKET_SP_WNDBASE_UOM_GASKET_SP_WND</v>
      </c>
    </row>
    <row r="9687" ht="15.75" customHeight="1">
      <c r="B9687" s="63">
        <f t="shared" si="1"/>
        <v>18</v>
      </c>
      <c r="C9687" s="135" t="s">
        <v>395</v>
      </c>
      <c r="D9687" s="161" t="s">
        <v>74</v>
      </c>
      <c r="E9687" s="135">
        <f t="shared" si="62"/>
        <v>8</v>
      </c>
      <c r="F9687" s="134" t="s">
        <v>4601</v>
      </c>
      <c r="G9687" s="63" t="str">
        <f>VLOOKUP(C9687, 'Class Def. - General Data'!$C$20:$C$1000,1,false)</f>
        <v>ZSI1_GASKET_SP_WND</v>
      </c>
      <c r="H9687" s="63" t="str">
        <f>IFERROR(__xludf.DUMMYFUNCTION("VLOOKUP(F9687, IMPORTRANGE(""https://docs.google.com/spreadsheets/d/1Lhp9OU0JdFf_VYSMzH5lBcEaU4o8teT1piV-SNzShjg/edit?gid=554141278#gid=554141278"", ""'Char Def. - Attributes'!C20:C2242""), 1,false)"),"ORDER_UNIT_GASKET_SP_WND")</f>
        <v>ORDER_UNIT_GASKET_SP_WND</v>
      </c>
      <c r="I9687" s="136"/>
      <c r="R9687" s="63" t="str">
        <f t="shared" si="60"/>
        <v>ZSI1_GASKET_SP_WNDORDER_UNIT_GASKET_SP_WND</v>
      </c>
    </row>
    <row r="9688" ht="15.75" customHeight="1">
      <c r="B9688" s="63">
        <f t="shared" si="1"/>
        <v>18</v>
      </c>
      <c r="C9688" s="135" t="s">
        <v>395</v>
      </c>
      <c r="D9688" s="161" t="s">
        <v>74</v>
      </c>
      <c r="E9688" s="135">
        <f t="shared" si="62"/>
        <v>9</v>
      </c>
      <c r="F9688" s="134" t="s">
        <v>4056</v>
      </c>
      <c r="G9688" s="63" t="str">
        <f>VLOOKUP(C9688, 'Class Def. - General Data'!$C$20:$C$1000,1,false)</f>
        <v>ZSI1_GASKET_SP_WND</v>
      </c>
      <c r="H9688" s="63" t="str">
        <f>IFERROR(__xludf.DUMMYFUNCTION("VLOOKUP(F9688, IMPORTRANGE(""https://docs.google.com/spreadsheets/d/1Lhp9OU0JdFf_VYSMzH5lBcEaU4o8teT1piV-SNzShjg/edit?gid=554141278#gid=554141278"", ""'Char Def. - Attributes'!C20:C2242""), 1,false)"),"GROSS_WEIGHT_OPT")</f>
        <v>GROSS_WEIGHT_OPT</v>
      </c>
      <c r="I9688" s="136"/>
      <c r="R9688" s="63" t="str">
        <f t="shared" si="60"/>
        <v>ZSI1_GASKET_SP_WNDGROSS_WEIGHT_OPT</v>
      </c>
    </row>
    <row r="9689" ht="15.75" customHeight="1">
      <c r="B9689" s="63">
        <f t="shared" si="1"/>
        <v>18</v>
      </c>
      <c r="C9689" s="135" t="s">
        <v>395</v>
      </c>
      <c r="D9689" s="161" t="s">
        <v>74</v>
      </c>
      <c r="E9689" s="135">
        <f t="shared" si="62"/>
        <v>10</v>
      </c>
      <c r="F9689" s="134" t="s">
        <v>4057</v>
      </c>
      <c r="G9689" s="63" t="str">
        <f>VLOOKUP(C9689, 'Class Def. - General Data'!$C$20:$C$1000,1,false)</f>
        <v>ZSI1_GASKET_SP_WND</v>
      </c>
      <c r="H9689" s="63" t="str">
        <f>IFERROR(__xludf.DUMMYFUNCTION("VLOOKUP(F9689, IMPORTRANGE(""https://docs.google.com/spreadsheets/d/1Lhp9OU0JdFf_VYSMzH5lBcEaU4o8teT1piV-SNzShjg/edit?gid=554141278#gid=554141278"", ""'Char Def. - Attributes'!C20:C2242""), 1,false)"),"NET_WEIGHT_OPT")</f>
        <v>NET_WEIGHT_OPT</v>
      </c>
      <c r="I9689" s="136"/>
      <c r="R9689" s="63" t="str">
        <f t="shared" si="60"/>
        <v>ZSI1_GASKET_SP_WNDNET_WEIGHT_OPT</v>
      </c>
    </row>
    <row r="9690" ht="15.75" customHeight="1">
      <c r="B9690" s="63">
        <f t="shared" si="1"/>
        <v>18</v>
      </c>
      <c r="C9690" s="135" t="s">
        <v>395</v>
      </c>
      <c r="D9690" s="161" t="s">
        <v>74</v>
      </c>
      <c r="E9690" s="135">
        <f t="shared" si="62"/>
        <v>11</v>
      </c>
      <c r="F9690" s="134" t="s">
        <v>4058</v>
      </c>
      <c r="G9690" s="63" t="str">
        <f>VLOOKUP(C9690, 'Class Def. - General Data'!$C$20:$C$1000,1,false)</f>
        <v>ZSI1_GASKET_SP_WND</v>
      </c>
      <c r="H9690" s="63" t="str">
        <f>IFERROR(__xludf.DUMMYFUNCTION("VLOOKUP(F9690, IMPORTRANGE(""https://docs.google.com/spreadsheets/d/1Lhp9OU0JdFf_VYSMzH5lBcEaU4o8teT1piV-SNzShjg/edit?gid=554141278#gid=554141278"", ""'Char Def. - Attributes'!C20:C2242""), 1,false)"),"WEIGHT_UNIT_SI")</f>
        <v>WEIGHT_UNIT_SI</v>
      </c>
      <c r="I9690" s="136"/>
      <c r="R9690" s="63" t="str">
        <f t="shared" si="60"/>
        <v>ZSI1_GASKET_SP_WNDWEIGHT_UNIT_SI</v>
      </c>
    </row>
    <row r="9691" ht="15.75" customHeight="1">
      <c r="B9691" s="63">
        <f t="shared" si="1"/>
        <v>18</v>
      </c>
      <c r="C9691" s="135" t="s">
        <v>395</v>
      </c>
      <c r="D9691" s="161" t="s">
        <v>74</v>
      </c>
      <c r="E9691" s="135">
        <f t="shared" si="62"/>
        <v>12</v>
      </c>
      <c r="F9691" s="134" t="s">
        <v>3877</v>
      </c>
      <c r="G9691" s="63" t="str">
        <f>VLOOKUP(C9691, 'Class Def. - General Data'!$C$20:$C$1000,1,false)</f>
        <v>ZSI1_GASKET_SP_WND</v>
      </c>
      <c r="H9691" s="63" t="str">
        <f>IFERROR(__xludf.DUMMYFUNCTION("VLOOKUP(F9691, IMPORTRANGE(""https://docs.google.com/spreadsheets/d/1Lhp9OU0JdFf_VYSMzH5lBcEaU4o8teT1piV-SNzShjg/edit?gid=554141278#gid=554141278"", ""'Char Def. - Attributes'!C20:C2242""), 1,false)"),"VOLUME_OPT")</f>
        <v>VOLUME_OPT</v>
      </c>
      <c r="I9691" s="136"/>
      <c r="R9691" s="63" t="str">
        <f t="shared" si="60"/>
        <v>ZSI1_GASKET_SP_WNDVOLUME_OPT</v>
      </c>
    </row>
    <row r="9692" ht="15.75" customHeight="1">
      <c r="B9692" s="63">
        <f t="shared" si="1"/>
        <v>18</v>
      </c>
      <c r="C9692" s="135" t="s">
        <v>395</v>
      </c>
      <c r="D9692" s="161" t="s">
        <v>74</v>
      </c>
      <c r="E9692" s="135">
        <f t="shared" si="62"/>
        <v>13</v>
      </c>
      <c r="F9692" s="134" t="s">
        <v>4059</v>
      </c>
      <c r="G9692" s="63" t="str">
        <f>VLOOKUP(C9692, 'Class Def. - General Data'!$C$20:$C$1000,1,false)</f>
        <v>ZSI1_GASKET_SP_WND</v>
      </c>
      <c r="H9692" s="63" t="str">
        <f>IFERROR(__xludf.DUMMYFUNCTION("VLOOKUP(F9692, IMPORTRANGE(""https://docs.google.com/spreadsheets/d/1Lhp9OU0JdFf_VYSMzH5lBcEaU4o8teT1piV-SNzShjg/edit?gid=554141278#gid=554141278"", ""'Char Def. - Attributes'!C20:C2242""), 1,false)"),"VOLUME_UNIT_SI")</f>
        <v>VOLUME_UNIT_SI</v>
      </c>
      <c r="I9692" s="136"/>
      <c r="R9692" s="63" t="str">
        <f t="shared" si="60"/>
        <v>ZSI1_GASKET_SP_WNDVOLUME_UNIT_SI</v>
      </c>
    </row>
    <row r="9693" ht="15.75" customHeight="1">
      <c r="B9693" s="63">
        <f t="shared" si="1"/>
        <v>18</v>
      </c>
      <c r="C9693" s="135" t="s">
        <v>395</v>
      </c>
      <c r="D9693" s="161" t="s">
        <v>74</v>
      </c>
      <c r="E9693" s="135">
        <f t="shared" si="62"/>
        <v>14</v>
      </c>
      <c r="F9693" s="134" t="s">
        <v>3804</v>
      </c>
      <c r="G9693" s="63" t="str">
        <f>VLOOKUP(C9693, 'Class Def. - General Data'!$C$20:$C$1000,1,false)</f>
        <v>ZSI1_GASKET_SP_WND</v>
      </c>
      <c r="H9693" s="63" t="str">
        <f>IFERROR(__xludf.DUMMYFUNCTION("VLOOKUP(F9693, IMPORTRANGE(""https://docs.google.com/spreadsheets/d/1Lhp9OU0JdFf_VYSMzH5lBcEaU4o8teT1piV-SNzShjg/edit?gid=554141278#gid=554141278"", ""'Char Def. - Attributes'!C20:C2242""), 1,false)"),"ALT_UOM1_SIPI")</f>
        <v>ALT_UOM1_SIPI</v>
      </c>
      <c r="I9693" s="136"/>
      <c r="R9693" s="63" t="str">
        <f t="shared" si="60"/>
        <v>ZSI1_GASKET_SP_WNDALT_UOM1_SIPI</v>
      </c>
    </row>
    <row r="9694" ht="15.75" customHeight="1">
      <c r="B9694" s="63">
        <f t="shared" si="1"/>
        <v>18</v>
      </c>
      <c r="C9694" s="135" t="s">
        <v>395</v>
      </c>
      <c r="D9694" s="161" t="s">
        <v>74</v>
      </c>
      <c r="E9694" s="135">
        <f t="shared" si="62"/>
        <v>15</v>
      </c>
      <c r="F9694" s="134" t="s">
        <v>3805</v>
      </c>
      <c r="G9694" s="63" t="str">
        <f>VLOOKUP(C9694, 'Class Def. - General Data'!$C$20:$C$1000,1,false)</f>
        <v>ZSI1_GASKET_SP_WND</v>
      </c>
      <c r="H9694" s="63" t="str">
        <f>IFERROR(__xludf.DUMMYFUNCTION("VLOOKUP(F9694, IMPORTRANGE(""https://docs.google.com/spreadsheets/d/1Lhp9OU0JdFf_VYSMzH5lBcEaU4o8teT1piV-SNzShjg/edit?gid=554141278#gid=554141278"", ""'Char Def. - Attributes'!C20:C2242""), 1,false)"),"ALT_DENUM_UOM1")</f>
        <v>ALT_DENUM_UOM1</v>
      </c>
      <c r="I9694" s="136"/>
      <c r="R9694" s="63" t="str">
        <f t="shared" si="60"/>
        <v>ZSI1_GASKET_SP_WNDALT_DENUM_UOM1</v>
      </c>
    </row>
    <row r="9695" ht="15.75" customHeight="1">
      <c r="B9695" s="63">
        <f t="shared" si="1"/>
        <v>18</v>
      </c>
      <c r="C9695" s="135" t="s">
        <v>395</v>
      </c>
      <c r="D9695" s="161" t="s">
        <v>74</v>
      </c>
      <c r="E9695" s="135">
        <f t="shared" si="62"/>
        <v>16</v>
      </c>
      <c r="F9695" s="134" t="s">
        <v>3806</v>
      </c>
      <c r="G9695" s="63" t="str">
        <f>VLOOKUP(C9695, 'Class Def. - General Data'!$C$20:$C$1000,1,false)</f>
        <v>ZSI1_GASKET_SP_WND</v>
      </c>
      <c r="H9695" s="63" t="str">
        <f>IFERROR(__xludf.DUMMYFUNCTION("VLOOKUP(F9695, IMPORTRANGE(""https://docs.google.com/spreadsheets/d/1Lhp9OU0JdFf_VYSMzH5lBcEaU4o8teT1piV-SNzShjg/edit?gid=554141278#gid=554141278"", ""'Char Def. - Attributes'!C20:C2242""), 1,false)"),"ALT_NUM_UOM1")</f>
        <v>ALT_NUM_UOM1</v>
      </c>
      <c r="I9695" s="136"/>
      <c r="R9695" s="63" t="str">
        <f t="shared" si="60"/>
        <v>ZSI1_GASKET_SP_WNDALT_NUM_UOM1</v>
      </c>
    </row>
    <row r="9696" ht="15.75" customHeight="1">
      <c r="B9696" s="63">
        <f t="shared" si="1"/>
        <v>18</v>
      </c>
      <c r="C9696" s="135" t="s">
        <v>395</v>
      </c>
      <c r="D9696" s="161" t="s">
        <v>74</v>
      </c>
      <c r="E9696" s="135">
        <f t="shared" si="62"/>
        <v>17</v>
      </c>
      <c r="F9696" s="134" t="s">
        <v>3807</v>
      </c>
      <c r="G9696" s="63" t="str">
        <f>VLOOKUP(C9696, 'Class Def. - General Data'!$C$20:$C$1000,1,false)</f>
        <v>ZSI1_GASKET_SP_WND</v>
      </c>
      <c r="H9696" s="63" t="str">
        <f>IFERROR(__xludf.DUMMYFUNCTION("VLOOKUP(F9696, IMPORTRANGE(""https://docs.google.com/spreadsheets/d/1Lhp9OU0JdFf_VYSMzH5lBcEaU4o8teT1piV-SNzShjg/edit?gid=554141278#gid=554141278"", ""'Char Def. - Attributes'!C20:C2242""), 1,false)"),"ALT_UOM2_SIPI")</f>
        <v>ALT_UOM2_SIPI</v>
      </c>
      <c r="I9696" s="136"/>
      <c r="R9696" s="63" t="str">
        <f t="shared" si="60"/>
        <v>ZSI1_GASKET_SP_WNDALT_UOM2_SIPI</v>
      </c>
    </row>
    <row r="9697" ht="15.75" customHeight="1">
      <c r="B9697" s="63">
        <f t="shared" si="1"/>
        <v>18</v>
      </c>
      <c r="C9697" s="135" t="s">
        <v>395</v>
      </c>
      <c r="D9697" s="161" t="s">
        <v>74</v>
      </c>
      <c r="E9697" s="135">
        <f t="shared" si="62"/>
        <v>18</v>
      </c>
      <c r="F9697" s="134" t="s">
        <v>3808</v>
      </c>
      <c r="G9697" s="63" t="str">
        <f>VLOOKUP(C9697, 'Class Def. - General Data'!$C$20:$C$1000,1,false)</f>
        <v>ZSI1_GASKET_SP_WND</v>
      </c>
      <c r="H9697" s="63" t="str">
        <f>IFERROR(__xludf.DUMMYFUNCTION("VLOOKUP(F9697, IMPORTRANGE(""https://docs.google.com/spreadsheets/d/1Lhp9OU0JdFf_VYSMzH5lBcEaU4o8teT1piV-SNzShjg/edit?gid=554141278#gid=554141278"", ""'Char Def. - Attributes'!C20:C2242""), 1,false)"),"ALT_DENUM_UOM2")</f>
        <v>ALT_DENUM_UOM2</v>
      </c>
      <c r="I9697" s="136"/>
      <c r="R9697" s="63" t="str">
        <f t="shared" si="60"/>
        <v>ZSI1_GASKET_SP_WNDALT_DENUM_UOM2</v>
      </c>
    </row>
    <row r="9698" ht="15.75" customHeight="1">
      <c r="B9698" s="63">
        <f t="shared" si="1"/>
        <v>18</v>
      </c>
      <c r="C9698" s="135" t="s">
        <v>395</v>
      </c>
      <c r="D9698" s="161" t="s">
        <v>74</v>
      </c>
      <c r="E9698" s="135">
        <f t="shared" si="62"/>
        <v>19</v>
      </c>
      <c r="F9698" s="134" t="s">
        <v>3809</v>
      </c>
      <c r="G9698" s="63" t="str">
        <f>VLOOKUP(C9698, 'Class Def. - General Data'!$C$20:$C$1000,1,false)</f>
        <v>ZSI1_GASKET_SP_WND</v>
      </c>
      <c r="H9698" s="63" t="str">
        <f>IFERROR(__xludf.DUMMYFUNCTION("VLOOKUP(F9698, IMPORTRANGE(""https://docs.google.com/spreadsheets/d/1Lhp9OU0JdFf_VYSMzH5lBcEaU4o8teT1piV-SNzShjg/edit?gid=554141278#gid=554141278"", ""'Char Def. - Attributes'!C20:C2242""), 1,false)"),"ALT_NUM_UOM2")</f>
        <v>ALT_NUM_UOM2</v>
      </c>
      <c r="I9698" s="136"/>
      <c r="R9698" s="63" t="str">
        <f t="shared" si="60"/>
        <v>ZSI1_GASKET_SP_WNDALT_NUM_UOM2</v>
      </c>
    </row>
    <row r="9699" ht="15.75" customHeight="1">
      <c r="B9699" s="63">
        <f t="shared" si="1"/>
        <v>18</v>
      </c>
      <c r="C9699" s="135" t="s">
        <v>395</v>
      </c>
      <c r="D9699" s="161" t="s">
        <v>74</v>
      </c>
      <c r="E9699" s="135">
        <f t="shared" si="62"/>
        <v>20</v>
      </c>
      <c r="F9699" s="134" t="s">
        <v>3810</v>
      </c>
      <c r="G9699" s="63" t="str">
        <f>VLOOKUP(C9699, 'Class Def. - General Data'!$C$20:$C$1000,1,false)</f>
        <v>ZSI1_GASKET_SP_WND</v>
      </c>
      <c r="H9699" s="63" t="str">
        <f>IFERROR(__xludf.DUMMYFUNCTION("VLOOKUP(F9699, IMPORTRANGE(""https://docs.google.com/spreadsheets/d/1Lhp9OU0JdFf_VYSMzH5lBcEaU4o8teT1piV-SNzShjg/edit?gid=554141278#gid=554141278"", ""'Char Def. - Attributes'!C20:C2242""), 1,false)"),"ALT_UOM3_SIPI")</f>
        <v>ALT_UOM3_SIPI</v>
      </c>
      <c r="I9699" s="136"/>
      <c r="R9699" s="63" t="str">
        <f t="shared" si="60"/>
        <v>ZSI1_GASKET_SP_WNDALT_UOM3_SIPI</v>
      </c>
    </row>
    <row r="9700" ht="15.75" customHeight="1">
      <c r="B9700" s="63">
        <f t="shared" si="1"/>
        <v>18</v>
      </c>
      <c r="C9700" s="135" t="s">
        <v>395</v>
      </c>
      <c r="D9700" s="161" t="s">
        <v>74</v>
      </c>
      <c r="E9700" s="135">
        <f t="shared" si="62"/>
        <v>21</v>
      </c>
      <c r="F9700" s="134" t="s">
        <v>3811</v>
      </c>
      <c r="G9700" s="63" t="str">
        <f>VLOOKUP(C9700, 'Class Def. - General Data'!$C$20:$C$1000,1,false)</f>
        <v>ZSI1_GASKET_SP_WND</v>
      </c>
      <c r="H9700" s="63" t="str">
        <f>IFERROR(__xludf.DUMMYFUNCTION("VLOOKUP(F9700, IMPORTRANGE(""https://docs.google.com/spreadsheets/d/1Lhp9OU0JdFf_VYSMzH5lBcEaU4o8teT1piV-SNzShjg/edit?gid=554141278#gid=554141278"", ""'Char Def. - Attributes'!C20:C2242""), 1,false)"),"ALT_DENUM_UOM3")</f>
        <v>ALT_DENUM_UOM3</v>
      </c>
      <c r="I9700" s="136"/>
      <c r="R9700" s="63" t="str">
        <f t="shared" si="60"/>
        <v>ZSI1_GASKET_SP_WNDALT_DENUM_UOM3</v>
      </c>
    </row>
    <row r="9701" ht="15.75" customHeight="1">
      <c r="B9701" s="63">
        <f t="shared" si="1"/>
        <v>18</v>
      </c>
      <c r="C9701" s="135" t="s">
        <v>395</v>
      </c>
      <c r="D9701" s="161" t="s">
        <v>74</v>
      </c>
      <c r="E9701" s="135">
        <f t="shared" si="62"/>
        <v>22</v>
      </c>
      <c r="F9701" s="134" t="s">
        <v>3812</v>
      </c>
      <c r="G9701" s="63" t="str">
        <f>VLOOKUP(C9701, 'Class Def. - General Data'!$C$20:$C$1000,1,false)</f>
        <v>ZSI1_GASKET_SP_WND</v>
      </c>
      <c r="H9701" s="63" t="str">
        <f>IFERROR(__xludf.DUMMYFUNCTION("VLOOKUP(F9701, IMPORTRANGE(""https://docs.google.com/spreadsheets/d/1Lhp9OU0JdFf_VYSMzH5lBcEaU4o8teT1piV-SNzShjg/edit?gid=554141278#gid=554141278"", ""'Char Def. - Attributes'!C20:C2242""), 1,false)"),"ALT_NUM_UOM3")</f>
        <v>ALT_NUM_UOM3</v>
      </c>
      <c r="I9701" s="136"/>
      <c r="R9701" s="63" t="str">
        <f t="shared" si="60"/>
        <v>ZSI1_GASKET_SP_WNDALT_NUM_UOM3</v>
      </c>
    </row>
    <row r="9702" ht="15.75" customHeight="1">
      <c r="B9702" s="63">
        <f t="shared" si="1"/>
        <v>18</v>
      </c>
      <c r="C9702" s="135" t="s">
        <v>395</v>
      </c>
      <c r="D9702" s="161" t="s">
        <v>74</v>
      </c>
      <c r="E9702" s="135">
        <f t="shared" si="62"/>
        <v>23</v>
      </c>
      <c r="F9702" s="134" t="s">
        <v>3813</v>
      </c>
      <c r="G9702" s="63" t="str">
        <f>VLOOKUP(C9702, 'Class Def. - General Data'!$C$20:$C$1000,1,false)</f>
        <v>ZSI1_GASKET_SP_WND</v>
      </c>
      <c r="H9702" s="63" t="str">
        <f>IFERROR(__xludf.DUMMYFUNCTION("VLOOKUP(F9702, IMPORTRANGE(""https://docs.google.com/spreadsheets/d/1Lhp9OU0JdFf_VYSMzH5lBcEaU4o8teT1piV-SNzShjg/edit?gid=554141278#gid=554141278"", ""'Char Def. - Attributes'!C20:C2242""), 1,false)"),"ALT_UOM4_SIPI")</f>
        <v>ALT_UOM4_SIPI</v>
      </c>
      <c r="I9702" s="136"/>
      <c r="R9702" s="63" t="str">
        <f t="shared" si="60"/>
        <v>ZSI1_GASKET_SP_WNDALT_UOM4_SIPI</v>
      </c>
    </row>
    <row r="9703" ht="15.75" customHeight="1">
      <c r="B9703" s="63">
        <f t="shared" si="1"/>
        <v>18</v>
      </c>
      <c r="C9703" s="135" t="s">
        <v>395</v>
      </c>
      <c r="D9703" s="161" t="s">
        <v>74</v>
      </c>
      <c r="E9703" s="135">
        <f t="shared" si="62"/>
        <v>24</v>
      </c>
      <c r="F9703" s="134" t="s">
        <v>3814</v>
      </c>
      <c r="G9703" s="63" t="str">
        <f>VLOOKUP(C9703, 'Class Def. - General Data'!$C$20:$C$1000,1,false)</f>
        <v>ZSI1_GASKET_SP_WND</v>
      </c>
      <c r="H9703" s="63" t="str">
        <f>IFERROR(__xludf.DUMMYFUNCTION("VLOOKUP(F9703, IMPORTRANGE(""https://docs.google.com/spreadsheets/d/1Lhp9OU0JdFf_VYSMzH5lBcEaU4o8teT1piV-SNzShjg/edit?gid=554141278#gid=554141278"", ""'Char Def. - Attributes'!C20:C2242""), 1,false)"),"ALT_DENUM_UOM4")</f>
        <v>ALT_DENUM_UOM4</v>
      </c>
      <c r="I9703" s="136"/>
      <c r="R9703" s="63" t="str">
        <f t="shared" si="60"/>
        <v>ZSI1_GASKET_SP_WNDALT_DENUM_UOM4</v>
      </c>
    </row>
    <row r="9704" ht="15.75" customHeight="1">
      <c r="B9704" s="63">
        <f t="shared" si="1"/>
        <v>18</v>
      </c>
      <c r="C9704" s="135" t="s">
        <v>395</v>
      </c>
      <c r="D9704" s="161" t="s">
        <v>74</v>
      </c>
      <c r="E9704" s="135">
        <f t="shared" si="62"/>
        <v>25</v>
      </c>
      <c r="F9704" s="134" t="s">
        <v>3815</v>
      </c>
      <c r="G9704" s="63" t="str">
        <f>VLOOKUP(C9704, 'Class Def. - General Data'!$C$20:$C$1000,1,false)</f>
        <v>ZSI1_GASKET_SP_WND</v>
      </c>
      <c r="H9704" s="63" t="str">
        <f>IFERROR(__xludf.DUMMYFUNCTION("VLOOKUP(F9704, IMPORTRANGE(""https://docs.google.com/spreadsheets/d/1Lhp9OU0JdFf_VYSMzH5lBcEaU4o8teT1piV-SNzShjg/edit?gid=554141278#gid=554141278"", ""'Char Def. - Attributes'!C20:C2242""), 1,false)"),"ALT_NUM_UOM4")</f>
        <v>ALT_NUM_UOM4</v>
      </c>
      <c r="I9704" s="136"/>
      <c r="R9704" s="63" t="str">
        <f t="shared" si="60"/>
        <v>ZSI1_GASKET_SP_WNDALT_NUM_UOM4</v>
      </c>
    </row>
    <row r="9705" ht="15.75" customHeight="1">
      <c r="B9705" s="63">
        <f t="shared" si="1"/>
        <v>18</v>
      </c>
      <c r="C9705" s="135" t="s">
        <v>395</v>
      </c>
      <c r="D9705" s="161" t="s">
        <v>74</v>
      </c>
      <c r="E9705" s="135">
        <f t="shared" si="62"/>
        <v>26</v>
      </c>
      <c r="F9705" s="134" t="s">
        <v>3816</v>
      </c>
      <c r="G9705" s="63" t="str">
        <f>VLOOKUP(C9705, 'Class Def. - General Data'!$C$20:$C$1000,1,false)</f>
        <v>ZSI1_GASKET_SP_WND</v>
      </c>
      <c r="H9705" s="63" t="str">
        <f>IFERROR(__xludf.DUMMYFUNCTION("VLOOKUP(F9705, IMPORTRANGE(""https://docs.google.com/spreadsheets/d/1Lhp9OU0JdFf_VYSMzH5lBcEaU4o8teT1piV-SNzShjg/edit?gid=554141278#gid=554141278"", ""'Char Def. - Attributes'!C20:C2242""), 1,false)"),"ALT_UOM5_SIPI")</f>
        <v>ALT_UOM5_SIPI</v>
      </c>
      <c r="I9705" s="136"/>
      <c r="R9705" s="63" t="str">
        <f t="shared" si="60"/>
        <v>ZSI1_GASKET_SP_WNDALT_UOM5_SIPI</v>
      </c>
    </row>
    <row r="9706" ht="15.75" customHeight="1">
      <c r="B9706" s="63">
        <f t="shared" si="1"/>
        <v>18</v>
      </c>
      <c r="C9706" s="135" t="s">
        <v>395</v>
      </c>
      <c r="D9706" s="161" t="s">
        <v>74</v>
      </c>
      <c r="E9706" s="135">
        <f t="shared" si="62"/>
        <v>27</v>
      </c>
      <c r="F9706" s="134" t="s">
        <v>3817</v>
      </c>
      <c r="G9706" s="63" t="str">
        <f>VLOOKUP(C9706, 'Class Def. - General Data'!$C$20:$C$1000,1,false)</f>
        <v>ZSI1_GASKET_SP_WND</v>
      </c>
      <c r="H9706" s="63" t="str">
        <f>IFERROR(__xludf.DUMMYFUNCTION("VLOOKUP(F9706, IMPORTRANGE(""https://docs.google.com/spreadsheets/d/1Lhp9OU0JdFf_VYSMzH5lBcEaU4o8teT1piV-SNzShjg/edit?gid=554141278#gid=554141278"", ""'Char Def. - Attributes'!C20:C2242""), 1,false)"),"ALT_DENUM_UOM5")</f>
        <v>ALT_DENUM_UOM5</v>
      </c>
      <c r="I9706" s="136"/>
      <c r="R9706" s="63" t="str">
        <f t="shared" si="60"/>
        <v>ZSI1_GASKET_SP_WNDALT_DENUM_UOM5</v>
      </c>
    </row>
    <row r="9707" ht="15.75" customHeight="1">
      <c r="B9707" s="63">
        <f t="shared" si="1"/>
        <v>18</v>
      </c>
      <c r="C9707" s="135" t="s">
        <v>395</v>
      </c>
      <c r="D9707" s="161" t="s">
        <v>74</v>
      </c>
      <c r="E9707" s="135">
        <f t="shared" si="62"/>
        <v>28</v>
      </c>
      <c r="F9707" s="134" t="s">
        <v>3818</v>
      </c>
      <c r="G9707" s="63" t="str">
        <f>VLOOKUP(C9707, 'Class Def. - General Data'!$C$20:$C$1000,1,false)</f>
        <v>ZSI1_GASKET_SP_WND</v>
      </c>
      <c r="H9707" s="63" t="str">
        <f>IFERROR(__xludf.DUMMYFUNCTION("VLOOKUP(F9707, IMPORTRANGE(""https://docs.google.com/spreadsheets/d/1Lhp9OU0JdFf_VYSMzH5lBcEaU4o8teT1piV-SNzShjg/edit?gid=554141278#gid=554141278"", ""'Char Def. - Attributes'!C20:C2242""), 1,false)"),"ALT_NUM_UOM5")</f>
        <v>ALT_NUM_UOM5</v>
      </c>
      <c r="I9707" s="136"/>
      <c r="R9707" s="63" t="str">
        <f t="shared" si="60"/>
        <v>ZSI1_GASKET_SP_WNDALT_NUM_UOM5</v>
      </c>
    </row>
    <row r="9708" ht="15.75" customHeight="1">
      <c r="B9708" s="63">
        <f t="shared" si="1"/>
        <v>9</v>
      </c>
      <c r="C9708" s="135" t="s">
        <v>325</v>
      </c>
      <c r="D9708" s="161" t="s">
        <v>74</v>
      </c>
      <c r="E9708" s="135">
        <f t="shared" si="62"/>
        <v>1</v>
      </c>
      <c r="F9708" s="134" t="s">
        <v>4602</v>
      </c>
      <c r="G9708" s="63" t="str">
        <f>VLOOKUP(C9708, 'Class Def. - General Data'!$C$20:$C$1000,1,false)</f>
        <v>ZSI1_GEAR</v>
      </c>
      <c r="H9708" s="63" t="str">
        <f>IFERROR(__xludf.DUMMYFUNCTION("VLOOKUP(F9708, IMPORTRANGE(""https://docs.google.com/spreadsheets/d/1Lhp9OU0JdFf_VYSMzH5lBcEaU4o8teT1piV-SNzShjg/edit?gid=554141278#gid=554141278"", ""'Char Def. - Attributes'!C20:C2242""), 1,false)"),"ITEM_NAME_GEAR")</f>
        <v>ITEM_NAME_GEAR</v>
      </c>
      <c r="I9708" s="136"/>
      <c r="R9708" s="63" t="str">
        <f t="shared" si="60"/>
        <v>ZSI1_GEARITEM_NAME_GEAR</v>
      </c>
    </row>
    <row r="9709" ht="15.75" customHeight="1">
      <c r="B9709" s="63">
        <f t="shared" si="1"/>
        <v>9</v>
      </c>
      <c r="C9709" s="135" t="s">
        <v>325</v>
      </c>
      <c r="D9709" s="161" t="s">
        <v>74</v>
      </c>
      <c r="E9709" s="135">
        <f t="shared" si="62"/>
        <v>2</v>
      </c>
      <c r="F9709" s="134" t="s">
        <v>4603</v>
      </c>
      <c r="G9709" s="63" t="str">
        <f>VLOOKUP(C9709, 'Class Def. - General Data'!$C$20:$C$1000,1,false)</f>
        <v>ZSI1_GEAR</v>
      </c>
      <c r="H9709" s="63" t="str">
        <f>IFERROR(__xludf.DUMMYFUNCTION("VLOOKUP(F9709, IMPORTRANGE(""https://docs.google.com/spreadsheets/d/1Lhp9OU0JdFf_VYSMzH5lBcEaU4o8teT1piV-SNzShjg/edit?gid=554141278#gid=554141278"", ""'Char Def. - Attributes'!C20:C2242""), 1,false)"),"MFR_NO_GEAR")</f>
        <v>MFR_NO_GEAR</v>
      </c>
      <c r="I9709" s="136"/>
      <c r="R9709" s="63" t="str">
        <f t="shared" si="60"/>
        <v>ZSI1_GEARMFR_NO_GEAR</v>
      </c>
    </row>
    <row r="9710" ht="15.75" customHeight="1">
      <c r="B9710" s="63">
        <f t="shared" si="1"/>
        <v>9</v>
      </c>
      <c r="C9710" s="135" t="s">
        <v>325</v>
      </c>
      <c r="D9710" s="161" t="s">
        <v>74</v>
      </c>
      <c r="E9710" s="135">
        <f t="shared" si="62"/>
        <v>3</v>
      </c>
      <c r="F9710" s="134" t="s">
        <v>3782</v>
      </c>
      <c r="G9710" s="63" t="str">
        <f>VLOOKUP(C9710, 'Class Def. - General Data'!$C$20:$C$1000,1,false)</f>
        <v>ZSI1_GEAR</v>
      </c>
      <c r="H9710" s="63" t="str">
        <f>IFERROR(__xludf.DUMMYFUNCTION("VLOOKUP(F9710, IMPORTRANGE(""https://docs.google.com/spreadsheets/d/1Lhp9OU0JdFf_VYSMzH5lBcEaU4o8teT1piV-SNzShjg/edit?gid=554141278#gid=554141278"", ""'Char Def. - Attributes'!C20:C2242""), 1,false)"),"BRAND_EXTERNAL")</f>
        <v>BRAND_EXTERNAL</v>
      </c>
      <c r="I9710" s="136"/>
      <c r="R9710" s="63" t="str">
        <f t="shared" si="60"/>
        <v>ZSI1_GEARBRAND_EXTERNAL</v>
      </c>
    </row>
    <row r="9711" ht="15.75" customHeight="1">
      <c r="B9711" s="63">
        <f t="shared" si="1"/>
        <v>9</v>
      </c>
      <c r="C9711" s="135" t="s">
        <v>325</v>
      </c>
      <c r="D9711" s="161" t="s">
        <v>74</v>
      </c>
      <c r="E9711" s="135">
        <f t="shared" si="62"/>
        <v>4</v>
      </c>
      <c r="F9711" s="134" t="s">
        <v>4062</v>
      </c>
      <c r="G9711" s="63" t="str">
        <f>VLOOKUP(C9711, 'Class Def. - General Data'!$C$20:$C$1000,1,false)</f>
        <v>ZSI1_GEAR</v>
      </c>
      <c r="H9711" s="63" t="str">
        <f>IFERROR(__xludf.DUMMYFUNCTION("VLOOKUP(F9711, IMPORTRANGE(""https://docs.google.com/spreadsheets/d/1Lhp9OU0JdFf_VYSMzH5lBcEaU4o8teT1piV-SNzShjg/edit?gid=554141278#gid=554141278"", ""'Char Def. - Attributes'!C20:C2242""), 1,false)"),"#N/A")</f>
        <v>#N/A</v>
      </c>
      <c r="I9711" s="136"/>
      <c r="R9711" s="63" t="str">
        <f t="shared" si="60"/>
        <v>ZSI1_GEARADDTIONAL_SPECIFICATION</v>
      </c>
    </row>
    <row r="9712" ht="15.75" customHeight="1">
      <c r="B9712" s="63">
        <f t="shared" si="1"/>
        <v>9</v>
      </c>
      <c r="C9712" s="135" t="s">
        <v>325</v>
      </c>
      <c r="D9712" s="161" t="s">
        <v>74</v>
      </c>
      <c r="E9712" s="135">
        <f t="shared" si="62"/>
        <v>5</v>
      </c>
      <c r="F9712" s="134" t="s">
        <v>4053</v>
      </c>
      <c r="G9712" s="63" t="str">
        <f>VLOOKUP(C9712, 'Class Def. - General Data'!$C$20:$C$1000,1,false)</f>
        <v>ZSI1_GEAR</v>
      </c>
      <c r="H9712" s="63" t="str">
        <f>IFERROR(__xludf.DUMMYFUNCTION("VLOOKUP(F9712, IMPORTRANGE(""https://docs.google.com/spreadsheets/d/1Lhp9OU0JdFf_VYSMzH5lBcEaU4o8teT1piV-SNzShjg/edit?gid=554141278#gid=554141278"", ""'Char Def. - Attributes'!C20:C2242""), 1,false)"),"MAINTENANCE_ORDER_TYPE")</f>
        <v>MAINTENANCE_ORDER_TYPE</v>
      </c>
      <c r="I9712" s="136"/>
      <c r="R9712" s="63" t="str">
        <f t="shared" si="60"/>
        <v>ZSI1_GEARMAINTENANCE_ORDER_TYPE</v>
      </c>
    </row>
    <row r="9713" ht="15.75" customHeight="1">
      <c r="B9713" s="63">
        <f t="shared" si="1"/>
        <v>9</v>
      </c>
      <c r="C9713" s="135" t="s">
        <v>325</v>
      </c>
      <c r="D9713" s="161" t="s">
        <v>74</v>
      </c>
      <c r="E9713" s="135">
        <f t="shared" si="62"/>
        <v>6</v>
      </c>
      <c r="F9713" s="134" t="s">
        <v>3585</v>
      </c>
      <c r="G9713" s="63" t="str">
        <f>VLOOKUP(C9713, 'Class Def. - General Data'!$C$20:$C$1000,1,false)</f>
        <v>ZSI1_GEAR</v>
      </c>
      <c r="H9713" s="63" t="str">
        <f>IFERROR(__xludf.DUMMYFUNCTION("VLOOKUP(F9713, IMPORTRANGE(""https://docs.google.com/spreadsheets/d/1Lhp9OU0JdFf_VYSMzH5lBcEaU4o8teT1piV-SNzShjg/edit?gid=554141278#gid=554141278"", ""'Char Def. - Attributes'!C20:C2242""), 1,false)"),"HS_CODE")</f>
        <v>HS_CODE</v>
      </c>
      <c r="I9713" s="136"/>
      <c r="R9713" s="63" t="str">
        <f t="shared" si="60"/>
        <v>ZSI1_GEARHS_CODE</v>
      </c>
    </row>
    <row r="9714" ht="15.75" customHeight="1">
      <c r="B9714" s="63">
        <f t="shared" si="1"/>
        <v>9</v>
      </c>
      <c r="C9714" s="135" t="s">
        <v>325</v>
      </c>
      <c r="D9714" s="161" t="s">
        <v>74</v>
      </c>
      <c r="E9714" s="135">
        <f t="shared" si="62"/>
        <v>7</v>
      </c>
      <c r="F9714" s="134" t="s">
        <v>3587</v>
      </c>
      <c r="G9714" s="63" t="str">
        <f>VLOOKUP(C9714, 'Class Def. - General Data'!$C$20:$C$1000,1,false)</f>
        <v>ZSI1_GEAR</v>
      </c>
      <c r="H9714" s="63" t="str">
        <f>IFERROR(__xludf.DUMMYFUNCTION("VLOOKUP(F9714, IMPORTRANGE(""https://docs.google.com/spreadsheets/d/1Lhp9OU0JdFf_VYSMzH5lBcEaU4o8teT1piV-SNzShjg/edit?gid=554141278#gid=554141278"", ""'Char Def. - Attributes'!C20:C2242""), 1,false)"),"PLANT_BUY")</f>
        <v>PLANT_BUY</v>
      </c>
      <c r="I9714" s="136"/>
      <c r="R9714" s="63" t="str">
        <f t="shared" si="60"/>
        <v>ZSI1_GEARPLANT_BUY</v>
      </c>
    </row>
    <row r="9715" ht="15.75" customHeight="1">
      <c r="B9715" s="63">
        <f t="shared" si="1"/>
        <v>9</v>
      </c>
      <c r="C9715" s="135" t="s">
        <v>325</v>
      </c>
      <c r="D9715" s="161" t="s">
        <v>74</v>
      </c>
      <c r="E9715" s="135">
        <f t="shared" si="62"/>
        <v>8</v>
      </c>
      <c r="F9715" s="134" t="s">
        <v>4604</v>
      </c>
      <c r="G9715" s="63" t="str">
        <f>VLOOKUP(C9715, 'Class Def. - General Data'!$C$20:$C$1000,1,false)</f>
        <v>ZSI1_GEAR</v>
      </c>
      <c r="H9715" s="63" t="str">
        <f>IFERROR(__xludf.DUMMYFUNCTION("VLOOKUP(F9715, IMPORTRANGE(""https://docs.google.com/spreadsheets/d/1Lhp9OU0JdFf_VYSMzH5lBcEaU4o8teT1piV-SNzShjg/edit?gid=554141278#gid=554141278"", ""'Char Def. - Attributes'!C20:C2242""), 1,false)"),"BASE_UOM_GEAR")</f>
        <v>BASE_UOM_GEAR</v>
      </c>
      <c r="I9715" s="136"/>
      <c r="R9715" s="63" t="str">
        <f t="shared" si="60"/>
        <v>ZSI1_GEARBASE_UOM_GEAR</v>
      </c>
    </row>
    <row r="9716" ht="15.75" customHeight="1">
      <c r="B9716" s="63">
        <f t="shared" si="1"/>
        <v>9</v>
      </c>
      <c r="C9716" s="135" t="s">
        <v>325</v>
      </c>
      <c r="D9716" s="161" t="s">
        <v>74</v>
      </c>
      <c r="E9716" s="135">
        <f t="shared" si="62"/>
        <v>9</v>
      </c>
      <c r="F9716" s="134" t="s">
        <v>4605</v>
      </c>
      <c r="G9716" s="63" t="str">
        <f>VLOOKUP(C9716, 'Class Def. - General Data'!$C$20:$C$1000,1,false)</f>
        <v>ZSI1_GEAR</v>
      </c>
      <c r="H9716" s="63" t="str">
        <f>IFERROR(__xludf.DUMMYFUNCTION("VLOOKUP(F9716, IMPORTRANGE(""https://docs.google.com/spreadsheets/d/1Lhp9OU0JdFf_VYSMzH5lBcEaU4o8teT1piV-SNzShjg/edit?gid=554141278#gid=554141278"", ""'Char Def. - Attributes'!C20:C2242""), 1,false)"),"ORDER_UNIT_GEAR")</f>
        <v>ORDER_UNIT_GEAR</v>
      </c>
      <c r="I9716" s="136"/>
      <c r="R9716" s="63" t="str">
        <f t="shared" si="60"/>
        <v>ZSI1_GEARORDER_UNIT_GEAR</v>
      </c>
    </row>
    <row r="9717" ht="15.75" customHeight="1">
      <c r="B9717" s="63">
        <f t="shared" si="1"/>
        <v>9</v>
      </c>
      <c r="C9717" s="135" t="s">
        <v>325</v>
      </c>
      <c r="D9717" s="161" t="s">
        <v>74</v>
      </c>
      <c r="E9717" s="135">
        <f t="shared" si="62"/>
        <v>10</v>
      </c>
      <c r="F9717" s="134" t="s">
        <v>4056</v>
      </c>
      <c r="G9717" s="63" t="str">
        <f>VLOOKUP(C9717, 'Class Def. - General Data'!$C$20:$C$1000,1,false)</f>
        <v>ZSI1_GEAR</v>
      </c>
      <c r="H9717" s="63" t="str">
        <f>IFERROR(__xludf.DUMMYFUNCTION("VLOOKUP(F9717, IMPORTRANGE(""https://docs.google.com/spreadsheets/d/1Lhp9OU0JdFf_VYSMzH5lBcEaU4o8teT1piV-SNzShjg/edit?gid=554141278#gid=554141278"", ""'Char Def. - Attributes'!C20:C2242""), 1,false)"),"GROSS_WEIGHT_OPT")</f>
        <v>GROSS_WEIGHT_OPT</v>
      </c>
      <c r="I9717" s="136"/>
      <c r="R9717" s="63" t="str">
        <f t="shared" si="60"/>
        <v>ZSI1_GEARGROSS_WEIGHT_OPT</v>
      </c>
    </row>
    <row r="9718" ht="15.75" customHeight="1">
      <c r="B9718" s="63">
        <f t="shared" si="1"/>
        <v>9</v>
      </c>
      <c r="C9718" s="135" t="s">
        <v>325</v>
      </c>
      <c r="D9718" s="161" t="s">
        <v>74</v>
      </c>
      <c r="E9718" s="135">
        <f t="shared" si="62"/>
        <v>11</v>
      </c>
      <c r="F9718" s="134" t="s">
        <v>4057</v>
      </c>
      <c r="G9718" s="63" t="str">
        <f>VLOOKUP(C9718, 'Class Def. - General Data'!$C$20:$C$1000,1,false)</f>
        <v>ZSI1_GEAR</v>
      </c>
      <c r="H9718" s="63" t="str">
        <f>IFERROR(__xludf.DUMMYFUNCTION("VLOOKUP(F9718, IMPORTRANGE(""https://docs.google.com/spreadsheets/d/1Lhp9OU0JdFf_VYSMzH5lBcEaU4o8teT1piV-SNzShjg/edit?gid=554141278#gid=554141278"", ""'Char Def. - Attributes'!C20:C2242""), 1,false)"),"NET_WEIGHT_OPT")</f>
        <v>NET_WEIGHT_OPT</v>
      </c>
      <c r="I9718" s="136"/>
      <c r="R9718" s="63" t="str">
        <f t="shared" si="60"/>
        <v>ZSI1_GEARNET_WEIGHT_OPT</v>
      </c>
    </row>
    <row r="9719" ht="15.75" customHeight="1">
      <c r="B9719" s="63">
        <f t="shared" si="1"/>
        <v>9</v>
      </c>
      <c r="C9719" s="135" t="s">
        <v>325</v>
      </c>
      <c r="D9719" s="161" t="s">
        <v>74</v>
      </c>
      <c r="E9719" s="135">
        <f t="shared" si="62"/>
        <v>12</v>
      </c>
      <c r="F9719" s="134" t="s">
        <v>4058</v>
      </c>
      <c r="G9719" s="63" t="str">
        <f>VLOOKUP(C9719, 'Class Def. - General Data'!$C$20:$C$1000,1,false)</f>
        <v>ZSI1_GEAR</v>
      </c>
      <c r="H9719" s="63" t="str">
        <f>IFERROR(__xludf.DUMMYFUNCTION("VLOOKUP(F9719, IMPORTRANGE(""https://docs.google.com/spreadsheets/d/1Lhp9OU0JdFf_VYSMzH5lBcEaU4o8teT1piV-SNzShjg/edit?gid=554141278#gid=554141278"", ""'Char Def. - Attributes'!C20:C2242""), 1,false)"),"WEIGHT_UNIT_SI")</f>
        <v>WEIGHT_UNIT_SI</v>
      </c>
      <c r="I9719" s="136"/>
      <c r="R9719" s="63" t="str">
        <f t="shared" si="60"/>
        <v>ZSI1_GEARWEIGHT_UNIT_SI</v>
      </c>
    </row>
    <row r="9720" ht="15.75" customHeight="1">
      <c r="B9720" s="63">
        <f t="shared" si="1"/>
        <v>9</v>
      </c>
      <c r="C9720" s="135" t="s">
        <v>325</v>
      </c>
      <c r="D9720" s="161" t="s">
        <v>74</v>
      </c>
      <c r="E9720" s="135">
        <f t="shared" si="62"/>
        <v>13</v>
      </c>
      <c r="F9720" s="134" t="s">
        <v>3877</v>
      </c>
      <c r="G9720" s="63" t="str">
        <f>VLOOKUP(C9720, 'Class Def. - General Data'!$C$20:$C$1000,1,false)</f>
        <v>ZSI1_GEAR</v>
      </c>
      <c r="H9720" s="63" t="str">
        <f>IFERROR(__xludf.DUMMYFUNCTION("VLOOKUP(F9720, IMPORTRANGE(""https://docs.google.com/spreadsheets/d/1Lhp9OU0JdFf_VYSMzH5lBcEaU4o8teT1piV-SNzShjg/edit?gid=554141278#gid=554141278"", ""'Char Def. - Attributes'!C20:C2242""), 1,false)"),"VOLUME_OPT")</f>
        <v>VOLUME_OPT</v>
      </c>
      <c r="I9720" s="136"/>
      <c r="R9720" s="63" t="str">
        <f t="shared" si="60"/>
        <v>ZSI1_GEARVOLUME_OPT</v>
      </c>
    </row>
    <row r="9721" ht="15.75" customHeight="1">
      <c r="B9721" s="63">
        <f t="shared" si="1"/>
        <v>9</v>
      </c>
      <c r="C9721" s="135" t="s">
        <v>325</v>
      </c>
      <c r="D9721" s="161" t="s">
        <v>74</v>
      </c>
      <c r="E9721" s="135">
        <f t="shared" si="62"/>
        <v>14</v>
      </c>
      <c r="F9721" s="134" t="s">
        <v>4059</v>
      </c>
      <c r="G9721" s="63" t="str">
        <f>VLOOKUP(C9721, 'Class Def. - General Data'!$C$20:$C$1000,1,false)</f>
        <v>ZSI1_GEAR</v>
      </c>
      <c r="H9721" s="63" t="str">
        <f>IFERROR(__xludf.DUMMYFUNCTION("VLOOKUP(F9721, IMPORTRANGE(""https://docs.google.com/spreadsheets/d/1Lhp9OU0JdFf_VYSMzH5lBcEaU4o8teT1piV-SNzShjg/edit?gid=554141278#gid=554141278"", ""'Char Def. - Attributes'!C20:C2242""), 1,false)"),"VOLUME_UNIT_SI")</f>
        <v>VOLUME_UNIT_SI</v>
      </c>
      <c r="I9721" s="136"/>
      <c r="R9721" s="63" t="str">
        <f t="shared" si="60"/>
        <v>ZSI1_GEARVOLUME_UNIT_SI</v>
      </c>
    </row>
    <row r="9722" ht="15.75" customHeight="1">
      <c r="B9722" s="63">
        <f t="shared" si="1"/>
        <v>9</v>
      </c>
      <c r="C9722" s="135" t="s">
        <v>325</v>
      </c>
      <c r="D9722" s="161" t="s">
        <v>74</v>
      </c>
      <c r="E9722" s="135">
        <f t="shared" si="62"/>
        <v>15</v>
      </c>
      <c r="F9722" s="134" t="s">
        <v>3804</v>
      </c>
      <c r="G9722" s="63" t="str">
        <f>VLOOKUP(C9722, 'Class Def. - General Data'!$C$20:$C$1000,1,false)</f>
        <v>ZSI1_GEAR</v>
      </c>
      <c r="H9722" s="63" t="str">
        <f>IFERROR(__xludf.DUMMYFUNCTION("VLOOKUP(F9722, IMPORTRANGE(""https://docs.google.com/spreadsheets/d/1Lhp9OU0JdFf_VYSMzH5lBcEaU4o8teT1piV-SNzShjg/edit?gid=554141278#gid=554141278"", ""'Char Def. - Attributes'!C20:C2242""), 1,false)"),"ALT_UOM1_SIPI")</f>
        <v>ALT_UOM1_SIPI</v>
      </c>
      <c r="I9722" s="136"/>
      <c r="R9722" s="63" t="str">
        <f t="shared" si="60"/>
        <v>ZSI1_GEARALT_UOM1_SIPI</v>
      </c>
    </row>
    <row r="9723" ht="15.75" customHeight="1">
      <c r="B9723" s="63">
        <f t="shared" si="1"/>
        <v>9</v>
      </c>
      <c r="C9723" s="135" t="s">
        <v>325</v>
      </c>
      <c r="D9723" s="161" t="s">
        <v>74</v>
      </c>
      <c r="E9723" s="135">
        <f t="shared" si="62"/>
        <v>16</v>
      </c>
      <c r="F9723" s="134" t="s">
        <v>3805</v>
      </c>
      <c r="G9723" s="63" t="str">
        <f>VLOOKUP(C9723, 'Class Def. - General Data'!$C$20:$C$1000,1,false)</f>
        <v>ZSI1_GEAR</v>
      </c>
      <c r="H9723" s="63" t="str">
        <f>IFERROR(__xludf.DUMMYFUNCTION("VLOOKUP(F9723, IMPORTRANGE(""https://docs.google.com/spreadsheets/d/1Lhp9OU0JdFf_VYSMzH5lBcEaU4o8teT1piV-SNzShjg/edit?gid=554141278#gid=554141278"", ""'Char Def. - Attributes'!C20:C2242""), 1,false)"),"ALT_DENUM_UOM1")</f>
        <v>ALT_DENUM_UOM1</v>
      </c>
      <c r="I9723" s="136"/>
      <c r="R9723" s="63" t="str">
        <f t="shared" si="60"/>
        <v>ZSI1_GEARALT_DENUM_UOM1</v>
      </c>
    </row>
    <row r="9724" ht="15.75" customHeight="1">
      <c r="B9724" s="63">
        <f t="shared" si="1"/>
        <v>9</v>
      </c>
      <c r="C9724" s="135" t="s">
        <v>325</v>
      </c>
      <c r="D9724" s="161" t="s">
        <v>74</v>
      </c>
      <c r="E9724" s="135">
        <f t="shared" si="62"/>
        <v>17</v>
      </c>
      <c r="F9724" s="134" t="s">
        <v>3806</v>
      </c>
      <c r="G9724" s="63" t="str">
        <f>VLOOKUP(C9724, 'Class Def. - General Data'!$C$20:$C$1000,1,false)</f>
        <v>ZSI1_GEAR</v>
      </c>
      <c r="H9724" s="63" t="str">
        <f>IFERROR(__xludf.DUMMYFUNCTION("VLOOKUP(F9724, IMPORTRANGE(""https://docs.google.com/spreadsheets/d/1Lhp9OU0JdFf_VYSMzH5lBcEaU4o8teT1piV-SNzShjg/edit?gid=554141278#gid=554141278"", ""'Char Def. - Attributes'!C20:C2242""), 1,false)"),"ALT_NUM_UOM1")</f>
        <v>ALT_NUM_UOM1</v>
      </c>
      <c r="I9724" s="136"/>
      <c r="R9724" s="63" t="str">
        <f t="shared" si="60"/>
        <v>ZSI1_GEARALT_NUM_UOM1</v>
      </c>
    </row>
    <row r="9725" ht="15.75" customHeight="1">
      <c r="B9725" s="63">
        <f t="shared" si="1"/>
        <v>9</v>
      </c>
      <c r="C9725" s="135" t="s">
        <v>325</v>
      </c>
      <c r="D9725" s="161" t="s">
        <v>74</v>
      </c>
      <c r="E9725" s="135">
        <f t="shared" si="62"/>
        <v>18</v>
      </c>
      <c r="F9725" s="134" t="s">
        <v>3807</v>
      </c>
      <c r="G9725" s="63" t="str">
        <f>VLOOKUP(C9725, 'Class Def. - General Data'!$C$20:$C$1000,1,false)</f>
        <v>ZSI1_GEAR</v>
      </c>
      <c r="H9725" s="63" t="str">
        <f>IFERROR(__xludf.DUMMYFUNCTION("VLOOKUP(F9725, IMPORTRANGE(""https://docs.google.com/spreadsheets/d/1Lhp9OU0JdFf_VYSMzH5lBcEaU4o8teT1piV-SNzShjg/edit?gid=554141278#gid=554141278"", ""'Char Def. - Attributes'!C20:C2242""), 1,false)"),"ALT_UOM2_SIPI")</f>
        <v>ALT_UOM2_SIPI</v>
      </c>
      <c r="I9725" s="136"/>
      <c r="R9725" s="63" t="str">
        <f t="shared" si="60"/>
        <v>ZSI1_GEARALT_UOM2_SIPI</v>
      </c>
    </row>
    <row r="9726" ht="15.75" customHeight="1">
      <c r="B9726" s="63">
        <f t="shared" si="1"/>
        <v>9</v>
      </c>
      <c r="C9726" s="135" t="s">
        <v>325</v>
      </c>
      <c r="D9726" s="161" t="s">
        <v>74</v>
      </c>
      <c r="E9726" s="135">
        <f t="shared" si="62"/>
        <v>19</v>
      </c>
      <c r="F9726" s="134" t="s">
        <v>3808</v>
      </c>
      <c r="G9726" s="63" t="str">
        <f>VLOOKUP(C9726, 'Class Def. - General Data'!$C$20:$C$1000,1,false)</f>
        <v>ZSI1_GEAR</v>
      </c>
      <c r="H9726" s="63" t="str">
        <f>IFERROR(__xludf.DUMMYFUNCTION("VLOOKUP(F9726, IMPORTRANGE(""https://docs.google.com/spreadsheets/d/1Lhp9OU0JdFf_VYSMzH5lBcEaU4o8teT1piV-SNzShjg/edit?gid=554141278#gid=554141278"", ""'Char Def. - Attributes'!C20:C2242""), 1,false)"),"ALT_DENUM_UOM2")</f>
        <v>ALT_DENUM_UOM2</v>
      </c>
      <c r="I9726" s="136"/>
      <c r="R9726" s="63" t="str">
        <f t="shared" si="60"/>
        <v>ZSI1_GEARALT_DENUM_UOM2</v>
      </c>
    </row>
    <row r="9727" ht="15.75" customHeight="1">
      <c r="B9727" s="63">
        <f t="shared" si="1"/>
        <v>9</v>
      </c>
      <c r="C9727" s="135" t="s">
        <v>325</v>
      </c>
      <c r="D9727" s="161" t="s">
        <v>74</v>
      </c>
      <c r="E9727" s="135">
        <f t="shared" si="62"/>
        <v>20</v>
      </c>
      <c r="F9727" s="134" t="s">
        <v>3809</v>
      </c>
      <c r="G9727" s="63" t="str">
        <f>VLOOKUP(C9727, 'Class Def. - General Data'!$C$20:$C$1000,1,false)</f>
        <v>ZSI1_GEAR</v>
      </c>
      <c r="H9727" s="63" t="str">
        <f>IFERROR(__xludf.DUMMYFUNCTION("VLOOKUP(F9727, IMPORTRANGE(""https://docs.google.com/spreadsheets/d/1Lhp9OU0JdFf_VYSMzH5lBcEaU4o8teT1piV-SNzShjg/edit?gid=554141278#gid=554141278"", ""'Char Def. - Attributes'!C20:C2242""), 1,false)"),"ALT_NUM_UOM2")</f>
        <v>ALT_NUM_UOM2</v>
      </c>
      <c r="I9727" s="136"/>
      <c r="R9727" s="63" t="str">
        <f t="shared" si="60"/>
        <v>ZSI1_GEARALT_NUM_UOM2</v>
      </c>
    </row>
    <row r="9728" ht="15.75" customHeight="1">
      <c r="B9728" s="63">
        <f t="shared" si="1"/>
        <v>9</v>
      </c>
      <c r="C9728" s="135" t="s">
        <v>325</v>
      </c>
      <c r="D9728" s="161" t="s">
        <v>74</v>
      </c>
      <c r="E9728" s="135">
        <f t="shared" si="62"/>
        <v>21</v>
      </c>
      <c r="F9728" s="134" t="s">
        <v>3810</v>
      </c>
      <c r="G9728" s="63" t="str">
        <f>VLOOKUP(C9728, 'Class Def. - General Data'!$C$20:$C$1000,1,false)</f>
        <v>ZSI1_GEAR</v>
      </c>
      <c r="H9728" s="63" t="str">
        <f>IFERROR(__xludf.DUMMYFUNCTION("VLOOKUP(F9728, IMPORTRANGE(""https://docs.google.com/spreadsheets/d/1Lhp9OU0JdFf_VYSMzH5lBcEaU4o8teT1piV-SNzShjg/edit?gid=554141278#gid=554141278"", ""'Char Def. - Attributes'!C20:C2242""), 1,false)"),"ALT_UOM3_SIPI")</f>
        <v>ALT_UOM3_SIPI</v>
      </c>
      <c r="I9728" s="136"/>
      <c r="R9728" s="63" t="str">
        <f t="shared" si="60"/>
        <v>ZSI1_GEARALT_UOM3_SIPI</v>
      </c>
    </row>
    <row r="9729" ht="15.75" customHeight="1">
      <c r="B9729" s="63">
        <f t="shared" si="1"/>
        <v>9</v>
      </c>
      <c r="C9729" s="135" t="s">
        <v>325</v>
      </c>
      <c r="D9729" s="161" t="s">
        <v>74</v>
      </c>
      <c r="E9729" s="135">
        <f t="shared" si="62"/>
        <v>22</v>
      </c>
      <c r="F9729" s="134" t="s">
        <v>3811</v>
      </c>
      <c r="G9729" s="63" t="str">
        <f>VLOOKUP(C9729, 'Class Def. - General Data'!$C$20:$C$1000,1,false)</f>
        <v>ZSI1_GEAR</v>
      </c>
      <c r="H9729" s="63" t="str">
        <f>IFERROR(__xludf.DUMMYFUNCTION("VLOOKUP(F9729, IMPORTRANGE(""https://docs.google.com/spreadsheets/d/1Lhp9OU0JdFf_VYSMzH5lBcEaU4o8teT1piV-SNzShjg/edit?gid=554141278#gid=554141278"", ""'Char Def. - Attributes'!C20:C2242""), 1,false)"),"ALT_DENUM_UOM3")</f>
        <v>ALT_DENUM_UOM3</v>
      </c>
      <c r="I9729" s="136"/>
      <c r="R9729" s="63" t="str">
        <f t="shared" si="60"/>
        <v>ZSI1_GEARALT_DENUM_UOM3</v>
      </c>
    </row>
    <row r="9730" ht="15.75" customHeight="1">
      <c r="B9730" s="63">
        <f t="shared" si="1"/>
        <v>9</v>
      </c>
      <c r="C9730" s="135" t="s">
        <v>325</v>
      </c>
      <c r="D9730" s="161" t="s">
        <v>74</v>
      </c>
      <c r="E9730" s="135">
        <f t="shared" si="62"/>
        <v>23</v>
      </c>
      <c r="F9730" s="134" t="s">
        <v>3812</v>
      </c>
      <c r="G9730" s="63" t="str">
        <f>VLOOKUP(C9730, 'Class Def. - General Data'!$C$20:$C$1000,1,false)</f>
        <v>ZSI1_GEAR</v>
      </c>
      <c r="H9730" s="63" t="str">
        <f>IFERROR(__xludf.DUMMYFUNCTION("VLOOKUP(F9730, IMPORTRANGE(""https://docs.google.com/spreadsheets/d/1Lhp9OU0JdFf_VYSMzH5lBcEaU4o8teT1piV-SNzShjg/edit?gid=554141278#gid=554141278"", ""'Char Def. - Attributes'!C20:C2242""), 1,false)"),"ALT_NUM_UOM3")</f>
        <v>ALT_NUM_UOM3</v>
      </c>
      <c r="I9730" s="136"/>
      <c r="R9730" s="63" t="str">
        <f t="shared" si="60"/>
        <v>ZSI1_GEARALT_NUM_UOM3</v>
      </c>
    </row>
    <row r="9731" ht="15.75" customHeight="1">
      <c r="B9731" s="63">
        <f t="shared" si="1"/>
        <v>9</v>
      </c>
      <c r="C9731" s="135" t="s">
        <v>325</v>
      </c>
      <c r="D9731" s="161" t="s">
        <v>74</v>
      </c>
      <c r="E9731" s="135">
        <f t="shared" si="62"/>
        <v>24</v>
      </c>
      <c r="F9731" s="134" t="s">
        <v>3813</v>
      </c>
      <c r="G9731" s="63" t="str">
        <f>VLOOKUP(C9731, 'Class Def. - General Data'!$C$20:$C$1000,1,false)</f>
        <v>ZSI1_GEAR</v>
      </c>
      <c r="H9731" s="63" t="str">
        <f>IFERROR(__xludf.DUMMYFUNCTION("VLOOKUP(F9731, IMPORTRANGE(""https://docs.google.com/spreadsheets/d/1Lhp9OU0JdFf_VYSMzH5lBcEaU4o8teT1piV-SNzShjg/edit?gid=554141278#gid=554141278"", ""'Char Def. - Attributes'!C20:C2242""), 1,false)"),"ALT_UOM4_SIPI")</f>
        <v>ALT_UOM4_SIPI</v>
      </c>
      <c r="I9731" s="136"/>
      <c r="R9731" s="63" t="str">
        <f t="shared" si="60"/>
        <v>ZSI1_GEARALT_UOM4_SIPI</v>
      </c>
    </row>
    <row r="9732" ht="15.75" customHeight="1">
      <c r="B9732" s="63">
        <f t="shared" si="1"/>
        <v>9</v>
      </c>
      <c r="C9732" s="135" t="s">
        <v>325</v>
      </c>
      <c r="D9732" s="161" t="s">
        <v>74</v>
      </c>
      <c r="E9732" s="135">
        <f t="shared" si="62"/>
        <v>25</v>
      </c>
      <c r="F9732" s="134" t="s">
        <v>3814</v>
      </c>
      <c r="G9732" s="63" t="str">
        <f>VLOOKUP(C9732, 'Class Def. - General Data'!$C$20:$C$1000,1,false)</f>
        <v>ZSI1_GEAR</v>
      </c>
      <c r="H9732" s="63" t="str">
        <f>IFERROR(__xludf.DUMMYFUNCTION("VLOOKUP(F9732, IMPORTRANGE(""https://docs.google.com/spreadsheets/d/1Lhp9OU0JdFf_VYSMzH5lBcEaU4o8teT1piV-SNzShjg/edit?gid=554141278#gid=554141278"", ""'Char Def. - Attributes'!C20:C2242""), 1,false)"),"ALT_DENUM_UOM4")</f>
        <v>ALT_DENUM_UOM4</v>
      </c>
      <c r="I9732" s="136"/>
      <c r="R9732" s="63" t="str">
        <f t="shared" si="60"/>
        <v>ZSI1_GEARALT_DENUM_UOM4</v>
      </c>
    </row>
    <row r="9733" ht="15.75" customHeight="1">
      <c r="B9733" s="63">
        <f t="shared" si="1"/>
        <v>9</v>
      </c>
      <c r="C9733" s="135" t="s">
        <v>325</v>
      </c>
      <c r="D9733" s="161" t="s">
        <v>74</v>
      </c>
      <c r="E9733" s="135">
        <f t="shared" si="62"/>
        <v>26</v>
      </c>
      <c r="F9733" s="134" t="s">
        <v>3815</v>
      </c>
      <c r="G9733" s="63" t="str">
        <f>VLOOKUP(C9733, 'Class Def. - General Data'!$C$20:$C$1000,1,false)</f>
        <v>ZSI1_GEAR</v>
      </c>
      <c r="H9733" s="63" t="str">
        <f>IFERROR(__xludf.DUMMYFUNCTION("VLOOKUP(F9733, IMPORTRANGE(""https://docs.google.com/spreadsheets/d/1Lhp9OU0JdFf_VYSMzH5lBcEaU4o8teT1piV-SNzShjg/edit?gid=554141278#gid=554141278"", ""'Char Def. - Attributes'!C20:C2242""), 1,false)"),"ALT_NUM_UOM4")</f>
        <v>ALT_NUM_UOM4</v>
      </c>
      <c r="I9733" s="136"/>
      <c r="R9733" s="63" t="str">
        <f t="shared" si="60"/>
        <v>ZSI1_GEARALT_NUM_UOM4</v>
      </c>
    </row>
    <row r="9734" ht="15.75" customHeight="1">
      <c r="B9734" s="63">
        <f t="shared" si="1"/>
        <v>9</v>
      </c>
      <c r="C9734" s="135" t="s">
        <v>325</v>
      </c>
      <c r="D9734" s="161" t="s">
        <v>74</v>
      </c>
      <c r="E9734" s="135">
        <f t="shared" si="62"/>
        <v>27</v>
      </c>
      <c r="F9734" s="134" t="s">
        <v>3816</v>
      </c>
      <c r="G9734" s="63" t="str">
        <f>VLOOKUP(C9734, 'Class Def. - General Data'!$C$20:$C$1000,1,false)</f>
        <v>ZSI1_GEAR</v>
      </c>
      <c r="H9734" s="63" t="str">
        <f>IFERROR(__xludf.DUMMYFUNCTION("VLOOKUP(F9734, IMPORTRANGE(""https://docs.google.com/spreadsheets/d/1Lhp9OU0JdFf_VYSMzH5lBcEaU4o8teT1piV-SNzShjg/edit?gid=554141278#gid=554141278"", ""'Char Def. - Attributes'!C20:C2242""), 1,false)"),"ALT_UOM5_SIPI")</f>
        <v>ALT_UOM5_SIPI</v>
      </c>
      <c r="I9734" s="136"/>
      <c r="R9734" s="63" t="str">
        <f t="shared" si="60"/>
        <v>ZSI1_GEARALT_UOM5_SIPI</v>
      </c>
    </row>
    <row r="9735" ht="15.75" customHeight="1">
      <c r="B9735" s="63">
        <f t="shared" si="1"/>
        <v>9</v>
      </c>
      <c r="C9735" s="135" t="s">
        <v>325</v>
      </c>
      <c r="D9735" s="161" t="s">
        <v>74</v>
      </c>
      <c r="E9735" s="135">
        <f t="shared" si="62"/>
        <v>28</v>
      </c>
      <c r="F9735" s="134" t="s">
        <v>3817</v>
      </c>
      <c r="G9735" s="63" t="str">
        <f>VLOOKUP(C9735, 'Class Def. - General Data'!$C$20:$C$1000,1,false)</f>
        <v>ZSI1_GEAR</v>
      </c>
      <c r="H9735" s="63" t="str">
        <f>IFERROR(__xludf.DUMMYFUNCTION("VLOOKUP(F9735, IMPORTRANGE(""https://docs.google.com/spreadsheets/d/1Lhp9OU0JdFf_VYSMzH5lBcEaU4o8teT1piV-SNzShjg/edit?gid=554141278#gid=554141278"", ""'Char Def. - Attributes'!C20:C2242""), 1,false)"),"ALT_DENUM_UOM5")</f>
        <v>ALT_DENUM_UOM5</v>
      </c>
      <c r="I9735" s="136"/>
      <c r="R9735" s="63" t="str">
        <f t="shared" si="60"/>
        <v>ZSI1_GEARALT_DENUM_UOM5</v>
      </c>
    </row>
    <row r="9736" ht="15.75" customHeight="1">
      <c r="B9736" s="63">
        <f t="shared" si="1"/>
        <v>9</v>
      </c>
      <c r="C9736" s="135" t="s">
        <v>325</v>
      </c>
      <c r="D9736" s="161" t="s">
        <v>74</v>
      </c>
      <c r="E9736" s="135">
        <f t="shared" si="62"/>
        <v>29</v>
      </c>
      <c r="F9736" s="134" t="s">
        <v>3818</v>
      </c>
      <c r="G9736" s="63" t="str">
        <f>VLOOKUP(C9736, 'Class Def. - General Data'!$C$20:$C$1000,1,false)</f>
        <v>ZSI1_GEAR</v>
      </c>
      <c r="H9736" s="63" t="str">
        <f>IFERROR(__xludf.DUMMYFUNCTION("VLOOKUP(F9736, IMPORTRANGE(""https://docs.google.com/spreadsheets/d/1Lhp9OU0JdFf_VYSMzH5lBcEaU4o8teT1piV-SNzShjg/edit?gid=554141278#gid=554141278"", ""'Char Def. - Attributes'!C20:C2242""), 1,false)"),"ALT_NUM_UOM5")</f>
        <v>ALT_NUM_UOM5</v>
      </c>
      <c r="I9736" s="136"/>
      <c r="R9736" s="63" t="str">
        <f t="shared" si="60"/>
        <v>ZSI1_GEARALT_NUM_UOM5</v>
      </c>
    </row>
    <row r="9737" ht="15.75" customHeight="1">
      <c r="B9737" s="63">
        <f t="shared" si="1"/>
        <v>18</v>
      </c>
      <c r="C9737" s="135" t="s">
        <v>397</v>
      </c>
      <c r="D9737" s="161" t="s">
        <v>74</v>
      </c>
      <c r="E9737" s="135">
        <f t="shared" si="62"/>
        <v>1</v>
      </c>
      <c r="F9737" s="134" t="s">
        <v>4606</v>
      </c>
      <c r="G9737" s="63" t="str">
        <f>VLOOKUP(C9737, 'Class Def. - General Data'!$C$20:$C$1000,1,false)</f>
        <v>ZSI1_GLAND_PACKING</v>
      </c>
      <c r="H9737" s="63" t="str">
        <f>IFERROR(__xludf.DUMMYFUNCTION("VLOOKUP(F9737, IMPORTRANGE(""https://docs.google.com/spreadsheets/d/1Lhp9OU0JdFf_VYSMzH5lBcEaU4o8teT1piV-SNzShjg/edit?gid=554141278#gid=554141278"", ""'Char Def. - Attributes'!C20:C2242""), 1,false)"),"ITEM_NAME_GLAND_PACKING")</f>
        <v>ITEM_NAME_GLAND_PACKING</v>
      </c>
      <c r="I9737" s="136"/>
      <c r="R9737" s="63" t="str">
        <f t="shared" si="60"/>
        <v>ZSI1_GLAND_PACKINGITEM_NAME_GLAND_PACKING</v>
      </c>
    </row>
    <row r="9738" ht="15.75" customHeight="1">
      <c r="B9738" s="63">
        <f t="shared" si="1"/>
        <v>18</v>
      </c>
      <c r="C9738" s="135" t="s">
        <v>397</v>
      </c>
      <c r="D9738" s="161" t="s">
        <v>74</v>
      </c>
      <c r="E9738" s="135">
        <f t="shared" si="62"/>
        <v>2</v>
      </c>
      <c r="F9738" s="134" t="s">
        <v>4607</v>
      </c>
      <c r="G9738" s="63" t="str">
        <f>VLOOKUP(C9738, 'Class Def. - General Data'!$C$20:$C$1000,1,false)</f>
        <v>ZSI1_GLAND_PACKING</v>
      </c>
      <c r="H9738" s="63" t="str">
        <f>IFERROR(__xludf.DUMMYFUNCTION("VLOOKUP(F9738, IMPORTRANGE(""https://docs.google.com/spreadsheets/d/1Lhp9OU0JdFf_VYSMzH5lBcEaU4o8teT1piV-SNzShjg/edit?gid=554141278#gid=554141278"", ""'Char Def. - Attributes'!C20:C2242""), 1,false)"),"MATERIAL_GLAND_PACKING")</f>
        <v>MATERIAL_GLAND_PACKING</v>
      </c>
      <c r="I9738" s="136"/>
      <c r="R9738" s="63" t="str">
        <f t="shared" si="60"/>
        <v>ZSI1_GLAND_PACKINGMATERIAL_GLAND_PACKING</v>
      </c>
    </row>
    <row r="9739" ht="15.75" customHeight="1">
      <c r="B9739" s="63">
        <f t="shared" si="1"/>
        <v>18</v>
      </c>
      <c r="C9739" s="135" t="s">
        <v>397</v>
      </c>
      <c r="D9739" s="161" t="s">
        <v>74</v>
      </c>
      <c r="E9739" s="135">
        <f t="shared" si="62"/>
        <v>3</v>
      </c>
      <c r="F9739" s="134" t="s">
        <v>4608</v>
      </c>
      <c r="G9739" s="63" t="str">
        <f>VLOOKUP(C9739, 'Class Def. - General Data'!$C$20:$C$1000,1,false)</f>
        <v>ZSI1_GLAND_PACKING</v>
      </c>
      <c r="H9739" s="63" t="str">
        <f>IFERROR(__xludf.DUMMYFUNCTION("VLOOKUP(F9739, IMPORTRANGE(""https://docs.google.com/spreadsheets/d/1Lhp9OU0JdFf_VYSMzH5lBcEaU4o8teT1piV-SNzShjg/edit?gid=554141278#gid=554141278"", ""'Char Def. - Attributes'!C20:C2242""), 1,false)"),"DIMENSION_GLAND_PACKING")</f>
        <v>DIMENSION_GLAND_PACKING</v>
      </c>
      <c r="I9739" s="136"/>
      <c r="R9739" s="63" t="str">
        <f t="shared" si="60"/>
        <v>ZSI1_GLAND_PACKINGDIMENSION_GLAND_PACKING</v>
      </c>
    </row>
    <row r="9740" ht="15.75" customHeight="1">
      <c r="B9740" s="63">
        <f t="shared" si="1"/>
        <v>18</v>
      </c>
      <c r="C9740" s="135" t="s">
        <v>397</v>
      </c>
      <c r="D9740" s="161" t="s">
        <v>74</v>
      </c>
      <c r="E9740" s="135">
        <f t="shared" si="62"/>
        <v>4</v>
      </c>
      <c r="F9740" s="134" t="s">
        <v>4609</v>
      </c>
      <c r="G9740" s="63" t="str">
        <f>VLOOKUP(C9740, 'Class Def. - General Data'!$C$20:$C$1000,1,false)</f>
        <v>ZSI1_GLAND_PACKING</v>
      </c>
      <c r="H9740" s="63" t="str">
        <f>IFERROR(__xludf.DUMMYFUNCTION("VLOOKUP(F9740, IMPORTRANGE(""https://docs.google.com/spreadsheets/d/1Lhp9OU0JdFf_VYSMzH5lBcEaU4o8teT1piV-SNzShjg/edit?gid=554141278#gid=554141278"", ""'Char Def. - Attributes'!C20:C2242""), 1,false)"),"CROSS_SECT_SZ_GLAND_PACKING_MM")</f>
        <v>CROSS_SECT_SZ_GLAND_PACKING_MM</v>
      </c>
      <c r="I9740" s="136"/>
      <c r="R9740" s="63" t="str">
        <f t="shared" si="60"/>
        <v>ZSI1_GLAND_PACKINGCROSS_SECT_SZ_GLAND_PACKING_MM</v>
      </c>
    </row>
    <row r="9741" ht="15.75" customHeight="1">
      <c r="B9741" s="63">
        <f t="shared" si="1"/>
        <v>18</v>
      </c>
      <c r="C9741" s="135" t="s">
        <v>397</v>
      </c>
      <c r="D9741" s="161" t="s">
        <v>74</v>
      </c>
      <c r="E9741" s="135">
        <f t="shared" si="62"/>
        <v>5</v>
      </c>
      <c r="F9741" s="134" t="s">
        <v>4610</v>
      </c>
      <c r="G9741" s="63" t="str">
        <f>VLOOKUP(C9741, 'Class Def. - General Data'!$C$20:$C$1000,1,false)</f>
        <v>ZSI1_GLAND_PACKING</v>
      </c>
      <c r="H9741" s="63" t="str">
        <f>IFERROR(__xludf.DUMMYFUNCTION("VLOOKUP(F9741, IMPORTRANGE(""https://docs.google.com/spreadsheets/d/1Lhp9OU0JdFf_VYSMzH5lBcEaU4o8teT1piV-SNzShjg/edit?gid=554141278#gid=554141278"", ""'Char Def. - Attributes'!C20:C2242""), 1,false)"),"CROS_SCT_SZ_GLAND_PACKING_INCH")</f>
        <v>CROS_SCT_SZ_GLAND_PACKING_INCH</v>
      </c>
      <c r="I9741" s="136"/>
      <c r="R9741" s="63" t="str">
        <f t="shared" si="60"/>
        <v>ZSI1_GLAND_PACKINGCROS_SCT_SZ_GLAND_PACKING_INCH</v>
      </c>
    </row>
    <row r="9742" ht="15.75" customHeight="1">
      <c r="B9742" s="63">
        <f t="shared" si="1"/>
        <v>18</v>
      </c>
      <c r="C9742" s="135" t="s">
        <v>397</v>
      </c>
      <c r="D9742" s="161" t="s">
        <v>74</v>
      </c>
      <c r="E9742" s="135">
        <f t="shared" si="62"/>
        <v>6</v>
      </c>
      <c r="F9742" s="134" t="s">
        <v>4053</v>
      </c>
      <c r="G9742" s="63" t="str">
        <f>VLOOKUP(C9742, 'Class Def. - General Data'!$C$20:$C$1000,1,false)</f>
        <v>ZSI1_GLAND_PACKING</v>
      </c>
      <c r="H9742" s="63" t="str">
        <f>IFERROR(__xludf.DUMMYFUNCTION("VLOOKUP(F9742, IMPORTRANGE(""https://docs.google.com/spreadsheets/d/1Lhp9OU0JdFf_VYSMzH5lBcEaU4o8teT1piV-SNzShjg/edit?gid=554141278#gid=554141278"", ""'Char Def. - Attributes'!C20:C2242""), 1,false)"),"MAINTENANCE_ORDER_TYPE")</f>
        <v>MAINTENANCE_ORDER_TYPE</v>
      </c>
      <c r="I9742" s="136"/>
      <c r="R9742" s="63" t="str">
        <f t="shared" si="60"/>
        <v>ZSI1_GLAND_PACKINGMAINTENANCE_ORDER_TYPE</v>
      </c>
    </row>
    <row r="9743" ht="15.75" customHeight="1">
      <c r="B9743" s="63">
        <f t="shared" si="1"/>
        <v>18</v>
      </c>
      <c r="C9743" s="135" t="s">
        <v>397</v>
      </c>
      <c r="D9743" s="161" t="s">
        <v>74</v>
      </c>
      <c r="E9743" s="135">
        <f t="shared" si="62"/>
        <v>7</v>
      </c>
      <c r="F9743" s="134" t="s">
        <v>3585</v>
      </c>
      <c r="G9743" s="63" t="str">
        <f>VLOOKUP(C9743, 'Class Def. - General Data'!$C$20:$C$1000,1,false)</f>
        <v>ZSI1_GLAND_PACKING</v>
      </c>
      <c r="H9743" s="63" t="str">
        <f>IFERROR(__xludf.DUMMYFUNCTION("VLOOKUP(F9743, IMPORTRANGE(""https://docs.google.com/spreadsheets/d/1Lhp9OU0JdFf_VYSMzH5lBcEaU4o8teT1piV-SNzShjg/edit?gid=554141278#gid=554141278"", ""'Char Def. - Attributes'!C20:C2242""), 1,false)"),"HS_CODE")</f>
        <v>HS_CODE</v>
      </c>
      <c r="I9743" s="136"/>
      <c r="R9743" s="63" t="str">
        <f t="shared" si="60"/>
        <v>ZSI1_GLAND_PACKINGHS_CODE</v>
      </c>
    </row>
    <row r="9744" ht="15.75" customHeight="1">
      <c r="B9744" s="63">
        <f t="shared" si="1"/>
        <v>18</v>
      </c>
      <c r="C9744" s="135" t="s">
        <v>397</v>
      </c>
      <c r="D9744" s="161" t="s">
        <v>74</v>
      </c>
      <c r="E9744" s="135">
        <f t="shared" si="62"/>
        <v>8</v>
      </c>
      <c r="F9744" s="134" t="s">
        <v>3587</v>
      </c>
      <c r="G9744" s="63" t="str">
        <f>VLOOKUP(C9744, 'Class Def. - General Data'!$C$20:$C$1000,1,false)</f>
        <v>ZSI1_GLAND_PACKING</v>
      </c>
      <c r="H9744" s="63" t="str">
        <f>IFERROR(__xludf.DUMMYFUNCTION("VLOOKUP(F9744, IMPORTRANGE(""https://docs.google.com/spreadsheets/d/1Lhp9OU0JdFf_VYSMzH5lBcEaU4o8teT1piV-SNzShjg/edit?gid=554141278#gid=554141278"", ""'Char Def. - Attributes'!C20:C2242""), 1,false)"),"PLANT_BUY")</f>
        <v>PLANT_BUY</v>
      </c>
      <c r="I9744" s="136"/>
      <c r="R9744" s="63" t="str">
        <f t="shared" si="60"/>
        <v>ZSI1_GLAND_PACKINGPLANT_BUY</v>
      </c>
    </row>
    <row r="9745" ht="15.75" customHeight="1">
      <c r="B9745" s="63">
        <f t="shared" si="1"/>
        <v>18</v>
      </c>
      <c r="C9745" s="135" t="s">
        <v>397</v>
      </c>
      <c r="D9745" s="161" t="s">
        <v>74</v>
      </c>
      <c r="E9745" s="135">
        <f t="shared" si="62"/>
        <v>9</v>
      </c>
      <c r="F9745" s="134" t="s">
        <v>4611</v>
      </c>
      <c r="G9745" s="63" t="str">
        <f>VLOOKUP(C9745, 'Class Def. - General Data'!$C$20:$C$1000,1,false)</f>
        <v>ZSI1_GLAND_PACKING</v>
      </c>
      <c r="H9745" s="63" t="str">
        <f>IFERROR(__xludf.DUMMYFUNCTION("VLOOKUP(F9745, IMPORTRANGE(""https://docs.google.com/spreadsheets/d/1Lhp9OU0JdFf_VYSMzH5lBcEaU4o8teT1piV-SNzShjg/edit?gid=554141278#gid=554141278"", ""'Char Def. - Attributes'!C20:C2242""), 1,false)"),"BASE_UOM_GLAND_PACKING")</f>
        <v>BASE_UOM_GLAND_PACKING</v>
      </c>
      <c r="I9745" s="136"/>
      <c r="R9745" s="63" t="str">
        <f t="shared" si="60"/>
        <v>ZSI1_GLAND_PACKINGBASE_UOM_GLAND_PACKING</v>
      </c>
    </row>
    <row r="9746" ht="15.75" customHeight="1">
      <c r="B9746" s="63">
        <f t="shared" si="1"/>
        <v>18</v>
      </c>
      <c r="C9746" s="135" t="s">
        <v>397</v>
      </c>
      <c r="D9746" s="161" t="s">
        <v>74</v>
      </c>
      <c r="E9746" s="135">
        <f t="shared" si="62"/>
        <v>10</v>
      </c>
      <c r="F9746" s="134" t="s">
        <v>4612</v>
      </c>
      <c r="G9746" s="63" t="str">
        <f>VLOOKUP(C9746, 'Class Def. - General Data'!$C$20:$C$1000,1,false)</f>
        <v>ZSI1_GLAND_PACKING</v>
      </c>
      <c r="H9746" s="63" t="str">
        <f>IFERROR(__xludf.DUMMYFUNCTION("VLOOKUP(F9746, IMPORTRANGE(""https://docs.google.com/spreadsheets/d/1Lhp9OU0JdFf_VYSMzH5lBcEaU4o8teT1piV-SNzShjg/edit?gid=554141278#gid=554141278"", ""'Char Def. - Attributes'!C20:C2242""), 1,false)"),"ORDER_UNIT_GLAND_PACKING")</f>
        <v>ORDER_UNIT_GLAND_PACKING</v>
      </c>
      <c r="I9746" s="136"/>
      <c r="R9746" s="63" t="str">
        <f t="shared" si="60"/>
        <v>ZSI1_GLAND_PACKINGORDER_UNIT_GLAND_PACKING</v>
      </c>
    </row>
    <row r="9747" ht="15.75" customHeight="1">
      <c r="B9747" s="63">
        <f t="shared" si="1"/>
        <v>18</v>
      </c>
      <c r="C9747" s="135" t="s">
        <v>397</v>
      </c>
      <c r="D9747" s="161" t="s">
        <v>74</v>
      </c>
      <c r="E9747" s="135">
        <f t="shared" si="62"/>
        <v>11</v>
      </c>
      <c r="F9747" s="134" t="s">
        <v>4056</v>
      </c>
      <c r="G9747" s="63" t="str">
        <f>VLOOKUP(C9747, 'Class Def. - General Data'!$C$20:$C$1000,1,false)</f>
        <v>ZSI1_GLAND_PACKING</v>
      </c>
      <c r="H9747" s="63" t="str">
        <f>IFERROR(__xludf.DUMMYFUNCTION("VLOOKUP(F9747, IMPORTRANGE(""https://docs.google.com/spreadsheets/d/1Lhp9OU0JdFf_VYSMzH5lBcEaU4o8teT1piV-SNzShjg/edit?gid=554141278#gid=554141278"", ""'Char Def. - Attributes'!C20:C2242""), 1,false)"),"GROSS_WEIGHT_OPT")</f>
        <v>GROSS_WEIGHT_OPT</v>
      </c>
      <c r="I9747" s="136"/>
      <c r="R9747" s="63" t="str">
        <f t="shared" si="60"/>
        <v>ZSI1_GLAND_PACKINGGROSS_WEIGHT_OPT</v>
      </c>
    </row>
    <row r="9748" ht="15.75" customHeight="1">
      <c r="B9748" s="63">
        <f t="shared" si="1"/>
        <v>18</v>
      </c>
      <c r="C9748" s="135" t="s">
        <v>397</v>
      </c>
      <c r="D9748" s="161" t="s">
        <v>74</v>
      </c>
      <c r="E9748" s="135">
        <f t="shared" si="62"/>
        <v>12</v>
      </c>
      <c r="F9748" s="134" t="s">
        <v>4057</v>
      </c>
      <c r="G9748" s="63" t="str">
        <f>VLOOKUP(C9748, 'Class Def. - General Data'!$C$20:$C$1000,1,false)</f>
        <v>ZSI1_GLAND_PACKING</v>
      </c>
      <c r="H9748" s="63" t="str">
        <f>IFERROR(__xludf.DUMMYFUNCTION("VLOOKUP(F9748, IMPORTRANGE(""https://docs.google.com/spreadsheets/d/1Lhp9OU0JdFf_VYSMzH5lBcEaU4o8teT1piV-SNzShjg/edit?gid=554141278#gid=554141278"", ""'Char Def. - Attributes'!C20:C2242""), 1,false)"),"NET_WEIGHT_OPT")</f>
        <v>NET_WEIGHT_OPT</v>
      </c>
      <c r="I9748" s="136"/>
      <c r="R9748" s="63" t="str">
        <f t="shared" si="60"/>
        <v>ZSI1_GLAND_PACKINGNET_WEIGHT_OPT</v>
      </c>
    </row>
    <row r="9749" ht="15.75" customHeight="1">
      <c r="B9749" s="63">
        <f t="shared" si="1"/>
        <v>18</v>
      </c>
      <c r="C9749" s="135" t="s">
        <v>397</v>
      </c>
      <c r="D9749" s="161" t="s">
        <v>74</v>
      </c>
      <c r="E9749" s="135">
        <f t="shared" si="62"/>
        <v>13</v>
      </c>
      <c r="F9749" s="134" t="s">
        <v>4058</v>
      </c>
      <c r="G9749" s="63" t="str">
        <f>VLOOKUP(C9749, 'Class Def. - General Data'!$C$20:$C$1000,1,false)</f>
        <v>ZSI1_GLAND_PACKING</v>
      </c>
      <c r="H9749" s="63" t="str">
        <f>IFERROR(__xludf.DUMMYFUNCTION("VLOOKUP(F9749, IMPORTRANGE(""https://docs.google.com/spreadsheets/d/1Lhp9OU0JdFf_VYSMzH5lBcEaU4o8teT1piV-SNzShjg/edit?gid=554141278#gid=554141278"", ""'Char Def. - Attributes'!C20:C2242""), 1,false)"),"WEIGHT_UNIT_SI")</f>
        <v>WEIGHT_UNIT_SI</v>
      </c>
      <c r="I9749" s="136"/>
      <c r="R9749" s="63" t="str">
        <f t="shared" si="60"/>
        <v>ZSI1_GLAND_PACKINGWEIGHT_UNIT_SI</v>
      </c>
    </row>
    <row r="9750" ht="15.75" customHeight="1">
      <c r="B9750" s="63">
        <f t="shared" si="1"/>
        <v>18</v>
      </c>
      <c r="C9750" s="135" t="s">
        <v>397</v>
      </c>
      <c r="D9750" s="161" t="s">
        <v>74</v>
      </c>
      <c r="E9750" s="135">
        <f t="shared" si="62"/>
        <v>14</v>
      </c>
      <c r="F9750" s="134" t="s">
        <v>3877</v>
      </c>
      <c r="G9750" s="63" t="str">
        <f>VLOOKUP(C9750, 'Class Def. - General Data'!$C$20:$C$1000,1,false)</f>
        <v>ZSI1_GLAND_PACKING</v>
      </c>
      <c r="H9750" s="63" t="str">
        <f>IFERROR(__xludf.DUMMYFUNCTION("VLOOKUP(F9750, IMPORTRANGE(""https://docs.google.com/spreadsheets/d/1Lhp9OU0JdFf_VYSMzH5lBcEaU4o8teT1piV-SNzShjg/edit?gid=554141278#gid=554141278"", ""'Char Def. - Attributes'!C20:C2242""), 1,false)"),"VOLUME_OPT")</f>
        <v>VOLUME_OPT</v>
      </c>
      <c r="I9750" s="136"/>
      <c r="R9750" s="63" t="str">
        <f t="shared" si="60"/>
        <v>ZSI1_GLAND_PACKINGVOLUME_OPT</v>
      </c>
    </row>
    <row r="9751" ht="15.75" customHeight="1">
      <c r="B9751" s="63">
        <f t="shared" si="1"/>
        <v>18</v>
      </c>
      <c r="C9751" s="135" t="s">
        <v>397</v>
      </c>
      <c r="D9751" s="161" t="s">
        <v>74</v>
      </c>
      <c r="E9751" s="135">
        <f t="shared" si="62"/>
        <v>15</v>
      </c>
      <c r="F9751" s="134" t="s">
        <v>4059</v>
      </c>
      <c r="G9751" s="63" t="str">
        <f>VLOOKUP(C9751, 'Class Def. - General Data'!$C$20:$C$1000,1,false)</f>
        <v>ZSI1_GLAND_PACKING</v>
      </c>
      <c r="H9751" s="63" t="str">
        <f>IFERROR(__xludf.DUMMYFUNCTION("VLOOKUP(F9751, IMPORTRANGE(""https://docs.google.com/spreadsheets/d/1Lhp9OU0JdFf_VYSMzH5lBcEaU4o8teT1piV-SNzShjg/edit?gid=554141278#gid=554141278"", ""'Char Def. - Attributes'!C20:C2242""), 1,false)"),"VOLUME_UNIT_SI")</f>
        <v>VOLUME_UNIT_SI</v>
      </c>
      <c r="I9751" s="136"/>
      <c r="R9751" s="63" t="str">
        <f t="shared" si="60"/>
        <v>ZSI1_GLAND_PACKINGVOLUME_UNIT_SI</v>
      </c>
    </row>
    <row r="9752" ht="15.75" customHeight="1">
      <c r="B9752" s="63">
        <f t="shared" si="1"/>
        <v>18</v>
      </c>
      <c r="C9752" s="135" t="s">
        <v>397</v>
      </c>
      <c r="D9752" s="161" t="s">
        <v>74</v>
      </c>
      <c r="E9752" s="135">
        <f t="shared" si="62"/>
        <v>16</v>
      </c>
      <c r="F9752" s="134" t="s">
        <v>3804</v>
      </c>
      <c r="G9752" s="63" t="str">
        <f>VLOOKUP(C9752, 'Class Def. - General Data'!$C$20:$C$1000,1,false)</f>
        <v>ZSI1_GLAND_PACKING</v>
      </c>
      <c r="H9752" s="63" t="str">
        <f>IFERROR(__xludf.DUMMYFUNCTION("VLOOKUP(F9752, IMPORTRANGE(""https://docs.google.com/spreadsheets/d/1Lhp9OU0JdFf_VYSMzH5lBcEaU4o8teT1piV-SNzShjg/edit?gid=554141278#gid=554141278"", ""'Char Def. - Attributes'!C20:C2242""), 1,false)"),"ALT_UOM1_SIPI")</f>
        <v>ALT_UOM1_SIPI</v>
      </c>
      <c r="I9752" s="136"/>
      <c r="R9752" s="63" t="str">
        <f t="shared" si="60"/>
        <v>ZSI1_GLAND_PACKINGALT_UOM1_SIPI</v>
      </c>
    </row>
    <row r="9753" ht="15.75" customHeight="1">
      <c r="B9753" s="63">
        <f t="shared" si="1"/>
        <v>18</v>
      </c>
      <c r="C9753" s="135" t="s">
        <v>397</v>
      </c>
      <c r="D9753" s="161" t="s">
        <v>74</v>
      </c>
      <c r="E9753" s="135">
        <f t="shared" si="62"/>
        <v>17</v>
      </c>
      <c r="F9753" s="134" t="s">
        <v>3805</v>
      </c>
      <c r="G9753" s="63" t="str">
        <f>VLOOKUP(C9753, 'Class Def. - General Data'!$C$20:$C$1000,1,false)</f>
        <v>ZSI1_GLAND_PACKING</v>
      </c>
      <c r="H9753" s="63" t="str">
        <f>IFERROR(__xludf.DUMMYFUNCTION("VLOOKUP(F9753, IMPORTRANGE(""https://docs.google.com/spreadsheets/d/1Lhp9OU0JdFf_VYSMzH5lBcEaU4o8teT1piV-SNzShjg/edit?gid=554141278#gid=554141278"", ""'Char Def. - Attributes'!C20:C2242""), 1,false)"),"ALT_DENUM_UOM1")</f>
        <v>ALT_DENUM_UOM1</v>
      </c>
      <c r="I9753" s="136"/>
      <c r="R9753" s="63" t="str">
        <f t="shared" si="60"/>
        <v>ZSI1_GLAND_PACKINGALT_DENUM_UOM1</v>
      </c>
    </row>
    <row r="9754" ht="15.75" customHeight="1">
      <c r="B9754" s="63">
        <f t="shared" si="1"/>
        <v>18</v>
      </c>
      <c r="C9754" s="135" t="s">
        <v>397</v>
      </c>
      <c r="D9754" s="161" t="s">
        <v>74</v>
      </c>
      <c r="E9754" s="135">
        <f t="shared" si="62"/>
        <v>18</v>
      </c>
      <c r="F9754" s="134" t="s">
        <v>3806</v>
      </c>
      <c r="G9754" s="63" t="str">
        <f>VLOOKUP(C9754, 'Class Def. - General Data'!$C$20:$C$1000,1,false)</f>
        <v>ZSI1_GLAND_PACKING</v>
      </c>
      <c r="H9754" s="63" t="str">
        <f>IFERROR(__xludf.DUMMYFUNCTION("VLOOKUP(F9754, IMPORTRANGE(""https://docs.google.com/spreadsheets/d/1Lhp9OU0JdFf_VYSMzH5lBcEaU4o8teT1piV-SNzShjg/edit?gid=554141278#gid=554141278"", ""'Char Def. - Attributes'!C20:C2242""), 1,false)"),"ALT_NUM_UOM1")</f>
        <v>ALT_NUM_UOM1</v>
      </c>
      <c r="I9754" s="136"/>
      <c r="R9754" s="63" t="str">
        <f t="shared" si="60"/>
        <v>ZSI1_GLAND_PACKINGALT_NUM_UOM1</v>
      </c>
    </row>
    <row r="9755" ht="15.75" customHeight="1">
      <c r="B9755" s="63">
        <f t="shared" si="1"/>
        <v>18</v>
      </c>
      <c r="C9755" s="135" t="s">
        <v>397</v>
      </c>
      <c r="D9755" s="161" t="s">
        <v>74</v>
      </c>
      <c r="E9755" s="135">
        <f t="shared" si="62"/>
        <v>19</v>
      </c>
      <c r="F9755" s="134" t="s">
        <v>3807</v>
      </c>
      <c r="G9755" s="63" t="str">
        <f>VLOOKUP(C9755, 'Class Def. - General Data'!$C$20:$C$1000,1,false)</f>
        <v>ZSI1_GLAND_PACKING</v>
      </c>
      <c r="H9755" s="63" t="str">
        <f>IFERROR(__xludf.DUMMYFUNCTION("VLOOKUP(F9755, IMPORTRANGE(""https://docs.google.com/spreadsheets/d/1Lhp9OU0JdFf_VYSMzH5lBcEaU4o8teT1piV-SNzShjg/edit?gid=554141278#gid=554141278"", ""'Char Def. - Attributes'!C20:C2242""), 1,false)"),"ALT_UOM2_SIPI")</f>
        <v>ALT_UOM2_SIPI</v>
      </c>
      <c r="I9755" s="136"/>
      <c r="R9755" s="63" t="str">
        <f t="shared" si="60"/>
        <v>ZSI1_GLAND_PACKINGALT_UOM2_SIPI</v>
      </c>
    </row>
    <row r="9756" ht="15.75" customHeight="1">
      <c r="B9756" s="63">
        <f t="shared" si="1"/>
        <v>18</v>
      </c>
      <c r="C9756" s="135" t="s">
        <v>397</v>
      </c>
      <c r="D9756" s="161" t="s">
        <v>74</v>
      </c>
      <c r="E9756" s="135">
        <f t="shared" si="62"/>
        <v>20</v>
      </c>
      <c r="F9756" s="134" t="s">
        <v>3808</v>
      </c>
      <c r="G9756" s="63" t="str">
        <f>VLOOKUP(C9756, 'Class Def. - General Data'!$C$20:$C$1000,1,false)</f>
        <v>ZSI1_GLAND_PACKING</v>
      </c>
      <c r="H9756" s="63" t="str">
        <f>IFERROR(__xludf.DUMMYFUNCTION("VLOOKUP(F9756, IMPORTRANGE(""https://docs.google.com/spreadsheets/d/1Lhp9OU0JdFf_VYSMzH5lBcEaU4o8teT1piV-SNzShjg/edit?gid=554141278#gid=554141278"", ""'Char Def. - Attributes'!C20:C2242""), 1,false)"),"ALT_DENUM_UOM2")</f>
        <v>ALT_DENUM_UOM2</v>
      </c>
      <c r="I9756" s="136"/>
      <c r="R9756" s="63" t="str">
        <f t="shared" si="60"/>
        <v>ZSI1_GLAND_PACKINGALT_DENUM_UOM2</v>
      </c>
    </row>
    <row r="9757" ht="15.75" customHeight="1">
      <c r="B9757" s="63">
        <f t="shared" si="1"/>
        <v>18</v>
      </c>
      <c r="C9757" s="135" t="s">
        <v>397</v>
      </c>
      <c r="D9757" s="161" t="s">
        <v>74</v>
      </c>
      <c r="E9757" s="135">
        <f t="shared" si="62"/>
        <v>21</v>
      </c>
      <c r="F9757" s="134" t="s">
        <v>3809</v>
      </c>
      <c r="G9757" s="63" t="str">
        <f>VLOOKUP(C9757, 'Class Def. - General Data'!$C$20:$C$1000,1,false)</f>
        <v>ZSI1_GLAND_PACKING</v>
      </c>
      <c r="H9757" s="63" t="str">
        <f>IFERROR(__xludf.DUMMYFUNCTION("VLOOKUP(F9757, IMPORTRANGE(""https://docs.google.com/spreadsheets/d/1Lhp9OU0JdFf_VYSMzH5lBcEaU4o8teT1piV-SNzShjg/edit?gid=554141278#gid=554141278"", ""'Char Def. - Attributes'!C20:C2242""), 1,false)"),"ALT_NUM_UOM2")</f>
        <v>ALT_NUM_UOM2</v>
      </c>
      <c r="I9757" s="136"/>
      <c r="R9757" s="63" t="str">
        <f t="shared" si="60"/>
        <v>ZSI1_GLAND_PACKINGALT_NUM_UOM2</v>
      </c>
    </row>
    <row r="9758" ht="15.75" customHeight="1">
      <c r="B9758" s="63">
        <f t="shared" si="1"/>
        <v>18</v>
      </c>
      <c r="C9758" s="135" t="s">
        <v>397</v>
      </c>
      <c r="D9758" s="161" t="s">
        <v>74</v>
      </c>
      <c r="E9758" s="135">
        <f t="shared" si="62"/>
        <v>22</v>
      </c>
      <c r="F9758" s="134" t="s">
        <v>3810</v>
      </c>
      <c r="G9758" s="63" t="str">
        <f>VLOOKUP(C9758, 'Class Def. - General Data'!$C$20:$C$1000,1,false)</f>
        <v>ZSI1_GLAND_PACKING</v>
      </c>
      <c r="H9758" s="63" t="str">
        <f>IFERROR(__xludf.DUMMYFUNCTION("VLOOKUP(F9758, IMPORTRANGE(""https://docs.google.com/spreadsheets/d/1Lhp9OU0JdFf_VYSMzH5lBcEaU4o8teT1piV-SNzShjg/edit?gid=554141278#gid=554141278"", ""'Char Def. - Attributes'!C20:C2242""), 1,false)"),"ALT_UOM3_SIPI")</f>
        <v>ALT_UOM3_SIPI</v>
      </c>
      <c r="I9758" s="136"/>
      <c r="R9758" s="63" t="str">
        <f t="shared" si="60"/>
        <v>ZSI1_GLAND_PACKINGALT_UOM3_SIPI</v>
      </c>
    </row>
    <row r="9759" ht="15.75" customHeight="1">
      <c r="B9759" s="63">
        <f t="shared" si="1"/>
        <v>18</v>
      </c>
      <c r="C9759" s="135" t="s">
        <v>397</v>
      </c>
      <c r="D9759" s="161" t="s">
        <v>74</v>
      </c>
      <c r="E9759" s="135">
        <f t="shared" si="62"/>
        <v>23</v>
      </c>
      <c r="F9759" s="134" t="s">
        <v>3811</v>
      </c>
      <c r="G9759" s="63" t="str">
        <f>VLOOKUP(C9759, 'Class Def. - General Data'!$C$20:$C$1000,1,false)</f>
        <v>ZSI1_GLAND_PACKING</v>
      </c>
      <c r="H9759" s="63" t="str">
        <f>IFERROR(__xludf.DUMMYFUNCTION("VLOOKUP(F9759, IMPORTRANGE(""https://docs.google.com/spreadsheets/d/1Lhp9OU0JdFf_VYSMzH5lBcEaU4o8teT1piV-SNzShjg/edit?gid=554141278#gid=554141278"", ""'Char Def. - Attributes'!C20:C2242""), 1,false)"),"ALT_DENUM_UOM3")</f>
        <v>ALT_DENUM_UOM3</v>
      </c>
      <c r="I9759" s="136"/>
      <c r="R9759" s="63" t="str">
        <f t="shared" si="60"/>
        <v>ZSI1_GLAND_PACKINGALT_DENUM_UOM3</v>
      </c>
    </row>
    <row r="9760" ht="15.75" customHeight="1">
      <c r="B9760" s="63">
        <f t="shared" si="1"/>
        <v>18</v>
      </c>
      <c r="C9760" s="135" t="s">
        <v>397</v>
      </c>
      <c r="D9760" s="161" t="s">
        <v>74</v>
      </c>
      <c r="E9760" s="135">
        <f t="shared" si="62"/>
        <v>24</v>
      </c>
      <c r="F9760" s="134" t="s">
        <v>3812</v>
      </c>
      <c r="G9760" s="63" t="str">
        <f>VLOOKUP(C9760, 'Class Def. - General Data'!$C$20:$C$1000,1,false)</f>
        <v>ZSI1_GLAND_PACKING</v>
      </c>
      <c r="H9760" s="63" t="str">
        <f>IFERROR(__xludf.DUMMYFUNCTION("VLOOKUP(F9760, IMPORTRANGE(""https://docs.google.com/spreadsheets/d/1Lhp9OU0JdFf_VYSMzH5lBcEaU4o8teT1piV-SNzShjg/edit?gid=554141278#gid=554141278"", ""'Char Def. - Attributes'!C20:C2242""), 1,false)"),"ALT_NUM_UOM3")</f>
        <v>ALT_NUM_UOM3</v>
      </c>
      <c r="I9760" s="136"/>
      <c r="R9760" s="63" t="str">
        <f t="shared" si="60"/>
        <v>ZSI1_GLAND_PACKINGALT_NUM_UOM3</v>
      </c>
    </row>
    <row r="9761" ht="15.75" customHeight="1">
      <c r="B9761" s="63">
        <f t="shared" si="1"/>
        <v>18</v>
      </c>
      <c r="C9761" s="135" t="s">
        <v>397</v>
      </c>
      <c r="D9761" s="161" t="s">
        <v>74</v>
      </c>
      <c r="E9761" s="135">
        <f t="shared" si="62"/>
        <v>25</v>
      </c>
      <c r="F9761" s="134" t="s">
        <v>3813</v>
      </c>
      <c r="G9761" s="63" t="str">
        <f>VLOOKUP(C9761, 'Class Def. - General Data'!$C$20:$C$1000,1,false)</f>
        <v>ZSI1_GLAND_PACKING</v>
      </c>
      <c r="H9761" s="63" t="str">
        <f>IFERROR(__xludf.DUMMYFUNCTION("VLOOKUP(F9761, IMPORTRANGE(""https://docs.google.com/spreadsheets/d/1Lhp9OU0JdFf_VYSMzH5lBcEaU4o8teT1piV-SNzShjg/edit?gid=554141278#gid=554141278"", ""'Char Def. - Attributes'!C20:C2242""), 1,false)"),"ALT_UOM4_SIPI")</f>
        <v>ALT_UOM4_SIPI</v>
      </c>
      <c r="I9761" s="136"/>
      <c r="R9761" s="63" t="str">
        <f t="shared" si="60"/>
        <v>ZSI1_GLAND_PACKINGALT_UOM4_SIPI</v>
      </c>
    </row>
    <row r="9762" ht="15.75" customHeight="1">
      <c r="B9762" s="63">
        <f t="shared" si="1"/>
        <v>18</v>
      </c>
      <c r="C9762" s="135" t="s">
        <v>397</v>
      </c>
      <c r="D9762" s="161" t="s">
        <v>74</v>
      </c>
      <c r="E9762" s="135">
        <f t="shared" si="62"/>
        <v>26</v>
      </c>
      <c r="F9762" s="134" t="s">
        <v>3814</v>
      </c>
      <c r="G9762" s="63" t="str">
        <f>VLOOKUP(C9762, 'Class Def. - General Data'!$C$20:$C$1000,1,false)</f>
        <v>ZSI1_GLAND_PACKING</v>
      </c>
      <c r="H9762" s="63" t="str">
        <f>IFERROR(__xludf.DUMMYFUNCTION("VLOOKUP(F9762, IMPORTRANGE(""https://docs.google.com/spreadsheets/d/1Lhp9OU0JdFf_VYSMzH5lBcEaU4o8teT1piV-SNzShjg/edit?gid=554141278#gid=554141278"", ""'Char Def. - Attributes'!C20:C2242""), 1,false)"),"ALT_DENUM_UOM4")</f>
        <v>ALT_DENUM_UOM4</v>
      </c>
      <c r="I9762" s="136"/>
      <c r="R9762" s="63" t="str">
        <f t="shared" si="60"/>
        <v>ZSI1_GLAND_PACKINGALT_DENUM_UOM4</v>
      </c>
    </row>
    <row r="9763" ht="15.75" customHeight="1">
      <c r="B9763" s="63">
        <f t="shared" si="1"/>
        <v>18</v>
      </c>
      <c r="C9763" s="135" t="s">
        <v>397</v>
      </c>
      <c r="D9763" s="161" t="s">
        <v>74</v>
      </c>
      <c r="E9763" s="135">
        <f t="shared" si="62"/>
        <v>27</v>
      </c>
      <c r="F9763" s="134" t="s">
        <v>3815</v>
      </c>
      <c r="G9763" s="63" t="str">
        <f>VLOOKUP(C9763, 'Class Def. - General Data'!$C$20:$C$1000,1,false)</f>
        <v>ZSI1_GLAND_PACKING</v>
      </c>
      <c r="H9763" s="63" t="str">
        <f>IFERROR(__xludf.DUMMYFUNCTION("VLOOKUP(F9763, IMPORTRANGE(""https://docs.google.com/spreadsheets/d/1Lhp9OU0JdFf_VYSMzH5lBcEaU4o8teT1piV-SNzShjg/edit?gid=554141278#gid=554141278"", ""'Char Def. - Attributes'!C20:C2242""), 1,false)"),"ALT_NUM_UOM4")</f>
        <v>ALT_NUM_UOM4</v>
      </c>
      <c r="I9763" s="136"/>
      <c r="R9763" s="63" t="str">
        <f t="shared" si="60"/>
        <v>ZSI1_GLAND_PACKINGALT_NUM_UOM4</v>
      </c>
    </row>
    <row r="9764" ht="15.75" customHeight="1">
      <c r="B9764" s="63">
        <f t="shared" si="1"/>
        <v>18</v>
      </c>
      <c r="C9764" s="135" t="s">
        <v>397</v>
      </c>
      <c r="D9764" s="161" t="s">
        <v>74</v>
      </c>
      <c r="E9764" s="135">
        <f t="shared" si="62"/>
        <v>28</v>
      </c>
      <c r="F9764" s="134" t="s">
        <v>3816</v>
      </c>
      <c r="G9764" s="63" t="str">
        <f>VLOOKUP(C9764, 'Class Def. - General Data'!$C$20:$C$1000,1,false)</f>
        <v>ZSI1_GLAND_PACKING</v>
      </c>
      <c r="H9764" s="63" t="str">
        <f>IFERROR(__xludf.DUMMYFUNCTION("VLOOKUP(F9764, IMPORTRANGE(""https://docs.google.com/spreadsheets/d/1Lhp9OU0JdFf_VYSMzH5lBcEaU4o8teT1piV-SNzShjg/edit?gid=554141278#gid=554141278"", ""'Char Def. - Attributes'!C20:C2242""), 1,false)"),"ALT_UOM5_SIPI")</f>
        <v>ALT_UOM5_SIPI</v>
      </c>
      <c r="I9764" s="136"/>
      <c r="R9764" s="63" t="str">
        <f t="shared" si="60"/>
        <v>ZSI1_GLAND_PACKINGALT_UOM5_SIPI</v>
      </c>
    </row>
    <row r="9765" ht="15.75" customHeight="1">
      <c r="B9765" s="63">
        <f t="shared" si="1"/>
        <v>18</v>
      </c>
      <c r="C9765" s="135" t="s">
        <v>397</v>
      </c>
      <c r="D9765" s="161" t="s">
        <v>74</v>
      </c>
      <c r="E9765" s="135">
        <f t="shared" si="62"/>
        <v>29</v>
      </c>
      <c r="F9765" s="134" t="s">
        <v>3817</v>
      </c>
      <c r="G9765" s="63" t="str">
        <f>VLOOKUP(C9765, 'Class Def. - General Data'!$C$20:$C$1000,1,false)</f>
        <v>ZSI1_GLAND_PACKING</v>
      </c>
      <c r="H9765" s="63" t="str">
        <f>IFERROR(__xludf.DUMMYFUNCTION("VLOOKUP(F9765, IMPORTRANGE(""https://docs.google.com/spreadsheets/d/1Lhp9OU0JdFf_VYSMzH5lBcEaU4o8teT1piV-SNzShjg/edit?gid=554141278#gid=554141278"", ""'Char Def. - Attributes'!C20:C2242""), 1,false)"),"ALT_DENUM_UOM5")</f>
        <v>ALT_DENUM_UOM5</v>
      </c>
      <c r="I9765" s="136"/>
      <c r="R9765" s="63" t="str">
        <f t="shared" si="60"/>
        <v>ZSI1_GLAND_PACKINGALT_DENUM_UOM5</v>
      </c>
    </row>
    <row r="9766" ht="15.75" customHeight="1">
      <c r="B9766" s="63">
        <f t="shared" si="1"/>
        <v>18</v>
      </c>
      <c r="C9766" s="135" t="s">
        <v>397</v>
      </c>
      <c r="D9766" s="161" t="s">
        <v>74</v>
      </c>
      <c r="E9766" s="135">
        <f t="shared" si="62"/>
        <v>30</v>
      </c>
      <c r="F9766" s="134" t="s">
        <v>3818</v>
      </c>
      <c r="G9766" s="63" t="str">
        <f>VLOOKUP(C9766, 'Class Def. - General Data'!$C$20:$C$1000,1,false)</f>
        <v>ZSI1_GLAND_PACKING</v>
      </c>
      <c r="H9766" s="63" t="str">
        <f>IFERROR(__xludf.DUMMYFUNCTION("VLOOKUP(F9766, IMPORTRANGE(""https://docs.google.com/spreadsheets/d/1Lhp9OU0JdFf_VYSMzH5lBcEaU4o8teT1piV-SNzShjg/edit?gid=554141278#gid=554141278"", ""'Char Def. - Attributes'!C20:C2242""), 1,false)"),"ALT_NUM_UOM5")</f>
        <v>ALT_NUM_UOM5</v>
      </c>
      <c r="I9766" s="136"/>
      <c r="R9766" s="63" t="str">
        <f t="shared" si="60"/>
        <v>ZSI1_GLAND_PACKINGALT_NUM_UOM5</v>
      </c>
    </row>
    <row r="9767" ht="15.75" customHeight="1">
      <c r="B9767" s="63">
        <f t="shared" si="1"/>
        <v>11</v>
      </c>
      <c r="C9767" s="135" t="s">
        <v>497</v>
      </c>
      <c r="D9767" s="161" t="s">
        <v>74</v>
      </c>
      <c r="E9767" s="135">
        <f t="shared" si="62"/>
        <v>1</v>
      </c>
      <c r="F9767" s="134" t="s">
        <v>4613</v>
      </c>
      <c r="G9767" s="63" t="str">
        <f>VLOOKUP(C9767, 'Class Def. - General Data'!$C$20:$C$1000,1,false)</f>
        <v>ZSI1_GREASE</v>
      </c>
      <c r="H9767" s="63" t="str">
        <f>IFERROR(__xludf.DUMMYFUNCTION("VLOOKUP(F9767, IMPORTRANGE(""https://docs.google.com/spreadsheets/d/1Lhp9OU0JdFf_VYSMzH5lBcEaU4o8teT1piV-SNzShjg/edit?gid=554141278#gid=554141278"", ""'Char Def. - Attributes'!C20:C2242""), 1,false)"),"ITEM_NAME_GREASE")</f>
        <v>ITEM_NAME_GREASE</v>
      </c>
      <c r="I9767" s="136"/>
      <c r="R9767" s="63" t="str">
        <f t="shared" si="60"/>
        <v>ZSI1_GREASEITEM_NAME_GREASE</v>
      </c>
    </row>
    <row r="9768" ht="15.75" customHeight="1">
      <c r="B9768" s="63">
        <f t="shared" si="1"/>
        <v>11</v>
      </c>
      <c r="C9768" s="135" t="s">
        <v>497</v>
      </c>
      <c r="D9768" s="161" t="s">
        <v>74</v>
      </c>
      <c r="E9768" s="135">
        <f t="shared" si="62"/>
        <v>2</v>
      </c>
      <c r="F9768" s="134" t="s">
        <v>4614</v>
      </c>
      <c r="G9768" s="63" t="str">
        <f>VLOOKUP(C9768, 'Class Def. - General Data'!$C$20:$C$1000,1,false)</f>
        <v>ZSI1_GREASE</v>
      </c>
      <c r="H9768" s="63" t="str">
        <f>IFERROR(__xludf.DUMMYFUNCTION("VLOOKUP(F9768, IMPORTRANGE(""https://docs.google.com/spreadsheets/d/1Lhp9OU0JdFf_VYSMzH5lBcEaU4o8teT1piV-SNzShjg/edit?gid=554141278#gid=554141278"", ""'Char Def. - Attributes'!C20:C2242""), 1,false)"),"SIZE_KG_GREASE")</f>
        <v>SIZE_KG_GREASE</v>
      </c>
      <c r="I9768" s="136"/>
      <c r="R9768" s="63" t="str">
        <f t="shared" si="60"/>
        <v>ZSI1_GREASESIZE_KG_GREASE</v>
      </c>
    </row>
    <row r="9769" ht="15.75" customHeight="1">
      <c r="B9769" s="63">
        <f t="shared" si="1"/>
        <v>11</v>
      </c>
      <c r="C9769" s="135" t="s">
        <v>497</v>
      </c>
      <c r="D9769" s="161" t="s">
        <v>74</v>
      </c>
      <c r="E9769" s="135">
        <f t="shared" si="62"/>
        <v>3</v>
      </c>
      <c r="F9769" s="134" t="s">
        <v>4615</v>
      </c>
      <c r="G9769" s="63" t="str">
        <f>VLOOKUP(C9769, 'Class Def. - General Data'!$C$20:$C$1000,1,false)</f>
        <v>ZSI1_GREASE</v>
      </c>
      <c r="H9769" s="63" t="str">
        <f>IFERROR(__xludf.DUMMYFUNCTION("VLOOKUP(F9769, IMPORTRANGE(""https://docs.google.com/spreadsheets/d/1Lhp9OU0JdFf_VYSMzH5lBcEaU4o8teT1piV-SNzShjg/edit?gid=554141278#gid=554141278"", ""'Char Def. - Attributes'!C20:C2242""), 1,false)"),"MFR_NO_GREASE")</f>
        <v>MFR_NO_GREASE</v>
      </c>
      <c r="I9769" s="136"/>
      <c r="R9769" s="63" t="str">
        <f t="shared" si="60"/>
        <v>ZSI1_GREASEMFR_NO_GREASE</v>
      </c>
    </row>
    <row r="9770" ht="15.75" customHeight="1">
      <c r="B9770" s="63">
        <f t="shared" si="1"/>
        <v>11</v>
      </c>
      <c r="C9770" s="135" t="s">
        <v>497</v>
      </c>
      <c r="D9770" s="161" t="s">
        <v>74</v>
      </c>
      <c r="E9770" s="135">
        <f t="shared" si="62"/>
        <v>4</v>
      </c>
      <c r="F9770" s="134" t="s">
        <v>3782</v>
      </c>
      <c r="G9770" s="63" t="str">
        <f>VLOOKUP(C9770, 'Class Def. - General Data'!$C$20:$C$1000,1,false)</f>
        <v>ZSI1_GREASE</v>
      </c>
      <c r="H9770" s="63" t="str">
        <f>IFERROR(__xludf.DUMMYFUNCTION("VLOOKUP(F9770, IMPORTRANGE(""https://docs.google.com/spreadsheets/d/1Lhp9OU0JdFf_VYSMzH5lBcEaU4o8teT1piV-SNzShjg/edit?gid=554141278#gid=554141278"", ""'Char Def. - Attributes'!C20:C2242""), 1,false)"),"BRAND_EXTERNAL")</f>
        <v>BRAND_EXTERNAL</v>
      </c>
      <c r="I9770" s="136"/>
      <c r="R9770" s="63" t="str">
        <f t="shared" si="60"/>
        <v>ZSI1_GREASEBRAND_EXTERNAL</v>
      </c>
    </row>
    <row r="9771" ht="15.75" customHeight="1">
      <c r="B9771" s="63">
        <f t="shared" si="1"/>
        <v>11</v>
      </c>
      <c r="C9771" s="135" t="s">
        <v>497</v>
      </c>
      <c r="D9771" s="161" t="s">
        <v>74</v>
      </c>
      <c r="E9771" s="135">
        <f t="shared" si="62"/>
        <v>5</v>
      </c>
      <c r="F9771" s="134" t="s">
        <v>3585</v>
      </c>
      <c r="G9771" s="63" t="str">
        <f>VLOOKUP(C9771, 'Class Def. - General Data'!$C$20:$C$1000,1,false)</f>
        <v>ZSI1_GREASE</v>
      </c>
      <c r="H9771" s="63" t="str">
        <f>IFERROR(__xludf.DUMMYFUNCTION("VLOOKUP(F9771, IMPORTRANGE(""https://docs.google.com/spreadsheets/d/1Lhp9OU0JdFf_VYSMzH5lBcEaU4o8teT1piV-SNzShjg/edit?gid=554141278#gid=554141278"", ""'Char Def. - Attributes'!C20:C2242""), 1,false)"),"HS_CODE")</f>
        <v>HS_CODE</v>
      </c>
      <c r="I9771" s="136"/>
      <c r="R9771" s="63" t="str">
        <f t="shared" si="60"/>
        <v>ZSI1_GREASEHS_CODE</v>
      </c>
    </row>
    <row r="9772" ht="15.75" customHeight="1">
      <c r="B9772" s="63">
        <f t="shared" si="1"/>
        <v>11</v>
      </c>
      <c r="C9772" s="135" t="s">
        <v>497</v>
      </c>
      <c r="D9772" s="161" t="s">
        <v>74</v>
      </c>
      <c r="E9772" s="135">
        <f t="shared" si="62"/>
        <v>6</v>
      </c>
      <c r="F9772" s="134" t="s">
        <v>3587</v>
      </c>
      <c r="G9772" s="63" t="str">
        <f>VLOOKUP(C9772, 'Class Def. - General Data'!$C$20:$C$1000,1,false)</f>
        <v>ZSI1_GREASE</v>
      </c>
      <c r="H9772" s="63" t="str">
        <f>IFERROR(__xludf.DUMMYFUNCTION("VLOOKUP(F9772, IMPORTRANGE(""https://docs.google.com/spreadsheets/d/1Lhp9OU0JdFf_VYSMzH5lBcEaU4o8teT1piV-SNzShjg/edit?gid=554141278#gid=554141278"", ""'Char Def. - Attributes'!C20:C2242""), 1,false)"),"PLANT_BUY")</f>
        <v>PLANT_BUY</v>
      </c>
      <c r="I9772" s="136"/>
      <c r="R9772" s="63" t="str">
        <f t="shared" si="60"/>
        <v>ZSI1_GREASEPLANT_BUY</v>
      </c>
    </row>
    <row r="9773" ht="15.75" customHeight="1">
      <c r="B9773" s="63">
        <f t="shared" si="1"/>
        <v>11</v>
      </c>
      <c r="C9773" s="135" t="s">
        <v>497</v>
      </c>
      <c r="D9773" s="161" t="s">
        <v>74</v>
      </c>
      <c r="E9773" s="135">
        <f t="shared" si="62"/>
        <v>7</v>
      </c>
      <c r="F9773" s="134" t="s">
        <v>4616</v>
      </c>
      <c r="G9773" s="63" t="str">
        <f>VLOOKUP(C9773, 'Class Def. - General Data'!$C$20:$C$1000,1,false)</f>
        <v>ZSI1_GREASE</v>
      </c>
      <c r="H9773" s="63" t="str">
        <f>IFERROR(__xludf.DUMMYFUNCTION("VLOOKUP(F9773, IMPORTRANGE(""https://docs.google.com/spreadsheets/d/1Lhp9OU0JdFf_VYSMzH5lBcEaU4o8teT1piV-SNzShjg/edit?gid=554141278#gid=554141278"", ""'Char Def. - Attributes'!C20:C2242""), 1,false)"),"BASE_UOM_GREASE")</f>
        <v>BASE_UOM_GREASE</v>
      </c>
      <c r="I9773" s="136"/>
      <c r="R9773" s="63" t="str">
        <f t="shared" si="60"/>
        <v>ZSI1_GREASEBASE_UOM_GREASE</v>
      </c>
    </row>
    <row r="9774" ht="15.75" customHeight="1">
      <c r="B9774" s="63">
        <f t="shared" si="1"/>
        <v>11</v>
      </c>
      <c r="C9774" s="135" t="s">
        <v>497</v>
      </c>
      <c r="D9774" s="161" t="s">
        <v>74</v>
      </c>
      <c r="E9774" s="135">
        <f t="shared" si="62"/>
        <v>8</v>
      </c>
      <c r="F9774" s="134" t="s">
        <v>4617</v>
      </c>
      <c r="G9774" s="63" t="str">
        <f>VLOOKUP(C9774, 'Class Def. - General Data'!$C$20:$C$1000,1,false)</f>
        <v>ZSI1_GREASE</v>
      </c>
      <c r="H9774" s="63" t="str">
        <f>IFERROR(__xludf.DUMMYFUNCTION("VLOOKUP(F9774, IMPORTRANGE(""https://docs.google.com/spreadsheets/d/1Lhp9OU0JdFf_VYSMzH5lBcEaU4o8teT1piV-SNzShjg/edit?gid=554141278#gid=554141278"", ""'Char Def. - Attributes'!C20:C2242""), 1,false)"),"ORDER_UNIT_GREASE")</f>
        <v>ORDER_UNIT_GREASE</v>
      </c>
      <c r="I9774" s="136"/>
      <c r="R9774" s="63" t="str">
        <f t="shared" si="60"/>
        <v>ZSI1_GREASEORDER_UNIT_GREASE</v>
      </c>
    </row>
    <row r="9775" ht="15.75" customHeight="1">
      <c r="B9775" s="63">
        <f t="shared" si="1"/>
        <v>11</v>
      </c>
      <c r="C9775" s="135" t="s">
        <v>497</v>
      </c>
      <c r="D9775" s="161" t="s">
        <v>74</v>
      </c>
      <c r="E9775" s="135">
        <f t="shared" si="62"/>
        <v>9</v>
      </c>
      <c r="F9775" s="134" t="s">
        <v>4056</v>
      </c>
      <c r="G9775" s="63" t="str">
        <f>VLOOKUP(C9775, 'Class Def. - General Data'!$C$20:$C$1000,1,false)</f>
        <v>ZSI1_GREASE</v>
      </c>
      <c r="H9775" s="63" t="str">
        <f>IFERROR(__xludf.DUMMYFUNCTION("VLOOKUP(F9775, IMPORTRANGE(""https://docs.google.com/spreadsheets/d/1Lhp9OU0JdFf_VYSMzH5lBcEaU4o8teT1piV-SNzShjg/edit?gid=554141278#gid=554141278"", ""'Char Def. - Attributes'!C20:C2242""), 1,false)"),"GROSS_WEIGHT_OPT")</f>
        <v>GROSS_WEIGHT_OPT</v>
      </c>
      <c r="I9775" s="136"/>
      <c r="R9775" s="63" t="str">
        <f t="shared" si="60"/>
        <v>ZSI1_GREASEGROSS_WEIGHT_OPT</v>
      </c>
    </row>
    <row r="9776" ht="15.75" customHeight="1">
      <c r="B9776" s="63">
        <f t="shared" si="1"/>
        <v>11</v>
      </c>
      <c r="C9776" s="135" t="s">
        <v>497</v>
      </c>
      <c r="D9776" s="161" t="s">
        <v>74</v>
      </c>
      <c r="E9776" s="135">
        <f t="shared" si="62"/>
        <v>10</v>
      </c>
      <c r="F9776" s="134" t="s">
        <v>4057</v>
      </c>
      <c r="G9776" s="63" t="str">
        <f>VLOOKUP(C9776, 'Class Def. - General Data'!$C$20:$C$1000,1,false)</f>
        <v>ZSI1_GREASE</v>
      </c>
      <c r="H9776" s="63" t="str">
        <f>IFERROR(__xludf.DUMMYFUNCTION("VLOOKUP(F9776, IMPORTRANGE(""https://docs.google.com/spreadsheets/d/1Lhp9OU0JdFf_VYSMzH5lBcEaU4o8teT1piV-SNzShjg/edit?gid=554141278#gid=554141278"", ""'Char Def. - Attributes'!C20:C2242""), 1,false)"),"NET_WEIGHT_OPT")</f>
        <v>NET_WEIGHT_OPT</v>
      </c>
      <c r="I9776" s="136"/>
      <c r="R9776" s="63" t="str">
        <f t="shared" si="60"/>
        <v>ZSI1_GREASENET_WEIGHT_OPT</v>
      </c>
    </row>
    <row r="9777" ht="15.75" customHeight="1">
      <c r="B9777" s="63">
        <f t="shared" si="1"/>
        <v>11</v>
      </c>
      <c r="C9777" s="135" t="s">
        <v>497</v>
      </c>
      <c r="D9777" s="161" t="s">
        <v>74</v>
      </c>
      <c r="E9777" s="135">
        <f t="shared" si="62"/>
        <v>11</v>
      </c>
      <c r="F9777" s="134" t="s">
        <v>4058</v>
      </c>
      <c r="G9777" s="63" t="str">
        <f>VLOOKUP(C9777, 'Class Def. - General Data'!$C$20:$C$1000,1,false)</f>
        <v>ZSI1_GREASE</v>
      </c>
      <c r="H9777" s="63" t="str">
        <f>IFERROR(__xludf.DUMMYFUNCTION("VLOOKUP(F9777, IMPORTRANGE(""https://docs.google.com/spreadsheets/d/1Lhp9OU0JdFf_VYSMzH5lBcEaU4o8teT1piV-SNzShjg/edit?gid=554141278#gid=554141278"", ""'Char Def. - Attributes'!C20:C2242""), 1,false)"),"WEIGHT_UNIT_SI")</f>
        <v>WEIGHT_UNIT_SI</v>
      </c>
      <c r="I9777" s="136"/>
      <c r="R9777" s="63" t="str">
        <f t="shared" si="60"/>
        <v>ZSI1_GREASEWEIGHT_UNIT_SI</v>
      </c>
    </row>
    <row r="9778" ht="15.75" customHeight="1">
      <c r="B9778" s="63">
        <f t="shared" si="1"/>
        <v>11</v>
      </c>
      <c r="C9778" s="135" t="s">
        <v>497</v>
      </c>
      <c r="D9778" s="161" t="s">
        <v>74</v>
      </c>
      <c r="E9778" s="135">
        <f t="shared" si="62"/>
        <v>12</v>
      </c>
      <c r="F9778" s="134" t="s">
        <v>3877</v>
      </c>
      <c r="G9778" s="63" t="str">
        <f>VLOOKUP(C9778, 'Class Def. - General Data'!$C$20:$C$1000,1,false)</f>
        <v>ZSI1_GREASE</v>
      </c>
      <c r="H9778" s="63" t="str">
        <f>IFERROR(__xludf.DUMMYFUNCTION("VLOOKUP(F9778, IMPORTRANGE(""https://docs.google.com/spreadsheets/d/1Lhp9OU0JdFf_VYSMzH5lBcEaU4o8teT1piV-SNzShjg/edit?gid=554141278#gid=554141278"", ""'Char Def. - Attributes'!C20:C2242""), 1,false)"),"VOLUME_OPT")</f>
        <v>VOLUME_OPT</v>
      </c>
      <c r="I9778" s="136"/>
      <c r="R9778" s="63" t="str">
        <f t="shared" si="60"/>
        <v>ZSI1_GREASEVOLUME_OPT</v>
      </c>
    </row>
    <row r="9779" ht="15.75" customHeight="1">
      <c r="B9779" s="63">
        <f t="shared" si="1"/>
        <v>11</v>
      </c>
      <c r="C9779" s="135" t="s">
        <v>497</v>
      </c>
      <c r="D9779" s="161" t="s">
        <v>74</v>
      </c>
      <c r="E9779" s="135">
        <f t="shared" si="62"/>
        <v>13</v>
      </c>
      <c r="F9779" s="134" t="s">
        <v>4059</v>
      </c>
      <c r="G9779" s="63" t="str">
        <f>VLOOKUP(C9779, 'Class Def. - General Data'!$C$20:$C$1000,1,false)</f>
        <v>ZSI1_GREASE</v>
      </c>
      <c r="H9779" s="63" t="str">
        <f>IFERROR(__xludf.DUMMYFUNCTION("VLOOKUP(F9779, IMPORTRANGE(""https://docs.google.com/spreadsheets/d/1Lhp9OU0JdFf_VYSMzH5lBcEaU4o8teT1piV-SNzShjg/edit?gid=554141278#gid=554141278"", ""'Char Def. - Attributes'!C20:C2242""), 1,false)"),"VOLUME_UNIT_SI")</f>
        <v>VOLUME_UNIT_SI</v>
      </c>
      <c r="I9779" s="136"/>
      <c r="R9779" s="63" t="str">
        <f t="shared" si="60"/>
        <v>ZSI1_GREASEVOLUME_UNIT_SI</v>
      </c>
    </row>
    <row r="9780" ht="15.75" customHeight="1">
      <c r="B9780" s="63">
        <f t="shared" si="1"/>
        <v>11</v>
      </c>
      <c r="C9780" s="135" t="s">
        <v>497</v>
      </c>
      <c r="D9780" s="161" t="s">
        <v>74</v>
      </c>
      <c r="E9780" s="135">
        <f t="shared" si="62"/>
        <v>14</v>
      </c>
      <c r="F9780" s="134" t="s">
        <v>3804</v>
      </c>
      <c r="G9780" s="63" t="str">
        <f>VLOOKUP(C9780, 'Class Def. - General Data'!$C$20:$C$1000,1,false)</f>
        <v>ZSI1_GREASE</v>
      </c>
      <c r="H9780" s="63" t="str">
        <f>IFERROR(__xludf.DUMMYFUNCTION("VLOOKUP(F9780, IMPORTRANGE(""https://docs.google.com/spreadsheets/d/1Lhp9OU0JdFf_VYSMzH5lBcEaU4o8teT1piV-SNzShjg/edit?gid=554141278#gid=554141278"", ""'Char Def. - Attributes'!C20:C2242""), 1,false)"),"ALT_UOM1_SIPI")</f>
        <v>ALT_UOM1_SIPI</v>
      </c>
      <c r="I9780" s="136"/>
      <c r="R9780" s="63" t="str">
        <f t="shared" si="60"/>
        <v>ZSI1_GREASEALT_UOM1_SIPI</v>
      </c>
    </row>
    <row r="9781" ht="15.75" customHeight="1">
      <c r="B9781" s="63">
        <f t="shared" si="1"/>
        <v>11</v>
      </c>
      <c r="C9781" s="135" t="s">
        <v>497</v>
      </c>
      <c r="D9781" s="161" t="s">
        <v>74</v>
      </c>
      <c r="E9781" s="135">
        <f t="shared" si="62"/>
        <v>15</v>
      </c>
      <c r="F9781" s="134" t="s">
        <v>3805</v>
      </c>
      <c r="G9781" s="63" t="str">
        <f>VLOOKUP(C9781, 'Class Def. - General Data'!$C$20:$C$1000,1,false)</f>
        <v>ZSI1_GREASE</v>
      </c>
      <c r="H9781" s="63" t="str">
        <f>IFERROR(__xludf.DUMMYFUNCTION("VLOOKUP(F9781, IMPORTRANGE(""https://docs.google.com/spreadsheets/d/1Lhp9OU0JdFf_VYSMzH5lBcEaU4o8teT1piV-SNzShjg/edit?gid=554141278#gid=554141278"", ""'Char Def. - Attributes'!C20:C2242""), 1,false)"),"ALT_DENUM_UOM1")</f>
        <v>ALT_DENUM_UOM1</v>
      </c>
      <c r="I9781" s="136"/>
      <c r="R9781" s="63" t="str">
        <f t="shared" si="60"/>
        <v>ZSI1_GREASEALT_DENUM_UOM1</v>
      </c>
    </row>
    <row r="9782" ht="15.75" customHeight="1">
      <c r="B9782" s="63">
        <f t="shared" si="1"/>
        <v>11</v>
      </c>
      <c r="C9782" s="135" t="s">
        <v>497</v>
      </c>
      <c r="D9782" s="161" t="s">
        <v>74</v>
      </c>
      <c r="E9782" s="135">
        <f t="shared" si="62"/>
        <v>16</v>
      </c>
      <c r="F9782" s="134" t="s">
        <v>3806</v>
      </c>
      <c r="G9782" s="63" t="str">
        <f>VLOOKUP(C9782, 'Class Def. - General Data'!$C$20:$C$1000,1,false)</f>
        <v>ZSI1_GREASE</v>
      </c>
      <c r="H9782" s="63" t="str">
        <f>IFERROR(__xludf.DUMMYFUNCTION("VLOOKUP(F9782, IMPORTRANGE(""https://docs.google.com/spreadsheets/d/1Lhp9OU0JdFf_VYSMzH5lBcEaU4o8teT1piV-SNzShjg/edit?gid=554141278#gid=554141278"", ""'Char Def. - Attributes'!C20:C2242""), 1,false)"),"ALT_NUM_UOM1")</f>
        <v>ALT_NUM_UOM1</v>
      </c>
      <c r="I9782" s="136"/>
      <c r="R9782" s="63" t="str">
        <f t="shared" si="60"/>
        <v>ZSI1_GREASEALT_NUM_UOM1</v>
      </c>
    </row>
    <row r="9783" ht="15.75" customHeight="1">
      <c r="B9783" s="63">
        <f t="shared" si="1"/>
        <v>11</v>
      </c>
      <c r="C9783" s="135" t="s">
        <v>497</v>
      </c>
      <c r="D9783" s="161" t="s">
        <v>74</v>
      </c>
      <c r="E9783" s="135">
        <f t="shared" si="62"/>
        <v>17</v>
      </c>
      <c r="F9783" s="134" t="s">
        <v>3807</v>
      </c>
      <c r="G9783" s="63" t="str">
        <f>VLOOKUP(C9783, 'Class Def. - General Data'!$C$20:$C$1000,1,false)</f>
        <v>ZSI1_GREASE</v>
      </c>
      <c r="H9783" s="63" t="str">
        <f>IFERROR(__xludf.DUMMYFUNCTION("VLOOKUP(F9783, IMPORTRANGE(""https://docs.google.com/spreadsheets/d/1Lhp9OU0JdFf_VYSMzH5lBcEaU4o8teT1piV-SNzShjg/edit?gid=554141278#gid=554141278"", ""'Char Def. - Attributes'!C20:C2242""), 1,false)"),"ALT_UOM2_SIPI")</f>
        <v>ALT_UOM2_SIPI</v>
      </c>
      <c r="I9783" s="136"/>
      <c r="R9783" s="63" t="str">
        <f t="shared" si="60"/>
        <v>ZSI1_GREASEALT_UOM2_SIPI</v>
      </c>
    </row>
    <row r="9784" ht="15.75" customHeight="1">
      <c r="B9784" s="63">
        <f t="shared" si="1"/>
        <v>11</v>
      </c>
      <c r="C9784" s="135" t="s">
        <v>497</v>
      </c>
      <c r="D9784" s="161" t="s">
        <v>74</v>
      </c>
      <c r="E9784" s="135">
        <f t="shared" si="62"/>
        <v>18</v>
      </c>
      <c r="F9784" s="134" t="s">
        <v>3808</v>
      </c>
      <c r="G9784" s="63" t="str">
        <f>VLOOKUP(C9784, 'Class Def. - General Data'!$C$20:$C$1000,1,false)</f>
        <v>ZSI1_GREASE</v>
      </c>
      <c r="H9784" s="63" t="str">
        <f>IFERROR(__xludf.DUMMYFUNCTION("VLOOKUP(F9784, IMPORTRANGE(""https://docs.google.com/spreadsheets/d/1Lhp9OU0JdFf_VYSMzH5lBcEaU4o8teT1piV-SNzShjg/edit?gid=554141278#gid=554141278"", ""'Char Def. - Attributes'!C20:C2242""), 1,false)"),"ALT_DENUM_UOM2")</f>
        <v>ALT_DENUM_UOM2</v>
      </c>
      <c r="I9784" s="136"/>
      <c r="R9784" s="63" t="str">
        <f t="shared" si="60"/>
        <v>ZSI1_GREASEALT_DENUM_UOM2</v>
      </c>
    </row>
    <row r="9785" ht="15.75" customHeight="1">
      <c r="B9785" s="63">
        <f t="shared" si="1"/>
        <v>11</v>
      </c>
      <c r="C9785" s="135" t="s">
        <v>497</v>
      </c>
      <c r="D9785" s="161" t="s">
        <v>74</v>
      </c>
      <c r="E9785" s="135">
        <f t="shared" si="62"/>
        <v>19</v>
      </c>
      <c r="F9785" s="134" t="s">
        <v>3809</v>
      </c>
      <c r="G9785" s="63" t="str">
        <f>VLOOKUP(C9785, 'Class Def. - General Data'!$C$20:$C$1000,1,false)</f>
        <v>ZSI1_GREASE</v>
      </c>
      <c r="H9785" s="63" t="str">
        <f>IFERROR(__xludf.DUMMYFUNCTION("VLOOKUP(F9785, IMPORTRANGE(""https://docs.google.com/spreadsheets/d/1Lhp9OU0JdFf_VYSMzH5lBcEaU4o8teT1piV-SNzShjg/edit?gid=554141278#gid=554141278"", ""'Char Def. - Attributes'!C20:C2242""), 1,false)"),"ALT_NUM_UOM2")</f>
        <v>ALT_NUM_UOM2</v>
      </c>
      <c r="I9785" s="136"/>
      <c r="R9785" s="63" t="str">
        <f t="shared" si="60"/>
        <v>ZSI1_GREASEALT_NUM_UOM2</v>
      </c>
    </row>
    <row r="9786" ht="15.75" customHeight="1">
      <c r="B9786" s="63">
        <f t="shared" si="1"/>
        <v>11</v>
      </c>
      <c r="C9786" s="135" t="s">
        <v>497</v>
      </c>
      <c r="D9786" s="161" t="s">
        <v>74</v>
      </c>
      <c r="E9786" s="135">
        <f t="shared" si="62"/>
        <v>20</v>
      </c>
      <c r="F9786" s="134" t="s">
        <v>3810</v>
      </c>
      <c r="G9786" s="63" t="str">
        <f>VLOOKUP(C9786, 'Class Def. - General Data'!$C$20:$C$1000,1,false)</f>
        <v>ZSI1_GREASE</v>
      </c>
      <c r="H9786" s="63" t="str">
        <f>IFERROR(__xludf.DUMMYFUNCTION("VLOOKUP(F9786, IMPORTRANGE(""https://docs.google.com/spreadsheets/d/1Lhp9OU0JdFf_VYSMzH5lBcEaU4o8teT1piV-SNzShjg/edit?gid=554141278#gid=554141278"", ""'Char Def. - Attributes'!C20:C2242""), 1,false)"),"ALT_UOM3_SIPI")</f>
        <v>ALT_UOM3_SIPI</v>
      </c>
      <c r="I9786" s="136"/>
      <c r="R9786" s="63" t="str">
        <f t="shared" si="60"/>
        <v>ZSI1_GREASEALT_UOM3_SIPI</v>
      </c>
    </row>
    <row r="9787" ht="15.75" customHeight="1">
      <c r="B9787" s="63">
        <f t="shared" si="1"/>
        <v>11</v>
      </c>
      <c r="C9787" s="135" t="s">
        <v>497</v>
      </c>
      <c r="D9787" s="161" t="s">
        <v>74</v>
      </c>
      <c r="E9787" s="135">
        <f t="shared" si="62"/>
        <v>21</v>
      </c>
      <c r="F9787" s="134" t="s">
        <v>3811</v>
      </c>
      <c r="G9787" s="63" t="str">
        <f>VLOOKUP(C9787, 'Class Def. - General Data'!$C$20:$C$1000,1,false)</f>
        <v>ZSI1_GREASE</v>
      </c>
      <c r="H9787" s="63" t="str">
        <f>IFERROR(__xludf.DUMMYFUNCTION("VLOOKUP(F9787, IMPORTRANGE(""https://docs.google.com/spreadsheets/d/1Lhp9OU0JdFf_VYSMzH5lBcEaU4o8teT1piV-SNzShjg/edit?gid=554141278#gid=554141278"", ""'Char Def. - Attributes'!C20:C2242""), 1,false)"),"ALT_DENUM_UOM3")</f>
        <v>ALT_DENUM_UOM3</v>
      </c>
      <c r="I9787" s="136"/>
      <c r="R9787" s="63" t="str">
        <f t="shared" si="60"/>
        <v>ZSI1_GREASEALT_DENUM_UOM3</v>
      </c>
    </row>
    <row r="9788" ht="15.75" customHeight="1">
      <c r="B9788" s="63">
        <f t="shared" si="1"/>
        <v>11</v>
      </c>
      <c r="C9788" s="135" t="s">
        <v>497</v>
      </c>
      <c r="D9788" s="161" t="s">
        <v>74</v>
      </c>
      <c r="E9788" s="135">
        <f t="shared" si="62"/>
        <v>22</v>
      </c>
      <c r="F9788" s="134" t="s">
        <v>3812</v>
      </c>
      <c r="G9788" s="63" t="str">
        <f>VLOOKUP(C9788, 'Class Def. - General Data'!$C$20:$C$1000,1,false)</f>
        <v>ZSI1_GREASE</v>
      </c>
      <c r="H9788" s="63" t="str">
        <f>IFERROR(__xludf.DUMMYFUNCTION("VLOOKUP(F9788, IMPORTRANGE(""https://docs.google.com/spreadsheets/d/1Lhp9OU0JdFf_VYSMzH5lBcEaU4o8teT1piV-SNzShjg/edit?gid=554141278#gid=554141278"", ""'Char Def. - Attributes'!C20:C2242""), 1,false)"),"ALT_NUM_UOM3")</f>
        <v>ALT_NUM_UOM3</v>
      </c>
      <c r="I9788" s="136"/>
      <c r="R9788" s="63" t="str">
        <f t="shared" si="60"/>
        <v>ZSI1_GREASEALT_NUM_UOM3</v>
      </c>
    </row>
    <row r="9789" ht="15.75" customHeight="1">
      <c r="B9789" s="63">
        <f t="shared" si="1"/>
        <v>11</v>
      </c>
      <c r="C9789" s="135" t="s">
        <v>497</v>
      </c>
      <c r="D9789" s="161" t="s">
        <v>74</v>
      </c>
      <c r="E9789" s="135">
        <f t="shared" si="62"/>
        <v>23</v>
      </c>
      <c r="F9789" s="134" t="s">
        <v>3813</v>
      </c>
      <c r="G9789" s="63" t="str">
        <f>VLOOKUP(C9789, 'Class Def. - General Data'!$C$20:$C$1000,1,false)</f>
        <v>ZSI1_GREASE</v>
      </c>
      <c r="H9789" s="63" t="str">
        <f>IFERROR(__xludf.DUMMYFUNCTION("VLOOKUP(F9789, IMPORTRANGE(""https://docs.google.com/spreadsheets/d/1Lhp9OU0JdFf_VYSMzH5lBcEaU4o8teT1piV-SNzShjg/edit?gid=554141278#gid=554141278"", ""'Char Def. - Attributes'!C20:C2242""), 1,false)"),"ALT_UOM4_SIPI")</f>
        <v>ALT_UOM4_SIPI</v>
      </c>
      <c r="I9789" s="136"/>
      <c r="R9789" s="63" t="str">
        <f t="shared" si="60"/>
        <v>ZSI1_GREASEALT_UOM4_SIPI</v>
      </c>
    </row>
    <row r="9790" ht="15.75" customHeight="1">
      <c r="B9790" s="63">
        <f t="shared" si="1"/>
        <v>11</v>
      </c>
      <c r="C9790" s="135" t="s">
        <v>497</v>
      </c>
      <c r="D9790" s="161" t="s">
        <v>74</v>
      </c>
      <c r="E9790" s="135">
        <f t="shared" si="62"/>
        <v>24</v>
      </c>
      <c r="F9790" s="134" t="s">
        <v>3814</v>
      </c>
      <c r="G9790" s="63" t="str">
        <f>VLOOKUP(C9790, 'Class Def. - General Data'!$C$20:$C$1000,1,false)</f>
        <v>ZSI1_GREASE</v>
      </c>
      <c r="H9790" s="63" t="str">
        <f>IFERROR(__xludf.DUMMYFUNCTION("VLOOKUP(F9790, IMPORTRANGE(""https://docs.google.com/spreadsheets/d/1Lhp9OU0JdFf_VYSMzH5lBcEaU4o8teT1piV-SNzShjg/edit?gid=554141278#gid=554141278"", ""'Char Def. - Attributes'!C20:C2242""), 1,false)"),"ALT_DENUM_UOM4")</f>
        <v>ALT_DENUM_UOM4</v>
      </c>
      <c r="I9790" s="136"/>
      <c r="R9790" s="63" t="str">
        <f t="shared" si="60"/>
        <v>ZSI1_GREASEALT_DENUM_UOM4</v>
      </c>
    </row>
    <row r="9791" ht="15.75" customHeight="1">
      <c r="B9791" s="63">
        <f t="shared" si="1"/>
        <v>11</v>
      </c>
      <c r="C9791" s="135" t="s">
        <v>497</v>
      </c>
      <c r="D9791" s="161" t="s">
        <v>74</v>
      </c>
      <c r="E9791" s="135">
        <f t="shared" si="62"/>
        <v>25</v>
      </c>
      <c r="F9791" s="134" t="s">
        <v>3815</v>
      </c>
      <c r="G9791" s="63" t="str">
        <f>VLOOKUP(C9791, 'Class Def. - General Data'!$C$20:$C$1000,1,false)</f>
        <v>ZSI1_GREASE</v>
      </c>
      <c r="H9791" s="63" t="str">
        <f>IFERROR(__xludf.DUMMYFUNCTION("VLOOKUP(F9791, IMPORTRANGE(""https://docs.google.com/spreadsheets/d/1Lhp9OU0JdFf_VYSMzH5lBcEaU4o8teT1piV-SNzShjg/edit?gid=554141278#gid=554141278"", ""'Char Def. - Attributes'!C20:C2242""), 1,false)"),"ALT_NUM_UOM4")</f>
        <v>ALT_NUM_UOM4</v>
      </c>
      <c r="I9791" s="136"/>
      <c r="R9791" s="63" t="str">
        <f t="shared" si="60"/>
        <v>ZSI1_GREASEALT_NUM_UOM4</v>
      </c>
    </row>
    <row r="9792" ht="15.75" customHeight="1">
      <c r="B9792" s="63">
        <f t="shared" si="1"/>
        <v>11</v>
      </c>
      <c r="C9792" s="135" t="s">
        <v>497</v>
      </c>
      <c r="D9792" s="161" t="s">
        <v>74</v>
      </c>
      <c r="E9792" s="135">
        <f t="shared" si="62"/>
        <v>26</v>
      </c>
      <c r="F9792" s="134" t="s">
        <v>3816</v>
      </c>
      <c r="G9792" s="63" t="str">
        <f>VLOOKUP(C9792, 'Class Def. - General Data'!$C$20:$C$1000,1,false)</f>
        <v>ZSI1_GREASE</v>
      </c>
      <c r="H9792" s="63" t="str">
        <f>IFERROR(__xludf.DUMMYFUNCTION("VLOOKUP(F9792, IMPORTRANGE(""https://docs.google.com/spreadsheets/d/1Lhp9OU0JdFf_VYSMzH5lBcEaU4o8teT1piV-SNzShjg/edit?gid=554141278#gid=554141278"", ""'Char Def. - Attributes'!C20:C2242""), 1,false)"),"ALT_UOM5_SIPI")</f>
        <v>ALT_UOM5_SIPI</v>
      </c>
      <c r="I9792" s="136"/>
      <c r="R9792" s="63" t="str">
        <f t="shared" si="60"/>
        <v>ZSI1_GREASEALT_UOM5_SIPI</v>
      </c>
    </row>
    <row r="9793" ht="15.75" customHeight="1">
      <c r="B9793" s="63">
        <f t="shared" si="1"/>
        <v>11</v>
      </c>
      <c r="C9793" s="135" t="s">
        <v>497</v>
      </c>
      <c r="D9793" s="161" t="s">
        <v>74</v>
      </c>
      <c r="E9793" s="135">
        <f t="shared" si="62"/>
        <v>27</v>
      </c>
      <c r="F9793" s="134" t="s">
        <v>3817</v>
      </c>
      <c r="G9793" s="63" t="str">
        <f>VLOOKUP(C9793, 'Class Def. - General Data'!$C$20:$C$1000,1,false)</f>
        <v>ZSI1_GREASE</v>
      </c>
      <c r="H9793" s="63" t="str">
        <f>IFERROR(__xludf.DUMMYFUNCTION("VLOOKUP(F9793, IMPORTRANGE(""https://docs.google.com/spreadsheets/d/1Lhp9OU0JdFf_VYSMzH5lBcEaU4o8teT1piV-SNzShjg/edit?gid=554141278#gid=554141278"", ""'Char Def. - Attributes'!C20:C2242""), 1,false)"),"ALT_DENUM_UOM5")</f>
        <v>ALT_DENUM_UOM5</v>
      </c>
      <c r="I9793" s="136"/>
      <c r="R9793" s="63" t="str">
        <f t="shared" si="60"/>
        <v>ZSI1_GREASEALT_DENUM_UOM5</v>
      </c>
    </row>
    <row r="9794" ht="15.75" customHeight="1">
      <c r="B9794" s="63">
        <f t="shared" si="1"/>
        <v>11</v>
      </c>
      <c r="C9794" s="135" t="s">
        <v>497</v>
      </c>
      <c r="D9794" s="161" t="s">
        <v>74</v>
      </c>
      <c r="E9794" s="135">
        <f t="shared" si="62"/>
        <v>28</v>
      </c>
      <c r="F9794" s="134" t="s">
        <v>3818</v>
      </c>
      <c r="G9794" s="63" t="str">
        <f>VLOOKUP(C9794, 'Class Def. - General Data'!$C$20:$C$1000,1,false)</f>
        <v>ZSI1_GREASE</v>
      </c>
      <c r="H9794" s="63" t="str">
        <f>IFERROR(__xludf.DUMMYFUNCTION("VLOOKUP(F9794, IMPORTRANGE(""https://docs.google.com/spreadsheets/d/1Lhp9OU0JdFf_VYSMzH5lBcEaU4o8teT1piV-SNzShjg/edit?gid=554141278#gid=554141278"", ""'Char Def. - Attributes'!C20:C2242""), 1,false)"),"ALT_NUM_UOM5")</f>
        <v>ALT_NUM_UOM5</v>
      </c>
      <c r="I9794" s="136"/>
      <c r="R9794" s="63" t="str">
        <f t="shared" si="60"/>
        <v>ZSI1_GREASEALT_NUM_UOM5</v>
      </c>
    </row>
    <row r="9795" ht="15.75" customHeight="1">
      <c r="B9795" s="63">
        <f t="shared" si="1"/>
        <v>16</v>
      </c>
      <c r="C9795" s="135" t="s">
        <v>398</v>
      </c>
      <c r="D9795" s="161" t="s">
        <v>74</v>
      </c>
      <c r="E9795" s="135">
        <f t="shared" si="62"/>
        <v>1</v>
      </c>
      <c r="F9795" s="134" t="s">
        <v>4618</v>
      </c>
      <c r="G9795" s="63" t="str">
        <f>VLOOKUP(C9795, 'Class Def. - General Data'!$C$20:$C$1000,1,false)</f>
        <v>ZSI1_GRIND_WHEEL</v>
      </c>
      <c r="H9795" s="63" t="str">
        <f>IFERROR(__xludf.DUMMYFUNCTION("VLOOKUP(F9795, IMPORTRANGE(""https://docs.google.com/spreadsheets/d/1Lhp9OU0JdFf_VYSMzH5lBcEaU4o8teT1piV-SNzShjg/edit?gid=554141278#gid=554141278"", ""'Char Def. - Attributes'!C20:C2242""), 1,false)"),"ITEM_NAME_GRIND_WHEEL")</f>
        <v>ITEM_NAME_GRIND_WHEEL</v>
      </c>
      <c r="I9795" s="136"/>
      <c r="R9795" s="63" t="str">
        <f t="shared" si="60"/>
        <v>ZSI1_GRIND_WHEELITEM_NAME_GRIND_WHEEL</v>
      </c>
    </row>
    <row r="9796" ht="15.75" customHeight="1">
      <c r="B9796" s="63">
        <f t="shared" si="1"/>
        <v>16</v>
      </c>
      <c r="C9796" s="135" t="s">
        <v>398</v>
      </c>
      <c r="D9796" s="161" t="s">
        <v>74</v>
      </c>
      <c r="E9796" s="135">
        <f t="shared" si="62"/>
        <v>2</v>
      </c>
      <c r="F9796" s="134" t="s">
        <v>4619</v>
      </c>
      <c r="G9796" s="63" t="str">
        <f>VLOOKUP(C9796, 'Class Def. - General Data'!$C$20:$C$1000,1,false)</f>
        <v>ZSI1_GRIND_WHEEL</v>
      </c>
      <c r="H9796" s="63" t="str">
        <f>IFERROR(__xludf.DUMMYFUNCTION("VLOOKUP(F9796, IMPORTRANGE(""https://docs.google.com/spreadsheets/d/1Lhp9OU0JdFf_VYSMzH5lBcEaU4o8teT1piV-SNzShjg/edit?gid=554141278#gid=554141278"", ""'Char Def. - Attributes'!C20:C2242""), 1,false)"),"WHEEL_SHAPE_GRIND_WHEEL")</f>
        <v>WHEEL_SHAPE_GRIND_WHEEL</v>
      </c>
      <c r="I9796" s="136"/>
      <c r="R9796" s="63" t="str">
        <f t="shared" si="60"/>
        <v>ZSI1_GRIND_WHEELWHEEL_SHAPE_GRIND_WHEEL</v>
      </c>
    </row>
    <row r="9797" ht="15.75" customHeight="1">
      <c r="B9797" s="63">
        <f t="shared" si="1"/>
        <v>16</v>
      </c>
      <c r="C9797" s="135" t="s">
        <v>398</v>
      </c>
      <c r="D9797" s="161" t="s">
        <v>74</v>
      </c>
      <c r="E9797" s="135">
        <f t="shared" si="62"/>
        <v>3</v>
      </c>
      <c r="F9797" s="134" t="s">
        <v>4620</v>
      </c>
      <c r="G9797" s="63" t="str">
        <f>VLOOKUP(C9797, 'Class Def. - General Data'!$C$20:$C$1000,1,false)</f>
        <v>ZSI1_GRIND_WHEEL</v>
      </c>
      <c r="H9797" s="63" t="str">
        <f>IFERROR(__xludf.DUMMYFUNCTION("VLOOKUP(F9797, IMPORTRANGE(""https://docs.google.com/spreadsheets/d/1Lhp9OU0JdFf_VYSMzH5lBcEaU4o8teT1piV-SNzShjg/edit?gid=554141278#gid=554141278"", ""'Char Def. - Attributes'!C20:C2242""), 1,false)"),"DIMENSION_GRIND_WHEEL")</f>
        <v>DIMENSION_GRIND_WHEEL</v>
      </c>
      <c r="I9797" s="136"/>
      <c r="R9797" s="63" t="str">
        <f t="shared" si="60"/>
        <v>ZSI1_GRIND_WHEELDIMENSION_GRIND_WHEEL</v>
      </c>
    </row>
    <row r="9798" ht="15.75" customHeight="1">
      <c r="B9798" s="63">
        <f t="shared" si="1"/>
        <v>16</v>
      </c>
      <c r="C9798" s="135" t="s">
        <v>398</v>
      </c>
      <c r="D9798" s="161" t="s">
        <v>74</v>
      </c>
      <c r="E9798" s="135">
        <f t="shared" si="62"/>
        <v>4</v>
      </c>
      <c r="F9798" s="134" t="s">
        <v>4621</v>
      </c>
      <c r="G9798" s="63" t="str">
        <f>VLOOKUP(C9798, 'Class Def. - General Data'!$C$20:$C$1000,1,false)</f>
        <v>ZSI1_GRIND_WHEEL</v>
      </c>
      <c r="H9798" s="63" t="str">
        <f>IFERROR(__xludf.DUMMYFUNCTION("VLOOKUP(F9798, IMPORTRANGE(""https://docs.google.com/spreadsheets/d/1Lhp9OU0JdFf_VYSMzH5lBcEaU4o8teT1piV-SNzShjg/edit?gid=554141278#gid=554141278"", ""'Char Def. - Attributes'!C20:C2242""), 1,false)"),"OUTSIDE_DIAMTR_MM_GRIND_WHEEL")</f>
        <v>OUTSIDE_DIAMTR_MM_GRIND_WHEEL</v>
      </c>
      <c r="I9798" s="136"/>
      <c r="R9798" s="63" t="str">
        <f t="shared" si="60"/>
        <v>ZSI1_GRIND_WHEELOUTSIDE_DIAMTR_MM_GRIND_WHEEL</v>
      </c>
    </row>
    <row r="9799" ht="15.75" customHeight="1">
      <c r="B9799" s="63">
        <f t="shared" si="1"/>
        <v>16</v>
      </c>
      <c r="C9799" s="135" t="s">
        <v>398</v>
      </c>
      <c r="D9799" s="161" t="s">
        <v>74</v>
      </c>
      <c r="E9799" s="135">
        <f t="shared" si="62"/>
        <v>5</v>
      </c>
      <c r="F9799" s="134" t="s">
        <v>4622</v>
      </c>
      <c r="G9799" s="63" t="str">
        <f>VLOOKUP(C9799, 'Class Def. - General Data'!$C$20:$C$1000,1,false)</f>
        <v>ZSI1_GRIND_WHEEL</v>
      </c>
      <c r="H9799" s="63" t="str">
        <f>IFERROR(__xludf.DUMMYFUNCTION("VLOOKUP(F9799, IMPORTRANGE(""https://docs.google.com/spreadsheets/d/1Lhp9OU0JdFf_VYSMzH5lBcEaU4o8teT1piV-SNzShjg/edit?gid=554141278#gid=554141278"", ""'Char Def. - Attributes'!C20:C2242""), 1,false)"),"WHEEL_THICKNESS_MM_GRIND_WHEEL")</f>
        <v>WHEEL_THICKNESS_MM_GRIND_WHEEL</v>
      </c>
      <c r="I9799" s="136"/>
      <c r="R9799" s="63" t="str">
        <f t="shared" si="60"/>
        <v>ZSI1_GRIND_WHEELWHEEL_THICKNESS_MM_GRIND_WHEEL</v>
      </c>
    </row>
    <row r="9800" ht="15.75" customHeight="1">
      <c r="B9800" s="63">
        <f t="shared" si="1"/>
        <v>16</v>
      </c>
      <c r="C9800" s="135" t="s">
        <v>398</v>
      </c>
      <c r="D9800" s="161" t="s">
        <v>74</v>
      </c>
      <c r="E9800" s="135">
        <f t="shared" si="62"/>
        <v>6</v>
      </c>
      <c r="F9800" s="134" t="s">
        <v>4623</v>
      </c>
      <c r="G9800" s="63" t="str">
        <f>VLOOKUP(C9800, 'Class Def. - General Data'!$C$20:$C$1000,1,false)</f>
        <v>ZSI1_GRIND_WHEEL</v>
      </c>
      <c r="H9800" s="63" t="str">
        <f>IFERROR(__xludf.DUMMYFUNCTION("VLOOKUP(F9800, IMPORTRANGE(""https://docs.google.com/spreadsheets/d/1Lhp9OU0JdFf_VYSMzH5lBcEaU4o8teT1piV-SNzShjg/edit?gid=554141278#gid=554141278"", ""'Char Def. - Attributes'!C20:C2242""), 1,false)"),"OUTSID_DIAMTR_INCH_GRIND_WHEEL")</f>
        <v>OUTSID_DIAMTR_INCH_GRIND_WHEEL</v>
      </c>
      <c r="I9800" s="136"/>
      <c r="R9800" s="63" t="str">
        <f t="shared" si="60"/>
        <v>ZSI1_GRIND_WHEELOUTSID_DIAMTR_INCH_GRIND_WHEEL</v>
      </c>
    </row>
    <row r="9801" ht="15.75" customHeight="1">
      <c r="B9801" s="63">
        <f t="shared" si="1"/>
        <v>16</v>
      </c>
      <c r="C9801" s="135" t="s">
        <v>398</v>
      </c>
      <c r="D9801" s="161" t="s">
        <v>74</v>
      </c>
      <c r="E9801" s="135">
        <f t="shared" si="62"/>
        <v>7</v>
      </c>
      <c r="F9801" s="134" t="s">
        <v>4624</v>
      </c>
      <c r="G9801" s="63" t="str">
        <f>VLOOKUP(C9801, 'Class Def. - General Data'!$C$20:$C$1000,1,false)</f>
        <v>ZSI1_GRIND_WHEEL</v>
      </c>
      <c r="H9801" s="63" t="str">
        <f>IFERROR(__xludf.DUMMYFUNCTION("VLOOKUP(F9801, IMPORTRANGE(""https://docs.google.com/spreadsheets/d/1Lhp9OU0JdFf_VYSMzH5lBcEaU4o8teT1piV-SNzShjg/edit?gid=554141278#gid=554141278"", ""'Char Def. - Attributes'!C20:C2242""), 1,false)"),"WHL_THICKNESS_INCH_GRIND_WHEEL")</f>
        <v>WHL_THICKNESS_INCH_GRIND_WHEEL</v>
      </c>
      <c r="I9801" s="136"/>
      <c r="R9801" s="63" t="str">
        <f t="shared" si="60"/>
        <v>ZSI1_GRIND_WHEELWHL_THICKNESS_INCH_GRIND_WHEEL</v>
      </c>
    </row>
    <row r="9802" ht="15.75" customHeight="1">
      <c r="B9802" s="63">
        <f t="shared" si="1"/>
        <v>16</v>
      </c>
      <c r="C9802" s="135" t="s">
        <v>398</v>
      </c>
      <c r="D9802" s="161" t="s">
        <v>74</v>
      </c>
      <c r="E9802" s="135">
        <f t="shared" si="62"/>
        <v>8</v>
      </c>
      <c r="F9802" s="134" t="s">
        <v>4625</v>
      </c>
      <c r="G9802" s="63" t="str">
        <f>VLOOKUP(C9802, 'Class Def. - General Data'!$C$20:$C$1000,1,false)</f>
        <v>ZSI1_GRIND_WHEEL</v>
      </c>
      <c r="H9802" s="63" t="str">
        <f>IFERROR(__xludf.DUMMYFUNCTION("VLOOKUP(F9802, IMPORTRANGE(""https://docs.google.com/spreadsheets/d/1Lhp9OU0JdFf_VYSMzH5lBcEaU4o8teT1piV-SNzShjg/edit?gid=554141278#gid=554141278"", ""'Char Def. - Attributes'!C20:C2242""), 1,false)"),"GRIT_SIZE_GRIND_WHEEL")</f>
        <v>GRIT_SIZE_GRIND_WHEEL</v>
      </c>
      <c r="I9802" s="136"/>
      <c r="R9802" s="63" t="str">
        <f t="shared" si="60"/>
        <v>ZSI1_GRIND_WHEELGRIT_SIZE_GRIND_WHEEL</v>
      </c>
    </row>
    <row r="9803" ht="15.75" customHeight="1">
      <c r="B9803" s="63">
        <f t="shared" si="1"/>
        <v>16</v>
      </c>
      <c r="C9803" s="135" t="s">
        <v>398</v>
      </c>
      <c r="D9803" s="161" t="s">
        <v>74</v>
      </c>
      <c r="E9803" s="135">
        <f t="shared" si="62"/>
        <v>9</v>
      </c>
      <c r="F9803" s="134" t="s">
        <v>3585</v>
      </c>
      <c r="G9803" s="63" t="str">
        <f>VLOOKUP(C9803, 'Class Def. - General Data'!$C$20:$C$1000,1,false)</f>
        <v>ZSI1_GRIND_WHEEL</v>
      </c>
      <c r="H9803" s="63" t="str">
        <f>IFERROR(__xludf.DUMMYFUNCTION("VLOOKUP(F9803, IMPORTRANGE(""https://docs.google.com/spreadsheets/d/1Lhp9OU0JdFf_VYSMzH5lBcEaU4o8teT1piV-SNzShjg/edit?gid=554141278#gid=554141278"", ""'Char Def. - Attributes'!C20:C2242""), 1,false)"),"HS_CODE")</f>
        <v>HS_CODE</v>
      </c>
      <c r="I9803" s="136"/>
      <c r="R9803" s="63" t="str">
        <f t="shared" si="60"/>
        <v>ZSI1_GRIND_WHEELHS_CODE</v>
      </c>
    </row>
    <row r="9804" ht="15.75" customHeight="1">
      <c r="B9804" s="63">
        <f t="shared" si="1"/>
        <v>16</v>
      </c>
      <c r="C9804" s="135" t="s">
        <v>398</v>
      </c>
      <c r="D9804" s="161" t="s">
        <v>74</v>
      </c>
      <c r="E9804" s="135">
        <f t="shared" si="62"/>
        <v>10</v>
      </c>
      <c r="F9804" s="134" t="s">
        <v>3587</v>
      </c>
      <c r="G9804" s="63" t="str">
        <f>VLOOKUP(C9804, 'Class Def. - General Data'!$C$20:$C$1000,1,false)</f>
        <v>ZSI1_GRIND_WHEEL</v>
      </c>
      <c r="H9804" s="63" t="str">
        <f>IFERROR(__xludf.DUMMYFUNCTION("VLOOKUP(F9804, IMPORTRANGE(""https://docs.google.com/spreadsheets/d/1Lhp9OU0JdFf_VYSMzH5lBcEaU4o8teT1piV-SNzShjg/edit?gid=554141278#gid=554141278"", ""'Char Def. - Attributes'!C20:C2242""), 1,false)"),"PLANT_BUY")</f>
        <v>PLANT_BUY</v>
      </c>
      <c r="I9804" s="136"/>
      <c r="R9804" s="63" t="str">
        <f t="shared" si="60"/>
        <v>ZSI1_GRIND_WHEELPLANT_BUY</v>
      </c>
    </row>
    <row r="9805" ht="15.75" customHeight="1">
      <c r="B9805" s="63">
        <f t="shared" si="1"/>
        <v>16</v>
      </c>
      <c r="C9805" s="135" t="s">
        <v>398</v>
      </c>
      <c r="D9805" s="161" t="s">
        <v>74</v>
      </c>
      <c r="E9805" s="135">
        <f t="shared" si="62"/>
        <v>11</v>
      </c>
      <c r="F9805" s="134" t="s">
        <v>4626</v>
      </c>
      <c r="G9805" s="63" t="str">
        <f>VLOOKUP(C9805, 'Class Def. - General Data'!$C$20:$C$1000,1,false)</f>
        <v>ZSI1_GRIND_WHEEL</v>
      </c>
      <c r="H9805" s="63" t="str">
        <f>IFERROR(__xludf.DUMMYFUNCTION("VLOOKUP(F9805, IMPORTRANGE(""https://docs.google.com/spreadsheets/d/1Lhp9OU0JdFf_VYSMzH5lBcEaU4o8teT1piV-SNzShjg/edit?gid=554141278#gid=554141278"", ""'Char Def. - Attributes'!C20:C2242""), 1,false)"),"BASE_UOM_GRIND_WHEEL")</f>
        <v>BASE_UOM_GRIND_WHEEL</v>
      </c>
      <c r="I9805" s="136"/>
      <c r="R9805" s="63" t="str">
        <f t="shared" si="60"/>
        <v>ZSI1_GRIND_WHEELBASE_UOM_GRIND_WHEEL</v>
      </c>
    </row>
    <row r="9806" ht="15.75" customHeight="1">
      <c r="B9806" s="63">
        <f t="shared" si="1"/>
        <v>16</v>
      </c>
      <c r="C9806" s="135" t="s">
        <v>398</v>
      </c>
      <c r="D9806" s="161" t="s">
        <v>74</v>
      </c>
      <c r="E9806" s="135">
        <f t="shared" si="62"/>
        <v>12</v>
      </c>
      <c r="F9806" s="134" t="s">
        <v>4627</v>
      </c>
      <c r="G9806" s="63" t="str">
        <f>VLOOKUP(C9806, 'Class Def. - General Data'!$C$20:$C$1000,1,false)</f>
        <v>ZSI1_GRIND_WHEEL</v>
      </c>
      <c r="H9806" s="63" t="str">
        <f>IFERROR(__xludf.DUMMYFUNCTION("VLOOKUP(F9806, IMPORTRANGE(""https://docs.google.com/spreadsheets/d/1Lhp9OU0JdFf_VYSMzH5lBcEaU4o8teT1piV-SNzShjg/edit?gid=554141278#gid=554141278"", ""'Char Def. - Attributes'!C20:C2242""), 1,false)"),"ORDER_UNIT_GRIND_WHEEL")</f>
        <v>ORDER_UNIT_GRIND_WHEEL</v>
      </c>
      <c r="I9806" s="136"/>
      <c r="R9806" s="63" t="str">
        <f t="shared" si="60"/>
        <v>ZSI1_GRIND_WHEELORDER_UNIT_GRIND_WHEEL</v>
      </c>
    </row>
    <row r="9807" ht="15.75" customHeight="1">
      <c r="B9807" s="63">
        <f t="shared" si="1"/>
        <v>16</v>
      </c>
      <c r="C9807" s="135" t="s">
        <v>398</v>
      </c>
      <c r="D9807" s="161" t="s">
        <v>74</v>
      </c>
      <c r="E9807" s="135">
        <f t="shared" si="62"/>
        <v>13</v>
      </c>
      <c r="F9807" s="134" t="s">
        <v>4056</v>
      </c>
      <c r="G9807" s="63" t="str">
        <f>VLOOKUP(C9807, 'Class Def. - General Data'!$C$20:$C$1000,1,false)</f>
        <v>ZSI1_GRIND_WHEEL</v>
      </c>
      <c r="H9807" s="63" t="str">
        <f>IFERROR(__xludf.DUMMYFUNCTION("VLOOKUP(F9807, IMPORTRANGE(""https://docs.google.com/spreadsheets/d/1Lhp9OU0JdFf_VYSMzH5lBcEaU4o8teT1piV-SNzShjg/edit?gid=554141278#gid=554141278"", ""'Char Def. - Attributes'!C20:C2242""), 1,false)"),"GROSS_WEIGHT_OPT")</f>
        <v>GROSS_WEIGHT_OPT</v>
      </c>
      <c r="I9807" s="136"/>
      <c r="R9807" s="63" t="str">
        <f t="shared" si="60"/>
        <v>ZSI1_GRIND_WHEELGROSS_WEIGHT_OPT</v>
      </c>
    </row>
    <row r="9808" ht="15.75" customHeight="1">
      <c r="B9808" s="63">
        <f t="shared" si="1"/>
        <v>16</v>
      </c>
      <c r="C9808" s="135" t="s">
        <v>398</v>
      </c>
      <c r="D9808" s="161" t="s">
        <v>74</v>
      </c>
      <c r="E9808" s="135">
        <f t="shared" si="62"/>
        <v>14</v>
      </c>
      <c r="F9808" s="134" t="s">
        <v>4057</v>
      </c>
      <c r="G9808" s="63" t="str">
        <f>VLOOKUP(C9808, 'Class Def. - General Data'!$C$20:$C$1000,1,false)</f>
        <v>ZSI1_GRIND_WHEEL</v>
      </c>
      <c r="H9808" s="63" t="str">
        <f>IFERROR(__xludf.DUMMYFUNCTION("VLOOKUP(F9808, IMPORTRANGE(""https://docs.google.com/spreadsheets/d/1Lhp9OU0JdFf_VYSMzH5lBcEaU4o8teT1piV-SNzShjg/edit?gid=554141278#gid=554141278"", ""'Char Def. - Attributes'!C20:C2242""), 1,false)"),"NET_WEIGHT_OPT")</f>
        <v>NET_WEIGHT_OPT</v>
      </c>
      <c r="I9808" s="136"/>
      <c r="R9808" s="63" t="str">
        <f t="shared" si="60"/>
        <v>ZSI1_GRIND_WHEELNET_WEIGHT_OPT</v>
      </c>
    </row>
    <row r="9809" ht="15.75" customHeight="1">
      <c r="B9809" s="63">
        <f t="shared" si="1"/>
        <v>16</v>
      </c>
      <c r="C9809" s="135" t="s">
        <v>398</v>
      </c>
      <c r="D9809" s="161" t="s">
        <v>74</v>
      </c>
      <c r="E9809" s="135">
        <f t="shared" si="62"/>
        <v>15</v>
      </c>
      <c r="F9809" s="134" t="s">
        <v>4058</v>
      </c>
      <c r="G9809" s="63" t="str">
        <f>VLOOKUP(C9809, 'Class Def. - General Data'!$C$20:$C$1000,1,false)</f>
        <v>ZSI1_GRIND_WHEEL</v>
      </c>
      <c r="H9809" s="63" t="str">
        <f>IFERROR(__xludf.DUMMYFUNCTION("VLOOKUP(F9809, IMPORTRANGE(""https://docs.google.com/spreadsheets/d/1Lhp9OU0JdFf_VYSMzH5lBcEaU4o8teT1piV-SNzShjg/edit?gid=554141278#gid=554141278"", ""'Char Def. - Attributes'!C20:C2242""), 1,false)"),"WEIGHT_UNIT_SI")</f>
        <v>WEIGHT_UNIT_SI</v>
      </c>
      <c r="I9809" s="136"/>
      <c r="R9809" s="63" t="str">
        <f t="shared" si="60"/>
        <v>ZSI1_GRIND_WHEELWEIGHT_UNIT_SI</v>
      </c>
    </row>
    <row r="9810" ht="15.75" customHeight="1">
      <c r="B9810" s="63">
        <f t="shared" si="1"/>
        <v>16</v>
      </c>
      <c r="C9810" s="135" t="s">
        <v>398</v>
      </c>
      <c r="D9810" s="161" t="s">
        <v>74</v>
      </c>
      <c r="E9810" s="135">
        <f t="shared" si="62"/>
        <v>16</v>
      </c>
      <c r="F9810" s="134" t="s">
        <v>3877</v>
      </c>
      <c r="G9810" s="63" t="str">
        <f>VLOOKUP(C9810, 'Class Def. - General Data'!$C$20:$C$1000,1,false)</f>
        <v>ZSI1_GRIND_WHEEL</v>
      </c>
      <c r="H9810" s="63" t="str">
        <f>IFERROR(__xludf.DUMMYFUNCTION("VLOOKUP(F9810, IMPORTRANGE(""https://docs.google.com/spreadsheets/d/1Lhp9OU0JdFf_VYSMzH5lBcEaU4o8teT1piV-SNzShjg/edit?gid=554141278#gid=554141278"", ""'Char Def. - Attributes'!C20:C2242""), 1,false)"),"VOLUME_OPT")</f>
        <v>VOLUME_OPT</v>
      </c>
      <c r="I9810" s="136"/>
      <c r="R9810" s="63" t="str">
        <f t="shared" si="60"/>
        <v>ZSI1_GRIND_WHEELVOLUME_OPT</v>
      </c>
    </row>
    <row r="9811" ht="15.75" customHeight="1">
      <c r="B9811" s="63">
        <f t="shared" si="1"/>
        <v>16</v>
      </c>
      <c r="C9811" s="135" t="s">
        <v>398</v>
      </c>
      <c r="D9811" s="161" t="s">
        <v>74</v>
      </c>
      <c r="E9811" s="135">
        <f t="shared" si="62"/>
        <v>17</v>
      </c>
      <c r="F9811" s="134" t="s">
        <v>4059</v>
      </c>
      <c r="G9811" s="63" t="str">
        <f>VLOOKUP(C9811, 'Class Def. - General Data'!$C$20:$C$1000,1,false)</f>
        <v>ZSI1_GRIND_WHEEL</v>
      </c>
      <c r="H9811" s="63" t="str">
        <f>IFERROR(__xludf.DUMMYFUNCTION("VLOOKUP(F9811, IMPORTRANGE(""https://docs.google.com/spreadsheets/d/1Lhp9OU0JdFf_VYSMzH5lBcEaU4o8teT1piV-SNzShjg/edit?gid=554141278#gid=554141278"", ""'Char Def. - Attributes'!C20:C2242""), 1,false)"),"VOLUME_UNIT_SI")</f>
        <v>VOLUME_UNIT_SI</v>
      </c>
      <c r="I9811" s="136"/>
      <c r="R9811" s="63" t="str">
        <f t="shared" si="60"/>
        <v>ZSI1_GRIND_WHEELVOLUME_UNIT_SI</v>
      </c>
    </row>
    <row r="9812" ht="15.75" customHeight="1">
      <c r="B9812" s="63">
        <f t="shared" si="1"/>
        <v>16</v>
      </c>
      <c r="C9812" s="135" t="s">
        <v>398</v>
      </c>
      <c r="D9812" s="161" t="s">
        <v>74</v>
      </c>
      <c r="E9812" s="135">
        <f t="shared" si="62"/>
        <v>18</v>
      </c>
      <c r="F9812" s="134" t="s">
        <v>3804</v>
      </c>
      <c r="G9812" s="63" t="str">
        <f>VLOOKUP(C9812, 'Class Def. - General Data'!$C$20:$C$1000,1,false)</f>
        <v>ZSI1_GRIND_WHEEL</v>
      </c>
      <c r="H9812" s="63" t="str">
        <f>IFERROR(__xludf.DUMMYFUNCTION("VLOOKUP(F9812, IMPORTRANGE(""https://docs.google.com/spreadsheets/d/1Lhp9OU0JdFf_VYSMzH5lBcEaU4o8teT1piV-SNzShjg/edit?gid=554141278#gid=554141278"", ""'Char Def. - Attributes'!C20:C2242""), 1,false)"),"ALT_UOM1_SIPI")</f>
        <v>ALT_UOM1_SIPI</v>
      </c>
      <c r="I9812" s="136"/>
      <c r="R9812" s="63" t="str">
        <f t="shared" si="60"/>
        <v>ZSI1_GRIND_WHEELALT_UOM1_SIPI</v>
      </c>
    </row>
    <row r="9813" ht="15.75" customHeight="1">
      <c r="B9813" s="63">
        <f t="shared" si="1"/>
        <v>16</v>
      </c>
      <c r="C9813" s="135" t="s">
        <v>398</v>
      </c>
      <c r="D9813" s="161" t="s">
        <v>74</v>
      </c>
      <c r="E9813" s="135">
        <f t="shared" si="62"/>
        <v>19</v>
      </c>
      <c r="F9813" s="134" t="s">
        <v>3805</v>
      </c>
      <c r="G9813" s="63" t="str">
        <f>VLOOKUP(C9813, 'Class Def. - General Data'!$C$20:$C$1000,1,false)</f>
        <v>ZSI1_GRIND_WHEEL</v>
      </c>
      <c r="H9813" s="63" t="str">
        <f>IFERROR(__xludf.DUMMYFUNCTION("VLOOKUP(F9813, IMPORTRANGE(""https://docs.google.com/spreadsheets/d/1Lhp9OU0JdFf_VYSMzH5lBcEaU4o8teT1piV-SNzShjg/edit?gid=554141278#gid=554141278"", ""'Char Def. - Attributes'!C20:C2242""), 1,false)"),"ALT_DENUM_UOM1")</f>
        <v>ALT_DENUM_UOM1</v>
      </c>
      <c r="I9813" s="136"/>
      <c r="R9813" s="63" t="str">
        <f t="shared" si="60"/>
        <v>ZSI1_GRIND_WHEELALT_DENUM_UOM1</v>
      </c>
    </row>
    <row r="9814" ht="15.75" customHeight="1">
      <c r="B9814" s="63">
        <f t="shared" si="1"/>
        <v>16</v>
      </c>
      <c r="C9814" s="135" t="s">
        <v>398</v>
      </c>
      <c r="D9814" s="161" t="s">
        <v>74</v>
      </c>
      <c r="E9814" s="135">
        <f t="shared" si="62"/>
        <v>20</v>
      </c>
      <c r="F9814" s="134" t="s">
        <v>3806</v>
      </c>
      <c r="G9814" s="63" t="str">
        <f>VLOOKUP(C9814, 'Class Def. - General Data'!$C$20:$C$1000,1,false)</f>
        <v>ZSI1_GRIND_WHEEL</v>
      </c>
      <c r="H9814" s="63" t="str">
        <f>IFERROR(__xludf.DUMMYFUNCTION("VLOOKUP(F9814, IMPORTRANGE(""https://docs.google.com/spreadsheets/d/1Lhp9OU0JdFf_VYSMzH5lBcEaU4o8teT1piV-SNzShjg/edit?gid=554141278#gid=554141278"", ""'Char Def. - Attributes'!C20:C2242""), 1,false)"),"ALT_NUM_UOM1")</f>
        <v>ALT_NUM_UOM1</v>
      </c>
      <c r="I9814" s="136"/>
      <c r="R9814" s="63" t="str">
        <f t="shared" si="60"/>
        <v>ZSI1_GRIND_WHEELALT_NUM_UOM1</v>
      </c>
    </row>
    <row r="9815" ht="15.75" customHeight="1">
      <c r="B9815" s="63">
        <f t="shared" si="1"/>
        <v>16</v>
      </c>
      <c r="C9815" s="135" t="s">
        <v>398</v>
      </c>
      <c r="D9815" s="161" t="s">
        <v>74</v>
      </c>
      <c r="E9815" s="135">
        <f t="shared" si="62"/>
        <v>21</v>
      </c>
      <c r="F9815" s="134" t="s">
        <v>3807</v>
      </c>
      <c r="G9815" s="63" t="str">
        <f>VLOOKUP(C9815, 'Class Def. - General Data'!$C$20:$C$1000,1,false)</f>
        <v>ZSI1_GRIND_WHEEL</v>
      </c>
      <c r="H9815" s="63" t="str">
        <f>IFERROR(__xludf.DUMMYFUNCTION("VLOOKUP(F9815, IMPORTRANGE(""https://docs.google.com/spreadsheets/d/1Lhp9OU0JdFf_VYSMzH5lBcEaU4o8teT1piV-SNzShjg/edit?gid=554141278#gid=554141278"", ""'Char Def. - Attributes'!C20:C2242""), 1,false)"),"ALT_UOM2_SIPI")</f>
        <v>ALT_UOM2_SIPI</v>
      </c>
      <c r="I9815" s="136"/>
      <c r="R9815" s="63" t="str">
        <f t="shared" si="60"/>
        <v>ZSI1_GRIND_WHEELALT_UOM2_SIPI</v>
      </c>
    </row>
    <row r="9816" ht="15.75" customHeight="1">
      <c r="B9816" s="63">
        <f t="shared" si="1"/>
        <v>16</v>
      </c>
      <c r="C9816" s="135" t="s">
        <v>398</v>
      </c>
      <c r="D9816" s="161" t="s">
        <v>74</v>
      </c>
      <c r="E9816" s="135">
        <f t="shared" si="62"/>
        <v>22</v>
      </c>
      <c r="F9816" s="134" t="s">
        <v>3808</v>
      </c>
      <c r="G9816" s="63" t="str">
        <f>VLOOKUP(C9816, 'Class Def. - General Data'!$C$20:$C$1000,1,false)</f>
        <v>ZSI1_GRIND_WHEEL</v>
      </c>
      <c r="H9816" s="63" t="str">
        <f>IFERROR(__xludf.DUMMYFUNCTION("VLOOKUP(F9816, IMPORTRANGE(""https://docs.google.com/spreadsheets/d/1Lhp9OU0JdFf_VYSMzH5lBcEaU4o8teT1piV-SNzShjg/edit?gid=554141278#gid=554141278"", ""'Char Def. - Attributes'!C20:C2242""), 1,false)"),"ALT_DENUM_UOM2")</f>
        <v>ALT_DENUM_UOM2</v>
      </c>
      <c r="I9816" s="136"/>
      <c r="R9816" s="63" t="str">
        <f t="shared" si="60"/>
        <v>ZSI1_GRIND_WHEELALT_DENUM_UOM2</v>
      </c>
    </row>
    <row r="9817" ht="15.75" customHeight="1">
      <c r="B9817" s="63">
        <f t="shared" si="1"/>
        <v>16</v>
      </c>
      <c r="C9817" s="135" t="s">
        <v>398</v>
      </c>
      <c r="D9817" s="161" t="s">
        <v>74</v>
      </c>
      <c r="E9817" s="135">
        <f t="shared" si="62"/>
        <v>23</v>
      </c>
      <c r="F9817" s="134" t="s">
        <v>3809</v>
      </c>
      <c r="G9817" s="63" t="str">
        <f>VLOOKUP(C9817, 'Class Def. - General Data'!$C$20:$C$1000,1,false)</f>
        <v>ZSI1_GRIND_WHEEL</v>
      </c>
      <c r="H9817" s="63" t="str">
        <f>IFERROR(__xludf.DUMMYFUNCTION("VLOOKUP(F9817, IMPORTRANGE(""https://docs.google.com/spreadsheets/d/1Lhp9OU0JdFf_VYSMzH5lBcEaU4o8teT1piV-SNzShjg/edit?gid=554141278#gid=554141278"", ""'Char Def. - Attributes'!C20:C2242""), 1,false)"),"ALT_NUM_UOM2")</f>
        <v>ALT_NUM_UOM2</v>
      </c>
      <c r="I9817" s="136"/>
      <c r="R9817" s="63" t="str">
        <f t="shared" si="60"/>
        <v>ZSI1_GRIND_WHEELALT_NUM_UOM2</v>
      </c>
    </row>
    <row r="9818" ht="15.75" customHeight="1">
      <c r="B9818" s="63">
        <f t="shared" si="1"/>
        <v>16</v>
      </c>
      <c r="C9818" s="135" t="s">
        <v>398</v>
      </c>
      <c r="D9818" s="161" t="s">
        <v>74</v>
      </c>
      <c r="E9818" s="135">
        <f t="shared" si="62"/>
        <v>24</v>
      </c>
      <c r="F9818" s="134" t="s">
        <v>3810</v>
      </c>
      <c r="G9818" s="63" t="str">
        <f>VLOOKUP(C9818, 'Class Def. - General Data'!$C$20:$C$1000,1,false)</f>
        <v>ZSI1_GRIND_WHEEL</v>
      </c>
      <c r="H9818" s="63" t="str">
        <f>IFERROR(__xludf.DUMMYFUNCTION("VLOOKUP(F9818, IMPORTRANGE(""https://docs.google.com/spreadsheets/d/1Lhp9OU0JdFf_VYSMzH5lBcEaU4o8teT1piV-SNzShjg/edit?gid=554141278#gid=554141278"", ""'Char Def. - Attributes'!C20:C2242""), 1,false)"),"ALT_UOM3_SIPI")</f>
        <v>ALT_UOM3_SIPI</v>
      </c>
      <c r="I9818" s="136"/>
      <c r="R9818" s="63" t="str">
        <f t="shared" si="60"/>
        <v>ZSI1_GRIND_WHEELALT_UOM3_SIPI</v>
      </c>
    </row>
    <row r="9819" ht="15.75" customHeight="1">
      <c r="B9819" s="63">
        <f t="shared" si="1"/>
        <v>16</v>
      </c>
      <c r="C9819" s="135" t="s">
        <v>398</v>
      </c>
      <c r="D9819" s="161" t="s">
        <v>74</v>
      </c>
      <c r="E9819" s="135">
        <f t="shared" si="62"/>
        <v>25</v>
      </c>
      <c r="F9819" s="134" t="s">
        <v>3811</v>
      </c>
      <c r="G9819" s="63" t="str">
        <f>VLOOKUP(C9819, 'Class Def. - General Data'!$C$20:$C$1000,1,false)</f>
        <v>ZSI1_GRIND_WHEEL</v>
      </c>
      <c r="H9819" s="63" t="str">
        <f>IFERROR(__xludf.DUMMYFUNCTION("VLOOKUP(F9819, IMPORTRANGE(""https://docs.google.com/spreadsheets/d/1Lhp9OU0JdFf_VYSMzH5lBcEaU4o8teT1piV-SNzShjg/edit?gid=554141278#gid=554141278"", ""'Char Def. - Attributes'!C20:C2242""), 1,false)"),"ALT_DENUM_UOM3")</f>
        <v>ALT_DENUM_UOM3</v>
      </c>
      <c r="I9819" s="136"/>
      <c r="R9819" s="63" t="str">
        <f t="shared" si="60"/>
        <v>ZSI1_GRIND_WHEELALT_DENUM_UOM3</v>
      </c>
    </row>
    <row r="9820" ht="15.75" customHeight="1">
      <c r="B9820" s="63">
        <f t="shared" si="1"/>
        <v>16</v>
      </c>
      <c r="C9820" s="135" t="s">
        <v>398</v>
      </c>
      <c r="D9820" s="161" t="s">
        <v>74</v>
      </c>
      <c r="E9820" s="135">
        <f t="shared" si="62"/>
        <v>26</v>
      </c>
      <c r="F9820" s="134" t="s">
        <v>3812</v>
      </c>
      <c r="G9820" s="63" t="str">
        <f>VLOOKUP(C9820, 'Class Def. - General Data'!$C$20:$C$1000,1,false)</f>
        <v>ZSI1_GRIND_WHEEL</v>
      </c>
      <c r="H9820" s="63" t="str">
        <f>IFERROR(__xludf.DUMMYFUNCTION("VLOOKUP(F9820, IMPORTRANGE(""https://docs.google.com/spreadsheets/d/1Lhp9OU0JdFf_VYSMzH5lBcEaU4o8teT1piV-SNzShjg/edit?gid=554141278#gid=554141278"", ""'Char Def. - Attributes'!C20:C2242""), 1,false)"),"ALT_NUM_UOM3")</f>
        <v>ALT_NUM_UOM3</v>
      </c>
      <c r="I9820" s="136"/>
      <c r="R9820" s="63" t="str">
        <f t="shared" si="60"/>
        <v>ZSI1_GRIND_WHEELALT_NUM_UOM3</v>
      </c>
    </row>
    <row r="9821" ht="15.75" customHeight="1">
      <c r="B9821" s="63">
        <f t="shared" si="1"/>
        <v>16</v>
      </c>
      <c r="C9821" s="135" t="s">
        <v>398</v>
      </c>
      <c r="D9821" s="161" t="s">
        <v>74</v>
      </c>
      <c r="E9821" s="135">
        <f t="shared" si="62"/>
        <v>27</v>
      </c>
      <c r="F9821" s="134" t="s">
        <v>3813</v>
      </c>
      <c r="G9821" s="63" t="str">
        <f>VLOOKUP(C9821, 'Class Def. - General Data'!$C$20:$C$1000,1,false)</f>
        <v>ZSI1_GRIND_WHEEL</v>
      </c>
      <c r="H9821" s="63" t="str">
        <f>IFERROR(__xludf.DUMMYFUNCTION("VLOOKUP(F9821, IMPORTRANGE(""https://docs.google.com/spreadsheets/d/1Lhp9OU0JdFf_VYSMzH5lBcEaU4o8teT1piV-SNzShjg/edit?gid=554141278#gid=554141278"", ""'Char Def. - Attributes'!C20:C2242""), 1,false)"),"ALT_UOM4_SIPI")</f>
        <v>ALT_UOM4_SIPI</v>
      </c>
      <c r="I9821" s="136"/>
      <c r="R9821" s="63" t="str">
        <f t="shared" si="60"/>
        <v>ZSI1_GRIND_WHEELALT_UOM4_SIPI</v>
      </c>
    </row>
    <row r="9822" ht="15.75" customHeight="1">
      <c r="B9822" s="63">
        <f t="shared" si="1"/>
        <v>16</v>
      </c>
      <c r="C9822" s="135" t="s">
        <v>398</v>
      </c>
      <c r="D9822" s="161" t="s">
        <v>74</v>
      </c>
      <c r="E9822" s="135">
        <f t="shared" si="62"/>
        <v>28</v>
      </c>
      <c r="F9822" s="134" t="s">
        <v>3814</v>
      </c>
      <c r="G9822" s="63" t="str">
        <f>VLOOKUP(C9822, 'Class Def. - General Data'!$C$20:$C$1000,1,false)</f>
        <v>ZSI1_GRIND_WHEEL</v>
      </c>
      <c r="H9822" s="63" t="str">
        <f>IFERROR(__xludf.DUMMYFUNCTION("VLOOKUP(F9822, IMPORTRANGE(""https://docs.google.com/spreadsheets/d/1Lhp9OU0JdFf_VYSMzH5lBcEaU4o8teT1piV-SNzShjg/edit?gid=554141278#gid=554141278"", ""'Char Def. - Attributes'!C20:C2242""), 1,false)"),"ALT_DENUM_UOM4")</f>
        <v>ALT_DENUM_UOM4</v>
      </c>
      <c r="I9822" s="136"/>
      <c r="R9822" s="63" t="str">
        <f t="shared" si="60"/>
        <v>ZSI1_GRIND_WHEELALT_DENUM_UOM4</v>
      </c>
    </row>
    <row r="9823" ht="15.75" customHeight="1">
      <c r="B9823" s="63">
        <f t="shared" si="1"/>
        <v>16</v>
      </c>
      <c r="C9823" s="135" t="s">
        <v>398</v>
      </c>
      <c r="D9823" s="161" t="s">
        <v>74</v>
      </c>
      <c r="E9823" s="135">
        <f t="shared" si="62"/>
        <v>29</v>
      </c>
      <c r="F9823" s="134" t="s">
        <v>3815</v>
      </c>
      <c r="G9823" s="63" t="str">
        <f>VLOOKUP(C9823, 'Class Def. - General Data'!$C$20:$C$1000,1,false)</f>
        <v>ZSI1_GRIND_WHEEL</v>
      </c>
      <c r="H9823" s="63" t="str">
        <f>IFERROR(__xludf.DUMMYFUNCTION("VLOOKUP(F9823, IMPORTRANGE(""https://docs.google.com/spreadsheets/d/1Lhp9OU0JdFf_VYSMzH5lBcEaU4o8teT1piV-SNzShjg/edit?gid=554141278#gid=554141278"", ""'Char Def. - Attributes'!C20:C2242""), 1,false)"),"ALT_NUM_UOM4")</f>
        <v>ALT_NUM_UOM4</v>
      </c>
      <c r="I9823" s="136"/>
      <c r="R9823" s="63" t="str">
        <f t="shared" si="60"/>
        <v>ZSI1_GRIND_WHEELALT_NUM_UOM4</v>
      </c>
    </row>
    <row r="9824" ht="15.75" customHeight="1">
      <c r="B9824" s="63">
        <f t="shared" si="1"/>
        <v>16</v>
      </c>
      <c r="C9824" s="135" t="s">
        <v>398</v>
      </c>
      <c r="D9824" s="161" t="s">
        <v>74</v>
      </c>
      <c r="E9824" s="135">
        <f t="shared" si="62"/>
        <v>30</v>
      </c>
      <c r="F9824" s="134" t="s">
        <v>3816</v>
      </c>
      <c r="G9824" s="63" t="str">
        <f>VLOOKUP(C9824, 'Class Def. - General Data'!$C$20:$C$1000,1,false)</f>
        <v>ZSI1_GRIND_WHEEL</v>
      </c>
      <c r="H9824" s="63" t="str">
        <f>IFERROR(__xludf.DUMMYFUNCTION("VLOOKUP(F9824, IMPORTRANGE(""https://docs.google.com/spreadsheets/d/1Lhp9OU0JdFf_VYSMzH5lBcEaU4o8teT1piV-SNzShjg/edit?gid=554141278#gid=554141278"", ""'Char Def. - Attributes'!C20:C2242""), 1,false)"),"ALT_UOM5_SIPI")</f>
        <v>ALT_UOM5_SIPI</v>
      </c>
      <c r="I9824" s="136"/>
      <c r="R9824" s="63" t="str">
        <f t="shared" si="60"/>
        <v>ZSI1_GRIND_WHEELALT_UOM5_SIPI</v>
      </c>
    </row>
    <row r="9825" ht="15.75" customHeight="1">
      <c r="B9825" s="63">
        <f t="shared" si="1"/>
        <v>16</v>
      </c>
      <c r="C9825" s="135" t="s">
        <v>398</v>
      </c>
      <c r="D9825" s="161" t="s">
        <v>74</v>
      </c>
      <c r="E9825" s="135">
        <f t="shared" si="62"/>
        <v>31</v>
      </c>
      <c r="F9825" s="134" t="s">
        <v>3817</v>
      </c>
      <c r="G9825" s="63" t="str">
        <f>VLOOKUP(C9825, 'Class Def. - General Data'!$C$20:$C$1000,1,false)</f>
        <v>ZSI1_GRIND_WHEEL</v>
      </c>
      <c r="H9825" s="63" t="str">
        <f>IFERROR(__xludf.DUMMYFUNCTION("VLOOKUP(F9825, IMPORTRANGE(""https://docs.google.com/spreadsheets/d/1Lhp9OU0JdFf_VYSMzH5lBcEaU4o8teT1piV-SNzShjg/edit?gid=554141278#gid=554141278"", ""'Char Def. - Attributes'!C20:C2242""), 1,false)"),"ALT_DENUM_UOM5")</f>
        <v>ALT_DENUM_UOM5</v>
      </c>
      <c r="I9825" s="136"/>
      <c r="R9825" s="63" t="str">
        <f t="shared" si="60"/>
        <v>ZSI1_GRIND_WHEELALT_DENUM_UOM5</v>
      </c>
    </row>
    <row r="9826" ht="15.75" customHeight="1">
      <c r="B9826" s="63">
        <f t="shared" si="1"/>
        <v>16</v>
      </c>
      <c r="C9826" s="135" t="s">
        <v>398</v>
      </c>
      <c r="D9826" s="161" t="s">
        <v>74</v>
      </c>
      <c r="E9826" s="135">
        <f t="shared" si="62"/>
        <v>32</v>
      </c>
      <c r="F9826" s="134" t="s">
        <v>3818</v>
      </c>
      <c r="G9826" s="63" t="str">
        <f>VLOOKUP(C9826, 'Class Def. - General Data'!$C$20:$C$1000,1,false)</f>
        <v>ZSI1_GRIND_WHEEL</v>
      </c>
      <c r="H9826" s="63" t="str">
        <f>IFERROR(__xludf.DUMMYFUNCTION("VLOOKUP(F9826, IMPORTRANGE(""https://docs.google.com/spreadsheets/d/1Lhp9OU0JdFf_VYSMzH5lBcEaU4o8teT1piV-SNzShjg/edit?gid=554141278#gid=554141278"", ""'Char Def. - Attributes'!C20:C2242""), 1,false)"),"ALT_NUM_UOM5")</f>
        <v>ALT_NUM_UOM5</v>
      </c>
      <c r="I9826" s="136"/>
      <c r="R9826" s="63" t="str">
        <f t="shared" si="60"/>
        <v>ZSI1_GRIND_WHEELALT_NUM_UOM5</v>
      </c>
    </row>
    <row r="9827" ht="15.75" customHeight="1">
      <c r="B9827" s="63">
        <f t="shared" si="1"/>
        <v>17</v>
      </c>
      <c r="C9827" s="135" t="s">
        <v>399</v>
      </c>
      <c r="D9827" s="161" t="s">
        <v>74</v>
      </c>
      <c r="E9827" s="135">
        <f t="shared" si="62"/>
        <v>1</v>
      </c>
      <c r="F9827" s="134" t="s">
        <v>4628</v>
      </c>
      <c r="G9827" s="63" t="str">
        <f>VLOOKUP(C9827, 'Class Def. - General Data'!$C$20:$C$1000,1,false)</f>
        <v>ZSI1_GYPSUM_BOARD</v>
      </c>
      <c r="H9827" s="63" t="str">
        <f>IFERROR(__xludf.DUMMYFUNCTION("VLOOKUP(F9827, IMPORTRANGE(""https://docs.google.com/spreadsheets/d/1Lhp9OU0JdFf_VYSMzH5lBcEaU4o8teT1piV-SNzShjg/edit?gid=554141278#gid=554141278"", ""'Char Def. - Attributes'!C20:C2242""), 1,false)"),"ITEM_NAME_GYPSUM_BOARD")</f>
        <v>ITEM_NAME_GYPSUM_BOARD</v>
      </c>
      <c r="I9827" s="136"/>
      <c r="R9827" s="63" t="str">
        <f t="shared" si="60"/>
        <v>ZSI1_GYPSUM_BOARDITEM_NAME_GYPSUM_BOARD</v>
      </c>
    </row>
    <row r="9828" ht="15.75" customHeight="1">
      <c r="B9828" s="63">
        <f t="shared" si="1"/>
        <v>17</v>
      </c>
      <c r="C9828" s="135" t="s">
        <v>399</v>
      </c>
      <c r="D9828" s="161" t="s">
        <v>74</v>
      </c>
      <c r="E9828" s="135">
        <f t="shared" si="62"/>
        <v>2</v>
      </c>
      <c r="F9828" s="134" t="s">
        <v>4629</v>
      </c>
      <c r="G9828" s="63" t="str">
        <f>VLOOKUP(C9828, 'Class Def. - General Data'!$C$20:$C$1000,1,false)</f>
        <v>ZSI1_GYPSUM_BOARD</v>
      </c>
      <c r="H9828" s="63" t="str">
        <f>IFERROR(__xludf.DUMMYFUNCTION("VLOOKUP(F9828, IMPORTRANGE(""https://docs.google.com/spreadsheets/d/1Lhp9OU0JdFf_VYSMzH5lBcEaU4o8teT1piV-SNzShjg/edit?gid=554141278#gid=554141278"", ""'Char Def. - Attributes'!C20:C2242""), 1,false)"),"THICKNESS_MM_GYPSUM_BOARD")</f>
        <v>THICKNESS_MM_GYPSUM_BOARD</v>
      </c>
      <c r="I9828" s="136"/>
      <c r="R9828" s="63" t="str">
        <f t="shared" si="60"/>
        <v>ZSI1_GYPSUM_BOARDTHICKNESS_MM_GYPSUM_BOARD</v>
      </c>
    </row>
    <row r="9829" ht="15.75" customHeight="1">
      <c r="B9829" s="63">
        <f t="shared" si="1"/>
        <v>17</v>
      </c>
      <c r="C9829" s="135" t="s">
        <v>399</v>
      </c>
      <c r="D9829" s="161" t="s">
        <v>74</v>
      </c>
      <c r="E9829" s="135">
        <f t="shared" si="62"/>
        <v>3</v>
      </c>
      <c r="F9829" s="134" t="s">
        <v>4630</v>
      </c>
      <c r="G9829" s="63" t="str">
        <f>VLOOKUP(C9829, 'Class Def. - General Data'!$C$20:$C$1000,1,false)</f>
        <v>ZSI1_GYPSUM_BOARD</v>
      </c>
      <c r="H9829" s="63" t="str">
        <f>IFERROR(__xludf.DUMMYFUNCTION("VLOOKUP(F9829, IMPORTRANGE(""https://docs.google.com/spreadsheets/d/1Lhp9OU0JdFf_VYSMzH5lBcEaU4o8teT1piV-SNzShjg/edit?gid=554141278#gid=554141278"", ""'Char Def. - Attributes'!C20:C2242""), 1,false)"),"LENGTH_MM_GYPSUM_BOARD")</f>
        <v>LENGTH_MM_GYPSUM_BOARD</v>
      </c>
      <c r="I9829" s="136"/>
      <c r="R9829" s="63" t="str">
        <f t="shared" si="60"/>
        <v>ZSI1_GYPSUM_BOARDLENGTH_MM_GYPSUM_BOARD</v>
      </c>
    </row>
    <row r="9830" ht="15.75" customHeight="1">
      <c r="B9830" s="63">
        <f t="shared" si="1"/>
        <v>17</v>
      </c>
      <c r="C9830" s="135" t="s">
        <v>399</v>
      </c>
      <c r="D9830" s="161" t="s">
        <v>74</v>
      </c>
      <c r="E9830" s="135">
        <f t="shared" si="62"/>
        <v>4</v>
      </c>
      <c r="F9830" s="134" t="s">
        <v>4631</v>
      </c>
      <c r="G9830" s="63" t="str">
        <f>VLOOKUP(C9830, 'Class Def. - General Data'!$C$20:$C$1000,1,false)</f>
        <v>ZSI1_GYPSUM_BOARD</v>
      </c>
      <c r="H9830" s="63" t="str">
        <f>IFERROR(__xludf.DUMMYFUNCTION("VLOOKUP(F9830, IMPORTRANGE(""https://docs.google.com/spreadsheets/d/1Lhp9OU0JdFf_VYSMzH5lBcEaU4o8teT1piV-SNzShjg/edit?gid=554141278#gid=554141278"", ""'Char Def. - Attributes'!C20:C2242""), 1,false)"),"WIDTH_MM_GYPSUM_BOARD")</f>
        <v>WIDTH_MM_GYPSUM_BOARD</v>
      </c>
      <c r="I9830" s="136"/>
      <c r="R9830" s="63" t="str">
        <f t="shared" si="60"/>
        <v>ZSI1_GYPSUM_BOARDWIDTH_MM_GYPSUM_BOARD</v>
      </c>
    </row>
    <row r="9831" ht="15.75" customHeight="1">
      <c r="B9831" s="63">
        <f t="shared" si="1"/>
        <v>17</v>
      </c>
      <c r="C9831" s="135" t="s">
        <v>399</v>
      </c>
      <c r="D9831" s="161" t="s">
        <v>74</v>
      </c>
      <c r="E9831" s="135">
        <f t="shared" si="62"/>
        <v>5</v>
      </c>
      <c r="F9831" s="134" t="s">
        <v>4053</v>
      </c>
      <c r="G9831" s="63" t="str">
        <f>VLOOKUP(C9831, 'Class Def. - General Data'!$C$20:$C$1000,1,false)</f>
        <v>ZSI1_GYPSUM_BOARD</v>
      </c>
      <c r="H9831" s="63" t="str">
        <f>IFERROR(__xludf.DUMMYFUNCTION("VLOOKUP(F9831, IMPORTRANGE(""https://docs.google.com/spreadsheets/d/1Lhp9OU0JdFf_VYSMzH5lBcEaU4o8teT1piV-SNzShjg/edit?gid=554141278#gid=554141278"", ""'Char Def. - Attributes'!C20:C2242""), 1,false)"),"MAINTENANCE_ORDER_TYPE")</f>
        <v>MAINTENANCE_ORDER_TYPE</v>
      </c>
      <c r="I9831" s="136"/>
      <c r="R9831" s="63" t="str">
        <f t="shared" si="60"/>
        <v>ZSI1_GYPSUM_BOARDMAINTENANCE_ORDER_TYPE</v>
      </c>
    </row>
    <row r="9832" ht="15.75" customHeight="1">
      <c r="B9832" s="63">
        <f t="shared" si="1"/>
        <v>17</v>
      </c>
      <c r="C9832" s="135" t="s">
        <v>399</v>
      </c>
      <c r="D9832" s="161" t="s">
        <v>74</v>
      </c>
      <c r="E9832" s="135">
        <f t="shared" si="62"/>
        <v>6</v>
      </c>
      <c r="F9832" s="134" t="s">
        <v>3585</v>
      </c>
      <c r="G9832" s="63" t="str">
        <f>VLOOKUP(C9832, 'Class Def. - General Data'!$C$20:$C$1000,1,false)</f>
        <v>ZSI1_GYPSUM_BOARD</v>
      </c>
      <c r="H9832" s="63" t="str">
        <f>IFERROR(__xludf.DUMMYFUNCTION("VLOOKUP(F9832, IMPORTRANGE(""https://docs.google.com/spreadsheets/d/1Lhp9OU0JdFf_VYSMzH5lBcEaU4o8teT1piV-SNzShjg/edit?gid=554141278#gid=554141278"", ""'Char Def. - Attributes'!C20:C2242""), 1,false)"),"HS_CODE")</f>
        <v>HS_CODE</v>
      </c>
      <c r="I9832" s="136"/>
      <c r="R9832" s="63" t="str">
        <f t="shared" si="60"/>
        <v>ZSI1_GYPSUM_BOARDHS_CODE</v>
      </c>
    </row>
    <row r="9833" ht="15.75" customHeight="1">
      <c r="B9833" s="63">
        <f t="shared" si="1"/>
        <v>17</v>
      </c>
      <c r="C9833" s="135" t="s">
        <v>399</v>
      </c>
      <c r="D9833" s="161" t="s">
        <v>74</v>
      </c>
      <c r="E9833" s="135">
        <f t="shared" si="62"/>
        <v>7</v>
      </c>
      <c r="F9833" s="134" t="s">
        <v>3587</v>
      </c>
      <c r="G9833" s="63" t="str">
        <f>VLOOKUP(C9833, 'Class Def. - General Data'!$C$20:$C$1000,1,false)</f>
        <v>ZSI1_GYPSUM_BOARD</v>
      </c>
      <c r="H9833" s="63" t="str">
        <f>IFERROR(__xludf.DUMMYFUNCTION("VLOOKUP(F9833, IMPORTRANGE(""https://docs.google.com/spreadsheets/d/1Lhp9OU0JdFf_VYSMzH5lBcEaU4o8teT1piV-SNzShjg/edit?gid=554141278#gid=554141278"", ""'Char Def. - Attributes'!C20:C2242""), 1,false)"),"PLANT_BUY")</f>
        <v>PLANT_BUY</v>
      </c>
      <c r="I9833" s="136"/>
      <c r="R9833" s="63" t="str">
        <f t="shared" si="60"/>
        <v>ZSI1_GYPSUM_BOARDPLANT_BUY</v>
      </c>
    </row>
    <row r="9834" ht="15.75" customHeight="1">
      <c r="B9834" s="63">
        <f t="shared" si="1"/>
        <v>17</v>
      </c>
      <c r="C9834" s="135" t="s">
        <v>399</v>
      </c>
      <c r="D9834" s="161" t="s">
        <v>74</v>
      </c>
      <c r="E9834" s="135">
        <f t="shared" si="62"/>
        <v>8</v>
      </c>
      <c r="F9834" s="134" t="s">
        <v>4632</v>
      </c>
      <c r="G9834" s="63" t="str">
        <f>VLOOKUP(C9834, 'Class Def. - General Data'!$C$20:$C$1000,1,false)</f>
        <v>ZSI1_GYPSUM_BOARD</v>
      </c>
      <c r="H9834" s="63" t="str">
        <f>IFERROR(__xludf.DUMMYFUNCTION("VLOOKUP(F9834, IMPORTRANGE(""https://docs.google.com/spreadsheets/d/1Lhp9OU0JdFf_VYSMzH5lBcEaU4o8teT1piV-SNzShjg/edit?gid=554141278#gid=554141278"", ""'Char Def. - Attributes'!C20:C2242""), 1,false)"),"BASE_UOM_GYPSUM_BOARD")</f>
        <v>BASE_UOM_GYPSUM_BOARD</v>
      </c>
      <c r="I9834" s="136"/>
      <c r="R9834" s="63" t="str">
        <f t="shared" si="60"/>
        <v>ZSI1_GYPSUM_BOARDBASE_UOM_GYPSUM_BOARD</v>
      </c>
    </row>
    <row r="9835" ht="15.75" customHeight="1">
      <c r="B9835" s="63">
        <f t="shared" si="1"/>
        <v>17</v>
      </c>
      <c r="C9835" s="135" t="s">
        <v>399</v>
      </c>
      <c r="D9835" s="161" t="s">
        <v>74</v>
      </c>
      <c r="E9835" s="135">
        <f t="shared" si="62"/>
        <v>9</v>
      </c>
      <c r="F9835" s="134" t="s">
        <v>4633</v>
      </c>
      <c r="G9835" s="63" t="str">
        <f>VLOOKUP(C9835, 'Class Def. - General Data'!$C$20:$C$1000,1,false)</f>
        <v>ZSI1_GYPSUM_BOARD</v>
      </c>
      <c r="H9835" s="63" t="str">
        <f>IFERROR(__xludf.DUMMYFUNCTION("VLOOKUP(F9835, IMPORTRANGE(""https://docs.google.com/spreadsheets/d/1Lhp9OU0JdFf_VYSMzH5lBcEaU4o8teT1piV-SNzShjg/edit?gid=554141278#gid=554141278"", ""'Char Def. - Attributes'!C20:C2242""), 1,false)"),"ORDER_UNIT_GYPSUM_BOARD")</f>
        <v>ORDER_UNIT_GYPSUM_BOARD</v>
      </c>
      <c r="I9835" s="136"/>
      <c r="R9835" s="63" t="str">
        <f t="shared" si="60"/>
        <v>ZSI1_GYPSUM_BOARDORDER_UNIT_GYPSUM_BOARD</v>
      </c>
    </row>
    <row r="9836" ht="15.75" customHeight="1">
      <c r="B9836" s="63">
        <f t="shared" si="1"/>
        <v>17</v>
      </c>
      <c r="C9836" s="135" t="s">
        <v>399</v>
      </c>
      <c r="D9836" s="161" t="s">
        <v>74</v>
      </c>
      <c r="E9836" s="135">
        <f t="shared" si="62"/>
        <v>10</v>
      </c>
      <c r="F9836" s="134" t="s">
        <v>4056</v>
      </c>
      <c r="G9836" s="63" t="str">
        <f>VLOOKUP(C9836, 'Class Def. - General Data'!$C$20:$C$1000,1,false)</f>
        <v>ZSI1_GYPSUM_BOARD</v>
      </c>
      <c r="H9836" s="63" t="str">
        <f>IFERROR(__xludf.DUMMYFUNCTION("VLOOKUP(F9836, IMPORTRANGE(""https://docs.google.com/spreadsheets/d/1Lhp9OU0JdFf_VYSMzH5lBcEaU4o8teT1piV-SNzShjg/edit?gid=554141278#gid=554141278"", ""'Char Def. - Attributes'!C20:C2242""), 1,false)"),"GROSS_WEIGHT_OPT")</f>
        <v>GROSS_WEIGHT_OPT</v>
      </c>
      <c r="I9836" s="136"/>
      <c r="R9836" s="63" t="str">
        <f t="shared" si="60"/>
        <v>ZSI1_GYPSUM_BOARDGROSS_WEIGHT_OPT</v>
      </c>
    </row>
    <row r="9837" ht="15.75" customHeight="1">
      <c r="B9837" s="63">
        <f t="shared" si="1"/>
        <v>17</v>
      </c>
      <c r="C9837" s="135" t="s">
        <v>399</v>
      </c>
      <c r="D9837" s="161" t="s">
        <v>74</v>
      </c>
      <c r="E9837" s="135">
        <f t="shared" si="62"/>
        <v>11</v>
      </c>
      <c r="F9837" s="134" t="s">
        <v>4057</v>
      </c>
      <c r="G9837" s="63" t="str">
        <f>VLOOKUP(C9837, 'Class Def. - General Data'!$C$20:$C$1000,1,false)</f>
        <v>ZSI1_GYPSUM_BOARD</v>
      </c>
      <c r="H9837" s="63" t="str">
        <f>IFERROR(__xludf.DUMMYFUNCTION("VLOOKUP(F9837, IMPORTRANGE(""https://docs.google.com/spreadsheets/d/1Lhp9OU0JdFf_VYSMzH5lBcEaU4o8teT1piV-SNzShjg/edit?gid=554141278#gid=554141278"", ""'Char Def. - Attributes'!C20:C2242""), 1,false)"),"NET_WEIGHT_OPT")</f>
        <v>NET_WEIGHT_OPT</v>
      </c>
      <c r="I9837" s="136"/>
      <c r="R9837" s="63" t="str">
        <f t="shared" si="60"/>
        <v>ZSI1_GYPSUM_BOARDNET_WEIGHT_OPT</v>
      </c>
    </row>
    <row r="9838" ht="15.75" customHeight="1">
      <c r="B9838" s="63">
        <f t="shared" si="1"/>
        <v>17</v>
      </c>
      <c r="C9838" s="135" t="s">
        <v>399</v>
      </c>
      <c r="D9838" s="161" t="s">
        <v>74</v>
      </c>
      <c r="E9838" s="135">
        <f t="shared" si="62"/>
        <v>12</v>
      </c>
      <c r="F9838" s="134" t="s">
        <v>4058</v>
      </c>
      <c r="G9838" s="63" t="str">
        <f>VLOOKUP(C9838, 'Class Def. - General Data'!$C$20:$C$1000,1,false)</f>
        <v>ZSI1_GYPSUM_BOARD</v>
      </c>
      <c r="H9838" s="63" t="str">
        <f>IFERROR(__xludf.DUMMYFUNCTION("VLOOKUP(F9838, IMPORTRANGE(""https://docs.google.com/spreadsheets/d/1Lhp9OU0JdFf_VYSMzH5lBcEaU4o8teT1piV-SNzShjg/edit?gid=554141278#gid=554141278"", ""'Char Def. - Attributes'!C20:C2242""), 1,false)"),"WEIGHT_UNIT_SI")</f>
        <v>WEIGHT_UNIT_SI</v>
      </c>
      <c r="I9838" s="136"/>
      <c r="R9838" s="63" t="str">
        <f t="shared" si="60"/>
        <v>ZSI1_GYPSUM_BOARDWEIGHT_UNIT_SI</v>
      </c>
    </row>
    <row r="9839" ht="15.75" customHeight="1">
      <c r="B9839" s="63">
        <f t="shared" si="1"/>
        <v>17</v>
      </c>
      <c r="C9839" s="135" t="s">
        <v>399</v>
      </c>
      <c r="D9839" s="161" t="s">
        <v>74</v>
      </c>
      <c r="E9839" s="135">
        <f t="shared" si="62"/>
        <v>13</v>
      </c>
      <c r="F9839" s="134" t="s">
        <v>3877</v>
      </c>
      <c r="G9839" s="63" t="str">
        <f>VLOOKUP(C9839, 'Class Def. - General Data'!$C$20:$C$1000,1,false)</f>
        <v>ZSI1_GYPSUM_BOARD</v>
      </c>
      <c r="H9839" s="63" t="str">
        <f>IFERROR(__xludf.DUMMYFUNCTION("VLOOKUP(F9839, IMPORTRANGE(""https://docs.google.com/spreadsheets/d/1Lhp9OU0JdFf_VYSMzH5lBcEaU4o8teT1piV-SNzShjg/edit?gid=554141278#gid=554141278"", ""'Char Def. - Attributes'!C20:C2242""), 1,false)"),"VOLUME_OPT")</f>
        <v>VOLUME_OPT</v>
      </c>
      <c r="I9839" s="136"/>
      <c r="R9839" s="63" t="str">
        <f t="shared" si="60"/>
        <v>ZSI1_GYPSUM_BOARDVOLUME_OPT</v>
      </c>
    </row>
    <row r="9840" ht="15.75" customHeight="1">
      <c r="B9840" s="63">
        <f t="shared" si="1"/>
        <v>17</v>
      </c>
      <c r="C9840" s="135" t="s">
        <v>399</v>
      </c>
      <c r="D9840" s="161" t="s">
        <v>74</v>
      </c>
      <c r="E9840" s="135">
        <f t="shared" si="62"/>
        <v>14</v>
      </c>
      <c r="F9840" s="134" t="s">
        <v>4059</v>
      </c>
      <c r="G9840" s="63" t="str">
        <f>VLOOKUP(C9840, 'Class Def. - General Data'!$C$20:$C$1000,1,false)</f>
        <v>ZSI1_GYPSUM_BOARD</v>
      </c>
      <c r="H9840" s="63" t="str">
        <f>IFERROR(__xludf.DUMMYFUNCTION("VLOOKUP(F9840, IMPORTRANGE(""https://docs.google.com/spreadsheets/d/1Lhp9OU0JdFf_VYSMzH5lBcEaU4o8teT1piV-SNzShjg/edit?gid=554141278#gid=554141278"", ""'Char Def. - Attributes'!C20:C2242""), 1,false)"),"VOLUME_UNIT_SI")</f>
        <v>VOLUME_UNIT_SI</v>
      </c>
      <c r="I9840" s="136"/>
      <c r="R9840" s="63" t="str">
        <f t="shared" si="60"/>
        <v>ZSI1_GYPSUM_BOARDVOLUME_UNIT_SI</v>
      </c>
    </row>
    <row r="9841" ht="15.75" customHeight="1">
      <c r="B9841" s="63">
        <f t="shared" si="1"/>
        <v>17</v>
      </c>
      <c r="C9841" s="135" t="s">
        <v>399</v>
      </c>
      <c r="D9841" s="161" t="s">
        <v>74</v>
      </c>
      <c r="E9841" s="135">
        <f t="shared" si="62"/>
        <v>15</v>
      </c>
      <c r="F9841" s="134" t="s">
        <v>3804</v>
      </c>
      <c r="G9841" s="63" t="str">
        <f>VLOOKUP(C9841, 'Class Def. - General Data'!$C$20:$C$1000,1,false)</f>
        <v>ZSI1_GYPSUM_BOARD</v>
      </c>
      <c r="H9841" s="63" t="str">
        <f>IFERROR(__xludf.DUMMYFUNCTION("VLOOKUP(F9841, IMPORTRANGE(""https://docs.google.com/spreadsheets/d/1Lhp9OU0JdFf_VYSMzH5lBcEaU4o8teT1piV-SNzShjg/edit?gid=554141278#gid=554141278"", ""'Char Def. - Attributes'!C20:C2242""), 1,false)"),"ALT_UOM1_SIPI")</f>
        <v>ALT_UOM1_SIPI</v>
      </c>
      <c r="I9841" s="136"/>
      <c r="R9841" s="63" t="str">
        <f t="shared" si="60"/>
        <v>ZSI1_GYPSUM_BOARDALT_UOM1_SIPI</v>
      </c>
    </row>
    <row r="9842" ht="15.75" customHeight="1">
      <c r="B9842" s="63">
        <f t="shared" si="1"/>
        <v>17</v>
      </c>
      <c r="C9842" s="135" t="s">
        <v>399</v>
      </c>
      <c r="D9842" s="161" t="s">
        <v>74</v>
      </c>
      <c r="E9842" s="135">
        <f t="shared" si="62"/>
        <v>16</v>
      </c>
      <c r="F9842" s="134" t="s">
        <v>3805</v>
      </c>
      <c r="G9842" s="63" t="str">
        <f>VLOOKUP(C9842, 'Class Def. - General Data'!$C$20:$C$1000,1,false)</f>
        <v>ZSI1_GYPSUM_BOARD</v>
      </c>
      <c r="H9842" s="63" t="str">
        <f>IFERROR(__xludf.DUMMYFUNCTION("VLOOKUP(F9842, IMPORTRANGE(""https://docs.google.com/spreadsheets/d/1Lhp9OU0JdFf_VYSMzH5lBcEaU4o8teT1piV-SNzShjg/edit?gid=554141278#gid=554141278"", ""'Char Def. - Attributes'!C20:C2242""), 1,false)"),"ALT_DENUM_UOM1")</f>
        <v>ALT_DENUM_UOM1</v>
      </c>
      <c r="I9842" s="136"/>
      <c r="R9842" s="63" t="str">
        <f t="shared" si="60"/>
        <v>ZSI1_GYPSUM_BOARDALT_DENUM_UOM1</v>
      </c>
    </row>
    <row r="9843" ht="15.75" customHeight="1">
      <c r="B9843" s="63">
        <f t="shared" si="1"/>
        <v>17</v>
      </c>
      <c r="C9843" s="135" t="s">
        <v>399</v>
      </c>
      <c r="D9843" s="161" t="s">
        <v>74</v>
      </c>
      <c r="E9843" s="135">
        <f t="shared" si="62"/>
        <v>17</v>
      </c>
      <c r="F9843" s="134" t="s">
        <v>3806</v>
      </c>
      <c r="G9843" s="63" t="str">
        <f>VLOOKUP(C9843, 'Class Def. - General Data'!$C$20:$C$1000,1,false)</f>
        <v>ZSI1_GYPSUM_BOARD</v>
      </c>
      <c r="H9843" s="63" t="str">
        <f>IFERROR(__xludf.DUMMYFUNCTION("VLOOKUP(F9843, IMPORTRANGE(""https://docs.google.com/spreadsheets/d/1Lhp9OU0JdFf_VYSMzH5lBcEaU4o8teT1piV-SNzShjg/edit?gid=554141278#gid=554141278"", ""'Char Def. - Attributes'!C20:C2242""), 1,false)"),"ALT_NUM_UOM1")</f>
        <v>ALT_NUM_UOM1</v>
      </c>
      <c r="I9843" s="136"/>
      <c r="R9843" s="63" t="str">
        <f t="shared" si="60"/>
        <v>ZSI1_GYPSUM_BOARDALT_NUM_UOM1</v>
      </c>
    </row>
    <row r="9844" ht="15.75" customHeight="1">
      <c r="B9844" s="63">
        <f t="shared" si="1"/>
        <v>17</v>
      </c>
      <c r="C9844" s="135" t="s">
        <v>399</v>
      </c>
      <c r="D9844" s="161" t="s">
        <v>74</v>
      </c>
      <c r="E9844" s="135">
        <f t="shared" si="62"/>
        <v>18</v>
      </c>
      <c r="F9844" s="134" t="s">
        <v>3807</v>
      </c>
      <c r="G9844" s="63" t="str">
        <f>VLOOKUP(C9844, 'Class Def. - General Data'!$C$20:$C$1000,1,false)</f>
        <v>ZSI1_GYPSUM_BOARD</v>
      </c>
      <c r="H9844" s="63" t="str">
        <f>IFERROR(__xludf.DUMMYFUNCTION("VLOOKUP(F9844, IMPORTRANGE(""https://docs.google.com/spreadsheets/d/1Lhp9OU0JdFf_VYSMzH5lBcEaU4o8teT1piV-SNzShjg/edit?gid=554141278#gid=554141278"", ""'Char Def. - Attributes'!C20:C2242""), 1,false)"),"ALT_UOM2_SIPI")</f>
        <v>ALT_UOM2_SIPI</v>
      </c>
      <c r="I9844" s="136"/>
      <c r="R9844" s="63" t="str">
        <f t="shared" si="60"/>
        <v>ZSI1_GYPSUM_BOARDALT_UOM2_SIPI</v>
      </c>
    </row>
    <row r="9845" ht="15.75" customHeight="1">
      <c r="B9845" s="63">
        <f t="shared" si="1"/>
        <v>17</v>
      </c>
      <c r="C9845" s="135" t="s">
        <v>399</v>
      </c>
      <c r="D9845" s="161" t="s">
        <v>74</v>
      </c>
      <c r="E9845" s="135">
        <f t="shared" si="62"/>
        <v>19</v>
      </c>
      <c r="F9845" s="134" t="s">
        <v>3808</v>
      </c>
      <c r="G9845" s="63" t="str">
        <f>VLOOKUP(C9845, 'Class Def. - General Data'!$C$20:$C$1000,1,false)</f>
        <v>ZSI1_GYPSUM_BOARD</v>
      </c>
      <c r="H9845" s="63" t="str">
        <f>IFERROR(__xludf.DUMMYFUNCTION("VLOOKUP(F9845, IMPORTRANGE(""https://docs.google.com/spreadsheets/d/1Lhp9OU0JdFf_VYSMzH5lBcEaU4o8teT1piV-SNzShjg/edit?gid=554141278#gid=554141278"", ""'Char Def. - Attributes'!C20:C2242""), 1,false)"),"ALT_DENUM_UOM2")</f>
        <v>ALT_DENUM_UOM2</v>
      </c>
      <c r="I9845" s="136"/>
      <c r="R9845" s="63" t="str">
        <f t="shared" si="60"/>
        <v>ZSI1_GYPSUM_BOARDALT_DENUM_UOM2</v>
      </c>
    </row>
    <row r="9846" ht="15.75" customHeight="1">
      <c r="B9846" s="63">
        <f t="shared" si="1"/>
        <v>17</v>
      </c>
      <c r="C9846" s="135" t="s">
        <v>399</v>
      </c>
      <c r="D9846" s="161" t="s">
        <v>74</v>
      </c>
      <c r="E9846" s="135">
        <f t="shared" si="62"/>
        <v>20</v>
      </c>
      <c r="F9846" s="134" t="s">
        <v>3809</v>
      </c>
      <c r="G9846" s="63" t="str">
        <f>VLOOKUP(C9846, 'Class Def. - General Data'!$C$20:$C$1000,1,false)</f>
        <v>ZSI1_GYPSUM_BOARD</v>
      </c>
      <c r="H9846" s="63" t="str">
        <f>IFERROR(__xludf.DUMMYFUNCTION("VLOOKUP(F9846, IMPORTRANGE(""https://docs.google.com/spreadsheets/d/1Lhp9OU0JdFf_VYSMzH5lBcEaU4o8teT1piV-SNzShjg/edit?gid=554141278#gid=554141278"", ""'Char Def. - Attributes'!C20:C2242""), 1,false)"),"ALT_NUM_UOM2")</f>
        <v>ALT_NUM_UOM2</v>
      </c>
      <c r="I9846" s="136"/>
      <c r="R9846" s="63" t="str">
        <f t="shared" si="60"/>
        <v>ZSI1_GYPSUM_BOARDALT_NUM_UOM2</v>
      </c>
    </row>
    <row r="9847" ht="15.75" customHeight="1">
      <c r="B9847" s="63">
        <f t="shared" si="1"/>
        <v>17</v>
      </c>
      <c r="C9847" s="135" t="s">
        <v>399</v>
      </c>
      <c r="D9847" s="161" t="s">
        <v>74</v>
      </c>
      <c r="E9847" s="135">
        <f t="shared" si="62"/>
        <v>21</v>
      </c>
      <c r="F9847" s="134" t="s">
        <v>3810</v>
      </c>
      <c r="G9847" s="63" t="str">
        <f>VLOOKUP(C9847, 'Class Def. - General Data'!$C$20:$C$1000,1,false)</f>
        <v>ZSI1_GYPSUM_BOARD</v>
      </c>
      <c r="H9847" s="63" t="str">
        <f>IFERROR(__xludf.DUMMYFUNCTION("VLOOKUP(F9847, IMPORTRANGE(""https://docs.google.com/spreadsheets/d/1Lhp9OU0JdFf_VYSMzH5lBcEaU4o8teT1piV-SNzShjg/edit?gid=554141278#gid=554141278"", ""'Char Def. - Attributes'!C20:C2242""), 1,false)"),"ALT_UOM3_SIPI")</f>
        <v>ALT_UOM3_SIPI</v>
      </c>
      <c r="I9847" s="136"/>
      <c r="R9847" s="63" t="str">
        <f t="shared" si="60"/>
        <v>ZSI1_GYPSUM_BOARDALT_UOM3_SIPI</v>
      </c>
    </row>
    <row r="9848" ht="15.75" customHeight="1">
      <c r="B9848" s="63">
        <f t="shared" si="1"/>
        <v>17</v>
      </c>
      <c r="C9848" s="135" t="s">
        <v>399</v>
      </c>
      <c r="D9848" s="161" t="s">
        <v>74</v>
      </c>
      <c r="E9848" s="135">
        <f t="shared" si="62"/>
        <v>22</v>
      </c>
      <c r="F9848" s="134" t="s">
        <v>3811</v>
      </c>
      <c r="G9848" s="63" t="str">
        <f>VLOOKUP(C9848, 'Class Def. - General Data'!$C$20:$C$1000,1,false)</f>
        <v>ZSI1_GYPSUM_BOARD</v>
      </c>
      <c r="H9848" s="63" t="str">
        <f>IFERROR(__xludf.DUMMYFUNCTION("VLOOKUP(F9848, IMPORTRANGE(""https://docs.google.com/spreadsheets/d/1Lhp9OU0JdFf_VYSMzH5lBcEaU4o8teT1piV-SNzShjg/edit?gid=554141278#gid=554141278"", ""'Char Def. - Attributes'!C20:C2242""), 1,false)"),"ALT_DENUM_UOM3")</f>
        <v>ALT_DENUM_UOM3</v>
      </c>
      <c r="I9848" s="136"/>
      <c r="R9848" s="63" t="str">
        <f t="shared" si="60"/>
        <v>ZSI1_GYPSUM_BOARDALT_DENUM_UOM3</v>
      </c>
    </row>
    <row r="9849" ht="15.75" customHeight="1">
      <c r="B9849" s="63">
        <f t="shared" si="1"/>
        <v>17</v>
      </c>
      <c r="C9849" s="135" t="s">
        <v>399</v>
      </c>
      <c r="D9849" s="161" t="s">
        <v>74</v>
      </c>
      <c r="E9849" s="135">
        <f t="shared" si="62"/>
        <v>23</v>
      </c>
      <c r="F9849" s="134" t="s">
        <v>3812</v>
      </c>
      <c r="G9849" s="63" t="str">
        <f>VLOOKUP(C9849, 'Class Def. - General Data'!$C$20:$C$1000,1,false)</f>
        <v>ZSI1_GYPSUM_BOARD</v>
      </c>
      <c r="H9849" s="63" t="str">
        <f>IFERROR(__xludf.DUMMYFUNCTION("VLOOKUP(F9849, IMPORTRANGE(""https://docs.google.com/spreadsheets/d/1Lhp9OU0JdFf_VYSMzH5lBcEaU4o8teT1piV-SNzShjg/edit?gid=554141278#gid=554141278"", ""'Char Def. - Attributes'!C20:C2242""), 1,false)"),"ALT_NUM_UOM3")</f>
        <v>ALT_NUM_UOM3</v>
      </c>
      <c r="I9849" s="136"/>
      <c r="R9849" s="63" t="str">
        <f t="shared" si="60"/>
        <v>ZSI1_GYPSUM_BOARDALT_NUM_UOM3</v>
      </c>
    </row>
    <row r="9850" ht="15.75" customHeight="1">
      <c r="B9850" s="63">
        <f t="shared" si="1"/>
        <v>17</v>
      </c>
      <c r="C9850" s="135" t="s">
        <v>399</v>
      </c>
      <c r="D9850" s="161" t="s">
        <v>74</v>
      </c>
      <c r="E9850" s="135">
        <f t="shared" si="62"/>
        <v>24</v>
      </c>
      <c r="F9850" s="134" t="s">
        <v>3813</v>
      </c>
      <c r="G9850" s="63" t="str">
        <f>VLOOKUP(C9850, 'Class Def. - General Data'!$C$20:$C$1000,1,false)</f>
        <v>ZSI1_GYPSUM_BOARD</v>
      </c>
      <c r="H9850" s="63" t="str">
        <f>IFERROR(__xludf.DUMMYFUNCTION("VLOOKUP(F9850, IMPORTRANGE(""https://docs.google.com/spreadsheets/d/1Lhp9OU0JdFf_VYSMzH5lBcEaU4o8teT1piV-SNzShjg/edit?gid=554141278#gid=554141278"", ""'Char Def. - Attributes'!C20:C2242""), 1,false)"),"ALT_UOM4_SIPI")</f>
        <v>ALT_UOM4_SIPI</v>
      </c>
      <c r="I9850" s="136"/>
      <c r="R9850" s="63" t="str">
        <f t="shared" si="60"/>
        <v>ZSI1_GYPSUM_BOARDALT_UOM4_SIPI</v>
      </c>
    </row>
    <row r="9851" ht="15.75" customHeight="1">
      <c r="B9851" s="63">
        <f t="shared" si="1"/>
        <v>17</v>
      </c>
      <c r="C9851" s="135" t="s">
        <v>399</v>
      </c>
      <c r="D9851" s="161" t="s">
        <v>74</v>
      </c>
      <c r="E9851" s="135">
        <f t="shared" si="62"/>
        <v>25</v>
      </c>
      <c r="F9851" s="134" t="s">
        <v>3814</v>
      </c>
      <c r="G9851" s="63" t="str">
        <f>VLOOKUP(C9851, 'Class Def. - General Data'!$C$20:$C$1000,1,false)</f>
        <v>ZSI1_GYPSUM_BOARD</v>
      </c>
      <c r="H9851" s="63" t="str">
        <f>IFERROR(__xludf.DUMMYFUNCTION("VLOOKUP(F9851, IMPORTRANGE(""https://docs.google.com/spreadsheets/d/1Lhp9OU0JdFf_VYSMzH5lBcEaU4o8teT1piV-SNzShjg/edit?gid=554141278#gid=554141278"", ""'Char Def. - Attributes'!C20:C2242""), 1,false)"),"ALT_DENUM_UOM4")</f>
        <v>ALT_DENUM_UOM4</v>
      </c>
      <c r="I9851" s="136"/>
      <c r="R9851" s="63" t="str">
        <f t="shared" si="60"/>
        <v>ZSI1_GYPSUM_BOARDALT_DENUM_UOM4</v>
      </c>
    </row>
    <row r="9852" ht="15.75" customHeight="1">
      <c r="B9852" s="63">
        <f t="shared" si="1"/>
        <v>17</v>
      </c>
      <c r="C9852" s="135" t="s">
        <v>399</v>
      </c>
      <c r="D9852" s="161" t="s">
        <v>74</v>
      </c>
      <c r="E9852" s="135">
        <f t="shared" si="62"/>
        <v>26</v>
      </c>
      <c r="F9852" s="134" t="s">
        <v>3815</v>
      </c>
      <c r="G9852" s="63" t="str">
        <f>VLOOKUP(C9852, 'Class Def. - General Data'!$C$20:$C$1000,1,false)</f>
        <v>ZSI1_GYPSUM_BOARD</v>
      </c>
      <c r="H9852" s="63" t="str">
        <f>IFERROR(__xludf.DUMMYFUNCTION("VLOOKUP(F9852, IMPORTRANGE(""https://docs.google.com/spreadsheets/d/1Lhp9OU0JdFf_VYSMzH5lBcEaU4o8teT1piV-SNzShjg/edit?gid=554141278#gid=554141278"", ""'Char Def. - Attributes'!C20:C2242""), 1,false)"),"ALT_NUM_UOM4")</f>
        <v>ALT_NUM_UOM4</v>
      </c>
      <c r="I9852" s="136"/>
      <c r="R9852" s="63" t="str">
        <f t="shared" si="60"/>
        <v>ZSI1_GYPSUM_BOARDALT_NUM_UOM4</v>
      </c>
    </row>
    <row r="9853" ht="15.75" customHeight="1">
      <c r="B9853" s="63">
        <f t="shared" si="1"/>
        <v>17</v>
      </c>
      <c r="C9853" s="135" t="s">
        <v>399</v>
      </c>
      <c r="D9853" s="161" t="s">
        <v>74</v>
      </c>
      <c r="E9853" s="135">
        <f t="shared" si="62"/>
        <v>27</v>
      </c>
      <c r="F9853" s="134" t="s">
        <v>3816</v>
      </c>
      <c r="G9853" s="63" t="str">
        <f>VLOOKUP(C9853, 'Class Def. - General Data'!$C$20:$C$1000,1,false)</f>
        <v>ZSI1_GYPSUM_BOARD</v>
      </c>
      <c r="H9853" s="63" t="str">
        <f>IFERROR(__xludf.DUMMYFUNCTION("VLOOKUP(F9853, IMPORTRANGE(""https://docs.google.com/spreadsheets/d/1Lhp9OU0JdFf_VYSMzH5lBcEaU4o8teT1piV-SNzShjg/edit?gid=554141278#gid=554141278"", ""'Char Def. - Attributes'!C20:C2242""), 1,false)"),"ALT_UOM5_SIPI")</f>
        <v>ALT_UOM5_SIPI</v>
      </c>
      <c r="I9853" s="136"/>
      <c r="R9853" s="63" t="str">
        <f t="shared" si="60"/>
        <v>ZSI1_GYPSUM_BOARDALT_UOM5_SIPI</v>
      </c>
    </row>
    <row r="9854" ht="15.75" customHeight="1">
      <c r="B9854" s="63">
        <f t="shared" si="1"/>
        <v>17</v>
      </c>
      <c r="C9854" s="135" t="s">
        <v>399</v>
      </c>
      <c r="D9854" s="161" t="s">
        <v>74</v>
      </c>
      <c r="E9854" s="135">
        <f t="shared" si="62"/>
        <v>28</v>
      </c>
      <c r="F9854" s="134" t="s">
        <v>3817</v>
      </c>
      <c r="G9854" s="63" t="str">
        <f>VLOOKUP(C9854, 'Class Def. - General Data'!$C$20:$C$1000,1,false)</f>
        <v>ZSI1_GYPSUM_BOARD</v>
      </c>
      <c r="H9854" s="63" t="str">
        <f>IFERROR(__xludf.DUMMYFUNCTION("VLOOKUP(F9854, IMPORTRANGE(""https://docs.google.com/spreadsheets/d/1Lhp9OU0JdFf_VYSMzH5lBcEaU4o8teT1piV-SNzShjg/edit?gid=554141278#gid=554141278"", ""'Char Def. - Attributes'!C20:C2242""), 1,false)"),"ALT_DENUM_UOM5")</f>
        <v>ALT_DENUM_UOM5</v>
      </c>
      <c r="I9854" s="136"/>
      <c r="R9854" s="63" t="str">
        <f t="shared" si="60"/>
        <v>ZSI1_GYPSUM_BOARDALT_DENUM_UOM5</v>
      </c>
    </row>
    <row r="9855" ht="15.75" customHeight="1">
      <c r="B9855" s="63">
        <f t="shared" si="1"/>
        <v>17</v>
      </c>
      <c r="C9855" s="135" t="s">
        <v>399</v>
      </c>
      <c r="D9855" s="161" t="s">
        <v>74</v>
      </c>
      <c r="E9855" s="135">
        <f t="shared" si="62"/>
        <v>29</v>
      </c>
      <c r="F9855" s="134" t="s">
        <v>3818</v>
      </c>
      <c r="G9855" s="63" t="str">
        <f>VLOOKUP(C9855, 'Class Def. - General Data'!$C$20:$C$1000,1,false)</f>
        <v>ZSI1_GYPSUM_BOARD</v>
      </c>
      <c r="H9855" s="63" t="str">
        <f>IFERROR(__xludf.DUMMYFUNCTION("VLOOKUP(F9855, IMPORTRANGE(""https://docs.google.com/spreadsheets/d/1Lhp9OU0JdFf_VYSMzH5lBcEaU4o8teT1piV-SNzShjg/edit?gid=554141278#gid=554141278"", ""'Char Def. - Attributes'!C20:C2242""), 1,false)"),"ALT_NUM_UOM5")</f>
        <v>ALT_NUM_UOM5</v>
      </c>
      <c r="I9855" s="136"/>
      <c r="R9855" s="63" t="str">
        <f t="shared" si="60"/>
        <v>ZSI1_GYPSUM_BOARDALT_NUM_UOM5</v>
      </c>
    </row>
    <row r="9856" ht="15.75" customHeight="1">
      <c r="B9856" s="63">
        <f t="shared" si="1"/>
        <v>11</v>
      </c>
      <c r="C9856" s="135" t="s">
        <v>400</v>
      </c>
      <c r="D9856" s="161" t="s">
        <v>74</v>
      </c>
      <c r="E9856" s="135">
        <f t="shared" si="62"/>
        <v>1</v>
      </c>
      <c r="F9856" s="134" t="s">
        <v>4634</v>
      </c>
      <c r="G9856" s="63" t="str">
        <f>VLOOKUP(C9856, 'Class Def. - General Data'!$C$20:$C$1000,1,false)</f>
        <v>ZSI1_H_BEAM</v>
      </c>
      <c r="H9856" s="63" t="str">
        <f>IFERROR(__xludf.DUMMYFUNCTION("VLOOKUP(F9856, IMPORTRANGE(""https://docs.google.com/spreadsheets/d/1Lhp9OU0JdFf_VYSMzH5lBcEaU4o8teT1piV-SNzShjg/edit?gid=554141278#gid=554141278"", ""'Char Def. - Attributes'!C20:C2242""), 1,false)"),"ITEM_NAME_H_BEAM")</f>
        <v>ITEM_NAME_H_BEAM</v>
      </c>
      <c r="I9856" s="136"/>
      <c r="R9856" s="63" t="str">
        <f t="shared" si="60"/>
        <v>ZSI1_H_BEAMITEM_NAME_H_BEAM</v>
      </c>
    </row>
    <row r="9857" ht="15.75" customHeight="1">
      <c r="B9857" s="63">
        <f t="shared" si="1"/>
        <v>11</v>
      </c>
      <c r="C9857" s="135" t="s">
        <v>400</v>
      </c>
      <c r="D9857" s="161" t="s">
        <v>74</v>
      </c>
      <c r="E9857" s="135">
        <f t="shared" si="62"/>
        <v>2</v>
      </c>
      <c r="F9857" s="134" t="s">
        <v>4635</v>
      </c>
      <c r="G9857" s="63" t="str">
        <f>VLOOKUP(C9857, 'Class Def. - General Data'!$C$20:$C$1000,1,false)</f>
        <v>ZSI1_H_BEAM</v>
      </c>
      <c r="H9857" s="63" t="str">
        <f>IFERROR(__xludf.DUMMYFUNCTION("VLOOKUP(F9857, IMPORTRANGE(""https://docs.google.com/spreadsheets/d/1Lhp9OU0JdFf_VYSMzH5lBcEaU4o8teT1piV-SNzShjg/edit?gid=554141278#gid=554141278"", ""'Char Def. - Attributes'!C20:C2242""), 1,false)"),"MATERIAL_H_BEAM")</f>
        <v>MATERIAL_H_BEAM</v>
      </c>
      <c r="I9857" s="136"/>
      <c r="R9857" s="63" t="str">
        <f t="shared" si="60"/>
        <v>ZSI1_H_BEAMMATERIAL_H_BEAM</v>
      </c>
    </row>
    <row r="9858" ht="15.75" customHeight="1">
      <c r="B9858" s="63">
        <f t="shared" si="1"/>
        <v>11</v>
      </c>
      <c r="C9858" s="135" t="s">
        <v>400</v>
      </c>
      <c r="D9858" s="161" t="s">
        <v>74</v>
      </c>
      <c r="E9858" s="135">
        <f t="shared" si="62"/>
        <v>3</v>
      </c>
      <c r="F9858" s="134" t="s">
        <v>4636</v>
      </c>
      <c r="G9858" s="63" t="str">
        <f>VLOOKUP(C9858, 'Class Def. - General Data'!$C$20:$C$1000,1,false)</f>
        <v>ZSI1_H_BEAM</v>
      </c>
      <c r="H9858" s="63" t="str">
        <f>IFERROR(__xludf.DUMMYFUNCTION("VLOOKUP(F9858, IMPORTRANGE(""https://docs.google.com/spreadsheets/d/1Lhp9OU0JdFf_VYSMzH5lBcEaU4o8teT1piV-SNzShjg/edit?gid=554141278#gid=554141278"", ""'Char Def. - Attributes'!C20:C2242""), 1,false)"),"FINISHING_H_BEAM")</f>
        <v>FINISHING_H_BEAM</v>
      </c>
      <c r="I9858" s="136"/>
      <c r="R9858" s="63" t="str">
        <f t="shared" si="60"/>
        <v>ZSI1_H_BEAMFINISHING_H_BEAM</v>
      </c>
    </row>
    <row r="9859" ht="15.75" customHeight="1">
      <c r="B9859" s="63">
        <f t="shared" si="1"/>
        <v>11</v>
      </c>
      <c r="C9859" s="135" t="s">
        <v>400</v>
      </c>
      <c r="D9859" s="161" t="s">
        <v>74</v>
      </c>
      <c r="E9859" s="135">
        <f t="shared" si="62"/>
        <v>4</v>
      </c>
      <c r="F9859" s="134" t="s">
        <v>4637</v>
      </c>
      <c r="G9859" s="63" t="str">
        <f>VLOOKUP(C9859, 'Class Def. - General Data'!$C$20:$C$1000,1,false)</f>
        <v>ZSI1_H_BEAM</v>
      </c>
      <c r="H9859" s="63" t="str">
        <f>IFERROR(__xludf.DUMMYFUNCTION("VLOOKUP(F9859, IMPORTRANGE(""https://docs.google.com/spreadsheets/d/1Lhp9OU0JdFf_VYSMzH5lBcEaU4o8teT1piV-SNzShjg/edit?gid=554141278#gid=554141278"", ""'Char Def. - Attributes'!C20:C2242""), 1,false)"),"WIDTH_MM_H_BEAM")</f>
        <v>WIDTH_MM_H_BEAM</v>
      </c>
      <c r="I9859" s="136"/>
      <c r="R9859" s="63" t="str">
        <f t="shared" si="60"/>
        <v>ZSI1_H_BEAMWIDTH_MM_H_BEAM</v>
      </c>
    </row>
    <row r="9860" ht="15.75" customHeight="1">
      <c r="B9860" s="63">
        <f t="shared" si="1"/>
        <v>11</v>
      </c>
      <c r="C9860" s="135" t="s">
        <v>400</v>
      </c>
      <c r="D9860" s="161" t="s">
        <v>74</v>
      </c>
      <c r="E9860" s="135">
        <f t="shared" si="62"/>
        <v>5</v>
      </c>
      <c r="F9860" s="134" t="s">
        <v>4638</v>
      </c>
      <c r="G9860" s="63" t="str">
        <f>VLOOKUP(C9860, 'Class Def. - General Data'!$C$20:$C$1000,1,false)</f>
        <v>ZSI1_H_BEAM</v>
      </c>
      <c r="H9860" s="63" t="str">
        <f>IFERROR(__xludf.DUMMYFUNCTION("VLOOKUP(F9860, IMPORTRANGE(""https://docs.google.com/spreadsheets/d/1Lhp9OU0JdFf_VYSMzH5lBcEaU4o8teT1piV-SNzShjg/edit?gid=554141278#gid=554141278"", ""'Char Def. - Attributes'!C20:C2242""), 1,false)"),"HEIGHT_MM_H_BEAM")</f>
        <v>HEIGHT_MM_H_BEAM</v>
      </c>
      <c r="I9860" s="136"/>
      <c r="R9860" s="63" t="str">
        <f t="shared" si="60"/>
        <v>ZSI1_H_BEAMHEIGHT_MM_H_BEAM</v>
      </c>
    </row>
    <row r="9861" ht="15.75" customHeight="1">
      <c r="B9861" s="63">
        <f t="shared" si="1"/>
        <v>11</v>
      </c>
      <c r="C9861" s="135" t="s">
        <v>400</v>
      </c>
      <c r="D9861" s="161" t="s">
        <v>74</v>
      </c>
      <c r="E9861" s="135">
        <f t="shared" si="62"/>
        <v>6</v>
      </c>
      <c r="F9861" s="134" t="s">
        <v>4639</v>
      </c>
      <c r="G9861" s="63" t="str">
        <f>VLOOKUP(C9861, 'Class Def. - General Data'!$C$20:$C$1000,1,false)</f>
        <v>ZSI1_H_BEAM</v>
      </c>
      <c r="H9861" s="63" t="str">
        <f>IFERROR(__xludf.DUMMYFUNCTION("VLOOKUP(F9861, IMPORTRANGE(""https://docs.google.com/spreadsheets/d/1Lhp9OU0JdFf_VYSMzH5lBcEaU4o8teT1piV-SNzShjg/edit?gid=554141278#gid=554141278"", ""'Char Def. - Attributes'!C20:C2242""), 1,false)"),"WIDTH_THICKNESS_MM_H_BEAM")</f>
        <v>WIDTH_THICKNESS_MM_H_BEAM</v>
      </c>
      <c r="I9861" s="136"/>
      <c r="R9861" s="63" t="str">
        <f t="shared" si="60"/>
        <v>ZSI1_H_BEAMWIDTH_THICKNESS_MM_H_BEAM</v>
      </c>
    </row>
    <row r="9862" ht="15.75" customHeight="1">
      <c r="B9862" s="63">
        <f t="shared" si="1"/>
        <v>11</v>
      </c>
      <c r="C9862" s="135" t="s">
        <v>400</v>
      </c>
      <c r="D9862" s="161" t="s">
        <v>74</v>
      </c>
      <c r="E9862" s="135">
        <f t="shared" si="62"/>
        <v>7</v>
      </c>
      <c r="F9862" s="134" t="s">
        <v>4640</v>
      </c>
      <c r="G9862" s="63" t="str">
        <f>VLOOKUP(C9862, 'Class Def. - General Data'!$C$20:$C$1000,1,false)</f>
        <v>ZSI1_H_BEAM</v>
      </c>
      <c r="H9862" s="63" t="str">
        <f>IFERROR(__xludf.DUMMYFUNCTION("VLOOKUP(F9862, IMPORTRANGE(""https://docs.google.com/spreadsheets/d/1Lhp9OU0JdFf_VYSMzH5lBcEaU4o8teT1piV-SNzShjg/edit?gid=554141278#gid=554141278"", ""'Char Def. - Attributes'!C20:C2242""), 1,false)"),"HEIGHT_THICKNESS_MM_H_BEAM")</f>
        <v>HEIGHT_THICKNESS_MM_H_BEAM</v>
      </c>
      <c r="I9862" s="136"/>
      <c r="R9862" s="63" t="str">
        <f t="shared" si="60"/>
        <v>ZSI1_H_BEAMHEIGHT_THICKNESS_MM_H_BEAM</v>
      </c>
    </row>
    <row r="9863" ht="15.75" customHeight="1">
      <c r="B9863" s="63">
        <f t="shared" si="1"/>
        <v>11</v>
      </c>
      <c r="C9863" s="135" t="s">
        <v>400</v>
      </c>
      <c r="D9863" s="161" t="s">
        <v>74</v>
      </c>
      <c r="E9863" s="135">
        <f t="shared" si="62"/>
        <v>8</v>
      </c>
      <c r="F9863" s="134" t="s">
        <v>4641</v>
      </c>
      <c r="G9863" s="63" t="str">
        <f>VLOOKUP(C9863, 'Class Def. - General Data'!$C$20:$C$1000,1,false)</f>
        <v>ZSI1_H_BEAM</v>
      </c>
      <c r="H9863" s="63" t="str">
        <f>IFERROR(__xludf.DUMMYFUNCTION("VLOOKUP(F9863, IMPORTRANGE(""https://docs.google.com/spreadsheets/d/1Lhp9OU0JdFf_VYSMzH5lBcEaU4o8teT1piV-SNzShjg/edit?gid=554141278#gid=554141278"", ""'Char Def. - Attributes'!C20:C2242""), 1,false)"),"LENGTH_MM_H_BEAM")</f>
        <v>LENGTH_MM_H_BEAM</v>
      </c>
      <c r="I9863" s="136"/>
      <c r="R9863" s="63" t="str">
        <f t="shared" si="60"/>
        <v>ZSI1_H_BEAMLENGTH_MM_H_BEAM</v>
      </c>
    </row>
    <row r="9864" ht="15.75" customHeight="1">
      <c r="B9864" s="63">
        <f t="shared" si="1"/>
        <v>11</v>
      </c>
      <c r="C9864" s="135" t="s">
        <v>400</v>
      </c>
      <c r="D9864" s="161" t="s">
        <v>74</v>
      </c>
      <c r="E9864" s="135">
        <f t="shared" si="62"/>
        <v>9</v>
      </c>
      <c r="F9864" s="134" t="s">
        <v>4053</v>
      </c>
      <c r="G9864" s="63" t="str">
        <f>VLOOKUP(C9864, 'Class Def. - General Data'!$C$20:$C$1000,1,false)</f>
        <v>ZSI1_H_BEAM</v>
      </c>
      <c r="H9864" s="63" t="str">
        <f>IFERROR(__xludf.DUMMYFUNCTION("VLOOKUP(F9864, IMPORTRANGE(""https://docs.google.com/spreadsheets/d/1Lhp9OU0JdFf_VYSMzH5lBcEaU4o8teT1piV-SNzShjg/edit?gid=554141278#gid=554141278"", ""'Char Def. - Attributes'!C20:C2242""), 1,false)"),"MAINTENANCE_ORDER_TYPE")</f>
        <v>MAINTENANCE_ORDER_TYPE</v>
      </c>
      <c r="I9864" s="136"/>
      <c r="R9864" s="63" t="str">
        <f t="shared" si="60"/>
        <v>ZSI1_H_BEAMMAINTENANCE_ORDER_TYPE</v>
      </c>
    </row>
    <row r="9865" ht="15.75" customHeight="1">
      <c r="B9865" s="63">
        <f t="shared" si="1"/>
        <v>11</v>
      </c>
      <c r="C9865" s="135" t="s">
        <v>400</v>
      </c>
      <c r="D9865" s="161" t="s">
        <v>74</v>
      </c>
      <c r="E9865" s="135">
        <f t="shared" si="62"/>
        <v>10</v>
      </c>
      <c r="F9865" s="134" t="s">
        <v>3585</v>
      </c>
      <c r="G9865" s="63" t="str">
        <f>VLOOKUP(C9865, 'Class Def. - General Data'!$C$20:$C$1000,1,false)</f>
        <v>ZSI1_H_BEAM</v>
      </c>
      <c r="H9865" s="63" t="str">
        <f>IFERROR(__xludf.DUMMYFUNCTION("VLOOKUP(F9865, IMPORTRANGE(""https://docs.google.com/spreadsheets/d/1Lhp9OU0JdFf_VYSMzH5lBcEaU4o8teT1piV-SNzShjg/edit?gid=554141278#gid=554141278"", ""'Char Def. - Attributes'!C20:C2242""), 1,false)"),"HS_CODE")</f>
        <v>HS_CODE</v>
      </c>
      <c r="I9865" s="136"/>
      <c r="R9865" s="63" t="str">
        <f t="shared" si="60"/>
        <v>ZSI1_H_BEAMHS_CODE</v>
      </c>
    </row>
    <row r="9866" ht="15.75" customHeight="1">
      <c r="B9866" s="63">
        <f t="shared" si="1"/>
        <v>11</v>
      </c>
      <c r="C9866" s="135" t="s">
        <v>400</v>
      </c>
      <c r="D9866" s="161" t="s">
        <v>74</v>
      </c>
      <c r="E9866" s="135">
        <f t="shared" si="62"/>
        <v>11</v>
      </c>
      <c r="F9866" s="134" t="s">
        <v>3587</v>
      </c>
      <c r="G9866" s="63" t="str">
        <f>VLOOKUP(C9866, 'Class Def. - General Data'!$C$20:$C$1000,1,false)</f>
        <v>ZSI1_H_BEAM</v>
      </c>
      <c r="H9866" s="63" t="str">
        <f>IFERROR(__xludf.DUMMYFUNCTION("VLOOKUP(F9866, IMPORTRANGE(""https://docs.google.com/spreadsheets/d/1Lhp9OU0JdFf_VYSMzH5lBcEaU4o8teT1piV-SNzShjg/edit?gid=554141278#gid=554141278"", ""'Char Def. - Attributes'!C20:C2242""), 1,false)"),"PLANT_BUY")</f>
        <v>PLANT_BUY</v>
      </c>
      <c r="I9866" s="136"/>
      <c r="R9866" s="63" t="str">
        <f t="shared" si="60"/>
        <v>ZSI1_H_BEAMPLANT_BUY</v>
      </c>
    </row>
    <row r="9867" ht="15.75" customHeight="1">
      <c r="B9867" s="63">
        <f t="shared" si="1"/>
        <v>11</v>
      </c>
      <c r="C9867" s="135" t="s">
        <v>400</v>
      </c>
      <c r="D9867" s="161" t="s">
        <v>74</v>
      </c>
      <c r="E9867" s="135">
        <f t="shared" si="62"/>
        <v>12</v>
      </c>
      <c r="F9867" s="134" t="s">
        <v>4642</v>
      </c>
      <c r="G9867" s="63" t="str">
        <f>VLOOKUP(C9867, 'Class Def. - General Data'!$C$20:$C$1000,1,false)</f>
        <v>ZSI1_H_BEAM</v>
      </c>
      <c r="H9867" s="63" t="str">
        <f>IFERROR(__xludf.DUMMYFUNCTION("VLOOKUP(F9867, IMPORTRANGE(""https://docs.google.com/spreadsheets/d/1Lhp9OU0JdFf_VYSMzH5lBcEaU4o8teT1piV-SNzShjg/edit?gid=554141278#gid=554141278"", ""'Char Def. - Attributes'!C20:C2242""), 1,false)"),"BASE_UOM_H_BEAM")</f>
        <v>BASE_UOM_H_BEAM</v>
      </c>
      <c r="I9867" s="136"/>
      <c r="R9867" s="63" t="str">
        <f t="shared" si="60"/>
        <v>ZSI1_H_BEAMBASE_UOM_H_BEAM</v>
      </c>
    </row>
    <row r="9868" ht="15.75" customHeight="1">
      <c r="B9868" s="63">
        <f t="shared" si="1"/>
        <v>11</v>
      </c>
      <c r="C9868" s="135" t="s">
        <v>400</v>
      </c>
      <c r="D9868" s="161" t="s">
        <v>74</v>
      </c>
      <c r="E9868" s="135">
        <f t="shared" si="62"/>
        <v>13</v>
      </c>
      <c r="F9868" s="134" t="s">
        <v>4643</v>
      </c>
      <c r="G9868" s="63" t="str">
        <f>VLOOKUP(C9868, 'Class Def. - General Data'!$C$20:$C$1000,1,false)</f>
        <v>ZSI1_H_BEAM</v>
      </c>
      <c r="H9868" s="63" t="str">
        <f>IFERROR(__xludf.DUMMYFUNCTION("VLOOKUP(F9868, IMPORTRANGE(""https://docs.google.com/spreadsheets/d/1Lhp9OU0JdFf_VYSMzH5lBcEaU4o8teT1piV-SNzShjg/edit?gid=554141278#gid=554141278"", ""'Char Def. - Attributes'!C20:C2242""), 1,false)"),"ORDER_UNIT_H_BEAM")</f>
        <v>ORDER_UNIT_H_BEAM</v>
      </c>
      <c r="I9868" s="136"/>
      <c r="R9868" s="63" t="str">
        <f t="shared" si="60"/>
        <v>ZSI1_H_BEAMORDER_UNIT_H_BEAM</v>
      </c>
    </row>
    <row r="9869" ht="15.75" customHeight="1">
      <c r="B9869" s="63">
        <f t="shared" si="1"/>
        <v>11</v>
      </c>
      <c r="C9869" s="135" t="s">
        <v>400</v>
      </c>
      <c r="D9869" s="161" t="s">
        <v>74</v>
      </c>
      <c r="E9869" s="135">
        <f t="shared" si="62"/>
        <v>14</v>
      </c>
      <c r="F9869" s="134" t="s">
        <v>4056</v>
      </c>
      <c r="G9869" s="63" t="str">
        <f>VLOOKUP(C9869, 'Class Def. - General Data'!$C$20:$C$1000,1,false)</f>
        <v>ZSI1_H_BEAM</v>
      </c>
      <c r="H9869" s="63" t="str">
        <f>IFERROR(__xludf.DUMMYFUNCTION("VLOOKUP(F9869, IMPORTRANGE(""https://docs.google.com/spreadsheets/d/1Lhp9OU0JdFf_VYSMzH5lBcEaU4o8teT1piV-SNzShjg/edit?gid=554141278#gid=554141278"", ""'Char Def. - Attributes'!C20:C2242""), 1,false)"),"GROSS_WEIGHT_OPT")</f>
        <v>GROSS_WEIGHT_OPT</v>
      </c>
      <c r="I9869" s="136"/>
      <c r="R9869" s="63" t="str">
        <f t="shared" si="60"/>
        <v>ZSI1_H_BEAMGROSS_WEIGHT_OPT</v>
      </c>
    </row>
    <row r="9870" ht="15.75" customHeight="1">
      <c r="B9870" s="63">
        <f t="shared" si="1"/>
        <v>11</v>
      </c>
      <c r="C9870" s="135" t="s">
        <v>400</v>
      </c>
      <c r="D9870" s="161" t="s">
        <v>74</v>
      </c>
      <c r="E9870" s="135">
        <f t="shared" si="62"/>
        <v>15</v>
      </c>
      <c r="F9870" s="134" t="s">
        <v>4057</v>
      </c>
      <c r="G9870" s="63" t="str">
        <f>VLOOKUP(C9870, 'Class Def. - General Data'!$C$20:$C$1000,1,false)</f>
        <v>ZSI1_H_BEAM</v>
      </c>
      <c r="H9870" s="63" t="str">
        <f>IFERROR(__xludf.DUMMYFUNCTION("VLOOKUP(F9870, IMPORTRANGE(""https://docs.google.com/spreadsheets/d/1Lhp9OU0JdFf_VYSMzH5lBcEaU4o8teT1piV-SNzShjg/edit?gid=554141278#gid=554141278"", ""'Char Def. - Attributes'!C20:C2242""), 1,false)"),"NET_WEIGHT_OPT")</f>
        <v>NET_WEIGHT_OPT</v>
      </c>
      <c r="I9870" s="136"/>
      <c r="R9870" s="63" t="str">
        <f t="shared" si="60"/>
        <v>ZSI1_H_BEAMNET_WEIGHT_OPT</v>
      </c>
    </row>
    <row r="9871" ht="15.75" customHeight="1">
      <c r="B9871" s="63">
        <f t="shared" si="1"/>
        <v>11</v>
      </c>
      <c r="C9871" s="135" t="s">
        <v>400</v>
      </c>
      <c r="D9871" s="161" t="s">
        <v>74</v>
      </c>
      <c r="E9871" s="135">
        <f t="shared" si="62"/>
        <v>16</v>
      </c>
      <c r="F9871" s="134" t="s">
        <v>4058</v>
      </c>
      <c r="G9871" s="63" t="str">
        <f>VLOOKUP(C9871, 'Class Def. - General Data'!$C$20:$C$1000,1,false)</f>
        <v>ZSI1_H_BEAM</v>
      </c>
      <c r="H9871" s="63" t="str">
        <f>IFERROR(__xludf.DUMMYFUNCTION("VLOOKUP(F9871, IMPORTRANGE(""https://docs.google.com/spreadsheets/d/1Lhp9OU0JdFf_VYSMzH5lBcEaU4o8teT1piV-SNzShjg/edit?gid=554141278#gid=554141278"", ""'Char Def. - Attributes'!C20:C2242""), 1,false)"),"WEIGHT_UNIT_SI")</f>
        <v>WEIGHT_UNIT_SI</v>
      </c>
      <c r="I9871" s="136"/>
      <c r="R9871" s="63" t="str">
        <f t="shared" si="60"/>
        <v>ZSI1_H_BEAMWEIGHT_UNIT_SI</v>
      </c>
    </row>
    <row r="9872" ht="15.75" customHeight="1">
      <c r="B9872" s="63">
        <f t="shared" si="1"/>
        <v>11</v>
      </c>
      <c r="C9872" s="135" t="s">
        <v>400</v>
      </c>
      <c r="D9872" s="161" t="s">
        <v>74</v>
      </c>
      <c r="E9872" s="135">
        <f t="shared" si="62"/>
        <v>17</v>
      </c>
      <c r="F9872" s="134" t="s">
        <v>3877</v>
      </c>
      <c r="G9872" s="63" t="str">
        <f>VLOOKUP(C9872, 'Class Def. - General Data'!$C$20:$C$1000,1,false)</f>
        <v>ZSI1_H_BEAM</v>
      </c>
      <c r="H9872" s="63" t="str">
        <f>IFERROR(__xludf.DUMMYFUNCTION("VLOOKUP(F9872, IMPORTRANGE(""https://docs.google.com/spreadsheets/d/1Lhp9OU0JdFf_VYSMzH5lBcEaU4o8teT1piV-SNzShjg/edit?gid=554141278#gid=554141278"", ""'Char Def. - Attributes'!C20:C2242""), 1,false)"),"VOLUME_OPT")</f>
        <v>VOLUME_OPT</v>
      </c>
      <c r="I9872" s="136"/>
      <c r="R9872" s="63" t="str">
        <f t="shared" si="60"/>
        <v>ZSI1_H_BEAMVOLUME_OPT</v>
      </c>
    </row>
    <row r="9873" ht="15.75" customHeight="1">
      <c r="B9873" s="63">
        <f t="shared" si="1"/>
        <v>11</v>
      </c>
      <c r="C9873" s="135" t="s">
        <v>400</v>
      </c>
      <c r="D9873" s="161" t="s">
        <v>74</v>
      </c>
      <c r="E9873" s="135">
        <f t="shared" si="62"/>
        <v>18</v>
      </c>
      <c r="F9873" s="134" t="s">
        <v>4059</v>
      </c>
      <c r="G9873" s="63" t="str">
        <f>VLOOKUP(C9873, 'Class Def. - General Data'!$C$20:$C$1000,1,false)</f>
        <v>ZSI1_H_BEAM</v>
      </c>
      <c r="H9873" s="63" t="str">
        <f>IFERROR(__xludf.DUMMYFUNCTION("VLOOKUP(F9873, IMPORTRANGE(""https://docs.google.com/spreadsheets/d/1Lhp9OU0JdFf_VYSMzH5lBcEaU4o8teT1piV-SNzShjg/edit?gid=554141278#gid=554141278"", ""'Char Def. - Attributes'!C20:C2242""), 1,false)"),"VOLUME_UNIT_SI")</f>
        <v>VOLUME_UNIT_SI</v>
      </c>
      <c r="I9873" s="136"/>
      <c r="R9873" s="63" t="str">
        <f t="shared" si="60"/>
        <v>ZSI1_H_BEAMVOLUME_UNIT_SI</v>
      </c>
    </row>
    <row r="9874" ht="15.75" customHeight="1">
      <c r="B9874" s="63">
        <f t="shared" si="1"/>
        <v>11</v>
      </c>
      <c r="C9874" s="135" t="s">
        <v>400</v>
      </c>
      <c r="D9874" s="161" t="s">
        <v>74</v>
      </c>
      <c r="E9874" s="135">
        <f t="shared" si="62"/>
        <v>19</v>
      </c>
      <c r="F9874" s="134" t="s">
        <v>3804</v>
      </c>
      <c r="G9874" s="63" t="str">
        <f>VLOOKUP(C9874, 'Class Def. - General Data'!$C$20:$C$1000,1,false)</f>
        <v>ZSI1_H_BEAM</v>
      </c>
      <c r="H9874" s="63" t="str">
        <f>IFERROR(__xludf.DUMMYFUNCTION("VLOOKUP(F9874, IMPORTRANGE(""https://docs.google.com/spreadsheets/d/1Lhp9OU0JdFf_VYSMzH5lBcEaU4o8teT1piV-SNzShjg/edit?gid=554141278#gid=554141278"", ""'Char Def. - Attributes'!C20:C2242""), 1,false)"),"ALT_UOM1_SIPI")</f>
        <v>ALT_UOM1_SIPI</v>
      </c>
      <c r="I9874" s="136"/>
      <c r="R9874" s="63" t="str">
        <f t="shared" si="60"/>
        <v>ZSI1_H_BEAMALT_UOM1_SIPI</v>
      </c>
    </row>
    <row r="9875" ht="15.75" customHeight="1">
      <c r="B9875" s="63">
        <f t="shared" si="1"/>
        <v>11</v>
      </c>
      <c r="C9875" s="135" t="s">
        <v>400</v>
      </c>
      <c r="D9875" s="161" t="s">
        <v>74</v>
      </c>
      <c r="E9875" s="135">
        <f t="shared" si="62"/>
        <v>20</v>
      </c>
      <c r="F9875" s="134" t="s">
        <v>3805</v>
      </c>
      <c r="G9875" s="63" t="str">
        <f>VLOOKUP(C9875, 'Class Def. - General Data'!$C$20:$C$1000,1,false)</f>
        <v>ZSI1_H_BEAM</v>
      </c>
      <c r="H9875" s="63" t="str">
        <f>IFERROR(__xludf.DUMMYFUNCTION("VLOOKUP(F9875, IMPORTRANGE(""https://docs.google.com/spreadsheets/d/1Lhp9OU0JdFf_VYSMzH5lBcEaU4o8teT1piV-SNzShjg/edit?gid=554141278#gid=554141278"", ""'Char Def. - Attributes'!C20:C2242""), 1,false)"),"ALT_DENUM_UOM1")</f>
        <v>ALT_DENUM_UOM1</v>
      </c>
      <c r="I9875" s="136"/>
      <c r="R9875" s="63" t="str">
        <f t="shared" si="60"/>
        <v>ZSI1_H_BEAMALT_DENUM_UOM1</v>
      </c>
    </row>
    <row r="9876" ht="15.75" customHeight="1">
      <c r="B9876" s="63">
        <f t="shared" si="1"/>
        <v>11</v>
      </c>
      <c r="C9876" s="135" t="s">
        <v>400</v>
      </c>
      <c r="D9876" s="161" t="s">
        <v>74</v>
      </c>
      <c r="E9876" s="135">
        <f t="shared" si="62"/>
        <v>21</v>
      </c>
      <c r="F9876" s="134" t="s">
        <v>3806</v>
      </c>
      <c r="G9876" s="63" t="str">
        <f>VLOOKUP(C9876, 'Class Def. - General Data'!$C$20:$C$1000,1,false)</f>
        <v>ZSI1_H_BEAM</v>
      </c>
      <c r="H9876" s="63" t="str">
        <f>IFERROR(__xludf.DUMMYFUNCTION("VLOOKUP(F9876, IMPORTRANGE(""https://docs.google.com/spreadsheets/d/1Lhp9OU0JdFf_VYSMzH5lBcEaU4o8teT1piV-SNzShjg/edit?gid=554141278#gid=554141278"", ""'Char Def. - Attributes'!C20:C2242""), 1,false)"),"ALT_NUM_UOM1")</f>
        <v>ALT_NUM_UOM1</v>
      </c>
      <c r="I9876" s="136"/>
      <c r="R9876" s="63" t="str">
        <f t="shared" si="60"/>
        <v>ZSI1_H_BEAMALT_NUM_UOM1</v>
      </c>
    </row>
    <row r="9877" ht="15.75" customHeight="1">
      <c r="B9877" s="63">
        <f t="shared" si="1"/>
        <v>11</v>
      </c>
      <c r="C9877" s="135" t="s">
        <v>400</v>
      </c>
      <c r="D9877" s="161" t="s">
        <v>74</v>
      </c>
      <c r="E9877" s="135">
        <f t="shared" si="62"/>
        <v>22</v>
      </c>
      <c r="F9877" s="134" t="s">
        <v>3807</v>
      </c>
      <c r="G9877" s="63" t="str">
        <f>VLOOKUP(C9877, 'Class Def. - General Data'!$C$20:$C$1000,1,false)</f>
        <v>ZSI1_H_BEAM</v>
      </c>
      <c r="H9877" s="63" t="str">
        <f>IFERROR(__xludf.DUMMYFUNCTION("VLOOKUP(F9877, IMPORTRANGE(""https://docs.google.com/spreadsheets/d/1Lhp9OU0JdFf_VYSMzH5lBcEaU4o8teT1piV-SNzShjg/edit?gid=554141278#gid=554141278"", ""'Char Def. - Attributes'!C20:C2242""), 1,false)"),"ALT_UOM2_SIPI")</f>
        <v>ALT_UOM2_SIPI</v>
      </c>
      <c r="I9877" s="136"/>
      <c r="R9877" s="63" t="str">
        <f t="shared" si="60"/>
        <v>ZSI1_H_BEAMALT_UOM2_SIPI</v>
      </c>
    </row>
    <row r="9878" ht="15.75" customHeight="1">
      <c r="B9878" s="63">
        <f t="shared" si="1"/>
        <v>11</v>
      </c>
      <c r="C9878" s="135" t="s">
        <v>400</v>
      </c>
      <c r="D9878" s="161" t="s">
        <v>74</v>
      </c>
      <c r="E9878" s="135">
        <f t="shared" si="62"/>
        <v>23</v>
      </c>
      <c r="F9878" s="134" t="s">
        <v>3808</v>
      </c>
      <c r="G9878" s="63" t="str">
        <f>VLOOKUP(C9878, 'Class Def. - General Data'!$C$20:$C$1000,1,false)</f>
        <v>ZSI1_H_BEAM</v>
      </c>
      <c r="H9878" s="63" t="str">
        <f>IFERROR(__xludf.DUMMYFUNCTION("VLOOKUP(F9878, IMPORTRANGE(""https://docs.google.com/spreadsheets/d/1Lhp9OU0JdFf_VYSMzH5lBcEaU4o8teT1piV-SNzShjg/edit?gid=554141278#gid=554141278"", ""'Char Def. - Attributes'!C20:C2242""), 1,false)"),"ALT_DENUM_UOM2")</f>
        <v>ALT_DENUM_UOM2</v>
      </c>
      <c r="I9878" s="136"/>
      <c r="R9878" s="63" t="str">
        <f t="shared" si="60"/>
        <v>ZSI1_H_BEAMALT_DENUM_UOM2</v>
      </c>
    </row>
    <row r="9879" ht="15.75" customHeight="1">
      <c r="B9879" s="63">
        <f t="shared" si="1"/>
        <v>11</v>
      </c>
      <c r="C9879" s="135" t="s">
        <v>400</v>
      </c>
      <c r="D9879" s="161" t="s">
        <v>74</v>
      </c>
      <c r="E9879" s="135">
        <f t="shared" si="62"/>
        <v>24</v>
      </c>
      <c r="F9879" s="134" t="s">
        <v>3809</v>
      </c>
      <c r="G9879" s="63" t="str">
        <f>VLOOKUP(C9879, 'Class Def. - General Data'!$C$20:$C$1000,1,false)</f>
        <v>ZSI1_H_BEAM</v>
      </c>
      <c r="H9879" s="63" t="str">
        <f>IFERROR(__xludf.DUMMYFUNCTION("VLOOKUP(F9879, IMPORTRANGE(""https://docs.google.com/spreadsheets/d/1Lhp9OU0JdFf_VYSMzH5lBcEaU4o8teT1piV-SNzShjg/edit?gid=554141278#gid=554141278"", ""'Char Def. - Attributes'!C20:C2242""), 1,false)"),"ALT_NUM_UOM2")</f>
        <v>ALT_NUM_UOM2</v>
      </c>
      <c r="I9879" s="136"/>
      <c r="R9879" s="63" t="str">
        <f t="shared" si="60"/>
        <v>ZSI1_H_BEAMALT_NUM_UOM2</v>
      </c>
    </row>
    <row r="9880" ht="15.75" customHeight="1">
      <c r="B9880" s="63">
        <f t="shared" si="1"/>
        <v>11</v>
      </c>
      <c r="C9880" s="135" t="s">
        <v>400</v>
      </c>
      <c r="D9880" s="161" t="s">
        <v>74</v>
      </c>
      <c r="E9880" s="135">
        <f t="shared" si="62"/>
        <v>25</v>
      </c>
      <c r="F9880" s="134" t="s">
        <v>3810</v>
      </c>
      <c r="G9880" s="63" t="str">
        <f>VLOOKUP(C9880, 'Class Def. - General Data'!$C$20:$C$1000,1,false)</f>
        <v>ZSI1_H_BEAM</v>
      </c>
      <c r="H9880" s="63" t="str">
        <f>IFERROR(__xludf.DUMMYFUNCTION("VLOOKUP(F9880, IMPORTRANGE(""https://docs.google.com/spreadsheets/d/1Lhp9OU0JdFf_VYSMzH5lBcEaU4o8teT1piV-SNzShjg/edit?gid=554141278#gid=554141278"", ""'Char Def. - Attributes'!C20:C2242""), 1,false)"),"ALT_UOM3_SIPI")</f>
        <v>ALT_UOM3_SIPI</v>
      </c>
      <c r="I9880" s="136"/>
      <c r="R9880" s="63" t="str">
        <f t="shared" si="60"/>
        <v>ZSI1_H_BEAMALT_UOM3_SIPI</v>
      </c>
    </row>
    <row r="9881" ht="15.75" customHeight="1">
      <c r="B9881" s="63">
        <f t="shared" si="1"/>
        <v>11</v>
      </c>
      <c r="C9881" s="135" t="s">
        <v>400</v>
      </c>
      <c r="D9881" s="161" t="s">
        <v>74</v>
      </c>
      <c r="E9881" s="135">
        <f t="shared" si="62"/>
        <v>26</v>
      </c>
      <c r="F9881" s="134" t="s">
        <v>3811</v>
      </c>
      <c r="G9881" s="63" t="str">
        <f>VLOOKUP(C9881, 'Class Def. - General Data'!$C$20:$C$1000,1,false)</f>
        <v>ZSI1_H_BEAM</v>
      </c>
      <c r="H9881" s="63" t="str">
        <f>IFERROR(__xludf.DUMMYFUNCTION("VLOOKUP(F9881, IMPORTRANGE(""https://docs.google.com/spreadsheets/d/1Lhp9OU0JdFf_VYSMzH5lBcEaU4o8teT1piV-SNzShjg/edit?gid=554141278#gid=554141278"", ""'Char Def. - Attributes'!C20:C2242""), 1,false)"),"ALT_DENUM_UOM3")</f>
        <v>ALT_DENUM_UOM3</v>
      </c>
      <c r="I9881" s="136"/>
      <c r="R9881" s="63" t="str">
        <f t="shared" si="60"/>
        <v>ZSI1_H_BEAMALT_DENUM_UOM3</v>
      </c>
    </row>
    <row r="9882" ht="15.75" customHeight="1">
      <c r="B9882" s="63">
        <f t="shared" si="1"/>
        <v>11</v>
      </c>
      <c r="C9882" s="135" t="s">
        <v>400</v>
      </c>
      <c r="D9882" s="161" t="s">
        <v>74</v>
      </c>
      <c r="E9882" s="135">
        <f t="shared" si="62"/>
        <v>27</v>
      </c>
      <c r="F9882" s="134" t="s">
        <v>3812</v>
      </c>
      <c r="G9882" s="63" t="str">
        <f>VLOOKUP(C9882, 'Class Def. - General Data'!$C$20:$C$1000,1,false)</f>
        <v>ZSI1_H_BEAM</v>
      </c>
      <c r="H9882" s="63" t="str">
        <f>IFERROR(__xludf.DUMMYFUNCTION("VLOOKUP(F9882, IMPORTRANGE(""https://docs.google.com/spreadsheets/d/1Lhp9OU0JdFf_VYSMzH5lBcEaU4o8teT1piV-SNzShjg/edit?gid=554141278#gid=554141278"", ""'Char Def. - Attributes'!C20:C2242""), 1,false)"),"ALT_NUM_UOM3")</f>
        <v>ALT_NUM_UOM3</v>
      </c>
      <c r="I9882" s="136"/>
      <c r="R9882" s="63" t="str">
        <f t="shared" si="60"/>
        <v>ZSI1_H_BEAMALT_NUM_UOM3</v>
      </c>
    </row>
    <row r="9883" ht="15.75" customHeight="1">
      <c r="B9883" s="63">
        <f t="shared" si="1"/>
        <v>11</v>
      </c>
      <c r="C9883" s="135" t="s">
        <v>400</v>
      </c>
      <c r="D9883" s="161" t="s">
        <v>74</v>
      </c>
      <c r="E9883" s="135">
        <f t="shared" si="62"/>
        <v>28</v>
      </c>
      <c r="F9883" s="134" t="s">
        <v>3813</v>
      </c>
      <c r="G9883" s="63" t="str">
        <f>VLOOKUP(C9883, 'Class Def. - General Data'!$C$20:$C$1000,1,false)</f>
        <v>ZSI1_H_BEAM</v>
      </c>
      <c r="H9883" s="63" t="str">
        <f>IFERROR(__xludf.DUMMYFUNCTION("VLOOKUP(F9883, IMPORTRANGE(""https://docs.google.com/spreadsheets/d/1Lhp9OU0JdFf_VYSMzH5lBcEaU4o8teT1piV-SNzShjg/edit?gid=554141278#gid=554141278"", ""'Char Def. - Attributes'!C20:C2242""), 1,false)"),"ALT_UOM4_SIPI")</f>
        <v>ALT_UOM4_SIPI</v>
      </c>
      <c r="I9883" s="136"/>
      <c r="R9883" s="63" t="str">
        <f t="shared" si="60"/>
        <v>ZSI1_H_BEAMALT_UOM4_SIPI</v>
      </c>
    </row>
    <row r="9884" ht="15.75" customHeight="1">
      <c r="B9884" s="63">
        <f t="shared" si="1"/>
        <v>11</v>
      </c>
      <c r="C9884" s="135" t="s">
        <v>400</v>
      </c>
      <c r="D9884" s="161" t="s">
        <v>74</v>
      </c>
      <c r="E9884" s="135">
        <f t="shared" si="62"/>
        <v>29</v>
      </c>
      <c r="F9884" s="134" t="s">
        <v>3814</v>
      </c>
      <c r="G9884" s="63" t="str">
        <f>VLOOKUP(C9884, 'Class Def. - General Data'!$C$20:$C$1000,1,false)</f>
        <v>ZSI1_H_BEAM</v>
      </c>
      <c r="H9884" s="63" t="str">
        <f>IFERROR(__xludf.DUMMYFUNCTION("VLOOKUP(F9884, IMPORTRANGE(""https://docs.google.com/spreadsheets/d/1Lhp9OU0JdFf_VYSMzH5lBcEaU4o8teT1piV-SNzShjg/edit?gid=554141278#gid=554141278"", ""'Char Def. - Attributes'!C20:C2242""), 1,false)"),"ALT_DENUM_UOM4")</f>
        <v>ALT_DENUM_UOM4</v>
      </c>
      <c r="I9884" s="136"/>
      <c r="R9884" s="63" t="str">
        <f t="shared" si="60"/>
        <v>ZSI1_H_BEAMALT_DENUM_UOM4</v>
      </c>
    </row>
    <row r="9885" ht="15.75" customHeight="1">
      <c r="B9885" s="63">
        <f t="shared" si="1"/>
        <v>11</v>
      </c>
      <c r="C9885" s="135" t="s">
        <v>400</v>
      </c>
      <c r="D9885" s="161" t="s">
        <v>74</v>
      </c>
      <c r="E9885" s="135">
        <f t="shared" si="62"/>
        <v>30</v>
      </c>
      <c r="F9885" s="134" t="s">
        <v>3815</v>
      </c>
      <c r="G9885" s="63" t="str">
        <f>VLOOKUP(C9885, 'Class Def. - General Data'!$C$20:$C$1000,1,false)</f>
        <v>ZSI1_H_BEAM</v>
      </c>
      <c r="H9885" s="63" t="str">
        <f>IFERROR(__xludf.DUMMYFUNCTION("VLOOKUP(F9885, IMPORTRANGE(""https://docs.google.com/spreadsheets/d/1Lhp9OU0JdFf_VYSMzH5lBcEaU4o8teT1piV-SNzShjg/edit?gid=554141278#gid=554141278"", ""'Char Def. - Attributes'!C20:C2242""), 1,false)"),"ALT_NUM_UOM4")</f>
        <v>ALT_NUM_UOM4</v>
      </c>
      <c r="I9885" s="136"/>
      <c r="R9885" s="63" t="str">
        <f t="shared" si="60"/>
        <v>ZSI1_H_BEAMALT_NUM_UOM4</v>
      </c>
    </row>
    <row r="9886" ht="15.75" customHeight="1">
      <c r="B9886" s="63">
        <f t="shared" si="1"/>
        <v>11</v>
      </c>
      <c r="C9886" s="135" t="s">
        <v>400</v>
      </c>
      <c r="D9886" s="161" t="s">
        <v>74</v>
      </c>
      <c r="E9886" s="135">
        <f t="shared" si="62"/>
        <v>31</v>
      </c>
      <c r="F9886" s="134" t="s">
        <v>3816</v>
      </c>
      <c r="G9886" s="63" t="str">
        <f>VLOOKUP(C9886, 'Class Def. - General Data'!$C$20:$C$1000,1,false)</f>
        <v>ZSI1_H_BEAM</v>
      </c>
      <c r="H9886" s="63" t="str">
        <f>IFERROR(__xludf.DUMMYFUNCTION("VLOOKUP(F9886, IMPORTRANGE(""https://docs.google.com/spreadsheets/d/1Lhp9OU0JdFf_VYSMzH5lBcEaU4o8teT1piV-SNzShjg/edit?gid=554141278#gid=554141278"", ""'Char Def. - Attributes'!C20:C2242""), 1,false)"),"ALT_UOM5_SIPI")</f>
        <v>ALT_UOM5_SIPI</v>
      </c>
      <c r="I9886" s="136"/>
      <c r="R9886" s="63" t="str">
        <f t="shared" si="60"/>
        <v>ZSI1_H_BEAMALT_UOM5_SIPI</v>
      </c>
    </row>
    <row r="9887" ht="15.75" customHeight="1">
      <c r="B9887" s="63">
        <f t="shared" si="1"/>
        <v>11</v>
      </c>
      <c r="C9887" s="135" t="s">
        <v>400</v>
      </c>
      <c r="D9887" s="161" t="s">
        <v>74</v>
      </c>
      <c r="E9887" s="135">
        <f t="shared" si="62"/>
        <v>32</v>
      </c>
      <c r="F9887" s="134" t="s">
        <v>3817</v>
      </c>
      <c r="G9887" s="63" t="str">
        <f>VLOOKUP(C9887, 'Class Def. - General Data'!$C$20:$C$1000,1,false)</f>
        <v>ZSI1_H_BEAM</v>
      </c>
      <c r="H9887" s="63" t="str">
        <f>IFERROR(__xludf.DUMMYFUNCTION("VLOOKUP(F9887, IMPORTRANGE(""https://docs.google.com/spreadsheets/d/1Lhp9OU0JdFf_VYSMzH5lBcEaU4o8teT1piV-SNzShjg/edit?gid=554141278#gid=554141278"", ""'Char Def. - Attributes'!C20:C2242""), 1,false)"),"ALT_DENUM_UOM5")</f>
        <v>ALT_DENUM_UOM5</v>
      </c>
      <c r="I9887" s="136"/>
      <c r="R9887" s="63" t="str">
        <f t="shared" si="60"/>
        <v>ZSI1_H_BEAMALT_DENUM_UOM5</v>
      </c>
    </row>
    <row r="9888" ht="15.75" customHeight="1">
      <c r="B9888" s="63">
        <f t="shared" si="1"/>
        <v>11</v>
      </c>
      <c r="C9888" s="135" t="s">
        <v>400</v>
      </c>
      <c r="D9888" s="161" t="s">
        <v>74</v>
      </c>
      <c r="E9888" s="135">
        <f t="shared" si="62"/>
        <v>33</v>
      </c>
      <c r="F9888" s="134" t="s">
        <v>3818</v>
      </c>
      <c r="G9888" s="63" t="str">
        <f>VLOOKUP(C9888, 'Class Def. - General Data'!$C$20:$C$1000,1,false)</f>
        <v>ZSI1_H_BEAM</v>
      </c>
      <c r="H9888" s="63" t="str">
        <f>IFERROR(__xludf.DUMMYFUNCTION("VLOOKUP(F9888, IMPORTRANGE(""https://docs.google.com/spreadsheets/d/1Lhp9OU0JdFf_VYSMzH5lBcEaU4o8teT1piV-SNzShjg/edit?gid=554141278#gid=554141278"", ""'Char Def. - Attributes'!C20:C2242""), 1,false)"),"ALT_NUM_UOM5")</f>
        <v>ALT_NUM_UOM5</v>
      </c>
      <c r="I9888" s="136"/>
      <c r="R9888" s="63" t="str">
        <f t="shared" si="60"/>
        <v>ZSI1_H_BEAMALT_NUM_UOM5</v>
      </c>
    </row>
    <row r="9889" ht="15.75" customHeight="1">
      <c r="B9889" s="63">
        <f t="shared" si="1"/>
        <v>14</v>
      </c>
      <c r="C9889" s="135" t="s">
        <v>295</v>
      </c>
      <c r="D9889" s="161" t="s">
        <v>74</v>
      </c>
      <c r="E9889" s="135">
        <f t="shared" si="62"/>
        <v>1</v>
      </c>
      <c r="F9889" s="134" t="s">
        <v>4644</v>
      </c>
      <c r="G9889" s="63" t="str">
        <f>VLOOKUP(C9889, 'Class Def. - General Data'!$C$20:$C$1000,1,false)</f>
        <v>ZSI1_HAND_TOOL</v>
      </c>
      <c r="H9889" s="63" t="str">
        <f>IFERROR(__xludf.DUMMYFUNCTION("VLOOKUP(F9889, IMPORTRANGE(""https://docs.google.com/spreadsheets/d/1Lhp9OU0JdFf_VYSMzH5lBcEaU4o8teT1piV-SNzShjg/edit?gid=554141278#gid=554141278"", ""'Char Def. - Attributes'!C20:C2242""), 1,false)"),"ITEM_NAME_HAND_TOOL")</f>
        <v>ITEM_NAME_HAND_TOOL</v>
      </c>
      <c r="I9889" s="136"/>
      <c r="R9889" s="63" t="str">
        <f t="shared" si="60"/>
        <v>ZSI1_HAND_TOOLITEM_NAME_HAND_TOOL</v>
      </c>
    </row>
    <row r="9890" ht="15.75" customHeight="1">
      <c r="B9890" s="63">
        <f t="shared" si="1"/>
        <v>14</v>
      </c>
      <c r="C9890" s="135" t="s">
        <v>295</v>
      </c>
      <c r="D9890" s="161" t="s">
        <v>74</v>
      </c>
      <c r="E9890" s="135">
        <f t="shared" si="62"/>
        <v>2</v>
      </c>
      <c r="F9890" s="134" t="s">
        <v>4645</v>
      </c>
      <c r="G9890" s="63" t="str">
        <f>VLOOKUP(C9890, 'Class Def. - General Data'!$C$20:$C$1000,1,false)</f>
        <v>ZSI1_HAND_TOOL</v>
      </c>
      <c r="H9890" s="63" t="str">
        <f>IFERROR(__xludf.DUMMYFUNCTION("VLOOKUP(F9890, IMPORTRANGE(""https://docs.google.com/spreadsheets/d/1Lhp9OU0JdFf_VYSMzH5lBcEaU4o8teT1piV-SNzShjg/edit?gid=554141278#gid=554141278"", ""'Char Def. - Attributes'!C20:C2242""), 1,false)"),"MFR_NO_HAND_TOOL")</f>
        <v>MFR_NO_HAND_TOOL</v>
      </c>
      <c r="I9890" s="136"/>
      <c r="R9890" s="63" t="str">
        <f t="shared" si="60"/>
        <v>ZSI1_HAND_TOOLMFR_NO_HAND_TOOL</v>
      </c>
    </row>
    <row r="9891" ht="15.75" customHeight="1">
      <c r="B9891" s="63">
        <f t="shared" si="1"/>
        <v>14</v>
      </c>
      <c r="C9891" s="135" t="s">
        <v>295</v>
      </c>
      <c r="D9891" s="161" t="s">
        <v>74</v>
      </c>
      <c r="E9891" s="135">
        <f t="shared" si="62"/>
        <v>3</v>
      </c>
      <c r="F9891" s="134" t="s">
        <v>3782</v>
      </c>
      <c r="G9891" s="63" t="str">
        <f>VLOOKUP(C9891, 'Class Def. - General Data'!$C$20:$C$1000,1,false)</f>
        <v>ZSI1_HAND_TOOL</v>
      </c>
      <c r="H9891" s="63" t="str">
        <f>IFERROR(__xludf.DUMMYFUNCTION("VLOOKUP(F9891, IMPORTRANGE(""https://docs.google.com/spreadsheets/d/1Lhp9OU0JdFf_VYSMzH5lBcEaU4o8teT1piV-SNzShjg/edit?gid=554141278#gid=554141278"", ""'Char Def. - Attributes'!C20:C2242""), 1,false)"),"BRAND_EXTERNAL")</f>
        <v>BRAND_EXTERNAL</v>
      </c>
      <c r="I9891" s="136"/>
      <c r="R9891" s="63" t="str">
        <f t="shared" si="60"/>
        <v>ZSI1_HAND_TOOLBRAND_EXTERNAL</v>
      </c>
    </row>
    <row r="9892" ht="15.75" customHeight="1">
      <c r="B9892" s="63">
        <f t="shared" si="1"/>
        <v>14</v>
      </c>
      <c r="C9892" s="135" t="s">
        <v>295</v>
      </c>
      <c r="D9892" s="161" t="s">
        <v>74</v>
      </c>
      <c r="E9892" s="135">
        <f t="shared" si="62"/>
        <v>4</v>
      </c>
      <c r="F9892" s="134" t="s">
        <v>4062</v>
      </c>
      <c r="G9892" s="63" t="str">
        <f>VLOOKUP(C9892, 'Class Def. - General Data'!$C$20:$C$1000,1,false)</f>
        <v>ZSI1_HAND_TOOL</v>
      </c>
      <c r="H9892" s="63" t="str">
        <f>IFERROR(__xludf.DUMMYFUNCTION("VLOOKUP(F9892, IMPORTRANGE(""https://docs.google.com/spreadsheets/d/1Lhp9OU0JdFf_VYSMzH5lBcEaU4o8teT1piV-SNzShjg/edit?gid=554141278#gid=554141278"", ""'Char Def. - Attributes'!C20:C2242""), 1,false)"),"#N/A")</f>
        <v>#N/A</v>
      </c>
      <c r="I9892" s="136"/>
      <c r="R9892" s="63" t="str">
        <f t="shared" si="60"/>
        <v>ZSI1_HAND_TOOLADDTIONAL_SPECIFICATION</v>
      </c>
    </row>
    <row r="9893" ht="15.75" customHeight="1">
      <c r="B9893" s="63">
        <f t="shared" si="1"/>
        <v>14</v>
      </c>
      <c r="C9893" s="135" t="s">
        <v>295</v>
      </c>
      <c r="D9893" s="161" t="s">
        <v>74</v>
      </c>
      <c r="E9893" s="135">
        <f t="shared" si="62"/>
        <v>5</v>
      </c>
      <c r="F9893" s="134" t="s">
        <v>4053</v>
      </c>
      <c r="G9893" s="63" t="str">
        <f>VLOOKUP(C9893, 'Class Def. - General Data'!$C$20:$C$1000,1,false)</f>
        <v>ZSI1_HAND_TOOL</v>
      </c>
      <c r="H9893" s="63" t="str">
        <f>IFERROR(__xludf.DUMMYFUNCTION("VLOOKUP(F9893, IMPORTRANGE(""https://docs.google.com/spreadsheets/d/1Lhp9OU0JdFf_VYSMzH5lBcEaU4o8teT1piV-SNzShjg/edit?gid=554141278#gid=554141278"", ""'Char Def. - Attributes'!C20:C2242""), 1,false)"),"MAINTENANCE_ORDER_TYPE")</f>
        <v>MAINTENANCE_ORDER_TYPE</v>
      </c>
      <c r="I9893" s="136"/>
      <c r="R9893" s="63" t="str">
        <f t="shared" si="60"/>
        <v>ZSI1_HAND_TOOLMAINTENANCE_ORDER_TYPE</v>
      </c>
    </row>
    <row r="9894" ht="15.75" customHeight="1">
      <c r="B9894" s="63">
        <f t="shared" si="1"/>
        <v>14</v>
      </c>
      <c r="C9894" s="135" t="s">
        <v>295</v>
      </c>
      <c r="D9894" s="161" t="s">
        <v>74</v>
      </c>
      <c r="E9894" s="135">
        <f t="shared" si="62"/>
        <v>6</v>
      </c>
      <c r="F9894" s="134" t="s">
        <v>3585</v>
      </c>
      <c r="G9894" s="63" t="str">
        <f>VLOOKUP(C9894, 'Class Def. - General Data'!$C$20:$C$1000,1,false)</f>
        <v>ZSI1_HAND_TOOL</v>
      </c>
      <c r="H9894" s="63" t="str">
        <f>IFERROR(__xludf.DUMMYFUNCTION("VLOOKUP(F9894, IMPORTRANGE(""https://docs.google.com/spreadsheets/d/1Lhp9OU0JdFf_VYSMzH5lBcEaU4o8teT1piV-SNzShjg/edit?gid=554141278#gid=554141278"", ""'Char Def. - Attributes'!C20:C2242""), 1,false)"),"HS_CODE")</f>
        <v>HS_CODE</v>
      </c>
      <c r="I9894" s="136"/>
      <c r="R9894" s="63" t="str">
        <f t="shared" si="60"/>
        <v>ZSI1_HAND_TOOLHS_CODE</v>
      </c>
    </row>
    <row r="9895" ht="15.75" customHeight="1">
      <c r="B9895" s="63">
        <f t="shared" si="1"/>
        <v>14</v>
      </c>
      <c r="C9895" s="135" t="s">
        <v>295</v>
      </c>
      <c r="D9895" s="161" t="s">
        <v>74</v>
      </c>
      <c r="E9895" s="135">
        <f t="shared" si="62"/>
        <v>7</v>
      </c>
      <c r="F9895" s="134" t="s">
        <v>3587</v>
      </c>
      <c r="G9895" s="63" t="str">
        <f>VLOOKUP(C9895, 'Class Def. - General Data'!$C$20:$C$1000,1,false)</f>
        <v>ZSI1_HAND_TOOL</v>
      </c>
      <c r="H9895" s="63" t="str">
        <f>IFERROR(__xludf.DUMMYFUNCTION("VLOOKUP(F9895, IMPORTRANGE(""https://docs.google.com/spreadsheets/d/1Lhp9OU0JdFf_VYSMzH5lBcEaU4o8teT1piV-SNzShjg/edit?gid=554141278#gid=554141278"", ""'Char Def. - Attributes'!C20:C2242""), 1,false)"),"PLANT_BUY")</f>
        <v>PLANT_BUY</v>
      </c>
      <c r="I9895" s="136"/>
      <c r="R9895" s="63" t="str">
        <f t="shared" si="60"/>
        <v>ZSI1_HAND_TOOLPLANT_BUY</v>
      </c>
    </row>
    <row r="9896" ht="15.75" customHeight="1">
      <c r="B9896" s="63">
        <f t="shared" si="1"/>
        <v>14</v>
      </c>
      <c r="C9896" s="135" t="s">
        <v>295</v>
      </c>
      <c r="D9896" s="161" t="s">
        <v>74</v>
      </c>
      <c r="E9896" s="135">
        <f t="shared" si="62"/>
        <v>8</v>
      </c>
      <c r="F9896" s="134" t="s">
        <v>4646</v>
      </c>
      <c r="G9896" s="63" t="str">
        <f>VLOOKUP(C9896, 'Class Def. - General Data'!$C$20:$C$1000,1,false)</f>
        <v>ZSI1_HAND_TOOL</v>
      </c>
      <c r="H9896" s="63" t="str">
        <f>IFERROR(__xludf.DUMMYFUNCTION("VLOOKUP(F9896, IMPORTRANGE(""https://docs.google.com/spreadsheets/d/1Lhp9OU0JdFf_VYSMzH5lBcEaU4o8teT1piV-SNzShjg/edit?gid=554141278#gid=554141278"", ""'Char Def. - Attributes'!C20:C2242""), 1,false)"),"BASE_UOM_HAND_TOOL")</f>
        <v>BASE_UOM_HAND_TOOL</v>
      </c>
      <c r="I9896" s="136"/>
      <c r="R9896" s="63" t="str">
        <f t="shared" si="60"/>
        <v>ZSI1_HAND_TOOLBASE_UOM_HAND_TOOL</v>
      </c>
    </row>
    <row r="9897" ht="15.75" customHeight="1">
      <c r="B9897" s="63">
        <f t="shared" si="1"/>
        <v>14</v>
      </c>
      <c r="C9897" s="135" t="s">
        <v>295</v>
      </c>
      <c r="D9897" s="161" t="s">
        <v>74</v>
      </c>
      <c r="E9897" s="135">
        <f t="shared" si="62"/>
        <v>9</v>
      </c>
      <c r="F9897" s="134" t="s">
        <v>4647</v>
      </c>
      <c r="G9897" s="63" t="str">
        <f>VLOOKUP(C9897, 'Class Def. - General Data'!$C$20:$C$1000,1,false)</f>
        <v>ZSI1_HAND_TOOL</v>
      </c>
      <c r="H9897" s="63" t="str">
        <f>IFERROR(__xludf.DUMMYFUNCTION("VLOOKUP(F9897, IMPORTRANGE(""https://docs.google.com/spreadsheets/d/1Lhp9OU0JdFf_VYSMzH5lBcEaU4o8teT1piV-SNzShjg/edit?gid=554141278#gid=554141278"", ""'Char Def. - Attributes'!C20:C2242""), 1,false)"),"ORDER_UNIT_HAND_TOOL")</f>
        <v>ORDER_UNIT_HAND_TOOL</v>
      </c>
      <c r="I9897" s="136"/>
      <c r="R9897" s="63" t="str">
        <f t="shared" si="60"/>
        <v>ZSI1_HAND_TOOLORDER_UNIT_HAND_TOOL</v>
      </c>
    </row>
    <row r="9898" ht="15.75" customHeight="1">
      <c r="B9898" s="63">
        <f t="shared" si="1"/>
        <v>14</v>
      </c>
      <c r="C9898" s="135" t="s">
        <v>295</v>
      </c>
      <c r="D9898" s="161" t="s">
        <v>74</v>
      </c>
      <c r="E9898" s="135">
        <f t="shared" si="62"/>
        <v>10</v>
      </c>
      <c r="F9898" s="134" t="s">
        <v>4056</v>
      </c>
      <c r="G9898" s="63" t="str">
        <f>VLOOKUP(C9898, 'Class Def. - General Data'!$C$20:$C$1000,1,false)</f>
        <v>ZSI1_HAND_TOOL</v>
      </c>
      <c r="H9898" s="63" t="str">
        <f>IFERROR(__xludf.DUMMYFUNCTION("VLOOKUP(F9898, IMPORTRANGE(""https://docs.google.com/spreadsheets/d/1Lhp9OU0JdFf_VYSMzH5lBcEaU4o8teT1piV-SNzShjg/edit?gid=554141278#gid=554141278"", ""'Char Def. - Attributes'!C20:C2242""), 1,false)"),"GROSS_WEIGHT_OPT")</f>
        <v>GROSS_WEIGHT_OPT</v>
      </c>
      <c r="I9898" s="136"/>
      <c r="R9898" s="63" t="str">
        <f t="shared" si="60"/>
        <v>ZSI1_HAND_TOOLGROSS_WEIGHT_OPT</v>
      </c>
    </row>
    <row r="9899" ht="15.75" customHeight="1">
      <c r="B9899" s="63">
        <f t="shared" si="1"/>
        <v>14</v>
      </c>
      <c r="C9899" s="135" t="s">
        <v>295</v>
      </c>
      <c r="D9899" s="161" t="s">
        <v>74</v>
      </c>
      <c r="E9899" s="135">
        <f t="shared" si="62"/>
        <v>11</v>
      </c>
      <c r="F9899" s="134" t="s">
        <v>4057</v>
      </c>
      <c r="G9899" s="63" t="str">
        <f>VLOOKUP(C9899, 'Class Def. - General Data'!$C$20:$C$1000,1,false)</f>
        <v>ZSI1_HAND_TOOL</v>
      </c>
      <c r="H9899" s="63" t="str">
        <f>IFERROR(__xludf.DUMMYFUNCTION("VLOOKUP(F9899, IMPORTRANGE(""https://docs.google.com/spreadsheets/d/1Lhp9OU0JdFf_VYSMzH5lBcEaU4o8teT1piV-SNzShjg/edit?gid=554141278#gid=554141278"", ""'Char Def. - Attributes'!C20:C2242""), 1,false)"),"NET_WEIGHT_OPT")</f>
        <v>NET_WEIGHT_OPT</v>
      </c>
      <c r="I9899" s="136"/>
      <c r="R9899" s="63" t="str">
        <f t="shared" si="60"/>
        <v>ZSI1_HAND_TOOLNET_WEIGHT_OPT</v>
      </c>
    </row>
    <row r="9900" ht="15.75" customHeight="1">
      <c r="B9900" s="63">
        <f t="shared" si="1"/>
        <v>14</v>
      </c>
      <c r="C9900" s="135" t="s">
        <v>295</v>
      </c>
      <c r="D9900" s="161" t="s">
        <v>74</v>
      </c>
      <c r="E9900" s="135">
        <f t="shared" si="62"/>
        <v>12</v>
      </c>
      <c r="F9900" s="134" t="s">
        <v>4058</v>
      </c>
      <c r="G9900" s="63" t="str">
        <f>VLOOKUP(C9900, 'Class Def. - General Data'!$C$20:$C$1000,1,false)</f>
        <v>ZSI1_HAND_TOOL</v>
      </c>
      <c r="H9900" s="63" t="str">
        <f>IFERROR(__xludf.DUMMYFUNCTION("VLOOKUP(F9900, IMPORTRANGE(""https://docs.google.com/spreadsheets/d/1Lhp9OU0JdFf_VYSMzH5lBcEaU4o8teT1piV-SNzShjg/edit?gid=554141278#gid=554141278"", ""'Char Def. - Attributes'!C20:C2242""), 1,false)"),"WEIGHT_UNIT_SI")</f>
        <v>WEIGHT_UNIT_SI</v>
      </c>
      <c r="I9900" s="136"/>
      <c r="R9900" s="63" t="str">
        <f t="shared" si="60"/>
        <v>ZSI1_HAND_TOOLWEIGHT_UNIT_SI</v>
      </c>
    </row>
    <row r="9901" ht="15.75" customHeight="1">
      <c r="B9901" s="63">
        <f t="shared" si="1"/>
        <v>14</v>
      </c>
      <c r="C9901" s="135" t="s">
        <v>295</v>
      </c>
      <c r="D9901" s="161" t="s">
        <v>74</v>
      </c>
      <c r="E9901" s="135">
        <f t="shared" si="62"/>
        <v>13</v>
      </c>
      <c r="F9901" s="134" t="s">
        <v>3877</v>
      </c>
      <c r="G9901" s="63" t="str">
        <f>VLOOKUP(C9901, 'Class Def. - General Data'!$C$20:$C$1000,1,false)</f>
        <v>ZSI1_HAND_TOOL</v>
      </c>
      <c r="H9901" s="63" t="str">
        <f>IFERROR(__xludf.DUMMYFUNCTION("VLOOKUP(F9901, IMPORTRANGE(""https://docs.google.com/spreadsheets/d/1Lhp9OU0JdFf_VYSMzH5lBcEaU4o8teT1piV-SNzShjg/edit?gid=554141278#gid=554141278"", ""'Char Def. - Attributes'!C20:C2242""), 1,false)"),"VOLUME_OPT")</f>
        <v>VOLUME_OPT</v>
      </c>
      <c r="I9901" s="136"/>
      <c r="R9901" s="63" t="str">
        <f t="shared" si="60"/>
        <v>ZSI1_HAND_TOOLVOLUME_OPT</v>
      </c>
    </row>
    <row r="9902" ht="15.75" customHeight="1">
      <c r="B9902" s="63">
        <f t="shared" si="1"/>
        <v>14</v>
      </c>
      <c r="C9902" s="135" t="s">
        <v>295</v>
      </c>
      <c r="D9902" s="161" t="s">
        <v>74</v>
      </c>
      <c r="E9902" s="135">
        <f t="shared" si="62"/>
        <v>14</v>
      </c>
      <c r="F9902" s="134" t="s">
        <v>4059</v>
      </c>
      <c r="G9902" s="63" t="str">
        <f>VLOOKUP(C9902, 'Class Def. - General Data'!$C$20:$C$1000,1,false)</f>
        <v>ZSI1_HAND_TOOL</v>
      </c>
      <c r="H9902" s="63" t="str">
        <f>IFERROR(__xludf.DUMMYFUNCTION("VLOOKUP(F9902, IMPORTRANGE(""https://docs.google.com/spreadsheets/d/1Lhp9OU0JdFf_VYSMzH5lBcEaU4o8teT1piV-SNzShjg/edit?gid=554141278#gid=554141278"", ""'Char Def. - Attributes'!C20:C2242""), 1,false)"),"VOLUME_UNIT_SI")</f>
        <v>VOLUME_UNIT_SI</v>
      </c>
      <c r="I9902" s="136"/>
      <c r="R9902" s="63" t="str">
        <f t="shared" si="60"/>
        <v>ZSI1_HAND_TOOLVOLUME_UNIT_SI</v>
      </c>
    </row>
    <row r="9903" ht="15.75" customHeight="1">
      <c r="B9903" s="63">
        <f t="shared" si="1"/>
        <v>14</v>
      </c>
      <c r="C9903" s="135" t="s">
        <v>295</v>
      </c>
      <c r="D9903" s="161" t="s">
        <v>74</v>
      </c>
      <c r="E9903" s="135">
        <f t="shared" si="62"/>
        <v>15</v>
      </c>
      <c r="F9903" s="134" t="s">
        <v>3804</v>
      </c>
      <c r="G9903" s="63" t="str">
        <f>VLOOKUP(C9903, 'Class Def. - General Data'!$C$20:$C$1000,1,false)</f>
        <v>ZSI1_HAND_TOOL</v>
      </c>
      <c r="H9903" s="63" t="str">
        <f>IFERROR(__xludf.DUMMYFUNCTION("VLOOKUP(F9903, IMPORTRANGE(""https://docs.google.com/spreadsheets/d/1Lhp9OU0JdFf_VYSMzH5lBcEaU4o8teT1piV-SNzShjg/edit?gid=554141278#gid=554141278"", ""'Char Def. - Attributes'!C20:C2242""), 1,false)"),"ALT_UOM1_SIPI")</f>
        <v>ALT_UOM1_SIPI</v>
      </c>
      <c r="I9903" s="136"/>
      <c r="R9903" s="63" t="str">
        <f t="shared" si="60"/>
        <v>ZSI1_HAND_TOOLALT_UOM1_SIPI</v>
      </c>
    </row>
    <row r="9904" ht="15.75" customHeight="1">
      <c r="B9904" s="63">
        <f t="shared" si="1"/>
        <v>14</v>
      </c>
      <c r="C9904" s="135" t="s">
        <v>295</v>
      </c>
      <c r="D9904" s="161" t="s">
        <v>74</v>
      </c>
      <c r="E9904" s="135">
        <f t="shared" si="62"/>
        <v>16</v>
      </c>
      <c r="F9904" s="134" t="s">
        <v>3805</v>
      </c>
      <c r="G9904" s="63" t="str">
        <f>VLOOKUP(C9904, 'Class Def. - General Data'!$C$20:$C$1000,1,false)</f>
        <v>ZSI1_HAND_TOOL</v>
      </c>
      <c r="H9904" s="63" t="str">
        <f>IFERROR(__xludf.DUMMYFUNCTION("VLOOKUP(F9904, IMPORTRANGE(""https://docs.google.com/spreadsheets/d/1Lhp9OU0JdFf_VYSMzH5lBcEaU4o8teT1piV-SNzShjg/edit?gid=554141278#gid=554141278"", ""'Char Def. - Attributes'!C20:C2242""), 1,false)"),"ALT_DENUM_UOM1")</f>
        <v>ALT_DENUM_UOM1</v>
      </c>
      <c r="I9904" s="136"/>
      <c r="R9904" s="63" t="str">
        <f t="shared" si="60"/>
        <v>ZSI1_HAND_TOOLALT_DENUM_UOM1</v>
      </c>
    </row>
    <row r="9905" ht="15.75" customHeight="1">
      <c r="B9905" s="63">
        <f t="shared" si="1"/>
        <v>14</v>
      </c>
      <c r="C9905" s="135" t="s">
        <v>295</v>
      </c>
      <c r="D9905" s="161" t="s">
        <v>74</v>
      </c>
      <c r="E9905" s="135">
        <f t="shared" si="62"/>
        <v>17</v>
      </c>
      <c r="F9905" s="134" t="s">
        <v>3806</v>
      </c>
      <c r="G9905" s="63" t="str">
        <f>VLOOKUP(C9905, 'Class Def. - General Data'!$C$20:$C$1000,1,false)</f>
        <v>ZSI1_HAND_TOOL</v>
      </c>
      <c r="H9905" s="63" t="str">
        <f>IFERROR(__xludf.DUMMYFUNCTION("VLOOKUP(F9905, IMPORTRANGE(""https://docs.google.com/spreadsheets/d/1Lhp9OU0JdFf_VYSMzH5lBcEaU4o8teT1piV-SNzShjg/edit?gid=554141278#gid=554141278"", ""'Char Def. - Attributes'!C20:C2242""), 1,false)"),"ALT_NUM_UOM1")</f>
        <v>ALT_NUM_UOM1</v>
      </c>
      <c r="I9905" s="136"/>
      <c r="R9905" s="63" t="str">
        <f t="shared" si="60"/>
        <v>ZSI1_HAND_TOOLALT_NUM_UOM1</v>
      </c>
    </row>
    <row r="9906" ht="15.75" customHeight="1">
      <c r="B9906" s="63">
        <f t="shared" si="1"/>
        <v>14</v>
      </c>
      <c r="C9906" s="135" t="s">
        <v>295</v>
      </c>
      <c r="D9906" s="161" t="s">
        <v>74</v>
      </c>
      <c r="E9906" s="135">
        <f t="shared" si="62"/>
        <v>18</v>
      </c>
      <c r="F9906" s="134" t="s">
        <v>3807</v>
      </c>
      <c r="G9906" s="63" t="str">
        <f>VLOOKUP(C9906, 'Class Def. - General Data'!$C$20:$C$1000,1,false)</f>
        <v>ZSI1_HAND_TOOL</v>
      </c>
      <c r="H9906" s="63" t="str">
        <f>IFERROR(__xludf.DUMMYFUNCTION("VLOOKUP(F9906, IMPORTRANGE(""https://docs.google.com/spreadsheets/d/1Lhp9OU0JdFf_VYSMzH5lBcEaU4o8teT1piV-SNzShjg/edit?gid=554141278#gid=554141278"", ""'Char Def. - Attributes'!C20:C2242""), 1,false)"),"ALT_UOM2_SIPI")</f>
        <v>ALT_UOM2_SIPI</v>
      </c>
      <c r="I9906" s="136"/>
      <c r="R9906" s="63" t="str">
        <f t="shared" si="60"/>
        <v>ZSI1_HAND_TOOLALT_UOM2_SIPI</v>
      </c>
    </row>
    <row r="9907" ht="15.75" customHeight="1">
      <c r="B9907" s="63">
        <f t="shared" si="1"/>
        <v>14</v>
      </c>
      <c r="C9907" s="135" t="s">
        <v>295</v>
      </c>
      <c r="D9907" s="161" t="s">
        <v>74</v>
      </c>
      <c r="E9907" s="135">
        <f t="shared" si="62"/>
        <v>19</v>
      </c>
      <c r="F9907" s="134" t="s">
        <v>3808</v>
      </c>
      <c r="G9907" s="63" t="str">
        <f>VLOOKUP(C9907, 'Class Def. - General Data'!$C$20:$C$1000,1,false)</f>
        <v>ZSI1_HAND_TOOL</v>
      </c>
      <c r="H9907" s="63" t="str">
        <f>IFERROR(__xludf.DUMMYFUNCTION("VLOOKUP(F9907, IMPORTRANGE(""https://docs.google.com/spreadsheets/d/1Lhp9OU0JdFf_VYSMzH5lBcEaU4o8teT1piV-SNzShjg/edit?gid=554141278#gid=554141278"", ""'Char Def. - Attributes'!C20:C2242""), 1,false)"),"ALT_DENUM_UOM2")</f>
        <v>ALT_DENUM_UOM2</v>
      </c>
      <c r="I9907" s="136"/>
      <c r="R9907" s="63" t="str">
        <f t="shared" si="60"/>
        <v>ZSI1_HAND_TOOLALT_DENUM_UOM2</v>
      </c>
    </row>
    <row r="9908" ht="15.75" customHeight="1">
      <c r="B9908" s="63">
        <f t="shared" si="1"/>
        <v>14</v>
      </c>
      <c r="C9908" s="135" t="s">
        <v>295</v>
      </c>
      <c r="D9908" s="161" t="s">
        <v>74</v>
      </c>
      <c r="E9908" s="135">
        <f t="shared" si="62"/>
        <v>20</v>
      </c>
      <c r="F9908" s="134" t="s">
        <v>3809</v>
      </c>
      <c r="G9908" s="63" t="str">
        <f>VLOOKUP(C9908, 'Class Def. - General Data'!$C$20:$C$1000,1,false)</f>
        <v>ZSI1_HAND_TOOL</v>
      </c>
      <c r="H9908" s="63" t="str">
        <f>IFERROR(__xludf.DUMMYFUNCTION("VLOOKUP(F9908, IMPORTRANGE(""https://docs.google.com/spreadsheets/d/1Lhp9OU0JdFf_VYSMzH5lBcEaU4o8teT1piV-SNzShjg/edit?gid=554141278#gid=554141278"", ""'Char Def. - Attributes'!C20:C2242""), 1,false)"),"ALT_NUM_UOM2")</f>
        <v>ALT_NUM_UOM2</v>
      </c>
      <c r="I9908" s="136"/>
      <c r="R9908" s="63" t="str">
        <f t="shared" si="60"/>
        <v>ZSI1_HAND_TOOLALT_NUM_UOM2</v>
      </c>
    </row>
    <row r="9909" ht="15.75" customHeight="1">
      <c r="B9909" s="63">
        <f t="shared" si="1"/>
        <v>14</v>
      </c>
      <c r="C9909" s="135" t="s">
        <v>295</v>
      </c>
      <c r="D9909" s="161" t="s">
        <v>74</v>
      </c>
      <c r="E9909" s="135">
        <f t="shared" si="62"/>
        <v>21</v>
      </c>
      <c r="F9909" s="134" t="s">
        <v>3810</v>
      </c>
      <c r="G9909" s="63" t="str">
        <f>VLOOKUP(C9909, 'Class Def. - General Data'!$C$20:$C$1000,1,false)</f>
        <v>ZSI1_HAND_TOOL</v>
      </c>
      <c r="H9909" s="63" t="str">
        <f>IFERROR(__xludf.DUMMYFUNCTION("VLOOKUP(F9909, IMPORTRANGE(""https://docs.google.com/spreadsheets/d/1Lhp9OU0JdFf_VYSMzH5lBcEaU4o8teT1piV-SNzShjg/edit?gid=554141278#gid=554141278"", ""'Char Def. - Attributes'!C20:C2242""), 1,false)"),"ALT_UOM3_SIPI")</f>
        <v>ALT_UOM3_SIPI</v>
      </c>
      <c r="I9909" s="136"/>
      <c r="R9909" s="63" t="str">
        <f t="shared" si="60"/>
        <v>ZSI1_HAND_TOOLALT_UOM3_SIPI</v>
      </c>
    </row>
    <row r="9910" ht="15.75" customHeight="1">
      <c r="B9910" s="63">
        <f t="shared" si="1"/>
        <v>14</v>
      </c>
      <c r="C9910" s="135" t="s">
        <v>295</v>
      </c>
      <c r="D9910" s="161" t="s">
        <v>74</v>
      </c>
      <c r="E9910" s="135">
        <f t="shared" si="62"/>
        <v>22</v>
      </c>
      <c r="F9910" s="134" t="s">
        <v>3811</v>
      </c>
      <c r="G9910" s="63" t="str">
        <f>VLOOKUP(C9910, 'Class Def. - General Data'!$C$20:$C$1000,1,false)</f>
        <v>ZSI1_HAND_TOOL</v>
      </c>
      <c r="H9910" s="63" t="str">
        <f>IFERROR(__xludf.DUMMYFUNCTION("VLOOKUP(F9910, IMPORTRANGE(""https://docs.google.com/spreadsheets/d/1Lhp9OU0JdFf_VYSMzH5lBcEaU4o8teT1piV-SNzShjg/edit?gid=554141278#gid=554141278"", ""'Char Def. - Attributes'!C20:C2242""), 1,false)"),"ALT_DENUM_UOM3")</f>
        <v>ALT_DENUM_UOM3</v>
      </c>
      <c r="I9910" s="136"/>
      <c r="R9910" s="63" t="str">
        <f t="shared" si="60"/>
        <v>ZSI1_HAND_TOOLALT_DENUM_UOM3</v>
      </c>
    </row>
    <row r="9911" ht="15.75" customHeight="1">
      <c r="B9911" s="63">
        <f t="shared" si="1"/>
        <v>14</v>
      </c>
      <c r="C9911" s="135" t="s">
        <v>295</v>
      </c>
      <c r="D9911" s="161" t="s">
        <v>74</v>
      </c>
      <c r="E9911" s="135">
        <f t="shared" si="62"/>
        <v>23</v>
      </c>
      <c r="F9911" s="134" t="s">
        <v>3812</v>
      </c>
      <c r="G9911" s="63" t="str">
        <f>VLOOKUP(C9911, 'Class Def. - General Data'!$C$20:$C$1000,1,false)</f>
        <v>ZSI1_HAND_TOOL</v>
      </c>
      <c r="H9911" s="63" t="str">
        <f>IFERROR(__xludf.DUMMYFUNCTION("VLOOKUP(F9911, IMPORTRANGE(""https://docs.google.com/spreadsheets/d/1Lhp9OU0JdFf_VYSMzH5lBcEaU4o8teT1piV-SNzShjg/edit?gid=554141278#gid=554141278"", ""'Char Def. - Attributes'!C20:C2242""), 1,false)"),"ALT_NUM_UOM3")</f>
        <v>ALT_NUM_UOM3</v>
      </c>
      <c r="I9911" s="136"/>
      <c r="R9911" s="63" t="str">
        <f t="shared" si="60"/>
        <v>ZSI1_HAND_TOOLALT_NUM_UOM3</v>
      </c>
    </row>
    <row r="9912" ht="15.75" customHeight="1">
      <c r="B9912" s="63">
        <f t="shared" si="1"/>
        <v>14</v>
      </c>
      <c r="C9912" s="135" t="s">
        <v>295</v>
      </c>
      <c r="D9912" s="161" t="s">
        <v>74</v>
      </c>
      <c r="E9912" s="135">
        <f t="shared" si="62"/>
        <v>24</v>
      </c>
      <c r="F9912" s="134" t="s">
        <v>3813</v>
      </c>
      <c r="G9912" s="63" t="str">
        <f>VLOOKUP(C9912, 'Class Def. - General Data'!$C$20:$C$1000,1,false)</f>
        <v>ZSI1_HAND_TOOL</v>
      </c>
      <c r="H9912" s="63" t="str">
        <f>IFERROR(__xludf.DUMMYFUNCTION("VLOOKUP(F9912, IMPORTRANGE(""https://docs.google.com/spreadsheets/d/1Lhp9OU0JdFf_VYSMzH5lBcEaU4o8teT1piV-SNzShjg/edit?gid=554141278#gid=554141278"", ""'Char Def. - Attributes'!C20:C2242""), 1,false)"),"ALT_UOM4_SIPI")</f>
        <v>ALT_UOM4_SIPI</v>
      </c>
      <c r="I9912" s="136"/>
      <c r="R9912" s="63" t="str">
        <f t="shared" si="60"/>
        <v>ZSI1_HAND_TOOLALT_UOM4_SIPI</v>
      </c>
    </row>
    <row r="9913" ht="15.75" customHeight="1">
      <c r="B9913" s="63">
        <f t="shared" si="1"/>
        <v>14</v>
      </c>
      <c r="C9913" s="135" t="s">
        <v>295</v>
      </c>
      <c r="D9913" s="161" t="s">
        <v>74</v>
      </c>
      <c r="E9913" s="135">
        <f t="shared" si="62"/>
        <v>25</v>
      </c>
      <c r="F9913" s="134" t="s">
        <v>3814</v>
      </c>
      <c r="G9913" s="63" t="str">
        <f>VLOOKUP(C9913, 'Class Def. - General Data'!$C$20:$C$1000,1,false)</f>
        <v>ZSI1_HAND_TOOL</v>
      </c>
      <c r="H9913" s="63" t="str">
        <f>IFERROR(__xludf.DUMMYFUNCTION("VLOOKUP(F9913, IMPORTRANGE(""https://docs.google.com/spreadsheets/d/1Lhp9OU0JdFf_VYSMzH5lBcEaU4o8teT1piV-SNzShjg/edit?gid=554141278#gid=554141278"", ""'Char Def. - Attributes'!C20:C2242""), 1,false)"),"ALT_DENUM_UOM4")</f>
        <v>ALT_DENUM_UOM4</v>
      </c>
      <c r="I9913" s="136"/>
      <c r="R9913" s="63" t="str">
        <f t="shared" si="60"/>
        <v>ZSI1_HAND_TOOLALT_DENUM_UOM4</v>
      </c>
    </row>
    <row r="9914" ht="15.75" customHeight="1">
      <c r="B9914" s="63">
        <f t="shared" si="1"/>
        <v>14</v>
      </c>
      <c r="C9914" s="135" t="s">
        <v>295</v>
      </c>
      <c r="D9914" s="161" t="s">
        <v>74</v>
      </c>
      <c r="E9914" s="135">
        <f t="shared" si="62"/>
        <v>26</v>
      </c>
      <c r="F9914" s="134" t="s">
        <v>3815</v>
      </c>
      <c r="G9914" s="63" t="str">
        <f>VLOOKUP(C9914, 'Class Def. - General Data'!$C$20:$C$1000,1,false)</f>
        <v>ZSI1_HAND_TOOL</v>
      </c>
      <c r="H9914" s="63" t="str">
        <f>IFERROR(__xludf.DUMMYFUNCTION("VLOOKUP(F9914, IMPORTRANGE(""https://docs.google.com/spreadsheets/d/1Lhp9OU0JdFf_VYSMzH5lBcEaU4o8teT1piV-SNzShjg/edit?gid=554141278#gid=554141278"", ""'Char Def. - Attributes'!C20:C2242""), 1,false)"),"ALT_NUM_UOM4")</f>
        <v>ALT_NUM_UOM4</v>
      </c>
      <c r="I9914" s="136"/>
      <c r="R9914" s="63" t="str">
        <f t="shared" si="60"/>
        <v>ZSI1_HAND_TOOLALT_NUM_UOM4</v>
      </c>
    </row>
    <row r="9915" ht="15.75" customHeight="1">
      <c r="B9915" s="63">
        <f t="shared" si="1"/>
        <v>14</v>
      </c>
      <c r="C9915" s="135" t="s">
        <v>295</v>
      </c>
      <c r="D9915" s="161" t="s">
        <v>74</v>
      </c>
      <c r="E9915" s="135">
        <f t="shared" si="62"/>
        <v>27</v>
      </c>
      <c r="F9915" s="134" t="s">
        <v>3816</v>
      </c>
      <c r="G9915" s="63" t="str">
        <f>VLOOKUP(C9915, 'Class Def. - General Data'!$C$20:$C$1000,1,false)</f>
        <v>ZSI1_HAND_TOOL</v>
      </c>
      <c r="H9915" s="63" t="str">
        <f>IFERROR(__xludf.DUMMYFUNCTION("VLOOKUP(F9915, IMPORTRANGE(""https://docs.google.com/spreadsheets/d/1Lhp9OU0JdFf_VYSMzH5lBcEaU4o8teT1piV-SNzShjg/edit?gid=554141278#gid=554141278"", ""'Char Def. - Attributes'!C20:C2242""), 1,false)"),"ALT_UOM5_SIPI")</f>
        <v>ALT_UOM5_SIPI</v>
      </c>
      <c r="I9915" s="136"/>
      <c r="R9915" s="63" t="str">
        <f t="shared" si="60"/>
        <v>ZSI1_HAND_TOOLALT_UOM5_SIPI</v>
      </c>
    </row>
    <row r="9916" ht="15.75" customHeight="1">
      <c r="B9916" s="63">
        <f t="shared" si="1"/>
        <v>14</v>
      </c>
      <c r="C9916" s="135" t="s">
        <v>295</v>
      </c>
      <c r="D9916" s="161" t="s">
        <v>74</v>
      </c>
      <c r="E9916" s="135">
        <f t="shared" si="62"/>
        <v>28</v>
      </c>
      <c r="F9916" s="134" t="s">
        <v>3817</v>
      </c>
      <c r="G9916" s="63" t="str">
        <f>VLOOKUP(C9916, 'Class Def. - General Data'!$C$20:$C$1000,1,false)</f>
        <v>ZSI1_HAND_TOOL</v>
      </c>
      <c r="H9916" s="63" t="str">
        <f>IFERROR(__xludf.DUMMYFUNCTION("VLOOKUP(F9916, IMPORTRANGE(""https://docs.google.com/spreadsheets/d/1Lhp9OU0JdFf_VYSMzH5lBcEaU4o8teT1piV-SNzShjg/edit?gid=554141278#gid=554141278"", ""'Char Def. - Attributes'!C20:C2242""), 1,false)"),"ALT_DENUM_UOM5")</f>
        <v>ALT_DENUM_UOM5</v>
      </c>
      <c r="I9916" s="136"/>
      <c r="R9916" s="63" t="str">
        <f t="shared" si="60"/>
        <v>ZSI1_HAND_TOOLALT_DENUM_UOM5</v>
      </c>
    </row>
    <row r="9917" ht="15.75" customHeight="1">
      <c r="B9917" s="63">
        <f t="shared" si="1"/>
        <v>14</v>
      </c>
      <c r="C9917" s="135" t="s">
        <v>295</v>
      </c>
      <c r="D9917" s="161" t="s">
        <v>74</v>
      </c>
      <c r="E9917" s="135">
        <f t="shared" si="62"/>
        <v>29</v>
      </c>
      <c r="F9917" s="134" t="s">
        <v>3818</v>
      </c>
      <c r="G9917" s="63" t="str">
        <f>VLOOKUP(C9917, 'Class Def. - General Data'!$C$20:$C$1000,1,false)</f>
        <v>ZSI1_HAND_TOOL</v>
      </c>
      <c r="H9917" s="63" t="str">
        <f>IFERROR(__xludf.DUMMYFUNCTION("VLOOKUP(F9917, IMPORTRANGE(""https://docs.google.com/spreadsheets/d/1Lhp9OU0JdFf_VYSMzH5lBcEaU4o8teT1piV-SNzShjg/edit?gid=554141278#gid=554141278"", ""'Char Def. - Attributes'!C20:C2242""), 1,false)"),"ALT_NUM_UOM5")</f>
        <v>ALT_NUM_UOM5</v>
      </c>
      <c r="I9917" s="136"/>
      <c r="R9917" s="63" t="str">
        <f t="shared" si="60"/>
        <v>ZSI1_HAND_TOOLALT_NUM_UOM5</v>
      </c>
    </row>
    <row r="9918" ht="15.75" customHeight="1">
      <c r="B9918" s="63">
        <f t="shared" si="1"/>
        <v>16</v>
      </c>
      <c r="C9918" s="135" t="s">
        <v>401</v>
      </c>
      <c r="D9918" s="161" t="s">
        <v>74</v>
      </c>
      <c r="E9918" s="135">
        <f t="shared" si="62"/>
        <v>1</v>
      </c>
      <c r="F9918" s="134" t="s">
        <v>4648</v>
      </c>
      <c r="G9918" s="63" t="str">
        <f>VLOOKUP(C9918, 'Class Def. - General Data'!$C$20:$C$1000,1,false)</f>
        <v>ZSI1_HEATING_EQP</v>
      </c>
      <c r="H9918" s="63" t="str">
        <f>IFERROR(__xludf.DUMMYFUNCTION("VLOOKUP(F9918, IMPORTRANGE(""https://docs.google.com/spreadsheets/d/1Lhp9OU0JdFf_VYSMzH5lBcEaU4o8teT1piV-SNzShjg/edit?gid=554141278#gid=554141278"", ""'Char Def. - Attributes'!C20:C2242""), 1,false)"),"ITEM_NAME_HEATING_EQP")</f>
        <v>ITEM_NAME_HEATING_EQP</v>
      </c>
      <c r="I9918" s="136"/>
      <c r="R9918" s="63" t="str">
        <f t="shared" si="60"/>
        <v>ZSI1_HEATING_EQPITEM_NAME_HEATING_EQP</v>
      </c>
    </row>
    <row r="9919" ht="15.75" customHeight="1">
      <c r="B9919" s="63">
        <f t="shared" si="1"/>
        <v>16</v>
      </c>
      <c r="C9919" s="135" t="s">
        <v>401</v>
      </c>
      <c r="D9919" s="161" t="s">
        <v>74</v>
      </c>
      <c r="E9919" s="135">
        <f t="shared" si="62"/>
        <v>2</v>
      </c>
      <c r="F9919" s="134" t="s">
        <v>3781</v>
      </c>
      <c r="G9919" s="63" t="str">
        <f>VLOOKUP(C9919, 'Class Def. - General Data'!$C$20:$C$1000,1,false)</f>
        <v>ZSI1_HEATING_EQP</v>
      </c>
      <c r="H9919" s="63" t="str">
        <f>IFERROR(__xludf.DUMMYFUNCTION("VLOOKUP(F9919, IMPORTRANGE(""https://docs.google.com/spreadsheets/d/1Lhp9OU0JdFf_VYSMzH5lBcEaU4o8teT1piV-SNzShjg/edit?gid=554141278#gid=554141278"", ""'Char Def. - Attributes'!C20:C2242""), 1,false)"),"EXTERNAL_BRAND")</f>
        <v>EXTERNAL_BRAND</v>
      </c>
      <c r="I9919" s="136"/>
      <c r="R9919" s="63" t="str">
        <f t="shared" si="60"/>
        <v>ZSI1_HEATING_EQPEXTERNAL_BRAND</v>
      </c>
    </row>
    <row r="9920" ht="15.75" customHeight="1">
      <c r="B9920" s="63">
        <f t="shared" si="1"/>
        <v>16</v>
      </c>
      <c r="C9920" s="135" t="s">
        <v>401</v>
      </c>
      <c r="D9920" s="161" t="s">
        <v>74</v>
      </c>
      <c r="E9920" s="135">
        <f t="shared" si="62"/>
        <v>3</v>
      </c>
      <c r="F9920" s="134" t="s">
        <v>4649</v>
      </c>
      <c r="G9920" s="63" t="str">
        <f>VLOOKUP(C9920, 'Class Def. - General Data'!$C$20:$C$1000,1,false)</f>
        <v>ZSI1_HEATING_EQP</v>
      </c>
      <c r="H9920" s="63" t="str">
        <f>IFERROR(__xludf.DUMMYFUNCTION("VLOOKUP(F9920, IMPORTRANGE(""https://docs.google.com/spreadsheets/d/1Lhp9OU0JdFf_VYSMzH5lBcEaU4o8teT1piV-SNzShjg/edit?gid=554141278#gid=554141278"", ""'Char Def. - Attributes'!C20:C2242""), 1,false)"),"#N/A")</f>
        <v>#N/A</v>
      </c>
      <c r="I9920" s="136"/>
      <c r="R9920" s="63" t="str">
        <f t="shared" si="60"/>
        <v>ZSI1_HEATING_EQPMFR_NO_HEATING_EQP</v>
      </c>
    </row>
    <row r="9921" ht="15.75" customHeight="1">
      <c r="B9921" s="63">
        <f t="shared" si="1"/>
        <v>16</v>
      </c>
      <c r="C9921" s="135" t="s">
        <v>401</v>
      </c>
      <c r="D9921" s="161" t="s">
        <v>74</v>
      </c>
      <c r="E9921" s="135">
        <f t="shared" si="62"/>
        <v>4</v>
      </c>
      <c r="F9921" s="134" t="s">
        <v>3782</v>
      </c>
      <c r="G9921" s="63" t="str">
        <f>VLOOKUP(C9921, 'Class Def. - General Data'!$C$20:$C$1000,1,false)</f>
        <v>ZSI1_HEATING_EQP</v>
      </c>
      <c r="H9921" s="63" t="str">
        <f>IFERROR(__xludf.DUMMYFUNCTION("VLOOKUP(F9921, IMPORTRANGE(""https://docs.google.com/spreadsheets/d/1Lhp9OU0JdFf_VYSMzH5lBcEaU4o8teT1piV-SNzShjg/edit?gid=554141278#gid=554141278"", ""'Char Def. - Attributes'!C20:C2242""), 1,false)"),"BRAND_EXTERNAL")</f>
        <v>BRAND_EXTERNAL</v>
      </c>
      <c r="I9921" s="136"/>
      <c r="R9921" s="63" t="str">
        <f t="shared" si="60"/>
        <v>ZSI1_HEATING_EQPBRAND_EXTERNAL</v>
      </c>
    </row>
    <row r="9922" ht="15.75" customHeight="1">
      <c r="B9922" s="63">
        <f t="shared" si="1"/>
        <v>16</v>
      </c>
      <c r="C9922" s="135" t="s">
        <v>401</v>
      </c>
      <c r="D9922" s="161" t="s">
        <v>74</v>
      </c>
      <c r="E9922" s="135">
        <f t="shared" si="62"/>
        <v>5</v>
      </c>
      <c r="F9922" s="134" t="s">
        <v>4650</v>
      </c>
      <c r="G9922" s="63" t="str">
        <f>VLOOKUP(C9922, 'Class Def. - General Data'!$C$20:$C$1000,1,false)</f>
        <v>ZSI1_HEATING_EQP</v>
      </c>
      <c r="H9922" s="63" t="str">
        <f>IFERROR(__xludf.DUMMYFUNCTION("VLOOKUP(F9922, IMPORTRANGE(""https://docs.google.com/spreadsheets/d/1Lhp9OU0JdFf_VYSMzH5lBcEaU4o8teT1piV-SNzShjg/edit?gid=554141278#gid=554141278"", ""'Char Def. - Attributes'!C20:C2242""), 1,false)"),"#N/A")</f>
        <v>#N/A</v>
      </c>
      <c r="I9922" s="136"/>
      <c r="R9922" s="63" t="str">
        <f t="shared" si="60"/>
        <v>ZSI1_HEATING_EQPSIZE_HEATING_EQP</v>
      </c>
    </row>
    <row r="9923" ht="15.75" customHeight="1">
      <c r="B9923" s="63">
        <f t="shared" si="1"/>
        <v>16</v>
      </c>
      <c r="C9923" s="135" t="s">
        <v>401</v>
      </c>
      <c r="D9923" s="161" t="s">
        <v>74</v>
      </c>
      <c r="E9923" s="135">
        <f t="shared" si="62"/>
        <v>6</v>
      </c>
      <c r="F9923" s="134" t="s">
        <v>4651</v>
      </c>
      <c r="G9923" s="63" t="str">
        <f>VLOOKUP(C9923, 'Class Def. - General Data'!$C$20:$C$1000,1,false)</f>
        <v>ZSI1_HEATING_EQP</v>
      </c>
      <c r="H9923" s="63" t="str">
        <f>IFERROR(__xludf.DUMMYFUNCTION("VLOOKUP(F9923, IMPORTRANGE(""https://docs.google.com/spreadsheets/d/1Lhp9OU0JdFf_VYSMzH5lBcEaU4o8teT1piV-SNzShjg/edit?gid=554141278#gid=554141278"", ""'Char Def. - Attributes'!C20:C2242""), 1,false)"),"POWER_W_HEATING_EQP")</f>
        <v>POWER_W_HEATING_EQP</v>
      </c>
      <c r="I9923" s="136"/>
      <c r="R9923" s="63" t="str">
        <f t="shared" si="60"/>
        <v>ZSI1_HEATING_EQPPOWER_W_HEATING_EQP</v>
      </c>
    </row>
    <row r="9924" ht="15.75" customHeight="1">
      <c r="B9924" s="63">
        <f t="shared" si="1"/>
        <v>16</v>
      </c>
      <c r="C9924" s="135" t="s">
        <v>401</v>
      </c>
      <c r="D9924" s="161" t="s">
        <v>74</v>
      </c>
      <c r="E9924" s="135">
        <f t="shared" si="62"/>
        <v>7</v>
      </c>
      <c r="F9924" s="134" t="s">
        <v>4652</v>
      </c>
      <c r="G9924" s="63" t="str">
        <f>VLOOKUP(C9924, 'Class Def. - General Data'!$C$20:$C$1000,1,false)</f>
        <v>ZSI1_HEATING_EQP</v>
      </c>
      <c r="H9924" s="63" t="str">
        <f>IFERROR(__xludf.DUMMYFUNCTION("VLOOKUP(F9924, IMPORTRANGE(""https://docs.google.com/spreadsheets/d/1Lhp9OU0JdFf_VYSMzH5lBcEaU4o8teT1piV-SNzShjg/edit?gid=554141278#gid=554141278"", ""'Char Def. - Attributes'!C20:C2242""), 1,false)"),"VOLTAGE_V_HEATING_EQP")</f>
        <v>VOLTAGE_V_HEATING_EQP</v>
      </c>
      <c r="I9924" s="136"/>
      <c r="R9924" s="63" t="str">
        <f t="shared" si="60"/>
        <v>ZSI1_HEATING_EQPVOLTAGE_V_HEATING_EQP</v>
      </c>
    </row>
    <row r="9925" ht="15.75" customHeight="1">
      <c r="B9925" s="63">
        <f t="shared" si="1"/>
        <v>16</v>
      </c>
      <c r="C9925" s="135" t="s">
        <v>401</v>
      </c>
      <c r="D9925" s="161" t="s">
        <v>74</v>
      </c>
      <c r="E9925" s="135">
        <f t="shared" si="62"/>
        <v>8</v>
      </c>
      <c r="F9925" s="134" t="s">
        <v>3585</v>
      </c>
      <c r="G9925" s="63" t="str">
        <f>VLOOKUP(C9925, 'Class Def. - General Data'!$C$20:$C$1000,1,false)</f>
        <v>ZSI1_HEATING_EQP</v>
      </c>
      <c r="H9925" s="63" t="str">
        <f>IFERROR(__xludf.DUMMYFUNCTION("VLOOKUP(F9925, IMPORTRANGE(""https://docs.google.com/spreadsheets/d/1Lhp9OU0JdFf_VYSMzH5lBcEaU4o8teT1piV-SNzShjg/edit?gid=554141278#gid=554141278"", ""'Char Def. - Attributes'!C20:C2242""), 1,false)"),"HS_CODE")</f>
        <v>HS_CODE</v>
      </c>
      <c r="I9925" s="136"/>
      <c r="R9925" s="63" t="str">
        <f t="shared" si="60"/>
        <v>ZSI1_HEATING_EQPHS_CODE</v>
      </c>
    </row>
    <row r="9926" ht="15.75" customHeight="1">
      <c r="B9926" s="63">
        <f t="shared" si="1"/>
        <v>16</v>
      </c>
      <c r="C9926" s="135" t="s">
        <v>401</v>
      </c>
      <c r="D9926" s="161" t="s">
        <v>74</v>
      </c>
      <c r="E9926" s="135">
        <f t="shared" si="62"/>
        <v>9</v>
      </c>
      <c r="F9926" s="134" t="s">
        <v>3587</v>
      </c>
      <c r="G9926" s="63" t="str">
        <f>VLOOKUP(C9926, 'Class Def. - General Data'!$C$20:$C$1000,1,false)</f>
        <v>ZSI1_HEATING_EQP</v>
      </c>
      <c r="H9926" s="63" t="str">
        <f>IFERROR(__xludf.DUMMYFUNCTION("VLOOKUP(F9926, IMPORTRANGE(""https://docs.google.com/spreadsheets/d/1Lhp9OU0JdFf_VYSMzH5lBcEaU4o8teT1piV-SNzShjg/edit?gid=554141278#gid=554141278"", ""'Char Def. - Attributes'!C20:C2242""), 1,false)"),"PLANT_BUY")</f>
        <v>PLANT_BUY</v>
      </c>
      <c r="I9926" s="136"/>
      <c r="R9926" s="63" t="str">
        <f t="shared" si="60"/>
        <v>ZSI1_HEATING_EQPPLANT_BUY</v>
      </c>
    </row>
    <row r="9927" ht="15.75" customHeight="1">
      <c r="B9927" s="63">
        <f t="shared" si="1"/>
        <v>16</v>
      </c>
      <c r="C9927" s="135" t="s">
        <v>401</v>
      </c>
      <c r="D9927" s="161" t="s">
        <v>74</v>
      </c>
      <c r="E9927" s="135">
        <f t="shared" si="62"/>
        <v>10</v>
      </c>
      <c r="F9927" s="134" t="s">
        <v>4653</v>
      </c>
      <c r="G9927" s="63" t="str">
        <f>VLOOKUP(C9927, 'Class Def. - General Data'!$C$20:$C$1000,1,false)</f>
        <v>ZSI1_HEATING_EQP</v>
      </c>
      <c r="H9927" s="63" t="str">
        <f>IFERROR(__xludf.DUMMYFUNCTION("VLOOKUP(F9927, IMPORTRANGE(""https://docs.google.com/spreadsheets/d/1Lhp9OU0JdFf_VYSMzH5lBcEaU4o8teT1piV-SNzShjg/edit?gid=554141278#gid=554141278"", ""'Char Def. - Attributes'!C20:C2242""), 1,false)"),"BASE_UOM_HEATING_EQP")</f>
        <v>BASE_UOM_HEATING_EQP</v>
      </c>
      <c r="I9927" s="136"/>
      <c r="R9927" s="63" t="str">
        <f t="shared" si="60"/>
        <v>ZSI1_HEATING_EQPBASE_UOM_HEATING_EQP</v>
      </c>
    </row>
    <row r="9928" ht="15.75" customHeight="1">
      <c r="B9928" s="63">
        <f t="shared" si="1"/>
        <v>16</v>
      </c>
      <c r="C9928" s="135" t="s">
        <v>401</v>
      </c>
      <c r="D9928" s="161" t="s">
        <v>74</v>
      </c>
      <c r="E9928" s="135">
        <f t="shared" si="62"/>
        <v>11</v>
      </c>
      <c r="F9928" s="134" t="s">
        <v>4654</v>
      </c>
      <c r="G9928" s="63" t="str">
        <f>VLOOKUP(C9928, 'Class Def. - General Data'!$C$20:$C$1000,1,false)</f>
        <v>ZSI1_HEATING_EQP</v>
      </c>
      <c r="H9928" s="63" t="str">
        <f>IFERROR(__xludf.DUMMYFUNCTION("VLOOKUP(F9928, IMPORTRANGE(""https://docs.google.com/spreadsheets/d/1Lhp9OU0JdFf_VYSMzH5lBcEaU4o8teT1piV-SNzShjg/edit?gid=554141278#gid=554141278"", ""'Char Def. - Attributes'!C20:C2242""), 1,false)"),"ORDER_UNIT_HEATING_EQP")</f>
        <v>ORDER_UNIT_HEATING_EQP</v>
      </c>
      <c r="I9928" s="136"/>
      <c r="R9928" s="63" t="str">
        <f t="shared" si="60"/>
        <v>ZSI1_HEATING_EQPORDER_UNIT_HEATING_EQP</v>
      </c>
    </row>
    <row r="9929" ht="15.75" customHeight="1">
      <c r="B9929" s="63">
        <f t="shared" si="1"/>
        <v>16</v>
      </c>
      <c r="C9929" s="135" t="s">
        <v>401</v>
      </c>
      <c r="D9929" s="161" t="s">
        <v>74</v>
      </c>
      <c r="E9929" s="135">
        <f t="shared" si="62"/>
        <v>12</v>
      </c>
      <c r="F9929" s="134" t="s">
        <v>4056</v>
      </c>
      <c r="G9929" s="63" t="str">
        <f>VLOOKUP(C9929, 'Class Def. - General Data'!$C$20:$C$1000,1,false)</f>
        <v>ZSI1_HEATING_EQP</v>
      </c>
      <c r="H9929" s="63" t="str">
        <f>IFERROR(__xludf.DUMMYFUNCTION("VLOOKUP(F9929, IMPORTRANGE(""https://docs.google.com/spreadsheets/d/1Lhp9OU0JdFf_VYSMzH5lBcEaU4o8teT1piV-SNzShjg/edit?gid=554141278#gid=554141278"", ""'Char Def. - Attributes'!C20:C2242""), 1,false)"),"GROSS_WEIGHT_OPT")</f>
        <v>GROSS_WEIGHT_OPT</v>
      </c>
      <c r="I9929" s="136"/>
      <c r="R9929" s="63" t="str">
        <f t="shared" si="60"/>
        <v>ZSI1_HEATING_EQPGROSS_WEIGHT_OPT</v>
      </c>
    </row>
    <row r="9930" ht="15.75" customHeight="1">
      <c r="B9930" s="63">
        <f t="shared" si="1"/>
        <v>16</v>
      </c>
      <c r="C9930" s="135" t="s">
        <v>401</v>
      </c>
      <c r="D9930" s="161" t="s">
        <v>74</v>
      </c>
      <c r="E9930" s="135">
        <f t="shared" si="62"/>
        <v>13</v>
      </c>
      <c r="F9930" s="134" t="s">
        <v>4057</v>
      </c>
      <c r="G9930" s="63" t="str">
        <f>VLOOKUP(C9930, 'Class Def. - General Data'!$C$20:$C$1000,1,false)</f>
        <v>ZSI1_HEATING_EQP</v>
      </c>
      <c r="H9930" s="63" t="str">
        <f>IFERROR(__xludf.DUMMYFUNCTION("VLOOKUP(F9930, IMPORTRANGE(""https://docs.google.com/spreadsheets/d/1Lhp9OU0JdFf_VYSMzH5lBcEaU4o8teT1piV-SNzShjg/edit?gid=554141278#gid=554141278"", ""'Char Def. - Attributes'!C20:C2242""), 1,false)"),"NET_WEIGHT_OPT")</f>
        <v>NET_WEIGHT_OPT</v>
      </c>
      <c r="I9930" s="136"/>
      <c r="R9930" s="63" t="str">
        <f t="shared" si="60"/>
        <v>ZSI1_HEATING_EQPNET_WEIGHT_OPT</v>
      </c>
    </row>
    <row r="9931" ht="15.75" customHeight="1">
      <c r="B9931" s="63">
        <f t="shared" si="1"/>
        <v>16</v>
      </c>
      <c r="C9931" s="135" t="s">
        <v>401</v>
      </c>
      <c r="D9931" s="161" t="s">
        <v>74</v>
      </c>
      <c r="E9931" s="135">
        <f t="shared" si="62"/>
        <v>14</v>
      </c>
      <c r="F9931" s="134" t="s">
        <v>4058</v>
      </c>
      <c r="G9931" s="63" t="str">
        <f>VLOOKUP(C9931, 'Class Def. - General Data'!$C$20:$C$1000,1,false)</f>
        <v>ZSI1_HEATING_EQP</v>
      </c>
      <c r="H9931" s="63" t="str">
        <f>IFERROR(__xludf.DUMMYFUNCTION("VLOOKUP(F9931, IMPORTRANGE(""https://docs.google.com/spreadsheets/d/1Lhp9OU0JdFf_VYSMzH5lBcEaU4o8teT1piV-SNzShjg/edit?gid=554141278#gid=554141278"", ""'Char Def. - Attributes'!C20:C2242""), 1,false)"),"WEIGHT_UNIT_SI")</f>
        <v>WEIGHT_UNIT_SI</v>
      </c>
      <c r="I9931" s="136"/>
      <c r="R9931" s="63" t="str">
        <f t="shared" si="60"/>
        <v>ZSI1_HEATING_EQPWEIGHT_UNIT_SI</v>
      </c>
    </row>
    <row r="9932" ht="15.75" customHeight="1">
      <c r="B9932" s="63">
        <f t="shared" si="1"/>
        <v>16</v>
      </c>
      <c r="C9932" s="135" t="s">
        <v>401</v>
      </c>
      <c r="D9932" s="161" t="s">
        <v>74</v>
      </c>
      <c r="E9932" s="135">
        <f t="shared" si="62"/>
        <v>15</v>
      </c>
      <c r="F9932" s="134" t="s">
        <v>3877</v>
      </c>
      <c r="G9932" s="63" t="str">
        <f>VLOOKUP(C9932, 'Class Def. - General Data'!$C$20:$C$1000,1,false)</f>
        <v>ZSI1_HEATING_EQP</v>
      </c>
      <c r="H9932" s="63" t="str">
        <f>IFERROR(__xludf.DUMMYFUNCTION("VLOOKUP(F9932, IMPORTRANGE(""https://docs.google.com/spreadsheets/d/1Lhp9OU0JdFf_VYSMzH5lBcEaU4o8teT1piV-SNzShjg/edit?gid=554141278#gid=554141278"", ""'Char Def. - Attributes'!C20:C2242""), 1,false)"),"VOLUME_OPT")</f>
        <v>VOLUME_OPT</v>
      </c>
      <c r="I9932" s="136"/>
      <c r="R9932" s="63" t="str">
        <f t="shared" si="60"/>
        <v>ZSI1_HEATING_EQPVOLUME_OPT</v>
      </c>
    </row>
    <row r="9933" ht="15.75" customHeight="1">
      <c r="B9933" s="63">
        <f t="shared" si="1"/>
        <v>16</v>
      </c>
      <c r="C9933" s="135" t="s">
        <v>401</v>
      </c>
      <c r="D9933" s="161" t="s">
        <v>74</v>
      </c>
      <c r="E9933" s="135">
        <f t="shared" si="62"/>
        <v>16</v>
      </c>
      <c r="F9933" s="134" t="s">
        <v>4059</v>
      </c>
      <c r="G9933" s="63" t="str">
        <f>VLOOKUP(C9933, 'Class Def. - General Data'!$C$20:$C$1000,1,false)</f>
        <v>ZSI1_HEATING_EQP</v>
      </c>
      <c r="H9933" s="63" t="str">
        <f>IFERROR(__xludf.DUMMYFUNCTION("VLOOKUP(F9933, IMPORTRANGE(""https://docs.google.com/spreadsheets/d/1Lhp9OU0JdFf_VYSMzH5lBcEaU4o8teT1piV-SNzShjg/edit?gid=554141278#gid=554141278"", ""'Char Def. - Attributes'!C20:C2242""), 1,false)"),"VOLUME_UNIT_SI")</f>
        <v>VOLUME_UNIT_SI</v>
      </c>
      <c r="I9933" s="136"/>
      <c r="R9933" s="63" t="str">
        <f t="shared" si="60"/>
        <v>ZSI1_HEATING_EQPVOLUME_UNIT_SI</v>
      </c>
    </row>
    <row r="9934" ht="15.75" customHeight="1">
      <c r="B9934" s="63">
        <f t="shared" si="1"/>
        <v>16</v>
      </c>
      <c r="C9934" s="135" t="s">
        <v>401</v>
      </c>
      <c r="D9934" s="161" t="s">
        <v>74</v>
      </c>
      <c r="E9934" s="135">
        <f t="shared" si="62"/>
        <v>17</v>
      </c>
      <c r="F9934" s="134" t="s">
        <v>3804</v>
      </c>
      <c r="G9934" s="63" t="str">
        <f>VLOOKUP(C9934, 'Class Def. - General Data'!$C$20:$C$1000,1,false)</f>
        <v>ZSI1_HEATING_EQP</v>
      </c>
      <c r="H9934" s="63" t="str">
        <f>IFERROR(__xludf.DUMMYFUNCTION("VLOOKUP(F9934, IMPORTRANGE(""https://docs.google.com/spreadsheets/d/1Lhp9OU0JdFf_VYSMzH5lBcEaU4o8teT1piV-SNzShjg/edit?gid=554141278#gid=554141278"", ""'Char Def. - Attributes'!C20:C2242""), 1,false)"),"ALT_UOM1_SIPI")</f>
        <v>ALT_UOM1_SIPI</v>
      </c>
      <c r="I9934" s="136"/>
      <c r="R9934" s="63" t="str">
        <f t="shared" si="60"/>
        <v>ZSI1_HEATING_EQPALT_UOM1_SIPI</v>
      </c>
    </row>
    <row r="9935" ht="15.75" customHeight="1">
      <c r="B9935" s="63">
        <f t="shared" si="1"/>
        <v>16</v>
      </c>
      <c r="C9935" s="135" t="s">
        <v>401</v>
      </c>
      <c r="D9935" s="161" t="s">
        <v>74</v>
      </c>
      <c r="E9935" s="135">
        <f t="shared" si="62"/>
        <v>18</v>
      </c>
      <c r="F9935" s="134" t="s">
        <v>3805</v>
      </c>
      <c r="G9935" s="63" t="str">
        <f>VLOOKUP(C9935, 'Class Def. - General Data'!$C$20:$C$1000,1,false)</f>
        <v>ZSI1_HEATING_EQP</v>
      </c>
      <c r="H9935" s="63" t="str">
        <f>IFERROR(__xludf.DUMMYFUNCTION("VLOOKUP(F9935, IMPORTRANGE(""https://docs.google.com/spreadsheets/d/1Lhp9OU0JdFf_VYSMzH5lBcEaU4o8teT1piV-SNzShjg/edit?gid=554141278#gid=554141278"", ""'Char Def. - Attributes'!C20:C2242""), 1,false)"),"ALT_DENUM_UOM1")</f>
        <v>ALT_DENUM_UOM1</v>
      </c>
      <c r="I9935" s="136"/>
      <c r="R9935" s="63" t="str">
        <f t="shared" si="60"/>
        <v>ZSI1_HEATING_EQPALT_DENUM_UOM1</v>
      </c>
    </row>
    <row r="9936" ht="15.75" customHeight="1">
      <c r="B9936" s="63">
        <f t="shared" si="1"/>
        <v>16</v>
      </c>
      <c r="C9936" s="135" t="s">
        <v>401</v>
      </c>
      <c r="D9936" s="161" t="s">
        <v>74</v>
      </c>
      <c r="E9936" s="135">
        <f t="shared" si="62"/>
        <v>19</v>
      </c>
      <c r="F9936" s="134" t="s">
        <v>3806</v>
      </c>
      <c r="G9936" s="63" t="str">
        <f>VLOOKUP(C9936, 'Class Def. - General Data'!$C$20:$C$1000,1,false)</f>
        <v>ZSI1_HEATING_EQP</v>
      </c>
      <c r="H9936" s="63" t="str">
        <f>IFERROR(__xludf.DUMMYFUNCTION("VLOOKUP(F9936, IMPORTRANGE(""https://docs.google.com/spreadsheets/d/1Lhp9OU0JdFf_VYSMzH5lBcEaU4o8teT1piV-SNzShjg/edit?gid=554141278#gid=554141278"", ""'Char Def. - Attributes'!C20:C2242""), 1,false)"),"ALT_NUM_UOM1")</f>
        <v>ALT_NUM_UOM1</v>
      </c>
      <c r="I9936" s="136"/>
      <c r="R9936" s="63" t="str">
        <f t="shared" si="60"/>
        <v>ZSI1_HEATING_EQPALT_NUM_UOM1</v>
      </c>
    </row>
    <row r="9937" ht="15.75" customHeight="1">
      <c r="B9937" s="63">
        <f t="shared" si="1"/>
        <v>16</v>
      </c>
      <c r="C9937" s="135" t="s">
        <v>401</v>
      </c>
      <c r="D9937" s="161" t="s">
        <v>74</v>
      </c>
      <c r="E9937" s="135">
        <f t="shared" si="62"/>
        <v>20</v>
      </c>
      <c r="F9937" s="134" t="s">
        <v>3807</v>
      </c>
      <c r="G9937" s="63" t="str">
        <f>VLOOKUP(C9937, 'Class Def. - General Data'!$C$20:$C$1000,1,false)</f>
        <v>ZSI1_HEATING_EQP</v>
      </c>
      <c r="H9937" s="63" t="str">
        <f>IFERROR(__xludf.DUMMYFUNCTION("VLOOKUP(F9937, IMPORTRANGE(""https://docs.google.com/spreadsheets/d/1Lhp9OU0JdFf_VYSMzH5lBcEaU4o8teT1piV-SNzShjg/edit?gid=554141278#gid=554141278"", ""'Char Def. - Attributes'!C20:C2242""), 1,false)"),"ALT_UOM2_SIPI")</f>
        <v>ALT_UOM2_SIPI</v>
      </c>
      <c r="I9937" s="136"/>
      <c r="R9937" s="63" t="str">
        <f t="shared" si="60"/>
        <v>ZSI1_HEATING_EQPALT_UOM2_SIPI</v>
      </c>
    </row>
    <row r="9938" ht="15.75" customHeight="1">
      <c r="B9938" s="63">
        <f t="shared" si="1"/>
        <v>16</v>
      </c>
      <c r="C9938" s="135" t="s">
        <v>401</v>
      </c>
      <c r="D9938" s="161" t="s">
        <v>74</v>
      </c>
      <c r="E9938" s="135">
        <f t="shared" si="62"/>
        <v>21</v>
      </c>
      <c r="F9938" s="134" t="s">
        <v>3808</v>
      </c>
      <c r="G9938" s="63" t="str">
        <f>VLOOKUP(C9938, 'Class Def. - General Data'!$C$20:$C$1000,1,false)</f>
        <v>ZSI1_HEATING_EQP</v>
      </c>
      <c r="H9938" s="63" t="str">
        <f>IFERROR(__xludf.DUMMYFUNCTION("VLOOKUP(F9938, IMPORTRANGE(""https://docs.google.com/spreadsheets/d/1Lhp9OU0JdFf_VYSMzH5lBcEaU4o8teT1piV-SNzShjg/edit?gid=554141278#gid=554141278"", ""'Char Def. - Attributes'!C20:C2242""), 1,false)"),"ALT_DENUM_UOM2")</f>
        <v>ALT_DENUM_UOM2</v>
      </c>
      <c r="I9938" s="136"/>
      <c r="R9938" s="63" t="str">
        <f t="shared" si="60"/>
        <v>ZSI1_HEATING_EQPALT_DENUM_UOM2</v>
      </c>
    </row>
    <row r="9939" ht="15.75" customHeight="1">
      <c r="B9939" s="63">
        <f t="shared" si="1"/>
        <v>16</v>
      </c>
      <c r="C9939" s="135" t="s">
        <v>401</v>
      </c>
      <c r="D9939" s="161" t="s">
        <v>74</v>
      </c>
      <c r="E9939" s="135">
        <f t="shared" si="62"/>
        <v>22</v>
      </c>
      <c r="F9939" s="134" t="s">
        <v>3809</v>
      </c>
      <c r="G9939" s="63" t="str">
        <f>VLOOKUP(C9939, 'Class Def. - General Data'!$C$20:$C$1000,1,false)</f>
        <v>ZSI1_HEATING_EQP</v>
      </c>
      <c r="H9939" s="63" t="str">
        <f>IFERROR(__xludf.DUMMYFUNCTION("VLOOKUP(F9939, IMPORTRANGE(""https://docs.google.com/spreadsheets/d/1Lhp9OU0JdFf_VYSMzH5lBcEaU4o8teT1piV-SNzShjg/edit?gid=554141278#gid=554141278"", ""'Char Def. - Attributes'!C20:C2242""), 1,false)"),"ALT_NUM_UOM2")</f>
        <v>ALT_NUM_UOM2</v>
      </c>
      <c r="I9939" s="136"/>
      <c r="R9939" s="63" t="str">
        <f t="shared" si="60"/>
        <v>ZSI1_HEATING_EQPALT_NUM_UOM2</v>
      </c>
    </row>
    <row r="9940" ht="15.75" customHeight="1">
      <c r="B9940" s="63">
        <f t="shared" si="1"/>
        <v>16</v>
      </c>
      <c r="C9940" s="135" t="s">
        <v>401</v>
      </c>
      <c r="D9940" s="161" t="s">
        <v>74</v>
      </c>
      <c r="E9940" s="135">
        <f t="shared" si="62"/>
        <v>23</v>
      </c>
      <c r="F9940" s="134" t="s">
        <v>3810</v>
      </c>
      <c r="G9940" s="63" t="str">
        <f>VLOOKUP(C9940, 'Class Def. - General Data'!$C$20:$C$1000,1,false)</f>
        <v>ZSI1_HEATING_EQP</v>
      </c>
      <c r="H9940" s="63" t="str">
        <f>IFERROR(__xludf.DUMMYFUNCTION("VLOOKUP(F9940, IMPORTRANGE(""https://docs.google.com/spreadsheets/d/1Lhp9OU0JdFf_VYSMzH5lBcEaU4o8teT1piV-SNzShjg/edit?gid=554141278#gid=554141278"", ""'Char Def. - Attributes'!C20:C2242""), 1,false)"),"ALT_UOM3_SIPI")</f>
        <v>ALT_UOM3_SIPI</v>
      </c>
      <c r="I9940" s="136"/>
      <c r="R9940" s="63" t="str">
        <f t="shared" si="60"/>
        <v>ZSI1_HEATING_EQPALT_UOM3_SIPI</v>
      </c>
    </row>
    <row r="9941" ht="15.75" customHeight="1">
      <c r="B9941" s="63">
        <f t="shared" si="1"/>
        <v>16</v>
      </c>
      <c r="C9941" s="135" t="s">
        <v>401</v>
      </c>
      <c r="D9941" s="161" t="s">
        <v>74</v>
      </c>
      <c r="E9941" s="135">
        <f t="shared" si="62"/>
        <v>24</v>
      </c>
      <c r="F9941" s="134" t="s">
        <v>3811</v>
      </c>
      <c r="G9941" s="63" t="str">
        <f>VLOOKUP(C9941, 'Class Def. - General Data'!$C$20:$C$1000,1,false)</f>
        <v>ZSI1_HEATING_EQP</v>
      </c>
      <c r="H9941" s="63" t="str">
        <f>IFERROR(__xludf.DUMMYFUNCTION("VLOOKUP(F9941, IMPORTRANGE(""https://docs.google.com/spreadsheets/d/1Lhp9OU0JdFf_VYSMzH5lBcEaU4o8teT1piV-SNzShjg/edit?gid=554141278#gid=554141278"", ""'Char Def. - Attributes'!C20:C2242""), 1,false)"),"ALT_DENUM_UOM3")</f>
        <v>ALT_DENUM_UOM3</v>
      </c>
      <c r="I9941" s="136"/>
      <c r="R9941" s="63" t="str">
        <f t="shared" si="60"/>
        <v>ZSI1_HEATING_EQPALT_DENUM_UOM3</v>
      </c>
    </row>
    <row r="9942" ht="15.75" customHeight="1">
      <c r="B9942" s="63">
        <f t="shared" si="1"/>
        <v>16</v>
      </c>
      <c r="C9942" s="135" t="s">
        <v>401</v>
      </c>
      <c r="D9942" s="161" t="s">
        <v>74</v>
      </c>
      <c r="E9942" s="135">
        <f t="shared" si="62"/>
        <v>25</v>
      </c>
      <c r="F9942" s="134" t="s">
        <v>3812</v>
      </c>
      <c r="G9942" s="63" t="str">
        <f>VLOOKUP(C9942, 'Class Def. - General Data'!$C$20:$C$1000,1,false)</f>
        <v>ZSI1_HEATING_EQP</v>
      </c>
      <c r="H9942" s="63" t="str">
        <f>IFERROR(__xludf.DUMMYFUNCTION("VLOOKUP(F9942, IMPORTRANGE(""https://docs.google.com/spreadsheets/d/1Lhp9OU0JdFf_VYSMzH5lBcEaU4o8teT1piV-SNzShjg/edit?gid=554141278#gid=554141278"", ""'Char Def. - Attributes'!C20:C2242""), 1,false)"),"ALT_NUM_UOM3")</f>
        <v>ALT_NUM_UOM3</v>
      </c>
      <c r="I9942" s="136"/>
      <c r="R9942" s="63" t="str">
        <f t="shared" si="60"/>
        <v>ZSI1_HEATING_EQPALT_NUM_UOM3</v>
      </c>
    </row>
    <row r="9943" ht="15.75" customHeight="1">
      <c r="B9943" s="63">
        <f t="shared" si="1"/>
        <v>16</v>
      </c>
      <c r="C9943" s="135" t="s">
        <v>401</v>
      </c>
      <c r="D9943" s="161" t="s">
        <v>74</v>
      </c>
      <c r="E9943" s="135">
        <f t="shared" si="62"/>
        <v>26</v>
      </c>
      <c r="F9943" s="134" t="s">
        <v>3813</v>
      </c>
      <c r="G9943" s="63" t="str">
        <f>VLOOKUP(C9943, 'Class Def. - General Data'!$C$20:$C$1000,1,false)</f>
        <v>ZSI1_HEATING_EQP</v>
      </c>
      <c r="H9943" s="63" t="str">
        <f>IFERROR(__xludf.DUMMYFUNCTION("VLOOKUP(F9943, IMPORTRANGE(""https://docs.google.com/spreadsheets/d/1Lhp9OU0JdFf_VYSMzH5lBcEaU4o8teT1piV-SNzShjg/edit?gid=554141278#gid=554141278"", ""'Char Def. - Attributes'!C20:C2242""), 1,false)"),"ALT_UOM4_SIPI")</f>
        <v>ALT_UOM4_SIPI</v>
      </c>
      <c r="I9943" s="136"/>
      <c r="R9943" s="63" t="str">
        <f t="shared" si="60"/>
        <v>ZSI1_HEATING_EQPALT_UOM4_SIPI</v>
      </c>
    </row>
    <row r="9944" ht="15.75" customHeight="1">
      <c r="B9944" s="63">
        <f t="shared" si="1"/>
        <v>16</v>
      </c>
      <c r="C9944" s="135" t="s">
        <v>401</v>
      </c>
      <c r="D9944" s="161" t="s">
        <v>74</v>
      </c>
      <c r="E9944" s="135">
        <f t="shared" si="62"/>
        <v>27</v>
      </c>
      <c r="F9944" s="134" t="s">
        <v>3814</v>
      </c>
      <c r="G9944" s="63" t="str">
        <f>VLOOKUP(C9944, 'Class Def. - General Data'!$C$20:$C$1000,1,false)</f>
        <v>ZSI1_HEATING_EQP</v>
      </c>
      <c r="H9944" s="63" t="str">
        <f>IFERROR(__xludf.DUMMYFUNCTION("VLOOKUP(F9944, IMPORTRANGE(""https://docs.google.com/spreadsheets/d/1Lhp9OU0JdFf_VYSMzH5lBcEaU4o8teT1piV-SNzShjg/edit?gid=554141278#gid=554141278"", ""'Char Def. - Attributes'!C20:C2242""), 1,false)"),"ALT_DENUM_UOM4")</f>
        <v>ALT_DENUM_UOM4</v>
      </c>
      <c r="I9944" s="136"/>
      <c r="R9944" s="63" t="str">
        <f t="shared" si="60"/>
        <v>ZSI1_HEATING_EQPALT_DENUM_UOM4</v>
      </c>
    </row>
    <row r="9945" ht="15.75" customHeight="1">
      <c r="B9945" s="63">
        <f t="shared" si="1"/>
        <v>16</v>
      </c>
      <c r="C9945" s="135" t="s">
        <v>401</v>
      </c>
      <c r="D9945" s="161" t="s">
        <v>74</v>
      </c>
      <c r="E9945" s="135">
        <f t="shared" si="62"/>
        <v>28</v>
      </c>
      <c r="F9945" s="134" t="s">
        <v>3815</v>
      </c>
      <c r="G9945" s="63" t="str">
        <f>VLOOKUP(C9945, 'Class Def. - General Data'!$C$20:$C$1000,1,false)</f>
        <v>ZSI1_HEATING_EQP</v>
      </c>
      <c r="H9945" s="63" t="str">
        <f>IFERROR(__xludf.DUMMYFUNCTION("VLOOKUP(F9945, IMPORTRANGE(""https://docs.google.com/spreadsheets/d/1Lhp9OU0JdFf_VYSMzH5lBcEaU4o8teT1piV-SNzShjg/edit?gid=554141278#gid=554141278"", ""'Char Def. - Attributes'!C20:C2242""), 1,false)"),"ALT_NUM_UOM4")</f>
        <v>ALT_NUM_UOM4</v>
      </c>
      <c r="I9945" s="136"/>
      <c r="R9945" s="63" t="str">
        <f t="shared" si="60"/>
        <v>ZSI1_HEATING_EQPALT_NUM_UOM4</v>
      </c>
    </row>
    <row r="9946" ht="15.75" customHeight="1">
      <c r="B9946" s="63">
        <f t="shared" si="1"/>
        <v>16</v>
      </c>
      <c r="C9946" s="135" t="s">
        <v>401</v>
      </c>
      <c r="D9946" s="161" t="s">
        <v>74</v>
      </c>
      <c r="E9946" s="135">
        <f t="shared" si="62"/>
        <v>29</v>
      </c>
      <c r="F9946" s="134" t="s">
        <v>3816</v>
      </c>
      <c r="G9946" s="63" t="str">
        <f>VLOOKUP(C9946, 'Class Def. - General Data'!$C$20:$C$1000,1,false)</f>
        <v>ZSI1_HEATING_EQP</v>
      </c>
      <c r="H9946" s="63" t="str">
        <f>IFERROR(__xludf.DUMMYFUNCTION("VLOOKUP(F9946, IMPORTRANGE(""https://docs.google.com/spreadsheets/d/1Lhp9OU0JdFf_VYSMzH5lBcEaU4o8teT1piV-SNzShjg/edit?gid=554141278#gid=554141278"", ""'Char Def. - Attributes'!C20:C2242""), 1,false)"),"ALT_UOM5_SIPI")</f>
        <v>ALT_UOM5_SIPI</v>
      </c>
      <c r="I9946" s="136"/>
      <c r="R9946" s="63" t="str">
        <f t="shared" si="60"/>
        <v>ZSI1_HEATING_EQPALT_UOM5_SIPI</v>
      </c>
    </row>
    <row r="9947" ht="15.75" customHeight="1">
      <c r="B9947" s="63">
        <f t="shared" si="1"/>
        <v>16</v>
      </c>
      <c r="C9947" s="135" t="s">
        <v>401</v>
      </c>
      <c r="D9947" s="161" t="s">
        <v>74</v>
      </c>
      <c r="E9947" s="135">
        <f t="shared" si="62"/>
        <v>30</v>
      </c>
      <c r="F9947" s="134" t="s">
        <v>3817</v>
      </c>
      <c r="G9947" s="63" t="str">
        <f>VLOOKUP(C9947, 'Class Def. - General Data'!$C$20:$C$1000,1,false)</f>
        <v>ZSI1_HEATING_EQP</v>
      </c>
      <c r="H9947" s="63" t="str">
        <f>IFERROR(__xludf.DUMMYFUNCTION("VLOOKUP(F9947, IMPORTRANGE(""https://docs.google.com/spreadsheets/d/1Lhp9OU0JdFf_VYSMzH5lBcEaU4o8teT1piV-SNzShjg/edit?gid=554141278#gid=554141278"", ""'Char Def. - Attributes'!C20:C2242""), 1,false)"),"ALT_DENUM_UOM5")</f>
        <v>ALT_DENUM_UOM5</v>
      </c>
      <c r="I9947" s="136"/>
      <c r="R9947" s="63" t="str">
        <f t="shared" si="60"/>
        <v>ZSI1_HEATING_EQPALT_DENUM_UOM5</v>
      </c>
    </row>
    <row r="9948" ht="15.75" customHeight="1">
      <c r="B9948" s="63">
        <f t="shared" si="1"/>
        <v>16</v>
      </c>
      <c r="C9948" s="135" t="s">
        <v>401</v>
      </c>
      <c r="D9948" s="161" t="s">
        <v>74</v>
      </c>
      <c r="E9948" s="135">
        <f t="shared" si="62"/>
        <v>31</v>
      </c>
      <c r="F9948" s="134" t="s">
        <v>3818</v>
      </c>
      <c r="G9948" s="63" t="str">
        <f>VLOOKUP(C9948, 'Class Def. - General Data'!$C$20:$C$1000,1,false)</f>
        <v>ZSI1_HEATING_EQP</v>
      </c>
      <c r="H9948" s="63" t="str">
        <f>IFERROR(__xludf.DUMMYFUNCTION("VLOOKUP(F9948, IMPORTRANGE(""https://docs.google.com/spreadsheets/d/1Lhp9OU0JdFf_VYSMzH5lBcEaU4o8teT1piV-SNzShjg/edit?gid=554141278#gid=554141278"", ""'Char Def. - Attributes'!C20:C2242""), 1,false)"),"ALT_NUM_UOM5")</f>
        <v>ALT_NUM_UOM5</v>
      </c>
      <c r="I9948" s="136"/>
      <c r="R9948" s="63" t="str">
        <f t="shared" si="60"/>
        <v>ZSI1_HEATING_EQPALT_NUM_UOM5</v>
      </c>
    </row>
    <row r="9949" ht="15.75" customHeight="1">
      <c r="B9949" s="63">
        <f t="shared" si="1"/>
        <v>14</v>
      </c>
      <c r="C9949" s="135" t="s">
        <v>4655</v>
      </c>
      <c r="D9949" s="161" t="s">
        <v>74</v>
      </c>
      <c r="E9949" s="135">
        <f t="shared" si="62"/>
        <v>1</v>
      </c>
      <c r="F9949" s="135" t="s">
        <v>4656</v>
      </c>
      <c r="G9949" s="63" t="str">
        <f>VLOOKUP(C9949, 'Class Def. - General Data'!$C$20:$C$1000,1,false)</f>
        <v>#N/A</v>
      </c>
      <c r="H9949" s="63" t="str">
        <f>IFERROR(__xludf.DUMMYFUNCTION("VLOOKUP(F9949, IMPORTRANGE(""https://docs.google.com/spreadsheets/d/1Lhp9OU0JdFf_VYSMzH5lBcEaU4o8teT1piV-SNzShjg/edit?gid=554141278#gid=554141278"", ""'Char Def. - Attributes'!C20:C2242""), 1,false)"),"#N/A")</f>
        <v>#N/A</v>
      </c>
      <c r="I9949" s="136"/>
      <c r="R9949" s="63" t="str">
        <f t="shared" si="60"/>
        <v>ZSI1_HEAVY_EQPITEM_NAME_HEAVY_EQP</v>
      </c>
    </row>
    <row r="9950" ht="15.75" customHeight="1">
      <c r="B9950" s="63">
        <f t="shared" si="1"/>
        <v>14</v>
      </c>
      <c r="C9950" s="135" t="s">
        <v>4655</v>
      </c>
      <c r="D9950" s="161" t="s">
        <v>74</v>
      </c>
      <c r="E9950" s="135">
        <f t="shared" si="62"/>
        <v>2</v>
      </c>
      <c r="F9950" s="135" t="s">
        <v>4657</v>
      </c>
      <c r="G9950" s="63" t="str">
        <f>VLOOKUP(C9950, 'Class Def. - General Data'!$C$20:$C$1000,1,false)</f>
        <v>#N/A</v>
      </c>
      <c r="H9950" s="63" t="str">
        <f>IFERROR(__xludf.DUMMYFUNCTION("VLOOKUP(F9950, IMPORTRANGE(""https://docs.google.com/spreadsheets/d/1Lhp9OU0JdFf_VYSMzH5lBcEaU4o8teT1piV-SNzShjg/edit?gid=554141278#gid=554141278"", ""'Char Def. - Attributes'!C20:C2242""), 1,false)"),"#N/A")</f>
        <v>#N/A</v>
      </c>
      <c r="I9950" s="136"/>
      <c r="R9950" s="63" t="str">
        <f t="shared" si="60"/>
        <v>ZSI1_HEAVY_EQPMFR_NO_HEAVY_EQP</v>
      </c>
    </row>
    <row r="9951" ht="15.75" customHeight="1">
      <c r="B9951" s="63">
        <f t="shared" si="1"/>
        <v>14</v>
      </c>
      <c r="C9951" s="135" t="s">
        <v>4655</v>
      </c>
      <c r="D9951" s="161" t="s">
        <v>74</v>
      </c>
      <c r="E9951" s="135">
        <f t="shared" si="62"/>
        <v>3</v>
      </c>
      <c r="F9951" s="134" t="s">
        <v>3782</v>
      </c>
      <c r="G9951" s="63" t="str">
        <f>VLOOKUP(C9951, 'Class Def. - General Data'!$C$20:$C$1000,1,false)</f>
        <v>#N/A</v>
      </c>
      <c r="H9951" s="63" t="str">
        <f>IFERROR(__xludf.DUMMYFUNCTION("VLOOKUP(F9951, IMPORTRANGE(""https://docs.google.com/spreadsheets/d/1Lhp9OU0JdFf_VYSMzH5lBcEaU4o8teT1piV-SNzShjg/edit?gid=554141278#gid=554141278"", ""'Char Def. - Attributes'!C20:C2242""), 1,false)"),"BRAND_EXTERNAL")</f>
        <v>BRAND_EXTERNAL</v>
      </c>
      <c r="I9951" s="136"/>
      <c r="R9951" s="63" t="str">
        <f t="shared" si="60"/>
        <v>ZSI1_HEAVY_EQPBRAND_EXTERNAL</v>
      </c>
    </row>
    <row r="9952" ht="15.75" customHeight="1">
      <c r="B9952" s="63">
        <f t="shared" si="1"/>
        <v>14</v>
      </c>
      <c r="C9952" s="135" t="s">
        <v>4655</v>
      </c>
      <c r="D9952" s="161" t="s">
        <v>74</v>
      </c>
      <c r="E9952" s="135">
        <f t="shared" si="62"/>
        <v>4</v>
      </c>
      <c r="F9952" s="134" t="s">
        <v>4062</v>
      </c>
      <c r="G9952" s="63" t="str">
        <f>VLOOKUP(C9952, 'Class Def. - General Data'!$C$20:$C$1000,1,false)</f>
        <v>#N/A</v>
      </c>
      <c r="H9952" s="63" t="str">
        <f>IFERROR(__xludf.DUMMYFUNCTION("VLOOKUP(F9952, IMPORTRANGE(""https://docs.google.com/spreadsheets/d/1Lhp9OU0JdFf_VYSMzH5lBcEaU4o8teT1piV-SNzShjg/edit?gid=554141278#gid=554141278"", ""'Char Def. - Attributes'!C20:C2242""), 1,false)"),"#N/A")</f>
        <v>#N/A</v>
      </c>
      <c r="I9952" s="136"/>
      <c r="R9952" s="63" t="str">
        <f t="shared" si="60"/>
        <v>ZSI1_HEAVY_EQPADDTIONAL_SPECIFICATION</v>
      </c>
    </row>
    <row r="9953" ht="15.75" customHeight="1">
      <c r="B9953" s="63">
        <f t="shared" si="1"/>
        <v>14</v>
      </c>
      <c r="C9953" s="135" t="s">
        <v>4655</v>
      </c>
      <c r="D9953" s="161" t="s">
        <v>74</v>
      </c>
      <c r="E9953" s="135">
        <f t="shared" si="62"/>
        <v>5</v>
      </c>
      <c r="F9953" s="134" t="s">
        <v>4053</v>
      </c>
      <c r="G9953" s="63" t="str">
        <f>VLOOKUP(C9953, 'Class Def. - General Data'!$C$20:$C$1000,1,false)</f>
        <v>#N/A</v>
      </c>
      <c r="H9953" s="63" t="str">
        <f>IFERROR(__xludf.DUMMYFUNCTION("VLOOKUP(F9953, IMPORTRANGE(""https://docs.google.com/spreadsheets/d/1Lhp9OU0JdFf_VYSMzH5lBcEaU4o8teT1piV-SNzShjg/edit?gid=554141278#gid=554141278"", ""'Char Def. - Attributes'!C20:C2242""), 1,false)"),"MAINTENANCE_ORDER_TYPE")</f>
        <v>MAINTENANCE_ORDER_TYPE</v>
      </c>
      <c r="I9953" s="136"/>
      <c r="R9953" s="63" t="str">
        <f t="shared" si="60"/>
        <v>ZSI1_HEAVY_EQPMAINTENANCE_ORDER_TYPE</v>
      </c>
    </row>
    <row r="9954" ht="15.75" customHeight="1">
      <c r="B9954" s="63">
        <f t="shared" si="1"/>
        <v>14</v>
      </c>
      <c r="C9954" s="135" t="s">
        <v>4655</v>
      </c>
      <c r="D9954" s="161" t="s">
        <v>74</v>
      </c>
      <c r="E9954" s="135">
        <f t="shared" si="62"/>
        <v>6</v>
      </c>
      <c r="F9954" s="134" t="s">
        <v>3585</v>
      </c>
      <c r="G9954" s="63" t="str">
        <f>VLOOKUP(C9954, 'Class Def. - General Data'!$C$20:$C$1000,1,false)</f>
        <v>#N/A</v>
      </c>
      <c r="H9954" s="63" t="str">
        <f>IFERROR(__xludf.DUMMYFUNCTION("VLOOKUP(F9954, IMPORTRANGE(""https://docs.google.com/spreadsheets/d/1Lhp9OU0JdFf_VYSMzH5lBcEaU4o8teT1piV-SNzShjg/edit?gid=554141278#gid=554141278"", ""'Char Def. - Attributes'!C20:C2242""), 1,false)"),"HS_CODE")</f>
        <v>HS_CODE</v>
      </c>
      <c r="I9954" s="136"/>
      <c r="R9954" s="63" t="str">
        <f t="shared" si="60"/>
        <v>ZSI1_HEAVY_EQPHS_CODE</v>
      </c>
    </row>
    <row r="9955" ht="15.75" customHeight="1">
      <c r="B9955" s="63">
        <f t="shared" si="1"/>
        <v>14</v>
      </c>
      <c r="C9955" s="135" t="s">
        <v>4655</v>
      </c>
      <c r="D9955" s="161" t="s">
        <v>74</v>
      </c>
      <c r="E9955" s="135">
        <f t="shared" si="62"/>
        <v>7</v>
      </c>
      <c r="F9955" s="134" t="s">
        <v>3587</v>
      </c>
      <c r="G9955" s="63" t="str">
        <f>VLOOKUP(C9955, 'Class Def. - General Data'!$C$20:$C$1000,1,false)</f>
        <v>#N/A</v>
      </c>
      <c r="H9955" s="63" t="str">
        <f>IFERROR(__xludf.DUMMYFUNCTION("VLOOKUP(F9955, IMPORTRANGE(""https://docs.google.com/spreadsheets/d/1Lhp9OU0JdFf_VYSMzH5lBcEaU4o8teT1piV-SNzShjg/edit?gid=554141278#gid=554141278"", ""'Char Def. - Attributes'!C20:C2242""), 1,false)"),"PLANT_BUY")</f>
        <v>PLANT_BUY</v>
      </c>
      <c r="I9955" s="136"/>
      <c r="R9955" s="63" t="str">
        <f t="shared" si="60"/>
        <v>ZSI1_HEAVY_EQPPLANT_BUY</v>
      </c>
    </row>
    <row r="9956" ht="15.75" customHeight="1">
      <c r="B9956" s="63">
        <f t="shared" si="1"/>
        <v>14</v>
      </c>
      <c r="C9956" s="135" t="s">
        <v>4655</v>
      </c>
      <c r="D9956" s="161" t="s">
        <v>74</v>
      </c>
      <c r="E9956" s="135">
        <f t="shared" si="62"/>
        <v>8</v>
      </c>
      <c r="F9956" s="135" t="s">
        <v>4658</v>
      </c>
      <c r="G9956" s="63" t="str">
        <f>VLOOKUP(C9956, 'Class Def. - General Data'!$C$20:$C$1000,1,false)</f>
        <v>#N/A</v>
      </c>
      <c r="H9956" s="63" t="str">
        <f>IFERROR(__xludf.DUMMYFUNCTION("VLOOKUP(F9956, IMPORTRANGE(""https://docs.google.com/spreadsheets/d/1Lhp9OU0JdFf_VYSMzH5lBcEaU4o8teT1piV-SNzShjg/edit?gid=554141278#gid=554141278"", ""'Char Def. - Attributes'!C20:C2242""), 1,false)"),"#N/A")</f>
        <v>#N/A</v>
      </c>
      <c r="I9956" s="136"/>
      <c r="R9956" s="63" t="str">
        <f t="shared" si="60"/>
        <v>ZSI1_HEAVY_EQPBASE_UOM_HEAVY_EQP</v>
      </c>
    </row>
    <row r="9957" ht="15.75" customHeight="1">
      <c r="B9957" s="63">
        <f t="shared" si="1"/>
        <v>14</v>
      </c>
      <c r="C9957" s="135" t="s">
        <v>4655</v>
      </c>
      <c r="D9957" s="161" t="s">
        <v>74</v>
      </c>
      <c r="E9957" s="135">
        <f t="shared" si="62"/>
        <v>9</v>
      </c>
      <c r="F9957" s="135" t="s">
        <v>4659</v>
      </c>
      <c r="G9957" s="63" t="str">
        <f>VLOOKUP(C9957, 'Class Def. - General Data'!$C$20:$C$1000,1,false)</f>
        <v>#N/A</v>
      </c>
      <c r="H9957" s="63" t="str">
        <f>IFERROR(__xludf.DUMMYFUNCTION("VLOOKUP(F9957, IMPORTRANGE(""https://docs.google.com/spreadsheets/d/1Lhp9OU0JdFf_VYSMzH5lBcEaU4o8teT1piV-SNzShjg/edit?gid=554141278#gid=554141278"", ""'Char Def. - Attributes'!C20:C2242""), 1,false)"),"#N/A")</f>
        <v>#N/A</v>
      </c>
      <c r="I9957" s="136"/>
      <c r="R9957" s="63" t="str">
        <f t="shared" si="60"/>
        <v>ZSI1_HEAVY_EQPORDER_UNIT_HEAVY_EQP</v>
      </c>
    </row>
    <row r="9958" ht="15.75" customHeight="1">
      <c r="B9958" s="63">
        <f t="shared" si="1"/>
        <v>14</v>
      </c>
      <c r="C9958" s="135" t="s">
        <v>4655</v>
      </c>
      <c r="D9958" s="161" t="s">
        <v>74</v>
      </c>
      <c r="E9958" s="135">
        <f t="shared" si="62"/>
        <v>10</v>
      </c>
      <c r="F9958" s="134" t="s">
        <v>4056</v>
      </c>
      <c r="G9958" s="63" t="str">
        <f>VLOOKUP(C9958, 'Class Def. - General Data'!$C$20:$C$1000,1,false)</f>
        <v>#N/A</v>
      </c>
      <c r="H9958" s="63" t="str">
        <f>IFERROR(__xludf.DUMMYFUNCTION("VLOOKUP(F9958, IMPORTRANGE(""https://docs.google.com/spreadsheets/d/1Lhp9OU0JdFf_VYSMzH5lBcEaU4o8teT1piV-SNzShjg/edit?gid=554141278#gid=554141278"", ""'Char Def. - Attributes'!C20:C2242""), 1,false)"),"GROSS_WEIGHT_OPT")</f>
        <v>GROSS_WEIGHT_OPT</v>
      </c>
      <c r="I9958" s="136"/>
      <c r="R9958" s="63" t="str">
        <f t="shared" si="60"/>
        <v>ZSI1_HEAVY_EQPGROSS_WEIGHT_OPT</v>
      </c>
    </row>
    <row r="9959" ht="15.75" customHeight="1">
      <c r="B9959" s="63">
        <f t="shared" si="1"/>
        <v>14</v>
      </c>
      <c r="C9959" s="135" t="s">
        <v>4655</v>
      </c>
      <c r="D9959" s="161" t="s">
        <v>74</v>
      </c>
      <c r="E9959" s="135">
        <f t="shared" si="62"/>
        <v>11</v>
      </c>
      <c r="F9959" s="134" t="s">
        <v>4057</v>
      </c>
      <c r="G9959" s="63" t="str">
        <f>VLOOKUP(C9959, 'Class Def. - General Data'!$C$20:$C$1000,1,false)</f>
        <v>#N/A</v>
      </c>
      <c r="H9959" s="63" t="str">
        <f>IFERROR(__xludf.DUMMYFUNCTION("VLOOKUP(F9959, IMPORTRANGE(""https://docs.google.com/spreadsheets/d/1Lhp9OU0JdFf_VYSMzH5lBcEaU4o8teT1piV-SNzShjg/edit?gid=554141278#gid=554141278"", ""'Char Def. - Attributes'!C20:C2242""), 1,false)"),"NET_WEIGHT_OPT")</f>
        <v>NET_WEIGHT_OPT</v>
      </c>
      <c r="I9959" s="136"/>
      <c r="R9959" s="63" t="str">
        <f t="shared" si="60"/>
        <v>ZSI1_HEAVY_EQPNET_WEIGHT_OPT</v>
      </c>
    </row>
    <row r="9960" ht="15.75" customHeight="1">
      <c r="B9960" s="63">
        <f t="shared" si="1"/>
        <v>14</v>
      </c>
      <c r="C9960" s="135" t="s">
        <v>4655</v>
      </c>
      <c r="D9960" s="161" t="s">
        <v>74</v>
      </c>
      <c r="E9960" s="135">
        <f t="shared" si="62"/>
        <v>12</v>
      </c>
      <c r="F9960" s="134" t="s">
        <v>4058</v>
      </c>
      <c r="G9960" s="63" t="str">
        <f>VLOOKUP(C9960, 'Class Def. - General Data'!$C$20:$C$1000,1,false)</f>
        <v>#N/A</v>
      </c>
      <c r="H9960" s="63" t="str">
        <f>IFERROR(__xludf.DUMMYFUNCTION("VLOOKUP(F9960, IMPORTRANGE(""https://docs.google.com/spreadsheets/d/1Lhp9OU0JdFf_VYSMzH5lBcEaU4o8teT1piV-SNzShjg/edit?gid=554141278#gid=554141278"", ""'Char Def. - Attributes'!C20:C2242""), 1,false)"),"WEIGHT_UNIT_SI")</f>
        <v>WEIGHT_UNIT_SI</v>
      </c>
      <c r="I9960" s="136"/>
      <c r="R9960" s="63" t="str">
        <f t="shared" si="60"/>
        <v>ZSI1_HEAVY_EQPWEIGHT_UNIT_SI</v>
      </c>
    </row>
    <row r="9961" ht="15.75" customHeight="1">
      <c r="B9961" s="63">
        <f t="shared" si="1"/>
        <v>14</v>
      </c>
      <c r="C9961" s="135" t="s">
        <v>4655</v>
      </c>
      <c r="D9961" s="161" t="s">
        <v>74</v>
      </c>
      <c r="E9961" s="135">
        <f t="shared" si="62"/>
        <v>13</v>
      </c>
      <c r="F9961" s="134" t="s">
        <v>3877</v>
      </c>
      <c r="G9961" s="63" t="str">
        <f>VLOOKUP(C9961, 'Class Def. - General Data'!$C$20:$C$1000,1,false)</f>
        <v>#N/A</v>
      </c>
      <c r="H9961" s="63" t="str">
        <f>IFERROR(__xludf.DUMMYFUNCTION("VLOOKUP(F9961, IMPORTRANGE(""https://docs.google.com/spreadsheets/d/1Lhp9OU0JdFf_VYSMzH5lBcEaU4o8teT1piV-SNzShjg/edit?gid=554141278#gid=554141278"", ""'Char Def. - Attributes'!C20:C2242""), 1,false)"),"VOLUME_OPT")</f>
        <v>VOLUME_OPT</v>
      </c>
      <c r="I9961" s="136"/>
      <c r="R9961" s="63" t="str">
        <f t="shared" si="60"/>
        <v>ZSI1_HEAVY_EQPVOLUME_OPT</v>
      </c>
    </row>
    <row r="9962" ht="15.75" customHeight="1">
      <c r="B9962" s="63">
        <f t="shared" si="1"/>
        <v>14</v>
      </c>
      <c r="C9962" s="135" t="s">
        <v>4655</v>
      </c>
      <c r="D9962" s="161" t="s">
        <v>74</v>
      </c>
      <c r="E9962" s="135">
        <f t="shared" si="62"/>
        <v>14</v>
      </c>
      <c r="F9962" s="134" t="s">
        <v>4059</v>
      </c>
      <c r="G9962" s="63" t="str">
        <f>VLOOKUP(C9962, 'Class Def. - General Data'!$C$20:$C$1000,1,false)</f>
        <v>#N/A</v>
      </c>
      <c r="H9962" s="63" t="str">
        <f>IFERROR(__xludf.DUMMYFUNCTION("VLOOKUP(F9962, IMPORTRANGE(""https://docs.google.com/spreadsheets/d/1Lhp9OU0JdFf_VYSMzH5lBcEaU4o8teT1piV-SNzShjg/edit?gid=554141278#gid=554141278"", ""'Char Def. - Attributes'!C20:C2242""), 1,false)"),"VOLUME_UNIT_SI")</f>
        <v>VOLUME_UNIT_SI</v>
      </c>
      <c r="I9962" s="136"/>
      <c r="R9962" s="63" t="str">
        <f t="shared" si="60"/>
        <v>ZSI1_HEAVY_EQPVOLUME_UNIT_SI</v>
      </c>
    </row>
    <row r="9963" ht="15.75" customHeight="1">
      <c r="B9963" s="63">
        <f t="shared" si="1"/>
        <v>14</v>
      </c>
      <c r="C9963" s="135" t="s">
        <v>4655</v>
      </c>
      <c r="D9963" s="161" t="s">
        <v>74</v>
      </c>
      <c r="E9963" s="135">
        <f t="shared" si="62"/>
        <v>15</v>
      </c>
      <c r="F9963" s="134" t="s">
        <v>3804</v>
      </c>
      <c r="G9963" s="63" t="str">
        <f>VLOOKUP(C9963, 'Class Def. - General Data'!$C$20:$C$1000,1,false)</f>
        <v>#N/A</v>
      </c>
      <c r="H9963" s="63" t="str">
        <f>IFERROR(__xludf.DUMMYFUNCTION("VLOOKUP(F9963, IMPORTRANGE(""https://docs.google.com/spreadsheets/d/1Lhp9OU0JdFf_VYSMzH5lBcEaU4o8teT1piV-SNzShjg/edit?gid=554141278#gid=554141278"", ""'Char Def. - Attributes'!C20:C2242""), 1,false)"),"ALT_UOM1_SIPI")</f>
        <v>ALT_UOM1_SIPI</v>
      </c>
      <c r="I9963" s="136"/>
      <c r="R9963" s="63" t="str">
        <f t="shared" si="60"/>
        <v>ZSI1_HEAVY_EQPALT_UOM1_SIPI</v>
      </c>
    </row>
    <row r="9964" ht="15.75" customHeight="1">
      <c r="B9964" s="63">
        <f t="shared" si="1"/>
        <v>14</v>
      </c>
      <c r="C9964" s="135" t="s">
        <v>4655</v>
      </c>
      <c r="D9964" s="161" t="s">
        <v>74</v>
      </c>
      <c r="E9964" s="135">
        <f t="shared" si="62"/>
        <v>16</v>
      </c>
      <c r="F9964" s="134" t="s">
        <v>3805</v>
      </c>
      <c r="G9964" s="63" t="str">
        <f>VLOOKUP(C9964, 'Class Def. - General Data'!$C$20:$C$1000,1,false)</f>
        <v>#N/A</v>
      </c>
      <c r="H9964" s="63" t="str">
        <f>IFERROR(__xludf.DUMMYFUNCTION("VLOOKUP(F9964, IMPORTRANGE(""https://docs.google.com/spreadsheets/d/1Lhp9OU0JdFf_VYSMzH5lBcEaU4o8teT1piV-SNzShjg/edit?gid=554141278#gid=554141278"", ""'Char Def. - Attributes'!C20:C2242""), 1,false)"),"ALT_DENUM_UOM1")</f>
        <v>ALT_DENUM_UOM1</v>
      </c>
      <c r="I9964" s="136"/>
      <c r="R9964" s="63" t="str">
        <f t="shared" si="60"/>
        <v>ZSI1_HEAVY_EQPALT_DENUM_UOM1</v>
      </c>
    </row>
    <row r="9965" ht="15.75" customHeight="1">
      <c r="B9965" s="63">
        <f t="shared" si="1"/>
        <v>14</v>
      </c>
      <c r="C9965" s="135" t="s">
        <v>4655</v>
      </c>
      <c r="D9965" s="161" t="s">
        <v>74</v>
      </c>
      <c r="E9965" s="135">
        <f t="shared" si="62"/>
        <v>17</v>
      </c>
      <c r="F9965" s="134" t="s">
        <v>3806</v>
      </c>
      <c r="G9965" s="63" t="str">
        <f>VLOOKUP(C9965, 'Class Def. - General Data'!$C$20:$C$1000,1,false)</f>
        <v>#N/A</v>
      </c>
      <c r="H9965" s="63" t="str">
        <f>IFERROR(__xludf.DUMMYFUNCTION("VLOOKUP(F9965, IMPORTRANGE(""https://docs.google.com/spreadsheets/d/1Lhp9OU0JdFf_VYSMzH5lBcEaU4o8teT1piV-SNzShjg/edit?gid=554141278#gid=554141278"", ""'Char Def. - Attributes'!C20:C2242""), 1,false)"),"ALT_NUM_UOM1")</f>
        <v>ALT_NUM_UOM1</v>
      </c>
      <c r="I9965" s="136"/>
      <c r="R9965" s="63" t="str">
        <f t="shared" si="60"/>
        <v>ZSI1_HEAVY_EQPALT_NUM_UOM1</v>
      </c>
    </row>
    <row r="9966" ht="15.75" customHeight="1">
      <c r="B9966" s="63">
        <f t="shared" si="1"/>
        <v>14</v>
      </c>
      <c r="C9966" s="135" t="s">
        <v>4655</v>
      </c>
      <c r="D9966" s="161" t="s">
        <v>74</v>
      </c>
      <c r="E9966" s="135">
        <f t="shared" si="62"/>
        <v>18</v>
      </c>
      <c r="F9966" s="134" t="s">
        <v>3807</v>
      </c>
      <c r="G9966" s="63" t="str">
        <f>VLOOKUP(C9966, 'Class Def. - General Data'!$C$20:$C$1000,1,false)</f>
        <v>#N/A</v>
      </c>
      <c r="H9966" s="63" t="str">
        <f>IFERROR(__xludf.DUMMYFUNCTION("VLOOKUP(F9966, IMPORTRANGE(""https://docs.google.com/spreadsheets/d/1Lhp9OU0JdFf_VYSMzH5lBcEaU4o8teT1piV-SNzShjg/edit?gid=554141278#gid=554141278"", ""'Char Def. - Attributes'!C20:C2242""), 1,false)"),"ALT_UOM2_SIPI")</f>
        <v>ALT_UOM2_SIPI</v>
      </c>
      <c r="I9966" s="136"/>
      <c r="R9966" s="63" t="str">
        <f t="shared" si="60"/>
        <v>ZSI1_HEAVY_EQPALT_UOM2_SIPI</v>
      </c>
    </row>
    <row r="9967" ht="15.75" customHeight="1">
      <c r="B9967" s="63">
        <f t="shared" si="1"/>
        <v>14</v>
      </c>
      <c r="C9967" s="135" t="s">
        <v>4655</v>
      </c>
      <c r="D9967" s="161" t="s">
        <v>74</v>
      </c>
      <c r="E9967" s="135">
        <f t="shared" si="62"/>
        <v>19</v>
      </c>
      <c r="F9967" s="134" t="s">
        <v>3808</v>
      </c>
      <c r="G9967" s="63" t="str">
        <f>VLOOKUP(C9967, 'Class Def. - General Data'!$C$20:$C$1000,1,false)</f>
        <v>#N/A</v>
      </c>
      <c r="H9967" s="63" t="str">
        <f>IFERROR(__xludf.DUMMYFUNCTION("VLOOKUP(F9967, IMPORTRANGE(""https://docs.google.com/spreadsheets/d/1Lhp9OU0JdFf_VYSMzH5lBcEaU4o8teT1piV-SNzShjg/edit?gid=554141278#gid=554141278"", ""'Char Def. - Attributes'!C20:C2242""), 1,false)"),"ALT_DENUM_UOM2")</f>
        <v>ALT_DENUM_UOM2</v>
      </c>
      <c r="I9967" s="136"/>
      <c r="R9967" s="63" t="str">
        <f t="shared" si="60"/>
        <v>ZSI1_HEAVY_EQPALT_DENUM_UOM2</v>
      </c>
    </row>
    <row r="9968" ht="15.75" customHeight="1">
      <c r="B9968" s="63">
        <f t="shared" si="1"/>
        <v>14</v>
      </c>
      <c r="C9968" s="135" t="s">
        <v>4655</v>
      </c>
      <c r="D9968" s="161" t="s">
        <v>74</v>
      </c>
      <c r="E9968" s="135">
        <f t="shared" si="62"/>
        <v>20</v>
      </c>
      <c r="F9968" s="134" t="s">
        <v>3809</v>
      </c>
      <c r="G9968" s="63" t="str">
        <f>VLOOKUP(C9968, 'Class Def. - General Data'!$C$20:$C$1000,1,false)</f>
        <v>#N/A</v>
      </c>
      <c r="H9968" s="63" t="str">
        <f>IFERROR(__xludf.DUMMYFUNCTION("VLOOKUP(F9968, IMPORTRANGE(""https://docs.google.com/spreadsheets/d/1Lhp9OU0JdFf_VYSMzH5lBcEaU4o8teT1piV-SNzShjg/edit?gid=554141278#gid=554141278"", ""'Char Def. - Attributes'!C20:C2242""), 1,false)"),"ALT_NUM_UOM2")</f>
        <v>ALT_NUM_UOM2</v>
      </c>
      <c r="I9968" s="136"/>
      <c r="R9968" s="63" t="str">
        <f t="shared" si="60"/>
        <v>ZSI1_HEAVY_EQPALT_NUM_UOM2</v>
      </c>
    </row>
    <row r="9969" ht="15.75" customHeight="1">
      <c r="B9969" s="63">
        <f t="shared" si="1"/>
        <v>14</v>
      </c>
      <c r="C9969" s="135" t="s">
        <v>4655</v>
      </c>
      <c r="D9969" s="161" t="s">
        <v>74</v>
      </c>
      <c r="E9969" s="135">
        <f t="shared" si="62"/>
        <v>21</v>
      </c>
      <c r="F9969" s="134" t="s">
        <v>3810</v>
      </c>
      <c r="G9969" s="63" t="str">
        <f>VLOOKUP(C9969, 'Class Def. - General Data'!$C$20:$C$1000,1,false)</f>
        <v>#N/A</v>
      </c>
      <c r="H9969" s="63" t="str">
        <f>IFERROR(__xludf.DUMMYFUNCTION("VLOOKUP(F9969, IMPORTRANGE(""https://docs.google.com/spreadsheets/d/1Lhp9OU0JdFf_VYSMzH5lBcEaU4o8teT1piV-SNzShjg/edit?gid=554141278#gid=554141278"", ""'Char Def. - Attributes'!C20:C2242""), 1,false)"),"ALT_UOM3_SIPI")</f>
        <v>ALT_UOM3_SIPI</v>
      </c>
      <c r="I9969" s="136"/>
      <c r="R9969" s="63" t="str">
        <f t="shared" si="60"/>
        <v>ZSI1_HEAVY_EQPALT_UOM3_SIPI</v>
      </c>
    </row>
    <row r="9970" ht="15.75" customHeight="1">
      <c r="B9970" s="63">
        <f t="shared" si="1"/>
        <v>14</v>
      </c>
      <c r="C9970" s="135" t="s">
        <v>4655</v>
      </c>
      <c r="D9970" s="161" t="s">
        <v>74</v>
      </c>
      <c r="E9970" s="135">
        <f t="shared" si="62"/>
        <v>22</v>
      </c>
      <c r="F9970" s="134" t="s">
        <v>3811</v>
      </c>
      <c r="G9970" s="63" t="str">
        <f>VLOOKUP(C9970, 'Class Def. - General Data'!$C$20:$C$1000,1,false)</f>
        <v>#N/A</v>
      </c>
      <c r="H9970" s="63" t="str">
        <f>IFERROR(__xludf.DUMMYFUNCTION("VLOOKUP(F9970, IMPORTRANGE(""https://docs.google.com/spreadsheets/d/1Lhp9OU0JdFf_VYSMzH5lBcEaU4o8teT1piV-SNzShjg/edit?gid=554141278#gid=554141278"", ""'Char Def. - Attributes'!C20:C2242""), 1,false)"),"ALT_DENUM_UOM3")</f>
        <v>ALT_DENUM_UOM3</v>
      </c>
      <c r="I9970" s="136"/>
      <c r="R9970" s="63" t="str">
        <f t="shared" si="60"/>
        <v>ZSI1_HEAVY_EQPALT_DENUM_UOM3</v>
      </c>
    </row>
    <row r="9971" ht="15.75" customHeight="1">
      <c r="B9971" s="63">
        <f t="shared" si="1"/>
        <v>14</v>
      </c>
      <c r="C9971" s="135" t="s">
        <v>4655</v>
      </c>
      <c r="D9971" s="161" t="s">
        <v>74</v>
      </c>
      <c r="E9971" s="135">
        <f t="shared" si="62"/>
        <v>23</v>
      </c>
      <c r="F9971" s="134" t="s">
        <v>3812</v>
      </c>
      <c r="G9971" s="63" t="str">
        <f>VLOOKUP(C9971, 'Class Def. - General Data'!$C$20:$C$1000,1,false)</f>
        <v>#N/A</v>
      </c>
      <c r="H9971" s="63" t="str">
        <f>IFERROR(__xludf.DUMMYFUNCTION("VLOOKUP(F9971, IMPORTRANGE(""https://docs.google.com/spreadsheets/d/1Lhp9OU0JdFf_VYSMzH5lBcEaU4o8teT1piV-SNzShjg/edit?gid=554141278#gid=554141278"", ""'Char Def. - Attributes'!C20:C2242""), 1,false)"),"ALT_NUM_UOM3")</f>
        <v>ALT_NUM_UOM3</v>
      </c>
      <c r="I9971" s="136"/>
      <c r="R9971" s="63" t="str">
        <f t="shared" si="60"/>
        <v>ZSI1_HEAVY_EQPALT_NUM_UOM3</v>
      </c>
    </row>
    <row r="9972" ht="15.75" customHeight="1">
      <c r="B9972" s="63">
        <f t="shared" si="1"/>
        <v>14</v>
      </c>
      <c r="C9972" s="135" t="s">
        <v>4655</v>
      </c>
      <c r="D9972" s="161" t="s">
        <v>74</v>
      </c>
      <c r="E9972" s="135">
        <f t="shared" si="62"/>
        <v>24</v>
      </c>
      <c r="F9972" s="134" t="s">
        <v>3813</v>
      </c>
      <c r="G9972" s="63" t="str">
        <f>VLOOKUP(C9972, 'Class Def. - General Data'!$C$20:$C$1000,1,false)</f>
        <v>#N/A</v>
      </c>
      <c r="H9972" s="63" t="str">
        <f>IFERROR(__xludf.DUMMYFUNCTION("VLOOKUP(F9972, IMPORTRANGE(""https://docs.google.com/spreadsheets/d/1Lhp9OU0JdFf_VYSMzH5lBcEaU4o8teT1piV-SNzShjg/edit?gid=554141278#gid=554141278"", ""'Char Def. - Attributes'!C20:C2242""), 1,false)"),"ALT_UOM4_SIPI")</f>
        <v>ALT_UOM4_SIPI</v>
      </c>
      <c r="I9972" s="136"/>
      <c r="R9972" s="63" t="str">
        <f t="shared" si="60"/>
        <v>ZSI1_HEAVY_EQPALT_UOM4_SIPI</v>
      </c>
    </row>
    <row r="9973" ht="15.75" customHeight="1">
      <c r="B9973" s="63">
        <f t="shared" si="1"/>
        <v>14</v>
      </c>
      <c r="C9973" s="135" t="s">
        <v>4655</v>
      </c>
      <c r="D9973" s="161" t="s">
        <v>74</v>
      </c>
      <c r="E9973" s="135">
        <f t="shared" si="62"/>
        <v>25</v>
      </c>
      <c r="F9973" s="134" t="s">
        <v>3814</v>
      </c>
      <c r="G9973" s="63" t="str">
        <f>VLOOKUP(C9973, 'Class Def. - General Data'!$C$20:$C$1000,1,false)</f>
        <v>#N/A</v>
      </c>
      <c r="H9973" s="63" t="str">
        <f>IFERROR(__xludf.DUMMYFUNCTION("VLOOKUP(F9973, IMPORTRANGE(""https://docs.google.com/spreadsheets/d/1Lhp9OU0JdFf_VYSMzH5lBcEaU4o8teT1piV-SNzShjg/edit?gid=554141278#gid=554141278"", ""'Char Def. - Attributes'!C20:C2242""), 1,false)"),"ALT_DENUM_UOM4")</f>
        <v>ALT_DENUM_UOM4</v>
      </c>
      <c r="I9973" s="136"/>
      <c r="R9973" s="63" t="str">
        <f t="shared" si="60"/>
        <v>ZSI1_HEAVY_EQPALT_DENUM_UOM4</v>
      </c>
    </row>
    <row r="9974" ht="15.75" customHeight="1">
      <c r="B9974" s="63">
        <f t="shared" si="1"/>
        <v>14</v>
      </c>
      <c r="C9974" s="135" t="s">
        <v>4655</v>
      </c>
      <c r="D9974" s="161" t="s">
        <v>74</v>
      </c>
      <c r="E9974" s="135">
        <f t="shared" si="62"/>
        <v>26</v>
      </c>
      <c r="F9974" s="134" t="s">
        <v>3815</v>
      </c>
      <c r="G9974" s="63" t="str">
        <f>VLOOKUP(C9974, 'Class Def. - General Data'!$C$20:$C$1000,1,false)</f>
        <v>#N/A</v>
      </c>
      <c r="H9974" s="63" t="str">
        <f>IFERROR(__xludf.DUMMYFUNCTION("VLOOKUP(F9974, IMPORTRANGE(""https://docs.google.com/spreadsheets/d/1Lhp9OU0JdFf_VYSMzH5lBcEaU4o8teT1piV-SNzShjg/edit?gid=554141278#gid=554141278"", ""'Char Def. - Attributes'!C20:C2242""), 1,false)"),"ALT_NUM_UOM4")</f>
        <v>ALT_NUM_UOM4</v>
      </c>
      <c r="I9974" s="136"/>
      <c r="R9974" s="63" t="str">
        <f t="shared" si="60"/>
        <v>ZSI1_HEAVY_EQPALT_NUM_UOM4</v>
      </c>
    </row>
    <row r="9975" ht="15.75" customHeight="1">
      <c r="B9975" s="63">
        <f t="shared" si="1"/>
        <v>14</v>
      </c>
      <c r="C9975" s="135" t="s">
        <v>4655</v>
      </c>
      <c r="D9975" s="161" t="s">
        <v>74</v>
      </c>
      <c r="E9975" s="135">
        <f t="shared" si="62"/>
        <v>27</v>
      </c>
      <c r="F9975" s="134" t="s">
        <v>3816</v>
      </c>
      <c r="G9975" s="63" t="str">
        <f>VLOOKUP(C9975, 'Class Def. - General Data'!$C$20:$C$1000,1,false)</f>
        <v>#N/A</v>
      </c>
      <c r="H9975" s="63" t="str">
        <f>IFERROR(__xludf.DUMMYFUNCTION("VLOOKUP(F9975, IMPORTRANGE(""https://docs.google.com/spreadsheets/d/1Lhp9OU0JdFf_VYSMzH5lBcEaU4o8teT1piV-SNzShjg/edit?gid=554141278#gid=554141278"", ""'Char Def. - Attributes'!C20:C2242""), 1,false)"),"ALT_UOM5_SIPI")</f>
        <v>ALT_UOM5_SIPI</v>
      </c>
      <c r="I9975" s="136"/>
      <c r="R9975" s="63" t="str">
        <f t="shared" si="60"/>
        <v>ZSI1_HEAVY_EQPALT_UOM5_SIPI</v>
      </c>
    </row>
    <row r="9976" ht="15.75" customHeight="1">
      <c r="B9976" s="63">
        <f t="shared" si="1"/>
        <v>14</v>
      </c>
      <c r="C9976" s="135" t="s">
        <v>4655</v>
      </c>
      <c r="D9976" s="161" t="s">
        <v>74</v>
      </c>
      <c r="E9976" s="135">
        <f t="shared" si="62"/>
        <v>28</v>
      </c>
      <c r="F9976" s="134" t="s">
        <v>3817</v>
      </c>
      <c r="G9976" s="63" t="str">
        <f>VLOOKUP(C9976, 'Class Def. - General Data'!$C$20:$C$1000,1,false)</f>
        <v>#N/A</v>
      </c>
      <c r="H9976" s="63" t="str">
        <f>IFERROR(__xludf.DUMMYFUNCTION("VLOOKUP(F9976, IMPORTRANGE(""https://docs.google.com/spreadsheets/d/1Lhp9OU0JdFf_VYSMzH5lBcEaU4o8teT1piV-SNzShjg/edit?gid=554141278#gid=554141278"", ""'Char Def. - Attributes'!C20:C2242""), 1,false)"),"ALT_DENUM_UOM5")</f>
        <v>ALT_DENUM_UOM5</v>
      </c>
      <c r="I9976" s="136"/>
      <c r="R9976" s="63" t="str">
        <f t="shared" si="60"/>
        <v>ZSI1_HEAVY_EQPALT_DENUM_UOM5</v>
      </c>
    </row>
    <row r="9977" ht="15.75" customHeight="1">
      <c r="B9977" s="63">
        <f t="shared" si="1"/>
        <v>14</v>
      </c>
      <c r="C9977" s="135" t="s">
        <v>4655</v>
      </c>
      <c r="D9977" s="161" t="s">
        <v>74</v>
      </c>
      <c r="E9977" s="135">
        <f t="shared" si="62"/>
        <v>29</v>
      </c>
      <c r="F9977" s="134" t="s">
        <v>3818</v>
      </c>
      <c r="G9977" s="63" t="str">
        <f>VLOOKUP(C9977, 'Class Def. - General Data'!$C$20:$C$1000,1,false)</f>
        <v>#N/A</v>
      </c>
      <c r="H9977" s="63" t="str">
        <f>IFERROR(__xludf.DUMMYFUNCTION("VLOOKUP(F9977, IMPORTRANGE(""https://docs.google.com/spreadsheets/d/1Lhp9OU0JdFf_VYSMzH5lBcEaU4o8teT1piV-SNzShjg/edit?gid=554141278#gid=554141278"", ""'Char Def. - Attributes'!C20:C2242""), 1,false)"),"ALT_NUM_UOM5")</f>
        <v>ALT_NUM_UOM5</v>
      </c>
      <c r="I9977" s="136"/>
      <c r="R9977" s="63" t="str">
        <f t="shared" si="60"/>
        <v>ZSI1_HEAVY_EQPALT_NUM_UOM5</v>
      </c>
    </row>
    <row r="9978" ht="15.75" customHeight="1">
      <c r="B9978" s="63">
        <f t="shared" si="1"/>
        <v>17</v>
      </c>
      <c r="C9978" s="135" t="s">
        <v>402</v>
      </c>
      <c r="D9978" s="161" t="s">
        <v>74</v>
      </c>
      <c r="E9978" s="135">
        <f t="shared" si="62"/>
        <v>1</v>
      </c>
      <c r="F9978" s="134" t="s">
        <v>4660</v>
      </c>
      <c r="G9978" s="63" t="str">
        <f>VLOOKUP(C9978, 'Class Def. - General Data'!$C$20:$C$1000,1,false)</f>
        <v>ZSI1_HOLLOW_STRCT</v>
      </c>
      <c r="H9978" s="63" t="str">
        <f>IFERROR(__xludf.DUMMYFUNCTION("VLOOKUP(F9978, IMPORTRANGE(""https://docs.google.com/spreadsheets/d/1Lhp9OU0JdFf_VYSMzH5lBcEaU4o8teT1piV-SNzShjg/edit?gid=554141278#gid=554141278"", ""'Char Def. - Attributes'!C20:C2242""), 1,false)"),"ITEM_NAME_HOLLOW_STRCT")</f>
        <v>ITEM_NAME_HOLLOW_STRCT</v>
      </c>
      <c r="I9978" s="136"/>
      <c r="R9978" s="63" t="str">
        <f t="shared" si="60"/>
        <v>ZSI1_HOLLOW_STRCTITEM_NAME_HOLLOW_STRCT</v>
      </c>
    </row>
    <row r="9979" ht="15.75" customHeight="1">
      <c r="B9979" s="63">
        <f t="shared" si="1"/>
        <v>17</v>
      </c>
      <c r="C9979" s="135" t="s">
        <v>402</v>
      </c>
      <c r="D9979" s="161" t="s">
        <v>74</v>
      </c>
      <c r="E9979" s="135">
        <f t="shared" si="62"/>
        <v>2</v>
      </c>
      <c r="F9979" s="134" t="s">
        <v>4661</v>
      </c>
      <c r="G9979" s="63" t="str">
        <f>VLOOKUP(C9979, 'Class Def. - General Data'!$C$20:$C$1000,1,false)</f>
        <v>ZSI1_HOLLOW_STRCT</v>
      </c>
      <c r="H9979" s="63" t="str">
        <f>IFERROR(__xludf.DUMMYFUNCTION("VLOOKUP(F9979, IMPORTRANGE(""https://docs.google.com/spreadsheets/d/1Lhp9OU0JdFf_VYSMzH5lBcEaU4o8teT1piV-SNzShjg/edit?gid=554141278#gid=554141278"", ""'Char Def. - Attributes'!C20:C2242""), 1,false)"),"MATERIAL_HOLLOW_STRCT")</f>
        <v>MATERIAL_HOLLOW_STRCT</v>
      </c>
      <c r="I9979" s="136"/>
      <c r="R9979" s="63" t="str">
        <f t="shared" si="60"/>
        <v>ZSI1_HOLLOW_STRCTMATERIAL_HOLLOW_STRCT</v>
      </c>
    </row>
    <row r="9980" ht="15.75" customHeight="1">
      <c r="B9980" s="63">
        <f t="shared" si="1"/>
        <v>17</v>
      </c>
      <c r="C9980" s="135" t="s">
        <v>402</v>
      </c>
      <c r="D9980" s="161" t="s">
        <v>74</v>
      </c>
      <c r="E9980" s="135">
        <f t="shared" si="62"/>
        <v>3</v>
      </c>
      <c r="F9980" s="134" t="s">
        <v>4662</v>
      </c>
      <c r="G9980" s="63" t="str">
        <f>VLOOKUP(C9980, 'Class Def. - General Data'!$C$20:$C$1000,1,false)</f>
        <v>ZSI1_HOLLOW_STRCT</v>
      </c>
      <c r="H9980" s="63" t="str">
        <f>IFERROR(__xludf.DUMMYFUNCTION("VLOOKUP(F9980, IMPORTRANGE(""https://docs.google.com/spreadsheets/d/1Lhp9OU0JdFf_VYSMzH5lBcEaU4o8teT1piV-SNzShjg/edit?gid=554141278#gid=554141278"", ""'Char Def. - Attributes'!C20:C2242""), 1,false)"),"WIDTH_MM_HOLLOW_STRCT")</f>
        <v>WIDTH_MM_HOLLOW_STRCT</v>
      </c>
      <c r="I9980" s="136"/>
      <c r="R9980" s="63" t="str">
        <f t="shared" si="60"/>
        <v>ZSI1_HOLLOW_STRCTWIDTH_MM_HOLLOW_STRCT</v>
      </c>
    </row>
    <row r="9981" ht="15.75" customHeight="1">
      <c r="B9981" s="63">
        <f t="shared" si="1"/>
        <v>17</v>
      </c>
      <c r="C9981" s="135" t="s">
        <v>402</v>
      </c>
      <c r="D9981" s="161" t="s">
        <v>74</v>
      </c>
      <c r="E9981" s="135">
        <f t="shared" si="62"/>
        <v>4</v>
      </c>
      <c r="F9981" s="134" t="s">
        <v>4663</v>
      </c>
      <c r="G9981" s="63" t="str">
        <f>VLOOKUP(C9981, 'Class Def. - General Data'!$C$20:$C$1000,1,false)</f>
        <v>ZSI1_HOLLOW_STRCT</v>
      </c>
      <c r="H9981" s="63" t="str">
        <f>IFERROR(__xludf.DUMMYFUNCTION("VLOOKUP(F9981, IMPORTRANGE(""https://docs.google.com/spreadsheets/d/1Lhp9OU0JdFf_VYSMzH5lBcEaU4o8teT1piV-SNzShjg/edit?gid=554141278#gid=554141278"", ""'Char Def. - Attributes'!C20:C2242""), 1,false)"),"LENGTH_MM_HOLLOW_STRCT")</f>
        <v>LENGTH_MM_HOLLOW_STRCT</v>
      </c>
      <c r="I9981" s="136"/>
      <c r="R9981" s="63" t="str">
        <f t="shared" si="60"/>
        <v>ZSI1_HOLLOW_STRCTLENGTH_MM_HOLLOW_STRCT</v>
      </c>
    </row>
    <row r="9982" ht="15.75" customHeight="1">
      <c r="B9982" s="63">
        <f t="shared" si="1"/>
        <v>17</v>
      </c>
      <c r="C9982" s="135" t="s">
        <v>402</v>
      </c>
      <c r="D9982" s="161" t="s">
        <v>74</v>
      </c>
      <c r="E9982" s="135">
        <f t="shared" si="62"/>
        <v>5</v>
      </c>
      <c r="F9982" s="134" t="s">
        <v>4664</v>
      </c>
      <c r="G9982" s="63" t="str">
        <f>VLOOKUP(C9982, 'Class Def. - General Data'!$C$20:$C$1000,1,false)</f>
        <v>ZSI1_HOLLOW_STRCT</v>
      </c>
      <c r="H9982" s="63" t="str">
        <f>IFERROR(__xludf.DUMMYFUNCTION("VLOOKUP(F9982, IMPORTRANGE(""https://docs.google.com/spreadsheets/d/1Lhp9OU0JdFf_VYSMzH5lBcEaU4o8teT1piV-SNzShjg/edit?gid=554141278#gid=554141278"", ""'Char Def. - Attributes'!C20:C2242""), 1,false)"),"HEIGHT_MM_HOLLOW_STRCT")</f>
        <v>HEIGHT_MM_HOLLOW_STRCT</v>
      </c>
      <c r="I9982" s="136"/>
      <c r="R9982" s="63" t="str">
        <f t="shared" si="60"/>
        <v>ZSI1_HOLLOW_STRCTHEIGHT_MM_HOLLOW_STRCT</v>
      </c>
    </row>
    <row r="9983" ht="15.75" customHeight="1">
      <c r="B9983" s="63">
        <f t="shared" si="1"/>
        <v>17</v>
      </c>
      <c r="C9983" s="135" t="s">
        <v>402</v>
      </c>
      <c r="D9983" s="161" t="s">
        <v>74</v>
      </c>
      <c r="E9983" s="135">
        <f t="shared" si="62"/>
        <v>6</v>
      </c>
      <c r="F9983" s="134" t="s">
        <v>4665</v>
      </c>
      <c r="G9983" s="63" t="str">
        <f>VLOOKUP(C9983, 'Class Def. - General Data'!$C$20:$C$1000,1,false)</f>
        <v>ZSI1_HOLLOW_STRCT</v>
      </c>
      <c r="H9983" s="63" t="str">
        <f>IFERROR(__xludf.DUMMYFUNCTION("VLOOKUP(F9983, IMPORTRANGE(""https://docs.google.com/spreadsheets/d/1Lhp9OU0JdFf_VYSMzH5lBcEaU4o8teT1piV-SNzShjg/edit?gid=554141278#gid=554141278"", ""'Char Def. - Attributes'!C20:C2242""), 1,false)"),"PLATE_THICKNES_MM_HOLLOW_STRCT")</f>
        <v>PLATE_THICKNES_MM_HOLLOW_STRCT</v>
      </c>
      <c r="I9983" s="136"/>
      <c r="R9983" s="63" t="str">
        <f t="shared" si="60"/>
        <v>ZSI1_HOLLOW_STRCTPLATE_THICKNES_MM_HOLLOW_STRCT</v>
      </c>
    </row>
    <row r="9984" ht="15.75" customHeight="1">
      <c r="B9984" s="63">
        <f t="shared" si="1"/>
        <v>17</v>
      </c>
      <c r="C9984" s="135" t="s">
        <v>402</v>
      </c>
      <c r="D9984" s="161" t="s">
        <v>74</v>
      </c>
      <c r="E9984" s="135">
        <f t="shared" si="62"/>
        <v>7</v>
      </c>
      <c r="F9984" s="134" t="s">
        <v>4053</v>
      </c>
      <c r="G9984" s="63" t="str">
        <f>VLOOKUP(C9984, 'Class Def. - General Data'!$C$20:$C$1000,1,false)</f>
        <v>ZSI1_HOLLOW_STRCT</v>
      </c>
      <c r="H9984" s="63" t="str">
        <f>IFERROR(__xludf.DUMMYFUNCTION("VLOOKUP(F9984, IMPORTRANGE(""https://docs.google.com/spreadsheets/d/1Lhp9OU0JdFf_VYSMzH5lBcEaU4o8teT1piV-SNzShjg/edit?gid=554141278#gid=554141278"", ""'Char Def. - Attributes'!C20:C2242""), 1,false)"),"MAINTENANCE_ORDER_TYPE")</f>
        <v>MAINTENANCE_ORDER_TYPE</v>
      </c>
      <c r="I9984" s="136"/>
      <c r="R9984" s="63" t="str">
        <f t="shared" si="60"/>
        <v>ZSI1_HOLLOW_STRCTMAINTENANCE_ORDER_TYPE</v>
      </c>
    </row>
    <row r="9985" ht="15.75" customHeight="1">
      <c r="B9985" s="63">
        <f t="shared" si="1"/>
        <v>17</v>
      </c>
      <c r="C9985" s="135" t="s">
        <v>402</v>
      </c>
      <c r="D9985" s="161" t="s">
        <v>74</v>
      </c>
      <c r="E9985" s="135">
        <f t="shared" si="62"/>
        <v>8</v>
      </c>
      <c r="F9985" s="134" t="s">
        <v>3585</v>
      </c>
      <c r="G9985" s="63" t="str">
        <f>VLOOKUP(C9985, 'Class Def. - General Data'!$C$20:$C$1000,1,false)</f>
        <v>ZSI1_HOLLOW_STRCT</v>
      </c>
      <c r="H9985" s="63" t="str">
        <f>IFERROR(__xludf.DUMMYFUNCTION("VLOOKUP(F9985, IMPORTRANGE(""https://docs.google.com/spreadsheets/d/1Lhp9OU0JdFf_VYSMzH5lBcEaU4o8teT1piV-SNzShjg/edit?gid=554141278#gid=554141278"", ""'Char Def. - Attributes'!C20:C2242""), 1,false)"),"HS_CODE")</f>
        <v>HS_CODE</v>
      </c>
      <c r="I9985" s="136"/>
      <c r="R9985" s="63" t="str">
        <f t="shared" si="60"/>
        <v>ZSI1_HOLLOW_STRCTHS_CODE</v>
      </c>
    </row>
    <row r="9986" ht="15.75" customHeight="1">
      <c r="B9986" s="63">
        <f t="shared" si="1"/>
        <v>17</v>
      </c>
      <c r="C9986" s="135" t="s">
        <v>402</v>
      </c>
      <c r="D9986" s="161" t="s">
        <v>74</v>
      </c>
      <c r="E9986" s="135">
        <f t="shared" si="62"/>
        <v>9</v>
      </c>
      <c r="F9986" s="134" t="s">
        <v>3587</v>
      </c>
      <c r="G9986" s="63" t="str">
        <f>VLOOKUP(C9986, 'Class Def. - General Data'!$C$20:$C$1000,1,false)</f>
        <v>ZSI1_HOLLOW_STRCT</v>
      </c>
      <c r="H9986" s="63" t="str">
        <f>IFERROR(__xludf.DUMMYFUNCTION("VLOOKUP(F9986, IMPORTRANGE(""https://docs.google.com/spreadsheets/d/1Lhp9OU0JdFf_VYSMzH5lBcEaU4o8teT1piV-SNzShjg/edit?gid=554141278#gid=554141278"", ""'Char Def. - Attributes'!C20:C2242""), 1,false)"),"PLANT_BUY")</f>
        <v>PLANT_BUY</v>
      </c>
      <c r="I9986" s="136"/>
      <c r="R9986" s="63" t="str">
        <f t="shared" si="60"/>
        <v>ZSI1_HOLLOW_STRCTPLANT_BUY</v>
      </c>
    </row>
    <row r="9987" ht="15.75" customHeight="1">
      <c r="B9987" s="63">
        <f t="shared" si="1"/>
        <v>17</v>
      </c>
      <c r="C9987" s="135" t="s">
        <v>402</v>
      </c>
      <c r="D9987" s="161" t="s">
        <v>74</v>
      </c>
      <c r="E9987" s="135">
        <f t="shared" si="62"/>
        <v>10</v>
      </c>
      <c r="F9987" s="134" t="s">
        <v>4666</v>
      </c>
      <c r="G9987" s="63" t="str">
        <f>VLOOKUP(C9987, 'Class Def. - General Data'!$C$20:$C$1000,1,false)</f>
        <v>ZSI1_HOLLOW_STRCT</v>
      </c>
      <c r="H9987" s="63" t="str">
        <f>IFERROR(__xludf.DUMMYFUNCTION("VLOOKUP(F9987, IMPORTRANGE(""https://docs.google.com/spreadsheets/d/1Lhp9OU0JdFf_VYSMzH5lBcEaU4o8teT1piV-SNzShjg/edit?gid=554141278#gid=554141278"", ""'Char Def. - Attributes'!C20:C2242""), 1,false)"),"BASE_UOM_HOLLOW_STRCT")</f>
        <v>BASE_UOM_HOLLOW_STRCT</v>
      </c>
      <c r="I9987" s="136"/>
      <c r="R9987" s="63" t="str">
        <f t="shared" si="60"/>
        <v>ZSI1_HOLLOW_STRCTBASE_UOM_HOLLOW_STRCT</v>
      </c>
    </row>
    <row r="9988" ht="15.75" customHeight="1">
      <c r="B9988" s="63">
        <f t="shared" si="1"/>
        <v>17</v>
      </c>
      <c r="C9988" s="135" t="s">
        <v>402</v>
      </c>
      <c r="D9988" s="161" t="s">
        <v>74</v>
      </c>
      <c r="E9988" s="135">
        <f t="shared" si="62"/>
        <v>11</v>
      </c>
      <c r="F9988" s="134" t="s">
        <v>4667</v>
      </c>
      <c r="G9988" s="63" t="str">
        <f>VLOOKUP(C9988, 'Class Def. - General Data'!$C$20:$C$1000,1,false)</f>
        <v>ZSI1_HOLLOW_STRCT</v>
      </c>
      <c r="H9988" s="63" t="str">
        <f>IFERROR(__xludf.DUMMYFUNCTION("VLOOKUP(F9988, IMPORTRANGE(""https://docs.google.com/spreadsheets/d/1Lhp9OU0JdFf_VYSMzH5lBcEaU4o8teT1piV-SNzShjg/edit?gid=554141278#gid=554141278"", ""'Char Def. - Attributes'!C20:C2242""), 1,false)"),"ORDER_UNIT_HOLLOW_STRCT")</f>
        <v>ORDER_UNIT_HOLLOW_STRCT</v>
      </c>
      <c r="I9988" s="136"/>
      <c r="R9988" s="63" t="str">
        <f t="shared" si="60"/>
        <v>ZSI1_HOLLOW_STRCTORDER_UNIT_HOLLOW_STRCT</v>
      </c>
    </row>
    <row r="9989" ht="15.75" customHeight="1">
      <c r="B9989" s="63">
        <f t="shared" si="1"/>
        <v>17</v>
      </c>
      <c r="C9989" s="135" t="s">
        <v>402</v>
      </c>
      <c r="D9989" s="161" t="s">
        <v>74</v>
      </c>
      <c r="E9989" s="135">
        <f t="shared" si="62"/>
        <v>12</v>
      </c>
      <c r="F9989" s="134" t="s">
        <v>4056</v>
      </c>
      <c r="G9989" s="63" t="str">
        <f>VLOOKUP(C9989, 'Class Def. - General Data'!$C$20:$C$1000,1,false)</f>
        <v>ZSI1_HOLLOW_STRCT</v>
      </c>
      <c r="H9989" s="63" t="str">
        <f>IFERROR(__xludf.DUMMYFUNCTION("VLOOKUP(F9989, IMPORTRANGE(""https://docs.google.com/spreadsheets/d/1Lhp9OU0JdFf_VYSMzH5lBcEaU4o8teT1piV-SNzShjg/edit?gid=554141278#gid=554141278"", ""'Char Def. - Attributes'!C20:C2242""), 1,false)"),"GROSS_WEIGHT_OPT")</f>
        <v>GROSS_WEIGHT_OPT</v>
      </c>
      <c r="I9989" s="136"/>
      <c r="R9989" s="63" t="str">
        <f t="shared" si="60"/>
        <v>ZSI1_HOLLOW_STRCTGROSS_WEIGHT_OPT</v>
      </c>
    </row>
    <row r="9990" ht="15.75" customHeight="1">
      <c r="B9990" s="63">
        <f t="shared" si="1"/>
        <v>17</v>
      </c>
      <c r="C9990" s="135" t="s">
        <v>402</v>
      </c>
      <c r="D9990" s="161" t="s">
        <v>74</v>
      </c>
      <c r="E9990" s="135">
        <f t="shared" si="62"/>
        <v>13</v>
      </c>
      <c r="F9990" s="134" t="s">
        <v>4057</v>
      </c>
      <c r="G9990" s="63" t="str">
        <f>VLOOKUP(C9990, 'Class Def. - General Data'!$C$20:$C$1000,1,false)</f>
        <v>ZSI1_HOLLOW_STRCT</v>
      </c>
      <c r="H9990" s="63" t="str">
        <f>IFERROR(__xludf.DUMMYFUNCTION("VLOOKUP(F9990, IMPORTRANGE(""https://docs.google.com/spreadsheets/d/1Lhp9OU0JdFf_VYSMzH5lBcEaU4o8teT1piV-SNzShjg/edit?gid=554141278#gid=554141278"", ""'Char Def. - Attributes'!C20:C2242""), 1,false)"),"NET_WEIGHT_OPT")</f>
        <v>NET_WEIGHT_OPT</v>
      </c>
      <c r="I9990" s="136"/>
      <c r="R9990" s="63" t="str">
        <f t="shared" si="60"/>
        <v>ZSI1_HOLLOW_STRCTNET_WEIGHT_OPT</v>
      </c>
    </row>
    <row r="9991" ht="15.75" customHeight="1">
      <c r="B9991" s="63">
        <f t="shared" si="1"/>
        <v>17</v>
      </c>
      <c r="C9991" s="135" t="s">
        <v>402</v>
      </c>
      <c r="D9991" s="161" t="s">
        <v>74</v>
      </c>
      <c r="E9991" s="135">
        <f t="shared" si="62"/>
        <v>14</v>
      </c>
      <c r="F9991" s="134" t="s">
        <v>4058</v>
      </c>
      <c r="G9991" s="63" t="str">
        <f>VLOOKUP(C9991, 'Class Def. - General Data'!$C$20:$C$1000,1,false)</f>
        <v>ZSI1_HOLLOW_STRCT</v>
      </c>
      <c r="H9991" s="63" t="str">
        <f>IFERROR(__xludf.DUMMYFUNCTION("VLOOKUP(F9991, IMPORTRANGE(""https://docs.google.com/spreadsheets/d/1Lhp9OU0JdFf_VYSMzH5lBcEaU4o8teT1piV-SNzShjg/edit?gid=554141278#gid=554141278"", ""'Char Def. - Attributes'!C20:C2242""), 1,false)"),"WEIGHT_UNIT_SI")</f>
        <v>WEIGHT_UNIT_SI</v>
      </c>
      <c r="I9991" s="136"/>
      <c r="R9991" s="63" t="str">
        <f t="shared" si="60"/>
        <v>ZSI1_HOLLOW_STRCTWEIGHT_UNIT_SI</v>
      </c>
    </row>
    <row r="9992" ht="15.75" customHeight="1">
      <c r="B9992" s="63">
        <f t="shared" si="1"/>
        <v>17</v>
      </c>
      <c r="C9992" s="135" t="s">
        <v>402</v>
      </c>
      <c r="D9992" s="161" t="s">
        <v>74</v>
      </c>
      <c r="E9992" s="135">
        <f t="shared" si="62"/>
        <v>15</v>
      </c>
      <c r="F9992" s="134" t="s">
        <v>3877</v>
      </c>
      <c r="G9992" s="63" t="str">
        <f>VLOOKUP(C9992, 'Class Def. - General Data'!$C$20:$C$1000,1,false)</f>
        <v>ZSI1_HOLLOW_STRCT</v>
      </c>
      <c r="H9992" s="63" t="str">
        <f>IFERROR(__xludf.DUMMYFUNCTION("VLOOKUP(F9992, IMPORTRANGE(""https://docs.google.com/spreadsheets/d/1Lhp9OU0JdFf_VYSMzH5lBcEaU4o8teT1piV-SNzShjg/edit?gid=554141278#gid=554141278"", ""'Char Def. - Attributes'!C20:C2242""), 1,false)"),"VOLUME_OPT")</f>
        <v>VOLUME_OPT</v>
      </c>
      <c r="I9992" s="136"/>
      <c r="R9992" s="63" t="str">
        <f t="shared" si="60"/>
        <v>ZSI1_HOLLOW_STRCTVOLUME_OPT</v>
      </c>
    </row>
    <row r="9993" ht="15.75" customHeight="1">
      <c r="B9993" s="63">
        <f t="shared" si="1"/>
        <v>17</v>
      </c>
      <c r="C9993" s="135" t="s">
        <v>402</v>
      </c>
      <c r="D9993" s="161" t="s">
        <v>74</v>
      </c>
      <c r="E9993" s="135">
        <f t="shared" si="62"/>
        <v>16</v>
      </c>
      <c r="F9993" s="134" t="s">
        <v>4059</v>
      </c>
      <c r="G9993" s="63" t="str">
        <f>VLOOKUP(C9993, 'Class Def. - General Data'!$C$20:$C$1000,1,false)</f>
        <v>ZSI1_HOLLOW_STRCT</v>
      </c>
      <c r="H9993" s="63" t="str">
        <f>IFERROR(__xludf.DUMMYFUNCTION("VLOOKUP(F9993, IMPORTRANGE(""https://docs.google.com/spreadsheets/d/1Lhp9OU0JdFf_VYSMzH5lBcEaU4o8teT1piV-SNzShjg/edit?gid=554141278#gid=554141278"", ""'Char Def. - Attributes'!C20:C2242""), 1,false)"),"VOLUME_UNIT_SI")</f>
        <v>VOLUME_UNIT_SI</v>
      </c>
      <c r="I9993" s="136"/>
      <c r="R9993" s="63" t="str">
        <f t="shared" si="60"/>
        <v>ZSI1_HOLLOW_STRCTVOLUME_UNIT_SI</v>
      </c>
    </row>
    <row r="9994" ht="15.75" customHeight="1">
      <c r="B9994" s="63">
        <f t="shared" si="1"/>
        <v>17</v>
      </c>
      <c r="C9994" s="135" t="s">
        <v>402</v>
      </c>
      <c r="D9994" s="161" t="s">
        <v>74</v>
      </c>
      <c r="E9994" s="135">
        <f t="shared" si="62"/>
        <v>17</v>
      </c>
      <c r="F9994" s="134" t="s">
        <v>3804</v>
      </c>
      <c r="G9994" s="63" t="str">
        <f>VLOOKUP(C9994, 'Class Def. - General Data'!$C$20:$C$1000,1,false)</f>
        <v>ZSI1_HOLLOW_STRCT</v>
      </c>
      <c r="H9994" s="63" t="str">
        <f>IFERROR(__xludf.DUMMYFUNCTION("VLOOKUP(F9994, IMPORTRANGE(""https://docs.google.com/spreadsheets/d/1Lhp9OU0JdFf_VYSMzH5lBcEaU4o8teT1piV-SNzShjg/edit?gid=554141278#gid=554141278"", ""'Char Def. - Attributes'!C20:C2242""), 1,false)"),"ALT_UOM1_SIPI")</f>
        <v>ALT_UOM1_SIPI</v>
      </c>
      <c r="I9994" s="136"/>
      <c r="R9994" s="63" t="str">
        <f t="shared" si="60"/>
        <v>ZSI1_HOLLOW_STRCTALT_UOM1_SIPI</v>
      </c>
    </row>
    <row r="9995" ht="15.75" customHeight="1">
      <c r="B9995" s="63">
        <f t="shared" si="1"/>
        <v>17</v>
      </c>
      <c r="C9995" s="135" t="s">
        <v>402</v>
      </c>
      <c r="D9995" s="161" t="s">
        <v>74</v>
      </c>
      <c r="E9995" s="135">
        <f t="shared" si="62"/>
        <v>18</v>
      </c>
      <c r="F9995" s="134" t="s">
        <v>3805</v>
      </c>
      <c r="G9995" s="63" t="str">
        <f>VLOOKUP(C9995, 'Class Def. - General Data'!$C$20:$C$1000,1,false)</f>
        <v>ZSI1_HOLLOW_STRCT</v>
      </c>
      <c r="H9995" s="63" t="str">
        <f>IFERROR(__xludf.DUMMYFUNCTION("VLOOKUP(F9995, IMPORTRANGE(""https://docs.google.com/spreadsheets/d/1Lhp9OU0JdFf_VYSMzH5lBcEaU4o8teT1piV-SNzShjg/edit?gid=554141278#gid=554141278"", ""'Char Def. - Attributes'!C20:C2242""), 1,false)"),"ALT_DENUM_UOM1")</f>
        <v>ALT_DENUM_UOM1</v>
      </c>
      <c r="I9995" s="136"/>
      <c r="R9995" s="63" t="str">
        <f t="shared" si="60"/>
        <v>ZSI1_HOLLOW_STRCTALT_DENUM_UOM1</v>
      </c>
    </row>
    <row r="9996" ht="15.75" customHeight="1">
      <c r="B9996" s="63">
        <f t="shared" si="1"/>
        <v>17</v>
      </c>
      <c r="C9996" s="135" t="s">
        <v>402</v>
      </c>
      <c r="D9996" s="161" t="s">
        <v>74</v>
      </c>
      <c r="E9996" s="135">
        <f t="shared" si="62"/>
        <v>19</v>
      </c>
      <c r="F9996" s="134" t="s">
        <v>3806</v>
      </c>
      <c r="G9996" s="63" t="str">
        <f>VLOOKUP(C9996, 'Class Def. - General Data'!$C$20:$C$1000,1,false)</f>
        <v>ZSI1_HOLLOW_STRCT</v>
      </c>
      <c r="H9996" s="63" t="str">
        <f>IFERROR(__xludf.DUMMYFUNCTION("VLOOKUP(F9996, IMPORTRANGE(""https://docs.google.com/spreadsheets/d/1Lhp9OU0JdFf_VYSMzH5lBcEaU4o8teT1piV-SNzShjg/edit?gid=554141278#gid=554141278"", ""'Char Def. - Attributes'!C20:C2242""), 1,false)"),"ALT_NUM_UOM1")</f>
        <v>ALT_NUM_UOM1</v>
      </c>
      <c r="I9996" s="136"/>
      <c r="R9996" s="63" t="str">
        <f t="shared" si="60"/>
        <v>ZSI1_HOLLOW_STRCTALT_NUM_UOM1</v>
      </c>
    </row>
    <row r="9997" ht="15.75" customHeight="1">
      <c r="B9997" s="63">
        <f t="shared" si="1"/>
        <v>17</v>
      </c>
      <c r="C9997" s="135" t="s">
        <v>402</v>
      </c>
      <c r="D9997" s="161" t="s">
        <v>74</v>
      </c>
      <c r="E9997" s="135">
        <f t="shared" si="62"/>
        <v>20</v>
      </c>
      <c r="F9997" s="134" t="s">
        <v>3807</v>
      </c>
      <c r="G9997" s="63" t="str">
        <f>VLOOKUP(C9997, 'Class Def. - General Data'!$C$20:$C$1000,1,false)</f>
        <v>ZSI1_HOLLOW_STRCT</v>
      </c>
      <c r="H9997" s="63" t="str">
        <f>IFERROR(__xludf.DUMMYFUNCTION("VLOOKUP(F9997, IMPORTRANGE(""https://docs.google.com/spreadsheets/d/1Lhp9OU0JdFf_VYSMzH5lBcEaU4o8teT1piV-SNzShjg/edit?gid=554141278#gid=554141278"", ""'Char Def. - Attributes'!C20:C2242""), 1,false)"),"ALT_UOM2_SIPI")</f>
        <v>ALT_UOM2_SIPI</v>
      </c>
      <c r="I9997" s="136"/>
      <c r="R9997" s="63" t="str">
        <f t="shared" si="60"/>
        <v>ZSI1_HOLLOW_STRCTALT_UOM2_SIPI</v>
      </c>
    </row>
    <row r="9998" ht="15.75" customHeight="1">
      <c r="B9998" s="63">
        <f t="shared" si="1"/>
        <v>17</v>
      </c>
      <c r="C9998" s="135" t="s">
        <v>402</v>
      </c>
      <c r="D9998" s="161" t="s">
        <v>74</v>
      </c>
      <c r="E9998" s="135">
        <f t="shared" si="62"/>
        <v>21</v>
      </c>
      <c r="F9998" s="134" t="s">
        <v>3808</v>
      </c>
      <c r="G9998" s="63" t="str">
        <f>VLOOKUP(C9998, 'Class Def. - General Data'!$C$20:$C$1000,1,false)</f>
        <v>ZSI1_HOLLOW_STRCT</v>
      </c>
      <c r="H9998" s="63" t="str">
        <f>IFERROR(__xludf.DUMMYFUNCTION("VLOOKUP(F9998, IMPORTRANGE(""https://docs.google.com/spreadsheets/d/1Lhp9OU0JdFf_VYSMzH5lBcEaU4o8teT1piV-SNzShjg/edit?gid=554141278#gid=554141278"", ""'Char Def. - Attributes'!C20:C2242""), 1,false)"),"ALT_DENUM_UOM2")</f>
        <v>ALT_DENUM_UOM2</v>
      </c>
      <c r="I9998" s="136"/>
      <c r="R9998" s="63" t="str">
        <f t="shared" si="60"/>
        <v>ZSI1_HOLLOW_STRCTALT_DENUM_UOM2</v>
      </c>
    </row>
    <row r="9999" ht="15.75" customHeight="1">
      <c r="B9999" s="63">
        <f t="shared" si="1"/>
        <v>17</v>
      </c>
      <c r="C9999" s="135" t="s">
        <v>402</v>
      </c>
      <c r="D9999" s="161" t="s">
        <v>74</v>
      </c>
      <c r="E9999" s="135">
        <f t="shared" si="62"/>
        <v>22</v>
      </c>
      <c r="F9999" s="134" t="s">
        <v>3809</v>
      </c>
      <c r="G9999" s="63" t="str">
        <f>VLOOKUP(C9999, 'Class Def. - General Data'!$C$20:$C$1000,1,false)</f>
        <v>ZSI1_HOLLOW_STRCT</v>
      </c>
      <c r="H9999" s="63" t="str">
        <f>IFERROR(__xludf.DUMMYFUNCTION("VLOOKUP(F9999, IMPORTRANGE(""https://docs.google.com/spreadsheets/d/1Lhp9OU0JdFf_VYSMzH5lBcEaU4o8teT1piV-SNzShjg/edit?gid=554141278#gid=554141278"", ""'Char Def. - Attributes'!C20:C2242""), 1,false)"),"ALT_NUM_UOM2")</f>
        <v>ALT_NUM_UOM2</v>
      </c>
      <c r="I9999" s="136"/>
      <c r="R9999" s="63" t="str">
        <f t="shared" si="60"/>
        <v>ZSI1_HOLLOW_STRCTALT_NUM_UOM2</v>
      </c>
    </row>
    <row r="10000" ht="15.75" customHeight="1">
      <c r="B10000" s="63">
        <f t="shared" si="1"/>
        <v>17</v>
      </c>
      <c r="C10000" s="135" t="s">
        <v>402</v>
      </c>
      <c r="D10000" s="161" t="s">
        <v>74</v>
      </c>
      <c r="E10000" s="135">
        <f t="shared" si="62"/>
        <v>23</v>
      </c>
      <c r="F10000" s="134" t="s">
        <v>3810</v>
      </c>
      <c r="G10000" s="63" t="str">
        <f>VLOOKUP(C10000, 'Class Def. - General Data'!$C$20:$C$1000,1,false)</f>
        <v>ZSI1_HOLLOW_STRCT</v>
      </c>
      <c r="H10000" s="63" t="str">
        <f>IFERROR(__xludf.DUMMYFUNCTION("VLOOKUP(F10000, IMPORTRANGE(""https://docs.google.com/spreadsheets/d/1Lhp9OU0JdFf_VYSMzH5lBcEaU4o8teT1piV-SNzShjg/edit?gid=554141278#gid=554141278"", ""'Char Def. - Attributes'!C20:C2242""), 1,false)"),"ALT_UOM3_SIPI")</f>
        <v>ALT_UOM3_SIPI</v>
      </c>
      <c r="I10000" s="136"/>
      <c r="R10000" s="63" t="str">
        <f t="shared" si="60"/>
        <v>ZSI1_HOLLOW_STRCTALT_UOM3_SIPI</v>
      </c>
    </row>
    <row r="10001" ht="15.75" customHeight="1">
      <c r="B10001" s="63">
        <f t="shared" si="1"/>
        <v>17</v>
      </c>
      <c r="C10001" s="135" t="s">
        <v>402</v>
      </c>
      <c r="D10001" s="161" t="s">
        <v>74</v>
      </c>
      <c r="E10001" s="135">
        <f t="shared" si="62"/>
        <v>24</v>
      </c>
      <c r="F10001" s="134" t="s">
        <v>3811</v>
      </c>
      <c r="G10001" s="63" t="str">
        <f>VLOOKUP(C10001, 'Class Def. - General Data'!$C$20:$C$1000,1,false)</f>
        <v>ZSI1_HOLLOW_STRCT</v>
      </c>
      <c r="H10001" s="63" t="str">
        <f>IFERROR(__xludf.DUMMYFUNCTION("VLOOKUP(F10001, IMPORTRANGE(""https://docs.google.com/spreadsheets/d/1Lhp9OU0JdFf_VYSMzH5lBcEaU4o8teT1piV-SNzShjg/edit?gid=554141278#gid=554141278"", ""'Char Def. - Attributes'!C20:C2242""), 1,false)"),"ALT_DENUM_UOM3")</f>
        <v>ALT_DENUM_UOM3</v>
      </c>
      <c r="I10001" s="136"/>
      <c r="R10001" s="63" t="str">
        <f t="shared" si="60"/>
        <v>ZSI1_HOLLOW_STRCTALT_DENUM_UOM3</v>
      </c>
    </row>
    <row r="10002" ht="15.75" customHeight="1">
      <c r="B10002" s="63">
        <f t="shared" si="1"/>
        <v>17</v>
      </c>
      <c r="C10002" s="135" t="s">
        <v>402</v>
      </c>
      <c r="D10002" s="161" t="s">
        <v>74</v>
      </c>
      <c r="E10002" s="135">
        <f t="shared" si="62"/>
        <v>25</v>
      </c>
      <c r="F10002" s="134" t="s">
        <v>3812</v>
      </c>
      <c r="G10002" s="63" t="str">
        <f>VLOOKUP(C10002, 'Class Def. - General Data'!$C$20:$C$1000,1,false)</f>
        <v>ZSI1_HOLLOW_STRCT</v>
      </c>
      <c r="H10002" s="63" t="str">
        <f>IFERROR(__xludf.DUMMYFUNCTION("VLOOKUP(F10002, IMPORTRANGE(""https://docs.google.com/spreadsheets/d/1Lhp9OU0JdFf_VYSMzH5lBcEaU4o8teT1piV-SNzShjg/edit?gid=554141278#gid=554141278"", ""'Char Def. - Attributes'!C20:C2242""), 1,false)"),"ALT_NUM_UOM3")</f>
        <v>ALT_NUM_UOM3</v>
      </c>
      <c r="I10002" s="136"/>
      <c r="R10002" s="63" t="str">
        <f t="shared" si="60"/>
        <v>ZSI1_HOLLOW_STRCTALT_NUM_UOM3</v>
      </c>
    </row>
    <row r="10003" ht="15.75" customHeight="1">
      <c r="B10003" s="63">
        <f t="shared" si="1"/>
        <v>17</v>
      </c>
      <c r="C10003" s="135" t="s">
        <v>402</v>
      </c>
      <c r="D10003" s="161" t="s">
        <v>74</v>
      </c>
      <c r="E10003" s="135">
        <f t="shared" si="62"/>
        <v>26</v>
      </c>
      <c r="F10003" s="134" t="s">
        <v>3813</v>
      </c>
      <c r="G10003" s="63" t="str">
        <f>VLOOKUP(C10003, 'Class Def. - General Data'!$C$20:$C$1000,1,false)</f>
        <v>ZSI1_HOLLOW_STRCT</v>
      </c>
      <c r="H10003" s="63" t="str">
        <f>IFERROR(__xludf.DUMMYFUNCTION("VLOOKUP(F10003, IMPORTRANGE(""https://docs.google.com/spreadsheets/d/1Lhp9OU0JdFf_VYSMzH5lBcEaU4o8teT1piV-SNzShjg/edit?gid=554141278#gid=554141278"", ""'Char Def. - Attributes'!C20:C2242""), 1,false)"),"ALT_UOM4_SIPI")</f>
        <v>ALT_UOM4_SIPI</v>
      </c>
      <c r="I10003" s="136"/>
      <c r="R10003" s="63" t="str">
        <f t="shared" si="60"/>
        <v>ZSI1_HOLLOW_STRCTALT_UOM4_SIPI</v>
      </c>
    </row>
    <row r="10004" ht="15.75" customHeight="1">
      <c r="B10004" s="63">
        <f t="shared" si="1"/>
        <v>17</v>
      </c>
      <c r="C10004" s="135" t="s">
        <v>402</v>
      </c>
      <c r="D10004" s="161" t="s">
        <v>74</v>
      </c>
      <c r="E10004" s="135">
        <f t="shared" si="62"/>
        <v>27</v>
      </c>
      <c r="F10004" s="134" t="s">
        <v>3814</v>
      </c>
      <c r="G10004" s="63" t="str">
        <f>VLOOKUP(C10004, 'Class Def. - General Data'!$C$20:$C$1000,1,false)</f>
        <v>ZSI1_HOLLOW_STRCT</v>
      </c>
      <c r="H10004" s="63" t="str">
        <f>IFERROR(__xludf.DUMMYFUNCTION("VLOOKUP(F10004, IMPORTRANGE(""https://docs.google.com/spreadsheets/d/1Lhp9OU0JdFf_VYSMzH5lBcEaU4o8teT1piV-SNzShjg/edit?gid=554141278#gid=554141278"", ""'Char Def. - Attributes'!C20:C2242""), 1,false)"),"ALT_DENUM_UOM4")</f>
        <v>ALT_DENUM_UOM4</v>
      </c>
      <c r="I10004" s="136"/>
      <c r="R10004" s="63" t="str">
        <f t="shared" si="60"/>
        <v>ZSI1_HOLLOW_STRCTALT_DENUM_UOM4</v>
      </c>
    </row>
    <row r="10005" ht="15.75" customHeight="1">
      <c r="B10005" s="63">
        <f t="shared" si="1"/>
        <v>17</v>
      </c>
      <c r="C10005" s="135" t="s">
        <v>402</v>
      </c>
      <c r="D10005" s="161" t="s">
        <v>74</v>
      </c>
      <c r="E10005" s="135">
        <f t="shared" si="62"/>
        <v>28</v>
      </c>
      <c r="F10005" s="134" t="s">
        <v>3815</v>
      </c>
      <c r="G10005" s="63" t="str">
        <f>VLOOKUP(C10005, 'Class Def. - General Data'!$C$20:$C$1000,1,false)</f>
        <v>ZSI1_HOLLOW_STRCT</v>
      </c>
      <c r="H10005" s="63" t="str">
        <f>IFERROR(__xludf.DUMMYFUNCTION("VLOOKUP(F10005, IMPORTRANGE(""https://docs.google.com/spreadsheets/d/1Lhp9OU0JdFf_VYSMzH5lBcEaU4o8teT1piV-SNzShjg/edit?gid=554141278#gid=554141278"", ""'Char Def. - Attributes'!C20:C2242""), 1,false)"),"ALT_NUM_UOM4")</f>
        <v>ALT_NUM_UOM4</v>
      </c>
      <c r="I10005" s="136"/>
      <c r="R10005" s="63" t="str">
        <f t="shared" si="60"/>
        <v>ZSI1_HOLLOW_STRCTALT_NUM_UOM4</v>
      </c>
    </row>
    <row r="10006" ht="15.75" customHeight="1">
      <c r="B10006" s="63">
        <f t="shared" si="1"/>
        <v>17</v>
      </c>
      <c r="C10006" s="135" t="s">
        <v>402</v>
      </c>
      <c r="D10006" s="161" t="s">
        <v>74</v>
      </c>
      <c r="E10006" s="135">
        <f t="shared" si="62"/>
        <v>29</v>
      </c>
      <c r="F10006" s="134" t="s">
        <v>3816</v>
      </c>
      <c r="G10006" s="63" t="str">
        <f>VLOOKUP(C10006, 'Class Def. - General Data'!$C$20:$C$1000,1,false)</f>
        <v>ZSI1_HOLLOW_STRCT</v>
      </c>
      <c r="H10006" s="63" t="str">
        <f>IFERROR(__xludf.DUMMYFUNCTION("VLOOKUP(F10006, IMPORTRANGE(""https://docs.google.com/spreadsheets/d/1Lhp9OU0JdFf_VYSMzH5lBcEaU4o8teT1piV-SNzShjg/edit?gid=554141278#gid=554141278"", ""'Char Def. - Attributes'!C20:C2242""), 1,false)"),"ALT_UOM5_SIPI")</f>
        <v>ALT_UOM5_SIPI</v>
      </c>
      <c r="I10006" s="136"/>
      <c r="R10006" s="63" t="str">
        <f t="shared" si="60"/>
        <v>ZSI1_HOLLOW_STRCTALT_UOM5_SIPI</v>
      </c>
    </row>
    <row r="10007" ht="15.75" customHeight="1">
      <c r="B10007" s="63">
        <f t="shared" si="1"/>
        <v>17</v>
      </c>
      <c r="C10007" s="135" t="s">
        <v>402</v>
      </c>
      <c r="D10007" s="161" t="s">
        <v>74</v>
      </c>
      <c r="E10007" s="135">
        <f t="shared" si="62"/>
        <v>30</v>
      </c>
      <c r="F10007" s="134" t="s">
        <v>3817</v>
      </c>
      <c r="G10007" s="63" t="str">
        <f>VLOOKUP(C10007, 'Class Def. - General Data'!$C$20:$C$1000,1,false)</f>
        <v>ZSI1_HOLLOW_STRCT</v>
      </c>
      <c r="H10007" s="63" t="str">
        <f>IFERROR(__xludf.DUMMYFUNCTION("VLOOKUP(F10007, IMPORTRANGE(""https://docs.google.com/spreadsheets/d/1Lhp9OU0JdFf_VYSMzH5lBcEaU4o8teT1piV-SNzShjg/edit?gid=554141278#gid=554141278"", ""'Char Def. - Attributes'!C20:C2242""), 1,false)"),"ALT_DENUM_UOM5")</f>
        <v>ALT_DENUM_UOM5</v>
      </c>
      <c r="I10007" s="136"/>
      <c r="R10007" s="63" t="str">
        <f t="shared" si="60"/>
        <v>ZSI1_HOLLOW_STRCTALT_DENUM_UOM5</v>
      </c>
    </row>
    <row r="10008" ht="15.75" customHeight="1">
      <c r="B10008" s="63">
        <f t="shared" si="1"/>
        <v>17</v>
      </c>
      <c r="C10008" s="135" t="s">
        <v>402</v>
      </c>
      <c r="D10008" s="161" t="s">
        <v>74</v>
      </c>
      <c r="E10008" s="135">
        <f t="shared" si="62"/>
        <v>31</v>
      </c>
      <c r="F10008" s="134" t="s">
        <v>3818</v>
      </c>
      <c r="G10008" s="63" t="str">
        <f>VLOOKUP(C10008, 'Class Def. - General Data'!$C$20:$C$1000,1,false)</f>
        <v>ZSI1_HOLLOW_STRCT</v>
      </c>
      <c r="H10008" s="63" t="str">
        <f>IFERROR(__xludf.DUMMYFUNCTION("VLOOKUP(F10008, IMPORTRANGE(""https://docs.google.com/spreadsheets/d/1Lhp9OU0JdFf_VYSMzH5lBcEaU4o8teT1piV-SNzShjg/edit?gid=554141278#gid=554141278"", ""'Char Def. - Attributes'!C20:C2242""), 1,false)"),"ALT_NUM_UOM5")</f>
        <v>ALT_NUM_UOM5</v>
      </c>
      <c r="I10008" s="136"/>
      <c r="R10008" s="63" t="str">
        <f t="shared" si="60"/>
        <v>ZSI1_HOLLOW_STRCTALT_NUM_UOM5</v>
      </c>
    </row>
    <row r="10009" ht="15.75" customHeight="1">
      <c r="B10009" s="63">
        <f t="shared" si="1"/>
        <v>17</v>
      </c>
      <c r="C10009" s="135" t="s">
        <v>534</v>
      </c>
      <c r="D10009" s="161" t="s">
        <v>74</v>
      </c>
      <c r="E10009" s="135">
        <f t="shared" si="62"/>
        <v>1</v>
      </c>
      <c r="F10009" s="134" t="s">
        <v>4668</v>
      </c>
      <c r="G10009" s="63" t="str">
        <f>VLOOKUP(C10009, 'Class Def. - General Data'!$C$20:$C$1000,1,false)</f>
        <v>ZSI1_HOSE_FITTING</v>
      </c>
      <c r="H10009" s="63" t="str">
        <f>IFERROR(__xludf.DUMMYFUNCTION("VLOOKUP(F10009, IMPORTRANGE(""https://docs.google.com/spreadsheets/d/1Lhp9OU0JdFf_VYSMzH5lBcEaU4o8teT1piV-SNzShjg/edit?gid=554141278#gid=554141278"", ""'Char Def. - Attributes'!C20:C2242""), 1,false)"),"ITEM_NAME_HOSE_FITTING")</f>
        <v>ITEM_NAME_HOSE_FITTING</v>
      </c>
      <c r="I10009" s="136"/>
      <c r="R10009" s="63" t="str">
        <f t="shared" si="60"/>
        <v>ZSI1_HOSE_FITTINGITEM_NAME_HOSE_FITTING</v>
      </c>
    </row>
    <row r="10010" ht="15.75" customHeight="1">
      <c r="B10010" s="63">
        <f t="shared" si="1"/>
        <v>17</v>
      </c>
      <c r="C10010" s="135" t="s">
        <v>534</v>
      </c>
      <c r="D10010" s="161" t="s">
        <v>74</v>
      </c>
      <c r="E10010" s="135">
        <f t="shared" si="62"/>
        <v>2</v>
      </c>
      <c r="F10010" s="134" t="s">
        <v>4669</v>
      </c>
      <c r="G10010" s="63" t="str">
        <f>VLOOKUP(C10010, 'Class Def. - General Data'!$C$20:$C$1000,1,false)</f>
        <v>ZSI1_HOSE_FITTING</v>
      </c>
      <c r="H10010" s="63" t="str">
        <f>IFERROR(__xludf.DUMMYFUNCTION("VLOOKUP(F10010, IMPORTRANGE(""https://docs.google.com/spreadsheets/d/1Lhp9OU0JdFf_VYSMzH5lBcEaU4o8teT1piV-SNzShjg/edit?gid=554141278#gid=554141278"", ""'Char Def. - Attributes'!C20:C2242""), 1,false)"),"DIMENSION_HOSE_FITTING")</f>
        <v>DIMENSION_HOSE_FITTING</v>
      </c>
      <c r="I10010" s="136"/>
      <c r="R10010" s="63" t="str">
        <f t="shared" si="60"/>
        <v>ZSI1_HOSE_FITTINGDIMENSION_HOSE_FITTING</v>
      </c>
    </row>
    <row r="10011" ht="15.75" customHeight="1">
      <c r="B10011" s="63">
        <f t="shared" si="1"/>
        <v>17</v>
      </c>
      <c r="C10011" s="135" t="s">
        <v>534</v>
      </c>
      <c r="D10011" s="161" t="s">
        <v>74</v>
      </c>
      <c r="E10011" s="135">
        <f t="shared" si="62"/>
        <v>3</v>
      </c>
      <c r="F10011" s="134" t="s">
        <v>4670</v>
      </c>
      <c r="G10011" s="63" t="str">
        <f>VLOOKUP(C10011, 'Class Def. - General Data'!$C$20:$C$1000,1,false)</f>
        <v>ZSI1_HOSE_FITTING</v>
      </c>
      <c r="H10011" s="63" t="str">
        <f>IFERROR(__xludf.DUMMYFUNCTION("VLOOKUP(F10011, IMPORTRANGE(""https://docs.google.com/spreadsheets/d/1Lhp9OU0JdFf_VYSMzH5lBcEaU4o8teT1piV-SNzShjg/edit?gid=554141278#gid=554141278"", ""'Char Def. - Attributes'!C20:C2242""), 1,false)"),"INSIDE_DIA_HOSE_FITTING")</f>
        <v>INSIDE_DIA_HOSE_FITTING</v>
      </c>
      <c r="I10011" s="136"/>
      <c r="R10011" s="63" t="str">
        <f t="shared" si="60"/>
        <v>ZSI1_HOSE_FITTINGINSIDE_DIA_HOSE_FITTING</v>
      </c>
    </row>
    <row r="10012" ht="15.75" customHeight="1">
      <c r="B10012" s="63">
        <f t="shared" si="1"/>
        <v>17</v>
      </c>
      <c r="C10012" s="135" t="s">
        <v>534</v>
      </c>
      <c r="D10012" s="161" t="s">
        <v>74</v>
      </c>
      <c r="E10012" s="135">
        <f t="shared" si="62"/>
        <v>4</v>
      </c>
      <c r="F10012" s="134" t="s">
        <v>4671</v>
      </c>
      <c r="G10012" s="63" t="str">
        <f>VLOOKUP(C10012, 'Class Def. - General Data'!$C$20:$C$1000,1,false)</f>
        <v>ZSI1_HOSE_FITTING</v>
      </c>
      <c r="H10012" s="63" t="str">
        <f>IFERROR(__xludf.DUMMYFUNCTION("VLOOKUP(F10012, IMPORTRANGE(""https://docs.google.com/spreadsheets/d/1Lhp9OU0JdFf_VYSMzH5lBcEaU4o8teT1piV-SNzShjg/edit?gid=554141278#gid=554141278"", ""'Char Def. - Attributes'!C20:C2242""), 1,false)"),"THREAD_SIZE_HOSE_FITTING")</f>
        <v>THREAD_SIZE_HOSE_FITTING</v>
      </c>
      <c r="I10012" s="136"/>
      <c r="R10012" s="63" t="str">
        <f t="shared" si="60"/>
        <v>ZSI1_HOSE_FITTINGTHREAD_SIZE_HOSE_FITTING</v>
      </c>
    </row>
    <row r="10013" ht="15.75" customHeight="1">
      <c r="B10013" s="63">
        <f t="shared" si="1"/>
        <v>17</v>
      </c>
      <c r="C10013" s="135" t="s">
        <v>534</v>
      </c>
      <c r="D10013" s="161" t="s">
        <v>74</v>
      </c>
      <c r="E10013" s="135">
        <f t="shared" si="62"/>
        <v>5</v>
      </c>
      <c r="F10013" s="134" t="s">
        <v>4672</v>
      </c>
      <c r="G10013" s="63" t="str">
        <f>VLOOKUP(C10013, 'Class Def. - General Data'!$C$20:$C$1000,1,false)</f>
        <v>ZSI1_HOSE_FITTING</v>
      </c>
      <c r="H10013" s="63" t="str">
        <f>IFERROR(__xludf.DUMMYFUNCTION("VLOOKUP(F10013, IMPORTRANGE(""https://docs.google.com/spreadsheets/d/1Lhp9OU0JdFf_VYSMzH5lBcEaU4o8teT1piV-SNzShjg/edit?gid=554141278#gid=554141278"", ""'Char Def. - Attributes'!C20:C2242""), 1,false)"),"MATERIAL_HOSE_FITTING")</f>
        <v>MATERIAL_HOSE_FITTING</v>
      </c>
      <c r="I10013" s="136"/>
      <c r="R10013" s="63" t="str">
        <f t="shared" si="60"/>
        <v>ZSI1_HOSE_FITTINGMATERIAL_HOSE_FITTING</v>
      </c>
    </row>
    <row r="10014" ht="15.75" customHeight="1">
      <c r="B10014" s="63">
        <f t="shared" si="1"/>
        <v>17</v>
      </c>
      <c r="C10014" s="135" t="s">
        <v>534</v>
      </c>
      <c r="D10014" s="161" t="s">
        <v>74</v>
      </c>
      <c r="E10014" s="135">
        <f t="shared" si="62"/>
        <v>6</v>
      </c>
      <c r="F10014" s="134" t="s">
        <v>3585</v>
      </c>
      <c r="G10014" s="63" t="str">
        <f>VLOOKUP(C10014, 'Class Def. - General Data'!$C$20:$C$1000,1,false)</f>
        <v>ZSI1_HOSE_FITTING</v>
      </c>
      <c r="H10014" s="63" t="str">
        <f>IFERROR(__xludf.DUMMYFUNCTION("VLOOKUP(F10014, IMPORTRANGE(""https://docs.google.com/spreadsheets/d/1Lhp9OU0JdFf_VYSMzH5lBcEaU4o8teT1piV-SNzShjg/edit?gid=554141278#gid=554141278"", ""'Char Def. - Attributes'!C20:C2242""), 1,false)"),"HS_CODE")</f>
        <v>HS_CODE</v>
      </c>
      <c r="I10014" s="136"/>
      <c r="R10014" s="63" t="str">
        <f t="shared" si="60"/>
        <v>ZSI1_HOSE_FITTINGHS_CODE</v>
      </c>
    </row>
    <row r="10015" ht="15.75" customHeight="1">
      <c r="B10015" s="63">
        <f t="shared" si="1"/>
        <v>17</v>
      </c>
      <c r="C10015" s="135" t="s">
        <v>534</v>
      </c>
      <c r="D10015" s="161" t="s">
        <v>74</v>
      </c>
      <c r="E10015" s="135">
        <f t="shared" si="62"/>
        <v>7</v>
      </c>
      <c r="F10015" s="134" t="s">
        <v>3587</v>
      </c>
      <c r="G10015" s="63" t="str">
        <f>VLOOKUP(C10015, 'Class Def. - General Data'!$C$20:$C$1000,1,false)</f>
        <v>ZSI1_HOSE_FITTING</v>
      </c>
      <c r="H10015" s="63" t="str">
        <f>IFERROR(__xludf.DUMMYFUNCTION("VLOOKUP(F10015, IMPORTRANGE(""https://docs.google.com/spreadsheets/d/1Lhp9OU0JdFf_VYSMzH5lBcEaU4o8teT1piV-SNzShjg/edit?gid=554141278#gid=554141278"", ""'Char Def. - Attributes'!C20:C2242""), 1,false)"),"PLANT_BUY")</f>
        <v>PLANT_BUY</v>
      </c>
      <c r="I10015" s="136"/>
      <c r="R10015" s="63" t="str">
        <f t="shared" si="60"/>
        <v>ZSI1_HOSE_FITTINGPLANT_BUY</v>
      </c>
    </row>
    <row r="10016" ht="15.75" customHeight="1">
      <c r="B10016" s="63">
        <f t="shared" si="1"/>
        <v>17</v>
      </c>
      <c r="C10016" s="135" t="s">
        <v>534</v>
      </c>
      <c r="D10016" s="161" t="s">
        <v>74</v>
      </c>
      <c r="E10016" s="135">
        <f t="shared" si="62"/>
        <v>8</v>
      </c>
      <c r="F10016" s="134" t="s">
        <v>4673</v>
      </c>
      <c r="G10016" s="63" t="str">
        <f>VLOOKUP(C10016, 'Class Def. - General Data'!$C$20:$C$1000,1,false)</f>
        <v>ZSI1_HOSE_FITTING</v>
      </c>
      <c r="H10016" s="63" t="str">
        <f>IFERROR(__xludf.DUMMYFUNCTION("VLOOKUP(F10016, IMPORTRANGE(""https://docs.google.com/spreadsheets/d/1Lhp9OU0JdFf_VYSMzH5lBcEaU4o8teT1piV-SNzShjg/edit?gid=554141278#gid=554141278"", ""'Char Def. - Attributes'!C20:C2242""), 1,false)"),"BASE_UOM_HOSE_FITTING")</f>
        <v>BASE_UOM_HOSE_FITTING</v>
      </c>
      <c r="I10016" s="136"/>
      <c r="R10016" s="63" t="str">
        <f t="shared" si="60"/>
        <v>ZSI1_HOSE_FITTINGBASE_UOM_HOSE_FITTING</v>
      </c>
    </row>
    <row r="10017" ht="15.75" customHeight="1">
      <c r="B10017" s="63">
        <f t="shared" si="1"/>
        <v>17</v>
      </c>
      <c r="C10017" s="135" t="s">
        <v>534</v>
      </c>
      <c r="D10017" s="161" t="s">
        <v>74</v>
      </c>
      <c r="E10017" s="135">
        <f t="shared" si="62"/>
        <v>9</v>
      </c>
      <c r="F10017" s="134" t="s">
        <v>4674</v>
      </c>
      <c r="G10017" s="63" t="str">
        <f>VLOOKUP(C10017, 'Class Def. - General Data'!$C$20:$C$1000,1,false)</f>
        <v>ZSI1_HOSE_FITTING</v>
      </c>
      <c r="H10017" s="63" t="str">
        <f>IFERROR(__xludf.DUMMYFUNCTION("VLOOKUP(F10017, IMPORTRANGE(""https://docs.google.com/spreadsheets/d/1Lhp9OU0JdFf_VYSMzH5lBcEaU4o8teT1piV-SNzShjg/edit?gid=554141278#gid=554141278"", ""'Char Def. - Attributes'!C20:C2242""), 1,false)"),"ORDER_UNIT_HOSE_FITTING")</f>
        <v>ORDER_UNIT_HOSE_FITTING</v>
      </c>
      <c r="I10017" s="136"/>
      <c r="R10017" s="63" t="str">
        <f t="shared" si="60"/>
        <v>ZSI1_HOSE_FITTINGORDER_UNIT_HOSE_FITTING</v>
      </c>
    </row>
    <row r="10018" ht="15.75" customHeight="1">
      <c r="B10018" s="63">
        <f t="shared" si="1"/>
        <v>17</v>
      </c>
      <c r="C10018" s="135" t="s">
        <v>534</v>
      </c>
      <c r="D10018" s="161" t="s">
        <v>74</v>
      </c>
      <c r="E10018" s="135">
        <f t="shared" si="62"/>
        <v>10</v>
      </c>
      <c r="F10018" s="134" t="s">
        <v>4056</v>
      </c>
      <c r="G10018" s="63" t="str">
        <f>VLOOKUP(C10018, 'Class Def. - General Data'!$C$20:$C$1000,1,false)</f>
        <v>ZSI1_HOSE_FITTING</v>
      </c>
      <c r="H10018" s="63" t="str">
        <f>IFERROR(__xludf.DUMMYFUNCTION("VLOOKUP(F10018, IMPORTRANGE(""https://docs.google.com/spreadsheets/d/1Lhp9OU0JdFf_VYSMzH5lBcEaU4o8teT1piV-SNzShjg/edit?gid=554141278#gid=554141278"", ""'Char Def. - Attributes'!C20:C2242""), 1,false)"),"GROSS_WEIGHT_OPT")</f>
        <v>GROSS_WEIGHT_OPT</v>
      </c>
      <c r="I10018" s="136"/>
      <c r="R10018" s="63" t="str">
        <f t="shared" si="60"/>
        <v>ZSI1_HOSE_FITTINGGROSS_WEIGHT_OPT</v>
      </c>
    </row>
    <row r="10019" ht="15.75" customHeight="1">
      <c r="B10019" s="63">
        <f t="shared" si="1"/>
        <v>17</v>
      </c>
      <c r="C10019" s="135" t="s">
        <v>534</v>
      </c>
      <c r="D10019" s="161" t="s">
        <v>74</v>
      </c>
      <c r="E10019" s="135">
        <f t="shared" si="62"/>
        <v>11</v>
      </c>
      <c r="F10019" s="134" t="s">
        <v>4057</v>
      </c>
      <c r="G10019" s="63" t="str">
        <f>VLOOKUP(C10019, 'Class Def. - General Data'!$C$20:$C$1000,1,false)</f>
        <v>ZSI1_HOSE_FITTING</v>
      </c>
      <c r="H10019" s="63" t="str">
        <f>IFERROR(__xludf.DUMMYFUNCTION("VLOOKUP(F10019, IMPORTRANGE(""https://docs.google.com/spreadsheets/d/1Lhp9OU0JdFf_VYSMzH5lBcEaU4o8teT1piV-SNzShjg/edit?gid=554141278#gid=554141278"", ""'Char Def. - Attributes'!C20:C2242""), 1,false)"),"NET_WEIGHT_OPT")</f>
        <v>NET_WEIGHT_OPT</v>
      </c>
      <c r="I10019" s="136"/>
      <c r="R10019" s="63" t="str">
        <f t="shared" si="60"/>
        <v>ZSI1_HOSE_FITTINGNET_WEIGHT_OPT</v>
      </c>
    </row>
    <row r="10020" ht="15.75" customHeight="1">
      <c r="B10020" s="63">
        <f t="shared" si="1"/>
        <v>17</v>
      </c>
      <c r="C10020" s="135" t="s">
        <v>534</v>
      </c>
      <c r="D10020" s="161" t="s">
        <v>74</v>
      </c>
      <c r="E10020" s="135">
        <f t="shared" si="62"/>
        <v>12</v>
      </c>
      <c r="F10020" s="134" t="s">
        <v>4058</v>
      </c>
      <c r="G10020" s="63" t="str">
        <f>VLOOKUP(C10020, 'Class Def. - General Data'!$C$20:$C$1000,1,false)</f>
        <v>ZSI1_HOSE_FITTING</v>
      </c>
      <c r="H10020" s="63" t="str">
        <f>IFERROR(__xludf.DUMMYFUNCTION("VLOOKUP(F10020, IMPORTRANGE(""https://docs.google.com/spreadsheets/d/1Lhp9OU0JdFf_VYSMzH5lBcEaU4o8teT1piV-SNzShjg/edit?gid=554141278#gid=554141278"", ""'Char Def. - Attributes'!C20:C2242""), 1,false)"),"WEIGHT_UNIT_SI")</f>
        <v>WEIGHT_UNIT_SI</v>
      </c>
      <c r="I10020" s="136"/>
      <c r="R10020" s="63" t="str">
        <f t="shared" si="60"/>
        <v>ZSI1_HOSE_FITTINGWEIGHT_UNIT_SI</v>
      </c>
    </row>
    <row r="10021" ht="15.75" customHeight="1">
      <c r="B10021" s="63">
        <f t="shared" si="1"/>
        <v>17</v>
      </c>
      <c r="C10021" s="135" t="s">
        <v>534</v>
      </c>
      <c r="D10021" s="161" t="s">
        <v>74</v>
      </c>
      <c r="E10021" s="135">
        <f t="shared" si="62"/>
        <v>13</v>
      </c>
      <c r="F10021" s="134" t="s">
        <v>3877</v>
      </c>
      <c r="G10021" s="63" t="str">
        <f>VLOOKUP(C10021, 'Class Def. - General Data'!$C$20:$C$1000,1,false)</f>
        <v>ZSI1_HOSE_FITTING</v>
      </c>
      <c r="H10021" s="63" t="str">
        <f>IFERROR(__xludf.DUMMYFUNCTION("VLOOKUP(F10021, IMPORTRANGE(""https://docs.google.com/spreadsheets/d/1Lhp9OU0JdFf_VYSMzH5lBcEaU4o8teT1piV-SNzShjg/edit?gid=554141278#gid=554141278"", ""'Char Def. - Attributes'!C20:C2242""), 1,false)"),"VOLUME_OPT")</f>
        <v>VOLUME_OPT</v>
      </c>
      <c r="I10021" s="136"/>
      <c r="R10021" s="63" t="str">
        <f t="shared" si="60"/>
        <v>ZSI1_HOSE_FITTINGVOLUME_OPT</v>
      </c>
    </row>
    <row r="10022" ht="15.75" customHeight="1">
      <c r="B10022" s="63">
        <f t="shared" si="1"/>
        <v>17</v>
      </c>
      <c r="C10022" s="135" t="s">
        <v>534</v>
      </c>
      <c r="D10022" s="161" t="s">
        <v>74</v>
      </c>
      <c r="E10022" s="135">
        <f t="shared" si="62"/>
        <v>14</v>
      </c>
      <c r="F10022" s="134" t="s">
        <v>4059</v>
      </c>
      <c r="G10022" s="63" t="str">
        <f>VLOOKUP(C10022, 'Class Def. - General Data'!$C$20:$C$1000,1,false)</f>
        <v>ZSI1_HOSE_FITTING</v>
      </c>
      <c r="H10022" s="63" t="str">
        <f>IFERROR(__xludf.DUMMYFUNCTION("VLOOKUP(F10022, IMPORTRANGE(""https://docs.google.com/spreadsheets/d/1Lhp9OU0JdFf_VYSMzH5lBcEaU4o8teT1piV-SNzShjg/edit?gid=554141278#gid=554141278"", ""'Char Def. - Attributes'!C20:C2242""), 1,false)"),"VOLUME_UNIT_SI")</f>
        <v>VOLUME_UNIT_SI</v>
      </c>
      <c r="I10022" s="136"/>
      <c r="R10022" s="63" t="str">
        <f t="shared" si="60"/>
        <v>ZSI1_HOSE_FITTINGVOLUME_UNIT_SI</v>
      </c>
    </row>
    <row r="10023" ht="15.75" customHeight="1">
      <c r="B10023" s="63">
        <f t="shared" si="1"/>
        <v>17</v>
      </c>
      <c r="C10023" s="135" t="s">
        <v>534</v>
      </c>
      <c r="D10023" s="161" t="s">
        <v>74</v>
      </c>
      <c r="E10023" s="135">
        <f t="shared" si="62"/>
        <v>15</v>
      </c>
      <c r="F10023" s="134" t="s">
        <v>3804</v>
      </c>
      <c r="G10023" s="63" t="str">
        <f>VLOOKUP(C10023, 'Class Def. - General Data'!$C$20:$C$1000,1,false)</f>
        <v>ZSI1_HOSE_FITTING</v>
      </c>
      <c r="H10023" s="63" t="str">
        <f>IFERROR(__xludf.DUMMYFUNCTION("VLOOKUP(F10023, IMPORTRANGE(""https://docs.google.com/spreadsheets/d/1Lhp9OU0JdFf_VYSMzH5lBcEaU4o8teT1piV-SNzShjg/edit?gid=554141278#gid=554141278"", ""'Char Def. - Attributes'!C20:C2242""), 1,false)"),"ALT_UOM1_SIPI")</f>
        <v>ALT_UOM1_SIPI</v>
      </c>
      <c r="I10023" s="136"/>
      <c r="R10023" s="63" t="str">
        <f t="shared" si="60"/>
        <v>ZSI1_HOSE_FITTINGALT_UOM1_SIPI</v>
      </c>
    </row>
    <row r="10024" ht="15.75" customHeight="1">
      <c r="B10024" s="63">
        <f t="shared" si="1"/>
        <v>17</v>
      </c>
      <c r="C10024" s="135" t="s">
        <v>534</v>
      </c>
      <c r="D10024" s="161" t="s">
        <v>74</v>
      </c>
      <c r="E10024" s="135">
        <f t="shared" si="62"/>
        <v>16</v>
      </c>
      <c r="F10024" s="134" t="s">
        <v>3805</v>
      </c>
      <c r="G10024" s="63" t="str">
        <f>VLOOKUP(C10024, 'Class Def. - General Data'!$C$20:$C$1000,1,false)</f>
        <v>ZSI1_HOSE_FITTING</v>
      </c>
      <c r="H10024" s="63" t="str">
        <f>IFERROR(__xludf.DUMMYFUNCTION("VLOOKUP(F10024, IMPORTRANGE(""https://docs.google.com/spreadsheets/d/1Lhp9OU0JdFf_VYSMzH5lBcEaU4o8teT1piV-SNzShjg/edit?gid=554141278#gid=554141278"", ""'Char Def. - Attributes'!C20:C2242""), 1,false)"),"ALT_DENUM_UOM1")</f>
        <v>ALT_DENUM_UOM1</v>
      </c>
      <c r="I10024" s="136"/>
      <c r="R10024" s="63" t="str">
        <f t="shared" si="60"/>
        <v>ZSI1_HOSE_FITTINGALT_DENUM_UOM1</v>
      </c>
    </row>
    <row r="10025" ht="15.75" customHeight="1">
      <c r="B10025" s="63">
        <f t="shared" si="1"/>
        <v>17</v>
      </c>
      <c r="C10025" s="135" t="s">
        <v>534</v>
      </c>
      <c r="D10025" s="161" t="s">
        <v>74</v>
      </c>
      <c r="E10025" s="135">
        <f t="shared" si="62"/>
        <v>17</v>
      </c>
      <c r="F10025" s="134" t="s">
        <v>3806</v>
      </c>
      <c r="G10025" s="63" t="str">
        <f>VLOOKUP(C10025, 'Class Def. - General Data'!$C$20:$C$1000,1,false)</f>
        <v>ZSI1_HOSE_FITTING</v>
      </c>
      <c r="H10025" s="63" t="str">
        <f>IFERROR(__xludf.DUMMYFUNCTION("VLOOKUP(F10025, IMPORTRANGE(""https://docs.google.com/spreadsheets/d/1Lhp9OU0JdFf_VYSMzH5lBcEaU4o8teT1piV-SNzShjg/edit?gid=554141278#gid=554141278"", ""'Char Def. - Attributes'!C20:C2242""), 1,false)"),"ALT_NUM_UOM1")</f>
        <v>ALT_NUM_UOM1</v>
      </c>
      <c r="I10025" s="136"/>
      <c r="R10025" s="63" t="str">
        <f t="shared" si="60"/>
        <v>ZSI1_HOSE_FITTINGALT_NUM_UOM1</v>
      </c>
    </row>
    <row r="10026" ht="15.75" customHeight="1">
      <c r="B10026" s="63">
        <f t="shared" si="1"/>
        <v>17</v>
      </c>
      <c r="C10026" s="135" t="s">
        <v>534</v>
      </c>
      <c r="D10026" s="161" t="s">
        <v>74</v>
      </c>
      <c r="E10026" s="135">
        <f t="shared" si="62"/>
        <v>18</v>
      </c>
      <c r="F10026" s="134" t="s">
        <v>3807</v>
      </c>
      <c r="G10026" s="63" t="str">
        <f>VLOOKUP(C10026, 'Class Def. - General Data'!$C$20:$C$1000,1,false)</f>
        <v>ZSI1_HOSE_FITTING</v>
      </c>
      <c r="H10026" s="63" t="str">
        <f>IFERROR(__xludf.DUMMYFUNCTION("VLOOKUP(F10026, IMPORTRANGE(""https://docs.google.com/spreadsheets/d/1Lhp9OU0JdFf_VYSMzH5lBcEaU4o8teT1piV-SNzShjg/edit?gid=554141278#gid=554141278"", ""'Char Def. - Attributes'!C20:C2242""), 1,false)"),"ALT_UOM2_SIPI")</f>
        <v>ALT_UOM2_SIPI</v>
      </c>
      <c r="I10026" s="136"/>
      <c r="R10026" s="63" t="str">
        <f t="shared" si="60"/>
        <v>ZSI1_HOSE_FITTINGALT_UOM2_SIPI</v>
      </c>
    </row>
    <row r="10027" ht="15.75" customHeight="1">
      <c r="B10027" s="63">
        <f t="shared" si="1"/>
        <v>17</v>
      </c>
      <c r="C10027" s="135" t="s">
        <v>534</v>
      </c>
      <c r="D10027" s="161" t="s">
        <v>74</v>
      </c>
      <c r="E10027" s="135">
        <f t="shared" si="62"/>
        <v>19</v>
      </c>
      <c r="F10027" s="134" t="s">
        <v>3808</v>
      </c>
      <c r="G10027" s="63" t="str">
        <f>VLOOKUP(C10027, 'Class Def. - General Data'!$C$20:$C$1000,1,false)</f>
        <v>ZSI1_HOSE_FITTING</v>
      </c>
      <c r="H10027" s="63" t="str">
        <f>IFERROR(__xludf.DUMMYFUNCTION("VLOOKUP(F10027, IMPORTRANGE(""https://docs.google.com/spreadsheets/d/1Lhp9OU0JdFf_VYSMzH5lBcEaU4o8teT1piV-SNzShjg/edit?gid=554141278#gid=554141278"", ""'Char Def. - Attributes'!C20:C2242""), 1,false)"),"ALT_DENUM_UOM2")</f>
        <v>ALT_DENUM_UOM2</v>
      </c>
      <c r="I10027" s="136"/>
      <c r="R10027" s="63" t="str">
        <f t="shared" si="60"/>
        <v>ZSI1_HOSE_FITTINGALT_DENUM_UOM2</v>
      </c>
    </row>
    <row r="10028" ht="15.75" customHeight="1">
      <c r="B10028" s="63">
        <f t="shared" si="1"/>
        <v>17</v>
      </c>
      <c r="C10028" s="135" t="s">
        <v>534</v>
      </c>
      <c r="D10028" s="161" t="s">
        <v>74</v>
      </c>
      <c r="E10028" s="135">
        <f t="shared" si="62"/>
        <v>20</v>
      </c>
      <c r="F10028" s="134" t="s">
        <v>3809</v>
      </c>
      <c r="G10028" s="63" t="str">
        <f>VLOOKUP(C10028, 'Class Def. - General Data'!$C$20:$C$1000,1,false)</f>
        <v>ZSI1_HOSE_FITTING</v>
      </c>
      <c r="H10028" s="63" t="str">
        <f>IFERROR(__xludf.DUMMYFUNCTION("VLOOKUP(F10028, IMPORTRANGE(""https://docs.google.com/spreadsheets/d/1Lhp9OU0JdFf_VYSMzH5lBcEaU4o8teT1piV-SNzShjg/edit?gid=554141278#gid=554141278"", ""'Char Def. - Attributes'!C20:C2242""), 1,false)"),"ALT_NUM_UOM2")</f>
        <v>ALT_NUM_UOM2</v>
      </c>
      <c r="I10028" s="136"/>
      <c r="R10028" s="63" t="str">
        <f t="shared" si="60"/>
        <v>ZSI1_HOSE_FITTINGALT_NUM_UOM2</v>
      </c>
    </row>
    <row r="10029" ht="15.75" customHeight="1">
      <c r="B10029" s="63">
        <f t="shared" si="1"/>
        <v>17</v>
      </c>
      <c r="C10029" s="135" t="s">
        <v>534</v>
      </c>
      <c r="D10029" s="161" t="s">
        <v>74</v>
      </c>
      <c r="E10029" s="135">
        <f t="shared" si="62"/>
        <v>21</v>
      </c>
      <c r="F10029" s="134" t="s">
        <v>3810</v>
      </c>
      <c r="G10029" s="63" t="str">
        <f>VLOOKUP(C10029, 'Class Def. - General Data'!$C$20:$C$1000,1,false)</f>
        <v>ZSI1_HOSE_FITTING</v>
      </c>
      <c r="H10029" s="63" t="str">
        <f>IFERROR(__xludf.DUMMYFUNCTION("VLOOKUP(F10029, IMPORTRANGE(""https://docs.google.com/spreadsheets/d/1Lhp9OU0JdFf_VYSMzH5lBcEaU4o8teT1piV-SNzShjg/edit?gid=554141278#gid=554141278"", ""'Char Def. - Attributes'!C20:C2242""), 1,false)"),"ALT_UOM3_SIPI")</f>
        <v>ALT_UOM3_SIPI</v>
      </c>
      <c r="I10029" s="136"/>
      <c r="R10029" s="63" t="str">
        <f t="shared" si="60"/>
        <v>ZSI1_HOSE_FITTINGALT_UOM3_SIPI</v>
      </c>
    </row>
    <row r="10030" ht="15.75" customHeight="1">
      <c r="B10030" s="63">
        <f t="shared" si="1"/>
        <v>17</v>
      </c>
      <c r="C10030" s="135" t="s">
        <v>534</v>
      </c>
      <c r="D10030" s="161" t="s">
        <v>74</v>
      </c>
      <c r="E10030" s="135">
        <f t="shared" si="62"/>
        <v>22</v>
      </c>
      <c r="F10030" s="134" t="s">
        <v>3811</v>
      </c>
      <c r="G10030" s="63" t="str">
        <f>VLOOKUP(C10030, 'Class Def. - General Data'!$C$20:$C$1000,1,false)</f>
        <v>ZSI1_HOSE_FITTING</v>
      </c>
      <c r="H10030" s="63" t="str">
        <f>IFERROR(__xludf.DUMMYFUNCTION("VLOOKUP(F10030, IMPORTRANGE(""https://docs.google.com/spreadsheets/d/1Lhp9OU0JdFf_VYSMzH5lBcEaU4o8teT1piV-SNzShjg/edit?gid=554141278#gid=554141278"", ""'Char Def. - Attributes'!C20:C2242""), 1,false)"),"ALT_DENUM_UOM3")</f>
        <v>ALT_DENUM_UOM3</v>
      </c>
      <c r="I10030" s="136"/>
      <c r="R10030" s="63" t="str">
        <f t="shared" si="60"/>
        <v>ZSI1_HOSE_FITTINGALT_DENUM_UOM3</v>
      </c>
    </row>
    <row r="10031" ht="15.75" customHeight="1">
      <c r="B10031" s="63">
        <f t="shared" si="1"/>
        <v>17</v>
      </c>
      <c r="C10031" s="135" t="s">
        <v>534</v>
      </c>
      <c r="D10031" s="161" t="s">
        <v>74</v>
      </c>
      <c r="E10031" s="135">
        <f t="shared" si="62"/>
        <v>23</v>
      </c>
      <c r="F10031" s="134" t="s">
        <v>3812</v>
      </c>
      <c r="G10031" s="63" t="str">
        <f>VLOOKUP(C10031, 'Class Def. - General Data'!$C$20:$C$1000,1,false)</f>
        <v>ZSI1_HOSE_FITTING</v>
      </c>
      <c r="H10031" s="63" t="str">
        <f>IFERROR(__xludf.DUMMYFUNCTION("VLOOKUP(F10031, IMPORTRANGE(""https://docs.google.com/spreadsheets/d/1Lhp9OU0JdFf_VYSMzH5lBcEaU4o8teT1piV-SNzShjg/edit?gid=554141278#gid=554141278"", ""'Char Def. - Attributes'!C20:C2242""), 1,false)"),"ALT_NUM_UOM3")</f>
        <v>ALT_NUM_UOM3</v>
      </c>
      <c r="I10031" s="136"/>
      <c r="R10031" s="63" t="str">
        <f t="shared" si="60"/>
        <v>ZSI1_HOSE_FITTINGALT_NUM_UOM3</v>
      </c>
    </row>
    <row r="10032" ht="15.75" customHeight="1">
      <c r="B10032" s="63">
        <f t="shared" si="1"/>
        <v>17</v>
      </c>
      <c r="C10032" s="135" t="s">
        <v>534</v>
      </c>
      <c r="D10032" s="161" t="s">
        <v>74</v>
      </c>
      <c r="E10032" s="135">
        <f t="shared" si="62"/>
        <v>24</v>
      </c>
      <c r="F10032" s="134" t="s">
        <v>3813</v>
      </c>
      <c r="G10032" s="63" t="str">
        <f>VLOOKUP(C10032, 'Class Def. - General Data'!$C$20:$C$1000,1,false)</f>
        <v>ZSI1_HOSE_FITTING</v>
      </c>
      <c r="H10032" s="63" t="str">
        <f>IFERROR(__xludf.DUMMYFUNCTION("VLOOKUP(F10032, IMPORTRANGE(""https://docs.google.com/spreadsheets/d/1Lhp9OU0JdFf_VYSMzH5lBcEaU4o8teT1piV-SNzShjg/edit?gid=554141278#gid=554141278"", ""'Char Def. - Attributes'!C20:C2242""), 1,false)"),"ALT_UOM4_SIPI")</f>
        <v>ALT_UOM4_SIPI</v>
      </c>
      <c r="I10032" s="136"/>
      <c r="R10032" s="63" t="str">
        <f t="shared" si="60"/>
        <v>ZSI1_HOSE_FITTINGALT_UOM4_SIPI</v>
      </c>
    </row>
    <row r="10033" ht="15.75" customHeight="1">
      <c r="B10033" s="63">
        <f t="shared" si="1"/>
        <v>17</v>
      </c>
      <c r="C10033" s="135" t="s">
        <v>534</v>
      </c>
      <c r="D10033" s="161" t="s">
        <v>74</v>
      </c>
      <c r="E10033" s="135">
        <f t="shared" si="62"/>
        <v>25</v>
      </c>
      <c r="F10033" s="134" t="s">
        <v>3814</v>
      </c>
      <c r="G10033" s="63" t="str">
        <f>VLOOKUP(C10033, 'Class Def. - General Data'!$C$20:$C$1000,1,false)</f>
        <v>ZSI1_HOSE_FITTING</v>
      </c>
      <c r="H10033" s="63" t="str">
        <f>IFERROR(__xludf.DUMMYFUNCTION("VLOOKUP(F10033, IMPORTRANGE(""https://docs.google.com/spreadsheets/d/1Lhp9OU0JdFf_VYSMzH5lBcEaU4o8teT1piV-SNzShjg/edit?gid=554141278#gid=554141278"", ""'Char Def. - Attributes'!C20:C2242""), 1,false)"),"ALT_DENUM_UOM4")</f>
        <v>ALT_DENUM_UOM4</v>
      </c>
      <c r="I10033" s="136"/>
      <c r="R10033" s="63" t="str">
        <f t="shared" si="60"/>
        <v>ZSI1_HOSE_FITTINGALT_DENUM_UOM4</v>
      </c>
    </row>
    <row r="10034" ht="15.75" customHeight="1">
      <c r="B10034" s="63">
        <f t="shared" si="1"/>
        <v>17</v>
      </c>
      <c r="C10034" s="135" t="s">
        <v>534</v>
      </c>
      <c r="D10034" s="161" t="s">
        <v>74</v>
      </c>
      <c r="E10034" s="135">
        <f t="shared" si="62"/>
        <v>26</v>
      </c>
      <c r="F10034" s="134" t="s">
        <v>3815</v>
      </c>
      <c r="G10034" s="63" t="str">
        <f>VLOOKUP(C10034, 'Class Def. - General Data'!$C$20:$C$1000,1,false)</f>
        <v>ZSI1_HOSE_FITTING</v>
      </c>
      <c r="H10034" s="63" t="str">
        <f>IFERROR(__xludf.DUMMYFUNCTION("VLOOKUP(F10034, IMPORTRANGE(""https://docs.google.com/spreadsheets/d/1Lhp9OU0JdFf_VYSMzH5lBcEaU4o8teT1piV-SNzShjg/edit?gid=554141278#gid=554141278"", ""'Char Def. - Attributes'!C20:C2242""), 1,false)"),"ALT_NUM_UOM4")</f>
        <v>ALT_NUM_UOM4</v>
      </c>
      <c r="I10034" s="136"/>
      <c r="R10034" s="63" t="str">
        <f t="shared" si="60"/>
        <v>ZSI1_HOSE_FITTINGALT_NUM_UOM4</v>
      </c>
    </row>
    <row r="10035" ht="15.75" customHeight="1">
      <c r="B10035" s="63">
        <f t="shared" si="1"/>
        <v>17</v>
      </c>
      <c r="C10035" s="135" t="s">
        <v>534</v>
      </c>
      <c r="D10035" s="161" t="s">
        <v>74</v>
      </c>
      <c r="E10035" s="135">
        <f t="shared" si="62"/>
        <v>27</v>
      </c>
      <c r="F10035" s="134" t="s">
        <v>3816</v>
      </c>
      <c r="G10035" s="63" t="str">
        <f>VLOOKUP(C10035, 'Class Def. - General Data'!$C$20:$C$1000,1,false)</f>
        <v>ZSI1_HOSE_FITTING</v>
      </c>
      <c r="H10035" s="63" t="str">
        <f>IFERROR(__xludf.DUMMYFUNCTION("VLOOKUP(F10035, IMPORTRANGE(""https://docs.google.com/spreadsheets/d/1Lhp9OU0JdFf_VYSMzH5lBcEaU4o8teT1piV-SNzShjg/edit?gid=554141278#gid=554141278"", ""'Char Def. - Attributes'!C20:C2242""), 1,false)"),"ALT_UOM5_SIPI")</f>
        <v>ALT_UOM5_SIPI</v>
      </c>
      <c r="I10035" s="136"/>
      <c r="R10035" s="63" t="str">
        <f t="shared" si="60"/>
        <v>ZSI1_HOSE_FITTINGALT_UOM5_SIPI</v>
      </c>
    </row>
    <row r="10036" ht="15.75" customHeight="1">
      <c r="B10036" s="63">
        <f t="shared" si="1"/>
        <v>17</v>
      </c>
      <c r="C10036" s="135" t="s">
        <v>534</v>
      </c>
      <c r="D10036" s="161" t="s">
        <v>74</v>
      </c>
      <c r="E10036" s="135">
        <f t="shared" si="62"/>
        <v>28</v>
      </c>
      <c r="F10036" s="134" t="s">
        <v>3817</v>
      </c>
      <c r="G10036" s="63" t="str">
        <f>VLOOKUP(C10036, 'Class Def. - General Data'!$C$20:$C$1000,1,false)</f>
        <v>ZSI1_HOSE_FITTING</v>
      </c>
      <c r="H10036" s="63" t="str">
        <f>IFERROR(__xludf.DUMMYFUNCTION("VLOOKUP(F10036, IMPORTRANGE(""https://docs.google.com/spreadsheets/d/1Lhp9OU0JdFf_VYSMzH5lBcEaU4o8teT1piV-SNzShjg/edit?gid=554141278#gid=554141278"", ""'Char Def. - Attributes'!C20:C2242""), 1,false)"),"ALT_DENUM_UOM5")</f>
        <v>ALT_DENUM_UOM5</v>
      </c>
      <c r="I10036" s="136"/>
      <c r="R10036" s="63" t="str">
        <f t="shared" si="60"/>
        <v>ZSI1_HOSE_FITTINGALT_DENUM_UOM5</v>
      </c>
    </row>
    <row r="10037" ht="15.75" customHeight="1">
      <c r="B10037" s="63">
        <f t="shared" si="1"/>
        <v>17</v>
      </c>
      <c r="C10037" s="135" t="s">
        <v>534</v>
      </c>
      <c r="D10037" s="161" t="s">
        <v>74</v>
      </c>
      <c r="E10037" s="135">
        <f t="shared" si="62"/>
        <v>29</v>
      </c>
      <c r="F10037" s="134" t="s">
        <v>3818</v>
      </c>
      <c r="G10037" s="63" t="str">
        <f>VLOOKUP(C10037, 'Class Def. - General Data'!$C$20:$C$1000,1,false)</f>
        <v>ZSI1_HOSE_FITTING</v>
      </c>
      <c r="H10037" s="63" t="str">
        <f>IFERROR(__xludf.DUMMYFUNCTION("VLOOKUP(F10037, IMPORTRANGE(""https://docs.google.com/spreadsheets/d/1Lhp9OU0JdFf_VYSMzH5lBcEaU4o8teT1piV-SNzShjg/edit?gid=554141278#gid=554141278"", ""'Char Def. - Attributes'!C20:C2242""), 1,false)"),"ALT_NUM_UOM5")</f>
        <v>ALT_NUM_UOM5</v>
      </c>
      <c r="I10037" s="136"/>
      <c r="R10037" s="63" t="str">
        <f t="shared" si="60"/>
        <v>ZSI1_HOSE_FITTINGALT_NUM_UOM5</v>
      </c>
    </row>
    <row r="10038" ht="15.75" customHeight="1">
      <c r="B10038" s="63">
        <f t="shared" si="1"/>
        <v>17</v>
      </c>
      <c r="C10038" s="75" t="s">
        <v>4675</v>
      </c>
      <c r="D10038" s="161" t="s">
        <v>74</v>
      </c>
      <c r="E10038" s="135">
        <f t="shared" si="62"/>
        <v>1</v>
      </c>
      <c r="F10038" s="134" t="s">
        <v>4676</v>
      </c>
      <c r="G10038" s="63" t="str">
        <f>VLOOKUP(C10038, 'Class Def. - General Data'!$C$20:$C$1000,1,false)</f>
        <v>#N/A</v>
      </c>
      <c r="H10038" s="63" t="str">
        <f>IFERROR(__xludf.DUMMYFUNCTION("VLOOKUP(F10038, IMPORTRANGE(""https://docs.google.com/spreadsheets/d/1Lhp9OU0JdFf_VYSMzH5lBcEaU4o8teT1piV-SNzShjg/edit?gid=554141278#gid=554141278"", ""'Char Def. - Attributes'!C20:C2242""), 1,false)"),"#N/A")</f>
        <v>#N/A</v>
      </c>
      <c r="I10038" s="136"/>
      <c r="R10038" s="63" t="str">
        <f t="shared" si="60"/>
        <v>ZSI1_HYD_CYLINDERITEM_NAME_HYD_CYL</v>
      </c>
    </row>
    <row r="10039" ht="15.75" customHeight="1">
      <c r="B10039" s="63">
        <f t="shared" si="1"/>
        <v>17</v>
      </c>
      <c r="C10039" s="75" t="s">
        <v>4675</v>
      </c>
      <c r="D10039" s="161" t="s">
        <v>74</v>
      </c>
      <c r="E10039" s="135">
        <f t="shared" si="62"/>
        <v>2</v>
      </c>
      <c r="F10039" s="134" t="s">
        <v>4677</v>
      </c>
      <c r="G10039" s="63" t="str">
        <f>VLOOKUP(C10039, 'Class Def. - General Data'!$C$20:$C$1000,1,false)</f>
        <v>#N/A</v>
      </c>
      <c r="H10039" s="63" t="str">
        <f>IFERROR(__xludf.DUMMYFUNCTION("VLOOKUP(F10039, IMPORTRANGE(""https://docs.google.com/spreadsheets/d/1Lhp9OU0JdFf_VYSMzH5lBcEaU4o8teT1piV-SNzShjg/edit?gid=554141278#gid=554141278"", ""'Char Def. - Attributes'!C20:C2242""), 1,false)"),"#N/A")</f>
        <v>#N/A</v>
      </c>
      <c r="I10039" s="136"/>
      <c r="R10039" s="63" t="str">
        <f t="shared" si="60"/>
        <v>ZSI1_HYD_CYLINDERMFR_NO_HYD_CYL</v>
      </c>
    </row>
    <row r="10040" ht="15.75" customHeight="1">
      <c r="B10040" s="63">
        <f t="shared" si="1"/>
        <v>17</v>
      </c>
      <c r="C10040" s="75" t="s">
        <v>4675</v>
      </c>
      <c r="D10040" s="161" t="s">
        <v>74</v>
      </c>
      <c r="E10040" s="135">
        <f t="shared" si="62"/>
        <v>3</v>
      </c>
      <c r="F10040" s="134" t="s">
        <v>3782</v>
      </c>
      <c r="G10040" s="63" t="str">
        <f>VLOOKUP(C10040, 'Class Def. - General Data'!$C$20:$C$1000,1,false)</f>
        <v>#N/A</v>
      </c>
      <c r="H10040" s="63" t="str">
        <f>IFERROR(__xludf.DUMMYFUNCTION("VLOOKUP(F10040, IMPORTRANGE(""https://docs.google.com/spreadsheets/d/1Lhp9OU0JdFf_VYSMzH5lBcEaU4o8teT1piV-SNzShjg/edit?gid=554141278#gid=554141278"", ""'Char Def. - Attributes'!C20:C2242""), 1,false)"),"BRAND_EXTERNAL")</f>
        <v>BRAND_EXTERNAL</v>
      </c>
      <c r="I10040" s="136"/>
      <c r="R10040" s="63" t="str">
        <f t="shared" si="60"/>
        <v>ZSI1_HYD_CYLINDERBRAND_EXTERNAL</v>
      </c>
    </row>
    <row r="10041" ht="15.75" customHeight="1">
      <c r="B10041" s="63">
        <f t="shared" si="1"/>
        <v>17</v>
      </c>
      <c r="C10041" s="75" t="s">
        <v>4675</v>
      </c>
      <c r="D10041" s="161" t="s">
        <v>74</v>
      </c>
      <c r="E10041" s="135">
        <f t="shared" si="62"/>
        <v>4</v>
      </c>
      <c r="F10041" s="134" t="s">
        <v>4062</v>
      </c>
      <c r="G10041" s="63" t="str">
        <f>VLOOKUP(C10041, 'Class Def. - General Data'!$C$20:$C$1000,1,false)</f>
        <v>#N/A</v>
      </c>
      <c r="H10041" s="63" t="str">
        <f>IFERROR(__xludf.DUMMYFUNCTION("VLOOKUP(F10041, IMPORTRANGE(""https://docs.google.com/spreadsheets/d/1Lhp9OU0JdFf_VYSMzH5lBcEaU4o8teT1piV-SNzShjg/edit?gid=554141278#gid=554141278"", ""'Char Def. - Attributes'!C20:C2242""), 1,false)"),"#N/A")</f>
        <v>#N/A</v>
      </c>
      <c r="I10041" s="136"/>
      <c r="R10041" s="63" t="str">
        <f t="shared" si="60"/>
        <v>ZSI1_HYD_CYLINDERADDTIONAL_SPECIFICATION</v>
      </c>
    </row>
    <row r="10042" ht="15.75" customHeight="1">
      <c r="B10042" s="63">
        <f t="shared" si="1"/>
        <v>17</v>
      </c>
      <c r="C10042" s="75" t="s">
        <v>4675</v>
      </c>
      <c r="D10042" s="161" t="s">
        <v>74</v>
      </c>
      <c r="E10042" s="135">
        <f t="shared" si="62"/>
        <v>5</v>
      </c>
      <c r="F10042" s="134" t="s">
        <v>3585</v>
      </c>
      <c r="G10042" s="63" t="str">
        <f>VLOOKUP(C10042, 'Class Def. - General Data'!$C$20:$C$1000,1,false)</f>
        <v>#N/A</v>
      </c>
      <c r="H10042" s="63" t="str">
        <f>IFERROR(__xludf.DUMMYFUNCTION("VLOOKUP(F10042, IMPORTRANGE(""https://docs.google.com/spreadsheets/d/1Lhp9OU0JdFf_VYSMzH5lBcEaU4o8teT1piV-SNzShjg/edit?gid=554141278#gid=554141278"", ""'Char Def. - Attributes'!C20:C2242""), 1,false)"),"HS_CODE")</f>
        <v>HS_CODE</v>
      </c>
      <c r="I10042" s="136"/>
      <c r="R10042" s="63" t="str">
        <f t="shared" si="60"/>
        <v>ZSI1_HYD_CYLINDERHS_CODE</v>
      </c>
    </row>
    <row r="10043" ht="15.75" customHeight="1">
      <c r="B10043" s="63">
        <f t="shared" si="1"/>
        <v>17</v>
      </c>
      <c r="C10043" s="75" t="s">
        <v>4675</v>
      </c>
      <c r="D10043" s="161" t="s">
        <v>74</v>
      </c>
      <c r="E10043" s="135">
        <f t="shared" si="62"/>
        <v>6</v>
      </c>
      <c r="F10043" s="134" t="s">
        <v>3587</v>
      </c>
      <c r="G10043" s="63" t="str">
        <f>VLOOKUP(C10043, 'Class Def. - General Data'!$C$20:$C$1000,1,false)</f>
        <v>#N/A</v>
      </c>
      <c r="H10043" s="63" t="str">
        <f>IFERROR(__xludf.DUMMYFUNCTION("VLOOKUP(F10043, IMPORTRANGE(""https://docs.google.com/spreadsheets/d/1Lhp9OU0JdFf_VYSMzH5lBcEaU4o8teT1piV-SNzShjg/edit?gid=554141278#gid=554141278"", ""'Char Def. - Attributes'!C20:C2242""), 1,false)"),"PLANT_BUY")</f>
        <v>PLANT_BUY</v>
      </c>
      <c r="I10043" s="136"/>
      <c r="R10043" s="63" t="str">
        <f t="shared" si="60"/>
        <v>ZSI1_HYD_CYLINDERPLANT_BUY</v>
      </c>
    </row>
    <row r="10044" ht="15.75" customHeight="1">
      <c r="B10044" s="63">
        <f t="shared" si="1"/>
        <v>17</v>
      </c>
      <c r="C10044" s="75" t="s">
        <v>4675</v>
      </c>
      <c r="D10044" s="161" t="s">
        <v>74</v>
      </c>
      <c r="E10044" s="135">
        <f t="shared" si="62"/>
        <v>7</v>
      </c>
      <c r="F10044" s="134" t="s">
        <v>4678</v>
      </c>
      <c r="G10044" s="63" t="str">
        <f>VLOOKUP(C10044, 'Class Def. - General Data'!$C$20:$C$1000,1,false)</f>
        <v>#N/A</v>
      </c>
      <c r="H10044" s="63" t="str">
        <f>IFERROR(__xludf.DUMMYFUNCTION("VLOOKUP(F10044, IMPORTRANGE(""https://docs.google.com/spreadsheets/d/1Lhp9OU0JdFf_VYSMzH5lBcEaU4o8teT1piV-SNzShjg/edit?gid=554141278#gid=554141278"", ""'Char Def. - Attributes'!C20:C2242""), 1,false)"),"#N/A")</f>
        <v>#N/A</v>
      </c>
      <c r="I10044" s="136"/>
      <c r="R10044" s="63" t="str">
        <f t="shared" si="60"/>
        <v>ZSI1_HYD_CYLINDERBASE_UOM_HYD_CYL</v>
      </c>
    </row>
    <row r="10045" ht="15.75" customHeight="1">
      <c r="B10045" s="63">
        <f t="shared" si="1"/>
        <v>17</v>
      </c>
      <c r="C10045" s="75" t="s">
        <v>4675</v>
      </c>
      <c r="D10045" s="161" t="s">
        <v>74</v>
      </c>
      <c r="E10045" s="135">
        <f t="shared" si="62"/>
        <v>8</v>
      </c>
      <c r="F10045" s="134" t="s">
        <v>4679</v>
      </c>
      <c r="G10045" s="63" t="str">
        <f>VLOOKUP(C10045, 'Class Def. - General Data'!$C$20:$C$1000,1,false)</f>
        <v>#N/A</v>
      </c>
      <c r="H10045" s="63" t="str">
        <f>IFERROR(__xludf.DUMMYFUNCTION("VLOOKUP(F10045, IMPORTRANGE(""https://docs.google.com/spreadsheets/d/1Lhp9OU0JdFf_VYSMzH5lBcEaU4o8teT1piV-SNzShjg/edit?gid=554141278#gid=554141278"", ""'Char Def. - Attributes'!C20:C2242""), 1,false)"),"#N/A")</f>
        <v>#N/A</v>
      </c>
      <c r="I10045" s="136"/>
      <c r="R10045" s="63" t="str">
        <f t="shared" si="60"/>
        <v>ZSI1_HYD_CYLINDERORDER_UNIT_HYD_CYL</v>
      </c>
    </row>
    <row r="10046" ht="15.75" customHeight="1">
      <c r="B10046" s="63">
        <f t="shared" si="1"/>
        <v>17</v>
      </c>
      <c r="C10046" s="75" t="s">
        <v>4675</v>
      </c>
      <c r="D10046" s="161" t="s">
        <v>74</v>
      </c>
      <c r="E10046" s="135">
        <f t="shared" si="62"/>
        <v>9</v>
      </c>
      <c r="F10046" s="134" t="s">
        <v>3804</v>
      </c>
      <c r="G10046" s="63" t="str">
        <f>VLOOKUP(C10046, 'Class Def. - General Data'!$C$20:$C$1000,1,false)</f>
        <v>#N/A</v>
      </c>
      <c r="H10046" s="63" t="str">
        <f>IFERROR(__xludf.DUMMYFUNCTION("VLOOKUP(F10046, IMPORTRANGE(""https://docs.google.com/spreadsheets/d/1Lhp9OU0JdFf_VYSMzH5lBcEaU4o8teT1piV-SNzShjg/edit?gid=554141278#gid=554141278"", ""'Char Def. - Attributes'!C20:C2242""), 1,false)"),"ALT_UOM1_SIPI")</f>
        <v>ALT_UOM1_SIPI</v>
      </c>
      <c r="I10046" s="136"/>
      <c r="R10046" s="63" t="str">
        <f t="shared" si="60"/>
        <v>ZSI1_HYD_CYLINDERALT_UOM1_SIPI</v>
      </c>
    </row>
    <row r="10047" ht="15.75" customHeight="1">
      <c r="B10047" s="63">
        <f t="shared" si="1"/>
        <v>17</v>
      </c>
      <c r="C10047" s="75" t="s">
        <v>4675</v>
      </c>
      <c r="D10047" s="161" t="s">
        <v>74</v>
      </c>
      <c r="E10047" s="135">
        <f t="shared" si="62"/>
        <v>10</v>
      </c>
      <c r="F10047" s="134" t="s">
        <v>3805</v>
      </c>
      <c r="G10047" s="63" t="str">
        <f>VLOOKUP(C10047, 'Class Def. - General Data'!$C$20:$C$1000,1,false)</f>
        <v>#N/A</v>
      </c>
      <c r="H10047" s="63" t="str">
        <f>IFERROR(__xludf.DUMMYFUNCTION("VLOOKUP(F10047, IMPORTRANGE(""https://docs.google.com/spreadsheets/d/1Lhp9OU0JdFf_VYSMzH5lBcEaU4o8teT1piV-SNzShjg/edit?gid=554141278#gid=554141278"", ""'Char Def. - Attributes'!C20:C2242""), 1,false)"),"ALT_DENUM_UOM1")</f>
        <v>ALT_DENUM_UOM1</v>
      </c>
      <c r="I10047" s="136"/>
      <c r="R10047" s="63" t="str">
        <f t="shared" si="60"/>
        <v>ZSI1_HYD_CYLINDERALT_DENUM_UOM1</v>
      </c>
    </row>
    <row r="10048" ht="15.75" customHeight="1">
      <c r="B10048" s="63">
        <f t="shared" si="1"/>
        <v>17</v>
      </c>
      <c r="C10048" s="75" t="s">
        <v>4675</v>
      </c>
      <c r="D10048" s="161" t="s">
        <v>74</v>
      </c>
      <c r="E10048" s="135">
        <f t="shared" si="62"/>
        <v>11</v>
      </c>
      <c r="F10048" s="134" t="s">
        <v>3806</v>
      </c>
      <c r="G10048" s="63" t="str">
        <f>VLOOKUP(C10048, 'Class Def. - General Data'!$C$20:$C$1000,1,false)</f>
        <v>#N/A</v>
      </c>
      <c r="H10048" s="63" t="str">
        <f>IFERROR(__xludf.DUMMYFUNCTION("VLOOKUP(F10048, IMPORTRANGE(""https://docs.google.com/spreadsheets/d/1Lhp9OU0JdFf_VYSMzH5lBcEaU4o8teT1piV-SNzShjg/edit?gid=554141278#gid=554141278"", ""'Char Def. - Attributes'!C20:C2242""), 1,false)"),"ALT_NUM_UOM1")</f>
        <v>ALT_NUM_UOM1</v>
      </c>
      <c r="I10048" s="136"/>
      <c r="R10048" s="63" t="str">
        <f t="shared" si="60"/>
        <v>ZSI1_HYD_CYLINDERALT_NUM_UOM1</v>
      </c>
    </row>
    <row r="10049" ht="15.75" customHeight="1">
      <c r="B10049" s="63">
        <f t="shared" si="1"/>
        <v>17</v>
      </c>
      <c r="C10049" s="75" t="s">
        <v>4675</v>
      </c>
      <c r="D10049" s="161" t="s">
        <v>74</v>
      </c>
      <c r="E10049" s="135">
        <f t="shared" si="62"/>
        <v>12</v>
      </c>
      <c r="F10049" s="134" t="s">
        <v>3807</v>
      </c>
      <c r="G10049" s="63" t="str">
        <f>VLOOKUP(C10049, 'Class Def. - General Data'!$C$20:$C$1000,1,false)</f>
        <v>#N/A</v>
      </c>
      <c r="H10049" s="63" t="str">
        <f>IFERROR(__xludf.DUMMYFUNCTION("VLOOKUP(F10049, IMPORTRANGE(""https://docs.google.com/spreadsheets/d/1Lhp9OU0JdFf_VYSMzH5lBcEaU4o8teT1piV-SNzShjg/edit?gid=554141278#gid=554141278"", ""'Char Def. - Attributes'!C20:C2242""), 1,false)"),"ALT_UOM2_SIPI")</f>
        <v>ALT_UOM2_SIPI</v>
      </c>
      <c r="I10049" s="136"/>
      <c r="R10049" s="63" t="str">
        <f t="shared" si="60"/>
        <v>ZSI1_HYD_CYLINDERALT_UOM2_SIPI</v>
      </c>
    </row>
    <row r="10050" ht="15.75" customHeight="1">
      <c r="B10050" s="63">
        <f t="shared" si="1"/>
        <v>17</v>
      </c>
      <c r="C10050" s="75" t="s">
        <v>4675</v>
      </c>
      <c r="D10050" s="161" t="s">
        <v>74</v>
      </c>
      <c r="E10050" s="135">
        <f t="shared" si="62"/>
        <v>13</v>
      </c>
      <c r="F10050" s="134" t="s">
        <v>3808</v>
      </c>
      <c r="G10050" s="63" t="str">
        <f>VLOOKUP(C10050, 'Class Def. - General Data'!$C$20:$C$1000,1,false)</f>
        <v>#N/A</v>
      </c>
      <c r="H10050" s="63" t="str">
        <f>IFERROR(__xludf.DUMMYFUNCTION("VLOOKUP(F10050, IMPORTRANGE(""https://docs.google.com/spreadsheets/d/1Lhp9OU0JdFf_VYSMzH5lBcEaU4o8teT1piV-SNzShjg/edit?gid=554141278#gid=554141278"", ""'Char Def. - Attributes'!C20:C2242""), 1,false)"),"ALT_DENUM_UOM2")</f>
        <v>ALT_DENUM_UOM2</v>
      </c>
      <c r="I10050" s="136"/>
      <c r="R10050" s="63" t="str">
        <f t="shared" si="60"/>
        <v>ZSI1_HYD_CYLINDERALT_DENUM_UOM2</v>
      </c>
    </row>
    <row r="10051" ht="15.75" customHeight="1">
      <c r="B10051" s="63">
        <f t="shared" si="1"/>
        <v>17</v>
      </c>
      <c r="C10051" s="75" t="s">
        <v>4675</v>
      </c>
      <c r="D10051" s="161" t="s">
        <v>74</v>
      </c>
      <c r="E10051" s="135">
        <f t="shared" si="62"/>
        <v>14</v>
      </c>
      <c r="F10051" s="134" t="s">
        <v>3809</v>
      </c>
      <c r="G10051" s="63" t="str">
        <f>VLOOKUP(C10051, 'Class Def. - General Data'!$C$20:$C$1000,1,false)</f>
        <v>#N/A</v>
      </c>
      <c r="H10051" s="63" t="str">
        <f>IFERROR(__xludf.DUMMYFUNCTION("VLOOKUP(F10051, IMPORTRANGE(""https://docs.google.com/spreadsheets/d/1Lhp9OU0JdFf_VYSMzH5lBcEaU4o8teT1piV-SNzShjg/edit?gid=554141278#gid=554141278"", ""'Char Def. - Attributes'!C20:C2242""), 1,false)"),"ALT_NUM_UOM2")</f>
        <v>ALT_NUM_UOM2</v>
      </c>
      <c r="I10051" s="136"/>
      <c r="R10051" s="63" t="str">
        <f t="shared" si="60"/>
        <v>ZSI1_HYD_CYLINDERALT_NUM_UOM2</v>
      </c>
    </row>
    <row r="10052" ht="15.75" customHeight="1">
      <c r="B10052" s="63">
        <f t="shared" si="1"/>
        <v>17</v>
      </c>
      <c r="C10052" s="75" t="s">
        <v>4675</v>
      </c>
      <c r="D10052" s="161" t="s">
        <v>74</v>
      </c>
      <c r="E10052" s="135">
        <f t="shared" si="62"/>
        <v>15</v>
      </c>
      <c r="F10052" s="134" t="s">
        <v>3810</v>
      </c>
      <c r="G10052" s="63" t="str">
        <f>VLOOKUP(C10052, 'Class Def. - General Data'!$C$20:$C$1000,1,false)</f>
        <v>#N/A</v>
      </c>
      <c r="H10052" s="63" t="str">
        <f>IFERROR(__xludf.DUMMYFUNCTION("VLOOKUP(F10052, IMPORTRANGE(""https://docs.google.com/spreadsheets/d/1Lhp9OU0JdFf_VYSMzH5lBcEaU4o8teT1piV-SNzShjg/edit?gid=554141278#gid=554141278"", ""'Char Def. - Attributes'!C20:C2242""), 1,false)"),"ALT_UOM3_SIPI")</f>
        <v>ALT_UOM3_SIPI</v>
      </c>
      <c r="I10052" s="136"/>
      <c r="R10052" s="63" t="str">
        <f t="shared" si="60"/>
        <v>ZSI1_HYD_CYLINDERALT_UOM3_SIPI</v>
      </c>
    </row>
    <row r="10053" ht="15.75" customHeight="1">
      <c r="B10053" s="63">
        <f t="shared" si="1"/>
        <v>17</v>
      </c>
      <c r="C10053" s="75" t="s">
        <v>4675</v>
      </c>
      <c r="D10053" s="161" t="s">
        <v>74</v>
      </c>
      <c r="E10053" s="135">
        <f t="shared" si="62"/>
        <v>16</v>
      </c>
      <c r="F10053" s="134" t="s">
        <v>3811</v>
      </c>
      <c r="G10053" s="63" t="str">
        <f>VLOOKUP(C10053, 'Class Def. - General Data'!$C$20:$C$1000,1,false)</f>
        <v>#N/A</v>
      </c>
      <c r="H10053" s="63" t="str">
        <f>IFERROR(__xludf.DUMMYFUNCTION("VLOOKUP(F10053, IMPORTRANGE(""https://docs.google.com/spreadsheets/d/1Lhp9OU0JdFf_VYSMzH5lBcEaU4o8teT1piV-SNzShjg/edit?gid=554141278#gid=554141278"", ""'Char Def. - Attributes'!C20:C2242""), 1,false)"),"ALT_DENUM_UOM3")</f>
        <v>ALT_DENUM_UOM3</v>
      </c>
      <c r="I10053" s="136"/>
      <c r="R10053" s="63" t="str">
        <f t="shared" si="60"/>
        <v>ZSI1_HYD_CYLINDERALT_DENUM_UOM3</v>
      </c>
    </row>
    <row r="10054" ht="15.75" customHeight="1">
      <c r="B10054" s="63">
        <f t="shared" si="1"/>
        <v>17</v>
      </c>
      <c r="C10054" s="75" t="s">
        <v>4675</v>
      </c>
      <c r="D10054" s="161" t="s">
        <v>74</v>
      </c>
      <c r="E10054" s="135">
        <f t="shared" si="62"/>
        <v>17</v>
      </c>
      <c r="F10054" s="134" t="s">
        <v>3812</v>
      </c>
      <c r="G10054" s="63" t="str">
        <f>VLOOKUP(C10054, 'Class Def. - General Data'!$C$20:$C$1000,1,false)</f>
        <v>#N/A</v>
      </c>
      <c r="H10054" s="63" t="str">
        <f>IFERROR(__xludf.DUMMYFUNCTION("VLOOKUP(F10054, IMPORTRANGE(""https://docs.google.com/spreadsheets/d/1Lhp9OU0JdFf_VYSMzH5lBcEaU4o8teT1piV-SNzShjg/edit?gid=554141278#gid=554141278"", ""'Char Def. - Attributes'!C20:C2242""), 1,false)"),"ALT_NUM_UOM3")</f>
        <v>ALT_NUM_UOM3</v>
      </c>
      <c r="I10054" s="136"/>
      <c r="R10054" s="63" t="str">
        <f t="shared" si="60"/>
        <v>ZSI1_HYD_CYLINDERALT_NUM_UOM3</v>
      </c>
    </row>
    <row r="10055" ht="15.75" customHeight="1">
      <c r="B10055" s="63">
        <f t="shared" si="1"/>
        <v>17</v>
      </c>
      <c r="C10055" s="75" t="s">
        <v>4675</v>
      </c>
      <c r="D10055" s="161" t="s">
        <v>74</v>
      </c>
      <c r="E10055" s="135">
        <f t="shared" si="62"/>
        <v>18</v>
      </c>
      <c r="F10055" s="134" t="s">
        <v>3813</v>
      </c>
      <c r="G10055" s="63" t="str">
        <f>VLOOKUP(C10055, 'Class Def. - General Data'!$C$20:$C$1000,1,false)</f>
        <v>#N/A</v>
      </c>
      <c r="H10055" s="63" t="str">
        <f>IFERROR(__xludf.DUMMYFUNCTION("VLOOKUP(F10055, IMPORTRANGE(""https://docs.google.com/spreadsheets/d/1Lhp9OU0JdFf_VYSMzH5lBcEaU4o8teT1piV-SNzShjg/edit?gid=554141278#gid=554141278"", ""'Char Def. - Attributes'!C20:C2242""), 1,false)"),"ALT_UOM4_SIPI")</f>
        <v>ALT_UOM4_SIPI</v>
      </c>
      <c r="I10055" s="136"/>
      <c r="R10055" s="63" t="str">
        <f t="shared" si="60"/>
        <v>ZSI1_HYD_CYLINDERALT_UOM4_SIPI</v>
      </c>
    </row>
    <row r="10056" ht="15.75" customHeight="1">
      <c r="B10056" s="63">
        <f t="shared" si="1"/>
        <v>17</v>
      </c>
      <c r="C10056" s="75" t="s">
        <v>4675</v>
      </c>
      <c r="D10056" s="161" t="s">
        <v>74</v>
      </c>
      <c r="E10056" s="135">
        <f t="shared" si="62"/>
        <v>19</v>
      </c>
      <c r="F10056" s="134" t="s">
        <v>3814</v>
      </c>
      <c r="G10056" s="63" t="str">
        <f>VLOOKUP(C10056, 'Class Def. - General Data'!$C$20:$C$1000,1,false)</f>
        <v>#N/A</v>
      </c>
      <c r="H10056" s="63" t="str">
        <f>IFERROR(__xludf.DUMMYFUNCTION("VLOOKUP(F10056, IMPORTRANGE(""https://docs.google.com/spreadsheets/d/1Lhp9OU0JdFf_VYSMzH5lBcEaU4o8teT1piV-SNzShjg/edit?gid=554141278#gid=554141278"", ""'Char Def. - Attributes'!C20:C2242""), 1,false)"),"ALT_DENUM_UOM4")</f>
        <v>ALT_DENUM_UOM4</v>
      </c>
      <c r="I10056" s="136"/>
      <c r="R10056" s="63" t="str">
        <f t="shared" si="60"/>
        <v>ZSI1_HYD_CYLINDERALT_DENUM_UOM4</v>
      </c>
    </row>
    <row r="10057" ht="15.75" customHeight="1">
      <c r="B10057" s="63">
        <f t="shared" si="1"/>
        <v>17</v>
      </c>
      <c r="C10057" s="75" t="s">
        <v>4675</v>
      </c>
      <c r="D10057" s="161" t="s">
        <v>74</v>
      </c>
      <c r="E10057" s="135">
        <f t="shared" si="62"/>
        <v>20</v>
      </c>
      <c r="F10057" s="134" t="s">
        <v>3815</v>
      </c>
      <c r="G10057" s="63" t="str">
        <f>VLOOKUP(C10057, 'Class Def. - General Data'!$C$20:$C$1000,1,false)</f>
        <v>#N/A</v>
      </c>
      <c r="H10057" s="63" t="str">
        <f>IFERROR(__xludf.DUMMYFUNCTION("VLOOKUP(F10057, IMPORTRANGE(""https://docs.google.com/spreadsheets/d/1Lhp9OU0JdFf_VYSMzH5lBcEaU4o8teT1piV-SNzShjg/edit?gid=554141278#gid=554141278"", ""'Char Def. - Attributes'!C20:C2242""), 1,false)"),"ALT_NUM_UOM4")</f>
        <v>ALT_NUM_UOM4</v>
      </c>
      <c r="I10057" s="136"/>
      <c r="R10057" s="63" t="str">
        <f t="shared" si="60"/>
        <v>ZSI1_HYD_CYLINDERALT_NUM_UOM4</v>
      </c>
    </row>
    <row r="10058" ht="15.75" customHeight="1">
      <c r="B10058" s="63">
        <f t="shared" si="1"/>
        <v>17</v>
      </c>
      <c r="C10058" s="75" t="s">
        <v>4675</v>
      </c>
      <c r="D10058" s="161" t="s">
        <v>74</v>
      </c>
      <c r="E10058" s="135">
        <f t="shared" si="62"/>
        <v>21</v>
      </c>
      <c r="F10058" s="134" t="s">
        <v>3816</v>
      </c>
      <c r="G10058" s="63" t="str">
        <f>VLOOKUP(C10058, 'Class Def. - General Data'!$C$20:$C$1000,1,false)</f>
        <v>#N/A</v>
      </c>
      <c r="H10058" s="63" t="str">
        <f>IFERROR(__xludf.DUMMYFUNCTION("VLOOKUP(F10058, IMPORTRANGE(""https://docs.google.com/spreadsheets/d/1Lhp9OU0JdFf_VYSMzH5lBcEaU4o8teT1piV-SNzShjg/edit?gid=554141278#gid=554141278"", ""'Char Def. - Attributes'!C20:C2242""), 1,false)"),"ALT_UOM5_SIPI")</f>
        <v>ALT_UOM5_SIPI</v>
      </c>
      <c r="I10058" s="136"/>
      <c r="R10058" s="63" t="str">
        <f t="shared" si="60"/>
        <v>ZSI1_HYD_CYLINDERALT_UOM5_SIPI</v>
      </c>
    </row>
    <row r="10059" ht="15.75" customHeight="1">
      <c r="B10059" s="63">
        <f t="shared" si="1"/>
        <v>17</v>
      </c>
      <c r="C10059" s="75" t="s">
        <v>4675</v>
      </c>
      <c r="D10059" s="161" t="s">
        <v>74</v>
      </c>
      <c r="E10059" s="135">
        <f t="shared" si="62"/>
        <v>22</v>
      </c>
      <c r="F10059" s="134" t="s">
        <v>3817</v>
      </c>
      <c r="G10059" s="63" t="str">
        <f>VLOOKUP(C10059, 'Class Def. - General Data'!$C$20:$C$1000,1,false)</f>
        <v>#N/A</v>
      </c>
      <c r="H10059" s="63" t="str">
        <f>IFERROR(__xludf.DUMMYFUNCTION("VLOOKUP(F10059, IMPORTRANGE(""https://docs.google.com/spreadsheets/d/1Lhp9OU0JdFf_VYSMzH5lBcEaU4o8teT1piV-SNzShjg/edit?gid=554141278#gid=554141278"", ""'Char Def. - Attributes'!C20:C2242""), 1,false)"),"ALT_DENUM_UOM5")</f>
        <v>ALT_DENUM_UOM5</v>
      </c>
      <c r="I10059" s="136"/>
      <c r="R10059" s="63" t="str">
        <f t="shared" si="60"/>
        <v>ZSI1_HYD_CYLINDERALT_DENUM_UOM5</v>
      </c>
    </row>
    <row r="10060" ht="15.75" customHeight="1">
      <c r="B10060" s="63">
        <f t="shared" si="1"/>
        <v>17</v>
      </c>
      <c r="C10060" s="75" t="s">
        <v>4675</v>
      </c>
      <c r="D10060" s="161" t="s">
        <v>74</v>
      </c>
      <c r="E10060" s="135">
        <f t="shared" si="62"/>
        <v>23</v>
      </c>
      <c r="F10060" s="134" t="s">
        <v>3818</v>
      </c>
      <c r="G10060" s="63" t="str">
        <f>VLOOKUP(C10060, 'Class Def. - General Data'!$C$20:$C$1000,1,false)</f>
        <v>#N/A</v>
      </c>
      <c r="H10060" s="63" t="str">
        <f>IFERROR(__xludf.DUMMYFUNCTION("VLOOKUP(F10060, IMPORTRANGE(""https://docs.google.com/spreadsheets/d/1Lhp9OU0JdFf_VYSMzH5lBcEaU4o8teT1piV-SNzShjg/edit?gid=554141278#gid=554141278"", ""'Char Def. - Attributes'!C20:C2242""), 1,false)"),"ALT_NUM_UOM5")</f>
        <v>ALT_NUM_UOM5</v>
      </c>
      <c r="I10060" s="136"/>
      <c r="R10060" s="63" t="str">
        <f t="shared" si="60"/>
        <v>ZSI1_HYD_CYLINDERALT_NUM_UOM5</v>
      </c>
    </row>
    <row r="10061" ht="15.75" customHeight="1">
      <c r="B10061" s="63">
        <f t="shared" si="1"/>
        <v>16</v>
      </c>
      <c r="C10061" s="135" t="s">
        <v>516</v>
      </c>
      <c r="D10061" s="161" t="s">
        <v>74</v>
      </c>
      <c r="E10061" s="135">
        <f t="shared" si="62"/>
        <v>1</v>
      </c>
      <c r="F10061" s="134" t="s">
        <v>4680</v>
      </c>
      <c r="G10061" s="63" t="str">
        <f>VLOOKUP(C10061, 'Class Def. - General Data'!$C$20:$C$1000,1,false)</f>
        <v>ZSI1_HYD_FITTING</v>
      </c>
      <c r="H10061" s="63" t="str">
        <f>IFERROR(__xludf.DUMMYFUNCTION("VLOOKUP(F10061, IMPORTRANGE(""https://docs.google.com/spreadsheets/d/1Lhp9OU0JdFf_VYSMzH5lBcEaU4o8teT1piV-SNzShjg/edit?gid=554141278#gid=554141278"", ""'Char Def. - Attributes'!C20:C2242""), 1,false)"),"ITEM_NAME_HYD_FITTING")</f>
        <v>ITEM_NAME_HYD_FITTING</v>
      </c>
      <c r="I10061" s="136"/>
      <c r="R10061" s="63" t="str">
        <f t="shared" si="60"/>
        <v>ZSI1_HYD_FITTINGITEM_NAME_HYD_FITTING</v>
      </c>
    </row>
    <row r="10062" ht="15.75" customHeight="1">
      <c r="B10062" s="63">
        <f t="shared" si="1"/>
        <v>16</v>
      </c>
      <c r="C10062" s="135" t="s">
        <v>516</v>
      </c>
      <c r="D10062" s="161" t="s">
        <v>74</v>
      </c>
      <c r="E10062" s="135">
        <f t="shared" si="62"/>
        <v>2</v>
      </c>
      <c r="F10062" s="134" t="s">
        <v>4681</v>
      </c>
      <c r="G10062" s="63" t="str">
        <f>VLOOKUP(C10062, 'Class Def. - General Data'!$C$20:$C$1000,1,false)</f>
        <v>ZSI1_HYD_FITTING</v>
      </c>
      <c r="H10062" s="63" t="str">
        <f>IFERROR(__xludf.DUMMYFUNCTION("VLOOKUP(F10062, IMPORTRANGE(""https://docs.google.com/spreadsheets/d/1Lhp9OU0JdFf_VYSMzH5lBcEaU4o8teT1piV-SNzShjg/edit?gid=554141278#gid=554141278"", ""'Char Def. - Attributes'!C20:C2242""), 1,false)"),"MFR_NO_HYD_FITTING")</f>
        <v>MFR_NO_HYD_FITTING</v>
      </c>
      <c r="I10062" s="136"/>
      <c r="R10062" s="63" t="str">
        <f t="shared" si="60"/>
        <v>ZSI1_HYD_FITTINGMFR_NO_HYD_FITTING</v>
      </c>
    </row>
    <row r="10063" ht="15.75" customHeight="1">
      <c r="B10063" s="63">
        <f t="shared" si="1"/>
        <v>16</v>
      </c>
      <c r="C10063" s="135" t="s">
        <v>516</v>
      </c>
      <c r="D10063" s="161" t="s">
        <v>74</v>
      </c>
      <c r="E10063" s="135">
        <f t="shared" si="62"/>
        <v>3</v>
      </c>
      <c r="F10063" s="134" t="s">
        <v>3782</v>
      </c>
      <c r="G10063" s="63" t="str">
        <f>VLOOKUP(C10063, 'Class Def. - General Data'!$C$20:$C$1000,1,false)</f>
        <v>ZSI1_HYD_FITTING</v>
      </c>
      <c r="H10063" s="63" t="str">
        <f>IFERROR(__xludf.DUMMYFUNCTION("VLOOKUP(F10063, IMPORTRANGE(""https://docs.google.com/spreadsheets/d/1Lhp9OU0JdFf_VYSMzH5lBcEaU4o8teT1piV-SNzShjg/edit?gid=554141278#gid=554141278"", ""'Char Def. - Attributes'!C20:C2242""), 1,false)"),"BRAND_EXTERNAL")</f>
        <v>BRAND_EXTERNAL</v>
      </c>
      <c r="I10063" s="136"/>
      <c r="R10063" s="63" t="str">
        <f t="shared" si="60"/>
        <v>ZSI1_HYD_FITTINGBRAND_EXTERNAL</v>
      </c>
    </row>
    <row r="10064" ht="15.75" customHeight="1">
      <c r="B10064" s="63">
        <f t="shared" si="1"/>
        <v>16</v>
      </c>
      <c r="C10064" s="135" t="s">
        <v>516</v>
      </c>
      <c r="D10064" s="161" t="s">
        <v>74</v>
      </c>
      <c r="E10064" s="135">
        <f t="shared" si="62"/>
        <v>4</v>
      </c>
      <c r="F10064" s="134" t="s">
        <v>4062</v>
      </c>
      <c r="G10064" s="63" t="str">
        <f>VLOOKUP(C10064, 'Class Def. - General Data'!$C$20:$C$1000,1,false)</f>
        <v>ZSI1_HYD_FITTING</v>
      </c>
      <c r="H10064" s="63" t="str">
        <f>IFERROR(__xludf.DUMMYFUNCTION("VLOOKUP(F10064, IMPORTRANGE(""https://docs.google.com/spreadsheets/d/1Lhp9OU0JdFf_VYSMzH5lBcEaU4o8teT1piV-SNzShjg/edit?gid=554141278#gid=554141278"", ""'Char Def. - Attributes'!C20:C2242""), 1,false)"),"#N/A")</f>
        <v>#N/A</v>
      </c>
      <c r="I10064" s="136"/>
      <c r="R10064" s="63" t="str">
        <f t="shared" si="60"/>
        <v>ZSI1_HYD_FITTINGADDTIONAL_SPECIFICATION</v>
      </c>
    </row>
    <row r="10065" ht="15.75" customHeight="1">
      <c r="B10065" s="63">
        <f t="shared" si="1"/>
        <v>16</v>
      </c>
      <c r="C10065" s="135" t="s">
        <v>516</v>
      </c>
      <c r="D10065" s="161" t="s">
        <v>74</v>
      </c>
      <c r="E10065" s="135">
        <f t="shared" si="62"/>
        <v>5</v>
      </c>
      <c r="F10065" s="134" t="s">
        <v>4053</v>
      </c>
      <c r="G10065" s="63" t="str">
        <f>VLOOKUP(C10065, 'Class Def. - General Data'!$C$20:$C$1000,1,false)</f>
        <v>ZSI1_HYD_FITTING</v>
      </c>
      <c r="H10065" s="63" t="str">
        <f>IFERROR(__xludf.DUMMYFUNCTION("VLOOKUP(F10065, IMPORTRANGE(""https://docs.google.com/spreadsheets/d/1Lhp9OU0JdFf_VYSMzH5lBcEaU4o8teT1piV-SNzShjg/edit?gid=554141278#gid=554141278"", ""'Char Def. - Attributes'!C20:C2242""), 1,false)"),"MAINTENANCE_ORDER_TYPE")</f>
        <v>MAINTENANCE_ORDER_TYPE</v>
      </c>
      <c r="I10065" s="136"/>
      <c r="R10065" s="63" t="str">
        <f t="shared" si="60"/>
        <v>ZSI1_HYD_FITTINGMAINTENANCE_ORDER_TYPE</v>
      </c>
    </row>
    <row r="10066" ht="15.75" customHeight="1">
      <c r="B10066" s="63">
        <f t="shared" si="1"/>
        <v>16</v>
      </c>
      <c r="C10066" s="135" t="s">
        <v>516</v>
      </c>
      <c r="D10066" s="161" t="s">
        <v>74</v>
      </c>
      <c r="E10066" s="135">
        <f t="shared" si="62"/>
        <v>6</v>
      </c>
      <c r="F10066" s="134" t="s">
        <v>3585</v>
      </c>
      <c r="G10066" s="63" t="str">
        <f>VLOOKUP(C10066, 'Class Def. - General Data'!$C$20:$C$1000,1,false)</f>
        <v>ZSI1_HYD_FITTING</v>
      </c>
      <c r="H10066" s="63" t="str">
        <f>IFERROR(__xludf.DUMMYFUNCTION("VLOOKUP(F10066, IMPORTRANGE(""https://docs.google.com/spreadsheets/d/1Lhp9OU0JdFf_VYSMzH5lBcEaU4o8teT1piV-SNzShjg/edit?gid=554141278#gid=554141278"", ""'Char Def. - Attributes'!C20:C2242""), 1,false)"),"HS_CODE")</f>
        <v>HS_CODE</v>
      </c>
      <c r="I10066" s="136"/>
      <c r="R10066" s="63" t="str">
        <f t="shared" si="60"/>
        <v>ZSI1_HYD_FITTINGHS_CODE</v>
      </c>
    </row>
    <row r="10067" ht="15.75" customHeight="1">
      <c r="B10067" s="63">
        <f t="shared" si="1"/>
        <v>16</v>
      </c>
      <c r="C10067" s="135" t="s">
        <v>516</v>
      </c>
      <c r="D10067" s="161" t="s">
        <v>74</v>
      </c>
      <c r="E10067" s="135">
        <f t="shared" si="62"/>
        <v>7</v>
      </c>
      <c r="F10067" s="134" t="s">
        <v>3587</v>
      </c>
      <c r="G10067" s="63" t="str">
        <f>VLOOKUP(C10067, 'Class Def. - General Data'!$C$20:$C$1000,1,false)</f>
        <v>ZSI1_HYD_FITTING</v>
      </c>
      <c r="H10067" s="63" t="str">
        <f>IFERROR(__xludf.DUMMYFUNCTION("VLOOKUP(F10067, IMPORTRANGE(""https://docs.google.com/spreadsheets/d/1Lhp9OU0JdFf_VYSMzH5lBcEaU4o8teT1piV-SNzShjg/edit?gid=554141278#gid=554141278"", ""'Char Def. - Attributes'!C20:C2242""), 1,false)"),"PLANT_BUY")</f>
        <v>PLANT_BUY</v>
      </c>
      <c r="I10067" s="136"/>
      <c r="R10067" s="63" t="str">
        <f t="shared" si="60"/>
        <v>ZSI1_HYD_FITTINGPLANT_BUY</v>
      </c>
    </row>
    <row r="10068" ht="15.75" customHeight="1">
      <c r="B10068" s="63">
        <f t="shared" si="1"/>
        <v>16</v>
      </c>
      <c r="C10068" s="135" t="s">
        <v>516</v>
      </c>
      <c r="D10068" s="161" t="s">
        <v>74</v>
      </c>
      <c r="E10068" s="135">
        <f t="shared" si="62"/>
        <v>8</v>
      </c>
      <c r="F10068" s="134" t="s">
        <v>4682</v>
      </c>
      <c r="G10068" s="63" t="str">
        <f>VLOOKUP(C10068, 'Class Def. - General Data'!$C$20:$C$1000,1,false)</f>
        <v>ZSI1_HYD_FITTING</v>
      </c>
      <c r="H10068" s="63" t="str">
        <f>IFERROR(__xludf.DUMMYFUNCTION("VLOOKUP(F10068, IMPORTRANGE(""https://docs.google.com/spreadsheets/d/1Lhp9OU0JdFf_VYSMzH5lBcEaU4o8teT1piV-SNzShjg/edit?gid=554141278#gid=554141278"", ""'Char Def. - Attributes'!C20:C2242""), 1,false)"),"BASE_UOM_HYD_FITTING")</f>
        <v>BASE_UOM_HYD_FITTING</v>
      </c>
      <c r="I10068" s="136"/>
      <c r="R10068" s="63" t="str">
        <f t="shared" si="60"/>
        <v>ZSI1_HYD_FITTINGBASE_UOM_HYD_FITTING</v>
      </c>
    </row>
    <row r="10069" ht="15.75" customHeight="1">
      <c r="B10069" s="63">
        <f t="shared" si="1"/>
        <v>16</v>
      </c>
      <c r="C10069" s="135" t="s">
        <v>516</v>
      </c>
      <c r="D10069" s="161" t="s">
        <v>74</v>
      </c>
      <c r="E10069" s="135">
        <f t="shared" si="62"/>
        <v>9</v>
      </c>
      <c r="F10069" s="134" t="s">
        <v>4683</v>
      </c>
      <c r="G10069" s="63" t="str">
        <f>VLOOKUP(C10069, 'Class Def. - General Data'!$C$20:$C$1000,1,false)</f>
        <v>ZSI1_HYD_FITTING</v>
      </c>
      <c r="H10069" s="63" t="str">
        <f>IFERROR(__xludf.DUMMYFUNCTION("VLOOKUP(F10069, IMPORTRANGE(""https://docs.google.com/spreadsheets/d/1Lhp9OU0JdFf_VYSMzH5lBcEaU4o8teT1piV-SNzShjg/edit?gid=554141278#gid=554141278"", ""'Char Def. - Attributes'!C20:C2242""), 1,false)"),"ORDER_UNIT_HYD_FITTING")</f>
        <v>ORDER_UNIT_HYD_FITTING</v>
      </c>
      <c r="I10069" s="136"/>
      <c r="R10069" s="63" t="str">
        <f t="shared" si="60"/>
        <v>ZSI1_HYD_FITTINGORDER_UNIT_HYD_FITTING</v>
      </c>
    </row>
    <row r="10070" ht="15.75" customHeight="1">
      <c r="B10070" s="63">
        <f t="shared" si="1"/>
        <v>16</v>
      </c>
      <c r="C10070" s="135" t="s">
        <v>516</v>
      </c>
      <c r="D10070" s="161" t="s">
        <v>74</v>
      </c>
      <c r="E10070" s="135">
        <f t="shared" si="62"/>
        <v>10</v>
      </c>
      <c r="F10070" s="134" t="s">
        <v>4056</v>
      </c>
      <c r="G10070" s="63" t="str">
        <f>VLOOKUP(C10070, 'Class Def. - General Data'!$C$20:$C$1000,1,false)</f>
        <v>ZSI1_HYD_FITTING</v>
      </c>
      <c r="H10070" s="63" t="str">
        <f>IFERROR(__xludf.DUMMYFUNCTION("VLOOKUP(F10070, IMPORTRANGE(""https://docs.google.com/spreadsheets/d/1Lhp9OU0JdFf_VYSMzH5lBcEaU4o8teT1piV-SNzShjg/edit?gid=554141278#gid=554141278"", ""'Char Def. - Attributes'!C20:C2242""), 1,false)"),"GROSS_WEIGHT_OPT")</f>
        <v>GROSS_WEIGHT_OPT</v>
      </c>
      <c r="I10070" s="136"/>
      <c r="R10070" s="63" t="str">
        <f t="shared" si="60"/>
        <v>ZSI1_HYD_FITTINGGROSS_WEIGHT_OPT</v>
      </c>
    </row>
    <row r="10071" ht="15.75" customHeight="1">
      <c r="B10071" s="63">
        <f t="shared" si="1"/>
        <v>16</v>
      </c>
      <c r="C10071" s="135" t="s">
        <v>516</v>
      </c>
      <c r="D10071" s="161" t="s">
        <v>74</v>
      </c>
      <c r="E10071" s="135">
        <f t="shared" si="62"/>
        <v>11</v>
      </c>
      <c r="F10071" s="134" t="s">
        <v>4057</v>
      </c>
      <c r="G10071" s="63" t="str">
        <f>VLOOKUP(C10071, 'Class Def. - General Data'!$C$20:$C$1000,1,false)</f>
        <v>ZSI1_HYD_FITTING</v>
      </c>
      <c r="H10071" s="63" t="str">
        <f>IFERROR(__xludf.DUMMYFUNCTION("VLOOKUP(F10071, IMPORTRANGE(""https://docs.google.com/spreadsheets/d/1Lhp9OU0JdFf_VYSMzH5lBcEaU4o8teT1piV-SNzShjg/edit?gid=554141278#gid=554141278"", ""'Char Def. - Attributes'!C20:C2242""), 1,false)"),"NET_WEIGHT_OPT")</f>
        <v>NET_WEIGHT_OPT</v>
      </c>
      <c r="I10071" s="136"/>
      <c r="R10071" s="63" t="str">
        <f t="shared" si="60"/>
        <v>ZSI1_HYD_FITTINGNET_WEIGHT_OPT</v>
      </c>
    </row>
    <row r="10072" ht="15.75" customHeight="1">
      <c r="B10072" s="63">
        <f t="shared" si="1"/>
        <v>16</v>
      </c>
      <c r="C10072" s="135" t="s">
        <v>516</v>
      </c>
      <c r="D10072" s="161" t="s">
        <v>74</v>
      </c>
      <c r="E10072" s="135">
        <f t="shared" si="62"/>
        <v>12</v>
      </c>
      <c r="F10072" s="134" t="s">
        <v>4058</v>
      </c>
      <c r="G10072" s="63" t="str">
        <f>VLOOKUP(C10072, 'Class Def. - General Data'!$C$20:$C$1000,1,false)</f>
        <v>ZSI1_HYD_FITTING</v>
      </c>
      <c r="H10072" s="63" t="str">
        <f>IFERROR(__xludf.DUMMYFUNCTION("VLOOKUP(F10072, IMPORTRANGE(""https://docs.google.com/spreadsheets/d/1Lhp9OU0JdFf_VYSMzH5lBcEaU4o8teT1piV-SNzShjg/edit?gid=554141278#gid=554141278"", ""'Char Def. - Attributes'!C20:C2242""), 1,false)"),"WEIGHT_UNIT_SI")</f>
        <v>WEIGHT_UNIT_SI</v>
      </c>
      <c r="I10072" s="136"/>
      <c r="R10072" s="63" t="str">
        <f t="shared" si="60"/>
        <v>ZSI1_HYD_FITTINGWEIGHT_UNIT_SI</v>
      </c>
    </row>
    <row r="10073" ht="15.75" customHeight="1">
      <c r="B10073" s="63">
        <f t="shared" si="1"/>
        <v>16</v>
      </c>
      <c r="C10073" s="135" t="s">
        <v>516</v>
      </c>
      <c r="D10073" s="161" t="s">
        <v>74</v>
      </c>
      <c r="E10073" s="135">
        <f t="shared" si="62"/>
        <v>13</v>
      </c>
      <c r="F10073" s="134" t="s">
        <v>3877</v>
      </c>
      <c r="G10073" s="63" t="str">
        <f>VLOOKUP(C10073, 'Class Def. - General Data'!$C$20:$C$1000,1,false)</f>
        <v>ZSI1_HYD_FITTING</v>
      </c>
      <c r="H10073" s="63" t="str">
        <f>IFERROR(__xludf.DUMMYFUNCTION("VLOOKUP(F10073, IMPORTRANGE(""https://docs.google.com/spreadsheets/d/1Lhp9OU0JdFf_VYSMzH5lBcEaU4o8teT1piV-SNzShjg/edit?gid=554141278#gid=554141278"", ""'Char Def. - Attributes'!C20:C2242""), 1,false)"),"VOLUME_OPT")</f>
        <v>VOLUME_OPT</v>
      </c>
      <c r="I10073" s="136"/>
      <c r="R10073" s="63" t="str">
        <f t="shared" si="60"/>
        <v>ZSI1_HYD_FITTINGVOLUME_OPT</v>
      </c>
    </row>
    <row r="10074" ht="15.75" customHeight="1">
      <c r="B10074" s="63">
        <f t="shared" si="1"/>
        <v>16</v>
      </c>
      <c r="C10074" s="135" t="s">
        <v>516</v>
      </c>
      <c r="D10074" s="161" t="s">
        <v>74</v>
      </c>
      <c r="E10074" s="135">
        <f t="shared" si="62"/>
        <v>14</v>
      </c>
      <c r="F10074" s="134" t="s">
        <v>4059</v>
      </c>
      <c r="G10074" s="63" t="str">
        <f>VLOOKUP(C10074, 'Class Def. - General Data'!$C$20:$C$1000,1,false)</f>
        <v>ZSI1_HYD_FITTING</v>
      </c>
      <c r="H10074" s="63" t="str">
        <f>IFERROR(__xludf.DUMMYFUNCTION("VLOOKUP(F10074, IMPORTRANGE(""https://docs.google.com/spreadsheets/d/1Lhp9OU0JdFf_VYSMzH5lBcEaU4o8teT1piV-SNzShjg/edit?gid=554141278#gid=554141278"", ""'Char Def. - Attributes'!C20:C2242""), 1,false)"),"VOLUME_UNIT_SI")</f>
        <v>VOLUME_UNIT_SI</v>
      </c>
      <c r="I10074" s="136"/>
      <c r="R10074" s="63" t="str">
        <f t="shared" si="60"/>
        <v>ZSI1_HYD_FITTINGVOLUME_UNIT_SI</v>
      </c>
    </row>
    <row r="10075" ht="15.75" customHeight="1">
      <c r="B10075" s="63">
        <f t="shared" si="1"/>
        <v>16</v>
      </c>
      <c r="C10075" s="135" t="s">
        <v>516</v>
      </c>
      <c r="D10075" s="161" t="s">
        <v>74</v>
      </c>
      <c r="E10075" s="135">
        <f t="shared" si="62"/>
        <v>15</v>
      </c>
      <c r="F10075" s="134" t="s">
        <v>3804</v>
      </c>
      <c r="G10075" s="63" t="str">
        <f>VLOOKUP(C10075, 'Class Def. - General Data'!$C$20:$C$1000,1,false)</f>
        <v>ZSI1_HYD_FITTING</v>
      </c>
      <c r="H10075" s="63" t="str">
        <f>IFERROR(__xludf.DUMMYFUNCTION("VLOOKUP(F10075, IMPORTRANGE(""https://docs.google.com/spreadsheets/d/1Lhp9OU0JdFf_VYSMzH5lBcEaU4o8teT1piV-SNzShjg/edit?gid=554141278#gid=554141278"", ""'Char Def. - Attributes'!C20:C2242""), 1,false)"),"ALT_UOM1_SIPI")</f>
        <v>ALT_UOM1_SIPI</v>
      </c>
      <c r="I10075" s="136"/>
      <c r="R10075" s="63" t="str">
        <f t="shared" si="60"/>
        <v>ZSI1_HYD_FITTINGALT_UOM1_SIPI</v>
      </c>
    </row>
    <row r="10076" ht="15.75" customHeight="1">
      <c r="B10076" s="63">
        <f t="shared" si="1"/>
        <v>16</v>
      </c>
      <c r="C10076" s="135" t="s">
        <v>516</v>
      </c>
      <c r="D10076" s="161" t="s">
        <v>74</v>
      </c>
      <c r="E10076" s="135">
        <f t="shared" si="62"/>
        <v>16</v>
      </c>
      <c r="F10076" s="134" t="s">
        <v>3805</v>
      </c>
      <c r="G10076" s="63" t="str">
        <f>VLOOKUP(C10076, 'Class Def. - General Data'!$C$20:$C$1000,1,false)</f>
        <v>ZSI1_HYD_FITTING</v>
      </c>
      <c r="H10076" s="63" t="str">
        <f>IFERROR(__xludf.DUMMYFUNCTION("VLOOKUP(F10076, IMPORTRANGE(""https://docs.google.com/spreadsheets/d/1Lhp9OU0JdFf_VYSMzH5lBcEaU4o8teT1piV-SNzShjg/edit?gid=554141278#gid=554141278"", ""'Char Def. - Attributes'!C20:C2242""), 1,false)"),"ALT_DENUM_UOM1")</f>
        <v>ALT_DENUM_UOM1</v>
      </c>
      <c r="I10076" s="136"/>
      <c r="R10076" s="63" t="str">
        <f t="shared" si="60"/>
        <v>ZSI1_HYD_FITTINGALT_DENUM_UOM1</v>
      </c>
    </row>
    <row r="10077" ht="15.75" customHeight="1">
      <c r="B10077" s="63">
        <f t="shared" si="1"/>
        <v>16</v>
      </c>
      <c r="C10077" s="135" t="s">
        <v>516</v>
      </c>
      <c r="D10077" s="161" t="s">
        <v>74</v>
      </c>
      <c r="E10077" s="135">
        <f t="shared" si="62"/>
        <v>17</v>
      </c>
      <c r="F10077" s="134" t="s">
        <v>3806</v>
      </c>
      <c r="G10077" s="63" t="str">
        <f>VLOOKUP(C10077, 'Class Def. - General Data'!$C$20:$C$1000,1,false)</f>
        <v>ZSI1_HYD_FITTING</v>
      </c>
      <c r="H10077" s="63" t="str">
        <f>IFERROR(__xludf.DUMMYFUNCTION("VLOOKUP(F10077, IMPORTRANGE(""https://docs.google.com/spreadsheets/d/1Lhp9OU0JdFf_VYSMzH5lBcEaU4o8teT1piV-SNzShjg/edit?gid=554141278#gid=554141278"", ""'Char Def. - Attributes'!C20:C2242""), 1,false)"),"ALT_NUM_UOM1")</f>
        <v>ALT_NUM_UOM1</v>
      </c>
      <c r="I10077" s="136"/>
      <c r="R10077" s="63" t="str">
        <f t="shared" si="60"/>
        <v>ZSI1_HYD_FITTINGALT_NUM_UOM1</v>
      </c>
    </row>
    <row r="10078" ht="15.75" customHeight="1">
      <c r="B10078" s="63">
        <f t="shared" si="1"/>
        <v>16</v>
      </c>
      <c r="C10078" s="135" t="s">
        <v>516</v>
      </c>
      <c r="D10078" s="161" t="s">
        <v>74</v>
      </c>
      <c r="E10078" s="135">
        <f t="shared" si="62"/>
        <v>18</v>
      </c>
      <c r="F10078" s="134" t="s">
        <v>3807</v>
      </c>
      <c r="G10078" s="63" t="str">
        <f>VLOOKUP(C10078, 'Class Def. - General Data'!$C$20:$C$1000,1,false)</f>
        <v>ZSI1_HYD_FITTING</v>
      </c>
      <c r="H10078" s="63" t="str">
        <f>IFERROR(__xludf.DUMMYFUNCTION("VLOOKUP(F10078, IMPORTRANGE(""https://docs.google.com/spreadsheets/d/1Lhp9OU0JdFf_VYSMzH5lBcEaU4o8teT1piV-SNzShjg/edit?gid=554141278#gid=554141278"", ""'Char Def. - Attributes'!C20:C2242""), 1,false)"),"ALT_UOM2_SIPI")</f>
        <v>ALT_UOM2_SIPI</v>
      </c>
      <c r="I10078" s="136"/>
      <c r="R10078" s="63" t="str">
        <f t="shared" si="60"/>
        <v>ZSI1_HYD_FITTINGALT_UOM2_SIPI</v>
      </c>
    </row>
    <row r="10079" ht="15.75" customHeight="1">
      <c r="B10079" s="63">
        <f t="shared" si="1"/>
        <v>16</v>
      </c>
      <c r="C10079" s="135" t="s">
        <v>516</v>
      </c>
      <c r="D10079" s="161" t="s">
        <v>74</v>
      </c>
      <c r="E10079" s="135">
        <f t="shared" si="62"/>
        <v>19</v>
      </c>
      <c r="F10079" s="134" t="s">
        <v>3808</v>
      </c>
      <c r="G10079" s="63" t="str">
        <f>VLOOKUP(C10079, 'Class Def. - General Data'!$C$20:$C$1000,1,false)</f>
        <v>ZSI1_HYD_FITTING</v>
      </c>
      <c r="H10079" s="63" t="str">
        <f>IFERROR(__xludf.DUMMYFUNCTION("VLOOKUP(F10079, IMPORTRANGE(""https://docs.google.com/spreadsheets/d/1Lhp9OU0JdFf_VYSMzH5lBcEaU4o8teT1piV-SNzShjg/edit?gid=554141278#gid=554141278"", ""'Char Def. - Attributes'!C20:C2242""), 1,false)"),"ALT_DENUM_UOM2")</f>
        <v>ALT_DENUM_UOM2</v>
      </c>
      <c r="I10079" s="136"/>
      <c r="R10079" s="63" t="str">
        <f t="shared" si="60"/>
        <v>ZSI1_HYD_FITTINGALT_DENUM_UOM2</v>
      </c>
    </row>
    <row r="10080" ht="15.75" customHeight="1">
      <c r="B10080" s="63">
        <f t="shared" si="1"/>
        <v>16</v>
      </c>
      <c r="C10080" s="135" t="s">
        <v>516</v>
      </c>
      <c r="D10080" s="161" t="s">
        <v>74</v>
      </c>
      <c r="E10080" s="135">
        <f t="shared" si="62"/>
        <v>20</v>
      </c>
      <c r="F10080" s="134" t="s">
        <v>3809</v>
      </c>
      <c r="G10080" s="63" t="str">
        <f>VLOOKUP(C10080, 'Class Def. - General Data'!$C$20:$C$1000,1,false)</f>
        <v>ZSI1_HYD_FITTING</v>
      </c>
      <c r="H10080" s="63" t="str">
        <f>IFERROR(__xludf.DUMMYFUNCTION("VLOOKUP(F10080, IMPORTRANGE(""https://docs.google.com/spreadsheets/d/1Lhp9OU0JdFf_VYSMzH5lBcEaU4o8teT1piV-SNzShjg/edit?gid=554141278#gid=554141278"", ""'Char Def. - Attributes'!C20:C2242""), 1,false)"),"ALT_NUM_UOM2")</f>
        <v>ALT_NUM_UOM2</v>
      </c>
      <c r="I10080" s="136"/>
      <c r="R10080" s="63" t="str">
        <f t="shared" si="60"/>
        <v>ZSI1_HYD_FITTINGALT_NUM_UOM2</v>
      </c>
    </row>
    <row r="10081" ht="15.75" customHeight="1">
      <c r="B10081" s="63">
        <f t="shared" si="1"/>
        <v>16</v>
      </c>
      <c r="C10081" s="135" t="s">
        <v>516</v>
      </c>
      <c r="D10081" s="161" t="s">
        <v>74</v>
      </c>
      <c r="E10081" s="135">
        <f t="shared" si="62"/>
        <v>21</v>
      </c>
      <c r="F10081" s="134" t="s">
        <v>3810</v>
      </c>
      <c r="G10081" s="63" t="str">
        <f>VLOOKUP(C10081, 'Class Def. - General Data'!$C$20:$C$1000,1,false)</f>
        <v>ZSI1_HYD_FITTING</v>
      </c>
      <c r="H10081" s="63" t="str">
        <f>IFERROR(__xludf.DUMMYFUNCTION("VLOOKUP(F10081, IMPORTRANGE(""https://docs.google.com/spreadsheets/d/1Lhp9OU0JdFf_VYSMzH5lBcEaU4o8teT1piV-SNzShjg/edit?gid=554141278#gid=554141278"", ""'Char Def. - Attributes'!C20:C2242""), 1,false)"),"ALT_UOM3_SIPI")</f>
        <v>ALT_UOM3_SIPI</v>
      </c>
      <c r="I10081" s="136"/>
      <c r="R10081" s="63" t="str">
        <f t="shared" si="60"/>
        <v>ZSI1_HYD_FITTINGALT_UOM3_SIPI</v>
      </c>
    </row>
    <row r="10082" ht="15.75" customHeight="1">
      <c r="B10082" s="63">
        <f t="shared" si="1"/>
        <v>16</v>
      </c>
      <c r="C10082" s="135" t="s">
        <v>516</v>
      </c>
      <c r="D10082" s="161" t="s">
        <v>74</v>
      </c>
      <c r="E10082" s="135">
        <f t="shared" si="62"/>
        <v>22</v>
      </c>
      <c r="F10082" s="134" t="s">
        <v>3811</v>
      </c>
      <c r="G10082" s="63" t="str">
        <f>VLOOKUP(C10082, 'Class Def. - General Data'!$C$20:$C$1000,1,false)</f>
        <v>ZSI1_HYD_FITTING</v>
      </c>
      <c r="H10082" s="63" t="str">
        <f>IFERROR(__xludf.DUMMYFUNCTION("VLOOKUP(F10082, IMPORTRANGE(""https://docs.google.com/spreadsheets/d/1Lhp9OU0JdFf_VYSMzH5lBcEaU4o8teT1piV-SNzShjg/edit?gid=554141278#gid=554141278"", ""'Char Def. - Attributes'!C20:C2242""), 1,false)"),"ALT_DENUM_UOM3")</f>
        <v>ALT_DENUM_UOM3</v>
      </c>
      <c r="I10082" s="136"/>
      <c r="R10082" s="63" t="str">
        <f t="shared" si="60"/>
        <v>ZSI1_HYD_FITTINGALT_DENUM_UOM3</v>
      </c>
    </row>
    <row r="10083" ht="15.75" customHeight="1">
      <c r="B10083" s="63">
        <f t="shared" si="1"/>
        <v>16</v>
      </c>
      <c r="C10083" s="135" t="s">
        <v>516</v>
      </c>
      <c r="D10083" s="161" t="s">
        <v>74</v>
      </c>
      <c r="E10083" s="135">
        <f t="shared" si="62"/>
        <v>23</v>
      </c>
      <c r="F10083" s="134" t="s">
        <v>3812</v>
      </c>
      <c r="G10083" s="63" t="str">
        <f>VLOOKUP(C10083, 'Class Def. - General Data'!$C$20:$C$1000,1,false)</f>
        <v>ZSI1_HYD_FITTING</v>
      </c>
      <c r="H10083" s="63" t="str">
        <f>IFERROR(__xludf.DUMMYFUNCTION("VLOOKUP(F10083, IMPORTRANGE(""https://docs.google.com/spreadsheets/d/1Lhp9OU0JdFf_VYSMzH5lBcEaU4o8teT1piV-SNzShjg/edit?gid=554141278#gid=554141278"", ""'Char Def. - Attributes'!C20:C2242""), 1,false)"),"ALT_NUM_UOM3")</f>
        <v>ALT_NUM_UOM3</v>
      </c>
      <c r="I10083" s="136"/>
      <c r="R10083" s="63" t="str">
        <f t="shared" si="60"/>
        <v>ZSI1_HYD_FITTINGALT_NUM_UOM3</v>
      </c>
    </row>
    <row r="10084" ht="15.75" customHeight="1">
      <c r="B10084" s="63">
        <f t="shared" si="1"/>
        <v>16</v>
      </c>
      <c r="C10084" s="135" t="s">
        <v>516</v>
      </c>
      <c r="D10084" s="161" t="s">
        <v>74</v>
      </c>
      <c r="E10084" s="135">
        <f t="shared" si="62"/>
        <v>24</v>
      </c>
      <c r="F10084" s="134" t="s">
        <v>3813</v>
      </c>
      <c r="G10084" s="63" t="str">
        <f>VLOOKUP(C10084, 'Class Def. - General Data'!$C$20:$C$1000,1,false)</f>
        <v>ZSI1_HYD_FITTING</v>
      </c>
      <c r="H10084" s="63" t="str">
        <f>IFERROR(__xludf.DUMMYFUNCTION("VLOOKUP(F10084, IMPORTRANGE(""https://docs.google.com/spreadsheets/d/1Lhp9OU0JdFf_VYSMzH5lBcEaU4o8teT1piV-SNzShjg/edit?gid=554141278#gid=554141278"", ""'Char Def. - Attributes'!C20:C2242""), 1,false)"),"ALT_UOM4_SIPI")</f>
        <v>ALT_UOM4_SIPI</v>
      </c>
      <c r="I10084" s="136"/>
      <c r="R10084" s="63" t="str">
        <f t="shared" si="60"/>
        <v>ZSI1_HYD_FITTINGALT_UOM4_SIPI</v>
      </c>
    </row>
    <row r="10085" ht="15.75" customHeight="1">
      <c r="B10085" s="63">
        <f t="shared" si="1"/>
        <v>16</v>
      </c>
      <c r="C10085" s="135" t="s">
        <v>516</v>
      </c>
      <c r="D10085" s="161" t="s">
        <v>74</v>
      </c>
      <c r="E10085" s="135">
        <f t="shared" si="62"/>
        <v>25</v>
      </c>
      <c r="F10085" s="134" t="s">
        <v>3814</v>
      </c>
      <c r="G10085" s="63" t="str">
        <f>VLOOKUP(C10085, 'Class Def. - General Data'!$C$20:$C$1000,1,false)</f>
        <v>ZSI1_HYD_FITTING</v>
      </c>
      <c r="H10085" s="63" t="str">
        <f>IFERROR(__xludf.DUMMYFUNCTION("VLOOKUP(F10085, IMPORTRANGE(""https://docs.google.com/spreadsheets/d/1Lhp9OU0JdFf_VYSMzH5lBcEaU4o8teT1piV-SNzShjg/edit?gid=554141278#gid=554141278"", ""'Char Def. - Attributes'!C20:C2242""), 1,false)"),"ALT_DENUM_UOM4")</f>
        <v>ALT_DENUM_UOM4</v>
      </c>
      <c r="I10085" s="136"/>
      <c r="R10085" s="63" t="str">
        <f t="shared" si="60"/>
        <v>ZSI1_HYD_FITTINGALT_DENUM_UOM4</v>
      </c>
    </row>
    <row r="10086" ht="15.75" customHeight="1">
      <c r="B10086" s="63">
        <f t="shared" si="1"/>
        <v>16</v>
      </c>
      <c r="C10086" s="135" t="s">
        <v>516</v>
      </c>
      <c r="D10086" s="161" t="s">
        <v>74</v>
      </c>
      <c r="E10086" s="135">
        <f t="shared" si="62"/>
        <v>26</v>
      </c>
      <c r="F10086" s="134" t="s">
        <v>3815</v>
      </c>
      <c r="G10086" s="63" t="str">
        <f>VLOOKUP(C10086, 'Class Def. - General Data'!$C$20:$C$1000,1,false)</f>
        <v>ZSI1_HYD_FITTING</v>
      </c>
      <c r="H10086" s="63" t="str">
        <f>IFERROR(__xludf.DUMMYFUNCTION("VLOOKUP(F10086, IMPORTRANGE(""https://docs.google.com/spreadsheets/d/1Lhp9OU0JdFf_VYSMzH5lBcEaU4o8teT1piV-SNzShjg/edit?gid=554141278#gid=554141278"", ""'Char Def. - Attributes'!C20:C2242""), 1,false)"),"ALT_NUM_UOM4")</f>
        <v>ALT_NUM_UOM4</v>
      </c>
      <c r="I10086" s="136"/>
      <c r="R10086" s="63" t="str">
        <f t="shared" si="60"/>
        <v>ZSI1_HYD_FITTINGALT_NUM_UOM4</v>
      </c>
    </row>
    <row r="10087" ht="15.75" customHeight="1">
      <c r="B10087" s="63">
        <f t="shared" si="1"/>
        <v>16</v>
      </c>
      <c r="C10087" s="135" t="s">
        <v>516</v>
      </c>
      <c r="D10087" s="161" t="s">
        <v>74</v>
      </c>
      <c r="E10087" s="135">
        <f t="shared" si="62"/>
        <v>27</v>
      </c>
      <c r="F10087" s="134" t="s">
        <v>3816</v>
      </c>
      <c r="G10087" s="63" t="str">
        <f>VLOOKUP(C10087, 'Class Def. - General Data'!$C$20:$C$1000,1,false)</f>
        <v>ZSI1_HYD_FITTING</v>
      </c>
      <c r="H10087" s="63" t="str">
        <f>IFERROR(__xludf.DUMMYFUNCTION("VLOOKUP(F10087, IMPORTRANGE(""https://docs.google.com/spreadsheets/d/1Lhp9OU0JdFf_VYSMzH5lBcEaU4o8teT1piV-SNzShjg/edit?gid=554141278#gid=554141278"", ""'Char Def. - Attributes'!C20:C2242""), 1,false)"),"ALT_UOM5_SIPI")</f>
        <v>ALT_UOM5_SIPI</v>
      </c>
      <c r="I10087" s="136"/>
      <c r="R10087" s="63" t="str">
        <f t="shared" si="60"/>
        <v>ZSI1_HYD_FITTINGALT_UOM5_SIPI</v>
      </c>
    </row>
    <row r="10088" ht="15.75" customHeight="1">
      <c r="B10088" s="63">
        <f t="shared" si="1"/>
        <v>16</v>
      </c>
      <c r="C10088" s="135" t="s">
        <v>516</v>
      </c>
      <c r="D10088" s="161" t="s">
        <v>74</v>
      </c>
      <c r="E10088" s="135">
        <f t="shared" si="62"/>
        <v>28</v>
      </c>
      <c r="F10088" s="134" t="s">
        <v>3817</v>
      </c>
      <c r="G10088" s="63" t="str">
        <f>VLOOKUP(C10088, 'Class Def. - General Data'!$C$20:$C$1000,1,false)</f>
        <v>ZSI1_HYD_FITTING</v>
      </c>
      <c r="H10088" s="63" t="str">
        <f>IFERROR(__xludf.DUMMYFUNCTION("VLOOKUP(F10088, IMPORTRANGE(""https://docs.google.com/spreadsheets/d/1Lhp9OU0JdFf_VYSMzH5lBcEaU4o8teT1piV-SNzShjg/edit?gid=554141278#gid=554141278"", ""'Char Def. - Attributes'!C20:C2242""), 1,false)"),"ALT_DENUM_UOM5")</f>
        <v>ALT_DENUM_UOM5</v>
      </c>
      <c r="I10088" s="136"/>
      <c r="R10088" s="63" t="str">
        <f t="shared" si="60"/>
        <v>ZSI1_HYD_FITTINGALT_DENUM_UOM5</v>
      </c>
    </row>
    <row r="10089" ht="15.75" customHeight="1">
      <c r="B10089" s="63">
        <f t="shared" si="1"/>
        <v>16</v>
      </c>
      <c r="C10089" s="135" t="s">
        <v>516</v>
      </c>
      <c r="D10089" s="161" t="s">
        <v>74</v>
      </c>
      <c r="E10089" s="135">
        <f t="shared" si="62"/>
        <v>29</v>
      </c>
      <c r="F10089" s="134" t="s">
        <v>3818</v>
      </c>
      <c r="G10089" s="63" t="str">
        <f>VLOOKUP(C10089, 'Class Def. - General Data'!$C$20:$C$1000,1,false)</f>
        <v>ZSI1_HYD_FITTING</v>
      </c>
      <c r="H10089" s="63" t="str">
        <f>IFERROR(__xludf.DUMMYFUNCTION("VLOOKUP(F10089, IMPORTRANGE(""https://docs.google.com/spreadsheets/d/1Lhp9OU0JdFf_VYSMzH5lBcEaU4o8teT1piV-SNzShjg/edit?gid=554141278#gid=554141278"", ""'Char Def. - Attributes'!C20:C2242""), 1,false)"),"ALT_NUM_UOM5")</f>
        <v>ALT_NUM_UOM5</v>
      </c>
      <c r="I10089" s="136"/>
      <c r="R10089" s="63" t="str">
        <f t="shared" si="60"/>
        <v>ZSI1_HYD_FITTINGALT_NUM_UOM5</v>
      </c>
    </row>
    <row r="10090" ht="15.75" customHeight="1">
      <c r="B10090" s="63">
        <f t="shared" si="1"/>
        <v>13</v>
      </c>
      <c r="C10090" s="135" t="s">
        <v>517</v>
      </c>
      <c r="D10090" s="161" t="s">
        <v>74</v>
      </c>
      <c r="E10090" s="135">
        <f t="shared" si="62"/>
        <v>1</v>
      </c>
      <c r="F10090" s="134" t="s">
        <v>4684</v>
      </c>
      <c r="G10090" s="63" t="str">
        <f>VLOOKUP(C10090, 'Class Def. - General Data'!$C$20:$C$1000,1,false)</f>
        <v>ZSI1_HYD_HOSE</v>
      </c>
      <c r="H10090" s="63" t="str">
        <f>IFERROR(__xludf.DUMMYFUNCTION("VLOOKUP(F10090, IMPORTRANGE(""https://docs.google.com/spreadsheets/d/1Lhp9OU0JdFf_VYSMzH5lBcEaU4o8teT1piV-SNzShjg/edit?gid=554141278#gid=554141278"", ""'Char Def. - Attributes'!C20:C2242""), 1,false)"),"ITEM_NAME_HYD_HOSE")</f>
        <v>ITEM_NAME_HYD_HOSE</v>
      </c>
      <c r="I10090" s="136"/>
      <c r="R10090" s="63" t="str">
        <f t="shared" si="60"/>
        <v>ZSI1_HYD_HOSEITEM_NAME_HYD_HOSE</v>
      </c>
    </row>
    <row r="10091" ht="15.75" customHeight="1">
      <c r="B10091" s="63">
        <f t="shared" si="1"/>
        <v>13</v>
      </c>
      <c r="C10091" s="135" t="s">
        <v>517</v>
      </c>
      <c r="D10091" s="161" t="s">
        <v>74</v>
      </c>
      <c r="E10091" s="135">
        <f t="shared" si="62"/>
        <v>2</v>
      </c>
      <c r="F10091" s="134" t="s">
        <v>4685</v>
      </c>
      <c r="G10091" s="63" t="str">
        <f>VLOOKUP(C10091, 'Class Def. - General Data'!$C$20:$C$1000,1,false)</f>
        <v>ZSI1_HYD_HOSE</v>
      </c>
      <c r="H10091" s="63" t="str">
        <f>IFERROR(__xludf.DUMMYFUNCTION("VLOOKUP(F10091, IMPORTRANGE(""https://docs.google.com/spreadsheets/d/1Lhp9OU0JdFf_VYSMzH5lBcEaU4o8teT1piV-SNzShjg/edit?gid=554141278#gid=554141278"", ""'Char Def. - Attributes'!C20:C2242""), 1,false)"),"SIZE_HYD_HOSE")</f>
        <v>SIZE_HYD_HOSE</v>
      </c>
      <c r="I10091" s="136"/>
      <c r="R10091" s="63" t="str">
        <f t="shared" si="60"/>
        <v>ZSI1_HYD_HOSESIZE_HYD_HOSE</v>
      </c>
    </row>
    <row r="10092" ht="15.75" customHeight="1">
      <c r="B10092" s="63">
        <f t="shared" si="1"/>
        <v>13</v>
      </c>
      <c r="C10092" s="135" t="s">
        <v>517</v>
      </c>
      <c r="D10092" s="161" t="s">
        <v>74</v>
      </c>
      <c r="E10092" s="135">
        <f t="shared" si="62"/>
        <v>3</v>
      </c>
      <c r="F10092" s="134" t="s">
        <v>4686</v>
      </c>
      <c r="G10092" s="63" t="str">
        <f>VLOOKUP(C10092, 'Class Def. - General Data'!$C$20:$C$1000,1,false)</f>
        <v>ZSI1_HYD_HOSE</v>
      </c>
      <c r="H10092" s="63" t="str">
        <f>IFERROR(__xludf.DUMMYFUNCTION("VLOOKUP(F10092, IMPORTRANGE(""https://docs.google.com/spreadsheets/d/1Lhp9OU0JdFf_VYSMzH5lBcEaU4o8teT1piV-SNzShjg/edit?gid=554141278#gid=554141278"", ""'Char Def. - Attributes'!C20:C2242""), 1,false)"),"MATERIAL_HYD_HOSE")</f>
        <v>MATERIAL_HYD_HOSE</v>
      </c>
      <c r="I10092" s="136"/>
      <c r="R10092" s="63" t="str">
        <f t="shared" si="60"/>
        <v>ZSI1_HYD_HOSEMATERIAL_HYD_HOSE</v>
      </c>
    </row>
    <row r="10093" ht="15.75" customHeight="1">
      <c r="B10093" s="63">
        <f t="shared" si="1"/>
        <v>13</v>
      </c>
      <c r="C10093" s="135" t="s">
        <v>517</v>
      </c>
      <c r="D10093" s="161" t="s">
        <v>74</v>
      </c>
      <c r="E10093" s="135">
        <f t="shared" si="62"/>
        <v>4</v>
      </c>
      <c r="F10093" s="134" t="s">
        <v>4687</v>
      </c>
      <c r="G10093" s="63" t="str">
        <f>VLOOKUP(C10093, 'Class Def. - General Data'!$C$20:$C$1000,1,false)</f>
        <v>ZSI1_HYD_HOSE</v>
      </c>
      <c r="H10093" s="63" t="str">
        <f>IFERROR(__xludf.DUMMYFUNCTION("VLOOKUP(F10093, IMPORTRANGE(""https://docs.google.com/spreadsheets/d/1Lhp9OU0JdFf_VYSMzH5lBcEaU4o8teT1piV-SNzShjg/edit?gid=554141278#gid=554141278"", ""'Char Def. - Attributes'!C20:C2242""), 1,false)"),"MFR_NO_HYD_HOSE")</f>
        <v>MFR_NO_HYD_HOSE</v>
      </c>
      <c r="I10093" s="136"/>
      <c r="R10093" s="63" t="str">
        <f t="shared" si="60"/>
        <v>ZSI1_HYD_HOSEMFR_NO_HYD_HOSE</v>
      </c>
    </row>
    <row r="10094" ht="15.75" customHeight="1">
      <c r="B10094" s="63">
        <f t="shared" si="1"/>
        <v>13</v>
      </c>
      <c r="C10094" s="135" t="s">
        <v>517</v>
      </c>
      <c r="D10094" s="161" t="s">
        <v>74</v>
      </c>
      <c r="E10094" s="135">
        <f t="shared" si="62"/>
        <v>5</v>
      </c>
      <c r="F10094" s="134" t="s">
        <v>3782</v>
      </c>
      <c r="G10094" s="63" t="str">
        <f>VLOOKUP(C10094, 'Class Def. - General Data'!$C$20:$C$1000,1,false)</f>
        <v>ZSI1_HYD_HOSE</v>
      </c>
      <c r="H10094" s="63" t="str">
        <f>IFERROR(__xludf.DUMMYFUNCTION("VLOOKUP(F10094, IMPORTRANGE(""https://docs.google.com/spreadsheets/d/1Lhp9OU0JdFf_VYSMzH5lBcEaU4o8teT1piV-SNzShjg/edit?gid=554141278#gid=554141278"", ""'Char Def. - Attributes'!C20:C2242""), 1,false)"),"BRAND_EXTERNAL")</f>
        <v>BRAND_EXTERNAL</v>
      </c>
      <c r="I10094" s="136"/>
      <c r="R10094" s="63" t="str">
        <f t="shared" si="60"/>
        <v>ZSI1_HYD_HOSEBRAND_EXTERNAL</v>
      </c>
    </row>
    <row r="10095" ht="15.75" customHeight="1">
      <c r="B10095" s="63">
        <f t="shared" si="1"/>
        <v>13</v>
      </c>
      <c r="C10095" s="135" t="s">
        <v>517</v>
      </c>
      <c r="D10095" s="161" t="s">
        <v>74</v>
      </c>
      <c r="E10095" s="135">
        <f t="shared" si="62"/>
        <v>6</v>
      </c>
      <c r="F10095" s="134" t="s">
        <v>4062</v>
      </c>
      <c r="G10095" s="63" t="str">
        <f>VLOOKUP(C10095, 'Class Def. - General Data'!$C$20:$C$1000,1,false)</f>
        <v>ZSI1_HYD_HOSE</v>
      </c>
      <c r="H10095" s="63" t="str">
        <f>IFERROR(__xludf.DUMMYFUNCTION("VLOOKUP(F10095, IMPORTRANGE(""https://docs.google.com/spreadsheets/d/1Lhp9OU0JdFf_VYSMzH5lBcEaU4o8teT1piV-SNzShjg/edit?gid=554141278#gid=554141278"", ""'Char Def. - Attributes'!C20:C2242""), 1,false)"),"#N/A")</f>
        <v>#N/A</v>
      </c>
      <c r="I10095" s="136"/>
      <c r="R10095" s="63" t="str">
        <f t="shared" si="60"/>
        <v>ZSI1_HYD_HOSEADDTIONAL_SPECIFICATION</v>
      </c>
    </row>
    <row r="10096" ht="15.75" customHeight="1">
      <c r="B10096" s="63">
        <f t="shared" si="1"/>
        <v>13</v>
      </c>
      <c r="C10096" s="135" t="s">
        <v>517</v>
      </c>
      <c r="D10096" s="161" t="s">
        <v>74</v>
      </c>
      <c r="E10096" s="135">
        <f t="shared" si="62"/>
        <v>7</v>
      </c>
      <c r="F10096" s="134" t="s">
        <v>4053</v>
      </c>
      <c r="G10096" s="63" t="str">
        <f>VLOOKUP(C10096, 'Class Def. - General Data'!$C$20:$C$1000,1,false)</f>
        <v>ZSI1_HYD_HOSE</v>
      </c>
      <c r="H10096" s="63" t="str">
        <f>IFERROR(__xludf.DUMMYFUNCTION("VLOOKUP(F10096, IMPORTRANGE(""https://docs.google.com/spreadsheets/d/1Lhp9OU0JdFf_VYSMzH5lBcEaU4o8teT1piV-SNzShjg/edit?gid=554141278#gid=554141278"", ""'Char Def. - Attributes'!C20:C2242""), 1,false)"),"MAINTENANCE_ORDER_TYPE")</f>
        <v>MAINTENANCE_ORDER_TYPE</v>
      </c>
      <c r="I10096" s="136"/>
      <c r="R10096" s="63" t="str">
        <f t="shared" si="60"/>
        <v>ZSI1_HYD_HOSEMAINTENANCE_ORDER_TYPE</v>
      </c>
    </row>
    <row r="10097" ht="15.75" customHeight="1">
      <c r="B10097" s="63">
        <f t="shared" si="1"/>
        <v>13</v>
      </c>
      <c r="C10097" s="135" t="s">
        <v>517</v>
      </c>
      <c r="D10097" s="161" t="s">
        <v>74</v>
      </c>
      <c r="E10097" s="135">
        <f t="shared" si="62"/>
        <v>8</v>
      </c>
      <c r="F10097" s="134" t="s">
        <v>3585</v>
      </c>
      <c r="G10097" s="63" t="str">
        <f>VLOOKUP(C10097, 'Class Def. - General Data'!$C$20:$C$1000,1,false)</f>
        <v>ZSI1_HYD_HOSE</v>
      </c>
      <c r="H10097" s="63" t="str">
        <f>IFERROR(__xludf.DUMMYFUNCTION("VLOOKUP(F10097, IMPORTRANGE(""https://docs.google.com/spreadsheets/d/1Lhp9OU0JdFf_VYSMzH5lBcEaU4o8teT1piV-SNzShjg/edit?gid=554141278#gid=554141278"", ""'Char Def. - Attributes'!C20:C2242""), 1,false)"),"HS_CODE")</f>
        <v>HS_CODE</v>
      </c>
      <c r="I10097" s="136"/>
      <c r="R10097" s="63" t="str">
        <f t="shared" si="60"/>
        <v>ZSI1_HYD_HOSEHS_CODE</v>
      </c>
    </row>
    <row r="10098" ht="15.75" customHeight="1">
      <c r="B10098" s="63">
        <f t="shared" si="1"/>
        <v>13</v>
      </c>
      <c r="C10098" s="135" t="s">
        <v>517</v>
      </c>
      <c r="D10098" s="161" t="s">
        <v>74</v>
      </c>
      <c r="E10098" s="135">
        <f t="shared" si="62"/>
        <v>9</v>
      </c>
      <c r="F10098" s="134" t="s">
        <v>3587</v>
      </c>
      <c r="G10098" s="63" t="str">
        <f>VLOOKUP(C10098, 'Class Def. - General Data'!$C$20:$C$1000,1,false)</f>
        <v>ZSI1_HYD_HOSE</v>
      </c>
      <c r="H10098" s="63" t="str">
        <f>IFERROR(__xludf.DUMMYFUNCTION("VLOOKUP(F10098, IMPORTRANGE(""https://docs.google.com/spreadsheets/d/1Lhp9OU0JdFf_VYSMzH5lBcEaU4o8teT1piV-SNzShjg/edit?gid=554141278#gid=554141278"", ""'Char Def. - Attributes'!C20:C2242""), 1,false)"),"PLANT_BUY")</f>
        <v>PLANT_BUY</v>
      </c>
      <c r="I10098" s="136"/>
      <c r="R10098" s="63" t="str">
        <f t="shared" si="60"/>
        <v>ZSI1_HYD_HOSEPLANT_BUY</v>
      </c>
    </row>
    <row r="10099" ht="15.75" customHeight="1">
      <c r="B10099" s="63">
        <f t="shared" si="1"/>
        <v>13</v>
      </c>
      <c r="C10099" s="135" t="s">
        <v>517</v>
      </c>
      <c r="D10099" s="161" t="s">
        <v>74</v>
      </c>
      <c r="E10099" s="135">
        <f t="shared" si="62"/>
        <v>10</v>
      </c>
      <c r="F10099" s="134" t="s">
        <v>4688</v>
      </c>
      <c r="G10099" s="63" t="str">
        <f>VLOOKUP(C10099, 'Class Def. - General Data'!$C$20:$C$1000,1,false)</f>
        <v>ZSI1_HYD_HOSE</v>
      </c>
      <c r="H10099" s="63" t="str">
        <f>IFERROR(__xludf.DUMMYFUNCTION("VLOOKUP(F10099, IMPORTRANGE(""https://docs.google.com/spreadsheets/d/1Lhp9OU0JdFf_VYSMzH5lBcEaU4o8teT1piV-SNzShjg/edit?gid=554141278#gid=554141278"", ""'Char Def. - Attributes'!C20:C2242""), 1,false)"),"BASE_UOM_HYD_HOSE")</f>
        <v>BASE_UOM_HYD_HOSE</v>
      </c>
      <c r="I10099" s="136"/>
      <c r="R10099" s="63" t="str">
        <f t="shared" si="60"/>
        <v>ZSI1_HYD_HOSEBASE_UOM_HYD_HOSE</v>
      </c>
    </row>
    <row r="10100" ht="15.75" customHeight="1">
      <c r="B10100" s="63">
        <f t="shared" si="1"/>
        <v>13</v>
      </c>
      <c r="C10100" s="135" t="s">
        <v>517</v>
      </c>
      <c r="D10100" s="161" t="s">
        <v>74</v>
      </c>
      <c r="E10100" s="135">
        <f t="shared" si="62"/>
        <v>11</v>
      </c>
      <c r="F10100" s="134" t="s">
        <v>4689</v>
      </c>
      <c r="G10100" s="63" t="str">
        <f>VLOOKUP(C10100, 'Class Def. - General Data'!$C$20:$C$1000,1,false)</f>
        <v>ZSI1_HYD_HOSE</v>
      </c>
      <c r="H10100" s="63" t="str">
        <f>IFERROR(__xludf.DUMMYFUNCTION("VLOOKUP(F10100, IMPORTRANGE(""https://docs.google.com/spreadsheets/d/1Lhp9OU0JdFf_VYSMzH5lBcEaU4o8teT1piV-SNzShjg/edit?gid=554141278#gid=554141278"", ""'Char Def. - Attributes'!C20:C2242""), 1,false)"),"ORDER_UNIT_HYD_HOSE")</f>
        <v>ORDER_UNIT_HYD_HOSE</v>
      </c>
      <c r="I10100" s="136"/>
      <c r="R10100" s="63" t="str">
        <f t="shared" si="60"/>
        <v>ZSI1_HYD_HOSEORDER_UNIT_HYD_HOSE</v>
      </c>
    </row>
    <row r="10101" ht="15.75" customHeight="1">
      <c r="B10101" s="63">
        <f t="shared" si="1"/>
        <v>13</v>
      </c>
      <c r="C10101" s="135" t="s">
        <v>517</v>
      </c>
      <c r="D10101" s="161" t="s">
        <v>74</v>
      </c>
      <c r="E10101" s="135">
        <f t="shared" si="62"/>
        <v>12</v>
      </c>
      <c r="F10101" s="134" t="s">
        <v>4056</v>
      </c>
      <c r="G10101" s="63" t="str">
        <f>VLOOKUP(C10101, 'Class Def. - General Data'!$C$20:$C$1000,1,false)</f>
        <v>ZSI1_HYD_HOSE</v>
      </c>
      <c r="H10101" s="63" t="str">
        <f>IFERROR(__xludf.DUMMYFUNCTION("VLOOKUP(F10101, IMPORTRANGE(""https://docs.google.com/spreadsheets/d/1Lhp9OU0JdFf_VYSMzH5lBcEaU4o8teT1piV-SNzShjg/edit?gid=554141278#gid=554141278"", ""'Char Def. - Attributes'!C20:C2242""), 1,false)"),"GROSS_WEIGHT_OPT")</f>
        <v>GROSS_WEIGHT_OPT</v>
      </c>
      <c r="I10101" s="136"/>
      <c r="R10101" s="63" t="str">
        <f t="shared" si="60"/>
        <v>ZSI1_HYD_HOSEGROSS_WEIGHT_OPT</v>
      </c>
    </row>
    <row r="10102" ht="15.75" customHeight="1">
      <c r="B10102" s="63">
        <f t="shared" si="1"/>
        <v>13</v>
      </c>
      <c r="C10102" s="135" t="s">
        <v>517</v>
      </c>
      <c r="D10102" s="161" t="s">
        <v>74</v>
      </c>
      <c r="E10102" s="135">
        <f t="shared" si="62"/>
        <v>13</v>
      </c>
      <c r="F10102" s="134" t="s">
        <v>4057</v>
      </c>
      <c r="G10102" s="63" t="str">
        <f>VLOOKUP(C10102, 'Class Def. - General Data'!$C$20:$C$1000,1,false)</f>
        <v>ZSI1_HYD_HOSE</v>
      </c>
      <c r="H10102" s="63" t="str">
        <f>IFERROR(__xludf.DUMMYFUNCTION("VLOOKUP(F10102, IMPORTRANGE(""https://docs.google.com/spreadsheets/d/1Lhp9OU0JdFf_VYSMzH5lBcEaU4o8teT1piV-SNzShjg/edit?gid=554141278#gid=554141278"", ""'Char Def. - Attributes'!C20:C2242""), 1,false)"),"NET_WEIGHT_OPT")</f>
        <v>NET_WEIGHT_OPT</v>
      </c>
      <c r="I10102" s="136"/>
      <c r="R10102" s="63" t="str">
        <f t="shared" si="60"/>
        <v>ZSI1_HYD_HOSENET_WEIGHT_OPT</v>
      </c>
    </row>
    <row r="10103" ht="15.75" customHeight="1">
      <c r="B10103" s="63">
        <f t="shared" si="1"/>
        <v>13</v>
      </c>
      <c r="C10103" s="135" t="s">
        <v>517</v>
      </c>
      <c r="D10103" s="161" t="s">
        <v>74</v>
      </c>
      <c r="E10103" s="135">
        <f t="shared" si="62"/>
        <v>14</v>
      </c>
      <c r="F10103" s="134" t="s">
        <v>4058</v>
      </c>
      <c r="G10103" s="63" t="str">
        <f>VLOOKUP(C10103, 'Class Def. - General Data'!$C$20:$C$1000,1,false)</f>
        <v>ZSI1_HYD_HOSE</v>
      </c>
      <c r="H10103" s="63" t="str">
        <f>IFERROR(__xludf.DUMMYFUNCTION("VLOOKUP(F10103, IMPORTRANGE(""https://docs.google.com/spreadsheets/d/1Lhp9OU0JdFf_VYSMzH5lBcEaU4o8teT1piV-SNzShjg/edit?gid=554141278#gid=554141278"", ""'Char Def. - Attributes'!C20:C2242""), 1,false)"),"WEIGHT_UNIT_SI")</f>
        <v>WEIGHT_UNIT_SI</v>
      </c>
      <c r="I10103" s="136"/>
      <c r="R10103" s="63" t="str">
        <f t="shared" si="60"/>
        <v>ZSI1_HYD_HOSEWEIGHT_UNIT_SI</v>
      </c>
    </row>
    <row r="10104" ht="15.75" customHeight="1">
      <c r="B10104" s="63">
        <f t="shared" si="1"/>
        <v>13</v>
      </c>
      <c r="C10104" s="135" t="s">
        <v>517</v>
      </c>
      <c r="D10104" s="161" t="s">
        <v>74</v>
      </c>
      <c r="E10104" s="135">
        <f t="shared" si="62"/>
        <v>15</v>
      </c>
      <c r="F10104" s="134" t="s">
        <v>3877</v>
      </c>
      <c r="G10104" s="63" t="str">
        <f>VLOOKUP(C10104, 'Class Def. - General Data'!$C$20:$C$1000,1,false)</f>
        <v>ZSI1_HYD_HOSE</v>
      </c>
      <c r="H10104" s="63" t="str">
        <f>IFERROR(__xludf.DUMMYFUNCTION("VLOOKUP(F10104, IMPORTRANGE(""https://docs.google.com/spreadsheets/d/1Lhp9OU0JdFf_VYSMzH5lBcEaU4o8teT1piV-SNzShjg/edit?gid=554141278#gid=554141278"", ""'Char Def. - Attributes'!C20:C2242""), 1,false)"),"VOLUME_OPT")</f>
        <v>VOLUME_OPT</v>
      </c>
      <c r="I10104" s="136"/>
      <c r="R10104" s="63" t="str">
        <f t="shared" si="60"/>
        <v>ZSI1_HYD_HOSEVOLUME_OPT</v>
      </c>
    </row>
    <row r="10105" ht="15.75" customHeight="1">
      <c r="B10105" s="63">
        <f t="shared" si="1"/>
        <v>13</v>
      </c>
      <c r="C10105" s="135" t="s">
        <v>517</v>
      </c>
      <c r="D10105" s="161" t="s">
        <v>74</v>
      </c>
      <c r="E10105" s="135">
        <f t="shared" si="62"/>
        <v>16</v>
      </c>
      <c r="F10105" s="134" t="s">
        <v>4059</v>
      </c>
      <c r="G10105" s="63" t="str">
        <f>VLOOKUP(C10105, 'Class Def. - General Data'!$C$20:$C$1000,1,false)</f>
        <v>ZSI1_HYD_HOSE</v>
      </c>
      <c r="H10105" s="63" t="str">
        <f>IFERROR(__xludf.DUMMYFUNCTION("VLOOKUP(F10105, IMPORTRANGE(""https://docs.google.com/spreadsheets/d/1Lhp9OU0JdFf_VYSMzH5lBcEaU4o8teT1piV-SNzShjg/edit?gid=554141278#gid=554141278"", ""'Char Def. - Attributes'!C20:C2242""), 1,false)"),"VOLUME_UNIT_SI")</f>
        <v>VOLUME_UNIT_SI</v>
      </c>
      <c r="I10105" s="136"/>
      <c r="R10105" s="63" t="str">
        <f t="shared" si="60"/>
        <v>ZSI1_HYD_HOSEVOLUME_UNIT_SI</v>
      </c>
    </row>
    <row r="10106" ht="15.75" customHeight="1">
      <c r="B10106" s="63">
        <f t="shared" si="1"/>
        <v>13</v>
      </c>
      <c r="C10106" s="135" t="s">
        <v>517</v>
      </c>
      <c r="D10106" s="161" t="s">
        <v>74</v>
      </c>
      <c r="E10106" s="135">
        <f t="shared" si="62"/>
        <v>17</v>
      </c>
      <c r="F10106" s="134" t="s">
        <v>3804</v>
      </c>
      <c r="G10106" s="63" t="str">
        <f>VLOOKUP(C10106, 'Class Def. - General Data'!$C$20:$C$1000,1,false)</f>
        <v>ZSI1_HYD_HOSE</v>
      </c>
      <c r="H10106" s="63" t="str">
        <f>IFERROR(__xludf.DUMMYFUNCTION("VLOOKUP(F10106, IMPORTRANGE(""https://docs.google.com/spreadsheets/d/1Lhp9OU0JdFf_VYSMzH5lBcEaU4o8teT1piV-SNzShjg/edit?gid=554141278#gid=554141278"", ""'Char Def. - Attributes'!C20:C2242""), 1,false)"),"ALT_UOM1_SIPI")</f>
        <v>ALT_UOM1_SIPI</v>
      </c>
      <c r="I10106" s="136"/>
      <c r="R10106" s="63" t="str">
        <f t="shared" si="60"/>
        <v>ZSI1_HYD_HOSEALT_UOM1_SIPI</v>
      </c>
    </row>
    <row r="10107" ht="15.75" customHeight="1">
      <c r="B10107" s="63">
        <f t="shared" si="1"/>
        <v>13</v>
      </c>
      <c r="C10107" s="135" t="s">
        <v>517</v>
      </c>
      <c r="D10107" s="161" t="s">
        <v>74</v>
      </c>
      <c r="E10107" s="135">
        <f t="shared" si="62"/>
        <v>18</v>
      </c>
      <c r="F10107" s="134" t="s">
        <v>3805</v>
      </c>
      <c r="G10107" s="63" t="str">
        <f>VLOOKUP(C10107, 'Class Def. - General Data'!$C$20:$C$1000,1,false)</f>
        <v>ZSI1_HYD_HOSE</v>
      </c>
      <c r="H10107" s="63" t="str">
        <f>IFERROR(__xludf.DUMMYFUNCTION("VLOOKUP(F10107, IMPORTRANGE(""https://docs.google.com/spreadsheets/d/1Lhp9OU0JdFf_VYSMzH5lBcEaU4o8teT1piV-SNzShjg/edit?gid=554141278#gid=554141278"", ""'Char Def. - Attributes'!C20:C2242""), 1,false)"),"ALT_DENUM_UOM1")</f>
        <v>ALT_DENUM_UOM1</v>
      </c>
      <c r="I10107" s="136"/>
      <c r="R10107" s="63" t="str">
        <f t="shared" si="60"/>
        <v>ZSI1_HYD_HOSEALT_DENUM_UOM1</v>
      </c>
    </row>
    <row r="10108" ht="15.75" customHeight="1">
      <c r="B10108" s="63">
        <f t="shared" si="1"/>
        <v>13</v>
      </c>
      <c r="C10108" s="135" t="s">
        <v>517</v>
      </c>
      <c r="D10108" s="161" t="s">
        <v>74</v>
      </c>
      <c r="E10108" s="135">
        <f t="shared" si="62"/>
        <v>19</v>
      </c>
      <c r="F10108" s="134" t="s">
        <v>3806</v>
      </c>
      <c r="G10108" s="63" t="str">
        <f>VLOOKUP(C10108, 'Class Def. - General Data'!$C$20:$C$1000,1,false)</f>
        <v>ZSI1_HYD_HOSE</v>
      </c>
      <c r="H10108" s="63" t="str">
        <f>IFERROR(__xludf.DUMMYFUNCTION("VLOOKUP(F10108, IMPORTRANGE(""https://docs.google.com/spreadsheets/d/1Lhp9OU0JdFf_VYSMzH5lBcEaU4o8teT1piV-SNzShjg/edit?gid=554141278#gid=554141278"", ""'Char Def. - Attributes'!C20:C2242""), 1,false)"),"ALT_NUM_UOM1")</f>
        <v>ALT_NUM_UOM1</v>
      </c>
      <c r="I10108" s="136"/>
      <c r="R10108" s="63" t="str">
        <f t="shared" si="60"/>
        <v>ZSI1_HYD_HOSEALT_NUM_UOM1</v>
      </c>
    </row>
    <row r="10109" ht="15.75" customHeight="1">
      <c r="B10109" s="63">
        <f t="shared" si="1"/>
        <v>13</v>
      </c>
      <c r="C10109" s="135" t="s">
        <v>517</v>
      </c>
      <c r="D10109" s="161" t="s">
        <v>74</v>
      </c>
      <c r="E10109" s="135">
        <f t="shared" si="62"/>
        <v>20</v>
      </c>
      <c r="F10109" s="134" t="s">
        <v>3807</v>
      </c>
      <c r="G10109" s="63" t="str">
        <f>VLOOKUP(C10109, 'Class Def. - General Data'!$C$20:$C$1000,1,false)</f>
        <v>ZSI1_HYD_HOSE</v>
      </c>
      <c r="H10109" s="63" t="str">
        <f>IFERROR(__xludf.DUMMYFUNCTION("VLOOKUP(F10109, IMPORTRANGE(""https://docs.google.com/spreadsheets/d/1Lhp9OU0JdFf_VYSMzH5lBcEaU4o8teT1piV-SNzShjg/edit?gid=554141278#gid=554141278"", ""'Char Def. - Attributes'!C20:C2242""), 1,false)"),"ALT_UOM2_SIPI")</f>
        <v>ALT_UOM2_SIPI</v>
      </c>
      <c r="I10109" s="136"/>
      <c r="R10109" s="63" t="str">
        <f t="shared" si="60"/>
        <v>ZSI1_HYD_HOSEALT_UOM2_SIPI</v>
      </c>
    </row>
    <row r="10110" ht="15.75" customHeight="1">
      <c r="B10110" s="63">
        <f t="shared" si="1"/>
        <v>13</v>
      </c>
      <c r="C10110" s="135" t="s">
        <v>517</v>
      </c>
      <c r="D10110" s="161" t="s">
        <v>74</v>
      </c>
      <c r="E10110" s="135">
        <f t="shared" si="62"/>
        <v>21</v>
      </c>
      <c r="F10110" s="134" t="s">
        <v>3808</v>
      </c>
      <c r="G10110" s="63" t="str">
        <f>VLOOKUP(C10110, 'Class Def. - General Data'!$C$20:$C$1000,1,false)</f>
        <v>ZSI1_HYD_HOSE</v>
      </c>
      <c r="H10110" s="63" t="str">
        <f>IFERROR(__xludf.DUMMYFUNCTION("VLOOKUP(F10110, IMPORTRANGE(""https://docs.google.com/spreadsheets/d/1Lhp9OU0JdFf_VYSMzH5lBcEaU4o8teT1piV-SNzShjg/edit?gid=554141278#gid=554141278"", ""'Char Def. - Attributes'!C20:C2242""), 1,false)"),"ALT_DENUM_UOM2")</f>
        <v>ALT_DENUM_UOM2</v>
      </c>
      <c r="I10110" s="136"/>
      <c r="R10110" s="63" t="str">
        <f t="shared" si="60"/>
        <v>ZSI1_HYD_HOSEALT_DENUM_UOM2</v>
      </c>
    </row>
    <row r="10111" ht="15.75" customHeight="1">
      <c r="B10111" s="63">
        <f t="shared" si="1"/>
        <v>13</v>
      </c>
      <c r="C10111" s="135" t="s">
        <v>517</v>
      </c>
      <c r="D10111" s="161" t="s">
        <v>74</v>
      </c>
      <c r="E10111" s="135">
        <f t="shared" si="62"/>
        <v>22</v>
      </c>
      <c r="F10111" s="134" t="s">
        <v>3809</v>
      </c>
      <c r="G10111" s="63" t="str">
        <f>VLOOKUP(C10111, 'Class Def. - General Data'!$C$20:$C$1000,1,false)</f>
        <v>ZSI1_HYD_HOSE</v>
      </c>
      <c r="H10111" s="63" t="str">
        <f>IFERROR(__xludf.DUMMYFUNCTION("VLOOKUP(F10111, IMPORTRANGE(""https://docs.google.com/spreadsheets/d/1Lhp9OU0JdFf_VYSMzH5lBcEaU4o8teT1piV-SNzShjg/edit?gid=554141278#gid=554141278"", ""'Char Def. - Attributes'!C20:C2242""), 1,false)"),"ALT_NUM_UOM2")</f>
        <v>ALT_NUM_UOM2</v>
      </c>
      <c r="I10111" s="136"/>
      <c r="R10111" s="63" t="str">
        <f t="shared" si="60"/>
        <v>ZSI1_HYD_HOSEALT_NUM_UOM2</v>
      </c>
    </row>
    <row r="10112" ht="15.75" customHeight="1">
      <c r="B10112" s="63">
        <f t="shared" si="1"/>
        <v>13</v>
      </c>
      <c r="C10112" s="135" t="s">
        <v>517</v>
      </c>
      <c r="D10112" s="161" t="s">
        <v>74</v>
      </c>
      <c r="E10112" s="135">
        <f t="shared" si="62"/>
        <v>23</v>
      </c>
      <c r="F10112" s="134" t="s">
        <v>3810</v>
      </c>
      <c r="G10112" s="63" t="str">
        <f>VLOOKUP(C10112, 'Class Def. - General Data'!$C$20:$C$1000,1,false)</f>
        <v>ZSI1_HYD_HOSE</v>
      </c>
      <c r="H10112" s="63" t="str">
        <f>IFERROR(__xludf.DUMMYFUNCTION("VLOOKUP(F10112, IMPORTRANGE(""https://docs.google.com/spreadsheets/d/1Lhp9OU0JdFf_VYSMzH5lBcEaU4o8teT1piV-SNzShjg/edit?gid=554141278#gid=554141278"", ""'Char Def. - Attributes'!C20:C2242""), 1,false)"),"ALT_UOM3_SIPI")</f>
        <v>ALT_UOM3_SIPI</v>
      </c>
      <c r="I10112" s="136"/>
      <c r="R10112" s="63" t="str">
        <f t="shared" si="60"/>
        <v>ZSI1_HYD_HOSEALT_UOM3_SIPI</v>
      </c>
    </row>
    <row r="10113" ht="15.75" customHeight="1">
      <c r="B10113" s="63">
        <f t="shared" si="1"/>
        <v>13</v>
      </c>
      <c r="C10113" s="135" t="s">
        <v>517</v>
      </c>
      <c r="D10113" s="161" t="s">
        <v>74</v>
      </c>
      <c r="E10113" s="135">
        <f t="shared" si="62"/>
        <v>24</v>
      </c>
      <c r="F10113" s="134" t="s">
        <v>3811</v>
      </c>
      <c r="G10113" s="63" t="str">
        <f>VLOOKUP(C10113, 'Class Def. - General Data'!$C$20:$C$1000,1,false)</f>
        <v>ZSI1_HYD_HOSE</v>
      </c>
      <c r="H10113" s="63" t="str">
        <f>IFERROR(__xludf.DUMMYFUNCTION("VLOOKUP(F10113, IMPORTRANGE(""https://docs.google.com/spreadsheets/d/1Lhp9OU0JdFf_VYSMzH5lBcEaU4o8teT1piV-SNzShjg/edit?gid=554141278#gid=554141278"", ""'Char Def. - Attributes'!C20:C2242""), 1,false)"),"ALT_DENUM_UOM3")</f>
        <v>ALT_DENUM_UOM3</v>
      </c>
      <c r="I10113" s="136"/>
      <c r="R10113" s="63" t="str">
        <f t="shared" si="60"/>
        <v>ZSI1_HYD_HOSEALT_DENUM_UOM3</v>
      </c>
    </row>
    <row r="10114" ht="15.75" customHeight="1">
      <c r="B10114" s="63">
        <f t="shared" si="1"/>
        <v>13</v>
      </c>
      <c r="C10114" s="135" t="s">
        <v>517</v>
      </c>
      <c r="D10114" s="161" t="s">
        <v>74</v>
      </c>
      <c r="E10114" s="135">
        <f t="shared" si="62"/>
        <v>25</v>
      </c>
      <c r="F10114" s="134" t="s">
        <v>3812</v>
      </c>
      <c r="G10114" s="63" t="str">
        <f>VLOOKUP(C10114, 'Class Def. - General Data'!$C$20:$C$1000,1,false)</f>
        <v>ZSI1_HYD_HOSE</v>
      </c>
      <c r="H10114" s="63" t="str">
        <f>IFERROR(__xludf.DUMMYFUNCTION("VLOOKUP(F10114, IMPORTRANGE(""https://docs.google.com/spreadsheets/d/1Lhp9OU0JdFf_VYSMzH5lBcEaU4o8teT1piV-SNzShjg/edit?gid=554141278#gid=554141278"", ""'Char Def. - Attributes'!C20:C2242""), 1,false)"),"ALT_NUM_UOM3")</f>
        <v>ALT_NUM_UOM3</v>
      </c>
      <c r="I10114" s="136"/>
      <c r="R10114" s="63" t="str">
        <f t="shared" si="60"/>
        <v>ZSI1_HYD_HOSEALT_NUM_UOM3</v>
      </c>
    </row>
    <row r="10115" ht="15.75" customHeight="1">
      <c r="B10115" s="63">
        <f t="shared" si="1"/>
        <v>13</v>
      </c>
      <c r="C10115" s="135" t="s">
        <v>517</v>
      </c>
      <c r="D10115" s="161" t="s">
        <v>74</v>
      </c>
      <c r="E10115" s="135">
        <f t="shared" si="62"/>
        <v>26</v>
      </c>
      <c r="F10115" s="134" t="s">
        <v>3813</v>
      </c>
      <c r="G10115" s="63" t="str">
        <f>VLOOKUP(C10115, 'Class Def. - General Data'!$C$20:$C$1000,1,false)</f>
        <v>ZSI1_HYD_HOSE</v>
      </c>
      <c r="H10115" s="63" t="str">
        <f>IFERROR(__xludf.DUMMYFUNCTION("VLOOKUP(F10115, IMPORTRANGE(""https://docs.google.com/spreadsheets/d/1Lhp9OU0JdFf_VYSMzH5lBcEaU4o8teT1piV-SNzShjg/edit?gid=554141278#gid=554141278"", ""'Char Def. - Attributes'!C20:C2242""), 1,false)"),"ALT_UOM4_SIPI")</f>
        <v>ALT_UOM4_SIPI</v>
      </c>
      <c r="I10115" s="136"/>
      <c r="R10115" s="63" t="str">
        <f t="shared" si="60"/>
        <v>ZSI1_HYD_HOSEALT_UOM4_SIPI</v>
      </c>
    </row>
    <row r="10116" ht="15.75" customHeight="1">
      <c r="B10116" s="63">
        <f t="shared" si="1"/>
        <v>13</v>
      </c>
      <c r="C10116" s="135" t="s">
        <v>517</v>
      </c>
      <c r="D10116" s="161" t="s">
        <v>74</v>
      </c>
      <c r="E10116" s="135">
        <f t="shared" si="62"/>
        <v>27</v>
      </c>
      <c r="F10116" s="134" t="s">
        <v>3814</v>
      </c>
      <c r="G10116" s="63" t="str">
        <f>VLOOKUP(C10116, 'Class Def. - General Data'!$C$20:$C$1000,1,false)</f>
        <v>ZSI1_HYD_HOSE</v>
      </c>
      <c r="H10116" s="63" t="str">
        <f>IFERROR(__xludf.DUMMYFUNCTION("VLOOKUP(F10116, IMPORTRANGE(""https://docs.google.com/spreadsheets/d/1Lhp9OU0JdFf_VYSMzH5lBcEaU4o8teT1piV-SNzShjg/edit?gid=554141278#gid=554141278"", ""'Char Def. - Attributes'!C20:C2242""), 1,false)"),"ALT_DENUM_UOM4")</f>
        <v>ALT_DENUM_UOM4</v>
      </c>
      <c r="I10116" s="136"/>
      <c r="R10116" s="63" t="str">
        <f t="shared" si="60"/>
        <v>ZSI1_HYD_HOSEALT_DENUM_UOM4</v>
      </c>
    </row>
    <row r="10117" ht="15.75" customHeight="1">
      <c r="B10117" s="63">
        <f t="shared" si="1"/>
        <v>13</v>
      </c>
      <c r="C10117" s="135" t="s">
        <v>517</v>
      </c>
      <c r="D10117" s="161" t="s">
        <v>74</v>
      </c>
      <c r="E10117" s="135">
        <f t="shared" si="62"/>
        <v>28</v>
      </c>
      <c r="F10117" s="134" t="s">
        <v>3815</v>
      </c>
      <c r="G10117" s="63" t="str">
        <f>VLOOKUP(C10117, 'Class Def. - General Data'!$C$20:$C$1000,1,false)</f>
        <v>ZSI1_HYD_HOSE</v>
      </c>
      <c r="H10117" s="63" t="str">
        <f>IFERROR(__xludf.DUMMYFUNCTION("VLOOKUP(F10117, IMPORTRANGE(""https://docs.google.com/spreadsheets/d/1Lhp9OU0JdFf_VYSMzH5lBcEaU4o8teT1piV-SNzShjg/edit?gid=554141278#gid=554141278"", ""'Char Def. - Attributes'!C20:C2242""), 1,false)"),"ALT_NUM_UOM4")</f>
        <v>ALT_NUM_UOM4</v>
      </c>
      <c r="I10117" s="136"/>
      <c r="R10117" s="63" t="str">
        <f t="shared" si="60"/>
        <v>ZSI1_HYD_HOSEALT_NUM_UOM4</v>
      </c>
    </row>
    <row r="10118" ht="15.75" customHeight="1">
      <c r="B10118" s="63">
        <f t="shared" si="1"/>
        <v>13</v>
      </c>
      <c r="C10118" s="135" t="s">
        <v>517</v>
      </c>
      <c r="D10118" s="161" t="s">
        <v>74</v>
      </c>
      <c r="E10118" s="135">
        <f t="shared" si="62"/>
        <v>29</v>
      </c>
      <c r="F10118" s="134" t="s">
        <v>3816</v>
      </c>
      <c r="G10118" s="63" t="str">
        <f>VLOOKUP(C10118, 'Class Def. - General Data'!$C$20:$C$1000,1,false)</f>
        <v>ZSI1_HYD_HOSE</v>
      </c>
      <c r="H10118" s="63" t="str">
        <f>IFERROR(__xludf.DUMMYFUNCTION("VLOOKUP(F10118, IMPORTRANGE(""https://docs.google.com/spreadsheets/d/1Lhp9OU0JdFf_VYSMzH5lBcEaU4o8teT1piV-SNzShjg/edit?gid=554141278#gid=554141278"", ""'Char Def. - Attributes'!C20:C2242""), 1,false)"),"ALT_UOM5_SIPI")</f>
        <v>ALT_UOM5_SIPI</v>
      </c>
      <c r="I10118" s="136"/>
      <c r="R10118" s="63" t="str">
        <f t="shared" si="60"/>
        <v>ZSI1_HYD_HOSEALT_UOM5_SIPI</v>
      </c>
    </row>
    <row r="10119" ht="15.75" customHeight="1">
      <c r="B10119" s="63">
        <f t="shared" si="1"/>
        <v>13</v>
      </c>
      <c r="C10119" s="135" t="s">
        <v>517</v>
      </c>
      <c r="D10119" s="161" t="s">
        <v>74</v>
      </c>
      <c r="E10119" s="135">
        <f t="shared" si="62"/>
        <v>30</v>
      </c>
      <c r="F10119" s="134" t="s">
        <v>3817</v>
      </c>
      <c r="G10119" s="63" t="str">
        <f>VLOOKUP(C10119, 'Class Def. - General Data'!$C$20:$C$1000,1,false)</f>
        <v>ZSI1_HYD_HOSE</v>
      </c>
      <c r="H10119" s="63" t="str">
        <f>IFERROR(__xludf.DUMMYFUNCTION("VLOOKUP(F10119, IMPORTRANGE(""https://docs.google.com/spreadsheets/d/1Lhp9OU0JdFf_VYSMzH5lBcEaU4o8teT1piV-SNzShjg/edit?gid=554141278#gid=554141278"", ""'Char Def. - Attributes'!C20:C2242""), 1,false)"),"ALT_DENUM_UOM5")</f>
        <v>ALT_DENUM_UOM5</v>
      </c>
      <c r="I10119" s="136"/>
      <c r="R10119" s="63" t="str">
        <f t="shared" si="60"/>
        <v>ZSI1_HYD_HOSEALT_DENUM_UOM5</v>
      </c>
    </row>
    <row r="10120" ht="15.75" customHeight="1">
      <c r="B10120" s="63">
        <f t="shared" si="1"/>
        <v>13</v>
      </c>
      <c r="C10120" s="135" t="s">
        <v>517</v>
      </c>
      <c r="D10120" s="161" t="s">
        <v>74</v>
      </c>
      <c r="E10120" s="135">
        <f t="shared" si="62"/>
        <v>31</v>
      </c>
      <c r="F10120" s="134" t="s">
        <v>3818</v>
      </c>
      <c r="G10120" s="63" t="str">
        <f>VLOOKUP(C10120, 'Class Def. - General Data'!$C$20:$C$1000,1,false)</f>
        <v>ZSI1_HYD_HOSE</v>
      </c>
      <c r="H10120" s="63" t="str">
        <f>IFERROR(__xludf.DUMMYFUNCTION("VLOOKUP(F10120, IMPORTRANGE(""https://docs.google.com/spreadsheets/d/1Lhp9OU0JdFf_VYSMzH5lBcEaU4o8teT1piV-SNzShjg/edit?gid=554141278#gid=554141278"", ""'Char Def. - Attributes'!C20:C2242""), 1,false)"),"ALT_NUM_UOM5")</f>
        <v>ALT_NUM_UOM5</v>
      </c>
      <c r="I10120" s="136"/>
      <c r="R10120" s="63" t="str">
        <f t="shared" si="60"/>
        <v>ZSI1_HYD_HOSEALT_NUM_UOM5</v>
      </c>
    </row>
    <row r="10121" ht="15.75" customHeight="1">
      <c r="B10121" s="63">
        <f t="shared" si="1"/>
        <v>14</v>
      </c>
      <c r="C10121" s="75" t="s">
        <v>560</v>
      </c>
      <c r="D10121" s="161" t="s">
        <v>74</v>
      </c>
      <c r="E10121" s="135">
        <f t="shared" si="62"/>
        <v>1</v>
      </c>
      <c r="F10121" s="134" t="s">
        <v>4690</v>
      </c>
      <c r="G10121" s="63" t="str">
        <f>VLOOKUP(C10121, 'Class Def. - General Data'!$C$20:$C$1000,1,false)</f>
        <v>ZSI1_ICT_CABLE</v>
      </c>
      <c r="H10121" s="63" t="str">
        <f>IFERROR(__xludf.DUMMYFUNCTION("VLOOKUP(F10121, IMPORTRANGE(""https://docs.google.com/spreadsheets/d/1Lhp9OU0JdFf_VYSMzH5lBcEaU4o8teT1piV-SNzShjg/edit?gid=554141278#gid=554141278"", ""'Char Def. - Attributes'!C20:C2242""), 1,false)"),"#N/A")</f>
        <v>#N/A</v>
      </c>
      <c r="I10121" s="136"/>
      <c r="R10121" s="63" t="str">
        <f t="shared" si="60"/>
        <v>ZSI1_ICT_CABLEITEM_NAME_ICT_CABLE</v>
      </c>
    </row>
    <row r="10122" ht="15.75" customHeight="1">
      <c r="B10122" s="63">
        <f t="shared" si="1"/>
        <v>14</v>
      </c>
      <c r="C10122" s="75" t="s">
        <v>560</v>
      </c>
      <c r="D10122" s="161" t="s">
        <v>74</v>
      </c>
      <c r="E10122" s="135">
        <f t="shared" si="62"/>
        <v>2</v>
      </c>
      <c r="F10122" s="134" t="s">
        <v>4691</v>
      </c>
      <c r="G10122" s="63" t="str">
        <f>VLOOKUP(C10122, 'Class Def. - General Data'!$C$20:$C$1000,1,false)</f>
        <v>ZSI1_ICT_CABLE</v>
      </c>
      <c r="H10122" s="63" t="str">
        <f>IFERROR(__xludf.DUMMYFUNCTION("VLOOKUP(F10122, IMPORTRANGE(""https://docs.google.com/spreadsheets/d/1Lhp9OU0JdFf_VYSMzH5lBcEaU4o8teT1piV-SNzShjg/edit?gid=554141278#gid=554141278"", ""'Char Def. - Attributes'!C20:C2242""), 1,false)"),"#N/A")</f>
        <v>#N/A</v>
      </c>
      <c r="I10122" s="136"/>
      <c r="R10122" s="63" t="str">
        <f t="shared" si="60"/>
        <v>ZSI1_ICT_CABLETYPE_ICT_CABLE</v>
      </c>
    </row>
    <row r="10123" ht="15.75" customHeight="1">
      <c r="B10123" s="63">
        <f t="shared" si="1"/>
        <v>14</v>
      </c>
      <c r="C10123" s="75" t="s">
        <v>560</v>
      </c>
      <c r="D10123" s="161" t="s">
        <v>74</v>
      </c>
      <c r="E10123" s="135">
        <f t="shared" si="62"/>
        <v>3</v>
      </c>
      <c r="F10123" s="134" t="s">
        <v>3782</v>
      </c>
      <c r="G10123" s="63" t="str">
        <f>VLOOKUP(C10123, 'Class Def. - General Data'!$C$20:$C$1000,1,false)</f>
        <v>ZSI1_ICT_CABLE</v>
      </c>
      <c r="H10123" s="63" t="str">
        <f>IFERROR(__xludf.DUMMYFUNCTION("VLOOKUP(F10123, IMPORTRANGE(""https://docs.google.com/spreadsheets/d/1Lhp9OU0JdFf_VYSMzH5lBcEaU4o8teT1piV-SNzShjg/edit?gid=554141278#gid=554141278"", ""'Char Def. - Attributes'!C20:C2242""), 1,false)"),"BRAND_EXTERNAL")</f>
        <v>BRAND_EXTERNAL</v>
      </c>
      <c r="I10123" s="136"/>
      <c r="R10123" s="63" t="str">
        <f t="shared" si="60"/>
        <v>ZSI1_ICT_CABLEBRAND_EXTERNAL</v>
      </c>
    </row>
    <row r="10124" ht="15.75" customHeight="1">
      <c r="B10124" s="63">
        <f t="shared" si="1"/>
        <v>14</v>
      </c>
      <c r="C10124" s="75" t="s">
        <v>560</v>
      </c>
      <c r="D10124" s="161" t="s">
        <v>74</v>
      </c>
      <c r="E10124" s="135">
        <f t="shared" si="62"/>
        <v>4</v>
      </c>
      <c r="F10124" s="134" t="s">
        <v>3585</v>
      </c>
      <c r="G10124" s="63" t="str">
        <f>VLOOKUP(C10124, 'Class Def. - General Data'!$C$20:$C$1000,1,false)</f>
        <v>ZSI1_ICT_CABLE</v>
      </c>
      <c r="H10124" s="63" t="str">
        <f>IFERROR(__xludf.DUMMYFUNCTION("VLOOKUP(F10124, IMPORTRANGE(""https://docs.google.com/spreadsheets/d/1Lhp9OU0JdFf_VYSMzH5lBcEaU4o8teT1piV-SNzShjg/edit?gid=554141278#gid=554141278"", ""'Char Def. - Attributes'!C20:C2242""), 1,false)"),"HS_CODE")</f>
        <v>HS_CODE</v>
      </c>
      <c r="I10124" s="136"/>
      <c r="R10124" s="63" t="str">
        <f t="shared" si="60"/>
        <v>ZSI1_ICT_CABLEHS_CODE</v>
      </c>
    </row>
    <row r="10125" ht="15.75" customHeight="1">
      <c r="B10125" s="63">
        <f t="shared" si="1"/>
        <v>14</v>
      </c>
      <c r="C10125" s="75" t="s">
        <v>560</v>
      </c>
      <c r="D10125" s="161" t="s">
        <v>74</v>
      </c>
      <c r="E10125" s="135">
        <f t="shared" si="62"/>
        <v>5</v>
      </c>
      <c r="F10125" s="134" t="s">
        <v>3587</v>
      </c>
      <c r="G10125" s="63" t="str">
        <f>VLOOKUP(C10125, 'Class Def. - General Data'!$C$20:$C$1000,1,false)</f>
        <v>ZSI1_ICT_CABLE</v>
      </c>
      <c r="H10125" s="63" t="str">
        <f>IFERROR(__xludf.DUMMYFUNCTION("VLOOKUP(F10125, IMPORTRANGE(""https://docs.google.com/spreadsheets/d/1Lhp9OU0JdFf_VYSMzH5lBcEaU4o8teT1piV-SNzShjg/edit?gid=554141278#gid=554141278"", ""'Char Def. - Attributes'!C20:C2242""), 1,false)"),"PLANT_BUY")</f>
        <v>PLANT_BUY</v>
      </c>
      <c r="I10125" s="136"/>
      <c r="R10125" s="63" t="str">
        <f t="shared" si="60"/>
        <v>ZSI1_ICT_CABLEPLANT_BUY</v>
      </c>
    </row>
    <row r="10126" ht="15.75" customHeight="1">
      <c r="B10126" s="63">
        <f t="shared" si="1"/>
        <v>14</v>
      </c>
      <c r="C10126" s="75" t="s">
        <v>560</v>
      </c>
      <c r="D10126" s="161" t="s">
        <v>74</v>
      </c>
      <c r="E10126" s="135">
        <f t="shared" si="62"/>
        <v>6</v>
      </c>
      <c r="F10126" s="134" t="s">
        <v>4692</v>
      </c>
      <c r="G10126" s="63" t="str">
        <f>VLOOKUP(C10126, 'Class Def. - General Data'!$C$20:$C$1000,1,false)</f>
        <v>ZSI1_ICT_CABLE</v>
      </c>
      <c r="H10126" s="63" t="str">
        <f>IFERROR(__xludf.DUMMYFUNCTION("VLOOKUP(F10126, IMPORTRANGE(""https://docs.google.com/spreadsheets/d/1Lhp9OU0JdFf_VYSMzH5lBcEaU4o8teT1piV-SNzShjg/edit?gid=554141278#gid=554141278"", ""'Char Def. - Attributes'!C20:C2242""), 1,false)"),"#N/A")</f>
        <v>#N/A</v>
      </c>
      <c r="I10126" s="136"/>
      <c r="R10126" s="63" t="str">
        <f t="shared" si="60"/>
        <v>ZSI1_ICT_CABLEBASE_UOM_PUPUK</v>
      </c>
    </row>
    <row r="10127" ht="15.75" customHeight="1">
      <c r="B10127" s="63">
        <f t="shared" si="1"/>
        <v>14</v>
      </c>
      <c r="C10127" s="75" t="s">
        <v>560</v>
      </c>
      <c r="D10127" s="161" t="s">
        <v>74</v>
      </c>
      <c r="E10127" s="135">
        <f t="shared" si="62"/>
        <v>7</v>
      </c>
      <c r="F10127" s="134" t="s">
        <v>4693</v>
      </c>
      <c r="G10127" s="63" t="str">
        <f>VLOOKUP(C10127, 'Class Def. - General Data'!$C$20:$C$1000,1,false)</f>
        <v>ZSI1_ICT_CABLE</v>
      </c>
      <c r="H10127" s="63" t="str">
        <f>IFERROR(__xludf.DUMMYFUNCTION("VLOOKUP(F10127, IMPORTRANGE(""https://docs.google.com/spreadsheets/d/1Lhp9OU0JdFf_VYSMzH5lBcEaU4o8teT1piV-SNzShjg/edit?gid=554141278#gid=554141278"", ""'Char Def. - Attributes'!C20:C2242""), 1,false)"),"#N/A")</f>
        <v>#N/A</v>
      </c>
      <c r="I10127" s="136"/>
      <c r="R10127" s="63" t="str">
        <f t="shared" si="60"/>
        <v>ZSI1_ICT_CABLEORDER_UNIT_PUPUK</v>
      </c>
    </row>
    <row r="10128" ht="15.75" customHeight="1">
      <c r="B10128" s="63">
        <f t="shared" si="1"/>
        <v>14</v>
      </c>
      <c r="C10128" s="75" t="s">
        <v>560</v>
      </c>
      <c r="D10128" s="161" t="s">
        <v>74</v>
      </c>
      <c r="E10128" s="135">
        <f t="shared" si="62"/>
        <v>8</v>
      </c>
      <c r="F10128" s="134" t="s">
        <v>3804</v>
      </c>
      <c r="G10128" s="63" t="str">
        <f>VLOOKUP(C10128, 'Class Def. - General Data'!$C$20:$C$1000,1,false)</f>
        <v>ZSI1_ICT_CABLE</v>
      </c>
      <c r="H10128" s="63" t="str">
        <f>IFERROR(__xludf.DUMMYFUNCTION("VLOOKUP(F10128, IMPORTRANGE(""https://docs.google.com/spreadsheets/d/1Lhp9OU0JdFf_VYSMzH5lBcEaU4o8teT1piV-SNzShjg/edit?gid=554141278#gid=554141278"", ""'Char Def. - Attributes'!C20:C2242""), 1,false)"),"ALT_UOM1_SIPI")</f>
        <v>ALT_UOM1_SIPI</v>
      </c>
      <c r="I10128" s="136"/>
      <c r="R10128" s="63" t="str">
        <f t="shared" si="60"/>
        <v>ZSI1_ICT_CABLEALT_UOM1_SIPI</v>
      </c>
    </row>
    <row r="10129" ht="15.75" customHeight="1">
      <c r="B10129" s="63">
        <f t="shared" si="1"/>
        <v>14</v>
      </c>
      <c r="C10129" s="75" t="s">
        <v>560</v>
      </c>
      <c r="D10129" s="161" t="s">
        <v>74</v>
      </c>
      <c r="E10129" s="135">
        <f t="shared" si="62"/>
        <v>9</v>
      </c>
      <c r="F10129" s="134" t="s">
        <v>3805</v>
      </c>
      <c r="G10129" s="63" t="str">
        <f>VLOOKUP(C10129, 'Class Def. - General Data'!$C$20:$C$1000,1,false)</f>
        <v>ZSI1_ICT_CABLE</v>
      </c>
      <c r="H10129" s="63" t="str">
        <f>IFERROR(__xludf.DUMMYFUNCTION("VLOOKUP(F10129, IMPORTRANGE(""https://docs.google.com/spreadsheets/d/1Lhp9OU0JdFf_VYSMzH5lBcEaU4o8teT1piV-SNzShjg/edit?gid=554141278#gid=554141278"", ""'Char Def. - Attributes'!C20:C2242""), 1,false)"),"ALT_DENUM_UOM1")</f>
        <v>ALT_DENUM_UOM1</v>
      </c>
      <c r="I10129" s="136"/>
      <c r="R10129" s="63" t="str">
        <f t="shared" si="60"/>
        <v>ZSI1_ICT_CABLEALT_DENUM_UOM1</v>
      </c>
    </row>
    <row r="10130" ht="15.75" customHeight="1">
      <c r="B10130" s="63">
        <f t="shared" si="1"/>
        <v>14</v>
      </c>
      <c r="C10130" s="75" t="s">
        <v>560</v>
      </c>
      <c r="D10130" s="161" t="s">
        <v>74</v>
      </c>
      <c r="E10130" s="135">
        <f t="shared" si="62"/>
        <v>10</v>
      </c>
      <c r="F10130" s="134" t="s">
        <v>3806</v>
      </c>
      <c r="G10130" s="63" t="str">
        <f>VLOOKUP(C10130, 'Class Def. - General Data'!$C$20:$C$1000,1,false)</f>
        <v>ZSI1_ICT_CABLE</v>
      </c>
      <c r="H10130" s="63" t="str">
        <f>IFERROR(__xludf.DUMMYFUNCTION("VLOOKUP(F10130, IMPORTRANGE(""https://docs.google.com/spreadsheets/d/1Lhp9OU0JdFf_VYSMzH5lBcEaU4o8teT1piV-SNzShjg/edit?gid=554141278#gid=554141278"", ""'Char Def. - Attributes'!C20:C2242""), 1,false)"),"ALT_NUM_UOM1")</f>
        <v>ALT_NUM_UOM1</v>
      </c>
      <c r="I10130" s="136"/>
      <c r="R10130" s="63" t="str">
        <f t="shared" si="60"/>
        <v>ZSI1_ICT_CABLEALT_NUM_UOM1</v>
      </c>
    </row>
    <row r="10131" ht="15.75" customHeight="1">
      <c r="B10131" s="63">
        <f t="shared" si="1"/>
        <v>14</v>
      </c>
      <c r="C10131" s="75" t="s">
        <v>560</v>
      </c>
      <c r="D10131" s="161" t="s">
        <v>74</v>
      </c>
      <c r="E10131" s="135">
        <f t="shared" si="62"/>
        <v>11</v>
      </c>
      <c r="F10131" s="134" t="s">
        <v>3807</v>
      </c>
      <c r="G10131" s="63" t="str">
        <f>VLOOKUP(C10131, 'Class Def. - General Data'!$C$20:$C$1000,1,false)</f>
        <v>ZSI1_ICT_CABLE</v>
      </c>
      <c r="H10131" s="63" t="str">
        <f>IFERROR(__xludf.DUMMYFUNCTION("VLOOKUP(F10131, IMPORTRANGE(""https://docs.google.com/spreadsheets/d/1Lhp9OU0JdFf_VYSMzH5lBcEaU4o8teT1piV-SNzShjg/edit?gid=554141278#gid=554141278"", ""'Char Def. - Attributes'!C20:C2242""), 1,false)"),"ALT_UOM2_SIPI")</f>
        <v>ALT_UOM2_SIPI</v>
      </c>
      <c r="I10131" s="136"/>
      <c r="R10131" s="63" t="str">
        <f t="shared" si="60"/>
        <v>ZSI1_ICT_CABLEALT_UOM2_SIPI</v>
      </c>
    </row>
    <row r="10132" ht="15.75" customHeight="1">
      <c r="B10132" s="63">
        <f t="shared" si="1"/>
        <v>14</v>
      </c>
      <c r="C10132" s="75" t="s">
        <v>560</v>
      </c>
      <c r="D10132" s="161" t="s">
        <v>74</v>
      </c>
      <c r="E10132" s="135">
        <f t="shared" si="62"/>
        <v>12</v>
      </c>
      <c r="F10132" s="134" t="s">
        <v>3808</v>
      </c>
      <c r="G10132" s="63" t="str">
        <f>VLOOKUP(C10132, 'Class Def. - General Data'!$C$20:$C$1000,1,false)</f>
        <v>ZSI1_ICT_CABLE</v>
      </c>
      <c r="H10132" s="63" t="str">
        <f>IFERROR(__xludf.DUMMYFUNCTION("VLOOKUP(F10132, IMPORTRANGE(""https://docs.google.com/spreadsheets/d/1Lhp9OU0JdFf_VYSMzH5lBcEaU4o8teT1piV-SNzShjg/edit?gid=554141278#gid=554141278"", ""'Char Def. - Attributes'!C20:C2242""), 1,false)"),"ALT_DENUM_UOM2")</f>
        <v>ALT_DENUM_UOM2</v>
      </c>
      <c r="I10132" s="136"/>
      <c r="R10132" s="63" t="str">
        <f t="shared" si="60"/>
        <v>ZSI1_ICT_CABLEALT_DENUM_UOM2</v>
      </c>
    </row>
    <row r="10133" ht="15.75" customHeight="1">
      <c r="B10133" s="63">
        <f t="shared" si="1"/>
        <v>14</v>
      </c>
      <c r="C10133" s="75" t="s">
        <v>560</v>
      </c>
      <c r="D10133" s="161" t="s">
        <v>74</v>
      </c>
      <c r="E10133" s="135">
        <f t="shared" si="62"/>
        <v>13</v>
      </c>
      <c r="F10133" s="134" t="s">
        <v>3809</v>
      </c>
      <c r="G10133" s="63" t="str">
        <f>VLOOKUP(C10133, 'Class Def. - General Data'!$C$20:$C$1000,1,false)</f>
        <v>ZSI1_ICT_CABLE</v>
      </c>
      <c r="H10133" s="63" t="str">
        <f>IFERROR(__xludf.DUMMYFUNCTION("VLOOKUP(F10133, IMPORTRANGE(""https://docs.google.com/spreadsheets/d/1Lhp9OU0JdFf_VYSMzH5lBcEaU4o8teT1piV-SNzShjg/edit?gid=554141278#gid=554141278"", ""'Char Def. - Attributes'!C20:C2242""), 1,false)"),"ALT_NUM_UOM2")</f>
        <v>ALT_NUM_UOM2</v>
      </c>
      <c r="I10133" s="136"/>
      <c r="R10133" s="63" t="str">
        <f t="shared" si="60"/>
        <v>ZSI1_ICT_CABLEALT_NUM_UOM2</v>
      </c>
    </row>
    <row r="10134" ht="15.75" customHeight="1">
      <c r="B10134" s="63">
        <f t="shared" si="1"/>
        <v>14</v>
      </c>
      <c r="C10134" s="75" t="s">
        <v>560</v>
      </c>
      <c r="D10134" s="161" t="s">
        <v>74</v>
      </c>
      <c r="E10134" s="135">
        <f t="shared" si="62"/>
        <v>14</v>
      </c>
      <c r="F10134" s="134" t="s">
        <v>3810</v>
      </c>
      <c r="G10134" s="63" t="str">
        <f>VLOOKUP(C10134, 'Class Def. - General Data'!$C$20:$C$1000,1,false)</f>
        <v>ZSI1_ICT_CABLE</v>
      </c>
      <c r="H10134" s="63" t="str">
        <f>IFERROR(__xludf.DUMMYFUNCTION("VLOOKUP(F10134, IMPORTRANGE(""https://docs.google.com/spreadsheets/d/1Lhp9OU0JdFf_VYSMzH5lBcEaU4o8teT1piV-SNzShjg/edit?gid=554141278#gid=554141278"", ""'Char Def. - Attributes'!C20:C2242""), 1,false)"),"ALT_UOM3_SIPI")</f>
        <v>ALT_UOM3_SIPI</v>
      </c>
      <c r="I10134" s="136"/>
      <c r="R10134" s="63" t="str">
        <f t="shared" si="60"/>
        <v>ZSI1_ICT_CABLEALT_UOM3_SIPI</v>
      </c>
    </row>
    <row r="10135" ht="15.75" customHeight="1">
      <c r="B10135" s="63">
        <f t="shared" si="1"/>
        <v>14</v>
      </c>
      <c r="C10135" s="75" t="s">
        <v>560</v>
      </c>
      <c r="D10135" s="161" t="s">
        <v>74</v>
      </c>
      <c r="E10135" s="135">
        <f t="shared" si="62"/>
        <v>15</v>
      </c>
      <c r="F10135" s="134" t="s">
        <v>3811</v>
      </c>
      <c r="G10135" s="63" t="str">
        <f>VLOOKUP(C10135, 'Class Def. - General Data'!$C$20:$C$1000,1,false)</f>
        <v>ZSI1_ICT_CABLE</v>
      </c>
      <c r="H10135" s="63" t="str">
        <f>IFERROR(__xludf.DUMMYFUNCTION("VLOOKUP(F10135, IMPORTRANGE(""https://docs.google.com/spreadsheets/d/1Lhp9OU0JdFf_VYSMzH5lBcEaU4o8teT1piV-SNzShjg/edit?gid=554141278#gid=554141278"", ""'Char Def. - Attributes'!C20:C2242""), 1,false)"),"ALT_DENUM_UOM3")</f>
        <v>ALT_DENUM_UOM3</v>
      </c>
      <c r="I10135" s="136"/>
      <c r="R10135" s="63" t="str">
        <f t="shared" si="60"/>
        <v>ZSI1_ICT_CABLEALT_DENUM_UOM3</v>
      </c>
    </row>
    <row r="10136" ht="15.75" customHeight="1">
      <c r="B10136" s="63">
        <f t="shared" si="1"/>
        <v>14</v>
      </c>
      <c r="C10136" s="75" t="s">
        <v>560</v>
      </c>
      <c r="D10136" s="161" t="s">
        <v>74</v>
      </c>
      <c r="E10136" s="135">
        <f t="shared" si="62"/>
        <v>16</v>
      </c>
      <c r="F10136" s="134" t="s">
        <v>3812</v>
      </c>
      <c r="G10136" s="63" t="str">
        <f>VLOOKUP(C10136, 'Class Def. - General Data'!$C$20:$C$1000,1,false)</f>
        <v>ZSI1_ICT_CABLE</v>
      </c>
      <c r="H10136" s="63" t="str">
        <f>IFERROR(__xludf.DUMMYFUNCTION("VLOOKUP(F10136, IMPORTRANGE(""https://docs.google.com/spreadsheets/d/1Lhp9OU0JdFf_VYSMzH5lBcEaU4o8teT1piV-SNzShjg/edit?gid=554141278#gid=554141278"", ""'Char Def. - Attributes'!C20:C2242""), 1,false)"),"ALT_NUM_UOM3")</f>
        <v>ALT_NUM_UOM3</v>
      </c>
      <c r="I10136" s="136"/>
      <c r="R10136" s="63" t="str">
        <f t="shared" si="60"/>
        <v>ZSI1_ICT_CABLEALT_NUM_UOM3</v>
      </c>
    </row>
    <row r="10137" ht="15.75" customHeight="1">
      <c r="B10137" s="63">
        <f t="shared" si="1"/>
        <v>14</v>
      </c>
      <c r="C10137" s="75" t="s">
        <v>560</v>
      </c>
      <c r="D10137" s="161" t="s">
        <v>74</v>
      </c>
      <c r="E10137" s="135">
        <f t="shared" si="62"/>
        <v>17</v>
      </c>
      <c r="F10137" s="134" t="s">
        <v>3813</v>
      </c>
      <c r="G10137" s="63" t="str">
        <f>VLOOKUP(C10137, 'Class Def. - General Data'!$C$20:$C$1000,1,false)</f>
        <v>ZSI1_ICT_CABLE</v>
      </c>
      <c r="H10137" s="63" t="str">
        <f>IFERROR(__xludf.DUMMYFUNCTION("VLOOKUP(F10137, IMPORTRANGE(""https://docs.google.com/spreadsheets/d/1Lhp9OU0JdFf_VYSMzH5lBcEaU4o8teT1piV-SNzShjg/edit?gid=554141278#gid=554141278"", ""'Char Def. - Attributes'!C20:C2242""), 1,false)"),"ALT_UOM4_SIPI")</f>
        <v>ALT_UOM4_SIPI</v>
      </c>
      <c r="I10137" s="136"/>
      <c r="R10137" s="63" t="str">
        <f t="shared" si="60"/>
        <v>ZSI1_ICT_CABLEALT_UOM4_SIPI</v>
      </c>
    </row>
    <row r="10138" ht="15.75" customHeight="1">
      <c r="B10138" s="63">
        <f t="shared" si="1"/>
        <v>14</v>
      </c>
      <c r="C10138" s="75" t="s">
        <v>560</v>
      </c>
      <c r="D10138" s="161" t="s">
        <v>74</v>
      </c>
      <c r="E10138" s="135">
        <f t="shared" si="62"/>
        <v>18</v>
      </c>
      <c r="F10138" s="134" t="s">
        <v>3814</v>
      </c>
      <c r="G10138" s="63" t="str">
        <f>VLOOKUP(C10138, 'Class Def. - General Data'!$C$20:$C$1000,1,false)</f>
        <v>ZSI1_ICT_CABLE</v>
      </c>
      <c r="H10138" s="63" t="str">
        <f>IFERROR(__xludf.DUMMYFUNCTION("VLOOKUP(F10138, IMPORTRANGE(""https://docs.google.com/spreadsheets/d/1Lhp9OU0JdFf_VYSMzH5lBcEaU4o8teT1piV-SNzShjg/edit?gid=554141278#gid=554141278"", ""'Char Def. - Attributes'!C20:C2242""), 1,false)"),"ALT_DENUM_UOM4")</f>
        <v>ALT_DENUM_UOM4</v>
      </c>
      <c r="I10138" s="136"/>
      <c r="R10138" s="63" t="str">
        <f t="shared" si="60"/>
        <v>ZSI1_ICT_CABLEALT_DENUM_UOM4</v>
      </c>
    </row>
    <row r="10139" ht="15.75" customHeight="1">
      <c r="B10139" s="63">
        <f t="shared" si="1"/>
        <v>14</v>
      </c>
      <c r="C10139" s="75" t="s">
        <v>560</v>
      </c>
      <c r="D10139" s="161" t="s">
        <v>74</v>
      </c>
      <c r="E10139" s="135">
        <f t="shared" si="62"/>
        <v>19</v>
      </c>
      <c r="F10139" s="134" t="s">
        <v>3815</v>
      </c>
      <c r="G10139" s="63" t="str">
        <f>VLOOKUP(C10139, 'Class Def. - General Data'!$C$20:$C$1000,1,false)</f>
        <v>ZSI1_ICT_CABLE</v>
      </c>
      <c r="H10139" s="63" t="str">
        <f>IFERROR(__xludf.DUMMYFUNCTION("VLOOKUP(F10139, IMPORTRANGE(""https://docs.google.com/spreadsheets/d/1Lhp9OU0JdFf_VYSMzH5lBcEaU4o8teT1piV-SNzShjg/edit?gid=554141278#gid=554141278"", ""'Char Def. - Attributes'!C20:C2242""), 1,false)"),"ALT_NUM_UOM4")</f>
        <v>ALT_NUM_UOM4</v>
      </c>
      <c r="I10139" s="136"/>
      <c r="R10139" s="63" t="str">
        <f t="shared" si="60"/>
        <v>ZSI1_ICT_CABLEALT_NUM_UOM4</v>
      </c>
    </row>
    <row r="10140" ht="15.75" customHeight="1">
      <c r="B10140" s="63">
        <f t="shared" si="1"/>
        <v>14</v>
      </c>
      <c r="C10140" s="75" t="s">
        <v>560</v>
      </c>
      <c r="D10140" s="161" t="s">
        <v>74</v>
      </c>
      <c r="E10140" s="135">
        <f t="shared" si="62"/>
        <v>20</v>
      </c>
      <c r="F10140" s="134" t="s">
        <v>3816</v>
      </c>
      <c r="G10140" s="63" t="str">
        <f>VLOOKUP(C10140, 'Class Def. - General Data'!$C$20:$C$1000,1,false)</f>
        <v>ZSI1_ICT_CABLE</v>
      </c>
      <c r="H10140" s="63" t="str">
        <f>IFERROR(__xludf.DUMMYFUNCTION("VLOOKUP(F10140, IMPORTRANGE(""https://docs.google.com/spreadsheets/d/1Lhp9OU0JdFf_VYSMzH5lBcEaU4o8teT1piV-SNzShjg/edit?gid=554141278#gid=554141278"", ""'Char Def. - Attributes'!C20:C2242""), 1,false)"),"ALT_UOM5_SIPI")</f>
        <v>ALT_UOM5_SIPI</v>
      </c>
      <c r="I10140" s="136"/>
      <c r="R10140" s="63" t="str">
        <f t="shared" si="60"/>
        <v>ZSI1_ICT_CABLEALT_UOM5_SIPI</v>
      </c>
    </row>
    <row r="10141" ht="15.75" customHeight="1">
      <c r="B10141" s="63">
        <f t="shared" si="1"/>
        <v>14</v>
      </c>
      <c r="C10141" s="75" t="s">
        <v>560</v>
      </c>
      <c r="D10141" s="161" t="s">
        <v>74</v>
      </c>
      <c r="E10141" s="135">
        <f t="shared" si="62"/>
        <v>21</v>
      </c>
      <c r="F10141" s="134" t="s">
        <v>3817</v>
      </c>
      <c r="G10141" s="63" t="str">
        <f>VLOOKUP(C10141, 'Class Def. - General Data'!$C$20:$C$1000,1,false)</f>
        <v>ZSI1_ICT_CABLE</v>
      </c>
      <c r="H10141" s="63" t="str">
        <f>IFERROR(__xludf.DUMMYFUNCTION("VLOOKUP(F10141, IMPORTRANGE(""https://docs.google.com/spreadsheets/d/1Lhp9OU0JdFf_VYSMzH5lBcEaU4o8teT1piV-SNzShjg/edit?gid=554141278#gid=554141278"", ""'Char Def. - Attributes'!C20:C2242""), 1,false)"),"ALT_DENUM_UOM5")</f>
        <v>ALT_DENUM_UOM5</v>
      </c>
      <c r="I10141" s="136"/>
      <c r="R10141" s="63" t="str">
        <f t="shared" si="60"/>
        <v>ZSI1_ICT_CABLEALT_DENUM_UOM5</v>
      </c>
    </row>
    <row r="10142" ht="15.75" customHeight="1">
      <c r="B10142" s="63">
        <f t="shared" si="1"/>
        <v>14</v>
      </c>
      <c r="C10142" s="75" t="s">
        <v>560</v>
      </c>
      <c r="D10142" s="161" t="s">
        <v>74</v>
      </c>
      <c r="E10142" s="135">
        <f t="shared" si="62"/>
        <v>22</v>
      </c>
      <c r="F10142" s="134" t="s">
        <v>3818</v>
      </c>
      <c r="G10142" s="63" t="str">
        <f>VLOOKUP(C10142, 'Class Def. - General Data'!$C$20:$C$1000,1,false)</f>
        <v>ZSI1_ICT_CABLE</v>
      </c>
      <c r="H10142" s="63" t="str">
        <f>IFERROR(__xludf.DUMMYFUNCTION("VLOOKUP(F10142, IMPORTRANGE(""https://docs.google.com/spreadsheets/d/1Lhp9OU0JdFf_VYSMzH5lBcEaU4o8teT1piV-SNzShjg/edit?gid=554141278#gid=554141278"", ""'Char Def. - Attributes'!C20:C2242""), 1,false)"),"ALT_NUM_UOM5")</f>
        <v>ALT_NUM_UOM5</v>
      </c>
      <c r="I10142" s="136"/>
      <c r="R10142" s="63" t="str">
        <f t="shared" si="60"/>
        <v>ZSI1_ICT_CABLEALT_NUM_UOM5</v>
      </c>
    </row>
    <row r="10143" ht="15.75" customHeight="1">
      <c r="B10143" s="63">
        <f t="shared" si="1"/>
        <v>18</v>
      </c>
      <c r="C10143" s="135" t="s">
        <v>518</v>
      </c>
      <c r="D10143" s="161" t="s">
        <v>74</v>
      </c>
      <c r="E10143" s="135">
        <f t="shared" si="62"/>
        <v>1</v>
      </c>
      <c r="F10143" s="134" t="s">
        <v>4694</v>
      </c>
      <c r="G10143" s="63" t="str">
        <f>VLOOKUP(C10143, 'Class Def. - General Data'!$C$20:$C$1000,1,false)</f>
        <v>ZSI1_INSULATE_PIPE</v>
      </c>
      <c r="H10143" s="63" t="str">
        <f>IFERROR(__xludf.DUMMYFUNCTION("VLOOKUP(F10143, IMPORTRANGE(""https://docs.google.com/spreadsheets/d/1Lhp9OU0JdFf_VYSMzH5lBcEaU4o8teT1piV-SNzShjg/edit?gid=554141278#gid=554141278"", ""'Char Def. - Attributes'!C20:C2242""), 1,false)"),"ITEM_NAME_INSULATION_PIPE")</f>
        <v>ITEM_NAME_INSULATION_PIPE</v>
      </c>
      <c r="I10143" s="136"/>
      <c r="R10143" s="63" t="str">
        <f t="shared" si="60"/>
        <v>ZSI1_INSULATE_PIPEITEM_NAME_INSULATION_PIPE</v>
      </c>
    </row>
    <row r="10144" ht="15.75" customHeight="1">
      <c r="B10144" s="63">
        <f t="shared" si="1"/>
        <v>18</v>
      </c>
      <c r="C10144" s="135" t="s">
        <v>518</v>
      </c>
      <c r="D10144" s="161" t="s">
        <v>74</v>
      </c>
      <c r="E10144" s="135">
        <f t="shared" si="62"/>
        <v>2</v>
      </c>
      <c r="F10144" s="134" t="s">
        <v>4695</v>
      </c>
      <c r="G10144" s="63" t="str">
        <f>VLOOKUP(C10144, 'Class Def. - General Data'!$C$20:$C$1000,1,false)</f>
        <v>ZSI1_INSULATE_PIPE</v>
      </c>
      <c r="H10144" s="63" t="str">
        <f>IFERROR(__xludf.DUMMYFUNCTION("VLOOKUP(F10144, IMPORTRANGE(""https://docs.google.com/spreadsheets/d/1Lhp9OU0JdFf_VYSMzH5lBcEaU4o8teT1piV-SNzShjg/edit?gid=554141278#gid=554141278"", ""'Char Def. - Attributes'!C20:C2242""), 1,false)"),"MFR_NO_INSULATION_PIPE")</f>
        <v>MFR_NO_INSULATION_PIPE</v>
      </c>
      <c r="I10144" s="136"/>
      <c r="R10144" s="63" t="str">
        <f t="shared" si="60"/>
        <v>ZSI1_INSULATE_PIPEMFR_NO_INSULATION_PIPE</v>
      </c>
    </row>
    <row r="10145" ht="15.75" customHeight="1">
      <c r="B10145" s="63">
        <f t="shared" si="1"/>
        <v>18</v>
      </c>
      <c r="C10145" s="135" t="s">
        <v>518</v>
      </c>
      <c r="D10145" s="161" t="s">
        <v>74</v>
      </c>
      <c r="E10145" s="135">
        <f t="shared" si="62"/>
        <v>3</v>
      </c>
      <c r="F10145" s="134" t="s">
        <v>4696</v>
      </c>
      <c r="G10145" s="63" t="str">
        <f>VLOOKUP(C10145, 'Class Def. - General Data'!$C$20:$C$1000,1,false)</f>
        <v>ZSI1_INSULATE_PIPE</v>
      </c>
      <c r="H10145" s="63" t="str">
        <f>IFERROR(__xludf.DUMMYFUNCTION("VLOOKUP(F10145, IMPORTRANGE(""https://docs.google.com/spreadsheets/d/1Lhp9OU0JdFf_VYSMzH5lBcEaU4o8teT1piV-SNzShjg/edit?gid=554141278#gid=554141278"", ""'Char Def. - Attributes'!C20:C2242""), 1,false)"),"SIZE_INSULATION_PIPE")</f>
        <v>SIZE_INSULATION_PIPE</v>
      </c>
      <c r="I10145" s="136"/>
      <c r="R10145" s="63" t="str">
        <f t="shared" si="60"/>
        <v>ZSI1_INSULATE_PIPESIZE_INSULATION_PIPE</v>
      </c>
    </row>
    <row r="10146" ht="15.75" customHeight="1">
      <c r="B10146" s="63">
        <f t="shared" si="1"/>
        <v>18</v>
      </c>
      <c r="C10146" s="135" t="s">
        <v>518</v>
      </c>
      <c r="D10146" s="161" t="s">
        <v>74</v>
      </c>
      <c r="E10146" s="135">
        <f t="shared" si="62"/>
        <v>4</v>
      </c>
      <c r="F10146" s="134" t="s">
        <v>4697</v>
      </c>
      <c r="G10146" s="63" t="str">
        <f>VLOOKUP(C10146, 'Class Def. - General Data'!$C$20:$C$1000,1,false)</f>
        <v>ZSI1_INSULATE_PIPE</v>
      </c>
      <c r="H10146" s="63" t="str">
        <f>IFERROR(__xludf.DUMMYFUNCTION("VLOOKUP(F10146, IMPORTRANGE(""https://docs.google.com/spreadsheets/d/1Lhp9OU0JdFf_VYSMzH5lBcEaU4o8teT1piV-SNzShjg/edit?gid=554141278#gid=554141278"", ""'Char Def. - Attributes'!C20:C2242""), 1,false)"),"MATERIAL_INSULATION_PIPE")</f>
        <v>MATERIAL_INSULATION_PIPE</v>
      </c>
      <c r="I10146" s="136"/>
      <c r="R10146" s="63" t="str">
        <f t="shared" si="60"/>
        <v>ZSI1_INSULATE_PIPEMATERIAL_INSULATION_PIPE</v>
      </c>
    </row>
    <row r="10147" ht="15.75" customHeight="1">
      <c r="B10147" s="63">
        <f t="shared" si="1"/>
        <v>18</v>
      </c>
      <c r="C10147" s="135" t="s">
        <v>518</v>
      </c>
      <c r="D10147" s="161" t="s">
        <v>74</v>
      </c>
      <c r="E10147" s="135">
        <f t="shared" si="62"/>
        <v>5</v>
      </c>
      <c r="F10147" s="134" t="s">
        <v>3782</v>
      </c>
      <c r="G10147" s="63" t="str">
        <f>VLOOKUP(C10147, 'Class Def. - General Data'!$C$20:$C$1000,1,false)</f>
        <v>ZSI1_INSULATE_PIPE</v>
      </c>
      <c r="H10147" s="63" t="str">
        <f>IFERROR(__xludf.DUMMYFUNCTION("VLOOKUP(F10147, IMPORTRANGE(""https://docs.google.com/spreadsheets/d/1Lhp9OU0JdFf_VYSMzH5lBcEaU4o8teT1piV-SNzShjg/edit?gid=554141278#gid=554141278"", ""'Char Def. - Attributes'!C20:C2242""), 1,false)"),"BRAND_EXTERNAL")</f>
        <v>BRAND_EXTERNAL</v>
      </c>
      <c r="I10147" s="136"/>
      <c r="R10147" s="63" t="str">
        <f t="shared" si="60"/>
        <v>ZSI1_INSULATE_PIPEBRAND_EXTERNAL</v>
      </c>
    </row>
    <row r="10148" ht="15.75" customHeight="1">
      <c r="B10148" s="63">
        <f t="shared" si="1"/>
        <v>18</v>
      </c>
      <c r="C10148" s="135" t="s">
        <v>518</v>
      </c>
      <c r="D10148" s="161" t="s">
        <v>74</v>
      </c>
      <c r="E10148" s="135">
        <f t="shared" si="62"/>
        <v>6</v>
      </c>
      <c r="F10148" s="134" t="s">
        <v>4062</v>
      </c>
      <c r="G10148" s="63" t="str">
        <f>VLOOKUP(C10148, 'Class Def. - General Data'!$C$20:$C$1000,1,false)</f>
        <v>ZSI1_INSULATE_PIPE</v>
      </c>
      <c r="H10148" s="63" t="str">
        <f>IFERROR(__xludf.DUMMYFUNCTION("VLOOKUP(F10148, IMPORTRANGE(""https://docs.google.com/spreadsheets/d/1Lhp9OU0JdFf_VYSMzH5lBcEaU4o8teT1piV-SNzShjg/edit?gid=554141278#gid=554141278"", ""'Char Def. - Attributes'!C20:C2242""), 1,false)"),"#N/A")</f>
        <v>#N/A</v>
      </c>
      <c r="I10148" s="136"/>
      <c r="R10148" s="63" t="str">
        <f t="shared" si="60"/>
        <v>ZSI1_INSULATE_PIPEADDTIONAL_SPECIFICATION</v>
      </c>
    </row>
    <row r="10149" ht="15.75" customHeight="1">
      <c r="B10149" s="63">
        <f t="shared" si="1"/>
        <v>18</v>
      </c>
      <c r="C10149" s="135" t="s">
        <v>518</v>
      </c>
      <c r="D10149" s="161" t="s">
        <v>74</v>
      </c>
      <c r="E10149" s="135">
        <f t="shared" si="62"/>
        <v>7</v>
      </c>
      <c r="F10149" s="134" t="s">
        <v>4053</v>
      </c>
      <c r="G10149" s="63" t="str">
        <f>VLOOKUP(C10149, 'Class Def. - General Data'!$C$20:$C$1000,1,false)</f>
        <v>ZSI1_INSULATE_PIPE</v>
      </c>
      <c r="H10149" s="63" t="str">
        <f>IFERROR(__xludf.DUMMYFUNCTION("VLOOKUP(F10149, IMPORTRANGE(""https://docs.google.com/spreadsheets/d/1Lhp9OU0JdFf_VYSMzH5lBcEaU4o8teT1piV-SNzShjg/edit?gid=554141278#gid=554141278"", ""'Char Def. - Attributes'!C20:C2242""), 1,false)"),"MAINTENANCE_ORDER_TYPE")</f>
        <v>MAINTENANCE_ORDER_TYPE</v>
      </c>
      <c r="I10149" s="136"/>
      <c r="R10149" s="63" t="str">
        <f t="shared" si="60"/>
        <v>ZSI1_INSULATE_PIPEMAINTENANCE_ORDER_TYPE</v>
      </c>
    </row>
    <row r="10150" ht="15.75" customHeight="1">
      <c r="B10150" s="63">
        <f t="shared" si="1"/>
        <v>18</v>
      </c>
      <c r="C10150" s="135" t="s">
        <v>518</v>
      </c>
      <c r="D10150" s="161" t="s">
        <v>74</v>
      </c>
      <c r="E10150" s="135">
        <f t="shared" si="62"/>
        <v>8</v>
      </c>
      <c r="F10150" s="134" t="s">
        <v>3585</v>
      </c>
      <c r="G10150" s="63" t="str">
        <f>VLOOKUP(C10150, 'Class Def. - General Data'!$C$20:$C$1000,1,false)</f>
        <v>ZSI1_INSULATE_PIPE</v>
      </c>
      <c r="H10150" s="63" t="str">
        <f>IFERROR(__xludf.DUMMYFUNCTION("VLOOKUP(F10150, IMPORTRANGE(""https://docs.google.com/spreadsheets/d/1Lhp9OU0JdFf_VYSMzH5lBcEaU4o8teT1piV-SNzShjg/edit?gid=554141278#gid=554141278"", ""'Char Def. - Attributes'!C20:C2242""), 1,false)"),"HS_CODE")</f>
        <v>HS_CODE</v>
      </c>
      <c r="I10150" s="136"/>
      <c r="R10150" s="63" t="str">
        <f t="shared" si="60"/>
        <v>ZSI1_INSULATE_PIPEHS_CODE</v>
      </c>
    </row>
    <row r="10151" ht="15.75" customHeight="1">
      <c r="B10151" s="63">
        <f t="shared" si="1"/>
        <v>18</v>
      </c>
      <c r="C10151" s="135" t="s">
        <v>518</v>
      </c>
      <c r="D10151" s="161" t="s">
        <v>74</v>
      </c>
      <c r="E10151" s="135">
        <f t="shared" si="62"/>
        <v>9</v>
      </c>
      <c r="F10151" s="134" t="s">
        <v>3587</v>
      </c>
      <c r="G10151" s="63" t="str">
        <f>VLOOKUP(C10151, 'Class Def. - General Data'!$C$20:$C$1000,1,false)</f>
        <v>ZSI1_INSULATE_PIPE</v>
      </c>
      <c r="H10151" s="63" t="str">
        <f>IFERROR(__xludf.DUMMYFUNCTION("VLOOKUP(F10151, IMPORTRANGE(""https://docs.google.com/spreadsheets/d/1Lhp9OU0JdFf_VYSMzH5lBcEaU4o8teT1piV-SNzShjg/edit?gid=554141278#gid=554141278"", ""'Char Def. - Attributes'!C20:C2242""), 1,false)"),"PLANT_BUY")</f>
        <v>PLANT_BUY</v>
      </c>
      <c r="I10151" s="136"/>
      <c r="R10151" s="63" t="str">
        <f t="shared" si="60"/>
        <v>ZSI1_INSULATE_PIPEPLANT_BUY</v>
      </c>
    </row>
    <row r="10152" ht="15.75" customHeight="1">
      <c r="B10152" s="63">
        <f t="shared" si="1"/>
        <v>18</v>
      </c>
      <c r="C10152" s="135" t="s">
        <v>518</v>
      </c>
      <c r="D10152" s="161" t="s">
        <v>74</v>
      </c>
      <c r="E10152" s="135">
        <f t="shared" si="62"/>
        <v>10</v>
      </c>
      <c r="F10152" s="134" t="s">
        <v>4698</v>
      </c>
      <c r="G10152" s="63" t="str">
        <f>VLOOKUP(C10152, 'Class Def. - General Data'!$C$20:$C$1000,1,false)</f>
        <v>ZSI1_INSULATE_PIPE</v>
      </c>
      <c r="H10152" s="63" t="str">
        <f>IFERROR(__xludf.DUMMYFUNCTION("VLOOKUP(F10152, IMPORTRANGE(""https://docs.google.com/spreadsheets/d/1Lhp9OU0JdFf_VYSMzH5lBcEaU4o8teT1piV-SNzShjg/edit?gid=554141278#gid=554141278"", ""'Char Def. - Attributes'!C20:C2242""), 1,false)"),"BASE_UOM_INSULATION_PIPE")</f>
        <v>BASE_UOM_INSULATION_PIPE</v>
      </c>
      <c r="I10152" s="136"/>
      <c r="R10152" s="63" t="str">
        <f t="shared" si="60"/>
        <v>ZSI1_INSULATE_PIPEBASE_UOM_INSULATION_PIPE</v>
      </c>
    </row>
    <row r="10153" ht="15.75" customHeight="1">
      <c r="B10153" s="63">
        <f t="shared" si="1"/>
        <v>18</v>
      </c>
      <c r="C10153" s="135" t="s">
        <v>518</v>
      </c>
      <c r="D10153" s="161" t="s">
        <v>74</v>
      </c>
      <c r="E10153" s="135">
        <f t="shared" si="62"/>
        <v>11</v>
      </c>
      <c r="F10153" s="134" t="s">
        <v>4699</v>
      </c>
      <c r="G10153" s="63" t="str">
        <f>VLOOKUP(C10153, 'Class Def. - General Data'!$C$20:$C$1000,1,false)</f>
        <v>ZSI1_INSULATE_PIPE</v>
      </c>
      <c r="H10153" s="63" t="str">
        <f>IFERROR(__xludf.DUMMYFUNCTION("VLOOKUP(F10153, IMPORTRANGE(""https://docs.google.com/spreadsheets/d/1Lhp9OU0JdFf_VYSMzH5lBcEaU4o8teT1piV-SNzShjg/edit?gid=554141278#gid=554141278"", ""'Char Def. - Attributes'!C20:C2242""), 1,false)"),"ORDER_UNIT_INSULATION_PIPE")</f>
        <v>ORDER_UNIT_INSULATION_PIPE</v>
      </c>
      <c r="I10153" s="136"/>
      <c r="R10153" s="63" t="str">
        <f t="shared" si="60"/>
        <v>ZSI1_INSULATE_PIPEORDER_UNIT_INSULATION_PIPE</v>
      </c>
    </row>
    <row r="10154" ht="15.75" customHeight="1">
      <c r="B10154" s="63">
        <f t="shared" si="1"/>
        <v>18</v>
      </c>
      <c r="C10154" s="135" t="s">
        <v>518</v>
      </c>
      <c r="D10154" s="161" t="s">
        <v>74</v>
      </c>
      <c r="E10154" s="135">
        <f t="shared" si="62"/>
        <v>12</v>
      </c>
      <c r="F10154" s="134" t="s">
        <v>4056</v>
      </c>
      <c r="G10154" s="63" t="str">
        <f>VLOOKUP(C10154, 'Class Def. - General Data'!$C$20:$C$1000,1,false)</f>
        <v>ZSI1_INSULATE_PIPE</v>
      </c>
      <c r="H10154" s="63" t="str">
        <f>IFERROR(__xludf.DUMMYFUNCTION("VLOOKUP(F10154, IMPORTRANGE(""https://docs.google.com/spreadsheets/d/1Lhp9OU0JdFf_VYSMzH5lBcEaU4o8teT1piV-SNzShjg/edit?gid=554141278#gid=554141278"", ""'Char Def. - Attributes'!C20:C2242""), 1,false)"),"GROSS_WEIGHT_OPT")</f>
        <v>GROSS_WEIGHT_OPT</v>
      </c>
      <c r="I10154" s="136"/>
      <c r="R10154" s="63" t="str">
        <f t="shared" si="60"/>
        <v>ZSI1_INSULATE_PIPEGROSS_WEIGHT_OPT</v>
      </c>
    </row>
    <row r="10155" ht="15.75" customHeight="1">
      <c r="B10155" s="63">
        <f t="shared" si="1"/>
        <v>18</v>
      </c>
      <c r="C10155" s="135" t="s">
        <v>518</v>
      </c>
      <c r="D10155" s="161" t="s">
        <v>74</v>
      </c>
      <c r="E10155" s="135">
        <f t="shared" si="62"/>
        <v>13</v>
      </c>
      <c r="F10155" s="134" t="s">
        <v>4057</v>
      </c>
      <c r="G10155" s="63" t="str">
        <f>VLOOKUP(C10155, 'Class Def. - General Data'!$C$20:$C$1000,1,false)</f>
        <v>ZSI1_INSULATE_PIPE</v>
      </c>
      <c r="H10155" s="63" t="str">
        <f>IFERROR(__xludf.DUMMYFUNCTION("VLOOKUP(F10155, IMPORTRANGE(""https://docs.google.com/spreadsheets/d/1Lhp9OU0JdFf_VYSMzH5lBcEaU4o8teT1piV-SNzShjg/edit?gid=554141278#gid=554141278"", ""'Char Def. - Attributes'!C20:C2242""), 1,false)"),"NET_WEIGHT_OPT")</f>
        <v>NET_WEIGHT_OPT</v>
      </c>
      <c r="I10155" s="136"/>
      <c r="R10155" s="63" t="str">
        <f t="shared" si="60"/>
        <v>ZSI1_INSULATE_PIPENET_WEIGHT_OPT</v>
      </c>
    </row>
    <row r="10156" ht="15.75" customHeight="1">
      <c r="B10156" s="63">
        <f t="shared" si="1"/>
        <v>18</v>
      </c>
      <c r="C10156" s="135" t="s">
        <v>518</v>
      </c>
      <c r="D10156" s="161" t="s">
        <v>74</v>
      </c>
      <c r="E10156" s="135">
        <f t="shared" si="62"/>
        <v>14</v>
      </c>
      <c r="F10156" s="134" t="s">
        <v>4058</v>
      </c>
      <c r="G10156" s="63" t="str">
        <f>VLOOKUP(C10156, 'Class Def. - General Data'!$C$20:$C$1000,1,false)</f>
        <v>ZSI1_INSULATE_PIPE</v>
      </c>
      <c r="H10156" s="63" t="str">
        <f>IFERROR(__xludf.DUMMYFUNCTION("VLOOKUP(F10156, IMPORTRANGE(""https://docs.google.com/spreadsheets/d/1Lhp9OU0JdFf_VYSMzH5lBcEaU4o8teT1piV-SNzShjg/edit?gid=554141278#gid=554141278"", ""'Char Def. - Attributes'!C20:C2242""), 1,false)"),"WEIGHT_UNIT_SI")</f>
        <v>WEIGHT_UNIT_SI</v>
      </c>
      <c r="I10156" s="136"/>
      <c r="R10156" s="63" t="str">
        <f t="shared" si="60"/>
        <v>ZSI1_INSULATE_PIPEWEIGHT_UNIT_SI</v>
      </c>
    </row>
    <row r="10157" ht="15.75" customHeight="1">
      <c r="B10157" s="63">
        <f t="shared" si="1"/>
        <v>18</v>
      </c>
      <c r="C10157" s="135" t="s">
        <v>518</v>
      </c>
      <c r="D10157" s="161" t="s">
        <v>74</v>
      </c>
      <c r="E10157" s="135">
        <f t="shared" si="62"/>
        <v>15</v>
      </c>
      <c r="F10157" s="134" t="s">
        <v>3877</v>
      </c>
      <c r="G10157" s="63" t="str">
        <f>VLOOKUP(C10157, 'Class Def. - General Data'!$C$20:$C$1000,1,false)</f>
        <v>ZSI1_INSULATE_PIPE</v>
      </c>
      <c r="H10157" s="63" t="str">
        <f>IFERROR(__xludf.DUMMYFUNCTION("VLOOKUP(F10157, IMPORTRANGE(""https://docs.google.com/spreadsheets/d/1Lhp9OU0JdFf_VYSMzH5lBcEaU4o8teT1piV-SNzShjg/edit?gid=554141278#gid=554141278"", ""'Char Def. - Attributes'!C20:C2242""), 1,false)"),"VOLUME_OPT")</f>
        <v>VOLUME_OPT</v>
      </c>
      <c r="I10157" s="136"/>
      <c r="R10157" s="63" t="str">
        <f t="shared" si="60"/>
        <v>ZSI1_INSULATE_PIPEVOLUME_OPT</v>
      </c>
    </row>
    <row r="10158" ht="15.75" customHeight="1">
      <c r="B10158" s="63">
        <f t="shared" si="1"/>
        <v>18</v>
      </c>
      <c r="C10158" s="135" t="s">
        <v>518</v>
      </c>
      <c r="D10158" s="161" t="s">
        <v>74</v>
      </c>
      <c r="E10158" s="135">
        <f t="shared" si="62"/>
        <v>16</v>
      </c>
      <c r="F10158" s="134" t="s">
        <v>4059</v>
      </c>
      <c r="G10158" s="63" t="str">
        <f>VLOOKUP(C10158, 'Class Def. - General Data'!$C$20:$C$1000,1,false)</f>
        <v>ZSI1_INSULATE_PIPE</v>
      </c>
      <c r="H10158" s="63" t="str">
        <f>IFERROR(__xludf.DUMMYFUNCTION("VLOOKUP(F10158, IMPORTRANGE(""https://docs.google.com/spreadsheets/d/1Lhp9OU0JdFf_VYSMzH5lBcEaU4o8teT1piV-SNzShjg/edit?gid=554141278#gid=554141278"", ""'Char Def. - Attributes'!C20:C2242""), 1,false)"),"VOLUME_UNIT_SI")</f>
        <v>VOLUME_UNIT_SI</v>
      </c>
      <c r="I10158" s="136"/>
      <c r="R10158" s="63" t="str">
        <f t="shared" si="60"/>
        <v>ZSI1_INSULATE_PIPEVOLUME_UNIT_SI</v>
      </c>
    </row>
    <row r="10159" ht="15.75" customHeight="1">
      <c r="B10159" s="63">
        <f t="shared" si="1"/>
        <v>18</v>
      </c>
      <c r="C10159" s="135" t="s">
        <v>518</v>
      </c>
      <c r="D10159" s="161" t="s">
        <v>74</v>
      </c>
      <c r="E10159" s="135">
        <f t="shared" si="62"/>
        <v>17</v>
      </c>
      <c r="F10159" s="134" t="s">
        <v>3804</v>
      </c>
      <c r="G10159" s="63" t="str">
        <f>VLOOKUP(C10159, 'Class Def. - General Data'!$C$20:$C$1000,1,false)</f>
        <v>ZSI1_INSULATE_PIPE</v>
      </c>
      <c r="H10159" s="63" t="str">
        <f>IFERROR(__xludf.DUMMYFUNCTION("VLOOKUP(F10159, IMPORTRANGE(""https://docs.google.com/spreadsheets/d/1Lhp9OU0JdFf_VYSMzH5lBcEaU4o8teT1piV-SNzShjg/edit?gid=554141278#gid=554141278"", ""'Char Def. - Attributes'!C20:C2242""), 1,false)"),"ALT_UOM1_SIPI")</f>
        <v>ALT_UOM1_SIPI</v>
      </c>
      <c r="I10159" s="136"/>
      <c r="R10159" s="63" t="str">
        <f t="shared" si="60"/>
        <v>ZSI1_INSULATE_PIPEALT_UOM1_SIPI</v>
      </c>
    </row>
    <row r="10160" ht="15.75" customHeight="1">
      <c r="B10160" s="63">
        <f t="shared" si="1"/>
        <v>18</v>
      </c>
      <c r="C10160" s="135" t="s">
        <v>518</v>
      </c>
      <c r="D10160" s="161" t="s">
        <v>74</v>
      </c>
      <c r="E10160" s="135">
        <f t="shared" si="62"/>
        <v>18</v>
      </c>
      <c r="F10160" s="134" t="s">
        <v>3805</v>
      </c>
      <c r="G10160" s="63" t="str">
        <f>VLOOKUP(C10160, 'Class Def. - General Data'!$C$20:$C$1000,1,false)</f>
        <v>ZSI1_INSULATE_PIPE</v>
      </c>
      <c r="H10160" s="63" t="str">
        <f>IFERROR(__xludf.DUMMYFUNCTION("VLOOKUP(F10160, IMPORTRANGE(""https://docs.google.com/spreadsheets/d/1Lhp9OU0JdFf_VYSMzH5lBcEaU4o8teT1piV-SNzShjg/edit?gid=554141278#gid=554141278"", ""'Char Def. - Attributes'!C20:C2242""), 1,false)"),"ALT_DENUM_UOM1")</f>
        <v>ALT_DENUM_UOM1</v>
      </c>
      <c r="I10160" s="136"/>
      <c r="R10160" s="63" t="str">
        <f t="shared" si="60"/>
        <v>ZSI1_INSULATE_PIPEALT_DENUM_UOM1</v>
      </c>
    </row>
    <row r="10161" ht="15.75" customHeight="1">
      <c r="B10161" s="63">
        <f t="shared" si="1"/>
        <v>18</v>
      </c>
      <c r="C10161" s="135" t="s">
        <v>518</v>
      </c>
      <c r="D10161" s="161" t="s">
        <v>74</v>
      </c>
      <c r="E10161" s="135">
        <f t="shared" si="62"/>
        <v>19</v>
      </c>
      <c r="F10161" s="134" t="s">
        <v>3806</v>
      </c>
      <c r="G10161" s="63" t="str">
        <f>VLOOKUP(C10161, 'Class Def. - General Data'!$C$20:$C$1000,1,false)</f>
        <v>ZSI1_INSULATE_PIPE</v>
      </c>
      <c r="H10161" s="63" t="str">
        <f>IFERROR(__xludf.DUMMYFUNCTION("VLOOKUP(F10161, IMPORTRANGE(""https://docs.google.com/spreadsheets/d/1Lhp9OU0JdFf_VYSMzH5lBcEaU4o8teT1piV-SNzShjg/edit?gid=554141278#gid=554141278"", ""'Char Def. - Attributes'!C20:C2242""), 1,false)"),"ALT_NUM_UOM1")</f>
        <v>ALT_NUM_UOM1</v>
      </c>
      <c r="I10161" s="136"/>
      <c r="R10161" s="63" t="str">
        <f t="shared" si="60"/>
        <v>ZSI1_INSULATE_PIPEALT_NUM_UOM1</v>
      </c>
    </row>
    <row r="10162" ht="15.75" customHeight="1">
      <c r="B10162" s="63">
        <f t="shared" si="1"/>
        <v>18</v>
      </c>
      <c r="C10162" s="135" t="s">
        <v>518</v>
      </c>
      <c r="D10162" s="161" t="s">
        <v>74</v>
      </c>
      <c r="E10162" s="135">
        <f t="shared" si="62"/>
        <v>20</v>
      </c>
      <c r="F10162" s="134" t="s">
        <v>3807</v>
      </c>
      <c r="G10162" s="63" t="str">
        <f>VLOOKUP(C10162, 'Class Def. - General Data'!$C$20:$C$1000,1,false)</f>
        <v>ZSI1_INSULATE_PIPE</v>
      </c>
      <c r="H10162" s="63" t="str">
        <f>IFERROR(__xludf.DUMMYFUNCTION("VLOOKUP(F10162, IMPORTRANGE(""https://docs.google.com/spreadsheets/d/1Lhp9OU0JdFf_VYSMzH5lBcEaU4o8teT1piV-SNzShjg/edit?gid=554141278#gid=554141278"", ""'Char Def. - Attributes'!C20:C2242""), 1,false)"),"ALT_UOM2_SIPI")</f>
        <v>ALT_UOM2_SIPI</v>
      </c>
      <c r="I10162" s="136"/>
      <c r="R10162" s="63" t="str">
        <f t="shared" si="60"/>
        <v>ZSI1_INSULATE_PIPEALT_UOM2_SIPI</v>
      </c>
    </row>
    <row r="10163" ht="15.75" customHeight="1">
      <c r="B10163" s="63">
        <f t="shared" si="1"/>
        <v>18</v>
      </c>
      <c r="C10163" s="135" t="s">
        <v>518</v>
      </c>
      <c r="D10163" s="161" t="s">
        <v>74</v>
      </c>
      <c r="E10163" s="135">
        <f t="shared" si="62"/>
        <v>21</v>
      </c>
      <c r="F10163" s="134" t="s">
        <v>3808</v>
      </c>
      <c r="G10163" s="63" t="str">
        <f>VLOOKUP(C10163, 'Class Def. - General Data'!$C$20:$C$1000,1,false)</f>
        <v>ZSI1_INSULATE_PIPE</v>
      </c>
      <c r="H10163" s="63" t="str">
        <f>IFERROR(__xludf.DUMMYFUNCTION("VLOOKUP(F10163, IMPORTRANGE(""https://docs.google.com/spreadsheets/d/1Lhp9OU0JdFf_VYSMzH5lBcEaU4o8teT1piV-SNzShjg/edit?gid=554141278#gid=554141278"", ""'Char Def. - Attributes'!C20:C2242""), 1,false)"),"ALT_DENUM_UOM2")</f>
        <v>ALT_DENUM_UOM2</v>
      </c>
      <c r="I10163" s="136"/>
      <c r="R10163" s="63" t="str">
        <f t="shared" si="60"/>
        <v>ZSI1_INSULATE_PIPEALT_DENUM_UOM2</v>
      </c>
    </row>
    <row r="10164" ht="15.75" customHeight="1">
      <c r="B10164" s="63">
        <f t="shared" si="1"/>
        <v>18</v>
      </c>
      <c r="C10164" s="135" t="s">
        <v>518</v>
      </c>
      <c r="D10164" s="161" t="s">
        <v>74</v>
      </c>
      <c r="E10164" s="135">
        <f t="shared" si="62"/>
        <v>22</v>
      </c>
      <c r="F10164" s="134" t="s">
        <v>3809</v>
      </c>
      <c r="G10164" s="63" t="str">
        <f>VLOOKUP(C10164, 'Class Def. - General Data'!$C$20:$C$1000,1,false)</f>
        <v>ZSI1_INSULATE_PIPE</v>
      </c>
      <c r="H10164" s="63" t="str">
        <f>IFERROR(__xludf.DUMMYFUNCTION("VLOOKUP(F10164, IMPORTRANGE(""https://docs.google.com/spreadsheets/d/1Lhp9OU0JdFf_VYSMzH5lBcEaU4o8teT1piV-SNzShjg/edit?gid=554141278#gid=554141278"", ""'Char Def. - Attributes'!C20:C2242""), 1,false)"),"ALT_NUM_UOM2")</f>
        <v>ALT_NUM_UOM2</v>
      </c>
      <c r="I10164" s="136"/>
      <c r="R10164" s="63" t="str">
        <f t="shared" si="60"/>
        <v>ZSI1_INSULATE_PIPEALT_NUM_UOM2</v>
      </c>
    </row>
    <row r="10165" ht="15.75" customHeight="1">
      <c r="B10165" s="63">
        <f t="shared" si="1"/>
        <v>18</v>
      </c>
      <c r="C10165" s="135" t="s">
        <v>518</v>
      </c>
      <c r="D10165" s="161" t="s">
        <v>74</v>
      </c>
      <c r="E10165" s="135">
        <f t="shared" si="62"/>
        <v>23</v>
      </c>
      <c r="F10165" s="134" t="s">
        <v>3810</v>
      </c>
      <c r="G10165" s="63" t="str">
        <f>VLOOKUP(C10165, 'Class Def. - General Data'!$C$20:$C$1000,1,false)</f>
        <v>ZSI1_INSULATE_PIPE</v>
      </c>
      <c r="H10165" s="63" t="str">
        <f>IFERROR(__xludf.DUMMYFUNCTION("VLOOKUP(F10165, IMPORTRANGE(""https://docs.google.com/spreadsheets/d/1Lhp9OU0JdFf_VYSMzH5lBcEaU4o8teT1piV-SNzShjg/edit?gid=554141278#gid=554141278"", ""'Char Def. - Attributes'!C20:C2242""), 1,false)"),"ALT_UOM3_SIPI")</f>
        <v>ALT_UOM3_SIPI</v>
      </c>
      <c r="I10165" s="136"/>
      <c r="R10165" s="63" t="str">
        <f t="shared" si="60"/>
        <v>ZSI1_INSULATE_PIPEALT_UOM3_SIPI</v>
      </c>
    </row>
    <row r="10166" ht="15.75" customHeight="1">
      <c r="B10166" s="63">
        <f t="shared" si="1"/>
        <v>18</v>
      </c>
      <c r="C10166" s="135" t="s">
        <v>518</v>
      </c>
      <c r="D10166" s="161" t="s">
        <v>74</v>
      </c>
      <c r="E10166" s="135">
        <f t="shared" si="62"/>
        <v>24</v>
      </c>
      <c r="F10166" s="134" t="s">
        <v>3811</v>
      </c>
      <c r="G10166" s="63" t="str">
        <f>VLOOKUP(C10166, 'Class Def. - General Data'!$C$20:$C$1000,1,false)</f>
        <v>ZSI1_INSULATE_PIPE</v>
      </c>
      <c r="H10166" s="63" t="str">
        <f>IFERROR(__xludf.DUMMYFUNCTION("VLOOKUP(F10166, IMPORTRANGE(""https://docs.google.com/spreadsheets/d/1Lhp9OU0JdFf_VYSMzH5lBcEaU4o8teT1piV-SNzShjg/edit?gid=554141278#gid=554141278"", ""'Char Def. - Attributes'!C20:C2242""), 1,false)"),"ALT_DENUM_UOM3")</f>
        <v>ALT_DENUM_UOM3</v>
      </c>
      <c r="I10166" s="136"/>
      <c r="R10166" s="63" t="str">
        <f t="shared" si="60"/>
        <v>ZSI1_INSULATE_PIPEALT_DENUM_UOM3</v>
      </c>
    </row>
    <row r="10167" ht="15.75" customHeight="1">
      <c r="B10167" s="63">
        <f t="shared" si="1"/>
        <v>18</v>
      </c>
      <c r="C10167" s="135" t="s">
        <v>518</v>
      </c>
      <c r="D10167" s="161" t="s">
        <v>74</v>
      </c>
      <c r="E10167" s="135">
        <f t="shared" si="62"/>
        <v>25</v>
      </c>
      <c r="F10167" s="134" t="s">
        <v>3812</v>
      </c>
      <c r="G10167" s="63" t="str">
        <f>VLOOKUP(C10167, 'Class Def. - General Data'!$C$20:$C$1000,1,false)</f>
        <v>ZSI1_INSULATE_PIPE</v>
      </c>
      <c r="H10167" s="63" t="str">
        <f>IFERROR(__xludf.DUMMYFUNCTION("VLOOKUP(F10167, IMPORTRANGE(""https://docs.google.com/spreadsheets/d/1Lhp9OU0JdFf_VYSMzH5lBcEaU4o8teT1piV-SNzShjg/edit?gid=554141278#gid=554141278"", ""'Char Def. - Attributes'!C20:C2242""), 1,false)"),"ALT_NUM_UOM3")</f>
        <v>ALT_NUM_UOM3</v>
      </c>
      <c r="I10167" s="136"/>
      <c r="R10167" s="63" t="str">
        <f t="shared" si="60"/>
        <v>ZSI1_INSULATE_PIPEALT_NUM_UOM3</v>
      </c>
    </row>
    <row r="10168" ht="15.75" customHeight="1">
      <c r="B10168" s="63">
        <f t="shared" si="1"/>
        <v>18</v>
      </c>
      <c r="C10168" s="135" t="s">
        <v>518</v>
      </c>
      <c r="D10168" s="161" t="s">
        <v>74</v>
      </c>
      <c r="E10168" s="135">
        <f t="shared" si="62"/>
        <v>26</v>
      </c>
      <c r="F10168" s="134" t="s">
        <v>3813</v>
      </c>
      <c r="G10168" s="63" t="str">
        <f>VLOOKUP(C10168, 'Class Def. - General Data'!$C$20:$C$1000,1,false)</f>
        <v>ZSI1_INSULATE_PIPE</v>
      </c>
      <c r="H10168" s="63" t="str">
        <f>IFERROR(__xludf.DUMMYFUNCTION("VLOOKUP(F10168, IMPORTRANGE(""https://docs.google.com/spreadsheets/d/1Lhp9OU0JdFf_VYSMzH5lBcEaU4o8teT1piV-SNzShjg/edit?gid=554141278#gid=554141278"", ""'Char Def. - Attributes'!C20:C2242""), 1,false)"),"ALT_UOM4_SIPI")</f>
        <v>ALT_UOM4_SIPI</v>
      </c>
      <c r="I10168" s="136"/>
      <c r="R10168" s="63" t="str">
        <f t="shared" si="60"/>
        <v>ZSI1_INSULATE_PIPEALT_UOM4_SIPI</v>
      </c>
    </row>
    <row r="10169" ht="15.75" customHeight="1">
      <c r="B10169" s="63">
        <f t="shared" si="1"/>
        <v>18</v>
      </c>
      <c r="C10169" s="135" t="s">
        <v>518</v>
      </c>
      <c r="D10169" s="161" t="s">
        <v>74</v>
      </c>
      <c r="E10169" s="135">
        <f t="shared" si="62"/>
        <v>27</v>
      </c>
      <c r="F10169" s="134" t="s">
        <v>3814</v>
      </c>
      <c r="G10169" s="63" t="str">
        <f>VLOOKUP(C10169, 'Class Def. - General Data'!$C$20:$C$1000,1,false)</f>
        <v>ZSI1_INSULATE_PIPE</v>
      </c>
      <c r="H10169" s="63" t="str">
        <f>IFERROR(__xludf.DUMMYFUNCTION("VLOOKUP(F10169, IMPORTRANGE(""https://docs.google.com/spreadsheets/d/1Lhp9OU0JdFf_VYSMzH5lBcEaU4o8teT1piV-SNzShjg/edit?gid=554141278#gid=554141278"", ""'Char Def. - Attributes'!C20:C2242""), 1,false)"),"ALT_DENUM_UOM4")</f>
        <v>ALT_DENUM_UOM4</v>
      </c>
      <c r="I10169" s="136"/>
      <c r="R10169" s="63" t="str">
        <f t="shared" si="60"/>
        <v>ZSI1_INSULATE_PIPEALT_DENUM_UOM4</v>
      </c>
    </row>
    <row r="10170" ht="15.75" customHeight="1">
      <c r="B10170" s="63">
        <f t="shared" si="1"/>
        <v>18</v>
      </c>
      <c r="C10170" s="135" t="s">
        <v>518</v>
      </c>
      <c r="D10170" s="161" t="s">
        <v>74</v>
      </c>
      <c r="E10170" s="135">
        <f t="shared" si="62"/>
        <v>28</v>
      </c>
      <c r="F10170" s="134" t="s">
        <v>3815</v>
      </c>
      <c r="G10170" s="63" t="str">
        <f>VLOOKUP(C10170, 'Class Def. - General Data'!$C$20:$C$1000,1,false)</f>
        <v>ZSI1_INSULATE_PIPE</v>
      </c>
      <c r="H10170" s="63" t="str">
        <f>IFERROR(__xludf.DUMMYFUNCTION("VLOOKUP(F10170, IMPORTRANGE(""https://docs.google.com/spreadsheets/d/1Lhp9OU0JdFf_VYSMzH5lBcEaU4o8teT1piV-SNzShjg/edit?gid=554141278#gid=554141278"", ""'Char Def. - Attributes'!C20:C2242""), 1,false)"),"ALT_NUM_UOM4")</f>
        <v>ALT_NUM_UOM4</v>
      </c>
      <c r="I10170" s="136"/>
      <c r="R10170" s="63" t="str">
        <f t="shared" si="60"/>
        <v>ZSI1_INSULATE_PIPEALT_NUM_UOM4</v>
      </c>
    </row>
    <row r="10171" ht="15.75" customHeight="1">
      <c r="B10171" s="63">
        <f t="shared" si="1"/>
        <v>18</v>
      </c>
      <c r="C10171" s="135" t="s">
        <v>518</v>
      </c>
      <c r="D10171" s="161" t="s">
        <v>74</v>
      </c>
      <c r="E10171" s="135">
        <f t="shared" si="62"/>
        <v>29</v>
      </c>
      <c r="F10171" s="134" t="s">
        <v>3816</v>
      </c>
      <c r="G10171" s="63" t="str">
        <f>VLOOKUP(C10171, 'Class Def. - General Data'!$C$20:$C$1000,1,false)</f>
        <v>ZSI1_INSULATE_PIPE</v>
      </c>
      <c r="H10171" s="63" t="str">
        <f>IFERROR(__xludf.DUMMYFUNCTION("VLOOKUP(F10171, IMPORTRANGE(""https://docs.google.com/spreadsheets/d/1Lhp9OU0JdFf_VYSMzH5lBcEaU4o8teT1piV-SNzShjg/edit?gid=554141278#gid=554141278"", ""'Char Def. - Attributes'!C20:C2242""), 1,false)"),"ALT_UOM5_SIPI")</f>
        <v>ALT_UOM5_SIPI</v>
      </c>
      <c r="I10171" s="136"/>
      <c r="R10171" s="63" t="str">
        <f t="shared" si="60"/>
        <v>ZSI1_INSULATE_PIPEALT_UOM5_SIPI</v>
      </c>
    </row>
    <row r="10172" ht="15.75" customHeight="1">
      <c r="B10172" s="63">
        <f t="shared" si="1"/>
        <v>18</v>
      </c>
      <c r="C10172" s="135" t="s">
        <v>518</v>
      </c>
      <c r="D10172" s="161" t="s">
        <v>74</v>
      </c>
      <c r="E10172" s="135">
        <f t="shared" si="62"/>
        <v>30</v>
      </c>
      <c r="F10172" s="134" t="s">
        <v>3817</v>
      </c>
      <c r="G10172" s="63" t="str">
        <f>VLOOKUP(C10172, 'Class Def. - General Data'!$C$20:$C$1000,1,false)</f>
        <v>ZSI1_INSULATE_PIPE</v>
      </c>
      <c r="H10172" s="63" t="str">
        <f>IFERROR(__xludf.DUMMYFUNCTION("VLOOKUP(F10172, IMPORTRANGE(""https://docs.google.com/spreadsheets/d/1Lhp9OU0JdFf_VYSMzH5lBcEaU4o8teT1piV-SNzShjg/edit?gid=554141278#gid=554141278"", ""'Char Def. - Attributes'!C20:C2242""), 1,false)"),"ALT_DENUM_UOM5")</f>
        <v>ALT_DENUM_UOM5</v>
      </c>
      <c r="I10172" s="136"/>
      <c r="R10172" s="63" t="str">
        <f t="shared" si="60"/>
        <v>ZSI1_INSULATE_PIPEALT_DENUM_UOM5</v>
      </c>
    </row>
    <row r="10173" ht="15.75" customHeight="1">
      <c r="B10173" s="63">
        <f t="shared" si="1"/>
        <v>18</v>
      </c>
      <c r="C10173" s="135" t="s">
        <v>518</v>
      </c>
      <c r="D10173" s="161" t="s">
        <v>74</v>
      </c>
      <c r="E10173" s="135">
        <f t="shared" si="62"/>
        <v>31</v>
      </c>
      <c r="F10173" s="134" t="s">
        <v>3818</v>
      </c>
      <c r="G10173" s="63" t="str">
        <f>VLOOKUP(C10173, 'Class Def. - General Data'!$C$20:$C$1000,1,false)</f>
        <v>ZSI1_INSULATE_PIPE</v>
      </c>
      <c r="H10173" s="63" t="str">
        <f>IFERROR(__xludf.DUMMYFUNCTION("VLOOKUP(F10173, IMPORTRANGE(""https://docs.google.com/spreadsheets/d/1Lhp9OU0JdFf_VYSMzH5lBcEaU4o8teT1piV-SNzShjg/edit?gid=554141278#gid=554141278"", ""'Char Def. - Attributes'!C20:C2242""), 1,false)"),"ALT_NUM_UOM5")</f>
        <v>ALT_NUM_UOM5</v>
      </c>
      <c r="I10173" s="136"/>
      <c r="R10173" s="63" t="str">
        <f t="shared" si="60"/>
        <v>ZSI1_INSULATE_PIPEALT_NUM_UOM5</v>
      </c>
    </row>
    <row r="10174" ht="15.75" customHeight="1">
      <c r="B10174" s="63">
        <f t="shared" si="1"/>
        <v>13</v>
      </c>
      <c r="C10174" s="135" t="s">
        <v>498</v>
      </c>
      <c r="D10174" s="161" t="s">
        <v>74</v>
      </c>
      <c r="E10174" s="135">
        <f t="shared" si="62"/>
        <v>1</v>
      </c>
      <c r="F10174" s="134" t="s">
        <v>4700</v>
      </c>
      <c r="G10174" s="63" t="str">
        <f>VLOOKUP(C10174, 'Class Def. - General Data'!$C$20:$C$1000,1,false)</f>
        <v>ZSI1_INVERTER</v>
      </c>
      <c r="H10174" s="63" t="str">
        <f>IFERROR(__xludf.DUMMYFUNCTION("VLOOKUP(F10174, IMPORTRANGE(""https://docs.google.com/spreadsheets/d/1Lhp9OU0JdFf_VYSMzH5lBcEaU4o8teT1piV-SNzShjg/edit?gid=554141278#gid=554141278"", ""'Char Def. - Attributes'!C20:C2242""), 1,false)"),"ITEM_NAME_INVERTER")</f>
        <v>ITEM_NAME_INVERTER</v>
      </c>
      <c r="I10174" s="136"/>
      <c r="R10174" s="63" t="str">
        <f t="shared" si="60"/>
        <v>ZSI1_INVERTERITEM_NAME_INVERTER</v>
      </c>
    </row>
    <row r="10175" ht="15.75" customHeight="1">
      <c r="B10175" s="63">
        <f t="shared" si="1"/>
        <v>13</v>
      </c>
      <c r="C10175" s="135" t="s">
        <v>498</v>
      </c>
      <c r="D10175" s="161" t="s">
        <v>74</v>
      </c>
      <c r="E10175" s="135">
        <f t="shared" si="62"/>
        <v>2</v>
      </c>
      <c r="F10175" s="134" t="s">
        <v>4701</v>
      </c>
      <c r="G10175" s="63" t="str">
        <f>VLOOKUP(C10175, 'Class Def. - General Data'!$C$20:$C$1000,1,false)</f>
        <v>ZSI1_INVERTER</v>
      </c>
      <c r="H10175" s="63" t="str">
        <f>IFERROR(__xludf.DUMMYFUNCTION("VLOOKUP(F10175, IMPORTRANGE(""https://docs.google.com/spreadsheets/d/1Lhp9OU0JdFf_VYSMzH5lBcEaU4o8teT1piV-SNzShjg/edit?gid=554141278#gid=554141278"", ""'Char Def. - Attributes'!C20:C2242""), 1,false)"),"POWER_KW_INVERTER")</f>
        <v>POWER_KW_INVERTER</v>
      </c>
      <c r="I10175" s="136"/>
      <c r="R10175" s="63" t="str">
        <f t="shared" si="60"/>
        <v>ZSI1_INVERTERPOWER_KW_INVERTER</v>
      </c>
    </row>
    <row r="10176" ht="15.75" customHeight="1">
      <c r="B10176" s="63">
        <f t="shared" si="1"/>
        <v>13</v>
      </c>
      <c r="C10176" s="135" t="s">
        <v>498</v>
      </c>
      <c r="D10176" s="161" t="s">
        <v>74</v>
      </c>
      <c r="E10176" s="135">
        <f t="shared" si="62"/>
        <v>3</v>
      </c>
      <c r="F10176" s="134" t="s">
        <v>4702</v>
      </c>
      <c r="G10176" s="63" t="str">
        <f>VLOOKUP(C10176, 'Class Def. - General Data'!$C$20:$C$1000,1,false)</f>
        <v>ZSI1_INVERTER</v>
      </c>
      <c r="H10176" s="63" t="str">
        <f>IFERROR(__xludf.DUMMYFUNCTION("VLOOKUP(F10176, IMPORTRANGE(""https://docs.google.com/spreadsheets/d/1Lhp9OU0JdFf_VYSMzH5lBcEaU4o8teT1piV-SNzShjg/edit?gid=554141278#gid=554141278"", ""'Char Def. - Attributes'!C20:C2242""), 1,false)"),"VOLTAGE_V_INVERTER")</f>
        <v>VOLTAGE_V_INVERTER</v>
      </c>
      <c r="I10176" s="136"/>
      <c r="R10176" s="63" t="str">
        <f t="shared" si="60"/>
        <v>ZSI1_INVERTERVOLTAGE_V_INVERTER</v>
      </c>
    </row>
    <row r="10177" ht="15.75" customHeight="1">
      <c r="B10177" s="63">
        <f t="shared" si="1"/>
        <v>13</v>
      </c>
      <c r="C10177" s="135" t="s">
        <v>498</v>
      </c>
      <c r="D10177" s="161" t="s">
        <v>74</v>
      </c>
      <c r="E10177" s="135">
        <f t="shared" si="62"/>
        <v>4</v>
      </c>
      <c r="F10177" s="134" t="s">
        <v>4703</v>
      </c>
      <c r="G10177" s="63" t="str">
        <f>VLOOKUP(C10177, 'Class Def. - General Data'!$C$20:$C$1000,1,false)</f>
        <v>ZSI1_INVERTER</v>
      </c>
      <c r="H10177" s="63" t="str">
        <f>IFERROR(__xludf.DUMMYFUNCTION("VLOOKUP(F10177, IMPORTRANGE(""https://docs.google.com/spreadsheets/d/1Lhp9OU0JdFf_VYSMzH5lBcEaU4o8teT1piV-SNzShjg/edit?gid=554141278#gid=554141278"", ""'Char Def. - Attributes'!C20:C2242""), 1,false)"),"MFR_NO_INVERTER")</f>
        <v>MFR_NO_INVERTER</v>
      </c>
      <c r="I10177" s="136"/>
      <c r="R10177" s="63" t="str">
        <f t="shared" si="60"/>
        <v>ZSI1_INVERTERMFR_NO_INVERTER</v>
      </c>
    </row>
    <row r="10178" ht="15.75" customHeight="1">
      <c r="B10178" s="63">
        <f t="shared" si="1"/>
        <v>13</v>
      </c>
      <c r="C10178" s="135" t="s">
        <v>498</v>
      </c>
      <c r="D10178" s="161" t="s">
        <v>74</v>
      </c>
      <c r="E10178" s="135">
        <f t="shared" si="62"/>
        <v>5</v>
      </c>
      <c r="F10178" s="134" t="s">
        <v>3782</v>
      </c>
      <c r="G10178" s="63" t="str">
        <f>VLOOKUP(C10178, 'Class Def. - General Data'!$C$20:$C$1000,1,false)</f>
        <v>ZSI1_INVERTER</v>
      </c>
      <c r="H10178" s="63" t="str">
        <f>IFERROR(__xludf.DUMMYFUNCTION("VLOOKUP(F10178, IMPORTRANGE(""https://docs.google.com/spreadsheets/d/1Lhp9OU0JdFf_VYSMzH5lBcEaU4o8teT1piV-SNzShjg/edit?gid=554141278#gid=554141278"", ""'Char Def. - Attributes'!C20:C2242""), 1,false)"),"BRAND_EXTERNAL")</f>
        <v>BRAND_EXTERNAL</v>
      </c>
      <c r="I10178" s="136"/>
      <c r="R10178" s="63" t="str">
        <f t="shared" si="60"/>
        <v>ZSI1_INVERTERBRAND_EXTERNAL</v>
      </c>
    </row>
    <row r="10179" ht="15.75" customHeight="1">
      <c r="B10179" s="63">
        <f t="shared" si="1"/>
        <v>13</v>
      </c>
      <c r="C10179" s="135" t="s">
        <v>498</v>
      </c>
      <c r="D10179" s="161" t="s">
        <v>74</v>
      </c>
      <c r="E10179" s="135">
        <f t="shared" si="62"/>
        <v>6</v>
      </c>
      <c r="F10179" s="134" t="s">
        <v>4053</v>
      </c>
      <c r="G10179" s="63" t="str">
        <f>VLOOKUP(C10179, 'Class Def. - General Data'!$C$20:$C$1000,1,false)</f>
        <v>ZSI1_INVERTER</v>
      </c>
      <c r="H10179" s="63" t="str">
        <f>IFERROR(__xludf.DUMMYFUNCTION("VLOOKUP(F10179, IMPORTRANGE(""https://docs.google.com/spreadsheets/d/1Lhp9OU0JdFf_VYSMzH5lBcEaU4o8teT1piV-SNzShjg/edit?gid=554141278#gid=554141278"", ""'Char Def. - Attributes'!C20:C2242""), 1,false)"),"MAINTENANCE_ORDER_TYPE")</f>
        <v>MAINTENANCE_ORDER_TYPE</v>
      </c>
      <c r="I10179" s="136"/>
      <c r="R10179" s="63" t="str">
        <f t="shared" si="60"/>
        <v>ZSI1_INVERTERMAINTENANCE_ORDER_TYPE</v>
      </c>
    </row>
    <row r="10180" ht="15.75" customHeight="1">
      <c r="B10180" s="63">
        <f t="shared" si="1"/>
        <v>13</v>
      </c>
      <c r="C10180" s="135" t="s">
        <v>498</v>
      </c>
      <c r="D10180" s="161" t="s">
        <v>74</v>
      </c>
      <c r="E10180" s="135">
        <f t="shared" si="62"/>
        <v>7</v>
      </c>
      <c r="F10180" s="134" t="s">
        <v>3585</v>
      </c>
      <c r="G10180" s="63" t="str">
        <f>VLOOKUP(C10180, 'Class Def. - General Data'!$C$20:$C$1000,1,false)</f>
        <v>ZSI1_INVERTER</v>
      </c>
      <c r="H10180" s="63" t="str">
        <f>IFERROR(__xludf.DUMMYFUNCTION("VLOOKUP(F10180, IMPORTRANGE(""https://docs.google.com/spreadsheets/d/1Lhp9OU0JdFf_VYSMzH5lBcEaU4o8teT1piV-SNzShjg/edit?gid=554141278#gid=554141278"", ""'Char Def. - Attributes'!C20:C2242""), 1,false)"),"HS_CODE")</f>
        <v>HS_CODE</v>
      </c>
      <c r="I10180" s="136"/>
      <c r="R10180" s="63" t="str">
        <f t="shared" si="60"/>
        <v>ZSI1_INVERTERHS_CODE</v>
      </c>
    </row>
    <row r="10181" ht="15.75" customHeight="1">
      <c r="B10181" s="63">
        <f t="shared" si="1"/>
        <v>13</v>
      </c>
      <c r="C10181" s="135" t="s">
        <v>498</v>
      </c>
      <c r="D10181" s="161" t="s">
        <v>74</v>
      </c>
      <c r="E10181" s="135">
        <f t="shared" si="62"/>
        <v>8</v>
      </c>
      <c r="F10181" s="134" t="s">
        <v>3587</v>
      </c>
      <c r="G10181" s="63" t="str">
        <f>VLOOKUP(C10181, 'Class Def. - General Data'!$C$20:$C$1000,1,false)</f>
        <v>ZSI1_INVERTER</v>
      </c>
      <c r="H10181" s="63" t="str">
        <f>IFERROR(__xludf.DUMMYFUNCTION("VLOOKUP(F10181, IMPORTRANGE(""https://docs.google.com/spreadsheets/d/1Lhp9OU0JdFf_VYSMzH5lBcEaU4o8teT1piV-SNzShjg/edit?gid=554141278#gid=554141278"", ""'Char Def. - Attributes'!C20:C2242""), 1,false)"),"PLANT_BUY")</f>
        <v>PLANT_BUY</v>
      </c>
      <c r="I10181" s="136"/>
      <c r="R10181" s="63" t="str">
        <f t="shared" si="60"/>
        <v>ZSI1_INVERTERPLANT_BUY</v>
      </c>
    </row>
    <row r="10182" ht="15.75" customHeight="1">
      <c r="B10182" s="63">
        <f t="shared" si="1"/>
        <v>13</v>
      </c>
      <c r="C10182" s="135" t="s">
        <v>498</v>
      </c>
      <c r="D10182" s="161" t="s">
        <v>74</v>
      </c>
      <c r="E10182" s="135">
        <f t="shared" si="62"/>
        <v>9</v>
      </c>
      <c r="F10182" s="134" t="s">
        <v>4704</v>
      </c>
      <c r="G10182" s="63" t="str">
        <f>VLOOKUP(C10182, 'Class Def. - General Data'!$C$20:$C$1000,1,false)</f>
        <v>ZSI1_INVERTER</v>
      </c>
      <c r="H10182" s="63" t="str">
        <f>IFERROR(__xludf.DUMMYFUNCTION("VLOOKUP(F10182, IMPORTRANGE(""https://docs.google.com/spreadsheets/d/1Lhp9OU0JdFf_VYSMzH5lBcEaU4o8teT1piV-SNzShjg/edit?gid=554141278#gid=554141278"", ""'Char Def. - Attributes'!C20:C2242""), 1,false)"),"BASE_UOM_INVERTER")</f>
        <v>BASE_UOM_INVERTER</v>
      </c>
      <c r="I10182" s="136"/>
      <c r="R10182" s="63" t="str">
        <f t="shared" si="60"/>
        <v>ZSI1_INVERTERBASE_UOM_INVERTER</v>
      </c>
    </row>
    <row r="10183" ht="15.75" customHeight="1">
      <c r="B10183" s="63">
        <f t="shared" si="1"/>
        <v>13</v>
      </c>
      <c r="C10183" s="135" t="s">
        <v>498</v>
      </c>
      <c r="D10183" s="161" t="s">
        <v>74</v>
      </c>
      <c r="E10183" s="135">
        <f t="shared" si="62"/>
        <v>10</v>
      </c>
      <c r="F10183" s="134" t="s">
        <v>4705</v>
      </c>
      <c r="G10183" s="63" t="str">
        <f>VLOOKUP(C10183, 'Class Def. - General Data'!$C$20:$C$1000,1,false)</f>
        <v>ZSI1_INVERTER</v>
      </c>
      <c r="H10183" s="63" t="str">
        <f>IFERROR(__xludf.DUMMYFUNCTION("VLOOKUP(F10183, IMPORTRANGE(""https://docs.google.com/spreadsheets/d/1Lhp9OU0JdFf_VYSMzH5lBcEaU4o8teT1piV-SNzShjg/edit?gid=554141278#gid=554141278"", ""'Char Def. - Attributes'!C20:C2242""), 1,false)"),"ORDER_UNIT_INVERTER")</f>
        <v>ORDER_UNIT_INVERTER</v>
      </c>
      <c r="I10183" s="136"/>
      <c r="R10183" s="63" t="str">
        <f t="shared" si="60"/>
        <v>ZSI1_INVERTERORDER_UNIT_INVERTER</v>
      </c>
    </row>
    <row r="10184" ht="15.75" customHeight="1">
      <c r="B10184" s="63">
        <f t="shared" si="1"/>
        <v>13</v>
      </c>
      <c r="C10184" s="135" t="s">
        <v>498</v>
      </c>
      <c r="D10184" s="161" t="s">
        <v>74</v>
      </c>
      <c r="E10184" s="135">
        <f t="shared" si="62"/>
        <v>11</v>
      </c>
      <c r="F10184" s="134" t="s">
        <v>4056</v>
      </c>
      <c r="G10184" s="63" t="str">
        <f>VLOOKUP(C10184, 'Class Def. - General Data'!$C$20:$C$1000,1,false)</f>
        <v>ZSI1_INVERTER</v>
      </c>
      <c r="H10184" s="63" t="str">
        <f>IFERROR(__xludf.DUMMYFUNCTION("VLOOKUP(F10184, IMPORTRANGE(""https://docs.google.com/spreadsheets/d/1Lhp9OU0JdFf_VYSMzH5lBcEaU4o8teT1piV-SNzShjg/edit?gid=554141278#gid=554141278"", ""'Char Def. - Attributes'!C20:C2242""), 1,false)"),"GROSS_WEIGHT_OPT")</f>
        <v>GROSS_WEIGHT_OPT</v>
      </c>
      <c r="I10184" s="136"/>
      <c r="R10184" s="63" t="str">
        <f t="shared" si="60"/>
        <v>ZSI1_INVERTERGROSS_WEIGHT_OPT</v>
      </c>
    </row>
    <row r="10185" ht="15.75" customHeight="1">
      <c r="B10185" s="63">
        <f t="shared" si="1"/>
        <v>13</v>
      </c>
      <c r="C10185" s="135" t="s">
        <v>498</v>
      </c>
      <c r="D10185" s="161" t="s">
        <v>74</v>
      </c>
      <c r="E10185" s="135">
        <f t="shared" si="62"/>
        <v>12</v>
      </c>
      <c r="F10185" s="134" t="s">
        <v>4057</v>
      </c>
      <c r="G10185" s="63" t="str">
        <f>VLOOKUP(C10185, 'Class Def. - General Data'!$C$20:$C$1000,1,false)</f>
        <v>ZSI1_INVERTER</v>
      </c>
      <c r="H10185" s="63" t="str">
        <f>IFERROR(__xludf.DUMMYFUNCTION("VLOOKUP(F10185, IMPORTRANGE(""https://docs.google.com/spreadsheets/d/1Lhp9OU0JdFf_VYSMzH5lBcEaU4o8teT1piV-SNzShjg/edit?gid=554141278#gid=554141278"", ""'Char Def. - Attributes'!C20:C2242""), 1,false)"),"NET_WEIGHT_OPT")</f>
        <v>NET_WEIGHT_OPT</v>
      </c>
      <c r="I10185" s="136"/>
      <c r="R10185" s="63" t="str">
        <f t="shared" si="60"/>
        <v>ZSI1_INVERTERNET_WEIGHT_OPT</v>
      </c>
    </row>
    <row r="10186" ht="15.75" customHeight="1">
      <c r="B10186" s="63">
        <f t="shared" si="1"/>
        <v>13</v>
      </c>
      <c r="C10186" s="135" t="s">
        <v>498</v>
      </c>
      <c r="D10186" s="161" t="s">
        <v>74</v>
      </c>
      <c r="E10186" s="135">
        <f t="shared" si="62"/>
        <v>13</v>
      </c>
      <c r="F10186" s="134" t="s">
        <v>4058</v>
      </c>
      <c r="G10186" s="63" t="str">
        <f>VLOOKUP(C10186, 'Class Def. - General Data'!$C$20:$C$1000,1,false)</f>
        <v>ZSI1_INVERTER</v>
      </c>
      <c r="H10186" s="63" t="str">
        <f>IFERROR(__xludf.DUMMYFUNCTION("VLOOKUP(F10186, IMPORTRANGE(""https://docs.google.com/spreadsheets/d/1Lhp9OU0JdFf_VYSMzH5lBcEaU4o8teT1piV-SNzShjg/edit?gid=554141278#gid=554141278"", ""'Char Def. - Attributes'!C20:C2242""), 1,false)"),"WEIGHT_UNIT_SI")</f>
        <v>WEIGHT_UNIT_SI</v>
      </c>
      <c r="I10186" s="136"/>
      <c r="R10186" s="63" t="str">
        <f t="shared" si="60"/>
        <v>ZSI1_INVERTERWEIGHT_UNIT_SI</v>
      </c>
    </row>
    <row r="10187" ht="15.75" customHeight="1">
      <c r="B10187" s="63">
        <f t="shared" si="1"/>
        <v>13</v>
      </c>
      <c r="C10187" s="135" t="s">
        <v>498</v>
      </c>
      <c r="D10187" s="161" t="s">
        <v>74</v>
      </c>
      <c r="E10187" s="135">
        <f t="shared" si="62"/>
        <v>14</v>
      </c>
      <c r="F10187" s="134" t="s">
        <v>3877</v>
      </c>
      <c r="G10187" s="63" t="str">
        <f>VLOOKUP(C10187, 'Class Def. - General Data'!$C$20:$C$1000,1,false)</f>
        <v>ZSI1_INVERTER</v>
      </c>
      <c r="H10187" s="63" t="str">
        <f>IFERROR(__xludf.DUMMYFUNCTION("VLOOKUP(F10187, IMPORTRANGE(""https://docs.google.com/spreadsheets/d/1Lhp9OU0JdFf_VYSMzH5lBcEaU4o8teT1piV-SNzShjg/edit?gid=554141278#gid=554141278"", ""'Char Def. - Attributes'!C20:C2242""), 1,false)"),"VOLUME_OPT")</f>
        <v>VOLUME_OPT</v>
      </c>
      <c r="I10187" s="136"/>
      <c r="R10187" s="63" t="str">
        <f t="shared" si="60"/>
        <v>ZSI1_INVERTERVOLUME_OPT</v>
      </c>
    </row>
    <row r="10188" ht="15.75" customHeight="1">
      <c r="B10188" s="63">
        <f t="shared" si="1"/>
        <v>13</v>
      </c>
      <c r="C10188" s="135" t="s">
        <v>498</v>
      </c>
      <c r="D10188" s="161" t="s">
        <v>74</v>
      </c>
      <c r="E10188" s="135">
        <f t="shared" si="62"/>
        <v>15</v>
      </c>
      <c r="F10188" s="134" t="s">
        <v>4059</v>
      </c>
      <c r="G10188" s="63" t="str">
        <f>VLOOKUP(C10188, 'Class Def. - General Data'!$C$20:$C$1000,1,false)</f>
        <v>ZSI1_INVERTER</v>
      </c>
      <c r="H10188" s="63" t="str">
        <f>IFERROR(__xludf.DUMMYFUNCTION("VLOOKUP(F10188, IMPORTRANGE(""https://docs.google.com/spreadsheets/d/1Lhp9OU0JdFf_VYSMzH5lBcEaU4o8teT1piV-SNzShjg/edit?gid=554141278#gid=554141278"", ""'Char Def. - Attributes'!C20:C2242""), 1,false)"),"VOLUME_UNIT_SI")</f>
        <v>VOLUME_UNIT_SI</v>
      </c>
      <c r="I10188" s="136"/>
      <c r="R10188" s="63" t="str">
        <f t="shared" si="60"/>
        <v>ZSI1_INVERTERVOLUME_UNIT_SI</v>
      </c>
    </row>
    <row r="10189" ht="15.75" customHeight="1">
      <c r="B10189" s="63">
        <f t="shared" si="1"/>
        <v>13</v>
      </c>
      <c r="C10189" s="135" t="s">
        <v>498</v>
      </c>
      <c r="D10189" s="161" t="s">
        <v>74</v>
      </c>
      <c r="E10189" s="135">
        <f t="shared" si="62"/>
        <v>16</v>
      </c>
      <c r="F10189" s="134" t="s">
        <v>3804</v>
      </c>
      <c r="G10189" s="63" t="str">
        <f>VLOOKUP(C10189, 'Class Def. - General Data'!$C$20:$C$1000,1,false)</f>
        <v>ZSI1_INVERTER</v>
      </c>
      <c r="H10189" s="63" t="str">
        <f>IFERROR(__xludf.DUMMYFUNCTION("VLOOKUP(F10189, IMPORTRANGE(""https://docs.google.com/spreadsheets/d/1Lhp9OU0JdFf_VYSMzH5lBcEaU4o8teT1piV-SNzShjg/edit?gid=554141278#gid=554141278"", ""'Char Def. - Attributes'!C20:C2242""), 1,false)"),"ALT_UOM1_SIPI")</f>
        <v>ALT_UOM1_SIPI</v>
      </c>
      <c r="I10189" s="136"/>
      <c r="R10189" s="63" t="str">
        <f t="shared" si="60"/>
        <v>ZSI1_INVERTERALT_UOM1_SIPI</v>
      </c>
    </row>
    <row r="10190" ht="15.75" customHeight="1">
      <c r="B10190" s="63">
        <f t="shared" si="1"/>
        <v>13</v>
      </c>
      <c r="C10190" s="135" t="s">
        <v>498</v>
      </c>
      <c r="D10190" s="161" t="s">
        <v>74</v>
      </c>
      <c r="E10190" s="135">
        <f t="shared" si="62"/>
        <v>17</v>
      </c>
      <c r="F10190" s="134" t="s">
        <v>3805</v>
      </c>
      <c r="G10190" s="63" t="str">
        <f>VLOOKUP(C10190, 'Class Def. - General Data'!$C$20:$C$1000,1,false)</f>
        <v>ZSI1_INVERTER</v>
      </c>
      <c r="H10190" s="63" t="str">
        <f>IFERROR(__xludf.DUMMYFUNCTION("VLOOKUP(F10190, IMPORTRANGE(""https://docs.google.com/spreadsheets/d/1Lhp9OU0JdFf_VYSMzH5lBcEaU4o8teT1piV-SNzShjg/edit?gid=554141278#gid=554141278"", ""'Char Def. - Attributes'!C20:C2242""), 1,false)"),"ALT_DENUM_UOM1")</f>
        <v>ALT_DENUM_UOM1</v>
      </c>
      <c r="I10190" s="136"/>
      <c r="R10190" s="63" t="str">
        <f t="shared" si="60"/>
        <v>ZSI1_INVERTERALT_DENUM_UOM1</v>
      </c>
    </row>
    <row r="10191" ht="15.75" customHeight="1">
      <c r="B10191" s="63">
        <f t="shared" si="1"/>
        <v>13</v>
      </c>
      <c r="C10191" s="135" t="s">
        <v>498</v>
      </c>
      <c r="D10191" s="161" t="s">
        <v>74</v>
      </c>
      <c r="E10191" s="135">
        <f t="shared" si="62"/>
        <v>18</v>
      </c>
      <c r="F10191" s="134" t="s">
        <v>3806</v>
      </c>
      <c r="G10191" s="63" t="str">
        <f>VLOOKUP(C10191, 'Class Def. - General Data'!$C$20:$C$1000,1,false)</f>
        <v>ZSI1_INVERTER</v>
      </c>
      <c r="H10191" s="63" t="str">
        <f>IFERROR(__xludf.DUMMYFUNCTION("VLOOKUP(F10191, IMPORTRANGE(""https://docs.google.com/spreadsheets/d/1Lhp9OU0JdFf_VYSMzH5lBcEaU4o8teT1piV-SNzShjg/edit?gid=554141278#gid=554141278"", ""'Char Def. - Attributes'!C20:C2242""), 1,false)"),"ALT_NUM_UOM1")</f>
        <v>ALT_NUM_UOM1</v>
      </c>
      <c r="I10191" s="136"/>
      <c r="R10191" s="63" t="str">
        <f t="shared" si="60"/>
        <v>ZSI1_INVERTERALT_NUM_UOM1</v>
      </c>
    </row>
    <row r="10192" ht="15.75" customHeight="1">
      <c r="B10192" s="63">
        <f t="shared" si="1"/>
        <v>13</v>
      </c>
      <c r="C10192" s="135" t="s">
        <v>498</v>
      </c>
      <c r="D10192" s="161" t="s">
        <v>74</v>
      </c>
      <c r="E10192" s="135">
        <f t="shared" si="62"/>
        <v>19</v>
      </c>
      <c r="F10192" s="134" t="s">
        <v>3807</v>
      </c>
      <c r="G10192" s="63" t="str">
        <f>VLOOKUP(C10192, 'Class Def. - General Data'!$C$20:$C$1000,1,false)</f>
        <v>ZSI1_INVERTER</v>
      </c>
      <c r="H10192" s="63" t="str">
        <f>IFERROR(__xludf.DUMMYFUNCTION("VLOOKUP(F10192, IMPORTRANGE(""https://docs.google.com/spreadsheets/d/1Lhp9OU0JdFf_VYSMzH5lBcEaU4o8teT1piV-SNzShjg/edit?gid=554141278#gid=554141278"", ""'Char Def. - Attributes'!C20:C2242""), 1,false)"),"ALT_UOM2_SIPI")</f>
        <v>ALT_UOM2_SIPI</v>
      </c>
      <c r="I10192" s="136"/>
      <c r="R10192" s="63" t="str">
        <f t="shared" si="60"/>
        <v>ZSI1_INVERTERALT_UOM2_SIPI</v>
      </c>
    </row>
    <row r="10193" ht="15.75" customHeight="1">
      <c r="B10193" s="63">
        <f t="shared" si="1"/>
        <v>13</v>
      </c>
      <c r="C10193" s="135" t="s">
        <v>498</v>
      </c>
      <c r="D10193" s="161" t="s">
        <v>74</v>
      </c>
      <c r="E10193" s="135">
        <f t="shared" si="62"/>
        <v>20</v>
      </c>
      <c r="F10193" s="134" t="s">
        <v>3808</v>
      </c>
      <c r="G10193" s="63" t="str">
        <f>VLOOKUP(C10193, 'Class Def. - General Data'!$C$20:$C$1000,1,false)</f>
        <v>ZSI1_INVERTER</v>
      </c>
      <c r="H10193" s="63" t="str">
        <f>IFERROR(__xludf.DUMMYFUNCTION("VLOOKUP(F10193, IMPORTRANGE(""https://docs.google.com/spreadsheets/d/1Lhp9OU0JdFf_VYSMzH5lBcEaU4o8teT1piV-SNzShjg/edit?gid=554141278#gid=554141278"", ""'Char Def. - Attributes'!C20:C2242""), 1,false)"),"ALT_DENUM_UOM2")</f>
        <v>ALT_DENUM_UOM2</v>
      </c>
      <c r="I10193" s="136"/>
      <c r="R10193" s="63" t="str">
        <f t="shared" si="60"/>
        <v>ZSI1_INVERTERALT_DENUM_UOM2</v>
      </c>
    </row>
    <row r="10194" ht="15.75" customHeight="1">
      <c r="B10194" s="63">
        <f t="shared" si="1"/>
        <v>13</v>
      </c>
      <c r="C10194" s="135" t="s">
        <v>498</v>
      </c>
      <c r="D10194" s="161" t="s">
        <v>74</v>
      </c>
      <c r="E10194" s="135">
        <f t="shared" si="62"/>
        <v>21</v>
      </c>
      <c r="F10194" s="134" t="s">
        <v>3809</v>
      </c>
      <c r="G10194" s="63" t="str">
        <f>VLOOKUP(C10194, 'Class Def. - General Data'!$C$20:$C$1000,1,false)</f>
        <v>ZSI1_INVERTER</v>
      </c>
      <c r="H10194" s="63" t="str">
        <f>IFERROR(__xludf.DUMMYFUNCTION("VLOOKUP(F10194, IMPORTRANGE(""https://docs.google.com/spreadsheets/d/1Lhp9OU0JdFf_VYSMzH5lBcEaU4o8teT1piV-SNzShjg/edit?gid=554141278#gid=554141278"", ""'Char Def. - Attributes'!C20:C2242""), 1,false)"),"ALT_NUM_UOM2")</f>
        <v>ALT_NUM_UOM2</v>
      </c>
      <c r="I10194" s="136"/>
      <c r="R10194" s="63" t="str">
        <f t="shared" si="60"/>
        <v>ZSI1_INVERTERALT_NUM_UOM2</v>
      </c>
    </row>
    <row r="10195" ht="15.75" customHeight="1">
      <c r="B10195" s="63">
        <f t="shared" si="1"/>
        <v>13</v>
      </c>
      <c r="C10195" s="135" t="s">
        <v>498</v>
      </c>
      <c r="D10195" s="161" t="s">
        <v>74</v>
      </c>
      <c r="E10195" s="135">
        <f t="shared" si="62"/>
        <v>22</v>
      </c>
      <c r="F10195" s="134" t="s">
        <v>3810</v>
      </c>
      <c r="G10195" s="63" t="str">
        <f>VLOOKUP(C10195, 'Class Def. - General Data'!$C$20:$C$1000,1,false)</f>
        <v>ZSI1_INVERTER</v>
      </c>
      <c r="H10195" s="63" t="str">
        <f>IFERROR(__xludf.DUMMYFUNCTION("VLOOKUP(F10195, IMPORTRANGE(""https://docs.google.com/spreadsheets/d/1Lhp9OU0JdFf_VYSMzH5lBcEaU4o8teT1piV-SNzShjg/edit?gid=554141278#gid=554141278"", ""'Char Def. - Attributes'!C20:C2242""), 1,false)"),"ALT_UOM3_SIPI")</f>
        <v>ALT_UOM3_SIPI</v>
      </c>
      <c r="I10195" s="136"/>
      <c r="R10195" s="63" t="str">
        <f t="shared" si="60"/>
        <v>ZSI1_INVERTERALT_UOM3_SIPI</v>
      </c>
    </row>
    <row r="10196" ht="15.75" customHeight="1">
      <c r="B10196" s="63">
        <f t="shared" si="1"/>
        <v>13</v>
      </c>
      <c r="C10196" s="135" t="s">
        <v>498</v>
      </c>
      <c r="D10196" s="161" t="s">
        <v>74</v>
      </c>
      <c r="E10196" s="135">
        <f t="shared" si="62"/>
        <v>23</v>
      </c>
      <c r="F10196" s="134" t="s">
        <v>3811</v>
      </c>
      <c r="G10196" s="63" t="str">
        <f>VLOOKUP(C10196, 'Class Def. - General Data'!$C$20:$C$1000,1,false)</f>
        <v>ZSI1_INVERTER</v>
      </c>
      <c r="H10196" s="63" t="str">
        <f>IFERROR(__xludf.DUMMYFUNCTION("VLOOKUP(F10196, IMPORTRANGE(""https://docs.google.com/spreadsheets/d/1Lhp9OU0JdFf_VYSMzH5lBcEaU4o8teT1piV-SNzShjg/edit?gid=554141278#gid=554141278"", ""'Char Def. - Attributes'!C20:C2242""), 1,false)"),"ALT_DENUM_UOM3")</f>
        <v>ALT_DENUM_UOM3</v>
      </c>
      <c r="I10196" s="136"/>
      <c r="R10196" s="63" t="str">
        <f t="shared" si="60"/>
        <v>ZSI1_INVERTERALT_DENUM_UOM3</v>
      </c>
    </row>
    <row r="10197" ht="15.75" customHeight="1">
      <c r="B10197" s="63">
        <f t="shared" si="1"/>
        <v>13</v>
      </c>
      <c r="C10197" s="135" t="s">
        <v>498</v>
      </c>
      <c r="D10197" s="161" t="s">
        <v>74</v>
      </c>
      <c r="E10197" s="135">
        <f t="shared" si="62"/>
        <v>24</v>
      </c>
      <c r="F10197" s="134" t="s">
        <v>3812</v>
      </c>
      <c r="G10197" s="63" t="str">
        <f>VLOOKUP(C10197, 'Class Def. - General Data'!$C$20:$C$1000,1,false)</f>
        <v>ZSI1_INVERTER</v>
      </c>
      <c r="H10197" s="63" t="str">
        <f>IFERROR(__xludf.DUMMYFUNCTION("VLOOKUP(F10197, IMPORTRANGE(""https://docs.google.com/spreadsheets/d/1Lhp9OU0JdFf_VYSMzH5lBcEaU4o8teT1piV-SNzShjg/edit?gid=554141278#gid=554141278"", ""'Char Def. - Attributes'!C20:C2242""), 1,false)"),"ALT_NUM_UOM3")</f>
        <v>ALT_NUM_UOM3</v>
      </c>
      <c r="I10197" s="136"/>
      <c r="R10197" s="63" t="str">
        <f t="shared" si="60"/>
        <v>ZSI1_INVERTERALT_NUM_UOM3</v>
      </c>
    </row>
    <row r="10198" ht="15.75" customHeight="1">
      <c r="B10198" s="63">
        <f t="shared" si="1"/>
        <v>13</v>
      </c>
      <c r="C10198" s="135" t="s">
        <v>498</v>
      </c>
      <c r="D10198" s="161" t="s">
        <v>74</v>
      </c>
      <c r="E10198" s="135">
        <f t="shared" si="62"/>
        <v>25</v>
      </c>
      <c r="F10198" s="134" t="s">
        <v>3813</v>
      </c>
      <c r="G10198" s="63" t="str">
        <f>VLOOKUP(C10198, 'Class Def. - General Data'!$C$20:$C$1000,1,false)</f>
        <v>ZSI1_INVERTER</v>
      </c>
      <c r="H10198" s="63" t="str">
        <f>IFERROR(__xludf.DUMMYFUNCTION("VLOOKUP(F10198, IMPORTRANGE(""https://docs.google.com/spreadsheets/d/1Lhp9OU0JdFf_VYSMzH5lBcEaU4o8teT1piV-SNzShjg/edit?gid=554141278#gid=554141278"", ""'Char Def. - Attributes'!C20:C2242""), 1,false)"),"ALT_UOM4_SIPI")</f>
        <v>ALT_UOM4_SIPI</v>
      </c>
      <c r="I10198" s="136"/>
      <c r="R10198" s="63" t="str">
        <f t="shared" si="60"/>
        <v>ZSI1_INVERTERALT_UOM4_SIPI</v>
      </c>
    </row>
    <row r="10199" ht="15.75" customHeight="1">
      <c r="B10199" s="63">
        <f t="shared" si="1"/>
        <v>13</v>
      </c>
      <c r="C10199" s="135" t="s">
        <v>498</v>
      </c>
      <c r="D10199" s="161" t="s">
        <v>74</v>
      </c>
      <c r="E10199" s="135">
        <f t="shared" si="62"/>
        <v>26</v>
      </c>
      <c r="F10199" s="134" t="s">
        <v>3814</v>
      </c>
      <c r="G10199" s="63" t="str">
        <f>VLOOKUP(C10199, 'Class Def. - General Data'!$C$20:$C$1000,1,false)</f>
        <v>ZSI1_INVERTER</v>
      </c>
      <c r="H10199" s="63" t="str">
        <f>IFERROR(__xludf.DUMMYFUNCTION("VLOOKUP(F10199, IMPORTRANGE(""https://docs.google.com/spreadsheets/d/1Lhp9OU0JdFf_VYSMzH5lBcEaU4o8teT1piV-SNzShjg/edit?gid=554141278#gid=554141278"", ""'Char Def. - Attributes'!C20:C2242""), 1,false)"),"ALT_DENUM_UOM4")</f>
        <v>ALT_DENUM_UOM4</v>
      </c>
      <c r="I10199" s="136"/>
      <c r="R10199" s="63" t="str">
        <f t="shared" si="60"/>
        <v>ZSI1_INVERTERALT_DENUM_UOM4</v>
      </c>
    </row>
    <row r="10200" ht="15.75" customHeight="1">
      <c r="B10200" s="63">
        <f t="shared" si="1"/>
        <v>13</v>
      </c>
      <c r="C10200" s="135" t="s">
        <v>498</v>
      </c>
      <c r="D10200" s="161" t="s">
        <v>74</v>
      </c>
      <c r="E10200" s="135">
        <f t="shared" si="62"/>
        <v>27</v>
      </c>
      <c r="F10200" s="134" t="s">
        <v>3815</v>
      </c>
      <c r="G10200" s="63" t="str">
        <f>VLOOKUP(C10200, 'Class Def. - General Data'!$C$20:$C$1000,1,false)</f>
        <v>ZSI1_INVERTER</v>
      </c>
      <c r="H10200" s="63" t="str">
        <f>IFERROR(__xludf.DUMMYFUNCTION("VLOOKUP(F10200, IMPORTRANGE(""https://docs.google.com/spreadsheets/d/1Lhp9OU0JdFf_VYSMzH5lBcEaU4o8teT1piV-SNzShjg/edit?gid=554141278#gid=554141278"", ""'Char Def. - Attributes'!C20:C2242""), 1,false)"),"ALT_NUM_UOM4")</f>
        <v>ALT_NUM_UOM4</v>
      </c>
      <c r="I10200" s="136"/>
      <c r="R10200" s="63" t="str">
        <f t="shared" si="60"/>
        <v>ZSI1_INVERTERALT_NUM_UOM4</v>
      </c>
    </row>
    <row r="10201" ht="15.75" customHeight="1">
      <c r="B10201" s="63">
        <f t="shared" si="1"/>
        <v>13</v>
      </c>
      <c r="C10201" s="135" t="s">
        <v>498</v>
      </c>
      <c r="D10201" s="161" t="s">
        <v>74</v>
      </c>
      <c r="E10201" s="135">
        <f t="shared" si="62"/>
        <v>28</v>
      </c>
      <c r="F10201" s="134" t="s">
        <v>3816</v>
      </c>
      <c r="G10201" s="63" t="str">
        <f>VLOOKUP(C10201, 'Class Def. - General Data'!$C$20:$C$1000,1,false)</f>
        <v>ZSI1_INVERTER</v>
      </c>
      <c r="H10201" s="63" t="str">
        <f>IFERROR(__xludf.DUMMYFUNCTION("VLOOKUP(F10201, IMPORTRANGE(""https://docs.google.com/spreadsheets/d/1Lhp9OU0JdFf_VYSMzH5lBcEaU4o8teT1piV-SNzShjg/edit?gid=554141278#gid=554141278"", ""'Char Def. - Attributes'!C20:C2242""), 1,false)"),"ALT_UOM5_SIPI")</f>
        <v>ALT_UOM5_SIPI</v>
      </c>
      <c r="I10201" s="136"/>
      <c r="R10201" s="63" t="str">
        <f t="shared" si="60"/>
        <v>ZSI1_INVERTERALT_UOM5_SIPI</v>
      </c>
    </row>
    <row r="10202" ht="15.75" customHeight="1">
      <c r="B10202" s="63">
        <f t="shared" si="1"/>
        <v>13</v>
      </c>
      <c r="C10202" s="135" t="s">
        <v>498</v>
      </c>
      <c r="D10202" s="161" t="s">
        <v>74</v>
      </c>
      <c r="E10202" s="135">
        <f t="shared" si="62"/>
        <v>29</v>
      </c>
      <c r="F10202" s="134" t="s">
        <v>3817</v>
      </c>
      <c r="G10202" s="63" t="str">
        <f>VLOOKUP(C10202, 'Class Def. - General Data'!$C$20:$C$1000,1,false)</f>
        <v>ZSI1_INVERTER</v>
      </c>
      <c r="H10202" s="63" t="str">
        <f>IFERROR(__xludf.DUMMYFUNCTION("VLOOKUP(F10202, IMPORTRANGE(""https://docs.google.com/spreadsheets/d/1Lhp9OU0JdFf_VYSMzH5lBcEaU4o8teT1piV-SNzShjg/edit?gid=554141278#gid=554141278"", ""'Char Def. - Attributes'!C20:C2242""), 1,false)"),"ALT_DENUM_UOM5")</f>
        <v>ALT_DENUM_UOM5</v>
      </c>
      <c r="I10202" s="136"/>
      <c r="R10202" s="63" t="str">
        <f t="shared" si="60"/>
        <v>ZSI1_INVERTERALT_DENUM_UOM5</v>
      </c>
    </row>
    <row r="10203" ht="15.75" customHeight="1">
      <c r="B10203" s="63">
        <f t="shared" si="1"/>
        <v>13</v>
      </c>
      <c r="C10203" s="135" t="s">
        <v>498</v>
      </c>
      <c r="D10203" s="161" t="s">
        <v>74</v>
      </c>
      <c r="E10203" s="135">
        <f t="shared" si="62"/>
        <v>30</v>
      </c>
      <c r="F10203" s="134" t="s">
        <v>3818</v>
      </c>
      <c r="G10203" s="63" t="str">
        <f>VLOOKUP(C10203, 'Class Def. - General Data'!$C$20:$C$1000,1,false)</f>
        <v>ZSI1_INVERTER</v>
      </c>
      <c r="H10203" s="63" t="str">
        <f>IFERROR(__xludf.DUMMYFUNCTION("VLOOKUP(F10203, IMPORTRANGE(""https://docs.google.com/spreadsheets/d/1Lhp9OU0JdFf_VYSMzH5lBcEaU4o8teT1piV-SNzShjg/edit?gid=554141278#gid=554141278"", ""'Char Def. - Attributes'!C20:C2242""), 1,false)"),"ALT_NUM_UOM5")</f>
        <v>ALT_NUM_UOM5</v>
      </c>
      <c r="I10203" s="136"/>
      <c r="R10203" s="63" t="str">
        <f t="shared" si="60"/>
        <v>ZSI1_INVERTERALT_NUM_UOM5</v>
      </c>
    </row>
    <row r="10204" ht="15.75" customHeight="1">
      <c r="B10204" s="63">
        <f t="shared" si="1"/>
        <v>15</v>
      </c>
      <c r="C10204" s="135" t="s">
        <v>488</v>
      </c>
      <c r="D10204" s="161" t="s">
        <v>74</v>
      </c>
      <c r="E10204" s="135">
        <f t="shared" si="62"/>
        <v>1</v>
      </c>
      <c r="F10204" s="134" t="s">
        <v>4706</v>
      </c>
      <c r="G10204" s="63" t="str">
        <f>VLOOKUP(C10204, 'Class Def. - General Data'!$C$20:$C$1000,1,false)</f>
        <v>ZSI1_JUMPER_BAR</v>
      </c>
      <c r="H10204" s="63" t="str">
        <f>IFERROR(__xludf.DUMMYFUNCTION("VLOOKUP(F10204, IMPORTRANGE(""https://docs.google.com/spreadsheets/d/1Lhp9OU0JdFf_VYSMzH5lBcEaU4o8teT1piV-SNzShjg/edit?gid=554141278#gid=554141278"", ""'Char Def. - Attributes'!C20:C2242""), 1,false)"),"ITEM_NAME_JUMPER_BAR")</f>
        <v>ITEM_NAME_JUMPER_BAR</v>
      </c>
      <c r="I10204" s="136"/>
      <c r="R10204" s="63" t="str">
        <f t="shared" si="60"/>
        <v>ZSI1_JUMPER_BARITEM_NAME_JUMPER_BAR</v>
      </c>
    </row>
    <row r="10205" ht="15.75" customHeight="1">
      <c r="B10205" s="63">
        <f t="shared" si="1"/>
        <v>15</v>
      </c>
      <c r="C10205" s="135" t="s">
        <v>488</v>
      </c>
      <c r="D10205" s="161" t="s">
        <v>74</v>
      </c>
      <c r="E10205" s="135">
        <f t="shared" si="62"/>
        <v>2</v>
      </c>
      <c r="F10205" s="134" t="s">
        <v>4707</v>
      </c>
      <c r="G10205" s="63" t="str">
        <f>VLOOKUP(C10205, 'Class Def. - General Data'!$C$20:$C$1000,1,false)</f>
        <v>ZSI1_JUMPER_BAR</v>
      </c>
      <c r="H10205" s="63" t="str">
        <f>IFERROR(__xludf.DUMMYFUNCTION("VLOOKUP(F10205, IMPORTRANGE(""https://docs.google.com/spreadsheets/d/1Lhp9OU0JdFf_VYSMzH5lBcEaU4o8teT1piV-SNzShjg/edit?gid=554141278#gid=554141278"", ""'Char Def. - Attributes'!C20:C2242""), 1,false)"),"MFR_NO_JUMPER_BAR")</f>
        <v>MFR_NO_JUMPER_BAR</v>
      </c>
      <c r="I10205" s="136"/>
      <c r="R10205" s="63" t="str">
        <f t="shared" si="60"/>
        <v>ZSI1_JUMPER_BARMFR_NO_JUMPER_BAR</v>
      </c>
    </row>
    <row r="10206" ht="15.75" customHeight="1">
      <c r="B10206" s="63">
        <f t="shared" si="1"/>
        <v>15</v>
      </c>
      <c r="C10206" s="135" t="s">
        <v>488</v>
      </c>
      <c r="D10206" s="161" t="s">
        <v>74</v>
      </c>
      <c r="E10206" s="135">
        <f t="shared" si="62"/>
        <v>3</v>
      </c>
      <c r="F10206" s="134" t="s">
        <v>3782</v>
      </c>
      <c r="G10206" s="63" t="str">
        <f>VLOOKUP(C10206, 'Class Def. - General Data'!$C$20:$C$1000,1,false)</f>
        <v>ZSI1_JUMPER_BAR</v>
      </c>
      <c r="H10206" s="63" t="str">
        <f>IFERROR(__xludf.DUMMYFUNCTION("VLOOKUP(F10206, IMPORTRANGE(""https://docs.google.com/spreadsheets/d/1Lhp9OU0JdFf_VYSMzH5lBcEaU4o8teT1piV-SNzShjg/edit?gid=554141278#gid=554141278"", ""'Char Def. - Attributes'!C20:C2242""), 1,false)"),"BRAND_EXTERNAL")</f>
        <v>BRAND_EXTERNAL</v>
      </c>
      <c r="I10206" s="136"/>
      <c r="R10206" s="63" t="str">
        <f t="shared" si="60"/>
        <v>ZSI1_JUMPER_BARBRAND_EXTERNAL</v>
      </c>
    </row>
    <row r="10207" ht="15.75" customHeight="1">
      <c r="B10207" s="63">
        <f t="shared" si="1"/>
        <v>15</v>
      </c>
      <c r="C10207" s="135" t="s">
        <v>488</v>
      </c>
      <c r="D10207" s="161" t="s">
        <v>74</v>
      </c>
      <c r="E10207" s="135">
        <f t="shared" si="62"/>
        <v>4</v>
      </c>
      <c r="F10207" s="134" t="s">
        <v>4062</v>
      </c>
      <c r="G10207" s="63" t="str">
        <f>VLOOKUP(C10207, 'Class Def. - General Data'!$C$20:$C$1000,1,false)</f>
        <v>ZSI1_JUMPER_BAR</v>
      </c>
      <c r="H10207" s="63" t="str">
        <f>IFERROR(__xludf.DUMMYFUNCTION("VLOOKUP(F10207, IMPORTRANGE(""https://docs.google.com/spreadsheets/d/1Lhp9OU0JdFf_VYSMzH5lBcEaU4o8teT1piV-SNzShjg/edit?gid=554141278#gid=554141278"", ""'Char Def. - Attributes'!C20:C2242""), 1,false)"),"#N/A")</f>
        <v>#N/A</v>
      </c>
      <c r="I10207" s="136"/>
      <c r="R10207" s="63" t="str">
        <f t="shared" si="60"/>
        <v>ZSI1_JUMPER_BARADDTIONAL_SPECIFICATION</v>
      </c>
    </row>
    <row r="10208" ht="15.75" customHeight="1">
      <c r="B10208" s="63">
        <f t="shared" si="1"/>
        <v>15</v>
      </c>
      <c r="C10208" s="135" t="s">
        <v>488</v>
      </c>
      <c r="D10208" s="161" t="s">
        <v>74</v>
      </c>
      <c r="E10208" s="135">
        <f t="shared" si="62"/>
        <v>5</v>
      </c>
      <c r="F10208" s="134" t="s">
        <v>3585</v>
      </c>
      <c r="G10208" s="63" t="str">
        <f>VLOOKUP(C10208, 'Class Def. - General Data'!$C$20:$C$1000,1,false)</f>
        <v>ZSI1_JUMPER_BAR</v>
      </c>
      <c r="H10208" s="63" t="str">
        <f>IFERROR(__xludf.DUMMYFUNCTION("VLOOKUP(F10208, IMPORTRANGE(""https://docs.google.com/spreadsheets/d/1Lhp9OU0JdFf_VYSMzH5lBcEaU4o8teT1piV-SNzShjg/edit?gid=554141278#gid=554141278"", ""'Char Def. - Attributes'!C20:C2242""), 1,false)"),"HS_CODE")</f>
        <v>HS_CODE</v>
      </c>
      <c r="I10208" s="136"/>
      <c r="R10208" s="63" t="str">
        <f t="shared" si="60"/>
        <v>ZSI1_JUMPER_BARHS_CODE</v>
      </c>
    </row>
    <row r="10209" ht="15.75" customHeight="1">
      <c r="B10209" s="63">
        <f t="shared" si="1"/>
        <v>15</v>
      </c>
      <c r="C10209" s="135" t="s">
        <v>488</v>
      </c>
      <c r="D10209" s="161" t="s">
        <v>74</v>
      </c>
      <c r="E10209" s="135">
        <f t="shared" si="62"/>
        <v>6</v>
      </c>
      <c r="F10209" s="134" t="s">
        <v>3587</v>
      </c>
      <c r="G10209" s="63" t="str">
        <f>VLOOKUP(C10209, 'Class Def. - General Data'!$C$20:$C$1000,1,false)</f>
        <v>ZSI1_JUMPER_BAR</v>
      </c>
      <c r="H10209" s="63" t="str">
        <f>IFERROR(__xludf.DUMMYFUNCTION("VLOOKUP(F10209, IMPORTRANGE(""https://docs.google.com/spreadsheets/d/1Lhp9OU0JdFf_VYSMzH5lBcEaU4o8teT1piV-SNzShjg/edit?gid=554141278#gid=554141278"", ""'Char Def. - Attributes'!C20:C2242""), 1,false)"),"PLANT_BUY")</f>
        <v>PLANT_BUY</v>
      </c>
      <c r="I10209" s="136"/>
      <c r="R10209" s="63" t="str">
        <f t="shared" si="60"/>
        <v>ZSI1_JUMPER_BARPLANT_BUY</v>
      </c>
    </row>
    <row r="10210" ht="15.75" customHeight="1">
      <c r="B10210" s="63">
        <f t="shared" si="1"/>
        <v>15</v>
      </c>
      <c r="C10210" s="135" t="s">
        <v>488</v>
      </c>
      <c r="D10210" s="161" t="s">
        <v>74</v>
      </c>
      <c r="E10210" s="135">
        <f t="shared" si="62"/>
        <v>7</v>
      </c>
      <c r="F10210" s="134" t="s">
        <v>4708</v>
      </c>
      <c r="G10210" s="63" t="str">
        <f>VLOOKUP(C10210, 'Class Def. - General Data'!$C$20:$C$1000,1,false)</f>
        <v>ZSI1_JUMPER_BAR</v>
      </c>
      <c r="H10210" s="63" t="str">
        <f>IFERROR(__xludf.DUMMYFUNCTION("VLOOKUP(F10210, IMPORTRANGE(""https://docs.google.com/spreadsheets/d/1Lhp9OU0JdFf_VYSMzH5lBcEaU4o8teT1piV-SNzShjg/edit?gid=554141278#gid=554141278"", ""'Char Def. - Attributes'!C20:C2242""), 1,false)"),"BASE_UOM_JUMPER_BAR")</f>
        <v>BASE_UOM_JUMPER_BAR</v>
      </c>
      <c r="I10210" s="136"/>
      <c r="R10210" s="63" t="str">
        <f t="shared" si="60"/>
        <v>ZSI1_JUMPER_BARBASE_UOM_JUMPER_BAR</v>
      </c>
    </row>
    <row r="10211" ht="15.75" customHeight="1">
      <c r="B10211" s="63">
        <f t="shared" si="1"/>
        <v>15</v>
      </c>
      <c r="C10211" s="135" t="s">
        <v>488</v>
      </c>
      <c r="D10211" s="161" t="s">
        <v>74</v>
      </c>
      <c r="E10211" s="135">
        <f t="shared" si="62"/>
        <v>8</v>
      </c>
      <c r="F10211" s="134" t="s">
        <v>4709</v>
      </c>
      <c r="G10211" s="63" t="str">
        <f>VLOOKUP(C10211, 'Class Def. - General Data'!$C$20:$C$1000,1,false)</f>
        <v>ZSI1_JUMPER_BAR</v>
      </c>
      <c r="H10211" s="63" t="str">
        <f>IFERROR(__xludf.DUMMYFUNCTION("VLOOKUP(F10211, IMPORTRANGE(""https://docs.google.com/spreadsheets/d/1Lhp9OU0JdFf_VYSMzH5lBcEaU4o8teT1piV-SNzShjg/edit?gid=554141278#gid=554141278"", ""'Char Def. - Attributes'!C20:C2242""), 1,false)"),"ORDER_UNIT_JUMPER_BAR")</f>
        <v>ORDER_UNIT_JUMPER_BAR</v>
      </c>
      <c r="I10211" s="136"/>
      <c r="R10211" s="63" t="str">
        <f t="shared" si="60"/>
        <v>ZSI1_JUMPER_BARORDER_UNIT_JUMPER_BAR</v>
      </c>
    </row>
    <row r="10212" ht="15.75" customHeight="1">
      <c r="B10212" s="63">
        <f t="shared" si="1"/>
        <v>15</v>
      </c>
      <c r="C10212" s="135" t="s">
        <v>488</v>
      </c>
      <c r="D10212" s="161" t="s">
        <v>74</v>
      </c>
      <c r="E10212" s="135">
        <f t="shared" si="62"/>
        <v>9</v>
      </c>
      <c r="F10212" s="134" t="s">
        <v>4056</v>
      </c>
      <c r="G10212" s="63" t="str">
        <f>VLOOKUP(C10212, 'Class Def. - General Data'!$C$20:$C$1000,1,false)</f>
        <v>ZSI1_JUMPER_BAR</v>
      </c>
      <c r="H10212" s="63" t="str">
        <f>IFERROR(__xludf.DUMMYFUNCTION("VLOOKUP(F10212, IMPORTRANGE(""https://docs.google.com/spreadsheets/d/1Lhp9OU0JdFf_VYSMzH5lBcEaU4o8teT1piV-SNzShjg/edit?gid=554141278#gid=554141278"", ""'Char Def. - Attributes'!C20:C2242""), 1,false)"),"GROSS_WEIGHT_OPT")</f>
        <v>GROSS_WEIGHT_OPT</v>
      </c>
      <c r="I10212" s="136"/>
      <c r="R10212" s="63" t="str">
        <f t="shared" si="60"/>
        <v>ZSI1_JUMPER_BARGROSS_WEIGHT_OPT</v>
      </c>
    </row>
    <row r="10213" ht="15.75" customHeight="1">
      <c r="B10213" s="63">
        <f t="shared" si="1"/>
        <v>15</v>
      </c>
      <c r="C10213" s="135" t="s">
        <v>488</v>
      </c>
      <c r="D10213" s="161" t="s">
        <v>74</v>
      </c>
      <c r="E10213" s="135">
        <f t="shared" si="62"/>
        <v>10</v>
      </c>
      <c r="F10213" s="134" t="s">
        <v>4057</v>
      </c>
      <c r="G10213" s="63" t="str">
        <f>VLOOKUP(C10213, 'Class Def. - General Data'!$C$20:$C$1000,1,false)</f>
        <v>ZSI1_JUMPER_BAR</v>
      </c>
      <c r="H10213" s="63" t="str">
        <f>IFERROR(__xludf.DUMMYFUNCTION("VLOOKUP(F10213, IMPORTRANGE(""https://docs.google.com/spreadsheets/d/1Lhp9OU0JdFf_VYSMzH5lBcEaU4o8teT1piV-SNzShjg/edit?gid=554141278#gid=554141278"", ""'Char Def. - Attributes'!C20:C2242""), 1,false)"),"NET_WEIGHT_OPT")</f>
        <v>NET_WEIGHT_OPT</v>
      </c>
      <c r="I10213" s="136"/>
      <c r="R10213" s="63" t="str">
        <f t="shared" si="60"/>
        <v>ZSI1_JUMPER_BARNET_WEIGHT_OPT</v>
      </c>
    </row>
    <row r="10214" ht="15.75" customHeight="1">
      <c r="B10214" s="63">
        <f t="shared" si="1"/>
        <v>15</v>
      </c>
      <c r="C10214" s="135" t="s">
        <v>488</v>
      </c>
      <c r="D10214" s="161" t="s">
        <v>74</v>
      </c>
      <c r="E10214" s="135">
        <f t="shared" si="62"/>
        <v>11</v>
      </c>
      <c r="F10214" s="134" t="s">
        <v>4058</v>
      </c>
      <c r="G10214" s="63" t="str">
        <f>VLOOKUP(C10214, 'Class Def. - General Data'!$C$20:$C$1000,1,false)</f>
        <v>ZSI1_JUMPER_BAR</v>
      </c>
      <c r="H10214" s="63" t="str">
        <f>IFERROR(__xludf.DUMMYFUNCTION("VLOOKUP(F10214, IMPORTRANGE(""https://docs.google.com/spreadsheets/d/1Lhp9OU0JdFf_VYSMzH5lBcEaU4o8teT1piV-SNzShjg/edit?gid=554141278#gid=554141278"", ""'Char Def. - Attributes'!C20:C2242""), 1,false)"),"WEIGHT_UNIT_SI")</f>
        <v>WEIGHT_UNIT_SI</v>
      </c>
      <c r="I10214" s="136"/>
      <c r="R10214" s="63" t="str">
        <f t="shared" si="60"/>
        <v>ZSI1_JUMPER_BARWEIGHT_UNIT_SI</v>
      </c>
    </row>
    <row r="10215" ht="15.75" customHeight="1">
      <c r="B10215" s="63">
        <f t="shared" si="1"/>
        <v>15</v>
      </c>
      <c r="C10215" s="135" t="s">
        <v>488</v>
      </c>
      <c r="D10215" s="161" t="s">
        <v>74</v>
      </c>
      <c r="E10215" s="135">
        <f t="shared" si="62"/>
        <v>12</v>
      </c>
      <c r="F10215" s="134" t="s">
        <v>3877</v>
      </c>
      <c r="G10215" s="63" t="str">
        <f>VLOOKUP(C10215, 'Class Def. - General Data'!$C$20:$C$1000,1,false)</f>
        <v>ZSI1_JUMPER_BAR</v>
      </c>
      <c r="H10215" s="63" t="str">
        <f>IFERROR(__xludf.DUMMYFUNCTION("VLOOKUP(F10215, IMPORTRANGE(""https://docs.google.com/spreadsheets/d/1Lhp9OU0JdFf_VYSMzH5lBcEaU4o8teT1piV-SNzShjg/edit?gid=554141278#gid=554141278"", ""'Char Def. - Attributes'!C20:C2242""), 1,false)"),"VOLUME_OPT")</f>
        <v>VOLUME_OPT</v>
      </c>
      <c r="I10215" s="136"/>
      <c r="R10215" s="63" t="str">
        <f t="shared" si="60"/>
        <v>ZSI1_JUMPER_BARVOLUME_OPT</v>
      </c>
    </row>
    <row r="10216" ht="15.75" customHeight="1">
      <c r="B10216" s="63">
        <f t="shared" si="1"/>
        <v>15</v>
      </c>
      <c r="C10216" s="135" t="s">
        <v>488</v>
      </c>
      <c r="D10216" s="161" t="s">
        <v>74</v>
      </c>
      <c r="E10216" s="135">
        <f t="shared" si="62"/>
        <v>13</v>
      </c>
      <c r="F10216" s="134" t="s">
        <v>4059</v>
      </c>
      <c r="G10216" s="63" t="str">
        <f>VLOOKUP(C10216, 'Class Def. - General Data'!$C$20:$C$1000,1,false)</f>
        <v>ZSI1_JUMPER_BAR</v>
      </c>
      <c r="H10216" s="63" t="str">
        <f>IFERROR(__xludf.DUMMYFUNCTION("VLOOKUP(F10216, IMPORTRANGE(""https://docs.google.com/spreadsheets/d/1Lhp9OU0JdFf_VYSMzH5lBcEaU4o8teT1piV-SNzShjg/edit?gid=554141278#gid=554141278"", ""'Char Def. - Attributes'!C20:C2242""), 1,false)"),"VOLUME_UNIT_SI")</f>
        <v>VOLUME_UNIT_SI</v>
      </c>
      <c r="I10216" s="136"/>
      <c r="R10216" s="63" t="str">
        <f t="shared" si="60"/>
        <v>ZSI1_JUMPER_BARVOLUME_UNIT_SI</v>
      </c>
    </row>
    <row r="10217" ht="15.75" customHeight="1">
      <c r="B10217" s="63">
        <f t="shared" si="1"/>
        <v>15</v>
      </c>
      <c r="C10217" s="135" t="s">
        <v>488</v>
      </c>
      <c r="D10217" s="161" t="s">
        <v>74</v>
      </c>
      <c r="E10217" s="135">
        <f t="shared" si="62"/>
        <v>14</v>
      </c>
      <c r="F10217" s="134" t="s">
        <v>3804</v>
      </c>
      <c r="G10217" s="63" t="str">
        <f>VLOOKUP(C10217, 'Class Def. - General Data'!$C$20:$C$1000,1,false)</f>
        <v>ZSI1_JUMPER_BAR</v>
      </c>
      <c r="H10217" s="63" t="str">
        <f>IFERROR(__xludf.DUMMYFUNCTION("VLOOKUP(F10217, IMPORTRANGE(""https://docs.google.com/spreadsheets/d/1Lhp9OU0JdFf_VYSMzH5lBcEaU4o8teT1piV-SNzShjg/edit?gid=554141278#gid=554141278"", ""'Char Def. - Attributes'!C20:C2242""), 1,false)"),"ALT_UOM1_SIPI")</f>
        <v>ALT_UOM1_SIPI</v>
      </c>
      <c r="I10217" s="136"/>
      <c r="R10217" s="63" t="str">
        <f t="shared" si="60"/>
        <v>ZSI1_JUMPER_BARALT_UOM1_SIPI</v>
      </c>
    </row>
    <row r="10218" ht="15.75" customHeight="1">
      <c r="B10218" s="63">
        <f t="shared" si="1"/>
        <v>15</v>
      </c>
      <c r="C10218" s="135" t="s">
        <v>488</v>
      </c>
      <c r="D10218" s="161" t="s">
        <v>74</v>
      </c>
      <c r="E10218" s="135">
        <f t="shared" si="62"/>
        <v>15</v>
      </c>
      <c r="F10218" s="134" t="s">
        <v>3805</v>
      </c>
      <c r="G10218" s="63" t="str">
        <f>VLOOKUP(C10218, 'Class Def. - General Data'!$C$20:$C$1000,1,false)</f>
        <v>ZSI1_JUMPER_BAR</v>
      </c>
      <c r="H10218" s="63" t="str">
        <f>IFERROR(__xludf.DUMMYFUNCTION("VLOOKUP(F10218, IMPORTRANGE(""https://docs.google.com/spreadsheets/d/1Lhp9OU0JdFf_VYSMzH5lBcEaU4o8teT1piV-SNzShjg/edit?gid=554141278#gid=554141278"", ""'Char Def. - Attributes'!C20:C2242""), 1,false)"),"ALT_DENUM_UOM1")</f>
        <v>ALT_DENUM_UOM1</v>
      </c>
      <c r="I10218" s="136"/>
      <c r="R10218" s="63" t="str">
        <f t="shared" si="60"/>
        <v>ZSI1_JUMPER_BARALT_DENUM_UOM1</v>
      </c>
    </row>
    <row r="10219" ht="15.75" customHeight="1">
      <c r="B10219" s="63">
        <f t="shared" si="1"/>
        <v>15</v>
      </c>
      <c r="C10219" s="135" t="s">
        <v>488</v>
      </c>
      <c r="D10219" s="161" t="s">
        <v>74</v>
      </c>
      <c r="E10219" s="135">
        <f t="shared" si="62"/>
        <v>16</v>
      </c>
      <c r="F10219" s="134" t="s">
        <v>3806</v>
      </c>
      <c r="G10219" s="63" t="str">
        <f>VLOOKUP(C10219, 'Class Def. - General Data'!$C$20:$C$1000,1,false)</f>
        <v>ZSI1_JUMPER_BAR</v>
      </c>
      <c r="H10219" s="63" t="str">
        <f>IFERROR(__xludf.DUMMYFUNCTION("VLOOKUP(F10219, IMPORTRANGE(""https://docs.google.com/spreadsheets/d/1Lhp9OU0JdFf_VYSMzH5lBcEaU4o8teT1piV-SNzShjg/edit?gid=554141278#gid=554141278"", ""'Char Def. - Attributes'!C20:C2242""), 1,false)"),"ALT_NUM_UOM1")</f>
        <v>ALT_NUM_UOM1</v>
      </c>
      <c r="I10219" s="136"/>
      <c r="R10219" s="63" t="str">
        <f t="shared" si="60"/>
        <v>ZSI1_JUMPER_BARALT_NUM_UOM1</v>
      </c>
    </row>
    <row r="10220" ht="15.75" customHeight="1">
      <c r="B10220" s="63">
        <f t="shared" si="1"/>
        <v>15</v>
      </c>
      <c r="C10220" s="135" t="s">
        <v>488</v>
      </c>
      <c r="D10220" s="161" t="s">
        <v>74</v>
      </c>
      <c r="E10220" s="135">
        <f t="shared" si="62"/>
        <v>17</v>
      </c>
      <c r="F10220" s="134" t="s">
        <v>3807</v>
      </c>
      <c r="G10220" s="63" t="str">
        <f>VLOOKUP(C10220, 'Class Def. - General Data'!$C$20:$C$1000,1,false)</f>
        <v>ZSI1_JUMPER_BAR</v>
      </c>
      <c r="H10220" s="63" t="str">
        <f>IFERROR(__xludf.DUMMYFUNCTION("VLOOKUP(F10220, IMPORTRANGE(""https://docs.google.com/spreadsheets/d/1Lhp9OU0JdFf_VYSMzH5lBcEaU4o8teT1piV-SNzShjg/edit?gid=554141278#gid=554141278"", ""'Char Def. - Attributes'!C20:C2242""), 1,false)"),"ALT_UOM2_SIPI")</f>
        <v>ALT_UOM2_SIPI</v>
      </c>
      <c r="I10220" s="136"/>
      <c r="R10220" s="63" t="str">
        <f t="shared" si="60"/>
        <v>ZSI1_JUMPER_BARALT_UOM2_SIPI</v>
      </c>
    </row>
    <row r="10221" ht="15.75" customHeight="1">
      <c r="B10221" s="63">
        <f t="shared" si="1"/>
        <v>15</v>
      </c>
      <c r="C10221" s="135" t="s">
        <v>488</v>
      </c>
      <c r="D10221" s="161" t="s">
        <v>74</v>
      </c>
      <c r="E10221" s="135">
        <f t="shared" si="62"/>
        <v>18</v>
      </c>
      <c r="F10221" s="134" t="s">
        <v>3808</v>
      </c>
      <c r="G10221" s="63" t="str">
        <f>VLOOKUP(C10221, 'Class Def. - General Data'!$C$20:$C$1000,1,false)</f>
        <v>ZSI1_JUMPER_BAR</v>
      </c>
      <c r="H10221" s="63" t="str">
        <f>IFERROR(__xludf.DUMMYFUNCTION("VLOOKUP(F10221, IMPORTRANGE(""https://docs.google.com/spreadsheets/d/1Lhp9OU0JdFf_VYSMzH5lBcEaU4o8teT1piV-SNzShjg/edit?gid=554141278#gid=554141278"", ""'Char Def. - Attributes'!C20:C2242""), 1,false)"),"ALT_DENUM_UOM2")</f>
        <v>ALT_DENUM_UOM2</v>
      </c>
      <c r="I10221" s="136"/>
      <c r="R10221" s="63" t="str">
        <f t="shared" si="60"/>
        <v>ZSI1_JUMPER_BARALT_DENUM_UOM2</v>
      </c>
    </row>
    <row r="10222" ht="15.75" customHeight="1">
      <c r="B10222" s="63">
        <f t="shared" si="1"/>
        <v>15</v>
      </c>
      <c r="C10222" s="135" t="s">
        <v>488</v>
      </c>
      <c r="D10222" s="161" t="s">
        <v>74</v>
      </c>
      <c r="E10222" s="135">
        <f t="shared" si="62"/>
        <v>19</v>
      </c>
      <c r="F10222" s="134" t="s">
        <v>3809</v>
      </c>
      <c r="G10222" s="63" t="str">
        <f>VLOOKUP(C10222, 'Class Def. - General Data'!$C$20:$C$1000,1,false)</f>
        <v>ZSI1_JUMPER_BAR</v>
      </c>
      <c r="H10222" s="63" t="str">
        <f>IFERROR(__xludf.DUMMYFUNCTION("VLOOKUP(F10222, IMPORTRANGE(""https://docs.google.com/spreadsheets/d/1Lhp9OU0JdFf_VYSMzH5lBcEaU4o8teT1piV-SNzShjg/edit?gid=554141278#gid=554141278"", ""'Char Def. - Attributes'!C20:C2242""), 1,false)"),"ALT_NUM_UOM2")</f>
        <v>ALT_NUM_UOM2</v>
      </c>
      <c r="I10222" s="136"/>
      <c r="R10222" s="63" t="str">
        <f t="shared" si="60"/>
        <v>ZSI1_JUMPER_BARALT_NUM_UOM2</v>
      </c>
    </row>
    <row r="10223" ht="15.75" customHeight="1">
      <c r="B10223" s="63">
        <f t="shared" si="1"/>
        <v>15</v>
      </c>
      <c r="C10223" s="135" t="s">
        <v>488</v>
      </c>
      <c r="D10223" s="161" t="s">
        <v>74</v>
      </c>
      <c r="E10223" s="135">
        <f t="shared" si="62"/>
        <v>20</v>
      </c>
      <c r="F10223" s="134" t="s">
        <v>3810</v>
      </c>
      <c r="G10223" s="63" t="str">
        <f>VLOOKUP(C10223, 'Class Def. - General Data'!$C$20:$C$1000,1,false)</f>
        <v>ZSI1_JUMPER_BAR</v>
      </c>
      <c r="H10223" s="63" t="str">
        <f>IFERROR(__xludf.DUMMYFUNCTION("VLOOKUP(F10223, IMPORTRANGE(""https://docs.google.com/spreadsheets/d/1Lhp9OU0JdFf_VYSMzH5lBcEaU4o8teT1piV-SNzShjg/edit?gid=554141278#gid=554141278"", ""'Char Def. - Attributes'!C20:C2242""), 1,false)"),"ALT_UOM3_SIPI")</f>
        <v>ALT_UOM3_SIPI</v>
      </c>
      <c r="I10223" s="136"/>
      <c r="R10223" s="63" t="str">
        <f t="shared" si="60"/>
        <v>ZSI1_JUMPER_BARALT_UOM3_SIPI</v>
      </c>
    </row>
    <row r="10224" ht="15.75" customHeight="1">
      <c r="B10224" s="63">
        <f t="shared" si="1"/>
        <v>15</v>
      </c>
      <c r="C10224" s="135" t="s">
        <v>488</v>
      </c>
      <c r="D10224" s="161" t="s">
        <v>74</v>
      </c>
      <c r="E10224" s="135">
        <f t="shared" si="62"/>
        <v>21</v>
      </c>
      <c r="F10224" s="134" t="s">
        <v>3811</v>
      </c>
      <c r="G10224" s="63" t="str">
        <f>VLOOKUP(C10224, 'Class Def. - General Data'!$C$20:$C$1000,1,false)</f>
        <v>ZSI1_JUMPER_BAR</v>
      </c>
      <c r="H10224" s="63" t="str">
        <f>IFERROR(__xludf.DUMMYFUNCTION("VLOOKUP(F10224, IMPORTRANGE(""https://docs.google.com/spreadsheets/d/1Lhp9OU0JdFf_VYSMzH5lBcEaU4o8teT1piV-SNzShjg/edit?gid=554141278#gid=554141278"", ""'Char Def. - Attributes'!C20:C2242""), 1,false)"),"ALT_DENUM_UOM3")</f>
        <v>ALT_DENUM_UOM3</v>
      </c>
      <c r="I10224" s="136"/>
      <c r="R10224" s="63" t="str">
        <f t="shared" si="60"/>
        <v>ZSI1_JUMPER_BARALT_DENUM_UOM3</v>
      </c>
    </row>
    <row r="10225" ht="15.75" customHeight="1">
      <c r="B10225" s="63">
        <f t="shared" si="1"/>
        <v>15</v>
      </c>
      <c r="C10225" s="135" t="s">
        <v>488</v>
      </c>
      <c r="D10225" s="161" t="s">
        <v>74</v>
      </c>
      <c r="E10225" s="135">
        <f t="shared" si="62"/>
        <v>22</v>
      </c>
      <c r="F10225" s="134" t="s">
        <v>3812</v>
      </c>
      <c r="G10225" s="63" t="str">
        <f>VLOOKUP(C10225, 'Class Def. - General Data'!$C$20:$C$1000,1,false)</f>
        <v>ZSI1_JUMPER_BAR</v>
      </c>
      <c r="H10225" s="63" t="str">
        <f>IFERROR(__xludf.DUMMYFUNCTION("VLOOKUP(F10225, IMPORTRANGE(""https://docs.google.com/spreadsheets/d/1Lhp9OU0JdFf_VYSMzH5lBcEaU4o8teT1piV-SNzShjg/edit?gid=554141278#gid=554141278"", ""'Char Def. - Attributes'!C20:C2242""), 1,false)"),"ALT_NUM_UOM3")</f>
        <v>ALT_NUM_UOM3</v>
      </c>
      <c r="I10225" s="136"/>
      <c r="R10225" s="63" t="str">
        <f t="shared" si="60"/>
        <v>ZSI1_JUMPER_BARALT_NUM_UOM3</v>
      </c>
    </row>
    <row r="10226" ht="15.75" customHeight="1">
      <c r="B10226" s="63">
        <f t="shared" si="1"/>
        <v>15</v>
      </c>
      <c r="C10226" s="135" t="s">
        <v>488</v>
      </c>
      <c r="D10226" s="161" t="s">
        <v>74</v>
      </c>
      <c r="E10226" s="135">
        <f t="shared" si="62"/>
        <v>23</v>
      </c>
      <c r="F10226" s="134" t="s">
        <v>3813</v>
      </c>
      <c r="G10226" s="63" t="str">
        <f>VLOOKUP(C10226, 'Class Def. - General Data'!$C$20:$C$1000,1,false)</f>
        <v>ZSI1_JUMPER_BAR</v>
      </c>
      <c r="H10226" s="63" t="str">
        <f>IFERROR(__xludf.DUMMYFUNCTION("VLOOKUP(F10226, IMPORTRANGE(""https://docs.google.com/spreadsheets/d/1Lhp9OU0JdFf_VYSMzH5lBcEaU4o8teT1piV-SNzShjg/edit?gid=554141278#gid=554141278"", ""'Char Def. - Attributes'!C20:C2242""), 1,false)"),"ALT_UOM4_SIPI")</f>
        <v>ALT_UOM4_SIPI</v>
      </c>
      <c r="I10226" s="136"/>
      <c r="R10226" s="63" t="str">
        <f t="shared" si="60"/>
        <v>ZSI1_JUMPER_BARALT_UOM4_SIPI</v>
      </c>
    </row>
    <row r="10227" ht="15.75" customHeight="1">
      <c r="B10227" s="63">
        <f t="shared" si="1"/>
        <v>15</v>
      </c>
      <c r="C10227" s="135" t="s">
        <v>488</v>
      </c>
      <c r="D10227" s="161" t="s">
        <v>74</v>
      </c>
      <c r="E10227" s="135">
        <f t="shared" si="62"/>
        <v>24</v>
      </c>
      <c r="F10227" s="134" t="s">
        <v>3814</v>
      </c>
      <c r="G10227" s="63" t="str">
        <f>VLOOKUP(C10227, 'Class Def. - General Data'!$C$20:$C$1000,1,false)</f>
        <v>ZSI1_JUMPER_BAR</v>
      </c>
      <c r="H10227" s="63" t="str">
        <f>IFERROR(__xludf.DUMMYFUNCTION("VLOOKUP(F10227, IMPORTRANGE(""https://docs.google.com/spreadsheets/d/1Lhp9OU0JdFf_VYSMzH5lBcEaU4o8teT1piV-SNzShjg/edit?gid=554141278#gid=554141278"", ""'Char Def. - Attributes'!C20:C2242""), 1,false)"),"ALT_DENUM_UOM4")</f>
        <v>ALT_DENUM_UOM4</v>
      </c>
      <c r="I10227" s="136"/>
      <c r="R10227" s="63" t="str">
        <f t="shared" si="60"/>
        <v>ZSI1_JUMPER_BARALT_DENUM_UOM4</v>
      </c>
    </row>
    <row r="10228" ht="15.75" customHeight="1">
      <c r="B10228" s="63">
        <f t="shared" si="1"/>
        <v>15</v>
      </c>
      <c r="C10228" s="135" t="s">
        <v>488</v>
      </c>
      <c r="D10228" s="161" t="s">
        <v>74</v>
      </c>
      <c r="E10228" s="135">
        <f t="shared" si="62"/>
        <v>25</v>
      </c>
      <c r="F10228" s="134" t="s">
        <v>3815</v>
      </c>
      <c r="G10228" s="63" t="str">
        <f>VLOOKUP(C10228, 'Class Def. - General Data'!$C$20:$C$1000,1,false)</f>
        <v>ZSI1_JUMPER_BAR</v>
      </c>
      <c r="H10228" s="63" t="str">
        <f>IFERROR(__xludf.DUMMYFUNCTION("VLOOKUP(F10228, IMPORTRANGE(""https://docs.google.com/spreadsheets/d/1Lhp9OU0JdFf_VYSMzH5lBcEaU4o8teT1piV-SNzShjg/edit?gid=554141278#gid=554141278"", ""'Char Def. - Attributes'!C20:C2242""), 1,false)"),"ALT_NUM_UOM4")</f>
        <v>ALT_NUM_UOM4</v>
      </c>
      <c r="I10228" s="136"/>
      <c r="R10228" s="63" t="str">
        <f t="shared" si="60"/>
        <v>ZSI1_JUMPER_BARALT_NUM_UOM4</v>
      </c>
    </row>
    <row r="10229" ht="15.75" customHeight="1">
      <c r="B10229" s="63">
        <f t="shared" si="1"/>
        <v>15</v>
      </c>
      <c r="C10229" s="135" t="s">
        <v>488</v>
      </c>
      <c r="D10229" s="161" t="s">
        <v>74</v>
      </c>
      <c r="E10229" s="135">
        <f t="shared" si="62"/>
        <v>26</v>
      </c>
      <c r="F10229" s="134" t="s">
        <v>3816</v>
      </c>
      <c r="G10229" s="63" t="str">
        <f>VLOOKUP(C10229, 'Class Def. - General Data'!$C$20:$C$1000,1,false)</f>
        <v>ZSI1_JUMPER_BAR</v>
      </c>
      <c r="H10229" s="63" t="str">
        <f>IFERROR(__xludf.DUMMYFUNCTION("VLOOKUP(F10229, IMPORTRANGE(""https://docs.google.com/spreadsheets/d/1Lhp9OU0JdFf_VYSMzH5lBcEaU4o8teT1piV-SNzShjg/edit?gid=554141278#gid=554141278"", ""'Char Def. - Attributes'!C20:C2242""), 1,false)"),"ALT_UOM5_SIPI")</f>
        <v>ALT_UOM5_SIPI</v>
      </c>
      <c r="I10229" s="136"/>
      <c r="R10229" s="63" t="str">
        <f t="shared" si="60"/>
        <v>ZSI1_JUMPER_BARALT_UOM5_SIPI</v>
      </c>
    </row>
    <row r="10230" ht="15.75" customHeight="1">
      <c r="B10230" s="63">
        <f t="shared" si="1"/>
        <v>15</v>
      </c>
      <c r="C10230" s="135" t="s">
        <v>488</v>
      </c>
      <c r="D10230" s="161" t="s">
        <v>74</v>
      </c>
      <c r="E10230" s="135">
        <f t="shared" si="62"/>
        <v>27</v>
      </c>
      <c r="F10230" s="134" t="s">
        <v>3817</v>
      </c>
      <c r="G10230" s="63" t="str">
        <f>VLOOKUP(C10230, 'Class Def. - General Data'!$C$20:$C$1000,1,false)</f>
        <v>ZSI1_JUMPER_BAR</v>
      </c>
      <c r="H10230" s="63" t="str">
        <f>IFERROR(__xludf.DUMMYFUNCTION("VLOOKUP(F10230, IMPORTRANGE(""https://docs.google.com/spreadsheets/d/1Lhp9OU0JdFf_VYSMzH5lBcEaU4o8teT1piV-SNzShjg/edit?gid=554141278#gid=554141278"", ""'Char Def. - Attributes'!C20:C2242""), 1,false)"),"ALT_DENUM_UOM5")</f>
        <v>ALT_DENUM_UOM5</v>
      </c>
      <c r="I10230" s="136"/>
      <c r="R10230" s="63" t="str">
        <f t="shared" si="60"/>
        <v>ZSI1_JUMPER_BARALT_DENUM_UOM5</v>
      </c>
    </row>
    <row r="10231" ht="15.75" customHeight="1">
      <c r="B10231" s="63">
        <f t="shared" si="1"/>
        <v>15</v>
      </c>
      <c r="C10231" s="135" t="s">
        <v>488</v>
      </c>
      <c r="D10231" s="161" t="s">
        <v>74</v>
      </c>
      <c r="E10231" s="135">
        <f t="shared" si="62"/>
        <v>28</v>
      </c>
      <c r="F10231" s="134" t="s">
        <v>3818</v>
      </c>
      <c r="G10231" s="63" t="str">
        <f>VLOOKUP(C10231, 'Class Def. - General Data'!$C$20:$C$1000,1,false)</f>
        <v>ZSI1_JUMPER_BAR</v>
      </c>
      <c r="H10231" s="63" t="str">
        <f>IFERROR(__xludf.DUMMYFUNCTION("VLOOKUP(F10231, IMPORTRANGE(""https://docs.google.com/spreadsheets/d/1Lhp9OU0JdFf_VYSMzH5lBcEaU4o8teT1piV-SNzShjg/edit?gid=554141278#gid=554141278"", ""'Char Def. - Attributes'!C20:C2242""), 1,false)"),"ALT_NUM_UOM5")</f>
        <v>ALT_NUM_UOM5</v>
      </c>
      <c r="I10231" s="136"/>
      <c r="R10231" s="63" t="str">
        <f t="shared" si="60"/>
        <v>ZSI1_JUMPER_BARALT_NUM_UOM5</v>
      </c>
    </row>
    <row r="10232" ht="15.75" customHeight="1">
      <c r="B10232" s="63">
        <f t="shared" si="1"/>
        <v>15</v>
      </c>
      <c r="C10232" s="135" t="s">
        <v>535</v>
      </c>
      <c r="D10232" s="161" t="s">
        <v>74</v>
      </c>
      <c r="E10232" s="135">
        <f t="shared" si="62"/>
        <v>1</v>
      </c>
      <c r="F10232" s="134" t="s">
        <v>4710</v>
      </c>
      <c r="G10232" s="63" t="str">
        <f>VLOOKUP(C10232, 'Class Def. - General Data'!$C$20:$C$1000,1,false)</f>
        <v>ZSI1_KAIN_COVER</v>
      </c>
      <c r="H10232" s="63" t="str">
        <f>IFERROR(__xludf.DUMMYFUNCTION("VLOOKUP(F10232, IMPORTRANGE(""https://docs.google.com/spreadsheets/d/1Lhp9OU0JdFf_VYSMzH5lBcEaU4o8teT1piV-SNzShjg/edit?gid=554141278#gid=554141278"", ""'Char Def. - Attributes'!C20:C2242""), 1,false)"),"ITEM_NAME_KAIN_COVER")</f>
        <v>ITEM_NAME_KAIN_COVER</v>
      </c>
      <c r="I10232" s="136"/>
      <c r="R10232" s="63" t="str">
        <f t="shared" si="60"/>
        <v>ZSI1_KAIN_COVERITEM_NAME_KAIN_COVER</v>
      </c>
    </row>
    <row r="10233" ht="15.75" customHeight="1">
      <c r="B10233" s="63">
        <f t="shared" si="1"/>
        <v>15</v>
      </c>
      <c r="C10233" s="135" t="s">
        <v>535</v>
      </c>
      <c r="D10233" s="161" t="s">
        <v>74</v>
      </c>
      <c r="E10233" s="135">
        <f t="shared" si="62"/>
        <v>2</v>
      </c>
      <c r="F10233" s="134" t="s">
        <v>4711</v>
      </c>
      <c r="G10233" s="63" t="str">
        <f>VLOOKUP(C10233, 'Class Def. - General Data'!$C$20:$C$1000,1,false)</f>
        <v>ZSI1_KAIN_COVER</v>
      </c>
      <c r="H10233" s="63" t="str">
        <f>IFERROR(__xludf.DUMMYFUNCTION("VLOOKUP(F10233, IMPORTRANGE(""https://docs.google.com/spreadsheets/d/1Lhp9OU0JdFf_VYSMzH5lBcEaU4o8teT1piV-SNzShjg/edit?gid=554141278#gid=554141278"", ""'Char Def. - Attributes'!C20:C2242""), 1,false)"),"EQUIPMENT_NAME_KAIN_COVER")</f>
        <v>EQUIPMENT_NAME_KAIN_COVER</v>
      </c>
      <c r="I10233" s="136"/>
      <c r="R10233" s="63" t="str">
        <f t="shared" si="60"/>
        <v>ZSI1_KAIN_COVEREQUIPMENT_NAME_KAIN_COVER</v>
      </c>
    </row>
    <row r="10234" ht="15.75" customHeight="1">
      <c r="B10234" s="63">
        <f t="shared" si="1"/>
        <v>15</v>
      </c>
      <c r="C10234" s="135" t="s">
        <v>535</v>
      </c>
      <c r="D10234" s="161" t="s">
        <v>74</v>
      </c>
      <c r="E10234" s="135">
        <f t="shared" si="62"/>
        <v>3</v>
      </c>
      <c r="F10234" s="134" t="s">
        <v>3585</v>
      </c>
      <c r="G10234" s="63" t="str">
        <f>VLOOKUP(C10234, 'Class Def. - General Data'!$C$20:$C$1000,1,false)</f>
        <v>ZSI1_KAIN_COVER</v>
      </c>
      <c r="H10234" s="63" t="str">
        <f>IFERROR(__xludf.DUMMYFUNCTION("VLOOKUP(F10234, IMPORTRANGE(""https://docs.google.com/spreadsheets/d/1Lhp9OU0JdFf_VYSMzH5lBcEaU4o8teT1piV-SNzShjg/edit?gid=554141278#gid=554141278"", ""'Char Def. - Attributes'!C20:C2242""), 1,false)"),"HS_CODE")</f>
        <v>HS_CODE</v>
      </c>
      <c r="I10234" s="136"/>
      <c r="R10234" s="63" t="str">
        <f t="shared" si="60"/>
        <v>ZSI1_KAIN_COVERHS_CODE</v>
      </c>
    </row>
    <row r="10235" ht="15.75" customHeight="1">
      <c r="B10235" s="63">
        <f t="shared" si="1"/>
        <v>15</v>
      </c>
      <c r="C10235" s="135" t="s">
        <v>535</v>
      </c>
      <c r="D10235" s="161" t="s">
        <v>74</v>
      </c>
      <c r="E10235" s="135">
        <f t="shared" si="62"/>
        <v>4</v>
      </c>
      <c r="F10235" s="134" t="s">
        <v>3587</v>
      </c>
      <c r="G10235" s="63" t="str">
        <f>VLOOKUP(C10235, 'Class Def. - General Data'!$C$20:$C$1000,1,false)</f>
        <v>ZSI1_KAIN_COVER</v>
      </c>
      <c r="H10235" s="63" t="str">
        <f>IFERROR(__xludf.DUMMYFUNCTION("VLOOKUP(F10235, IMPORTRANGE(""https://docs.google.com/spreadsheets/d/1Lhp9OU0JdFf_VYSMzH5lBcEaU4o8teT1piV-SNzShjg/edit?gid=554141278#gid=554141278"", ""'Char Def. - Attributes'!C20:C2242""), 1,false)"),"PLANT_BUY")</f>
        <v>PLANT_BUY</v>
      </c>
      <c r="I10235" s="136"/>
      <c r="R10235" s="63" t="str">
        <f t="shared" si="60"/>
        <v>ZSI1_KAIN_COVERPLANT_BUY</v>
      </c>
    </row>
    <row r="10236" ht="15.75" customHeight="1">
      <c r="B10236" s="63">
        <f t="shared" si="1"/>
        <v>15</v>
      </c>
      <c r="C10236" s="135" t="s">
        <v>535</v>
      </c>
      <c r="D10236" s="161" t="s">
        <v>74</v>
      </c>
      <c r="E10236" s="135">
        <f t="shared" si="62"/>
        <v>5</v>
      </c>
      <c r="F10236" s="134" t="s">
        <v>4712</v>
      </c>
      <c r="G10236" s="63" t="str">
        <f>VLOOKUP(C10236, 'Class Def. - General Data'!$C$20:$C$1000,1,false)</f>
        <v>ZSI1_KAIN_COVER</v>
      </c>
      <c r="H10236" s="63" t="str">
        <f>IFERROR(__xludf.DUMMYFUNCTION("VLOOKUP(F10236, IMPORTRANGE(""https://docs.google.com/spreadsheets/d/1Lhp9OU0JdFf_VYSMzH5lBcEaU4o8teT1piV-SNzShjg/edit?gid=554141278#gid=554141278"", ""'Char Def. - Attributes'!C20:C2242""), 1,false)"),"BASE_UOM_KAIN_COVER")</f>
        <v>BASE_UOM_KAIN_COVER</v>
      </c>
      <c r="I10236" s="136"/>
      <c r="R10236" s="63" t="str">
        <f t="shared" si="60"/>
        <v>ZSI1_KAIN_COVERBASE_UOM_KAIN_COVER</v>
      </c>
    </row>
    <row r="10237" ht="15.75" customHeight="1">
      <c r="B10237" s="63">
        <f t="shared" si="1"/>
        <v>15</v>
      </c>
      <c r="C10237" s="135" t="s">
        <v>535</v>
      </c>
      <c r="D10237" s="161" t="s">
        <v>74</v>
      </c>
      <c r="E10237" s="135">
        <f t="shared" si="62"/>
        <v>6</v>
      </c>
      <c r="F10237" s="134" t="s">
        <v>4713</v>
      </c>
      <c r="G10237" s="63" t="str">
        <f>VLOOKUP(C10237, 'Class Def. - General Data'!$C$20:$C$1000,1,false)</f>
        <v>ZSI1_KAIN_COVER</v>
      </c>
      <c r="H10237" s="63" t="str">
        <f>IFERROR(__xludf.DUMMYFUNCTION("VLOOKUP(F10237, IMPORTRANGE(""https://docs.google.com/spreadsheets/d/1Lhp9OU0JdFf_VYSMzH5lBcEaU4o8teT1piV-SNzShjg/edit?gid=554141278#gid=554141278"", ""'Char Def. - Attributes'!C20:C2242""), 1,false)"),"ORDER_UNIT_KAIN_COVER")</f>
        <v>ORDER_UNIT_KAIN_COVER</v>
      </c>
      <c r="I10237" s="136"/>
      <c r="R10237" s="63" t="str">
        <f t="shared" si="60"/>
        <v>ZSI1_KAIN_COVERORDER_UNIT_KAIN_COVER</v>
      </c>
    </row>
    <row r="10238" ht="15.75" customHeight="1">
      <c r="B10238" s="63">
        <f t="shared" si="1"/>
        <v>15</v>
      </c>
      <c r="C10238" s="135" t="s">
        <v>535</v>
      </c>
      <c r="D10238" s="161" t="s">
        <v>74</v>
      </c>
      <c r="E10238" s="135">
        <f t="shared" si="62"/>
        <v>7</v>
      </c>
      <c r="F10238" s="134" t="s">
        <v>4056</v>
      </c>
      <c r="G10238" s="63" t="str">
        <f>VLOOKUP(C10238, 'Class Def. - General Data'!$C$20:$C$1000,1,false)</f>
        <v>ZSI1_KAIN_COVER</v>
      </c>
      <c r="H10238" s="63" t="str">
        <f>IFERROR(__xludf.DUMMYFUNCTION("VLOOKUP(F10238, IMPORTRANGE(""https://docs.google.com/spreadsheets/d/1Lhp9OU0JdFf_VYSMzH5lBcEaU4o8teT1piV-SNzShjg/edit?gid=554141278#gid=554141278"", ""'Char Def. - Attributes'!C20:C2242""), 1,false)"),"GROSS_WEIGHT_OPT")</f>
        <v>GROSS_WEIGHT_OPT</v>
      </c>
      <c r="I10238" s="136"/>
      <c r="R10238" s="63" t="str">
        <f t="shared" si="60"/>
        <v>ZSI1_KAIN_COVERGROSS_WEIGHT_OPT</v>
      </c>
    </row>
    <row r="10239" ht="15.75" customHeight="1">
      <c r="B10239" s="63">
        <f t="shared" si="1"/>
        <v>15</v>
      </c>
      <c r="C10239" s="135" t="s">
        <v>535</v>
      </c>
      <c r="D10239" s="161" t="s">
        <v>74</v>
      </c>
      <c r="E10239" s="135">
        <f t="shared" si="62"/>
        <v>8</v>
      </c>
      <c r="F10239" s="134" t="s">
        <v>4057</v>
      </c>
      <c r="G10239" s="63" t="str">
        <f>VLOOKUP(C10239, 'Class Def. - General Data'!$C$20:$C$1000,1,false)</f>
        <v>ZSI1_KAIN_COVER</v>
      </c>
      <c r="H10239" s="63" t="str">
        <f>IFERROR(__xludf.DUMMYFUNCTION("VLOOKUP(F10239, IMPORTRANGE(""https://docs.google.com/spreadsheets/d/1Lhp9OU0JdFf_VYSMzH5lBcEaU4o8teT1piV-SNzShjg/edit?gid=554141278#gid=554141278"", ""'Char Def. - Attributes'!C20:C2242""), 1,false)"),"NET_WEIGHT_OPT")</f>
        <v>NET_WEIGHT_OPT</v>
      </c>
      <c r="I10239" s="136"/>
      <c r="R10239" s="63" t="str">
        <f t="shared" si="60"/>
        <v>ZSI1_KAIN_COVERNET_WEIGHT_OPT</v>
      </c>
    </row>
    <row r="10240" ht="15.75" customHeight="1">
      <c r="B10240" s="63">
        <f t="shared" si="1"/>
        <v>15</v>
      </c>
      <c r="C10240" s="135" t="s">
        <v>535</v>
      </c>
      <c r="D10240" s="161" t="s">
        <v>74</v>
      </c>
      <c r="E10240" s="135">
        <f t="shared" si="62"/>
        <v>9</v>
      </c>
      <c r="F10240" s="134" t="s">
        <v>4058</v>
      </c>
      <c r="G10240" s="63" t="str">
        <f>VLOOKUP(C10240, 'Class Def. - General Data'!$C$20:$C$1000,1,false)</f>
        <v>ZSI1_KAIN_COVER</v>
      </c>
      <c r="H10240" s="63" t="str">
        <f>IFERROR(__xludf.DUMMYFUNCTION("VLOOKUP(F10240, IMPORTRANGE(""https://docs.google.com/spreadsheets/d/1Lhp9OU0JdFf_VYSMzH5lBcEaU4o8teT1piV-SNzShjg/edit?gid=554141278#gid=554141278"", ""'Char Def. - Attributes'!C20:C2242""), 1,false)"),"WEIGHT_UNIT_SI")</f>
        <v>WEIGHT_UNIT_SI</v>
      </c>
      <c r="I10240" s="136"/>
      <c r="R10240" s="63" t="str">
        <f t="shared" si="60"/>
        <v>ZSI1_KAIN_COVERWEIGHT_UNIT_SI</v>
      </c>
    </row>
    <row r="10241" ht="15.75" customHeight="1">
      <c r="B10241" s="63">
        <f t="shared" si="1"/>
        <v>15</v>
      </c>
      <c r="C10241" s="135" t="s">
        <v>535</v>
      </c>
      <c r="D10241" s="161" t="s">
        <v>74</v>
      </c>
      <c r="E10241" s="135">
        <f t="shared" si="62"/>
        <v>10</v>
      </c>
      <c r="F10241" s="134" t="s">
        <v>3877</v>
      </c>
      <c r="G10241" s="63" t="str">
        <f>VLOOKUP(C10241, 'Class Def. - General Data'!$C$20:$C$1000,1,false)</f>
        <v>ZSI1_KAIN_COVER</v>
      </c>
      <c r="H10241" s="63" t="str">
        <f>IFERROR(__xludf.DUMMYFUNCTION("VLOOKUP(F10241, IMPORTRANGE(""https://docs.google.com/spreadsheets/d/1Lhp9OU0JdFf_VYSMzH5lBcEaU4o8teT1piV-SNzShjg/edit?gid=554141278#gid=554141278"", ""'Char Def. - Attributes'!C20:C2242""), 1,false)"),"VOLUME_OPT")</f>
        <v>VOLUME_OPT</v>
      </c>
      <c r="I10241" s="136"/>
      <c r="R10241" s="63" t="str">
        <f t="shared" si="60"/>
        <v>ZSI1_KAIN_COVERVOLUME_OPT</v>
      </c>
    </row>
    <row r="10242" ht="15.75" customHeight="1">
      <c r="B10242" s="63">
        <f t="shared" si="1"/>
        <v>15</v>
      </c>
      <c r="C10242" s="135" t="s">
        <v>535</v>
      </c>
      <c r="D10242" s="161" t="s">
        <v>74</v>
      </c>
      <c r="E10242" s="135">
        <f t="shared" si="62"/>
        <v>11</v>
      </c>
      <c r="F10242" s="134" t="s">
        <v>4059</v>
      </c>
      <c r="G10242" s="63" t="str">
        <f>VLOOKUP(C10242, 'Class Def. - General Data'!$C$20:$C$1000,1,false)</f>
        <v>ZSI1_KAIN_COVER</v>
      </c>
      <c r="H10242" s="63" t="str">
        <f>IFERROR(__xludf.DUMMYFUNCTION("VLOOKUP(F10242, IMPORTRANGE(""https://docs.google.com/spreadsheets/d/1Lhp9OU0JdFf_VYSMzH5lBcEaU4o8teT1piV-SNzShjg/edit?gid=554141278#gid=554141278"", ""'Char Def. - Attributes'!C20:C2242""), 1,false)"),"VOLUME_UNIT_SI")</f>
        <v>VOLUME_UNIT_SI</v>
      </c>
      <c r="I10242" s="136"/>
      <c r="R10242" s="63" t="str">
        <f t="shared" si="60"/>
        <v>ZSI1_KAIN_COVERVOLUME_UNIT_SI</v>
      </c>
    </row>
    <row r="10243" ht="15.75" customHeight="1">
      <c r="B10243" s="63">
        <f t="shared" si="1"/>
        <v>15</v>
      </c>
      <c r="C10243" s="135" t="s">
        <v>535</v>
      </c>
      <c r="D10243" s="161" t="s">
        <v>74</v>
      </c>
      <c r="E10243" s="135">
        <f t="shared" si="62"/>
        <v>12</v>
      </c>
      <c r="F10243" s="134" t="s">
        <v>3804</v>
      </c>
      <c r="G10243" s="63" t="str">
        <f>VLOOKUP(C10243, 'Class Def. - General Data'!$C$20:$C$1000,1,false)</f>
        <v>ZSI1_KAIN_COVER</v>
      </c>
      <c r="H10243" s="63" t="str">
        <f>IFERROR(__xludf.DUMMYFUNCTION("VLOOKUP(F10243, IMPORTRANGE(""https://docs.google.com/spreadsheets/d/1Lhp9OU0JdFf_VYSMzH5lBcEaU4o8teT1piV-SNzShjg/edit?gid=554141278#gid=554141278"", ""'Char Def. - Attributes'!C20:C2242""), 1,false)"),"ALT_UOM1_SIPI")</f>
        <v>ALT_UOM1_SIPI</v>
      </c>
      <c r="I10243" s="136"/>
      <c r="R10243" s="63" t="str">
        <f t="shared" si="60"/>
        <v>ZSI1_KAIN_COVERALT_UOM1_SIPI</v>
      </c>
    </row>
    <row r="10244" ht="15.75" customHeight="1">
      <c r="B10244" s="63">
        <f t="shared" si="1"/>
        <v>15</v>
      </c>
      <c r="C10244" s="135" t="s">
        <v>535</v>
      </c>
      <c r="D10244" s="161" t="s">
        <v>74</v>
      </c>
      <c r="E10244" s="135">
        <f t="shared" si="62"/>
        <v>13</v>
      </c>
      <c r="F10244" s="134" t="s">
        <v>3805</v>
      </c>
      <c r="G10244" s="63" t="str">
        <f>VLOOKUP(C10244, 'Class Def. - General Data'!$C$20:$C$1000,1,false)</f>
        <v>ZSI1_KAIN_COVER</v>
      </c>
      <c r="H10244" s="63" t="str">
        <f>IFERROR(__xludf.DUMMYFUNCTION("VLOOKUP(F10244, IMPORTRANGE(""https://docs.google.com/spreadsheets/d/1Lhp9OU0JdFf_VYSMzH5lBcEaU4o8teT1piV-SNzShjg/edit?gid=554141278#gid=554141278"", ""'Char Def. - Attributes'!C20:C2242""), 1,false)"),"ALT_DENUM_UOM1")</f>
        <v>ALT_DENUM_UOM1</v>
      </c>
      <c r="I10244" s="136"/>
      <c r="R10244" s="63" t="str">
        <f t="shared" si="60"/>
        <v>ZSI1_KAIN_COVERALT_DENUM_UOM1</v>
      </c>
    </row>
    <row r="10245" ht="15.75" customHeight="1">
      <c r="B10245" s="63">
        <f t="shared" si="1"/>
        <v>15</v>
      </c>
      <c r="C10245" s="135" t="s">
        <v>535</v>
      </c>
      <c r="D10245" s="161" t="s">
        <v>74</v>
      </c>
      <c r="E10245" s="135">
        <f t="shared" si="62"/>
        <v>14</v>
      </c>
      <c r="F10245" s="134" t="s">
        <v>3806</v>
      </c>
      <c r="G10245" s="63" t="str">
        <f>VLOOKUP(C10245, 'Class Def. - General Data'!$C$20:$C$1000,1,false)</f>
        <v>ZSI1_KAIN_COVER</v>
      </c>
      <c r="H10245" s="63" t="str">
        <f>IFERROR(__xludf.DUMMYFUNCTION("VLOOKUP(F10245, IMPORTRANGE(""https://docs.google.com/spreadsheets/d/1Lhp9OU0JdFf_VYSMzH5lBcEaU4o8teT1piV-SNzShjg/edit?gid=554141278#gid=554141278"", ""'Char Def. - Attributes'!C20:C2242""), 1,false)"),"ALT_NUM_UOM1")</f>
        <v>ALT_NUM_UOM1</v>
      </c>
      <c r="I10245" s="136"/>
      <c r="R10245" s="63" t="str">
        <f t="shared" si="60"/>
        <v>ZSI1_KAIN_COVERALT_NUM_UOM1</v>
      </c>
    </row>
    <row r="10246" ht="15.75" customHeight="1">
      <c r="B10246" s="63">
        <f t="shared" si="1"/>
        <v>15</v>
      </c>
      <c r="C10246" s="135" t="s">
        <v>535</v>
      </c>
      <c r="D10246" s="161" t="s">
        <v>74</v>
      </c>
      <c r="E10246" s="135">
        <f t="shared" si="62"/>
        <v>15</v>
      </c>
      <c r="F10246" s="134" t="s">
        <v>3807</v>
      </c>
      <c r="G10246" s="63" t="str">
        <f>VLOOKUP(C10246, 'Class Def. - General Data'!$C$20:$C$1000,1,false)</f>
        <v>ZSI1_KAIN_COVER</v>
      </c>
      <c r="H10246" s="63" t="str">
        <f>IFERROR(__xludf.DUMMYFUNCTION("VLOOKUP(F10246, IMPORTRANGE(""https://docs.google.com/spreadsheets/d/1Lhp9OU0JdFf_VYSMzH5lBcEaU4o8teT1piV-SNzShjg/edit?gid=554141278#gid=554141278"", ""'Char Def. - Attributes'!C20:C2242""), 1,false)"),"ALT_UOM2_SIPI")</f>
        <v>ALT_UOM2_SIPI</v>
      </c>
      <c r="I10246" s="136"/>
      <c r="R10246" s="63" t="str">
        <f t="shared" si="60"/>
        <v>ZSI1_KAIN_COVERALT_UOM2_SIPI</v>
      </c>
    </row>
    <row r="10247" ht="15.75" customHeight="1">
      <c r="B10247" s="63">
        <f t="shared" si="1"/>
        <v>15</v>
      </c>
      <c r="C10247" s="135" t="s">
        <v>535</v>
      </c>
      <c r="D10247" s="161" t="s">
        <v>74</v>
      </c>
      <c r="E10247" s="135">
        <f t="shared" si="62"/>
        <v>16</v>
      </c>
      <c r="F10247" s="134" t="s">
        <v>3808</v>
      </c>
      <c r="G10247" s="63" t="str">
        <f>VLOOKUP(C10247, 'Class Def. - General Data'!$C$20:$C$1000,1,false)</f>
        <v>ZSI1_KAIN_COVER</v>
      </c>
      <c r="H10247" s="63" t="str">
        <f>IFERROR(__xludf.DUMMYFUNCTION("VLOOKUP(F10247, IMPORTRANGE(""https://docs.google.com/spreadsheets/d/1Lhp9OU0JdFf_VYSMzH5lBcEaU4o8teT1piV-SNzShjg/edit?gid=554141278#gid=554141278"", ""'Char Def. - Attributes'!C20:C2242""), 1,false)"),"ALT_DENUM_UOM2")</f>
        <v>ALT_DENUM_UOM2</v>
      </c>
      <c r="I10247" s="136"/>
      <c r="R10247" s="63" t="str">
        <f t="shared" si="60"/>
        <v>ZSI1_KAIN_COVERALT_DENUM_UOM2</v>
      </c>
    </row>
    <row r="10248" ht="15.75" customHeight="1">
      <c r="B10248" s="63">
        <f t="shared" si="1"/>
        <v>15</v>
      </c>
      <c r="C10248" s="135" t="s">
        <v>535</v>
      </c>
      <c r="D10248" s="161" t="s">
        <v>74</v>
      </c>
      <c r="E10248" s="135">
        <f t="shared" si="62"/>
        <v>17</v>
      </c>
      <c r="F10248" s="134" t="s">
        <v>3809</v>
      </c>
      <c r="G10248" s="63" t="str">
        <f>VLOOKUP(C10248, 'Class Def. - General Data'!$C$20:$C$1000,1,false)</f>
        <v>ZSI1_KAIN_COVER</v>
      </c>
      <c r="H10248" s="63" t="str">
        <f>IFERROR(__xludf.DUMMYFUNCTION("VLOOKUP(F10248, IMPORTRANGE(""https://docs.google.com/spreadsheets/d/1Lhp9OU0JdFf_VYSMzH5lBcEaU4o8teT1piV-SNzShjg/edit?gid=554141278#gid=554141278"", ""'Char Def. - Attributes'!C20:C2242""), 1,false)"),"ALT_NUM_UOM2")</f>
        <v>ALT_NUM_UOM2</v>
      </c>
      <c r="I10248" s="136"/>
      <c r="R10248" s="63" t="str">
        <f t="shared" si="60"/>
        <v>ZSI1_KAIN_COVERALT_NUM_UOM2</v>
      </c>
    </row>
    <row r="10249" ht="15.75" customHeight="1">
      <c r="B10249" s="63">
        <f t="shared" si="1"/>
        <v>15</v>
      </c>
      <c r="C10249" s="135" t="s">
        <v>535</v>
      </c>
      <c r="D10249" s="161" t="s">
        <v>74</v>
      </c>
      <c r="E10249" s="135">
        <f t="shared" si="62"/>
        <v>18</v>
      </c>
      <c r="F10249" s="134" t="s">
        <v>3810</v>
      </c>
      <c r="G10249" s="63" t="str">
        <f>VLOOKUP(C10249, 'Class Def. - General Data'!$C$20:$C$1000,1,false)</f>
        <v>ZSI1_KAIN_COVER</v>
      </c>
      <c r="H10249" s="63" t="str">
        <f>IFERROR(__xludf.DUMMYFUNCTION("VLOOKUP(F10249, IMPORTRANGE(""https://docs.google.com/spreadsheets/d/1Lhp9OU0JdFf_VYSMzH5lBcEaU4o8teT1piV-SNzShjg/edit?gid=554141278#gid=554141278"", ""'Char Def. - Attributes'!C20:C2242""), 1,false)"),"ALT_UOM3_SIPI")</f>
        <v>ALT_UOM3_SIPI</v>
      </c>
      <c r="I10249" s="136"/>
      <c r="R10249" s="63" t="str">
        <f t="shared" si="60"/>
        <v>ZSI1_KAIN_COVERALT_UOM3_SIPI</v>
      </c>
    </row>
    <row r="10250" ht="15.75" customHeight="1">
      <c r="B10250" s="63">
        <f t="shared" si="1"/>
        <v>15</v>
      </c>
      <c r="C10250" s="135" t="s">
        <v>535</v>
      </c>
      <c r="D10250" s="161" t="s">
        <v>74</v>
      </c>
      <c r="E10250" s="135">
        <f t="shared" si="62"/>
        <v>19</v>
      </c>
      <c r="F10250" s="134" t="s">
        <v>3811</v>
      </c>
      <c r="G10250" s="63" t="str">
        <f>VLOOKUP(C10250, 'Class Def. - General Data'!$C$20:$C$1000,1,false)</f>
        <v>ZSI1_KAIN_COVER</v>
      </c>
      <c r="H10250" s="63" t="str">
        <f>IFERROR(__xludf.DUMMYFUNCTION("VLOOKUP(F10250, IMPORTRANGE(""https://docs.google.com/spreadsheets/d/1Lhp9OU0JdFf_VYSMzH5lBcEaU4o8teT1piV-SNzShjg/edit?gid=554141278#gid=554141278"", ""'Char Def. - Attributes'!C20:C2242""), 1,false)"),"ALT_DENUM_UOM3")</f>
        <v>ALT_DENUM_UOM3</v>
      </c>
      <c r="I10250" s="136"/>
      <c r="R10250" s="63" t="str">
        <f t="shared" si="60"/>
        <v>ZSI1_KAIN_COVERALT_DENUM_UOM3</v>
      </c>
    </row>
    <row r="10251" ht="15.75" customHeight="1">
      <c r="B10251" s="63">
        <f t="shared" si="1"/>
        <v>15</v>
      </c>
      <c r="C10251" s="135" t="s">
        <v>535</v>
      </c>
      <c r="D10251" s="161" t="s">
        <v>74</v>
      </c>
      <c r="E10251" s="135">
        <f t="shared" si="62"/>
        <v>20</v>
      </c>
      <c r="F10251" s="134" t="s">
        <v>3812</v>
      </c>
      <c r="G10251" s="63" t="str">
        <f>VLOOKUP(C10251, 'Class Def. - General Data'!$C$20:$C$1000,1,false)</f>
        <v>ZSI1_KAIN_COVER</v>
      </c>
      <c r="H10251" s="63" t="str">
        <f>IFERROR(__xludf.DUMMYFUNCTION("VLOOKUP(F10251, IMPORTRANGE(""https://docs.google.com/spreadsheets/d/1Lhp9OU0JdFf_VYSMzH5lBcEaU4o8teT1piV-SNzShjg/edit?gid=554141278#gid=554141278"", ""'Char Def. - Attributes'!C20:C2242""), 1,false)"),"ALT_NUM_UOM3")</f>
        <v>ALT_NUM_UOM3</v>
      </c>
      <c r="I10251" s="136"/>
      <c r="R10251" s="63" t="str">
        <f t="shared" si="60"/>
        <v>ZSI1_KAIN_COVERALT_NUM_UOM3</v>
      </c>
    </row>
    <row r="10252" ht="15.75" customHeight="1">
      <c r="B10252" s="63">
        <f t="shared" si="1"/>
        <v>15</v>
      </c>
      <c r="C10252" s="135" t="s">
        <v>535</v>
      </c>
      <c r="D10252" s="161" t="s">
        <v>74</v>
      </c>
      <c r="E10252" s="135">
        <f t="shared" si="62"/>
        <v>21</v>
      </c>
      <c r="F10252" s="134" t="s">
        <v>3813</v>
      </c>
      <c r="G10252" s="63" t="str">
        <f>VLOOKUP(C10252, 'Class Def. - General Data'!$C$20:$C$1000,1,false)</f>
        <v>ZSI1_KAIN_COVER</v>
      </c>
      <c r="H10252" s="63" t="str">
        <f>IFERROR(__xludf.DUMMYFUNCTION("VLOOKUP(F10252, IMPORTRANGE(""https://docs.google.com/spreadsheets/d/1Lhp9OU0JdFf_VYSMzH5lBcEaU4o8teT1piV-SNzShjg/edit?gid=554141278#gid=554141278"", ""'Char Def. - Attributes'!C20:C2242""), 1,false)"),"ALT_UOM4_SIPI")</f>
        <v>ALT_UOM4_SIPI</v>
      </c>
      <c r="I10252" s="136"/>
      <c r="R10252" s="63" t="str">
        <f t="shared" si="60"/>
        <v>ZSI1_KAIN_COVERALT_UOM4_SIPI</v>
      </c>
    </row>
    <row r="10253" ht="15.75" customHeight="1">
      <c r="B10253" s="63">
        <f t="shared" si="1"/>
        <v>15</v>
      </c>
      <c r="C10253" s="135" t="s">
        <v>535</v>
      </c>
      <c r="D10253" s="161" t="s">
        <v>74</v>
      </c>
      <c r="E10253" s="135">
        <f t="shared" si="62"/>
        <v>22</v>
      </c>
      <c r="F10253" s="134" t="s">
        <v>3814</v>
      </c>
      <c r="G10253" s="63" t="str">
        <f>VLOOKUP(C10253, 'Class Def. - General Data'!$C$20:$C$1000,1,false)</f>
        <v>ZSI1_KAIN_COVER</v>
      </c>
      <c r="H10253" s="63" t="str">
        <f>IFERROR(__xludf.DUMMYFUNCTION("VLOOKUP(F10253, IMPORTRANGE(""https://docs.google.com/spreadsheets/d/1Lhp9OU0JdFf_VYSMzH5lBcEaU4o8teT1piV-SNzShjg/edit?gid=554141278#gid=554141278"", ""'Char Def. - Attributes'!C20:C2242""), 1,false)"),"ALT_DENUM_UOM4")</f>
        <v>ALT_DENUM_UOM4</v>
      </c>
      <c r="I10253" s="136"/>
      <c r="R10253" s="63" t="str">
        <f t="shared" si="60"/>
        <v>ZSI1_KAIN_COVERALT_DENUM_UOM4</v>
      </c>
    </row>
    <row r="10254" ht="15.75" customHeight="1">
      <c r="B10254" s="63">
        <f t="shared" si="1"/>
        <v>15</v>
      </c>
      <c r="C10254" s="135" t="s">
        <v>535</v>
      </c>
      <c r="D10254" s="161" t="s">
        <v>74</v>
      </c>
      <c r="E10254" s="135">
        <f t="shared" si="62"/>
        <v>23</v>
      </c>
      <c r="F10254" s="134" t="s">
        <v>3815</v>
      </c>
      <c r="G10254" s="63" t="str">
        <f>VLOOKUP(C10254, 'Class Def. - General Data'!$C$20:$C$1000,1,false)</f>
        <v>ZSI1_KAIN_COVER</v>
      </c>
      <c r="H10254" s="63" t="str">
        <f>IFERROR(__xludf.DUMMYFUNCTION("VLOOKUP(F10254, IMPORTRANGE(""https://docs.google.com/spreadsheets/d/1Lhp9OU0JdFf_VYSMzH5lBcEaU4o8teT1piV-SNzShjg/edit?gid=554141278#gid=554141278"", ""'Char Def. - Attributes'!C20:C2242""), 1,false)"),"ALT_NUM_UOM4")</f>
        <v>ALT_NUM_UOM4</v>
      </c>
      <c r="I10254" s="136"/>
      <c r="R10254" s="63" t="str">
        <f t="shared" si="60"/>
        <v>ZSI1_KAIN_COVERALT_NUM_UOM4</v>
      </c>
    </row>
    <row r="10255" ht="15.75" customHeight="1">
      <c r="B10255" s="63">
        <f t="shared" si="1"/>
        <v>15</v>
      </c>
      <c r="C10255" s="135" t="s">
        <v>535</v>
      </c>
      <c r="D10255" s="161" t="s">
        <v>74</v>
      </c>
      <c r="E10255" s="135">
        <f t="shared" si="62"/>
        <v>24</v>
      </c>
      <c r="F10255" s="134" t="s">
        <v>3816</v>
      </c>
      <c r="G10255" s="63" t="str">
        <f>VLOOKUP(C10255, 'Class Def. - General Data'!$C$20:$C$1000,1,false)</f>
        <v>ZSI1_KAIN_COVER</v>
      </c>
      <c r="H10255" s="63" t="str">
        <f>IFERROR(__xludf.DUMMYFUNCTION("VLOOKUP(F10255, IMPORTRANGE(""https://docs.google.com/spreadsheets/d/1Lhp9OU0JdFf_VYSMzH5lBcEaU4o8teT1piV-SNzShjg/edit?gid=554141278#gid=554141278"", ""'Char Def. - Attributes'!C20:C2242""), 1,false)"),"ALT_UOM5_SIPI")</f>
        <v>ALT_UOM5_SIPI</v>
      </c>
      <c r="I10255" s="136"/>
      <c r="R10255" s="63" t="str">
        <f t="shared" si="60"/>
        <v>ZSI1_KAIN_COVERALT_UOM5_SIPI</v>
      </c>
    </row>
    <row r="10256" ht="15.75" customHeight="1">
      <c r="B10256" s="63">
        <f t="shared" si="1"/>
        <v>15</v>
      </c>
      <c r="C10256" s="135" t="s">
        <v>535</v>
      </c>
      <c r="D10256" s="161" t="s">
        <v>74</v>
      </c>
      <c r="E10256" s="135">
        <f t="shared" si="62"/>
        <v>25</v>
      </c>
      <c r="F10256" s="134" t="s">
        <v>3817</v>
      </c>
      <c r="G10256" s="63" t="str">
        <f>VLOOKUP(C10256, 'Class Def. - General Data'!$C$20:$C$1000,1,false)</f>
        <v>ZSI1_KAIN_COVER</v>
      </c>
      <c r="H10256" s="63" t="str">
        <f>IFERROR(__xludf.DUMMYFUNCTION("VLOOKUP(F10256, IMPORTRANGE(""https://docs.google.com/spreadsheets/d/1Lhp9OU0JdFf_VYSMzH5lBcEaU4o8teT1piV-SNzShjg/edit?gid=554141278#gid=554141278"", ""'Char Def. - Attributes'!C20:C2242""), 1,false)"),"ALT_DENUM_UOM5")</f>
        <v>ALT_DENUM_UOM5</v>
      </c>
      <c r="I10256" s="136"/>
      <c r="R10256" s="63" t="str">
        <f t="shared" si="60"/>
        <v>ZSI1_KAIN_COVERALT_DENUM_UOM5</v>
      </c>
    </row>
    <row r="10257" ht="15.75" customHeight="1">
      <c r="B10257" s="63">
        <f t="shared" si="1"/>
        <v>15</v>
      </c>
      <c r="C10257" s="135" t="s">
        <v>535</v>
      </c>
      <c r="D10257" s="161" t="s">
        <v>74</v>
      </c>
      <c r="E10257" s="135">
        <f t="shared" si="62"/>
        <v>26</v>
      </c>
      <c r="F10257" s="134" t="s">
        <v>3818</v>
      </c>
      <c r="G10257" s="63" t="str">
        <f>VLOOKUP(C10257, 'Class Def. - General Data'!$C$20:$C$1000,1,false)</f>
        <v>ZSI1_KAIN_COVER</v>
      </c>
      <c r="H10257" s="63" t="str">
        <f>IFERROR(__xludf.DUMMYFUNCTION("VLOOKUP(F10257, IMPORTRANGE(""https://docs.google.com/spreadsheets/d/1Lhp9OU0JdFf_VYSMzH5lBcEaU4o8teT1piV-SNzShjg/edit?gid=554141278#gid=554141278"", ""'Char Def. - Attributes'!C20:C2242""), 1,false)"),"ALT_NUM_UOM5")</f>
        <v>ALT_NUM_UOM5</v>
      </c>
      <c r="I10257" s="136"/>
      <c r="R10257" s="63" t="str">
        <f t="shared" si="60"/>
        <v>ZSI1_KAIN_COVERALT_NUM_UOM5</v>
      </c>
    </row>
    <row r="10258" ht="15.75" customHeight="1">
      <c r="B10258" s="63">
        <f t="shared" si="1"/>
        <v>11</v>
      </c>
      <c r="C10258" s="135" t="s">
        <v>509</v>
      </c>
      <c r="D10258" s="161" t="s">
        <v>74</v>
      </c>
      <c r="E10258" s="135">
        <f t="shared" si="62"/>
        <v>1</v>
      </c>
      <c r="F10258" s="134" t="s">
        <v>4714</v>
      </c>
      <c r="G10258" s="63" t="str">
        <f>VLOOKUP(C10258, 'Class Def. - General Data'!$C$20:$C$1000,1,false)</f>
        <v>ZSI1_KARPET</v>
      </c>
      <c r="H10258" s="63" t="str">
        <f>IFERROR(__xludf.DUMMYFUNCTION("VLOOKUP(F10258, IMPORTRANGE(""https://docs.google.com/spreadsheets/d/1Lhp9OU0JdFf_VYSMzH5lBcEaU4o8teT1piV-SNzShjg/edit?gid=554141278#gid=554141278"", ""'Char Def. - Attributes'!C20:C2242""), 1,false)"),"ITEM_NAME_KARPET")</f>
        <v>ITEM_NAME_KARPET</v>
      </c>
      <c r="I10258" s="136"/>
      <c r="R10258" s="63" t="str">
        <f t="shared" si="60"/>
        <v>ZSI1_KARPETITEM_NAME_KARPET</v>
      </c>
    </row>
    <row r="10259" ht="15.75" customHeight="1">
      <c r="B10259" s="63">
        <f t="shared" si="1"/>
        <v>11</v>
      </c>
      <c r="C10259" s="135" t="s">
        <v>509</v>
      </c>
      <c r="D10259" s="161" t="s">
        <v>74</v>
      </c>
      <c r="E10259" s="135">
        <f t="shared" si="62"/>
        <v>2</v>
      </c>
      <c r="F10259" s="134" t="s">
        <v>4715</v>
      </c>
      <c r="G10259" s="63" t="str">
        <f>VLOOKUP(C10259, 'Class Def. - General Data'!$C$20:$C$1000,1,false)</f>
        <v>ZSI1_KARPET</v>
      </c>
      <c r="H10259" s="63" t="str">
        <f>IFERROR(__xludf.DUMMYFUNCTION("VLOOKUP(F10259, IMPORTRANGE(""https://docs.google.com/spreadsheets/d/1Lhp9OU0JdFf_VYSMzH5lBcEaU4o8teT1piV-SNzShjg/edit?gid=554141278#gid=554141278"", ""'Char Def. - Attributes'!C20:C2242""), 1,false)"),"DESIGN_NAME_KARPET")</f>
        <v>DESIGN_NAME_KARPET</v>
      </c>
      <c r="I10259" s="136"/>
      <c r="R10259" s="63" t="str">
        <f t="shared" si="60"/>
        <v>ZSI1_KARPETDESIGN_NAME_KARPET</v>
      </c>
    </row>
    <row r="10260" ht="15.75" customHeight="1">
      <c r="B10260" s="63">
        <f t="shared" si="1"/>
        <v>11</v>
      </c>
      <c r="C10260" s="135" t="s">
        <v>509</v>
      </c>
      <c r="D10260" s="161" t="s">
        <v>74</v>
      </c>
      <c r="E10260" s="135">
        <f t="shared" si="62"/>
        <v>3</v>
      </c>
      <c r="F10260" s="134" t="s">
        <v>4716</v>
      </c>
      <c r="G10260" s="63" t="str">
        <f>VLOOKUP(C10260, 'Class Def. - General Data'!$C$20:$C$1000,1,false)</f>
        <v>ZSI1_KARPET</v>
      </c>
      <c r="H10260" s="63" t="str">
        <f>IFERROR(__xludf.DUMMYFUNCTION("VLOOKUP(F10260, IMPORTRANGE(""https://docs.google.com/spreadsheets/d/1Lhp9OU0JdFf_VYSMzH5lBcEaU4o8teT1piV-SNzShjg/edit?gid=554141278#gid=554141278"", ""'Char Def. - Attributes'!C20:C2242""), 1,false)"),"DIMENSION_KARPET")</f>
        <v>DIMENSION_KARPET</v>
      </c>
      <c r="I10260" s="136"/>
      <c r="R10260" s="63" t="str">
        <f t="shared" si="60"/>
        <v>ZSI1_KARPETDIMENSION_KARPET</v>
      </c>
    </row>
    <row r="10261" ht="15.75" customHeight="1">
      <c r="B10261" s="63">
        <f t="shared" si="1"/>
        <v>11</v>
      </c>
      <c r="C10261" s="135" t="s">
        <v>509</v>
      </c>
      <c r="D10261" s="161" t="s">
        <v>74</v>
      </c>
      <c r="E10261" s="135">
        <f t="shared" si="62"/>
        <v>4</v>
      </c>
      <c r="F10261" s="134" t="s">
        <v>4717</v>
      </c>
      <c r="G10261" s="63" t="str">
        <f>VLOOKUP(C10261, 'Class Def. - General Data'!$C$20:$C$1000,1,false)</f>
        <v>ZSI1_KARPET</v>
      </c>
      <c r="H10261" s="63" t="str">
        <f>IFERROR(__xludf.DUMMYFUNCTION("VLOOKUP(F10261, IMPORTRANGE(""https://docs.google.com/spreadsheets/d/1Lhp9OU0JdFf_VYSMzH5lBcEaU4o8teT1piV-SNzShjg/edit?gid=554141278#gid=554141278"", ""'Char Def. - Attributes'!C20:C2242""), 1,false)"),"LENGTH_KARPET")</f>
        <v>LENGTH_KARPET</v>
      </c>
      <c r="I10261" s="136"/>
      <c r="R10261" s="63" t="str">
        <f t="shared" si="60"/>
        <v>ZSI1_KARPETLENGTH_KARPET</v>
      </c>
    </row>
    <row r="10262" ht="15.75" customHeight="1">
      <c r="B10262" s="63">
        <f t="shared" si="1"/>
        <v>11</v>
      </c>
      <c r="C10262" s="135" t="s">
        <v>509</v>
      </c>
      <c r="D10262" s="161" t="s">
        <v>74</v>
      </c>
      <c r="E10262" s="135">
        <f t="shared" si="62"/>
        <v>5</v>
      </c>
      <c r="F10262" s="134" t="s">
        <v>4718</v>
      </c>
      <c r="G10262" s="63" t="str">
        <f>VLOOKUP(C10262, 'Class Def. - General Data'!$C$20:$C$1000,1,false)</f>
        <v>ZSI1_KARPET</v>
      </c>
      <c r="H10262" s="63" t="str">
        <f>IFERROR(__xludf.DUMMYFUNCTION("VLOOKUP(F10262, IMPORTRANGE(""https://docs.google.com/spreadsheets/d/1Lhp9OU0JdFf_VYSMzH5lBcEaU4o8teT1piV-SNzShjg/edit?gid=554141278#gid=554141278"", ""'Char Def. - Attributes'!C20:C2242""), 1,false)"),"WIDTH_KARPET")</f>
        <v>WIDTH_KARPET</v>
      </c>
      <c r="I10262" s="136"/>
      <c r="R10262" s="63" t="str">
        <f t="shared" si="60"/>
        <v>ZSI1_KARPETWIDTH_KARPET</v>
      </c>
    </row>
    <row r="10263" ht="15.75" customHeight="1">
      <c r="B10263" s="63">
        <f t="shared" si="1"/>
        <v>11</v>
      </c>
      <c r="C10263" s="135" t="s">
        <v>509</v>
      </c>
      <c r="D10263" s="161" t="s">
        <v>74</v>
      </c>
      <c r="E10263" s="135">
        <f t="shared" si="62"/>
        <v>6</v>
      </c>
      <c r="F10263" s="134" t="s">
        <v>3585</v>
      </c>
      <c r="G10263" s="63" t="str">
        <f>VLOOKUP(C10263, 'Class Def. - General Data'!$C$20:$C$1000,1,false)</f>
        <v>ZSI1_KARPET</v>
      </c>
      <c r="H10263" s="63" t="str">
        <f>IFERROR(__xludf.DUMMYFUNCTION("VLOOKUP(F10263, IMPORTRANGE(""https://docs.google.com/spreadsheets/d/1Lhp9OU0JdFf_VYSMzH5lBcEaU4o8teT1piV-SNzShjg/edit?gid=554141278#gid=554141278"", ""'Char Def. - Attributes'!C20:C2242""), 1,false)"),"HS_CODE")</f>
        <v>HS_CODE</v>
      </c>
      <c r="I10263" s="136"/>
      <c r="R10263" s="63" t="str">
        <f t="shared" si="60"/>
        <v>ZSI1_KARPETHS_CODE</v>
      </c>
    </row>
    <row r="10264" ht="15.75" customHeight="1">
      <c r="B10264" s="63">
        <f t="shared" si="1"/>
        <v>11</v>
      </c>
      <c r="C10264" s="135" t="s">
        <v>509</v>
      </c>
      <c r="D10264" s="161" t="s">
        <v>74</v>
      </c>
      <c r="E10264" s="135">
        <f t="shared" si="62"/>
        <v>7</v>
      </c>
      <c r="F10264" s="134" t="s">
        <v>3587</v>
      </c>
      <c r="G10264" s="63" t="str">
        <f>VLOOKUP(C10264, 'Class Def. - General Data'!$C$20:$C$1000,1,false)</f>
        <v>ZSI1_KARPET</v>
      </c>
      <c r="H10264" s="63" t="str">
        <f>IFERROR(__xludf.DUMMYFUNCTION("VLOOKUP(F10264, IMPORTRANGE(""https://docs.google.com/spreadsheets/d/1Lhp9OU0JdFf_VYSMzH5lBcEaU4o8teT1piV-SNzShjg/edit?gid=554141278#gid=554141278"", ""'Char Def. - Attributes'!C20:C2242""), 1,false)"),"PLANT_BUY")</f>
        <v>PLANT_BUY</v>
      </c>
      <c r="I10264" s="136"/>
      <c r="R10264" s="63" t="str">
        <f t="shared" si="60"/>
        <v>ZSI1_KARPETPLANT_BUY</v>
      </c>
    </row>
    <row r="10265" ht="15.75" customHeight="1">
      <c r="B10265" s="63">
        <f t="shared" si="1"/>
        <v>11</v>
      </c>
      <c r="C10265" s="135" t="s">
        <v>509</v>
      </c>
      <c r="D10265" s="161" t="s">
        <v>74</v>
      </c>
      <c r="E10265" s="135">
        <f t="shared" si="62"/>
        <v>8</v>
      </c>
      <c r="F10265" s="134" t="s">
        <v>4719</v>
      </c>
      <c r="G10265" s="63" t="str">
        <f>VLOOKUP(C10265, 'Class Def. - General Data'!$C$20:$C$1000,1,false)</f>
        <v>ZSI1_KARPET</v>
      </c>
      <c r="H10265" s="63" t="str">
        <f>IFERROR(__xludf.DUMMYFUNCTION("VLOOKUP(F10265, IMPORTRANGE(""https://docs.google.com/spreadsheets/d/1Lhp9OU0JdFf_VYSMzH5lBcEaU4o8teT1piV-SNzShjg/edit?gid=554141278#gid=554141278"", ""'Char Def. - Attributes'!C20:C2242""), 1,false)"),"BASE_UOM_KARPET")</f>
        <v>BASE_UOM_KARPET</v>
      </c>
      <c r="I10265" s="136"/>
      <c r="R10265" s="63" t="str">
        <f t="shared" si="60"/>
        <v>ZSI1_KARPETBASE_UOM_KARPET</v>
      </c>
    </row>
    <row r="10266" ht="15.75" customHeight="1">
      <c r="B10266" s="63">
        <f t="shared" si="1"/>
        <v>11</v>
      </c>
      <c r="C10266" s="135" t="s">
        <v>509</v>
      </c>
      <c r="D10266" s="161" t="s">
        <v>74</v>
      </c>
      <c r="E10266" s="135">
        <f t="shared" si="62"/>
        <v>9</v>
      </c>
      <c r="F10266" s="134" t="s">
        <v>4720</v>
      </c>
      <c r="G10266" s="63" t="str">
        <f>VLOOKUP(C10266, 'Class Def. - General Data'!$C$20:$C$1000,1,false)</f>
        <v>ZSI1_KARPET</v>
      </c>
      <c r="H10266" s="63" t="str">
        <f>IFERROR(__xludf.DUMMYFUNCTION("VLOOKUP(F10266, IMPORTRANGE(""https://docs.google.com/spreadsheets/d/1Lhp9OU0JdFf_VYSMzH5lBcEaU4o8teT1piV-SNzShjg/edit?gid=554141278#gid=554141278"", ""'Char Def. - Attributes'!C20:C2242""), 1,false)"),"ORDER_UNIT_KARPET")</f>
        <v>ORDER_UNIT_KARPET</v>
      </c>
      <c r="I10266" s="136"/>
      <c r="R10266" s="63" t="str">
        <f t="shared" si="60"/>
        <v>ZSI1_KARPETORDER_UNIT_KARPET</v>
      </c>
    </row>
    <row r="10267" ht="15.75" customHeight="1">
      <c r="B10267" s="63">
        <f t="shared" si="1"/>
        <v>11</v>
      </c>
      <c r="C10267" s="135" t="s">
        <v>509</v>
      </c>
      <c r="D10267" s="161" t="s">
        <v>74</v>
      </c>
      <c r="E10267" s="135">
        <f t="shared" si="62"/>
        <v>10</v>
      </c>
      <c r="F10267" s="134" t="s">
        <v>4056</v>
      </c>
      <c r="G10267" s="63" t="str">
        <f>VLOOKUP(C10267, 'Class Def. - General Data'!$C$20:$C$1000,1,false)</f>
        <v>ZSI1_KARPET</v>
      </c>
      <c r="H10267" s="63" t="str">
        <f>IFERROR(__xludf.DUMMYFUNCTION("VLOOKUP(F10267, IMPORTRANGE(""https://docs.google.com/spreadsheets/d/1Lhp9OU0JdFf_VYSMzH5lBcEaU4o8teT1piV-SNzShjg/edit?gid=554141278#gid=554141278"", ""'Char Def. - Attributes'!C20:C2242""), 1,false)"),"GROSS_WEIGHT_OPT")</f>
        <v>GROSS_WEIGHT_OPT</v>
      </c>
      <c r="I10267" s="136"/>
      <c r="R10267" s="63" t="str">
        <f t="shared" si="60"/>
        <v>ZSI1_KARPETGROSS_WEIGHT_OPT</v>
      </c>
    </row>
    <row r="10268" ht="15.75" customHeight="1">
      <c r="B10268" s="63">
        <f t="shared" si="1"/>
        <v>11</v>
      </c>
      <c r="C10268" s="135" t="s">
        <v>509</v>
      </c>
      <c r="D10268" s="161" t="s">
        <v>74</v>
      </c>
      <c r="E10268" s="135">
        <f t="shared" si="62"/>
        <v>11</v>
      </c>
      <c r="F10268" s="134" t="s">
        <v>4057</v>
      </c>
      <c r="G10268" s="63" t="str">
        <f>VLOOKUP(C10268, 'Class Def. - General Data'!$C$20:$C$1000,1,false)</f>
        <v>ZSI1_KARPET</v>
      </c>
      <c r="H10268" s="63" t="str">
        <f>IFERROR(__xludf.DUMMYFUNCTION("VLOOKUP(F10268, IMPORTRANGE(""https://docs.google.com/spreadsheets/d/1Lhp9OU0JdFf_VYSMzH5lBcEaU4o8teT1piV-SNzShjg/edit?gid=554141278#gid=554141278"", ""'Char Def. - Attributes'!C20:C2242""), 1,false)"),"NET_WEIGHT_OPT")</f>
        <v>NET_WEIGHT_OPT</v>
      </c>
      <c r="I10268" s="136"/>
      <c r="R10268" s="63" t="str">
        <f t="shared" si="60"/>
        <v>ZSI1_KARPETNET_WEIGHT_OPT</v>
      </c>
    </row>
    <row r="10269" ht="15.75" customHeight="1">
      <c r="B10269" s="63">
        <f t="shared" si="1"/>
        <v>11</v>
      </c>
      <c r="C10269" s="135" t="s">
        <v>509</v>
      </c>
      <c r="D10269" s="161" t="s">
        <v>74</v>
      </c>
      <c r="E10269" s="135">
        <f t="shared" si="62"/>
        <v>12</v>
      </c>
      <c r="F10269" s="134" t="s">
        <v>4058</v>
      </c>
      <c r="G10269" s="63" t="str">
        <f>VLOOKUP(C10269, 'Class Def. - General Data'!$C$20:$C$1000,1,false)</f>
        <v>ZSI1_KARPET</v>
      </c>
      <c r="H10269" s="63" t="str">
        <f>IFERROR(__xludf.DUMMYFUNCTION("VLOOKUP(F10269, IMPORTRANGE(""https://docs.google.com/spreadsheets/d/1Lhp9OU0JdFf_VYSMzH5lBcEaU4o8teT1piV-SNzShjg/edit?gid=554141278#gid=554141278"", ""'Char Def. - Attributes'!C20:C2242""), 1,false)"),"WEIGHT_UNIT_SI")</f>
        <v>WEIGHT_UNIT_SI</v>
      </c>
      <c r="I10269" s="136"/>
      <c r="R10269" s="63" t="str">
        <f t="shared" si="60"/>
        <v>ZSI1_KARPETWEIGHT_UNIT_SI</v>
      </c>
    </row>
    <row r="10270" ht="15.75" customHeight="1">
      <c r="B10270" s="63">
        <f t="shared" si="1"/>
        <v>11</v>
      </c>
      <c r="C10270" s="135" t="s">
        <v>509</v>
      </c>
      <c r="D10270" s="161" t="s">
        <v>74</v>
      </c>
      <c r="E10270" s="135">
        <f t="shared" si="62"/>
        <v>13</v>
      </c>
      <c r="F10270" s="134" t="s">
        <v>3877</v>
      </c>
      <c r="G10270" s="63" t="str">
        <f>VLOOKUP(C10270, 'Class Def. - General Data'!$C$20:$C$1000,1,false)</f>
        <v>ZSI1_KARPET</v>
      </c>
      <c r="H10270" s="63" t="str">
        <f>IFERROR(__xludf.DUMMYFUNCTION("VLOOKUP(F10270, IMPORTRANGE(""https://docs.google.com/spreadsheets/d/1Lhp9OU0JdFf_VYSMzH5lBcEaU4o8teT1piV-SNzShjg/edit?gid=554141278#gid=554141278"", ""'Char Def. - Attributes'!C20:C2242""), 1,false)"),"VOLUME_OPT")</f>
        <v>VOLUME_OPT</v>
      </c>
      <c r="I10270" s="136"/>
      <c r="R10270" s="63" t="str">
        <f t="shared" si="60"/>
        <v>ZSI1_KARPETVOLUME_OPT</v>
      </c>
    </row>
    <row r="10271" ht="15.75" customHeight="1">
      <c r="B10271" s="63">
        <f t="shared" si="1"/>
        <v>11</v>
      </c>
      <c r="C10271" s="135" t="s">
        <v>509</v>
      </c>
      <c r="D10271" s="161" t="s">
        <v>74</v>
      </c>
      <c r="E10271" s="135">
        <f t="shared" si="62"/>
        <v>14</v>
      </c>
      <c r="F10271" s="134" t="s">
        <v>4059</v>
      </c>
      <c r="G10271" s="63" t="str">
        <f>VLOOKUP(C10271, 'Class Def. - General Data'!$C$20:$C$1000,1,false)</f>
        <v>ZSI1_KARPET</v>
      </c>
      <c r="H10271" s="63" t="str">
        <f>IFERROR(__xludf.DUMMYFUNCTION("VLOOKUP(F10271, IMPORTRANGE(""https://docs.google.com/spreadsheets/d/1Lhp9OU0JdFf_VYSMzH5lBcEaU4o8teT1piV-SNzShjg/edit?gid=554141278#gid=554141278"", ""'Char Def. - Attributes'!C20:C2242""), 1,false)"),"VOLUME_UNIT_SI")</f>
        <v>VOLUME_UNIT_SI</v>
      </c>
      <c r="I10271" s="136"/>
      <c r="R10271" s="63" t="str">
        <f t="shared" si="60"/>
        <v>ZSI1_KARPETVOLUME_UNIT_SI</v>
      </c>
    </row>
    <row r="10272" ht="15.75" customHeight="1">
      <c r="B10272" s="63">
        <f t="shared" si="1"/>
        <v>11</v>
      </c>
      <c r="C10272" s="135" t="s">
        <v>509</v>
      </c>
      <c r="D10272" s="161" t="s">
        <v>74</v>
      </c>
      <c r="E10272" s="135">
        <f t="shared" si="62"/>
        <v>15</v>
      </c>
      <c r="F10272" s="134" t="s">
        <v>3804</v>
      </c>
      <c r="G10272" s="63" t="str">
        <f>VLOOKUP(C10272, 'Class Def. - General Data'!$C$20:$C$1000,1,false)</f>
        <v>ZSI1_KARPET</v>
      </c>
      <c r="H10272" s="63" t="str">
        <f>IFERROR(__xludf.DUMMYFUNCTION("VLOOKUP(F10272, IMPORTRANGE(""https://docs.google.com/spreadsheets/d/1Lhp9OU0JdFf_VYSMzH5lBcEaU4o8teT1piV-SNzShjg/edit?gid=554141278#gid=554141278"", ""'Char Def. - Attributes'!C20:C2242""), 1,false)"),"ALT_UOM1_SIPI")</f>
        <v>ALT_UOM1_SIPI</v>
      </c>
      <c r="I10272" s="136"/>
      <c r="R10272" s="63" t="str">
        <f t="shared" si="60"/>
        <v>ZSI1_KARPETALT_UOM1_SIPI</v>
      </c>
    </row>
    <row r="10273" ht="15.75" customHeight="1">
      <c r="B10273" s="63">
        <f t="shared" si="1"/>
        <v>11</v>
      </c>
      <c r="C10273" s="135" t="s">
        <v>509</v>
      </c>
      <c r="D10273" s="161" t="s">
        <v>74</v>
      </c>
      <c r="E10273" s="135">
        <f t="shared" si="62"/>
        <v>16</v>
      </c>
      <c r="F10273" s="134" t="s">
        <v>3805</v>
      </c>
      <c r="G10273" s="63" t="str">
        <f>VLOOKUP(C10273, 'Class Def. - General Data'!$C$20:$C$1000,1,false)</f>
        <v>ZSI1_KARPET</v>
      </c>
      <c r="H10273" s="63" t="str">
        <f>IFERROR(__xludf.DUMMYFUNCTION("VLOOKUP(F10273, IMPORTRANGE(""https://docs.google.com/spreadsheets/d/1Lhp9OU0JdFf_VYSMzH5lBcEaU4o8teT1piV-SNzShjg/edit?gid=554141278#gid=554141278"", ""'Char Def. - Attributes'!C20:C2242""), 1,false)"),"ALT_DENUM_UOM1")</f>
        <v>ALT_DENUM_UOM1</v>
      </c>
      <c r="I10273" s="136"/>
      <c r="R10273" s="63" t="str">
        <f t="shared" si="60"/>
        <v>ZSI1_KARPETALT_DENUM_UOM1</v>
      </c>
    </row>
    <row r="10274" ht="15.75" customHeight="1">
      <c r="B10274" s="63">
        <f t="shared" si="1"/>
        <v>11</v>
      </c>
      <c r="C10274" s="135" t="s">
        <v>509</v>
      </c>
      <c r="D10274" s="161" t="s">
        <v>74</v>
      </c>
      <c r="E10274" s="135">
        <f t="shared" si="62"/>
        <v>17</v>
      </c>
      <c r="F10274" s="134" t="s">
        <v>3806</v>
      </c>
      <c r="G10274" s="63" t="str">
        <f>VLOOKUP(C10274, 'Class Def. - General Data'!$C$20:$C$1000,1,false)</f>
        <v>ZSI1_KARPET</v>
      </c>
      <c r="H10274" s="63" t="str">
        <f>IFERROR(__xludf.DUMMYFUNCTION("VLOOKUP(F10274, IMPORTRANGE(""https://docs.google.com/spreadsheets/d/1Lhp9OU0JdFf_VYSMzH5lBcEaU4o8teT1piV-SNzShjg/edit?gid=554141278#gid=554141278"", ""'Char Def. - Attributes'!C20:C2242""), 1,false)"),"ALT_NUM_UOM1")</f>
        <v>ALT_NUM_UOM1</v>
      </c>
      <c r="I10274" s="136"/>
      <c r="R10274" s="63" t="str">
        <f t="shared" si="60"/>
        <v>ZSI1_KARPETALT_NUM_UOM1</v>
      </c>
    </row>
    <row r="10275" ht="15.75" customHeight="1">
      <c r="B10275" s="63">
        <f t="shared" si="1"/>
        <v>11</v>
      </c>
      <c r="C10275" s="135" t="s">
        <v>509</v>
      </c>
      <c r="D10275" s="161" t="s">
        <v>74</v>
      </c>
      <c r="E10275" s="135">
        <f t="shared" si="62"/>
        <v>18</v>
      </c>
      <c r="F10275" s="134" t="s">
        <v>3807</v>
      </c>
      <c r="G10275" s="63" t="str">
        <f>VLOOKUP(C10275, 'Class Def. - General Data'!$C$20:$C$1000,1,false)</f>
        <v>ZSI1_KARPET</v>
      </c>
      <c r="H10275" s="63" t="str">
        <f>IFERROR(__xludf.DUMMYFUNCTION("VLOOKUP(F10275, IMPORTRANGE(""https://docs.google.com/spreadsheets/d/1Lhp9OU0JdFf_VYSMzH5lBcEaU4o8teT1piV-SNzShjg/edit?gid=554141278#gid=554141278"", ""'Char Def. - Attributes'!C20:C2242""), 1,false)"),"ALT_UOM2_SIPI")</f>
        <v>ALT_UOM2_SIPI</v>
      </c>
      <c r="I10275" s="136"/>
      <c r="R10275" s="63" t="str">
        <f t="shared" si="60"/>
        <v>ZSI1_KARPETALT_UOM2_SIPI</v>
      </c>
    </row>
    <row r="10276" ht="15.75" customHeight="1">
      <c r="B10276" s="63">
        <f t="shared" si="1"/>
        <v>11</v>
      </c>
      <c r="C10276" s="135" t="s">
        <v>509</v>
      </c>
      <c r="D10276" s="161" t="s">
        <v>74</v>
      </c>
      <c r="E10276" s="135">
        <f t="shared" si="62"/>
        <v>19</v>
      </c>
      <c r="F10276" s="134" t="s">
        <v>3808</v>
      </c>
      <c r="G10276" s="63" t="str">
        <f>VLOOKUP(C10276, 'Class Def. - General Data'!$C$20:$C$1000,1,false)</f>
        <v>ZSI1_KARPET</v>
      </c>
      <c r="H10276" s="63" t="str">
        <f>IFERROR(__xludf.DUMMYFUNCTION("VLOOKUP(F10276, IMPORTRANGE(""https://docs.google.com/spreadsheets/d/1Lhp9OU0JdFf_VYSMzH5lBcEaU4o8teT1piV-SNzShjg/edit?gid=554141278#gid=554141278"", ""'Char Def. - Attributes'!C20:C2242""), 1,false)"),"ALT_DENUM_UOM2")</f>
        <v>ALT_DENUM_UOM2</v>
      </c>
      <c r="I10276" s="136"/>
      <c r="R10276" s="63" t="str">
        <f t="shared" si="60"/>
        <v>ZSI1_KARPETALT_DENUM_UOM2</v>
      </c>
    </row>
    <row r="10277" ht="15.75" customHeight="1">
      <c r="B10277" s="63">
        <f t="shared" si="1"/>
        <v>11</v>
      </c>
      <c r="C10277" s="135" t="s">
        <v>509</v>
      </c>
      <c r="D10277" s="161" t="s">
        <v>74</v>
      </c>
      <c r="E10277" s="135">
        <f t="shared" si="62"/>
        <v>20</v>
      </c>
      <c r="F10277" s="134" t="s">
        <v>3809</v>
      </c>
      <c r="G10277" s="63" t="str">
        <f>VLOOKUP(C10277, 'Class Def. - General Data'!$C$20:$C$1000,1,false)</f>
        <v>ZSI1_KARPET</v>
      </c>
      <c r="H10277" s="63" t="str">
        <f>IFERROR(__xludf.DUMMYFUNCTION("VLOOKUP(F10277, IMPORTRANGE(""https://docs.google.com/spreadsheets/d/1Lhp9OU0JdFf_VYSMzH5lBcEaU4o8teT1piV-SNzShjg/edit?gid=554141278#gid=554141278"", ""'Char Def. - Attributes'!C20:C2242""), 1,false)"),"ALT_NUM_UOM2")</f>
        <v>ALT_NUM_UOM2</v>
      </c>
      <c r="I10277" s="136"/>
      <c r="R10277" s="63" t="str">
        <f t="shared" si="60"/>
        <v>ZSI1_KARPETALT_NUM_UOM2</v>
      </c>
    </row>
    <row r="10278" ht="15.75" customHeight="1">
      <c r="B10278" s="63">
        <f t="shared" si="1"/>
        <v>11</v>
      </c>
      <c r="C10278" s="135" t="s">
        <v>509</v>
      </c>
      <c r="D10278" s="161" t="s">
        <v>74</v>
      </c>
      <c r="E10278" s="135">
        <f t="shared" si="62"/>
        <v>21</v>
      </c>
      <c r="F10278" s="134" t="s">
        <v>3810</v>
      </c>
      <c r="G10278" s="63" t="str">
        <f>VLOOKUP(C10278, 'Class Def. - General Data'!$C$20:$C$1000,1,false)</f>
        <v>ZSI1_KARPET</v>
      </c>
      <c r="H10278" s="63" t="str">
        <f>IFERROR(__xludf.DUMMYFUNCTION("VLOOKUP(F10278, IMPORTRANGE(""https://docs.google.com/spreadsheets/d/1Lhp9OU0JdFf_VYSMzH5lBcEaU4o8teT1piV-SNzShjg/edit?gid=554141278#gid=554141278"", ""'Char Def. - Attributes'!C20:C2242""), 1,false)"),"ALT_UOM3_SIPI")</f>
        <v>ALT_UOM3_SIPI</v>
      </c>
      <c r="I10278" s="136"/>
      <c r="R10278" s="63" t="str">
        <f t="shared" si="60"/>
        <v>ZSI1_KARPETALT_UOM3_SIPI</v>
      </c>
    </row>
    <row r="10279" ht="15.75" customHeight="1">
      <c r="B10279" s="63">
        <f t="shared" si="1"/>
        <v>11</v>
      </c>
      <c r="C10279" s="135" t="s">
        <v>509</v>
      </c>
      <c r="D10279" s="161" t="s">
        <v>74</v>
      </c>
      <c r="E10279" s="135">
        <f t="shared" si="62"/>
        <v>22</v>
      </c>
      <c r="F10279" s="134" t="s">
        <v>3811</v>
      </c>
      <c r="G10279" s="63" t="str">
        <f>VLOOKUP(C10279, 'Class Def. - General Data'!$C$20:$C$1000,1,false)</f>
        <v>ZSI1_KARPET</v>
      </c>
      <c r="H10279" s="63" t="str">
        <f>IFERROR(__xludf.DUMMYFUNCTION("VLOOKUP(F10279, IMPORTRANGE(""https://docs.google.com/spreadsheets/d/1Lhp9OU0JdFf_VYSMzH5lBcEaU4o8teT1piV-SNzShjg/edit?gid=554141278#gid=554141278"", ""'Char Def. - Attributes'!C20:C2242""), 1,false)"),"ALT_DENUM_UOM3")</f>
        <v>ALT_DENUM_UOM3</v>
      </c>
      <c r="I10279" s="136"/>
      <c r="R10279" s="63" t="str">
        <f t="shared" si="60"/>
        <v>ZSI1_KARPETALT_DENUM_UOM3</v>
      </c>
    </row>
    <row r="10280" ht="15.75" customHeight="1">
      <c r="B10280" s="63">
        <f t="shared" si="1"/>
        <v>11</v>
      </c>
      <c r="C10280" s="135" t="s">
        <v>509</v>
      </c>
      <c r="D10280" s="161" t="s">
        <v>74</v>
      </c>
      <c r="E10280" s="135">
        <f t="shared" si="62"/>
        <v>23</v>
      </c>
      <c r="F10280" s="134" t="s">
        <v>3812</v>
      </c>
      <c r="G10280" s="63" t="str">
        <f>VLOOKUP(C10280, 'Class Def. - General Data'!$C$20:$C$1000,1,false)</f>
        <v>ZSI1_KARPET</v>
      </c>
      <c r="H10280" s="63" t="str">
        <f>IFERROR(__xludf.DUMMYFUNCTION("VLOOKUP(F10280, IMPORTRANGE(""https://docs.google.com/spreadsheets/d/1Lhp9OU0JdFf_VYSMzH5lBcEaU4o8teT1piV-SNzShjg/edit?gid=554141278#gid=554141278"", ""'Char Def. - Attributes'!C20:C2242""), 1,false)"),"ALT_NUM_UOM3")</f>
        <v>ALT_NUM_UOM3</v>
      </c>
      <c r="I10280" s="136"/>
      <c r="R10280" s="63" t="str">
        <f t="shared" si="60"/>
        <v>ZSI1_KARPETALT_NUM_UOM3</v>
      </c>
    </row>
    <row r="10281" ht="15.75" customHeight="1">
      <c r="B10281" s="63">
        <f t="shared" si="1"/>
        <v>11</v>
      </c>
      <c r="C10281" s="135" t="s">
        <v>509</v>
      </c>
      <c r="D10281" s="161" t="s">
        <v>74</v>
      </c>
      <c r="E10281" s="135">
        <f t="shared" si="62"/>
        <v>24</v>
      </c>
      <c r="F10281" s="134" t="s">
        <v>3813</v>
      </c>
      <c r="G10281" s="63" t="str">
        <f>VLOOKUP(C10281, 'Class Def. - General Data'!$C$20:$C$1000,1,false)</f>
        <v>ZSI1_KARPET</v>
      </c>
      <c r="H10281" s="63" t="str">
        <f>IFERROR(__xludf.DUMMYFUNCTION("VLOOKUP(F10281, IMPORTRANGE(""https://docs.google.com/spreadsheets/d/1Lhp9OU0JdFf_VYSMzH5lBcEaU4o8teT1piV-SNzShjg/edit?gid=554141278#gid=554141278"", ""'Char Def. - Attributes'!C20:C2242""), 1,false)"),"ALT_UOM4_SIPI")</f>
        <v>ALT_UOM4_SIPI</v>
      </c>
      <c r="I10281" s="136"/>
      <c r="R10281" s="63" t="str">
        <f t="shared" si="60"/>
        <v>ZSI1_KARPETALT_UOM4_SIPI</v>
      </c>
    </row>
    <row r="10282" ht="15.75" customHeight="1">
      <c r="B10282" s="63">
        <f t="shared" si="1"/>
        <v>11</v>
      </c>
      <c r="C10282" s="135" t="s">
        <v>509</v>
      </c>
      <c r="D10282" s="161" t="s">
        <v>74</v>
      </c>
      <c r="E10282" s="135">
        <f t="shared" si="62"/>
        <v>25</v>
      </c>
      <c r="F10282" s="134" t="s">
        <v>3814</v>
      </c>
      <c r="G10282" s="63" t="str">
        <f>VLOOKUP(C10282, 'Class Def. - General Data'!$C$20:$C$1000,1,false)</f>
        <v>ZSI1_KARPET</v>
      </c>
      <c r="H10282" s="63" t="str">
        <f>IFERROR(__xludf.DUMMYFUNCTION("VLOOKUP(F10282, IMPORTRANGE(""https://docs.google.com/spreadsheets/d/1Lhp9OU0JdFf_VYSMzH5lBcEaU4o8teT1piV-SNzShjg/edit?gid=554141278#gid=554141278"", ""'Char Def. - Attributes'!C20:C2242""), 1,false)"),"ALT_DENUM_UOM4")</f>
        <v>ALT_DENUM_UOM4</v>
      </c>
      <c r="I10282" s="136"/>
      <c r="R10282" s="63" t="str">
        <f t="shared" si="60"/>
        <v>ZSI1_KARPETALT_DENUM_UOM4</v>
      </c>
    </row>
    <row r="10283" ht="15.75" customHeight="1">
      <c r="B10283" s="63">
        <f t="shared" si="1"/>
        <v>11</v>
      </c>
      <c r="C10283" s="135" t="s">
        <v>509</v>
      </c>
      <c r="D10283" s="161" t="s">
        <v>74</v>
      </c>
      <c r="E10283" s="135">
        <f t="shared" si="62"/>
        <v>26</v>
      </c>
      <c r="F10283" s="134" t="s">
        <v>3815</v>
      </c>
      <c r="G10283" s="63" t="str">
        <f>VLOOKUP(C10283, 'Class Def. - General Data'!$C$20:$C$1000,1,false)</f>
        <v>ZSI1_KARPET</v>
      </c>
      <c r="H10283" s="63" t="str">
        <f>IFERROR(__xludf.DUMMYFUNCTION("VLOOKUP(F10283, IMPORTRANGE(""https://docs.google.com/spreadsheets/d/1Lhp9OU0JdFf_VYSMzH5lBcEaU4o8teT1piV-SNzShjg/edit?gid=554141278#gid=554141278"", ""'Char Def. - Attributes'!C20:C2242""), 1,false)"),"ALT_NUM_UOM4")</f>
        <v>ALT_NUM_UOM4</v>
      </c>
      <c r="I10283" s="136"/>
      <c r="R10283" s="63" t="str">
        <f t="shared" si="60"/>
        <v>ZSI1_KARPETALT_NUM_UOM4</v>
      </c>
    </row>
    <row r="10284" ht="15.75" customHeight="1">
      <c r="B10284" s="63">
        <f t="shared" si="1"/>
        <v>11</v>
      </c>
      <c r="C10284" s="135" t="s">
        <v>509</v>
      </c>
      <c r="D10284" s="161" t="s">
        <v>74</v>
      </c>
      <c r="E10284" s="135">
        <f t="shared" si="62"/>
        <v>27</v>
      </c>
      <c r="F10284" s="134" t="s">
        <v>3816</v>
      </c>
      <c r="G10284" s="63" t="str">
        <f>VLOOKUP(C10284, 'Class Def. - General Data'!$C$20:$C$1000,1,false)</f>
        <v>ZSI1_KARPET</v>
      </c>
      <c r="H10284" s="63" t="str">
        <f>IFERROR(__xludf.DUMMYFUNCTION("VLOOKUP(F10284, IMPORTRANGE(""https://docs.google.com/spreadsheets/d/1Lhp9OU0JdFf_VYSMzH5lBcEaU4o8teT1piV-SNzShjg/edit?gid=554141278#gid=554141278"", ""'Char Def. - Attributes'!C20:C2242""), 1,false)"),"ALT_UOM5_SIPI")</f>
        <v>ALT_UOM5_SIPI</v>
      </c>
      <c r="I10284" s="136"/>
      <c r="R10284" s="63" t="str">
        <f t="shared" si="60"/>
        <v>ZSI1_KARPETALT_UOM5_SIPI</v>
      </c>
    </row>
    <row r="10285" ht="15.75" customHeight="1">
      <c r="B10285" s="63">
        <f t="shared" si="1"/>
        <v>11</v>
      </c>
      <c r="C10285" s="135" t="s">
        <v>509</v>
      </c>
      <c r="D10285" s="161" t="s">
        <v>74</v>
      </c>
      <c r="E10285" s="135">
        <f t="shared" si="62"/>
        <v>28</v>
      </c>
      <c r="F10285" s="134" t="s">
        <v>3817</v>
      </c>
      <c r="G10285" s="63" t="str">
        <f>VLOOKUP(C10285, 'Class Def. - General Data'!$C$20:$C$1000,1,false)</f>
        <v>ZSI1_KARPET</v>
      </c>
      <c r="H10285" s="63" t="str">
        <f>IFERROR(__xludf.DUMMYFUNCTION("VLOOKUP(F10285, IMPORTRANGE(""https://docs.google.com/spreadsheets/d/1Lhp9OU0JdFf_VYSMzH5lBcEaU4o8teT1piV-SNzShjg/edit?gid=554141278#gid=554141278"", ""'Char Def. - Attributes'!C20:C2242""), 1,false)"),"ALT_DENUM_UOM5")</f>
        <v>ALT_DENUM_UOM5</v>
      </c>
      <c r="I10285" s="136"/>
      <c r="R10285" s="63" t="str">
        <f t="shared" si="60"/>
        <v>ZSI1_KARPETALT_DENUM_UOM5</v>
      </c>
    </row>
    <row r="10286" ht="15.75" customHeight="1">
      <c r="B10286" s="63">
        <f t="shared" si="1"/>
        <v>11</v>
      </c>
      <c r="C10286" s="135" t="s">
        <v>509</v>
      </c>
      <c r="D10286" s="161" t="s">
        <v>74</v>
      </c>
      <c r="E10286" s="135">
        <f t="shared" si="62"/>
        <v>29</v>
      </c>
      <c r="F10286" s="134" t="s">
        <v>3818</v>
      </c>
      <c r="G10286" s="63" t="str">
        <f>VLOOKUP(C10286, 'Class Def. - General Data'!$C$20:$C$1000,1,false)</f>
        <v>ZSI1_KARPET</v>
      </c>
      <c r="H10286" s="63" t="str">
        <f>IFERROR(__xludf.DUMMYFUNCTION("VLOOKUP(F10286, IMPORTRANGE(""https://docs.google.com/spreadsheets/d/1Lhp9OU0JdFf_VYSMzH5lBcEaU4o8teT1piV-SNzShjg/edit?gid=554141278#gid=554141278"", ""'Char Def. - Attributes'!C20:C2242""), 1,false)"),"ALT_NUM_UOM5")</f>
        <v>ALT_NUM_UOM5</v>
      </c>
      <c r="I10286" s="136"/>
      <c r="R10286" s="63" t="str">
        <f t="shared" si="60"/>
        <v>ZSI1_KARPETALT_NUM_UOM5</v>
      </c>
    </row>
    <row r="10287" ht="15.75" customHeight="1">
      <c r="B10287" s="63">
        <f t="shared" si="1"/>
        <v>10</v>
      </c>
      <c r="C10287" s="135" t="s">
        <v>403</v>
      </c>
      <c r="D10287" s="161" t="s">
        <v>74</v>
      </c>
      <c r="E10287" s="135">
        <f t="shared" si="62"/>
        <v>1</v>
      </c>
      <c r="F10287" s="134" t="s">
        <v>4721</v>
      </c>
      <c r="G10287" s="63" t="str">
        <f>VLOOKUP(C10287, 'Class Def. - General Data'!$C$20:$C$1000,1,false)</f>
        <v>ZSI1_KARTU</v>
      </c>
      <c r="H10287" s="63" t="str">
        <f>IFERROR(__xludf.DUMMYFUNCTION("VLOOKUP(F10287, IMPORTRANGE(""https://docs.google.com/spreadsheets/d/1Lhp9OU0JdFf_VYSMzH5lBcEaU4o8teT1piV-SNzShjg/edit?gid=554141278#gid=554141278"", ""'Char Def. - Attributes'!C20:C2242""), 1,false)"),"ITEM_NAME_KARTU")</f>
        <v>ITEM_NAME_KARTU</v>
      </c>
      <c r="I10287" s="136"/>
      <c r="R10287" s="63" t="str">
        <f t="shared" si="60"/>
        <v>ZSI1_KARTUITEM_NAME_KARTU</v>
      </c>
    </row>
    <row r="10288" ht="15.75" customHeight="1">
      <c r="B10288" s="63">
        <f t="shared" si="1"/>
        <v>10</v>
      </c>
      <c r="C10288" s="135" t="s">
        <v>403</v>
      </c>
      <c r="D10288" s="161" t="s">
        <v>74</v>
      </c>
      <c r="E10288" s="135">
        <f t="shared" si="62"/>
        <v>2</v>
      </c>
      <c r="F10288" s="134" t="s">
        <v>4722</v>
      </c>
      <c r="G10288" s="63" t="str">
        <f>VLOOKUP(C10288, 'Class Def. - General Data'!$C$20:$C$1000,1,false)</f>
        <v>ZSI1_KARTU</v>
      </c>
      <c r="H10288" s="63" t="str">
        <f>IFERROR(__xludf.DUMMYFUNCTION("VLOOKUP(F10288, IMPORTRANGE(""https://docs.google.com/spreadsheets/d/1Lhp9OU0JdFf_VYSMzH5lBcEaU4o8teT1piV-SNzShjg/edit?gid=554141278#gid=554141278"", ""'Char Def. - Attributes'!C20:C2242""), 1,false)"),"DESIGN_KARTU")</f>
        <v>DESIGN_KARTU</v>
      </c>
      <c r="I10288" s="136"/>
      <c r="R10288" s="63" t="str">
        <f t="shared" si="60"/>
        <v>ZSI1_KARTUDESIGN_KARTU</v>
      </c>
    </row>
    <row r="10289" ht="15.75" customHeight="1">
      <c r="B10289" s="63">
        <f t="shared" si="1"/>
        <v>10</v>
      </c>
      <c r="C10289" s="135" t="s">
        <v>403</v>
      </c>
      <c r="D10289" s="161" t="s">
        <v>74</v>
      </c>
      <c r="E10289" s="135">
        <f t="shared" si="62"/>
        <v>3</v>
      </c>
      <c r="F10289" s="134" t="s">
        <v>4723</v>
      </c>
      <c r="G10289" s="63" t="str">
        <f>VLOOKUP(C10289, 'Class Def. - General Data'!$C$20:$C$1000,1,false)</f>
        <v>ZSI1_KARTU</v>
      </c>
      <c r="H10289" s="63" t="str">
        <f>IFERROR(__xludf.DUMMYFUNCTION("VLOOKUP(F10289, IMPORTRANGE(""https://docs.google.com/spreadsheets/d/1Lhp9OU0JdFf_VYSMzH5lBcEaU4o8teT1piV-SNzShjg/edit?gid=554141278#gid=554141278"", ""'Char Def. - Attributes'!C20:C2242""), 1,false)"),"LENGTH_MM_KARTU")</f>
        <v>LENGTH_MM_KARTU</v>
      </c>
      <c r="I10289" s="136"/>
      <c r="R10289" s="63" t="str">
        <f t="shared" si="60"/>
        <v>ZSI1_KARTULENGTH_MM_KARTU</v>
      </c>
    </row>
    <row r="10290" ht="15.75" customHeight="1">
      <c r="B10290" s="63">
        <f t="shared" si="1"/>
        <v>10</v>
      </c>
      <c r="C10290" s="135" t="s">
        <v>403</v>
      </c>
      <c r="D10290" s="161" t="s">
        <v>74</v>
      </c>
      <c r="E10290" s="135">
        <f t="shared" si="62"/>
        <v>4</v>
      </c>
      <c r="F10290" s="134" t="s">
        <v>4724</v>
      </c>
      <c r="G10290" s="63" t="str">
        <f>VLOOKUP(C10290, 'Class Def. - General Data'!$C$20:$C$1000,1,false)</f>
        <v>ZSI1_KARTU</v>
      </c>
      <c r="H10290" s="63" t="str">
        <f>IFERROR(__xludf.DUMMYFUNCTION("VLOOKUP(F10290, IMPORTRANGE(""https://docs.google.com/spreadsheets/d/1Lhp9OU0JdFf_VYSMzH5lBcEaU4o8teT1piV-SNzShjg/edit?gid=554141278#gid=554141278"", ""'Char Def. - Attributes'!C20:C2242""), 1,false)"),"WIDTH_MM_KARTU")</f>
        <v>WIDTH_MM_KARTU</v>
      </c>
      <c r="I10290" s="136"/>
      <c r="R10290" s="63" t="str">
        <f t="shared" si="60"/>
        <v>ZSI1_KARTUWIDTH_MM_KARTU</v>
      </c>
    </row>
    <row r="10291" ht="15.75" customHeight="1">
      <c r="B10291" s="63">
        <f t="shared" si="1"/>
        <v>10</v>
      </c>
      <c r="C10291" s="135" t="s">
        <v>403</v>
      </c>
      <c r="D10291" s="161" t="s">
        <v>74</v>
      </c>
      <c r="E10291" s="135">
        <f t="shared" si="62"/>
        <v>5</v>
      </c>
      <c r="F10291" s="134" t="s">
        <v>3585</v>
      </c>
      <c r="G10291" s="63" t="str">
        <f>VLOOKUP(C10291, 'Class Def. - General Data'!$C$20:$C$1000,1,false)</f>
        <v>ZSI1_KARTU</v>
      </c>
      <c r="H10291" s="63" t="str">
        <f>IFERROR(__xludf.DUMMYFUNCTION("VLOOKUP(F10291, IMPORTRANGE(""https://docs.google.com/spreadsheets/d/1Lhp9OU0JdFf_VYSMzH5lBcEaU4o8teT1piV-SNzShjg/edit?gid=554141278#gid=554141278"", ""'Char Def. - Attributes'!C20:C2242""), 1,false)"),"HS_CODE")</f>
        <v>HS_CODE</v>
      </c>
      <c r="I10291" s="136"/>
      <c r="R10291" s="63" t="str">
        <f t="shared" si="60"/>
        <v>ZSI1_KARTUHS_CODE</v>
      </c>
    </row>
    <row r="10292" ht="15.75" customHeight="1">
      <c r="B10292" s="63">
        <f t="shared" si="1"/>
        <v>10</v>
      </c>
      <c r="C10292" s="135" t="s">
        <v>403</v>
      </c>
      <c r="D10292" s="161" t="s">
        <v>74</v>
      </c>
      <c r="E10292" s="135">
        <f t="shared" si="62"/>
        <v>6</v>
      </c>
      <c r="F10292" s="134" t="s">
        <v>3587</v>
      </c>
      <c r="G10292" s="63" t="str">
        <f>VLOOKUP(C10292, 'Class Def. - General Data'!$C$20:$C$1000,1,false)</f>
        <v>ZSI1_KARTU</v>
      </c>
      <c r="H10292" s="63" t="str">
        <f>IFERROR(__xludf.DUMMYFUNCTION("VLOOKUP(F10292, IMPORTRANGE(""https://docs.google.com/spreadsheets/d/1Lhp9OU0JdFf_VYSMzH5lBcEaU4o8teT1piV-SNzShjg/edit?gid=554141278#gid=554141278"", ""'Char Def. - Attributes'!C20:C2242""), 1,false)"),"PLANT_BUY")</f>
        <v>PLANT_BUY</v>
      </c>
      <c r="I10292" s="136"/>
      <c r="R10292" s="63" t="str">
        <f t="shared" si="60"/>
        <v>ZSI1_KARTUPLANT_BUY</v>
      </c>
    </row>
    <row r="10293" ht="15.75" customHeight="1">
      <c r="B10293" s="63">
        <f t="shared" si="1"/>
        <v>10</v>
      </c>
      <c r="C10293" s="135" t="s">
        <v>403</v>
      </c>
      <c r="D10293" s="161" t="s">
        <v>74</v>
      </c>
      <c r="E10293" s="135">
        <f t="shared" si="62"/>
        <v>7</v>
      </c>
      <c r="F10293" s="134" t="s">
        <v>4725</v>
      </c>
      <c r="G10293" s="63" t="str">
        <f>VLOOKUP(C10293, 'Class Def. - General Data'!$C$20:$C$1000,1,false)</f>
        <v>ZSI1_KARTU</v>
      </c>
      <c r="H10293" s="63" t="str">
        <f>IFERROR(__xludf.DUMMYFUNCTION("VLOOKUP(F10293, IMPORTRANGE(""https://docs.google.com/spreadsheets/d/1Lhp9OU0JdFf_VYSMzH5lBcEaU4o8teT1piV-SNzShjg/edit?gid=554141278#gid=554141278"", ""'Char Def. - Attributes'!C20:C2242""), 1,false)"),"BASE_UOM_KARTU")</f>
        <v>BASE_UOM_KARTU</v>
      </c>
      <c r="I10293" s="136"/>
      <c r="R10293" s="63" t="str">
        <f t="shared" si="60"/>
        <v>ZSI1_KARTUBASE_UOM_KARTU</v>
      </c>
    </row>
    <row r="10294" ht="15.75" customHeight="1">
      <c r="B10294" s="63">
        <f t="shared" si="1"/>
        <v>10</v>
      </c>
      <c r="C10294" s="135" t="s">
        <v>403</v>
      </c>
      <c r="D10294" s="161" t="s">
        <v>74</v>
      </c>
      <c r="E10294" s="135">
        <f t="shared" si="62"/>
        <v>8</v>
      </c>
      <c r="F10294" s="134" t="s">
        <v>4726</v>
      </c>
      <c r="G10294" s="63" t="str">
        <f>VLOOKUP(C10294, 'Class Def. - General Data'!$C$20:$C$1000,1,false)</f>
        <v>ZSI1_KARTU</v>
      </c>
      <c r="H10294" s="63" t="str">
        <f>IFERROR(__xludf.DUMMYFUNCTION("VLOOKUP(F10294, IMPORTRANGE(""https://docs.google.com/spreadsheets/d/1Lhp9OU0JdFf_VYSMzH5lBcEaU4o8teT1piV-SNzShjg/edit?gid=554141278#gid=554141278"", ""'Char Def. - Attributes'!C20:C2242""), 1,false)"),"ORDER_UNIT_KARTU")</f>
        <v>ORDER_UNIT_KARTU</v>
      </c>
      <c r="I10294" s="136"/>
      <c r="R10294" s="63" t="str">
        <f t="shared" si="60"/>
        <v>ZSI1_KARTUORDER_UNIT_KARTU</v>
      </c>
    </row>
    <row r="10295" ht="15.75" customHeight="1">
      <c r="B10295" s="63">
        <f t="shared" si="1"/>
        <v>10</v>
      </c>
      <c r="C10295" s="135" t="s">
        <v>403</v>
      </c>
      <c r="D10295" s="161" t="s">
        <v>74</v>
      </c>
      <c r="E10295" s="135">
        <f t="shared" si="62"/>
        <v>9</v>
      </c>
      <c r="F10295" s="134" t="s">
        <v>4056</v>
      </c>
      <c r="G10295" s="63" t="str">
        <f>VLOOKUP(C10295, 'Class Def. - General Data'!$C$20:$C$1000,1,false)</f>
        <v>ZSI1_KARTU</v>
      </c>
      <c r="H10295" s="63" t="str">
        <f>IFERROR(__xludf.DUMMYFUNCTION("VLOOKUP(F10295, IMPORTRANGE(""https://docs.google.com/spreadsheets/d/1Lhp9OU0JdFf_VYSMzH5lBcEaU4o8teT1piV-SNzShjg/edit?gid=554141278#gid=554141278"", ""'Char Def. - Attributes'!C20:C2242""), 1,false)"),"GROSS_WEIGHT_OPT")</f>
        <v>GROSS_WEIGHT_OPT</v>
      </c>
      <c r="I10295" s="136"/>
      <c r="R10295" s="63" t="str">
        <f t="shared" si="60"/>
        <v>ZSI1_KARTUGROSS_WEIGHT_OPT</v>
      </c>
    </row>
    <row r="10296" ht="15.75" customHeight="1">
      <c r="B10296" s="63">
        <f t="shared" si="1"/>
        <v>10</v>
      </c>
      <c r="C10296" s="135" t="s">
        <v>403</v>
      </c>
      <c r="D10296" s="161" t="s">
        <v>74</v>
      </c>
      <c r="E10296" s="135">
        <f t="shared" si="62"/>
        <v>10</v>
      </c>
      <c r="F10296" s="134" t="s">
        <v>4057</v>
      </c>
      <c r="G10296" s="63" t="str">
        <f>VLOOKUP(C10296, 'Class Def. - General Data'!$C$20:$C$1000,1,false)</f>
        <v>ZSI1_KARTU</v>
      </c>
      <c r="H10296" s="63" t="str">
        <f>IFERROR(__xludf.DUMMYFUNCTION("VLOOKUP(F10296, IMPORTRANGE(""https://docs.google.com/spreadsheets/d/1Lhp9OU0JdFf_VYSMzH5lBcEaU4o8teT1piV-SNzShjg/edit?gid=554141278#gid=554141278"", ""'Char Def. - Attributes'!C20:C2242""), 1,false)"),"NET_WEIGHT_OPT")</f>
        <v>NET_WEIGHT_OPT</v>
      </c>
      <c r="I10296" s="136"/>
      <c r="R10296" s="63" t="str">
        <f t="shared" si="60"/>
        <v>ZSI1_KARTUNET_WEIGHT_OPT</v>
      </c>
    </row>
    <row r="10297" ht="15.75" customHeight="1">
      <c r="B10297" s="63">
        <f t="shared" si="1"/>
        <v>10</v>
      </c>
      <c r="C10297" s="135" t="s">
        <v>403</v>
      </c>
      <c r="D10297" s="161" t="s">
        <v>74</v>
      </c>
      <c r="E10297" s="135">
        <f t="shared" si="62"/>
        <v>11</v>
      </c>
      <c r="F10297" s="134" t="s">
        <v>4058</v>
      </c>
      <c r="G10297" s="63" t="str">
        <f>VLOOKUP(C10297, 'Class Def. - General Data'!$C$20:$C$1000,1,false)</f>
        <v>ZSI1_KARTU</v>
      </c>
      <c r="H10297" s="63" t="str">
        <f>IFERROR(__xludf.DUMMYFUNCTION("VLOOKUP(F10297, IMPORTRANGE(""https://docs.google.com/spreadsheets/d/1Lhp9OU0JdFf_VYSMzH5lBcEaU4o8teT1piV-SNzShjg/edit?gid=554141278#gid=554141278"", ""'Char Def. - Attributes'!C20:C2242""), 1,false)"),"WEIGHT_UNIT_SI")</f>
        <v>WEIGHT_UNIT_SI</v>
      </c>
      <c r="I10297" s="136"/>
      <c r="R10297" s="63" t="str">
        <f t="shared" si="60"/>
        <v>ZSI1_KARTUWEIGHT_UNIT_SI</v>
      </c>
    </row>
    <row r="10298" ht="15.75" customHeight="1">
      <c r="B10298" s="63">
        <f t="shared" si="1"/>
        <v>10</v>
      </c>
      <c r="C10298" s="135" t="s">
        <v>403</v>
      </c>
      <c r="D10298" s="161" t="s">
        <v>74</v>
      </c>
      <c r="E10298" s="135">
        <f t="shared" si="62"/>
        <v>12</v>
      </c>
      <c r="F10298" s="134" t="s">
        <v>3877</v>
      </c>
      <c r="G10298" s="63" t="str">
        <f>VLOOKUP(C10298, 'Class Def. - General Data'!$C$20:$C$1000,1,false)</f>
        <v>ZSI1_KARTU</v>
      </c>
      <c r="H10298" s="63" t="str">
        <f>IFERROR(__xludf.DUMMYFUNCTION("VLOOKUP(F10298, IMPORTRANGE(""https://docs.google.com/spreadsheets/d/1Lhp9OU0JdFf_VYSMzH5lBcEaU4o8teT1piV-SNzShjg/edit?gid=554141278#gid=554141278"", ""'Char Def. - Attributes'!C20:C2242""), 1,false)"),"VOLUME_OPT")</f>
        <v>VOLUME_OPT</v>
      </c>
      <c r="I10298" s="136"/>
      <c r="R10298" s="63" t="str">
        <f t="shared" si="60"/>
        <v>ZSI1_KARTUVOLUME_OPT</v>
      </c>
    </row>
    <row r="10299" ht="15.75" customHeight="1">
      <c r="B10299" s="63">
        <f t="shared" si="1"/>
        <v>10</v>
      </c>
      <c r="C10299" s="135" t="s">
        <v>403</v>
      </c>
      <c r="D10299" s="161" t="s">
        <v>74</v>
      </c>
      <c r="E10299" s="135">
        <f t="shared" si="62"/>
        <v>13</v>
      </c>
      <c r="F10299" s="134" t="s">
        <v>4059</v>
      </c>
      <c r="G10299" s="63" t="str">
        <f>VLOOKUP(C10299, 'Class Def. - General Data'!$C$20:$C$1000,1,false)</f>
        <v>ZSI1_KARTU</v>
      </c>
      <c r="H10299" s="63" t="str">
        <f>IFERROR(__xludf.DUMMYFUNCTION("VLOOKUP(F10299, IMPORTRANGE(""https://docs.google.com/spreadsheets/d/1Lhp9OU0JdFf_VYSMzH5lBcEaU4o8teT1piV-SNzShjg/edit?gid=554141278#gid=554141278"", ""'Char Def. - Attributes'!C20:C2242""), 1,false)"),"VOLUME_UNIT_SI")</f>
        <v>VOLUME_UNIT_SI</v>
      </c>
      <c r="I10299" s="136"/>
      <c r="R10299" s="63" t="str">
        <f t="shared" si="60"/>
        <v>ZSI1_KARTUVOLUME_UNIT_SI</v>
      </c>
    </row>
    <row r="10300" ht="15.75" customHeight="1">
      <c r="B10300" s="63">
        <f t="shared" si="1"/>
        <v>10</v>
      </c>
      <c r="C10300" s="135" t="s">
        <v>403</v>
      </c>
      <c r="D10300" s="161" t="s">
        <v>74</v>
      </c>
      <c r="E10300" s="135">
        <f t="shared" si="62"/>
        <v>14</v>
      </c>
      <c r="F10300" s="134" t="s">
        <v>3804</v>
      </c>
      <c r="G10300" s="63" t="str">
        <f>VLOOKUP(C10300, 'Class Def. - General Data'!$C$20:$C$1000,1,false)</f>
        <v>ZSI1_KARTU</v>
      </c>
      <c r="H10300" s="63" t="str">
        <f>IFERROR(__xludf.DUMMYFUNCTION("VLOOKUP(F10300, IMPORTRANGE(""https://docs.google.com/spreadsheets/d/1Lhp9OU0JdFf_VYSMzH5lBcEaU4o8teT1piV-SNzShjg/edit?gid=554141278#gid=554141278"", ""'Char Def. - Attributes'!C20:C2242""), 1,false)"),"ALT_UOM1_SIPI")</f>
        <v>ALT_UOM1_SIPI</v>
      </c>
      <c r="I10300" s="136"/>
      <c r="R10300" s="63" t="str">
        <f t="shared" si="60"/>
        <v>ZSI1_KARTUALT_UOM1_SIPI</v>
      </c>
    </row>
    <row r="10301" ht="15.75" customHeight="1">
      <c r="B10301" s="63">
        <f t="shared" si="1"/>
        <v>10</v>
      </c>
      <c r="C10301" s="135" t="s">
        <v>403</v>
      </c>
      <c r="D10301" s="161" t="s">
        <v>74</v>
      </c>
      <c r="E10301" s="135">
        <f t="shared" si="62"/>
        <v>15</v>
      </c>
      <c r="F10301" s="134" t="s">
        <v>3805</v>
      </c>
      <c r="G10301" s="63" t="str">
        <f>VLOOKUP(C10301, 'Class Def. - General Data'!$C$20:$C$1000,1,false)</f>
        <v>ZSI1_KARTU</v>
      </c>
      <c r="H10301" s="63" t="str">
        <f>IFERROR(__xludf.DUMMYFUNCTION("VLOOKUP(F10301, IMPORTRANGE(""https://docs.google.com/spreadsheets/d/1Lhp9OU0JdFf_VYSMzH5lBcEaU4o8teT1piV-SNzShjg/edit?gid=554141278#gid=554141278"", ""'Char Def. - Attributes'!C20:C2242""), 1,false)"),"ALT_DENUM_UOM1")</f>
        <v>ALT_DENUM_UOM1</v>
      </c>
      <c r="I10301" s="136"/>
      <c r="R10301" s="63" t="str">
        <f t="shared" si="60"/>
        <v>ZSI1_KARTUALT_DENUM_UOM1</v>
      </c>
    </row>
    <row r="10302" ht="15.75" customHeight="1">
      <c r="B10302" s="63">
        <f t="shared" si="1"/>
        <v>10</v>
      </c>
      <c r="C10302" s="135" t="s">
        <v>403</v>
      </c>
      <c r="D10302" s="161" t="s">
        <v>74</v>
      </c>
      <c r="E10302" s="135">
        <f t="shared" si="62"/>
        <v>16</v>
      </c>
      <c r="F10302" s="134" t="s">
        <v>3806</v>
      </c>
      <c r="G10302" s="63" t="str">
        <f>VLOOKUP(C10302, 'Class Def. - General Data'!$C$20:$C$1000,1,false)</f>
        <v>ZSI1_KARTU</v>
      </c>
      <c r="H10302" s="63" t="str">
        <f>IFERROR(__xludf.DUMMYFUNCTION("VLOOKUP(F10302, IMPORTRANGE(""https://docs.google.com/spreadsheets/d/1Lhp9OU0JdFf_VYSMzH5lBcEaU4o8teT1piV-SNzShjg/edit?gid=554141278#gid=554141278"", ""'Char Def. - Attributes'!C20:C2242""), 1,false)"),"ALT_NUM_UOM1")</f>
        <v>ALT_NUM_UOM1</v>
      </c>
      <c r="I10302" s="136"/>
      <c r="R10302" s="63" t="str">
        <f t="shared" si="60"/>
        <v>ZSI1_KARTUALT_NUM_UOM1</v>
      </c>
    </row>
    <row r="10303" ht="15.75" customHeight="1">
      <c r="B10303" s="63">
        <f t="shared" si="1"/>
        <v>10</v>
      </c>
      <c r="C10303" s="135" t="s">
        <v>403</v>
      </c>
      <c r="D10303" s="161" t="s">
        <v>74</v>
      </c>
      <c r="E10303" s="135">
        <f t="shared" si="62"/>
        <v>17</v>
      </c>
      <c r="F10303" s="134" t="s">
        <v>3807</v>
      </c>
      <c r="G10303" s="63" t="str">
        <f>VLOOKUP(C10303, 'Class Def. - General Data'!$C$20:$C$1000,1,false)</f>
        <v>ZSI1_KARTU</v>
      </c>
      <c r="H10303" s="63" t="str">
        <f>IFERROR(__xludf.DUMMYFUNCTION("VLOOKUP(F10303, IMPORTRANGE(""https://docs.google.com/spreadsheets/d/1Lhp9OU0JdFf_VYSMzH5lBcEaU4o8teT1piV-SNzShjg/edit?gid=554141278#gid=554141278"", ""'Char Def. - Attributes'!C20:C2242""), 1,false)"),"ALT_UOM2_SIPI")</f>
        <v>ALT_UOM2_SIPI</v>
      </c>
      <c r="I10303" s="136"/>
      <c r="R10303" s="63" t="str">
        <f t="shared" si="60"/>
        <v>ZSI1_KARTUALT_UOM2_SIPI</v>
      </c>
    </row>
    <row r="10304" ht="15.75" customHeight="1">
      <c r="B10304" s="63">
        <f t="shared" si="1"/>
        <v>10</v>
      </c>
      <c r="C10304" s="135" t="s">
        <v>403</v>
      </c>
      <c r="D10304" s="161" t="s">
        <v>74</v>
      </c>
      <c r="E10304" s="135">
        <f t="shared" si="62"/>
        <v>18</v>
      </c>
      <c r="F10304" s="134" t="s">
        <v>3808</v>
      </c>
      <c r="G10304" s="63" t="str">
        <f>VLOOKUP(C10304, 'Class Def. - General Data'!$C$20:$C$1000,1,false)</f>
        <v>ZSI1_KARTU</v>
      </c>
      <c r="H10304" s="63" t="str">
        <f>IFERROR(__xludf.DUMMYFUNCTION("VLOOKUP(F10304, IMPORTRANGE(""https://docs.google.com/spreadsheets/d/1Lhp9OU0JdFf_VYSMzH5lBcEaU4o8teT1piV-SNzShjg/edit?gid=554141278#gid=554141278"", ""'Char Def. - Attributes'!C20:C2242""), 1,false)"),"ALT_DENUM_UOM2")</f>
        <v>ALT_DENUM_UOM2</v>
      </c>
      <c r="I10304" s="136"/>
      <c r="R10304" s="63" t="str">
        <f t="shared" si="60"/>
        <v>ZSI1_KARTUALT_DENUM_UOM2</v>
      </c>
    </row>
    <row r="10305" ht="15.75" customHeight="1">
      <c r="B10305" s="63">
        <f t="shared" si="1"/>
        <v>10</v>
      </c>
      <c r="C10305" s="135" t="s">
        <v>403</v>
      </c>
      <c r="D10305" s="161" t="s">
        <v>74</v>
      </c>
      <c r="E10305" s="135">
        <f t="shared" si="62"/>
        <v>19</v>
      </c>
      <c r="F10305" s="134" t="s">
        <v>3809</v>
      </c>
      <c r="G10305" s="63" t="str">
        <f>VLOOKUP(C10305, 'Class Def. - General Data'!$C$20:$C$1000,1,false)</f>
        <v>ZSI1_KARTU</v>
      </c>
      <c r="H10305" s="63" t="str">
        <f>IFERROR(__xludf.DUMMYFUNCTION("VLOOKUP(F10305, IMPORTRANGE(""https://docs.google.com/spreadsheets/d/1Lhp9OU0JdFf_VYSMzH5lBcEaU4o8teT1piV-SNzShjg/edit?gid=554141278#gid=554141278"", ""'Char Def. - Attributes'!C20:C2242""), 1,false)"),"ALT_NUM_UOM2")</f>
        <v>ALT_NUM_UOM2</v>
      </c>
      <c r="I10305" s="136"/>
      <c r="R10305" s="63" t="str">
        <f t="shared" si="60"/>
        <v>ZSI1_KARTUALT_NUM_UOM2</v>
      </c>
    </row>
    <row r="10306" ht="15.75" customHeight="1">
      <c r="B10306" s="63">
        <f t="shared" si="1"/>
        <v>10</v>
      </c>
      <c r="C10306" s="135" t="s">
        <v>403</v>
      </c>
      <c r="D10306" s="161" t="s">
        <v>74</v>
      </c>
      <c r="E10306" s="135">
        <f t="shared" si="62"/>
        <v>20</v>
      </c>
      <c r="F10306" s="134" t="s">
        <v>3810</v>
      </c>
      <c r="G10306" s="63" t="str">
        <f>VLOOKUP(C10306, 'Class Def. - General Data'!$C$20:$C$1000,1,false)</f>
        <v>ZSI1_KARTU</v>
      </c>
      <c r="H10306" s="63" t="str">
        <f>IFERROR(__xludf.DUMMYFUNCTION("VLOOKUP(F10306, IMPORTRANGE(""https://docs.google.com/spreadsheets/d/1Lhp9OU0JdFf_VYSMzH5lBcEaU4o8teT1piV-SNzShjg/edit?gid=554141278#gid=554141278"", ""'Char Def. - Attributes'!C20:C2242""), 1,false)"),"ALT_UOM3_SIPI")</f>
        <v>ALT_UOM3_SIPI</v>
      </c>
      <c r="I10306" s="136"/>
      <c r="R10306" s="63" t="str">
        <f t="shared" si="60"/>
        <v>ZSI1_KARTUALT_UOM3_SIPI</v>
      </c>
    </row>
    <row r="10307" ht="15.75" customHeight="1">
      <c r="B10307" s="63">
        <f t="shared" si="1"/>
        <v>10</v>
      </c>
      <c r="C10307" s="135" t="s">
        <v>403</v>
      </c>
      <c r="D10307" s="161" t="s">
        <v>74</v>
      </c>
      <c r="E10307" s="135">
        <f t="shared" si="62"/>
        <v>21</v>
      </c>
      <c r="F10307" s="134" t="s">
        <v>3811</v>
      </c>
      <c r="G10307" s="63" t="str">
        <f>VLOOKUP(C10307, 'Class Def. - General Data'!$C$20:$C$1000,1,false)</f>
        <v>ZSI1_KARTU</v>
      </c>
      <c r="H10307" s="63" t="str">
        <f>IFERROR(__xludf.DUMMYFUNCTION("VLOOKUP(F10307, IMPORTRANGE(""https://docs.google.com/spreadsheets/d/1Lhp9OU0JdFf_VYSMzH5lBcEaU4o8teT1piV-SNzShjg/edit?gid=554141278#gid=554141278"", ""'Char Def. - Attributes'!C20:C2242""), 1,false)"),"ALT_DENUM_UOM3")</f>
        <v>ALT_DENUM_UOM3</v>
      </c>
      <c r="I10307" s="136"/>
      <c r="R10307" s="63" t="str">
        <f t="shared" si="60"/>
        <v>ZSI1_KARTUALT_DENUM_UOM3</v>
      </c>
    </row>
    <row r="10308" ht="15.75" customHeight="1">
      <c r="B10308" s="63">
        <f t="shared" si="1"/>
        <v>10</v>
      </c>
      <c r="C10308" s="135" t="s">
        <v>403</v>
      </c>
      <c r="D10308" s="161" t="s">
        <v>74</v>
      </c>
      <c r="E10308" s="135">
        <f t="shared" si="62"/>
        <v>22</v>
      </c>
      <c r="F10308" s="134" t="s">
        <v>3812</v>
      </c>
      <c r="G10308" s="63" t="str">
        <f>VLOOKUP(C10308, 'Class Def. - General Data'!$C$20:$C$1000,1,false)</f>
        <v>ZSI1_KARTU</v>
      </c>
      <c r="H10308" s="63" t="str">
        <f>IFERROR(__xludf.DUMMYFUNCTION("VLOOKUP(F10308, IMPORTRANGE(""https://docs.google.com/spreadsheets/d/1Lhp9OU0JdFf_VYSMzH5lBcEaU4o8teT1piV-SNzShjg/edit?gid=554141278#gid=554141278"", ""'Char Def. - Attributes'!C20:C2242""), 1,false)"),"ALT_NUM_UOM3")</f>
        <v>ALT_NUM_UOM3</v>
      </c>
      <c r="I10308" s="136"/>
      <c r="R10308" s="63" t="str">
        <f t="shared" si="60"/>
        <v>ZSI1_KARTUALT_NUM_UOM3</v>
      </c>
    </row>
    <row r="10309" ht="15.75" customHeight="1">
      <c r="B10309" s="63">
        <f t="shared" si="1"/>
        <v>10</v>
      </c>
      <c r="C10309" s="135" t="s">
        <v>403</v>
      </c>
      <c r="D10309" s="161" t="s">
        <v>74</v>
      </c>
      <c r="E10309" s="135">
        <f t="shared" si="62"/>
        <v>23</v>
      </c>
      <c r="F10309" s="134" t="s">
        <v>3813</v>
      </c>
      <c r="G10309" s="63" t="str">
        <f>VLOOKUP(C10309, 'Class Def. - General Data'!$C$20:$C$1000,1,false)</f>
        <v>ZSI1_KARTU</v>
      </c>
      <c r="H10309" s="63" t="str">
        <f>IFERROR(__xludf.DUMMYFUNCTION("VLOOKUP(F10309, IMPORTRANGE(""https://docs.google.com/spreadsheets/d/1Lhp9OU0JdFf_VYSMzH5lBcEaU4o8teT1piV-SNzShjg/edit?gid=554141278#gid=554141278"", ""'Char Def. - Attributes'!C20:C2242""), 1,false)"),"ALT_UOM4_SIPI")</f>
        <v>ALT_UOM4_SIPI</v>
      </c>
      <c r="I10309" s="136"/>
      <c r="R10309" s="63" t="str">
        <f t="shared" si="60"/>
        <v>ZSI1_KARTUALT_UOM4_SIPI</v>
      </c>
    </row>
    <row r="10310" ht="15.75" customHeight="1">
      <c r="B10310" s="63">
        <f t="shared" si="1"/>
        <v>10</v>
      </c>
      <c r="C10310" s="135" t="s">
        <v>403</v>
      </c>
      <c r="D10310" s="161" t="s">
        <v>74</v>
      </c>
      <c r="E10310" s="135">
        <f t="shared" si="62"/>
        <v>24</v>
      </c>
      <c r="F10310" s="134" t="s">
        <v>3814</v>
      </c>
      <c r="G10310" s="63" t="str">
        <f>VLOOKUP(C10310, 'Class Def. - General Data'!$C$20:$C$1000,1,false)</f>
        <v>ZSI1_KARTU</v>
      </c>
      <c r="H10310" s="63" t="str">
        <f>IFERROR(__xludf.DUMMYFUNCTION("VLOOKUP(F10310, IMPORTRANGE(""https://docs.google.com/spreadsheets/d/1Lhp9OU0JdFf_VYSMzH5lBcEaU4o8teT1piV-SNzShjg/edit?gid=554141278#gid=554141278"", ""'Char Def. - Attributes'!C20:C2242""), 1,false)"),"ALT_DENUM_UOM4")</f>
        <v>ALT_DENUM_UOM4</v>
      </c>
      <c r="I10310" s="136"/>
      <c r="R10310" s="63" t="str">
        <f t="shared" si="60"/>
        <v>ZSI1_KARTUALT_DENUM_UOM4</v>
      </c>
    </row>
    <row r="10311" ht="15.75" customHeight="1">
      <c r="B10311" s="63">
        <f t="shared" si="1"/>
        <v>10</v>
      </c>
      <c r="C10311" s="135" t="s">
        <v>403</v>
      </c>
      <c r="D10311" s="161" t="s">
        <v>74</v>
      </c>
      <c r="E10311" s="135">
        <f t="shared" si="62"/>
        <v>25</v>
      </c>
      <c r="F10311" s="134" t="s">
        <v>3815</v>
      </c>
      <c r="G10311" s="63" t="str">
        <f>VLOOKUP(C10311, 'Class Def. - General Data'!$C$20:$C$1000,1,false)</f>
        <v>ZSI1_KARTU</v>
      </c>
      <c r="H10311" s="63" t="str">
        <f>IFERROR(__xludf.DUMMYFUNCTION("VLOOKUP(F10311, IMPORTRANGE(""https://docs.google.com/spreadsheets/d/1Lhp9OU0JdFf_VYSMzH5lBcEaU4o8teT1piV-SNzShjg/edit?gid=554141278#gid=554141278"", ""'Char Def. - Attributes'!C20:C2242""), 1,false)"),"ALT_NUM_UOM4")</f>
        <v>ALT_NUM_UOM4</v>
      </c>
      <c r="I10311" s="136"/>
      <c r="R10311" s="63" t="str">
        <f t="shared" si="60"/>
        <v>ZSI1_KARTUALT_NUM_UOM4</v>
      </c>
    </row>
    <row r="10312" ht="15.75" customHeight="1">
      <c r="B10312" s="63">
        <f t="shared" si="1"/>
        <v>10</v>
      </c>
      <c r="C10312" s="135" t="s">
        <v>403</v>
      </c>
      <c r="D10312" s="161" t="s">
        <v>74</v>
      </c>
      <c r="E10312" s="135">
        <f t="shared" si="62"/>
        <v>26</v>
      </c>
      <c r="F10312" s="134" t="s">
        <v>3816</v>
      </c>
      <c r="G10312" s="63" t="str">
        <f>VLOOKUP(C10312, 'Class Def. - General Data'!$C$20:$C$1000,1,false)</f>
        <v>ZSI1_KARTU</v>
      </c>
      <c r="H10312" s="63" t="str">
        <f>IFERROR(__xludf.DUMMYFUNCTION("VLOOKUP(F10312, IMPORTRANGE(""https://docs.google.com/spreadsheets/d/1Lhp9OU0JdFf_VYSMzH5lBcEaU4o8teT1piV-SNzShjg/edit?gid=554141278#gid=554141278"", ""'Char Def. - Attributes'!C20:C2242""), 1,false)"),"ALT_UOM5_SIPI")</f>
        <v>ALT_UOM5_SIPI</v>
      </c>
      <c r="I10312" s="136"/>
      <c r="R10312" s="63" t="str">
        <f t="shared" si="60"/>
        <v>ZSI1_KARTUALT_UOM5_SIPI</v>
      </c>
    </row>
    <row r="10313" ht="15.75" customHeight="1">
      <c r="B10313" s="63">
        <f t="shared" si="1"/>
        <v>10</v>
      </c>
      <c r="C10313" s="135" t="s">
        <v>403</v>
      </c>
      <c r="D10313" s="161" t="s">
        <v>74</v>
      </c>
      <c r="E10313" s="135">
        <f t="shared" si="62"/>
        <v>27</v>
      </c>
      <c r="F10313" s="134" t="s">
        <v>3817</v>
      </c>
      <c r="G10313" s="63" t="str">
        <f>VLOOKUP(C10313, 'Class Def. - General Data'!$C$20:$C$1000,1,false)</f>
        <v>ZSI1_KARTU</v>
      </c>
      <c r="H10313" s="63" t="str">
        <f>IFERROR(__xludf.DUMMYFUNCTION("VLOOKUP(F10313, IMPORTRANGE(""https://docs.google.com/spreadsheets/d/1Lhp9OU0JdFf_VYSMzH5lBcEaU4o8teT1piV-SNzShjg/edit?gid=554141278#gid=554141278"", ""'Char Def. - Attributes'!C20:C2242""), 1,false)"),"ALT_DENUM_UOM5")</f>
        <v>ALT_DENUM_UOM5</v>
      </c>
      <c r="I10313" s="136"/>
      <c r="R10313" s="63" t="str">
        <f t="shared" si="60"/>
        <v>ZSI1_KARTUALT_DENUM_UOM5</v>
      </c>
    </row>
    <row r="10314" ht="15.75" customHeight="1">
      <c r="B10314" s="63">
        <f t="shared" si="1"/>
        <v>10</v>
      </c>
      <c r="C10314" s="135" t="s">
        <v>403</v>
      </c>
      <c r="D10314" s="161" t="s">
        <v>74</v>
      </c>
      <c r="E10314" s="135">
        <f t="shared" si="62"/>
        <v>28</v>
      </c>
      <c r="F10314" s="134" t="s">
        <v>3818</v>
      </c>
      <c r="G10314" s="63" t="str">
        <f>VLOOKUP(C10314, 'Class Def. - General Data'!$C$20:$C$1000,1,false)</f>
        <v>ZSI1_KARTU</v>
      </c>
      <c r="H10314" s="63" t="str">
        <f>IFERROR(__xludf.DUMMYFUNCTION("VLOOKUP(F10314, IMPORTRANGE(""https://docs.google.com/spreadsheets/d/1Lhp9OU0JdFf_VYSMzH5lBcEaU4o8teT1piV-SNzShjg/edit?gid=554141278#gid=554141278"", ""'Char Def. - Attributes'!C20:C2242""), 1,false)"),"ALT_NUM_UOM5")</f>
        <v>ALT_NUM_UOM5</v>
      </c>
      <c r="I10314" s="136"/>
      <c r="R10314" s="63" t="str">
        <f t="shared" si="60"/>
        <v>ZSI1_KARTUALT_NUM_UOM5</v>
      </c>
    </row>
    <row r="10315" ht="15.75" customHeight="1">
      <c r="B10315" s="63">
        <f t="shared" si="1"/>
        <v>18</v>
      </c>
      <c r="C10315" s="135" t="s">
        <v>404</v>
      </c>
      <c r="D10315" s="161" t="s">
        <v>74</v>
      </c>
      <c r="E10315" s="135">
        <f t="shared" si="62"/>
        <v>1</v>
      </c>
      <c r="F10315" s="134" t="s">
        <v>4727</v>
      </c>
      <c r="G10315" s="63" t="str">
        <f>VLOOKUP(C10315, 'Class Def. - General Data'!$C$20:$C$1000,1,false)</f>
        <v>ZSI1_KITCHEN_APPLN</v>
      </c>
      <c r="H10315" s="63" t="str">
        <f>IFERROR(__xludf.DUMMYFUNCTION("VLOOKUP(F10315, IMPORTRANGE(""https://docs.google.com/spreadsheets/d/1Lhp9OU0JdFf_VYSMzH5lBcEaU4o8teT1piV-SNzShjg/edit?gid=554141278#gid=554141278"", ""'Char Def. - Attributes'!C20:C2242""), 1,false)"),"ITEM_NAME_KITCHEN_APPLN")</f>
        <v>ITEM_NAME_KITCHEN_APPLN</v>
      </c>
      <c r="I10315" s="136"/>
      <c r="R10315" s="63" t="str">
        <f t="shared" si="60"/>
        <v>ZSI1_KITCHEN_APPLNITEM_NAME_KITCHEN_APPLN</v>
      </c>
    </row>
    <row r="10316" ht="15.75" customHeight="1">
      <c r="B10316" s="63">
        <f t="shared" si="1"/>
        <v>18</v>
      </c>
      <c r="C10316" s="135" t="s">
        <v>404</v>
      </c>
      <c r="D10316" s="161" t="s">
        <v>74</v>
      </c>
      <c r="E10316" s="135">
        <f t="shared" si="62"/>
        <v>2</v>
      </c>
      <c r="F10316" s="134" t="s">
        <v>3779</v>
      </c>
      <c r="G10316" s="63" t="str">
        <f>VLOOKUP(C10316, 'Class Def. - General Data'!$C$20:$C$1000,1,false)</f>
        <v>ZSI1_KITCHEN_APPLN</v>
      </c>
      <c r="H10316" s="63" t="str">
        <f>IFERROR(__xludf.DUMMYFUNCTION("VLOOKUP(F10316, IMPORTRANGE(""https://docs.google.com/spreadsheets/d/1Lhp9OU0JdFf_VYSMzH5lBcEaU4o8teT1piV-SNzShjg/edit?gid=554141278#gid=554141278"", ""'Char Def. - Attributes'!C20:C2242""), 1,false)"),"EMBOSSED_BRAND_WINGS")</f>
        <v>EMBOSSED_BRAND_WINGS</v>
      </c>
      <c r="I10316" s="136"/>
      <c r="R10316" s="63" t="str">
        <f t="shared" si="60"/>
        <v>ZSI1_KITCHEN_APPLNEMBOSSED_BRAND_WINGS</v>
      </c>
    </row>
    <row r="10317" ht="15.75" customHeight="1">
      <c r="B10317" s="63">
        <f t="shared" si="1"/>
        <v>18</v>
      </c>
      <c r="C10317" s="135" t="s">
        <v>404</v>
      </c>
      <c r="D10317" s="161" t="s">
        <v>74</v>
      </c>
      <c r="E10317" s="135">
        <f t="shared" si="62"/>
        <v>3</v>
      </c>
      <c r="F10317" s="134" t="s">
        <v>3780</v>
      </c>
      <c r="G10317" s="63" t="str">
        <f>VLOOKUP(C10317, 'Class Def. - General Data'!$C$20:$C$1000,1,false)</f>
        <v>ZSI1_KITCHEN_APPLN</v>
      </c>
      <c r="H10317" s="63" t="str">
        <f>IFERROR(__xludf.DUMMYFUNCTION("VLOOKUP(F10317, IMPORTRANGE(""https://docs.google.com/spreadsheets/d/1Lhp9OU0JdFf_VYSMzH5lBcEaU4o8teT1piV-SNzShjg/edit?gid=554141278#gid=554141278"", ""'Char Def. - Attributes'!C20:C2242""), 1,false)"),"BRAND_WINGS_SIPI")</f>
        <v>BRAND_WINGS_SIPI</v>
      </c>
      <c r="I10317" s="136"/>
      <c r="R10317" s="63" t="str">
        <f t="shared" si="60"/>
        <v>ZSI1_KITCHEN_APPLNBRAND_WINGS_SIPI</v>
      </c>
    </row>
    <row r="10318" ht="15.75" customHeight="1">
      <c r="B10318" s="63">
        <f t="shared" si="1"/>
        <v>18</v>
      </c>
      <c r="C10318" s="135" t="s">
        <v>404</v>
      </c>
      <c r="D10318" s="161" t="s">
        <v>74</v>
      </c>
      <c r="E10318" s="135">
        <f t="shared" si="62"/>
        <v>4</v>
      </c>
      <c r="F10318" s="134" t="s">
        <v>4728</v>
      </c>
      <c r="G10318" s="63" t="str">
        <f>VLOOKUP(C10318, 'Class Def. - General Data'!$C$20:$C$1000,1,false)</f>
        <v>ZSI1_KITCHEN_APPLN</v>
      </c>
      <c r="H10318" s="63" t="str">
        <f>IFERROR(__xludf.DUMMYFUNCTION("VLOOKUP(F10318, IMPORTRANGE(""https://docs.google.com/spreadsheets/d/1Lhp9OU0JdFf_VYSMzH5lBcEaU4o8teT1piV-SNzShjg/edit?gid=554141278#gid=554141278"", ""'Char Def. - Attributes'!C20:C2242""), 1,false)"),"TYPE_KITCHEN_APPLN")</f>
        <v>TYPE_KITCHEN_APPLN</v>
      </c>
      <c r="I10318" s="136"/>
      <c r="R10318" s="63" t="str">
        <f t="shared" si="60"/>
        <v>ZSI1_KITCHEN_APPLNTYPE_KITCHEN_APPLN</v>
      </c>
    </row>
    <row r="10319" ht="15.75" customHeight="1">
      <c r="B10319" s="63">
        <f t="shared" si="1"/>
        <v>18</v>
      </c>
      <c r="C10319" s="135" t="s">
        <v>404</v>
      </c>
      <c r="D10319" s="161" t="s">
        <v>74</v>
      </c>
      <c r="E10319" s="135">
        <f t="shared" si="62"/>
        <v>5</v>
      </c>
      <c r="F10319" s="134" t="s">
        <v>3782</v>
      </c>
      <c r="G10319" s="63" t="str">
        <f>VLOOKUP(C10319, 'Class Def. - General Data'!$C$20:$C$1000,1,false)</f>
        <v>ZSI1_KITCHEN_APPLN</v>
      </c>
      <c r="H10319" s="63" t="str">
        <f>IFERROR(__xludf.DUMMYFUNCTION("VLOOKUP(F10319, IMPORTRANGE(""https://docs.google.com/spreadsheets/d/1Lhp9OU0JdFf_VYSMzH5lBcEaU4o8teT1piV-SNzShjg/edit?gid=554141278#gid=554141278"", ""'Char Def. - Attributes'!C20:C2242""), 1,false)"),"BRAND_EXTERNAL")</f>
        <v>BRAND_EXTERNAL</v>
      </c>
      <c r="I10319" s="136"/>
      <c r="R10319" s="63" t="str">
        <f t="shared" si="60"/>
        <v>ZSI1_KITCHEN_APPLNBRAND_EXTERNAL</v>
      </c>
    </row>
    <row r="10320" ht="15.75" customHeight="1">
      <c r="B10320" s="63">
        <f t="shared" si="1"/>
        <v>18</v>
      </c>
      <c r="C10320" s="135" t="s">
        <v>404</v>
      </c>
      <c r="D10320" s="161" t="s">
        <v>74</v>
      </c>
      <c r="E10320" s="135">
        <f t="shared" si="62"/>
        <v>6</v>
      </c>
      <c r="F10320" s="134" t="s">
        <v>3778</v>
      </c>
      <c r="G10320" s="63" t="str">
        <f>VLOOKUP(C10320, 'Class Def. - General Data'!$C$20:$C$1000,1,false)</f>
        <v>ZSI1_KITCHEN_APPLN</v>
      </c>
      <c r="H10320" s="63" t="str">
        <f>IFERROR(__xludf.DUMMYFUNCTION("VLOOKUP(F10320, IMPORTRANGE(""https://docs.google.com/spreadsheets/d/1Lhp9OU0JdFf_VYSMzH5lBcEaU4o8teT1piV-SNzShjg/edit?gid=554141278#gid=554141278"", ""'Char Def. - Attributes'!C20:C2242""), 1,false)"),"SPECIAL_ACTIVITY")</f>
        <v>SPECIAL_ACTIVITY</v>
      </c>
      <c r="I10320" s="136"/>
      <c r="R10320" s="63" t="str">
        <f t="shared" si="60"/>
        <v>ZSI1_KITCHEN_APPLNSPECIAL_ACTIVITY</v>
      </c>
    </row>
    <row r="10321" ht="15.75" customHeight="1">
      <c r="B10321" s="63">
        <f t="shared" si="1"/>
        <v>18</v>
      </c>
      <c r="C10321" s="135" t="s">
        <v>404</v>
      </c>
      <c r="D10321" s="161" t="s">
        <v>74</v>
      </c>
      <c r="E10321" s="135">
        <f t="shared" si="62"/>
        <v>7</v>
      </c>
      <c r="F10321" s="134" t="s">
        <v>3585</v>
      </c>
      <c r="G10321" s="63" t="str">
        <f>VLOOKUP(C10321, 'Class Def. - General Data'!$C$20:$C$1000,1,false)</f>
        <v>ZSI1_KITCHEN_APPLN</v>
      </c>
      <c r="H10321" s="63" t="str">
        <f>IFERROR(__xludf.DUMMYFUNCTION("VLOOKUP(F10321, IMPORTRANGE(""https://docs.google.com/spreadsheets/d/1Lhp9OU0JdFf_VYSMzH5lBcEaU4o8teT1piV-SNzShjg/edit?gid=554141278#gid=554141278"", ""'Char Def. - Attributes'!C20:C2242""), 1,false)"),"HS_CODE")</f>
        <v>HS_CODE</v>
      </c>
      <c r="I10321" s="136"/>
      <c r="R10321" s="63" t="str">
        <f t="shared" si="60"/>
        <v>ZSI1_KITCHEN_APPLNHS_CODE</v>
      </c>
    </row>
    <row r="10322" ht="15.75" customHeight="1">
      <c r="B10322" s="63">
        <f t="shared" si="1"/>
        <v>18</v>
      </c>
      <c r="C10322" s="135" t="s">
        <v>404</v>
      </c>
      <c r="D10322" s="161" t="s">
        <v>74</v>
      </c>
      <c r="E10322" s="135">
        <f t="shared" si="62"/>
        <v>8</v>
      </c>
      <c r="F10322" s="134" t="s">
        <v>3587</v>
      </c>
      <c r="G10322" s="63" t="str">
        <f>VLOOKUP(C10322, 'Class Def. - General Data'!$C$20:$C$1000,1,false)</f>
        <v>ZSI1_KITCHEN_APPLN</v>
      </c>
      <c r="H10322" s="63" t="str">
        <f>IFERROR(__xludf.DUMMYFUNCTION("VLOOKUP(F10322, IMPORTRANGE(""https://docs.google.com/spreadsheets/d/1Lhp9OU0JdFf_VYSMzH5lBcEaU4o8teT1piV-SNzShjg/edit?gid=554141278#gid=554141278"", ""'Char Def. - Attributes'!C20:C2242""), 1,false)"),"PLANT_BUY")</f>
        <v>PLANT_BUY</v>
      </c>
      <c r="I10322" s="136"/>
      <c r="R10322" s="63" t="str">
        <f t="shared" si="60"/>
        <v>ZSI1_KITCHEN_APPLNPLANT_BUY</v>
      </c>
    </row>
    <row r="10323" ht="15.75" customHeight="1">
      <c r="B10323" s="63">
        <f t="shared" si="1"/>
        <v>18</v>
      </c>
      <c r="C10323" s="135" t="s">
        <v>404</v>
      </c>
      <c r="D10323" s="161" t="s">
        <v>74</v>
      </c>
      <c r="E10323" s="135">
        <f t="shared" si="62"/>
        <v>9</v>
      </c>
      <c r="F10323" s="134" t="s">
        <v>4729</v>
      </c>
      <c r="G10323" s="63" t="str">
        <f>VLOOKUP(C10323, 'Class Def. - General Data'!$C$20:$C$1000,1,false)</f>
        <v>ZSI1_KITCHEN_APPLN</v>
      </c>
      <c r="H10323" s="63" t="str">
        <f>IFERROR(__xludf.DUMMYFUNCTION("VLOOKUP(F10323, IMPORTRANGE(""https://docs.google.com/spreadsheets/d/1Lhp9OU0JdFf_VYSMzH5lBcEaU4o8teT1piV-SNzShjg/edit?gid=554141278#gid=554141278"", ""'Char Def. - Attributes'!C20:C2242""), 1,false)"),"BASE_UOM_KITCHEN_APPLN")</f>
        <v>BASE_UOM_KITCHEN_APPLN</v>
      </c>
      <c r="I10323" s="136"/>
      <c r="R10323" s="63" t="str">
        <f t="shared" si="60"/>
        <v>ZSI1_KITCHEN_APPLNBASE_UOM_KITCHEN_APPLN</v>
      </c>
    </row>
    <row r="10324" ht="15.75" customHeight="1">
      <c r="B10324" s="63">
        <f t="shared" si="1"/>
        <v>18</v>
      </c>
      <c r="C10324" s="135" t="s">
        <v>404</v>
      </c>
      <c r="D10324" s="161" t="s">
        <v>74</v>
      </c>
      <c r="E10324" s="135">
        <f t="shared" si="62"/>
        <v>10</v>
      </c>
      <c r="F10324" s="134" t="s">
        <v>4730</v>
      </c>
      <c r="G10324" s="63" t="str">
        <f>VLOOKUP(C10324, 'Class Def. - General Data'!$C$20:$C$1000,1,false)</f>
        <v>ZSI1_KITCHEN_APPLN</v>
      </c>
      <c r="H10324" s="63" t="str">
        <f>IFERROR(__xludf.DUMMYFUNCTION("VLOOKUP(F10324, IMPORTRANGE(""https://docs.google.com/spreadsheets/d/1Lhp9OU0JdFf_VYSMzH5lBcEaU4o8teT1piV-SNzShjg/edit?gid=554141278#gid=554141278"", ""'Char Def. - Attributes'!C20:C2242""), 1,false)"),"ORDER_UNIT_KITCHEN_APPLN")</f>
        <v>ORDER_UNIT_KITCHEN_APPLN</v>
      </c>
      <c r="I10324" s="136"/>
      <c r="R10324" s="63" t="str">
        <f t="shared" si="60"/>
        <v>ZSI1_KITCHEN_APPLNORDER_UNIT_KITCHEN_APPLN</v>
      </c>
    </row>
    <row r="10325" ht="15.75" customHeight="1">
      <c r="B10325" s="63">
        <f t="shared" si="1"/>
        <v>18</v>
      </c>
      <c r="C10325" s="135" t="s">
        <v>404</v>
      </c>
      <c r="D10325" s="161" t="s">
        <v>74</v>
      </c>
      <c r="E10325" s="135">
        <f t="shared" si="62"/>
        <v>11</v>
      </c>
      <c r="F10325" s="134" t="s">
        <v>4056</v>
      </c>
      <c r="G10325" s="63" t="str">
        <f>VLOOKUP(C10325, 'Class Def. - General Data'!$C$20:$C$1000,1,false)</f>
        <v>ZSI1_KITCHEN_APPLN</v>
      </c>
      <c r="H10325" s="63" t="str">
        <f>IFERROR(__xludf.DUMMYFUNCTION("VLOOKUP(F10325, IMPORTRANGE(""https://docs.google.com/spreadsheets/d/1Lhp9OU0JdFf_VYSMzH5lBcEaU4o8teT1piV-SNzShjg/edit?gid=554141278#gid=554141278"", ""'Char Def. - Attributes'!C20:C2242""), 1,false)"),"GROSS_WEIGHT_OPT")</f>
        <v>GROSS_WEIGHT_OPT</v>
      </c>
      <c r="I10325" s="136"/>
      <c r="R10325" s="63" t="str">
        <f t="shared" si="60"/>
        <v>ZSI1_KITCHEN_APPLNGROSS_WEIGHT_OPT</v>
      </c>
    </row>
    <row r="10326" ht="15.75" customHeight="1">
      <c r="B10326" s="63">
        <f t="shared" si="1"/>
        <v>18</v>
      </c>
      <c r="C10326" s="135" t="s">
        <v>404</v>
      </c>
      <c r="D10326" s="161" t="s">
        <v>74</v>
      </c>
      <c r="E10326" s="135">
        <f t="shared" si="62"/>
        <v>12</v>
      </c>
      <c r="F10326" s="134" t="s">
        <v>4057</v>
      </c>
      <c r="G10326" s="63" t="str">
        <f>VLOOKUP(C10326, 'Class Def. - General Data'!$C$20:$C$1000,1,false)</f>
        <v>ZSI1_KITCHEN_APPLN</v>
      </c>
      <c r="H10326" s="63" t="str">
        <f>IFERROR(__xludf.DUMMYFUNCTION("VLOOKUP(F10326, IMPORTRANGE(""https://docs.google.com/spreadsheets/d/1Lhp9OU0JdFf_VYSMzH5lBcEaU4o8teT1piV-SNzShjg/edit?gid=554141278#gid=554141278"", ""'Char Def. - Attributes'!C20:C2242""), 1,false)"),"NET_WEIGHT_OPT")</f>
        <v>NET_WEIGHT_OPT</v>
      </c>
      <c r="I10326" s="136"/>
      <c r="R10326" s="63" t="str">
        <f t="shared" si="60"/>
        <v>ZSI1_KITCHEN_APPLNNET_WEIGHT_OPT</v>
      </c>
    </row>
    <row r="10327" ht="15.75" customHeight="1">
      <c r="B10327" s="63">
        <f t="shared" si="1"/>
        <v>18</v>
      </c>
      <c r="C10327" s="135" t="s">
        <v>404</v>
      </c>
      <c r="D10327" s="161" t="s">
        <v>74</v>
      </c>
      <c r="E10327" s="135">
        <f t="shared" si="62"/>
        <v>13</v>
      </c>
      <c r="F10327" s="134" t="s">
        <v>4058</v>
      </c>
      <c r="G10327" s="63" t="str">
        <f>VLOOKUP(C10327, 'Class Def. - General Data'!$C$20:$C$1000,1,false)</f>
        <v>ZSI1_KITCHEN_APPLN</v>
      </c>
      <c r="H10327" s="63" t="str">
        <f>IFERROR(__xludf.DUMMYFUNCTION("VLOOKUP(F10327, IMPORTRANGE(""https://docs.google.com/spreadsheets/d/1Lhp9OU0JdFf_VYSMzH5lBcEaU4o8teT1piV-SNzShjg/edit?gid=554141278#gid=554141278"", ""'Char Def. - Attributes'!C20:C2242""), 1,false)"),"WEIGHT_UNIT_SI")</f>
        <v>WEIGHT_UNIT_SI</v>
      </c>
      <c r="I10327" s="136"/>
      <c r="R10327" s="63" t="str">
        <f t="shared" si="60"/>
        <v>ZSI1_KITCHEN_APPLNWEIGHT_UNIT_SI</v>
      </c>
    </row>
    <row r="10328" ht="15.75" customHeight="1">
      <c r="B10328" s="63">
        <f t="shared" si="1"/>
        <v>18</v>
      </c>
      <c r="C10328" s="135" t="s">
        <v>404</v>
      </c>
      <c r="D10328" s="161" t="s">
        <v>74</v>
      </c>
      <c r="E10328" s="135">
        <f t="shared" si="62"/>
        <v>14</v>
      </c>
      <c r="F10328" s="134" t="s">
        <v>3877</v>
      </c>
      <c r="G10328" s="63" t="str">
        <f>VLOOKUP(C10328, 'Class Def. - General Data'!$C$20:$C$1000,1,false)</f>
        <v>ZSI1_KITCHEN_APPLN</v>
      </c>
      <c r="H10328" s="63" t="str">
        <f>IFERROR(__xludf.DUMMYFUNCTION("VLOOKUP(F10328, IMPORTRANGE(""https://docs.google.com/spreadsheets/d/1Lhp9OU0JdFf_VYSMzH5lBcEaU4o8teT1piV-SNzShjg/edit?gid=554141278#gid=554141278"", ""'Char Def. - Attributes'!C20:C2242""), 1,false)"),"VOLUME_OPT")</f>
        <v>VOLUME_OPT</v>
      </c>
      <c r="I10328" s="136"/>
      <c r="R10328" s="63" t="str">
        <f t="shared" si="60"/>
        <v>ZSI1_KITCHEN_APPLNVOLUME_OPT</v>
      </c>
    </row>
    <row r="10329" ht="15.75" customHeight="1">
      <c r="B10329" s="63">
        <f t="shared" si="1"/>
        <v>18</v>
      </c>
      <c r="C10329" s="135" t="s">
        <v>404</v>
      </c>
      <c r="D10329" s="161" t="s">
        <v>74</v>
      </c>
      <c r="E10329" s="135">
        <f t="shared" si="62"/>
        <v>15</v>
      </c>
      <c r="F10329" s="134" t="s">
        <v>4059</v>
      </c>
      <c r="G10329" s="63" t="str">
        <f>VLOOKUP(C10329, 'Class Def. - General Data'!$C$20:$C$1000,1,false)</f>
        <v>ZSI1_KITCHEN_APPLN</v>
      </c>
      <c r="H10329" s="63" t="str">
        <f>IFERROR(__xludf.DUMMYFUNCTION("VLOOKUP(F10329, IMPORTRANGE(""https://docs.google.com/spreadsheets/d/1Lhp9OU0JdFf_VYSMzH5lBcEaU4o8teT1piV-SNzShjg/edit?gid=554141278#gid=554141278"", ""'Char Def. - Attributes'!C20:C2242""), 1,false)"),"VOLUME_UNIT_SI")</f>
        <v>VOLUME_UNIT_SI</v>
      </c>
      <c r="I10329" s="136"/>
      <c r="R10329" s="63" t="str">
        <f t="shared" si="60"/>
        <v>ZSI1_KITCHEN_APPLNVOLUME_UNIT_SI</v>
      </c>
    </row>
    <row r="10330" ht="15.75" customHeight="1">
      <c r="B10330" s="63">
        <f t="shared" si="1"/>
        <v>18</v>
      </c>
      <c r="C10330" s="135" t="s">
        <v>404</v>
      </c>
      <c r="D10330" s="161" t="s">
        <v>74</v>
      </c>
      <c r="E10330" s="135">
        <f t="shared" si="62"/>
        <v>16</v>
      </c>
      <c r="F10330" s="134" t="s">
        <v>3804</v>
      </c>
      <c r="G10330" s="63" t="str">
        <f>VLOOKUP(C10330, 'Class Def. - General Data'!$C$20:$C$1000,1,false)</f>
        <v>ZSI1_KITCHEN_APPLN</v>
      </c>
      <c r="H10330" s="63" t="str">
        <f>IFERROR(__xludf.DUMMYFUNCTION("VLOOKUP(F10330, IMPORTRANGE(""https://docs.google.com/spreadsheets/d/1Lhp9OU0JdFf_VYSMzH5lBcEaU4o8teT1piV-SNzShjg/edit?gid=554141278#gid=554141278"", ""'Char Def. - Attributes'!C20:C2242""), 1,false)"),"ALT_UOM1_SIPI")</f>
        <v>ALT_UOM1_SIPI</v>
      </c>
      <c r="I10330" s="136"/>
      <c r="R10330" s="63" t="str">
        <f t="shared" si="60"/>
        <v>ZSI1_KITCHEN_APPLNALT_UOM1_SIPI</v>
      </c>
    </row>
    <row r="10331" ht="15.75" customHeight="1">
      <c r="B10331" s="63">
        <f t="shared" si="1"/>
        <v>18</v>
      </c>
      <c r="C10331" s="135" t="s">
        <v>404</v>
      </c>
      <c r="D10331" s="161" t="s">
        <v>74</v>
      </c>
      <c r="E10331" s="135">
        <f t="shared" si="62"/>
        <v>17</v>
      </c>
      <c r="F10331" s="134" t="s">
        <v>3805</v>
      </c>
      <c r="G10331" s="63" t="str">
        <f>VLOOKUP(C10331, 'Class Def. - General Data'!$C$20:$C$1000,1,false)</f>
        <v>ZSI1_KITCHEN_APPLN</v>
      </c>
      <c r="H10331" s="63" t="str">
        <f>IFERROR(__xludf.DUMMYFUNCTION("VLOOKUP(F10331, IMPORTRANGE(""https://docs.google.com/spreadsheets/d/1Lhp9OU0JdFf_VYSMzH5lBcEaU4o8teT1piV-SNzShjg/edit?gid=554141278#gid=554141278"", ""'Char Def. - Attributes'!C20:C2242""), 1,false)"),"ALT_DENUM_UOM1")</f>
        <v>ALT_DENUM_UOM1</v>
      </c>
      <c r="I10331" s="136"/>
      <c r="R10331" s="63" t="str">
        <f t="shared" si="60"/>
        <v>ZSI1_KITCHEN_APPLNALT_DENUM_UOM1</v>
      </c>
    </row>
    <row r="10332" ht="15.75" customHeight="1">
      <c r="B10332" s="63">
        <f t="shared" si="1"/>
        <v>18</v>
      </c>
      <c r="C10332" s="135" t="s">
        <v>404</v>
      </c>
      <c r="D10332" s="161" t="s">
        <v>74</v>
      </c>
      <c r="E10332" s="135">
        <f t="shared" si="62"/>
        <v>18</v>
      </c>
      <c r="F10332" s="134" t="s">
        <v>3806</v>
      </c>
      <c r="G10332" s="63" t="str">
        <f>VLOOKUP(C10332, 'Class Def. - General Data'!$C$20:$C$1000,1,false)</f>
        <v>ZSI1_KITCHEN_APPLN</v>
      </c>
      <c r="H10332" s="63" t="str">
        <f>IFERROR(__xludf.DUMMYFUNCTION("VLOOKUP(F10332, IMPORTRANGE(""https://docs.google.com/spreadsheets/d/1Lhp9OU0JdFf_VYSMzH5lBcEaU4o8teT1piV-SNzShjg/edit?gid=554141278#gid=554141278"", ""'Char Def. - Attributes'!C20:C2242""), 1,false)"),"ALT_NUM_UOM1")</f>
        <v>ALT_NUM_UOM1</v>
      </c>
      <c r="I10332" s="136"/>
      <c r="R10332" s="63" t="str">
        <f t="shared" si="60"/>
        <v>ZSI1_KITCHEN_APPLNALT_NUM_UOM1</v>
      </c>
    </row>
    <row r="10333" ht="15.75" customHeight="1">
      <c r="B10333" s="63">
        <f t="shared" si="1"/>
        <v>18</v>
      </c>
      <c r="C10333" s="135" t="s">
        <v>404</v>
      </c>
      <c r="D10333" s="161" t="s">
        <v>74</v>
      </c>
      <c r="E10333" s="135">
        <f t="shared" si="62"/>
        <v>19</v>
      </c>
      <c r="F10333" s="134" t="s">
        <v>3807</v>
      </c>
      <c r="G10333" s="63" t="str">
        <f>VLOOKUP(C10333, 'Class Def. - General Data'!$C$20:$C$1000,1,false)</f>
        <v>ZSI1_KITCHEN_APPLN</v>
      </c>
      <c r="H10333" s="63" t="str">
        <f>IFERROR(__xludf.DUMMYFUNCTION("VLOOKUP(F10333, IMPORTRANGE(""https://docs.google.com/spreadsheets/d/1Lhp9OU0JdFf_VYSMzH5lBcEaU4o8teT1piV-SNzShjg/edit?gid=554141278#gid=554141278"", ""'Char Def. - Attributes'!C20:C2242""), 1,false)"),"ALT_UOM2_SIPI")</f>
        <v>ALT_UOM2_SIPI</v>
      </c>
      <c r="I10333" s="136"/>
      <c r="R10333" s="63" t="str">
        <f t="shared" si="60"/>
        <v>ZSI1_KITCHEN_APPLNALT_UOM2_SIPI</v>
      </c>
    </row>
    <row r="10334" ht="15.75" customHeight="1">
      <c r="B10334" s="63">
        <f t="shared" si="1"/>
        <v>18</v>
      </c>
      <c r="C10334" s="135" t="s">
        <v>404</v>
      </c>
      <c r="D10334" s="161" t="s">
        <v>74</v>
      </c>
      <c r="E10334" s="135">
        <f t="shared" si="62"/>
        <v>20</v>
      </c>
      <c r="F10334" s="134" t="s">
        <v>3808</v>
      </c>
      <c r="G10334" s="63" t="str">
        <f>VLOOKUP(C10334, 'Class Def. - General Data'!$C$20:$C$1000,1,false)</f>
        <v>ZSI1_KITCHEN_APPLN</v>
      </c>
      <c r="H10334" s="63" t="str">
        <f>IFERROR(__xludf.DUMMYFUNCTION("VLOOKUP(F10334, IMPORTRANGE(""https://docs.google.com/spreadsheets/d/1Lhp9OU0JdFf_VYSMzH5lBcEaU4o8teT1piV-SNzShjg/edit?gid=554141278#gid=554141278"", ""'Char Def. - Attributes'!C20:C2242""), 1,false)"),"ALT_DENUM_UOM2")</f>
        <v>ALT_DENUM_UOM2</v>
      </c>
      <c r="I10334" s="136"/>
      <c r="R10334" s="63" t="str">
        <f t="shared" si="60"/>
        <v>ZSI1_KITCHEN_APPLNALT_DENUM_UOM2</v>
      </c>
    </row>
    <row r="10335" ht="15.75" customHeight="1">
      <c r="B10335" s="63">
        <f t="shared" si="1"/>
        <v>18</v>
      </c>
      <c r="C10335" s="135" t="s">
        <v>404</v>
      </c>
      <c r="D10335" s="161" t="s">
        <v>74</v>
      </c>
      <c r="E10335" s="135">
        <f t="shared" si="62"/>
        <v>21</v>
      </c>
      <c r="F10335" s="134" t="s">
        <v>3809</v>
      </c>
      <c r="G10335" s="63" t="str">
        <f>VLOOKUP(C10335, 'Class Def. - General Data'!$C$20:$C$1000,1,false)</f>
        <v>ZSI1_KITCHEN_APPLN</v>
      </c>
      <c r="H10335" s="63" t="str">
        <f>IFERROR(__xludf.DUMMYFUNCTION("VLOOKUP(F10335, IMPORTRANGE(""https://docs.google.com/spreadsheets/d/1Lhp9OU0JdFf_VYSMzH5lBcEaU4o8teT1piV-SNzShjg/edit?gid=554141278#gid=554141278"", ""'Char Def. - Attributes'!C20:C2242""), 1,false)"),"ALT_NUM_UOM2")</f>
        <v>ALT_NUM_UOM2</v>
      </c>
      <c r="I10335" s="136"/>
      <c r="R10335" s="63" t="str">
        <f t="shared" si="60"/>
        <v>ZSI1_KITCHEN_APPLNALT_NUM_UOM2</v>
      </c>
    </row>
    <row r="10336" ht="15.75" customHeight="1">
      <c r="B10336" s="63">
        <f t="shared" si="1"/>
        <v>18</v>
      </c>
      <c r="C10336" s="135" t="s">
        <v>404</v>
      </c>
      <c r="D10336" s="161" t="s">
        <v>74</v>
      </c>
      <c r="E10336" s="135">
        <f t="shared" si="62"/>
        <v>22</v>
      </c>
      <c r="F10336" s="134" t="s">
        <v>3810</v>
      </c>
      <c r="G10336" s="63" t="str">
        <f>VLOOKUP(C10336, 'Class Def. - General Data'!$C$20:$C$1000,1,false)</f>
        <v>ZSI1_KITCHEN_APPLN</v>
      </c>
      <c r="H10336" s="63" t="str">
        <f>IFERROR(__xludf.DUMMYFUNCTION("VLOOKUP(F10336, IMPORTRANGE(""https://docs.google.com/spreadsheets/d/1Lhp9OU0JdFf_VYSMzH5lBcEaU4o8teT1piV-SNzShjg/edit?gid=554141278#gid=554141278"", ""'Char Def. - Attributes'!C20:C2242""), 1,false)"),"ALT_UOM3_SIPI")</f>
        <v>ALT_UOM3_SIPI</v>
      </c>
      <c r="I10336" s="136"/>
      <c r="R10336" s="63" t="str">
        <f t="shared" si="60"/>
        <v>ZSI1_KITCHEN_APPLNALT_UOM3_SIPI</v>
      </c>
    </row>
    <row r="10337" ht="15.75" customHeight="1">
      <c r="B10337" s="63">
        <f t="shared" si="1"/>
        <v>18</v>
      </c>
      <c r="C10337" s="135" t="s">
        <v>404</v>
      </c>
      <c r="D10337" s="161" t="s">
        <v>74</v>
      </c>
      <c r="E10337" s="135">
        <f t="shared" si="62"/>
        <v>23</v>
      </c>
      <c r="F10337" s="134" t="s">
        <v>3811</v>
      </c>
      <c r="G10337" s="63" t="str">
        <f>VLOOKUP(C10337, 'Class Def. - General Data'!$C$20:$C$1000,1,false)</f>
        <v>ZSI1_KITCHEN_APPLN</v>
      </c>
      <c r="H10337" s="63" t="str">
        <f>IFERROR(__xludf.DUMMYFUNCTION("VLOOKUP(F10337, IMPORTRANGE(""https://docs.google.com/spreadsheets/d/1Lhp9OU0JdFf_VYSMzH5lBcEaU4o8teT1piV-SNzShjg/edit?gid=554141278#gid=554141278"", ""'Char Def. - Attributes'!C20:C2242""), 1,false)"),"ALT_DENUM_UOM3")</f>
        <v>ALT_DENUM_UOM3</v>
      </c>
      <c r="I10337" s="136"/>
      <c r="R10337" s="63" t="str">
        <f t="shared" si="60"/>
        <v>ZSI1_KITCHEN_APPLNALT_DENUM_UOM3</v>
      </c>
    </row>
    <row r="10338" ht="15.75" customHeight="1">
      <c r="B10338" s="63">
        <f t="shared" si="1"/>
        <v>18</v>
      </c>
      <c r="C10338" s="135" t="s">
        <v>404</v>
      </c>
      <c r="D10338" s="161" t="s">
        <v>74</v>
      </c>
      <c r="E10338" s="135">
        <f t="shared" si="62"/>
        <v>24</v>
      </c>
      <c r="F10338" s="134" t="s">
        <v>3812</v>
      </c>
      <c r="G10338" s="63" t="str">
        <f>VLOOKUP(C10338, 'Class Def. - General Data'!$C$20:$C$1000,1,false)</f>
        <v>ZSI1_KITCHEN_APPLN</v>
      </c>
      <c r="H10338" s="63" t="str">
        <f>IFERROR(__xludf.DUMMYFUNCTION("VLOOKUP(F10338, IMPORTRANGE(""https://docs.google.com/spreadsheets/d/1Lhp9OU0JdFf_VYSMzH5lBcEaU4o8teT1piV-SNzShjg/edit?gid=554141278#gid=554141278"", ""'Char Def. - Attributes'!C20:C2242""), 1,false)"),"ALT_NUM_UOM3")</f>
        <v>ALT_NUM_UOM3</v>
      </c>
      <c r="I10338" s="136"/>
      <c r="R10338" s="63" t="str">
        <f t="shared" si="60"/>
        <v>ZSI1_KITCHEN_APPLNALT_NUM_UOM3</v>
      </c>
    </row>
    <row r="10339" ht="15.75" customHeight="1">
      <c r="B10339" s="63">
        <f t="shared" si="1"/>
        <v>18</v>
      </c>
      <c r="C10339" s="135" t="s">
        <v>404</v>
      </c>
      <c r="D10339" s="161" t="s">
        <v>74</v>
      </c>
      <c r="E10339" s="135">
        <f t="shared" si="62"/>
        <v>25</v>
      </c>
      <c r="F10339" s="134" t="s">
        <v>3813</v>
      </c>
      <c r="G10339" s="63" t="str">
        <f>VLOOKUP(C10339, 'Class Def. - General Data'!$C$20:$C$1000,1,false)</f>
        <v>ZSI1_KITCHEN_APPLN</v>
      </c>
      <c r="H10339" s="63" t="str">
        <f>IFERROR(__xludf.DUMMYFUNCTION("VLOOKUP(F10339, IMPORTRANGE(""https://docs.google.com/spreadsheets/d/1Lhp9OU0JdFf_VYSMzH5lBcEaU4o8teT1piV-SNzShjg/edit?gid=554141278#gid=554141278"", ""'Char Def. - Attributes'!C20:C2242""), 1,false)"),"ALT_UOM4_SIPI")</f>
        <v>ALT_UOM4_SIPI</v>
      </c>
      <c r="I10339" s="136"/>
      <c r="R10339" s="63" t="str">
        <f t="shared" si="60"/>
        <v>ZSI1_KITCHEN_APPLNALT_UOM4_SIPI</v>
      </c>
    </row>
    <row r="10340" ht="15.75" customHeight="1">
      <c r="B10340" s="63">
        <f t="shared" si="1"/>
        <v>18</v>
      </c>
      <c r="C10340" s="135" t="s">
        <v>404</v>
      </c>
      <c r="D10340" s="161" t="s">
        <v>74</v>
      </c>
      <c r="E10340" s="135">
        <f t="shared" si="62"/>
        <v>26</v>
      </c>
      <c r="F10340" s="134" t="s">
        <v>3814</v>
      </c>
      <c r="G10340" s="63" t="str">
        <f>VLOOKUP(C10340, 'Class Def. - General Data'!$C$20:$C$1000,1,false)</f>
        <v>ZSI1_KITCHEN_APPLN</v>
      </c>
      <c r="H10340" s="63" t="str">
        <f>IFERROR(__xludf.DUMMYFUNCTION("VLOOKUP(F10340, IMPORTRANGE(""https://docs.google.com/spreadsheets/d/1Lhp9OU0JdFf_VYSMzH5lBcEaU4o8teT1piV-SNzShjg/edit?gid=554141278#gid=554141278"", ""'Char Def. - Attributes'!C20:C2242""), 1,false)"),"ALT_DENUM_UOM4")</f>
        <v>ALT_DENUM_UOM4</v>
      </c>
      <c r="I10340" s="136"/>
      <c r="R10340" s="63" t="str">
        <f t="shared" si="60"/>
        <v>ZSI1_KITCHEN_APPLNALT_DENUM_UOM4</v>
      </c>
    </row>
    <row r="10341" ht="15.75" customHeight="1">
      <c r="B10341" s="63">
        <f t="shared" si="1"/>
        <v>18</v>
      </c>
      <c r="C10341" s="135" t="s">
        <v>404</v>
      </c>
      <c r="D10341" s="161" t="s">
        <v>74</v>
      </c>
      <c r="E10341" s="135">
        <f t="shared" si="62"/>
        <v>27</v>
      </c>
      <c r="F10341" s="134" t="s">
        <v>3815</v>
      </c>
      <c r="G10341" s="63" t="str">
        <f>VLOOKUP(C10341, 'Class Def. - General Data'!$C$20:$C$1000,1,false)</f>
        <v>ZSI1_KITCHEN_APPLN</v>
      </c>
      <c r="H10341" s="63" t="str">
        <f>IFERROR(__xludf.DUMMYFUNCTION("VLOOKUP(F10341, IMPORTRANGE(""https://docs.google.com/spreadsheets/d/1Lhp9OU0JdFf_VYSMzH5lBcEaU4o8teT1piV-SNzShjg/edit?gid=554141278#gid=554141278"", ""'Char Def. - Attributes'!C20:C2242""), 1,false)"),"ALT_NUM_UOM4")</f>
        <v>ALT_NUM_UOM4</v>
      </c>
      <c r="I10341" s="136"/>
      <c r="R10341" s="63" t="str">
        <f t="shared" si="60"/>
        <v>ZSI1_KITCHEN_APPLNALT_NUM_UOM4</v>
      </c>
    </row>
    <row r="10342" ht="15.75" customHeight="1">
      <c r="B10342" s="63">
        <f t="shared" si="1"/>
        <v>18</v>
      </c>
      <c r="C10342" s="135" t="s">
        <v>404</v>
      </c>
      <c r="D10342" s="161" t="s">
        <v>74</v>
      </c>
      <c r="E10342" s="135">
        <f t="shared" si="62"/>
        <v>28</v>
      </c>
      <c r="F10342" s="134" t="s">
        <v>3816</v>
      </c>
      <c r="G10342" s="63" t="str">
        <f>VLOOKUP(C10342, 'Class Def. - General Data'!$C$20:$C$1000,1,false)</f>
        <v>ZSI1_KITCHEN_APPLN</v>
      </c>
      <c r="H10342" s="63" t="str">
        <f>IFERROR(__xludf.DUMMYFUNCTION("VLOOKUP(F10342, IMPORTRANGE(""https://docs.google.com/spreadsheets/d/1Lhp9OU0JdFf_VYSMzH5lBcEaU4o8teT1piV-SNzShjg/edit?gid=554141278#gid=554141278"", ""'Char Def. - Attributes'!C20:C2242""), 1,false)"),"ALT_UOM5_SIPI")</f>
        <v>ALT_UOM5_SIPI</v>
      </c>
      <c r="I10342" s="136"/>
      <c r="R10342" s="63" t="str">
        <f t="shared" si="60"/>
        <v>ZSI1_KITCHEN_APPLNALT_UOM5_SIPI</v>
      </c>
    </row>
    <row r="10343" ht="15.75" customHeight="1">
      <c r="B10343" s="63">
        <f t="shared" si="1"/>
        <v>18</v>
      </c>
      <c r="C10343" s="135" t="s">
        <v>404</v>
      </c>
      <c r="D10343" s="161" t="s">
        <v>74</v>
      </c>
      <c r="E10343" s="135">
        <f t="shared" si="62"/>
        <v>29</v>
      </c>
      <c r="F10343" s="134" t="s">
        <v>3817</v>
      </c>
      <c r="G10343" s="63" t="str">
        <f>VLOOKUP(C10343, 'Class Def. - General Data'!$C$20:$C$1000,1,false)</f>
        <v>ZSI1_KITCHEN_APPLN</v>
      </c>
      <c r="H10343" s="63" t="str">
        <f>IFERROR(__xludf.DUMMYFUNCTION("VLOOKUP(F10343, IMPORTRANGE(""https://docs.google.com/spreadsheets/d/1Lhp9OU0JdFf_VYSMzH5lBcEaU4o8teT1piV-SNzShjg/edit?gid=554141278#gid=554141278"", ""'Char Def. - Attributes'!C20:C2242""), 1,false)"),"ALT_DENUM_UOM5")</f>
        <v>ALT_DENUM_UOM5</v>
      </c>
      <c r="I10343" s="136"/>
      <c r="R10343" s="63" t="str">
        <f t="shared" si="60"/>
        <v>ZSI1_KITCHEN_APPLNALT_DENUM_UOM5</v>
      </c>
    </row>
    <row r="10344" ht="15.75" customHeight="1">
      <c r="B10344" s="63">
        <f t="shared" si="1"/>
        <v>18</v>
      </c>
      <c r="C10344" s="135" t="s">
        <v>404</v>
      </c>
      <c r="D10344" s="161" t="s">
        <v>74</v>
      </c>
      <c r="E10344" s="135">
        <f t="shared" si="62"/>
        <v>30</v>
      </c>
      <c r="F10344" s="134" t="s">
        <v>3818</v>
      </c>
      <c r="G10344" s="63" t="str">
        <f>VLOOKUP(C10344, 'Class Def. - General Data'!$C$20:$C$1000,1,false)</f>
        <v>ZSI1_KITCHEN_APPLN</v>
      </c>
      <c r="H10344" s="63" t="str">
        <f>IFERROR(__xludf.DUMMYFUNCTION("VLOOKUP(F10344, IMPORTRANGE(""https://docs.google.com/spreadsheets/d/1Lhp9OU0JdFf_VYSMzH5lBcEaU4o8teT1piV-SNzShjg/edit?gid=554141278#gid=554141278"", ""'Char Def. - Attributes'!C20:C2242""), 1,false)"),"ALT_NUM_UOM5")</f>
        <v>ALT_NUM_UOM5</v>
      </c>
      <c r="I10344" s="136"/>
      <c r="R10344" s="63" t="str">
        <f t="shared" si="60"/>
        <v>ZSI1_KITCHEN_APPLNALT_NUM_UOM5</v>
      </c>
    </row>
    <row r="10345" ht="15.75" customHeight="1">
      <c r="B10345" s="63">
        <f t="shared" si="1"/>
        <v>10</v>
      </c>
      <c r="C10345" s="135" t="s">
        <v>544</v>
      </c>
      <c r="D10345" s="161" t="s">
        <v>74</v>
      </c>
      <c r="E10345" s="135">
        <f t="shared" si="62"/>
        <v>1</v>
      </c>
      <c r="F10345" s="134" t="s">
        <v>4731</v>
      </c>
      <c r="G10345" s="63" t="str">
        <f>VLOOKUP(C10345, 'Class Def. - General Data'!$C$20:$C$1000,1,false)</f>
        <v>ZSI1_KUSEN</v>
      </c>
      <c r="H10345" s="63" t="str">
        <f>IFERROR(__xludf.DUMMYFUNCTION("VLOOKUP(F10345, IMPORTRANGE(""https://docs.google.com/spreadsheets/d/1Lhp9OU0JdFf_VYSMzH5lBcEaU4o8teT1piV-SNzShjg/edit?gid=554141278#gid=554141278"", ""'Char Def. - Attributes'!C20:C2242""), 1,false)"),"ITEM_NAME_KUSEN")</f>
        <v>ITEM_NAME_KUSEN</v>
      </c>
      <c r="I10345" s="136"/>
      <c r="R10345" s="63" t="str">
        <f t="shared" si="60"/>
        <v>ZSI1_KUSENITEM_NAME_KUSEN</v>
      </c>
    </row>
    <row r="10346" ht="15.75" customHeight="1">
      <c r="B10346" s="63">
        <f t="shared" si="1"/>
        <v>10</v>
      </c>
      <c r="C10346" s="135" t="s">
        <v>544</v>
      </c>
      <c r="D10346" s="161" t="s">
        <v>74</v>
      </c>
      <c r="E10346" s="135">
        <f t="shared" si="62"/>
        <v>2</v>
      </c>
      <c r="F10346" s="134" t="s">
        <v>4541</v>
      </c>
      <c r="G10346" s="63" t="str">
        <f>VLOOKUP(C10346, 'Class Def. - General Data'!$C$20:$C$1000,1,false)</f>
        <v>ZSI1_KUSEN</v>
      </c>
      <c r="H10346" s="63" t="str">
        <f>IFERROR(__xludf.DUMMYFUNCTION("VLOOKUP(F10346, IMPORTRANGE(""https://docs.google.com/spreadsheets/d/1Lhp9OU0JdFf_VYSMzH5lBcEaU4o8teT1piV-SNzShjg/edit?gid=554141278#gid=554141278"", ""'Char Def. - Attributes'!C20:C2242""), 1,false)"),"PERLU_BRAND")</f>
        <v>PERLU_BRAND</v>
      </c>
      <c r="I10346" s="136"/>
      <c r="R10346" s="63" t="str">
        <f t="shared" si="60"/>
        <v>ZSI1_KUSENPERLU_BRAND</v>
      </c>
    </row>
    <row r="10347" ht="15.75" customHeight="1">
      <c r="B10347" s="63">
        <f t="shared" si="1"/>
        <v>10</v>
      </c>
      <c r="C10347" s="135" t="s">
        <v>544</v>
      </c>
      <c r="D10347" s="161" t="s">
        <v>74</v>
      </c>
      <c r="E10347" s="135">
        <f t="shared" si="62"/>
        <v>3</v>
      </c>
      <c r="F10347" s="134" t="s">
        <v>3782</v>
      </c>
      <c r="G10347" s="63" t="str">
        <f>VLOOKUP(C10347, 'Class Def. - General Data'!$C$20:$C$1000,1,false)</f>
        <v>ZSI1_KUSEN</v>
      </c>
      <c r="H10347" s="63" t="str">
        <f>IFERROR(__xludf.DUMMYFUNCTION("VLOOKUP(F10347, IMPORTRANGE(""https://docs.google.com/spreadsheets/d/1Lhp9OU0JdFf_VYSMzH5lBcEaU4o8teT1piV-SNzShjg/edit?gid=554141278#gid=554141278"", ""'Char Def. - Attributes'!C20:C2242""), 1,false)"),"BRAND_EXTERNAL")</f>
        <v>BRAND_EXTERNAL</v>
      </c>
      <c r="I10347" s="136"/>
      <c r="R10347" s="63" t="str">
        <f t="shared" si="60"/>
        <v>ZSI1_KUSENBRAND_EXTERNAL</v>
      </c>
    </row>
    <row r="10348" ht="15.75" customHeight="1">
      <c r="B10348" s="63">
        <f t="shared" si="1"/>
        <v>10</v>
      </c>
      <c r="C10348" s="135" t="s">
        <v>544</v>
      </c>
      <c r="D10348" s="161" t="s">
        <v>74</v>
      </c>
      <c r="E10348" s="135">
        <f t="shared" si="62"/>
        <v>4</v>
      </c>
      <c r="F10348" s="134" t="s">
        <v>4062</v>
      </c>
      <c r="G10348" s="63" t="str">
        <f>VLOOKUP(C10348, 'Class Def. - General Data'!$C$20:$C$1000,1,false)</f>
        <v>ZSI1_KUSEN</v>
      </c>
      <c r="H10348" s="63" t="str">
        <f>IFERROR(__xludf.DUMMYFUNCTION("VLOOKUP(F10348, IMPORTRANGE(""https://docs.google.com/spreadsheets/d/1Lhp9OU0JdFf_VYSMzH5lBcEaU4o8teT1piV-SNzShjg/edit?gid=554141278#gid=554141278"", ""'Char Def. - Attributes'!C20:C2242""), 1,false)"),"#N/A")</f>
        <v>#N/A</v>
      </c>
      <c r="I10348" s="136"/>
      <c r="R10348" s="63" t="str">
        <f t="shared" si="60"/>
        <v>ZSI1_KUSENADDTIONAL_SPECIFICATION</v>
      </c>
    </row>
    <row r="10349" ht="15.75" customHeight="1">
      <c r="B10349" s="63">
        <f t="shared" si="1"/>
        <v>10</v>
      </c>
      <c r="C10349" s="135" t="s">
        <v>544</v>
      </c>
      <c r="D10349" s="161" t="s">
        <v>74</v>
      </c>
      <c r="E10349" s="135">
        <f t="shared" si="62"/>
        <v>5</v>
      </c>
      <c r="F10349" s="134" t="s">
        <v>3585</v>
      </c>
      <c r="G10349" s="63" t="str">
        <f>VLOOKUP(C10349, 'Class Def. - General Data'!$C$20:$C$1000,1,false)</f>
        <v>ZSI1_KUSEN</v>
      </c>
      <c r="H10349" s="63" t="str">
        <f>IFERROR(__xludf.DUMMYFUNCTION("VLOOKUP(F10349, IMPORTRANGE(""https://docs.google.com/spreadsheets/d/1Lhp9OU0JdFf_VYSMzH5lBcEaU4o8teT1piV-SNzShjg/edit?gid=554141278#gid=554141278"", ""'Char Def. - Attributes'!C20:C2242""), 1,false)"),"HS_CODE")</f>
        <v>HS_CODE</v>
      </c>
      <c r="I10349" s="136"/>
      <c r="R10349" s="63" t="str">
        <f t="shared" si="60"/>
        <v>ZSI1_KUSENHS_CODE</v>
      </c>
    </row>
    <row r="10350" ht="15.75" customHeight="1">
      <c r="B10350" s="63">
        <f t="shared" si="1"/>
        <v>10</v>
      </c>
      <c r="C10350" s="135" t="s">
        <v>544</v>
      </c>
      <c r="D10350" s="161" t="s">
        <v>74</v>
      </c>
      <c r="E10350" s="135">
        <f t="shared" si="62"/>
        <v>6</v>
      </c>
      <c r="F10350" s="134" t="s">
        <v>3587</v>
      </c>
      <c r="G10350" s="63" t="str">
        <f>VLOOKUP(C10350, 'Class Def. - General Data'!$C$20:$C$1000,1,false)</f>
        <v>ZSI1_KUSEN</v>
      </c>
      <c r="H10350" s="63" t="str">
        <f>IFERROR(__xludf.DUMMYFUNCTION("VLOOKUP(F10350, IMPORTRANGE(""https://docs.google.com/spreadsheets/d/1Lhp9OU0JdFf_VYSMzH5lBcEaU4o8teT1piV-SNzShjg/edit?gid=554141278#gid=554141278"", ""'Char Def. - Attributes'!C20:C2242""), 1,false)"),"PLANT_BUY")</f>
        <v>PLANT_BUY</v>
      </c>
      <c r="I10350" s="136"/>
      <c r="R10350" s="63" t="str">
        <f t="shared" si="60"/>
        <v>ZSI1_KUSENPLANT_BUY</v>
      </c>
    </row>
    <row r="10351" ht="15.75" customHeight="1">
      <c r="B10351" s="63">
        <f t="shared" si="1"/>
        <v>10</v>
      </c>
      <c r="C10351" s="135" t="s">
        <v>544</v>
      </c>
      <c r="D10351" s="161" t="s">
        <v>74</v>
      </c>
      <c r="E10351" s="135">
        <f t="shared" si="62"/>
        <v>7</v>
      </c>
      <c r="F10351" s="134" t="s">
        <v>4732</v>
      </c>
      <c r="G10351" s="63" t="str">
        <f>VLOOKUP(C10351, 'Class Def. - General Data'!$C$20:$C$1000,1,false)</f>
        <v>ZSI1_KUSEN</v>
      </c>
      <c r="H10351" s="63" t="str">
        <f>IFERROR(__xludf.DUMMYFUNCTION("VLOOKUP(F10351, IMPORTRANGE(""https://docs.google.com/spreadsheets/d/1Lhp9OU0JdFf_VYSMzH5lBcEaU4o8teT1piV-SNzShjg/edit?gid=554141278#gid=554141278"", ""'Char Def. - Attributes'!C20:C2242""), 1,false)"),"BASE_UOM_KUSEN")</f>
        <v>BASE_UOM_KUSEN</v>
      </c>
      <c r="I10351" s="136"/>
      <c r="R10351" s="63" t="str">
        <f t="shared" si="60"/>
        <v>ZSI1_KUSENBASE_UOM_KUSEN</v>
      </c>
    </row>
    <row r="10352" ht="15.75" customHeight="1">
      <c r="B10352" s="63">
        <f t="shared" si="1"/>
        <v>10</v>
      </c>
      <c r="C10352" s="135" t="s">
        <v>544</v>
      </c>
      <c r="D10352" s="161" t="s">
        <v>74</v>
      </c>
      <c r="E10352" s="135">
        <f t="shared" si="62"/>
        <v>8</v>
      </c>
      <c r="F10352" s="134" t="s">
        <v>4733</v>
      </c>
      <c r="G10352" s="63" t="str">
        <f>VLOOKUP(C10352, 'Class Def. - General Data'!$C$20:$C$1000,1,false)</f>
        <v>ZSI1_KUSEN</v>
      </c>
      <c r="H10352" s="63" t="str">
        <f>IFERROR(__xludf.DUMMYFUNCTION("VLOOKUP(F10352, IMPORTRANGE(""https://docs.google.com/spreadsheets/d/1Lhp9OU0JdFf_VYSMzH5lBcEaU4o8teT1piV-SNzShjg/edit?gid=554141278#gid=554141278"", ""'Char Def. - Attributes'!C20:C2242""), 1,false)"),"ORDER_UNIT_KUSEN")</f>
        <v>ORDER_UNIT_KUSEN</v>
      </c>
      <c r="I10352" s="136"/>
      <c r="R10352" s="63" t="str">
        <f t="shared" si="60"/>
        <v>ZSI1_KUSENORDER_UNIT_KUSEN</v>
      </c>
    </row>
    <row r="10353" ht="15.75" customHeight="1">
      <c r="B10353" s="63">
        <f t="shared" si="1"/>
        <v>10</v>
      </c>
      <c r="C10353" s="135" t="s">
        <v>544</v>
      </c>
      <c r="D10353" s="161" t="s">
        <v>74</v>
      </c>
      <c r="E10353" s="135">
        <f t="shared" si="62"/>
        <v>9</v>
      </c>
      <c r="F10353" s="134" t="s">
        <v>4056</v>
      </c>
      <c r="G10353" s="63" t="str">
        <f>VLOOKUP(C10353, 'Class Def. - General Data'!$C$20:$C$1000,1,false)</f>
        <v>ZSI1_KUSEN</v>
      </c>
      <c r="H10353" s="63" t="str">
        <f>IFERROR(__xludf.DUMMYFUNCTION("VLOOKUP(F10353, IMPORTRANGE(""https://docs.google.com/spreadsheets/d/1Lhp9OU0JdFf_VYSMzH5lBcEaU4o8teT1piV-SNzShjg/edit?gid=554141278#gid=554141278"", ""'Char Def. - Attributes'!C20:C2242""), 1,false)"),"GROSS_WEIGHT_OPT")</f>
        <v>GROSS_WEIGHT_OPT</v>
      </c>
      <c r="I10353" s="136"/>
      <c r="R10353" s="63" t="str">
        <f t="shared" si="60"/>
        <v>ZSI1_KUSENGROSS_WEIGHT_OPT</v>
      </c>
    </row>
    <row r="10354" ht="15.75" customHeight="1">
      <c r="B10354" s="63">
        <f t="shared" si="1"/>
        <v>10</v>
      </c>
      <c r="C10354" s="135" t="s">
        <v>544</v>
      </c>
      <c r="D10354" s="161" t="s">
        <v>74</v>
      </c>
      <c r="E10354" s="135">
        <f t="shared" si="62"/>
        <v>10</v>
      </c>
      <c r="F10354" s="134" t="s">
        <v>4057</v>
      </c>
      <c r="G10354" s="63" t="str">
        <f>VLOOKUP(C10354, 'Class Def. - General Data'!$C$20:$C$1000,1,false)</f>
        <v>ZSI1_KUSEN</v>
      </c>
      <c r="H10354" s="63" t="str">
        <f>IFERROR(__xludf.DUMMYFUNCTION("VLOOKUP(F10354, IMPORTRANGE(""https://docs.google.com/spreadsheets/d/1Lhp9OU0JdFf_VYSMzH5lBcEaU4o8teT1piV-SNzShjg/edit?gid=554141278#gid=554141278"", ""'Char Def. - Attributes'!C20:C2242""), 1,false)"),"NET_WEIGHT_OPT")</f>
        <v>NET_WEIGHT_OPT</v>
      </c>
      <c r="I10354" s="136"/>
      <c r="R10354" s="63" t="str">
        <f t="shared" si="60"/>
        <v>ZSI1_KUSENNET_WEIGHT_OPT</v>
      </c>
    </row>
    <row r="10355" ht="15.75" customHeight="1">
      <c r="B10355" s="63">
        <f t="shared" si="1"/>
        <v>10</v>
      </c>
      <c r="C10355" s="135" t="s">
        <v>544</v>
      </c>
      <c r="D10355" s="161" t="s">
        <v>74</v>
      </c>
      <c r="E10355" s="135">
        <f t="shared" si="62"/>
        <v>11</v>
      </c>
      <c r="F10355" s="134" t="s">
        <v>4058</v>
      </c>
      <c r="G10355" s="63" t="str">
        <f>VLOOKUP(C10355, 'Class Def. - General Data'!$C$20:$C$1000,1,false)</f>
        <v>ZSI1_KUSEN</v>
      </c>
      <c r="H10355" s="63" t="str">
        <f>IFERROR(__xludf.DUMMYFUNCTION("VLOOKUP(F10355, IMPORTRANGE(""https://docs.google.com/spreadsheets/d/1Lhp9OU0JdFf_VYSMzH5lBcEaU4o8teT1piV-SNzShjg/edit?gid=554141278#gid=554141278"", ""'Char Def. - Attributes'!C20:C2242""), 1,false)"),"WEIGHT_UNIT_SI")</f>
        <v>WEIGHT_UNIT_SI</v>
      </c>
      <c r="I10355" s="136"/>
      <c r="R10355" s="63" t="str">
        <f t="shared" si="60"/>
        <v>ZSI1_KUSENWEIGHT_UNIT_SI</v>
      </c>
    </row>
    <row r="10356" ht="15.75" customHeight="1">
      <c r="B10356" s="63">
        <f t="shared" si="1"/>
        <v>10</v>
      </c>
      <c r="C10356" s="135" t="s">
        <v>544</v>
      </c>
      <c r="D10356" s="161" t="s">
        <v>74</v>
      </c>
      <c r="E10356" s="135">
        <f t="shared" si="62"/>
        <v>12</v>
      </c>
      <c r="F10356" s="134" t="s">
        <v>3877</v>
      </c>
      <c r="G10356" s="63" t="str">
        <f>VLOOKUP(C10356, 'Class Def. - General Data'!$C$20:$C$1000,1,false)</f>
        <v>ZSI1_KUSEN</v>
      </c>
      <c r="H10356" s="63" t="str">
        <f>IFERROR(__xludf.DUMMYFUNCTION("VLOOKUP(F10356, IMPORTRANGE(""https://docs.google.com/spreadsheets/d/1Lhp9OU0JdFf_VYSMzH5lBcEaU4o8teT1piV-SNzShjg/edit?gid=554141278#gid=554141278"", ""'Char Def. - Attributes'!C20:C2242""), 1,false)"),"VOLUME_OPT")</f>
        <v>VOLUME_OPT</v>
      </c>
      <c r="I10356" s="136"/>
      <c r="R10356" s="63" t="str">
        <f t="shared" si="60"/>
        <v>ZSI1_KUSENVOLUME_OPT</v>
      </c>
    </row>
    <row r="10357" ht="15.75" customHeight="1">
      <c r="B10357" s="63">
        <f t="shared" si="1"/>
        <v>10</v>
      </c>
      <c r="C10357" s="135" t="s">
        <v>544</v>
      </c>
      <c r="D10357" s="161" t="s">
        <v>74</v>
      </c>
      <c r="E10357" s="135">
        <f t="shared" si="62"/>
        <v>13</v>
      </c>
      <c r="F10357" s="134" t="s">
        <v>4059</v>
      </c>
      <c r="G10357" s="63" t="str">
        <f>VLOOKUP(C10357, 'Class Def. - General Data'!$C$20:$C$1000,1,false)</f>
        <v>ZSI1_KUSEN</v>
      </c>
      <c r="H10357" s="63" t="str">
        <f>IFERROR(__xludf.DUMMYFUNCTION("VLOOKUP(F10357, IMPORTRANGE(""https://docs.google.com/spreadsheets/d/1Lhp9OU0JdFf_VYSMzH5lBcEaU4o8teT1piV-SNzShjg/edit?gid=554141278#gid=554141278"", ""'Char Def. - Attributes'!C20:C2242""), 1,false)"),"VOLUME_UNIT_SI")</f>
        <v>VOLUME_UNIT_SI</v>
      </c>
      <c r="I10357" s="136"/>
      <c r="R10357" s="63" t="str">
        <f t="shared" si="60"/>
        <v>ZSI1_KUSENVOLUME_UNIT_SI</v>
      </c>
    </row>
    <row r="10358" ht="15.75" customHeight="1">
      <c r="B10358" s="63">
        <f t="shared" si="1"/>
        <v>10</v>
      </c>
      <c r="C10358" s="135" t="s">
        <v>544</v>
      </c>
      <c r="D10358" s="161" t="s">
        <v>74</v>
      </c>
      <c r="E10358" s="135">
        <f t="shared" si="62"/>
        <v>14</v>
      </c>
      <c r="F10358" s="134" t="s">
        <v>3804</v>
      </c>
      <c r="G10358" s="63" t="str">
        <f>VLOOKUP(C10358, 'Class Def. - General Data'!$C$20:$C$1000,1,false)</f>
        <v>ZSI1_KUSEN</v>
      </c>
      <c r="H10358" s="63" t="str">
        <f>IFERROR(__xludf.DUMMYFUNCTION("VLOOKUP(F10358, IMPORTRANGE(""https://docs.google.com/spreadsheets/d/1Lhp9OU0JdFf_VYSMzH5lBcEaU4o8teT1piV-SNzShjg/edit?gid=554141278#gid=554141278"", ""'Char Def. - Attributes'!C20:C2242""), 1,false)"),"ALT_UOM1_SIPI")</f>
        <v>ALT_UOM1_SIPI</v>
      </c>
      <c r="I10358" s="136"/>
      <c r="R10358" s="63" t="str">
        <f t="shared" si="60"/>
        <v>ZSI1_KUSENALT_UOM1_SIPI</v>
      </c>
    </row>
    <row r="10359" ht="15.75" customHeight="1">
      <c r="B10359" s="63">
        <f t="shared" si="1"/>
        <v>10</v>
      </c>
      <c r="C10359" s="135" t="s">
        <v>544</v>
      </c>
      <c r="D10359" s="161" t="s">
        <v>74</v>
      </c>
      <c r="E10359" s="135">
        <f t="shared" si="62"/>
        <v>15</v>
      </c>
      <c r="F10359" s="134" t="s">
        <v>3805</v>
      </c>
      <c r="G10359" s="63" t="str">
        <f>VLOOKUP(C10359, 'Class Def. - General Data'!$C$20:$C$1000,1,false)</f>
        <v>ZSI1_KUSEN</v>
      </c>
      <c r="H10359" s="63" t="str">
        <f>IFERROR(__xludf.DUMMYFUNCTION("VLOOKUP(F10359, IMPORTRANGE(""https://docs.google.com/spreadsheets/d/1Lhp9OU0JdFf_VYSMzH5lBcEaU4o8teT1piV-SNzShjg/edit?gid=554141278#gid=554141278"", ""'Char Def. - Attributes'!C20:C2242""), 1,false)"),"ALT_DENUM_UOM1")</f>
        <v>ALT_DENUM_UOM1</v>
      </c>
      <c r="I10359" s="136"/>
      <c r="R10359" s="63" t="str">
        <f t="shared" si="60"/>
        <v>ZSI1_KUSENALT_DENUM_UOM1</v>
      </c>
    </row>
    <row r="10360" ht="15.75" customHeight="1">
      <c r="B10360" s="63">
        <f t="shared" si="1"/>
        <v>10</v>
      </c>
      <c r="C10360" s="135" t="s">
        <v>544</v>
      </c>
      <c r="D10360" s="161" t="s">
        <v>74</v>
      </c>
      <c r="E10360" s="135">
        <f t="shared" si="62"/>
        <v>16</v>
      </c>
      <c r="F10360" s="134" t="s">
        <v>3806</v>
      </c>
      <c r="G10360" s="63" t="str">
        <f>VLOOKUP(C10360, 'Class Def. - General Data'!$C$20:$C$1000,1,false)</f>
        <v>ZSI1_KUSEN</v>
      </c>
      <c r="H10360" s="63" t="str">
        <f>IFERROR(__xludf.DUMMYFUNCTION("VLOOKUP(F10360, IMPORTRANGE(""https://docs.google.com/spreadsheets/d/1Lhp9OU0JdFf_VYSMzH5lBcEaU4o8teT1piV-SNzShjg/edit?gid=554141278#gid=554141278"", ""'Char Def. - Attributes'!C20:C2242""), 1,false)"),"ALT_NUM_UOM1")</f>
        <v>ALT_NUM_UOM1</v>
      </c>
      <c r="I10360" s="136"/>
      <c r="R10360" s="63" t="str">
        <f t="shared" si="60"/>
        <v>ZSI1_KUSENALT_NUM_UOM1</v>
      </c>
    </row>
    <row r="10361" ht="15.75" customHeight="1">
      <c r="B10361" s="63">
        <f t="shared" si="1"/>
        <v>10</v>
      </c>
      <c r="C10361" s="135" t="s">
        <v>544</v>
      </c>
      <c r="D10361" s="161" t="s">
        <v>74</v>
      </c>
      <c r="E10361" s="135">
        <f t="shared" si="62"/>
        <v>17</v>
      </c>
      <c r="F10361" s="134" t="s">
        <v>3807</v>
      </c>
      <c r="G10361" s="63" t="str">
        <f>VLOOKUP(C10361, 'Class Def. - General Data'!$C$20:$C$1000,1,false)</f>
        <v>ZSI1_KUSEN</v>
      </c>
      <c r="H10361" s="63" t="str">
        <f>IFERROR(__xludf.DUMMYFUNCTION("VLOOKUP(F10361, IMPORTRANGE(""https://docs.google.com/spreadsheets/d/1Lhp9OU0JdFf_VYSMzH5lBcEaU4o8teT1piV-SNzShjg/edit?gid=554141278#gid=554141278"", ""'Char Def. - Attributes'!C20:C2242""), 1,false)"),"ALT_UOM2_SIPI")</f>
        <v>ALT_UOM2_SIPI</v>
      </c>
      <c r="I10361" s="136"/>
      <c r="R10361" s="63" t="str">
        <f t="shared" si="60"/>
        <v>ZSI1_KUSENALT_UOM2_SIPI</v>
      </c>
    </row>
    <row r="10362" ht="15.75" customHeight="1">
      <c r="B10362" s="63">
        <f t="shared" si="1"/>
        <v>10</v>
      </c>
      <c r="C10362" s="135" t="s">
        <v>544</v>
      </c>
      <c r="D10362" s="161" t="s">
        <v>74</v>
      </c>
      <c r="E10362" s="135">
        <f t="shared" si="62"/>
        <v>18</v>
      </c>
      <c r="F10362" s="134" t="s">
        <v>3808</v>
      </c>
      <c r="G10362" s="63" t="str">
        <f>VLOOKUP(C10362, 'Class Def. - General Data'!$C$20:$C$1000,1,false)</f>
        <v>ZSI1_KUSEN</v>
      </c>
      <c r="H10362" s="63" t="str">
        <f>IFERROR(__xludf.DUMMYFUNCTION("VLOOKUP(F10362, IMPORTRANGE(""https://docs.google.com/spreadsheets/d/1Lhp9OU0JdFf_VYSMzH5lBcEaU4o8teT1piV-SNzShjg/edit?gid=554141278#gid=554141278"", ""'Char Def. - Attributes'!C20:C2242""), 1,false)"),"ALT_DENUM_UOM2")</f>
        <v>ALT_DENUM_UOM2</v>
      </c>
      <c r="I10362" s="136"/>
      <c r="R10362" s="63" t="str">
        <f t="shared" si="60"/>
        <v>ZSI1_KUSENALT_DENUM_UOM2</v>
      </c>
    </row>
    <row r="10363" ht="15.75" customHeight="1">
      <c r="B10363" s="63">
        <f t="shared" si="1"/>
        <v>10</v>
      </c>
      <c r="C10363" s="135" t="s">
        <v>544</v>
      </c>
      <c r="D10363" s="161" t="s">
        <v>74</v>
      </c>
      <c r="E10363" s="135">
        <f t="shared" si="62"/>
        <v>19</v>
      </c>
      <c r="F10363" s="134" t="s">
        <v>3809</v>
      </c>
      <c r="G10363" s="63" t="str">
        <f>VLOOKUP(C10363, 'Class Def. - General Data'!$C$20:$C$1000,1,false)</f>
        <v>ZSI1_KUSEN</v>
      </c>
      <c r="H10363" s="63" t="str">
        <f>IFERROR(__xludf.DUMMYFUNCTION("VLOOKUP(F10363, IMPORTRANGE(""https://docs.google.com/spreadsheets/d/1Lhp9OU0JdFf_VYSMzH5lBcEaU4o8teT1piV-SNzShjg/edit?gid=554141278#gid=554141278"", ""'Char Def. - Attributes'!C20:C2242""), 1,false)"),"ALT_NUM_UOM2")</f>
        <v>ALT_NUM_UOM2</v>
      </c>
      <c r="I10363" s="136"/>
      <c r="R10363" s="63" t="str">
        <f t="shared" si="60"/>
        <v>ZSI1_KUSENALT_NUM_UOM2</v>
      </c>
    </row>
    <row r="10364" ht="15.75" customHeight="1">
      <c r="B10364" s="63">
        <f t="shared" si="1"/>
        <v>10</v>
      </c>
      <c r="C10364" s="135" t="s">
        <v>544</v>
      </c>
      <c r="D10364" s="161" t="s">
        <v>74</v>
      </c>
      <c r="E10364" s="135">
        <f t="shared" si="62"/>
        <v>20</v>
      </c>
      <c r="F10364" s="134" t="s">
        <v>3810</v>
      </c>
      <c r="G10364" s="63" t="str">
        <f>VLOOKUP(C10364, 'Class Def. - General Data'!$C$20:$C$1000,1,false)</f>
        <v>ZSI1_KUSEN</v>
      </c>
      <c r="H10364" s="63" t="str">
        <f>IFERROR(__xludf.DUMMYFUNCTION("VLOOKUP(F10364, IMPORTRANGE(""https://docs.google.com/spreadsheets/d/1Lhp9OU0JdFf_VYSMzH5lBcEaU4o8teT1piV-SNzShjg/edit?gid=554141278#gid=554141278"", ""'Char Def. - Attributes'!C20:C2242""), 1,false)"),"ALT_UOM3_SIPI")</f>
        <v>ALT_UOM3_SIPI</v>
      </c>
      <c r="I10364" s="136"/>
      <c r="R10364" s="63" t="str">
        <f t="shared" si="60"/>
        <v>ZSI1_KUSENALT_UOM3_SIPI</v>
      </c>
    </row>
    <row r="10365" ht="15.75" customHeight="1">
      <c r="B10365" s="63">
        <f t="shared" si="1"/>
        <v>10</v>
      </c>
      <c r="C10365" s="135" t="s">
        <v>544</v>
      </c>
      <c r="D10365" s="161" t="s">
        <v>74</v>
      </c>
      <c r="E10365" s="135">
        <f t="shared" si="62"/>
        <v>21</v>
      </c>
      <c r="F10365" s="134" t="s">
        <v>3811</v>
      </c>
      <c r="G10365" s="63" t="str">
        <f>VLOOKUP(C10365, 'Class Def. - General Data'!$C$20:$C$1000,1,false)</f>
        <v>ZSI1_KUSEN</v>
      </c>
      <c r="H10365" s="63" t="str">
        <f>IFERROR(__xludf.DUMMYFUNCTION("VLOOKUP(F10365, IMPORTRANGE(""https://docs.google.com/spreadsheets/d/1Lhp9OU0JdFf_VYSMzH5lBcEaU4o8teT1piV-SNzShjg/edit?gid=554141278#gid=554141278"", ""'Char Def. - Attributes'!C20:C2242""), 1,false)"),"ALT_DENUM_UOM3")</f>
        <v>ALT_DENUM_UOM3</v>
      </c>
      <c r="I10365" s="136"/>
      <c r="R10365" s="63" t="str">
        <f t="shared" si="60"/>
        <v>ZSI1_KUSENALT_DENUM_UOM3</v>
      </c>
    </row>
    <row r="10366" ht="15.75" customHeight="1">
      <c r="B10366" s="63">
        <f t="shared" si="1"/>
        <v>10</v>
      </c>
      <c r="C10366" s="135" t="s">
        <v>544</v>
      </c>
      <c r="D10366" s="161" t="s">
        <v>74</v>
      </c>
      <c r="E10366" s="135">
        <f t="shared" si="62"/>
        <v>22</v>
      </c>
      <c r="F10366" s="134" t="s">
        <v>3812</v>
      </c>
      <c r="G10366" s="63" t="str">
        <f>VLOOKUP(C10366, 'Class Def. - General Data'!$C$20:$C$1000,1,false)</f>
        <v>ZSI1_KUSEN</v>
      </c>
      <c r="H10366" s="63" t="str">
        <f>IFERROR(__xludf.DUMMYFUNCTION("VLOOKUP(F10366, IMPORTRANGE(""https://docs.google.com/spreadsheets/d/1Lhp9OU0JdFf_VYSMzH5lBcEaU4o8teT1piV-SNzShjg/edit?gid=554141278#gid=554141278"", ""'Char Def. - Attributes'!C20:C2242""), 1,false)"),"ALT_NUM_UOM3")</f>
        <v>ALT_NUM_UOM3</v>
      </c>
      <c r="I10366" s="136"/>
      <c r="R10366" s="63" t="str">
        <f t="shared" si="60"/>
        <v>ZSI1_KUSENALT_NUM_UOM3</v>
      </c>
    </row>
    <row r="10367" ht="15.75" customHeight="1">
      <c r="B10367" s="63">
        <f t="shared" si="1"/>
        <v>10</v>
      </c>
      <c r="C10367" s="135" t="s">
        <v>544</v>
      </c>
      <c r="D10367" s="161" t="s">
        <v>74</v>
      </c>
      <c r="E10367" s="135">
        <f t="shared" si="62"/>
        <v>23</v>
      </c>
      <c r="F10367" s="134" t="s">
        <v>3813</v>
      </c>
      <c r="G10367" s="63" t="str">
        <f>VLOOKUP(C10367, 'Class Def. - General Data'!$C$20:$C$1000,1,false)</f>
        <v>ZSI1_KUSEN</v>
      </c>
      <c r="H10367" s="63" t="str">
        <f>IFERROR(__xludf.DUMMYFUNCTION("VLOOKUP(F10367, IMPORTRANGE(""https://docs.google.com/spreadsheets/d/1Lhp9OU0JdFf_VYSMzH5lBcEaU4o8teT1piV-SNzShjg/edit?gid=554141278#gid=554141278"", ""'Char Def. - Attributes'!C20:C2242""), 1,false)"),"ALT_UOM4_SIPI")</f>
        <v>ALT_UOM4_SIPI</v>
      </c>
      <c r="I10367" s="136"/>
      <c r="R10367" s="63" t="str">
        <f t="shared" si="60"/>
        <v>ZSI1_KUSENALT_UOM4_SIPI</v>
      </c>
    </row>
    <row r="10368" ht="15.75" customHeight="1">
      <c r="B10368" s="63">
        <f t="shared" si="1"/>
        <v>10</v>
      </c>
      <c r="C10368" s="135" t="s">
        <v>544</v>
      </c>
      <c r="D10368" s="161" t="s">
        <v>74</v>
      </c>
      <c r="E10368" s="135">
        <f t="shared" si="62"/>
        <v>24</v>
      </c>
      <c r="F10368" s="134" t="s">
        <v>3814</v>
      </c>
      <c r="G10368" s="63" t="str">
        <f>VLOOKUP(C10368, 'Class Def. - General Data'!$C$20:$C$1000,1,false)</f>
        <v>ZSI1_KUSEN</v>
      </c>
      <c r="H10368" s="63" t="str">
        <f>IFERROR(__xludf.DUMMYFUNCTION("VLOOKUP(F10368, IMPORTRANGE(""https://docs.google.com/spreadsheets/d/1Lhp9OU0JdFf_VYSMzH5lBcEaU4o8teT1piV-SNzShjg/edit?gid=554141278#gid=554141278"", ""'Char Def. - Attributes'!C20:C2242""), 1,false)"),"ALT_DENUM_UOM4")</f>
        <v>ALT_DENUM_UOM4</v>
      </c>
      <c r="I10368" s="136"/>
      <c r="R10368" s="63" t="str">
        <f t="shared" si="60"/>
        <v>ZSI1_KUSENALT_DENUM_UOM4</v>
      </c>
    </row>
    <row r="10369" ht="15.75" customHeight="1">
      <c r="B10369" s="63">
        <f t="shared" si="1"/>
        <v>10</v>
      </c>
      <c r="C10369" s="135" t="s">
        <v>544</v>
      </c>
      <c r="D10369" s="161" t="s">
        <v>74</v>
      </c>
      <c r="E10369" s="135">
        <f t="shared" si="62"/>
        <v>25</v>
      </c>
      <c r="F10369" s="134" t="s">
        <v>3815</v>
      </c>
      <c r="G10369" s="63" t="str">
        <f>VLOOKUP(C10369, 'Class Def. - General Data'!$C$20:$C$1000,1,false)</f>
        <v>ZSI1_KUSEN</v>
      </c>
      <c r="H10369" s="63" t="str">
        <f>IFERROR(__xludf.DUMMYFUNCTION("VLOOKUP(F10369, IMPORTRANGE(""https://docs.google.com/spreadsheets/d/1Lhp9OU0JdFf_VYSMzH5lBcEaU4o8teT1piV-SNzShjg/edit?gid=554141278#gid=554141278"", ""'Char Def. - Attributes'!C20:C2242""), 1,false)"),"ALT_NUM_UOM4")</f>
        <v>ALT_NUM_UOM4</v>
      </c>
      <c r="I10369" s="136"/>
      <c r="R10369" s="63" t="str">
        <f t="shared" si="60"/>
        <v>ZSI1_KUSENALT_NUM_UOM4</v>
      </c>
    </row>
    <row r="10370" ht="15.75" customHeight="1">
      <c r="B10370" s="63">
        <f t="shared" si="1"/>
        <v>10</v>
      </c>
      <c r="C10370" s="135" t="s">
        <v>544</v>
      </c>
      <c r="D10370" s="161" t="s">
        <v>74</v>
      </c>
      <c r="E10370" s="135">
        <f t="shared" si="62"/>
        <v>26</v>
      </c>
      <c r="F10370" s="134" t="s">
        <v>3816</v>
      </c>
      <c r="G10370" s="63" t="str">
        <f>VLOOKUP(C10370, 'Class Def. - General Data'!$C$20:$C$1000,1,false)</f>
        <v>ZSI1_KUSEN</v>
      </c>
      <c r="H10370" s="63" t="str">
        <f>IFERROR(__xludf.DUMMYFUNCTION("VLOOKUP(F10370, IMPORTRANGE(""https://docs.google.com/spreadsheets/d/1Lhp9OU0JdFf_VYSMzH5lBcEaU4o8teT1piV-SNzShjg/edit?gid=554141278#gid=554141278"", ""'Char Def. - Attributes'!C20:C2242""), 1,false)"),"ALT_UOM5_SIPI")</f>
        <v>ALT_UOM5_SIPI</v>
      </c>
      <c r="I10370" s="136"/>
      <c r="R10370" s="63" t="str">
        <f t="shared" si="60"/>
        <v>ZSI1_KUSENALT_UOM5_SIPI</v>
      </c>
    </row>
    <row r="10371" ht="15.75" customHeight="1">
      <c r="B10371" s="63">
        <f t="shared" si="1"/>
        <v>10</v>
      </c>
      <c r="C10371" s="135" t="s">
        <v>544</v>
      </c>
      <c r="D10371" s="161" t="s">
        <v>74</v>
      </c>
      <c r="E10371" s="135">
        <f t="shared" si="62"/>
        <v>27</v>
      </c>
      <c r="F10371" s="134" t="s">
        <v>3817</v>
      </c>
      <c r="G10371" s="63" t="str">
        <f>VLOOKUP(C10371, 'Class Def. - General Data'!$C$20:$C$1000,1,false)</f>
        <v>ZSI1_KUSEN</v>
      </c>
      <c r="H10371" s="63" t="str">
        <f>IFERROR(__xludf.DUMMYFUNCTION("VLOOKUP(F10371, IMPORTRANGE(""https://docs.google.com/spreadsheets/d/1Lhp9OU0JdFf_VYSMzH5lBcEaU4o8teT1piV-SNzShjg/edit?gid=554141278#gid=554141278"", ""'Char Def. - Attributes'!C20:C2242""), 1,false)"),"ALT_DENUM_UOM5")</f>
        <v>ALT_DENUM_UOM5</v>
      </c>
      <c r="I10371" s="136"/>
      <c r="R10371" s="63" t="str">
        <f t="shared" si="60"/>
        <v>ZSI1_KUSENALT_DENUM_UOM5</v>
      </c>
    </row>
    <row r="10372" ht="15.75" customHeight="1">
      <c r="B10372" s="63">
        <f t="shared" si="1"/>
        <v>10</v>
      </c>
      <c r="C10372" s="135" t="s">
        <v>544</v>
      </c>
      <c r="D10372" s="161" t="s">
        <v>74</v>
      </c>
      <c r="E10372" s="135">
        <f t="shared" si="62"/>
        <v>28</v>
      </c>
      <c r="F10372" s="134" t="s">
        <v>3818</v>
      </c>
      <c r="G10372" s="63" t="str">
        <f>VLOOKUP(C10372, 'Class Def. - General Data'!$C$20:$C$1000,1,false)</f>
        <v>ZSI1_KUSEN</v>
      </c>
      <c r="H10372" s="63" t="str">
        <f>IFERROR(__xludf.DUMMYFUNCTION("VLOOKUP(F10372, IMPORTRANGE(""https://docs.google.com/spreadsheets/d/1Lhp9OU0JdFf_VYSMzH5lBcEaU4o8teT1piV-SNzShjg/edit?gid=554141278#gid=554141278"", ""'Char Def. - Attributes'!C20:C2242""), 1,false)"),"ALT_NUM_UOM5")</f>
        <v>ALT_NUM_UOM5</v>
      </c>
      <c r="I10372" s="136"/>
      <c r="R10372" s="63" t="str">
        <f t="shared" si="60"/>
        <v>ZSI1_KUSENALT_NUM_UOM5</v>
      </c>
    </row>
    <row r="10373" ht="15.75" customHeight="1">
      <c r="B10373" s="63">
        <f t="shared" si="1"/>
        <v>16</v>
      </c>
      <c r="C10373" s="135" t="s">
        <v>543</v>
      </c>
      <c r="D10373" s="161" t="s">
        <v>74</v>
      </c>
      <c r="E10373" s="135">
        <f t="shared" si="62"/>
        <v>1</v>
      </c>
      <c r="F10373" s="134" t="s">
        <v>4734</v>
      </c>
      <c r="G10373" s="63" t="str">
        <f>VLOOKUP(C10373, 'Class Def. - General Data'!$C$20:$C$1000,1,false)</f>
        <v>ZSI1_LAB_CULTURE</v>
      </c>
      <c r="H10373" s="63" t="str">
        <f>IFERROR(__xludf.DUMMYFUNCTION("VLOOKUP(F10373, IMPORTRANGE(""https://docs.google.com/spreadsheets/d/1Lhp9OU0JdFf_VYSMzH5lBcEaU4o8teT1piV-SNzShjg/edit?gid=554141278#gid=554141278"", ""'Char Def. - Attributes'!C20:C2242""), 1,false)"),"SPECIES_NAME_LAB_CULTURE")</f>
        <v>SPECIES_NAME_LAB_CULTURE</v>
      </c>
      <c r="I10373" s="136"/>
      <c r="R10373" s="63" t="str">
        <f t="shared" si="60"/>
        <v>ZSI1_LAB_CULTURESPECIES_NAME_LAB_CULTURE</v>
      </c>
    </row>
    <row r="10374" ht="15.75" customHeight="1">
      <c r="B10374" s="63">
        <f t="shared" si="1"/>
        <v>16</v>
      </c>
      <c r="C10374" s="135" t="s">
        <v>543</v>
      </c>
      <c r="D10374" s="161" t="s">
        <v>74</v>
      </c>
      <c r="E10374" s="135">
        <f t="shared" si="62"/>
        <v>2</v>
      </c>
      <c r="F10374" s="134" t="s">
        <v>4735</v>
      </c>
      <c r="G10374" s="63" t="str">
        <f>VLOOKUP(C10374, 'Class Def. - General Data'!$C$20:$C$1000,1,false)</f>
        <v>ZSI1_LAB_CULTURE</v>
      </c>
      <c r="H10374" s="63" t="str">
        <f>IFERROR(__xludf.DUMMYFUNCTION("VLOOKUP(F10374, IMPORTRANGE(""https://docs.google.com/spreadsheets/d/1Lhp9OU0JdFf_VYSMzH5lBcEaU4o8teT1piV-SNzShjg/edit?gid=554141278#gid=554141278"", ""'Char Def. - Attributes'!C20:C2242""), 1,false)"),"CULTURE_COL_TYPE_LAB_CULTURE")</f>
        <v>CULTURE_COL_TYPE_LAB_CULTURE</v>
      </c>
      <c r="I10374" s="136"/>
      <c r="R10374" s="63" t="str">
        <f t="shared" si="60"/>
        <v>ZSI1_LAB_CULTURECULTURE_COL_TYPE_LAB_CULTURE</v>
      </c>
    </row>
    <row r="10375" ht="15.75" customHeight="1">
      <c r="B10375" s="63">
        <f t="shared" si="1"/>
        <v>16</v>
      </c>
      <c r="C10375" s="135" t="s">
        <v>543</v>
      </c>
      <c r="D10375" s="161" t="s">
        <v>74</v>
      </c>
      <c r="E10375" s="135">
        <f t="shared" si="62"/>
        <v>3</v>
      </c>
      <c r="F10375" s="134" t="s">
        <v>4736</v>
      </c>
      <c r="G10375" s="63" t="str">
        <f>VLOOKUP(C10375, 'Class Def. - General Data'!$C$20:$C$1000,1,false)</f>
        <v>ZSI1_LAB_CULTURE</v>
      </c>
      <c r="H10375" s="63" t="str">
        <f>IFERROR(__xludf.DUMMYFUNCTION("VLOOKUP(F10375, IMPORTRANGE(""https://docs.google.com/spreadsheets/d/1Lhp9OU0JdFf_VYSMzH5lBcEaU4o8teT1piV-SNzShjg/edit?gid=554141278#gid=554141278"", ""'Char Def. - Attributes'!C20:C2242""), 1,false)"),"CULTURE_COL_NUMBER_LAB_CULTURE")</f>
        <v>CULTURE_COL_NUMBER_LAB_CULTURE</v>
      </c>
      <c r="I10375" s="136"/>
      <c r="R10375" s="63" t="str">
        <f t="shared" si="60"/>
        <v>ZSI1_LAB_CULTURECULTURE_COL_NUMBER_LAB_CULTURE</v>
      </c>
    </row>
    <row r="10376" ht="15.75" customHeight="1">
      <c r="B10376" s="63">
        <f t="shared" si="1"/>
        <v>16</v>
      </c>
      <c r="C10376" s="135" t="s">
        <v>543</v>
      </c>
      <c r="D10376" s="161" t="s">
        <v>74</v>
      </c>
      <c r="E10376" s="135">
        <f t="shared" si="62"/>
        <v>4</v>
      </c>
      <c r="F10376" s="134" t="s">
        <v>3585</v>
      </c>
      <c r="G10376" s="63" t="str">
        <f>VLOOKUP(C10376, 'Class Def. - General Data'!$C$20:$C$1000,1,false)</f>
        <v>ZSI1_LAB_CULTURE</v>
      </c>
      <c r="H10376" s="63" t="str">
        <f>IFERROR(__xludf.DUMMYFUNCTION("VLOOKUP(F10376, IMPORTRANGE(""https://docs.google.com/spreadsheets/d/1Lhp9OU0JdFf_VYSMzH5lBcEaU4o8teT1piV-SNzShjg/edit?gid=554141278#gid=554141278"", ""'Char Def. - Attributes'!C20:C2242""), 1,false)"),"HS_CODE")</f>
        <v>HS_CODE</v>
      </c>
      <c r="I10376" s="136"/>
      <c r="R10376" s="63" t="str">
        <f t="shared" si="60"/>
        <v>ZSI1_LAB_CULTUREHS_CODE</v>
      </c>
    </row>
    <row r="10377" ht="15.75" customHeight="1">
      <c r="B10377" s="63">
        <f t="shared" si="1"/>
        <v>16</v>
      </c>
      <c r="C10377" s="135" t="s">
        <v>543</v>
      </c>
      <c r="D10377" s="161" t="s">
        <v>74</v>
      </c>
      <c r="E10377" s="135">
        <f t="shared" si="62"/>
        <v>5</v>
      </c>
      <c r="F10377" s="134" t="s">
        <v>3587</v>
      </c>
      <c r="G10377" s="63" t="str">
        <f>VLOOKUP(C10377, 'Class Def. - General Data'!$C$20:$C$1000,1,false)</f>
        <v>ZSI1_LAB_CULTURE</v>
      </c>
      <c r="H10377" s="63" t="str">
        <f>IFERROR(__xludf.DUMMYFUNCTION("VLOOKUP(F10377, IMPORTRANGE(""https://docs.google.com/spreadsheets/d/1Lhp9OU0JdFf_VYSMzH5lBcEaU4o8teT1piV-SNzShjg/edit?gid=554141278#gid=554141278"", ""'Char Def. - Attributes'!C20:C2242""), 1,false)"),"PLANT_BUY")</f>
        <v>PLANT_BUY</v>
      </c>
      <c r="I10377" s="136"/>
      <c r="R10377" s="63" t="str">
        <f t="shared" si="60"/>
        <v>ZSI1_LAB_CULTUREPLANT_BUY</v>
      </c>
    </row>
    <row r="10378" ht="15.75" customHeight="1">
      <c r="B10378" s="63">
        <f t="shared" si="1"/>
        <v>16</v>
      </c>
      <c r="C10378" s="135" t="s">
        <v>543</v>
      </c>
      <c r="D10378" s="161" t="s">
        <v>74</v>
      </c>
      <c r="E10378" s="135">
        <f t="shared" si="62"/>
        <v>6</v>
      </c>
      <c r="F10378" s="134" t="s">
        <v>4737</v>
      </c>
      <c r="G10378" s="63" t="str">
        <f>VLOOKUP(C10378, 'Class Def. - General Data'!$C$20:$C$1000,1,false)</f>
        <v>ZSI1_LAB_CULTURE</v>
      </c>
      <c r="H10378" s="63" t="str">
        <f>IFERROR(__xludf.DUMMYFUNCTION("VLOOKUP(F10378, IMPORTRANGE(""https://docs.google.com/spreadsheets/d/1Lhp9OU0JdFf_VYSMzH5lBcEaU4o8teT1piV-SNzShjg/edit?gid=554141278#gid=554141278"", ""'Char Def. - Attributes'!C20:C2242""), 1,false)"),"BASE_UOM_LAB_CULTURE")</f>
        <v>BASE_UOM_LAB_CULTURE</v>
      </c>
      <c r="I10378" s="136"/>
      <c r="R10378" s="63" t="str">
        <f t="shared" si="60"/>
        <v>ZSI1_LAB_CULTUREBASE_UOM_LAB_CULTURE</v>
      </c>
    </row>
    <row r="10379" ht="15.75" customHeight="1">
      <c r="B10379" s="63">
        <f t="shared" si="1"/>
        <v>16</v>
      </c>
      <c r="C10379" s="135" t="s">
        <v>543</v>
      </c>
      <c r="D10379" s="161" t="s">
        <v>74</v>
      </c>
      <c r="E10379" s="135">
        <f t="shared" si="62"/>
        <v>7</v>
      </c>
      <c r="F10379" s="134" t="s">
        <v>4738</v>
      </c>
      <c r="G10379" s="63" t="str">
        <f>VLOOKUP(C10379, 'Class Def. - General Data'!$C$20:$C$1000,1,false)</f>
        <v>ZSI1_LAB_CULTURE</v>
      </c>
      <c r="H10379" s="63" t="str">
        <f>IFERROR(__xludf.DUMMYFUNCTION("VLOOKUP(F10379, IMPORTRANGE(""https://docs.google.com/spreadsheets/d/1Lhp9OU0JdFf_VYSMzH5lBcEaU4o8teT1piV-SNzShjg/edit?gid=554141278#gid=554141278"", ""'Char Def. - Attributes'!C20:C2242""), 1,false)"),"ORDER_UNIT_LAB_CULTURE")</f>
        <v>ORDER_UNIT_LAB_CULTURE</v>
      </c>
      <c r="I10379" s="136"/>
      <c r="R10379" s="63" t="str">
        <f t="shared" si="60"/>
        <v>ZSI1_LAB_CULTUREORDER_UNIT_LAB_CULTURE</v>
      </c>
    </row>
    <row r="10380" ht="15.75" customHeight="1">
      <c r="B10380" s="63">
        <f t="shared" si="1"/>
        <v>16</v>
      </c>
      <c r="C10380" s="135" t="s">
        <v>543</v>
      </c>
      <c r="D10380" s="161" t="s">
        <v>74</v>
      </c>
      <c r="E10380" s="135">
        <f t="shared" si="62"/>
        <v>8</v>
      </c>
      <c r="F10380" s="134" t="s">
        <v>4056</v>
      </c>
      <c r="G10380" s="63" t="str">
        <f>VLOOKUP(C10380, 'Class Def. - General Data'!$C$20:$C$1000,1,false)</f>
        <v>ZSI1_LAB_CULTURE</v>
      </c>
      <c r="H10380" s="63" t="str">
        <f>IFERROR(__xludf.DUMMYFUNCTION("VLOOKUP(F10380, IMPORTRANGE(""https://docs.google.com/spreadsheets/d/1Lhp9OU0JdFf_VYSMzH5lBcEaU4o8teT1piV-SNzShjg/edit?gid=554141278#gid=554141278"", ""'Char Def. - Attributes'!C20:C2242""), 1,false)"),"GROSS_WEIGHT_OPT")</f>
        <v>GROSS_WEIGHT_OPT</v>
      </c>
      <c r="I10380" s="136"/>
      <c r="R10380" s="63" t="str">
        <f t="shared" si="60"/>
        <v>ZSI1_LAB_CULTUREGROSS_WEIGHT_OPT</v>
      </c>
    </row>
    <row r="10381" ht="15.75" customHeight="1">
      <c r="B10381" s="63">
        <f t="shared" si="1"/>
        <v>16</v>
      </c>
      <c r="C10381" s="135" t="s">
        <v>543</v>
      </c>
      <c r="D10381" s="161" t="s">
        <v>74</v>
      </c>
      <c r="E10381" s="135">
        <f t="shared" si="62"/>
        <v>9</v>
      </c>
      <c r="F10381" s="134" t="s">
        <v>4057</v>
      </c>
      <c r="G10381" s="63" t="str">
        <f>VLOOKUP(C10381, 'Class Def. - General Data'!$C$20:$C$1000,1,false)</f>
        <v>ZSI1_LAB_CULTURE</v>
      </c>
      <c r="H10381" s="63" t="str">
        <f>IFERROR(__xludf.DUMMYFUNCTION("VLOOKUP(F10381, IMPORTRANGE(""https://docs.google.com/spreadsheets/d/1Lhp9OU0JdFf_VYSMzH5lBcEaU4o8teT1piV-SNzShjg/edit?gid=554141278#gid=554141278"", ""'Char Def. - Attributes'!C20:C2242""), 1,false)"),"NET_WEIGHT_OPT")</f>
        <v>NET_WEIGHT_OPT</v>
      </c>
      <c r="I10381" s="136"/>
      <c r="R10381" s="63" t="str">
        <f t="shared" si="60"/>
        <v>ZSI1_LAB_CULTURENET_WEIGHT_OPT</v>
      </c>
    </row>
    <row r="10382" ht="15.75" customHeight="1">
      <c r="B10382" s="63">
        <f t="shared" si="1"/>
        <v>16</v>
      </c>
      <c r="C10382" s="135" t="s">
        <v>543</v>
      </c>
      <c r="D10382" s="161" t="s">
        <v>74</v>
      </c>
      <c r="E10382" s="135">
        <f t="shared" si="62"/>
        <v>10</v>
      </c>
      <c r="F10382" s="134" t="s">
        <v>4058</v>
      </c>
      <c r="G10382" s="63" t="str">
        <f>VLOOKUP(C10382, 'Class Def. - General Data'!$C$20:$C$1000,1,false)</f>
        <v>ZSI1_LAB_CULTURE</v>
      </c>
      <c r="H10382" s="63" t="str">
        <f>IFERROR(__xludf.DUMMYFUNCTION("VLOOKUP(F10382, IMPORTRANGE(""https://docs.google.com/spreadsheets/d/1Lhp9OU0JdFf_VYSMzH5lBcEaU4o8teT1piV-SNzShjg/edit?gid=554141278#gid=554141278"", ""'Char Def. - Attributes'!C20:C2242""), 1,false)"),"WEIGHT_UNIT_SI")</f>
        <v>WEIGHT_UNIT_SI</v>
      </c>
      <c r="I10382" s="136"/>
      <c r="R10382" s="63" t="str">
        <f t="shared" si="60"/>
        <v>ZSI1_LAB_CULTUREWEIGHT_UNIT_SI</v>
      </c>
    </row>
    <row r="10383" ht="15.75" customHeight="1">
      <c r="B10383" s="63">
        <f t="shared" si="1"/>
        <v>16</v>
      </c>
      <c r="C10383" s="135" t="s">
        <v>543</v>
      </c>
      <c r="D10383" s="161" t="s">
        <v>74</v>
      </c>
      <c r="E10383" s="135">
        <f t="shared" si="62"/>
        <v>11</v>
      </c>
      <c r="F10383" s="134" t="s">
        <v>3877</v>
      </c>
      <c r="G10383" s="63" t="str">
        <f>VLOOKUP(C10383, 'Class Def. - General Data'!$C$20:$C$1000,1,false)</f>
        <v>ZSI1_LAB_CULTURE</v>
      </c>
      <c r="H10383" s="63" t="str">
        <f>IFERROR(__xludf.DUMMYFUNCTION("VLOOKUP(F10383, IMPORTRANGE(""https://docs.google.com/spreadsheets/d/1Lhp9OU0JdFf_VYSMzH5lBcEaU4o8teT1piV-SNzShjg/edit?gid=554141278#gid=554141278"", ""'Char Def. - Attributes'!C20:C2242""), 1,false)"),"VOLUME_OPT")</f>
        <v>VOLUME_OPT</v>
      </c>
      <c r="I10383" s="136"/>
      <c r="R10383" s="63" t="str">
        <f t="shared" si="60"/>
        <v>ZSI1_LAB_CULTUREVOLUME_OPT</v>
      </c>
    </row>
    <row r="10384" ht="15.75" customHeight="1">
      <c r="B10384" s="63">
        <f t="shared" si="1"/>
        <v>16</v>
      </c>
      <c r="C10384" s="135" t="s">
        <v>543</v>
      </c>
      <c r="D10384" s="161" t="s">
        <v>74</v>
      </c>
      <c r="E10384" s="135">
        <f t="shared" si="62"/>
        <v>12</v>
      </c>
      <c r="F10384" s="134" t="s">
        <v>4059</v>
      </c>
      <c r="G10384" s="63" t="str">
        <f>VLOOKUP(C10384, 'Class Def. - General Data'!$C$20:$C$1000,1,false)</f>
        <v>ZSI1_LAB_CULTURE</v>
      </c>
      <c r="H10384" s="63" t="str">
        <f>IFERROR(__xludf.DUMMYFUNCTION("VLOOKUP(F10384, IMPORTRANGE(""https://docs.google.com/spreadsheets/d/1Lhp9OU0JdFf_VYSMzH5lBcEaU4o8teT1piV-SNzShjg/edit?gid=554141278#gid=554141278"", ""'Char Def. - Attributes'!C20:C2242""), 1,false)"),"VOLUME_UNIT_SI")</f>
        <v>VOLUME_UNIT_SI</v>
      </c>
      <c r="I10384" s="136"/>
      <c r="R10384" s="63" t="str">
        <f t="shared" si="60"/>
        <v>ZSI1_LAB_CULTUREVOLUME_UNIT_SI</v>
      </c>
    </row>
    <row r="10385" ht="15.75" customHeight="1">
      <c r="B10385" s="63">
        <f t="shared" si="1"/>
        <v>16</v>
      </c>
      <c r="C10385" s="135" t="s">
        <v>543</v>
      </c>
      <c r="D10385" s="161" t="s">
        <v>74</v>
      </c>
      <c r="E10385" s="135">
        <f t="shared" si="62"/>
        <v>13</v>
      </c>
      <c r="F10385" s="134" t="s">
        <v>3804</v>
      </c>
      <c r="G10385" s="63" t="str">
        <f>VLOOKUP(C10385, 'Class Def. - General Data'!$C$20:$C$1000,1,false)</f>
        <v>ZSI1_LAB_CULTURE</v>
      </c>
      <c r="H10385" s="63" t="str">
        <f>IFERROR(__xludf.DUMMYFUNCTION("VLOOKUP(F10385, IMPORTRANGE(""https://docs.google.com/spreadsheets/d/1Lhp9OU0JdFf_VYSMzH5lBcEaU4o8teT1piV-SNzShjg/edit?gid=554141278#gid=554141278"", ""'Char Def. - Attributes'!C20:C2242""), 1,false)"),"ALT_UOM1_SIPI")</f>
        <v>ALT_UOM1_SIPI</v>
      </c>
      <c r="I10385" s="137" t="s">
        <v>4739</v>
      </c>
      <c r="J10385" s="75" t="s">
        <v>4740</v>
      </c>
      <c r="K10385" s="75" t="s">
        <v>4741</v>
      </c>
      <c r="L10385" s="75" t="s">
        <v>4742</v>
      </c>
      <c r="M10385" s="75" t="s">
        <v>7</v>
      </c>
      <c r="N10385" s="75" t="s">
        <v>4743</v>
      </c>
      <c r="O10385" s="75" t="s">
        <v>4744</v>
      </c>
      <c r="R10385" s="63" t="str">
        <f t="shared" si="60"/>
        <v>ZSI1_LAB_CULTUREALT_UOM1_SIPI</v>
      </c>
    </row>
    <row r="10386" ht="15.75" customHeight="1">
      <c r="B10386" s="63">
        <f t="shared" si="1"/>
        <v>16</v>
      </c>
      <c r="C10386" s="135" t="s">
        <v>543</v>
      </c>
      <c r="D10386" s="161" t="s">
        <v>74</v>
      </c>
      <c r="E10386" s="135">
        <f t="shared" si="62"/>
        <v>14</v>
      </c>
      <c r="F10386" s="134" t="s">
        <v>3805</v>
      </c>
      <c r="G10386" s="63" t="str">
        <f>VLOOKUP(C10386, 'Class Def. - General Data'!$C$20:$C$1000,1,false)</f>
        <v>ZSI1_LAB_CULTURE</v>
      </c>
      <c r="H10386" s="63" t="str">
        <f>IFERROR(__xludf.DUMMYFUNCTION("VLOOKUP(F10386, IMPORTRANGE(""https://docs.google.com/spreadsheets/d/1Lhp9OU0JdFf_VYSMzH5lBcEaU4o8teT1piV-SNzShjg/edit?gid=554141278#gid=554141278"", ""'Char Def. - Attributes'!C20:C2242""), 1,false)"),"ALT_DENUM_UOM1")</f>
        <v>ALT_DENUM_UOM1</v>
      </c>
      <c r="I10386" s="136"/>
      <c r="R10386" s="63" t="str">
        <f t="shared" si="60"/>
        <v>ZSI1_LAB_CULTUREALT_DENUM_UOM1</v>
      </c>
    </row>
    <row r="10387" ht="15.75" customHeight="1">
      <c r="B10387" s="63">
        <f t="shared" si="1"/>
        <v>16</v>
      </c>
      <c r="C10387" s="135" t="s">
        <v>543</v>
      </c>
      <c r="D10387" s="161" t="s">
        <v>74</v>
      </c>
      <c r="E10387" s="135">
        <f t="shared" si="62"/>
        <v>15</v>
      </c>
      <c r="F10387" s="134" t="s">
        <v>3806</v>
      </c>
      <c r="G10387" s="63" t="str">
        <f>VLOOKUP(C10387, 'Class Def. - General Data'!$C$20:$C$1000,1,false)</f>
        <v>ZSI1_LAB_CULTURE</v>
      </c>
      <c r="H10387" s="63" t="str">
        <f>IFERROR(__xludf.DUMMYFUNCTION("VLOOKUP(F10387, IMPORTRANGE(""https://docs.google.com/spreadsheets/d/1Lhp9OU0JdFf_VYSMzH5lBcEaU4o8teT1piV-SNzShjg/edit?gid=554141278#gid=554141278"", ""'Char Def. - Attributes'!C20:C2242""), 1,false)"),"ALT_NUM_UOM1")</f>
        <v>ALT_NUM_UOM1</v>
      </c>
      <c r="I10387" s="136"/>
      <c r="R10387" s="63" t="str">
        <f t="shared" si="60"/>
        <v>ZSI1_LAB_CULTUREALT_NUM_UOM1</v>
      </c>
    </row>
    <row r="10388" ht="15.75" customHeight="1">
      <c r="B10388" s="63">
        <f t="shared" si="1"/>
        <v>16</v>
      </c>
      <c r="C10388" s="135" t="s">
        <v>543</v>
      </c>
      <c r="D10388" s="161" t="s">
        <v>74</v>
      </c>
      <c r="E10388" s="135">
        <f t="shared" si="62"/>
        <v>16</v>
      </c>
      <c r="F10388" s="134" t="s">
        <v>3807</v>
      </c>
      <c r="G10388" s="63" t="str">
        <f>VLOOKUP(C10388, 'Class Def. - General Data'!$C$20:$C$1000,1,false)</f>
        <v>ZSI1_LAB_CULTURE</v>
      </c>
      <c r="H10388" s="63" t="str">
        <f>IFERROR(__xludf.DUMMYFUNCTION("VLOOKUP(F10388, IMPORTRANGE(""https://docs.google.com/spreadsheets/d/1Lhp9OU0JdFf_VYSMzH5lBcEaU4o8teT1piV-SNzShjg/edit?gid=554141278#gid=554141278"", ""'Char Def. - Attributes'!C20:C2242""), 1,false)"),"ALT_UOM2_SIPI")</f>
        <v>ALT_UOM2_SIPI</v>
      </c>
      <c r="I10388" s="136"/>
      <c r="R10388" s="63" t="str">
        <f t="shared" si="60"/>
        <v>ZSI1_LAB_CULTUREALT_UOM2_SIPI</v>
      </c>
    </row>
    <row r="10389" ht="15.75" customHeight="1">
      <c r="B10389" s="63">
        <f t="shared" si="1"/>
        <v>16</v>
      </c>
      <c r="C10389" s="135" t="s">
        <v>543</v>
      </c>
      <c r="D10389" s="161" t="s">
        <v>74</v>
      </c>
      <c r="E10389" s="135">
        <f t="shared" si="62"/>
        <v>17</v>
      </c>
      <c r="F10389" s="134" t="s">
        <v>3808</v>
      </c>
      <c r="G10389" s="63" t="str">
        <f>VLOOKUP(C10389, 'Class Def. - General Data'!$C$20:$C$1000,1,false)</f>
        <v>ZSI1_LAB_CULTURE</v>
      </c>
      <c r="H10389" s="63" t="str">
        <f>IFERROR(__xludf.DUMMYFUNCTION("VLOOKUP(F10389, IMPORTRANGE(""https://docs.google.com/spreadsheets/d/1Lhp9OU0JdFf_VYSMzH5lBcEaU4o8teT1piV-SNzShjg/edit?gid=554141278#gid=554141278"", ""'Char Def. - Attributes'!C20:C2242""), 1,false)"),"ALT_DENUM_UOM2")</f>
        <v>ALT_DENUM_UOM2</v>
      </c>
      <c r="I10389" s="136"/>
      <c r="R10389" s="63" t="str">
        <f t="shared" si="60"/>
        <v>ZSI1_LAB_CULTUREALT_DENUM_UOM2</v>
      </c>
    </row>
    <row r="10390" ht="15.75" customHeight="1">
      <c r="B10390" s="63">
        <f t="shared" si="1"/>
        <v>16</v>
      </c>
      <c r="C10390" s="135" t="s">
        <v>543</v>
      </c>
      <c r="D10390" s="161" t="s">
        <v>74</v>
      </c>
      <c r="E10390" s="135">
        <f t="shared" si="62"/>
        <v>18</v>
      </c>
      <c r="F10390" s="134" t="s">
        <v>3809</v>
      </c>
      <c r="G10390" s="63" t="str">
        <f>VLOOKUP(C10390, 'Class Def. - General Data'!$C$20:$C$1000,1,false)</f>
        <v>ZSI1_LAB_CULTURE</v>
      </c>
      <c r="H10390" s="63" t="str">
        <f>IFERROR(__xludf.DUMMYFUNCTION("VLOOKUP(F10390, IMPORTRANGE(""https://docs.google.com/spreadsheets/d/1Lhp9OU0JdFf_VYSMzH5lBcEaU4o8teT1piV-SNzShjg/edit?gid=554141278#gid=554141278"", ""'Char Def. - Attributes'!C20:C2242""), 1,false)"),"ALT_NUM_UOM2")</f>
        <v>ALT_NUM_UOM2</v>
      </c>
      <c r="I10390" s="136"/>
      <c r="R10390" s="63" t="str">
        <f t="shared" si="60"/>
        <v>ZSI1_LAB_CULTUREALT_NUM_UOM2</v>
      </c>
    </row>
    <row r="10391" ht="15.75" customHeight="1">
      <c r="B10391" s="63">
        <f t="shared" si="1"/>
        <v>16</v>
      </c>
      <c r="C10391" s="135" t="s">
        <v>543</v>
      </c>
      <c r="D10391" s="161" t="s">
        <v>74</v>
      </c>
      <c r="E10391" s="135">
        <f t="shared" si="62"/>
        <v>19</v>
      </c>
      <c r="F10391" s="134" t="s">
        <v>3810</v>
      </c>
      <c r="G10391" s="63" t="str">
        <f>VLOOKUP(C10391, 'Class Def. - General Data'!$C$20:$C$1000,1,false)</f>
        <v>ZSI1_LAB_CULTURE</v>
      </c>
      <c r="H10391" s="63" t="str">
        <f>IFERROR(__xludf.DUMMYFUNCTION("VLOOKUP(F10391, IMPORTRANGE(""https://docs.google.com/spreadsheets/d/1Lhp9OU0JdFf_VYSMzH5lBcEaU4o8teT1piV-SNzShjg/edit?gid=554141278#gid=554141278"", ""'Char Def. - Attributes'!C20:C2242""), 1,false)"),"ALT_UOM3_SIPI")</f>
        <v>ALT_UOM3_SIPI</v>
      </c>
      <c r="I10391" s="136"/>
      <c r="R10391" s="63" t="str">
        <f t="shared" si="60"/>
        <v>ZSI1_LAB_CULTUREALT_UOM3_SIPI</v>
      </c>
    </row>
    <row r="10392" ht="15.75" customHeight="1">
      <c r="B10392" s="63">
        <f t="shared" si="1"/>
        <v>16</v>
      </c>
      <c r="C10392" s="135" t="s">
        <v>543</v>
      </c>
      <c r="D10392" s="161" t="s">
        <v>74</v>
      </c>
      <c r="E10392" s="135">
        <f t="shared" si="62"/>
        <v>20</v>
      </c>
      <c r="F10392" s="134" t="s">
        <v>3811</v>
      </c>
      <c r="G10392" s="63" t="str">
        <f>VLOOKUP(C10392, 'Class Def. - General Data'!$C$20:$C$1000,1,false)</f>
        <v>ZSI1_LAB_CULTURE</v>
      </c>
      <c r="H10392" s="63" t="str">
        <f>IFERROR(__xludf.DUMMYFUNCTION("VLOOKUP(F10392, IMPORTRANGE(""https://docs.google.com/spreadsheets/d/1Lhp9OU0JdFf_VYSMzH5lBcEaU4o8teT1piV-SNzShjg/edit?gid=554141278#gid=554141278"", ""'Char Def. - Attributes'!C20:C2242""), 1,false)"),"ALT_DENUM_UOM3")</f>
        <v>ALT_DENUM_UOM3</v>
      </c>
      <c r="I10392" s="136"/>
      <c r="R10392" s="63" t="str">
        <f t="shared" si="60"/>
        <v>ZSI1_LAB_CULTUREALT_DENUM_UOM3</v>
      </c>
    </row>
    <row r="10393" ht="15.75" customHeight="1">
      <c r="B10393" s="63">
        <f t="shared" si="1"/>
        <v>16</v>
      </c>
      <c r="C10393" s="135" t="s">
        <v>543</v>
      </c>
      <c r="D10393" s="161" t="s">
        <v>74</v>
      </c>
      <c r="E10393" s="135">
        <f t="shared" si="62"/>
        <v>21</v>
      </c>
      <c r="F10393" s="134" t="s">
        <v>3812</v>
      </c>
      <c r="G10393" s="63" t="str">
        <f>VLOOKUP(C10393, 'Class Def. - General Data'!$C$20:$C$1000,1,false)</f>
        <v>ZSI1_LAB_CULTURE</v>
      </c>
      <c r="H10393" s="63" t="str">
        <f>IFERROR(__xludf.DUMMYFUNCTION("VLOOKUP(F10393, IMPORTRANGE(""https://docs.google.com/spreadsheets/d/1Lhp9OU0JdFf_VYSMzH5lBcEaU4o8teT1piV-SNzShjg/edit?gid=554141278#gid=554141278"", ""'Char Def. - Attributes'!C20:C2242""), 1,false)"),"ALT_NUM_UOM3")</f>
        <v>ALT_NUM_UOM3</v>
      </c>
      <c r="I10393" s="136"/>
      <c r="R10393" s="63" t="str">
        <f t="shared" si="60"/>
        <v>ZSI1_LAB_CULTUREALT_NUM_UOM3</v>
      </c>
    </row>
    <row r="10394" ht="15.75" customHeight="1">
      <c r="B10394" s="63">
        <f t="shared" si="1"/>
        <v>16</v>
      </c>
      <c r="C10394" s="135" t="s">
        <v>543</v>
      </c>
      <c r="D10394" s="161" t="s">
        <v>74</v>
      </c>
      <c r="E10394" s="135">
        <f t="shared" si="62"/>
        <v>22</v>
      </c>
      <c r="F10394" s="134" t="s">
        <v>3813</v>
      </c>
      <c r="G10394" s="63" t="str">
        <f>VLOOKUP(C10394, 'Class Def. - General Data'!$C$20:$C$1000,1,false)</f>
        <v>ZSI1_LAB_CULTURE</v>
      </c>
      <c r="H10394" s="63" t="str">
        <f>IFERROR(__xludf.DUMMYFUNCTION("VLOOKUP(F10394, IMPORTRANGE(""https://docs.google.com/spreadsheets/d/1Lhp9OU0JdFf_VYSMzH5lBcEaU4o8teT1piV-SNzShjg/edit?gid=554141278#gid=554141278"", ""'Char Def. - Attributes'!C20:C2242""), 1,false)"),"ALT_UOM4_SIPI")</f>
        <v>ALT_UOM4_SIPI</v>
      </c>
      <c r="I10394" s="136"/>
      <c r="R10394" s="63" t="str">
        <f t="shared" si="60"/>
        <v>ZSI1_LAB_CULTUREALT_UOM4_SIPI</v>
      </c>
    </row>
    <row r="10395" ht="15.75" customHeight="1">
      <c r="B10395" s="63">
        <f t="shared" si="1"/>
        <v>16</v>
      </c>
      <c r="C10395" s="135" t="s">
        <v>543</v>
      </c>
      <c r="D10395" s="161" t="s">
        <v>74</v>
      </c>
      <c r="E10395" s="135">
        <f t="shared" si="62"/>
        <v>23</v>
      </c>
      <c r="F10395" s="134" t="s">
        <v>3814</v>
      </c>
      <c r="G10395" s="63" t="str">
        <f>VLOOKUP(C10395, 'Class Def. - General Data'!$C$20:$C$1000,1,false)</f>
        <v>ZSI1_LAB_CULTURE</v>
      </c>
      <c r="H10395" s="63" t="str">
        <f>IFERROR(__xludf.DUMMYFUNCTION("VLOOKUP(F10395, IMPORTRANGE(""https://docs.google.com/spreadsheets/d/1Lhp9OU0JdFf_VYSMzH5lBcEaU4o8teT1piV-SNzShjg/edit?gid=554141278#gid=554141278"", ""'Char Def. - Attributes'!C20:C2242""), 1,false)"),"ALT_DENUM_UOM4")</f>
        <v>ALT_DENUM_UOM4</v>
      </c>
      <c r="I10395" s="136"/>
      <c r="R10395" s="63" t="str">
        <f t="shared" si="60"/>
        <v>ZSI1_LAB_CULTUREALT_DENUM_UOM4</v>
      </c>
    </row>
    <row r="10396" ht="15.75" customHeight="1">
      <c r="B10396" s="63">
        <f t="shared" si="1"/>
        <v>16</v>
      </c>
      <c r="C10396" s="135" t="s">
        <v>543</v>
      </c>
      <c r="D10396" s="161" t="s">
        <v>74</v>
      </c>
      <c r="E10396" s="135">
        <f t="shared" si="62"/>
        <v>24</v>
      </c>
      <c r="F10396" s="134" t="s">
        <v>3815</v>
      </c>
      <c r="G10396" s="63" t="str">
        <f>VLOOKUP(C10396, 'Class Def. - General Data'!$C$20:$C$1000,1,false)</f>
        <v>ZSI1_LAB_CULTURE</v>
      </c>
      <c r="H10396" s="63" t="str">
        <f>IFERROR(__xludf.DUMMYFUNCTION("VLOOKUP(F10396, IMPORTRANGE(""https://docs.google.com/spreadsheets/d/1Lhp9OU0JdFf_VYSMzH5lBcEaU4o8teT1piV-SNzShjg/edit?gid=554141278#gid=554141278"", ""'Char Def. - Attributes'!C20:C2242""), 1,false)"),"ALT_NUM_UOM4")</f>
        <v>ALT_NUM_UOM4</v>
      </c>
      <c r="I10396" s="136"/>
      <c r="R10396" s="63" t="str">
        <f t="shared" si="60"/>
        <v>ZSI1_LAB_CULTUREALT_NUM_UOM4</v>
      </c>
    </row>
    <row r="10397" ht="15.75" customHeight="1">
      <c r="B10397" s="63">
        <f t="shared" si="1"/>
        <v>16</v>
      </c>
      <c r="C10397" s="135" t="s">
        <v>543</v>
      </c>
      <c r="D10397" s="161" t="s">
        <v>74</v>
      </c>
      <c r="E10397" s="135">
        <f t="shared" si="62"/>
        <v>25</v>
      </c>
      <c r="F10397" s="134" t="s">
        <v>3816</v>
      </c>
      <c r="G10397" s="63" t="str">
        <f>VLOOKUP(C10397, 'Class Def. - General Data'!$C$20:$C$1000,1,false)</f>
        <v>ZSI1_LAB_CULTURE</v>
      </c>
      <c r="H10397" s="63" t="str">
        <f>IFERROR(__xludf.DUMMYFUNCTION("VLOOKUP(F10397, IMPORTRANGE(""https://docs.google.com/spreadsheets/d/1Lhp9OU0JdFf_VYSMzH5lBcEaU4o8teT1piV-SNzShjg/edit?gid=554141278#gid=554141278"", ""'Char Def. - Attributes'!C20:C2242""), 1,false)"),"ALT_UOM5_SIPI")</f>
        <v>ALT_UOM5_SIPI</v>
      </c>
      <c r="I10397" s="136"/>
      <c r="R10397" s="63" t="str">
        <f t="shared" si="60"/>
        <v>ZSI1_LAB_CULTUREALT_UOM5_SIPI</v>
      </c>
    </row>
    <row r="10398" ht="15.75" customHeight="1">
      <c r="B10398" s="63">
        <f t="shared" si="1"/>
        <v>16</v>
      </c>
      <c r="C10398" s="135" t="s">
        <v>543</v>
      </c>
      <c r="D10398" s="161" t="s">
        <v>74</v>
      </c>
      <c r="E10398" s="135">
        <f t="shared" si="62"/>
        <v>26</v>
      </c>
      <c r="F10398" s="134" t="s">
        <v>3817</v>
      </c>
      <c r="G10398" s="63" t="str">
        <f>VLOOKUP(C10398, 'Class Def. - General Data'!$C$20:$C$1000,1,false)</f>
        <v>ZSI1_LAB_CULTURE</v>
      </c>
      <c r="H10398" s="63" t="str">
        <f>IFERROR(__xludf.DUMMYFUNCTION("VLOOKUP(F10398, IMPORTRANGE(""https://docs.google.com/spreadsheets/d/1Lhp9OU0JdFf_VYSMzH5lBcEaU4o8teT1piV-SNzShjg/edit?gid=554141278#gid=554141278"", ""'Char Def. - Attributes'!C20:C2242""), 1,false)"),"ALT_DENUM_UOM5")</f>
        <v>ALT_DENUM_UOM5</v>
      </c>
      <c r="I10398" s="136"/>
      <c r="R10398" s="63" t="str">
        <f t="shared" si="60"/>
        <v>ZSI1_LAB_CULTUREALT_DENUM_UOM5</v>
      </c>
    </row>
    <row r="10399" ht="15.75" customHeight="1">
      <c r="B10399" s="63">
        <f t="shared" si="1"/>
        <v>16</v>
      </c>
      <c r="C10399" s="135" t="s">
        <v>543</v>
      </c>
      <c r="D10399" s="161" t="s">
        <v>74</v>
      </c>
      <c r="E10399" s="135">
        <f t="shared" si="62"/>
        <v>27</v>
      </c>
      <c r="F10399" s="134" t="s">
        <v>3818</v>
      </c>
      <c r="G10399" s="63" t="str">
        <f>VLOOKUP(C10399, 'Class Def. - General Data'!$C$20:$C$1000,1,false)</f>
        <v>ZSI1_LAB_CULTURE</v>
      </c>
      <c r="H10399" s="63" t="str">
        <f>IFERROR(__xludf.DUMMYFUNCTION("VLOOKUP(F10399, IMPORTRANGE(""https://docs.google.com/spreadsheets/d/1Lhp9OU0JdFf_VYSMzH5lBcEaU4o8teT1piV-SNzShjg/edit?gid=554141278#gid=554141278"", ""'Char Def. - Attributes'!C20:C2242""), 1,false)"),"ALT_NUM_UOM5")</f>
        <v>ALT_NUM_UOM5</v>
      </c>
      <c r="I10399" s="136"/>
      <c r="R10399" s="63" t="str">
        <f t="shared" si="60"/>
        <v>ZSI1_LAB_CULTUREALT_NUM_UOM5</v>
      </c>
    </row>
    <row r="10400" ht="15.75" customHeight="1">
      <c r="B10400" s="63">
        <f t="shared" si="1"/>
        <v>18</v>
      </c>
      <c r="C10400" s="135" t="s">
        <v>405</v>
      </c>
      <c r="D10400" s="161" t="s">
        <v>74</v>
      </c>
      <c r="E10400" s="135">
        <f t="shared" si="62"/>
        <v>1</v>
      </c>
      <c r="F10400" s="134" t="s">
        <v>4745</v>
      </c>
      <c r="G10400" s="63" t="str">
        <f>VLOOKUP(C10400, 'Class Def. - General Data'!$C$20:$C$1000,1,false)</f>
        <v>ZSI1_LAB_EQUIPMENT</v>
      </c>
      <c r="H10400" s="63" t="str">
        <f>IFERROR(__xludf.DUMMYFUNCTION("VLOOKUP(F10400, IMPORTRANGE(""https://docs.google.com/spreadsheets/d/1Lhp9OU0JdFf_VYSMzH5lBcEaU4o8teT1piV-SNzShjg/edit?gid=554141278#gid=554141278"", ""'Char Def. - Attributes'!C20:C2242""), 1,false)"),"ITEM_NAME_LAB_EQUIPMENT")</f>
        <v>ITEM_NAME_LAB_EQUIPMENT</v>
      </c>
      <c r="I10400" s="136"/>
      <c r="R10400" s="63" t="str">
        <f t="shared" si="60"/>
        <v>ZSI1_LAB_EQUIPMENTITEM_NAME_LAB_EQUIPMENT</v>
      </c>
    </row>
    <row r="10401" ht="15.75" customHeight="1">
      <c r="B10401" s="63">
        <f t="shared" si="1"/>
        <v>18</v>
      </c>
      <c r="C10401" s="135" t="s">
        <v>405</v>
      </c>
      <c r="D10401" s="161" t="s">
        <v>74</v>
      </c>
      <c r="E10401" s="135">
        <f t="shared" si="62"/>
        <v>2</v>
      </c>
      <c r="F10401" s="134" t="s">
        <v>4746</v>
      </c>
      <c r="G10401" s="63" t="str">
        <f>VLOOKUP(C10401, 'Class Def. - General Data'!$C$20:$C$1000,1,false)</f>
        <v>ZSI1_LAB_EQUIPMENT</v>
      </c>
      <c r="H10401" s="63" t="str">
        <f>IFERROR(__xludf.DUMMYFUNCTION("VLOOKUP(F10401, IMPORTRANGE(""https://docs.google.com/spreadsheets/d/1Lhp9OU0JdFf_VYSMzH5lBcEaU4o8teT1piV-SNzShjg/edit?gid=554141278#gid=554141278"", ""'Char Def. - Attributes'!C20:C2242""), 1,false)"),"SERIES_LAB_EQUIPMENT")</f>
        <v>SERIES_LAB_EQUIPMENT</v>
      </c>
      <c r="I10401" s="136"/>
      <c r="R10401" s="63" t="str">
        <f t="shared" si="60"/>
        <v>ZSI1_LAB_EQUIPMENTSERIES_LAB_EQUIPMENT</v>
      </c>
    </row>
    <row r="10402" ht="15.75" customHeight="1">
      <c r="B10402" s="63">
        <f t="shared" si="1"/>
        <v>18</v>
      </c>
      <c r="C10402" s="135" t="s">
        <v>405</v>
      </c>
      <c r="D10402" s="161" t="s">
        <v>74</v>
      </c>
      <c r="E10402" s="135">
        <f t="shared" si="62"/>
        <v>3</v>
      </c>
      <c r="F10402" s="134" t="s">
        <v>3782</v>
      </c>
      <c r="G10402" s="63" t="str">
        <f>VLOOKUP(C10402, 'Class Def. - General Data'!$C$20:$C$1000,1,false)</f>
        <v>ZSI1_LAB_EQUIPMENT</v>
      </c>
      <c r="H10402" s="63" t="str">
        <f>IFERROR(__xludf.DUMMYFUNCTION("VLOOKUP(F10402, IMPORTRANGE(""https://docs.google.com/spreadsheets/d/1Lhp9OU0JdFf_VYSMzH5lBcEaU4o8teT1piV-SNzShjg/edit?gid=554141278#gid=554141278"", ""'Char Def. - Attributes'!C20:C2242""), 1,false)"),"BRAND_EXTERNAL")</f>
        <v>BRAND_EXTERNAL</v>
      </c>
      <c r="I10402" s="136"/>
      <c r="R10402" s="63" t="str">
        <f t="shared" si="60"/>
        <v>ZSI1_LAB_EQUIPMENTBRAND_EXTERNAL</v>
      </c>
    </row>
    <row r="10403" ht="15.75" customHeight="1">
      <c r="B10403" s="63">
        <f t="shared" si="1"/>
        <v>18</v>
      </c>
      <c r="C10403" s="135" t="s">
        <v>405</v>
      </c>
      <c r="D10403" s="161" t="s">
        <v>74</v>
      </c>
      <c r="E10403" s="135">
        <f t="shared" si="62"/>
        <v>4</v>
      </c>
      <c r="F10403" s="134" t="s">
        <v>4053</v>
      </c>
      <c r="G10403" s="63" t="str">
        <f>VLOOKUP(C10403, 'Class Def. - General Data'!$C$20:$C$1000,1,false)</f>
        <v>ZSI1_LAB_EQUIPMENT</v>
      </c>
      <c r="H10403" s="63" t="str">
        <f>IFERROR(__xludf.DUMMYFUNCTION("VLOOKUP(F10403, IMPORTRANGE(""https://docs.google.com/spreadsheets/d/1Lhp9OU0JdFf_VYSMzH5lBcEaU4o8teT1piV-SNzShjg/edit?gid=554141278#gid=554141278"", ""'Char Def. - Attributes'!C20:C2242""), 1,false)"),"MAINTENANCE_ORDER_TYPE")</f>
        <v>MAINTENANCE_ORDER_TYPE</v>
      </c>
      <c r="I10403" s="136"/>
      <c r="R10403" s="63" t="str">
        <f t="shared" si="60"/>
        <v>ZSI1_LAB_EQUIPMENTMAINTENANCE_ORDER_TYPE</v>
      </c>
    </row>
    <row r="10404" ht="15.75" customHeight="1">
      <c r="B10404" s="63">
        <f t="shared" si="1"/>
        <v>18</v>
      </c>
      <c r="C10404" s="135" t="s">
        <v>405</v>
      </c>
      <c r="D10404" s="161" t="s">
        <v>74</v>
      </c>
      <c r="E10404" s="135">
        <f t="shared" si="62"/>
        <v>5</v>
      </c>
      <c r="F10404" s="134" t="s">
        <v>3585</v>
      </c>
      <c r="G10404" s="63" t="str">
        <f>VLOOKUP(C10404, 'Class Def. - General Data'!$C$20:$C$1000,1,false)</f>
        <v>ZSI1_LAB_EQUIPMENT</v>
      </c>
      <c r="H10404" s="63" t="str">
        <f>IFERROR(__xludf.DUMMYFUNCTION("VLOOKUP(F10404, IMPORTRANGE(""https://docs.google.com/spreadsheets/d/1Lhp9OU0JdFf_VYSMzH5lBcEaU4o8teT1piV-SNzShjg/edit?gid=554141278#gid=554141278"", ""'Char Def. - Attributes'!C20:C2242""), 1,false)"),"HS_CODE")</f>
        <v>HS_CODE</v>
      </c>
      <c r="I10404" s="136"/>
      <c r="R10404" s="63" t="str">
        <f t="shared" si="60"/>
        <v>ZSI1_LAB_EQUIPMENTHS_CODE</v>
      </c>
    </row>
    <row r="10405" ht="15.75" customHeight="1">
      <c r="B10405" s="63">
        <f t="shared" si="1"/>
        <v>18</v>
      </c>
      <c r="C10405" s="135" t="s">
        <v>405</v>
      </c>
      <c r="D10405" s="161" t="s">
        <v>74</v>
      </c>
      <c r="E10405" s="135">
        <f t="shared" si="62"/>
        <v>6</v>
      </c>
      <c r="F10405" s="134" t="s">
        <v>3587</v>
      </c>
      <c r="G10405" s="63" t="str">
        <f>VLOOKUP(C10405, 'Class Def. - General Data'!$C$20:$C$1000,1,false)</f>
        <v>ZSI1_LAB_EQUIPMENT</v>
      </c>
      <c r="H10405" s="63" t="str">
        <f>IFERROR(__xludf.DUMMYFUNCTION("VLOOKUP(F10405, IMPORTRANGE(""https://docs.google.com/spreadsheets/d/1Lhp9OU0JdFf_VYSMzH5lBcEaU4o8teT1piV-SNzShjg/edit?gid=554141278#gid=554141278"", ""'Char Def. - Attributes'!C20:C2242""), 1,false)"),"PLANT_BUY")</f>
        <v>PLANT_BUY</v>
      </c>
      <c r="I10405" s="136"/>
      <c r="R10405" s="63" t="str">
        <f t="shared" si="60"/>
        <v>ZSI1_LAB_EQUIPMENTPLANT_BUY</v>
      </c>
    </row>
    <row r="10406" ht="15.75" customHeight="1">
      <c r="B10406" s="63">
        <f t="shared" si="1"/>
        <v>18</v>
      </c>
      <c r="C10406" s="135" t="s">
        <v>405</v>
      </c>
      <c r="D10406" s="161" t="s">
        <v>74</v>
      </c>
      <c r="E10406" s="135">
        <f t="shared" si="62"/>
        <v>7</v>
      </c>
      <c r="F10406" s="134" t="s">
        <v>4747</v>
      </c>
      <c r="G10406" s="63" t="str">
        <f>VLOOKUP(C10406, 'Class Def. - General Data'!$C$20:$C$1000,1,false)</f>
        <v>ZSI1_LAB_EQUIPMENT</v>
      </c>
      <c r="H10406" s="63" t="str">
        <f>IFERROR(__xludf.DUMMYFUNCTION("VLOOKUP(F10406, IMPORTRANGE(""https://docs.google.com/spreadsheets/d/1Lhp9OU0JdFf_VYSMzH5lBcEaU4o8teT1piV-SNzShjg/edit?gid=554141278#gid=554141278"", ""'Char Def. - Attributes'!C20:C2242""), 1,false)"),"BASE_UOM_LAB_EQUIPMENT")</f>
        <v>BASE_UOM_LAB_EQUIPMENT</v>
      </c>
      <c r="I10406" s="136"/>
      <c r="R10406" s="63" t="str">
        <f t="shared" si="60"/>
        <v>ZSI1_LAB_EQUIPMENTBASE_UOM_LAB_EQUIPMENT</v>
      </c>
    </row>
    <row r="10407" ht="15.75" customHeight="1">
      <c r="B10407" s="63">
        <f t="shared" si="1"/>
        <v>18</v>
      </c>
      <c r="C10407" s="135" t="s">
        <v>405</v>
      </c>
      <c r="D10407" s="161" t="s">
        <v>74</v>
      </c>
      <c r="E10407" s="135">
        <f t="shared" si="62"/>
        <v>8</v>
      </c>
      <c r="F10407" s="134" t="s">
        <v>4748</v>
      </c>
      <c r="G10407" s="63" t="str">
        <f>VLOOKUP(C10407, 'Class Def. - General Data'!$C$20:$C$1000,1,false)</f>
        <v>ZSI1_LAB_EQUIPMENT</v>
      </c>
      <c r="H10407" s="63" t="str">
        <f>IFERROR(__xludf.DUMMYFUNCTION("VLOOKUP(F10407, IMPORTRANGE(""https://docs.google.com/spreadsheets/d/1Lhp9OU0JdFf_VYSMzH5lBcEaU4o8teT1piV-SNzShjg/edit?gid=554141278#gid=554141278"", ""'Char Def. - Attributes'!C20:C2242""), 1,false)"),"ORDER_UNIT_LAB_EQUIPMENT")</f>
        <v>ORDER_UNIT_LAB_EQUIPMENT</v>
      </c>
      <c r="I10407" s="136"/>
      <c r="R10407" s="63" t="str">
        <f t="shared" si="60"/>
        <v>ZSI1_LAB_EQUIPMENTORDER_UNIT_LAB_EQUIPMENT</v>
      </c>
    </row>
    <row r="10408" ht="15.75" customHeight="1">
      <c r="B10408" s="63">
        <f t="shared" si="1"/>
        <v>18</v>
      </c>
      <c r="C10408" s="135" t="s">
        <v>405</v>
      </c>
      <c r="D10408" s="161" t="s">
        <v>74</v>
      </c>
      <c r="E10408" s="135">
        <f t="shared" si="62"/>
        <v>9</v>
      </c>
      <c r="F10408" s="134" t="s">
        <v>4056</v>
      </c>
      <c r="G10408" s="63" t="str">
        <f>VLOOKUP(C10408, 'Class Def. - General Data'!$C$20:$C$1000,1,false)</f>
        <v>ZSI1_LAB_EQUIPMENT</v>
      </c>
      <c r="H10408" s="63" t="str">
        <f>IFERROR(__xludf.DUMMYFUNCTION("VLOOKUP(F10408, IMPORTRANGE(""https://docs.google.com/spreadsheets/d/1Lhp9OU0JdFf_VYSMzH5lBcEaU4o8teT1piV-SNzShjg/edit?gid=554141278#gid=554141278"", ""'Char Def. - Attributes'!C20:C2242""), 1,false)"),"GROSS_WEIGHT_OPT")</f>
        <v>GROSS_WEIGHT_OPT</v>
      </c>
      <c r="I10408" s="136"/>
      <c r="R10408" s="63" t="str">
        <f t="shared" si="60"/>
        <v>ZSI1_LAB_EQUIPMENTGROSS_WEIGHT_OPT</v>
      </c>
    </row>
    <row r="10409" ht="15.75" customHeight="1">
      <c r="B10409" s="63">
        <f t="shared" si="1"/>
        <v>18</v>
      </c>
      <c r="C10409" s="135" t="s">
        <v>405</v>
      </c>
      <c r="D10409" s="161" t="s">
        <v>74</v>
      </c>
      <c r="E10409" s="135">
        <f t="shared" si="62"/>
        <v>10</v>
      </c>
      <c r="F10409" s="134" t="s">
        <v>4057</v>
      </c>
      <c r="G10409" s="63" t="str">
        <f>VLOOKUP(C10409, 'Class Def. - General Data'!$C$20:$C$1000,1,false)</f>
        <v>ZSI1_LAB_EQUIPMENT</v>
      </c>
      <c r="H10409" s="63" t="str">
        <f>IFERROR(__xludf.DUMMYFUNCTION("VLOOKUP(F10409, IMPORTRANGE(""https://docs.google.com/spreadsheets/d/1Lhp9OU0JdFf_VYSMzH5lBcEaU4o8teT1piV-SNzShjg/edit?gid=554141278#gid=554141278"", ""'Char Def. - Attributes'!C20:C2242""), 1,false)"),"NET_WEIGHT_OPT")</f>
        <v>NET_WEIGHT_OPT</v>
      </c>
      <c r="I10409" s="136"/>
      <c r="R10409" s="63" t="str">
        <f t="shared" si="60"/>
        <v>ZSI1_LAB_EQUIPMENTNET_WEIGHT_OPT</v>
      </c>
    </row>
    <row r="10410" ht="15.75" customHeight="1">
      <c r="B10410" s="63">
        <f t="shared" si="1"/>
        <v>18</v>
      </c>
      <c r="C10410" s="135" t="s">
        <v>405</v>
      </c>
      <c r="D10410" s="161" t="s">
        <v>74</v>
      </c>
      <c r="E10410" s="135">
        <f t="shared" si="62"/>
        <v>11</v>
      </c>
      <c r="F10410" s="134" t="s">
        <v>4058</v>
      </c>
      <c r="G10410" s="63" t="str">
        <f>VLOOKUP(C10410, 'Class Def. - General Data'!$C$20:$C$1000,1,false)</f>
        <v>ZSI1_LAB_EQUIPMENT</v>
      </c>
      <c r="H10410" s="63" t="str">
        <f>IFERROR(__xludf.DUMMYFUNCTION("VLOOKUP(F10410, IMPORTRANGE(""https://docs.google.com/spreadsheets/d/1Lhp9OU0JdFf_VYSMzH5lBcEaU4o8teT1piV-SNzShjg/edit?gid=554141278#gid=554141278"", ""'Char Def. - Attributes'!C20:C2242""), 1,false)"),"WEIGHT_UNIT_SI")</f>
        <v>WEIGHT_UNIT_SI</v>
      </c>
      <c r="I10410" s="136"/>
      <c r="R10410" s="63" t="str">
        <f t="shared" si="60"/>
        <v>ZSI1_LAB_EQUIPMENTWEIGHT_UNIT_SI</v>
      </c>
    </row>
    <row r="10411" ht="15.75" customHeight="1">
      <c r="B10411" s="63">
        <f t="shared" si="1"/>
        <v>18</v>
      </c>
      <c r="C10411" s="135" t="s">
        <v>405</v>
      </c>
      <c r="D10411" s="161" t="s">
        <v>74</v>
      </c>
      <c r="E10411" s="135">
        <f t="shared" si="62"/>
        <v>12</v>
      </c>
      <c r="F10411" s="134" t="s">
        <v>3877</v>
      </c>
      <c r="G10411" s="63" t="str">
        <f>VLOOKUP(C10411, 'Class Def. - General Data'!$C$20:$C$1000,1,false)</f>
        <v>ZSI1_LAB_EQUIPMENT</v>
      </c>
      <c r="H10411" s="63" t="str">
        <f>IFERROR(__xludf.DUMMYFUNCTION("VLOOKUP(F10411, IMPORTRANGE(""https://docs.google.com/spreadsheets/d/1Lhp9OU0JdFf_VYSMzH5lBcEaU4o8teT1piV-SNzShjg/edit?gid=554141278#gid=554141278"", ""'Char Def. - Attributes'!C20:C2242""), 1,false)"),"VOLUME_OPT")</f>
        <v>VOLUME_OPT</v>
      </c>
      <c r="I10411" s="136"/>
      <c r="R10411" s="63" t="str">
        <f t="shared" si="60"/>
        <v>ZSI1_LAB_EQUIPMENTVOLUME_OPT</v>
      </c>
    </row>
    <row r="10412" ht="15.75" customHeight="1">
      <c r="B10412" s="63">
        <f t="shared" si="1"/>
        <v>18</v>
      </c>
      <c r="C10412" s="135" t="s">
        <v>405</v>
      </c>
      <c r="D10412" s="161" t="s">
        <v>74</v>
      </c>
      <c r="E10412" s="135">
        <f t="shared" si="62"/>
        <v>13</v>
      </c>
      <c r="F10412" s="134" t="s">
        <v>4059</v>
      </c>
      <c r="G10412" s="63" t="str">
        <f>VLOOKUP(C10412, 'Class Def. - General Data'!$C$20:$C$1000,1,false)</f>
        <v>ZSI1_LAB_EQUIPMENT</v>
      </c>
      <c r="H10412" s="63" t="str">
        <f>IFERROR(__xludf.DUMMYFUNCTION("VLOOKUP(F10412, IMPORTRANGE(""https://docs.google.com/spreadsheets/d/1Lhp9OU0JdFf_VYSMzH5lBcEaU4o8teT1piV-SNzShjg/edit?gid=554141278#gid=554141278"", ""'Char Def. - Attributes'!C20:C2242""), 1,false)"),"VOLUME_UNIT_SI")</f>
        <v>VOLUME_UNIT_SI</v>
      </c>
      <c r="I10412" s="136"/>
      <c r="R10412" s="63" t="str">
        <f t="shared" si="60"/>
        <v>ZSI1_LAB_EQUIPMENTVOLUME_UNIT_SI</v>
      </c>
    </row>
    <row r="10413" ht="15.75" customHeight="1">
      <c r="B10413" s="63">
        <f t="shared" si="1"/>
        <v>18</v>
      </c>
      <c r="C10413" s="135" t="s">
        <v>405</v>
      </c>
      <c r="D10413" s="161" t="s">
        <v>74</v>
      </c>
      <c r="E10413" s="135">
        <f t="shared" si="62"/>
        <v>14</v>
      </c>
      <c r="F10413" s="134" t="s">
        <v>3804</v>
      </c>
      <c r="G10413" s="63" t="str">
        <f>VLOOKUP(C10413, 'Class Def. - General Data'!$C$20:$C$1000,1,false)</f>
        <v>ZSI1_LAB_EQUIPMENT</v>
      </c>
      <c r="H10413" s="63" t="str">
        <f>IFERROR(__xludf.DUMMYFUNCTION("VLOOKUP(F10413, IMPORTRANGE(""https://docs.google.com/spreadsheets/d/1Lhp9OU0JdFf_VYSMzH5lBcEaU4o8teT1piV-SNzShjg/edit?gid=554141278#gid=554141278"", ""'Char Def. - Attributes'!C20:C2242""), 1,false)"),"ALT_UOM1_SIPI")</f>
        <v>ALT_UOM1_SIPI</v>
      </c>
      <c r="I10413" s="136"/>
      <c r="R10413" s="63" t="str">
        <f t="shared" si="60"/>
        <v>ZSI1_LAB_EQUIPMENTALT_UOM1_SIPI</v>
      </c>
    </row>
    <row r="10414" ht="15.75" customHeight="1">
      <c r="B10414" s="63">
        <f t="shared" si="1"/>
        <v>18</v>
      </c>
      <c r="C10414" s="135" t="s">
        <v>405</v>
      </c>
      <c r="D10414" s="161" t="s">
        <v>74</v>
      </c>
      <c r="E10414" s="135">
        <f t="shared" si="62"/>
        <v>15</v>
      </c>
      <c r="F10414" s="134" t="s">
        <v>3805</v>
      </c>
      <c r="G10414" s="63" t="str">
        <f>VLOOKUP(C10414, 'Class Def. - General Data'!$C$20:$C$1000,1,false)</f>
        <v>ZSI1_LAB_EQUIPMENT</v>
      </c>
      <c r="H10414" s="63" t="str">
        <f>IFERROR(__xludf.DUMMYFUNCTION("VLOOKUP(F10414, IMPORTRANGE(""https://docs.google.com/spreadsheets/d/1Lhp9OU0JdFf_VYSMzH5lBcEaU4o8teT1piV-SNzShjg/edit?gid=554141278#gid=554141278"", ""'Char Def. - Attributes'!C20:C2242""), 1,false)"),"ALT_DENUM_UOM1")</f>
        <v>ALT_DENUM_UOM1</v>
      </c>
      <c r="I10414" s="136"/>
      <c r="R10414" s="63" t="str">
        <f t="shared" si="60"/>
        <v>ZSI1_LAB_EQUIPMENTALT_DENUM_UOM1</v>
      </c>
    </row>
    <row r="10415" ht="15.75" customHeight="1">
      <c r="B10415" s="63">
        <f t="shared" si="1"/>
        <v>18</v>
      </c>
      <c r="C10415" s="135" t="s">
        <v>405</v>
      </c>
      <c r="D10415" s="161" t="s">
        <v>74</v>
      </c>
      <c r="E10415" s="135">
        <f t="shared" si="62"/>
        <v>16</v>
      </c>
      <c r="F10415" s="134" t="s">
        <v>3806</v>
      </c>
      <c r="G10415" s="63" t="str">
        <f>VLOOKUP(C10415, 'Class Def. - General Data'!$C$20:$C$1000,1,false)</f>
        <v>ZSI1_LAB_EQUIPMENT</v>
      </c>
      <c r="H10415" s="63" t="str">
        <f>IFERROR(__xludf.DUMMYFUNCTION("VLOOKUP(F10415, IMPORTRANGE(""https://docs.google.com/spreadsheets/d/1Lhp9OU0JdFf_VYSMzH5lBcEaU4o8teT1piV-SNzShjg/edit?gid=554141278#gid=554141278"", ""'Char Def. - Attributes'!C20:C2242""), 1,false)"),"ALT_NUM_UOM1")</f>
        <v>ALT_NUM_UOM1</v>
      </c>
      <c r="I10415" s="136"/>
      <c r="R10415" s="63" t="str">
        <f t="shared" si="60"/>
        <v>ZSI1_LAB_EQUIPMENTALT_NUM_UOM1</v>
      </c>
    </row>
    <row r="10416" ht="15.75" customHeight="1">
      <c r="B10416" s="63">
        <f t="shared" si="1"/>
        <v>18</v>
      </c>
      <c r="C10416" s="135" t="s">
        <v>405</v>
      </c>
      <c r="D10416" s="161" t="s">
        <v>74</v>
      </c>
      <c r="E10416" s="135">
        <f t="shared" si="62"/>
        <v>17</v>
      </c>
      <c r="F10416" s="134" t="s">
        <v>3807</v>
      </c>
      <c r="G10416" s="63" t="str">
        <f>VLOOKUP(C10416, 'Class Def. - General Data'!$C$20:$C$1000,1,false)</f>
        <v>ZSI1_LAB_EQUIPMENT</v>
      </c>
      <c r="H10416" s="63" t="str">
        <f>IFERROR(__xludf.DUMMYFUNCTION("VLOOKUP(F10416, IMPORTRANGE(""https://docs.google.com/spreadsheets/d/1Lhp9OU0JdFf_VYSMzH5lBcEaU4o8teT1piV-SNzShjg/edit?gid=554141278#gid=554141278"", ""'Char Def. - Attributes'!C20:C2242""), 1,false)"),"ALT_UOM2_SIPI")</f>
        <v>ALT_UOM2_SIPI</v>
      </c>
      <c r="I10416" s="136"/>
      <c r="R10416" s="63" t="str">
        <f t="shared" si="60"/>
        <v>ZSI1_LAB_EQUIPMENTALT_UOM2_SIPI</v>
      </c>
    </row>
    <row r="10417" ht="15.75" customHeight="1">
      <c r="B10417" s="63">
        <f t="shared" si="1"/>
        <v>18</v>
      </c>
      <c r="C10417" s="135" t="s">
        <v>405</v>
      </c>
      <c r="D10417" s="161" t="s">
        <v>74</v>
      </c>
      <c r="E10417" s="135">
        <f t="shared" si="62"/>
        <v>18</v>
      </c>
      <c r="F10417" s="134" t="s">
        <v>3808</v>
      </c>
      <c r="G10417" s="63" t="str">
        <f>VLOOKUP(C10417, 'Class Def. - General Data'!$C$20:$C$1000,1,false)</f>
        <v>ZSI1_LAB_EQUIPMENT</v>
      </c>
      <c r="H10417" s="63" t="str">
        <f>IFERROR(__xludf.DUMMYFUNCTION("VLOOKUP(F10417, IMPORTRANGE(""https://docs.google.com/spreadsheets/d/1Lhp9OU0JdFf_VYSMzH5lBcEaU4o8teT1piV-SNzShjg/edit?gid=554141278#gid=554141278"", ""'Char Def. - Attributes'!C20:C2242""), 1,false)"),"ALT_DENUM_UOM2")</f>
        <v>ALT_DENUM_UOM2</v>
      </c>
      <c r="I10417" s="136"/>
      <c r="R10417" s="63" t="str">
        <f t="shared" si="60"/>
        <v>ZSI1_LAB_EQUIPMENTALT_DENUM_UOM2</v>
      </c>
    </row>
    <row r="10418" ht="15.75" customHeight="1">
      <c r="B10418" s="63">
        <f t="shared" si="1"/>
        <v>18</v>
      </c>
      <c r="C10418" s="135" t="s">
        <v>405</v>
      </c>
      <c r="D10418" s="161" t="s">
        <v>74</v>
      </c>
      <c r="E10418" s="135">
        <f t="shared" si="62"/>
        <v>19</v>
      </c>
      <c r="F10418" s="134" t="s">
        <v>3809</v>
      </c>
      <c r="G10418" s="63" t="str">
        <f>VLOOKUP(C10418, 'Class Def. - General Data'!$C$20:$C$1000,1,false)</f>
        <v>ZSI1_LAB_EQUIPMENT</v>
      </c>
      <c r="H10418" s="63" t="str">
        <f>IFERROR(__xludf.DUMMYFUNCTION("VLOOKUP(F10418, IMPORTRANGE(""https://docs.google.com/spreadsheets/d/1Lhp9OU0JdFf_VYSMzH5lBcEaU4o8teT1piV-SNzShjg/edit?gid=554141278#gid=554141278"", ""'Char Def. - Attributes'!C20:C2242""), 1,false)"),"ALT_NUM_UOM2")</f>
        <v>ALT_NUM_UOM2</v>
      </c>
      <c r="I10418" s="136"/>
      <c r="R10418" s="63" t="str">
        <f t="shared" si="60"/>
        <v>ZSI1_LAB_EQUIPMENTALT_NUM_UOM2</v>
      </c>
    </row>
    <row r="10419" ht="15.75" customHeight="1">
      <c r="B10419" s="63">
        <f t="shared" si="1"/>
        <v>18</v>
      </c>
      <c r="C10419" s="135" t="s">
        <v>405</v>
      </c>
      <c r="D10419" s="161" t="s">
        <v>74</v>
      </c>
      <c r="E10419" s="135">
        <f t="shared" si="62"/>
        <v>20</v>
      </c>
      <c r="F10419" s="134" t="s">
        <v>3810</v>
      </c>
      <c r="G10419" s="63" t="str">
        <f>VLOOKUP(C10419, 'Class Def. - General Data'!$C$20:$C$1000,1,false)</f>
        <v>ZSI1_LAB_EQUIPMENT</v>
      </c>
      <c r="H10419" s="63" t="str">
        <f>IFERROR(__xludf.DUMMYFUNCTION("VLOOKUP(F10419, IMPORTRANGE(""https://docs.google.com/spreadsheets/d/1Lhp9OU0JdFf_VYSMzH5lBcEaU4o8teT1piV-SNzShjg/edit?gid=554141278#gid=554141278"", ""'Char Def. - Attributes'!C20:C2242""), 1,false)"),"ALT_UOM3_SIPI")</f>
        <v>ALT_UOM3_SIPI</v>
      </c>
      <c r="I10419" s="136"/>
      <c r="R10419" s="63" t="str">
        <f t="shared" si="60"/>
        <v>ZSI1_LAB_EQUIPMENTALT_UOM3_SIPI</v>
      </c>
    </row>
    <row r="10420" ht="15.75" customHeight="1">
      <c r="B10420" s="63">
        <f t="shared" si="1"/>
        <v>18</v>
      </c>
      <c r="C10420" s="135" t="s">
        <v>405</v>
      </c>
      <c r="D10420" s="161" t="s">
        <v>74</v>
      </c>
      <c r="E10420" s="135">
        <f t="shared" si="62"/>
        <v>21</v>
      </c>
      <c r="F10420" s="134" t="s">
        <v>3811</v>
      </c>
      <c r="G10420" s="63" t="str">
        <f>VLOOKUP(C10420, 'Class Def. - General Data'!$C$20:$C$1000,1,false)</f>
        <v>ZSI1_LAB_EQUIPMENT</v>
      </c>
      <c r="H10420" s="63" t="str">
        <f>IFERROR(__xludf.DUMMYFUNCTION("VLOOKUP(F10420, IMPORTRANGE(""https://docs.google.com/spreadsheets/d/1Lhp9OU0JdFf_VYSMzH5lBcEaU4o8teT1piV-SNzShjg/edit?gid=554141278#gid=554141278"", ""'Char Def. - Attributes'!C20:C2242""), 1,false)"),"ALT_DENUM_UOM3")</f>
        <v>ALT_DENUM_UOM3</v>
      </c>
      <c r="I10420" s="136"/>
      <c r="R10420" s="63" t="str">
        <f t="shared" si="60"/>
        <v>ZSI1_LAB_EQUIPMENTALT_DENUM_UOM3</v>
      </c>
    </row>
    <row r="10421" ht="15.75" customHeight="1">
      <c r="B10421" s="63">
        <f t="shared" si="1"/>
        <v>18</v>
      </c>
      <c r="C10421" s="135" t="s">
        <v>405</v>
      </c>
      <c r="D10421" s="161" t="s">
        <v>74</v>
      </c>
      <c r="E10421" s="135">
        <f t="shared" si="62"/>
        <v>22</v>
      </c>
      <c r="F10421" s="134" t="s">
        <v>3812</v>
      </c>
      <c r="G10421" s="63" t="str">
        <f>VLOOKUP(C10421, 'Class Def. - General Data'!$C$20:$C$1000,1,false)</f>
        <v>ZSI1_LAB_EQUIPMENT</v>
      </c>
      <c r="H10421" s="63" t="str">
        <f>IFERROR(__xludf.DUMMYFUNCTION("VLOOKUP(F10421, IMPORTRANGE(""https://docs.google.com/spreadsheets/d/1Lhp9OU0JdFf_VYSMzH5lBcEaU4o8teT1piV-SNzShjg/edit?gid=554141278#gid=554141278"", ""'Char Def. - Attributes'!C20:C2242""), 1,false)"),"ALT_NUM_UOM3")</f>
        <v>ALT_NUM_UOM3</v>
      </c>
      <c r="I10421" s="136"/>
      <c r="R10421" s="63" t="str">
        <f t="shared" si="60"/>
        <v>ZSI1_LAB_EQUIPMENTALT_NUM_UOM3</v>
      </c>
    </row>
    <row r="10422" ht="15.75" customHeight="1">
      <c r="B10422" s="63">
        <f t="shared" si="1"/>
        <v>18</v>
      </c>
      <c r="C10422" s="135" t="s">
        <v>405</v>
      </c>
      <c r="D10422" s="161" t="s">
        <v>74</v>
      </c>
      <c r="E10422" s="135">
        <f t="shared" si="62"/>
        <v>23</v>
      </c>
      <c r="F10422" s="134" t="s">
        <v>3813</v>
      </c>
      <c r="G10422" s="63" t="str">
        <f>VLOOKUP(C10422, 'Class Def. - General Data'!$C$20:$C$1000,1,false)</f>
        <v>ZSI1_LAB_EQUIPMENT</v>
      </c>
      <c r="H10422" s="63" t="str">
        <f>IFERROR(__xludf.DUMMYFUNCTION("VLOOKUP(F10422, IMPORTRANGE(""https://docs.google.com/spreadsheets/d/1Lhp9OU0JdFf_VYSMzH5lBcEaU4o8teT1piV-SNzShjg/edit?gid=554141278#gid=554141278"", ""'Char Def. - Attributes'!C20:C2242""), 1,false)"),"ALT_UOM4_SIPI")</f>
        <v>ALT_UOM4_SIPI</v>
      </c>
      <c r="I10422" s="136"/>
      <c r="R10422" s="63" t="str">
        <f t="shared" si="60"/>
        <v>ZSI1_LAB_EQUIPMENTALT_UOM4_SIPI</v>
      </c>
    </row>
    <row r="10423" ht="15.75" customHeight="1">
      <c r="B10423" s="63">
        <f t="shared" si="1"/>
        <v>18</v>
      </c>
      <c r="C10423" s="135" t="s">
        <v>405</v>
      </c>
      <c r="D10423" s="161" t="s">
        <v>74</v>
      </c>
      <c r="E10423" s="135">
        <f t="shared" si="62"/>
        <v>24</v>
      </c>
      <c r="F10423" s="134" t="s">
        <v>3814</v>
      </c>
      <c r="G10423" s="63" t="str">
        <f>VLOOKUP(C10423, 'Class Def. - General Data'!$C$20:$C$1000,1,false)</f>
        <v>ZSI1_LAB_EQUIPMENT</v>
      </c>
      <c r="H10423" s="63" t="str">
        <f>IFERROR(__xludf.DUMMYFUNCTION("VLOOKUP(F10423, IMPORTRANGE(""https://docs.google.com/spreadsheets/d/1Lhp9OU0JdFf_VYSMzH5lBcEaU4o8teT1piV-SNzShjg/edit?gid=554141278#gid=554141278"", ""'Char Def. - Attributes'!C20:C2242""), 1,false)"),"ALT_DENUM_UOM4")</f>
        <v>ALT_DENUM_UOM4</v>
      </c>
      <c r="I10423" s="136"/>
      <c r="R10423" s="63" t="str">
        <f t="shared" si="60"/>
        <v>ZSI1_LAB_EQUIPMENTALT_DENUM_UOM4</v>
      </c>
    </row>
    <row r="10424" ht="15.75" customHeight="1">
      <c r="B10424" s="63">
        <f t="shared" si="1"/>
        <v>18</v>
      </c>
      <c r="C10424" s="135" t="s">
        <v>405</v>
      </c>
      <c r="D10424" s="161" t="s">
        <v>74</v>
      </c>
      <c r="E10424" s="135">
        <f t="shared" si="62"/>
        <v>25</v>
      </c>
      <c r="F10424" s="134" t="s">
        <v>3815</v>
      </c>
      <c r="G10424" s="63" t="str">
        <f>VLOOKUP(C10424, 'Class Def. - General Data'!$C$20:$C$1000,1,false)</f>
        <v>ZSI1_LAB_EQUIPMENT</v>
      </c>
      <c r="H10424" s="63" t="str">
        <f>IFERROR(__xludf.DUMMYFUNCTION("VLOOKUP(F10424, IMPORTRANGE(""https://docs.google.com/spreadsheets/d/1Lhp9OU0JdFf_VYSMzH5lBcEaU4o8teT1piV-SNzShjg/edit?gid=554141278#gid=554141278"", ""'Char Def. - Attributes'!C20:C2242""), 1,false)"),"ALT_NUM_UOM4")</f>
        <v>ALT_NUM_UOM4</v>
      </c>
      <c r="I10424" s="136"/>
      <c r="R10424" s="63" t="str">
        <f t="shared" si="60"/>
        <v>ZSI1_LAB_EQUIPMENTALT_NUM_UOM4</v>
      </c>
    </row>
    <row r="10425" ht="15.75" customHeight="1">
      <c r="B10425" s="63">
        <f t="shared" si="1"/>
        <v>18</v>
      </c>
      <c r="C10425" s="135" t="s">
        <v>405</v>
      </c>
      <c r="D10425" s="161" t="s">
        <v>74</v>
      </c>
      <c r="E10425" s="135">
        <f t="shared" si="62"/>
        <v>26</v>
      </c>
      <c r="F10425" s="134" t="s">
        <v>3816</v>
      </c>
      <c r="G10425" s="63" t="str">
        <f>VLOOKUP(C10425, 'Class Def. - General Data'!$C$20:$C$1000,1,false)</f>
        <v>ZSI1_LAB_EQUIPMENT</v>
      </c>
      <c r="H10425" s="63" t="str">
        <f>IFERROR(__xludf.DUMMYFUNCTION("VLOOKUP(F10425, IMPORTRANGE(""https://docs.google.com/spreadsheets/d/1Lhp9OU0JdFf_VYSMzH5lBcEaU4o8teT1piV-SNzShjg/edit?gid=554141278#gid=554141278"", ""'Char Def. - Attributes'!C20:C2242""), 1,false)"),"ALT_UOM5_SIPI")</f>
        <v>ALT_UOM5_SIPI</v>
      </c>
      <c r="I10425" s="136"/>
      <c r="R10425" s="63" t="str">
        <f t="shared" si="60"/>
        <v>ZSI1_LAB_EQUIPMENTALT_UOM5_SIPI</v>
      </c>
    </row>
    <row r="10426" ht="15.75" customHeight="1">
      <c r="B10426" s="63">
        <f t="shared" si="1"/>
        <v>18</v>
      </c>
      <c r="C10426" s="135" t="s">
        <v>405</v>
      </c>
      <c r="D10426" s="161" t="s">
        <v>74</v>
      </c>
      <c r="E10426" s="135">
        <f t="shared" si="62"/>
        <v>27</v>
      </c>
      <c r="F10426" s="134" t="s">
        <v>3817</v>
      </c>
      <c r="G10426" s="63" t="str">
        <f>VLOOKUP(C10426, 'Class Def. - General Data'!$C$20:$C$1000,1,false)</f>
        <v>ZSI1_LAB_EQUIPMENT</v>
      </c>
      <c r="H10426" s="63" t="str">
        <f>IFERROR(__xludf.DUMMYFUNCTION("VLOOKUP(F10426, IMPORTRANGE(""https://docs.google.com/spreadsheets/d/1Lhp9OU0JdFf_VYSMzH5lBcEaU4o8teT1piV-SNzShjg/edit?gid=554141278#gid=554141278"", ""'Char Def. - Attributes'!C20:C2242""), 1,false)"),"ALT_DENUM_UOM5")</f>
        <v>ALT_DENUM_UOM5</v>
      </c>
      <c r="I10426" s="136"/>
      <c r="R10426" s="63" t="str">
        <f t="shared" si="60"/>
        <v>ZSI1_LAB_EQUIPMENTALT_DENUM_UOM5</v>
      </c>
    </row>
    <row r="10427" ht="15.75" customHeight="1">
      <c r="B10427" s="63">
        <f t="shared" si="1"/>
        <v>18</v>
      </c>
      <c r="C10427" s="135" t="s">
        <v>405</v>
      </c>
      <c r="D10427" s="161" t="s">
        <v>74</v>
      </c>
      <c r="E10427" s="135">
        <f t="shared" si="62"/>
        <v>28</v>
      </c>
      <c r="F10427" s="134" t="s">
        <v>3818</v>
      </c>
      <c r="G10427" s="63" t="str">
        <f>VLOOKUP(C10427, 'Class Def. - General Data'!$C$20:$C$1000,1,false)</f>
        <v>ZSI1_LAB_EQUIPMENT</v>
      </c>
      <c r="H10427" s="63" t="str">
        <f>IFERROR(__xludf.DUMMYFUNCTION("VLOOKUP(F10427, IMPORTRANGE(""https://docs.google.com/spreadsheets/d/1Lhp9OU0JdFf_VYSMzH5lBcEaU4o8teT1piV-SNzShjg/edit?gid=554141278#gid=554141278"", ""'Char Def. - Attributes'!C20:C2242""), 1,false)"),"ALT_NUM_UOM5")</f>
        <v>ALT_NUM_UOM5</v>
      </c>
      <c r="I10427" s="136"/>
      <c r="R10427" s="63" t="str">
        <f t="shared" si="60"/>
        <v>ZSI1_LAB_EQUIPMENTALT_NUM_UOM5</v>
      </c>
    </row>
    <row r="10428" ht="15.75" customHeight="1">
      <c r="B10428" s="63">
        <f t="shared" si="1"/>
        <v>18</v>
      </c>
      <c r="C10428" s="135" t="s">
        <v>407</v>
      </c>
      <c r="D10428" s="161" t="s">
        <v>74</v>
      </c>
      <c r="E10428" s="135">
        <f t="shared" si="62"/>
        <v>1</v>
      </c>
      <c r="F10428" s="134" t="s">
        <v>4749</v>
      </c>
      <c r="G10428" s="63" t="str">
        <f>VLOOKUP(C10428, 'Class Def. - General Data'!$C$20:$C$1000,1,false)</f>
        <v>ZSI1_LAB_GLASSWARE</v>
      </c>
      <c r="H10428" s="63" t="str">
        <f>IFERROR(__xludf.DUMMYFUNCTION("VLOOKUP(F10428, IMPORTRANGE(""https://docs.google.com/spreadsheets/d/1Lhp9OU0JdFf_VYSMzH5lBcEaU4o8teT1piV-SNzShjg/edit?gid=554141278#gid=554141278"", ""'Char Def. - Attributes'!C20:C2242""), 1,false)"),"ITEM_NAME_LAB_GLASSWARE")</f>
        <v>ITEM_NAME_LAB_GLASSWARE</v>
      </c>
      <c r="I10428" s="136"/>
      <c r="R10428" s="63" t="str">
        <f t="shared" si="60"/>
        <v>ZSI1_LAB_GLASSWAREITEM_NAME_LAB_GLASSWARE</v>
      </c>
    </row>
    <row r="10429" ht="15.75" customHeight="1">
      <c r="B10429" s="63">
        <f t="shared" si="1"/>
        <v>18</v>
      </c>
      <c r="C10429" s="135" t="s">
        <v>407</v>
      </c>
      <c r="D10429" s="161" t="s">
        <v>74</v>
      </c>
      <c r="E10429" s="135">
        <f t="shared" si="62"/>
        <v>2</v>
      </c>
      <c r="F10429" s="134" t="s">
        <v>4750</v>
      </c>
      <c r="G10429" s="63" t="str">
        <f>VLOOKUP(C10429, 'Class Def. - General Data'!$C$20:$C$1000,1,false)</f>
        <v>ZSI1_LAB_GLASSWARE</v>
      </c>
      <c r="H10429" s="63" t="str">
        <f>IFERROR(__xludf.DUMMYFUNCTION("VLOOKUP(F10429, IMPORTRANGE(""https://docs.google.com/spreadsheets/d/1Lhp9OU0JdFf_VYSMzH5lBcEaU4o8teT1piV-SNzShjg/edit?gid=554141278#gid=554141278"", ""'Char Def. - Attributes'!C20:C2242""), 1,false)"),"CATALOGUE_NUMB_LAB_GLASSWARE")</f>
        <v>CATALOGUE_NUMB_LAB_GLASSWARE</v>
      </c>
      <c r="I10429" s="136"/>
      <c r="R10429" s="63" t="str">
        <f t="shared" si="60"/>
        <v>ZSI1_LAB_GLASSWARECATALOGUE_NUMB_LAB_GLASSWARE</v>
      </c>
    </row>
    <row r="10430" ht="15.75" customHeight="1">
      <c r="B10430" s="63">
        <f t="shared" si="1"/>
        <v>18</v>
      </c>
      <c r="C10430" s="135" t="s">
        <v>407</v>
      </c>
      <c r="D10430" s="161" t="s">
        <v>74</v>
      </c>
      <c r="E10430" s="135">
        <f t="shared" si="62"/>
        <v>3</v>
      </c>
      <c r="F10430" s="134" t="s">
        <v>3782</v>
      </c>
      <c r="G10430" s="63" t="str">
        <f>VLOOKUP(C10430, 'Class Def. - General Data'!$C$20:$C$1000,1,false)</f>
        <v>ZSI1_LAB_GLASSWARE</v>
      </c>
      <c r="H10430" s="63" t="str">
        <f>IFERROR(__xludf.DUMMYFUNCTION("VLOOKUP(F10430, IMPORTRANGE(""https://docs.google.com/spreadsheets/d/1Lhp9OU0JdFf_VYSMzH5lBcEaU4o8teT1piV-SNzShjg/edit?gid=554141278#gid=554141278"", ""'Char Def. - Attributes'!C20:C2242""), 1,false)"),"BRAND_EXTERNAL")</f>
        <v>BRAND_EXTERNAL</v>
      </c>
      <c r="I10430" s="136"/>
      <c r="R10430" s="63" t="str">
        <f t="shared" si="60"/>
        <v>ZSI1_LAB_GLASSWAREBRAND_EXTERNAL</v>
      </c>
    </row>
    <row r="10431" ht="15.75" customHeight="1">
      <c r="B10431" s="63">
        <f t="shared" si="1"/>
        <v>18</v>
      </c>
      <c r="C10431" s="135" t="s">
        <v>407</v>
      </c>
      <c r="D10431" s="161" t="s">
        <v>74</v>
      </c>
      <c r="E10431" s="135">
        <f t="shared" si="62"/>
        <v>4</v>
      </c>
      <c r="F10431" s="134" t="s">
        <v>4751</v>
      </c>
      <c r="G10431" s="63" t="str">
        <f>VLOOKUP(C10431, 'Class Def. - General Data'!$C$20:$C$1000,1,false)</f>
        <v>ZSI1_LAB_GLASSWARE</v>
      </c>
      <c r="H10431" s="63" t="str">
        <f>IFERROR(__xludf.DUMMYFUNCTION("VLOOKUP(F10431, IMPORTRANGE(""https://docs.google.com/spreadsheets/d/1Lhp9OU0JdFf_VYSMzH5lBcEaU4o8teT1piV-SNzShjg/edit?gid=554141278#gid=554141278"", ""'Char Def. - Attributes'!C20:C2242""), 1,false)"),"SIZE_ML_LAB_GLASSWARE")</f>
        <v>SIZE_ML_LAB_GLASSWARE</v>
      </c>
      <c r="I10431" s="136"/>
      <c r="R10431" s="63" t="str">
        <f t="shared" si="60"/>
        <v>ZSI1_LAB_GLASSWARESIZE_ML_LAB_GLASSWARE</v>
      </c>
    </row>
    <row r="10432" ht="15.75" customHeight="1">
      <c r="B10432" s="63">
        <f t="shared" si="1"/>
        <v>18</v>
      </c>
      <c r="C10432" s="135" t="s">
        <v>407</v>
      </c>
      <c r="D10432" s="161" t="s">
        <v>74</v>
      </c>
      <c r="E10432" s="135">
        <f t="shared" si="62"/>
        <v>5</v>
      </c>
      <c r="F10432" s="134" t="s">
        <v>3585</v>
      </c>
      <c r="G10432" s="63" t="str">
        <f>VLOOKUP(C10432, 'Class Def. - General Data'!$C$20:$C$1000,1,false)</f>
        <v>ZSI1_LAB_GLASSWARE</v>
      </c>
      <c r="H10432" s="63" t="str">
        <f>IFERROR(__xludf.DUMMYFUNCTION("VLOOKUP(F10432, IMPORTRANGE(""https://docs.google.com/spreadsheets/d/1Lhp9OU0JdFf_VYSMzH5lBcEaU4o8teT1piV-SNzShjg/edit?gid=554141278#gid=554141278"", ""'Char Def. - Attributes'!C20:C2242""), 1,false)"),"HS_CODE")</f>
        <v>HS_CODE</v>
      </c>
      <c r="I10432" s="136"/>
      <c r="R10432" s="63" t="str">
        <f t="shared" si="60"/>
        <v>ZSI1_LAB_GLASSWAREHS_CODE</v>
      </c>
    </row>
    <row r="10433" ht="15.75" customHeight="1">
      <c r="B10433" s="63">
        <f t="shared" si="1"/>
        <v>18</v>
      </c>
      <c r="C10433" s="135" t="s">
        <v>407</v>
      </c>
      <c r="D10433" s="161" t="s">
        <v>74</v>
      </c>
      <c r="E10433" s="135">
        <f t="shared" si="62"/>
        <v>6</v>
      </c>
      <c r="F10433" s="134" t="s">
        <v>3587</v>
      </c>
      <c r="G10433" s="63" t="str">
        <f>VLOOKUP(C10433, 'Class Def. - General Data'!$C$20:$C$1000,1,false)</f>
        <v>ZSI1_LAB_GLASSWARE</v>
      </c>
      <c r="H10433" s="63" t="str">
        <f>IFERROR(__xludf.DUMMYFUNCTION("VLOOKUP(F10433, IMPORTRANGE(""https://docs.google.com/spreadsheets/d/1Lhp9OU0JdFf_VYSMzH5lBcEaU4o8teT1piV-SNzShjg/edit?gid=554141278#gid=554141278"", ""'Char Def. - Attributes'!C20:C2242""), 1,false)"),"PLANT_BUY")</f>
        <v>PLANT_BUY</v>
      </c>
      <c r="I10433" s="136"/>
      <c r="R10433" s="63" t="str">
        <f t="shared" si="60"/>
        <v>ZSI1_LAB_GLASSWAREPLANT_BUY</v>
      </c>
    </row>
    <row r="10434" ht="15.75" customHeight="1">
      <c r="B10434" s="63">
        <f t="shared" si="1"/>
        <v>18</v>
      </c>
      <c r="C10434" s="135" t="s">
        <v>407</v>
      </c>
      <c r="D10434" s="161" t="s">
        <v>74</v>
      </c>
      <c r="E10434" s="135">
        <f t="shared" si="62"/>
        <v>7</v>
      </c>
      <c r="F10434" s="134" t="s">
        <v>4752</v>
      </c>
      <c r="G10434" s="63" t="str">
        <f>VLOOKUP(C10434, 'Class Def. - General Data'!$C$20:$C$1000,1,false)</f>
        <v>ZSI1_LAB_GLASSWARE</v>
      </c>
      <c r="H10434" s="63" t="str">
        <f>IFERROR(__xludf.DUMMYFUNCTION("VLOOKUP(F10434, IMPORTRANGE(""https://docs.google.com/spreadsheets/d/1Lhp9OU0JdFf_VYSMzH5lBcEaU4o8teT1piV-SNzShjg/edit?gid=554141278#gid=554141278"", ""'Char Def. - Attributes'!C20:C2242""), 1,false)"),"BASE_UOM_LAB_GLASSWARE")</f>
        <v>BASE_UOM_LAB_GLASSWARE</v>
      </c>
      <c r="I10434" s="136"/>
      <c r="R10434" s="63" t="str">
        <f t="shared" si="60"/>
        <v>ZSI1_LAB_GLASSWAREBASE_UOM_LAB_GLASSWARE</v>
      </c>
    </row>
    <row r="10435" ht="15.75" customHeight="1">
      <c r="B10435" s="63">
        <f t="shared" si="1"/>
        <v>18</v>
      </c>
      <c r="C10435" s="135" t="s">
        <v>407</v>
      </c>
      <c r="D10435" s="161" t="s">
        <v>74</v>
      </c>
      <c r="E10435" s="135">
        <f t="shared" si="62"/>
        <v>8</v>
      </c>
      <c r="F10435" s="134" t="s">
        <v>4753</v>
      </c>
      <c r="G10435" s="63" t="str">
        <f>VLOOKUP(C10435, 'Class Def. - General Data'!$C$20:$C$1000,1,false)</f>
        <v>ZSI1_LAB_GLASSWARE</v>
      </c>
      <c r="H10435" s="63" t="str">
        <f>IFERROR(__xludf.DUMMYFUNCTION("VLOOKUP(F10435, IMPORTRANGE(""https://docs.google.com/spreadsheets/d/1Lhp9OU0JdFf_VYSMzH5lBcEaU4o8teT1piV-SNzShjg/edit?gid=554141278#gid=554141278"", ""'Char Def. - Attributes'!C20:C2242""), 1,false)"),"ORDER_UNIT_LAB_GLASSWARE")</f>
        <v>ORDER_UNIT_LAB_GLASSWARE</v>
      </c>
      <c r="I10435" s="136"/>
      <c r="R10435" s="63" t="str">
        <f t="shared" si="60"/>
        <v>ZSI1_LAB_GLASSWAREORDER_UNIT_LAB_GLASSWARE</v>
      </c>
    </row>
    <row r="10436" ht="15.75" customHeight="1">
      <c r="B10436" s="63">
        <f t="shared" si="1"/>
        <v>18</v>
      </c>
      <c r="C10436" s="135" t="s">
        <v>407</v>
      </c>
      <c r="D10436" s="161" t="s">
        <v>74</v>
      </c>
      <c r="E10436" s="135">
        <f t="shared" si="62"/>
        <v>9</v>
      </c>
      <c r="F10436" s="134" t="s">
        <v>4056</v>
      </c>
      <c r="G10436" s="63" t="str">
        <f>VLOOKUP(C10436, 'Class Def. - General Data'!$C$20:$C$1000,1,false)</f>
        <v>ZSI1_LAB_GLASSWARE</v>
      </c>
      <c r="H10436" s="63" t="str">
        <f>IFERROR(__xludf.DUMMYFUNCTION("VLOOKUP(F10436, IMPORTRANGE(""https://docs.google.com/spreadsheets/d/1Lhp9OU0JdFf_VYSMzH5lBcEaU4o8teT1piV-SNzShjg/edit?gid=554141278#gid=554141278"", ""'Char Def. - Attributes'!C20:C2242""), 1,false)"),"GROSS_WEIGHT_OPT")</f>
        <v>GROSS_WEIGHT_OPT</v>
      </c>
      <c r="I10436" s="136"/>
      <c r="R10436" s="63" t="str">
        <f t="shared" si="60"/>
        <v>ZSI1_LAB_GLASSWAREGROSS_WEIGHT_OPT</v>
      </c>
    </row>
    <row r="10437" ht="15.75" customHeight="1">
      <c r="B10437" s="63">
        <f t="shared" si="1"/>
        <v>18</v>
      </c>
      <c r="C10437" s="135" t="s">
        <v>407</v>
      </c>
      <c r="D10437" s="161" t="s">
        <v>74</v>
      </c>
      <c r="E10437" s="135">
        <f t="shared" si="62"/>
        <v>10</v>
      </c>
      <c r="F10437" s="134" t="s">
        <v>4057</v>
      </c>
      <c r="G10437" s="63" t="str">
        <f>VLOOKUP(C10437, 'Class Def. - General Data'!$C$20:$C$1000,1,false)</f>
        <v>ZSI1_LAB_GLASSWARE</v>
      </c>
      <c r="H10437" s="63" t="str">
        <f>IFERROR(__xludf.DUMMYFUNCTION("VLOOKUP(F10437, IMPORTRANGE(""https://docs.google.com/spreadsheets/d/1Lhp9OU0JdFf_VYSMzH5lBcEaU4o8teT1piV-SNzShjg/edit?gid=554141278#gid=554141278"", ""'Char Def. - Attributes'!C20:C2242""), 1,false)"),"NET_WEIGHT_OPT")</f>
        <v>NET_WEIGHT_OPT</v>
      </c>
      <c r="I10437" s="136"/>
      <c r="R10437" s="63" t="str">
        <f t="shared" si="60"/>
        <v>ZSI1_LAB_GLASSWARENET_WEIGHT_OPT</v>
      </c>
    </row>
    <row r="10438" ht="15.75" customHeight="1">
      <c r="B10438" s="63">
        <f t="shared" si="1"/>
        <v>18</v>
      </c>
      <c r="C10438" s="135" t="s">
        <v>407</v>
      </c>
      <c r="D10438" s="161" t="s">
        <v>74</v>
      </c>
      <c r="E10438" s="135">
        <f t="shared" si="62"/>
        <v>11</v>
      </c>
      <c r="F10438" s="134" t="s">
        <v>4058</v>
      </c>
      <c r="G10438" s="63" t="str">
        <f>VLOOKUP(C10438, 'Class Def. - General Data'!$C$20:$C$1000,1,false)</f>
        <v>ZSI1_LAB_GLASSWARE</v>
      </c>
      <c r="H10438" s="63" t="str">
        <f>IFERROR(__xludf.DUMMYFUNCTION("VLOOKUP(F10438, IMPORTRANGE(""https://docs.google.com/spreadsheets/d/1Lhp9OU0JdFf_VYSMzH5lBcEaU4o8teT1piV-SNzShjg/edit?gid=554141278#gid=554141278"", ""'Char Def. - Attributes'!C20:C2242""), 1,false)"),"WEIGHT_UNIT_SI")</f>
        <v>WEIGHT_UNIT_SI</v>
      </c>
      <c r="I10438" s="136"/>
      <c r="R10438" s="63" t="str">
        <f t="shared" si="60"/>
        <v>ZSI1_LAB_GLASSWAREWEIGHT_UNIT_SI</v>
      </c>
    </row>
    <row r="10439" ht="15.75" customHeight="1">
      <c r="B10439" s="63">
        <f t="shared" si="1"/>
        <v>18</v>
      </c>
      <c r="C10439" s="135" t="s">
        <v>407</v>
      </c>
      <c r="D10439" s="161" t="s">
        <v>74</v>
      </c>
      <c r="E10439" s="135">
        <f t="shared" si="62"/>
        <v>12</v>
      </c>
      <c r="F10439" s="134" t="s">
        <v>3877</v>
      </c>
      <c r="G10439" s="63" t="str">
        <f>VLOOKUP(C10439, 'Class Def. - General Data'!$C$20:$C$1000,1,false)</f>
        <v>ZSI1_LAB_GLASSWARE</v>
      </c>
      <c r="H10439" s="63" t="str">
        <f>IFERROR(__xludf.DUMMYFUNCTION("VLOOKUP(F10439, IMPORTRANGE(""https://docs.google.com/spreadsheets/d/1Lhp9OU0JdFf_VYSMzH5lBcEaU4o8teT1piV-SNzShjg/edit?gid=554141278#gid=554141278"", ""'Char Def. - Attributes'!C20:C2242""), 1,false)"),"VOLUME_OPT")</f>
        <v>VOLUME_OPT</v>
      </c>
      <c r="I10439" s="136"/>
      <c r="R10439" s="63" t="str">
        <f t="shared" si="60"/>
        <v>ZSI1_LAB_GLASSWAREVOLUME_OPT</v>
      </c>
    </row>
    <row r="10440" ht="15.75" customHeight="1">
      <c r="B10440" s="63">
        <f t="shared" si="1"/>
        <v>18</v>
      </c>
      <c r="C10440" s="135" t="s">
        <v>407</v>
      </c>
      <c r="D10440" s="161" t="s">
        <v>74</v>
      </c>
      <c r="E10440" s="135">
        <f t="shared" si="62"/>
        <v>13</v>
      </c>
      <c r="F10440" s="134" t="s">
        <v>4059</v>
      </c>
      <c r="G10440" s="63" t="str">
        <f>VLOOKUP(C10440, 'Class Def. - General Data'!$C$20:$C$1000,1,false)</f>
        <v>ZSI1_LAB_GLASSWARE</v>
      </c>
      <c r="H10440" s="63" t="str">
        <f>IFERROR(__xludf.DUMMYFUNCTION("VLOOKUP(F10440, IMPORTRANGE(""https://docs.google.com/spreadsheets/d/1Lhp9OU0JdFf_VYSMzH5lBcEaU4o8teT1piV-SNzShjg/edit?gid=554141278#gid=554141278"", ""'Char Def. - Attributes'!C20:C2242""), 1,false)"),"VOLUME_UNIT_SI")</f>
        <v>VOLUME_UNIT_SI</v>
      </c>
      <c r="I10440" s="136"/>
      <c r="R10440" s="63" t="str">
        <f t="shared" si="60"/>
        <v>ZSI1_LAB_GLASSWAREVOLUME_UNIT_SI</v>
      </c>
    </row>
    <row r="10441" ht="15.75" customHeight="1">
      <c r="B10441" s="63">
        <f t="shared" si="1"/>
        <v>18</v>
      </c>
      <c r="C10441" s="135" t="s">
        <v>407</v>
      </c>
      <c r="D10441" s="161" t="s">
        <v>74</v>
      </c>
      <c r="E10441" s="135">
        <f t="shared" si="62"/>
        <v>14</v>
      </c>
      <c r="F10441" s="134" t="s">
        <v>3804</v>
      </c>
      <c r="G10441" s="63" t="str">
        <f>VLOOKUP(C10441, 'Class Def. - General Data'!$C$20:$C$1000,1,false)</f>
        <v>ZSI1_LAB_GLASSWARE</v>
      </c>
      <c r="H10441" s="63" t="str">
        <f>IFERROR(__xludf.DUMMYFUNCTION("VLOOKUP(F10441, IMPORTRANGE(""https://docs.google.com/spreadsheets/d/1Lhp9OU0JdFf_VYSMzH5lBcEaU4o8teT1piV-SNzShjg/edit?gid=554141278#gid=554141278"", ""'Char Def. - Attributes'!C20:C2242""), 1,false)"),"ALT_UOM1_SIPI")</f>
        <v>ALT_UOM1_SIPI</v>
      </c>
      <c r="I10441" s="136"/>
      <c r="R10441" s="63" t="str">
        <f t="shared" si="60"/>
        <v>ZSI1_LAB_GLASSWAREALT_UOM1_SIPI</v>
      </c>
    </row>
    <row r="10442" ht="15.75" customHeight="1">
      <c r="B10442" s="63">
        <f t="shared" si="1"/>
        <v>18</v>
      </c>
      <c r="C10442" s="135" t="s">
        <v>407</v>
      </c>
      <c r="D10442" s="161" t="s">
        <v>74</v>
      </c>
      <c r="E10442" s="135">
        <f t="shared" si="62"/>
        <v>15</v>
      </c>
      <c r="F10442" s="134" t="s">
        <v>3805</v>
      </c>
      <c r="G10442" s="63" t="str">
        <f>VLOOKUP(C10442, 'Class Def. - General Data'!$C$20:$C$1000,1,false)</f>
        <v>ZSI1_LAB_GLASSWARE</v>
      </c>
      <c r="H10442" s="63" t="str">
        <f>IFERROR(__xludf.DUMMYFUNCTION("VLOOKUP(F10442, IMPORTRANGE(""https://docs.google.com/spreadsheets/d/1Lhp9OU0JdFf_VYSMzH5lBcEaU4o8teT1piV-SNzShjg/edit?gid=554141278#gid=554141278"", ""'Char Def. - Attributes'!C20:C2242""), 1,false)"),"ALT_DENUM_UOM1")</f>
        <v>ALT_DENUM_UOM1</v>
      </c>
      <c r="I10442" s="136"/>
      <c r="R10442" s="63" t="str">
        <f t="shared" si="60"/>
        <v>ZSI1_LAB_GLASSWAREALT_DENUM_UOM1</v>
      </c>
    </row>
    <row r="10443" ht="15.75" customHeight="1">
      <c r="B10443" s="63">
        <f t="shared" si="1"/>
        <v>18</v>
      </c>
      <c r="C10443" s="135" t="s">
        <v>407</v>
      </c>
      <c r="D10443" s="161" t="s">
        <v>74</v>
      </c>
      <c r="E10443" s="135">
        <f t="shared" si="62"/>
        <v>16</v>
      </c>
      <c r="F10443" s="134" t="s">
        <v>3806</v>
      </c>
      <c r="G10443" s="63" t="str">
        <f>VLOOKUP(C10443, 'Class Def. - General Data'!$C$20:$C$1000,1,false)</f>
        <v>ZSI1_LAB_GLASSWARE</v>
      </c>
      <c r="H10443" s="63" t="str">
        <f>IFERROR(__xludf.DUMMYFUNCTION("VLOOKUP(F10443, IMPORTRANGE(""https://docs.google.com/spreadsheets/d/1Lhp9OU0JdFf_VYSMzH5lBcEaU4o8teT1piV-SNzShjg/edit?gid=554141278#gid=554141278"", ""'Char Def. - Attributes'!C20:C2242""), 1,false)"),"ALT_NUM_UOM1")</f>
        <v>ALT_NUM_UOM1</v>
      </c>
      <c r="I10443" s="136"/>
      <c r="R10443" s="63" t="str">
        <f t="shared" si="60"/>
        <v>ZSI1_LAB_GLASSWAREALT_NUM_UOM1</v>
      </c>
    </row>
    <row r="10444" ht="15.75" customHeight="1">
      <c r="B10444" s="63">
        <f t="shared" si="1"/>
        <v>18</v>
      </c>
      <c r="C10444" s="135" t="s">
        <v>407</v>
      </c>
      <c r="D10444" s="161" t="s">
        <v>74</v>
      </c>
      <c r="E10444" s="135">
        <f t="shared" si="62"/>
        <v>17</v>
      </c>
      <c r="F10444" s="134" t="s">
        <v>3807</v>
      </c>
      <c r="G10444" s="63" t="str">
        <f>VLOOKUP(C10444, 'Class Def. - General Data'!$C$20:$C$1000,1,false)</f>
        <v>ZSI1_LAB_GLASSWARE</v>
      </c>
      <c r="H10444" s="63" t="str">
        <f>IFERROR(__xludf.DUMMYFUNCTION("VLOOKUP(F10444, IMPORTRANGE(""https://docs.google.com/spreadsheets/d/1Lhp9OU0JdFf_VYSMzH5lBcEaU4o8teT1piV-SNzShjg/edit?gid=554141278#gid=554141278"", ""'Char Def. - Attributes'!C20:C2242""), 1,false)"),"ALT_UOM2_SIPI")</f>
        <v>ALT_UOM2_SIPI</v>
      </c>
      <c r="I10444" s="136"/>
      <c r="R10444" s="63" t="str">
        <f t="shared" si="60"/>
        <v>ZSI1_LAB_GLASSWAREALT_UOM2_SIPI</v>
      </c>
    </row>
    <row r="10445" ht="15.75" customHeight="1">
      <c r="B10445" s="63">
        <f t="shared" si="1"/>
        <v>18</v>
      </c>
      <c r="C10445" s="135" t="s">
        <v>407</v>
      </c>
      <c r="D10445" s="161" t="s">
        <v>74</v>
      </c>
      <c r="E10445" s="135">
        <f t="shared" si="62"/>
        <v>18</v>
      </c>
      <c r="F10445" s="134" t="s">
        <v>3808</v>
      </c>
      <c r="G10445" s="63" t="str">
        <f>VLOOKUP(C10445, 'Class Def. - General Data'!$C$20:$C$1000,1,false)</f>
        <v>ZSI1_LAB_GLASSWARE</v>
      </c>
      <c r="H10445" s="63" t="str">
        <f>IFERROR(__xludf.DUMMYFUNCTION("VLOOKUP(F10445, IMPORTRANGE(""https://docs.google.com/spreadsheets/d/1Lhp9OU0JdFf_VYSMzH5lBcEaU4o8teT1piV-SNzShjg/edit?gid=554141278#gid=554141278"", ""'Char Def. - Attributes'!C20:C2242""), 1,false)"),"ALT_DENUM_UOM2")</f>
        <v>ALT_DENUM_UOM2</v>
      </c>
      <c r="I10445" s="136"/>
      <c r="R10445" s="63" t="str">
        <f t="shared" si="60"/>
        <v>ZSI1_LAB_GLASSWAREALT_DENUM_UOM2</v>
      </c>
    </row>
    <row r="10446" ht="15.75" customHeight="1">
      <c r="B10446" s="63">
        <f t="shared" si="1"/>
        <v>18</v>
      </c>
      <c r="C10446" s="135" t="s">
        <v>407</v>
      </c>
      <c r="D10446" s="161" t="s">
        <v>74</v>
      </c>
      <c r="E10446" s="135">
        <f t="shared" si="62"/>
        <v>19</v>
      </c>
      <c r="F10446" s="134" t="s">
        <v>3809</v>
      </c>
      <c r="G10446" s="63" t="str">
        <f>VLOOKUP(C10446, 'Class Def. - General Data'!$C$20:$C$1000,1,false)</f>
        <v>ZSI1_LAB_GLASSWARE</v>
      </c>
      <c r="H10446" s="63" t="str">
        <f>IFERROR(__xludf.DUMMYFUNCTION("VLOOKUP(F10446, IMPORTRANGE(""https://docs.google.com/spreadsheets/d/1Lhp9OU0JdFf_VYSMzH5lBcEaU4o8teT1piV-SNzShjg/edit?gid=554141278#gid=554141278"", ""'Char Def. - Attributes'!C20:C2242""), 1,false)"),"ALT_NUM_UOM2")</f>
        <v>ALT_NUM_UOM2</v>
      </c>
      <c r="I10446" s="136"/>
      <c r="R10446" s="63" t="str">
        <f t="shared" si="60"/>
        <v>ZSI1_LAB_GLASSWAREALT_NUM_UOM2</v>
      </c>
    </row>
    <row r="10447" ht="15.75" customHeight="1">
      <c r="B10447" s="63">
        <f t="shared" si="1"/>
        <v>18</v>
      </c>
      <c r="C10447" s="135" t="s">
        <v>407</v>
      </c>
      <c r="D10447" s="161" t="s">
        <v>74</v>
      </c>
      <c r="E10447" s="135">
        <f t="shared" si="62"/>
        <v>20</v>
      </c>
      <c r="F10447" s="134" t="s">
        <v>3810</v>
      </c>
      <c r="G10447" s="63" t="str">
        <f>VLOOKUP(C10447, 'Class Def. - General Data'!$C$20:$C$1000,1,false)</f>
        <v>ZSI1_LAB_GLASSWARE</v>
      </c>
      <c r="H10447" s="63" t="str">
        <f>IFERROR(__xludf.DUMMYFUNCTION("VLOOKUP(F10447, IMPORTRANGE(""https://docs.google.com/spreadsheets/d/1Lhp9OU0JdFf_VYSMzH5lBcEaU4o8teT1piV-SNzShjg/edit?gid=554141278#gid=554141278"", ""'Char Def. - Attributes'!C20:C2242""), 1,false)"),"ALT_UOM3_SIPI")</f>
        <v>ALT_UOM3_SIPI</v>
      </c>
      <c r="I10447" s="136"/>
      <c r="R10447" s="63" t="str">
        <f t="shared" si="60"/>
        <v>ZSI1_LAB_GLASSWAREALT_UOM3_SIPI</v>
      </c>
    </row>
    <row r="10448" ht="15.75" customHeight="1">
      <c r="B10448" s="63">
        <f t="shared" si="1"/>
        <v>18</v>
      </c>
      <c r="C10448" s="135" t="s">
        <v>407</v>
      </c>
      <c r="D10448" s="161" t="s">
        <v>74</v>
      </c>
      <c r="E10448" s="135">
        <f t="shared" si="62"/>
        <v>21</v>
      </c>
      <c r="F10448" s="134" t="s">
        <v>3811</v>
      </c>
      <c r="G10448" s="63" t="str">
        <f>VLOOKUP(C10448, 'Class Def. - General Data'!$C$20:$C$1000,1,false)</f>
        <v>ZSI1_LAB_GLASSWARE</v>
      </c>
      <c r="H10448" s="63" t="str">
        <f>IFERROR(__xludf.DUMMYFUNCTION("VLOOKUP(F10448, IMPORTRANGE(""https://docs.google.com/spreadsheets/d/1Lhp9OU0JdFf_VYSMzH5lBcEaU4o8teT1piV-SNzShjg/edit?gid=554141278#gid=554141278"", ""'Char Def. - Attributes'!C20:C2242""), 1,false)"),"ALT_DENUM_UOM3")</f>
        <v>ALT_DENUM_UOM3</v>
      </c>
      <c r="I10448" s="136"/>
      <c r="R10448" s="63" t="str">
        <f t="shared" si="60"/>
        <v>ZSI1_LAB_GLASSWAREALT_DENUM_UOM3</v>
      </c>
    </row>
    <row r="10449" ht="15.75" customHeight="1">
      <c r="B10449" s="63">
        <f t="shared" si="1"/>
        <v>18</v>
      </c>
      <c r="C10449" s="135" t="s">
        <v>407</v>
      </c>
      <c r="D10449" s="161" t="s">
        <v>74</v>
      </c>
      <c r="E10449" s="135">
        <f t="shared" si="62"/>
        <v>22</v>
      </c>
      <c r="F10449" s="134" t="s">
        <v>3812</v>
      </c>
      <c r="G10449" s="63" t="str">
        <f>VLOOKUP(C10449, 'Class Def. - General Data'!$C$20:$C$1000,1,false)</f>
        <v>ZSI1_LAB_GLASSWARE</v>
      </c>
      <c r="H10449" s="63" t="str">
        <f>IFERROR(__xludf.DUMMYFUNCTION("VLOOKUP(F10449, IMPORTRANGE(""https://docs.google.com/spreadsheets/d/1Lhp9OU0JdFf_VYSMzH5lBcEaU4o8teT1piV-SNzShjg/edit?gid=554141278#gid=554141278"", ""'Char Def. - Attributes'!C20:C2242""), 1,false)"),"ALT_NUM_UOM3")</f>
        <v>ALT_NUM_UOM3</v>
      </c>
      <c r="I10449" s="136"/>
      <c r="R10449" s="63" t="str">
        <f t="shared" si="60"/>
        <v>ZSI1_LAB_GLASSWAREALT_NUM_UOM3</v>
      </c>
    </row>
    <row r="10450" ht="15.75" customHeight="1">
      <c r="B10450" s="63">
        <f t="shared" si="1"/>
        <v>18</v>
      </c>
      <c r="C10450" s="135" t="s">
        <v>407</v>
      </c>
      <c r="D10450" s="161" t="s">
        <v>74</v>
      </c>
      <c r="E10450" s="135">
        <f t="shared" si="62"/>
        <v>23</v>
      </c>
      <c r="F10450" s="134" t="s">
        <v>3813</v>
      </c>
      <c r="G10450" s="63" t="str">
        <f>VLOOKUP(C10450, 'Class Def. - General Data'!$C$20:$C$1000,1,false)</f>
        <v>ZSI1_LAB_GLASSWARE</v>
      </c>
      <c r="H10450" s="63" t="str">
        <f>IFERROR(__xludf.DUMMYFUNCTION("VLOOKUP(F10450, IMPORTRANGE(""https://docs.google.com/spreadsheets/d/1Lhp9OU0JdFf_VYSMzH5lBcEaU4o8teT1piV-SNzShjg/edit?gid=554141278#gid=554141278"", ""'Char Def. - Attributes'!C20:C2242""), 1,false)"),"ALT_UOM4_SIPI")</f>
        <v>ALT_UOM4_SIPI</v>
      </c>
      <c r="I10450" s="136"/>
      <c r="R10450" s="63" t="str">
        <f t="shared" si="60"/>
        <v>ZSI1_LAB_GLASSWAREALT_UOM4_SIPI</v>
      </c>
    </row>
    <row r="10451" ht="15.75" customHeight="1">
      <c r="B10451" s="63">
        <f t="shared" si="1"/>
        <v>18</v>
      </c>
      <c r="C10451" s="135" t="s">
        <v>407</v>
      </c>
      <c r="D10451" s="161" t="s">
        <v>74</v>
      </c>
      <c r="E10451" s="135">
        <f t="shared" si="62"/>
        <v>24</v>
      </c>
      <c r="F10451" s="134" t="s">
        <v>3814</v>
      </c>
      <c r="G10451" s="63" t="str">
        <f>VLOOKUP(C10451, 'Class Def. - General Data'!$C$20:$C$1000,1,false)</f>
        <v>ZSI1_LAB_GLASSWARE</v>
      </c>
      <c r="H10451" s="63" t="str">
        <f>IFERROR(__xludf.DUMMYFUNCTION("VLOOKUP(F10451, IMPORTRANGE(""https://docs.google.com/spreadsheets/d/1Lhp9OU0JdFf_VYSMzH5lBcEaU4o8teT1piV-SNzShjg/edit?gid=554141278#gid=554141278"", ""'Char Def. - Attributes'!C20:C2242""), 1,false)"),"ALT_DENUM_UOM4")</f>
        <v>ALT_DENUM_UOM4</v>
      </c>
      <c r="I10451" s="136"/>
      <c r="R10451" s="63" t="str">
        <f t="shared" si="60"/>
        <v>ZSI1_LAB_GLASSWAREALT_DENUM_UOM4</v>
      </c>
    </row>
    <row r="10452" ht="15.75" customHeight="1">
      <c r="B10452" s="63">
        <f t="shared" si="1"/>
        <v>18</v>
      </c>
      <c r="C10452" s="135" t="s">
        <v>407</v>
      </c>
      <c r="D10452" s="161" t="s">
        <v>74</v>
      </c>
      <c r="E10452" s="135">
        <f t="shared" si="62"/>
        <v>25</v>
      </c>
      <c r="F10452" s="134" t="s">
        <v>3815</v>
      </c>
      <c r="G10452" s="63" t="str">
        <f>VLOOKUP(C10452, 'Class Def. - General Data'!$C$20:$C$1000,1,false)</f>
        <v>ZSI1_LAB_GLASSWARE</v>
      </c>
      <c r="H10452" s="63" t="str">
        <f>IFERROR(__xludf.DUMMYFUNCTION("VLOOKUP(F10452, IMPORTRANGE(""https://docs.google.com/spreadsheets/d/1Lhp9OU0JdFf_VYSMzH5lBcEaU4o8teT1piV-SNzShjg/edit?gid=554141278#gid=554141278"", ""'Char Def. - Attributes'!C20:C2242""), 1,false)"),"ALT_NUM_UOM4")</f>
        <v>ALT_NUM_UOM4</v>
      </c>
      <c r="I10452" s="136"/>
      <c r="R10452" s="63" t="str">
        <f t="shared" si="60"/>
        <v>ZSI1_LAB_GLASSWAREALT_NUM_UOM4</v>
      </c>
    </row>
    <row r="10453" ht="15.75" customHeight="1">
      <c r="B10453" s="63">
        <f t="shared" si="1"/>
        <v>18</v>
      </c>
      <c r="C10453" s="135" t="s">
        <v>407</v>
      </c>
      <c r="D10453" s="161" t="s">
        <v>74</v>
      </c>
      <c r="E10453" s="135">
        <f t="shared" si="62"/>
        <v>26</v>
      </c>
      <c r="F10453" s="134" t="s">
        <v>3816</v>
      </c>
      <c r="G10453" s="63" t="str">
        <f>VLOOKUP(C10453, 'Class Def. - General Data'!$C$20:$C$1000,1,false)</f>
        <v>ZSI1_LAB_GLASSWARE</v>
      </c>
      <c r="H10453" s="63" t="str">
        <f>IFERROR(__xludf.DUMMYFUNCTION("VLOOKUP(F10453, IMPORTRANGE(""https://docs.google.com/spreadsheets/d/1Lhp9OU0JdFf_VYSMzH5lBcEaU4o8teT1piV-SNzShjg/edit?gid=554141278#gid=554141278"", ""'Char Def. - Attributes'!C20:C2242""), 1,false)"),"ALT_UOM5_SIPI")</f>
        <v>ALT_UOM5_SIPI</v>
      </c>
      <c r="I10453" s="136"/>
      <c r="R10453" s="63" t="str">
        <f t="shared" si="60"/>
        <v>ZSI1_LAB_GLASSWAREALT_UOM5_SIPI</v>
      </c>
    </row>
    <row r="10454" ht="15.75" customHeight="1">
      <c r="B10454" s="63">
        <f t="shared" si="1"/>
        <v>18</v>
      </c>
      <c r="C10454" s="135" t="s">
        <v>407</v>
      </c>
      <c r="D10454" s="161" t="s">
        <v>74</v>
      </c>
      <c r="E10454" s="135">
        <f t="shared" si="62"/>
        <v>27</v>
      </c>
      <c r="F10454" s="134" t="s">
        <v>3817</v>
      </c>
      <c r="G10454" s="63" t="str">
        <f>VLOOKUP(C10454, 'Class Def. - General Data'!$C$20:$C$1000,1,false)</f>
        <v>ZSI1_LAB_GLASSWARE</v>
      </c>
      <c r="H10454" s="63" t="str">
        <f>IFERROR(__xludf.DUMMYFUNCTION("VLOOKUP(F10454, IMPORTRANGE(""https://docs.google.com/spreadsheets/d/1Lhp9OU0JdFf_VYSMzH5lBcEaU4o8teT1piV-SNzShjg/edit?gid=554141278#gid=554141278"", ""'Char Def. - Attributes'!C20:C2242""), 1,false)"),"ALT_DENUM_UOM5")</f>
        <v>ALT_DENUM_UOM5</v>
      </c>
      <c r="I10454" s="136"/>
      <c r="R10454" s="63" t="str">
        <f t="shared" si="60"/>
        <v>ZSI1_LAB_GLASSWAREALT_DENUM_UOM5</v>
      </c>
    </row>
    <row r="10455" ht="15.75" customHeight="1">
      <c r="B10455" s="63">
        <f t="shared" si="1"/>
        <v>18</v>
      </c>
      <c r="C10455" s="135" t="s">
        <v>407</v>
      </c>
      <c r="D10455" s="161" t="s">
        <v>74</v>
      </c>
      <c r="E10455" s="135">
        <f t="shared" si="62"/>
        <v>28</v>
      </c>
      <c r="F10455" s="134" t="s">
        <v>3818</v>
      </c>
      <c r="G10455" s="63" t="str">
        <f>VLOOKUP(C10455, 'Class Def. - General Data'!$C$20:$C$1000,1,false)</f>
        <v>ZSI1_LAB_GLASSWARE</v>
      </c>
      <c r="H10455" s="63" t="str">
        <f>IFERROR(__xludf.DUMMYFUNCTION("VLOOKUP(F10455, IMPORTRANGE(""https://docs.google.com/spreadsheets/d/1Lhp9OU0JdFf_VYSMzH5lBcEaU4o8teT1piV-SNzShjg/edit?gid=554141278#gid=554141278"", ""'Char Def. - Attributes'!C20:C2242""), 1,false)"),"ALT_NUM_UOM5")</f>
        <v>ALT_NUM_UOM5</v>
      </c>
      <c r="I10455" s="136"/>
      <c r="R10455" s="63" t="str">
        <f t="shared" si="60"/>
        <v>ZSI1_LAB_GLASSWAREALT_NUM_UOM5</v>
      </c>
    </row>
    <row r="10456" ht="15.75" customHeight="1">
      <c r="B10456" s="63">
        <f t="shared" si="1"/>
        <v>14</v>
      </c>
      <c r="C10456" s="135" t="s">
        <v>552</v>
      </c>
      <c r="D10456" s="161" t="s">
        <v>74</v>
      </c>
      <c r="E10456" s="135">
        <f t="shared" si="62"/>
        <v>1</v>
      </c>
      <c r="F10456" s="134" t="s">
        <v>4754</v>
      </c>
      <c r="G10456" s="63" t="str">
        <f>VLOOKUP(C10456, 'Class Def. - General Data'!$C$20:$C$1000,1,false)</f>
        <v>ZSI1_LAB_MEDIA</v>
      </c>
      <c r="H10456" s="63" t="str">
        <f>IFERROR(__xludf.DUMMYFUNCTION("VLOOKUP(F10456, IMPORTRANGE(""https://docs.google.com/spreadsheets/d/1Lhp9OU0JdFf_VYSMzH5lBcEaU4o8teT1piV-SNzShjg/edit?gid=554141278#gid=554141278"", ""'Char Def. - Attributes'!C20:C2242""), 1,false)"),"ITEM_NAME_LAB_MEDIA")</f>
        <v>ITEM_NAME_LAB_MEDIA</v>
      </c>
      <c r="I10456" s="136"/>
      <c r="R10456" s="63" t="str">
        <f t="shared" si="60"/>
        <v>ZSI1_LAB_MEDIAITEM_NAME_LAB_MEDIA</v>
      </c>
    </row>
    <row r="10457" ht="15.75" customHeight="1">
      <c r="B10457" s="63">
        <f t="shared" si="1"/>
        <v>14</v>
      </c>
      <c r="C10457" s="135" t="s">
        <v>552</v>
      </c>
      <c r="D10457" s="161" t="s">
        <v>74</v>
      </c>
      <c r="E10457" s="135">
        <f t="shared" si="62"/>
        <v>2</v>
      </c>
      <c r="F10457" s="134" t="s">
        <v>4755</v>
      </c>
      <c r="G10457" s="63" t="str">
        <f>VLOOKUP(C10457, 'Class Def. - General Data'!$C$20:$C$1000,1,false)</f>
        <v>ZSI1_LAB_MEDIA</v>
      </c>
      <c r="H10457" s="63" t="str">
        <f>IFERROR(__xludf.DUMMYFUNCTION("VLOOKUP(F10457, IMPORTRANGE(""https://docs.google.com/spreadsheets/d/1Lhp9OU0JdFf_VYSMzH5lBcEaU4o8teT1piV-SNzShjg/edit?gid=554141278#gid=554141278"", ""'Char Def. - Attributes'!C20:C2242""), 1,false)"),"CATALOGUE_NUM_LAB_MEDIA")</f>
        <v>CATALOGUE_NUM_LAB_MEDIA</v>
      </c>
      <c r="I10457" s="136"/>
      <c r="R10457" s="63" t="str">
        <f t="shared" si="60"/>
        <v>ZSI1_LAB_MEDIACATALOGUE_NUM_LAB_MEDIA</v>
      </c>
    </row>
    <row r="10458" ht="15.75" customHeight="1">
      <c r="B10458" s="63">
        <f t="shared" si="1"/>
        <v>14</v>
      </c>
      <c r="C10458" s="135" t="s">
        <v>552</v>
      </c>
      <c r="D10458" s="161" t="s">
        <v>74</v>
      </c>
      <c r="E10458" s="135">
        <f t="shared" si="62"/>
        <v>3</v>
      </c>
      <c r="F10458" s="134" t="s">
        <v>3782</v>
      </c>
      <c r="G10458" s="63" t="str">
        <f>VLOOKUP(C10458, 'Class Def. - General Data'!$C$20:$C$1000,1,false)</f>
        <v>ZSI1_LAB_MEDIA</v>
      </c>
      <c r="H10458" s="63" t="str">
        <f>IFERROR(__xludf.DUMMYFUNCTION("VLOOKUP(F10458, IMPORTRANGE(""https://docs.google.com/spreadsheets/d/1Lhp9OU0JdFf_VYSMzH5lBcEaU4o8teT1piV-SNzShjg/edit?gid=554141278#gid=554141278"", ""'Char Def. - Attributes'!C20:C2242""), 1,false)"),"BRAND_EXTERNAL")</f>
        <v>BRAND_EXTERNAL</v>
      </c>
      <c r="I10458" s="136"/>
      <c r="R10458" s="63" t="str">
        <f t="shared" si="60"/>
        <v>ZSI1_LAB_MEDIABRAND_EXTERNAL</v>
      </c>
    </row>
    <row r="10459" ht="15.75" customHeight="1">
      <c r="B10459" s="63">
        <f t="shared" si="1"/>
        <v>14</v>
      </c>
      <c r="C10459" s="135" t="s">
        <v>552</v>
      </c>
      <c r="D10459" s="161" t="s">
        <v>74</v>
      </c>
      <c r="E10459" s="135">
        <f t="shared" si="62"/>
        <v>4</v>
      </c>
      <c r="F10459" s="134" t="s">
        <v>3587</v>
      </c>
      <c r="G10459" s="63" t="str">
        <f>VLOOKUP(C10459, 'Class Def. - General Data'!$C$20:$C$1000,1,false)</f>
        <v>ZSI1_LAB_MEDIA</v>
      </c>
      <c r="H10459" s="63" t="str">
        <f>IFERROR(__xludf.DUMMYFUNCTION("VLOOKUP(F10459, IMPORTRANGE(""https://docs.google.com/spreadsheets/d/1Lhp9OU0JdFf_VYSMzH5lBcEaU4o8teT1piV-SNzShjg/edit?gid=554141278#gid=554141278"", ""'Char Def. - Attributes'!C20:C2242""), 1,false)"),"PLANT_BUY")</f>
        <v>PLANT_BUY</v>
      </c>
      <c r="I10459" s="136"/>
      <c r="R10459" s="63" t="str">
        <f t="shared" si="60"/>
        <v>ZSI1_LAB_MEDIAPLANT_BUY</v>
      </c>
    </row>
    <row r="10460" ht="15.75" customHeight="1">
      <c r="B10460" s="63">
        <f t="shared" si="1"/>
        <v>14</v>
      </c>
      <c r="C10460" s="135" t="s">
        <v>552</v>
      </c>
      <c r="D10460" s="161" t="s">
        <v>74</v>
      </c>
      <c r="E10460" s="135">
        <f t="shared" si="62"/>
        <v>5</v>
      </c>
      <c r="F10460" s="134" t="s">
        <v>3585</v>
      </c>
      <c r="G10460" s="63" t="str">
        <f>VLOOKUP(C10460, 'Class Def. - General Data'!$C$20:$C$1000,1,false)</f>
        <v>ZSI1_LAB_MEDIA</v>
      </c>
      <c r="H10460" s="63" t="str">
        <f>IFERROR(__xludf.DUMMYFUNCTION("VLOOKUP(F10460, IMPORTRANGE(""https://docs.google.com/spreadsheets/d/1Lhp9OU0JdFf_VYSMzH5lBcEaU4o8teT1piV-SNzShjg/edit?gid=554141278#gid=554141278"", ""'Char Def. - Attributes'!C20:C2242""), 1,false)"),"HS_CODE")</f>
        <v>HS_CODE</v>
      </c>
      <c r="I10460" s="136"/>
      <c r="R10460" s="63" t="str">
        <f t="shared" si="60"/>
        <v>ZSI1_LAB_MEDIAHS_CODE</v>
      </c>
    </row>
    <row r="10461" ht="15.75" customHeight="1">
      <c r="B10461" s="63">
        <f t="shared" si="1"/>
        <v>14</v>
      </c>
      <c r="C10461" s="135" t="s">
        <v>552</v>
      </c>
      <c r="D10461" s="161" t="s">
        <v>74</v>
      </c>
      <c r="E10461" s="135">
        <f t="shared" si="62"/>
        <v>6</v>
      </c>
      <c r="F10461" s="134" t="s">
        <v>4756</v>
      </c>
      <c r="G10461" s="63" t="str">
        <f>VLOOKUP(C10461, 'Class Def. - General Data'!$C$20:$C$1000,1,false)</f>
        <v>ZSI1_LAB_MEDIA</v>
      </c>
      <c r="H10461" s="63" t="str">
        <f>IFERROR(__xludf.DUMMYFUNCTION("VLOOKUP(F10461, IMPORTRANGE(""https://docs.google.com/spreadsheets/d/1Lhp9OU0JdFf_VYSMzH5lBcEaU4o8teT1piV-SNzShjg/edit?gid=554141278#gid=554141278"", ""'Char Def. - Attributes'!C20:C2242""), 1,false)"),"BASE_UOM_LAB_MEDIA")</f>
        <v>BASE_UOM_LAB_MEDIA</v>
      </c>
      <c r="I10461" s="136"/>
      <c r="R10461" s="63" t="str">
        <f t="shared" si="60"/>
        <v>ZSI1_LAB_MEDIABASE_UOM_LAB_MEDIA</v>
      </c>
    </row>
    <row r="10462" ht="15.75" customHeight="1">
      <c r="B10462" s="63">
        <f t="shared" si="1"/>
        <v>14</v>
      </c>
      <c r="C10462" s="135" t="s">
        <v>552</v>
      </c>
      <c r="D10462" s="161" t="s">
        <v>74</v>
      </c>
      <c r="E10462" s="135">
        <f t="shared" si="62"/>
        <v>7</v>
      </c>
      <c r="F10462" s="134" t="s">
        <v>4757</v>
      </c>
      <c r="G10462" s="63" t="str">
        <f>VLOOKUP(C10462, 'Class Def. - General Data'!$C$20:$C$1000,1,false)</f>
        <v>ZSI1_LAB_MEDIA</v>
      </c>
      <c r="H10462" s="63" t="str">
        <f>IFERROR(__xludf.DUMMYFUNCTION("VLOOKUP(F10462, IMPORTRANGE(""https://docs.google.com/spreadsheets/d/1Lhp9OU0JdFf_VYSMzH5lBcEaU4o8teT1piV-SNzShjg/edit?gid=554141278#gid=554141278"", ""'Char Def. - Attributes'!C20:C2242""), 1,false)"),"ORDER_UNIT_LAB_MEDIA")</f>
        <v>ORDER_UNIT_LAB_MEDIA</v>
      </c>
      <c r="I10462" s="136"/>
      <c r="R10462" s="63" t="str">
        <f t="shared" si="60"/>
        <v>ZSI1_LAB_MEDIAORDER_UNIT_LAB_MEDIA</v>
      </c>
    </row>
    <row r="10463" ht="15.75" customHeight="1">
      <c r="B10463" s="63">
        <f t="shared" si="1"/>
        <v>14</v>
      </c>
      <c r="C10463" s="135" t="s">
        <v>552</v>
      </c>
      <c r="D10463" s="161" t="s">
        <v>74</v>
      </c>
      <c r="E10463" s="135">
        <f t="shared" si="62"/>
        <v>8</v>
      </c>
      <c r="F10463" s="134" t="s">
        <v>4056</v>
      </c>
      <c r="G10463" s="63" t="str">
        <f>VLOOKUP(C10463, 'Class Def. - General Data'!$C$20:$C$1000,1,false)</f>
        <v>ZSI1_LAB_MEDIA</v>
      </c>
      <c r="H10463" s="63" t="str">
        <f>IFERROR(__xludf.DUMMYFUNCTION("VLOOKUP(F10463, IMPORTRANGE(""https://docs.google.com/spreadsheets/d/1Lhp9OU0JdFf_VYSMzH5lBcEaU4o8teT1piV-SNzShjg/edit?gid=554141278#gid=554141278"", ""'Char Def. - Attributes'!C20:C2242""), 1,false)"),"GROSS_WEIGHT_OPT")</f>
        <v>GROSS_WEIGHT_OPT</v>
      </c>
      <c r="I10463" s="136"/>
      <c r="R10463" s="63" t="str">
        <f t="shared" si="60"/>
        <v>ZSI1_LAB_MEDIAGROSS_WEIGHT_OPT</v>
      </c>
    </row>
    <row r="10464" ht="15.75" customHeight="1">
      <c r="B10464" s="63">
        <f t="shared" si="1"/>
        <v>14</v>
      </c>
      <c r="C10464" s="135" t="s">
        <v>552</v>
      </c>
      <c r="D10464" s="161" t="s">
        <v>74</v>
      </c>
      <c r="E10464" s="135">
        <f t="shared" si="62"/>
        <v>9</v>
      </c>
      <c r="F10464" s="134" t="s">
        <v>4057</v>
      </c>
      <c r="G10464" s="63" t="str">
        <f>VLOOKUP(C10464, 'Class Def. - General Data'!$C$20:$C$1000,1,false)</f>
        <v>ZSI1_LAB_MEDIA</v>
      </c>
      <c r="H10464" s="63" t="str">
        <f>IFERROR(__xludf.DUMMYFUNCTION("VLOOKUP(F10464, IMPORTRANGE(""https://docs.google.com/spreadsheets/d/1Lhp9OU0JdFf_VYSMzH5lBcEaU4o8teT1piV-SNzShjg/edit?gid=554141278#gid=554141278"", ""'Char Def. - Attributes'!C20:C2242""), 1,false)"),"NET_WEIGHT_OPT")</f>
        <v>NET_WEIGHT_OPT</v>
      </c>
      <c r="I10464" s="136"/>
      <c r="R10464" s="63" t="str">
        <f t="shared" si="60"/>
        <v>ZSI1_LAB_MEDIANET_WEIGHT_OPT</v>
      </c>
    </row>
    <row r="10465" ht="15.75" customHeight="1">
      <c r="B10465" s="63">
        <f t="shared" si="1"/>
        <v>14</v>
      </c>
      <c r="C10465" s="135" t="s">
        <v>552</v>
      </c>
      <c r="D10465" s="161" t="s">
        <v>74</v>
      </c>
      <c r="E10465" s="135">
        <f t="shared" si="62"/>
        <v>10</v>
      </c>
      <c r="F10465" s="134" t="s">
        <v>4058</v>
      </c>
      <c r="G10465" s="63" t="str">
        <f>VLOOKUP(C10465, 'Class Def. - General Data'!$C$20:$C$1000,1,false)</f>
        <v>ZSI1_LAB_MEDIA</v>
      </c>
      <c r="H10465" s="63" t="str">
        <f>IFERROR(__xludf.DUMMYFUNCTION("VLOOKUP(F10465, IMPORTRANGE(""https://docs.google.com/spreadsheets/d/1Lhp9OU0JdFf_VYSMzH5lBcEaU4o8teT1piV-SNzShjg/edit?gid=554141278#gid=554141278"", ""'Char Def. - Attributes'!C20:C2242""), 1,false)"),"WEIGHT_UNIT_SI")</f>
        <v>WEIGHT_UNIT_SI</v>
      </c>
      <c r="I10465" s="136"/>
      <c r="R10465" s="63" t="str">
        <f t="shared" si="60"/>
        <v>ZSI1_LAB_MEDIAWEIGHT_UNIT_SI</v>
      </c>
    </row>
    <row r="10466" ht="15.75" customHeight="1">
      <c r="B10466" s="63">
        <f t="shared" si="1"/>
        <v>14</v>
      </c>
      <c r="C10466" s="135" t="s">
        <v>552</v>
      </c>
      <c r="D10466" s="161" t="s">
        <v>74</v>
      </c>
      <c r="E10466" s="135">
        <f t="shared" si="62"/>
        <v>11</v>
      </c>
      <c r="F10466" s="134" t="s">
        <v>3877</v>
      </c>
      <c r="G10466" s="63" t="str">
        <f>VLOOKUP(C10466, 'Class Def. - General Data'!$C$20:$C$1000,1,false)</f>
        <v>ZSI1_LAB_MEDIA</v>
      </c>
      <c r="H10466" s="63" t="str">
        <f>IFERROR(__xludf.DUMMYFUNCTION("VLOOKUP(F10466, IMPORTRANGE(""https://docs.google.com/spreadsheets/d/1Lhp9OU0JdFf_VYSMzH5lBcEaU4o8teT1piV-SNzShjg/edit?gid=554141278#gid=554141278"", ""'Char Def. - Attributes'!C20:C2242""), 1,false)"),"VOLUME_OPT")</f>
        <v>VOLUME_OPT</v>
      </c>
      <c r="I10466" s="136"/>
      <c r="R10466" s="63" t="str">
        <f t="shared" si="60"/>
        <v>ZSI1_LAB_MEDIAVOLUME_OPT</v>
      </c>
    </row>
    <row r="10467" ht="15.75" customHeight="1">
      <c r="B10467" s="63">
        <f t="shared" si="1"/>
        <v>14</v>
      </c>
      <c r="C10467" s="135" t="s">
        <v>552</v>
      </c>
      <c r="D10467" s="161" t="s">
        <v>74</v>
      </c>
      <c r="E10467" s="135">
        <f t="shared" si="62"/>
        <v>12</v>
      </c>
      <c r="F10467" s="134" t="s">
        <v>4059</v>
      </c>
      <c r="G10467" s="63" t="str">
        <f>VLOOKUP(C10467, 'Class Def. - General Data'!$C$20:$C$1000,1,false)</f>
        <v>ZSI1_LAB_MEDIA</v>
      </c>
      <c r="H10467" s="63" t="str">
        <f>IFERROR(__xludf.DUMMYFUNCTION("VLOOKUP(F10467, IMPORTRANGE(""https://docs.google.com/spreadsheets/d/1Lhp9OU0JdFf_VYSMzH5lBcEaU4o8teT1piV-SNzShjg/edit?gid=554141278#gid=554141278"", ""'Char Def. - Attributes'!C20:C2242""), 1,false)"),"VOLUME_UNIT_SI")</f>
        <v>VOLUME_UNIT_SI</v>
      </c>
      <c r="I10467" s="136"/>
      <c r="R10467" s="63" t="str">
        <f t="shared" si="60"/>
        <v>ZSI1_LAB_MEDIAVOLUME_UNIT_SI</v>
      </c>
    </row>
    <row r="10468" ht="15.75" customHeight="1">
      <c r="B10468" s="63">
        <f t="shared" si="1"/>
        <v>14</v>
      </c>
      <c r="C10468" s="135" t="s">
        <v>552</v>
      </c>
      <c r="D10468" s="161" t="s">
        <v>74</v>
      </c>
      <c r="E10468" s="135">
        <f t="shared" si="62"/>
        <v>13</v>
      </c>
      <c r="F10468" s="134" t="s">
        <v>3804</v>
      </c>
      <c r="G10468" s="63" t="str">
        <f>VLOOKUP(C10468, 'Class Def. - General Data'!$C$20:$C$1000,1,false)</f>
        <v>ZSI1_LAB_MEDIA</v>
      </c>
      <c r="H10468" s="63" t="str">
        <f>IFERROR(__xludf.DUMMYFUNCTION("VLOOKUP(F10468, IMPORTRANGE(""https://docs.google.com/spreadsheets/d/1Lhp9OU0JdFf_VYSMzH5lBcEaU4o8teT1piV-SNzShjg/edit?gid=554141278#gid=554141278"", ""'Char Def. - Attributes'!C20:C2242""), 1,false)"),"ALT_UOM1_SIPI")</f>
        <v>ALT_UOM1_SIPI</v>
      </c>
      <c r="I10468" s="136"/>
      <c r="R10468" s="63" t="str">
        <f t="shared" si="60"/>
        <v>ZSI1_LAB_MEDIAALT_UOM1_SIPI</v>
      </c>
    </row>
    <row r="10469" ht="15.75" customHeight="1">
      <c r="B10469" s="63">
        <f t="shared" si="1"/>
        <v>14</v>
      </c>
      <c r="C10469" s="135" t="s">
        <v>552</v>
      </c>
      <c r="D10469" s="161" t="s">
        <v>74</v>
      </c>
      <c r="E10469" s="135">
        <f t="shared" si="62"/>
        <v>14</v>
      </c>
      <c r="F10469" s="134" t="s">
        <v>3805</v>
      </c>
      <c r="G10469" s="63" t="str">
        <f>VLOOKUP(C10469, 'Class Def. - General Data'!$C$20:$C$1000,1,false)</f>
        <v>ZSI1_LAB_MEDIA</v>
      </c>
      <c r="H10469" s="63" t="str">
        <f>IFERROR(__xludf.DUMMYFUNCTION("VLOOKUP(F10469, IMPORTRANGE(""https://docs.google.com/spreadsheets/d/1Lhp9OU0JdFf_VYSMzH5lBcEaU4o8teT1piV-SNzShjg/edit?gid=554141278#gid=554141278"", ""'Char Def. - Attributes'!C20:C2242""), 1,false)"),"ALT_DENUM_UOM1")</f>
        <v>ALT_DENUM_UOM1</v>
      </c>
      <c r="I10469" s="136"/>
      <c r="R10469" s="63" t="str">
        <f t="shared" si="60"/>
        <v>ZSI1_LAB_MEDIAALT_DENUM_UOM1</v>
      </c>
    </row>
    <row r="10470" ht="15.75" customHeight="1">
      <c r="B10470" s="63">
        <f t="shared" si="1"/>
        <v>14</v>
      </c>
      <c r="C10470" s="135" t="s">
        <v>552</v>
      </c>
      <c r="D10470" s="161" t="s">
        <v>74</v>
      </c>
      <c r="E10470" s="135">
        <f t="shared" si="62"/>
        <v>15</v>
      </c>
      <c r="F10470" s="134" t="s">
        <v>3806</v>
      </c>
      <c r="G10470" s="63" t="str">
        <f>VLOOKUP(C10470, 'Class Def. - General Data'!$C$20:$C$1000,1,false)</f>
        <v>ZSI1_LAB_MEDIA</v>
      </c>
      <c r="H10470" s="63" t="str">
        <f>IFERROR(__xludf.DUMMYFUNCTION("VLOOKUP(F10470, IMPORTRANGE(""https://docs.google.com/spreadsheets/d/1Lhp9OU0JdFf_VYSMzH5lBcEaU4o8teT1piV-SNzShjg/edit?gid=554141278#gid=554141278"", ""'Char Def. - Attributes'!C20:C2242""), 1,false)"),"ALT_NUM_UOM1")</f>
        <v>ALT_NUM_UOM1</v>
      </c>
      <c r="I10470" s="136"/>
      <c r="R10470" s="63" t="str">
        <f t="shared" si="60"/>
        <v>ZSI1_LAB_MEDIAALT_NUM_UOM1</v>
      </c>
    </row>
    <row r="10471" ht="15.75" customHeight="1">
      <c r="B10471" s="63">
        <f t="shared" si="1"/>
        <v>14</v>
      </c>
      <c r="C10471" s="135" t="s">
        <v>552</v>
      </c>
      <c r="D10471" s="161" t="s">
        <v>74</v>
      </c>
      <c r="E10471" s="135">
        <f t="shared" si="62"/>
        <v>16</v>
      </c>
      <c r="F10471" s="134" t="s">
        <v>3807</v>
      </c>
      <c r="G10471" s="63" t="str">
        <f>VLOOKUP(C10471, 'Class Def. - General Data'!$C$20:$C$1000,1,false)</f>
        <v>ZSI1_LAB_MEDIA</v>
      </c>
      <c r="H10471" s="63" t="str">
        <f>IFERROR(__xludf.DUMMYFUNCTION("VLOOKUP(F10471, IMPORTRANGE(""https://docs.google.com/spreadsheets/d/1Lhp9OU0JdFf_VYSMzH5lBcEaU4o8teT1piV-SNzShjg/edit?gid=554141278#gid=554141278"", ""'Char Def. - Attributes'!C20:C2242""), 1,false)"),"ALT_UOM2_SIPI")</f>
        <v>ALT_UOM2_SIPI</v>
      </c>
      <c r="I10471" s="136"/>
      <c r="R10471" s="63" t="str">
        <f t="shared" si="60"/>
        <v>ZSI1_LAB_MEDIAALT_UOM2_SIPI</v>
      </c>
    </row>
    <row r="10472" ht="15.75" customHeight="1">
      <c r="B10472" s="63">
        <f t="shared" si="1"/>
        <v>14</v>
      </c>
      <c r="C10472" s="135" t="s">
        <v>552</v>
      </c>
      <c r="D10472" s="161" t="s">
        <v>74</v>
      </c>
      <c r="E10472" s="135">
        <f t="shared" si="62"/>
        <v>17</v>
      </c>
      <c r="F10472" s="134" t="s">
        <v>3808</v>
      </c>
      <c r="G10472" s="63" t="str">
        <f>VLOOKUP(C10472, 'Class Def. - General Data'!$C$20:$C$1000,1,false)</f>
        <v>ZSI1_LAB_MEDIA</v>
      </c>
      <c r="H10472" s="63" t="str">
        <f>IFERROR(__xludf.DUMMYFUNCTION("VLOOKUP(F10472, IMPORTRANGE(""https://docs.google.com/spreadsheets/d/1Lhp9OU0JdFf_VYSMzH5lBcEaU4o8teT1piV-SNzShjg/edit?gid=554141278#gid=554141278"", ""'Char Def. - Attributes'!C20:C2242""), 1,false)"),"ALT_DENUM_UOM2")</f>
        <v>ALT_DENUM_UOM2</v>
      </c>
      <c r="I10472" s="136"/>
      <c r="R10472" s="63" t="str">
        <f t="shared" si="60"/>
        <v>ZSI1_LAB_MEDIAALT_DENUM_UOM2</v>
      </c>
    </row>
    <row r="10473" ht="15.75" customHeight="1">
      <c r="B10473" s="63">
        <f t="shared" si="1"/>
        <v>14</v>
      </c>
      <c r="C10473" s="135" t="s">
        <v>552</v>
      </c>
      <c r="D10473" s="161" t="s">
        <v>74</v>
      </c>
      <c r="E10473" s="135">
        <f t="shared" si="62"/>
        <v>18</v>
      </c>
      <c r="F10473" s="134" t="s">
        <v>3809</v>
      </c>
      <c r="G10473" s="63" t="str">
        <f>VLOOKUP(C10473, 'Class Def. - General Data'!$C$20:$C$1000,1,false)</f>
        <v>ZSI1_LAB_MEDIA</v>
      </c>
      <c r="H10473" s="63" t="str">
        <f>IFERROR(__xludf.DUMMYFUNCTION("VLOOKUP(F10473, IMPORTRANGE(""https://docs.google.com/spreadsheets/d/1Lhp9OU0JdFf_VYSMzH5lBcEaU4o8teT1piV-SNzShjg/edit?gid=554141278#gid=554141278"", ""'Char Def. - Attributes'!C20:C2242""), 1,false)"),"ALT_NUM_UOM2")</f>
        <v>ALT_NUM_UOM2</v>
      </c>
      <c r="I10473" s="136"/>
      <c r="R10473" s="63" t="str">
        <f t="shared" si="60"/>
        <v>ZSI1_LAB_MEDIAALT_NUM_UOM2</v>
      </c>
    </row>
    <row r="10474" ht="15.75" customHeight="1">
      <c r="B10474" s="63">
        <f t="shared" si="1"/>
        <v>14</v>
      </c>
      <c r="C10474" s="135" t="s">
        <v>552</v>
      </c>
      <c r="D10474" s="161" t="s">
        <v>74</v>
      </c>
      <c r="E10474" s="135">
        <f t="shared" si="62"/>
        <v>19</v>
      </c>
      <c r="F10474" s="134" t="s">
        <v>3810</v>
      </c>
      <c r="G10474" s="63" t="str">
        <f>VLOOKUP(C10474, 'Class Def. - General Data'!$C$20:$C$1000,1,false)</f>
        <v>ZSI1_LAB_MEDIA</v>
      </c>
      <c r="H10474" s="63" t="str">
        <f>IFERROR(__xludf.DUMMYFUNCTION("VLOOKUP(F10474, IMPORTRANGE(""https://docs.google.com/spreadsheets/d/1Lhp9OU0JdFf_VYSMzH5lBcEaU4o8teT1piV-SNzShjg/edit?gid=554141278#gid=554141278"", ""'Char Def. - Attributes'!C20:C2242""), 1,false)"),"ALT_UOM3_SIPI")</f>
        <v>ALT_UOM3_SIPI</v>
      </c>
      <c r="I10474" s="136"/>
      <c r="R10474" s="63" t="str">
        <f t="shared" si="60"/>
        <v>ZSI1_LAB_MEDIAALT_UOM3_SIPI</v>
      </c>
    </row>
    <row r="10475" ht="15.75" customHeight="1">
      <c r="B10475" s="63">
        <f t="shared" si="1"/>
        <v>14</v>
      </c>
      <c r="C10475" s="135" t="s">
        <v>552</v>
      </c>
      <c r="D10475" s="161" t="s">
        <v>74</v>
      </c>
      <c r="E10475" s="135">
        <f t="shared" si="62"/>
        <v>20</v>
      </c>
      <c r="F10475" s="134" t="s">
        <v>3811</v>
      </c>
      <c r="G10475" s="63" t="str">
        <f>VLOOKUP(C10475, 'Class Def. - General Data'!$C$20:$C$1000,1,false)</f>
        <v>ZSI1_LAB_MEDIA</v>
      </c>
      <c r="H10475" s="63" t="str">
        <f>IFERROR(__xludf.DUMMYFUNCTION("VLOOKUP(F10475, IMPORTRANGE(""https://docs.google.com/spreadsheets/d/1Lhp9OU0JdFf_VYSMzH5lBcEaU4o8teT1piV-SNzShjg/edit?gid=554141278#gid=554141278"", ""'Char Def. - Attributes'!C20:C2242""), 1,false)"),"ALT_DENUM_UOM3")</f>
        <v>ALT_DENUM_UOM3</v>
      </c>
      <c r="I10475" s="136"/>
      <c r="R10475" s="63" t="str">
        <f t="shared" si="60"/>
        <v>ZSI1_LAB_MEDIAALT_DENUM_UOM3</v>
      </c>
    </row>
    <row r="10476" ht="15.75" customHeight="1">
      <c r="B10476" s="63">
        <f t="shared" si="1"/>
        <v>14</v>
      </c>
      <c r="C10476" s="135" t="s">
        <v>552</v>
      </c>
      <c r="D10476" s="161" t="s">
        <v>74</v>
      </c>
      <c r="E10476" s="135">
        <f t="shared" si="62"/>
        <v>21</v>
      </c>
      <c r="F10476" s="134" t="s">
        <v>3812</v>
      </c>
      <c r="G10476" s="63" t="str">
        <f>VLOOKUP(C10476, 'Class Def. - General Data'!$C$20:$C$1000,1,false)</f>
        <v>ZSI1_LAB_MEDIA</v>
      </c>
      <c r="H10476" s="63" t="str">
        <f>IFERROR(__xludf.DUMMYFUNCTION("VLOOKUP(F10476, IMPORTRANGE(""https://docs.google.com/spreadsheets/d/1Lhp9OU0JdFf_VYSMzH5lBcEaU4o8teT1piV-SNzShjg/edit?gid=554141278#gid=554141278"", ""'Char Def. - Attributes'!C20:C2242""), 1,false)"),"ALT_NUM_UOM3")</f>
        <v>ALT_NUM_UOM3</v>
      </c>
      <c r="I10476" s="136"/>
      <c r="R10476" s="63" t="str">
        <f t="shared" si="60"/>
        <v>ZSI1_LAB_MEDIAALT_NUM_UOM3</v>
      </c>
    </row>
    <row r="10477" ht="15.75" customHeight="1">
      <c r="B10477" s="63">
        <f t="shared" si="1"/>
        <v>14</v>
      </c>
      <c r="C10477" s="135" t="s">
        <v>552</v>
      </c>
      <c r="D10477" s="161" t="s">
        <v>74</v>
      </c>
      <c r="E10477" s="135">
        <f t="shared" si="62"/>
        <v>22</v>
      </c>
      <c r="F10477" s="134" t="s">
        <v>3813</v>
      </c>
      <c r="G10477" s="63" t="str">
        <f>VLOOKUP(C10477, 'Class Def. - General Data'!$C$20:$C$1000,1,false)</f>
        <v>ZSI1_LAB_MEDIA</v>
      </c>
      <c r="H10477" s="63" t="str">
        <f>IFERROR(__xludf.DUMMYFUNCTION("VLOOKUP(F10477, IMPORTRANGE(""https://docs.google.com/spreadsheets/d/1Lhp9OU0JdFf_VYSMzH5lBcEaU4o8teT1piV-SNzShjg/edit?gid=554141278#gid=554141278"", ""'Char Def. - Attributes'!C20:C2242""), 1,false)"),"ALT_UOM4_SIPI")</f>
        <v>ALT_UOM4_SIPI</v>
      </c>
      <c r="I10477" s="136"/>
      <c r="R10477" s="63" t="str">
        <f t="shared" si="60"/>
        <v>ZSI1_LAB_MEDIAALT_UOM4_SIPI</v>
      </c>
    </row>
    <row r="10478" ht="15.75" customHeight="1">
      <c r="B10478" s="63">
        <f t="shared" si="1"/>
        <v>14</v>
      </c>
      <c r="C10478" s="135" t="s">
        <v>552</v>
      </c>
      <c r="D10478" s="161" t="s">
        <v>74</v>
      </c>
      <c r="E10478" s="135">
        <f t="shared" si="62"/>
        <v>23</v>
      </c>
      <c r="F10478" s="134" t="s">
        <v>3814</v>
      </c>
      <c r="G10478" s="63" t="str">
        <f>VLOOKUP(C10478, 'Class Def. - General Data'!$C$20:$C$1000,1,false)</f>
        <v>ZSI1_LAB_MEDIA</v>
      </c>
      <c r="H10478" s="63" t="str">
        <f>IFERROR(__xludf.DUMMYFUNCTION("VLOOKUP(F10478, IMPORTRANGE(""https://docs.google.com/spreadsheets/d/1Lhp9OU0JdFf_VYSMzH5lBcEaU4o8teT1piV-SNzShjg/edit?gid=554141278#gid=554141278"", ""'Char Def. - Attributes'!C20:C2242""), 1,false)"),"ALT_DENUM_UOM4")</f>
        <v>ALT_DENUM_UOM4</v>
      </c>
      <c r="I10478" s="136"/>
      <c r="R10478" s="63" t="str">
        <f t="shared" si="60"/>
        <v>ZSI1_LAB_MEDIAALT_DENUM_UOM4</v>
      </c>
    </row>
    <row r="10479" ht="15.75" customHeight="1">
      <c r="B10479" s="63">
        <f t="shared" si="1"/>
        <v>14</v>
      </c>
      <c r="C10479" s="135" t="s">
        <v>552</v>
      </c>
      <c r="D10479" s="161" t="s">
        <v>74</v>
      </c>
      <c r="E10479" s="135">
        <f t="shared" si="62"/>
        <v>24</v>
      </c>
      <c r="F10479" s="134" t="s">
        <v>3815</v>
      </c>
      <c r="G10479" s="63" t="str">
        <f>VLOOKUP(C10479, 'Class Def. - General Data'!$C$20:$C$1000,1,false)</f>
        <v>ZSI1_LAB_MEDIA</v>
      </c>
      <c r="H10479" s="63" t="str">
        <f>IFERROR(__xludf.DUMMYFUNCTION("VLOOKUP(F10479, IMPORTRANGE(""https://docs.google.com/spreadsheets/d/1Lhp9OU0JdFf_VYSMzH5lBcEaU4o8teT1piV-SNzShjg/edit?gid=554141278#gid=554141278"", ""'Char Def. - Attributes'!C20:C2242""), 1,false)"),"ALT_NUM_UOM4")</f>
        <v>ALT_NUM_UOM4</v>
      </c>
      <c r="I10479" s="136"/>
      <c r="R10479" s="63" t="str">
        <f t="shared" si="60"/>
        <v>ZSI1_LAB_MEDIAALT_NUM_UOM4</v>
      </c>
    </row>
    <row r="10480" ht="15.75" customHeight="1">
      <c r="B10480" s="63">
        <f t="shared" si="1"/>
        <v>14</v>
      </c>
      <c r="C10480" s="135" t="s">
        <v>552</v>
      </c>
      <c r="D10480" s="161" t="s">
        <v>74</v>
      </c>
      <c r="E10480" s="135">
        <f t="shared" si="62"/>
        <v>25</v>
      </c>
      <c r="F10480" s="134" t="s">
        <v>3816</v>
      </c>
      <c r="G10480" s="63" t="str">
        <f>VLOOKUP(C10480, 'Class Def. - General Data'!$C$20:$C$1000,1,false)</f>
        <v>ZSI1_LAB_MEDIA</v>
      </c>
      <c r="H10480" s="63" t="str">
        <f>IFERROR(__xludf.DUMMYFUNCTION("VLOOKUP(F10480, IMPORTRANGE(""https://docs.google.com/spreadsheets/d/1Lhp9OU0JdFf_VYSMzH5lBcEaU4o8teT1piV-SNzShjg/edit?gid=554141278#gid=554141278"", ""'Char Def. - Attributes'!C20:C2242""), 1,false)"),"ALT_UOM5_SIPI")</f>
        <v>ALT_UOM5_SIPI</v>
      </c>
      <c r="I10480" s="136"/>
      <c r="R10480" s="63" t="str">
        <f t="shared" si="60"/>
        <v>ZSI1_LAB_MEDIAALT_UOM5_SIPI</v>
      </c>
    </row>
    <row r="10481" ht="15.75" customHeight="1">
      <c r="B10481" s="63">
        <f t="shared" si="1"/>
        <v>14</v>
      </c>
      <c r="C10481" s="135" t="s">
        <v>552</v>
      </c>
      <c r="D10481" s="161" t="s">
        <v>74</v>
      </c>
      <c r="E10481" s="135">
        <f t="shared" si="62"/>
        <v>26</v>
      </c>
      <c r="F10481" s="134" t="s">
        <v>3817</v>
      </c>
      <c r="G10481" s="63" t="str">
        <f>VLOOKUP(C10481, 'Class Def. - General Data'!$C$20:$C$1000,1,false)</f>
        <v>ZSI1_LAB_MEDIA</v>
      </c>
      <c r="H10481" s="63" t="str">
        <f>IFERROR(__xludf.DUMMYFUNCTION("VLOOKUP(F10481, IMPORTRANGE(""https://docs.google.com/spreadsheets/d/1Lhp9OU0JdFf_VYSMzH5lBcEaU4o8teT1piV-SNzShjg/edit?gid=554141278#gid=554141278"", ""'Char Def. - Attributes'!C20:C2242""), 1,false)"),"ALT_DENUM_UOM5")</f>
        <v>ALT_DENUM_UOM5</v>
      </c>
      <c r="I10481" s="136"/>
      <c r="R10481" s="63" t="str">
        <f t="shared" si="60"/>
        <v>ZSI1_LAB_MEDIAALT_DENUM_UOM5</v>
      </c>
    </row>
    <row r="10482" ht="15.75" customHeight="1">
      <c r="B10482" s="63">
        <f t="shared" si="1"/>
        <v>14</v>
      </c>
      <c r="C10482" s="135" t="s">
        <v>552</v>
      </c>
      <c r="D10482" s="161" t="s">
        <v>74</v>
      </c>
      <c r="E10482" s="135">
        <f t="shared" si="62"/>
        <v>27</v>
      </c>
      <c r="F10482" s="134" t="s">
        <v>3818</v>
      </c>
      <c r="G10482" s="63" t="str">
        <f>VLOOKUP(C10482, 'Class Def. - General Data'!$C$20:$C$1000,1,false)</f>
        <v>ZSI1_LAB_MEDIA</v>
      </c>
      <c r="H10482" s="63" t="str">
        <f>IFERROR(__xludf.DUMMYFUNCTION("VLOOKUP(F10482, IMPORTRANGE(""https://docs.google.com/spreadsheets/d/1Lhp9OU0JdFf_VYSMzH5lBcEaU4o8teT1piV-SNzShjg/edit?gid=554141278#gid=554141278"", ""'Char Def. - Attributes'!C20:C2242""), 1,false)"),"ALT_NUM_UOM5")</f>
        <v>ALT_NUM_UOM5</v>
      </c>
      <c r="I10482" s="136"/>
      <c r="R10482" s="63" t="str">
        <f t="shared" si="60"/>
        <v>ZSI1_LAB_MEDIAALT_NUM_UOM5</v>
      </c>
    </row>
    <row r="10483" ht="15.75" customHeight="1">
      <c r="B10483" s="63">
        <f t="shared" si="1"/>
        <v>14</v>
      </c>
      <c r="C10483" s="135" t="s">
        <v>406</v>
      </c>
      <c r="D10483" s="161" t="s">
        <v>74</v>
      </c>
      <c r="E10483" s="135">
        <f t="shared" si="62"/>
        <v>1</v>
      </c>
      <c r="F10483" s="134" t="s">
        <v>4758</v>
      </c>
      <c r="G10483" s="63" t="str">
        <f>VLOOKUP(C10483, 'Class Def. - General Data'!$C$20:$C$1000,1,false)</f>
        <v>ZSI1_LAB_SIEVE</v>
      </c>
      <c r="H10483" s="63" t="str">
        <f>IFERROR(__xludf.DUMMYFUNCTION("VLOOKUP(F10483, IMPORTRANGE(""https://docs.google.com/spreadsheets/d/1Lhp9OU0JdFf_VYSMzH5lBcEaU4o8teT1piV-SNzShjg/edit?gid=554141278#gid=554141278"", ""'Char Def. - Attributes'!C20:C2242""), 1,false)"),"ITEM_NAME_LAB_SIEVE")</f>
        <v>ITEM_NAME_LAB_SIEVE</v>
      </c>
      <c r="I10483" s="136"/>
      <c r="R10483" s="63" t="str">
        <f t="shared" si="60"/>
        <v>ZSI1_LAB_SIEVEITEM_NAME_LAB_SIEVE</v>
      </c>
    </row>
    <row r="10484" ht="15.75" customHeight="1">
      <c r="B10484" s="63">
        <f t="shared" si="1"/>
        <v>14</v>
      </c>
      <c r="C10484" s="135" t="s">
        <v>406</v>
      </c>
      <c r="D10484" s="161" t="s">
        <v>74</v>
      </c>
      <c r="E10484" s="135">
        <f t="shared" si="62"/>
        <v>2</v>
      </c>
      <c r="F10484" s="134" t="s">
        <v>4759</v>
      </c>
      <c r="G10484" s="63" t="str">
        <f>VLOOKUP(C10484, 'Class Def. - General Data'!$C$20:$C$1000,1,false)</f>
        <v>ZSI1_LAB_SIEVE</v>
      </c>
      <c r="H10484" s="63" t="str">
        <f>IFERROR(__xludf.DUMMYFUNCTION("VLOOKUP(F10484, IMPORTRANGE(""https://docs.google.com/spreadsheets/d/1Lhp9OU0JdFf_VYSMzH5lBcEaU4o8teT1piV-SNzShjg/edit?gid=554141278#gid=554141278"", ""'Char Def. - Attributes'!C20:C2242""), 1,false)"),"MESH_SIZE_LAB_SIEVE")</f>
        <v>MESH_SIZE_LAB_SIEVE</v>
      </c>
      <c r="I10484" s="136"/>
      <c r="R10484" s="63" t="str">
        <f t="shared" si="60"/>
        <v>ZSI1_LAB_SIEVEMESH_SIZE_LAB_SIEVE</v>
      </c>
    </row>
    <row r="10485" ht="15.75" customHeight="1">
      <c r="B10485" s="63">
        <f t="shared" si="1"/>
        <v>14</v>
      </c>
      <c r="C10485" s="135" t="s">
        <v>406</v>
      </c>
      <c r="D10485" s="161" t="s">
        <v>74</v>
      </c>
      <c r="E10485" s="135">
        <f t="shared" si="62"/>
        <v>3</v>
      </c>
      <c r="F10485" s="134" t="s">
        <v>4760</v>
      </c>
      <c r="G10485" s="63" t="str">
        <f>VLOOKUP(C10485, 'Class Def. - General Data'!$C$20:$C$1000,1,false)</f>
        <v>ZSI1_LAB_SIEVE</v>
      </c>
      <c r="H10485" s="63" t="str">
        <f>IFERROR(__xludf.DUMMYFUNCTION("VLOOKUP(F10485, IMPORTRANGE(""https://docs.google.com/spreadsheets/d/1Lhp9OU0JdFf_VYSMzH5lBcEaU4o8teT1piV-SNzShjg/edit?gid=554141278#gid=554141278"", ""'Char Def. - Attributes'!C20:C2242""), 1,false)"),"SERIES_LAB_SIEVE")</f>
        <v>SERIES_LAB_SIEVE</v>
      </c>
      <c r="I10485" s="136"/>
      <c r="R10485" s="63" t="str">
        <f t="shared" si="60"/>
        <v>ZSI1_LAB_SIEVESERIES_LAB_SIEVE</v>
      </c>
    </row>
    <row r="10486" ht="15.75" customHeight="1">
      <c r="B10486" s="63">
        <f t="shared" si="1"/>
        <v>14</v>
      </c>
      <c r="C10486" s="135" t="s">
        <v>406</v>
      </c>
      <c r="D10486" s="161" t="s">
        <v>74</v>
      </c>
      <c r="E10486" s="135">
        <f t="shared" si="62"/>
        <v>4</v>
      </c>
      <c r="F10486" s="134" t="s">
        <v>3782</v>
      </c>
      <c r="G10486" s="63" t="str">
        <f>VLOOKUP(C10486, 'Class Def. - General Data'!$C$20:$C$1000,1,false)</f>
        <v>ZSI1_LAB_SIEVE</v>
      </c>
      <c r="H10486" s="63" t="str">
        <f>IFERROR(__xludf.DUMMYFUNCTION("VLOOKUP(F10486, IMPORTRANGE(""https://docs.google.com/spreadsheets/d/1Lhp9OU0JdFf_VYSMzH5lBcEaU4o8teT1piV-SNzShjg/edit?gid=554141278#gid=554141278"", ""'Char Def. - Attributes'!C20:C2242""), 1,false)"),"BRAND_EXTERNAL")</f>
        <v>BRAND_EXTERNAL</v>
      </c>
      <c r="I10486" s="136"/>
      <c r="R10486" s="63" t="str">
        <f t="shared" si="60"/>
        <v>ZSI1_LAB_SIEVEBRAND_EXTERNAL</v>
      </c>
    </row>
    <row r="10487" ht="15.75" customHeight="1">
      <c r="B10487" s="63">
        <f t="shared" si="1"/>
        <v>14</v>
      </c>
      <c r="C10487" s="135" t="s">
        <v>406</v>
      </c>
      <c r="D10487" s="161" t="s">
        <v>74</v>
      </c>
      <c r="E10487" s="135">
        <f t="shared" si="62"/>
        <v>5</v>
      </c>
      <c r="F10487" s="134" t="s">
        <v>3585</v>
      </c>
      <c r="G10487" s="63" t="str">
        <f>VLOOKUP(C10487, 'Class Def. - General Data'!$C$20:$C$1000,1,false)</f>
        <v>ZSI1_LAB_SIEVE</v>
      </c>
      <c r="H10487" s="63" t="str">
        <f>IFERROR(__xludf.DUMMYFUNCTION("VLOOKUP(F10487, IMPORTRANGE(""https://docs.google.com/spreadsheets/d/1Lhp9OU0JdFf_VYSMzH5lBcEaU4o8teT1piV-SNzShjg/edit?gid=554141278#gid=554141278"", ""'Char Def. - Attributes'!C20:C2242""), 1,false)"),"HS_CODE")</f>
        <v>HS_CODE</v>
      </c>
      <c r="I10487" s="136"/>
      <c r="R10487" s="63" t="str">
        <f t="shared" si="60"/>
        <v>ZSI1_LAB_SIEVEHS_CODE</v>
      </c>
    </row>
    <row r="10488" ht="15.75" customHeight="1">
      <c r="B10488" s="63">
        <f t="shared" si="1"/>
        <v>14</v>
      </c>
      <c r="C10488" s="135" t="s">
        <v>406</v>
      </c>
      <c r="D10488" s="161" t="s">
        <v>74</v>
      </c>
      <c r="E10488" s="135">
        <f t="shared" si="62"/>
        <v>6</v>
      </c>
      <c r="F10488" s="134" t="s">
        <v>3587</v>
      </c>
      <c r="G10488" s="63" t="str">
        <f>VLOOKUP(C10488, 'Class Def. - General Data'!$C$20:$C$1000,1,false)</f>
        <v>ZSI1_LAB_SIEVE</v>
      </c>
      <c r="H10488" s="63" t="str">
        <f>IFERROR(__xludf.DUMMYFUNCTION("VLOOKUP(F10488, IMPORTRANGE(""https://docs.google.com/spreadsheets/d/1Lhp9OU0JdFf_VYSMzH5lBcEaU4o8teT1piV-SNzShjg/edit?gid=554141278#gid=554141278"", ""'Char Def. - Attributes'!C20:C2242""), 1,false)"),"PLANT_BUY")</f>
        <v>PLANT_BUY</v>
      </c>
      <c r="I10488" s="136"/>
      <c r="R10488" s="63" t="str">
        <f t="shared" si="60"/>
        <v>ZSI1_LAB_SIEVEPLANT_BUY</v>
      </c>
    </row>
    <row r="10489" ht="15.75" customHeight="1">
      <c r="B10489" s="63">
        <f t="shared" si="1"/>
        <v>14</v>
      </c>
      <c r="C10489" s="135" t="s">
        <v>406</v>
      </c>
      <c r="D10489" s="161" t="s">
        <v>74</v>
      </c>
      <c r="E10489" s="135">
        <f t="shared" si="62"/>
        <v>7</v>
      </c>
      <c r="F10489" s="134" t="s">
        <v>4761</v>
      </c>
      <c r="G10489" s="63" t="str">
        <f>VLOOKUP(C10489, 'Class Def. - General Data'!$C$20:$C$1000,1,false)</f>
        <v>ZSI1_LAB_SIEVE</v>
      </c>
      <c r="H10489" s="63" t="str">
        <f>IFERROR(__xludf.DUMMYFUNCTION("VLOOKUP(F10489, IMPORTRANGE(""https://docs.google.com/spreadsheets/d/1Lhp9OU0JdFf_VYSMzH5lBcEaU4o8teT1piV-SNzShjg/edit?gid=554141278#gid=554141278"", ""'Char Def. - Attributes'!C20:C2242""), 1,false)"),"BASE_UOM_LAB_SIEVE")</f>
        <v>BASE_UOM_LAB_SIEVE</v>
      </c>
      <c r="I10489" s="136"/>
      <c r="R10489" s="63" t="str">
        <f t="shared" si="60"/>
        <v>ZSI1_LAB_SIEVEBASE_UOM_LAB_SIEVE</v>
      </c>
    </row>
    <row r="10490" ht="15.75" customHeight="1">
      <c r="B10490" s="63">
        <f t="shared" si="1"/>
        <v>14</v>
      </c>
      <c r="C10490" s="135" t="s">
        <v>406</v>
      </c>
      <c r="D10490" s="161" t="s">
        <v>74</v>
      </c>
      <c r="E10490" s="135">
        <f t="shared" si="62"/>
        <v>8</v>
      </c>
      <c r="F10490" s="134" t="s">
        <v>4762</v>
      </c>
      <c r="G10490" s="63" t="str">
        <f>VLOOKUP(C10490, 'Class Def. - General Data'!$C$20:$C$1000,1,false)</f>
        <v>ZSI1_LAB_SIEVE</v>
      </c>
      <c r="H10490" s="63" t="str">
        <f>IFERROR(__xludf.DUMMYFUNCTION("VLOOKUP(F10490, IMPORTRANGE(""https://docs.google.com/spreadsheets/d/1Lhp9OU0JdFf_VYSMzH5lBcEaU4o8teT1piV-SNzShjg/edit?gid=554141278#gid=554141278"", ""'Char Def. - Attributes'!C20:C2242""), 1,false)"),"ORDER_UNIT_LAB_SIEVE")</f>
        <v>ORDER_UNIT_LAB_SIEVE</v>
      </c>
      <c r="I10490" s="136"/>
      <c r="R10490" s="63" t="str">
        <f t="shared" si="60"/>
        <v>ZSI1_LAB_SIEVEORDER_UNIT_LAB_SIEVE</v>
      </c>
    </row>
    <row r="10491" ht="15.75" customHeight="1">
      <c r="B10491" s="63">
        <f t="shared" si="1"/>
        <v>14</v>
      </c>
      <c r="C10491" s="135" t="s">
        <v>406</v>
      </c>
      <c r="D10491" s="161" t="s">
        <v>74</v>
      </c>
      <c r="E10491" s="135">
        <f t="shared" si="62"/>
        <v>9</v>
      </c>
      <c r="F10491" s="134" t="s">
        <v>4056</v>
      </c>
      <c r="G10491" s="63" t="str">
        <f>VLOOKUP(C10491, 'Class Def. - General Data'!$C$20:$C$1000,1,false)</f>
        <v>ZSI1_LAB_SIEVE</v>
      </c>
      <c r="H10491" s="63" t="str">
        <f>IFERROR(__xludf.DUMMYFUNCTION("VLOOKUP(F10491, IMPORTRANGE(""https://docs.google.com/spreadsheets/d/1Lhp9OU0JdFf_VYSMzH5lBcEaU4o8teT1piV-SNzShjg/edit?gid=554141278#gid=554141278"", ""'Char Def. - Attributes'!C20:C2242""), 1,false)"),"GROSS_WEIGHT_OPT")</f>
        <v>GROSS_WEIGHT_OPT</v>
      </c>
      <c r="I10491" s="136"/>
      <c r="R10491" s="63" t="str">
        <f t="shared" si="60"/>
        <v>ZSI1_LAB_SIEVEGROSS_WEIGHT_OPT</v>
      </c>
    </row>
    <row r="10492" ht="15.75" customHeight="1">
      <c r="B10492" s="63">
        <f t="shared" si="1"/>
        <v>14</v>
      </c>
      <c r="C10492" s="135" t="s">
        <v>406</v>
      </c>
      <c r="D10492" s="161" t="s">
        <v>74</v>
      </c>
      <c r="E10492" s="135">
        <f t="shared" si="62"/>
        <v>10</v>
      </c>
      <c r="F10492" s="134" t="s">
        <v>4057</v>
      </c>
      <c r="G10492" s="63" t="str">
        <f>VLOOKUP(C10492, 'Class Def. - General Data'!$C$20:$C$1000,1,false)</f>
        <v>ZSI1_LAB_SIEVE</v>
      </c>
      <c r="H10492" s="63" t="str">
        <f>IFERROR(__xludf.DUMMYFUNCTION("VLOOKUP(F10492, IMPORTRANGE(""https://docs.google.com/spreadsheets/d/1Lhp9OU0JdFf_VYSMzH5lBcEaU4o8teT1piV-SNzShjg/edit?gid=554141278#gid=554141278"", ""'Char Def. - Attributes'!C20:C2242""), 1,false)"),"NET_WEIGHT_OPT")</f>
        <v>NET_WEIGHT_OPT</v>
      </c>
      <c r="I10492" s="136"/>
      <c r="R10492" s="63" t="str">
        <f t="shared" si="60"/>
        <v>ZSI1_LAB_SIEVENET_WEIGHT_OPT</v>
      </c>
    </row>
    <row r="10493" ht="15.75" customHeight="1">
      <c r="B10493" s="63">
        <f t="shared" si="1"/>
        <v>14</v>
      </c>
      <c r="C10493" s="135" t="s">
        <v>406</v>
      </c>
      <c r="D10493" s="161" t="s">
        <v>74</v>
      </c>
      <c r="E10493" s="135">
        <f t="shared" si="62"/>
        <v>11</v>
      </c>
      <c r="F10493" s="134" t="s">
        <v>4058</v>
      </c>
      <c r="G10493" s="63" t="str">
        <f>VLOOKUP(C10493, 'Class Def. - General Data'!$C$20:$C$1000,1,false)</f>
        <v>ZSI1_LAB_SIEVE</v>
      </c>
      <c r="H10493" s="63" t="str">
        <f>IFERROR(__xludf.DUMMYFUNCTION("VLOOKUP(F10493, IMPORTRANGE(""https://docs.google.com/spreadsheets/d/1Lhp9OU0JdFf_VYSMzH5lBcEaU4o8teT1piV-SNzShjg/edit?gid=554141278#gid=554141278"", ""'Char Def. - Attributes'!C20:C2242""), 1,false)"),"WEIGHT_UNIT_SI")</f>
        <v>WEIGHT_UNIT_SI</v>
      </c>
      <c r="I10493" s="136"/>
      <c r="R10493" s="63" t="str">
        <f t="shared" si="60"/>
        <v>ZSI1_LAB_SIEVEWEIGHT_UNIT_SI</v>
      </c>
    </row>
    <row r="10494" ht="15.75" customHeight="1">
      <c r="B10494" s="63">
        <f t="shared" si="1"/>
        <v>14</v>
      </c>
      <c r="C10494" s="135" t="s">
        <v>406</v>
      </c>
      <c r="D10494" s="161" t="s">
        <v>74</v>
      </c>
      <c r="E10494" s="135">
        <f t="shared" si="62"/>
        <v>12</v>
      </c>
      <c r="F10494" s="134" t="s">
        <v>3877</v>
      </c>
      <c r="G10494" s="63" t="str">
        <f>VLOOKUP(C10494, 'Class Def. - General Data'!$C$20:$C$1000,1,false)</f>
        <v>ZSI1_LAB_SIEVE</v>
      </c>
      <c r="H10494" s="63" t="str">
        <f>IFERROR(__xludf.DUMMYFUNCTION("VLOOKUP(F10494, IMPORTRANGE(""https://docs.google.com/spreadsheets/d/1Lhp9OU0JdFf_VYSMzH5lBcEaU4o8teT1piV-SNzShjg/edit?gid=554141278#gid=554141278"", ""'Char Def. - Attributes'!C20:C2242""), 1,false)"),"VOLUME_OPT")</f>
        <v>VOLUME_OPT</v>
      </c>
      <c r="I10494" s="136"/>
      <c r="R10494" s="63" t="str">
        <f t="shared" si="60"/>
        <v>ZSI1_LAB_SIEVEVOLUME_OPT</v>
      </c>
    </row>
    <row r="10495" ht="15.75" customHeight="1">
      <c r="B10495" s="63">
        <f t="shared" si="1"/>
        <v>14</v>
      </c>
      <c r="C10495" s="135" t="s">
        <v>406</v>
      </c>
      <c r="D10495" s="161" t="s">
        <v>74</v>
      </c>
      <c r="E10495" s="135">
        <f t="shared" si="62"/>
        <v>13</v>
      </c>
      <c r="F10495" s="134" t="s">
        <v>4059</v>
      </c>
      <c r="G10495" s="63" t="str">
        <f>VLOOKUP(C10495, 'Class Def. - General Data'!$C$20:$C$1000,1,false)</f>
        <v>ZSI1_LAB_SIEVE</v>
      </c>
      <c r="H10495" s="63" t="str">
        <f>IFERROR(__xludf.DUMMYFUNCTION("VLOOKUP(F10495, IMPORTRANGE(""https://docs.google.com/spreadsheets/d/1Lhp9OU0JdFf_VYSMzH5lBcEaU4o8teT1piV-SNzShjg/edit?gid=554141278#gid=554141278"", ""'Char Def. - Attributes'!C20:C2242""), 1,false)"),"VOLUME_UNIT_SI")</f>
        <v>VOLUME_UNIT_SI</v>
      </c>
      <c r="I10495" s="136"/>
      <c r="R10495" s="63" t="str">
        <f t="shared" si="60"/>
        <v>ZSI1_LAB_SIEVEVOLUME_UNIT_SI</v>
      </c>
    </row>
    <row r="10496" ht="15.75" customHeight="1">
      <c r="B10496" s="63">
        <f t="shared" si="1"/>
        <v>14</v>
      </c>
      <c r="C10496" s="135" t="s">
        <v>406</v>
      </c>
      <c r="D10496" s="161" t="s">
        <v>74</v>
      </c>
      <c r="E10496" s="135">
        <f t="shared" si="62"/>
        <v>14</v>
      </c>
      <c r="F10496" s="134" t="s">
        <v>3804</v>
      </c>
      <c r="G10496" s="63" t="str">
        <f>VLOOKUP(C10496, 'Class Def. - General Data'!$C$20:$C$1000,1,false)</f>
        <v>ZSI1_LAB_SIEVE</v>
      </c>
      <c r="H10496" s="63" t="str">
        <f>IFERROR(__xludf.DUMMYFUNCTION("VLOOKUP(F10496, IMPORTRANGE(""https://docs.google.com/spreadsheets/d/1Lhp9OU0JdFf_VYSMzH5lBcEaU4o8teT1piV-SNzShjg/edit?gid=554141278#gid=554141278"", ""'Char Def. - Attributes'!C20:C2242""), 1,false)"),"ALT_UOM1_SIPI")</f>
        <v>ALT_UOM1_SIPI</v>
      </c>
      <c r="I10496" s="136"/>
      <c r="R10496" s="63" t="str">
        <f t="shared" si="60"/>
        <v>ZSI1_LAB_SIEVEALT_UOM1_SIPI</v>
      </c>
    </row>
    <row r="10497" ht="15.75" customHeight="1">
      <c r="B10497" s="63">
        <f t="shared" si="1"/>
        <v>14</v>
      </c>
      <c r="C10497" s="135" t="s">
        <v>406</v>
      </c>
      <c r="D10497" s="161" t="s">
        <v>74</v>
      </c>
      <c r="E10497" s="135">
        <f t="shared" si="62"/>
        <v>15</v>
      </c>
      <c r="F10497" s="134" t="s">
        <v>3805</v>
      </c>
      <c r="G10497" s="63" t="str">
        <f>VLOOKUP(C10497, 'Class Def. - General Data'!$C$20:$C$1000,1,false)</f>
        <v>ZSI1_LAB_SIEVE</v>
      </c>
      <c r="H10497" s="63" t="str">
        <f>IFERROR(__xludf.DUMMYFUNCTION("VLOOKUP(F10497, IMPORTRANGE(""https://docs.google.com/spreadsheets/d/1Lhp9OU0JdFf_VYSMzH5lBcEaU4o8teT1piV-SNzShjg/edit?gid=554141278#gid=554141278"", ""'Char Def. - Attributes'!C20:C2242""), 1,false)"),"ALT_DENUM_UOM1")</f>
        <v>ALT_DENUM_UOM1</v>
      </c>
      <c r="I10497" s="136"/>
      <c r="R10497" s="63" t="str">
        <f t="shared" si="60"/>
        <v>ZSI1_LAB_SIEVEALT_DENUM_UOM1</v>
      </c>
    </row>
    <row r="10498" ht="15.75" customHeight="1">
      <c r="B10498" s="63">
        <f t="shared" si="1"/>
        <v>14</v>
      </c>
      <c r="C10498" s="135" t="s">
        <v>406</v>
      </c>
      <c r="D10498" s="161" t="s">
        <v>74</v>
      </c>
      <c r="E10498" s="135">
        <f t="shared" si="62"/>
        <v>16</v>
      </c>
      <c r="F10498" s="134" t="s">
        <v>3806</v>
      </c>
      <c r="G10498" s="63" t="str">
        <f>VLOOKUP(C10498, 'Class Def. - General Data'!$C$20:$C$1000,1,false)</f>
        <v>ZSI1_LAB_SIEVE</v>
      </c>
      <c r="H10498" s="63" t="str">
        <f>IFERROR(__xludf.DUMMYFUNCTION("VLOOKUP(F10498, IMPORTRANGE(""https://docs.google.com/spreadsheets/d/1Lhp9OU0JdFf_VYSMzH5lBcEaU4o8teT1piV-SNzShjg/edit?gid=554141278#gid=554141278"", ""'Char Def. - Attributes'!C20:C2242""), 1,false)"),"ALT_NUM_UOM1")</f>
        <v>ALT_NUM_UOM1</v>
      </c>
      <c r="I10498" s="136"/>
      <c r="R10498" s="63" t="str">
        <f t="shared" si="60"/>
        <v>ZSI1_LAB_SIEVEALT_NUM_UOM1</v>
      </c>
    </row>
    <row r="10499" ht="15.75" customHeight="1">
      <c r="B10499" s="63">
        <f t="shared" si="1"/>
        <v>14</v>
      </c>
      <c r="C10499" s="135" t="s">
        <v>406</v>
      </c>
      <c r="D10499" s="161" t="s">
        <v>74</v>
      </c>
      <c r="E10499" s="135">
        <f t="shared" si="62"/>
        <v>17</v>
      </c>
      <c r="F10499" s="134" t="s">
        <v>3807</v>
      </c>
      <c r="G10499" s="63" t="str">
        <f>VLOOKUP(C10499, 'Class Def. - General Data'!$C$20:$C$1000,1,false)</f>
        <v>ZSI1_LAB_SIEVE</v>
      </c>
      <c r="H10499" s="63" t="str">
        <f>IFERROR(__xludf.DUMMYFUNCTION("VLOOKUP(F10499, IMPORTRANGE(""https://docs.google.com/spreadsheets/d/1Lhp9OU0JdFf_VYSMzH5lBcEaU4o8teT1piV-SNzShjg/edit?gid=554141278#gid=554141278"", ""'Char Def. - Attributes'!C20:C2242""), 1,false)"),"ALT_UOM2_SIPI")</f>
        <v>ALT_UOM2_SIPI</v>
      </c>
      <c r="I10499" s="136"/>
      <c r="R10499" s="63" t="str">
        <f t="shared" si="60"/>
        <v>ZSI1_LAB_SIEVEALT_UOM2_SIPI</v>
      </c>
    </row>
    <row r="10500" ht="15.75" customHeight="1">
      <c r="B10500" s="63">
        <f t="shared" si="1"/>
        <v>14</v>
      </c>
      <c r="C10500" s="135" t="s">
        <v>406</v>
      </c>
      <c r="D10500" s="161" t="s">
        <v>74</v>
      </c>
      <c r="E10500" s="135">
        <f t="shared" si="62"/>
        <v>18</v>
      </c>
      <c r="F10500" s="134" t="s">
        <v>3808</v>
      </c>
      <c r="G10500" s="63" t="str">
        <f>VLOOKUP(C10500, 'Class Def. - General Data'!$C$20:$C$1000,1,false)</f>
        <v>ZSI1_LAB_SIEVE</v>
      </c>
      <c r="H10500" s="63" t="str">
        <f>IFERROR(__xludf.DUMMYFUNCTION("VLOOKUP(F10500, IMPORTRANGE(""https://docs.google.com/spreadsheets/d/1Lhp9OU0JdFf_VYSMzH5lBcEaU4o8teT1piV-SNzShjg/edit?gid=554141278#gid=554141278"", ""'Char Def. - Attributes'!C20:C2242""), 1,false)"),"ALT_DENUM_UOM2")</f>
        <v>ALT_DENUM_UOM2</v>
      </c>
      <c r="I10500" s="136"/>
      <c r="R10500" s="63" t="str">
        <f t="shared" si="60"/>
        <v>ZSI1_LAB_SIEVEALT_DENUM_UOM2</v>
      </c>
    </row>
    <row r="10501" ht="15.75" customHeight="1">
      <c r="B10501" s="63">
        <f t="shared" si="1"/>
        <v>14</v>
      </c>
      <c r="C10501" s="135" t="s">
        <v>406</v>
      </c>
      <c r="D10501" s="161" t="s">
        <v>74</v>
      </c>
      <c r="E10501" s="135">
        <f t="shared" si="62"/>
        <v>19</v>
      </c>
      <c r="F10501" s="134" t="s">
        <v>3809</v>
      </c>
      <c r="G10501" s="63" t="str">
        <f>VLOOKUP(C10501, 'Class Def. - General Data'!$C$20:$C$1000,1,false)</f>
        <v>ZSI1_LAB_SIEVE</v>
      </c>
      <c r="H10501" s="63" t="str">
        <f>IFERROR(__xludf.DUMMYFUNCTION("VLOOKUP(F10501, IMPORTRANGE(""https://docs.google.com/spreadsheets/d/1Lhp9OU0JdFf_VYSMzH5lBcEaU4o8teT1piV-SNzShjg/edit?gid=554141278#gid=554141278"", ""'Char Def. - Attributes'!C20:C2242""), 1,false)"),"ALT_NUM_UOM2")</f>
        <v>ALT_NUM_UOM2</v>
      </c>
      <c r="I10501" s="136"/>
      <c r="R10501" s="63" t="str">
        <f t="shared" si="60"/>
        <v>ZSI1_LAB_SIEVEALT_NUM_UOM2</v>
      </c>
    </row>
    <row r="10502" ht="15.75" customHeight="1">
      <c r="B10502" s="63">
        <f t="shared" si="1"/>
        <v>14</v>
      </c>
      <c r="C10502" s="135" t="s">
        <v>406</v>
      </c>
      <c r="D10502" s="161" t="s">
        <v>74</v>
      </c>
      <c r="E10502" s="135">
        <f t="shared" si="62"/>
        <v>20</v>
      </c>
      <c r="F10502" s="134" t="s">
        <v>3810</v>
      </c>
      <c r="G10502" s="63" t="str">
        <f>VLOOKUP(C10502, 'Class Def. - General Data'!$C$20:$C$1000,1,false)</f>
        <v>ZSI1_LAB_SIEVE</v>
      </c>
      <c r="H10502" s="63" t="str">
        <f>IFERROR(__xludf.DUMMYFUNCTION("VLOOKUP(F10502, IMPORTRANGE(""https://docs.google.com/spreadsheets/d/1Lhp9OU0JdFf_VYSMzH5lBcEaU4o8teT1piV-SNzShjg/edit?gid=554141278#gid=554141278"", ""'Char Def. - Attributes'!C20:C2242""), 1,false)"),"ALT_UOM3_SIPI")</f>
        <v>ALT_UOM3_SIPI</v>
      </c>
      <c r="I10502" s="136"/>
      <c r="R10502" s="63" t="str">
        <f t="shared" si="60"/>
        <v>ZSI1_LAB_SIEVEALT_UOM3_SIPI</v>
      </c>
    </row>
    <row r="10503" ht="15.75" customHeight="1">
      <c r="B10503" s="63">
        <f t="shared" si="1"/>
        <v>14</v>
      </c>
      <c r="C10503" s="135" t="s">
        <v>406</v>
      </c>
      <c r="D10503" s="161" t="s">
        <v>74</v>
      </c>
      <c r="E10503" s="135">
        <f t="shared" si="62"/>
        <v>21</v>
      </c>
      <c r="F10503" s="134" t="s">
        <v>3811</v>
      </c>
      <c r="G10503" s="63" t="str">
        <f>VLOOKUP(C10503, 'Class Def. - General Data'!$C$20:$C$1000,1,false)</f>
        <v>ZSI1_LAB_SIEVE</v>
      </c>
      <c r="H10503" s="63" t="str">
        <f>IFERROR(__xludf.DUMMYFUNCTION("VLOOKUP(F10503, IMPORTRANGE(""https://docs.google.com/spreadsheets/d/1Lhp9OU0JdFf_VYSMzH5lBcEaU4o8teT1piV-SNzShjg/edit?gid=554141278#gid=554141278"", ""'Char Def. - Attributes'!C20:C2242""), 1,false)"),"ALT_DENUM_UOM3")</f>
        <v>ALT_DENUM_UOM3</v>
      </c>
      <c r="I10503" s="137"/>
      <c r="R10503" s="63" t="str">
        <f t="shared" si="60"/>
        <v>ZSI1_LAB_SIEVEALT_DENUM_UOM3</v>
      </c>
    </row>
    <row r="10504" ht="15.75" customHeight="1">
      <c r="B10504" s="63">
        <f t="shared" si="1"/>
        <v>14</v>
      </c>
      <c r="C10504" s="135" t="s">
        <v>406</v>
      </c>
      <c r="D10504" s="161" t="s">
        <v>74</v>
      </c>
      <c r="E10504" s="135">
        <f t="shared" si="62"/>
        <v>22</v>
      </c>
      <c r="F10504" s="134" t="s">
        <v>3812</v>
      </c>
      <c r="G10504" s="63" t="str">
        <f>VLOOKUP(C10504, 'Class Def. - General Data'!$C$20:$C$1000,1,false)</f>
        <v>ZSI1_LAB_SIEVE</v>
      </c>
      <c r="H10504" s="63" t="str">
        <f>IFERROR(__xludf.DUMMYFUNCTION("VLOOKUP(F10504, IMPORTRANGE(""https://docs.google.com/spreadsheets/d/1Lhp9OU0JdFf_VYSMzH5lBcEaU4o8teT1piV-SNzShjg/edit?gid=554141278#gid=554141278"", ""'Char Def. - Attributes'!C20:C2242""), 1,false)"),"ALT_NUM_UOM3")</f>
        <v>ALT_NUM_UOM3</v>
      </c>
      <c r="I10504" s="136"/>
      <c r="R10504" s="63" t="str">
        <f t="shared" si="60"/>
        <v>ZSI1_LAB_SIEVEALT_NUM_UOM3</v>
      </c>
    </row>
    <row r="10505" ht="15.75" customHeight="1">
      <c r="B10505" s="63">
        <f t="shared" si="1"/>
        <v>14</v>
      </c>
      <c r="C10505" s="135" t="s">
        <v>406</v>
      </c>
      <c r="D10505" s="161" t="s">
        <v>74</v>
      </c>
      <c r="E10505" s="135">
        <f t="shared" si="62"/>
        <v>23</v>
      </c>
      <c r="F10505" s="134" t="s">
        <v>3813</v>
      </c>
      <c r="G10505" s="63" t="str">
        <f>VLOOKUP(C10505, 'Class Def. - General Data'!$C$20:$C$1000,1,false)</f>
        <v>ZSI1_LAB_SIEVE</v>
      </c>
      <c r="H10505" s="63" t="str">
        <f>IFERROR(__xludf.DUMMYFUNCTION("VLOOKUP(F10505, IMPORTRANGE(""https://docs.google.com/spreadsheets/d/1Lhp9OU0JdFf_VYSMzH5lBcEaU4o8teT1piV-SNzShjg/edit?gid=554141278#gid=554141278"", ""'Char Def. - Attributes'!C20:C2242""), 1,false)"),"ALT_UOM4_SIPI")</f>
        <v>ALT_UOM4_SIPI</v>
      </c>
      <c r="I10505" s="136"/>
      <c r="R10505" s="63" t="str">
        <f t="shared" si="60"/>
        <v>ZSI1_LAB_SIEVEALT_UOM4_SIPI</v>
      </c>
    </row>
    <row r="10506" ht="15.75" customHeight="1">
      <c r="B10506" s="63">
        <f t="shared" si="1"/>
        <v>14</v>
      </c>
      <c r="C10506" s="135" t="s">
        <v>406</v>
      </c>
      <c r="D10506" s="161" t="s">
        <v>74</v>
      </c>
      <c r="E10506" s="135">
        <f t="shared" si="62"/>
        <v>24</v>
      </c>
      <c r="F10506" s="134" t="s">
        <v>3814</v>
      </c>
      <c r="G10506" s="63" t="str">
        <f>VLOOKUP(C10506, 'Class Def. - General Data'!$C$20:$C$1000,1,false)</f>
        <v>ZSI1_LAB_SIEVE</v>
      </c>
      <c r="H10506" s="63" t="str">
        <f>IFERROR(__xludf.DUMMYFUNCTION("VLOOKUP(F10506, IMPORTRANGE(""https://docs.google.com/spreadsheets/d/1Lhp9OU0JdFf_VYSMzH5lBcEaU4o8teT1piV-SNzShjg/edit?gid=554141278#gid=554141278"", ""'Char Def. - Attributes'!C20:C2242""), 1,false)"),"ALT_DENUM_UOM4")</f>
        <v>ALT_DENUM_UOM4</v>
      </c>
      <c r="I10506" s="136"/>
      <c r="R10506" s="63" t="str">
        <f t="shared" si="60"/>
        <v>ZSI1_LAB_SIEVEALT_DENUM_UOM4</v>
      </c>
    </row>
    <row r="10507" ht="15.75" customHeight="1">
      <c r="B10507" s="63">
        <f t="shared" si="1"/>
        <v>14</v>
      </c>
      <c r="C10507" s="135" t="s">
        <v>406</v>
      </c>
      <c r="D10507" s="161" t="s">
        <v>74</v>
      </c>
      <c r="E10507" s="135">
        <f t="shared" si="62"/>
        <v>25</v>
      </c>
      <c r="F10507" s="134" t="s">
        <v>3815</v>
      </c>
      <c r="G10507" s="63" t="str">
        <f>VLOOKUP(C10507, 'Class Def. - General Data'!$C$20:$C$1000,1,false)</f>
        <v>ZSI1_LAB_SIEVE</v>
      </c>
      <c r="H10507" s="63" t="str">
        <f>IFERROR(__xludf.DUMMYFUNCTION("VLOOKUP(F10507, IMPORTRANGE(""https://docs.google.com/spreadsheets/d/1Lhp9OU0JdFf_VYSMzH5lBcEaU4o8teT1piV-SNzShjg/edit?gid=554141278#gid=554141278"", ""'Char Def. - Attributes'!C20:C2242""), 1,false)"),"ALT_NUM_UOM4")</f>
        <v>ALT_NUM_UOM4</v>
      </c>
      <c r="I10507" s="136"/>
      <c r="R10507" s="63" t="str">
        <f t="shared" si="60"/>
        <v>ZSI1_LAB_SIEVEALT_NUM_UOM4</v>
      </c>
    </row>
    <row r="10508" ht="15.75" customHeight="1">
      <c r="B10508" s="63">
        <f t="shared" si="1"/>
        <v>14</v>
      </c>
      <c r="C10508" s="135" t="s">
        <v>406</v>
      </c>
      <c r="D10508" s="161" t="s">
        <v>74</v>
      </c>
      <c r="E10508" s="135">
        <f t="shared" si="62"/>
        <v>26</v>
      </c>
      <c r="F10508" s="134" t="s">
        <v>3816</v>
      </c>
      <c r="G10508" s="63" t="str">
        <f>VLOOKUP(C10508, 'Class Def. - General Data'!$C$20:$C$1000,1,false)</f>
        <v>ZSI1_LAB_SIEVE</v>
      </c>
      <c r="H10508" s="63" t="str">
        <f>IFERROR(__xludf.DUMMYFUNCTION("VLOOKUP(F10508, IMPORTRANGE(""https://docs.google.com/spreadsheets/d/1Lhp9OU0JdFf_VYSMzH5lBcEaU4o8teT1piV-SNzShjg/edit?gid=554141278#gid=554141278"", ""'Char Def. - Attributes'!C20:C2242""), 1,false)"),"ALT_UOM5_SIPI")</f>
        <v>ALT_UOM5_SIPI</v>
      </c>
      <c r="I10508" s="136"/>
      <c r="R10508" s="63" t="str">
        <f t="shared" si="60"/>
        <v>ZSI1_LAB_SIEVEALT_UOM5_SIPI</v>
      </c>
    </row>
    <row r="10509" ht="15.75" customHeight="1">
      <c r="B10509" s="63">
        <f t="shared" si="1"/>
        <v>14</v>
      </c>
      <c r="C10509" s="135" t="s">
        <v>406</v>
      </c>
      <c r="D10509" s="161" t="s">
        <v>74</v>
      </c>
      <c r="E10509" s="135">
        <f t="shared" si="62"/>
        <v>27</v>
      </c>
      <c r="F10509" s="134" t="s">
        <v>3817</v>
      </c>
      <c r="G10509" s="63" t="str">
        <f>VLOOKUP(C10509, 'Class Def. - General Data'!$C$20:$C$1000,1,false)</f>
        <v>ZSI1_LAB_SIEVE</v>
      </c>
      <c r="H10509" s="63" t="str">
        <f>IFERROR(__xludf.DUMMYFUNCTION("VLOOKUP(F10509, IMPORTRANGE(""https://docs.google.com/spreadsheets/d/1Lhp9OU0JdFf_VYSMzH5lBcEaU4o8teT1piV-SNzShjg/edit?gid=554141278#gid=554141278"", ""'Char Def. - Attributes'!C20:C2242""), 1,false)"),"ALT_DENUM_UOM5")</f>
        <v>ALT_DENUM_UOM5</v>
      </c>
      <c r="I10509" s="136"/>
      <c r="R10509" s="63" t="str">
        <f t="shared" si="60"/>
        <v>ZSI1_LAB_SIEVEALT_DENUM_UOM5</v>
      </c>
    </row>
    <row r="10510" ht="15.75" customHeight="1">
      <c r="B10510" s="63">
        <f t="shared" si="1"/>
        <v>14</v>
      </c>
      <c r="C10510" s="135" t="s">
        <v>406</v>
      </c>
      <c r="D10510" s="161" t="s">
        <v>74</v>
      </c>
      <c r="E10510" s="135">
        <f t="shared" si="62"/>
        <v>28</v>
      </c>
      <c r="F10510" s="134" t="s">
        <v>3818</v>
      </c>
      <c r="G10510" s="63" t="str">
        <f>VLOOKUP(C10510, 'Class Def. - General Data'!$C$20:$C$1000,1,false)</f>
        <v>ZSI1_LAB_SIEVE</v>
      </c>
      <c r="H10510" s="63" t="str">
        <f>IFERROR(__xludf.DUMMYFUNCTION("VLOOKUP(F10510, IMPORTRANGE(""https://docs.google.com/spreadsheets/d/1Lhp9OU0JdFf_VYSMzH5lBcEaU4o8teT1piV-SNzShjg/edit?gid=554141278#gid=554141278"", ""'Char Def. - Attributes'!C20:C2242""), 1,false)"),"ALT_NUM_UOM5")</f>
        <v>ALT_NUM_UOM5</v>
      </c>
      <c r="I10510" s="136"/>
      <c r="R10510" s="63" t="str">
        <f t="shared" si="60"/>
        <v>ZSI1_LAB_SIEVEALT_NUM_UOM5</v>
      </c>
    </row>
    <row r="10511" ht="15.75" customHeight="1">
      <c r="B10511" s="63">
        <f t="shared" si="1"/>
        <v>11</v>
      </c>
      <c r="C10511" s="135" t="s">
        <v>408</v>
      </c>
      <c r="D10511" s="161" t="s">
        <v>74</v>
      </c>
      <c r="E10511" s="135">
        <f t="shared" si="62"/>
        <v>1</v>
      </c>
      <c r="F10511" s="134" t="s">
        <v>4763</v>
      </c>
      <c r="G10511" s="63" t="str">
        <f>VLOOKUP(C10511, 'Class Def. - General Data'!$C$20:$C$1000,1,false)</f>
        <v>ZSI1_LADDER</v>
      </c>
      <c r="H10511" s="63" t="str">
        <f>IFERROR(__xludf.DUMMYFUNCTION("VLOOKUP(F10511, IMPORTRANGE(""https://docs.google.com/spreadsheets/d/1Lhp9OU0JdFf_VYSMzH5lBcEaU4o8teT1piV-SNzShjg/edit?gid=554141278#gid=554141278"", ""'Char Def. - Attributes'!C20:C2242""), 1,false)"),"ITEM_NAME_LADDER")</f>
        <v>ITEM_NAME_LADDER</v>
      </c>
      <c r="I10511" s="136"/>
      <c r="R10511" s="63" t="str">
        <f t="shared" si="60"/>
        <v>ZSI1_LADDERITEM_NAME_LADDER</v>
      </c>
    </row>
    <row r="10512" ht="15.75" customHeight="1">
      <c r="B10512" s="63">
        <f t="shared" si="1"/>
        <v>11</v>
      </c>
      <c r="C10512" s="135" t="s">
        <v>408</v>
      </c>
      <c r="D10512" s="161" t="s">
        <v>74</v>
      </c>
      <c r="E10512" s="135">
        <f t="shared" si="62"/>
        <v>2</v>
      </c>
      <c r="F10512" s="134" t="s">
        <v>4764</v>
      </c>
      <c r="G10512" s="63" t="str">
        <f>VLOOKUP(C10512, 'Class Def. - General Data'!$C$20:$C$1000,1,false)</f>
        <v>ZSI1_LADDER</v>
      </c>
      <c r="H10512" s="63" t="str">
        <f>IFERROR(__xludf.DUMMYFUNCTION("VLOOKUP(F10512, IMPORTRANGE(""https://docs.google.com/spreadsheets/d/1Lhp9OU0JdFf_VYSMzH5lBcEaU4o8teT1piV-SNzShjg/edit?gid=554141278#gid=554141278"", ""'Char Def. - Attributes'!C20:C2242""), 1,false)"),"MFR_NO_LADDER")</f>
        <v>MFR_NO_LADDER</v>
      </c>
      <c r="I10512" s="136"/>
      <c r="R10512" s="63" t="str">
        <f t="shared" si="60"/>
        <v>ZSI1_LADDERMFR_NO_LADDER</v>
      </c>
    </row>
    <row r="10513" ht="15.75" customHeight="1">
      <c r="B10513" s="63">
        <f t="shared" si="1"/>
        <v>11</v>
      </c>
      <c r="C10513" s="135" t="s">
        <v>408</v>
      </c>
      <c r="D10513" s="161" t="s">
        <v>74</v>
      </c>
      <c r="E10513" s="135">
        <f t="shared" si="62"/>
        <v>3</v>
      </c>
      <c r="F10513" s="134" t="s">
        <v>3782</v>
      </c>
      <c r="G10513" s="63" t="str">
        <f>VLOOKUP(C10513, 'Class Def. - General Data'!$C$20:$C$1000,1,false)</f>
        <v>ZSI1_LADDER</v>
      </c>
      <c r="H10513" s="63" t="str">
        <f>IFERROR(__xludf.DUMMYFUNCTION("VLOOKUP(F10513, IMPORTRANGE(""https://docs.google.com/spreadsheets/d/1Lhp9OU0JdFf_VYSMzH5lBcEaU4o8teT1piV-SNzShjg/edit?gid=554141278#gid=554141278"", ""'Char Def. - Attributes'!C20:C2242""), 1,false)"),"BRAND_EXTERNAL")</f>
        <v>BRAND_EXTERNAL</v>
      </c>
      <c r="I10513" s="136"/>
      <c r="R10513" s="63" t="str">
        <f t="shared" si="60"/>
        <v>ZSI1_LADDERBRAND_EXTERNAL</v>
      </c>
    </row>
    <row r="10514" ht="15.75" customHeight="1">
      <c r="B10514" s="63">
        <f t="shared" si="1"/>
        <v>11</v>
      </c>
      <c r="C10514" s="135" t="s">
        <v>408</v>
      </c>
      <c r="D10514" s="161" t="s">
        <v>74</v>
      </c>
      <c r="E10514" s="135">
        <f t="shared" si="62"/>
        <v>4</v>
      </c>
      <c r="F10514" s="134" t="s">
        <v>4765</v>
      </c>
      <c r="G10514" s="63" t="str">
        <f>VLOOKUP(C10514, 'Class Def. - General Data'!$C$20:$C$1000,1,false)</f>
        <v>ZSI1_LADDER</v>
      </c>
      <c r="H10514" s="63" t="str">
        <f>IFERROR(__xludf.DUMMYFUNCTION("VLOOKUP(F10514, IMPORTRANGE(""https://docs.google.com/spreadsheets/d/1Lhp9OU0JdFf_VYSMzH5lBcEaU4o8teT1piV-SNzShjg/edit?gid=554141278#gid=554141278"", ""'Char Def. - Attributes'!C20:C2242""), 1,false)"),"LADDER_HEIGHT_MM_LADDER")</f>
        <v>LADDER_HEIGHT_MM_LADDER</v>
      </c>
      <c r="I10514" s="136"/>
      <c r="R10514" s="63" t="str">
        <f t="shared" si="60"/>
        <v>ZSI1_LADDERLADDER_HEIGHT_MM_LADDER</v>
      </c>
    </row>
    <row r="10515" ht="15.75" customHeight="1">
      <c r="B10515" s="63">
        <f t="shared" si="1"/>
        <v>11</v>
      </c>
      <c r="C10515" s="135" t="s">
        <v>408</v>
      </c>
      <c r="D10515" s="161" t="s">
        <v>74</v>
      </c>
      <c r="E10515" s="135">
        <f t="shared" si="62"/>
        <v>5</v>
      </c>
      <c r="F10515" s="134" t="s">
        <v>4053</v>
      </c>
      <c r="G10515" s="63" t="str">
        <f>VLOOKUP(C10515, 'Class Def. - General Data'!$C$20:$C$1000,1,false)</f>
        <v>ZSI1_LADDER</v>
      </c>
      <c r="H10515" s="63" t="str">
        <f>IFERROR(__xludf.DUMMYFUNCTION("VLOOKUP(F10515, IMPORTRANGE(""https://docs.google.com/spreadsheets/d/1Lhp9OU0JdFf_VYSMzH5lBcEaU4o8teT1piV-SNzShjg/edit?gid=554141278#gid=554141278"", ""'Char Def. - Attributes'!C20:C2242""), 1,false)"),"MAINTENANCE_ORDER_TYPE")</f>
        <v>MAINTENANCE_ORDER_TYPE</v>
      </c>
      <c r="I10515" s="136"/>
      <c r="R10515" s="63" t="str">
        <f t="shared" si="60"/>
        <v>ZSI1_LADDERMAINTENANCE_ORDER_TYPE</v>
      </c>
    </row>
    <row r="10516" ht="15.75" customHeight="1">
      <c r="B10516" s="63">
        <f t="shared" si="1"/>
        <v>11</v>
      </c>
      <c r="C10516" s="135" t="s">
        <v>408</v>
      </c>
      <c r="D10516" s="161" t="s">
        <v>74</v>
      </c>
      <c r="E10516" s="135">
        <f t="shared" si="62"/>
        <v>6</v>
      </c>
      <c r="F10516" s="134" t="s">
        <v>3585</v>
      </c>
      <c r="G10516" s="63" t="str">
        <f>VLOOKUP(C10516, 'Class Def. - General Data'!$C$20:$C$1000,1,false)</f>
        <v>ZSI1_LADDER</v>
      </c>
      <c r="H10516" s="63" t="str">
        <f>IFERROR(__xludf.DUMMYFUNCTION("VLOOKUP(F10516, IMPORTRANGE(""https://docs.google.com/spreadsheets/d/1Lhp9OU0JdFf_VYSMzH5lBcEaU4o8teT1piV-SNzShjg/edit?gid=554141278#gid=554141278"", ""'Char Def. - Attributes'!C20:C2242""), 1,false)"),"HS_CODE")</f>
        <v>HS_CODE</v>
      </c>
      <c r="I10516" s="136"/>
      <c r="R10516" s="63" t="str">
        <f t="shared" si="60"/>
        <v>ZSI1_LADDERHS_CODE</v>
      </c>
    </row>
    <row r="10517" ht="15.75" customHeight="1">
      <c r="B10517" s="63">
        <f t="shared" si="1"/>
        <v>11</v>
      </c>
      <c r="C10517" s="135" t="s">
        <v>408</v>
      </c>
      <c r="D10517" s="161" t="s">
        <v>74</v>
      </c>
      <c r="E10517" s="135">
        <f t="shared" si="62"/>
        <v>7</v>
      </c>
      <c r="F10517" s="134" t="s">
        <v>3587</v>
      </c>
      <c r="G10517" s="63" t="str">
        <f>VLOOKUP(C10517, 'Class Def. - General Data'!$C$20:$C$1000,1,false)</f>
        <v>ZSI1_LADDER</v>
      </c>
      <c r="H10517" s="63" t="str">
        <f>IFERROR(__xludf.DUMMYFUNCTION("VLOOKUP(F10517, IMPORTRANGE(""https://docs.google.com/spreadsheets/d/1Lhp9OU0JdFf_VYSMzH5lBcEaU4o8teT1piV-SNzShjg/edit?gid=554141278#gid=554141278"", ""'Char Def. - Attributes'!C20:C2242""), 1,false)"),"PLANT_BUY")</f>
        <v>PLANT_BUY</v>
      </c>
      <c r="I10517" s="136"/>
      <c r="R10517" s="63" t="str">
        <f t="shared" si="60"/>
        <v>ZSI1_LADDERPLANT_BUY</v>
      </c>
    </row>
    <row r="10518" ht="15.75" customHeight="1">
      <c r="B10518" s="63">
        <f t="shared" si="1"/>
        <v>11</v>
      </c>
      <c r="C10518" s="135" t="s">
        <v>408</v>
      </c>
      <c r="D10518" s="161" t="s">
        <v>74</v>
      </c>
      <c r="E10518" s="135">
        <f t="shared" si="62"/>
        <v>8</v>
      </c>
      <c r="F10518" s="134" t="s">
        <v>4766</v>
      </c>
      <c r="G10518" s="63" t="str">
        <f>VLOOKUP(C10518, 'Class Def. - General Data'!$C$20:$C$1000,1,false)</f>
        <v>ZSI1_LADDER</v>
      </c>
      <c r="H10518" s="63" t="str">
        <f>IFERROR(__xludf.DUMMYFUNCTION("VLOOKUP(F10518, IMPORTRANGE(""https://docs.google.com/spreadsheets/d/1Lhp9OU0JdFf_VYSMzH5lBcEaU4o8teT1piV-SNzShjg/edit?gid=554141278#gid=554141278"", ""'Char Def. - Attributes'!C20:C2242""), 1,false)"),"BASE_UOM_LADDER")</f>
        <v>BASE_UOM_LADDER</v>
      </c>
      <c r="I10518" s="136"/>
      <c r="R10518" s="63" t="str">
        <f t="shared" si="60"/>
        <v>ZSI1_LADDERBASE_UOM_LADDER</v>
      </c>
    </row>
    <row r="10519" ht="15.75" customHeight="1">
      <c r="B10519" s="63">
        <f t="shared" si="1"/>
        <v>11</v>
      </c>
      <c r="C10519" s="135" t="s">
        <v>408</v>
      </c>
      <c r="D10519" s="161" t="s">
        <v>74</v>
      </c>
      <c r="E10519" s="135">
        <f t="shared" si="62"/>
        <v>9</v>
      </c>
      <c r="F10519" s="134" t="s">
        <v>4767</v>
      </c>
      <c r="G10519" s="63" t="str">
        <f>VLOOKUP(C10519, 'Class Def. - General Data'!$C$20:$C$1000,1,false)</f>
        <v>ZSI1_LADDER</v>
      </c>
      <c r="H10519" s="63" t="str">
        <f>IFERROR(__xludf.DUMMYFUNCTION("VLOOKUP(F10519, IMPORTRANGE(""https://docs.google.com/spreadsheets/d/1Lhp9OU0JdFf_VYSMzH5lBcEaU4o8teT1piV-SNzShjg/edit?gid=554141278#gid=554141278"", ""'Char Def. - Attributes'!C20:C2242""), 1,false)"),"ORDER_UNIT_LADDER")</f>
        <v>ORDER_UNIT_LADDER</v>
      </c>
      <c r="I10519" s="136"/>
      <c r="R10519" s="63" t="str">
        <f t="shared" si="60"/>
        <v>ZSI1_LADDERORDER_UNIT_LADDER</v>
      </c>
    </row>
    <row r="10520" ht="15.75" customHeight="1">
      <c r="B10520" s="63">
        <f t="shared" si="1"/>
        <v>11</v>
      </c>
      <c r="C10520" s="135" t="s">
        <v>408</v>
      </c>
      <c r="D10520" s="161" t="s">
        <v>74</v>
      </c>
      <c r="E10520" s="135">
        <f t="shared" si="62"/>
        <v>10</v>
      </c>
      <c r="F10520" s="134" t="s">
        <v>4056</v>
      </c>
      <c r="G10520" s="63" t="str">
        <f>VLOOKUP(C10520, 'Class Def. - General Data'!$C$20:$C$1000,1,false)</f>
        <v>ZSI1_LADDER</v>
      </c>
      <c r="H10520" s="63" t="str">
        <f>IFERROR(__xludf.DUMMYFUNCTION("VLOOKUP(F10520, IMPORTRANGE(""https://docs.google.com/spreadsheets/d/1Lhp9OU0JdFf_VYSMzH5lBcEaU4o8teT1piV-SNzShjg/edit?gid=554141278#gid=554141278"", ""'Char Def. - Attributes'!C20:C2242""), 1,false)"),"GROSS_WEIGHT_OPT")</f>
        <v>GROSS_WEIGHT_OPT</v>
      </c>
      <c r="I10520" s="136"/>
      <c r="R10520" s="63" t="str">
        <f t="shared" si="60"/>
        <v>ZSI1_LADDERGROSS_WEIGHT_OPT</v>
      </c>
    </row>
    <row r="10521" ht="15.75" customHeight="1">
      <c r="B10521" s="63">
        <f t="shared" si="1"/>
        <v>11</v>
      </c>
      <c r="C10521" s="135" t="s">
        <v>408</v>
      </c>
      <c r="D10521" s="161" t="s">
        <v>74</v>
      </c>
      <c r="E10521" s="135">
        <f t="shared" si="62"/>
        <v>11</v>
      </c>
      <c r="F10521" s="134" t="s">
        <v>4057</v>
      </c>
      <c r="G10521" s="63" t="str">
        <f>VLOOKUP(C10521, 'Class Def. - General Data'!$C$20:$C$1000,1,false)</f>
        <v>ZSI1_LADDER</v>
      </c>
      <c r="H10521" s="63" t="str">
        <f>IFERROR(__xludf.DUMMYFUNCTION("VLOOKUP(F10521, IMPORTRANGE(""https://docs.google.com/spreadsheets/d/1Lhp9OU0JdFf_VYSMzH5lBcEaU4o8teT1piV-SNzShjg/edit?gid=554141278#gid=554141278"", ""'Char Def. - Attributes'!C20:C2242""), 1,false)"),"NET_WEIGHT_OPT")</f>
        <v>NET_WEIGHT_OPT</v>
      </c>
      <c r="I10521" s="136"/>
      <c r="R10521" s="63" t="str">
        <f t="shared" si="60"/>
        <v>ZSI1_LADDERNET_WEIGHT_OPT</v>
      </c>
    </row>
    <row r="10522" ht="15.75" customHeight="1">
      <c r="B10522" s="63">
        <f t="shared" si="1"/>
        <v>11</v>
      </c>
      <c r="C10522" s="135" t="s">
        <v>408</v>
      </c>
      <c r="D10522" s="161" t="s">
        <v>74</v>
      </c>
      <c r="E10522" s="135">
        <f t="shared" si="62"/>
        <v>12</v>
      </c>
      <c r="F10522" s="134" t="s">
        <v>4058</v>
      </c>
      <c r="G10522" s="63" t="str">
        <f>VLOOKUP(C10522, 'Class Def. - General Data'!$C$20:$C$1000,1,false)</f>
        <v>ZSI1_LADDER</v>
      </c>
      <c r="H10522" s="63" t="str">
        <f>IFERROR(__xludf.DUMMYFUNCTION("VLOOKUP(F10522, IMPORTRANGE(""https://docs.google.com/spreadsheets/d/1Lhp9OU0JdFf_VYSMzH5lBcEaU4o8teT1piV-SNzShjg/edit?gid=554141278#gid=554141278"", ""'Char Def. - Attributes'!C20:C2242""), 1,false)"),"WEIGHT_UNIT_SI")</f>
        <v>WEIGHT_UNIT_SI</v>
      </c>
      <c r="I10522" s="136"/>
      <c r="R10522" s="63" t="str">
        <f t="shared" si="60"/>
        <v>ZSI1_LADDERWEIGHT_UNIT_SI</v>
      </c>
    </row>
    <row r="10523" ht="15.75" customHeight="1">
      <c r="B10523" s="63">
        <f t="shared" si="1"/>
        <v>11</v>
      </c>
      <c r="C10523" s="135" t="s">
        <v>408</v>
      </c>
      <c r="D10523" s="161" t="s">
        <v>74</v>
      </c>
      <c r="E10523" s="135">
        <f t="shared" si="62"/>
        <v>13</v>
      </c>
      <c r="F10523" s="134" t="s">
        <v>3877</v>
      </c>
      <c r="G10523" s="63" t="str">
        <f>VLOOKUP(C10523, 'Class Def. - General Data'!$C$20:$C$1000,1,false)</f>
        <v>ZSI1_LADDER</v>
      </c>
      <c r="H10523" s="63" t="str">
        <f>IFERROR(__xludf.DUMMYFUNCTION("VLOOKUP(F10523, IMPORTRANGE(""https://docs.google.com/spreadsheets/d/1Lhp9OU0JdFf_VYSMzH5lBcEaU4o8teT1piV-SNzShjg/edit?gid=554141278#gid=554141278"", ""'Char Def. - Attributes'!C20:C2242""), 1,false)"),"VOLUME_OPT")</f>
        <v>VOLUME_OPT</v>
      </c>
      <c r="I10523" s="136"/>
      <c r="R10523" s="63" t="str">
        <f t="shared" si="60"/>
        <v>ZSI1_LADDERVOLUME_OPT</v>
      </c>
    </row>
    <row r="10524" ht="15.75" customHeight="1">
      <c r="B10524" s="63">
        <f t="shared" si="1"/>
        <v>11</v>
      </c>
      <c r="C10524" s="135" t="s">
        <v>408</v>
      </c>
      <c r="D10524" s="161" t="s">
        <v>74</v>
      </c>
      <c r="E10524" s="135">
        <f t="shared" si="62"/>
        <v>14</v>
      </c>
      <c r="F10524" s="134" t="s">
        <v>4059</v>
      </c>
      <c r="G10524" s="63" t="str">
        <f>VLOOKUP(C10524, 'Class Def. - General Data'!$C$20:$C$1000,1,false)</f>
        <v>ZSI1_LADDER</v>
      </c>
      <c r="H10524" s="63" t="str">
        <f>IFERROR(__xludf.DUMMYFUNCTION("VLOOKUP(F10524, IMPORTRANGE(""https://docs.google.com/spreadsheets/d/1Lhp9OU0JdFf_VYSMzH5lBcEaU4o8teT1piV-SNzShjg/edit?gid=554141278#gid=554141278"", ""'Char Def. - Attributes'!C20:C2242""), 1,false)"),"VOLUME_UNIT_SI")</f>
        <v>VOLUME_UNIT_SI</v>
      </c>
      <c r="I10524" s="136"/>
      <c r="R10524" s="63" t="str">
        <f t="shared" si="60"/>
        <v>ZSI1_LADDERVOLUME_UNIT_SI</v>
      </c>
    </row>
    <row r="10525" ht="15.75" customHeight="1">
      <c r="B10525" s="63">
        <f t="shared" si="1"/>
        <v>11</v>
      </c>
      <c r="C10525" s="135" t="s">
        <v>408</v>
      </c>
      <c r="D10525" s="161" t="s">
        <v>74</v>
      </c>
      <c r="E10525" s="135">
        <f t="shared" si="62"/>
        <v>15</v>
      </c>
      <c r="F10525" s="134" t="s">
        <v>3804</v>
      </c>
      <c r="G10525" s="63" t="str">
        <f>VLOOKUP(C10525, 'Class Def. - General Data'!$C$20:$C$1000,1,false)</f>
        <v>ZSI1_LADDER</v>
      </c>
      <c r="H10525" s="63" t="str">
        <f>IFERROR(__xludf.DUMMYFUNCTION("VLOOKUP(F10525, IMPORTRANGE(""https://docs.google.com/spreadsheets/d/1Lhp9OU0JdFf_VYSMzH5lBcEaU4o8teT1piV-SNzShjg/edit?gid=554141278#gid=554141278"", ""'Char Def. - Attributes'!C20:C2242""), 1,false)"),"ALT_UOM1_SIPI")</f>
        <v>ALT_UOM1_SIPI</v>
      </c>
      <c r="I10525" s="136"/>
      <c r="R10525" s="63" t="str">
        <f t="shared" si="60"/>
        <v>ZSI1_LADDERALT_UOM1_SIPI</v>
      </c>
    </row>
    <row r="10526" ht="15.75" customHeight="1">
      <c r="B10526" s="63">
        <f t="shared" si="1"/>
        <v>11</v>
      </c>
      <c r="C10526" s="135" t="s">
        <v>408</v>
      </c>
      <c r="D10526" s="161" t="s">
        <v>74</v>
      </c>
      <c r="E10526" s="135">
        <f t="shared" si="62"/>
        <v>16</v>
      </c>
      <c r="F10526" s="134" t="s">
        <v>3805</v>
      </c>
      <c r="G10526" s="63" t="str">
        <f>VLOOKUP(C10526, 'Class Def. - General Data'!$C$20:$C$1000,1,false)</f>
        <v>ZSI1_LADDER</v>
      </c>
      <c r="H10526" s="63" t="str">
        <f>IFERROR(__xludf.DUMMYFUNCTION("VLOOKUP(F10526, IMPORTRANGE(""https://docs.google.com/spreadsheets/d/1Lhp9OU0JdFf_VYSMzH5lBcEaU4o8teT1piV-SNzShjg/edit?gid=554141278#gid=554141278"", ""'Char Def. - Attributes'!C20:C2242""), 1,false)"),"ALT_DENUM_UOM1")</f>
        <v>ALT_DENUM_UOM1</v>
      </c>
      <c r="I10526" s="136"/>
      <c r="R10526" s="63" t="str">
        <f t="shared" si="60"/>
        <v>ZSI1_LADDERALT_DENUM_UOM1</v>
      </c>
    </row>
    <row r="10527" ht="15.75" customHeight="1">
      <c r="B10527" s="63">
        <f t="shared" si="1"/>
        <v>11</v>
      </c>
      <c r="C10527" s="135" t="s">
        <v>408</v>
      </c>
      <c r="D10527" s="161" t="s">
        <v>74</v>
      </c>
      <c r="E10527" s="135">
        <f t="shared" si="62"/>
        <v>17</v>
      </c>
      <c r="F10527" s="134" t="s">
        <v>3806</v>
      </c>
      <c r="G10527" s="63" t="str">
        <f>VLOOKUP(C10527, 'Class Def. - General Data'!$C$20:$C$1000,1,false)</f>
        <v>ZSI1_LADDER</v>
      </c>
      <c r="H10527" s="63" t="str">
        <f>IFERROR(__xludf.DUMMYFUNCTION("VLOOKUP(F10527, IMPORTRANGE(""https://docs.google.com/spreadsheets/d/1Lhp9OU0JdFf_VYSMzH5lBcEaU4o8teT1piV-SNzShjg/edit?gid=554141278#gid=554141278"", ""'Char Def. - Attributes'!C20:C2242""), 1,false)"),"ALT_NUM_UOM1")</f>
        <v>ALT_NUM_UOM1</v>
      </c>
      <c r="I10527" s="136"/>
      <c r="R10527" s="63" t="str">
        <f t="shared" si="60"/>
        <v>ZSI1_LADDERALT_NUM_UOM1</v>
      </c>
    </row>
    <row r="10528" ht="15.75" customHeight="1">
      <c r="B10528" s="63">
        <f t="shared" si="1"/>
        <v>11</v>
      </c>
      <c r="C10528" s="135" t="s">
        <v>408</v>
      </c>
      <c r="D10528" s="161" t="s">
        <v>74</v>
      </c>
      <c r="E10528" s="135">
        <f t="shared" si="62"/>
        <v>18</v>
      </c>
      <c r="F10528" s="134" t="s">
        <v>3807</v>
      </c>
      <c r="G10528" s="63" t="str">
        <f>VLOOKUP(C10528, 'Class Def. - General Data'!$C$20:$C$1000,1,false)</f>
        <v>ZSI1_LADDER</v>
      </c>
      <c r="H10528" s="63" t="str">
        <f>IFERROR(__xludf.DUMMYFUNCTION("VLOOKUP(F10528, IMPORTRANGE(""https://docs.google.com/spreadsheets/d/1Lhp9OU0JdFf_VYSMzH5lBcEaU4o8teT1piV-SNzShjg/edit?gid=554141278#gid=554141278"", ""'Char Def. - Attributes'!C20:C2242""), 1,false)"),"ALT_UOM2_SIPI")</f>
        <v>ALT_UOM2_SIPI</v>
      </c>
      <c r="I10528" s="136"/>
      <c r="R10528" s="63" t="str">
        <f t="shared" si="60"/>
        <v>ZSI1_LADDERALT_UOM2_SIPI</v>
      </c>
    </row>
    <row r="10529" ht="15.75" customHeight="1">
      <c r="B10529" s="63">
        <f t="shared" si="1"/>
        <v>11</v>
      </c>
      <c r="C10529" s="135" t="s">
        <v>408</v>
      </c>
      <c r="D10529" s="161" t="s">
        <v>74</v>
      </c>
      <c r="E10529" s="135">
        <f t="shared" si="62"/>
        <v>19</v>
      </c>
      <c r="F10529" s="134" t="s">
        <v>3808</v>
      </c>
      <c r="G10529" s="63" t="str">
        <f>VLOOKUP(C10529, 'Class Def. - General Data'!$C$20:$C$1000,1,false)</f>
        <v>ZSI1_LADDER</v>
      </c>
      <c r="H10529" s="63" t="str">
        <f>IFERROR(__xludf.DUMMYFUNCTION("VLOOKUP(F10529, IMPORTRANGE(""https://docs.google.com/spreadsheets/d/1Lhp9OU0JdFf_VYSMzH5lBcEaU4o8teT1piV-SNzShjg/edit?gid=554141278#gid=554141278"", ""'Char Def. - Attributes'!C20:C2242""), 1,false)"),"ALT_DENUM_UOM2")</f>
        <v>ALT_DENUM_UOM2</v>
      </c>
      <c r="I10529" s="136"/>
      <c r="R10529" s="63" t="str">
        <f t="shared" si="60"/>
        <v>ZSI1_LADDERALT_DENUM_UOM2</v>
      </c>
    </row>
    <row r="10530" ht="15.75" customHeight="1">
      <c r="B10530" s="63">
        <f t="shared" si="1"/>
        <v>11</v>
      </c>
      <c r="C10530" s="135" t="s">
        <v>408</v>
      </c>
      <c r="D10530" s="161" t="s">
        <v>74</v>
      </c>
      <c r="E10530" s="135">
        <f t="shared" si="62"/>
        <v>20</v>
      </c>
      <c r="F10530" s="134" t="s">
        <v>3809</v>
      </c>
      <c r="G10530" s="63" t="str">
        <f>VLOOKUP(C10530, 'Class Def. - General Data'!$C$20:$C$1000,1,false)</f>
        <v>ZSI1_LADDER</v>
      </c>
      <c r="H10530" s="63" t="str">
        <f>IFERROR(__xludf.DUMMYFUNCTION("VLOOKUP(F10530, IMPORTRANGE(""https://docs.google.com/spreadsheets/d/1Lhp9OU0JdFf_VYSMzH5lBcEaU4o8teT1piV-SNzShjg/edit?gid=554141278#gid=554141278"", ""'Char Def. - Attributes'!C20:C2242""), 1,false)"),"ALT_NUM_UOM2")</f>
        <v>ALT_NUM_UOM2</v>
      </c>
      <c r="I10530" s="136"/>
      <c r="R10530" s="63" t="str">
        <f t="shared" si="60"/>
        <v>ZSI1_LADDERALT_NUM_UOM2</v>
      </c>
    </row>
    <row r="10531" ht="15.75" customHeight="1">
      <c r="B10531" s="63">
        <f t="shared" si="1"/>
        <v>11</v>
      </c>
      <c r="C10531" s="135" t="s">
        <v>408</v>
      </c>
      <c r="D10531" s="161" t="s">
        <v>74</v>
      </c>
      <c r="E10531" s="135">
        <f t="shared" si="62"/>
        <v>21</v>
      </c>
      <c r="F10531" s="134" t="s">
        <v>3810</v>
      </c>
      <c r="G10531" s="63" t="str">
        <f>VLOOKUP(C10531, 'Class Def. - General Data'!$C$20:$C$1000,1,false)</f>
        <v>ZSI1_LADDER</v>
      </c>
      <c r="H10531" s="63" t="str">
        <f>IFERROR(__xludf.DUMMYFUNCTION("VLOOKUP(F10531, IMPORTRANGE(""https://docs.google.com/spreadsheets/d/1Lhp9OU0JdFf_VYSMzH5lBcEaU4o8teT1piV-SNzShjg/edit?gid=554141278#gid=554141278"", ""'Char Def. - Attributes'!C20:C2242""), 1,false)"),"ALT_UOM3_SIPI")</f>
        <v>ALT_UOM3_SIPI</v>
      </c>
      <c r="I10531" s="136"/>
      <c r="R10531" s="63" t="str">
        <f t="shared" si="60"/>
        <v>ZSI1_LADDERALT_UOM3_SIPI</v>
      </c>
    </row>
    <row r="10532" ht="15.75" customHeight="1">
      <c r="B10532" s="63">
        <f t="shared" si="1"/>
        <v>11</v>
      </c>
      <c r="C10532" s="135" t="s">
        <v>408</v>
      </c>
      <c r="D10532" s="161" t="s">
        <v>74</v>
      </c>
      <c r="E10532" s="135">
        <f t="shared" si="62"/>
        <v>22</v>
      </c>
      <c r="F10532" s="134" t="s">
        <v>3811</v>
      </c>
      <c r="G10532" s="63" t="str">
        <f>VLOOKUP(C10532, 'Class Def. - General Data'!$C$20:$C$1000,1,false)</f>
        <v>ZSI1_LADDER</v>
      </c>
      <c r="H10532" s="63" t="str">
        <f>IFERROR(__xludf.DUMMYFUNCTION("VLOOKUP(F10532, IMPORTRANGE(""https://docs.google.com/spreadsheets/d/1Lhp9OU0JdFf_VYSMzH5lBcEaU4o8teT1piV-SNzShjg/edit?gid=554141278#gid=554141278"", ""'Char Def. - Attributes'!C20:C2242""), 1,false)"),"ALT_DENUM_UOM3")</f>
        <v>ALT_DENUM_UOM3</v>
      </c>
      <c r="I10532" s="136"/>
      <c r="R10532" s="63" t="str">
        <f t="shared" si="60"/>
        <v>ZSI1_LADDERALT_DENUM_UOM3</v>
      </c>
    </row>
    <row r="10533" ht="15.75" customHeight="1">
      <c r="B10533" s="63">
        <f t="shared" si="1"/>
        <v>11</v>
      </c>
      <c r="C10533" s="135" t="s">
        <v>408</v>
      </c>
      <c r="D10533" s="161" t="s">
        <v>74</v>
      </c>
      <c r="E10533" s="135">
        <f t="shared" si="62"/>
        <v>23</v>
      </c>
      <c r="F10533" s="134" t="s">
        <v>3812</v>
      </c>
      <c r="G10533" s="63" t="str">
        <f>VLOOKUP(C10533, 'Class Def. - General Data'!$C$20:$C$1000,1,false)</f>
        <v>ZSI1_LADDER</v>
      </c>
      <c r="H10533" s="63" t="str">
        <f>IFERROR(__xludf.DUMMYFUNCTION("VLOOKUP(F10533, IMPORTRANGE(""https://docs.google.com/spreadsheets/d/1Lhp9OU0JdFf_VYSMzH5lBcEaU4o8teT1piV-SNzShjg/edit?gid=554141278#gid=554141278"", ""'Char Def. - Attributes'!C20:C2242""), 1,false)"),"ALT_NUM_UOM3")</f>
        <v>ALT_NUM_UOM3</v>
      </c>
      <c r="I10533" s="136"/>
      <c r="R10533" s="63" t="str">
        <f t="shared" si="60"/>
        <v>ZSI1_LADDERALT_NUM_UOM3</v>
      </c>
    </row>
    <row r="10534" ht="15.75" customHeight="1">
      <c r="B10534" s="63">
        <f t="shared" si="1"/>
        <v>11</v>
      </c>
      <c r="C10534" s="135" t="s">
        <v>408</v>
      </c>
      <c r="D10534" s="161" t="s">
        <v>74</v>
      </c>
      <c r="E10534" s="135">
        <f t="shared" si="62"/>
        <v>24</v>
      </c>
      <c r="F10534" s="134" t="s">
        <v>3813</v>
      </c>
      <c r="G10534" s="63" t="str">
        <f>VLOOKUP(C10534, 'Class Def. - General Data'!$C$20:$C$1000,1,false)</f>
        <v>ZSI1_LADDER</v>
      </c>
      <c r="H10534" s="63" t="str">
        <f>IFERROR(__xludf.DUMMYFUNCTION("VLOOKUP(F10534, IMPORTRANGE(""https://docs.google.com/spreadsheets/d/1Lhp9OU0JdFf_VYSMzH5lBcEaU4o8teT1piV-SNzShjg/edit?gid=554141278#gid=554141278"", ""'Char Def. - Attributes'!C20:C2242""), 1,false)"),"ALT_UOM4_SIPI")</f>
        <v>ALT_UOM4_SIPI</v>
      </c>
      <c r="I10534" s="136"/>
      <c r="R10534" s="63" t="str">
        <f t="shared" si="60"/>
        <v>ZSI1_LADDERALT_UOM4_SIPI</v>
      </c>
    </row>
    <row r="10535" ht="15.75" customHeight="1">
      <c r="B10535" s="63">
        <f t="shared" si="1"/>
        <v>11</v>
      </c>
      <c r="C10535" s="135" t="s">
        <v>408</v>
      </c>
      <c r="D10535" s="161" t="s">
        <v>74</v>
      </c>
      <c r="E10535" s="135">
        <f t="shared" si="62"/>
        <v>25</v>
      </c>
      <c r="F10535" s="134" t="s">
        <v>3814</v>
      </c>
      <c r="G10535" s="63" t="str">
        <f>VLOOKUP(C10535, 'Class Def. - General Data'!$C$20:$C$1000,1,false)</f>
        <v>ZSI1_LADDER</v>
      </c>
      <c r="H10535" s="63" t="str">
        <f>IFERROR(__xludf.DUMMYFUNCTION("VLOOKUP(F10535, IMPORTRANGE(""https://docs.google.com/spreadsheets/d/1Lhp9OU0JdFf_VYSMzH5lBcEaU4o8teT1piV-SNzShjg/edit?gid=554141278#gid=554141278"", ""'Char Def. - Attributes'!C20:C2242""), 1,false)"),"ALT_DENUM_UOM4")</f>
        <v>ALT_DENUM_UOM4</v>
      </c>
      <c r="I10535" s="136"/>
      <c r="R10535" s="63" t="str">
        <f t="shared" si="60"/>
        <v>ZSI1_LADDERALT_DENUM_UOM4</v>
      </c>
    </row>
    <row r="10536" ht="15.75" customHeight="1">
      <c r="B10536" s="63">
        <f t="shared" si="1"/>
        <v>11</v>
      </c>
      <c r="C10536" s="135" t="s">
        <v>408</v>
      </c>
      <c r="D10536" s="161" t="s">
        <v>74</v>
      </c>
      <c r="E10536" s="135">
        <f t="shared" si="62"/>
        <v>26</v>
      </c>
      <c r="F10536" s="134" t="s">
        <v>3815</v>
      </c>
      <c r="G10536" s="63" t="str">
        <f>VLOOKUP(C10536, 'Class Def. - General Data'!$C$20:$C$1000,1,false)</f>
        <v>ZSI1_LADDER</v>
      </c>
      <c r="H10536" s="63" t="str">
        <f>IFERROR(__xludf.DUMMYFUNCTION("VLOOKUP(F10536, IMPORTRANGE(""https://docs.google.com/spreadsheets/d/1Lhp9OU0JdFf_VYSMzH5lBcEaU4o8teT1piV-SNzShjg/edit?gid=554141278#gid=554141278"", ""'Char Def. - Attributes'!C20:C2242""), 1,false)"),"ALT_NUM_UOM4")</f>
        <v>ALT_NUM_UOM4</v>
      </c>
      <c r="I10536" s="136"/>
      <c r="R10536" s="63" t="str">
        <f t="shared" si="60"/>
        <v>ZSI1_LADDERALT_NUM_UOM4</v>
      </c>
    </row>
    <row r="10537" ht="15.75" customHeight="1">
      <c r="B10537" s="63">
        <f t="shared" si="1"/>
        <v>11</v>
      </c>
      <c r="C10537" s="135" t="s">
        <v>408</v>
      </c>
      <c r="D10537" s="161" t="s">
        <v>74</v>
      </c>
      <c r="E10537" s="135">
        <f t="shared" si="62"/>
        <v>27</v>
      </c>
      <c r="F10537" s="134" t="s">
        <v>3816</v>
      </c>
      <c r="G10537" s="63" t="str">
        <f>VLOOKUP(C10537, 'Class Def. - General Data'!$C$20:$C$1000,1,false)</f>
        <v>ZSI1_LADDER</v>
      </c>
      <c r="H10537" s="63" t="str">
        <f>IFERROR(__xludf.DUMMYFUNCTION("VLOOKUP(F10537, IMPORTRANGE(""https://docs.google.com/spreadsheets/d/1Lhp9OU0JdFf_VYSMzH5lBcEaU4o8teT1piV-SNzShjg/edit?gid=554141278#gid=554141278"", ""'Char Def. - Attributes'!C20:C2242""), 1,false)"),"ALT_UOM5_SIPI")</f>
        <v>ALT_UOM5_SIPI</v>
      </c>
      <c r="I10537" s="136"/>
      <c r="R10537" s="63" t="str">
        <f t="shared" si="60"/>
        <v>ZSI1_LADDERALT_UOM5_SIPI</v>
      </c>
    </row>
    <row r="10538" ht="15.75" customHeight="1">
      <c r="B10538" s="63">
        <f t="shared" si="1"/>
        <v>11</v>
      </c>
      <c r="C10538" s="135" t="s">
        <v>408</v>
      </c>
      <c r="D10538" s="161" t="s">
        <v>74</v>
      </c>
      <c r="E10538" s="135">
        <f t="shared" si="62"/>
        <v>28</v>
      </c>
      <c r="F10538" s="134" t="s">
        <v>3817</v>
      </c>
      <c r="G10538" s="63" t="str">
        <f>VLOOKUP(C10538, 'Class Def. - General Data'!$C$20:$C$1000,1,false)</f>
        <v>ZSI1_LADDER</v>
      </c>
      <c r="H10538" s="63" t="str">
        <f>IFERROR(__xludf.DUMMYFUNCTION("VLOOKUP(F10538, IMPORTRANGE(""https://docs.google.com/spreadsheets/d/1Lhp9OU0JdFf_VYSMzH5lBcEaU4o8teT1piV-SNzShjg/edit?gid=554141278#gid=554141278"", ""'Char Def. - Attributes'!C20:C2242""), 1,false)"),"ALT_DENUM_UOM5")</f>
        <v>ALT_DENUM_UOM5</v>
      </c>
      <c r="I10538" s="136"/>
      <c r="R10538" s="63" t="str">
        <f t="shared" si="60"/>
        <v>ZSI1_LADDERALT_DENUM_UOM5</v>
      </c>
    </row>
    <row r="10539" ht="15.75" customHeight="1">
      <c r="B10539" s="63">
        <f t="shared" si="1"/>
        <v>11</v>
      </c>
      <c r="C10539" s="135" t="s">
        <v>408</v>
      </c>
      <c r="D10539" s="161" t="s">
        <v>74</v>
      </c>
      <c r="E10539" s="135">
        <f t="shared" si="62"/>
        <v>29</v>
      </c>
      <c r="F10539" s="134" t="s">
        <v>3818</v>
      </c>
      <c r="G10539" s="63" t="str">
        <f>VLOOKUP(C10539, 'Class Def. - General Data'!$C$20:$C$1000,1,false)</f>
        <v>ZSI1_LADDER</v>
      </c>
      <c r="H10539" s="63" t="str">
        <f>IFERROR(__xludf.DUMMYFUNCTION("VLOOKUP(F10539, IMPORTRANGE(""https://docs.google.com/spreadsheets/d/1Lhp9OU0JdFf_VYSMzH5lBcEaU4o8teT1piV-SNzShjg/edit?gid=554141278#gid=554141278"", ""'Char Def. - Attributes'!C20:C2242""), 1,false)"),"ALT_NUM_UOM5")</f>
        <v>ALT_NUM_UOM5</v>
      </c>
      <c r="I10539" s="136"/>
      <c r="R10539" s="63" t="str">
        <f t="shared" si="60"/>
        <v>ZSI1_LADDERALT_NUM_UOM5</v>
      </c>
    </row>
    <row r="10540" ht="15.75" customHeight="1">
      <c r="B10540" s="63">
        <f t="shared" si="1"/>
        <v>9</v>
      </c>
      <c r="C10540" s="135" t="s">
        <v>499</v>
      </c>
      <c r="D10540" s="161" t="s">
        <v>74</v>
      </c>
      <c r="E10540" s="135">
        <f t="shared" si="62"/>
        <v>1</v>
      </c>
      <c r="F10540" s="134" t="s">
        <v>4768</v>
      </c>
      <c r="G10540" s="63" t="str">
        <f>VLOOKUP(C10540, 'Class Def. - General Data'!$C$20:$C$1000,1,false)</f>
        <v>ZSI1_LAMP</v>
      </c>
      <c r="H10540" s="63" t="str">
        <f>IFERROR(__xludf.DUMMYFUNCTION("VLOOKUP(F10540, IMPORTRANGE(""https://docs.google.com/spreadsheets/d/1Lhp9OU0JdFf_VYSMzH5lBcEaU4o8teT1piV-SNzShjg/edit?gid=554141278#gid=554141278"", ""'Char Def. - Attributes'!C20:C2242""), 1,false)"),"ITEM_NAME_LAMP")</f>
        <v>ITEM_NAME_LAMP</v>
      </c>
      <c r="I10540" s="136"/>
      <c r="R10540" s="63" t="str">
        <f t="shared" si="60"/>
        <v>ZSI1_LAMPITEM_NAME_LAMP</v>
      </c>
    </row>
    <row r="10541" ht="15.75" customHeight="1">
      <c r="B10541" s="63">
        <f t="shared" si="1"/>
        <v>9</v>
      </c>
      <c r="C10541" s="135" t="s">
        <v>499</v>
      </c>
      <c r="D10541" s="161" t="s">
        <v>74</v>
      </c>
      <c r="E10541" s="135">
        <f t="shared" si="62"/>
        <v>2</v>
      </c>
      <c r="F10541" s="135" t="s">
        <v>4769</v>
      </c>
      <c r="G10541" s="63" t="str">
        <f>VLOOKUP(C10541, 'Class Def. - General Data'!$C$20:$C$1000,1,false)</f>
        <v>ZSI1_LAMP</v>
      </c>
      <c r="H10541" s="63" t="str">
        <f>IFERROR(__xludf.DUMMYFUNCTION("VLOOKUP(F10541, IMPORTRANGE(""https://docs.google.com/spreadsheets/d/1Lhp9OU0JdFf_VYSMzH5lBcEaU4o8teT1piV-SNzShjg/edit?gid=554141278#gid=554141278"", ""'Char Def. - Attributes'!C20:C2242""), 1,false)"),"MFR_NO_LAMP")</f>
        <v>MFR_NO_LAMP</v>
      </c>
      <c r="I10541" s="136"/>
      <c r="R10541" s="63" t="str">
        <f t="shared" si="60"/>
        <v>ZSI1_LAMPMFR_NO_LAMP</v>
      </c>
    </row>
    <row r="10542" ht="15.75" customHeight="1">
      <c r="B10542" s="63">
        <f t="shared" si="1"/>
        <v>9</v>
      </c>
      <c r="C10542" s="135" t="s">
        <v>499</v>
      </c>
      <c r="D10542" s="161" t="s">
        <v>74</v>
      </c>
      <c r="E10542" s="135">
        <f t="shared" si="62"/>
        <v>3</v>
      </c>
      <c r="F10542" s="135" t="s">
        <v>3782</v>
      </c>
      <c r="G10542" s="63" t="str">
        <f>VLOOKUP(C10542, 'Class Def. - General Data'!$C$20:$C$1000,1,false)</f>
        <v>ZSI1_LAMP</v>
      </c>
      <c r="H10542" s="63" t="str">
        <f>IFERROR(__xludf.DUMMYFUNCTION("VLOOKUP(F10542, IMPORTRANGE(""https://docs.google.com/spreadsheets/d/1Lhp9OU0JdFf_VYSMzH5lBcEaU4o8teT1piV-SNzShjg/edit?gid=554141278#gid=554141278"", ""'Char Def. - Attributes'!C20:C2242""), 1,false)"),"BRAND_EXTERNAL")</f>
        <v>BRAND_EXTERNAL</v>
      </c>
      <c r="I10542" s="136"/>
      <c r="R10542" s="63" t="str">
        <f t="shared" si="60"/>
        <v>ZSI1_LAMPBRAND_EXTERNAL</v>
      </c>
    </row>
    <row r="10543" ht="15.75" customHeight="1">
      <c r="B10543" s="63">
        <f t="shared" si="1"/>
        <v>9</v>
      </c>
      <c r="C10543" s="135" t="s">
        <v>499</v>
      </c>
      <c r="D10543" s="161" t="s">
        <v>74</v>
      </c>
      <c r="E10543" s="135">
        <f t="shared" si="62"/>
        <v>4</v>
      </c>
      <c r="F10543" s="134" t="s">
        <v>4770</v>
      </c>
      <c r="G10543" s="63" t="str">
        <f>VLOOKUP(C10543, 'Class Def. - General Data'!$C$20:$C$1000,1,false)</f>
        <v>ZSI1_LAMP</v>
      </c>
      <c r="H10543" s="63" t="str">
        <f>IFERROR(__xludf.DUMMYFUNCTION("VLOOKUP(F10543, IMPORTRANGE(""https://docs.google.com/spreadsheets/d/1Lhp9OU0JdFf_VYSMzH5lBcEaU4o8teT1piV-SNzShjg/edit?gid=554141278#gid=554141278"", ""'Char Def. - Attributes'!C20:C2242""), 1,false)"),"BULB_SHAPE_LAMP")</f>
        <v>BULB_SHAPE_LAMP</v>
      </c>
      <c r="I10543" s="136"/>
      <c r="R10543" s="63" t="str">
        <f t="shared" si="60"/>
        <v>ZSI1_LAMPBULB_SHAPE_LAMP</v>
      </c>
    </row>
    <row r="10544" ht="15.75" customHeight="1">
      <c r="B10544" s="63">
        <f t="shared" si="1"/>
        <v>9</v>
      </c>
      <c r="C10544" s="135" t="s">
        <v>499</v>
      </c>
      <c r="D10544" s="161" t="s">
        <v>74</v>
      </c>
      <c r="E10544" s="135">
        <f t="shared" si="62"/>
        <v>5</v>
      </c>
      <c r="F10544" s="134" t="s">
        <v>4771</v>
      </c>
      <c r="G10544" s="63" t="str">
        <f>VLOOKUP(C10544, 'Class Def. - General Data'!$C$20:$C$1000,1,false)</f>
        <v>ZSI1_LAMP</v>
      </c>
      <c r="H10544" s="63" t="str">
        <f>IFERROR(__xludf.DUMMYFUNCTION("VLOOKUP(F10544, IMPORTRANGE(""https://docs.google.com/spreadsheets/d/1Lhp9OU0JdFf_VYSMzH5lBcEaU4o8teT1piV-SNzShjg/edit?gid=554141278#gid=554141278"", ""'Char Def. - Attributes'!C20:C2242""), 1,false)"),"WATTAGE_W_LAMP")</f>
        <v>WATTAGE_W_LAMP</v>
      </c>
      <c r="I10544" s="136"/>
      <c r="R10544" s="63" t="str">
        <f t="shared" si="60"/>
        <v>ZSI1_LAMPWATTAGE_W_LAMP</v>
      </c>
    </row>
    <row r="10545" ht="15.75" customHeight="1">
      <c r="B10545" s="63">
        <f t="shared" si="1"/>
        <v>9</v>
      </c>
      <c r="C10545" s="135" t="s">
        <v>499</v>
      </c>
      <c r="D10545" s="161" t="s">
        <v>74</v>
      </c>
      <c r="E10545" s="135">
        <f t="shared" si="62"/>
        <v>6</v>
      </c>
      <c r="F10545" s="134" t="s">
        <v>4772</v>
      </c>
      <c r="G10545" s="63" t="str">
        <f>VLOOKUP(C10545, 'Class Def. - General Data'!$C$20:$C$1000,1,false)</f>
        <v>ZSI1_LAMP</v>
      </c>
      <c r="H10545" s="63" t="str">
        <f>IFERROR(__xludf.DUMMYFUNCTION("VLOOKUP(F10545, IMPORTRANGE(""https://docs.google.com/spreadsheets/d/1Lhp9OU0JdFf_VYSMzH5lBcEaU4o8teT1piV-SNzShjg/edit?gid=554141278#gid=554141278"", ""'Char Def. - Attributes'!C20:C2242""), 1,false)"),"VOLTAGE_V_LAMP")</f>
        <v>VOLTAGE_V_LAMP</v>
      </c>
      <c r="I10545" s="136"/>
      <c r="R10545" s="63" t="str">
        <f t="shared" si="60"/>
        <v>ZSI1_LAMPVOLTAGE_V_LAMP</v>
      </c>
    </row>
    <row r="10546" ht="15.75" customHeight="1">
      <c r="B10546" s="63">
        <f t="shared" si="1"/>
        <v>9</v>
      </c>
      <c r="C10546" s="135" t="s">
        <v>499</v>
      </c>
      <c r="D10546" s="161" t="s">
        <v>74</v>
      </c>
      <c r="E10546" s="135">
        <f t="shared" si="62"/>
        <v>7</v>
      </c>
      <c r="F10546" s="134" t="s">
        <v>4773</v>
      </c>
      <c r="G10546" s="63" t="str">
        <f>VLOOKUP(C10546, 'Class Def. - General Data'!$C$20:$C$1000,1,false)</f>
        <v>ZSI1_LAMP</v>
      </c>
      <c r="H10546" s="63" t="str">
        <f>IFERROR(__xludf.DUMMYFUNCTION("VLOOKUP(F10546, IMPORTRANGE(""https://docs.google.com/spreadsheets/d/1Lhp9OU0JdFf_VYSMzH5lBcEaU4o8teT1piV-SNzShjg/edit?gid=554141278#gid=554141278"", ""'Char Def. - Attributes'!C20:C2242""), 1,false)"),"COLOR_LAMP")</f>
        <v>COLOR_LAMP</v>
      </c>
      <c r="I10546" s="136"/>
      <c r="R10546" s="63" t="str">
        <f t="shared" si="60"/>
        <v>ZSI1_LAMPCOLOR_LAMP</v>
      </c>
    </row>
    <row r="10547" ht="15.75" customHeight="1">
      <c r="B10547" s="63">
        <f t="shared" si="1"/>
        <v>9</v>
      </c>
      <c r="C10547" s="135" t="s">
        <v>499</v>
      </c>
      <c r="D10547" s="161" t="s">
        <v>74</v>
      </c>
      <c r="E10547" s="135">
        <f t="shared" si="62"/>
        <v>8</v>
      </c>
      <c r="F10547" s="134" t="s">
        <v>4774</v>
      </c>
      <c r="G10547" s="63" t="str">
        <f>VLOOKUP(C10547, 'Class Def. - General Data'!$C$20:$C$1000,1,false)</f>
        <v>ZSI1_LAMP</v>
      </c>
      <c r="H10547" s="63" t="str">
        <f>IFERROR(__xludf.DUMMYFUNCTION("VLOOKUP(F10547, IMPORTRANGE(""https://docs.google.com/spreadsheets/d/1Lhp9OU0JdFf_VYSMzH5lBcEaU4o8teT1piV-SNzShjg/edit?gid=554141278#gid=554141278"", ""'Char Def. - Attributes'!C20:C2242""), 1,false)"),"BASE_LAMP")</f>
        <v>BASE_LAMP</v>
      </c>
      <c r="I10547" s="136"/>
      <c r="R10547" s="63" t="str">
        <f t="shared" si="60"/>
        <v>ZSI1_LAMPBASE_LAMP</v>
      </c>
    </row>
    <row r="10548" ht="15.75" customHeight="1">
      <c r="B10548" s="63">
        <f t="shared" si="1"/>
        <v>9</v>
      </c>
      <c r="C10548" s="135" t="s">
        <v>499</v>
      </c>
      <c r="D10548" s="161" t="s">
        <v>74</v>
      </c>
      <c r="E10548" s="135">
        <f t="shared" si="62"/>
        <v>9</v>
      </c>
      <c r="F10548" s="134" t="s">
        <v>4775</v>
      </c>
      <c r="G10548" s="63" t="str">
        <f>VLOOKUP(C10548, 'Class Def. - General Data'!$C$20:$C$1000,1,false)</f>
        <v>ZSI1_LAMP</v>
      </c>
      <c r="H10548" s="63" t="str">
        <f>IFERROR(__xludf.DUMMYFUNCTION("VLOOKUP(F10548, IMPORTRANGE(""https://docs.google.com/spreadsheets/d/1Lhp9OU0JdFf_VYSMzH5lBcEaU4o8teT1piV-SNzShjg/edit?gid=554141278#gid=554141278"", ""'Char Def. - Attributes'!C20:C2242""), 1,false)"),"TEMP_C_LAMP")</f>
        <v>TEMP_C_LAMP</v>
      </c>
      <c r="I10548" s="136"/>
      <c r="R10548" s="63" t="str">
        <f t="shared" si="60"/>
        <v>ZSI1_LAMPTEMP_C_LAMP</v>
      </c>
    </row>
    <row r="10549" ht="15.75" customHeight="1">
      <c r="B10549" s="63">
        <f t="shared" si="1"/>
        <v>9</v>
      </c>
      <c r="C10549" s="135" t="s">
        <v>499</v>
      </c>
      <c r="D10549" s="161" t="s">
        <v>74</v>
      </c>
      <c r="E10549" s="135">
        <f t="shared" si="62"/>
        <v>10</v>
      </c>
      <c r="F10549" s="134" t="s">
        <v>4776</v>
      </c>
      <c r="G10549" s="63" t="str">
        <f>VLOOKUP(C10549, 'Class Def. - General Data'!$C$20:$C$1000,1,false)</f>
        <v>ZSI1_LAMP</v>
      </c>
      <c r="H10549" s="63" t="str">
        <f>IFERROR(__xludf.DUMMYFUNCTION("VLOOKUP(F10549, IMPORTRANGE(""https://docs.google.com/spreadsheets/d/1Lhp9OU0JdFf_VYSMzH5lBcEaU4o8teT1piV-SNzShjg/edit?gid=554141278#gid=554141278"", ""'Char Def. - Attributes'!C20:C2242""), 1,false)"),"ADDITIONAL_INFO_LAMP")</f>
        <v>ADDITIONAL_INFO_LAMP</v>
      </c>
      <c r="I10549" s="136"/>
      <c r="R10549" s="63" t="str">
        <f t="shared" si="60"/>
        <v>ZSI1_LAMPADDITIONAL_INFO_LAMP</v>
      </c>
    </row>
    <row r="10550" ht="15.75" customHeight="1">
      <c r="B10550" s="63">
        <f t="shared" si="1"/>
        <v>9</v>
      </c>
      <c r="C10550" s="135" t="s">
        <v>499</v>
      </c>
      <c r="D10550" s="161" t="s">
        <v>74</v>
      </c>
      <c r="E10550" s="135">
        <f t="shared" si="62"/>
        <v>11</v>
      </c>
      <c r="F10550" s="134" t="s">
        <v>3585</v>
      </c>
      <c r="G10550" s="63" t="str">
        <f>VLOOKUP(C10550, 'Class Def. - General Data'!$C$20:$C$1000,1,false)</f>
        <v>ZSI1_LAMP</v>
      </c>
      <c r="H10550" s="63" t="str">
        <f>IFERROR(__xludf.DUMMYFUNCTION("VLOOKUP(F10550, IMPORTRANGE(""https://docs.google.com/spreadsheets/d/1Lhp9OU0JdFf_VYSMzH5lBcEaU4o8teT1piV-SNzShjg/edit?gid=554141278#gid=554141278"", ""'Char Def. - Attributes'!C20:C2242""), 1,false)"),"HS_CODE")</f>
        <v>HS_CODE</v>
      </c>
      <c r="I10550" s="136"/>
      <c r="R10550" s="63" t="str">
        <f t="shared" si="60"/>
        <v>ZSI1_LAMPHS_CODE</v>
      </c>
    </row>
    <row r="10551" ht="15.75" customHeight="1">
      <c r="B10551" s="63">
        <f t="shared" si="1"/>
        <v>9</v>
      </c>
      <c r="C10551" s="135" t="s">
        <v>499</v>
      </c>
      <c r="D10551" s="161" t="s">
        <v>74</v>
      </c>
      <c r="E10551" s="135">
        <f t="shared" si="62"/>
        <v>12</v>
      </c>
      <c r="F10551" s="134" t="s">
        <v>3587</v>
      </c>
      <c r="G10551" s="63" t="str">
        <f>VLOOKUP(C10551, 'Class Def. - General Data'!$C$20:$C$1000,1,false)</f>
        <v>ZSI1_LAMP</v>
      </c>
      <c r="H10551" s="63" t="str">
        <f>IFERROR(__xludf.DUMMYFUNCTION("VLOOKUP(F10551, IMPORTRANGE(""https://docs.google.com/spreadsheets/d/1Lhp9OU0JdFf_VYSMzH5lBcEaU4o8teT1piV-SNzShjg/edit?gid=554141278#gid=554141278"", ""'Char Def. - Attributes'!C20:C2242""), 1,false)"),"PLANT_BUY")</f>
        <v>PLANT_BUY</v>
      </c>
      <c r="I10551" s="136"/>
      <c r="R10551" s="63" t="str">
        <f t="shared" si="60"/>
        <v>ZSI1_LAMPPLANT_BUY</v>
      </c>
    </row>
    <row r="10552" ht="15.75" customHeight="1">
      <c r="B10552" s="63">
        <f t="shared" si="1"/>
        <v>9</v>
      </c>
      <c r="C10552" s="135" t="s">
        <v>499</v>
      </c>
      <c r="D10552" s="161" t="s">
        <v>74</v>
      </c>
      <c r="E10552" s="135">
        <f t="shared" si="62"/>
        <v>13</v>
      </c>
      <c r="F10552" s="134" t="s">
        <v>4777</v>
      </c>
      <c r="G10552" s="63" t="str">
        <f>VLOOKUP(C10552, 'Class Def. - General Data'!$C$20:$C$1000,1,false)</f>
        <v>ZSI1_LAMP</v>
      </c>
      <c r="H10552" s="63" t="str">
        <f>IFERROR(__xludf.DUMMYFUNCTION("VLOOKUP(F10552, IMPORTRANGE(""https://docs.google.com/spreadsheets/d/1Lhp9OU0JdFf_VYSMzH5lBcEaU4o8teT1piV-SNzShjg/edit?gid=554141278#gid=554141278"", ""'Char Def. - Attributes'!C20:C2242""), 1,false)"),"BASE_UOM_LAMP")</f>
        <v>BASE_UOM_LAMP</v>
      </c>
      <c r="I10552" s="136"/>
      <c r="R10552" s="63" t="str">
        <f t="shared" si="60"/>
        <v>ZSI1_LAMPBASE_UOM_LAMP</v>
      </c>
    </row>
    <row r="10553" ht="15.75" customHeight="1">
      <c r="B10553" s="63">
        <f t="shared" si="1"/>
        <v>9</v>
      </c>
      <c r="C10553" s="135" t="s">
        <v>499</v>
      </c>
      <c r="D10553" s="161" t="s">
        <v>74</v>
      </c>
      <c r="E10553" s="135">
        <f t="shared" si="62"/>
        <v>14</v>
      </c>
      <c r="F10553" s="134" t="s">
        <v>4778</v>
      </c>
      <c r="G10553" s="63" t="str">
        <f>VLOOKUP(C10553, 'Class Def. - General Data'!$C$20:$C$1000,1,false)</f>
        <v>ZSI1_LAMP</v>
      </c>
      <c r="H10553" s="63" t="str">
        <f>IFERROR(__xludf.DUMMYFUNCTION("VLOOKUP(F10553, IMPORTRANGE(""https://docs.google.com/spreadsheets/d/1Lhp9OU0JdFf_VYSMzH5lBcEaU4o8teT1piV-SNzShjg/edit?gid=554141278#gid=554141278"", ""'Char Def. - Attributes'!C20:C2242""), 1,false)"),"ORDER_UNIT_LAMP")</f>
        <v>ORDER_UNIT_LAMP</v>
      </c>
      <c r="I10553" s="136"/>
      <c r="R10553" s="63" t="str">
        <f t="shared" si="60"/>
        <v>ZSI1_LAMPORDER_UNIT_LAMP</v>
      </c>
    </row>
    <row r="10554" ht="15.75" customHeight="1">
      <c r="B10554" s="63">
        <f t="shared" si="1"/>
        <v>9</v>
      </c>
      <c r="C10554" s="135" t="s">
        <v>499</v>
      </c>
      <c r="D10554" s="161" t="s">
        <v>74</v>
      </c>
      <c r="E10554" s="135">
        <f t="shared" si="62"/>
        <v>15</v>
      </c>
      <c r="F10554" s="134" t="s">
        <v>4056</v>
      </c>
      <c r="G10554" s="63" t="str">
        <f>VLOOKUP(C10554, 'Class Def. - General Data'!$C$20:$C$1000,1,false)</f>
        <v>ZSI1_LAMP</v>
      </c>
      <c r="H10554" s="63" t="str">
        <f>IFERROR(__xludf.DUMMYFUNCTION("VLOOKUP(F10554, IMPORTRANGE(""https://docs.google.com/spreadsheets/d/1Lhp9OU0JdFf_VYSMzH5lBcEaU4o8teT1piV-SNzShjg/edit?gid=554141278#gid=554141278"", ""'Char Def. - Attributes'!C20:C2242""), 1,false)"),"GROSS_WEIGHT_OPT")</f>
        <v>GROSS_WEIGHT_OPT</v>
      </c>
      <c r="I10554" s="136"/>
      <c r="R10554" s="63" t="str">
        <f t="shared" si="60"/>
        <v>ZSI1_LAMPGROSS_WEIGHT_OPT</v>
      </c>
    </row>
    <row r="10555" ht="15.75" customHeight="1">
      <c r="B10555" s="63">
        <f t="shared" si="1"/>
        <v>9</v>
      </c>
      <c r="C10555" s="135" t="s">
        <v>499</v>
      </c>
      <c r="D10555" s="161" t="s">
        <v>74</v>
      </c>
      <c r="E10555" s="135">
        <f t="shared" si="62"/>
        <v>16</v>
      </c>
      <c r="F10555" s="134" t="s">
        <v>4057</v>
      </c>
      <c r="G10555" s="63" t="str">
        <f>VLOOKUP(C10555, 'Class Def. - General Data'!$C$20:$C$1000,1,false)</f>
        <v>ZSI1_LAMP</v>
      </c>
      <c r="H10555" s="63" t="str">
        <f>IFERROR(__xludf.DUMMYFUNCTION("VLOOKUP(F10555, IMPORTRANGE(""https://docs.google.com/spreadsheets/d/1Lhp9OU0JdFf_VYSMzH5lBcEaU4o8teT1piV-SNzShjg/edit?gid=554141278#gid=554141278"", ""'Char Def. - Attributes'!C20:C2242""), 1,false)"),"NET_WEIGHT_OPT")</f>
        <v>NET_WEIGHT_OPT</v>
      </c>
      <c r="I10555" s="136"/>
      <c r="R10555" s="63" t="str">
        <f t="shared" si="60"/>
        <v>ZSI1_LAMPNET_WEIGHT_OPT</v>
      </c>
    </row>
    <row r="10556" ht="15.75" customHeight="1">
      <c r="B10556" s="63">
        <f t="shared" si="1"/>
        <v>9</v>
      </c>
      <c r="C10556" s="135" t="s">
        <v>499</v>
      </c>
      <c r="D10556" s="161" t="s">
        <v>74</v>
      </c>
      <c r="E10556" s="135">
        <f t="shared" si="62"/>
        <v>17</v>
      </c>
      <c r="F10556" s="134" t="s">
        <v>4058</v>
      </c>
      <c r="G10556" s="63" t="str">
        <f>VLOOKUP(C10556, 'Class Def. - General Data'!$C$20:$C$1000,1,false)</f>
        <v>ZSI1_LAMP</v>
      </c>
      <c r="H10556" s="63" t="str">
        <f>IFERROR(__xludf.DUMMYFUNCTION("VLOOKUP(F10556, IMPORTRANGE(""https://docs.google.com/spreadsheets/d/1Lhp9OU0JdFf_VYSMzH5lBcEaU4o8teT1piV-SNzShjg/edit?gid=554141278#gid=554141278"", ""'Char Def. - Attributes'!C20:C2242""), 1,false)"),"WEIGHT_UNIT_SI")</f>
        <v>WEIGHT_UNIT_SI</v>
      </c>
      <c r="I10556" s="136"/>
      <c r="R10556" s="63" t="str">
        <f t="shared" si="60"/>
        <v>ZSI1_LAMPWEIGHT_UNIT_SI</v>
      </c>
    </row>
    <row r="10557" ht="15.75" customHeight="1">
      <c r="B10557" s="63">
        <f t="shared" si="1"/>
        <v>9</v>
      </c>
      <c r="C10557" s="135" t="s">
        <v>499</v>
      </c>
      <c r="D10557" s="161" t="s">
        <v>74</v>
      </c>
      <c r="E10557" s="135">
        <f t="shared" si="62"/>
        <v>18</v>
      </c>
      <c r="F10557" s="134" t="s">
        <v>3877</v>
      </c>
      <c r="G10557" s="63" t="str">
        <f>VLOOKUP(C10557, 'Class Def. - General Data'!$C$20:$C$1000,1,false)</f>
        <v>ZSI1_LAMP</v>
      </c>
      <c r="H10557" s="63" t="str">
        <f>IFERROR(__xludf.DUMMYFUNCTION("VLOOKUP(F10557, IMPORTRANGE(""https://docs.google.com/spreadsheets/d/1Lhp9OU0JdFf_VYSMzH5lBcEaU4o8teT1piV-SNzShjg/edit?gid=554141278#gid=554141278"", ""'Char Def. - Attributes'!C20:C2242""), 1,false)"),"VOLUME_OPT")</f>
        <v>VOLUME_OPT</v>
      </c>
      <c r="I10557" s="136"/>
      <c r="R10557" s="63" t="str">
        <f t="shared" si="60"/>
        <v>ZSI1_LAMPVOLUME_OPT</v>
      </c>
    </row>
    <row r="10558" ht="15.75" customHeight="1">
      <c r="B10558" s="63">
        <f t="shared" si="1"/>
        <v>9</v>
      </c>
      <c r="C10558" s="135" t="s">
        <v>499</v>
      </c>
      <c r="D10558" s="161" t="s">
        <v>74</v>
      </c>
      <c r="E10558" s="135">
        <f t="shared" si="62"/>
        <v>19</v>
      </c>
      <c r="F10558" s="134" t="s">
        <v>4059</v>
      </c>
      <c r="G10558" s="63" t="str">
        <f>VLOOKUP(C10558, 'Class Def. - General Data'!$C$20:$C$1000,1,false)</f>
        <v>ZSI1_LAMP</v>
      </c>
      <c r="H10558" s="63" t="str">
        <f>IFERROR(__xludf.DUMMYFUNCTION("VLOOKUP(F10558, IMPORTRANGE(""https://docs.google.com/spreadsheets/d/1Lhp9OU0JdFf_VYSMzH5lBcEaU4o8teT1piV-SNzShjg/edit?gid=554141278#gid=554141278"", ""'Char Def. - Attributes'!C20:C2242""), 1,false)"),"VOLUME_UNIT_SI")</f>
        <v>VOLUME_UNIT_SI</v>
      </c>
      <c r="I10558" s="136"/>
      <c r="R10558" s="63" t="str">
        <f t="shared" si="60"/>
        <v>ZSI1_LAMPVOLUME_UNIT_SI</v>
      </c>
    </row>
    <row r="10559" ht="15.75" customHeight="1">
      <c r="B10559" s="63">
        <f t="shared" si="1"/>
        <v>9</v>
      </c>
      <c r="C10559" s="135" t="s">
        <v>499</v>
      </c>
      <c r="D10559" s="161" t="s">
        <v>74</v>
      </c>
      <c r="E10559" s="135">
        <f t="shared" si="62"/>
        <v>20</v>
      </c>
      <c r="F10559" s="134" t="s">
        <v>3804</v>
      </c>
      <c r="G10559" s="63" t="str">
        <f>VLOOKUP(C10559, 'Class Def. - General Data'!$C$20:$C$1000,1,false)</f>
        <v>ZSI1_LAMP</v>
      </c>
      <c r="H10559" s="63" t="str">
        <f>IFERROR(__xludf.DUMMYFUNCTION("VLOOKUP(F10559, IMPORTRANGE(""https://docs.google.com/spreadsheets/d/1Lhp9OU0JdFf_VYSMzH5lBcEaU4o8teT1piV-SNzShjg/edit?gid=554141278#gid=554141278"", ""'Char Def. - Attributes'!C20:C2242""), 1,false)"),"ALT_UOM1_SIPI")</f>
        <v>ALT_UOM1_SIPI</v>
      </c>
      <c r="I10559" s="136"/>
      <c r="R10559" s="63" t="str">
        <f t="shared" si="60"/>
        <v>ZSI1_LAMPALT_UOM1_SIPI</v>
      </c>
    </row>
    <row r="10560" ht="15.75" customHeight="1">
      <c r="B10560" s="63">
        <f t="shared" si="1"/>
        <v>9</v>
      </c>
      <c r="C10560" s="135" t="s">
        <v>499</v>
      </c>
      <c r="D10560" s="161" t="s">
        <v>74</v>
      </c>
      <c r="E10560" s="135">
        <f t="shared" si="62"/>
        <v>21</v>
      </c>
      <c r="F10560" s="134" t="s">
        <v>3805</v>
      </c>
      <c r="G10560" s="63" t="str">
        <f>VLOOKUP(C10560, 'Class Def. - General Data'!$C$20:$C$1000,1,false)</f>
        <v>ZSI1_LAMP</v>
      </c>
      <c r="H10560" s="63" t="str">
        <f>IFERROR(__xludf.DUMMYFUNCTION("VLOOKUP(F10560, IMPORTRANGE(""https://docs.google.com/spreadsheets/d/1Lhp9OU0JdFf_VYSMzH5lBcEaU4o8teT1piV-SNzShjg/edit?gid=554141278#gid=554141278"", ""'Char Def. - Attributes'!C20:C2242""), 1,false)"),"ALT_DENUM_UOM1")</f>
        <v>ALT_DENUM_UOM1</v>
      </c>
      <c r="I10560" s="136"/>
      <c r="R10560" s="63" t="str">
        <f t="shared" si="60"/>
        <v>ZSI1_LAMPALT_DENUM_UOM1</v>
      </c>
    </row>
    <row r="10561" ht="15.75" customHeight="1">
      <c r="B10561" s="63">
        <f t="shared" si="1"/>
        <v>9</v>
      </c>
      <c r="C10561" s="135" t="s">
        <v>499</v>
      </c>
      <c r="D10561" s="161" t="s">
        <v>74</v>
      </c>
      <c r="E10561" s="135">
        <f t="shared" si="62"/>
        <v>22</v>
      </c>
      <c r="F10561" s="134" t="s">
        <v>3806</v>
      </c>
      <c r="G10561" s="63" t="str">
        <f>VLOOKUP(C10561, 'Class Def. - General Data'!$C$20:$C$1000,1,false)</f>
        <v>ZSI1_LAMP</v>
      </c>
      <c r="H10561" s="63" t="str">
        <f>IFERROR(__xludf.DUMMYFUNCTION("VLOOKUP(F10561, IMPORTRANGE(""https://docs.google.com/spreadsheets/d/1Lhp9OU0JdFf_VYSMzH5lBcEaU4o8teT1piV-SNzShjg/edit?gid=554141278#gid=554141278"", ""'Char Def. - Attributes'!C20:C2242""), 1,false)"),"ALT_NUM_UOM1")</f>
        <v>ALT_NUM_UOM1</v>
      </c>
      <c r="I10561" s="136"/>
      <c r="R10561" s="63" t="str">
        <f t="shared" si="60"/>
        <v>ZSI1_LAMPALT_NUM_UOM1</v>
      </c>
    </row>
    <row r="10562" ht="15.75" customHeight="1">
      <c r="B10562" s="63">
        <f t="shared" si="1"/>
        <v>9</v>
      </c>
      <c r="C10562" s="135" t="s">
        <v>499</v>
      </c>
      <c r="D10562" s="161" t="s">
        <v>74</v>
      </c>
      <c r="E10562" s="135">
        <f t="shared" si="62"/>
        <v>23</v>
      </c>
      <c r="F10562" s="134" t="s">
        <v>3807</v>
      </c>
      <c r="G10562" s="63" t="str">
        <f>VLOOKUP(C10562, 'Class Def. - General Data'!$C$20:$C$1000,1,false)</f>
        <v>ZSI1_LAMP</v>
      </c>
      <c r="H10562" s="63" t="str">
        <f>IFERROR(__xludf.DUMMYFUNCTION("VLOOKUP(F10562, IMPORTRANGE(""https://docs.google.com/spreadsheets/d/1Lhp9OU0JdFf_VYSMzH5lBcEaU4o8teT1piV-SNzShjg/edit?gid=554141278#gid=554141278"", ""'Char Def. - Attributes'!C20:C2242""), 1,false)"),"ALT_UOM2_SIPI")</f>
        <v>ALT_UOM2_SIPI</v>
      </c>
      <c r="I10562" s="136"/>
      <c r="R10562" s="63" t="str">
        <f t="shared" si="60"/>
        <v>ZSI1_LAMPALT_UOM2_SIPI</v>
      </c>
    </row>
    <row r="10563" ht="15.75" customHeight="1">
      <c r="B10563" s="63">
        <f t="shared" si="1"/>
        <v>9</v>
      </c>
      <c r="C10563" s="135" t="s">
        <v>499</v>
      </c>
      <c r="D10563" s="161" t="s">
        <v>74</v>
      </c>
      <c r="E10563" s="135">
        <f t="shared" si="62"/>
        <v>24</v>
      </c>
      <c r="F10563" s="134" t="s">
        <v>3808</v>
      </c>
      <c r="G10563" s="63" t="str">
        <f>VLOOKUP(C10563, 'Class Def. - General Data'!$C$20:$C$1000,1,false)</f>
        <v>ZSI1_LAMP</v>
      </c>
      <c r="H10563" s="63" t="str">
        <f>IFERROR(__xludf.DUMMYFUNCTION("VLOOKUP(F10563, IMPORTRANGE(""https://docs.google.com/spreadsheets/d/1Lhp9OU0JdFf_VYSMzH5lBcEaU4o8teT1piV-SNzShjg/edit?gid=554141278#gid=554141278"", ""'Char Def. - Attributes'!C20:C2242""), 1,false)"),"ALT_DENUM_UOM2")</f>
        <v>ALT_DENUM_UOM2</v>
      </c>
      <c r="I10563" s="136"/>
      <c r="R10563" s="63" t="str">
        <f t="shared" si="60"/>
        <v>ZSI1_LAMPALT_DENUM_UOM2</v>
      </c>
    </row>
    <row r="10564" ht="15.75" customHeight="1">
      <c r="B10564" s="63">
        <f t="shared" si="1"/>
        <v>9</v>
      </c>
      <c r="C10564" s="135" t="s">
        <v>499</v>
      </c>
      <c r="D10564" s="161" t="s">
        <v>74</v>
      </c>
      <c r="E10564" s="135">
        <f t="shared" si="62"/>
        <v>25</v>
      </c>
      <c r="F10564" s="134" t="s">
        <v>3809</v>
      </c>
      <c r="G10564" s="63" t="str">
        <f>VLOOKUP(C10564, 'Class Def. - General Data'!$C$20:$C$1000,1,false)</f>
        <v>ZSI1_LAMP</v>
      </c>
      <c r="H10564" s="63" t="str">
        <f>IFERROR(__xludf.DUMMYFUNCTION("VLOOKUP(F10564, IMPORTRANGE(""https://docs.google.com/spreadsheets/d/1Lhp9OU0JdFf_VYSMzH5lBcEaU4o8teT1piV-SNzShjg/edit?gid=554141278#gid=554141278"", ""'Char Def. - Attributes'!C20:C2242""), 1,false)"),"ALT_NUM_UOM2")</f>
        <v>ALT_NUM_UOM2</v>
      </c>
      <c r="I10564" s="136"/>
      <c r="R10564" s="63" t="str">
        <f t="shared" si="60"/>
        <v>ZSI1_LAMPALT_NUM_UOM2</v>
      </c>
    </row>
    <row r="10565" ht="15.75" customHeight="1">
      <c r="B10565" s="63">
        <f t="shared" si="1"/>
        <v>9</v>
      </c>
      <c r="C10565" s="135" t="s">
        <v>499</v>
      </c>
      <c r="D10565" s="161" t="s">
        <v>74</v>
      </c>
      <c r="E10565" s="135">
        <f t="shared" si="62"/>
        <v>26</v>
      </c>
      <c r="F10565" s="134" t="s">
        <v>3810</v>
      </c>
      <c r="G10565" s="63" t="str">
        <f>VLOOKUP(C10565, 'Class Def. - General Data'!$C$20:$C$1000,1,false)</f>
        <v>ZSI1_LAMP</v>
      </c>
      <c r="H10565" s="63" t="str">
        <f>IFERROR(__xludf.DUMMYFUNCTION("VLOOKUP(F10565, IMPORTRANGE(""https://docs.google.com/spreadsheets/d/1Lhp9OU0JdFf_VYSMzH5lBcEaU4o8teT1piV-SNzShjg/edit?gid=554141278#gid=554141278"", ""'Char Def. - Attributes'!C20:C2242""), 1,false)"),"ALT_UOM3_SIPI")</f>
        <v>ALT_UOM3_SIPI</v>
      </c>
      <c r="I10565" s="136"/>
      <c r="R10565" s="63" t="str">
        <f t="shared" si="60"/>
        <v>ZSI1_LAMPALT_UOM3_SIPI</v>
      </c>
    </row>
    <row r="10566" ht="15.75" customHeight="1">
      <c r="B10566" s="63">
        <f t="shared" si="1"/>
        <v>9</v>
      </c>
      <c r="C10566" s="135" t="s">
        <v>499</v>
      </c>
      <c r="D10566" s="161" t="s">
        <v>74</v>
      </c>
      <c r="E10566" s="135">
        <f t="shared" si="62"/>
        <v>27</v>
      </c>
      <c r="F10566" s="134" t="s">
        <v>3811</v>
      </c>
      <c r="G10566" s="63" t="str">
        <f>VLOOKUP(C10566, 'Class Def. - General Data'!$C$20:$C$1000,1,false)</f>
        <v>ZSI1_LAMP</v>
      </c>
      <c r="H10566" s="63" t="str">
        <f>IFERROR(__xludf.DUMMYFUNCTION("VLOOKUP(F10566, IMPORTRANGE(""https://docs.google.com/spreadsheets/d/1Lhp9OU0JdFf_VYSMzH5lBcEaU4o8teT1piV-SNzShjg/edit?gid=554141278#gid=554141278"", ""'Char Def. - Attributes'!C20:C2242""), 1,false)"),"ALT_DENUM_UOM3")</f>
        <v>ALT_DENUM_UOM3</v>
      </c>
      <c r="I10566" s="136"/>
      <c r="R10566" s="63" t="str">
        <f t="shared" si="60"/>
        <v>ZSI1_LAMPALT_DENUM_UOM3</v>
      </c>
    </row>
    <row r="10567" ht="15.75" customHeight="1">
      <c r="B10567" s="63">
        <f t="shared" si="1"/>
        <v>9</v>
      </c>
      <c r="C10567" s="135" t="s">
        <v>499</v>
      </c>
      <c r="D10567" s="161" t="s">
        <v>74</v>
      </c>
      <c r="E10567" s="135">
        <f t="shared" si="62"/>
        <v>28</v>
      </c>
      <c r="F10567" s="134" t="s">
        <v>3812</v>
      </c>
      <c r="G10567" s="63" t="str">
        <f>VLOOKUP(C10567, 'Class Def. - General Data'!$C$20:$C$1000,1,false)</f>
        <v>ZSI1_LAMP</v>
      </c>
      <c r="H10567" s="63" t="str">
        <f>IFERROR(__xludf.DUMMYFUNCTION("VLOOKUP(F10567, IMPORTRANGE(""https://docs.google.com/spreadsheets/d/1Lhp9OU0JdFf_VYSMzH5lBcEaU4o8teT1piV-SNzShjg/edit?gid=554141278#gid=554141278"", ""'Char Def. - Attributes'!C20:C2242""), 1,false)"),"ALT_NUM_UOM3")</f>
        <v>ALT_NUM_UOM3</v>
      </c>
      <c r="I10567" s="136"/>
      <c r="R10567" s="63" t="str">
        <f t="shared" si="60"/>
        <v>ZSI1_LAMPALT_NUM_UOM3</v>
      </c>
    </row>
    <row r="10568" ht="15.75" customHeight="1">
      <c r="B10568" s="63">
        <f t="shared" si="1"/>
        <v>9</v>
      </c>
      <c r="C10568" s="135" t="s">
        <v>499</v>
      </c>
      <c r="D10568" s="161" t="s">
        <v>74</v>
      </c>
      <c r="E10568" s="135">
        <f t="shared" si="62"/>
        <v>29</v>
      </c>
      <c r="F10568" s="134" t="s">
        <v>3813</v>
      </c>
      <c r="G10568" s="63" t="str">
        <f>VLOOKUP(C10568, 'Class Def. - General Data'!$C$20:$C$1000,1,false)</f>
        <v>ZSI1_LAMP</v>
      </c>
      <c r="H10568" s="63" t="str">
        <f>IFERROR(__xludf.DUMMYFUNCTION("VLOOKUP(F10568, IMPORTRANGE(""https://docs.google.com/spreadsheets/d/1Lhp9OU0JdFf_VYSMzH5lBcEaU4o8teT1piV-SNzShjg/edit?gid=554141278#gid=554141278"", ""'Char Def. - Attributes'!C20:C2242""), 1,false)"),"ALT_UOM4_SIPI")</f>
        <v>ALT_UOM4_SIPI</v>
      </c>
      <c r="I10568" s="136"/>
      <c r="R10568" s="63" t="str">
        <f t="shared" si="60"/>
        <v>ZSI1_LAMPALT_UOM4_SIPI</v>
      </c>
    </row>
    <row r="10569" ht="15.75" customHeight="1">
      <c r="B10569" s="63">
        <f t="shared" si="1"/>
        <v>9</v>
      </c>
      <c r="C10569" s="135" t="s">
        <v>499</v>
      </c>
      <c r="D10569" s="161" t="s">
        <v>74</v>
      </c>
      <c r="E10569" s="135">
        <f t="shared" si="62"/>
        <v>30</v>
      </c>
      <c r="F10569" s="134" t="s">
        <v>3814</v>
      </c>
      <c r="G10569" s="63" t="str">
        <f>VLOOKUP(C10569, 'Class Def. - General Data'!$C$20:$C$1000,1,false)</f>
        <v>ZSI1_LAMP</v>
      </c>
      <c r="H10569" s="63" t="str">
        <f>IFERROR(__xludf.DUMMYFUNCTION("VLOOKUP(F10569, IMPORTRANGE(""https://docs.google.com/spreadsheets/d/1Lhp9OU0JdFf_VYSMzH5lBcEaU4o8teT1piV-SNzShjg/edit?gid=554141278#gid=554141278"", ""'Char Def. - Attributes'!C20:C2242""), 1,false)"),"ALT_DENUM_UOM4")</f>
        <v>ALT_DENUM_UOM4</v>
      </c>
      <c r="I10569" s="136"/>
      <c r="R10569" s="63" t="str">
        <f t="shared" si="60"/>
        <v>ZSI1_LAMPALT_DENUM_UOM4</v>
      </c>
    </row>
    <row r="10570" ht="15.75" customHeight="1">
      <c r="B10570" s="63">
        <f t="shared" si="1"/>
        <v>9</v>
      </c>
      <c r="C10570" s="135" t="s">
        <v>499</v>
      </c>
      <c r="D10570" s="161" t="s">
        <v>74</v>
      </c>
      <c r="E10570" s="135">
        <f t="shared" si="62"/>
        <v>31</v>
      </c>
      <c r="F10570" s="134" t="s">
        <v>3815</v>
      </c>
      <c r="G10570" s="63" t="str">
        <f>VLOOKUP(C10570, 'Class Def. - General Data'!$C$20:$C$1000,1,false)</f>
        <v>ZSI1_LAMP</v>
      </c>
      <c r="H10570" s="63" t="str">
        <f>IFERROR(__xludf.DUMMYFUNCTION("VLOOKUP(F10570, IMPORTRANGE(""https://docs.google.com/spreadsheets/d/1Lhp9OU0JdFf_VYSMzH5lBcEaU4o8teT1piV-SNzShjg/edit?gid=554141278#gid=554141278"", ""'Char Def. - Attributes'!C20:C2242""), 1,false)"),"ALT_NUM_UOM4")</f>
        <v>ALT_NUM_UOM4</v>
      </c>
      <c r="I10570" s="136"/>
      <c r="R10570" s="63" t="str">
        <f t="shared" si="60"/>
        <v>ZSI1_LAMPALT_NUM_UOM4</v>
      </c>
    </row>
    <row r="10571" ht="15.75" customHeight="1">
      <c r="B10571" s="63">
        <f t="shared" si="1"/>
        <v>9</v>
      </c>
      <c r="C10571" s="135" t="s">
        <v>499</v>
      </c>
      <c r="D10571" s="161" t="s">
        <v>74</v>
      </c>
      <c r="E10571" s="135">
        <f t="shared" si="62"/>
        <v>32</v>
      </c>
      <c r="F10571" s="134" t="s">
        <v>3816</v>
      </c>
      <c r="G10571" s="63" t="str">
        <f>VLOOKUP(C10571, 'Class Def. - General Data'!$C$20:$C$1000,1,false)</f>
        <v>ZSI1_LAMP</v>
      </c>
      <c r="H10571" s="63" t="str">
        <f>IFERROR(__xludf.DUMMYFUNCTION("VLOOKUP(F10571, IMPORTRANGE(""https://docs.google.com/spreadsheets/d/1Lhp9OU0JdFf_VYSMzH5lBcEaU4o8teT1piV-SNzShjg/edit?gid=554141278#gid=554141278"", ""'Char Def. - Attributes'!C20:C2242""), 1,false)"),"ALT_UOM5_SIPI")</f>
        <v>ALT_UOM5_SIPI</v>
      </c>
      <c r="I10571" s="136"/>
      <c r="R10571" s="63" t="str">
        <f t="shared" si="60"/>
        <v>ZSI1_LAMPALT_UOM5_SIPI</v>
      </c>
    </row>
    <row r="10572" ht="15.75" customHeight="1">
      <c r="B10572" s="63">
        <f t="shared" si="1"/>
        <v>9</v>
      </c>
      <c r="C10572" s="135" t="s">
        <v>499</v>
      </c>
      <c r="D10572" s="161" t="s">
        <v>74</v>
      </c>
      <c r="E10572" s="135">
        <f t="shared" si="62"/>
        <v>33</v>
      </c>
      <c r="F10572" s="134" t="s">
        <v>3817</v>
      </c>
      <c r="G10572" s="63" t="str">
        <f>VLOOKUP(C10572, 'Class Def. - General Data'!$C$20:$C$1000,1,false)</f>
        <v>ZSI1_LAMP</v>
      </c>
      <c r="H10572" s="63" t="str">
        <f>IFERROR(__xludf.DUMMYFUNCTION("VLOOKUP(F10572, IMPORTRANGE(""https://docs.google.com/spreadsheets/d/1Lhp9OU0JdFf_VYSMzH5lBcEaU4o8teT1piV-SNzShjg/edit?gid=554141278#gid=554141278"", ""'Char Def. - Attributes'!C20:C2242""), 1,false)"),"ALT_DENUM_UOM5")</f>
        <v>ALT_DENUM_UOM5</v>
      </c>
      <c r="I10572" s="136"/>
      <c r="R10572" s="63" t="str">
        <f t="shared" si="60"/>
        <v>ZSI1_LAMPALT_DENUM_UOM5</v>
      </c>
    </row>
    <row r="10573" ht="15.75" customHeight="1">
      <c r="B10573" s="63">
        <f t="shared" si="1"/>
        <v>9</v>
      </c>
      <c r="C10573" s="135" t="s">
        <v>499</v>
      </c>
      <c r="D10573" s="161" t="s">
        <v>74</v>
      </c>
      <c r="E10573" s="135">
        <f t="shared" si="62"/>
        <v>34</v>
      </c>
      <c r="F10573" s="134" t="s">
        <v>3818</v>
      </c>
      <c r="G10573" s="63" t="str">
        <f>VLOOKUP(C10573, 'Class Def. - General Data'!$C$20:$C$1000,1,false)</f>
        <v>ZSI1_LAMP</v>
      </c>
      <c r="H10573" s="63" t="str">
        <f>IFERROR(__xludf.DUMMYFUNCTION("VLOOKUP(F10573, IMPORTRANGE(""https://docs.google.com/spreadsheets/d/1Lhp9OU0JdFf_VYSMzH5lBcEaU4o8teT1piV-SNzShjg/edit?gid=554141278#gid=554141278"", ""'Char Def. - Attributes'!C20:C2242""), 1,false)"),"ALT_NUM_UOM5")</f>
        <v>ALT_NUM_UOM5</v>
      </c>
      <c r="I10573" s="136"/>
      <c r="R10573" s="63" t="str">
        <f t="shared" si="60"/>
        <v>ZSI1_LAMPALT_NUM_UOM5</v>
      </c>
    </row>
    <row r="10574" ht="15.75" customHeight="1">
      <c r="B10574" s="63">
        <f t="shared" si="1"/>
        <v>14</v>
      </c>
      <c r="C10574" s="135" t="s">
        <v>409</v>
      </c>
      <c r="D10574" s="161" t="s">
        <v>74</v>
      </c>
      <c r="E10574" s="135">
        <f t="shared" si="62"/>
        <v>1</v>
      </c>
      <c r="F10574" s="134" t="s">
        <v>4779</v>
      </c>
      <c r="G10574" s="63" t="str">
        <f>VLOOKUP(C10574, 'Class Def. - General Data'!$C$20:$C$1000,1,false)</f>
        <v>ZSI1_LAMP_COMP</v>
      </c>
      <c r="H10574" s="63" t="str">
        <f>IFERROR(__xludf.DUMMYFUNCTION("VLOOKUP(F10574, IMPORTRANGE(""https://docs.google.com/spreadsheets/d/1Lhp9OU0JdFf_VYSMzH5lBcEaU4o8teT1piV-SNzShjg/edit?gid=554141278#gid=554141278"", ""'Char Def. - Attributes'!C20:C2242""), 1,false)"),"ITEM_NAME_LAMP_COMP")</f>
        <v>ITEM_NAME_LAMP_COMP</v>
      </c>
      <c r="I10574" s="136"/>
      <c r="R10574" s="63" t="str">
        <f t="shared" si="60"/>
        <v>ZSI1_LAMP_COMPITEM_NAME_LAMP_COMP</v>
      </c>
    </row>
    <row r="10575" ht="15.75" customHeight="1">
      <c r="B10575" s="63">
        <f t="shared" si="1"/>
        <v>14</v>
      </c>
      <c r="C10575" s="135" t="s">
        <v>409</v>
      </c>
      <c r="D10575" s="161" t="s">
        <v>74</v>
      </c>
      <c r="E10575" s="135">
        <f t="shared" si="62"/>
        <v>2</v>
      </c>
      <c r="F10575" s="134" t="s">
        <v>4780</v>
      </c>
      <c r="G10575" s="63" t="str">
        <f>VLOOKUP(C10575, 'Class Def. - General Data'!$C$20:$C$1000,1,false)</f>
        <v>ZSI1_LAMP_COMP</v>
      </c>
      <c r="H10575" s="63" t="str">
        <f>IFERROR(__xludf.DUMMYFUNCTION("VLOOKUP(F10575, IMPORTRANGE(""https://docs.google.com/spreadsheets/d/1Lhp9OU0JdFf_VYSMzH5lBcEaU4o8teT1piV-SNzShjg/edit?gid=554141278#gid=554141278"", ""'Char Def. - Attributes'!C20:C2242""), 1,false)"),"MFR_NO_LAMP_COMP")</f>
        <v>MFR_NO_LAMP_COMP</v>
      </c>
      <c r="I10575" s="136"/>
      <c r="R10575" s="63" t="str">
        <f t="shared" si="60"/>
        <v>ZSI1_LAMP_COMPMFR_NO_LAMP_COMP</v>
      </c>
    </row>
    <row r="10576" ht="15.75" customHeight="1">
      <c r="B10576" s="63">
        <f t="shared" si="1"/>
        <v>14</v>
      </c>
      <c r="C10576" s="135" t="s">
        <v>409</v>
      </c>
      <c r="D10576" s="161" t="s">
        <v>74</v>
      </c>
      <c r="E10576" s="135">
        <f t="shared" si="62"/>
        <v>3</v>
      </c>
      <c r="F10576" s="134" t="s">
        <v>3782</v>
      </c>
      <c r="G10576" s="63" t="str">
        <f>VLOOKUP(C10576, 'Class Def. - General Data'!$C$20:$C$1000,1,false)</f>
        <v>ZSI1_LAMP_COMP</v>
      </c>
      <c r="H10576" s="63" t="str">
        <f>IFERROR(__xludf.DUMMYFUNCTION("VLOOKUP(F10576, IMPORTRANGE(""https://docs.google.com/spreadsheets/d/1Lhp9OU0JdFf_VYSMzH5lBcEaU4o8teT1piV-SNzShjg/edit?gid=554141278#gid=554141278"", ""'Char Def. - Attributes'!C20:C2242""), 1,false)"),"BRAND_EXTERNAL")</f>
        <v>BRAND_EXTERNAL</v>
      </c>
      <c r="I10576" s="136"/>
      <c r="R10576" s="63" t="str">
        <f t="shared" si="60"/>
        <v>ZSI1_LAMP_COMPBRAND_EXTERNAL</v>
      </c>
    </row>
    <row r="10577" ht="15.75" customHeight="1">
      <c r="B10577" s="63">
        <f t="shared" si="1"/>
        <v>14</v>
      </c>
      <c r="C10577" s="135" t="s">
        <v>409</v>
      </c>
      <c r="D10577" s="161" t="s">
        <v>74</v>
      </c>
      <c r="E10577" s="135">
        <f t="shared" si="62"/>
        <v>4</v>
      </c>
      <c r="F10577" s="134" t="s">
        <v>4062</v>
      </c>
      <c r="G10577" s="63" t="str">
        <f>VLOOKUP(C10577, 'Class Def. - General Data'!$C$20:$C$1000,1,false)</f>
        <v>ZSI1_LAMP_COMP</v>
      </c>
      <c r="H10577" s="63" t="str">
        <f>IFERROR(__xludf.DUMMYFUNCTION("VLOOKUP(F10577, IMPORTRANGE(""https://docs.google.com/spreadsheets/d/1Lhp9OU0JdFf_VYSMzH5lBcEaU4o8teT1piV-SNzShjg/edit?gid=554141278#gid=554141278"", ""'Char Def. - Attributes'!C20:C2242""), 1,false)"),"#N/A")</f>
        <v>#N/A</v>
      </c>
      <c r="I10577" s="136"/>
      <c r="R10577" s="63" t="str">
        <f t="shared" si="60"/>
        <v>ZSI1_LAMP_COMPADDTIONAL_SPECIFICATION</v>
      </c>
    </row>
    <row r="10578" ht="15.75" customHeight="1">
      <c r="B10578" s="63">
        <f t="shared" si="1"/>
        <v>14</v>
      </c>
      <c r="C10578" s="135" t="s">
        <v>409</v>
      </c>
      <c r="D10578" s="161" t="s">
        <v>74</v>
      </c>
      <c r="E10578" s="135">
        <f t="shared" si="62"/>
        <v>5</v>
      </c>
      <c r="F10578" s="134" t="s">
        <v>3585</v>
      </c>
      <c r="G10578" s="63" t="str">
        <f>VLOOKUP(C10578, 'Class Def. - General Data'!$C$20:$C$1000,1,false)</f>
        <v>ZSI1_LAMP_COMP</v>
      </c>
      <c r="H10578" s="63" t="str">
        <f>IFERROR(__xludf.DUMMYFUNCTION("VLOOKUP(F10578, IMPORTRANGE(""https://docs.google.com/spreadsheets/d/1Lhp9OU0JdFf_VYSMzH5lBcEaU4o8teT1piV-SNzShjg/edit?gid=554141278#gid=554141278"", ""'Char Def. - Attributes'!C20:C2242""), 1,false)"),"HS_CODE")</f>
        <v>HS_CODE</v>
      </c>
      <c r="I10578" s="136"/>
      <c r="R10578" s="63" t="str">
        <f t="shared" si="60"/>
        <v>ZSI1_LAMP_COMPHS_CODE</v>
      </c>
    </row>
    <row r="10579" ht="15.75" customHeight="1">
      <c r="B10579" s="63">
        <f t="shared" si="1"/>
        <v>14</v>
      </c>
      <c r="C10579" s="135" t="s">
        <v>409</v>
      </c>
      <c r="D10579" s="161" t="s">
        <v>74</v>
      </c>
      <c r="E10579" s="135">
        <f t="shared" si="62"/>
        <v>6</v>
      </c>
      <c r="F10579" s="134" t="s">
        <v>3587</v>
      </c>
      <c r="G10579" s="63" t="str">
        <f>VLOOKUP(C10579, 'Class Def. - General Data'!$C$20:$C$1000,1,false)</f>
        <v>ZSI1_LAMP_COMP</v>
      </c>
      <c r="H10579" s="63" t="str">
        <f>IFERROR(__xludf.DUMMYFUNCTION("VLOOKUP(F10579, IMPORTRANGE(""https://docs.google.com/spreadsheets/d/1Lhp9OU0JdFf_VYSMzH5lBcEaU4o8teT1piV-SNzShjg/edit?gid=554141278#gid=554141278"", ""'Char Def. - Attributes'!C20:C2242""), 1,false)"),"PLANT_BUY")</f>
        <v>PLANT_BUY</v>
      </c>
      <c r="I10579" s="136"/>
      <c r="R10579" s="63" t="str">
        <f t="shared" si="60"/>
        <v>ZSI1_LAMP_COMPPLANT_BUY</v>
      </c>
    </row>
    <row r="10580" ht="15.75" customHeight="1">
      <c r="B10580" s="63">
        <f t="shared" si="1"/>
        <v>14</v>
      </c>
      <c r="C10580" s="135" t="s">
        <v>409</v>
      </c>
      <c r="D10580" s="161" t="s">
        <v>74</v>
      </c>
      <c r="E10580" s="135">
        <f t="shared" si="62"/>
        <v>7</v>
      </c>
      <c r="F10580" s="134" t="s">
        <v>4781</v>
      </c>
      <c r="G10580" s="63" t="str">
        <f>VLOOKUP(C10580, 'Class Def. - General Data'!$C$20:$C$1000,1,false)</f>
        <v>ZSI1_LAMP_COMP</v>
      </c>
      <c r="H10580" s="63" t="str">
        <f>IFERROR(__xludf.DUMMYFUNCTION("VLOOKUP(F10580, IMPORTRANGE(""https://docs.google.com/spreadsheets/d/1Lhp9OU0JdFf_VYSMzH5lBcEaU4o8teT1piV-SNzShjg/edit?gid=554141278#gid=554141278"", ""'Char Def. - Attributes'!C20:C2242""), 1,false)"),"BASE_UOM_LAMP_COMP")</f>
        <v>BASE_UOM_LAMP_COMP</v>
      </c>
      <c r="I10580" s="136"/>
      <c r="R10580" s="63" t="str">
        <f t="shared" si="60"/>
        <v>ZSI1_LAMP_COMPBASE_UOM_LAMP_COMP</v>
      </c>
    </row>
    <row r="10581" ht="15.75" customHeight="1">
      <c r="B10581" s="63">
        <f t="shared" si="1"/>
        <v>14</v>
      </c>
      <c r="C10581" s="135" t="s">
        <v>409</v>
      </c>
      <c r="D10581" s="161" t="s">
        <v>74</v>
      </c>
      <c r="E10581" s="135">
        <f t="shared" si="62"/>
        <v>8</v>
      </c>
      <c r="F10581" s="134" t="s">
        <v>4782</v>
      </c>
      <c r="G10581" s="63" t="str">
        <f>VLOOKUP(C10581, 'Class Def. - General Data'!$C$20:$C$1000,1,false)</f>
        <v>ZSI1_LAMP_COMP</v>
      </c>
      <c r="H10581" s="63" t="str">
        <f>IFERROR(__xludf.DUMMYFUNCTION("VLOOKUP(F10581, IMPORTRANGE(""https://docs.google.com/spreadsheets/d/1Lhp9OU0JdFf_VYSMzH5lBcEaU4o8teT1piV-SNzShjg/edit?gid=554141278#gid=554141278"", ""'Char Def. - Attributes'!C20:C2242""), 1,false)"),"ORDER_UNIT_LAMP_COMP")</f>
        <v>ORDER_UNIT_LAMP_COMP</v>
      </c>
      <c r="I10581" s="136"/>
      <c r="R10581" s="63" t="str">
        <f t="shared" si="60"/>
        <v>ZSI1_LAMP_COMPORDER_UNIT_LAMP_COMP</v>
      </c>
    </row>
    <row r="10582" ht="15.75" customHeight="1">
      <c r="B10582" s="63">
        <f t="shared" si="1"/>
        <v>14</v>
      </c>
      <c r="C10582" s="135" t="s">
        <v>409</v>
      </c>
      <c r="D10582" s="161" t="s">
        <v>74</v>
      </c>
      <c r="E10582" s="135">
        <f t="shared" si="62"/>
        <v>9</v>
      </c>
      <c r="F10582" s="134" t="s">
        <v>4056</v>
      </c>
      <c r="G10582" s="63" t="str">
        <f>VLOOKUP(C10582, 'Class Def. - General Data'!$C$20:$C$1000,1,false)</f>
        <v>ZSI1_LAMP_COMP</v>
      </c>
      <c r="H10582" s="63" t="str">
        <f>IFERROR(__xludf.DUMMYFUNCTION("VLOOKUP(F10582, IMPORTRANGE(""https://docs.google.com/spreadsheets/d/1Lhp9OU0JdFf_VYSMzH5lBcEaU4o8teT1piV-SNzShjg/edit?gid=554141278#gid=554141278"", ""'Char Def. - Attributes'!C20:C2242""), 1,false)"),"GROSS_WEIGHT_OPT")</f>
        <v>GROSS_WEIGHT_OPT</v>
      </c>
      <c r="I10582" s="136"/>
      <c r="R10582" s="63" t="str">
        <f t="shared" si="60"/>
        <v>ZSI1_LAMP_COMPGROSS_WEIGHT_OPT</v>
      </c>
    </row>
    <row r="10583" ht="15.75" customHeight="1">
      <c r="B10583" s="63">
        <f t="shared" si="1"/>
        <v>14</v>
      </c>
      <c r="C10583" s="135" t="s">
        <v>409</v>
      </c>
      <c r="D10583" s="161" t="s">
        <v>74</v>
      </c>
      <c r="E10583" s="135">
        <f t="shared" si="62"/>
        <v>10</v>
      </c>
      <c r="F10583" s="134" t="s">
        <v>4057</v>
      </c>
      <c r="G10583" s="63" t="str">
        <f>VLOOKUP(C10583, 'Class Def. - General Data'!$C$20:$C$1000,1,false)</f>
        <v>ZSI1_LAMP_COMP</v>
      </c>
      <c r="H10583" s="63" t="str">
        <f>IFERROR(__xludf.DUMMYFUNCTION("VLOOKUP(F10583, IMPORTRANGE(""https://docs.google.com/spreadsheets/d/1Lhp9OU0JdFf_VYSMzH5lBcEaU4o8teT1piV-SNzShjg/edit?gid=554141278#gid=554141278"", ""'Char Def. - Attributes'!C20:C2242""), 1,false)"),"NET_WEIGHT_OPT")</f>
        <v>NET_WEIGHT_OPT</v>
      </c>
      <c r="I10583" s="136"/>
      <c r="R10583" s="63" t="str">
        <f t="shared" si="60"/>
        <v>ZSI1_LAMP_COMPNET_WEIGHT_OPT</v>
      </c>
    </row>
    <row r="10584" ht="15.75" customHeight="1">
      <c r="B10584" s="63">
        <f t="shared" si="1"/>
        <v>14</v>
      </c>
      <c r="C10584" s="135" t="s">
        <v>409</v>
      </c>
      <c r="D10584" s="161" t="s">
        <v>74</v>
      </c>
      <c r="E10584" s="135">
        <f t="shared" si="62"/>
        <v>11</v>
      </c>
      <c r="F10584" s="134" t="s">
        <v>4058</v>
      </c>
      <c r="G10584" s="63" t="str">
        <f>VLOOKUP(C10584, 'Class Def. - General Data'!$C$20:$C$1000,1,false)</f>
        <v>ZSI1_LAMP_COMP</v>
      </c>
      <c r="H10584" s="63" t="str">
        <f>IFERROR(__xludf.DUMMYFUNCTION("VLOOKUP(F10584, IMPORTRANGE(""https://docs.google.com/spreadsheets/d/1Lhp9OU0JdFf_VYSMzH5lBcEaU4o8teT1piV-SNzShjg/edit?gid=554141278#gid=554141278"", ""'Char Def. - Attributes'!C20:C2242""), 1,false)"),"WEIGHT_UNIT_SI")</f>
        <v>WEIGHT_UNIT_SI</v>
      </c>
      <c r="I10584" s="136"/>
      <c r="R10584" s="63" t="str">
        <f t="shared" si="60"/>
        <v>ZSI1_LAMP_COMPWEIGHT_UNIT_SI</v>
      </c>
    </row>
    <row r="10585" ht="15.75" customHeight="1">
      <c r="B10585" s="63">
        <f t="shared" si="1"/>
        <v>14</v>
      </c>
      <c r="C10585" s="135" t="s">
        <v>409</v>
      </c>
      <c r="D10585" s="161" t="s">
        <v>74</v>
      </c>
      <c r="E10585" s="135">
        <f t="shared" si="62"/>
        <v>12</v>
      </c>
      <c r="F10585" s="134" t="s">
        <v>3877</v>
      </c>
      <c r="G10585" s="63" t="str">
        <f>VLOOKUP(C10585, 'Class Def. - General Data'!$C$20:$C$1000,1,false)</f>
        <v>ZSI1_LAMP_COMP</v>
      </c>
      <c r="H10585" s="63" t="str">
        <f>IFERROR(__xludf.DUMMYFUNCTION("VLOOKUP(F10585, IMPORTRANGE(""https://docs.google.com/spreadsheets/d/1Lhp9OU0JdFf_VYSMzH5lBcEaU4o8teT1piV-SNzShjg/edit?gid=554141278#gid=554141278"", ""'Char Def. - Attributes'!C20:C2242""), 1,false)"),"VOLUME_OPT")</f>
        <v>VOLUME_OPT</v>
      </c>
      <c r="I10585" s="136"/>
      <c r="R10585" s="63" t="str">
        <f t="shared" si="60"/>
        <v>ZSI1_LAMP_COMPVOLUME_OPT</v>
      </c>
    </row>
    <row r="10586" ht="15.75" customHeight="1">
      <c r="B10586" s="63">
        <f t="shared" si="1"/>
        <v>14</v>
      </c>
      <c r="C10586" s="135" t="s">
        <v>409</v>
      </c>
      <c r="D10586" s="161" t="s">
        <v>74</v>
      </c>
      <c r="E10586" s="135">
        <f t="shared" si="62"/>
        <v>13</v>
      </c>
      <c r="F10586" s="134" t="s">
        <v>4059</v>
      </c>
      <c r="G10586" s="63" t="str">
        <f>VLOOKUP(C10586, 'Class Def. - General Data'!$C$20:$C$1000,1,false)</f>
        <v>ZSI1_LAMP_COMP</v>
      </c>
      <c r="H10586" s="63" t="str">
        <f>IFERROR(__xludf.DUMMYFUNCTION("VLOOKUP(F10586, IMPORTRANGE(""https://docs.google.com/spreadsheets/d/1Lhp9OU0JdFf_VYSMzH5lBcEaU4o8teT1piV-SNzShjg/edit?gid=554141278#gid=554141278"", ""'Char Def. - Attributes'!C20:C2242""), 1,false)"),"VOLUME_UNIT_SI")</f>
        <v>VOLUME_UNIT_SI</v>
      </c>
      <c r="I10586" s="136"/>
      <c r="R10586" s="63" t="str">
        <f t="shared" si="60"/>
        <v>ZSI1_LAMP_COMPVOLUME_UNIT_SI</v>
      </c>
    </row>
    <row r="10587" ht="15.75" customHeight="1">
      <c r="B10587" s="63">
        <f t="shared" si="1"/>
        <v>14</v>
      </c>
      <c r="C10587" s="135" t="s">
        <v>409</v>
      </c>
      <c r="D10587" s="161" t="s">
        <v>74</v>
      </c>
      <c r="E10587" s="135">
        <f t="shared" si="62"/>
        <v>14</v>
      </c>
      <c r="F10587" s="134" t="s">
        <v>3804</v>
      </c>
      <c r="G10587" s="63" t="str">
        <f>VLOOKUP(C10587, 'Class Def. - General Data'!$C$20:$C$1000,1,false)</f>
        <v>ZSI1_LAMP_COMP</v>
      </c>
      <c r="H10587" s="63" t="str">
        <f>IFERROR(__xludf.DUMMYFUNCTION("VLOOKUP(F10587, IMPORTRANGE(""https://docs.google.com/spreadsheets/d/1Lhp9OU0JdFf_VYSMzH5lBcEaU4o8teT1piV-SNzShjg/edit?gid=554141278#gid=554141278"", ""'Char Def. - Attributes'!C20:C2242""), 1,false)"),"ALT_UOM1_SIPI")</f>
        <v>ALT_UOM1_SIPI</v>
      </c>
      <c r="I10587" s="136"/>
      <c r="R10587" s="63" t="str">
        <f t="shared" si="60"/>
        <v>ZSI1_LAMP_COMPALT_UOM1_SIPI</v>
      </c>
    </row>
    <row r="10588" ht="15.75" customHeight="1">
      <c r="B10588" s="63">
        <f t="shared" si="1"/>
        <v>14</v>
      </c>
      <c r="C10588" s="135" t="s">
        <v>409</v>
      </c>
      <c r="D10588" s="161" t="s">
        <v>74</v>
      </c>
      <c r="E10588" s="135">
        <f t="shared" si="62"/>
        <v>15</v>
      </c>
      <c r="F10588" s="134" t="s">
        <v>3805</v>
      </c>
      <c r="G10588" s="63" t="str">
        <f>VLOOKUP(C10588, 'Class Def. - General Data'!$C$20:$C$1000,1,false)</f>
        <v>ZSI1_LAMP_COMP</v>
      </c>
      <c r="H10588" s="63" t="str">
        <f>IFERROR(__xludf.DUMMYFUNCTION("VLOOKUP(F10588, IMPORTRANGE(""https://docs.google.com/spreadsheets/d/1Lhp9OU0JdFf_VYSMzH5lBcEaU4o8teT1piV-SNzShjg/edit?gid=554141278#gid=554141278"", ""'Char Def. - Attributes'!C20:C2242""), 1,false)"),"ALT_DENUM_UOM1")</f>
        <v>ALT_DENUM_UOM1</v>
      </c>
      <c r="I10588" s="136"/>
      <c r="R10588" s="63" t="str">
        <f t="shared" si="60"/>
        <v>ZSI1_LAMP_COMPALT_DENUM_UOM1</v>
      </c>
    </row>
    <row r="10589" ht="15.75" customHeight="1">
      <c r="B10589" s="63">
        <f t="shared" si="1"/>
        <v>14</v>
      </c>
      <c r="C10589" s="135" t="s">
        <v>409</v>
      </c>
      <c r="D10589" s="161" t="s">
        <v>74</v>
      </c>
      <c r="E10589" s="135">
        <f t="shared" si="62"/>
        <v>16</v>
      </c>
      <c r="F10589" s="134" t="s">
        <v>3806</v>
      </c>
      <c r="G10589" s="63" t="str">
        <f>VLOOKUP(C10589, 'Class Def. - General Data'!$C$20:$C$1000,1,false)</f>
        <v>ZSI1_LAMP_COMP</v>
      </c>
      <c r="H10589" s="63" t="str">
        <f>IFERROR(__xludf.DUMMYFUNCTION("VLOOKUP(F10589, IMPORTRANGE(""https://docs.google.com/spreadsheets/d/1Lhp9OU0JdFf_VYSMzH5lBcEaU4o8teT1piV-SNzShjg/edit?gid=554141278#gid=554141278"", ""'Char Def. - Attributes'!C20:C2242""), 1,false)"),"ALT_NUM_UOM1")</f>
        <v>ALT_NUM_UOM1</v>
      </c>
      <c r="I10589" s="136"/>
      <c r="R10589" s="63" t="str">
        <f t="shared" si="60"/>
        <v>ZSI1_LAMP_COMPALT_NUM_UOM1</v>
      </c>
    </row>
    <row r="10590" ht="15.75" customHeight="1">
      <c r="B10590" s="63">
        <f t="shared" si="1"/>
        <v>14</v>
      </c>
      <c r="C10590" s="135" t="s">
        <v>409</v>
      </c>
      <c r="D10590" s="161" t="s">
        <v>74</v>
      </c>
      <c r="E10590" s="135">
        <f t="shared" si="62"/>
        <v>17</v>
      </c>
      <c r="F10590" s="134" t="s">
        <v>3807</v>
      </c>
      <c r="G10590" s="63" t="str">
        <f>VLOOKUP(C10590, 'Class Def. - General Data'!$C$20:$C$1000,1,false)</f>
        <v>ZSI1_LAMP_COMP</v>
      </c>
      <c r="H10590" s="63" t="str">
        <f>IFERROR(__xludf.DUMMYFUNCTION("VLOOKUP(F10590, IMPORTRANGE(""https://docs.google.com/spreadsheets/d/1Lhp9OU0JdFf_VYSMzH5lBcEaU4o8teT1piV-SNzShjg/edit?gid=554141278#gid=554141278"", ""'Char Def. - Attributes'!C20:C2242""), 1,false)"),"ALT_UOM2_SIPI")</f>
        <v>ALT_UOM2_SIPI</v>
      </c>
      <c r="I10590" s="136"/>
      <c r="R10590" s="63" t="str">
        <f t="shared" si="60"/>
        <v>ZSI1_LAMP_COMPALT_UOM2_SIPI</v>
      </c>
    </row>
    <row r="10591" ht="15.75" customHeight="1">
      <c r="B10591" s="63">
        <f t="shared" si="1"/>
        <v>14</v>
      </c>
      <c r="C10591" s="135" t="s">
        <v>409</v>
      </c>
      <c r="D10591" s="161" t="s">
        <v>74</v>
      </c>
      <c r="E10591" s="135">
        <f t="shared" si="62"/>
        <v>18</v>
      </c>
      <c r="F10591" s="134" t="s">
        <v>3808</v>
      </c>
      <c r="G10591" s="63" t="str">
        <f>VLOOKUP(C10591, 'Class Def. - General Data'!$C$20:$C$1000,1,false)</f>
        <v>ZSI1_LAMP_COMP</v>
      </c>
      <c r="H10591" s="63" t="str">
        <f>IFERROR(__xludf.DUMMYFUNCTION("VLOOKUP(F10591, IMPORTRANGE(""https://docs.google.com/spreadsheets/d/1Lhp9OU0JdFf_VYSMzH5lBcEaU4o8teT1piV-SNzShjg/edit?gid=554141278#gid=554141278"", ""'Char Def. - Attributes'!C20:C2242""), 1,false)"),"ALT_DENUM_UOM2")</f>
        <v>ALT_DENUM_UOM2</v>
      </c>
      <c r="I10591" s="136"/>
      <c r="R10591" s="63" t="str">
        <f t="shared" si="60"/>
        <v>ZSI1_LAMP_COMPALT_DENUM_UOM2</v>
      </c>
    </row>
    <row r="10592" ht="15.75" customHeight="1">
      <c r="B10592" s="63">
        <f t="shared" si="1"/>
        <v>14</v>
      </c>
      <c r="C10592" s="135" t="s">
        <v>409</v>
      </c>
      <c r="D10592" s="161" t="s">
        <v>74</v>
      </c>
      <c r="E10592" s="135">
        <f t="shared" si="62"/>
        <v>19</v>
      </c>
      <c r="F10592" s="134" t="s">
        <v>3809</v>
      </c>
      <c r="G10592" s="63" t="str">
        <f>VLOOKUP(C10592, 'Class Def. - General Data'!$C$20:$C$1000,1,false)</f>
        <v>ZSI1_LAMP_COMP</v>
      </c>
      <c r="H10592" s="63" t="str">
        <f>IFERROR(__xludf.DUMMYFUNCTION("VLOOKUP(F10592, IMPORTRANGE(""https://docs.google.com/spreadsheets/d/1Lhp9OU0JdFf_VYSMzH5lBcEaU4o8teT1piV-SNzShjg/edit?gid=554141278#gid=554141278"", ""'Char Def. - Attributes'!C20:C2242""), 1,false)"),"ALT_NUM_UOM2")</f>
        <v>ALT_NUM_UOM2</v>
      </c>
      <c r="I10592" s="136"/>
      <c r="R10592" s="63" t="str">
        <f t="shared" si="60"/>
        <v>ZSI1_LAMP_COMPALT_NUM_UOM2</v>
      </c>
    </row>
    <row r="10593" ht="15.75" customHeight="1">
      <c r="B10593" s="63">
        <f t="shared" si="1"/>
        <v>14</v>
      </c>
      <c r="C10593" s="135" t="s">
        <v>409</v>
      </c>
      <c r="D10593" s="161" t="s">
        <v>74</v>
      </c>
      <c r="E10593" s="135">
        <f t="shared" si="62"/>
        <v>20</v>
      </c>
      <c r="F10593" s="134" t="s">
        <v>3810</v>
      </c>
      <c r="G10593" s="63" t="str">
        <f>VLOOKUP(C10593, 'Class Def. - General Data'!$C$20:$C$1000,1,false)</f>
        <v>ZSI1_LAMP_COMP</v>
      </c>
      <c r="H10593" s="63" t="str">
        <f>IFERROR(__xludf.DUMMYFUNCTION("VLOOKUP(F10593, IMPORTRANGE(""https://docs.google.com/spreadsheets/d/1Lhp9OU0JdFf_VYSMzH5lBcEaU4o8teT1piV-SNzShjg/edit?gid=554141278#gid=554141278"", ""'Char Def. - Attributes'!C20:C2242""), 1,false)"),"ALT_UOM3_SIPI")</f>
        <v>ALT_UOM3_SIPI</v>
      </c>
      <c r="I10593" s="136"/>
      <c r="R10593" s="63" t="str">
        <f t="shared" si="60"/>
        <v>ZSI1_LAMP_COMPALT_UOM3_SIPI</v>
      </c>
    </row>
    <row r="10594" ht="15.75" customHeight="1">
      <c r="B10594" s="63">
        <f t="shared" si="1"/>
        <v>14</v>
      </c>
      <c r="C10594" s="135" t="s">
        <v>409</v>
      </c>
      <c r="D10594" s="161" t="s">
        <v>74</v>
      </c>
      <c r="E10594" s="135">
        <f t="shared" si="62"/>
        <v>21</v>
      </c>
      <c r="F10594" s="134" t="s">
        <v>3811</v>
      </c>
      <c r="G10594" s="63" t="str">
        <f>VLOOKUP(C10594, 'Class Def. - General Data'!$C$20:$C$1000,1,false)</f>
        <v>ZSI1_LAMP_COMP</v>
      </c>
      <c r="H10594" s="63" t="str">
        <f>IFERROR(__xludf.DUMMYFUNCTION("VLOOKUP(F10594, IMPORTRANGE(""https://docs.google.com/spreadsheets/d/1Lhp9OU0JdFf_VYSMzH5lBcEaU4o8teT1piV-SNzShjg/edit?gid=554141278#gid=554141278"", ""'Char Def. - Attributes'!C20:C2242""), 1,false)"),"ALT_DENUM_UOM3")</f>
        <v>ALT_DENUM_UOM3</v>
      </c>
      <c r="I10594" s="136"/>
      <c r="R10594" s="63" t="str">
        <f t="shared" si="60"/>
        <v>ZSI1_LAMP_COMPALT_DENUM_UOM3</v>
      </c>
    </row>
    <row r="10595" ht="15.75" customHeight="1">
      <c r="B10595" s="63">
        <f t="shared" si="1"/>
        <v>14</v>
      </c>
      <c r="C10595" s="135" t="s">
        <v>409</v>
      </c>
      <c r="D10595" s="161" t="s">
        <v>74</v>
      </c>
      <c r="E10595" s="135">
        <f t="shared" si="62"/>
        <v>22</v>
      </c>
      <c r="F10595" s="134" t="s">
        <v>3812</v>
      </c>
      <c r="G10595" s="63" t="str">
        <f>VLOOKUP(C10595, 'Class Def. - General Data'!$C$20:$C$1000,1,false)</f>
        <v>ZSI1_LAMP_COMP</v>
      </c>
      <c r="H10595" s="63" t="str">
        <f>IFERROR(__xludf.DUMMYFUNCTION("VLOOKUP(F10595, IMPORTRANGE(""https://docs.google.com/spreadsheets/d/1Lhp9OU0JdFf_VYSMzH5lBcEaU4o8teT1piV-SNzShjg/edit?gid=554141278#gid=554141278"", ""'Char Def. - Attributes'!C20:C2242""), 1,false)"),"ALT_NUM_UOM3")</f>
        <v>ALT_NUM_UOM3</v>
      </c>
      <c r="I10595" s="136"/>
      <c r="R10595" s="63" t="str">
        <f t="shared" si="60"/>
        <v>ZSI1_LAMP_COMPALT_NUM_UOM3</v>
      </c>
    </row>
    <row r="10596" ht="15.75" customHeight="1">
      <c r="B10596" s="63">
        <f t="shared" si="1"/>
        <v>14</v>
      </c>
      <c r="C10596" s="135" t="s">
        <v>409</v>
      </c>
      <c r="D10596" s="161" t="s">
        <v>74</v>
      </c>
      <c r="E10596" s="135">
        <f t="shared" si="62"/>
        <v>23</v>
      </c>
      <c r="F10596" s="134" t="s">
        <v>3813</v>
      </c>
      <c r="G10596" s="63" t="str">
        <f>VLOOKUP(C10596, 'Class Def. - General Data'!$C$20:$C$1000,1,false)</f>
        <v>ZSI1_LAMP_COMP</v>
      </c>
      <c r="H10596" s="63" t="str">
        <f>IFERROR(__xludf.DUMMYFUNCTION("VLOOKUP(F10596, IMPORTRANGE(""https://docs.google.com/spreadsheets/d/1Lhp9OU0JdFf_VYSMzH5lBcEaU4o8teT1piV-SNzShjg/edit?gid=554141278#gid=554141278"", ""'Char Def. - Attributes'!C20:C2242""), 1,false)"),"ALT_UOM4_SIPI")</f>
        <v>ALT_UOM4_SIPI</v>
      </c>
      <c r="I10596" s="136"/>
      <c r="R10596" s="63" t="str">
        <f t="shared" si="60"/>
        <v>ZSI1_LAMP_COMPALT_UOM4_SIPI</v>
      </c>
    </row>
    <row r="10597" ht="15.75" customHeight="1">
      <c r="B10597" s="63">
        <f t="shared" si="1"/>
        <v>14</v>
      </c>
      <c r="C10597" s="135" t="s">
        <v>409</v>
      </c>
      <c r="D10597" s="161" t="s">
        <v>74</v>
      </c>
      <c r="E10597" s="135">
        <f t="shared" si="62"/>
        <v>24</v>
      </c>
      <c r="F10597" s="134" t="s">
        <v>3814</v>
      </c>
      <c r="G10597" s="63" t="str">
        <f>VLOOKUP(C10597, 'Class Def. - General Data'!$C$20:$C$1000,1,false)</f>
        <v>ZSI1_LAMP_COMP</v>
      </c>
      <c r="H10597" s="63" t="str">
        <f>IFERROR(__xludf.DUMMYFUNCTION("VLOOKUP(F10597, IMPORTRANGE(""https://docs.google.com/spreadsheets/d/1Lhp9OU0JdFf_VYSMzH5lBcEaU4o8teT1piV-SNzShjg/edit?gid=554141278#gid=554141278"", ""'Char Def. - Attributes'!C20:C2242""), 1,false)"),"ALT_DENUM_UOM4")</f>
        <v>ALT_DENUM_UOM4</v>
      </c>
      <c r="I10597" s="136"/>
      <c r="R10597" s="63" t="str">
        <f t="shared" si="60"/>
        <v>ZSI1_LAMP_COMPALT_DENUM_UOM4</v>
      </c>
    </row>
    <row r="10598" ht="15.75" customHeight="1">
      <c r="B10598" s="63">
        <f t="shared" si="1"/>
        <v>14</v>
      </c>
      <c r="C10598" s="135" t="s">
        <v>409</v>
      </c>
      <c r="D10598" s="161" t="s">
        <v>74</v>
      </c>
      <c r="E10598" s="135">
        <f t="shared" si="62"/>
        <v>25</v>
      </c>
      <c r="F10598" s="134" t="s">
        <v>3815</v>
      </c>
      <c r="G10598" s="63" t="str">
        <f>VLOOKUP(C10598, 'Class Def. - General Data'!$C$20:$C$1000,1,false)</f>
        <v>ZSI1_LAMP_COMP</v>
      </c>
      <c r="H10598" s="63" t="str">
        <f>IFERROR(__xludf.DUMMYFUNCTION("VLOOKUP(F10598, IMPORTRANGE(""https://docs.google.com/spreadsheets/d/1Lhp9OU0JdFf_VYSMzH5lBcEaU4o8teT1piV-SNzShjg/edit?gid=554141278#gid=554141278"", ""'Char Def. - Attributes'!C20:C2242""), 1,false)"),"ALT_NUM_UOM4")</f>
        <v>ALT_NUM_UOM4</v>
      </c>
      <c r="I10598" s="136"/>
      <c r="R10598" s="63" t="str">
        <f t="shared" si="60"/>
        <v>ZSI1_LAMP_COMPALT_NUM_UOM4</v>
      </c>
    </row>
    <row r="10599" ht="15.75" customHeight="1">
      <c r="B10599" s="63">
        <f t="shared" si="1"/>
        <v>14</v>
      </c>
      <c r="C10599" s="135" t="s">
        <v>409</v>
      </c>
      <c r="D10599" s="161" t="s">
        <v>74</v>
      </c>
      <c r="E10599" s="135">
        <f t="shared" si="62"/>
        <v>26</v>
      </c>
      <c r="F10599" s="134" t="s">
        <v>3816</v>
      </c>
      <c r="G10599" s="63" t="str">
        <f>VLOOKUP(C10599, 'Class Def. - General Data'!$C$20:$C$1000,1,false)</f>
        <v>ZSI1_LAMP_COMP</v>
      </c>
      <c r="H10599" s="63" t="str">
        <f>IFERROR(__xludf.DUMMYFUNCTION("VLOOKUP(F10599, IMPORTRANGE(""https://docs.google.com/spreadsheets/d/1Lhp9OU0JdFf_VYSMzH5lBcEaU4o8teT1piV-SNzShjg/edit?gid=554141278#gid=554141278"", ""'Char Def. - Attributes'!C20:C2242""), 1,false)"),"ALT_UOM5_SIPI")</f>
        <v>ALT_UOM5_SIPI</v>
      </c>
      <c r="I10599" s="136"/>
      <c r="R10599" s="63" t="str">
        <f t="shared" si="60"/>
        <v>ZSI1_LAMP_COMPALT_UOM5_SIPI</v>
      </c>
    </row>
    <row r="10600" ht="15.75" customHeight="1">
      <c r="B10600" s="63">
        <f t="shared" si="1"/>
        <v>14</v>
      </c>
      <c r="C10600" s="135" t="s">
        <v>409</v>
      </c>
      <c r="D10600" s="161" t="s">
        <v>74</v>
      </c>
      <c r="E10600" s="135">
        <f t="shared" si="62"/>
        <v>27</v>
      </c>
      <c r="F10600" s="134" t="s">
        <v>3817</v>
      </c>
      <c r="G10600" s="63" t="str">
        <f>VLOOKUP(C10600, 'Class Def. - General Data'!$C$20:$C$1000,1,false)</f>
        <v>ZSI1_LAMP_COMP</v>
      </c>
      <c r="H10600" s="63" t="str">
        <f>IFERROR(__xludf.DUMMYFUNCTION("VLOOKUP(F10600, IMPORTRANGE(""https://docs.google.com/spreadsheets/d/1Lhp9OU0JdFf_VYSMzH5lBcEaU4o8teT1piV-SNzShjg/edit?gid=554141278#gid=554141278"", ""'Char Def. - Attributes'!C20:C2242""), 1,false)"),"ALT_DENUM_UOM5")</f>
        <v>ALT_DENUM_UOM5</v>
      </c>
      <c r="I10600" s="136"/>
      <c r="R10600" s="63" t="str">
        <f t="shared" si="60"/>
        <v>ZSI1_LAMP_COMPALT_DENUM_UOM5</v>
      </c>
    </row>
    <row r="10601" ht="15.75" customHeight="1">
      <c r="B10601" s="63">
        <f t="shared" si="1"/>
        <v>14</v>
      </c>
      <c r="C10601" s="135" t="s">
        <v>409</v>
      </c>
      <c r="D10601" s="161" t="s">
        <v>74</v>
      </c>
      <c r="E10601" s="135">
        <f t="shared" si="62"/>
        <v>28</v>
      </c>
      <c r="F10601" s="134" t="s">
        <v>3818</v>
      </c>
      <c r="G10601" s="63" t="str">
        <f>VLOOKUP(C10601, 'Class Def. - General Data'!$C$20:$C$1000,1,false)</f>
        <v>ZSI1_LAMP_COMP</v>
      </c>
      <c r="H10601" s="63" t="str">
        <f>IFERROR(__xludf.DUMMYFUNCTION("VLOOKUP(F10601, IMPORTRANGE(""https://docs.google.com/spreadsheets/d/1Lhp9OU0JdFf_VYSMzH5lBcEaU4o8teT1piV-SNzShjg/edit?gid=554141278#gid=554141278"", ""'Char Def. - Attributes'!C20:C2242""), 1,false)"),"ALT_NUM_UOM5")</f>
        <v>ALT_NUM_UOM5</v>
      </c>
      <c r="I10601" s="136"/>
      <c r="R10601" s="63" t="str">
        <f t="shared" si="60"/>
        <v>ZSI1_LAMP_COMPALT_NUM_UOM5</v>
      </c>
    </row>
    <row r="10602" ht="15.75" customHeight="1">
      <c r="B10602" s="63">
        <f t="shared" si="1"/>
        <v>16</v>
      </c>
      <c r="C10602" s="135" t="s">
        <v>410</v>
      </c>
      <c r="D10602" s="161" t="s">
        <v>74</v>
      </c>
      <c r="E10602" s="135">
        <f t="shared" si="62"/>
        <v>1</v>
      </c>
      <c r="F10602" s="134" t="s">
        <v>4783</v>
      </c>
      <c r="G10602" s="63" t="str">
        <f>VLOOKUP(C10602, 'Class Def. - General Data'!$C$20:$C$1000,1,false)</f>
        <v>ZSI1_LAUNDRY_EQP</v>
      </c>
      <c r="H10602" s="63" t="str">
        <f>IFERROR(__xludf.DUMMYFUNCTION("VLOOKUP(F10602, IMPORTRANGE(""https://docs.google.com/spreadsheets/d/1Lhp9OU0JdFf_VYSMzH5lBcEaU4o8teT1piV-SNzShjg/edit?gid=554141278#gid=554141278"", ""'Char Def. - Attributes'!C20:C2242""), 1,false)"),"ITEM_NAME_LAUNDRY_EQP")</f>
        <v>ITEM_NAME_LAUNDRY_EQP</v>
      </c>
      <c r="I10602" s="136"/>
      <c r="R10602" s="63" t="str">
        <f t="shared" si="60"/>
        <v>ZSI1_LAUNDRY_EQPITEM_NAME_LAUNDRY_EQP</v>
      </c>
    </row>
    <row r="10603" ht="15.75" customHeight="1">
      <c r="B10603" s="63">
        <f t="shared" si="1"/>
        <v>16</v>
      </c>
      <c r="C10603" s="135" t="s">
        <v>410</v>
      </c>
      <c r="D10603" s="161" t="s">
        <v>74</v>
      </c>
      <c r="E10603" s="135">
        <f t="shared" si="62"/>
        <v>2</v>
      </c>
      <c r="F10603" s="134" t="s">
        <v>4784</v>
      </c>
      <c r="G10603" s="63" t="str">
        <f>VLOOKUP(C10603, 'Class Def. - General Data'!$C$20:$C$1000,1,false)</f>
        <v>ZSI1_LAUNDRY_EQP</v>
      </c>
      <c r="H10603" s="63" t="str">
        <f>IFERROR(__xludf.DUMMYFUNCTION("VLOOKUP(F10603, IMPORTRANGE(""https://docs.google.com/spreadsheets/d/1Lhp9OU0JdFf_VYSMzH5lBcEaU4o8teT1piV-SNzShjg/edit?gid=554141278#gid=554141278"", ""'Char Def. - Attributes'!C20:C2242""), 1,false)"),"MFR_NO_LAUNDRY_EQP")</f>
        <v>MFR_NO_LAUNDRY_EQP</v>
      </c>
      <c r="I10603" s="136"/>
      <c r="R10603" s="63" t="str">
        <f t="shared" si="60"/>
        <v>ZSI1_LAUNDRY_EQPMFR_NO_LAUNDRY_EQP</v>
      </c>
    </row>
    <row r="10604" ht="15.75" customHeight="1">
      <c r="B10604" s="63">
        <f t="shared" si="1"/>
        <v>16</v>
      </c>
      <c r="C10604" s="135" t="s">
        <v>410</v>
      </c>
      <c r="D10604" s="161" t="s">
        <v>74</v>
      </c>
      <c r="E10604" s="135">
        <f t="shared" si="62"/>
        <v>3</v>
      </c>
      <c r="F10604" s="134" t="s">
        <v>3782</v>
      </c>
      <c r="G10604" s="63" t="str">
        <f>VLOOKUP(C10604, 'Class Def. - General Data'!$C$20:$C$1000,1,false)</f>
        <v>ZSI1_LAUNDRY_EQP</v>
      </c>
      <c r="H10604" s="63" t="str">
        <f>IFERROR(__xludf.DUMMYFUNCTION("VLOOKUP(F10604, IMPORTRANGE(""https://docs.google.com/spreadsheets/d/1Lhp9OU0JdFf_VYSMzH5lBcEaU4o8teT1piV-SNzShjg/edit?gid=554141278#gid=554141278"", ""'Char Def. - Attributes'!C20:C2242""), 1,false)"),"BRAND_EXTERNAL")</f>
        <v>BRAND_EXTERNAL</v>
      </c>
      <c r="I10604" s="136"/>
      <c r="R10604" s="63" t="str">
        <f t="shared" si="60"/>
        <v>ZSI1_LAUNDRY_EQPBRAND_EXTERNAL</v>
      </c>
    </row>
    <row r="10605" ht="15.75" customHeight="1">
      <c r="B10605" s="63">
        <f t="shared" si="1"/>
        <v>16</v>
      </c>
      <c r="C10605" s="135" t="s">
        <v>410</v>
      </c>
      <c r="D10605" s="161" t="s">
        <v>74</v>
      </c>
      <c r="E10605" s="135">
        <f t="shared" si="62"/>
        <v>4</v>
      </c>
      <c r="F10605" s="134" t="s">
        <v>3779</v>
      </c>
      <c r="G10605" s="63" t="str">
        <f>VLOOKUP(C10605, 'Class Def. - General Data'!$C$20:$C$1000,1,false)</f>
        <v>ZSI1_LAUNDRY_EQP</v>
      </c>
      <c r="H10605" s="63" t="str">
        <f>IFERROR(__xludf.DUMMYFUNCTION("VLOOKUP(F10605, IMPORTRANGE(""https://docs.google.com/spreadsheets/d/1Lhp9OU0JdFf_VYSMzH5lBcEaU4o8teT1piV-SNzShjg/edit?gid=554141278#gid=554141278"", ""'Char Def. - Attributes'!C20:C2242""), 1,false)"),"EMBOSSED_BRAND_WINGS")</f>
        <v>EMBOSSED_BRAND_WINGS</v>
      </c>
      <c r="I10605" s="136"/>
      <c r="R10605" s="63" t="str">
        <f t="shared" si="60"/>
        <v>ZSI1_LAUNDRY_EQPEMBOSSED_BRAND_WINGS</v>
      </c>
    </row>
    <row r="10606" ht="15.75" customHeight="1">
      <c r="B10606" s="63">
        <f t="shared" si="1"/>
        <v>16</v>
      </c>
      <c r="C10606" s="135" t="s">
        <v>410</v>
      </c>
      <c r="D10606" s="161" t="s">
        <v>74</v>
      </c>
      <c r="E10606" s="135">
        <f t="shared" si="62"/>
        <v>5</v>
      </c>
      <c r="F10606" s="134" t="s">
        <v>3780</v>
      </c>
      <c r="G10606" s="63" t="str">
        <f>VLOOKUP(C10606, 'Class Def. - General Data'!$C$20:$C$1000,1,false)</f>
        <v>ZSI1_LAUNDRY_EQP</v>
      </c>
      <c r="H10606" s="63" t="str">
        <f>IFERROR(__xludf.DUMMYFUNCTION("VLOOKUP(F10606, IMPORTRANGE(""https://docs.google.com/spreadsheets/d/1Lhp9OU0JdFf_VYSMzH5lBcEaU4o8teT1piV-SNzShjg/edit?gid=554141278#gid=554141278"", ""'Char Def. - Attributes'!C20:C2242""), 1,false)"),"BRAND_WINGS_SIPI")</f>
        <v>BRAND_WINGS_SIPI</v>
      </c>
      <c r="I10606" s="136"/>
      <c r="R10606" s="63" t="str">
        <f t="shared" si="60"/>
        <v>ZSI1_LAUNDRY_EQPBRAND_WINGS_SIPI</v>
      </c>
    </row>
    <row r="10607" ht="15.75" customHeight="1">
      <c r="B10607" s="63">
        <f t="shared" si="1"/>
        <v>16</v>
      </c>
      <c r="C10607" s="135" t="s">
        <v>410</v>
      </c>
      <c r="D10607" s="161" t="s">
        <v>74</v>
      </c>
      <c r="E10607" s="135">
        <f t="shared" si="62"/>
        <v>6</v>
      </c>
      <c r="F10607" s="134" t="s">
        <v>3778</v>
      </c>
      <c r="G10607" s="63" t="str">
        <f>VLOOKUP(C10607, 'Class Def. - General Data'!$C$20:$C$1000,1,false)</f>
        <v>ZSI1_LAUNDRY_EQP</v>
      </c>
      <c r="H10607" s="63" t="str">
        <f>IFERROR(__xludf.DUMMYFUNCTION("VLOOKUP(F10607, IMPORTRANGE(""https://docs.google.com/spreadsheets/d/1Lhp9OU0JdFf_VYSMzH5lBcEaU4o8teT1piV-SNzShjg/edit?gid=554141278#gid=554141278"", ""'Char Def. - Attributes'!C20:C2242""), 1,false)"),"SPECIAL_ACTIVITY")</f>
        <v>SPECIAL_ACTIVITY</v>
      </c>
      <c r="I10607" s="136"/>
      <c r="R10607" s="63" t="str">
        <f t="shared" si="60"/>
        <v>ZSI1_LAUNDRY_EQPSPECIAL_ACTIVITY</v>
      </c>
    </row>
    <row r="10608" ht="15.75" customHeight="1">
      <c r="B10608" s="63">
        <f t="shared" si="1"/>
        <v>16</v>
      </c>
      <c r="C10608" s="135" t="s">
        <v>410</v>
      </c>
      <c r="D10608" s="161" t="s">
        <v>74</v>
      </c>
      <c r="E10608" s="135">
        <f t="shared" si="62"/>
        <v>7</v>
      </c>
      <c r="F10608" s="134" t="s">
        <v>3585</v>
      </c>
      <c r="G10608" s="63" t="str">
        <f>VLOOKUP(C10608, 'Class Def. - General Data'!$C$20:$C$1000,1,false)</f>
        <v>ZSI1_LAUNDRY_EQP</v>
      </c>
      <c r="H10608" s="63" t="str">
        <f>IFERROR(__xludf.DUMMYFUNCTION("VLOOKUP(F10608, IMPORTRANGE(""https://docs.google.com/spreadsheets/d/1Lhp9OU0JdFf_VYSMzH5lBcEaU4o8teT1piV-SNzShjg/edit?gid=554141278#gid=554141278"", ""'Char Def. - Attributes'!C20:C2242""), 1,false)"),"HS_CODE")</f>
        <v>HS_CODE</v>
      </c>
      <c r="I10608" s="136"/>
      <c r="R10608" s="63" t="str">
        <f t="shared" si="60"/>
        <v>ZSI1_LAUNDRY_EQPHS_CODE</v>
      </c>
    </row>
    <row r="10609" ht="15.75" customHeight="1">
      <c r="B10609" s="63">
        <f t="shared" si="1"/>
        <v>16</v>
      </c>
      <c r="C10609" s="135" t="s">
        <v>410</v>
      </c>
      <c r="D10609" s="161" t="s">
        <v>74</v>
      </c>
      <c r="E10609" s="135">
        <f t="shared" si="62"/>
        <v>8</v>
      </c>
      <c r="F10609" s="134" t="s">
        <v>3587</v>
      </c>
      <c r="G10609" s="63" t="str">
        <f>VLOOKUP(C10609, 'Class Def. - General Data'!$C$20:$C$1000,1,false)</f>
        <v>ZSI1_LAUNDRY_EQP</v>
      </c>
      <c r="H10609" s="63" t="str">
        <f>IFERROR(__xludf.DUMMYFUNCTION("VLOOKUP(F10609, IMPORTRANGE(""https://docs.google.com/spreadsheets/d/1Lhp9OU0JdFf_VYSMzH5lBcEaU4o8teT1piV-SNzShjg/edit?gid=554141278#gid=554141278"", ""'Char Def. - Attributes'!C20:C2242""), 1,false)"),"PLANT_BUY")</f>
        <v>PLANT_BUY</v>
      </c>
      <c r="I10609" s="136"/>
      <c r="R10609" s="63" t="str">
        <f t="shared" si="60"/>
        <v>ZSI1_LAUNDRY_EQPPLANT_BUY</v>
      </c>
    </row>
    <row r="10610" ht="15.75" customHeight="1">
      <c r="B10610" s="63">
        <f t="shared" si="1"/>
        <v>16</v>
      </c>
      <c r="C10610" s="135" t="s">
        <v>410</v>
      </c>
      <c r="D10610" s="161" t="s">
        <v>74</v>
      </c>
      <c r="E10610" s="135">
        <f t="shared" si="62"/>
        <v>9</v>
      </c>
      <c r="F10610" s="134" t="s">
        <v>4785</v>
      </c>
      <c r="G10610" s="63" t="str">
        <f>VLOOKUP(C10610, 'Class Def. - General Data'!$C$20:$C$1000,1,false)</f>
        <v>ZSI1_LAUNDRY_EQP</v>
      </c>
      <c r="H10610" s="63" t="str">
        <f>IFERROR(__xludf.DUMMYFUNCTION("VLOOKUP(F10610, IMPORTRANGE(""https://docs.google.com/spreadsheets/d/1Lhp9OU0JdFf_VYSMzH5lBcEaU4o8teT1piV-SNzShjg/edit?gid=554141278#gid=554141278"", ""'Char Def. - Attributes'!C20:C2242""), 1,false)"),"BASE_UOM_LAUNDRY_EQP")</f>
        <v>BASE_UOM_LAUNDRY_EQP</v>
      </c>
      <c r="I10610" s="136"/>
      <c r="R10610" s="63" t="str">
        <f t="shared" si="60"/>
        <v>ZSI1_LAUNDRY_EQPBASE_UOM_LAUNDRY_EQP</v>
      </c>
    </row>
    <row r="10611" ht="15.75" customHeight="1">
      <c r="B10611" s="63">
        <f t="shared" si="1"/>
        <v>16</v>
      </c>
      <c r="C10611" s="135" t="s">
        <v>410</v>
      </c>
      <c r="D10611" s="161" t="s">
        <v>74</v>
      </c>
      <c r="E10611" s="135">
        <f t="shared" si="62"/>
        <v>10</v>
      </c>
      <c r="F10611" s="134" t="s">
        <v>4786</v>
      </c>
      <c r="G10611" s="63" t="str">
        <f>VLOOKUP(C10611, 'Class Def. - General Data'!$C$20:$C$1000,1,false)</f>
        <v>ZSI1_LAUNDRY_EQP</v>
      </c>
      <c r="H10611" s="63" t="str">
        <f>IFERROR(__xludf.DUMMYFUNCTION("VLOOKUP(F10611, IMPORTRANGE(""https://docs.google.com/spreadsheets/d/1Lhp9OU0JdFf_VYSMzH5lBcEaU4o8teT1piV-SNzShjg/edit?gid=554141278#gid=554141278"", ""'Char Def. - Attributes'!C20:C2242""), 1,false)"),"ORDER_UNIT_LAUNDRY_EQP")</f>
        <v>ORDER_UNIT_LAUNDRY_EQP</v>
      </c>
      <c r="I10611" s="136"/>
      <c r="R10611" s="63" t="str">
        <f t="shared" si="60"/>
        <v>ZSI1_LAUNDRY_EQPORDER_UNIT_LAUNDRY_EQP</v>
      </c>
    </row>
    <row r="10612" ht="15.75" customHeight="1">
      <c r="B10612" s="63">
        <f t="shared" si="1"/>
        <v>16</v>
      </c>
      <c r="C10612" s="135" t="s">
        <v>410</v>
      </c>
      <c r="D10612" s="161" t="s">
        <v>74</v>
      </c>
      <c r="E10612" s="135">
        <f t="shared" si="62"/>
        <v>11</v>
      </c>
      <c r="F10612" s="134" t="s">
        <v>4056</v>
      </c>
      <c r="G10612" s="63" t="str">
        <f>VLOOKUP(C10612, 'Class Def. - General Data'!$C$20:$C$1000,1,false)</f>
        <v>ZSI1_LAUNDRY_EQP</v>
      </c>
      <c r="H10612" s="63" t="str">
        <f>IFERROR(__xludf.DUMMYFUNCTION("VLOOKUP(F10612, IMPORTRANGE(""https://docs.google.com/spreadsheets/d/1Lhp9OU0JdFf_VYSMzH5lBcEaU4o8teT1piV-SNzShjg/edit?gid=554141278#gid=554141278"", ""'Char Def. - Attributes'!C20:C2242""), 1,false)"),"GROSS_WEIGHT_OPT")</f>
        <v>GROSS_WEIGHT_OPT</v>
      </c>
      <c r="I10612" s="136"/>
      <c r="R10612" s="63" t="str">
        <f t="shared" si="60"/>
        <v>ZSI1_LAUNDRY_EQPGROSS_WEIGHT_OPT</v>
      </c>
    </row>
    <row r="10613" ht="15.75" customHeight="1">
      <c r="B10613" s="63">
        <f t="shared" si="1"/>
        <v>16</v>
      </c>
      <c r="C10613" s="135" t="s">
        <v>410</v>
      </c>
      <c r="D10613" s="161" t="s">
        <v>74</v>
      </c>
      <c r="E10613" s="135">
        <f t="shared" si="62"/>
        <v>12</v>
      </c>
      <c r="F10613" s="134" t="s">
        <v>4057</v>
      </c>
      <c r="G10613" s="63" t="str">
        <f>VLOOKUP(C10613, 'Class Def. - General Data'!$C$20:$C$1000,1,false)</f>
        <v>ZSI1_LAUNDRY_EQP</v>
      </c>
      <c r="H10613" s="63" t="str">
        <f>IFERROR(__xludf.DUMMYFUNCTION("VLOOKUP(F10613, IMPORTRANGE(""https://docs.google.com/spreadsheets/d/1Lhp9OU0JdFf_VYSMzH5lBcEaU4o8teT1piV-SNzShjg/edit?gid=554141278#gid=554141278"", ""'Char Def. - Attributes'!C20:C2242""), 1,false)"),"NET_WEIGHT_OPT")</f>
        <v>NET_WEIGHT_OPT</v>
      </c>
      <c r="I10613" s="136"/>
      <c r="R10613" s="63" t="str">
        <f t="shared" si="60"/>
        <v>ZSI1_LAUNDRY_EQPNET_WEIGHT_OPT</v>
      </c>
    </row>
    <row r="10614" ht="15.75" customHeight="1">
      <c r="B10614" s="63">
        <f t="shared" si="1"/>
        <v>16</v>
      </c>
      <c r="C10614" s="135" t="s">
        <v>410</v>
      </c>
      <c r="D10614" s="161" t="s">
        <v>74</v>
      </c>
      <c r="E10614" s="135">
        <f t="shared" si="62"/>
        <v>13</v>
      </c>
      <c r="F10614" s="134" t="s">
        <v>4058</v>
      </c>
      <c r="G10614" s="63" t="str">
        <f>VLOOKUP(C10614, 'Class Def. - General Data'!$C$20:$C$1000,1,false)</f>
        <v>ZSI1_LAUNDRY_EQP</v>
      </c>
      <c r="H10614" s="63" t="str">
        <f>IFERROR(__xludf.DUMMYFUNCTION("VLOOKUP(F10614, IMPORTRANGE(""https://docs.google.com/spreadsheets/d/1Lhp9OU0JdFf_VYSMzH5lBcEaU4o8teT1piV-SNzShjg/edit?gid=554141278#gid=554141278"", ""'Char Def. - Attributes'!C20:C2242""), 1,false)"),"WEIGHT_UNIT_SI")</f>
        <v>WEIGHT_UNIT_SI</v>
      </c>
      <c r="I10614" s="136"/>
      <c r="R10614" s="63" t="str">
        <f t="shared" si="60"/>
        <v>ZSI1_LAUNDRY_EQPWEIGHT_UNIT_SI</v>
      </c>
    </row>
    <row r="10615" ht="15.75" customHeight="1">
      <c r="B10615" s="63">
        <f t="shared" si="1"/>
        <v>16</v>
      </c>
      <c r="C10615" s="135" t="s">
        <v>410</v>
      </c>
      <c r="D10615" s="161" t="s">
        <v>74</v>
      </c>
      <c r="E10615" s="135">
        <f t="shared" si="62"/>
        <v>14</v>
      </c>
      <c r="F10615" s="134" t="s">
        <v>3877</v>
      </c>
      <c r="G10615" s="63" t="str">
        <f>VLOOKUP(C10615, 'Class Def. - General Data'!$C$20:$C$1000,1,false)</f>
        <v>ZSI1_LAUNDRY_EQP</v>
      </c>
      <c r="H10615" s="63" t="str">
        <f>IFERROR(__xludf.DUMMYFUNCTION("VLOOKUP(F10615, IMPORTRANGE(""https://docs.google.com/spreadsheets/d/1Lhp9OU0JdFf_VYSMzH5lBcEaU4o8teT1piV-SNzShjg/edit?gid=554141278#gid=554141278"", ""'Char Def. - Attributes'!C20:C2242""), 1,false)"),"VOLUME_OPT")</f>
        <v>VOLUME_OPT</v>
      </c>
      <c r="I10615" s="136"/>
      <c r="R10615" s="63" t="str">
        <f t="shared" si="60"/>
        <v>ZSI1_LAUNDRY_EQPVOLUME_OPT</v>
      </c>
    </row>
    <row r="10616" ht="15.75" customHeight="1">
      <c r="B10616" s="63">
        <f t="shared" si="1"/>
        <v>16</v>
      </c>
      <c r="C10616" s="135" t="s">
        <v>410</v>
      </c>
      <c r="D10616" s="161" t="s">
        <v>74</v>
      </c>
      <c r="E10616" s="135">
        <f t="shared" si="62"/>
        <v>15</v>
      </c>
      <c r="F10616" s="134" t="s">
        <v>4059</v>
      </c>
      <c r="G10616" s="63" t="str">
        <f>VLOOKUP(C10616, 'Class Def. - General Data'!$C$20:$C$1000,1,false)</f>
        <v>ZSI1_LAUNDRY_EQP</v>
      </c>
      <c r="H10616" s="63" t="str">
        <f>IFERROR(__xludf.DUMMYFUNCTION("VLOOKUP(F10616, IMPORTRANGE(""https://docs.google.com/spreadsheets/d/1Lhp9OU0JdFf_VYSMzH5lBcEaU4o8teT1piV-SNzShjg/edit?gid=554141278#gid=554141278"", ""'Char Def. - Attributes'!C20:C2242""), 1,false)"),"VOLUME_UNIT_SI")</f>
        <v>VOLUME_UNIT_SI</v>
      </c>
      <c r="I10616" s="136"/>
      <c r="R10616" s="63" t="str">
        <f t="shared" si="60"/>
        <v>ZSI1_LAUNDRY_EQPVOLUME_UNIT_SI</v>
      </c>
    </row>
    <row r="10617" ht="15.75" customHeight="1">
      <c r="B10617" s="63">
        <f t="shared" si="1"/>
        <v>16</v>
      </c>
      <c r="C10617" s="135" t="s">
        <v>410</v>
      </c>
      <c r="D10617" s="161" t="s">
        <v>74</v>
      </c>
      <c r="E10617" s="135">
        <f t="shared" si="62"/>
        <v>16</v>
      </c>
      <c r="F10617" s="134" t="s">
        <v>3804</v>
      </c>
      <c r="G10617" s="63" t="str">
        <f>VLOOKUP(C10617, 'Class Def. - General Data'!$C$20:$C$1000,1,false)</f>
        <v>ZSI1_LAUNDRY_EQP</v>
      </c>
      <c r="H10617" s="63" t="str">
        <f>IFERROR(__xludf.DUMMYFUNCTION("VLOOKUP(F10617, IMPORTRANGE(""https://docs.google.com/spreadsheets/d/1Lhp9OU0JdFf_VYSMzH5lBcEaU4o8teT1piV-SNzShjg/edit?gid=554141278#gid=554141278"", ""'Char Def. - Attributes'!C20:C2242""), 1,false)"),"ALT_UOM1_SIPI")</f>
        <v>ALT_UOM1_SIPI</v>
      </c>
      <c r="I10617" s="136"/>
      <c r="R10617" s="63" t="str">
        <f t="shared" si="60"/>
        <v>ZSI1_LAUNDRY_EQPALT_UOM1_SIPI</v>
      </c>
    </row>
    <row r="10618" ht="15.75" customHeight="1">
      <c r="B10618" s="63">
        <f t="shared" si="1"/>
        <v>16</v>
      </c>
      <c r="C10618" s="135" t="s">
        <v>410</v>
      </c>
      <c r="D10618" s="161" t="s">
        <v>74</v>
      </c>
      <c r="E10618" s="135">
        <f t="shared" si="62"/>
        <v>17</v>
      </c>
      <c r="F10618" s="134" t="s">
        <v>3805</v>
      </c>
      <c r="G10618" s="63" t="str">
        <f>VLOOKUP(C10618, 'Class Def. - General Data'!$C$20:$C$1000,1,false)</f>
        <v>ZSI1_LAUNDRY_EQP</v>
      </c>
      <c r="H10618" s="63" t="str">
        <f>IFERROR(__xludf.DUMMYFUNCTION("VLOOKUP(F10618, IMPORTRANGE(""https://docs.google.com/spreadsheets/d/1Lhp9OU0JdFf_VYSMzH5lBcEaU4o8teT1piV-SNzShjg/edit?gid=554141278#gid=554141278"", ""'Char Def. - Attributes'!C20:C2242""), 1,false)"),"ALT_DENUM_UOM1")</f>
        <v>ALT_DENUM_UOM1</v>
      </c>
      <c r="I10618" s="136"/>
      <c r="R10618" s="63" t="str">
        <f t="shared" si="60"/>
        <v>ZSI1_LAUNDRY_EQPALT_DENUM_UOM1</v>
      </c>
    </row>
    <row r="10619" ht="15.75" customHeight="1">
      <c r="B10619" s="63">
        <f t="shared" si="1"/>
        <v>16</v>
      </c>
      <c r="C10619" s="135" t="s">
        <v>410</v>
      </c>
      <c r="D10619" s="161" t="s">
        <v>74</v>
      </c>
      <c r="E10619" s="135">
        <f t="shared" si="62"/>
        <v>18</v>
      </c>
      <c r="F10619" s="134" t="s">
        <v>3806</v>
      </c>
      <c r="G10619" s="63" t="str">
        <f>VLOOKUP(C10619, 'Class Def. - General Data'!$C$20:$C$1000,1,false)</f>
        <v>ZSI1_LAUNDRY_EQP</v>
      </c>
      <c r="H10619" s="63" t="str">
        <f>IFERROR(__xludf.DUMMYFUNCTION("VLOOKUP(F10619, IMPORTRANGE(""https://docs.google.com/spreadsheets/d/1Lhp9OU0JdFf_VYSMzH5lBcEaU4o8teT1piV-SNzShjg/edit?gid=554141278#gid=554141278"", ""'Char Def. - Attributes'!C20:C2242""), 1,false)"),"ALT_NUM_UOM1")</f>
        <v>ALT_NUM_UOM1</v>
      </c>
      <c r="I10619" s="136"/>
      <c r="R10619" s="63" t="str">
        <f t="shared" si="60"/>
        <v>ZSI1_LAUNDRY_EQPALT_NUM_UOM1</v>
      </c>
    </row>
    <row r="10620" ht="15.75" customHeight="1">
      <c r="B10620" s="63">
        <f t="shared" si="1"/>
        <v>16</v>
      </c>
      <c r="C10620" s="135" t="s">
        <v>410</v>
      </c>
      <c r="D10620" s="161" t="s">
        <v>74</v>
      </c>
      <c r="E10620" s="135">
        <f t="shared" si="62"/>
        <v>19</v>
      </c>
      <c r="F10620" s="134" t="s">
        <v>3807</v>
      </c>
      <c r="G10620" s="63" t="str">
        <f>VLOOKUP(C10620, 'Class Def. - General Data'!$C$20:$C$1000,1,false)</f>
        <v>ZSI1_LAUNDRY_EQP</v>
      </c>
      <c r="H10620" s="63" t="str">
        <f>IFERROR(__xludf.DUMMYFUNCTION("VLOOKUP(F10620, IMPORTRANGE(""https://docs.google.com/spreadsheets/d/1Lhp9OU0JdFf_VYSMzH5lBcEaU4o8teT1piV-SNzShjg/edit?gid=554141278#gid=554141278"", ""'Char Def. - Attributes'!C20:C2242""), 1,false)"),"ALT_UOM2_SIPI")</f>
        <v>ALT_UOM2_SIPI</v>
      </c>
      <c r="I10620" s="136"/>
      <c r="R10620" s="63" t="str">
        <f t="shared" si="60"/>
        <v>ZSI1_LAUNDRY_EQPALT_UOM2_SIPI</v>
      </c>
    </row>
    <row r="10621" ht="15.75" customHeight="1">
      <c r="B10621" s="63">
        <f t="shared" si="1"/>
        <v>16</v>
      </c>
      <c r="C10621" s="135" t="s">
        <v>410</v>
      </c>
      <c r="D10621" s="161" t="s">
        <v>74</v>
      </c>
      <c r="E10621" s="135">
        <f t="shared" si="62"/>
        <v>20</v>
      </c>
      <c r="F10621" s="134" t="s">
        <v>3808</v>
      </c>
      <c r="G10621" s="63" t="str">
        <f>VLOOKUP(C10621, 'Class Def. - General Data'!$C$20:$C$1000,1,false)</f>
        <v>ZSI1_LAUNDRY_EQP</v>
      </c>
      <c r="H10621" s="63" t="str">
        <f>IFERROR(__xludf.DUMMYFUNCTION("VLOOKUP(F10621, IMPORTRANGE(""https://docs.google.com/spreadsheets/d/1Lhp9OU0JdFf_VYSMzH5lBcEaU4o8teT1piV-SNzShjg/edit?gid=554141278#gid=554141278"", ""'Char Def. - Attributes'!C20:C2242""), 1,false)"),"ALT_DENUM_UOM2")</f>
        <v>ALT_DENUM_UOM2</v>
      </c>
      <c r="I10621" s="136"/>
      <c r="R10621" s="63" t="str">
        <f t="shared" si="60"/>
        <v>ZSI1_LAUNDRY_EQPALT_DENUM_UOM2</v>
      </c>
    </row>
    <row r="10622" ht="15.75" customHeight="1">
      <c r="B10622" s="63">
        <f t="shared" si="1"/>
        <v>16</v>
      </c>
      <c r="C10622" s="135" t="s">
        <v>410</v>
      </c>
      <c r="D10622" s="161" t="s">
        <v>74</v>
      </c>
      <c r="E10622" s="135">
        <f t="shared" si="62"/>
        <v>21</v>
      </c>
      <c r="F10622" s="134" t="s">
        <v>3809</v>
      </c>
      <c r="G10622" s="63" t="str">
        <f>VLOOKUP(C10622, 'Class Def. - General Data'!$C$20:$C$1000,1,false)</f>
        <v>ZSI1_LAUNDRY_EQP</v>
      </c>
      <c r="H10622" s="63" t="str">
        <f>IFERROR(__xludf.DUMMYFUNCTION("VLOOKUP(F10622, IMPORTRANGE(""https://docs.google.com/spreadsheets/d/1Lhp9OU0JdFf_VYSMzH5lBcEaU4o8teT1piV-SNzShjg/edit?gid=554141278#gid=554141278"", ""'Char Def. - Attributes'!C20:C2242""), 1,false)"),"ALT_NUM_UOM2")</f>
        <v>ALT_NUM_UOM2</v>
      </c>
      <c r="I10622" s="136"/>
      <c r="R10622" s="63" t="str">
        <f t="shared" si="60"/>
        <v>ZSI1_LAUNDRY_EQPALT_NUM_UOM2</v>
      </c>
    </row>
    <row r="10623" ht="15.75" customHeight="1">
      <c r="B10623" s="63">
        <f t="shared" si="1"/>
        <v>16</v>
      </c>
      <c r="C10623" s="135" t="s">
        <v>410</v>
      </c>
      <c r="D10623" s="161" t="s">
        <v>74</v>
      </c>
      <c r="E10623" s="135">
        <f t="shared" si="62"/>
        <v>22</v>
      </c>
      <c r="F10623" s="134" t="s">
        <v>3810</v>
      </c>
      <c r="G10623" s="63" t="str">
        <f>VLOOKUP(C10623, 'Class Def. - General Data'!$C$20:$C$1000,1,false)</f>
        <v>ZSI1_LAUNDRY_EQP</v>
      </c>
      <c r="H10623" s="63" t="str">
        <f>IFERROR(__xludf.DUMMYFUNCTION("VLOOKUP(F10623, IMPORTRANGE(""https://docs.google.com/spreadsheets/d/1Lhp9OU0JdFf_VYSMzH5lBcEaU4o8teT1piV-SNzShjg/edit?gid=554141278#gid=554141278"", ""'Char Def. - Attributes'!C20:C2242""), 1,false)"),"ALT_UOM3_SIPI")</f>
        <v>ALT_UOM3_SIPI</v>
      </c>
      <c r="I10623" s="136"/>
      <c r="R10623" s="63" t="str">
        <f t="shared" si="60"/>
        <v>ZSI1_LAUNDRY_EQPALT_UOM3_SIPI</v>
      </c>
    </row>
    <row r="10624" ht="15.75" customHeight="1">
      <c r="B10624" s="63">
        <f t="shared" si="1"/>
        <v>16</v>
      </c>
      <c r="C10624" s="135" t="s">
        <v>410</v>
      </c>
      <c r="D10624" s="161" t="s">
        <v>74</v>
      </c>
      <c r="E10624" s="135">
        <f t="shared" si="62"/>
        <v>23</v>
      </c>
      <c r="F10624" s="134" t="s">
        <v>3811</v>
      </c>
      <c r="G10624" s="63" t="str">
        <f>VLOOKUP(C10624, 'Class Def. - General Data'!$C$20:$C$1000,1,false)</f>
        <v>ZSI1_LAUNDRY_EQP</v>
      </c>
      <c r="H10624" s="63" t="str">
        <f>IFERROR(__xludf.DUMMYFUNCTION("VLOOKUP(F10624, IMPORTRANGE(""https://docs.google.com/spreadsheets/d/1Lhp9OU0JdFf_VYSMzH5lBcEaU4o8teT1piV-SNzShjg/edit?gid=554141278#gid=554141278"", ""'Char Def. - Attributes'!C20:C2242""), 1,false)"),"ALT_DENUM_UOM3")</f>
        <v>ALT_DENUM_UOM3</v>
      </c>
      <c r="I10624" s="136"/>
      <c r="R10624" s="63" t="str">
        <f t="shared" si="60"/>
        <v>ZSI1_LAUNDRY_EQPALT_DENUM_UOM3</v>
      </c>
    </row>
    <row r="10625" ht="15.75" customHeight="1">
      <c r="B10625" s="63">
        <f t="shared" si="1"/>
        <v>16</v>
      </c>
      <c r="C10625" s="135" t="s">
        <v>410</v>
      </c>
      <c r="D10625" s="161" t="s">
        <v>74</v>
      </c>
      <c r="E10625" s="135">
        <f t="shared" si="62"/>
        <v>24</v>
      </c>
      <c r="F10625" s="134" t="s">
        <v>3812</v>
      </c>
      <c r="G10625" s="63" t="str">
        <f>VLOOKUP(C10625, 'Class Def. - General Data'!$C$20:$C$1000,1,false)</f>
        <v>ZSI1_LAUNDRY_EQP</v>
      </c>
      <c r="H10625" s="63" t="str">
        <f>IFERROR(__xludf.DUMMYFUNCTION("VLOOKUP(F10625, IMPORTRANGE(""https://docs.google.com/spreadsheets/d/1Lhp9OU0JdFf_VYSMzH5lBcEaU4o8teT1piV-SNzShjg/edit?gid=554141278#gid=554141278"", ""'Char Def. - Attributes'!C20:C2242""), 1,false)"),"ALT_NUM_UOM3")</f>
        <v>ALT_NUM_UOM3</v>
      </c>
      <c r="I10625" s="136"/>
      <c r="R10625" s="63" t="str">
        <f t="shared" si="60"/>
        <v>ZSI1_LAUNDRY_EQPALT_NUM_UOM3</v>
      </c>
    </row>
    <row r="10626" ht="15.75" customHeight="1">
      <c r="B10626" s="63">
        <f t="shared" si="1"/>
        <v>16</v>
      </c>
      <c r="C10626" s="135" t="s">
        <v>410</v>
      </c>
      <c r="D10626" s="161" t="s">
        <v>74</v>
      </c>
      <c r="E10626" s="135">
        <f t="shared" si="62"/>
        <v>25</v>
      </c>
      <c r="F10626" s="134" t="s">
        <v>3813</v>
      </c>
      <c r="G10626" s="63" t="str">
        <f>VLOOKUP(C10626, 'Class Def. - General Data'!$C$20:$C$1000,1,false)</f>
        <v>ZSI1_LAUNDRY_EQP</v>
      </c>
      <c r="H10626" s="63" t="str">
        <f>IFERROR(__xludf.DUMMYFUNCTION("VLOOKUP(F10626, IMPORTRANGE(""https://docs.google.com/spreadsheets/d/1Lhp9OU0JdFf_VYSMzH5lBcEaU4o8teT1piV-SNzShjg/edit?gid=554141278#gid=554141278"", ""'Char Def. - Attributes'!C20:C2242""), 1,false)"),"ALT_UOM4_SIPI")</f>
        <v>ALT_UOM4_SIPI</v>
      </c>
      <c r="I10626" s="136"/>
      <c r="R10626" s="63" t="str">
        <f t="shared" si="60"/>
        <v>ZSI1_LAUNDRY_EQPALT_UOM4_SIPI</v>
      </c>
    </row>
    <row r="10627" ht="15.75" customHeight="1">
      <c r="B10627" s="63">
        <f t="shared" si="1"/>
        <v>16</v>
      </c>
      <c r="C10627" s="135" t="s">
        <v>410</v>
      </c>
      <c r="D10627" s="161" t="s">
        <v>74</v>
      </c>
      <c r="E10627" s="135">
        <f t="shared" si="62"/>
        <v>26</v>
      </c>
      <c r="F10627" s="134" t="s">
        <v>3814</v>
      </c>
      <c r="G10627" s="63" t="str">
        <f>VLOOKUP(C10627, 'Class Def. - General Data'!$C$20:$C$1000,1,false)</f>
        <v>ZSI1_LAUNDRY_EQP</v>
      </c>
      <c r="H10627" s="63" t="str">
        <f>IFERROR(__xludf.DUMMYFUNCTION("VLOOKUP(F10627, IMPORTRANGE(""https://docs.google.com/spreadsheets/d/1Lhp9OU0JdFf_VYSMzH5lBcEaU4o8teT1piV-SNzShjg/edit?gid=554141278#gid=554141278"", ""'Char Def. - Attributes'!C20:C2242""), 1,false)"),"ALT_DENUM_UOM4")</f>
        <v>ALT_DENUM_UOM4</v>
      </c>
      <c r="I10627" s="136"/>
      <c r="R10627" s="63" t="str">
        <f t="shared" si="60"/>
        <v>ZSI1_LAUNDRY_EQPALT_DENUM_UOM4</v>
      </c>
    </row>
    <row r="10628" ht="15.75" customHeight="1">
      <c r="B10628" s="63">
        <f t="shared" si="1"/>
        <v>16</v>
      </c>
      <c r="C10628" s="135" t="s">
        <v>410</v>
      </c>
      <c r="D10628" s="161" t="s">
        <v>74</v>
      </c>
      <c r="E10628" s="135">
        <f t="shared" si="62"/>
        <v>27</v>
      </c>
      <c r="F10628" s="134" t="s">
        <v>3815</v>
      </c>
      <c r="G10628" s="63" t="str">
        <f>VLOOKUP(C10628, 'Class Def. - General Data'!$C$20:$C$1000,1,false)</f>
        <v>ZSI1_LAUNDRY_EQP</v>
      </c>
      <c r="H10628" s="63" t="str">
        <f>IFERROR(__xludf.DUMMYFUNCTION("VLOOKUP(F10628, IMPORTRANGE(""https://docs.google.com/spreadsheets/d/1Lhp9OU0JdFf_VYSMzH5lBcEaU4o8teT1piV-SNzShjg/edit?gid=554141278#gid=554141278"", ""'Char Def. - Attributes'!C20:C2242""), 1,false)"),"ALT_NUM_UOM4")</f>
        <v>ALT_NUM_UOM4</v>
      </c>
      <c r="I10628" s="136"/>
      <c r="R10628" s="63" t="str">
        <f t="shared" si="60"/>
        <v>ZSI1_LAUNDRY_EQPALT_NUM_UOM4</v>
      </c>
    </row>
    <row r="10629" ht="15.75" customHeight="1">
      <c r="B10629" s="63">
        <f t="shared" si="1"/>
        <v>16</v>
      </c>
      <c r="C10629" s="135" t="s">
        <v>410</v>
      </c>
      <c r="D10629" s="161" t="s">
        <v>74</v>
      </c>
      <c r="E10629" s="135">
        <f t="shared" si="62"/>
        <v>28</v>
      </c>
      <c r="F10629" s="134" t="s">
        <v>3816</v>
      </c>
      <c r="G10629" s="63" t="str">
        <f>VLOOKUP(C10629, 'Class Def. - General Data'!$C$20:$C$1000,1,false)</f>
        <v>ZSI1_LAUNDRY_EQP</v>
      </c>
      <c r="H10629" s="63" t="str">
        <f>IFERROR(__xludf.DUMMYFUNCTION("VLOOKUP(F10629, IMPORTRANGE(""https://docs.google.com/spreadsheets/d/1Lhp9OU0JdFf_VYSMzH5lBcEaU4o8teT1piV-SNzShjg/edit?gid=554141278#gid=554141278"", ""'Char Def. - Attributes'!C20:C2242""), 1,false)"),"ALT_UOM5_SIPI")</f>
        <v>ALT_UOM5_SIPI</v>
      </c>
      <c r="I10629" s="136"/>
      <c r="R10629" s="63" t="str">
        <f t="shared" si="60"/>
        <v>ZSI1_LAUNDRY_EQPALT_UOM5_SIPI</v>
      </c>
    </row>
    <row r="10630" ht="15.75" customHeight="1">
      <c r="B10630" s="63">
        <f t="shared" si="1"/>
        <v>16</v>
      </c>
      <c r="C10630" s="135" t="s">
        <v>410</v>
      </c>
      <c r="D10630" s="161" t="s">
        <v>74</v>
      </c>
      <c r="E10630" s="135">
        <f t="shared" si="62"/>
        <v>29</v>
      </c>
      <c r="F10630" s="134" t="s">
        <v>3817</v>
      </c>
      <c r="G10630" s="63" t="str">
        <f>VLOOKUP(C10630, 'Class Def. - General Data'!$C$20:$C$1000,1,false)</f>
        <v>ZSI1_LAUNDRY_EQP</v>
      </c>
      <c r="H10630" s="63" t="str">
        <f>IFERROR(__xludf.DUMMYFUNCTION("VLOOKUP(F10630, IMPORTRANGE(""https://docs.google.com/spreadsheets/d/1Lhp9OU0JdFf_VYSMzH5lBcEaU4o8teT1piV-SNzShjg/edit?gid=554141278#gid=554141278"", ""'Char Def. - Attributes'!C20:C2242""), 1,false)"),"ALT_DENUM_UOM5")</f>
        <v>ALT_DENUM_UOM5</v>
      </c>
      <c r="I10630" s="136"/>
      <c r="R10630" s="63" t="str">
        <f t="shared" si="60"/>
        <v>ZSI1_LAUNDRY_EQPALT_DENUM_UOM5</v>
      </c>
    </row>
    <row r="10631" ht="15.75" customHeight="1">
      <c r="B10631" s="63">
        <f t="shared" si="1"/>
        <v>16</v>
      </c>
      <c r="C10631" s="135" t="s">
        <v>410</v>
      </c>
      <c r="D10631" s="161" t="s">
        <v>74</v>
      </c>
      <c r="E10631" s="135">
        <f t="shared" si="62"/>
        <v>30</v>
      </c>
      <c r="F10631" s="134" t="s">
        <v>3818</v>
      </c>
      <c r="G10631" s="63" t="str">
        <f>VLOOKUP(C10631, 'Class Def. - General Data'!$C$20:$C$1000,1,false)</f>
        <v>ZSI1_LAUNDRY_EQP</v>
      </c>
      <c r="H10631" s="63" t="str">
        <f>IFERROR(__xludf.DUMMYFUNCTION("VLOOKUP(F10631, IMPORTRANGE(""https://docs.google.com/spreadsheets/d/1Lhp9OU0JdFf_VYSMzH5lBcEaU4o8teT1piV-SNzShjg/edit?gid=554141278#gid=554141278"", ""'Char Def. - Attributes'!C20:C2242""), 1,false)"),"ALT_NUM_UOM5")</f>
        <v>ALT_NUM_UOM5</v>
      </c>
      <c r="I10631" s="136"/>
      <c r="R10631" s="63" t="str">
        <f t="shared" si="60"/>
        <v>ZSI1_LAUNDRY_EQPALT_NUM_UOM5</v>
      </c>
    </row>
    <row r="10632" ht="15.75" customHeight="1">
      <c r="B10632" s="63">
        <f t="shared" si="1"/>
        <v>17</v>
      </c>
      <c r="C10632" s="135" t="s">
        <v>411</v>
      </c>
      <c r="D10632" s="161" t="s">
        <v>74</v>
      </c>
      <c r="E10632" s="135">
        <f t="shared" si="62"/>
        <v>1</v>
      </c>
      <c r="F10632" s="134" t="s">
        <v>4787</v>
      </c>
      <c r="G10632" s="63" t="str">
        <f>VLOOKUP(C10632, 'Class Def. - General Data'!$C$20:$C$1000,1,false)</f>
        <v>ZSI1_LAUNDRY_SUPP</v>
      </c>
      <c r="H10632" s="63" t="str">
        <f>IFERROR(__xludf.DUMMYFUNCTION("VLOOKUP(F10632, IMPORTRANGE(""https://docs.google.com/spreadsheets/d/1Lhp9OU0JdFf_VYSMzH5lBcEaU4o8teT1piV-SNzShjg/edit?gid=554141278#gid=554141278"", ""'Char Def. - Attributes'!C20:C2242""), 1,false)"),"ITEM_NAME_LAUNDRY_SUPP")</f>
        <v>ITEM_NAME_LAUNDRY_SUPP</v>
      </c>
      <c r="I10632" s="136"/>
      <c r="R10632" s="63" t="str">
        <f t="shared" si="60"/>
        <v>ZSI1_LAUNDRY_SUPPITEM_NAME_LAUNDRY_SUPP</v>
      </c>
    </row>
    <row r="10633" ht="15.75" customHeight="1">
      <c r="B10633" s="63">
        <f t="shared" si="1"/>
        <v>17</v>
      </c>
      <c r="C10633" s="135" t="s">
        <v>411</v>
      </c>
      <c r="D10633" s="161" t="s">
        <v>74</v>
      </c>
      <c r="E10633" s="135">
        <f t="shared" si="62"/>
        <v>2</v>
      </c>
      <c r="F10633" s="134" t="s">
        <v>3782</v>
      </c>
      <c r="G10633" s="63" t="str">
        <f>VLOOKUP(C10633, 'Class Def. - General Data'!$C$20:$C$1000,1,false)</f>
        <v>ZSI1_LAUNDRY_SUPP</v>
      </c>
      <c r="H10633" s="63" t="str">
        <f>IFERROR(__xludf.DUMMYFUNCTION("VLOOKUP(F10633, IMPORTRANGE(""https://docs.google.com/spreadsheets/d/1Lhp9OU0JdFf_VYSMzH5lBcEaU4o8teT1piV-SNzShjg/edit?gid=554141278#gid=554141278"", ""'Char Def. - Attributes'!C20:C2242""), 1,false)"),"BRAND_EXTERNAL")</f>
        <v>BRAND_EXTERNAL</v>
      </c>
      <c r="I10633" s="136"/>
      <c r="R10633" s="63" t="str">
        <f t="shared" si="60"/>
        <v>ZSI1_LAUNDRY_SUPPBRAND_EXTERNAL</v>
      </c>
    </row>
    <row r="10634" ht="15.75" customHeight="1">
      <c r="B10634" s="63">
        <f t="shared" si="1"/>
        <v>17</v>
      </c>
      <c r="C10634" s="135" t="s">
        <v>411</v>
      </c>
      <c r="D10634" s="161" t="s">
        <v>74</v>
      </c>
      <c r="E10634" s="135">
        <f t="shared" si="62"/>
        <v>3</v>
      </c>
      <c r="F10634" s="134" t="s">
        <v>4788</v>
      </c>
      <c r="G10634" s="63" t="str">
        <f>VLOOKUP(C10634, 'Class Def. - General Data'!$C$20:$C$1000,1,false)</f>
        <v>ZSI1_LAUNDRY_SUPP</v>
      </c>
      <c r="H10634" s="63" t="str">
        <f>IFERROR(__xludf.DUMMYFUNCTION("VLOOKUP(F10634, IMPORTRANGE(""https://docs.google.com/spreadsheets/d/1Lhp9OU0JdFf_VYSMzH5lBcEaU4o8teT1piV-SNzShjg/edit?gid=554141278#gid=554141278"", ""'Char Def. - Attributes'!C20:C2242""), 1,false)"),"VARIANT_LAUNDRY_SUPP")</f>
        <v>VARIANT_LAUNDRY_SUPP</v>
      </c>
      <c r="I10634" s="136"/>
      <c r="R10634" s="63" t="str">
        <f t="shared" si="60"/>
        <v>ZSI1_LAUNDRY_SUPPVARIANT_LAUNDRY_SUPP</v>
      </c>
    </row>
    <row r="10635" ht="15.75" customHeight="1">
      <c r="B10635" s="63">
        <f t="shared" si="1"/>
        <v>17</v>
      </c>
      <c r="C10635" s="135" t="s">
        <v>411</v>
      </c>
      <c r="D10635" s="161" t="s">
        <v>74</v>
      </c>
      <c r="E10635" s="135">
        <f t="shared" si="62"/>
        <v>4</v>
      </c>
      <c r="F10635" s="134" t="s">
        <v>3585</v>
      </c>
      <c r="G10635" s="63" t="str">
        <f>VLOOKUP(C10635, 'Class Def. - General Data'!$C$20:$C$1000,1,false)</f>
        <v>ZSI1_LAUNDRY_SUPP</v>
      </c>
      <c r="H10635" s="63" t="str">
        <f>IFERROR(__xludf.DUMMYFUNCTION("VLOOKUP(F10635, IMPORTRANGE(""https://docs.google.com/spreadsheets/d/1Lhp9OU0JdFf_VYSMzH5lBcEaU4o8teT1piV-SNzShjg/edit?gid=554141278#gid=554141278"", ""'Char Def. - Attributes'!C20:C2242""), 1,false)"),"HS_CODE")</f>
        <v>HS_CODE</v>
      </c>
      <c r="I10635" s="136"/>
      <c r="R10635" s="63" t="str">
        <f t="shared" si="60"/>
        <v>ZSI1_LAUNDRY_SUPPHS_CODE</v>
      </c>
    </row>
    <row r="10636" ht="15.75" customHeight="1">
      <c r="B10636" s="63">
        <f t="shared" si="1"/>
        <v>17</v>
      </c>
      <c r="C10636" s="135" t="s">
        <v>411</v>
      </c>
      <c r="D10636" s="161" t="s">
        <v>74</v>
      </c>
      <c r="E10636" s="135">
        <f t="shared" si="62"/>
        <v>5</v>
      </c>
      <c r="F10636" s="134" t="s">
        <v>3587</v>
      </c>
      <c r="G10636" s="63" t="str">
        <f>VLOOKUP(C10636, 'Class Def. - General Data'!$C$20:$C$1000,1,false)</f>
        <v>ZSI1_LAUNDRY_SUPP</v>
      </c>
      <c r="H10636" s="63" t="str">
        <f>IFERROR(__xludf.DUMMYFUNCTION("VLOOKUP(F10636, IMPORTRANGE(""https://docs.google.com/spreadsheets/d/1Lhp9OU0JdFf_VYSMzH5lBcEaU4o8teT1piV-SNzShjg/edit?gid=554141278#gid=554141278"", ""'Char Def. - Attributes'!C20:C2242""), 1,false)"),"PLANT_BUY")</f>
        <v>PLANT_BUY</v>
      </c>
      <c r="I10636" s="136"/>
      <c r="R10636" s="63" t="str">
        <f t="shared" si="60"/>
        <v>ZSI1_LAUNDRY_SUPPPLANT_BUY</v>
      </c>
    </row>
    <row r="10637" ht="15.75" customHeight="1">
      <c r="B10637" s="63">
        <f t="shared" si="1"/>
        <v>17</v>
      </c>
      <c r="C10637" s="135" t="s">
        <v>411</v>
      </c>
      <c r="D10637" s="161" t="s">
        <v>74</v>
      </c>
      <c r="E10637" s="135">
        <f t="shared" si="62"/>
        <v>6</v>
      </c>
      <c r="F10637" s="134" t="s">
        <v>4789</v>
      </c>
      <c r="G10637" s="63" t="str">
        <f>VLOOKUP(C10637, 'Class Def. - General Data'!$C$20:$C$1000,1,false)</f>
        <v>ZSI1_LAUNDRY_SUPP</v>
      </c>
      <c r="H10637" s="63" t="str">
        <f>IFERROR(__xludf.DUMMYFUNCTION("VLOOKUP(F10637, IMPORTRANGE(""https://docs.google.com/spreadsheets/d/1Lhp9OU0JdFf_VYSMzH5lBcEaU4o8teT1piV-SNzShjg/edit?gid=554141278#gid=554141278"", ""'Char Def. - Attributes'!C20:C2242""), 1,false)"),"BASE_UOM_LAUNDRY_SUPP")</f>
        <v>BASE_UOM_LAUNDRY_SUPP</v>
      </c>
      <c r="I10637" s="136"/>
      <c r="R10637" s="63" t="str">
        <f t="shared" si="60"/>
        <v>ZSI1_LAUNDRY_SUPPBASE_UOM_LAUNDRY_SUPP</v>
      </c>
    </row>
    <row r="10638" ht="15.75" customHeight="1">
      <c r="B10638" s="63">
        <f t="shared" si="1"/>
        <v>17</v>
      </c>
      <c r="C10638" s="135" t="s">
        <v>411</v>
      </c>
      <c r="D10638" s="161" t="s">
        <v>74</v>
      </c>
      <c r="E10638" s="135">
        <f t="shared" si="62"/>
        <v>7</v>
      </c>
      <c r="F10638" s="134" t="s">
        <v>4790</v>
      </c>
      <c r="G10638" s="63" t="str">
        <f>VLOOKUP(C10638, 'Class Def. - General Data'!$C$20:$C$1000,1,false)</f>
        <v>ZSI1_LAUNDRY_SUPP</v>
      </c>
      <c r="H10638" s="63" t="str">
        <f>IFERROR(__xludf.DUMMYFUNCTION("VLOOKUP(F10638, IMPORTRANGE(""https://docs.google.com/spreadsheets/d/1Lhp9OU0JdFf_VYSMzH5lBcEaU4o8teT1piV-SNzShjg/edit?gid=554141278#gid=554141278"", ""'Char Def. - Attributes'!C20:C2242""), 1,false)"),"ORDER_UNIT_LAUNDRY_SUPP")</f>
        <v>ORDER_UNIT_LAUNDRY_SUPP</v>
      </c>
      <c r="I10638" s="136"/>
      <c r="R10638" s="63" t="str">
        <f t="shared" si="60"/>
        <v>ZSI1_LAUNDRY_SUPPORDER_UNIT_LAUNDRY_SUPP</v>
      </c>
    </row>
    <row r="10639" ht="15.75" customHeight="1">
      <c r="B10639" s="63">
        <f t="shared" si="1"/>
        <v>17</v>
      </c>
      <c r="C10639" s="135" t="s">
        <v>411</v>
      </c>
      <c r="D10639" s="161" t="s">
        <v>74</v>
      </c>
      <c r="E10639" s="135">
        <f t="shared" si="62"/>
        <v>8</v>
      </c>
      <c r="F10639" s="134" t="s">
        <v>4056</v>
      </c>
      <c r="G10639" s="63" t="str">
        <f>VLOOKUP(C10639, 'Class Def. - General Data'!$C$20:$C$1000,1,false)</f>
        <v>ZSI1_LAUNDRY_SUPP</v>
      </c>
      <c r="H10639" s="63" t="str">
        <f>IFERROR(__xludf.DUMMYFUNCTION("VLOOKUP(F10639, IMPORTRANGE(""https://docs.google.com/spreadsheets/d/1Lhp9OU0JdFf_VYSMzH5lBcEaU4o8teT1piV-SNzShjg/edit?gid=554141278#gid=554141278"", ""'Char Def. - Attributes'!C20:C2242""), 1,false)"),"GROSS_WEIGHT_OPT")</f>
        <v>GROSS_WEIGHT_OPT</v>
      </c>
      <c r="I10639" s="136"/>
      <c r="R10639" s="63" t="str">
        <f t="shared" si="60"/>
        <v>ZSI1_LAUNDRY_SUPPGROSS_WEIGHT_OPT</v>
      </c>
    </row>
    <row r="10640" ht="15.75" customHeight="1">
      <c r="B10640" s="63">
        <f t="shared" si="1"/>
        <v>17</v>
      </c>
      <c r="C10640" s="135" t="s">
        <v>411</v>
      </c>
      <c r="D10640" s="161" t="s">
        <v>74</v>
      </c>
      <c r="E10640" s="135">
        <f t="shared" si="62"/>
        <v>9</v>
      </c>
      <c r="F10640" s="134" t="s">
        <v>4057</v>
      </c>
      <c r="G10640" s="63" t="str">
        <f>VLOOKUP(C10640, 'Class Def. - General Data'!$C$20:$C$1000,1,false)</f>
        <v>ZSI1_LAUNDRY_SUPP</v>
      </c>
      <c r="H10640" s="63" t="str">
        <f>IFERROR(__xludf.DUMMYFUNCTION("VLOOKUP(F10640, IMPORTRANGE(""https://docs.google.com/spreadsheets/d/1Lhp9OU0JdFf_VYSMzH5lBcEaU4o8teT1piV-SNzShjg/edit?gid=554141278#gid=554141278"", ""'Char Def. - Attributes'!C20:C2242""), 1,false)"),"NET_WEIGHT_OPT")</f>
        <v>NET_WEIGHT_OPT</v>
      </c>
      <c r="I10640" s="136"/>
      <c r="R10640" s="63" t="str">
        <f t="shared" si="60"/>
        <v>ZSI1_LAUNDRY_SUPPNET_WEIGHT_OPT</v>
      </c>
    </row>
    <row r="10641" ht="15.75" customHeight="1">
      <c r="B10641" s="63">
        <f t="shared" si="1"/>
        <v>17</v>
      </c>
      <c r="C10641" s="135" t="s">
        <v>411</v>
      </c>
      <c r="D10641" s="161" t="s">
        <v>74</v>
      </c>
      <c r="E10641" s="135">
        <f t="shared" si="62"/>
        <v>10</v>
      </c>
      <c r="F10641" s="134" t="s">
        <v>4058</v>
      </c>
      <c r="G10641" s="63" t="str">
        <f>VLOOKUP(C10641, 'Class Def. - General Data'!$C$20:$C$1000,1,false)</f>
        <v>ZSI1_LAUNDRY_SUPP</v>
      </c>
      <c r="H10641" s="63" t="str">
        <f>IFERROR(__xludf.DUMMYFUNCTION("VLOOKUP(F10641, IMPORTRANGE(""https://docs.google.com/spreadsheets/d/1Lhp9OU0JdFf_VYSMzH5lBcEaU4o8teT1piV-SNzShjg/edit?gid=554141278#gid=554141278"", ""'Char Def. - Attributes'!C20:C2242""), 1,false)"),"WEIGHT_UNIT_SI")</f>
        <v>WEIGHT_UNIT_SI</v>
      </c>
      <c r="I10641" s="136"/>
      <c r="R10641" s="63" t="str">
        <f t="shared" si="60"/>
        <v>ZSI1_LAUNDRY_SUPPWEIGHT_UNIT_SI</v>
      </c>
    </row>
    <row r="10642" ht="15.75" customHeight="1">
      <c r="B10642" s="63">
        <f t="shared" si="1"/>
        <v>17</v>
      </c>
      <c r="C10642" s="135" t="s">
        <v>411</v>
      </c>
      <c r="D10642" s="161" t="s">
        <v>74</v>
      </c>
      <c r="E10642" s="135">
        <f t="shared" si="62"/>
        <v>11</v>
      </c>
      <c r="F10642" s="134" t="s">
        <v>3877</v>
      </c>
      <c r="G10642" s="63" t="str">
        <f>VLOOKUP(C10642, 'Class Def. - General Data'!$C$20:$C$1000,1,false)</f>
        <v>ZSI1_LAUNDRY_SUPP</v>
      </c>
      <c r="H10642" s="63" t="str">
        <f>IFERROR(__xludf.DUMMYFUNCTION("VLOOKUP(F10642, IMPORTRANGE(""https://docs.google.com/spreadsheets/d/1Lhp9OU0JdFf_VYSMzH5lBcEaU4o8teT1piV-SNzShjg/edit?gid=554141278#gid=554141278"", ""'Char Def. - Attributes'!C20:C2242""), 1,false)"),"VOLUME_OPT")</f>
        <v>VOLUME_OPT</v>
      </c>
      <c r="I10642" s="136"/>
      <c r="R10642" s="63" t="str">
        <f t="shared" si="60"/>
        <v>ZSI1_LAUNDRY_SUPPVOLUME_OPT</v>
      </c>
    </row>
    <row r="10643" ht="15.75" customHeight="1">
      <c r="B10643" s="63">
        <f t="shared" si="1"/>
        <v>17</v>
      </c>
      <c r="C10643" s="135" t="s">
        <v>411</v>
      </c>
      <c r="D10643" s="161" t="s">
        <v>74</v>
      </c>
      <c r="E10643" s="135">
        <f t="shared" si="62"/>
        <v>12</v>
      </c>
      <c r="F10643" s="134" t="s">
        <v>4059</v>
      </c>
      <c r="G10643" s="63" t="str">
        <f>VLOOKUP(C10643, 'Class Def. - General Data'!$C$20:$C$1000,1,false)</f>
        <v>ZSI1_LAUNDRY_SUPP</v>
      </c>
      <c r="H10643" s="63" t="str">
        <f>IFERROR(__xludf.DUMMYFUNCTION("VLOOKUP(F10643, IMPORTRANGE(""https://docs.google.com/spreadsheets/d/1Lhp9OU0JdFf_VYSMzH5lBcEaU4o8teT1piV-SNzShjg/edit?gid=554141278#gid=554141278"", ""'Char Def. - Attributes'!C20:C2242""), 1,false)"),"VOLUME_UNIT_SI")</f>
        <v>VOLUME_UNIT_SI</v>
      </c>
      <c r="I10643" s="136"/>
      <c r="R10643" s="63" t="str">
        <f t="shared" si="60"/>
        <v>ZSI1_LAUNDRY_SUPPVOLUME_UNIT_SI</v>
      </c>
    </row>
    <row r="10644" ht="15.75" customHeight="1">
      <c r="B10644" s="63">
        <f t="shared" si="1"/>
        <v>17</v>
      </c>
      <c r="C10644" s="135" t="s">
        <v>411</v>
      </c>
      <c r="D10644" s="161" t="s">
        <v>74</v>
      </c>
      <c r="E10644" s="135">
        <f t="shared" si="62"/>
        <v>13</v>
      </c>
      <c r="F10644" s="134" t="s">
        <v>3804</v>
      </c>
      <c r="G10644" s="63" t="str">
        <f>VLOOKUP(C10644, 'Class Def. - General Data'!$C$20:$C$1000,1,false)</f>
        <v>ZSI1_LAUNDRY_SUPP</v>
      </c>
      <c r="H10644" s="63" t="str">
        <f>IFERROR(__xludf.DUMMYFUNCTION("VLOOKUP(F10644, IMPORTRANGE(""https://docs.google.com/spreadsheets/d/1Lhp9OU0JdFf_VYSMzH5lBcEaU4o8teT1piV-SNzShjg/edit?gid=554141278#gid=554141278"", ""'Char Def. - Attributes'!C20:C2242""), 1,false)"),"ALT_UOM1_SIPI")</f>
        <v>ALT_UOM1_SIPI</v>
      </c>
      <c r="I10644" s="136"/>
      <c r="R10644" s="63" t="str">
        <f t="shared" si="60"/>
        <v>ZSI1_LAUNDRY_SUPPALT_UOM1_SIPI</v>
      </c>
    </row>
    <row r="10645" ht="15.75" customHeight="1">
      <c r="B10645" s="63">
        <f t="shared" si="1"/>
        <v>17</v>
      </c>
      <c r="C10645" s="135" t="s">
        <v>411</v>
      </c>
      <c r="D10645" s="161" t="s">
        <v>74</v>
      </c>
      <c r="E10645" s="135">
        <f t="shared" si="62"/>
        <v>14</v>
      </c>
      <c r="F10645" s="134" t="s">
        <v>3805</v>
      </c>
      <c r="G10645" s="63" t="str">
        <f>VLOOKUP(C10645, 'Class Def. - General Data'!$C$20:$C$1000,1,false)</f>
        <v>ZSI1_LAUNDRY_SUPP</v>
      </c>
      <c r="H10645" s="63" t="str">
        <f>IFERROR(__xludf.DUMMYFUNCTION("VLOOKUP(F10645, IMPORTRANGE(""https://docs.google.com/spreadsheets/d/1Lhp9OU0JdFf_VYSMzH5lBcEaU4o8teT1piV-SNzShjg/edit?gid=554141278#gid=554141278"", ""'Char Def. - Attributes'!C20:C2242""), 1,false)"),"ALT_DENUM_UOM1")</f>
        <v>ALT_DENUM_UOM1</v>
      </c>
      <c r="I10645" s="136"/>
      <c r="R10645" s="63" t="str">
        <f t="shared" si="60"/>
        <v>ZSI1_LAUNDRY_SUPPALT_DENUM_UOM1</v>
      </c>
    </row>
    <row r="10646" ht="15.75" customHeight="1">
      <c r="B10646" s="63">
        <f t="shared" si="1"/>
        <v>17</v>
      </c>
      <c r="C10646" s="135" t="s">
        <v>411</v>
      </c>
      <c r="D10646" s="161" t="s">
        <v>74</v>
      </c>
      <c r="E10646" s="135">
        <f t="shared" si="62"/>
        <v>15</v>
      </c>
      <c r="F10646" s="134" t="s">
        <v>3806</v>
      </c>
      <c r="G10646" s="63" t="str">
        <f>VLOOKUP(C10646, 'Class Def. - General Data'!$C$20:$C$1000,1,false)</f>
        <v>ZSI1_LAUNDRY_SUPP</v>
      </c>
      <c r="H10646" s="63" t="str">
        <f>IFERROR(__xludf.DUMMYFUNCTION("VLOOKUP(F10646, IMPORTRANGE(""https://docs.google.com/spreadsheets/d/1Lhp9OU0JdFf_VYSMzH5lBcEaU4o8teT1piV-SNzShjg/edit?gid=554141278#gid=554141278"", ""'Char Def. - Attributes'!C20:C2242""), 1,false)"),"ALT_NUM_UOM1")</f>
        <v>ALT_NUM_UOM1</v>
      </c>
      <c r="I10646" s="136"/>
      <c r="R10646" s="63" t="str">
        <f t="shared" si="60"/>
        <v>ZSI1_LAUNDRY_SUPPALT_NUM_UOM1</v>
      </c>
    </row>
    <row r="10647" ht="15.75" customHeight="1">
      <c r="B10647" s="63">
        <f t="shared" si="1"/>
        <v>17</v>
      </c>
      <c r="C10647" s="135" t="s">
        <v>411</v>
      </c>
      <c r="D10647" s="161" t="s">
        <v>74</v>
      </c>
      <c r="E10647" s="135">
        <f t="shared" si="62"/>
        <v>16</v>
      </c>
      <c r="F10647" s="134" t="s">
        <v>3807</v>
      </c>
      <c r="G10647" s="63" t="str">
        <f>VLOOKUP(C10647, 'Class Def. - General Data'!$C$20:$C$1000,1,false)</f>
        <v>ZSI1_LAUNDRY_SUPP</v>
      </c>
      <c r="H10647" s="63" t="str">
        <f>IFERROR(__xludf.DUMMYFUNCTION("VLOOKUP(F10647, IMPORTRANGE(""https://docs.google.com/spreadsheets/d/1Lhp9OU0JdFf_VYSMzH5lBcEaU4o8teT1piV-SNzShjg/edit?gid=554141278#gid=554141278"", ""'Char Def. - Attributes'!C20:C2242""), 1,false)"),"ALT_UOM2_SIPI")</f>
        <v>ALT_UOM2_SIPI</v>
      </c>
      <c r="I10647" s="136"/>
      <c r="R10647" s="63" t="str">
        <f t="shared" si="60"/>
        <v>ZSI1_LAUNDRY_SUPPALT_UOM2_SIPI</v>
      </c>
    </row>
    <row r="10648" ht="15.75" customHeight="1">
      <c r="B10648" s="63">
        <f t="shared" si="1"/>
        <v>17</v>
      </c>
      <c r="C10648" s="135" t="s">
        <v>411</v>
      </c>
      <c r="D10648" s="161" t="s">
        <v>74</v>
      </c>
      <c r="E10648" s="135">
        <f t="shared" si="62"/>
        <v>17</v>
      </c>
      <c r="F10648" s="134" t="s">
        <v>3808</v>
      </c>
      <c r="G10648" s="63" t="str">
        <f>VLOOKUP(C10648, 'Class Def. - General Data'!$C$20:$C$1000,1,false)</f>
        <v>ZSI1_LAUNDRY_SUPP</v>
      </c>
      <c r="H10648" s="63" t="str">
        <f>IFERROR(__xludf.DUMMYFUNCTION("VLOOKUP(F10648, IMPORTRANGE(""https://docs.google.com/spreadsheets/d/1Lhp9OU0JdFf_VYSMzH5lBcEaU4o8teT1piV-SNzShjg/edit?gid=554141278#gid=554141278"", ""'Char Def. - Attributes'!C20:C2242""), 1,false)"),"ALT_DENUM_UOM2")</f>
        <v>ALT_DENUM_UOM2</v>
      </c>
      <c r="I10648" s="136"/>
      <c r="R10648" s="63" t="str">
        <f t="shared" si="60"/>
        <v>ZSI1_LAUNDRY_SUPPALT_DENUM_UOM2</v>
      </c>
    </row>
    <row r="10649" ht="15.75" customHeight="1">
      <c r="B10649" s="63">
        <f t="shared" si="1"/>
        <v>17</v>
      </c>
      <c r="C10649" s="135" t="s">
        <v>411</v>
      </c>
      <c r="D10649" s="161" t="s">
        <v>74</v>
      </c>
      <c r="E10649" s="135">
        <f t="shared" si="62"/>
        <v>18</v>
      </c>
      <c r="F10649" s="134" t="s">
        <v>3809</v>
      </c>
      <c r="G10649" s="63" t="str">
        <f>VLOOKUP(C10649, 'Class Def. - General Data'!$C$20:$C$1000,1,false)</f>
        <v>ZSI1_LAUNDRY_SUPP</v>
      </c>
      <c r="H10649" s="63" t="str">
        <f>IFERROR(__xludf.DUMMYFUNCTION("VLOOKUP(F10649, IMPORTRANGE(""https://docs.google.com/spreadsheets/d/1Lhp9OU0JdFf_VYSMzH5lBcEaU4o8teT1piV-SNzShjg/edit?gid=554141278#gid=554141278"", ""'Char Def. - Attributes'!C20:C2242""), 1,false)"),"ALT_NUM_UOM2")</f>
        <v>ALT_NUM_UOM2</v>
      </c>
      <c r="I10649" s="136"/>
      <c r="R10649" s="63" t="str">
        <f t="shared" si="60"/>
        <v>ZSI1_LAUNDRY_SUPPALT_NUM_UOM2</v>
      </c>
    </row>
    <row r="10650" ht="15.75" customHeight="1">
      <c r="B10650" s="63">
        <f t="shared" si="1"/>
        <v>17</v>
      </c>
      <c r="C10650" s="135" t="s">
        <v>411</v>
      </c>
      <c r="D10650" s="161" t="s">
        <v>74</v>
      </c>
      <c r="E10650" s="135">
        <f t="shared" si="62"/>
        <v>19</v>
      </c>
      <c r="F10650" s="134" t="s">
        <v>3810</v>
      </c>
      <c r="G10650" s="63" t="str">
        <f>VLOOKUP(C10650, 'Class Def. - General Data'!$C$20:$C$1000,1,false)</f>
        <v>ZSI1_LAUNDRY_SUPP</v>
      </c>
      <c r="H10650" s="63" t="str">
        <f>IFERROR(__xludf.DUMMYFUNCTION("VLOOKUP(F10650, IMPORTRANGE(""https://docs.google.com/spreadsheets/d/1Lhp9OU0JdFf_VYSMzH5lBcEaU4o8teT1piV-SNzShjg/edit?gid=554141278#gid=554141278"", ""'Char Def. - Attributes'!C20:C2242""), 1,false)"),"ALT_UOM3_SIPI")</f>
        <v>ALT_UOM3_SIPI</v>
      </c>
      <c r="I10650" s="136"/>
      <c r="R10650" s="63" t="str">
        <f t="shared" si="60"/>
        <v>ZSI1_LAUNDRY_SUPPALT_UOM3_SIPI</v>
      </c>
    </row>
    <row r="10651" ht="15.75" customHeight="1">
      <c r="B10651" s="63">
        <f t="shared" si="1"/>
        <v>17</v>
      </c>
      <c r="C10651" s="135" t="s">
        <v>411</v>
      </c>
      <c r="D10651" s="161" t="s">
        <v>74</v>
      </c>
      <c r="E10651" s="135">
        <f t="shared" si="62"/>
        <v>20</v>
      </c>
      <c r="F10651" s="134" t="s">
        <v>3811</v>
      </c>
      <c r="G10651" s="63" t="str">
        <f>VLOOKUP(C10651, 'Class Def. - General Data'!$C$20:$C$1000,1,false)</f>
        <v>ZSI1_LAUNDRY_SUPP</v>
      </c>
      <c r="H10651" s="63" t="str">
        <f>IFERROR(__xludf.DUMMYFUNCTION("VLOOKUP(F10651, IMPORTRANGE(""https://docs.google.com/spreadsheets/d/1Lhp9OU0JdFf_VYSMzH5lBcEaU4o8teT1piV-SNzShjg/edit?gid=554141278#gid=554141278"", ""'Char Def. - Attributes'!C20:C2242""), 1,false)"),"ALT_DENUM_UOM3")</f>
        <v>ALT_DENUM_UOM3</v>
      </c>
      <c r="I10651" s="136"/>
      <c r="R10651" s="63" t="str">
        <f t="shared" si="60"/>
        <v>ZSI1_LAUNDRY_SUPPALT_DENUM_UOM3</v>
      </c>
    </row>
    <row r="10652" ht="15.75" customHeight="1">
      <c r="B10652" s="63">
        <f t="shared" si="1"/>
        <v>17</v>
      </c>
      <c r="C10652" s="135" t="s">
        <v>411</v>
      </c>
      <c r="D10652" s="161" t="s">
        <v>74</v>
      </c>
      <c r="E10652" s="135">
        <f t="shared" si="62"/>
        <v>21</v>
      </c>
      <c r="F10652" s="134" t="s">
        <v>3812</v>
      </c>
      <c r="G10652" s="63" t="str">
        <f>VLOOKUP(C10652, 'Class Def. - General Data'!$C$20:$C$1000,1,false)</f>
        <v>ZSI1_LAUNDRY_SUPP</v>
      </c>
      <c r="H10652" s="63" t="str">
        <f>IFERROR(__xludf.DUMMYFUNCTION("VLOOKUP(F10652, IMPORTRANGE(""https://docs.google.com/spreadsheets/d/1Lhp9OU0JdFf_VYSMzH5lBcEaU4o8teT1piV-SNzShjg/edit?gid=554141278#gid=554141278"", ""'Char Def. - Attributes'!C20:C2242""), 1,false)"),"ALT_NUM_UOM3")</f>
        <v>ALT_NUM_UOM3</v>
      </c>
      <c r="I10652" s="136"/>
      <c r="R10652" s="63" t="str">
        <f t="shared" si="60"/>
        <v>ZSI1_LAUNDRY_SUPPALT_NUM_UOM3</v>
      </c>
    </row>
    <row r="10653" ht="15.75" customHeight="1">
      <c r="B10653" s="63">
        <f t="shared" si="1"/>
        <v>17</v>
      </c>
      <c r="C10653" s="135" t="s">
        <v>411</v>
      </c>
      <c r="D10653" s="161" t="s">
        <v>74</v>
      </c>
      <c r="E10653" s="135">
        <f t="shared" si="62"/>
        <v>22</v>
      </c>
      <c r="F10653" s="134" t="s">
        <v>3813</v>
      </c>
      <c r="G10653" s="63" t="str">
        <f>VLOOKUP(C10653, 'Class Def. - General Data'!$C$20:$C$1000,1,false)</f>
        <v>ZSI1_LAUNDRY_SUPP</v>
      </c>
      <c r="H10653" s="63" t="str">
        <f>IFERROR(__xludf.DUMMYFUNCTION("VLOOKUP(F10653, IMPORTRANGE(""https://docs.google.com/spreadsheets/d/1Lhp9OU0JdFf_VYSMzH5lBcEaU4o8teT1piV-SNzShjg/edit?gid=554141278#gid=554141278"", ""'Char Def. - Attributes'!C20:C2242""), 1,false)"),"ALT_UOM4_SIPI")</f>
        <v>ALT_UOM4_SIPI</v>
      </c>
      <c r="I10653" s="136"/>
      <c r="R10653" s="63" t="str">
        <f t="shared" si="60"/>
        <v>ZSI1_LAUNDRY_SUPPALT_UOM4_SIPI</v>
      </c>
    </row>
    <row r="10654" ht="15.75" customHeight="1">
      <c r="B10654" s="63">
        <f t="shared" si="1"/>
        <v>17</v>
      </c>
      <c r="C10654" s="135" t="s">
        <v>411</v>
      </c>
      <c r="D10654" s="161" t="s">
        <v>74</v>
      </c>
      <c r="E10654" s="135">
        <f t="shared" si="62"/>
        <v>23</v>
      </c>
      <c r="F10654" s="134" t="s">
        <v>3814</v>
      </c>
      <c r="G10654" s="63" t="str">
        <f>VLOOKUP(C10654, 'Class Def. - General Data'!$C$20:$C$1000,1,false)</f>
        <v>ZSI1_LAUNDRY_SUPP</v>
      </c>
      <c r="H10654" s="63" t="str">
        <f>IFERROR(__xludf.DUMMYFUNCTION("VLOOKUP(F10654, IMPORTRANGE(""https://docs.google.com/spreadsheets/d/1Lhp9OU0JdFf_VYSMzH5lBcEaU4o8teT1piV-SNzShjg/edit?gid=554141278#gid=554141278"", ""'Char Def. - Attributes'!C20:C2242""), 1,false)"),"ALT_DENUM_UOM4")</f>
        <v>ALT_DENUM_UOM4</v>
      </c>
      <c r="I10654" s="136"/>
      <c r="R10654" s="63" t="str">
        <f t="shared" si="60"/>
        <v>ZSI1_LAUNDRY_SUPPALT_DENUM_UOM4</v>
      </c>
    </row>
    <row r="10655" ht="15.75" customHeight="1">
      <c r="B10655" s="63">
        <f t="shared" si="1"/>
        <v>17</v>
      </c>
      <c r="C10655" s="135" t="s">
        <v>411</v>
      </c>
      <c r="D10655" s="161" t="s">
        <v>74</v>
      </c>
      <c r="E10655" s="135">
        <f t="shared" si="62"/>
        <v>24</v>
      </c>
      <c r="F10655" s="134" t="s">
        <v>3815</v>
      </c>
      <c r="G10655" s="63" t="str">
        <f>VLOOKUP(C10655, 'Class Def. - General Data'!$C$20:$C$1000,1,false)</f>
        <v>ZSI1_LAUNDRY_SUPP</v>
      </c>
      <c r="H10655" s="63" t="str">
        <f>IFERROR(__xludf.DUMMYFUNCTION("VLOOKUP(F10655, IMPORTRANGE(""https://docs.google.com/spreadsheets/d/1Lhp9OU0JdFf_VYSMzH5lBcEaU4o8teT1piV-SNzShjg/edit?gid=554141278#gid=554141278"", ""'Char Def. - Attributes'!C20:C2242""), 1,false)"),"ALT_NUM_UOM4")</f>
        <v>ALT_NUM_UOM4</v>
      </c>
      <c r="I10655" s="136"/>
      <c r="R10655" s="63" t="str">
        <f t="shared" si="60"/>
        <v>ZSI1_LAUNDRY_SUPPALT_NUM_UOM4</v>
      </c>
    </row>
    <row r="10656" ht="15.75" customHeight="1">
      <c r="B10656" s="63">
        <f t="shared" si="1"/>
        <v>17</v>
      </c>
      <c r="C10656" s="135" t="s">
        <v>411</v>
      </c>
      <c r="D10656" s="161" t="s">
        <v>74</v>
      </c>
      <c r="E10656" s="135">
        <f t="shared" si="62"/>
        <v>25</v>
      </c>
      <c r="F10656" s="134" t="s">
        <v>3816</v>
      </c>
      <c r="G10656" s="63" t="str">
        <f>VLOOKUP(C10656, 'Class Def. - General Data'!$C$20:$C$1000,1,false)</f>
        <v>ZSI1_LAUNDRY_SUPP</v>
      </c>
      <c r="H10656" s="63" t="str">
        <f>IFERROR(__xludf.DUMMYFUNCTION("VLOOKUP(F10656, IMPORTRANGE(""https://docs.google.com/spreadsheets/d/1Lhp9OU0JdFf_VYSMzH5lBcEaU4o8teT1piV-SNzShjg/edit?gid=554141278#gid=554141278"", ""'Char Def. - Attributes'!C20:C2242""), 1,false)"),"ALT_UOM5_SIPI")</f>
        <v>ALT_UOM5_SIPI</v>
      </c>
      <c r="I10656" s="136"/>
      <c r="R10656" s="63" t="str">
        <f t="shared" si="60"/>
        <v>ZSI1_LAUNDRY_SUPPALT_UOM5_SIPI</v>
      </c>
    </row>
    <row r="10657" ht="15.75" customHeight="1">
      <c r="B10657" s="63">
        <f t="shared" si="1"/>
        <v>17</v>
      </c>
      <c r="C10657" s="135" t="s">
        <v>411</v>
      </c>
      <c r="D10657" s="161" t="s">
        <v>74</v>
      </c>
      <c r="E10657" s="135">
        <f t="shared" si="62"/>
        <v>26</v>
      </c>
      <c r="F10657" s="134" t="s">
        <v>3817</v>
      </c>
      <c r="G10657" s="63" t="str">
        <f>VLOOKUP(C10657, 'Class Def. - General Data'!$C$20:$C$1000,1,false)</f>
        <v>ZSI1_LAUNDRY_SUPP</v>
      </c>
      <c r="H10657" s="63" t="str">
        <f>IFERROR(__xludf.DUMMYFUNCTION("VLOOKUP(F10657, IMPORTRANGE(""https://docs.google.com/spreadsheets/d/1Lhp9OU0JdFf_VYSMzH5lBcEaU4o8teT1piV-SNzShjg/edit?gid=554141278#gid=554141278"", ""'Char Def. - Attributes'!C20:C2242""), 1,false)"),"ALT_DENUM_UOM5")</f>
        <v>ALT_DENUM_UOM5</v>
      </c>
      <c r="I10657" s="136"/>
      <c r="R10657" s="63" t="str">
        <f t="shared" si="60"/>
        <v>ZSI1_LAUNDRY_SUPPALT_DENUM_UOM5</v>
      </c>
    </row>
    <row r="10658" ht="15.75" customHeight="1">
      <c r="B10658" s="63">
        <f t="shared" si="1"/>
        <v>17</v>
      </c>
      <c r="C10658" s="135" t="s">
        <v>411</v>
      </c>
      <c r="D10658" s="161" t="s">
        <v>74</v>
      </c>
      <c r="E10658" s="135">
        <f t="shared" si="62"/>
        <v>27</v>
      </c>
      <c r="F10658" s="134" t="s">
        <v>3818</v>
      </c>
      <c r="G10658" s="63" t="str">
        <f>VLOOKUP(C10658, 'Class Def. - General Data'!$C$20:$C$1000,1,false)</f>
        <v>ZSI1_LAUNDRY_SUPP</v>
      </c>
      <c r="H10658" s="63" t="str">
        <f>IFERROR(__xludf.DUMMYFUNCTION("VLOOKUP(F10658, IMPORTRANGE(""https://docs.google.com/spreadsheets/d/1Lhp9OU0JdFf_VYSMzH5lBcEaU4o8teT1piV-SNzShjg/edit?gid=554141278#gid=554141278"", ""'Char Def. - Attributes'!C20:C2242""), 1,false)"),"ALT_NUM_UOM5")</f>
        <v>ALT_NUM_UOM5</v>
      </c>
      <c r="I10658" s="136"/>
      <c r="R10658" s="63" t="str">
        <f t="shared" si="60"/>
        <v>ZSI1_LAUNDRY_SUPPALT_NUM_UOM5</v>
      </c>
    </row>
    <row r="10659" ht="15.75" customHeight="1">
      <c r="B10659" s="63">
        <f t="shared" si="1"/>
        <v>16</v>
      </c>
      <c r="C10659" s="135" t="s">
        <v>412</v>
      </c>
      <c r="D10659" s="161" t="s">
        <v>74</v>
      </c>
      <c r="E10659" s="135">
        <f t="shared" si="62"/>
        <v>1</v>
      </c>
      <c r="F10659" s="134" t="s">
        <v>4791</v>
      </c>
      <c r="G10659" s="63" t="str">
        <f>VLOOKUP(C10659, 'Class Def. - General Data'!$C$20:$C$1000,1,false)</f>
        <v>ZSI1_LIFTING_EQP</v>
      </c>
      <c r="H10659" s="63" t="str">
        <f>IFERROR(__xludf.DUMMYFUNCTION("VLOOKUP(F10659, IMPORTRANGE(""https://docs.google.com/spreadsheets/d/1Lhp9OU0JdFf_VYSMzH5lBcEaU4o8teT1piV-SNzShjg/edit?gid=554141278#gid=554141278"", ""'Char Def. - Attributes'!C20:C2242""), 1,false)"),"ITEM_NAME_LIFTING_EQP")</f>
        <v>ITEM_NAME_LIFTING_EQP</v>
      </c>
      <c r="I10659" s="136"/>
      <c r="R10659" s="63" t="str">
        <f t="shared" si="60"/>
        <v>ZSI1_LIFTING_EQPITEM_NAME_LIFTING_EQP</v>
      </c>
    </row>
    <row r="10660" ht="15.75" customHeight="1">
      <c r="B10660" s="63">
        <f t="shared" si="1"/>
        <v>16</v>
      </c>
      <c r="C10660" s="135" t="s">
        <v>412</v>
      </c>
      <c r="D10660" s="161" t="s">
        <v>74</v>
      </c>
      <c r="E10660" s="135">
        <f t="shared" si="62"/>
        <v>2</v>
      </c>
      <c r="F10660" s="134" t="s">
        <v>4792</v>
      </c>
      <c r="G10660" s="63" t="str">
        <f>VLOOKUP(C10660, 'Class Def. - General Data'!$C$20:$C$1000,1,false)</f>
        <v>ZSI1_LIFTING_EQP</v>
      </c>
      <c r="H10660" s="63" t="str">
        <f>IFERROR(__xludf.DUMMYFUNCTION("VLOOKUP(F10660, IMPORTRANGE(""https://docs.google.com/spreadsheets/d/1Lhp9OU0JdFf_VYSMzH5lBcEaU4o8teT1piV-SNzShjg/edit?gid=554141278#gid=554141278"", ""'Char Def. - Attributes'!C20:C2242""), 1,false)"),"MFR_NO_LIFTING_EQP")</f>
        <v>MFR_NO_LIFTING_EQP</v>
      </c>
      <c r="I10660" s="136"/>
      <c r="R10660" s="63" t="str">
        <f t="shared" si="60"/>
        <v>ZSI1_LIFTING_EQPMFR_NO_LIFTING_EQP</v>
      </c>
    </row>
    <row r="10661" ht="15.75" customHeight="1">
      <c r="B10661" s="63">
        <f t="shared" si="1"/>
        <v>16</v>
      </c>
      <c r="C10661" s="135" t="s">
        <v>412</v>
      </c>
      <c r="D10661" s="161" t="s">
        <v>74</v>
      </c>
      <c r="E10661" s="135">
        <f t="shared" si="62"/>
        <v>3</v>
      </c>
      <c r="F10661" s="134" t="s">
        <v>3782</v>
      </c>
      <c r="G10661" s="63" t="str">
        <f>VLOOKUP(C10661, 'Class Def. - General Data'!$C$20:$C$1000,1,false)</f>
        <v>ZSI1_LIFTING_EQP</v>
      </c>
      <c r="H10661" s="63" t="str">
        <f>IFERROR(__xludf.DUMMYFUNCTION("VLOOKUP(F10661, IMPORTRANGE(""https://docs.google.com/spreadsheets/d/1Lhp9OU0JdFf_VYSMzH5lBcEaU4o8teT1piV-SNzShjg/edit?gid=554141278#gid=554141278"", ""'Char Def. - Attributes'!C20:C2242""), 1,false)"),"BRAND_EXTERNAL")</f>
        <v>BRAND_EXTERNAL</v>
      </c>
      <c r="I10661" s="136"/>
      <c r="R10661" s="63" t="str">
        <f t="shared" si="60"/>
        <v>ZSI1_LIFTING_EQPBRAND_EXTERNAL</v>
      </c>
    </row>
    <row r="10662" ht="15.75" customHeight="1">
      <c r="B10662" s="63">
        <f t="shared" si="1"/>
        <v>16</v>
      </c>
      <c r="C10662" s="135" t="s">
        <v>412</v>
      </c>
      <c r="D10662" s="161" t="s">
        <v>74</v>
      </c>
      <c r="E10662" s="135">
        <f t="shared" si="62"/>
        <v>4</v>
      </c>
      <c r="F10662" s="134" t="s">
        <v>4062</v>
      </c>
      <c r="G10662" s="63" t="str">
        <f>VLOOKUP(C10662, 'Class Def. - General Data'!$C$20:$C$1000,1,false)</f>
        <v>ZSI1_LIFTING_EQP</v>
      </c>
      <c r="H10662" s="63" t="str">
        <f>IFERROR(__xludf.DUMMYFUNCTION("VLOOKUP(F10662, IMPORTRANGE(""https://docs.google.com/spreadsheets/d/1Lhp9OU0JdFf_VYSMzH5lBcEaU4o8teT1piV-SNzShjg/edit?gid=554141278#gid=554141278"", ""'Char Def. - Attributes'!C20:C2242""), 1,false)"),"#N/A")</f>
        <v>#N/A</v>
      </c>
      <c r="I10662" s="136"/>
      <c r="R10662" s="63" t="str">
        <f t="shared" si="60"/>
        <v>ZSI1_LIFTING_EQPADDTIONAL_SPECIFICATION</v>
      </c>
    </row>
    <row r="10663" ht="15.75" customHeight="1">
      <c r="B10663" s="63">
        <f t="shared" si="1"/>
        <v>16</v>
      </c>
      <c r="C10663" s="135" t="s">
        <v>412</v>
      </c>
      <c r="D10663" s="161" t="s">
        <v>74</v>
      </c>
      <c r="E10663" s="135">
        <f t="shared" si="62"/>
        <v>5</v>
      </c>
      <c r="F10663" s="134" t="s">
        <v>4053</v>
      </c>
      <c r="G10663" s="63" t="str">
        <f>VLOOKUP(C10663, 'Class Def. - General Data'!$C$20:$C$1000,1,false)</f>
        <v>ZSI1_LIFTING_EQP</v>
      </c>
      <c r="H10663" s="63" t="str">
        <f>IFERROR(__xludf.DUMMYFUNCTION("VLOOKUP(F10663, IMPORTRANGE(""https://docs.google.com/spreadsheets/d/1Lhp9OU0JdFf_VYSMzH5lBcEaU4o8teT1piV-SNzShjg/edit?gid=554141278#gid=554141278"", ""'Char Def. - Attributes'!C20:C2242""), 1,false)"),"MAINTENANCE_ORDER_TYPE")</f>
        <v>MAINTENANCE_ORDER_TYPE</v>
      </c>
      <c r="I10663" s="136"/>
      <c r="R10663" s="63" t="str">
        <f t="shared" si="60"/>
        <v>ZSI1_LIFTING_EQPMAINTENANCE_ORDER_TYPE</v>
      </c>
    </row>
    <row r="10664" ht="15.75" customHeight="1">
      <c r="B10664" s="63">
        <f t="shared" si="1"/>
        <v>16</v>
      </c>
      <c r="C10664" s="135" t="s">
        <v>412</v>
      </c>
      <c r="D10664" s="161" t="s">
        <v>74</v>
      </c>
      <c r="E10664" s="135">
        <f t="shared" si="62"/>
        <v>6</v>
      </c>
      <c r="F10664" s="134" t="s">
        <v>3585</v>
      </c>
      <c r="G10664" s="63" t="str">
        <f>VLOOKUP(C10664, 'Class Def. - General Data'!$C$20:$C$1000,1,false)</f>
        <v>ZSI1_LIFTING_EQP</v>
      </c>
      <c r="H10664" s="63" t="str">
        <f>IFERROR(__xludf.DUMMYFUNCTION("VLOOKUP(F10664, IMPORTRANGE(""https://docs.google.com/spreadsheets/d/1Lhp9OU0JdFf_VYSMzH5lBcEaU4o8teT1piV-SNzShjg/edit?gid=554141278#gid=554141278"", ""'Char Def. - Attributes'!C20:C2242""), 1,false)"),"HS_CODE")</f>
        <v>HS_CODE</v>
      </c>
      <c r="I10664" s="136"/>
      <c r="R10664" s="63" t="str">
        <f t="shared" si="60"/>
        <v>ZSI1_LIFTING_EQPHS_CODE</v>
      </c>
    </row>
    <row r="10665" ht="15.75" customHeight="1">
      <c r="B10665" s="63">
        <f t="shared" si="1"/>
        <v>16</v>
      </c>
      <c r="C10665" s="135" t="s">
        <v>412</v>
      </c>
      <c r="D10665" s="161" t="s">
        <v>74</v>
      </c>
      <c r="E10665" s="135">
        <f t="shared" si="62"/>
        <v>7</v>
      </c>
      <c r="F10665" s="134" t="s">
        <v>3587</v>
      </c>
      <c r="G10665" s="63" t="str">
        <f>VLOOKUP(C10665, 'Class Def. - General Data'!$C$20:$C$1000,1,false)</f>
        <v>ZSI1_LIFTING_EQP</v>
      </c>
      <c r="H10665" s="63" t="str">
        <f>IFERROR(__xludf.DUMMYFUNCTION("VLOOKUP(F10665, IMPORTRANGE(""https://docs.google.com/spreadsheets/d/1Lhp9OU0JdFf_VYSMzH5lBcEaU4o8teT1piV-SNzShjg/edit?gid=554141278#gid=554141278"", ""'Char Def. - Attributes'!C20:C2242""), 1,false)"),"PLANT_BUY")</f>
        <v>PLANT_BUY</v>
      </c>
      <c r="I10665" s="136"/>
      <c r="R10665" s="63" t="str">
        <f t="shared" si="60"/>
        <v>ZSI1_LIFTING_EQPPLANT_BUY</v>
      </c>
    </row>
    <row r="10666" ht="15.75" customHeight="1">
      <c r="B10666" s="63">
        <f t="shared" si="1"/>
        <v>16</v>
      </c>
      <c r="C10666" s="135" t="s">
        <v>412</v>
      </c>
      <c r="D10666" s="161" t="s">
        <v>74</v>
      </c>
      <c r="E10666" s="135">
        <f t="shared" si="62"/>
        <v>8</v>
      </c>
      <c r="F10666" s="134" t="s">
        <v>4793</v>
      </c>
      <c r="G10666" s="63" t="str">
        <f>VLOOKUP(C10666, 'Class Def. - General Data'!$C$20:$C$1000,1,false)</f>
        <v>ZSI1_LIFTING_EQP</v>
      </c>
      <c r="H10666" s="63" t="str">
        <f>IFERROR(__xludf.DUMMYFUNCTION("VLOOKUP(F10666, IMPORTRANGE(""https://docs.google.com/spreadsheets/d/1Lhp9OU0JdFf_VYSMzH5lBcEaU4o8teT1piV-SNzShjg/edit?gid=554141278#gid=554141278"", ""'Char Def. - Attributes'!C20:C2242""), 1,false)"),"BASE_UOM_LIFTING_EQP")</f>
        <v>BASE_UOM_LIFTING_EQP</v>
      </c>
      <c r="I10666" s="136"/>
      <c r="R10666" s="63" t="str">
        <f t="shared" si="60"/>
        <v>ZSI1_LIFTING_EQPBASE_UOM_LIFTING_EQP</v>
      </c>
    </row>
    <row r="10667" ht="15.75" customHeight="1">
      <c r="B10667" s="63">
        <f t="shared" si="1"/>
        <v>16</v>
      </c>
      <c r="C10667" s="135" t="s">
        <v>412</v>
      </c>
      <c r="D10667" s="161" t="s">
        <v>74</v>
      </c>
      <c r="E10667" s="135">
        <f t="shared" si="62"/>
        <v>9</v>
      </c>
      <c r="F10667" s="134" t="s">
        <v>4794</v>
      </c>
      <c r="G10667" s="63" t="str">
        <f>VLOOKUP(C10667, 'Class Def. - General Data'!$C$20:$C$1000,1,false)</f>
        <v>ZSI1_LIFTING_EQP</v>
      </c>
      <c r="H10667" s="63" t="str">
        <f>IFERROR(__xludf.DUMMYFUNCTION("VLOOKUP(F10667, IMPORTRANGE(""https://docs.google.com/spreadsheets/d/1Lhp9OU0JdFf_VYSMzH5lBcEaU4o8teT1piV-SNzShjg/edit?gid=554141278#gid=554141278"", ""'Char Def. - Attributes'!C20:C2242""), 1,false)"),"ORDER_UNIT_LIFTING_EQP")</f>
        <v>ORDER_UNIT_LIFTING_EQP</v>
      </c>
      <c r="I10667" s="136"/>
      <c r="R10667" s="63" t="str">
        <f t="shared" si="60"/>
        <v>ZSI1_LIFTING_EQPORDER_UNIT_LIFTING_EQP</v>
      </c>
    </row>
    <row r="10668" ht="15.75" customHeight="1">
      <c r="B10668" s="63">
        <f t="shared" si="1"/>
        <v>16</v>
      </c>
      <c r="C10668" s="135" t="s">
        <v>412</v>
      </c>
      <c r="D10668" s="161" t="s">
        <v>74</v>
      </c>
      <c r="E10668" s="135">
        <f t="shared" si="62"/>
        <v>10</v>
      </c>
      <c r="F10668" s="134" t="s">
        <v>4056</v>
      </c>
      <c r="G10668" s="63" t="str">
        <f>VLOOKUP(C10668, 'Class Def. - General Data'!$C$20:$C$1000,1,false)</f>
        <v>ZSI1_LIFTING_EQP</v>
      </c>
      <c r="H10668" s="63" t="str">
        <f>IFERROR(__xludf.DUMMYFUNCTION("VLOOKUP(F10668, IMPORTRANGE(""https://docs.google.com/spreadsheets/d/1Lhp9OU0JdFf_VYSMzH5lBcEaU4o8teT1piV-SNzShjg/edit?gid=554141278#gid=554141278"", ""'Char Def. - Attributes'!C20:C2242""), 1,false)"),"GROSS_WEIGHT_OPT")</f>
        <v>GROSS_WEIGHT_OPT</v>
      </c>
      <c r="I10668" s="136"/>
      <c r="R10668" s="63" t="str">
        <f t="shared" si="60"/>
        <v>ZSI1_LIFTING_EQPGROSS_WEIGHT_OPT</v>
      </c>
    </row>
    <row r="10669" ht="15.75" customHeight="1">
      <c r="B10669" s="63">
        <f t="shared" si="1"/>
        <v>16</v>
      </c>
      <c r="C10669" s="135" t="s">
        <v>412</v>
      </c>
      <c r="D10669" s="161" t="s">
        <v>74</v>
      </c>
      <c r="E10669" s="135">
        <f t="shared" si="62"/>
        <v>11</v>
      </c>
      <c r="F10669" s="134" t="s">
        <v>4057</v>
      </c>
      <c r="G10669" s="63" t="str">
        <f>VLOOKUP(C10669, 'Class Def. - General Data'!$C$20:$C$1000,1,false)</f>
        <v>ZSI1_LIFTING_EQP</v>
      </c>
      <c r="H10669" s="63" t="str">
        <f>IFERROR(__xludf.DUMMYFUNCTION("VLOOKUP(F10669, IMPORTRANGE(""https://docs.google.com/spreadsheets/d/1Lhp9OU0JdFf_VYSMzH5lBcEaU4o8teT1piV-SNzShjg/edit?gid=554141278#gid=554141278"", ""'Char Def. - Attributes'!C20:C2242""), 1,false)"),"NET_WEIGHT_OPT")</f>
        <v>NET_WEIGHT_OPT</v>
      </c>
      <c r="I10669" s="136"/>
      <c r="R10669" s="63" t="str">
        <f t="shared" si="60"/>
        <v>ZSI1_LIFTING_EQPNET_WEIGHT_OPT</v>
      </c>
    </row>
    <row r="10670" ht="15.75" customHeight="1">
      <c r="B10670" s="63">
        <f t="shared" si="1"/>
        <v>16</v>
      </c>
      <c r="C10670" s="135" t="s">
        <v>412</v>
      </c>
      <c r="D10670" s="161" t="s">
        <v>74</v>
      </c>
      <c r="E10670" s="135">
        <f t="shared" si="62"/>
        <v>12</v>
      </c>
      <c r="F10670" s="134" t="s">
        <v>4058</v>
      </c>
      <c r="G10670" s="63" t="str">
        <f>VLOOKUP(C10670, 'Class Def. - General Data'!$C$20:$C$1000,1,false)</f>
        <v>ZSI1_LIFTING_EQP</v>
      </c>
      <c r="H10670" s="63" t="str">
        <f>IFERROR(__xludf.DUMMYFUNCTION("VLOOKUP(F10670, IMPORTRANGE(""https://docs.google.com/spreadsheets/d/1Lhp9OU0JdFf_VYSMzH5lBcEaU4o8teT1piV-SNzShjg/edit?gid=554141278#gid=554141278"", ""'Char Def. - Attributes'!C20:C2242""), 1,false)"),"WEIGHT_UNIT_SI")</f>
        <v>WEIGHT_UNIT_SI</v>
      </c>
      <c r="I10670" s="136"/>
      <c r="R10670" s="63" t="str">
        <f t="shared" si="60"/>
        <v>ZSI1_LIFTING_EQPWEIGHT_UNIT_SI</v>
      </c>
    </row>
    <row r="10671" ht="15.75" customHeight="1">
      <c r="B10671" s="63">
        <f t="shared" si="1"/>
        <v>16</v>
      </c>
      <c r="C10671" s="135" t="s">
        <v>412</v>
      </c>
      <c r="D10671" s="161" t="s">
        <v>74</v>
      </c>
      <c r="E10671" s="135">
        <f t="shared" si="62"/>
        <v>13</v>
      </c>
      <c r="F10671" s="134" t="s">
        <v>3877</v>
      </c>
      <c r="G10671" s="63" t="str">
        <f>VLOOKUP(C10671, 'Class Def. - General Data'!$C$20:$C$1000,1,false)</f>
        <v>ZSI1_LIFTING_EQP</v>
      </c>
      <c r="H10671" s="63" t="str">
        <f>IFERROR(__xludf.DUMMYFUNCTION("VLOOKUP(F10671, IMPORTRANGE(""https://docs.google.com/spreadsheets/d/1Lhp9OU0JdFf_VYSMzH5lBcEaU4o8teT1piV-SNzShjg/edit?gid=554141278#gid=554141278"", ""'Char Def. - Attributes'!C20:C2242""), 1,false)"),"VOLUME_OPT")</f>
        <v>VOLUME_OPT</v>
      </c>
      <c r="I10671" s="136"/>
      <c r="R10671" s="63" t="str">
        <f t="shared" si="60"/>
        <v>ZSI1_LIFTING_EQPVOLUME_OPT</v>
      </c>
    </row>
    <row r="10672" ht="15.75" customHeight="1">
      <c r="B10672" s="63">
        <f t="shared" si="1"/>
        <v>16</v>
      </c>
      <c r="C10672" s="135" t="s">
        <v>412</v>
      </c>
      <c r="D10672" s="161" t="s">
        <v>74</v>
      </c>
      <c r="E10672" s="135">
        <f t="shared" si="62"/>
        <v>14</v>
      </c>
      <c r="F10672" s="134" t="s">
        <v>4059</v>
      </c>
      <c r="G10672" s="63" t="str">
        <f>VLOOKUP(C10672, 'Class Def. - General Data'!$C$20:$C$1000,1,false)</f>
        <v>ZSI1_LIFTING_EQP</v>
      </c>
      <c r="H10672" s="63" t="str">
        <f>IFERROR(__xludf.DUMMYFUNCTION("VLOOKUP(F10672, IMPORTRANGE(""https://docs.google.com/spreadsheets/d/1Lhp9OU0JdFf_VYSMzH5lBcEaU4o8teT1piV-SNzShjg/edit?gid=554141278#gid=554141278"", ""'Char Def. - Attributes'!C20:C2242""), 1,false)"),"VOLUME_UNIT_SI")</f>
        <v>VOLUME_UNIT_SI</v>
      </c>
      <c r="I10672" s="136"/>
      <c r="R10672" s="63" t="str">
        <f t="shared" si="60"/>
        <v>ZSI1_LIFTING_EQPVOLUME_UNIT_SI</v>
      </c>
    </row>
    <row r="10673" ht="15.75" customHeight="1">
      <c r="B10673" s="63">
        <f t="shared" si="1"/>
        <v>16</v>
      </c>
      <c r="C10673" s="135" t="s">
        <v>412</v>
      </c>
      <c r="D10673" s="161" t="s">
        <v>74</v>
      </c>
      <c r="E10673" s="135">
        <f t="shared" si="62"/>
        <v>15</v>
      </c>
      <c r="F10673" s="134" t="s">
        <v>3804</v>
      </c>
      <c r="G10673" s="63" t="str">
        <f>VLOOKUP(C10673, 'Class Def. - General Data'!$C$20:$C$1000,1,false)</f>
        <v>ZSI1_LIFTING_EQP</v>
      </c>
      <c r="H10673" s="63" t="str">
        <f>IFERROR(__xludf.DUMMYFUNCTION("VLOOKUP(F10673, IMPORTRANGE(""https://docs.google.com/spreadsheets/d/1Lhp9OU0JdFf_VYSMzH5lBcEaU4o8teT1piV-SNzShjg/edit?gid=554141278#gid=554141278"", ""'Char Def. - Attributes'!C20:C2242""), 1,false)"),"ALT_UOM1_SIPI")</f>
        <v>ALT_UOM1_SIPI</v>
      </c>
      <c r="I10673" s="136"/>
      <c r="R10673" s="63" t="str">
        <f t="shared" si="60"/>
        <v>ZSI1_LIFTING_EQPALT_UOM1_SIPI</v>
      </c>
    </row>
    <row r="10674" ht="15.75" customHeight="1">
      <c r="B10674" s="63">
        <f t="shared" si="1"/>
        <v>16</v>
      </c>
      <c r="C10674" s="135" t="s">
        <v>412</v>
      </c>
      <c r="D10674" s="161" t="s">
        <v>74</v>
      </c>
      <c r="E10674" s="135">
        <f t="shared" si="62"/>
        <v>16</v>
      </c>
      <c r="F10674" s="134" t="s">
        <v>3805</v>
      </c>
      <c r="G10674" s="63" t="str">
        <f>VLOOKUP(C10674, 'Class Def. - General Data'!$C$20:$C$1000,1,false)</f>
        <v>ZSI1_LIFTING_EQP</v>
      </c>
      <c r="H10674" s="63" t="str">
        <f>IFERROR(__xludf.DUMMYFUNCTION("VLOOKUP(F10674, IMPORTRANGE(""https://docs.google.com/spreadsheets/d/1Lhp9OU0JdFf_VYSMzH5lBcEaU4o8teT1piV-SNzShjg/edit?gid=554141278#gid=554141278"", ""'Char Def. - Attributes'!C20:C2242""), 1,false)"),"ALT_DENUM_UOM1")</f>
        <v>ALT_DENUM_UOM1</v>
      </c>
      <c r="I10674" s="136"/>
      <c r="R10674" s="63" t="str">
        <f t="shared" si="60"/>
        <v>ZSI1_LIFTING_EQPALT_DENUM_UOM1</v>
      </c>
    </row>
    <row r="10675" ht="15.75" customHeight="1">
      <c r="B10675" s="63">
        <f t="shared" si="1"/>
        <v>16</v>
      </c>
      <c r="C10675" s="135" t="s">
        <v>412</v>
      </c>
      <c r="D10675" s="161" t="s">
        <v>74</v>
      </c>
      <c r="E10675" s="135">
        <f t="shared" si="62"/>
        <v>17</v>
      </c>
      <c r="F10675" s="134" t="s">
        <v>3806</v>
      </c>
      <c r="G10675" s="63" t="str">
        <f>VLOOKUP(C10675, 'Class Def. - General Data'!$C$20:$C$1000,1,false)</f>
        <v>ZSI1_LIFTING_EQP</v>
      </c>
      <c r="H10675" s="63" t="str">
        <f>IFERROR(__xludf.DUMMYFUNCTION("VLOOKUP(F10675, IMPORTRANGE(""https://docs.google.com/spreadsheets/d/1Lhp9OU0JdFf_VYSMzH5lBcEaU4o8teT1piV-SNzShjg/edit?gid=554141278#gid=554141278"", ""'Char Def. - Attributes'!C20:C2242""), 1,false)"),"ALT_NUM_UOM1")</f>
        <v>ALT_NUM_UOM1</v>
      </c>
      <c r="I10675" s="136"/>
      <c r="R10675" s="63" t="str">
        <f t="shared" si="60"/>
        <v>ZSI1_LIFTING_EQPALT_NUM_UOM1</v>
      </c>
    </row>
    <row r="10676" ht="15.75" customHeight="1">
      <c r="B10676" s="63">
        <f t="shared" si="1"/>
        <v>16</v>
      </c>
      <c r="C10676" s="135" t="s">
        <v>412</v>
      </c>
      <c r="D10676" s="161" t="s">
        <v>74</v>
      </c>
      <c r="E10676" s="135">
        <f t="shared" si="62"/>
        <v>18</v>
      </c>
      <c r="F10676" s="134" t="s">
        <v>3807</v>
      </c>
      <c r="G10676" s="63" t="str">
        <f>VLOOKUP(C10676, 'Class Def. - General Data'!$C$20:$C$1000,1,false)</f>
        <v>ZSI1_LIFTING_EQP</v>
      </c>
      <c r="H10676" s="63" t="str">
        <f>IFERROR(__xludf.DUMMYFUNCTION("VLOOKUP(F10676, IMPORTRANGE(""https://docs.google.com/spreadsheets/d/1Lhp9OU0JdFf_VYSMzH5lBcEaU4o8teT1piV-SNzShjg/edit?gid=554141278#gid=554141278"", ""'Char Def. - Attributes'!C20:C2242""), 1,false)"),"ALT_UOM2_SIPI")</f>
        <v>ALT_UOM2_SIPI</v>
      </c>
      <c r="I10676" s="136"/>
      <c r="R10676" s="63" t="str">
        <f t="shared" si="60"/>
        <v>ZSI1_LIFTING_EQPALT_UOM2_SIPI</v>
      </c>
    </row>
    <row r="10677" ht="15.75" customHeight="1">
      <c r="B10677" s="63">
        <f t="shared" si="1"/>
        <v>16</v>
      </c>
      <c r="C10677" s="135" t="s">
        <v>412</v>
      </c>
      <c r="D10677" s="161" t="s">
        <v>74</v>
      </c>
      <c r="E10677" s="135">
        <f t="shared" si="62"/>
        <v>19</v>
      </c>
      <c r="F10677" s="134" t="s">
        <v>3808</v>
      </c>
      <c r="G10677" s="63" t="str">
        <f>VLOOKUP(C10677, 'Class Def. - General Data'!$C$20:$C$1000,1,false)</f>
        <v>ZSI1_LIFTING_EQP</v>
      </c>
      <c r="H10677" s="63" t="str">
        <f>IFERROR(__xludf.DUMMYFUNCTION("VLOOKUP(F10677, IMPORTRANGE(""https://docs.google.com/spreadsheets/d/1Lhp9OU0JdFf_VYSMzH5lBcEaU4o8teT1piV-SNzShjg/edit?gid=554141278#gid=554141278"", ""'Char Def. - Attributes'!C20:C2242""), 1,false)"),"ALT_DENUM_UOM2")</f>
        <v>ALT_DENUM_UOM2</v>
      </c>
      <c r="I10677" s="136"/>
      <c r="R10677" s="63" t="str">
        <f t="shared" si="60"/>
        <v>ZSI1_LIFTING_EQPALT_DENUM_UOM2</v>
      </c>
    </row>
    <row r="10678" ht="15.75" customHeight="1">
      <c r="B10678" s="63">
        <f t="shared" si="1"/>
        <v>16</v>
      </c>
      <c r="C10678" s="135" t="s">
        <v>412</v>
      </c>
      <c r="D10678" s="161" t="s">
        <v>74</v>
      </c>
      <c r="E10678" s="135">
        <f t="shared" si="62"/>
        <v>20</v>
      </c>
      <c r="F10678" s="134" t="s">
        <v>3809</v>
      </c>
      <c r="G10678" s="63" t="str">
        <f>VLOOKUP(C10678, 'Class Def. - General Data'!$C$20:$C$1000,1,false)</f>
        <v>ZSI1_LIFTING_EQP</v>
      </c>
      <c r="H10678" s="63" t="str">
        <f>IFERROR(__xludf.DUMMYFUNCTION("VLOOKUP(F10678, IMPORTRANGE(""https://docs.google.com/spreadsheets/d/1Lhp9OU0JdFf_VYSMzH5lBcEaU4o8teT1piV-SNzShjg/edit?gid=554141278#gid=554141278"", ""'Char Def. - Attributes'!C20:C2242""), 1,false)"),"ALT_NUM_UOM2")</f>
        <v>ALT_NUM_UOM2</v>
      </c>
      <c r="I10678" s="136"/>
      <c r="R10678" s="63" t="str">
        <f t="shared" si="60"/>
        <v>ZSI1_LIFTING_EQPALT_NUM_UOM2</v>
      </c>
    </row>
    <row r="10679" ht="15.75" customHeight="1">
      <c r="B10679" s="63">
        <f t="shared" si="1"/>
        <v>16</v>
      </c>
      <c r="C10679" s="135" t="s">
        <v>412</v>
      </c>
      <c r="D10679" s="161" t="s">
        <v>74</v>
      </c>
      <c r="E10679" s="135">
        <f t="shared" si="62"/>
        <v>21</v>
      </c>
      <c r="F10679" s="134" t="s">
        <v>3810</v>
      </c>
      <c r="G10679" s="63" t="str">
        <f>VLOOKUP(C10679, 'Class Def. - General Data'!$C$20:$C$1000,1,false)</f>
        <v>ZSI1_LIFTING_EQP</v>
      </c>
      <c r="H10679" s="63" t="str">
        <f>IFERROR(__xludf.DUMMYFUNCTION("VLOOKUP(F10679, IMPORTRANGE(""https://docs.google.com/spreadsheets/d/1Lhp9OU0JdFf_VYSMzH5lBcEaU4o8teT1piV-SNzShjg/edit?gid=554141278#gid=554141278"", ""'Char Def. - Attributes'!C20:C2242""), 1,false)"),"ALT_UOM3_SIPI")</f>
        <v>ALT_UOM3_SIPI</v>
      </c>
      <c r="I10679" s="136"/>
      <c r="R10679" s="63" t="str">
        <f t="shared" si="60"/>
        <v>ZSI1_LIFTING_EQPALT_UOM3_SIPI</v>
      </c>
    </row>
    <row r="10680" ht="15.75" customHeight="1">
      <c r="B10680" s="63">
        <f t="shared" si="1"/>
        <v>16</v>
      </c>
      <c r="C10680" s="135" t="s">
        <v>412</v>
      </c>
      <c r="D10680" s="161" t="s">
        <v>74</v>
      </c>
      <c r="E10680" s="135">
        <f t="shared" si="62"/>
        <v>22</v>
      </c>
      <c r="F10680" s="134" t="s">
        <v>3811</v>
      </c>
      <c r="G10680" s="63" t="str">
        <f>VLOOKUP(C10680, 'Class Def. - General Data'!$C$20:$C$1000,1,false)</f>
        <v>ZSI1_LIFTING_EQP</v>
      </c>
      <c r="H10680" s="63" t="str">
        <f>IFERROR(__xludf.DUMMYFUNCTION("VLOOKUP(F10680, IMPORTRANGE(""https://docs.google.com/spreadsheets/d/1Lhp9OU0JdFf_VYSMzH5lBcEaU4o8teT1piV-SNzShjg/edit?gid=554141278#gid=554141278"", ""'Char Def. - Attributes'!C20:C2242""), 1,false)"),"ALT_DENUM_UOM3")</f>
        <v>ALT_DENUM_UOM3</v>
      </c>
      <c r="I10680" s="136"/>
      <c r="R10680" s="63" t="str">
        <f t="shared" si="60"/>
        <v>ZSI1_LIFTING_EQPALT_DENUM_UOM3</v>
      </c>
    </row>
    <row r="10681" ht="15.75" customHeight="1">
      <c r="B10681" s="63">
        <f t="shared" si="1"/>
        <v>16</v>
      </c>
      <c r="C10681" s="135" t="s">
        <v>412</v>
      </c>
      <c r="D10681" s="161" t="s">
        <v>74</v>
      </c>
      <c r="E10681" s="135">
        <f t="shared" si="62"/>
        <v>23</v>
      </c>
      <c r="F10681" s="134" t="s">
        <v>3812</v>
      </c>
      <c r="G10681" s="63" t="str">
        <f>VLOOKUP(C10681, 'Class Def. - General Data'!$C$20:$C$1000,1,false)</f>
        <v>ZSI1_LIFTING_EQP</v>
      </c>
      <c r="H10681" s="63" t="str">
        <f>IFERROR(__xludf.DUMMYFUNCTION("VLOOKUP(F10681, IMPORTRANGE(""https://docs.google.com/spreadsheets/d/1Lhp9OU0JdFf_VYSMzH5lBcEaU4o8teT1piV-SNzShjg/edit?gid=554141278#gid=554141278"", ""'Char Def. - Attributes'!C20:C2242""), 1,false)"),"ALT_NUM_UOM3")</f>
        <v>ALT_NUM_UOM3</v>
      </c>
      <c r="I10681" s="136"/>
      <c r="R10681" s="63" t="str">
        <f t="shared" si="60"/>
        <v>ZSI1_LIFTING_EQPALT_NUM_UOM3</v>
      </c>
    </row>
    <row r="10682" ht="15.75" customHeight="1">
      <c r="B10682" s="63">
        <f t="shared" si="1"/>
        <v>16</v>
      </c>
      <c r="C10682" s="135" t="s">
        <v>412</v>
      </c>
      <c r="D10682" s="161" t="s">
        <v>74</v>
      </c>
      <c r="E10682" s="135">
        <f t="shared" si="62"/>
        <v>24</v>
      </c>
      <c r="F10682" s="134" t="s">
        <v>3813</v>
      </c>
      <c r="G10682" s="63" t="str">
        <f>VLOOKUP(C10682, 'Class Def. - General Data'!$C$20:$C$1000,1,false)</f>
        <v>ZSI1_LIFTING_EQP</v>
      </c>
      <c r="H10682" s="63" t="str">
        <f>IFERROR(__xludf.DUMMYFUNCTION("VLOOKUP(F10682, IMPORTRANGE(""https://docs.google.com/spreadsheets/d/1Lhp9OU0JdFf_VYSMzH5lBcEaU4o8teT1piV-SNzShjg/edit?gid=554141278#gid=554141278"", ""'Char Def. - Attributes'!C20:C2242""), 1,false)"),"ALT_UOM4_SIPI")</f>
        <v>ALT_UOM4_SIPI</v>
      </c>
      <c r="I10682" s="136"/>
      <c r="R10682" s="63" t="str">
        <f t="shared" si="60"/>
        <v>ZSI1_LIFTING_EQPALT_UOM4_SIPI</v>
      </c>
    </row>
    <row r="10683" ht="15.75" customHeight="1">
      <c r="B10683" s="63">
        <f t="shared" si="1"/>
        <v>16</v>
      </c>
      <c r="C10683" s="135" t="s">
        <v>412</v>
      </c>
      <c r="D10683" s="161" t="s">
        <v>74</v>
      </c>
      <c r="E10683" s="135">
        <f t="shared" si="62"/>
        <v>25</v>
      </c>
      <c r="F10683" s="134" t="s">
        <v>3814</v>
      </c>
      <c r="G10683" s="63" t="str">
        <f>VLOOKUP(C10683, 'Class Def. - General Data'!$C$20:$C$1000,1,false)</f>
        <v>ZSI1_LIFTING_EQP</v>
      </c>
      <c r="H10683" s="63" t="str">
        <f>IFERROR(__xludf.DUMMYFUNCTION("VLOOKUP(F10683, IMPORTRANGE(""https://docs.google.com/spreadsheets/d/1Lhp9OU0JdFf_VYSMzH5lBcEaU4o8teT1piV-SNzShjg/edit?gid=554141278#gid=554141278"", ""'Char Def. - Attributes'!C20:C2242""), 1,false)"),"ALT_DENUM_UOM4")</f>
        <v>ALT_DENUM_UOM4</v>
      </c>
      <c r="I10683" s="136"/>
      <c r="R10683" s="63" t="str">
        <f t="shared" si="60"/>
        <v>ZSI1_LIFTING_EQPALT_DENUM_UOM4</v>
      </c>
    </row>
    <row r="10684" ht="15.75" customHeight="1">
      <c r="B10684" s="63">
        <f t="shared" si="1"/>
        <v>16</v>
      </c>
      <c r="C10684" s="135" t="s">
        <v>412</v>
      </c>
      <c r="D10684" s="161" t="s">
        <v>74</v>
      </c>
      <c r="E10684" s="135">
        <f t="shared" si="62"/>
        <v>26</v>
      </c>
      <c r="F10684" s="134" t="s">
        <v>3815</v>
      </c>
      <c r="G10684" s="63" t="str">
        <f>VLOOKUP(C10684, 'Class Def. - General Data'!$C$20:$C$1000,1,false)</f>
        <v>ZSI1_LIFTING_EQP</v>
      </c>
      <c r="H10684" s="63" t="str">
        <f>IFERROR(__xludf.DUMMYFUNCTION("VLOOKUP(F10684, IMPORTRANGE(""https://docs.google.com/spreadsheets/d/1Lhp9OU0JdFf_VYSMzH5lBcEaU4o8teT1piV-SNzShjg/edit?gid=554141278#gid=554141278"", ""'Char Def. - Attributes'!C20:C2242""), 1,false)"),"ALT_NUM_UOM4")</f>
        <v>ALT_NUM_UOM4</v>
      </c>
      <c r="I10684" s="136"/>
      <c r="R10684" s="63" t="str">
        <f t="shared" si="60"/>
        <v>ZSI1_LIFTING_EQPALT_NUM_UOM4</v>
      </c>
    </row>
    <row r="10685" ht="15.75" customHeight="1">
      <c r="B10685" s="63">
        <f t="shared" si="1"/>
        <v>16</v>
      </c>
      <c r="C10685" s="135" t="s">
        <v>412</v>
      </c>
      <c r="D10685" s="161" t="s">
        <v>74</v>
      </c>
      <c r="E10685" s="135">
        <f t="shared" si="62"/>
        <v>27</v>
      </c>
      <c r="F10685" s="134" t="s">
        <v>3816</v>
      </c>
      <c r="G10685" s="63" t="str">
        <f>VLOOKUP(C10685, 'Class Def. - General Data'!$C$20:$C$1000,1,false)</f>
        <v>ZSI1_LIFTING_EQP</v>
      </c>
      <c r="H10685" s="63" t="str">
        <f>IFERROR(__xludf.DUMMYFUNCTION("VLOOKUP(F10685, IMPORTRANGE(""https://docs.google.com/spreadsheets/d/1Lhp9OU0JdFf_VYSMzH5lBcEaU4o8teT1piV-SNzShjg/edit?gid=554141278#gid=554141278"", ""'Char Def. - Attributes'!C20:C2242""), 1,false)"),"ALT_UOM5_SIPI")</f>
        <v>ALT_UOM5_SIPI</v>
      </c>
      <c r="I10685" s="136"/>
      <c r="R10685" s="63" t="str">
        <f t="shared" si="60"/>
        <v>ZSI1_LIFTING_EQPALT_UOM5_SIPI</v>
      </c>
    </row>
    <row r="10686" ht="15.75" customHeight="1">
      <c r="B10686" s="63">
        <f t="shared" si="1"/>
        <v>16</v>
      </c>
      <c r="C10686" s="135" t="s">
        <v>412</v>
      </c>
      <c r="D10686" s="161" t="s">
        <v>74</v>
      </c>
      <c r="E10686" s="135">
        <f t="shared" si="62"/>
        <v>28</v>
      </c>
      <c r="F10686" s="134" t="s">
        <v>3817</v>
      </c>
      <c r="G10686" s="63" t="str">
        <f>VLOOKUP(C10686, 'Class Def. - General Data'!$C$20:$C$1000,1,false)</f>
        <v>ZSI1_LIFTING_EQP</v>
      </c>
      <c r="H10686" s="63" t="str">
        <f>IFERROR(__xludf.DUMMYFUNCTION("VLOOKUP(F10686, IMPORTRANGE(""https://docs.google.com/spreadsheets/d/1Lhp9OU0JdFf_VYSMzH5lBcEaU4o8teT1piV-SNzShjg/edit?gid=554141278#gid=554141278"", ""'Char Def. - Attributes'!C20:C2242""), 1,false)"),"ALT_DENUM_UOM5")</f>
        <v>ALT_DENUM_UOM5</v>
      </c>
      <c r="I10686" s="136"/>
      <c r="R10686" s="63" t="str">
        <f t="shared" si="60"/>
        <v>ZSI1_LIFTING_EQPALT_DENUM_UOM5</v>
      </c>
    </row>
    <row r="10687" ht="15.75" customHeight="1">
      <c r="B10687" s="63">
        <f t="shared" si="1"/>
        <v>16</v>
      </c>
      <c r="C10687" s="135" t="s">
        <v>412</v>
      </c>
      <c r="D10687" s="161" t="s">
        <v>74</v>
      </c>
      <c r="E10687" s="135">
        <f t="shared" si="62"/>
        <v>29</v>
      </c>
      <c r="F10687" s="134" t="s">
        <v>3818</v>
      </c>
      <c r="G10687" s="63" t="str">
        <f>VLOOKUP(C10687, 'Class Def. - General Data'!$C$20:$C$1000,1,false)</f>
        <v>ZSI1_LIFTING_EQP</v>
      </c>
      <c r="H10687" s="63" t="str">
        <f>IFERROR(__xludf.DUMMYFUNCTION("VLOOKUP(F10687, IMPORTRANGE(""https://docs.google.com/spreadsheets/d/1Lhp9OU0JdFf_VYSMzH5lBcEaU4o8teT1piV-SNzShjg/edit?gid=554141278#gid=554141278"", ""'Char Def. - Attributes'!C20:C2242""), 1,false)"),"ALT_NUM_UOM5")</f>
        <v>ALT_NUM_UOM5</v>
      </c>
      <c r="I10687" s="136"/>
      <c r="R10687" s="63" t="str">
        <f t="shared" si="60"/>
        <v>ZSI1_LIFTING_EQPALT_NUM_UOM5</v>
      </c>
    </row>
    <row r="10688" ht="15.75" customHeight="1">
      <c r="B10688" s="63">
        <f t="shared" si="1"/>
        <v>14</v>
      </c>
      <c r="C10688" s="135" t="s">
        <v>413</v>
      </c>
      <c r="D10688" s="161" t="s">
        <v>74</v>
      </c>
      <c r="E10688" s="135">
        <f t="shared" si="62"/>
        <v>1</v>
      </c>
      <c r="F10688" s="134" t="s">
        <v>4795</v>
      </c>
      <c r="G10688" s="63" t="str">
        <f>VLOOKUP(C10688, 'Class Def. - General Data'!$C$20:$C$1000,1,false)</f>
        <v>ZSI1_LIGHT_BOX</v>
      </c>
      <c r="H10688" s="63" t="str">
        <f>IFERROR(__xludf.DUMMYFUNCTION("VLOOKUP(F10688, IMPORTRANGE(""https://docs.google.com/spreadsheets/d/1Lhp9OU0JdFf_VYSMzH5lBcEaU4o8teT1piV-SNzShjg/edit?gid=554141278#gid=554141278"", ""'Char Def. - Attributes'!C20:C2242""), 1,false)"),"ITEM_NAME_LIGHT_BOX")</f>
        <v>ITEM_NAME_LIGHT_BOX</v>
      </c>
      <c r="I10688" s="136"/>
      <c r="R10688" s="63" t="str">
        <f t="shared" si="60"/>
        <v>ZSI1_LIGHT_BOXITEM_NAME_LIGHT_BOX</v>
      </c>
    </row>
    <row r="10689" ht="15.75" customHeight="1">
      <c r="B10689" s="63">
        <f t="shared" si="1"/>
        <v>14</v>
      </c>
      <c r="C10689" s="135" t="s">
        <v>413</v>
      </c>
      <c r="D10689" s="161" t="s">
        <v>74</v>
      </c>
      <c r="E10689" s="135">
        <f t="shared" si="62"/>
        <v>2</v>
      </c>
      <c r="F10689" s="134" t="s">
        <v>4796</v>
      </c>
      <c r="G10689" s="63" t="str">
        <f>VLOOKUP(C10689, 'Class Def. - General Data'!$C$20:$C$1000,1,false)</f>
        <v>ZSI1_LIGHT_BOX</v>
      </c>
      <c r="H10689" s="63" t="str">
        <f>IFERROR(__xludf.DUMMYFUNCTION("VLOOKUP(F10689, IMPORTRANGE(""https://docs.google.com/spreadsheets/d/1Lhp9OU0JdFf_VYSMzH5lBcEaU4o8teT1piV-SNzShjg/edit?gid=554141278#gid=554141278"", ""'Char Def. - Attributes'!C20:C2242""), 1,false)"),"WIDTH_MM_LIGHT_BOX")</f>
        <v>WIDTH_MM_LIGHT_BOX</v>
      </c>
      <c r="I10689" s="136"/>
      <c r="R10689" s="63" t="str">
        <f t="shared" si="60"/>
        <v>ZSI1_LIGHT_BOXWIDTH_MM_LIGHT_BOX</v>
      </c>
    </row>
    <row r="10690" ht="15.75" customHeight="1">
      <c r="B10690" s="63">
        <f t="shared" si="1"/>
        <v>14</v>
      </c>
      <c r="C10690" s="135" t="s">
        <v>413</v>
      </c>
      <c r="D10690" s="161" t="s">
        <v>74</v>
      </c>
      <c r="E10690" s="135">
        <f t="shared" si="62"/>
        <v>3</v>
      </c>
      <c r="F10690" s="134" t="s">
        <v>4797</v>
      </c>
      <c r="G10690" s="63" t="str">
        <f>VLOOKUP(C10690, 'Class Def. - General Data'!$C$20:$C$1000,1,false)</f>
        <v>ZSI1_LIGHT_BOX</v>
      </c>
      <c r="H10690" s="63" t="str">
        <f>IFERROR(__xludf.DUMMYFUNCTION("VLOOKUP(F10690, IMPORTRANGE(""https://docs.google.com/spreadsheets/d/1Lhp9OU0JdFf_VYSMzH5lBcEaU4o8teT1piV-SNzShjg/edit?gid=554141278#gid=554141278"", ""'Char Def. - Attributes'!C20:C2242""), 1,false)"),"LENGTH_MM_LIGHT_BOX")</f>
        <v>LENGTH_MM_LIGHT_BOX</v>
      </c>
      <c r="I10690" s="136"/>
      <c r="R10690" s="63" t="str">
        <f t="shared" si="60"/>
        <v>ZSI1_LIGHT_BOXLENGTH_MM_LIGHT_BOX</v>
      </c>
    </row>
    <row r="10691" ht="15.75" customHeight="1">
      <c r="B10691" s="63">
        <f t="shared" si="1"/>
        <v>14</v>
      </c>
      <c r="C10691" s="135" t="s">
        <v>413</v>
      </c>
      <c r="D10691" s="161" t="s">
        <v>74</v>
      </c>
      <c r="E10691" s="135">
        <f t="shared" si="62"/>
        <v>4</v>
      </c>
      <c r="F10691" s="134" t="s">
        <v>4798</v>
      </c>
      <c r="G10691" s="63" t="str">
        <f>VLOOKUP(C10691, 'Class Def. - General Data'!$C$20:$C$1000,1,false)</f>
        <v>ZSI1_LIGHT_BOX</v>
      </c>
      <c r="H10691" s="63" t="str">
        <f>IFERROR(__xludf.DUMMYFUNCTION("VLOOKUP(F10691, IMPORTRANGE(""https://docs.google.com/spreadsheets/d/1Lhp9OU0JdFf_VYSMzH5lBcEaU4o8teT1piV-SNzShjg/edit?gid=554141278#gid=554141278"", ""'Char Def. - Attributes'!C20:C2242""), 1,false)"),"MATERIAL_LIGHT_BOX")</f>
        <v>MATERIAL_LIGHT_BOX</v>
      </c>
      <c r="I10691" s="136"/>
      <c r="R10691" s="63" t="str">
        <f t="shared" si="60"/>
        <v>ZSI1_LIGHT_BOXMATERIAL_LIGHT_BOX</v>
      </c>
    </row>
    <row r="10692" ht="15.75" customHeight="1">
      <c r="B10692" s="63">
        <f t="shared" si="1"/>
        <v>14</v>
      </c>
      <c r="C10692" s="135" t="s">
        <v>413</v>
      </c>
      <c r="D10692" s="161" t="s">
        <v>74</v>
      </c>
      <c r="E10692" s="135">
        <f t="shared" si="62"/>
        <v>5</v>
      </c>
      <c r="F10692" s="134" t="s">
        <v>4053</v>
      </c>
      <c r="G10692" s="63" t="str">
        <f>VLOOKUP(C10692, 'Class Def. - General Data'!$C$20:$C$1000,1,false)</f>
        <v>ZSI1_LIGHT_BOX</v>
      </c>
      <c r="H10692" s="63" t="str">
        <f>IFERROR(__xludf.DUMMYFUNCTION("VLOOKUP(F10692, IMPORTRANGE(""https://docs.google.com/spreadsheets/d/1Lhp9OU0JdFf_VYSMzH5lBcEaU4o8teT1piV-SNzShjg/edit?gid=554141278#gid=554141278"", ""'Char Def. - Attributes'!C20:C2242""), 1,false)"),"MAINTENANCE_ORDER_TYPE")</f>
        <v>MAINTENANCE_ORDER_TYPE</v>
      </c>
      <c r="I10692" s="136"/>
      <c r="R10692" s="63" t="str">
        <f t="shared" si="60"/>
        <v>ZSI1_LIGHT_BOXMAINTENANCE_ORDER_TYPE</v>
      </c>
    </row>
    <row r="10693" ht="15.75" customHeight="1">
      <c r="B10693" s="63">
        <f t="shared" si="1"/>
        <v>14</v>
      </c>
      <c r="C10693" s="135" t="s">
        <v>413</v>
      </c>
      <c r="D10693" s="161" t="s">
        <v>74</v>
      </c>
      <c r="E10693" s="135">
        <f t="shared" si="62"/>
        <v>6</v>
      </c>
      <c r="F10693" s="134" t="s">
        <v>3585</v>
      </c>
      <c r="G10693" s="63" t="str">
        <f>VLOOKUP(C10693, 'Class Def. - General Data'!$C$20:$C$1000,1,false)</f>
        <v>ZSI1_LIGHT_BOX</v>
      </c>
      <c r="H10693" s="63" t="str">
        <f>IFERROR(__xludf.DUMMYFUNCTION("VLOOKUP(F10693, IMPORTRANGE(""https://docs.google.com/spreadsheets/d/1Lhp9OU0JdFf_VYSMzH5lBcEaU4o8teT1piV-SNzShjg/edit?gid=554141278#gid=554141278"", ""'Char Def. - Attributes'!C20:C2242""), 1,false)"),"HS_CODE")</f>
        <v>HS_CODE</v>
      </c>
      <c r="I10693" s="136"/>
      <c r="R10693" s="63" t="str">
        <f t="shared" si="60"/>
        <v>ZSI1_LIGHT_BOXHS_CODE</v>
      </c>
    </row>
    <row r="10694" ht="15.75" customHeight="1">
      <c r="B10694" s="63">
        <f t="shared" si="1"/>
        <v>14</v>
      </c>
      <c r="C10694" s="135" t="s">
        <v>413</v>
      </c>
      <c r="D10694" s="161" t="s">
        <v>74</v>
      </c>
      <c r="E10694" s="135">
        <f t="shared" si="62"/>
        <v>7</v>
      </c>
      <c r="F10694" s="134" t="s">
        <v>3587</v>
      </c>
      <c r="G10694" s="63" t="str">
        <f>VLOOKUP(C10694, 'Class Def. - General Data'!$C$20:$C$1000,1,false)</f>
        <v>ZSI1_LIGHT_BOX</v>
      </c>
      <c r="H10694" s="63" t="str">
        <f>IFERROR(__xludf.DUMMYFUNCTION("VLOOKUP(F10694, IMPORTRANGE(""https://docs.google.com/spreadsheets/d/1Lhp9OU0JdFf_VYSMzH5lBcEaU4o8teT1piV-SNzShjg/edit?gid=554141278#gid=554141278"", ""'Char Def. - Attributes'!C20:C2242""), 1,false)"),"PLANT_BUY")</f>
        <v>PLANT_BUY</v>
      </c>
      <c r="I10694" s="136"/>
      <c r="R10694" s="63" t="str">
        <f t="shared" si="60"/>
        <v>ZSI1_LIGHT_BOXPLANT_BUY</v>
      </c>
    </row>
    <row r="10695" ht="15.75" customHeight="1">
      <c r="B10695" s="63">
        <f t="shared" si="1"/>
        <v>14</v>
      </c>
      <c r="C10695" s="135" t="s">
        <v>413</v>
      </c>
      <c r="D10695" s="161" t="s">
        <v>74</v>
      </c>
      <c r="E10695" s="135">
        <f t="shared" si="62"/>
        <v>8</v>
      </c>
      <c r="F10695" s="134" t="s">
        <v>4799</v>
      </c>
      <c r="G10695" s="63" t="str">
        <f>VLOOKUP(C10695, 'Class Def. - General Data'!$C$20:$C$1000,1,false)</f>
        <v>ZSI1_LIGHT_BOX</v>
      </c>
      <c r="H10695" s="63" t="str">
        <f>IFERROR(__xludf.DUMMYFUNCTION("VLOOKUP(F10695, IMPORTRANGE(""https://docs.google.com/spreadsheets/d/1Lhp9OU0JdFf_VYSMzH5lBcEaU4o8teT1piV-SNzShjg/edit?gid=554141278#gid=554141278"", ""'Char Def. - Attributes'!C20:C2242""), 1,false)"),"BASE_UOM_LIGHT_BOX")</f>
        <v>BASE_UOM_LIGHT_BOX</v>
      </c>
      <c r="I10695" s="136"/>
      <c r="R10695" s="63" t="str">
        <f t="shared" si="60"/>
        <v>ZSI1_LIGHT_BOXBASE_UOM_LIGHT_BOX</v>
      </c>
    </row>
    <row r="10696" ht="15.75" customHeight="1">
      <c r="B10696" s="63">
        <f t="shared" si="1"/>
        <v>14</v>
      </c>
      <c r="C10696" s="135" t="s">
        <v>413</v>
      </c>
      <c r="D10696" s="161" t="s">
        <v>74</v>
      </c>
      <c r="E10696" s="135">
        <f t="shared" si="62"/>
        <v>9</v>
      </c>
      <c r="F10696" s="134" t="s">
        <v>4800</v>
      </c>
      <c r="G10696" s="63" t="str">
        <f>VLOOKUP(C10696, 'Class Def. - General Data'!$C$20:$C$1000,1,false)</f>
        <v>ZSI1_LIGHT_BOX</v>
      </c>
      <c r="H10696" s="63" t="str">
        <f>IFERROR(__xludf.DUMMYFUNCTION("VLOOKUP(F10696, IMPORTRANGE(""https://docs.google.com/spreadsheets/d/1Lhp9OU0JdFf_VYSMzH5lBcEaU4o8teT1piV-SNzShjg/edit?gid=554141278#gid=554141278"", ""'Char Def. - Attributes'!C20:C2242""), 1,false)"),"ORDER_UNIT_LIGHT_BOX")</f>
        <v>ORDER_UNIT_LIGHT_BOX</v>
      </c>
      <c r="I10696" s="136"/>
      <c r="R10696" s="63" t="str">
        <f t="shared" si="60"/>
        <v>ZSI1_LIGHT_BOXORDER_UNIT_LIGHT_BOX</v>
      </c>
    </row>
    <row r="10697" ht="15.75" customHeight="1">
      <c r="B10697" s="63">
        <f t="shared" si="1"/>
        <v>14</v>
      </c>
      <c r="C10697" s="135" t="s">
        <v>413</v>
      </c>
      <c r="D10697" s="161" t="s">
        <v>74</v>
      </c>
      <c r="E10697" s="135">
        <f t="shared" si="62"/>
        <v>10</v>
      </c>
      <c r="F10697" s="134" t="s">
        <v>4056</v>
      </c>
      <c r="G10697" s="63" t="str">
        <f>VLOOKUP(C10697, 'Class Def. - General Data'!$C$20:$C$1000,1,false)</f>
        <v>ZSI1_LIGHT_BOX</v>
      </c>
      <c r="H10697" s="63" t="str">
        <f>IFERROR(__xludf.DUMMYFUNCTION("VLOOKUP(F10697, IMPORTRANGE(""https://docs.google.com/spreadsheets/d/1Lhp9OU0JdFf_VYSMzH5lBcEaU4o8teT1piV-SNzShjg/edit?gid=554141278#gid=554141278"", ""'Char Def. - Attributes'!C20:C2242""), 1,false)"),"GROSS_WEIGHT_OPT")</f>
        <v>GROSS_WEIGHT_OPT</v>
      </c>
      <c r="I10697" s="136"/>
      <c r="R10697" s="63" t="str">
        <f t="shared" si="60"/>
        <v>ZSI1_LIGHT_BOXGROSS_WEIGHT_OPT</v>
      </c>
    </row>
    <row r="10698" ht="15.75" customHeight="1">
      <c r="B10698" s="63">
        <f t="shared" si="1"/>
        <v>14</v>
      </c>
      <c r="C10698" s="135" t="s">
        <v>413</v>
      </c>
      <c r="D10698" s="161" t="s">
        <v>74</v>
      </c>
      <c r="E10698" s="135">
        <f t="shared" si="62"/>
        <v>11</v>
      </c>
      <c r="F10698" s="134" t="s">
        <v>4057</v>
      </c>
      <c r="G10698" s="63" t="str">
        <f>VLOOKUP(C10698, 'Class Def. - General Data'!$C$20:$C$1000,1,false)</f>
        <v>ZSI1_LIGHT_BOX</v>
      </c>
      <c r="H10698" s="63" t="str">
        <f>IFERROR(__xludf.DUMMYFUNCTION("VLOOKUP(F10698, IMPORTRANGE(""https://docs.google.com/spreadsheets/d/1Lhp9OU0JdFf_VYSMzH5lBcEaU4o8teT1piV-SNzShjg/edit?gid=554141278#gid=554141278"", ""'Char Def. - Attributes'!C20:C2242""), 1,false)"),"NET_WEIGHT_OPT")</f>
        <v>NET_WEIGHT_OPT</v>
      </c>
      <c r="I10698" s="136"/>
      <c r="R10698" s="63" t="str">
        <f t="shared" si="60"/>
        <v>ZSI1_LIGHT_BOXNET_WEIGHT_OPT</v>
      </c>
    </row>
    <row r="10699" ht="15.75" customHeight="1">
      <c r="B10699" s="63">
        <f t="shared" si="1"/>
        <v>14</v>
      </c>
      <c r="C10699" s="135" t="s">
        <v>413</v>
      </c>
      <c r="D10699" s="161" t="s">
        <v>74</v>
      </c>
      <c r="E10699" s="135">
        <f t="shared" si="62"/>
        <v>12</v>
      </c>
      <c r="F10699" s="134" t="s">
        <v>4058</v>
      </c>
      <c r="G10699" s="63" t="str">
        <f>VLOOKUP(C10699, 'Class Def. - General Data'!$C$20:$C$1000,1,false)</f>
        <v>ZSI1_LIGHT_BOX</v>
      </c>
      <c r="H10699" s="63" t="str">
        <f>IFERROR(__xludf.DUMMYFUNCTION("VLOOKUP(F10699, IMPORTRANGE(""https://docs.google.com/spreadsheets/d/1Lhp9OU0JdFf_VYSMzH5lBcEaU4o8teT1piV-SNzShjg/edit?gid=554141278#gid=554141278"", ""'Char Def. - Attributes'!C20:C2242""), 1,false)"),"WEIGHT_UNIT_SI")</f>
        <v>WEIGHT_UNIT_SI</v>
      </c>
      <c r="I10699" s="136"/>
      <c r="R10699" s="63" t="str">
        <f t="shared" si="60"/>
        <v>ZSI1_LIGHT_BOXWEIGHT_UNIT_SI</v>
      </c>
    </row>
    <row r="10700" ht="15.75" customHeight="1">
      <c r="B10700" s="63">
        <f t="shared" si="1"/>
        <v>14</v>
      </c>
      <c r="C10700" s="135" t="s">
        <v>413</v>
      </c>
      <c r="D10700" s="161" t="s">
        <v>74</v>
      </c>
      <c r="E10700" s="135">
        <f t="shared" si="62"/>
        <v>13</v>
      </c>
      <c r="F10700" s="134" t="s">
        <v>3877</v>
      </c>
      <c r="G10700" s="63" t="str">
        <f>VLOOKUP(C10700, 'Class Def. - General Data'!$C$20:$C$1000,1,false)</f>
        <v>ZSI1_LIGHT_BOX</v>
      </c>
      <c r="H10700" s="63" t="str">
        <f>IFERROR(__xludf.DUMMYFUNCTION("VLOOKUP(F10700, IMPORTRANGE(""https://docs.google.com/spreadsheets/d/1Lhp9OU0JdFf_VYSMzH5lBcEaU4o8teT1piV-SNzShjg/edit?gid=554141278#gid=554141278"", ""'Char Def. - Attributes'!C20:C2242""), 1,false)"),"VOLUME_OPT")</f>
        <v>VOLUME_OPT</v>
      </c>
      <c r="I10700" s="136"/>
      <c r="R10700" s="63" t="str">
        <f t="shared" si="60"/>
        <v>ZSI1_LIGHT_BOXVOLUME_OPT</v>
      </c>
    </row>
    <row r="10701" ht="15.75" customHeight="1">
      <c r="B10701" s="63">
        <f t="shared" si="1"/>
        <v>14</v>
      </c>
      <c r="C10701" s="135" t="s">
        <v>413</v>
      </c>
      <c r="D10701" s="161" t="s">
        <v>74</v>
      </c>
      <c r="E10701" s="135">
        <f t="shared" si="62"/>
        <v>14</v>
      </c>
      <c r="F10701" s="134" t="s">
        <v>4059</v>
      </c>
      <c r="G10701" s="63" t="str">
        <f>VLOOKUP(C10701, 'Class Def. - General Data'!$C$20:$C$1000,1,false)</f>
        <v>ZSI1_LIGHT_BOX</v>
      </c>
      <c r="H10701" s="63" t="str">
        <f>IFERROR(__xludf.DUMMYFUNCTION("VLOOKUP(F10701, IMPORTRANGE(""https://docs.google.com/spreadsheets/d/1Lhp9OU0JdFf_VYSMzH5lBcEaU4o8teT1piV-SNzShjg/edit?gid=554141278#gid=554141278"", ""'Char Def. - Attributes'!C20:C2242""), 1,false)"),"VOLUME_UNIT_SI")</f>
        <v>VOLUME_UNIT_SI</v>
      </c>
      <c r="I10701" s="136"/>
      <c r="R10701" s="63" t="str">
        <f t="shared" si="60"/>
        <v>ZSI1_LIGHT_BOXVOLUME_UNIT_SI</v>
      </c>
    </row>
    <row r="10702" ht="15.75" customHeight="1">
      <c r="B10702" s="63">
        <f t="shared" si="1"/>
        <v>14</v>
      </c>
      <c r="C10702" s="135" t="s">
        <v>413</v>
      </c>
      <c r="D10702" s="161" t="s">
        <v>74</v>
      </c>
      <c r="E10702" s="135">
        <f t="shared" si="62"/>
        <v>15</v>
      </c>
      <c r="F10702" s="134" t="s">
        <v>3804</v>
      </c>
      <c r="G10702" s="63" t="str">
        <f>VLOOKUP(C10702, 'Class Def. - General Data'!$C$20:$C$1000,1,false)</f>
        <v>ZSI1_LIGHT_BOX</v>
      </c>
      <c r="H10702" s="63" t="str">
        <f>IFERROR(__xludf.DUMMYFUNCTION("VLOOKUP(F10702, IMPORTRANGE(""https://docs.google.com/spreadsheets/d/1Lhp9OU0JdFf_VYSMzH5lBcEaU4o8teT1piV-SNzShjg/edit?gid=554141278#gid=554141278"", ""'Char Def. - Attributes'!C20:C2242""), 1,false)"),"ALT_UOM1_SIPI")</f>
        <v>ALT_UOM1_SIPI</v>
      </c>
      <c r="I10702" s="136"/>
      <c r="R10702" s="63" t="str">
        <f t="shared" si="60"/>
        <v>ZSI1_LIGHT_BOXALT_UOM1_SIPI</v>
      </c>
    </row>
    <row r="10703" ht="15.75" customHeight="1">
      <c r="B10703" s="63">
        <f t="shared" si="1"/>
        <v>14</v>
      </c>
      <c r="C10703" s="135" t="s">
        <v>413</v>
      </c>
      <c r="D10703" s="161" t="s">
        <v>74</v>
      </c>
      <c r="E10703" s="135">
        <f t="shared" si="62"/>
        <v>16</v>
      </c>
      <c r="F10703" s="134" t="s">
        <v>3805</v>
      </c>
      <c r="G10703" s="63" t="str">
        <f>VLOOKUP(C10703, 'Class Def. - General Data'!$C$20:$C$1000,1,false)</f>
        <v>ZSI1_LIGHT_BOX</v>
      </c>
      <c r="H10703" s="63" t="str">
        <f>IFERROR(__xludf.DUMMYFUNCTION("VLOOKUP(F10703, IMPORTRANGE(""https://docs.google.com/spreadsheets/d/1Lhp9OU0JdFf_VYSMzH5lBcEaU4o8teT1piV-SNzShjg/edit?gid=554141278#gid=554141278"", ""'Char Def. - Attributes'!C20:C2242""), 1,false)"),"ALT_DENUM_UOM1")</f>
        <v>ALT_DENUM_UOM1</v>
      </c>
      <c r="I10703" s="136"/>
      <c r="R10703" s="63" t="str">
        <f t="shared" si="60"/>
        <v>ZSI1_LIGHT_BOXALT_DENUM_UOM1</v>
      </c>
    </row>
    <row r="10704" ht="15.75" customHeight="1">
      <c r="B10704" s="63">
        <f t="shared" si="1"/>
        <v>14</v>
      </c>
      <c r="C10704" s="135" t="s">
        <v>413</v>
      </c>
      <c r="D10704" s="161" t="s">
        <v>74</v>
      </c>
      <c r="E10704" s="135">
        <f t="shared" si="62"/>
        <v>17</v>
      </c>
      <c r="F10704" s="134" t="s">
        <v>3806</v>
      </c>
      <c r="G10704" s="63" t="str">
        <f>VLOOKUP(C10704, 'Class Def. - General Data'!$C$20:$C$1000,1,false)</f>
        <v>ZSI1_LIGHT_BOX</v>
      </c>
      <c r="H10704" s="63" t="str">
        <f>IFERROR(__xludf.DUMMYFUNCTION("VLOOKUP(F10704, IMPORTRANGE(""https://docs.google.com/spreadsheets/d/1Lhp9OU0JdFf_VYSMzH5lBcEaU4o8teT1piV-SNzShjg/edit?gid=554141278#gid=554141278"", ""'Char Def. - Attributes'!C20:C2242""), 1,false)"),"ALT_NUM_UOM1")</f>
        <v>ALT_NUM_UOM1</v>
      </c>
      <c r="I10704" s="136"/>
      <c r="R10704" s="63" t="str">
        <f t="shared" si="60"/>
        <v>ZSI1_LIGHT_BOXALT_NUM_UOM1</v>
      </c>
    </row>
    <row r="10705" ht="15.75" customHeight="1">
      <c r="B10705" s="63">
        <f t="shared" si="1"/>
        <v>14</v>
      </c>
      <c r="C10705" s="135" t="s">
        <v>413</v>
      </c>
      <c r="D10705" s="161" t="s">
        <v>74</v>
      </c>
      <c r="E10705" s="135">
        <f t="shared" si="62"/>
        <v>18</v>
      </c>
      <c r="F10705" s="134" t="s">
        <v>3807</v>
      </c>
      <c r="G10705" s="63" t="str">
        <f>VLOOKUP(C10705, 'Class Def. - General Data'!$C$20:$C$1000,1,false)</f>
        <v>ZSI1_LIGHT_BOX</v>
      </c>
      <c r="H10705" s="63" t="str">
        <f>IFERROR(__xludf.DUMMYFUNCTION("VLOOKUP(F10705, IMPORTRANGE(""https://docs.google.com/spreadsheets/d/1Lhp9OU0JdFf_VYSMzH5lBcEaU4o8teT1piV-SNzShjg/edit?gid=554141278#gid=554141278"", ""'Char Def. - Attributes'!C20:C2242""), 1,false)"),"ALT_UOM2_SIPI")</f>
        <v>ALT_UOM2_SIPI</v>
      </c>
      <c r="I10705" s="136"/>
      <c r="R10705" s="63" t="str">
        <f t="shared" si="60"/>
        <v>ZSI1_LIGHT_BOXALT_UOM2_SIPI</v>
      </c>
    </row>
    <row r="10706" ht="15.75" customHeight="1">
      <c r="B10706" s="63">
        <f t="shared" si="1"/>
        <v>14</v>
      </c>
      <c r="C10706" s="135" t="s">
        <v>413</v>
      </c>
      <c r="D10706" s="161" t="s">
        <v>74</v>
      </c>
      <c r="E10706" s="135">
        <f t="shared" si="62"/>
        <v>19</v>
      </c>
      <c r="F10706" s="134" t="s">
        <v>3808</v>
      </c>
      <c r="G10706" s="63" t="str">
        <f>VLOOKUP(C10706, 'Class Def. - General Data'!$C$20:$C$1000,1,false)</f>
        <v>ZSI1_LIGHT_BOX</v>
      </c>
      <c r="H10706" s="63" t="str">
        <f>IFERROR(__xludf.DUMMYFUNCTION("VLOOKUP(F10706, IMPORTRANGE(""https://docs.google.com/spreadsheets/d/1Lhp9OU0JdFf_VYSMzH5lBcEaU4o8teT1piV-SNzShjg/edit?gid=554141278#gid=554141278"", ""'Char Def. - Attributes'!C20:C2242""), 1,false)"),"ALT_DENUM_UOM2")</f>
        <v>ALT_DENUM_UOM2</v>
      </c>
      <c r="I10706" s="136"/>
      <c r="R10706" s="63" t="str">
        <f t="shared" si="60"/>
        <v>ZSI1_LIGHT_BOXALT_DENUM_UOM2</v>
      </c>
    </row>
    <row r="10707" ht="15.75" customHeight="1">
      <c r="B10707" s="63">
        <f t="shared" si="1"/>
        <v>14</v>
      </c>
      <c r="C10707" s="135" t="s">
        <v>413</v>
      </c>
      <c r="D10707" s="161" t="s">
        <v>74</v>
      </c>
      <c r="E10707" s="135">
        <f t="shared" si="62"/>
        <v>20</v>
      </c>
      <c r="F10707" s="134" t="s">
        <v>3809</v>
      </c>
      <c r="G10707" s="63" t="str">
        <f>VLOOKUP(C10707, 'Class Def. - General Data'!$C$20:$C$1000,1,false)</f>
        <v>ZSI1_LIGHT_BOX</v>
      </c>
      <c r="H10707" s="63" t="str">
        <f>IFERROR(__xludf.DUMMYFUNCTION("VLOOKUP(F10707, IMPORTRANGE(""https://docs.google.com/spreadsheets/d/1Lhp9OU0JdFf_VYSMzH5lBcEaU4o8teT1piV-SNzShjg/edit?gid=554141278#gid=554141278"", ""'Char Def. - Attributes'!C20:C2242""), 1,false)"),"ALT_NUM_UOM2")</f>
        <v>ALT_NUM_UOM2</v>
      </c>
      <c r="I10707" s="136"/>
      <c r="R10707" s="63" t="str">
        <f t="shared" si="60"/>
        <v>ZSI1_LIGHT_BOXALT_NUM_UOM2</v>
      </c>
    </row>
    <row r="10708" ht="15.75" customHeight="1">
      <c r="B10708" s="63">
        <f t="shared" si="1"/>
        <v>14</v>
      </c>
      <c r="C10708" s="135" t="s">
        <v>413</v>
      </c>
      <c r="D10708" s="161" t="s">
        <v>74</v>
      </c>
      <c r="E10708" s="135">
        <f t="shared" si="62"/>
        <v>21</v>
      </c>
      <c r="F10708" s="134" t="s">
        <v>3810</v>
      </c>
      <c r="G10708" s="63" t="str">
        <f>VLOOKUP(C10708, 'Class Def. - General Data'!$C$20:$C$1000,1,false)</f>
        <v>ZSI1_LIGHT_BOX</v>
      </c>
      <c r="H10708" s="63" t="str">
        <f>IFERROR(__xludf.DUMMYFUNCTION("VLOOKUP(F10708, IMPORTRANGE(""https://docs.google.com/spreadsheets/d/1Lhp9OU0JdFf_VYSMzH5lBcEaU4o8teT1piV-SNzShjg/edit?gid=554141278#gid=554141278"", ""'Char Def. - Attributes'!C20:C2242""), 1,false)"),"ALT_UOM3_SIPI")</f>
        <v>ALT_UOM3_SIPI</v>
      </c>
      <c r="I10708" s="136"/>
      <c r="R10708" s="63" t="str">
        <f t="shared" si="60"/>
        <v>ZSI1_LIGHT_BOXALT_UOM3_SIPI</v>
      </c>
    </row>
    <row r="10709" ht="15.75" customHeight="1">
      <c r="B10709" s="63">
        <f t="shared" si="1"/>
        <v>14</v>
      </c>
      <c r="C10709" s="135" t="s">
        <v>413</v>
      </c>
      <c r="D10709" s="161" t="s">
        <v>74</v>
      </c>
      <c r="E10709" s="135">
        <f t="shared" si="62"/>
        <v>22</v>
      </c>
      <c r="F10709" s="134" t="s">
        <v>3811</v>
      </c>
      <c r="G10709" s="63" t="str">
        <f>VLOOKUP(C10709, 'Class Def. - General Data'!$C$20:$C$1000,1,false)</f>
        <v>ZSI1_LIGHT_BOX</v>
      </c>
      <c r="H10709" s="63" t="str">
        <f>IFERROR(__xludf.DUMMYFUNCTION("VLOOKUP(F10709, IMPORTRANGE(""https://docs.google.com/spreadsheets/d/1Lhp9OU0JdFf_VYSMzH5lBcEaU4o8teT1piV-SNzShjg/edit?gid=554141278#gid=554141278"", ""'Char Def. - Attributes'!C20:C2242""), 1,false)"),"ALT_DENUM_UOM3")</f>
        <v>ALT_DENUM_UOM3</v>
      </c>
      <c r="I10709" s="136"/>
      <c r="R10709" s="63" t="str">
        <f t="shared" si="60"/>
        <v>ZSI1_LIGHT_BOXALT_DENUM_UOM3</v>
      </c>
    </row>
    <row r="10710" ht="15.75" customHeight="1">
      <c r="B10710" s="63">
        <f t="shared" si="1"/>
        <v>14</v>
      </c>
      <c r="C10710" s="135" t="s">
        <v>413</v>
      </c>
      <c r="D10710" s="161" t="s">
        <v>74</v>
      </c>
      <c r="E10710" s="135">
        <f t="shared" si="62"/>
        <v>23</v>
      </c>
      <c r="F10710" s="134" t="s">
        <v>3812</v>
      </c>
      <c r="G10710" s="63" t="str">
        <f>VLOOKUP(C10710, 'Class Def. - General Data'!$C$20:$C$1000,1,false)</f>
        <v>ZSI1_LIGHT_BOX</v>
      </c>
      <c r="H10710" s="63" t="str">
        <f>IFERROR(__xludf.DUMMYFUNCTION("VLOOKUP(F10710, IMPORTRANGE(""https://docs.google.com/spreadsheets/d/1Lhp9OU0JdFf_VYSMzH5lBcEaU4o8teT1piV-SNzShjg/edit?gid=554141278#gid=554141278"", ""'Char Def. - Attributes'!C20:C2242""), 1,false)"),"ALT_NUM_UOM3")</f>
        <v>ALT_NUM_UOM3</v>
      </c>
      <c r="I10710" s="136"/>
      <c r="R10710" s="63" t="str">
        <f t="shared" si="60"/>
        <v>ZSI1_LIGHT_BOXALT_NUM_UOM3</v>
      </c>
    </row>
    <row r="10711" ht="15.75" customHeight="1">
      <c r="B10711" s="63">
        <f t="shared" si="1"/>
        <v>14</v>
      </c>
      <c r="C10711" s="135" t="s">
        <v>413</v>
      </c>
      <c r="D10711" s="161" t="s">
        <v>74</v>
      </c>
      <c r="E10711" s="135">
        <f t="shared" si="62"/>
        <v>24</v>
      </c>
      <c r="F10711" s="134" t="s">
        <v>3813</v>
      </c>
      <c r="G10711" s="63" t="str">
        <f>VLOOKUP(C10711, 'Class Def. - General Data'!$C$20:$C$1000,1,false)</f>
        <v>ZSI1_LIGHT_BOX</v>
      </c>
      <c r="H10711" s="63" t="str">
        <f>IFERROR(__xludf.DUMMYFUNCTION("VLOOKUP(F10711, IMPORTRANGE(""https://docs.google.com/spreadsheets/d/1Lhp9OU0JdFf_VYSMzH5lBcEaU4o8teT1piV-SNzShjg/edit?gid=554141278#gid=554141278"", ""'Char Def. - Attributes'!C20:C2242""), 1,false)"),"ALT_UOM4_SIPI")</f>
        <v>ALT_UOM4_SIPI</v>
      </c>
      <c r="I10711" s="136"/>
      <c r="R10711" s="63" t="str">
        <f t="shared" si="60"/>
        <v>ZSI1_LIGHT_BOXALT_UOM4_SIPI</v>
      </c>
    </row>
    <row r="10712" ht="15.75" customHeight="1">
      <c r="B10712" s="63">
        <f t="shared" si="1"/>
        <v>14</v>
      </c>
      <c r="C10712" s="135" t="s">
        <v>413</v>
      </c>
      <c r="D10712" s="161" t="s">
        <v>74</v>
      </c>
      <c r="E10712" s="135">
        <f t="shared" si="62"/>
        <v>25</v>
      </c>
      <c r="F10712" s="134" t="s">
        <v>3814</v>
      </c>
      <c r="G10712" s="63" t="str">
        <f>VLOOKUP(C10712, 'Class Def. - General Data'!$C$20:$C$1000,1,false)</f>
        <v>ZSI1_LIGHT_BOX</v>
      </c>
      <c r="H10712" s="63" t="str">
        <f>IFERROR(__xludf.DUMMYFUNCTION("VLOOKUP(F10712, IMPORTRANGE(""https://docs.google.com/spreadsheets/d/1Lhp9OU0JdFf_VYSMzH5lBcEaU4o8teT1piV-SNzShjg/edit?gid=554141278#gid=554141278"", ""'Char Def. - Attributes'!C20:C2242""), 1,false)"),"ALT_DENUM_UOM4")</f>
        <v>ALT_DENUM_UOM4</v>
      </c>
      <c r="I10712" s="136"/>
      <c r="R10712" s="63" t="str">
        <f t="shared" si="60"/>
        <v>ZSI1_LIGHT_BOXALT_DENUM_UOM4</v>
      </c>
    </row>
    <row r="10713" ht="15.75" customHeight="1">
      <c r="B10713" s="63">
        <f t="shared" si="1"/>
        <v>14</v>
      </c>
      <c r="C10713" s="135" t="s">
        <v>413</v>
      </c>
      <c r="D10713" s="161" t="s">
        <v>74</v>
      </c>
      <c r="E10713" s="135">
        <f t="shared" si="62"/>
        <v>26</v>
      </c>
      <c r="F10713" s="134" t="s">
        <v>3815</v>
      </c>
      <c r="G10713" s="63" t="str">
        <f>VLOOKUP(C10713, 'Class Def. - General Data'!$C$20:$C$1000,1,false)</f>
        <v>ZSI1_LIGHT_BOX</v>
      </c>
      <c r="H10713" s="63" t="str">
        <f>IFERROR(__xludf.DUMMYFUNCTION("VLOOKUP(F10713, IMPORTRANGE(""https://docs.google.com/spreadsheets/d/1Lhp9OU0JdFf_VYSMzH5lBcEaU4o8teT1piV-SNzShjg/edit?gid=554141278#gid=554141278"", ""'Char Def. - Attributes'!C20:C2242""), 1,false)"),"ALT_NUM_UOM4")</f>
        <v>ALT_NUM_UOM4</v>
      </c>
      <c r="I10713" s="136"/>
      <c r="R10713" s="63" t="str">
        <f t="shared" si="60"/>
        <v>ZSI1_LIGHT_BOXALT_NUM_UOM4</v>
      </c>
    </row>
    <row r="10714" ht="15.75" customHeight="1">
      <c r="B10714" s="63">
        <f t="shared" si="1"/>
        <v>14</v>
      </c>
      <c r="C10714" s="135" t="s">
        <v>413</v>
      </c>
      <c r="D10714" s="161" t="s">
        <v>74</v>
      </c>
      <c r="E10714" s="135">
        <f t="shared" si="62"/>
        <v>27</v>
      </c>
      <c r="F10714" s="134" t="s">
        <v>3816</v>
      </c>
      <c r="G10714" s="63" t="str">
        <f>VLOOKUP(C10714, 'Class Def. - General Data'!$C$20:$C$1000,1,false)</f>
        <v>ZSI1_LIGHT_BOX</v>
      </c>
      <c r="H10714" s="63" t="str">
        <f>IFERROR(__xludf.DUMMYFUNCTION("VLOOKUP(F10714, IMPORTRANGE(""https://docs.google.com/spreadsheets/d/1Lhp9OU0JdFf_VYSMzH5lBcEaU4o8teT1piV-SNzShjg/edit?gid=554141278#gid=554141278"", ""'Char Def. - Attributes'!C20:C2242""), 1,false)"),"ALT_UOM5_SIPI")</f>
        <v>ALT_UOM5_SIPI</v>
      </c>
      <c r="I10714" s="136"/>
      <c r="R10714" s="63" t="str">
        <f t="shared" si="60"/>
        <v>ZSI1_LIGHT_BOXALT_UOM5_SIPI</v>
      </c>
    </row>
    <row r="10715" ht="15.75" customHeight="1">
      <c r="B10715" s="63">
        <f t="shared" si="1"/>
        <v>14</v>
      </c>
      <c r="C10715" s="135" t="s">
        <v>413</v>
      </c>
      <c r="D10715" s="161" t="s">
        <v>74</v>
      </c>
      <c r="E10715" s="135">
        <f t="shared" si="62"/>
        <v>28</v>
      </c>
      <c r="F10715" s="134" t="s">
        <v>3817</v>
      </c>
      <c r="G10715" s="63" t="str">
        <f>VLOOKUP(C10715, 'Class Def. - General Data'!$C$20:$C$1000,1,false)</f>
        <v>ZSI1_LIGHT_BOX</v>
      </c>
      <c r="H10715" s="63" t="str">
        <f>IFERROR(__xludf.DUMMYFUNCTION("VLOOKUP(F10715, IMPORTRANGE(""https://docs.google.com/spreadsheets/d/1Lhp9OU0JdFf_VYSMzH5lBcEaU4o8teT1piV-SNzShjg/edit?gid=554141278#gid=554141278"", ""'Char Def. - Attributes'!C20:C2242""), 1,false)"),"ALT_DENUM_UOM5")</f>
        <v>ALT_DENUM_UOM5</v>
      </c>
      <c r="I10715" s="136"/>
      <c r="R10715" s="63" t="str">
        <f t="shared" si="60"/>
        <v>ZSI1_LIGHT_BOXALT_DENUM_UOM5</v>
      </c>
    </row>
    <row r="10716" ht="15.75" customHeight="1">
      <c r="B10716" s="63">
        <f t="shared" si="1"/>
        <v>14</v>
      </c>
      <c r="C10716" s="135" t="s">
        <v>413</v>
      </c>
      <c r="D10716" s="161" t="s">
        <v>74</v>
      </c>
      <c r="E10716" s="135">
        <f t="shared" si="62"/>
        <v>29</v>
      </c>
      <c r="F10716" s="134" t="s">
        <v>3818</v>
      </c>
      <c r="G10716" s="63" t="str">
        <f>VLOOKUP(C10716, 'Class Def. - General Data'!$C$20:$C$1000,1,false)</f>
        <v>ZSI1_LIGHT_BOX</v>
      </c>
      <c r="H10716" s="63" t="str">
        <f>IFERROR(__xludf.DUMMYFUNCTION("VLOOKUP(F10716, IMPORTRANGE(""https://docs.google.com/spreadsheets/d/1Lhp9OU0JdFf_VYSMzH5lBcEaU4o8teT1piV-SNzShjg/edit?gid=554141278#gid=554141278"", ""'Char Def. - Attributes'!C20:C2242""), 1,false)"),"ALT_NUM_UOM5")</f>
        <v>ALT_NUM_UOM5</v>
      </c>
      <c r="I10716" s="136"/>
      <c r="R10716" s="63" t="str">
        <f t="shared" si="60"/>
        <v>ZSI1_LIGHT_BOXALT_NUM_UOM5</v>
      </c>
    </row>
    <row r="10717" ht="15.75" customHeight="1">
      <c r="B10717" s="63">
        <f t="shared" si="1"/>
        <v>18</v>
      </c>
      <c r="C10717" s="135" t="s">
        <v>334</v>
      </c>
      <c r="D10717" s="161" t="s">
        <v>74</v>
      </c>
      <c r="E10717" s="135">
        <f t="shared" si="62"/>
        <v>1</v>
      </c>
      <c r="F10717" s="134" t="s">
        <v>4801</v>
      </c>
      <c r="G10717" s="63" t="str">
        <f>VLOOKUP(C10717, 'Class Def. - General Data'!$C$20:$C$1000,1,false)</f>
        <v>ZSI1_LIGHT_FIXTURE</v>
      </c>
      <c r="H10717" s="63" t="str">
        <f>IFERROR(__xludf.DUMMYFUNCTION("VLOOKUP(F10717, IMPORTRANGE(""https://docs.google.com/spreadsheets/d/1Lhp9OU0JdFf_VYSMzH5lBcEaU4o8teT1piV-SNzShjg/edit?gid=554141278#gid=554141278"", ""'Char Def. - Attributes'!C20:C2242""), 1,false)"),"ITEM_NAME_LIGHT_FIXTURE")</f>
        <v>ITEM_NAME_LIGHT_FIXTURE</v>
      </c>
      <c r="I10717" s="136"/>
      <c r="R10717" s="63" t="str">
        <f t="shared" si="60"/>
        <v>ZSI1_LIGHT_FIXTUREITEM_NAME_LIGHT_FIXTURE</v>
      </c>
    </row>
    <row r="10718" ht="15.75" customHeight="1">
      <c r="B10718" s="63">
        <f t="shared" si="1"/>
        <v>18</v>
      </c>
      <c r="C10718" s="135" t="s">
        <v>334</v>
      </c>
      <c r="D10718" s="161" t="s">
        <v>74</v>
      </c>
      <c r="E10718" s="135">
        <f t="shared" si="62"/>
        <v>2</v>
      </c>
      <c r="F10718" s="134" t="s">
        <v>4802</v>
      </c>
      <c r="G10718" s="63" t="str">
        <f>VLOOKUP(C10718, 'Class Def. - General Data'!$C$20:$C$1000,1,false)</f>
        <v>ZSI1_LIGHT_FIXTURE</v>
      </c>
      <c r="H10718" s="63" t="str">
        <f>IFERROR(__xludf.DUMMYFUNCTION("VLOOKUP(F10718, IMPORTRANGE(""https://docs.google.com/spreadsheets/d/1Lhp9OU0JdFf_VYSMzH5lBcEaU4o8teT1piV-SNzShjg/edit?gid=554141278#gid=554141278"", ""'Char Def. - Attributes'!C20:C2242""), 1,false)"),"MFR_NO_LIGHT_FIXTURE")</f>
        <v>MFR_NO_LIGHT_FIXTURE</v>
      </c>
      <c r="I10718" s="136"/>
      <c r="R10718" s="63" t="str">
        <f t="shared" si="60"/>
        <v>ZSI1_LIGHT_FIXTUREMFR_NO_LIGHT_FIXTURE</v>
      </c>
    </row>
    <row r="10719" ht="15.75" customHeight="1">
      <c r="B10719" s="63">
        <f t="shared" si="1"/>
        <v>18</v>
      </c>
      <c r="C10719" s="135" t="s">
        <v>334</v>
      </c>
      <c r="D10719" s="161" t="s">
        <v>74</v>
      </c>
      <c r="E10719" s="135">
        <f t="shared" si="62"/>
        <v>3</v>
      </c>
      <c r="F10719" s="134" t="s">
        <v>3782</v>
      </c>
      <c r="G10719" s="63" t="str">
        <f>VLOOKUP(C10719, 'Class Def. - General Data'!$C$20:$C$1000,1,false)</f>
        <v>ZSI1_LIGHT_FIXTURE</v>
      </c>
      <c r="H10719" s="63" t="str">
        <f>IFERROR(__xludf.DUMMYFUNCTION("VLOOKUP(F10719, IMPORTRANGE(""https://docs.google.com/spreadsheets/d/1Lhp9OU0JdFf_VYSMzH5lBcEaU4o8teT1piV-SNzShjg/edit?gid=554141278#gid=554141278"", ""'Char Def. - Attributes'!C20:C2242""), 1,false)"),"BRAND_EXTERNAL")</f>
        <v>BRAND_EXTERNAL</v>
      </c>
      <c r="I10719" s="136"/>
      <c r="R10719" s="63" t="str">
        <f t="shared" si="60"/>
        <v>ZSI1_LIGHT_FIXTUREBRAND_EXTERNAL</v>
      </c>
    </row>
    <row r="10720" ht="15.75" customHeight="1">
      <c r="B10720" s="63">
        <f t="shared" si="1"/>
        <v>18</v>
      </c>
      <c r="C10720" s="135" t="s">
        <v>334</v>
      </c>
      <c r="D10720" s="161" t="s">
        <v>74</v>
      </c>
      <c r="E10720" s="135">
        <f t="shared" si="62"/>
        <v>4</v>
      </c>
      <c r="F10720" s="134" t="s">
        <v>4062</v>
      </c>
      <c r="G10720" s="63" t="str">
        <f>VLOOKUP(C10720, 'Class Def. - General Data'!$C$20:$C$1000,1,false)</f>
        <v>ZSI1_LIGHT_FIXTURE</v>
      </c>
      <c r="H10720" s="63" t="str">
        <f>IFERROR(__xludf.DUMMYFUNCTION("VLOOKUP(F10720, IMPORTRANGE(""https://docs.google.com/spreadsheets/d/1Lhp9OU0JdFf_VYSMzH5lBcEaU4o8teT1piV-SNzShjg/edit?gid=554141278#gid=554141278"", ""'Char Def. - Attributes'!C20:C2242""), 1,false)"),"#N/A")</f>
        <v>#N/A</v>
      </c>
      <c r="I10720" s="136"/>
      <c r="R10720" s="63" t="str">
        <f t="shared" si="60"/>
        <v>ZSI1_LIGHT_FIXTUREADDTIONAL_SPECIFICATION</v>
      </c>
    </row>
    <row r="10721" ht="15.75" customHeight="1">
      <c r="B10721" s="63">
        <f t="shared" si="1"/>
        <v>18</v>
      </c>
      <c r="C10721" s="135" t="s">
        <v>334</v>
      </c>
      <c r="D10721" s="161" t="s">
        <v>74</v>
      </c>
      <c r="E10721" s="135">
        <f t="shared" si="62"/>
        <v>5</v>
      </c>
      <c r="F10721" s="134" t="s">
        <v>4053</v>
      </c>
      <c r="G10721" s="63" t="str">
        <f>VLOOKUP(C10721, 'Class Def. - General Data'!$C$20:$C$1000,1,false)</f>
        <v>ZSI1_LIGHT_FIXTURE</v>
      </c>
      <c r="H10721" s="63" t="str">
        <f>IFERROR(__xludf.DUMMYFUNCTION("VLOOKUP(F10721, IMPORTRANGE(""https://docs.google.com/spreadsheets/d/1Lhp9OU0JdFf_VYSMzH5lBcEaU4o8teT1piV-SNzShjg/edit?gid=554141278#gid=554141278"", ""'Char Def. - Attributes'!C20:C2242""), 1,false)"),"MAINTENANCE_ORDER_TYPE")</f>
        <v>MAINTENANCE_ORDER_TYPE</v>
      </c>
      <c r="I10721" s="136"/>
      <c r="R10721" s="63" t="str">
        <f t="shared" si="60"/>
        <v>ZSI1_LIGHT_FIXTUREMAINTENANCE_ORDER_TYPE</v>
      </c>
    </row>
    <row r="10722" ht="15.75" customHeight="1">
      <c r="B10722" s="63">
        <f t="shared" si="1"/>
        <v>18</v>
      </c>
      <c r="C10722" s="135" t="s">
        <v>334</v>
      </c>
      <c r="D10722" s="161" t="s">
        <v>74</v>
      </c>
      <c r="E10722" s="135">
        <f t="shared" si="62"/>
        <v>6</v>
      </c>
      <c r="F10722" s="134" t="s">
        <v>3585</v>
      </c>
      <c r="G10722" s="63" t="str">
        <f>VLOOKUP(C10722, 'Class Def. - General Data'!$C$20:$C$1000,1,false)</f>
        <v>ZSI1_LIGHT_FIXTURE</v>
      </c>
      <c r="H10722" s="63" t="str">
        <f>IFERROR(__xludf.DUMMYFUNCTION("VLOOKUP(F10722, IMPORTRANGE(""https://docs.google.com/spreadsheets/d/1Lhp9OU0JdFf_VYSMzH5lBcEaU4o8teT1piV-SNzShjg/edit?gid=554141278#gid=554141278"", ""'Char Def. - Attributes'!C20:C2242""), 1,false)"),"HS_CODE")</f>
        <v>HS_CODE</v>
      </c>
      <c r="I10722" s="136"/>
      <c r="R10722" s="63" t="str">
        <f t="shared" si="60"/>
        <v>ZSI1_LIGHT_FIXTUREHS_CODE</v>
      </c>
    </row>
    <row r="10723" ht="15.75" customHeight="1">
      <c r="B10723" s="63">
        <f t="shared" si="1"/>
        <v>18</v>
      </c>
      <c r="C10723" s="135" t="s">
        <v>334</v>
      </c>
      <c r="D10723" s="161" t="s">
        <v>74</v>
      </c>
      <c r="E10723" s="135">
        <f t="shared" si="62"/>
        <v>7</v>
      </c>
      <c r="F10723" s="134" t="s">
        <v>3587</v>
      </c>
      <c r="G10723" s="63" t="str">
        <f>VLOOKUP(C10723, 'Class Def. - General Data'!$C$20:$C$1000,1,false)</f>
        <v>ZSI1_LIGHT_FIXTURE</v>
      </c>
      <c r="H10723" s="63" t="str">
        <f>IFERROR(__xludf.DUMMYFUNCTION("VLOOKUP(F10723, IMPORTRANGE(""https://docs.google.com/spreadsheets/d/1Lhp9OU0JdFf_VYSMzH5lBcEaU4o8teT1piV-SNzShjg/edit?gid=554141278#gid=554141278"", ""'Char Def. - Attributes'!C20:C2242""), 1,false)"),"PLANT_BUY")</f>
        <v>PLANT_BUY</v>
      </c>
      <c r="I10723" s="136"/>
      <c r="R10723" s="63" t="str">
        <f t="shared" si="60"/>
        <v>ZSI1_LIGHT_FIXTUREPLANT_BUY</v>
      </c>
    </row>
    <row r="10724" ht="15.75" customHeight="1">
      <c r="B10724" s="63">
        <f t="shared" si="1"/>
        <v>18</v>
      </c>
      <c r="C10724" s="135" t="s">
        <v>334</v>
      </c>
      <c r="D10724" s="161" t="s">
        <v>74</v>
      </c>
      <c r="E10724" s="135">
        <f t="shared" si="62"/>
        <v>8</v>
      </c>
      <c r="F10724" s="134" t="s">
        <v>4803</v>
      </c>
      <c r="G10724" s="63" t="str">
        <f>VLOOKUP(C10724, 'Class Def. - General Data'!$C$20:$C$1000,1,false)</f>
        <v>ZSI1_LIGHT_FIXTURE</v>
      </c>
      <c r="H10724" s="63" t="str">
        <f>IFERROR(__xludf.DUMMYFUNCTION("VLOOKUP(F10724, IMPORTRANGE(""https://docs.google.com/spreadsheets/d/1Lhp9OU0JdFf_VYSMzH5lBcEaU4o8teT1piV-SNzShjg/edit?gid=554141278#gid=554141278"", ""'Char Def. - Attributes'!C20:C2242""), 1,false)"),"BASE_UOM_LIGHT_FIXTURE")</f>
        <v>BASE_UOM_LIGHT_FIXTURE</v>
      </c>
      <c r="I10724" s="136"/>
      <c r="R10724" s="63" t="str">
        <f t="shared" si="60"/>
        <v>ZSI1_LIGHT_FIXTUREBASE_UOM_LIGHT_FIXTURE</v>
      </c>
    </row>
    <row r="10725" ht="15.75" customHeight="1">
      <c r="B10725" s="63">
        <f t="shared" si="1"/>
        <v>18</v>
      </c>
      <c r="C10725" s="135" t="s">
        <v>334</v>
      </c>
      <c r="D10725" s="161" t="s">
        <v>74</v>
      </c>
      <c r="E10725" s="135">
        <f t="shared" si="62"/>
        <v>9</v>
      </c>
      <c r="F10725" s="134" t="s">
        <v>4804</v>
      </c>
      <c r="G10725" s="63" t="str">
        <f>VLOOKUP(C10725, 'Class Def. - General Data'!$C$20:$C$1000,1,false)</f>
        <v>ZSI1_LIGHT_FIXTURE</v>
      </c>
      <c r="H10725" s="63" t="str">
        <f>IFERROR(__xludf.DUMMYFUNCTION("VLOOKUP(F10725, IMPORTRANGE(""https://docs.google.com/spreadsheets/d/1Lhp9OU0JdFf_VYSMzH5lBcEaU4o8teT1piV-SNzShjg/edit?gid=554141278#gid=554141278"", ""'Char Def. - Attributes'!C20:C2242""), 1,false)"),"ORDER_UNIT_LIGHT_FIXTURE")</f>
        <v>ORDER_UNIT_LIGHT_FIXTURE</v>
      </c>
      <c r="I10725" s="136"/>
      <c r="R10725" s="63" t="str">
        <f t="shared" si="60"/>
        <v>ZSI1_LIGHT_FIXTUREORDER_UNIT_LIGHT_FIXTURE</v>
      </c>
    </row>
    <row r="10726" ht="15.75" customHeight="1">
      <c r="B10726" s="63">
        <f t="shared" si="1"/>
        <v>18</v>
      </c>
      <c r="C10726" s="135" t="s">
        <v>334</v>
      </c>
      <c r="D10726" s="161" t="s">
        <v>74</v>
      </c>
      <c r="E10726" s="135">
        <f t="shared" si="62"/>
        <v>10</v>
      </c>
      <c r="F10726" s="134" t="s">
        <v>4056</v>
      </c>
      <c r="G10726" s="63" t="str">
        <f>VLOOKUP(C10726, 'Class Def. - General Data'!$C$20:$C$1000,1,false)</f>
        <v>ZSI1_LIGHT_FIXTURE</v>
      </c>
      <c r="H10726" s="63" t="str">
        <f>IFERROR(__xludf.DUMMYFUNCTION("VLOOKUP(F10726, IMPORTRANGE(""https://docs.google.com/spreadsheets/d/1Lhp9OU0JdFf_VYSMzH5lBcEaU4o8teT1piV-SNzShjg/edit?gid=554141278#gid=554141278"", ""'Char Def. - Attributes'!C20:C2242""), 1,false)"),"GROSS_WEIGHT_OPT")</f>
        <v>GROSS_WEIGHT_OPT</v>
      </c>
      <c r="I10726" s="136"/>
      <c r="R10726" s="63" t="str">
        <f t="shared" si="60"/>
        <v>ZSI1_LIGHT_FIXTUREGROSS_WEIGHT_OPT</v>
      </c>
    </row>
    <row r="10727" ht="15.75" customHeight="1">
      <c r="B10727" s="63">
        <f t="shared" si="1"/>
        <v>18</v>
      </c>
      <c r="C10727" s="135" t="s">
        <v>334</v>
      </c>
      <c r="D10727" s="161" t="s">
        <v>74</v>
      </c>
      <c r="E10727" s="135">
        <f t="shared" si="62"/>
        <v>11</v>
      </c>
      <c r="F10727" s="134" t="s">
        <v>4057</v>
      </c>
      <c r="G10727" s="63" t="str">
        <f>VLOOKUP(C10727, 'Class Def. - General Data'!$C$20:$C$1000,1,false)</f>
        <v>ZSI1_LIGHT_FIXTURE</v>
      </c>
      <c r="H10727" s="63" t="str">
        <f>IFERROR(__xludf.DUMMYFUNCTION("VLOOKUP(F10727, IMPORTRANGE(""https://docs.google.com/spreadsheets/d/1Lhp9OU0JdFf_VYSMzH5lBcEaU4o8teT1piV-SNzShjg/edit?gid=554141278#gid=554141278"", ""'Char Def. - Attributes'!C20:C2242""), 1,false)"),"NET_WEIGHT_OPT")</f>
        <v>NET_WEIGHT_OPT</v>
      </c>
      <c r="I10727" s="136"/>
      <c r="R10727" s="63" t="str">
        <f t="shared" si="60"/>
        <v>ZSI1_LIGHT_FIXTURENET_WEIGHT_OPT</v>
      </c>
    </row>
    <row r="10728" ht="15.75" customHeight="1">
      <c r="B10728" s="63">
        <f t="shared" si="1"/>
        <v>18</v>
      </c>
      <c r="C10728" s="135" t="s">
        <v>334</v>
      </c>
      <c r="D10728" s="161" t="s">
        <v>74</v>
      </c>
      <c r="E10728" s="135">
        <f t="shared" si="62"/>
        <v>12</v>
      </c>
      <c r="F10728" s="134" t="s">
        <v>4058</v>
      </c>
      <c r="G10728" s="63" t="str">
        <f>VLOOKUP(C10728, 'Class Def. - General Data'!$C$20:$C$1000,1,false)</f>
        <v>ZSI1_LIGHT_FIXTURE</v>
      </c>
      <c r="H10728" s="63" t="str">
        <f>IFERROR(__xludf.DUMMYFUNCTION("VLOOKUP(F10728, IMPORTRANGE(""https://docs.google.com/spreadsheets/d/1Lhp9OU0JdFf_VYSMzH5lBcEaU4o8teT1piV-SNzShjg/edit?gid=554141278#gid=554141278"", ""'Char Def. - Attributes'!C20:C2242""), 1,false)"),"WEIGHT_UNIT_SI")</f>
        <v>WEIGHT_UNIT_SI</v>
      </c>
      <c r="I10728" s="136"/>
      <c r="R10728" s="63" t="str">
        <f t="shared" si="60"/>
        <v>ZSI1_LIGHT_FIXTUREWEIGHT_UNIT_SI</v>
      </c>
    </row>
    <row r="10729" ht="15.75" customHeight="1">
      <c r="B10729" s="63">
        <f t="shared" si="1"/>
        <v>18</v>
      </c>
      <c r="C10729" s="135" t="s">
        <v>334</v>
      </c>
      <c r="D10729" s="161" t="s">
        <v>74</v>
      </c>
      <c r="E10729" s="135">
        <f t="shared" si="62"/>
        <v>13</v>
      </c>
      <c r="F10729" s="134" t="s">
        <v>3877</v>
      </c>
      <c r="G10729" s="63" t="str">
        <f>VLOOKUP(C10729, 'Class Def. - General Data'!$C$20:$C$1000,1,false)</f>
        <v>ZSI1_LIGHT_FIXTURE</v>
      </c>
      <c r="H10729" s="63" t="str">
        <f>IFERROR(__xludf.DUMMYFUNCTION("VLOOKUP(F10729, IMPORTRANGE(""https://docs.google.com/spreadsheets/d/1Lhp9OU0JdFf_VYSMzH5lBcEaU4o8teT1piV-SNzShjg/edit?gid=554141278#gid=554141278"", ""'Char Def. - Attributes'!C20:C2242""), 1,false)"),"VOLUME_OPT")</f>
        <v>VOLUME_OPT</v>
      </c>
      <c r="I10729" s="136"/>
      <c r="R10729" s="63" t="str">
        <f t="shared" si="60"/>
        <v>ZSI1_LIGHT_FIXTUREVOLUME_OPT</v>
      </c>
    </row>
    <row r="10730" ht="15.75" customHeight="1">
      <c r="B10730" s="63">
        <f t="shared" si="1"/>
        <v>18</v>
      </c>
      <c r="C10730" s="135" t="s">
        <v>334</v>
      </c>
      <c r="D10730" s="161" t="s">
        <v>74</v>
      </c>
      <c r="E10730" s="135">
        <f t="shared" si="62"/>
        <v>14</v>
      </c>
      <c r="F10730" s="134" t="s">
        <v>4059</v>
      </c>
      <c r="G10730" s="63" t="str">
        <f>VLOOKUP(C10730, 'Class Def. - General Data'!$C$20:$C$1000,1,false)</f>
        <v>ZSI1_LIGHT_FIXTURE</v>
      </c>
      <c r="H10730" s="63" t="str">
        <f>IFERROR(__xludf.DUMMYFUNCTION("VLOOKUP(F10730, IMPORTRANGE(""https://docs.google.com/spreadsheets/d/1Lhp9OU0JdFf_VYSMzH5lBcEaU4o8teT1piV-SNzShjg/edit?gid=554141278#gid=554141278"", ""'Char Def. - Attributes'!C20:C2242""), 1,false)"),"VOLUME_UNIT_SI")</f>
        <v>VOLUME_UNIT_SI</v>
      </c>
      <c r="I10730" s="136"/>
      <c r="R10730" s="63" t="str">
        <f t="shared" si="60"/>
        <v>ZSI1_LIGHT_FIXTUREVOLUME_UNIT_SI</v>
      </c>
    </row>
    <row r="10731" ht="15.75" customHeight="1">
      <c r="B10731" s="63">
        <f t="shared" si="1"/>
        <v>18</v>
      </c>
      <c r="C10731" s="135" t="s">
        <v>334</v>
      </c>
      <c r="D10731" s="161" t="s">
        <v>74</v>
      </c>
      <c r="E10731" s="135">
        <f t="shared" si="62"/>
        <v>15</v>
      </c>
      <c r="F10731" s="134" t="s">
        <v>3804</v>
      </c>
      <c r="G10731" s="63" t="str">
        <f>VLOOKUP(C10731, 'Class Def. - General Data'!$C$20:$C$1000,1,false)</f>
        <v>ZSI1_LIGHT_FIXTURE</v>
      </c>
      <c r="H10731" s="63" t="str">
        <f>IFERROR(__xludf.DUMMYFUNCTION("VLOOKUP(F10731, IMPORTRANGE(""https://docs.google.com/spreadsheets/d/1Lhp9OU0JdFf_VYSMzH5lBcEaU4o8teT1piV-SNzShjg/edit?gid=554141278#gid=554141278"", ""'Char Def. - Attributes'!C20:C2242""), 1,false)"),"ALT_UOM1_SIPI")</f>
        <v>ALT_UOM1_SIPI</v>
      </c>
      <c r="I10731" s="136"/>
      <c r="R10731" s="63" t="str">
        <f t="shared" si="60"/>
        <v>ZSI1_LIGHT_FIXTUREALT_UOM1_SIPI</v>
      </c>
    </row>
    <row r="10732" ht="15.75" customHeight="1">
      <c r="B10732" s="63">
        <f t="shared" si="1"/>
        <v>18</v>
      </c>
      <c r="C10732" s="135" t="s">
        <v>334</v>
      </c>
      <c r="D10732" s="161" t="s">
        <v>74</v>
      </c>
      <c r="E10732" s="135">
        <f t="shared" si="62"/>
        <v>16</v>
      </c>
      <c r="F10732" s="134" t="s">
        <v>3805</v>
      </c>
      <c r="G10732" s="63" t="str">
        <f>VLOOKUP(C10732, 'Class Def. - General Data'!$C$20:$C$1000,1,false)</f>
        <v>ZSI1_LIGHT_FIXTURE</v>
      </c>
      <c r="H10732" s="63" t="str">
        <f>IFERROR(__xludf.DUMMYFUNCTION("VLOOKUP(F10732, IMPORTRANGE(""https://docs.google.com/spreadsheets/d/1Lhp9OU0JdFf_VYSMzH5lBcEaU4o8teT1piV-SNzShjg/edit?gid=554141278#gid=554141278"", ""'Char Def. - Attributes'!C20:C2242""), 1,false)"),"ALT_DENUM_UOM1")</f>
        <v>ALT_DENUM_UOM1</v>
      </c>
      <c r="I10732" s="136"/>
      <c r="R10732" s="63" t="str">
        <f t="shared" si="60"/>
        <v>ZSI1_LIGHT_FIXTUREALT_DENUM_UOM1</v>
      </c>
    </row>
    <row r="10733" ht="15.75" customHeight="1">
      <c r="B10733" s="63">
        <f t="shared" si="1"/>
        <v>18</v>
      </c>
      <c r="C10733" s="135" t="s">
        <v>334</v>
      </c>
      <c r="D10733" s="161" t="s">
        <v>74</v>
      </c>
      <c r="E10733" s="135">
        <f t="shared" si="62"/>
        <v>17</v>
      </c>
      <c r="F10733" s="134" t="s">
        <v>3806</v>
      </c>
      <c r="G10733" s="63" t="str">
        <f>VLOOKUP(C10733, 'Class Def. - General Data'!$C$20:$C$1000,1,false)</f>
        <v>ZSI1_LIGHT_FIXTURE</v>
      </c>
      <c r="H10733" s="63" t="str">
        <f>IFERROR(__xludf.DUMMYFUNCTION("VLOOKUP(F10733, IMPORTRANGE(""https://docs.google.com/spreadsheets/d/1Lhp9OU0JdFf_VYSMzH5lBcEaU4o8teT1piV-SNzShjg/edit?gid=554141278#gid=554141278"", ""'Char Def. - Attributes'!C20:C2242""), 1,false)"),"ALT_NUM_UOM1")</f>
        <v>ALT_NUM_UOM1</v>
      </c>
      <c r="I10733" s="136"/>
      <c r="R10733" s="63" t="str">
        <f t="shared" si="60"/>
        <v>ZSI1_LIGHT_FIXTUREALT_NUM_UOM1</v>
      </c>
    </row>
    <row r="10734" ht="15.75" customHeight="1">
      <c r="B10734" s="63">
        <f t="shared" si="1"/>
        <v>18</v>
      </c>
      <c r="C10734" s="135" t="s">
        <v>334</v>
      </c>
      <c r="D10734" s="161" t="s">
        <v>74</v>
      </c>
      <c r="E10734" s="135">
        <f t="shared" si="62"/>
        <v>18</v>
      </c>
      <c r="F10734" s="134" t="s">
        <v>3807</v>
      </c>
      <c r="G10734" s="63" t="str">
        <f>VLOOKUP(C10734, 'Class Def. - General Data'!$C$20:$C$1000,1,false)</f>
        <v>ZSI1_LIGHT_FIXTURE</v>
      </c>
      <c r="H10734" s="63" t="str">
        <f>IFERROR(__xludf.DUMMYFUNCTION("VLOOKUP(F10734, IMPORTRANGE(""https://docs.google.com/spreadsheets/d/1Lhp9OU0JdFf_VYSMzH5lBcEaU4o8teT1piV-SNzShjg/edit?gid=554141278#gid=554141278"", ""'Char Def. - Attributes'!C20:C2242""), 1,false)"),"ALT_UOM2_SIPI")</f>
        <v>ALT_UOM2_SIPI</v>
      </c>
      <c r="I10734" s="136"/>
      <c r="R10734" s="63" t="str">
        <f t="shared" si="60"/>
        <v>ZSI1_LIGHT_FIXTUREALT_UOM2_SIPI</v>
      </c>
    </row>
    <row r="10735" ht="15.75" customHeight="1">
      <c r="B10735" s="63">
        <f t="shared" si="1"/>
        <v>18</v>
      </c>
      <c r="C10735" s="135" t="s">
        <v>334</v>
      </c>
      <c r="D10735" s="161" t="s">
        <v>74</v>
      </c>
      <c r="E10735" s="135">
        <f t="shared" si="62"/>
        <v>19</v>
      </c>
      <c r="F10735" s="134" t="s">
        <v>3808</v>
      </c>
      <c r="G10735" s="63" t="str">
        <f>VLOOKUP(C10735, 'Class Def. - General Data'!$C$20:$C$1000,1,false)</f>
        <v>ZSI1_LIGHT_FIXTURE</v>
      </c>
      <c r="H10735" s="63" t="str">
        <f>IFERROR(__xludf.DUMMYFUNCTION("VLOOKUP(F10735, IMPORTRANGE(""https://docs.google.com/spreadsheets/d/1Lhp9OU0JdFf_VYSMzH5lBcEaU4o8teT1piV-SNzShjg/edit?gid=554141278#gid=554141278"", ""'Char Def. - Attributes'!C20:C2242""), 1,false)"),"ALT_DENUM_UOM2")</f>
        <v>ALT_DENUM_UOM2</v>
      </c>
      <c r="I10735" s="136"/>
      <c r="R10735" s="63" t="str">
        <f t="shared" si="60"/>
        <v>ZSI1_LIGHT_FIXTUREALT_DENUM_UOM2</v>
      </c>
    </row>
    <row r="10736" ht="15.75" customHeight="1">
      <c r="B10736" s="63">
        <f t="shared" si="1"/>
        <v>18</v>
      </c>
      <c r="C10736" s="135" t="s">
        <v>334</v>
      </c>
      <c r="D10736" s="161" t="s">
        <v>74</v>
      </c>
      <c r="E10736" s="135">
        <f t="shared" si="62"/>
        <v>20</v>
      </c>
      <c r="F10736" s="134" t="s">
        <v>3809</v>
      </c>
      <c r="G10736" s="63" t="str">
        <f>VLOOKUP(C10736, 'Class Def. - General Data'!$C$20:$C$1000,1,false)</f>
        <v>ZSI1_LIGHT_FIXTURE</v>
      </c>
      <c r="H10736" s="63" t="str">
        <f>IFERROR(__xludf.DUMMYFUNCTION("VLOOKUP(F10736, IMPORTRANGE(""https://docs.google.com/spreadsheets/d/1Lhp9OU0JdFf_VYSMzH5lBcEaU4o8teT1piV-SNzShjg/edit?gid=554141278#gid=554141278"", ""'Char Def. - Attributes'!C20:C2242""), 1,false)"),"ALT_NUM_UOM2")</f>
        <v>ALT_NUM_UOM2</v>
      </c>
      <c r="I10736" s="136"/>
      <c r="R10736" s="63" t="str">
        <f t="shared" si="60"/>
        <v>ZSI1_LIGHT_FIXTUREALT_NUM_UOM2</v>
      </c>
    </row>
    <row r="10737" ht="15.75" customHeight="1">
      <c r="B10737" s="63">
        <f t="shared" si="1"/>
        <v>18</v>
      </c>
      <c r="C10737" s="135" t="s">
        <v>334</v>
      </c>
      <c r="D10737" s="161" t="s">
        <v>74</v>
      </c>
      <c r="E10737" s="135">
        <f t="shared" si="62"/>
        <v>21</v>
      </c>
      <c r="F10737" s="134" t="s">
        <v>3810</v>
      </c>
      <c r="G10737" s="63" t="str">
        <f>VLOOKUP(C10737, 'Class Def. - General Data'!$C$20:$C$1000,1,false)</f>
        <v>ZSI1_LIGHT_FIXTURE</v>
      </c>
      <c r="H10737" s="63" t="str">
        <f>IFERROR(__xludf.DUMMYFUNCTION("VLOOKUP(F10737, IMPORTRANGE(""https://docs.google.com/spreadsheets/d/1Lhp9OU0JdFf_VYSMzH5lBcEaU4o8teT1piV-SNzShjg/edit?gid=554141278#gid=554141278"", ""'Char Def. - Attributes'!C20:C2242""), 1,false)"),"ALT_UOM3_SIPI")</f>
        <v>ALT_UOM3_SIPI</v>
      </c>
      <c r="I10737" s="136"/>
      <c r="R10737" s="63" t="str">
        <f t="shared" si="60"/>
        <v>ZSI1_LIGHT_FIXTUREALT_UOM3_SIPI</v>
      </c>
    </row>
    <row r="10738" ht="15.75" customHeight="1">
      <c r="B10738" s="63">
        <f t="shared" si="1"/>
        <v>18</v>
      </c>
      <c r="C10738" s="135" t="s">
        <v>334</v>
      </c>
      <c r="D10738" s="161" t="s">
        <v>74</v>
      </c>
      <c r="E10738" s="135">
        <f t="shared" si="62"/>
        <v>22</v>
      </c>
      <c r="F10738" s="134" t="s">
        <v>3811</v>
      </c>
      <c r="G10738" s="63" t="str">
        <f>VLOOKUP(C10738, 'Class Def. - General Data'!$C$20:$C$1000,1,false)</f>
        <v>ZSI1_LIGHT_FIXTURE</v>
      </c>
      <c r="H10738" s="63" t="str">
        <f>IFERROR(__xludf.DUMMYFUNCTION("VLOOKUP(F10738, IMPORTRANGE(""https://docs.google.com/spreadsheets/d/1Lhp9OU0JdFf_VYSMzH5lBcEaU4o8teT1piV-SNzShjg/edit?gid=554141278#gid=554141278"", ""'Char Def. - Attributes'!C20:C2242""), 1,false)"),"ALT_DENUM_UOM3")</f>
        <v>ALT_DENUM_UOM3</v>
      </c>
      <c r="I10738" s="136"/>
      <c r="R10738" s="63" t="str">
        <f t="shared" si="60"/>
        <v>ZSI1_LIGHT_FIXTUREALT_DENUM_UOM3</v>
      </c>
    </row>
    <row r="10739" ht="15.75" customHeight="1">
      <c r="B10739" s="63">
        <f t="shared" si="1"/>
        <v>18</v>
      </c>
      <c r="C10739" s="135" t="s">
        <v>334</v>
      </c>
      <c r="D10739" s="161" t="s">
        <v>74</v>
      </c>
      <c r="E10739" s="135">
        <f t="shared" si="62"/>
        <v>23</v>
      </c>
      <c r="F10739" s="134" t="s">
        <v>3812</v>
      </c>
      <c r="G10739" s="63" t="str">
        <f>VLOOKUP(C10739, 'Class Def. - General Data'!$C$20:$C$1000,1,false)</f>
        <v>ZSI1_LIGHT_FIXTURE</v>
      </c>
      <c r="H10739" s="63" t="str">
        <f>IFERROR(__xludf.DUMMYFUNCTION("VLOOKUP(F10739, IMPORTRANGE(""https://docs.google.com/spreadsheets/d/1Lhp9OU0JdFf_VYSMzH5lBcEaU4o8teT1piV-SNzShjg/edit?gid=554141278#gid=554141278"", ""'Char Def. - Attributes'!C20:C2242""), 1,false)"),"ALT_NUM_UOM3")</f>
        <v>ALT_NUM_UOM3</v>
      </c>
      <c r="I10739" s="136"/>
      <c r="R10739" s="63" t="str">
        <f t="shared" si="60"/>
        <v>ZSI1_LIGHT_FIXTUREALT_NUM_UOM3</v>
      </c>
    </row>
    <row r="10740" ht="15.75" customHeight="1">
      <c r="B10740" s="63">
        <f t="shared" si="1"/>
        <v>18</v>
      </c>
      <c r="C10740" s="135" t="s">
        <v>334</v>
      </c>
      <c r="D10740" s="161" t="s">
        <v>74</v>
      </c>
      <c r="E10740" s="135">
        <f t="shared" si="62"/>
        <v>24</v>
      </c>
      <c r="F10740" s="134" t="s">
        <v>3813</v>
      </c>
      <c r="G10740" s="63" t="str">
        <f>VLOOKUP(C10740, 'Class Def. - General Data'!$C$20:$C$1000,1,false)</f>
        <v>ZSI1_LIGHT_FIXTURE</v>
      </c>
      <c r="H10740" s="63" t="str">
        <f>IFERROR(__xludf.DUMMYFUNCTION("VLOOKUP(F10740, IMPORTRANGE(""https://docs.google.com/spreadsheets/d/1Lhp9OU0JdFf_VYSMzH5lBcEaU4o8teT1piV-SNzShjg/edit?gid=554141278#gid=554141278"", ""'Char Def. - Attributes'!C20:C2242""), 1,false)"),"ALT_UOM4_SIPI")</f>
        <v>ALT_UOM4_SIPI</v>
      </c>
      <c r="I10740" s="136"/>
      <c r="R10740" s="63" t="str">
        <f t="shared" si="60"/>
        <v>ZSI1_LIGHT_FIXTUREALT_UOM4_SIPI</v>
      </c>
    </row>
    <row r="10741" ht="15.75" customHeight="1">
      <c r="B10741" s="63">
        <f t="shared" si="1"/>
        <v>18</v>
      </c>
      <c r="C10741" s="135" t="s">
        <v>334</v>
      </c>
      <c r="D10741" s="161" t="s">
        <v>74</v>
      </c>
      <c r="E10741" s="135">
        <f t="shared" si="62"/>
        <v>25</v>
      </c>
      <c r="F10741" s="134" t="s">
        <v>3814</v>
      </c>
      <c r="G10741" s="63" t="str">
        <f>VLOOKUP(C10741, 'Class Def. - General Data'!$C$20:$C$1000,1,false)</f>
        <v>ZSI1_LIGHT_FIXTURE</v>
      </c>
      <c r="H10741" s="63" t="str">
        <f>IFERROR(__xludf.DUMMYFUNCTION("VLOOKUP(F10741, IMPORTRANGE(""https://docs.google.com/spreadsheets/d/1Lhp9OU0JdFf_VYSMzH5lBcEaU4o8teT1piV-SNzShjg/edit?gid=554141278#gid=554141278"", ""'Char Def. - Attributes'!C20:C2242""), 1,false)"),"ALT_DENUM_UOM4")</f>
        <v>ALT_DENUM_UOM4</v>
      </c>
      <c r="I10741" s="136"/>
      <c r="R10741" s="63" t="str">
        <f t="shared" si="60"/>
        <v>ZSI1_LIGHT_FIXTUREALT_DENUM_UOM4</v>
      </c>
    </row>
    <row r="10742" ht="15.75" customHeight="1">
      <c r="B10742" s="63">
        <f t="shared" si="1"/>
        <v>18</v>
      </c>
      <c r="C10742" s="135" t="s">
        <v>334</v>
      </c>
      <c r="D10742" s="161" t="s">
        <v>74</v>
      </c>
      <c r="E10742" s="135">
        <f t="shared" si="62"/>
        <v>26</v>
      </c>
      <c r="F10742" s="134" t="s">
        <v>3815</v>
      </c>
      <c r="G10742" s="63" t="str">
        <f>VLOOKUP(C10742, 'Class Def. - General Data'!$C$20:$C$1000,1,false)</f>
        <v>ZSI1_LIGHT_FIXTURE</v>
      </c>
      <c r="H10742" s="63" t="str">
        <f>IFERROR(__xludf.DUMMYFUNCTION("VLOOKUP(F10742, IMPORTRANGE(""https://docs.google.com/spreadsheets/d/1Lhp9OU0JdFf_VYSMzH5lBcEaU4o8teT1piV-SNzShjg/edit?gid=554141278#gid=554141278"", ""'Char Def. - Attributes'!C20:C2242""), 1,false)"),"ALT_NUM_UOM4")</f>
        <v>ALT_NUM_UOM4</v>
      </c>
      <c r="I10742" s="136"/>
      <c r="R10742" s="63" t="str">
        <f t="shared" si="60"/>
        <v>ZSI1_LIGHT_FIXTUREALT_NUM_UOM4</v>
      </c>
    </row>
    <row r="10743" ht="15.75" customHeight="1">
      <c r="B10743" s="63">
        <f t="shared" si="1"/>
        <v>18</v>
      </c>
      <c r="C10743" s="135" t="s">
        <v>334</v>
      </c>
      <c r="D10743" s="161" t="s">
        <v>74</v>
      </c>
      <c r="E10743" s="135">
        <f t="shared" si="62"/>
        <v>27</v>
      </c>
      <c r="F10743" s="134" t="s">
        <v>3816</v>
      </c>
      <c r="G10743" s="63" t="str">
        <f>VLOOKUP(C10743, 'Class Def. - General Data'!$C$20:$C$1000,1,false)</f>
        <v>ZSI1_LIGHT_FIXTURE</v>
      </c>
      <c r="H10743" s="63" t="str">
        <f>IFERROR(__xludf.DUMMYFUNCTION("VLOOKUP(F10743, IMPORTRANGE(""https://docs.google.com/spreadsheets/d/1Lhp9OU0JdFf_VYSMzH5lBcEaU4o8teT1piV-SNzShjg/edit?gid=554141278#gid=554141278"", ""'Char Def. - Attributes'!C20:C2242""), 1,false)"),"ALT_UOM5_SIPI")</f>
        <v>ALT_UOM5_SIPI</v>
      </c>
      <c r="I10743" s="136"/>
      <c r="R10743" s="63" t="str">
        <f t="shared" si="60"/>
        <v>ZSI1_LIGHT_FIXTUREALT_UOM5_SIPI</v>
      </c>
    </row>
    <row r="10744" ht="15.75" customHeight="1">
      <c r="B10744" s="63">
        <f t="shared" si="1"/>
        <v>18</v>
      </c>
      <c r="C10744" s="135" t="s">
        <v>334</v>
      </c>
      <c r="D10744" s="161" t="s">
        <v>74</v>
      </c>
      <c r="E10744" s="135">
        <f t="shared" si="62"/>
        <v>28</v>
      </c>
      <c r="F10744" s="134" t="s">
        <v>3817</v>
      </c>
      <c r="G10744" s="63" t="str">
        <f>VLOOKUP(C10744, 'Class Def. - General Data'!$C$20:$C$1000,1,false)</f>
        <v>ZSI1_LIGHT_FIXTURE</v>
      </c>
      <c r="H10744" s="63" t="str">
        <f>IFERROR(__xludf.DUMMYFUNCTION("VLOOKUP(F10744, IMPORTRANGE(""https://docs.google.com/spreadsheets/d/1Lhp9OU0JdFf_VYSMzH5lBcEaU4o8teT1piV-SNzShjg/edit?gid=554141278#gid=554141278"", ""'Char Def. - Attributes'!C20:C2242""), 1,false)"),"ALT_DENUM_UOM5")</f>
        <v>ALT_DENUM_UOM5</v>
      </c>
      <c r="I10744" s="136"/>
      <c r="R10744" s="63" t="str">
        <f t="shared" si="60"/>
        <v>ZSI1_LIGHT_FIXTUREALT_DENUM_UOM5</v>
      </c>
    </row>
    <row r="10745" ht="15.75" customHeight="1">
      <c r="B10745" s="63">
        <f t="shared" si="1"/>
        <v>18</v>
      </c>
      <c r="C10745" s="135" t="s">
        <v>334</v>
      </c>
      <c r="D10745" s="161" t="s">
        <v>74</v>
      </c>
      <c r="E10745" s="135">
        <f t="shared" si="62"/>
        <v>29</v>
      </c>
      <c r="F10745" s="134" t="s">
        <v>3818</v>
      </c>
      <c r="G10745" s="63" t="str">
        <f>VLOOKUP(C10745, 'Class Def. - General Data'!$C$20:$C$1000,1,false)</f>
        <v>ZSI1_LIGHT_FIXTURE</v>
      </c>
      <c r="H10745" s="63" t="str">
        <f>IFERROR(__xludf.DUMMYFUNCTION("VLOOKUP(F10745, IMPORTRANGE(""https://docs.google.com/spreadsheets/d/1Lhp9OU0JdFf_VYSMzH5lBcEaU4o8teT1piV-SNzShjg/edit?gid=554141278#gid=554141278"", ""'Char Def. - Attributes'!C20:C2242""), 1,false)"),"ALT_NUM_UOM5")</f>
        <v>ALT_NUM_UOM5</v>
      </c>
      <c r="I10745" s="136"/>
      <c r="R10745" s="63" t="str">
        <f t="shared" si="60"/>
        <v>ZSI1_LIGHT_FIXTUREALT_NUM_UOM5</v>
      </c>
    </row>
    <row r="10746" ht="15.75" customHeight="1">
      <c r="B10746" s="63">
        <f t="shared" si="1"/>
        <v>9</v>
      </c>
      <c r="C10746" s="135" t="s">
        <v>414</v>
      </c>
      <c r="D10746" s="161" t="s">
        <v>74</v>
      </c>
      <c r="E10746" s="135">
        <f t="shared" si="62"/>
        <v>1</v>
      </c>
      <c r="F10746" s="134" t="s">
        <v>4805</v>
      </c>
      <c r="G10746" s="63" t="str">
        <f>VLOOKUP(C10746, 'Class Def. - General Data'!$C$20:$C$1000,1,false)</f>
        <v>ZSI1_LIME</v>
      </c>
      <c r="H10746" s="63" t="str">
        <f>IFERROR(__xludf.DUMMYFUNCTION("VLOOKUP(F10746, IMPORTRANGE(""https://docs.google.com/spreadsheets/d/1Lhp9OU0JdFf_VYSMzH5lBcEaU4o8teT1piV-SNzShjg/edit?gid=554141278#gid=554141278"", ""'Char Def. - Attributes'!C20:C2242""), 1,false)"),"ITEM_NAME_LIME")</f>
        <v>ITEM_NAME_LIME</v>
      </c>
      <c r="I10746" s="136"/>
      <c r="R10746" s="63" t="str">
        <f t="shared" si="60"/>
        <v>ZSI1_LIMEITEM_NAME_LIME</v>
      </c>
    </row>
    <row r="10747" ht="15.75" customHeight="1">
      <c r="B10747" s="63">
        <f t="shared" si="1"/>
        <v>9</v>
      </c>
      <c r="C10747" s="135" t="s">
        <v>414</v>
      </c>
      <c r="D10747" s="161" t="s">
        <v>74</v>
      </c>
      <c r="E10747" s="135">
        <f t="shared" si="62"/>
        <v>2</v>
      </c>
      <c r="F10747" s="134" t="s">
        <v>4806</v>
      </c>
      <c r="G10747" s="63" t="str">
        <f>VLOOKUP(C10747, 'Class Def. - General Data'!$C$20:$C$1000,1,false)</f>
        <v>ZSI1_LIME</v>
      </c>
      <c r="H10747" s="63" t="str">
        <f>IFERROR(__xludf.DUMMYFUNCTION("VLOOKUP(F10747, IMPORTRANGE(""https://docs.google.com/spreadsheets/d/1Lhp9OU0JdFf_VYSMzH5lBcEaU4o8teT1piV-SNzShjg/edit?gid=554141278#gid=554141278"", ""'Char Def. - Attributes'!C20:C2242""), 1,false)"),"JENIS_LIME_LIME")</f>
        <v>JENIS_LIME_LIME</v>
      </c>
      <c r="I10747" s="136"/>
      <c r="R10747" s="63" t="str">
        <f t="shared" si="60"/>
        <v>ZSI1_LIMEJENIS_LIME_LIME</v>
      </c>
    </row>
    <row r="10748" ht="15.75" customHeight="1">
      <c r="B10748" s="63">
        <f t="shared" si="1"/>
        <v>9</v>
      </c>
      <c r="C10748" s="135" t="s">
        <v>414</v>
      </c>
      <c r="D10748" s="161" t="s">
        <v>74</v>
      </c>
      <c r="E10748" s="135">
        <f t="shared" si="62"/>
        <v>3</v>
      </c>
      <c r="F10748" s="134" t="s">
        <v>4807</v>
      </c>
      <c r="G10748" s="63" t="str">
        <f>VLOOKUP(C10748, 'Class Def. - General Data'!$C$20:$C$1000,1,false)</f>
        <v>ZSI1_LIME</v>
      </c>
      <c r="H10748" s="63" t="str">
        <f>IFERROR(__xludf.DUMMYFUNCTION("VLOOKUP(F10748, IMPORTRANGE(""https://docs.google.com/spreadsheets/d/1Lhp9OU0JdFf_VYSMzH5lBcEaU4o8teT1piV-SNzShjg/edit?gid=554141278#gid=554141278"", ""'Char Def. - Attributes'!C20:C2242""), 1,false)"),"ITEM_SIZE_KG_LIME")</f>
        <v>ITEM_SIZE_KG_LIME</v>
      </c>
      <c r="I10748" s="136"/>
      <c r="R10748" s="63" t="str">
        <f t="shared" si="60"/>
        <v>ZSI1_LIMEITEM_SIZE_KG_LIME</v>
      </c>
    </row>
    <row r="10749" ht="15.75" customHeight="1">
      <c r="B10749" s="63">
        <f t="shared" si="1"/>
        <v>9</v>
      </c>
      <c r="C10749" s="135" t="s">
        <v>414</v>
      </c>
      <c r="D10749" s="161" t="s">
        <v>74</v>
      </c>
      <c r="E10749" s="135">
        <f t="shared" si="62"/>
        <v>4</v>
      </c>
      <c r="F10749" s="134" t="s">
        <v>3585</v>
      </c>
      <c r="G10749" s="63" t="str">
        <f>VLOOKUP(C10749, 'Class Def. - General Data'!$C$20:$C$1000,1,false)</f>
        <v>ZSI1_LIME</v>
      </c>
      <c r="H10749" s="63" t="str">
        <f>IFERROR(__xludf.DUMMYFUNCTION("VLOOKUP(F10749, IMPORTRANGE(""https://docs.google.com/spreadsheets/d/1Lhp9OU0JdFf_VYSMzH5lBcEaU4o8teT1piV-SNzShjg/edit?gid=554141278#gid=554141278"", ""'Char Def. - Attributes'!C20:C2242""), 1,false)"),"HS_CODE")</f>
        <v>HS_CODE</v>
      </c>
      <c r="I10749" s="136"/>
      <c r="R10749" s="63" t="str">
        <f t="shared" si="60"/>
        <v>ZSI1_LIMEHS_CODE</v>
      </c>
    </row>
    <row r="10750" ht="15.75" customHeight="1">
      <c r="B10750" s="63">
        <f t="shared" si="1"/>
        <v>9</v>
      </c>
      <c r="C10750" s="135" t="s">
        <v>414</v>
      </c>
      <c r="D10750" s="161" t="s">
        <v>74</v>
      </c>
      <c r="E10750" s="135">
        <f t="shared" si="62"/>
        <v>5</v>
      </c>
      <c r="F10750" s="134" t="s">
        <v>3587</v>
      </c>
      <c r="G10750" s="63" t="str">
        <f>VLOOKUP(C10750, 'Class Def. - General Data'!$C$20:$C$1000,1,false)</f>
        <v>ZSI1_LIME</v>
      </c>
      <c r="H10750" s="63" t="str">
        <f>IFERROR(__xludf.DUMMYFUNCTION("VLOOKUP(F10750, IMPORTRANGE(""https://docs.google.com/spreadsheets/d/1Lhp9OU0JdFf_VYSMzH5lBcEaU4o8teT1piV-SNzShjg/edit?gid=554141278#gid=554141278"", ""'Char Def. - Attributes'!C20:C2242""), 1,false)"),"PLANT_BUY")</f>
        <v>PLANT_BUY</v>
      </c>
      <c r="I10750" s="136"/>
      <c r="R10750" s="63" t="str">
        <f t="shared" si="60"/>
        <v>ZSI1_LIMEPLANT_BUY</v>
      </c>
    </row>
    <row r="10751" ht="15.75" customHeight="1">
      <c r="B10751" s="63">
        <f t="shared" si="1"/>
        <v>9</v>
      </c>
      <c r="C10751" s="135" t="s">
        <v>414</v>
      </c>
      <c r="D10751" s="161" t="s">
        <v>74</v>
      </c>
      <c r="E10751" s="135">
        <f t="shared" si="62"/>
        <v>6</v>
      </c>
      <c r="F10751" s="134" t="s">
        <v>4808</v>
      </c>
      <c r="G10751" s="63" t="str">
        <f>VLOOKUP(C10751, 'Class Def. - General Data'!$C$20:$C$1000,1,false)</f>
        <v>ZSI1_LIME</v>
      </c>
      <c r="H10751" s="63" t="str">
        <f>IFERROR(__xludf.DUMMYFUNCTION("VLOOKUP(F10751, IMPORTRANGE(""https://docs.google.com/spreadsheets/d/1Lhp9OU0JdFf_VYSMzH5lBcEaU4o8teT1piV-SNzShjg/edit?gid=554141278#gid=554141278"", ""'Char Def. - Attributes'!C20:C2242""), 1,false)"),"BASE_UOM_LIME")</f>
        <v>BASE_UOM_LIME</v>
      </c>
      <c r="I10751" s="136"/>
      <c r="R10751" s="63" t="str">
        <f t="shared" si="60"/>
        <v>ZSI1_LIMEBASE_UOM_LIME</v>
      </c>
    </row>
    <row r="10752" ht="15.75" customHeight="1">
      <c r="B10752" s="63">
        <f t="shared" si="1"/>
        <v>9</v>
      </c>
      <c r="C10752" s="135" t="s">
        <v>414</v>
      </c>
      <c r="D10752" s="161" t="s">
        <v>74</v>
      </c>
      <c r="E10752" s="135">
        <f t="shared" si="62"/>
        <v>7</v>
      </c>
      <c r="F10752" s="134" t="s">
        <v>4809</v>
      </c>
      <c r="G10752" s="63" t="str">
        <f>VLOOKUP(C10752, 'Class Def. - General Data'!$C$20:$C$1000,1,false)</f>
        <v>ZSI1_LIME</v>
      </c>
      <c r="H10752" s="63" t="str">
        <f>IFERROR(__xludf.DUMMYFUNCTION("VLOOKUP(F10752, IMPORTRANGE(""https://docs.google.com/spreadsheets/d/1Lhp9OU0JdFf_VYSMzH5lBcEaU4o8teT1piV-SNzShjg/edit?gid=554141278#gid=554141278"", ""'Char Def. - Attributes'!C20:C2242""), 1,false)"),"ORDER_UNIT_LIME")</f>
        <v>ORDER_UNIT_LIME</v>
      </c>
      <c r="I10752" s="136"/>
      <c r="R10752" s="63" t="str">
        <f t="shared" si="60"/>
        <v>ZSI1_LIMEORDER_UNIT_LIME</v>
      </c>
    </row>
    <row r="10753" ht="15.75" customHeight="1">
      <c r="B10753" s="63">
        <f t="shared" si="1"/>
        <v>9</v>
      </c>
      <c r="C10753" s="135" t="s">
        <v>414</v>
      </c>
      <c r="D10753" s="161" t="s">
        <v>74</v>
      </c>
      <c r="E10753" s="135">
        <f t="shared" si="62"/>
        <v>8</v>
      </c>
      <c r="F10753" s="134" t="s">
        <v>4056</v>
      </c>
      <c r="G10753" s="63" t="str">
        <f>VLOOKUP(C10753, 'Class Def. - General Data'!$C$20:$C$1000,1,false)</f>
        <v>ZSI1_LIME</v>
      </c>
      <c r="H10753" s="63" t="str">
        <f>IFERROR(__xludf.DUMMYFUNCTION("VLOOKUP(F10753, IMPORTRANGE(""https://docs.google.com/spreadsheets/d/1Lhp9OU0JdFf_VYSMzH5lBcEaU4o8teT1piV-SNzShjg/edit?gid=554141278#gid=554141278"", ""'Char Def. - Attributes'!C20:C2242""), 1,false)"),"GROSS_WEIGHT_OPT")</f>
        <v>GROSS_WEIGHT_OPT</v>
      </c>
      <c r="I10753" s="136"/>
      <c r="R10753" s="63" t="str">
        <f t="shared" si="60"/>
        <v>ZSI1_LIMEGROSS_WEIGHT_OPT</v>
      </c>
    </row>
    <row r="10754" ht="15.75" customHeight="1">
      <c r="B10754" s="63">
        <f t="shared" si="1"/>
        <v>9</v>
      </c>
      <c r="C10754" s="135" t="s">
        <v>414</v>
      </c>
      <c r="D10754" s="161" t="s">
        <v>74</v>
      </c>
      <c r="E10754" s="135">
        <f t="shared" si="62"/>
        <v>9</v>
      </c>
      <c r="F10754" s="134" t="s">
        <v>4057</v>
      </c>
      <c r="G10754" s="63" t="str">
        <f>VLOOKUP(C10754, 'Class Def. - General Data'!$C$20:$C$1000,1,false)</f>
        <v>ZSI1_LIME</v>
      </c>
      <c r="H10754" s="63" t="str">
        <f>IFERROR(__xludf.DUMMYFUNCTION("VLOOKUP(F10754, IMPORTRANGE(""https://docs.google.com/spreadsheets/d/1Lhp9OU0JdFf_VYSMzH5lBcEaU4o8teT1piV-SNzShjg/edit?gid=554141278#gid=554141278"", ""'Char Def. - Attributes'!C20:C2242""), 1,false)"),"NET_WEIGHT_OPT")</f>
        <v>NET_WEIGHT_OPT</v>
      </c>
      <c r="I10754" s="136"/>
      <c r="R10754" s="63" t="str">
        <f t="shared" si="60"/>
        <v>ZSI1_LIMENET_WEIGHT_OPT</v>
      </c>
    </row>
    <row r="10755" ht="15.75" customHeight="1">
      <c r="B10755" s="63">
        <f t="shared" si="1"/>
        <v>9</v>
      </c>
      <c r="C10755" s="135" t="s">
        <v>414</v>
      </c>
      <c r="D10755" s="161" t="s">
        <v>74</v>
      </c>
      <c r="E10755" s="135">
        <f t="shared" si="62"/>
        <v>10</v>
      </c>
      <c r="F10755" s="134" t="s">
        <v>4058</v>
      </c>
      <c r="G10755" s="63" t="str">
        <f>VLOOKUP(C10755, 'Class Def. - General Data'!$C$20:$C$1000,1,false)</f>
        <v>ZSI1_LIME</v>
      </c>
      <c r="H10755" s="63" t="str">
        <f>IFERROR(__xludf.DUMMYFUNCTION("VLOOKUP(F10755, IMPORTRANGE(""https://docs.google.com/spreadsheets/d/1Lhp9OU0JdFf_VYSMzH5lBcEaU4o8teT1piV-SNzShjg/edit?gid=554141278#gid=554141278"", ""'Char Def. - Attributes'!C20:C2242""), 1,false)"),"WEIGHT_UNIT_SI")</f>
        <v>WEIGHT_UNIT_SI</v>
      </c>
      <c r="I10755" s="136"/>
      <c r="R10755" s="63" t="str">
        <f t="shared" si="60"/>
        <v>ZSI1_LIMEWEIGHT_UNIT_SI</v>
      </c>
    </row>
    <row r="10756" ht="15.75" customHeight="1">
      <c r="B10756" s="63">
        <f t="shared" si="1"/>
        <v>9</v>
      </c>
      <c r="C10756" s="135" t="s">
        <v>414</v>
      </c>
      <c r="D10756" s="161" t="s">
        <v>74</v>
      </c>
      <c r="E10756" s="135">
        <f t="shared" si="62"/>
        <v>11</v>
      </c>
      <c r="F10756" s="134" t="s">
        <v>3877</v>
      </c>
      <c r="G10756" s="63" t="str">
        <f>VLOOKUP(C10756, 'Class Def. - General Data'!$C$20:$C$1000,1,false)</f>
        <v>ZSI1_LIME</v>
      </c>
      <c r="H10756" s="63" t="str">
        <f>IFERROR(__xludf.DUMMYFUNCTION("VLOOKUP(F10756, IMPORTRANGE(""https://docs.google.com/spreadsheets/d/1Lhp9OU0JdFf_VYSMzH5lBcEaU4o8teT1piV-SNzShjg/edit?gid=554141278#gid=554141278"", ""'Char Def. - Attributes'!C20:C2242""), 1,false)"),"VOLUME_OPT")</f>
        <v>VOLUME_OPT</v>
      </c>
      <c r="I10756" s="136"/>
      <c r="R10756" s="63" t="str">
        <f t="shared" si="60"/>
        <v>ZSI1_LIMEVOLUME_OPT</v>
      </c>
    </row>
    <row r="10757" ht="15.75" customHeight="1">
      <c r="B10757" s="63">
        <f t="shared" si="1"/>
        <v>9</v>
      </c>
      <c r="C10757" s="135" t="s">
        <v>414</v>
      </c>
      <c r="D10757" s="161" t="s">
        <v>74</v>
      </c>
      <c r="E10757" s="135">
        <f t="shared" si="62"/>
        <v>12</v>
      </c>
      <c r="F10757" s="134" t="s">
        <v>4059</v>
      </c>
      <c r="G10757" s="63" t="str">
        <f>VLOOKUP(C10757, 'Class Def. - General Data'!$C$20:$C$1000,1,false)</f>
        <v>ZSI1_LIME</v>
      </c>
      <c r="H10757" s="63" t="str">
        <f>IFERROR(__xludf.DUMMYFUNCTION("VLOOKUP(F10757, IMPORTRANGE(""https://docs.google.com/spreadsheets/d/1Lhp9OU0JdFf_VYSMzH5lBcEaU4o8teT1piV-SNzShjg/edit?gid=554141278#gid=554141278"", ""'Char Def. - Attributes'!C20:C2242""), 1,false)"),"VOLUME_UNIT_SI")</f>
        <v>VOLUME_UNIT_SI</v>
      </c>
      <c r="I10757" s="136"/>
      <c r="R10757" s="63" t="str">
        <f t="shared" si="60"/>
        <v>ZSI1_LIMEVOLUME_UNIT_SI</v>
      </c>
    </row>
    <row r="10758" ht="15.75" customHeight="1">
      <c r="B10758" s="63">
        <f t="shared" si="1"/>
        <v>9</v>
      </c>
      <c r="C10758" s="135" t="s">
        <v>414</v>
      </c>
      <c r="D10758" s="161" t="s">
        <v>74</v>
      </c>
      <c r="E10758" s="135">
        <f t="shared" si="62"/>
        <v>13</v>
      </c>
      <c r="F10758" s="134" t="s">
        <v>3804</v>
      </c>
      <c r="G10758" s="63" t="str">
        <f>VLOOKUP(C10758, 'Class Def. - General Data'!$C$20:$C$1000,1,false)</f>
        <v>ZSI1_LIME</v>
      </c>
      <c r="H10758" s="63" t="str">
        <f>IFERROR(__xludf.DUMMYFUNCTION("VLOOKUP(F10758, IMPORTRANGE(""https://docs.google.com/spreadsheets/d/1Lhp9OU0JdFf_VYSMzH5lBcEaU4o8teT1piV-SNzShjg/edit?gid=554141278#gid=554141278"", ""'Char Def. - Attributes'!C20:C2242""), 1,false)"),"ALT_UOM1_SIPI")</f>
        <v>ALT_UOM1_SIPI</v>
      </c>
      <c r="I10758" s="136"/>
      <c r="R10758" s="63" t="str">
        <f t="shared" si="60"/>
        <v>ZSI1_LIMEALT_UOM1_SIPI</v>
      </c>
    </row>
    <row r="10759" ht="15.75" customHeight="1">
      <c r="B10759" s="63">
        <f t="shared" si="1"/>
        <v>9</v>
      </c>
      <c r="C10759" s="135" t="s">
        <v>414</v>
      </c>
      <c r="D10759" s="161" t="s">
        <v>74</v>
      </c>
      <c r="E10759" s="135">
        <f t="shared" si="62"/>
        <v>14</v>
      </c>
      <c r="F10759" s="134" t="s">
        <v>3805</v>
      </c>
      <c r="G10759" s="63" t="str">
        <f>VLOOKUP(C10759, 'Class Def. - General Data'!$C$20:$C$1000,1,false)</f>
        <v>ZSI1_LIME</v>
      </c>
      <c r="H10759" s="63" t="str">
        <f>IFERROR(__xludf.DUMMYFUNCTION("VLOOKUP(F10759, IMPORTRANGE(""https://docs.google.com/spreadsheets/d/1Lhp9OU0JdFf_VYSMzH5lBcEaU4o8teT1piV-SNzShjg/edit?gid=554141278#gid=554141278"", ""'Char Def. - Attributes'!C20:C2242""), 1,false)"),"ALT_DENUM_UOM1")</f>
        <v>ALT_DENUM_UOM1</v>
      </c>
      <c r="I10759" s="136"/>
      <c r="R10759" s="63" t="str">
        <f t="shared" si="60"/>
        <v>ZSI1_LIMEALT_DENUM_UOM1</v>
      </c>
    </row>
    <row r="10760" ht="15.75" customHeight="1">
      <c r="B10760" s="63">
        <f t="shared" si="1"/>
        <v>9</v>
      </c>
      <c r="C10760" s="135" t="s">
        <v>414</v>
      </c>
      <c r="D10760" s="161" t="s">
        <v>74</v>
      </c>
      <c r="E10760" s="135">
        <f t="shared" si="62"/>
        <v>15</v>
      </c>
      <c r="F10760" s="134" t="s">
        <v>3806</v>
      </c>
      <c r="G10760" s="63" t="str">
        <f>VLOOKUP(C10760, 'Class Def. - General Data'!$C$20:$C$1000,1,false)</f>
        <v>ZSI1_LIME</v>
      </c>
      <c r="H10760" s="63" t="str">
        <f>IFERROR(__xludf.DUMMYFUNCTION("VLOOKUP(F10760, IMPORTRANGE(""https://docs.google.com/spreadsheets/d/1Lhp9OU0JdFf_VYSMzH5lBcEaU4o8teT1piV-SNzShjg/edit?gid=554141278#gid=554141278"", ""'Char Def. - Attributes'!C20:C2242""), 1,false)"),"ALT_NUM_UOM1")</f>
        <v>ALT_NUM_UOM1</v>
      </c>
      <c r="I10760" s="136"/>
      <c r="R10760" s="63" t="str">
        <f t="shared" si="60"/>
        <v>ZSI1_LIMEALT_NUM_UOM1</v>
      </c>
    </row>
    <row r="10761" ht="15.75" customHeight="1">
      <c r="B10761" s="63">
        <f t="shared" si="1"/>
        <v>9</v>
      </c>
      <c r="C10761" s="135" t="s">
        <v>414</v>
      </c>
      <c r="D10761" s="161" t="s">
        <v>74</v>
      </c>
      <c r="E10761" s="135">
        <f t="shared" si="62"/>
        <v>16</v>
      </c>
      <c r="F10761" s="134" t="s">
        <v>3807</v>
      </c>
      <c r="G10761" s="63" t="str">
        <f>VLOOKUP(C10761, 'Class Def. - General Data'!$C$20:$C$1000,1,false)</f>
        <v>ZSI1_LIME</v>
      </c>
      <c r="H10761" s="63" t="str">
        <f>IFERROR(__xludf.DUMMYFUNCTION("VLOOKUP(F10761, IMPORTRANGE(""https://docs.google.com/spreadsheets/d/1Lhp9OU0JdFf_VYSMzH5lBcEaU4o8teT1piV-SNzShjg/edit?gid=554141278#gid=554141278"", ""'Char Def. - Attributes'!C20:C2242""), 1,false)"),"ALT_UOM2_SIPI")</f>
        <v>ALT_UOM2_SIPI</v>
      </c>
      <c r="I10761" s="136"/>
      <c r="R10761" s="63" t="str">
        <f t="shared" si="60"/>
        <v>ZSI1_LIMEALT_UOM2_SIPI</v>
      </c>
    </row>
    <row r="10762" ht="15.75" customHeight="1">
      <c r="B10762" s="63">
        <f t="shared" si="1"/>
        <v>9</v>
      </c>
      <c r="C10762" s="135" t="s">
        <v>414</v>
      </c>
      <c r="D10762" s="161" t="s">
        <v>74</v>
      </c>
      <c r="E10762" s="135">
        <f t="shared" si="62"/>
        <v>17</v>
      </c>
      <c r="F10762" s="134" t="s">
        <v>3808</v>
      </c>
      <c r="G10762" s="63" t="str">
        <f>VLOOKUP(C10762, 'Class Def. - General Data'!$C$20:$C$1000,1,false)</f>
        <v>ZSI1_LIME</v>
      </c>
      <c r="H10762" s="63" t="str">
        <f>IFERROR(__xludf.DUMMYFUNCTION("VLOOKUP(F10762, IMPORTRANGE(""https://docs.google.com/spreadsheets/d/1Lhp9OU0JdFf_VYSMzH5lBcEaU4o8teT1piV-SNzShjg/edit?gid=554141278#gid=554141278"", ""'Char Def. - Attributes'!C20:C2242""), 1,false)"),"ALT_DENUM_UOM2")</f>
        <v>ALT_DENUM_UOM2</v>
      </c>
      <c r="I10762" s="136"/>
      <c r="R10762" s="63" t="str">
        <f t="shared" si="60"/>
        <v>ZSI1_LIMEALT_DENUM_UOM2</v>
      </c>
    </row>
    <row r="10763" ht="15.75" customHeight="1">
      <c r="B10763" s="63">
        <f t="shared" si="1"/>
        <v>9</v>
      </c>
      <c r="C10763" s="135" t="s">
        <v>414</v>
      </c>
      <c r="D10763" s="161" t="s">
        <v>74</v>
      </c>
      <c r="E10763" s="135">
        <f t="shared" si="62"/>
        <v>18</v>
      </c>
      <c r="F10763" s="134" t="s">
        <v>3809</v>
      </c>
      <c r="G10763" s="63" t="str">
        <f>VLOOKUP(C10763, 'Class Def. - General Data'!$C$20:$C$1000,1,false)</f>
        <v>ZSI1_LIME</v>
      </c>
      <c r="H10763" s="63" t="str">
        <f>IFERROR(__xludf.DUMMYFUNCTION("VLOOKUP(F10763, IMPORTRANGE(""https://docs.google.com/spreadsheets/d/1Lhp9OU0JdFf_VYSMzH5lBcEaU4o8teT1piV-SNzShjg/edit?gid=554141278#gid=554141278"", ""'Char Def. - Attributes'!C20:C2242""), 1,false)"),"ALT_NUM_UOM2")</f>
        <v>ALT_NUM_UOM2</v>
      </c>
      <c r="I10763" s="136"/>
      <c r="R10763" s="63" t="str">
        <f t="shared" si="60"/>
        <v>ZSI1_LIMEALT_NUM_UOM2</v>
      </c>
    </row>
    <row r="10764" ht="15.75" customHeight="1">
      <c r="B10764" s="63">
        <f t="shared" si="1"/>
        <v>9</v>
      </c>
      <c r="C10764" s="135" t="s">
        <v>414</v>
      </c>
      <c r="D10764" s="161" t="s">
        <v>74</v>
      </c>
      <c r="E10764" s="135">
        <f t="shared" si="62"/>
        <v>19</v>
      </c>
      <c r="F10764" s="134" t="s">
        <v>3810</v>
      </c>
      <c r="G10764" s="63" t="str">
        <f>VLOOKUP(C10764, 'Class Def. - General Data'!$C$20:$C$1000,1,false)</f>
        <v>ZSI1_LIME</v>
      </c>
      <c r="H10764" s="63" t="str">
        <f>IFERROR(__xludf.DUMMYFUNCTION("VLOOKUP(F10764, IMPORTRANGE(""https://docs.google.com/spreadsheets/d/1Lhp9OU0JdFf_VYSMzH5lBcEaU4o8teT1piV-SNzShjg/edit?gid=554141278#gid=554141278"", ""'Char Def. - Attributes'!C20:C2242""), 1,false)"),"ALT_UOM3_SIPI")</f>
        <v>ALT_UOM3_SIPI</v>
      </c>
      <c r="I10764" s="136"/>
      <c r="R10764" s="63" t="str">
        <f t="shared" si="60"/>
        <v>ZSI1_LIMEALT_UOM3_SIPI</v>
      </c>
    </row>
    <row r="10765" ht="15.75" customHeight="1">
      <c r="B10765" s="63">
        <f t="shared" si="1"/>
        <v>9</v>
      </c>
      <c r="C10765" s="135" t="s">
        <v>414</v>
      </c>
      <c r="D10765" s="161" t="s">
        <v>74</v>
      </c>
      <c r="E10765" s="135">
        <f t="shared" si="62"/>
        <v>20</v>
      </c>
      <c r="F10765" s="134" t="s">
        <v>3811</v>
      </c>
      <c r="G10765" s="63" t="str">
        <f>VLOOKUP(C10765, 'Class Def. - General Data'!$C$20:$C$1000,1,false)</f>
        <v>ZSI1_LIME</v>
      </c>
      <c r="H10765" s="63" t="str">
        <f>IFERROR(__xludf.DUMMYFUNCTION("VLOOKUP(F10765, IMPORTRANGE(""https://docs.google.com/spreadsheets/d/1Lhp9OU0JdFf_VYSMzH5lBcEaU4o8teT1piV-SNzShjg/edit?gid=554141278#gid=554141278"", ""'Char Def. - Attributes'!C20:C2242""), 1,false)"),"ALT_DENUM_UOM3")</f>
        <v>ALT_DENUM_UOM3</v>
      </c>
      <c r="I10765" s="136"/>
      <c r="R10765" s="63" t="str">
        <f t="shared" si="60"/>
        <v>ZSI1_LIMEALT_DENUM_UOM3</v>
      </c>
    </row>
    <row r="10766" ht="15.75" customHeight="1">
      <c r="B10766" s="63">
        <f t="shared" si="1"/>
        <v>9</v>
      </c>
      <c r="C10766" s="135" t="s">
        <v>414</v>
      </c>
      <c r="D10766" s="161" t="s">
        <v>74</v>
      </c>
      <c r="E10766" s="135">
        <f t="shared" si="62"/>
        <v>21</v>
      </c>
      <c r="F10766" s="134" t="s">
        <v>3812</v>
      </c>
      <c r="G10766" s="63" t="str">
        <f>VLOOKUP(C10766, 'Class Def. - General Data'!$C$20:$C$1000,1,false)</f>
        <v>ZSI1_LIME</v>
      </c>
      <c r="H10766" s="63" t="str">
        <f>IFERROR(__xludf.DUMMYFUNCTION("VLOOKUP(F10766, IMPORTRANGE(""https://docs.google.com/spreadsheets/d/1Lhp9OU0JdFf_VYSMzH5lBcEaU4o8teT1piV-SNzShjg/edit?gid=554141278#gid=554141278"", ""'Char Def. - Attributes'!C20:C2242""), 1,false)"),"ALT_NUM_UOM3")</f>
        <v>ALT_NUM_UOM3</v>
      </c>
      <c r="I10766" s="136"/>
      <c r="R10766" s="63" t="str">
        <f t="shared" si="60"/>
        <v>ZSI1_LIMEALT_NUM_UOM3</v>
      </c>
    </row>
    <row r="10767" ht="15.75" customHeight="1">
      <c r="B10767" s="63">
        <f t="shared" si="1"/>
        <v>9</v>
      </c>
      <c r="C10767" s="135" t="s">
        <v>414</v>
      </c>
      <c r="D10767" s="161" t="s">
        <v>74</v>
      </c>
      <c r="E10767" s="135">
        <f t="shared" si="62"/>
        <v>22</v>
      </c>
      <c r="F10767" s="134" t="s">
        <v>3813</v>
      </c>
      <c r="G10767" s="63" t="str">
        <f>VLOOKUP(C10767, 'Class Def. - General Data'!$C$20:$C$1000,1,false)</f>
        <v>ZSI1_LIME</v>
      </c>
      <c r="H10767" s="63" t="str">
        <f>IFERROR(__xludf.DUMMYFUNCTION("VLOOKUP(F10767, IMPORTRANGE(""https://docs.google.com/spreadsheets/d/1Lhp9OU0JdFf_VYSMzH5lBcEaU4o8teT1piV-SNzShjg/edit?gid=554141278#gid=554141278"", ""'Char Def. - Attributes'!C20:C2242""), 1,false)"),"ALT_UOM4_SIPI")</f>
        <v>ALT_UOM4_SIPI</v>
      </c>
      <c r="I10767" s="136"/>
      <c r="R10767" s="63" t="str">
        <f t="shared" si="60"/>
        <v>ZSI1_LIMEALT_UOM4_SIPI</v>
      </c>
    </row>
    <row r="10768" ht="15.75" customHeight="1">
      <c r="B10768" s="63">
        <f t="shared" si="1"/>
        <v>9</v>
      </c>
      <c r="C10768" s="135" t="s">
        <v>414</v>
      </c>
      <c r="D10768" s="161" t="s">
        <v>74</v>
      </c>
      <c r="E10768" s="135">
        <f t="shared" si="62"/>
        <v>23</v>
      </c>
      <c r="F10768" s="134" t="s">
        <v>3814</v>
      </c>
      <c r="G10768" s="63" t="str">
        <f>VLOOKUP(C10768, 'Class Def. - General Data'!$C$20:$C$1000,1,false)</f>
        <v>ZSI1_LIME</v>
      </c>
      <c r="H10768" s="63" t="str">
        <f>IFERROR(__xludf.DUMMYFUNCTION("VLOOKUP(F10768, IMPORTRANGE(""https://docs.google.com/spreadsheets/d/1Lhp9OU0JdFf_VYSMzH5lBcEaU4o8teT1piV-SNzShjg/edit?gid=554141278#gid=554141278"", ""'Char Def. - Attributes'!C20:C2242""), 1,false)"),"ALT_DENUM_UOM4")</f>
        <v>ALT_DENUM_UOM4</v>
      </c>
      <c r="I10768" s="136"/>
      <c r="R10768" s="63" t="str">
        <f t="shared" si="60"/>
        <v>ZSI1_LIMEALT_DENUM_UOM4</v>
      </c>
    </row>
    <row r="10769" ht="15.75" customHeight="1">
      <c r="B10769" s="63">
        <f t="shared" si="1"/>
        <v>9</v>
      </c>
      <c r="C10769" s="135" t="s">
        <v>414</v>
      </c>
      <c r="D10769" s="161" t="s">
        <v>74</v>
      </c>
      <c r="E10769" s="135">
        <f t="shared" si="62"/>
        <v>24</v>
      </c>
      <c r="F10769" s="134" t="s">
        <v>3815</v>
      </c>
      <c r="G10769" s="63" t="str">
        <f>VLOOKUP(C10769, 'Class Def. - General Data'!$C$20:$C$1000,1,false)</f>
        <v>ZSI1_LIME</v>
      </c>
      <c r="H10769" s="63" t="str">
        <f>IFERROR(__xludf.DUMMYFUNCTION("VLOOKUP(F10769, IMPORTRANGE(""https://docs.google.com/spreadsheets/d/1Lhp9OU0JdFf_VYSMzH5lBcEaU4o8teT1piV-SNzShjg/edit?gid=554141278#gid=554141278"", ""'Char Def. - Attributes'!C20:C2242""), 1,false)"),"ALT_NUM_UOM4")</f>
        <v>ALT_NUM_UOM4</v>
      </c>
      <c r="I10769" s="136"/>
      <c r="R10769" s="63" t="str">
        <f t="shared" si="60"/>
        <v>ZSI1_LIMEALT_NUM_UOM4</v>
      </c>
    </row>
    <row r="10770" ht="15.75" customHeight="1">
      <c r="B10770" s="63">
        <f t="shared" si="1"/>
        <v>9</v>
      </c>
      <c r="C10770" s="135" t="s">
        <v>414</v>
      </c>
      <c r="D10770" s="161" t="s">
        <v>74</v>
      </c>
      <c r="E10770" s="135">
        <f t="shared" si="62"/>
        <v>25</v>
      </c>
      <c r="F10770" s="134" t="s">
        <v>3816</v>
      </c>
      <c r="G10770" s="63" t="str">
        <f>VLOOKUP(C10770, 'Class Def. - General Data'!$C$20:$C$1000,1,false)</f>
        <v>ZSI1_LIME</v>
      </c>
      <c r="H10770" s="63" t="str">
        <f>IFERROR(__xludf.DUMMYFUNCTION("VLOOKUP(F10770, IMPORTRANGE(""https://docs.google.com/spreadsheets/d/1Lhp9OU0JdFf_VYSMzH5lBcEaU4o8teT1piV-SNzShjg/edit?gid=554141278#gid=554141278"", ""'Char Def. - Attributes'!C20:C2242""), 1,false)"),"ALT_UOM5_SIPI")</f>
        <v>ALT_UOM5_SIPI</v>
      </c>
      <c r="I10770" s="136"/>
      <c r="R10770" s="63" t="str">
        <f t="shared" si="60"/>
        <v>ZSI1_LIMEALT_UOM5_SIPI</v>
      </c>
    </row>
    <row r="10771" ht="15.75" customHeight="1">
      <c r="B10771" s="63">
        <f t="shared" si="1"/>
        <v>9</v>
      </c>
      <c r="C10771" s="135" t="s">
        <v>414</v>
      </c>
      <c r="D10771" s="161" t="s">
        <v>74</v>
      </c>
      <c r="E10771" s="135">
        <f t="shared" si="62"/>
        <v>26</v>
      </c>
      <c r="F10771" s="134" t="s">
        <v>3817</v>
      </c>
      <c r="G10771" s="63" t="str">
        <f>VLOOKUP(C10771, 'Class Def. - General Data'!$C$20:$C$1000,1,false)</f>
        <v>ZSI1_LIME</v>
      </c>
      <c r="H10771" s="63" t="str">
        <f>IFERROR(__xludf.DUMMYFUNCTION("VLOOKUP(F10771, IMPORTRANGE(""https://docs.google.com/spreadsheets/d/1Lhp9OU0JdFf_VYSMzH5lBcEaU4o8teT1piV-SNzShjg/edit?gid=554141278#gid=554141278"", ""'Char Def. - Attributes'!C20:C2242""), 1,false)"),"ALT_DENUM_UOM5")</f>
        <v>ALT_DENUM_UOM5</v>
      </c>
      <c r="I10771" s="136"/>
      <c r="R10771" s="63" t="str">
        <f t="shared" si="60"/>
        <v>ZSI1_LIMEALT_DENUM_UOM5</v>
      </c>
    </row>
    <row r="10772" ht="15.75" customHeight="1">
      <c r="B10772" s="63">
        <f t="shared" si="1"/>
        <v>9</v>
      </c>
      <c r="C10772" s="135" t="s">
        <v>414</v>
      </c>
      <c r="D10772" s="161" t="s">
        <v>74</v>
      </c>
      <c r="E10772" s="135">
        <f t="shared" si="62"/>
        <v>27</v>
      </c>
      <c r="F10772" s="134" t="s">
        <v>3818</v>
      </c>
      <c r="G10772" s="63" t="str">
        <f>VLOOKUP(C10772, 'Class Def. - General Data'!$C$20:$C$1000,1,false)</f>
        <v>ZSI1_LIME</v>
      </c>
      <c r="H10772" s="63" t="str">
        <f>IFERROR(__xludf.DUMMYFUNCTION("VLOOKUP(F10772, IMPORTRANGE(""https://docs.google.com/spreadsheets/d/1Lhp9OU0JdFf_VYSMzH5lBcEaU4o8teT1piV-SNzShjg/edit?gid=554141278#gid=554141278"", ""'Char Def. - Attributes'!C20:C2242""), 1,false)"),"ALT_NUM_UOM5")</f>
        <v>ALT_NUM_UOM5</v>
      </c>
      <c r="I10772" s="136"/>
      <c r="R10772" s="63" t="str">
        <f t="shared" si="60"/>
        <v>ZSI1_LIMEALT_NUM_UOM5</v>
      </c>
    </row>
    <row r="10773" ht="15.75" customHeight="1">
      <c r="B10773" s="63">
        <f t="shared" si="1"/>
        <v>13</v>
      </c>
      <c r="C10773" s="135" t="s">
        <v>415</v>
      </c>
      <c r="D10773" s="161" t="s">
        <v>74</v>
      </c>
      <c r="E10773" s="135">
        <f t="shared" si="62"/>
        <v>1</v>
      </c>
      <c r="F10773" s="134" t="s">
        <v>4810</v>
      </c>
      <c r="G10773" s="63" t="str">
        <f>VLOOKUP(C10773, 'Class Def. - General Data'!$C$20:$C$1000,1,false)</f>
        <v>ZSI1_LOCK_KEY</v>
      </c>
      <c r="H10773" s="63" t="str">
        <f>IFERROR(__xludf.DUMMYFUNCTION("VLOOKUP(F10773, IMPORTRANGE(""https://docs.google.com/spreadsheets/d/1Lhp9OU0JdFf_VYSMzH5lBcEaU4o8teT1piV-SNzShjg/edit?gid=554141278#gid=554141278"", ""'Char Def. - Attributes'!C20:C2242""), 1,false)"),"ITEM_NAME_LOCK_KEY")</f>
        <v>ITEM_NAME_LOCK_KEY</v>
      </c>
      <c r="I10773" s="136"/>
      <c r="R10773" s="63" t="str">
        <f t="shared" si="60"/>
        <v>ZSI1_LOCK_KEYITEM_NAME_LOCK_KEY</v>
      </c>
    </row>
    <row r="10774" ht="15.75" customHeight="1">
      <c r="B10774" s="63">
        <f t="shared" si="1"/>
        <v>13</v>
      </c>
      <c r="C10774" s="135" t="s">
        <v>415</v>
      </c>
      <c r="D10774" s="161" t="s">
        <v>74</v>
      </c>
      <c r="E10774" s="135">
        <f t="shared" si="62"/>
        <v>2</v>
      </c>
      <c r="F10774" s="134" t="s">
        <v>4811</v>
      </c>
      <c r="G10774" s="63" t="str">
        <f>VLOOKUP(C10774, 'Class Def. - General Data'!$C$20:$C$1000,1,false)</f>
        <v>ZSI1_LOCK_KEY</v>
      </c>
      <c r="H10774" s="63" t="str">
        <f>IFERROR(__xludf.DUMMYFUNCTION("VLOOKUP(F10774, IMPORTRANGE(""https://docs.google.com/spreadsheets/d/1Lhp9OU0JdFf_VYSMzH5lBcEaU4o8teT1piV-SNzShjg/edit?gid=554141278#gid=554141278"", ""'Char Def. - Attributes'!C20:C2242""), 1,false)"),"SERIES_LOCK_KEY")</f>
        <v>SERIES_LOCK_KEY</v>
      </c>
      <c r="I10774" s="136"/>
      <c r="R10774" s="63" t="str">
        <f t="shared" si="60"/>
        <v>ZSI1_LOCK_KEYSERIES_LOCK_KEY</v>
      </c>
    </row>
    <row r="10775" ht="15.75" customHeight="1">
      <c r="B10775" s="63">
        <f t="shared" si="1"/>
        <v>13</v>
      </c>
      <c r="C10775" s="135" t="s">
        <v>415</v>
      </c>
      <c r="D10775" s="161" t="s">
        <v>74</v>
      </c>
      <c r="E10775" s="135">
        <f t="shared" si="62"/>
        <v>3</v>
      </c>
      <c r="F10775" s="134" t="s">
        <v>3782</v>
      </c>
      <c r="G10775" s="63" t="str">
        <f>VLOOKUP(C10775, 'Class Def. - General Data'!$C$20:$C$1000,1,false)</f>
        <v>ZSI1_LOCK_KEY</v>
      </c>
      <c r="H10775" s="63" t="str">
        <f>IFERROR(__xludf.DUMMYFUNCTION("VLOOKUP(F10775, IMPORTRANGE(""https://docs.google.com/spreadsheets/d/1Lhp9OU0JdFf_VYSMzH5lBcEaU4o8teT1piV-SNzShjg/edit?gid=554141278#gid=554141278"", ""'Char Def. - Attributes'!C20:C2242""), 1,false)"),"BRAND_EXTERNAL")</f>
        <v>BRAND_EXTERNAL</v>
      </c>
      <c r="I10775" s="136"/>
      <c r="R10775" s="63" t="str">
        <f t="shared" si="60"/>
        <v>ZSI1_LOCK_KEYBRAND_EXTERNAL</v>
      </c>
    </row>
    <row r="10776" ht="15.75" customHeight="1">
      <c r="B10776" s="63">
        <f t="shared" si="1"/>
        <v>13</v>
      </c>
      <c r="C10776" s="135" t="s">
        <v>415</v>
      </c>
      <c r="D10776" s="161" t="s">
        <v>74</v>
      </c>
      <c r="E10776" s="135">
        <f t="shared" si="62"/>
        <v>4</v>
      </c>
      <c r="F10776" s="134" t="s">
        <v>3585</v>
      </c>
      <c r="G10776" s="63" t="str">
        <f>VLOOKUP(C10776, 'Class Def. - General Data'!$C$20:$C$1000,1,false)</f>
        <v>ZSI1_LOCK_KEY</v>
      </c>
      <c r="H10776" s="63" t="str">
        <f>IFERROR(__xludf.DUMMYFUNCTION("VLOOKUP(F10776, IMPORTRANGE(""https://docs.google.com/spreadsheets/d/1Lhp9OU0JdFf_VYSMzH5lBcEaU4o8teT1piV-SNzShjg/edit?gid=554141278#gid=554141278"", ""'Char Def. - Attributes'!C20:C2242""), 1,false)"),"HS_CODE")</f>
        <v>HS_CODE</v>
      </c>
      <c r="I10776" s="136"/>
      <c r="R10776" s="63" t="str">
        <f t="shared" si="60"/>
        <v>ZSI1_LOCK_KEYHS_CODE</v>
      </c>
    </row>
    <row r="10777" ht="15.75" customHeight="1">
      <c r="B10777" s="63">
        <f t="shared" si="1"/>
        <v>13</v>
      </c>
      <c r="C10777" s="135" t="s">
        <v>415</v>
      </c>
      <c r="D10777" s="161" t="s">
        <v>74</v>
      </c>
      <c r="E10777" s="135">
        <f t="shared" si="62"/>
        <v>5</v>
      </c>
      <c r="F10777" s="134" t="s">
        <v>3587</v>
      </c>
      <c r="G10777" s="63" t="str">
        <f>VLOOKUP(C10777, 'Class Def. - General Data'!$C$20:$C$1000,1,false)</f>
        <v>ZSI1_LOCK_KEY</v>
      </c>
      <c r="H10777" s="63" t="str">
        <f>IFERROR(__xludf.DUMMYFUNCTION("VLOOKUP(F10777, IMPORTRANGE(""https://docs.google.com/spreadsheets/d/1Lhp9OU0JdFf_VYSMzH5lBcEaU4o8teT1piV-SNzShjg/edit?gid=554141278#gid=554141278"", ""'Char Def. - Attributes'!C20:C2242""), 1,false)"),"PLANT_BUY")</f>
        <v>PLANT_BUY</v>
      </c>
      <c r="I10777" s="136"/>
      <c r="R10777" s="63" t="str">
        <f t="shared" si="60"/>
        <v>ZSI1_LOCK_KEYPLANT_BUY</v>
      </c>
    </row>
    <row r="10778" ht="15.75" customHeight="1">
      <c r="B10778" s="63">
        <f t="shared" si="1"/>
        <v>13</v>
      </c>
      <c r="C10778" s="135" t="s">
        <v>415</v>
      </c>
      <c r="D10778" s="161" t="s">
        <v>74</v>
      </c>
      <c r="E10778" s="135">
        <f t="shared" si="62"/>
        <v>6</v>
      </c>
      <c r="F10778" s="134" t="s">
        <v>4812</v>
      </c>
      <c r="G10778" s="63" t="str">
        <f>VLOOKUP(C10778, 'Class Def. - General Data'!$C$20:$C$1000,1,false)</f>
        <v>ZSI1_LOCK_KEY</v>
      </c>
      <c r="H10778" s="63" t="str">
        <f>IFERROR(__xludf.DUMMYFUNCTION("VLOOKUP(F10778, IMPORTRANGE(""https://docs.google.com/spreadsheets/d/1Lhp9OU0JdFf_VYSMzH5lBcEaU4o8teT1piV-SNzShjg/edit?gid=554141278#gid=554141278"", ""'Char Def. - Attributes'!C20:C2242""), 1,false)"),"BASE_UOM_LOCK_KEY")</f>
        <v>BASE_UOM_LOCK_KEY</v>
      </c>
      <c r="I10778" s="136"/>
      <c r="R10778" s="63" t="str">
        <f t="shared" si="60"/>
        <v>ZSI1_LOCK_KEYBASE_UOM_LOCK_KEY</v>
      </c>
    </row>
    <row r="10779" ht="15.75" customHeight="1">
      <c r="B10779" s="63">
        <f t="shared" si="1"/>
        <v>13</v>
      </c>
      <c r="C10779" s="135" t="s">
        <v>415</v>
      </c>
      <c r="D10779" s="161" t="s">
        <v>74</v>
      </c>
      <c r="E10779" s="135">
        <f t="shared" si="62"/>
        <v>7</v>
      </c>
      <c r="F10779" s="134" t="s">
        <v>4813</v>
      </c>
      <c r="G10779" s="63" t="str">
        <f>VLOOKUP(C10779, 'Class Def. - General Data'!$C$20:$C$1000,1,false)</f>
        <v>ZSI1_LOCK_KEY</v>
      </c>
      <c r="H10779" s="63" t="str">
        <f>IFERROR(__xludf.DUMMYFUNCTION("VLOOKUP(F10779, IMPORTRANGE(""https://docs.google.com/spreadsheets/d/1Lhp9OU0JdFf_VYSMzH5lBcEaU4o8teT1piV-SNzShjg/edit?gid=554141278#gid=554141278"", ""'Char Def. - Attributes'!C20:C2242""), 1,false)"),"ORDER_UNIT_LOCK_KEY")</f>
        <v>ORDER_UNIT_LOCK_KEY</v>
      </c>
      <c r="I10779" s="136"/>
      <c r="R10779" s="63" t="str">
        <f t="shared" si="60"/>
        <v>ZSI1_LOCK_KEYORDER_UNIT_LOCK_KEY</v>
      </c>
    </row>
    <row r="10780" ht="15.75" customHeight="1">
      <c r="B10780" s="63">
        <f t="shared" si="1"/>
        <v>13</v>
      </c>
      <c r="C10780" s="135" t="s">
        <v>415</v>
      </c>
      <c r="D10780" s="161" t="s">
        <v>74</v>
      </c>
      <c r="E10780" s="135">
        <f t="shared" si="62"/>
        <v>8</v>
      </c>
      <c r="F10780" s="134" t="s">
        <v>4056</v>
      </c>
      <c r="G10780" s="63" t="str">
        <f>VLOOKUP(C10780, 'Class Def. - General Data'!$C$20:$C$1000,1,false)</f>
        <v>ZSI1_LOCK_KEY</v>
      </c>
      <c r="H10780" s="63" t="str">
        <f>IFERROR(__xludf.DUMMYFUNCTION("VLOOKUP(F10780, IMPORTRANGE(""https://docs.google.com/spreadsheets/d/1Lhp9OU0JdFf_VYSMzH5lBcEaU4o8teT1piV-SNzShjg/edit?gid=554141278#gid=554141278"", ""'Char Def. - Attributes'!C20:C2242""), 1,false)"),"GROSS_WEIGHT_OPT")</f>
        <v>GROSS_WEIGHT_OPT</v>
      </c>
      <c r="I10780" s="136"/>
      <c r="R10780" s="63" t="str">
        <f t="shared" si="60"/>
        <v>ZSI1_LOCK_KEYGROSS_WEIGHT_OPT</v>
      </c>
    </row>
    <row r="10781" ht="15.75" customHeight="1">
      <c r="B10781" s="63">
        <f t="shared" si="1"/>
        <v>13</v>
      </c>
      <c r="C10781" s="135" t="s">
        <v>415</v>
      </c>
      <c r="D10781" s="161" t="s">
        <v>74</v>
      </c>
      <c r="E10781" s="135">
        <f t="shared" si="62"/>
        <v>9</v>
      </c>
      <c r="F10781" s="134" t="s">
        <v>4057</v>
      </c>
      <c r="G10781" s="63" t="str">
        <f>VLOOKUP(C10781, 'Class Def. - General Data'!$C$20:$C$1000,1,false)</f>
        <v>ZSI1_LOCK_KEY</v>
      </c>
      <c r="H10781" s="63" t="str">
        <f>IFERROR(__xludf.DUMMYFUNCTION("VLOOKUP(F10781, IMPORTRANGE(""https://docs.google.com/spreadsheets/d/1Lhp9OU0JdFf_VYSMzH5lBcEaU4o8teT1piV-SNzShjg/edit?gid=554141278#gid=554141278"", ""'Char Def. - Attributes'!C20:C2242""), 1,false)"),"NET_WEIGHT_OPT")</f>
        <v>NET_WEIGHT_OPT</v>
      </c>
      <c r="I10781" s="136"/>
      <c r="R10781" s="63" t="str">
        <f t="shared" si="60"/>
        <v>ZSI1_LOCK_KEYNET_WEIGHT_OPT</v>
      </c>
    </row>
    <row r="10782" ht="15.75" customHeight="1">
      <c r="B10782" s="63">
        <f t="shared" si="1"/>
        <v>13</v>
      </c>
      <c r="C10782" s="135" t="s">
        <v>415</v>
      </c>
      <c r="D10782" s="161" t="s">
        <v>74</v>
      </c>
      <c r="E10782" s="135">
        <f t="shared" si="62"/>
        <v>10</v>
      </c>
      <c r="F10782" s="134" t="s">
        <v>4058</v>
      </c>
      <c r="G10782" s="63" t="str">
        <f>VLOOKUP(C10782, 'Class Def. - General Data'!$C$20:$C$1000,1,false)</f>
        <v>ZSI1_LOCK_KEY</v>
      </c>
      <c r="H10782" s="63" t="str">
        <f>IFERROR(__xludf.DUMMYFUNCTION("VLOOKUP(F10782, IMPORTRANGE(""https://docs.google.com/spreadsheets/d/1Lhp9OU0JdFf_VYSMzH5lBcEaU4o8teT1piV-SNzShjg/edit?gid=554141278#gid=554141278"", ""'Char Def. - Attributes'!C20:C2242""), 1,false)"),"WEIGHT_UNIT_SI")</f>
        <v>WEIGHT_UNIT_SI</v>
      </c>
      <c r="I10782" s="136"/>
      <c r="R10782" s="63" t="str">
        <f t="shared" si="60"/>
        <v>ZSI1_LOCK_KEYWEIGHT_UNIT_SI</v>
      </c>
    </row>
    <row r="10783" ht="15.75" customHeight="1">
      <c r="B10783" s="63">
        <f t="shared" si="1"/>
        <v>13</v>
      </c>
      <c r="C10783" s="135" t="s">
        <v>415</v>
      </c>
      <c r="D10783" s="161" t="s">
        <v>74</v>
      </c>
      <c r="E10783" s="135">
        <f t="shared" si="62"/>
        <v>11</v>
      </c>
      <c r="F10783" s="134" t="s">
        <v>3877</v>
      </c>
      <c r="G10783" s="63" t="str">
        <f>VLOOKUP(C10783, 'Class Def. - General Data'!$C$20:$C$1000,1,false)</f>
        <v>ZSI1_LOCK_KEY</v>
      </c>
      <c r="H10783" s="63" t="str">
        <f>IFERROR(__xludf.DUMMYFUNCTION("VLOOKUP(F10783, IMPORTRANGE(""https://docs.google.com/spreadsheets/d/1Lhp9OU0JdFf_VYSMzH5lBcEaU4o8teT1piV-SNzShjg/edit?gid=554141278#gid=554141278"", ""'Char Def. - Attributes'!C20:C2242""), 1,false)"),"VOLUME_OPT")</f>
        <v>VOLUME_OPT</v>
      </c>
      <c r="I10783" s="137" t="s">
        <v>4739</v>
      </c>
      <c r="J10783" s="75" t="s">
        <v>4814</v>
      </c>
      <c r="K10783" s="75" t="s">
        <v>4815</v>
      </c>
      <c r="L10783" s="75" t="s">
        <v>6</v>
      </c>
      <c r="M10783" s="75" t="s">
        <v>4743</v>
      </c>
      <c r="N10783" s="75" t="s">
        <v>4816</v>
      </c>
      <c r="R10783" s="63" t="str">
        <f t="shared" si="60"/>
        <v>ZSI1_LOCK_KEYVOLUME_OPT</v>
      </c>
    </row>
    <row r="10784" ht="15.75" customHeight="1">
      <c r="B10784" s="63">
        <f t="shared" si="1"/>
        <v>13</v>
      </c>
      <c r="C10784" s="135" t="s">
        <v>415</v>
      </c>
      <c r="D10784" s="161" t="s">
        <v>74</v>
      </c>
      <c r="E10784" s="135">
        <f t="shared" si="62"/>
        <v>12</v>
      </c>
      <c r="F10784" s="134" t="s">
        <v>4059</v>
      </c>
      <c r="G10784" s="63" t="str">
        <f>VLOOKUP(C10784, 'Class Def. - General Data'!$C$20:$C$1000,1,false)</f>
        <v>ZSI1_LOCK_KEY</v>
      </c>
      <c r="H10784" s="63" t="str">
        <f>IFERROR(__xludf.DUMMYFUNCTION("VLOOKUP(F10784, IMPORTRANGE(""https://docs.google.com/spreadsheets/d/1Lhp9OU0JdFf_VYSMzH5lBcEaU4o8teT1piV-SNzShjg/edit?gid=554141278#gid=554141278"", ""'Char Def. - Attributes'!C20:C2242""), 1,false)"),"VOLUME_UNIT_SI")</f>
        <v>VOLUME_UNIT_SI</v>
      </c>
      <c r="I10784" s="136"/>
      <c r="R10784" s="63" t="str">
        <f t="shared" si="60"/>
        <v>ZSI1_LOCK_KEYVOLUME_UNIT_SI</v>
      </c>
    </row>
    <row r="10785" ht="15.75" customHeight="1">
      <c r="B10785" s="63">
        <f t="shared" si="1"/>
        <v>13</v>
      </c>
      <c r="C10785" s="135" t="s">
        <v>415</v>
      </c>
      <c r="D10785" s="161" t="s">
        <v>74</v>
      </c>
      <c r="E10785" s="135">
        <f t="shared" si="62"/>
        <v>13</v>
      </c>
      <c r="F10785" s="134" t="s">
        <v>3804</v>
      </c>
      <c r="G10785" s="63" t="str">
        <f>VLOOKUP(C10785, 'Class Def. - General Data'!$C$20:$C$1000,1,false)</f>
        <v>ZSI1_LOCK_KEY</v>
      </c>
      <c r="H10785" s="63" t="str">
        <f>IFERROR(__xludf.DUMMYFUNCTION("VLOOKUP(F10785, IMPORTRANGE(""https://docs.google.com/spreadsheets/d/1Lhp9OU0JdFf_VYSMzH5lBcEaU4o8teT1piV-SNzShjg/edit?gid=554141278#gid=554141278"", ""'Char Def. - Attributes'!C20:C2242""), 1,false)"),"ALT_UOM1_SIPI")</f>
        <v>ALT_UOM1_SIPI</v>
      </c>
      <c r="I10785" s="136"/>
      <c r="R10785" s="63" t="str">
        <f t="shared" si="60"/>
        <v>ZSI1_LOCK_KEYALT_UOM1_SIPI</v>
      </c>
    </row>
    <row r="10786" ht="15.75" customHeight="1">
      <c r="B10786" s="63">
        <f t="shared" si="1"/>
        <v>13</v>
      </c>
      <c r="C10786" s="135" t="s">
        <v>415</v>
      </c>
      <c r="D10786" s="161" t="s">
        <v>74</v>
      </c>
      <c r="E10786" s="135">
        <f t="shared" si="62"/>
        <v>14</v>
      </c>
      <c r="F10786" s="134" t="s">
        <v>3805</v>
      </c>
      <c r="G10786" s="63" t="str">
        <f>VLOOKUP(C10786, 'Class Def. - General Data'!$C$20:$C$1000,1,false)</f>
        <v>ZSI1_LOCK_KEY</v>
      </c>
      <c r="H10786" s="63" t="str">
        <f>IFERROR(__xludf.DUMMYFUNCTION("VLOOKUP(F10786, IMPORTRANGE(""https://docs.google.com/spreadsheets/d/1Lhp9OU0JdFf_VYSMzH5lBcEaU4o8teT1piV-SNzShjg/edit?gid=554141278#gid=554141278"", ""'Char Def. - Attributes'!C20:C2242""), 1,false)"),"ALT_DENUM_UOM1")</f>
        <v>ALT_DENUM_UOM1</v>
      </c>
      <c r="I10786" s="136"/>
      <c r="R10786" s="63" t="str">
        <f t="shared" si="60"/>
        <v>ZSI1_LOCK_KEYALT_DENUM_UOM1</v>
      </c>
    </row>
    <row r="10787" ht="15.75" customHeight="1">
      <c r="B10787" s="63">
        <f t="shared" si="1"/>
        <v>13</v>
      </c>
      <c r="C10787" s="135" t="s">
        <v>415</v>
      </c>
      <c r="D10787" s="161" t="s">
        <v>74</v>
      </c>
      <c r="E10787" s="135">
        <f t="shared" si="62"/>
        <v>15</v>
      </c>
      <c r="F10787" s="134" t="s">
        <v>3806</v>
      </c>
      <c r="G10787" s="63" t="str">
        <f>VLOOKUP(C10787, 'Class Def. - General Data'!$C$20:$C$1000,1,false)</f>
        <v>ZSI1_LOCK_KEY</v>
      </c>
      <c r="H10787" s="63" t="str">
        <f>IFERROR(__xludf.DUMMYFUNCTION("VLOOKUP(F10787, IMPORTRANGE(""https://docs.google.com/spreadsheets/d/1Lhp9OU0JdFf_VYSMzH5lBcEaU4o8teT1piV-SNzShjg/edit?gid=554141278#gid=554141278"", ""'Char Def. - Attributes'!C20:C2242""), 1,false)"),"ALT_NUM_UOM1")</f>
        <v>ALT_NUM_UOM1</v>
      </c>
      <c r="I10787" s="136"/>
      <c r="R10787" s="63" t="str">
        <f t="shared" si="60"/>
        <v>ZSI1_LOCK_KEYALT_NUM_UOM1</v>
      </c>
    </row>
    <row r="10788" ht="15.75" customHeight="1">
      <c r="B10788" s="63">
        <f t="shared" si="1"/>
        <v>13</v>
      </c>
      <c r="C10788" s="135" t="s">
        <v>415</v>
      </c>
      <c r="D10788" s="161" t="s">
        <v>74</v>
      </c>
      <c r="E10788" s="135">
        <f t="shared" si="62"/>
        <v>16</v>
      </c>
      <c r="F10788" s="134" t="s">
        <v>3807</v>
      </c>
      <c r="G10788" s="63" t="str">
        <f>VLOOKUP(C10788, 'Class Def. - General Data'!$C$20:$C$1000,1,false)</f>
        <v>ZSI1_LOCK_KEY</v>
      </c>
      <c r="H10788" s="63" t="str">
        <f>IFERROR(__xludf.DUMMYFUNCTION("VLOOKUP(F10788, IMPORTRANGE(""https://docs.google.com/spreadsheets/d/1Lhp9OU0JdFf_VYSMzH5lBcEaU4o8teT1piV-SNzShjg/edit?gid=554141278#gid=554141278"", ""'Char Def. - Attributes'!C20:C2242""), 1,false)"),"ALT_UOM2_SIPI")</f>
        <v>ALT_UOM2_SIPI</v>
      </c>
      <c r="I10788" s="136"/>
      <c r="R10788" s="63" t="str">
        <f t="shared" si="60"/>
        <v>ZSI1_LOCK_KEYALT_UOM2_SIPI</v>
      </c>
    </row>
    <row r="10789" ht="15.75" customHeight="1">
      <c r="B10789" s="63">
        <f t="shared" si="1"/>
        <v>13</v>
      </c>
      <c r="C10789" s="135" t="s">
        <v>415</v>
      </c>
      <c r="D10789" s="161" t="s">
        <v>74</v>
      </c>
      <c r="E10789" s="135">
        <f t="shared" si="62"/>
        <v>17</v>
      </c>
      <c r="F10789" s="134" t="s">
        <v>3808</v>
      </c>
      <c r="G10789" s="63" t="str">
        <f>VLOOKUP(C10789, 'Class Def. - General Data'!$C$20:$C$1000,1,false)</f>
        <v>ZSI1_LOCK_KEY</v>
      </c>
      <c r="H10789" s="63" t="str">
        <f>IFERROR(__xludf.DUMMYFUNCTION("VLOOKUP(F10789, IMPORTRANGE(""https://docs.google.com/spreadsheets/d/1Lhp9OU0JdFf_VYSMzH5lBcEaU4o8teT1piV-SNzShjg/edit?gid=554141278#gid=554141278"", ""'Char Def. - Attributes'!C20:C2242""), 1,false)"),"ALT_DENUM_UOM2")</f>
        <v>ALT_DENUM_UOM2</v>
      </c>
      <c r="I10789" s="136"/>
      <c r="R10789" s="63" t="str">
        <f t="shared" si="60"/>
        <v>ZSI1_LOCK_KEYALT_DENUM_UOM2</v>
      </c>
    </row>
    <row r="10790" ht="15.75" customHeight="1">
      <c r="B10790" s="63">
        <f t="shared" si="1"/>
        <v>13</v>
      </c>
      <c r="C10790" s="135" t="s">
        <v>415</v>
      </c>
      <c r="D10790" s="161" t="s">
        <v>74</v>
      </c>
      <c r="E10790" s="135">
        <f t="shared" si="62"/>
        <v>18</v>
      </c>
      <c r="F10790" s="134" t="s">
        <v>3809</v>
      </c>
      <c r="G10790" s="63" t="str">
        <f>VLOOKUP(C10790, 'Class Def. - General Data'!$C$20:$C$1000,1,false)</f>
        <v>ZSI1_LOCK_KEY</v>
      </c>
      <c r="H10790" s="63" t="str">
        <f>IFERROR(__xludf.DUMMYFUNCTION("VLOOKUP(F10790, IMPORTRANGE(""https://docs.google.com/spreadsheets/d/1Lhp9OU0JdFf_VYSMzH5lBcEaU4o8teT1piV-SNzShjg/edit?gid=554141278#gid=554141278"", ""'Char Def. - Attributes'!C20:C2242""), 1,false)"),"ALT_NUM_UOM2")</f>
        <v>ALT_NUM_UOM2</v>
      </c>
      <c r="I10790" s="136"/>
      <c r="R10790" s="63" t="str">
        <f t="shared" si="60"/>
        <v>ZSI1_LOCK_KEYALT_NUM_UOM2</v>
      </c>
    </row>
    <row r="10791" ht="15.75" customHeight="1">
      <c r="B10791" s="63">
        <f t="shared" si="1"/>
        <v>13</v>
      </c>
      <c r="C10791" s="135" t="s">
        <v>415</v>
      </c>
      <c r="D10791" s="161" t="s">
        <v>74</v>
      </c>
      <c r="E10791" s="135">
        <f t="shared" si="62"/>
        <v>19</v>
      </c>
      <c r="F10791" s="134" t="s">
        <v>3810</v>
      </c>
      <c r="G10791" s="63" t="str">
        <f>VLOOKUP(C10791, 'Class Def. - General Data'!$C$20:$C$1000,1,false)</f>
        <v>ZSI1_LOCK_KEY</v>
      </c>
      <c r="H10791" s="63" t="str">
        <f>IFERROR(__xludf.DUMMYFUNCTION("VLOOKUP(F10791, IMPORTRANGE(""https://docs.google.com/spreadsheets/d/1Lhp9OU0JdFf_VYSMzH5lBcEaU4o8teT1piV-SNzShjg/edit?gid=554141278#gid=554141278"", ""'Char Def. - Attributes'!C20:C2242""), 1,false)"),"ALT_UOM3_SIPI")</f>
        <v>ALT_UOM3_SIPI</v>
      </c>
      <c r="I10791" s="136"/>
      <c r="R10791" s="63" t="str">
        <f t="shared" si="60"/>
        <v>ZSI1_LOCK_KEYALT_UOM3_SIPI</v>
      </c>
    </row>
    <row r="10792" ht="15.75" customHeight="1">
      <c r="B10792" s="63">
        <f t="shared" si="1"/>
        <v>13</v>
      </c>
      <c r="C10792" s="135" t="s">
        <v>415</v>
      </c>
      <c r="D10792" s="161" t="s">
        <v>74</v>
      </c>
      <c r="E10792" s="135">
        <f t="shared" si="62"/>
        <v>20</v>
      </c>
      <c r="F10792" s="134" t="s">
        <v>3811</v>
      </c>
      <c r="G10792" s="63" t="str">
        <f>VLOOKUP(C10792, 'Class Def. - General Data'!$C$20:$C$1000,1,false)</f>
        <v>ZSI1_LOCK_KEY</v>
      </c>
      <c r="H10792" s="63" t="str">
        <f>IFERROR(__xludf.DUMMYFUNCTION("VLOOKUP(F10792, IMPORTRANGE(""https://docs.google.com/spreadsheets/d/1Lhp9OU0JdFf_VYSMzH5lBcEaU4o8teT1piV-SNzShjg/edit?gid=554141278#gid=554141278"", ""'Char Def. - Attributes'!C20:C2242""), 1,false)"),"ALT_DENUM_UOM3")</f>
        <v>ALT_DENUM_UOM3</v>
      </c>
      <c r="I10792" s="136"/>
      <c r="R10792" s="63" t="str">
        <f t="shared" si="60"/>
        <v>ZSI1_LOCK_KEYALT_DENUM_UOM3</v>
      </c>
    </row>
    <row r="10793" ht="15.75" customHeight="1">
      <c r="B10793" s="63">
        <f t="shared" si="1"/>
        <v>13</v>
      </c>
      <c r="C10793" s="135" t="s">
        <v>415</v>
      </c>
      <c r="D10793" s="161" t="s">
        <v>74</v>
      </c>
      <c r="E10793" s="135">
        <f t="shared" si="62"/>
        <v>21</v>
      </c>
      <c r="F10793" s="134" t="s">
        <v>3812</v>
      </c>
      <c r="G10793" s="63" t="str">
        <f>VLOOKUP(C10793, 'Class Def. - General Data'!$C$20:$C$1000,1,false)</f>
        <v>ZSI1_LOCK_KEY</v>
      </c>
      <c r="H10793" s="63" t="str">
        <f>IFERROR(__xludf.DUMMYFUNCTION("VLOOKUP(F10793, IMPORTRANGE(""https://docs.google.com/spreadsheets/d/1Lhp9OU0JdFf_VYSMzH5lBcEaU4o8teT1piV-SNzShjg/edit?gid=554141278#gid=554141278"", ""'Char Def. - Attributes'!C20:C2242""), 1,false)"),"ALT_NUM_UOM3")</f>
        <v>ALT_NUM_UOM3</v>
      </c>
      <c r="I10793" s="136"/>
      <c r="R10793" s="63" t="str">
        <f t="shared" si="60"/>
        <v>ZSI1_LOCK_KEYALT_NUM_UOM3</v>
      </c>
    </row>
    <row r="10794" ht="15.75" customHeight="1">
      <c r="B10794" s="63">
        <f t="shared" si="1"/>
        <v>13</v>
      </c>
      <c r="C10794" s="135" t="s">
        <v>415</v>
      </c>
      <c r="D10794" s="161" t="s">
        <v>74</v>
      </c>
      <c r="E10794" s="135">
        <f t="shared" si="62"/>
        <v>22</v>
      </c>
      <c r="F10794" s="134" t="s">
        <v>3813</v>
      </c>
      <c r="G10794" s="63" t="str">
        <f>VLOOKUP(C10794, 'Class Def. - General Data'!$C$20:$C$1000,1,false)</f>
        <v>ZSI1_LOCK_KEY</v>
      </c>
      <c r="H10794" s="63" t="str">
        <f>IFERROR(__xludf.DUMMYFUNCTION("VLOOKUP(F10794, IMPORTRANGE(""https://docs.google.com/spreadsheets/d/1Lhp9OU0JdFf_VYSMzH5lBcEaU4o8teT1piV-SNzShjg/edit?gid=554141278#gid=554141278"", ""'Char Def. - Attributes'!C20:C2242""), 1,false)"),"ALT_UOM4_SIPI")</f>
        <v>ALT_UOM4_SIPI</v>
      </c>
      <c r="I10794" s="136"/>
      <c r="R10794" s="63" t="str">
        <f t="shared" si="60"/>
        <v>ZSI1_LOCK_KEYALT_UOM4_SIPI</v>
      </c>
    </row>
    <row r="10795" ht="15.75" customHeight="1">
      <c r="B10795" s="63">
        <f t="shared" si="1"/>
        <v>13</v>
      </c>
      <c r="C10795" s="135" t="s">
        <v>415</v>
      </c>
      <c r="D10795" s="161" t="s">
        <v>74</v>
      </c>
      <c r="E10795" s="135">
        <f t="shared" si="62"/>
        <v>23</v>
      </c>
      <c r="F10795" s="134" t="s">
        <v>3814</v>
      </c>
      <c r="G10795" s="63" t="str">
        <f>VLOOKUP(C10795, 'Class Def. - General Data'!$C$20:$C$1000,1,false)</f>
        <v>ZSI1_LOCK_KEY</v>
      </c>
      <c r="H10795" s="63" t="str">
        <f>IFERROR(__xludf.DUMMYFUNCTION("VLOOKUP(F10795, IMPORTRANGE(""https://docs.google.com/spreadsheets/d/1Lhp9OU0JdFf_VYSMzH5lBcEaU4o8teT1piV-SNzShjg/edit?gid=554141278#gid=554141278"", ""'Char Def. - Attributes'!C20:C2242""), 1,false)"),"ALT_DENUM_UOM4")</f>
        <v>ALT_DENUM_UOM4</v>
      </c>
      <c r="I10795" s="136"/>
      <c r="R10795" s="63" t="str">
        <f t="shared" si="60"/>
        <v>ZSI1_LOCK_KEYALT_DENUM_UOM4</v>
      </c>
    </row>
    <row r="10796" ht="15.75" customHeight="1">
      <c r="B10796" s="63">
        <f t="shared" si="1"/>
        <v>13</v>
      </c>
      <c r="C10796" s="135" t="s">
        <v>415</v>
      </c>
      <c r="D10796" s="161" t="s">
        <v>74</v>
      </c>
      <c r="E10796" s="135">
        <f t="shared" si="62"/>
        <v>24</v>
      </c>
      <c r="F10796" s="134" t="s">
        <v>3815</v>
      </c>
      <c r="G10796" s="63" t="str">
        <f>VLOOKUP(C10796, 'Class Def. - General Data'!$C$20:$C$1000,1,false)</f>
        <v>ZSI1_LOCK_KEY</v>
      </c>
      <c r="H10796" s="63" t="str">
        <f>IFERROR(__xludf.DUMMYFUNCTION("VLOOKUP(F10796, IMPORTRANGE(""https://docs.google.com/spreadsheets/d/1Lhp9OU0JdFf_VYSMzH5lBcEaU4o8teT1piV-SNzShjg/edit?gid=554141278#gid=554141278"", ""'Char Def. - Attributes'!C20:C2242""), 1,false)"),"ALT_NUM_UOM4")</f>
        <v>ALT_NUM_UOM4</v>
      </c>
      <c r="I10796" s="136"/>
      <c r="R10796" s="63" t="str">
        <f t="shared" si="60"/>
        <v>ZSI1_LOCK_KEYALT_NUM_UOM4</v>
      </c>
    </row>
    <row r="10797" ht="15.75" customHeight="1">
      <c r="B10797" s="63">
        <f t="shared" si="1"/>
        <v>13</v>
      </c>
      <c r="C10797" s="135" t="s">
        <v>415</v>
      </c>
      <c r="D10797" s="161" t="s">
        <v>74</v>
      </c>
      <c r="E10797" s="135">
        <f t="shared" si="62"/>
        <v>25</v>
      </c>
      <c r="F10797" s="134" t="s">
        <v>3816</v>
      </c>
      <c r="G10797" s="63" t="str">
        <f>VLOOKUP(C10797, 'Class Def. - General Data'!$C$20:$C$1000,1,false)</f>
        <v>ZSI1_LOCK_KEY</v>
      </c>
      <c r="H10797" s="63" t="str">
        <f>IFERROR(__xludf.DUMMYFUNCTION("VLOOKUP(F10797, IMPORTRANGE(""https://docs.google.com/spreadsheets/d/1Lhp9OU0JdFf_VYSMzH5lBcEaU4o8teT1piV-SNzShjg/edit?gid=554141278#gid=554141278"", ""'Char Def. - Attributes'!C20:C2242""), 1,false)"),"ALT_UOM5_SIPI")</f>
        <v>ALT_UOM5_SIPI</v>
      </c>
      <c r="I10797" s="136"/>
      <c r="R10797" s="63" t="str">
        <f t="shared" si="60"/>
        <v>ZSI1_LOCK_KEYALT_UOM5_SIPI</v>
      </c>
    </row>
    <row r="10798" ht="15.75" customHeight="1">
      <c r="B10798" s="63">
        <f t="shared" si="1"/>
        <v>13</v>
      </c>
      <c r="C10798" s="135" t="s">
        <v>415</v>
      </c>
      <c r="D10798" s="161" t="s">
        <v>74</v>
      </c>
      <c r="E10798" s="135">
        <f t="shared" si="62"/>
        <v>26</v>
      </c>
      <c r="F10798" s="134" t="s">
        <v>3817</v>
      </c>
      <c r="G10798" s="63" t="str">
        <f>VLOOKUP(C10798, 'Class Def. - General Data'!$C$20:$C$1000,1,false)</f>
        <v>ZSI1_LOCK_KEY</v>
      </c>
      <c r="H10798" s="63" t="str">
        <f>IFERROR(__xludf.DUMMYFUNCTION("VLOOKUP(F10798, IMPORTRANGE(""https://docs.google.com/spreadsheets/d/1Lhp9OU0JdFf_VYSMzH5lBcEaU4o8teT1piV-SNzShjg/edit?gid=554141278#gid=554141278"", ""'Char Def. - Attributes'!C20:C2242""), 1,false)"),"ALT_DENUM_UOM5")</f>
        <v>ALT_DENUM_UOM5</v>
      </c>
      <c r="I10798" s="136"/>
      <c r="R10798" s="63" t="str">
        <f t="shared" si="60"/>
        <v>ZSI1_LOCK_KEYALT_DENUM_UOM5</v>
      </c>
    </row>
    <row r="10799" ht="15.75" customHeight="1">
      <c r="B10799" s="63">
        <f t="shared" si="1"/>
        <v>13</v>
      </c>
      <c r="C10799" s="135" t="s">
        <v>415</v>
      </c>
      <c r="D10799" s="161" t="s">
        <v>74</v>
      </c>
      <c r="E10799" s="135">
        <f t="shared" si="62"/>
        <v>27</v>
      </c>
      <c r="F10799" s="134" t="s">
        <v>3818</v>
      </c>
      <c r="G10799" s="63" t="str">
        <f>VLOOKUP(C10799, 'Class Def. - General Data'!$C$20:$C$1000,1,false)</f>
        <v>ZSI1_LOCK_KEY</v>
      </c>
      <c r="H10799" s="63" t="str">
        <f>IFERROR(__xludf.DUMMYFUNCTION("VLOOKUP(F10799, IMPORTRANGE(""https://docs.google.com/spreadsheets/d/1Lhp9OU0JdFf_VYSMzH5lBcEaU4o8teT1piV-SNzShjg/edit?gid=554141278#gid=554141278"", ""'Char Def. - Attributes'!C20:C2242""), 1,false)"),"ALT_NUM_UOM5")</f>
        <v>ALT_NUM_UOM5</v>
      </c>
      <c r="I10799" s="136"/>
      <c r="R10799" s="63" t="str">
        <f t="shared" si="60"/>
        <v>ZSI1_LOCK_KEYALT_NUM_UOM5</v>
      </c>
    </row>
    <row r="10800" ht="15.75" customHeight="1">
      <c r="B10800" s="63">
        <f t="shared" si="1"/>
        <v>13</v>
      </c>
      <c r="C10800" s="135" t="s">
        <v>318</v>
      </c>
      <c r="D10800" s="161" t="s">
        <v>74</v>
      </c>
      <c r="E10800" s="135">
        <f t="shared" si="62"/>
        <v>1</v>
      </c>
      <c r="F10800" s="134" t="s">
        <v>4817</v>
      </c>
      <c r="G10800" s="63" t="str">
        <f>VLOOKUP(C10800, 'Class Def. - General Data'!$C$20:$C$1000,1,false)</f>
        <v>ZSI1_LOCK_NUT</v>
      </c>
      <c r="H10800" s="63" t="str">
        <f>IFERROR(__xludf.DUMMYFUNCTION("VLOOKUP(F10800, IMPORTRANGE(""https://docs.google.com/spreadsheets/d/1Lhp9OU0JdFf_VYSMzH5lBcEaU4o8teT1piV-SNzShjg/edit?gid=554141278#gid=554141278"", ""'Char Def. - Attributes'!C20:C2242""), 1,false)"),"ITEM_NAME_LOCK_NUT")</f>
        <v>ITEM_NAME_LOCK_NUT</v>
      </c>
      <c r="I10800" s="136"/>
      <c r="R10800" s="63" t="str">
        <f t="shared" si="60"/>
        <v>ZSI1_LOCK_NUTITEM_NAME_LOCK_NUT</v>
      </c>
    </row>
    <row r="10801" ht="15.75" customHeight="1">
      <c r="B10801" s="63">
        <f t="shared" si="1"/>
        <v>13</v>
      </c>
      <c r="C10801" s="135" t="s">
        <v>318</v>
      </c>
      <c r="D10801" s="161" t="s">
        <v>74</v>
      </c>
      <c r="E10801" s="135">
        <f t="shared" si="62"/>
        <v>2</v>
      </c>
      <c r="F10801" s="134" t="s">
        <v>4818</v>
      </c>
      <c r="G10801" s="63" t="str">
        <f>VLOOKUP(C10801, 'Class Def. - General Data'!$C$20:$C$1000,1,false)</f>
        <v>ZSI1_LOCK_NUT</v>
      </c>
      <c r="H10801" s="63" t="str">
        <f>IFERROR(__xludf.DUMMYFUNCTION("VLOOKUP(F10801, IMPORTRANGE(""https://docs.google.com/spreadsheets/d/1Lhp9OU0JdFf_VYSMzH5lBcEaU4o8teT1piV-SNzShjg/edit?gid=554141278#gid=554141278"", ""'Char Def. - Attributes'!C20:C2242""), 1,false)"),"MFR_NO_LOCK_NUT")</f>
        <v>MFR_NO_LOCK_NUT</v>
      </c>
      <c r="I10801" s="136"/>
      <c r="R10801" s="63" t="str">
        <f t="shared" si="60"/>
        <v>ZSI1_LOCK_NUTMFR_NO_LOCK_NUT</v>
      </c>
    </row>
    <row r="10802" ht="15.75" customHeight="1">
      <c r="B10802" s="63">
        <f t="shared" si="1"/>
        <v>13</v>
      </c>
      <c r="C10802" s="135" t="s">
        <v>318</v>
      </c>
      <c r="D10802" s="161" t="s">
        <v>74</v>
      </c>
      <c r="E10802" s="135">
        <f t="shared" si="62"/>
        <v>3</v>
      </c>
      <c r="F10802" s="134" t="s">
        <v>3782</v>
      </c>
      <c r="G10802" s="63" t="str">
        <f>VLOOKUP(C10802, 'Class Def. - General Data'!$C$20:$C$1000,1,false)</f>
        <v>ZSI1_LOCK_NUT</v>
      </c>
      <c r="H10802" s="63" t="str">
        <f>IFERROR(__xludf.DUMMYFUNCTION("VLOOKUP(F10802, IMPORTRANGE(""https://docs.google.com/spreadsheets/d/1Lhp9OU0JdFf_VYSMzH5lBcEaU4o8teT1piV-SNzShjg/edit?gid=554141278#gid=554141278"", ""'Char Def. - Attributes'!C20:C2242""), 1,false)"),"BRAND_EXTERNAL")</f>
        <v>BRAND_EXTERNAL</v>
      </c>
      <c r="I10802" s="136"/>
      <c r="R10802" s="63" t="str">
        <f t="shared" si="60"/>
        <v>ZSI1_LOCK_NUTBRAND_EXTERNAL</v>
      </c>
    </row>
    <row r="10803" ht="15.75" customHeight="1">
      <c r="B10803" s="63">
        <f t="shared" si="1"/>
        <v>13</v>
      </c>
      <c r="C10803" s="135" t="s">
        <v>318</v>
      </c>
      <c r="D10803" s="161" t="s">
        <v>74</v>
      </c>
      <c r="E10803" s="135">
        <f t="shared" si="62"/>
        <v>4</v>
      </c>
      <c r="F10803" s="134" t="s">
        <v>4062</v>
      </c>
      <c r="G10803" s="63" t="str">
        <f>VLOOKUP(C10803, 'Class Def. - General Data'!$C$20:$C$1000,1,false)</f>
        <v>ZSI1_LOCK_NUT</v>
      </c>
      <c r="H10803" s="63" t="str">
        <f>IFERROR(__xludf.DUMMYFUNCTION("VLOOKUP(F10803, IMPORTRANGE(""https://docs.google.com/spreadsheets/d/1Lhp9OU0JdFf_VYSMzH5lBcEaU4o8teT1piV-SNzShjg/edit?gid=554141278#gid=554141278"", ""'Char Def. - Attributes'!C20:C2242""), 1,false)"),"#N/A")</f>
        <v>#N/A</v>
      </c>
      <c r="I10803" s="136"/>
      <c r="R10803" s="63" t="str">
        <f t="shared" si="60"/>
        <v>ZSI1_LOCK_NUTADDTIONAL_SPECIFICATION</v>
      </c>
    </row>
    <row r="10804" ht="15.75" customHeight="1">
      <c r="B10804" s="63">
        <f t="shared" si="1"/>
        <v>13</v>
      </c>
      <c r="C10804" s="135" t="s">
        <v>318</v>
      </c>
      <c r="D10804" s="161" t="s">
        <v>74</v>
      </c>
      <c r="E10804" s="135">
        <f t="shared" si="62"/>
        <v>5</v>
      </c>
      <c r="F10804" s="134" t="s">
        <v>4053</v>
      </c>
      <c r="G10804" s="63" t="str">
        <f>VLOOKUP(C10804, 'Class Def. - General Data'!$C$20:$C$1000,1,false)</f>
        <v>ZSI1_LOCK_NUT</v>
      </c>
      <c r="H10804" s="63" t="str">
        <f>IFERROR(__xludf.DUMMYFUNCTION("VLOOKUP(F10804, IMPORTRANGE(""https://docs.google.com/spreadsheets/d/1Lhp9OU0JdFf_VYSMzH5lBcEaU4o8teT1piV-SNzShjg/edit?gid=554141278#gid=554141278"", ""'Char Def. - Attributes'!C20:C2242""), 1,false)"),"MAINTENANCE_ORDER_TYPE")</f>
        <v>MAINTENANCE_ORDER_TYPE</v>
      </c>
      <c r="I10804" s="136"/>
      <c r="R10804" s="63" t="str">
        <f t="shared" si="60"/>
        <v>ZSI1_LOCK_NUTMAINTENANCE_ORDER_TYPE</v>
      </c>
    </row>
    <row r="10805" ht="15.75" customHeight="1">
      <c r="B10805" s="63">
        <f t="shared" si="1"/>
        <v>13</v>
      </c>
      <c r="C10805" s="135" t="s">
        <v>318</v>
      </c>
      <c r="D10805" s="161" t="s">
        <v>74</v>
      </c>
      <c r="E10805" s="135">
        <f t="shared" si="62"/>
        <v>6</v>
      </c>
      <c r="F10805" s="134" t="s">
        <v>3585</v>
      </c>
      <c r="G10805" s="63" t="str">
        <f>VLOOKUP(C10805, 'Class Def. - General Data'!$C$20:$C$1000,1,false)</f>
        <v>ZSI1_LOCK_NUT</v>
      </c>
      <c r="H10805" s="63" t="str">
        <f>IFERROR(__xludf.DUMMYFUNCTION("VLOOKUP(F10805, IMPORTRANGE(""https://docs.google.com/spreadsheets/d/1Lhp9OU0JdFf_VYSMzH5lBcEaU4o8teT1piV-SNzShjg/edit?gid=554141278#gid=554141278"", ""'Char Def. - Attributes'!C20:C2242""), 1,false)"),"HS_CODE")</f>
        <v>HS_CODE</v>
      </c>
      <c r="I10805" s="136"/>
      <c r="R10805" s="63" t="str">
        <f t="shared" si="60"/>
        <v>ZSI1_LOCK_NUTHS_CODE</v>
      </c>
    </row>
    <row r="10806" ht="15.75" customHeight="1">
      <c r="B10806" s="63">
        <f t="shared" si="1"/>
        <v>13</v>
      </c>
      <c r="C10806" s="135" t="s">
        <v>318</v>
      </c>
      <c r="D10806" s="161" t="s">
        <v>74</v>
      </c>
      <c r="E10806" s="135">
        <f t="shared" si="62"/>
        <v>7</v>
      </c>
      <c r="F10806" s="134" t="s">
        <v>3587</v>
      </c>
      <c r="G10806" s="63" t="str">
        <f>VLOOKUP(C10806, 'Class Def. - General Data'!$C$20:$C$1000,1,false)</f>
        <v>ZSI1_LOCK_NUT</v>
      </c>
      <c r="H10806" s="63" t="str">
        <f>IFERROR(__xludf.DUMMYFUNCTION("VLOOKUP(F10806, IMPORTRANGE(""https://docs.google.com/spreadsheets/d/1Lhp9OU0JdFf_VYSMzH5lBcEaU4o8teT1piV-SNzShjg/edit?gid=554141278#gid=554141278"", ""'Char Def. - Attributes'!C20:C2242""), 1,false)"),"PLANT_BUY")</f>
        <v>PLANT_BUY</v>
      </c>
      <c r="I10806" s="136"/>
      <c r="R10806" s="63" t="str">
        <f t="shared" si="60"/>
        <v>ZSI1_LOCK_NUTPLANT_BUY</v>
      </c>
    </row>
    <row r="10807" ht="15.75" customHeight="1">
      <c r="B10807" s="63">
        <f t="shared" si="1"/>
        <v>13</v>
      </c>
      <c r="C10807" s="135" t="s">
        <v>318</v>
      </c>
      <c r="D10807" s="161" t="s">
        <v>74</v>
      </c>
      <c r="E10807" s="135">
        <f t="shared" si="62"/>
        <v>8</v>
      </c>
      <c r="F10807" s="134" t="s">
        <v>4819</v>
      </c>
      <c r="G10807" s="63" t="str">
        <f>VLOOKUP(C10807, 'Class Def. - General Data'!$C$20:$C$1000,1,false)</f>
        <v>ZSI1_LOCK_NUT</v>
      </c>
      <c r="H10807" s="63" t="str">
        <f>IFERROR(__xludf.DUMMYFUNCTION("VLOOKUP(F10807, IMPORTRANGE(""https://docs.google.com/spreadsheets/d/1Lhp9OU0JdFf_VYSMzH5lBcEaU4o8teT1piV-SNzShjg/edit?gid=554141278#gid=554141278"", ""'Char Def. - Attributes'!C20:C2242""), 1,false)"),"BASE_UOM_LOCK_NUT")</f>
        <v>BASE_UOM_LOCK_NUT</v>
      </c>
      <c r="I10807" s="136"/>
      <c r="R10807" s="63" t="str">
        <f t="shared" si="60"/>
        <v>ZSI1_LOCK_NUTBASE_UOM_LOCK_NUT</v>
      </c>
    </row>
    <row r="10808" ht="15.75" customHeight="1">
      <c r="B10808" s="63">
        <f t="shared" si="1"/>
        <v>13</v>
      </c>
      <c r="C10808" s="135" t="s">
        <v>318</v>
      </c>
      <c r="D10808" s="161" t="s">
        <v>74</v>
      </c>
      <c r="E10808" s="135">
        <f t="shared" si="62"/>
        <v>9</v>
      </c>
      <c r="F10808" s="134" t="s">
        <v>4820</v>
      </c>
      <c r="G10808" s="63" t="str">
        <f>VLOOKUP(C10808, 'Class Def. - General Data'!$C$20:$C$1000,1,false)</f>
        <v>ZSI1_LOCK_NUT</v>
      </c>
      <c r="H10808" s="63" t="str">
        <f>IFERROR(__xludf.DUMMYFUNCTION("VLOOKUP(F10808, IMPORTRANGE(""https://docs.google.com/spreadsheets/d/1Lhp9OU0JdFf_VYSMzH5lBcEaU4o8teT1piV-SNzShjg/edit?gid=554141278#gid=554141278"", ""'Char Def. - Attributes'!C20:C2242""), 1,false)"),"ORDER_UNIT_LOCK_NUT")</f>
        <v>ORDER_UNIT_LOCK_NUT</v>
      </c>
      <c r="I10808" s="136"/>
      <c r="R10808" s="63" t="str">
        <f t="shared" si="60"/>
        <v>ZSI1_LOCK_NUTORDER_UNIT_LOCK_NUT</v>
      </c>
    </row>
    <row r="10809" ht="15.75" customHeight="1">
      <c r="B10809" s="63">
        <f t="shared" si="1"/>
        <v>13</v>
      </c>
      <c r="C10809" s="135" t="s">
        <v>318</v>
      </c>
      <c r="D10809" s="161" t="s">
        <v>74</v>
      </c>
      <c r="E10809" s="135">
        <f t="shared" si="62"/>
        <v>10</v>
      </c>
      <c r="F10809" s="134" t="s">
        <v>4056</v>
      </c>
      <c r="G10809" s="63" t="str">
        <f>VLOOKUP(C10809, 'Class Def. - General Data'!$C$20:$C$1000,1,false)</f>
        <v>ZSI1_LOCK_NUT</v>
      </c>
      <c r="H10809" s="63" t="str">
        <f>IFERROR(__xludf.DUMMYFUNCTION("VLOOKUP(F10809, IMPORTRANGE(""https://docs.google.com/spreadsheets/d/1Lhp9OU0JdFf_VYSMzH5lBcEaU4o8teT1piV-SNzShjg/edit?gid=554141278#gid=554141278"", ""'Char Def. - Attributes'!C20:C2242""), 1,false)"),"GROSS_WEIGHT_OPT")</f>
        <v>GROSS_WEIGHT_OPT</v>
      </c>
      <c r="I10809" s="136"/>
      <c r="R10809" s="63" t="str">
        <f t="shared" si="60"/>
        <v>ZSI1_LOCK_NUTGROSS_WEIGHT_OPT</v>
      </c>
    </row>
    <row r="10810" ht="15.75" customHeight="1">
      <c r="B10810" s="63">
        <f t="shared" si="1"/>
        <v>13</v>
      </c>
      <c r="C10810" s="135" t="s">
        <v>318</v>
      </c>
      <c r="D10810" s="161" t="s">
        <v>74</v>
      </c>
      <c r="E10810" s="135">
        <f t="shared" si="62"/>
        <v>11</v>
      </c>
      <c r="F10810" s="134" t="s">
        <v>4057</v>
      </c>
      <c r="G10810" s="63" t="str">
        <f>VLOOKUP(C10810, 'Class Def. - General Data'!$C$20:$C$1000,1,false)</f>
        <v>ZSI1_LOCK_NUT</v>
      </c>
      <c r="H10810" s="63" t="str">
        <f>IFERROR(__xludf.DUMMYFUNCTION("VLOOKUP(F10810, IMPORTRANGE(""https://docs.google.com/spreadsheets/d/1Lhp9OU0JdFf_VYSMzH5lBcEaU4o8teT1piV-SNzShjg/edit?gid=554141278#gid=554141278"", ""'Char Def. - Attributes'!C20:C2242""), 1,false)"),"NET_WEIGHT_OPT")</f>
        <v>NET_WEIGHT_OPT</v>
      </c>
      <c r="I10810" s="136"/>
      <c r="R10810" s="63" t="str">
        <f t="shared" si="60"/>
        <v>ZSI1_LOCK_NUTNET_WEIGHT_OPT</v>
      </c>
    </row>
    <row r="10811" ht="15.75" customHeight="1">
      <c r="B10811" s="63">
        <f t="shared" si="1"/>
        <v>13</v>
      </c>
      <c r="C10811" s="135" t="s">
        <v>318</v>
      </c>
      <c r="D10811" s="161" t="s">
        <v>74</v>
      </c>
      <c r="E10811" s="135">
        <f t="shared" si="62"/>
        <v>12</v>
      </c>
      <c r="F10811" s="134" t="s">
        <v>4058</v>
      </c>
      <c r="G10811" s="63" t="str">
        <f>VLOOKUP(C10811, 'Class Def. - General Data'!$C$20:$C$1000,1,false)</f>
        <v>ZSI1_LOCK_NUT</v>
      </c>
      <c r="H10811" s="63" t="str">
        <f>IFERROR(__xludf.DUMMYFUNCTION("VLOOKUP(F10811, IMPORTRANGE(""https://docs.google.com/spreadsheets/d/1Lhp9OU0JdFf_VYSMzH5lBcEaU4o8teT1piV-SNzShjg/edit?gid=554141278#gid=554141278"", ""'Char Def. - Attributes'!C20:C2242""), 1,false)"),"WEIGHT_UNIT_SI")</f>
        <v>WEIGHT_UNIT_SI</v>
      </c>
      <c r="I10811" s="136"/>
      <c r="R10811" s="63" t="str">
        <f t="shared" si="60"/>
        <v>ZSI1_LOCK_NUTWEIGHT_UNIT_SI</v>
      </c>
    </row>
    <row r="10812" ht="15.75" customHeight="1">
      <c r="B10812" s="63">
        <f t="shared" si="1"/>
        <v>13</v>
      </c>
      <c r="C10812" s="135" t="s">
        <v>318</v>
      </c>
      <c r="D10812" s="161" t="s">
        <v>74</v>
      </c>
      <c r="E10812" s="135">
        <f t="shared" si="62"/>
        <v>13</v>
      </c>
      <c r="F10812" s="134" t="s">
        <v>3877</v>
      </c>
      <c r="G10812" s="63" t="str">
        <f>VLOOKUP(C10812, 'Class Def. - General Data'!$C$20:$C$1000,1,false)</f>
        <v>ZSI1_LOCK_NUT</v>
      </c>
      <c r="H10812" s="63" t="str">
        <f>IFERROR(__xludf.DUMMYFUNCTION("VLOOKUP(F10812, IMPORTRANGE(""https://docs.google.com/spreadsheets/d/1Lhp9OU0JdFf_VYSMzH5lBcEaU4o8teT1piV-SNzShjg/edit?gid=554141278#gid=554141278"", ""'Char Def. - Attributes'!C20:C2242""), 1,false)"),"VOLUME_OPT")</f>
        <v>VOLUME_OPT</v>
      </c>
      <c r="I10812" s="136"/>
      <c r="R10812" s="63" t="str">
        <f t="shared" si="60"/>
        <v>ZSI1_LOCK_NUTVOLUME_OPT</v>
      </c>
    </row>
    <row r="10813" ht="15.75" customHeight="1">
      <c r="B10813" s="63">
        <f t="shared" si="1"/>
        <v>13</v>
      </c>
      <c r="C10813" s="135" t="s">
        <v>318</v>
      </c>
      <c r="D10813" s="161" t="s">
        <v>74</v>
      </c>
      <c r="E10813" s="135">
        <f t="shared" si="62"/>
        <v>14</v>
      </c>
      <c r="F10813" s="134" t="s">
        <v>4059</v>
      </c>
      <c r="G10813" s="63" t="str">
        <f>VLOOKUP(C10813, 'Class Def. - General Data'!$C$20:$C$1000,1,false)</f>
        <v>ZSI1_LOCK_NUT</v>
      </c>
      <c r="H10813" s="63" t="str">
        <f>IFERROR(__xludf.DUMMYFUNCTION("VLOOKUP(F10813, IMPORTRANGE(""https://docs.google.com/spreadsheets/d/1Lhp9OU0JdFf_VYSMzH5lBcEaU4o8teT1piV-SNzShjg/edit?gid=554141278#gid=554141278"", ""'Char Def. - Attributes'!C20:C2242""), 1,false)"),"VOLUME_UNIT_SI")</f>
        <v>VOLUME_UNIT_SI</v>
      </c>
      <c r="I10813" s="136"/>
      <c r="R10813" s="63" t="str">
        <f t="shared" si="60"/>
        <v>ZSI1_LOCK_NUTVOLUME_UNIT_SI</v>
      </c>
    </row>
    <row r="10814" ht="15.75" customHeight="1">
      <c r="B10814" s="63">
        <f t="shared" si="1"/>
        <v>13</v>
      </c>
      <c r="C10814" s="135" t="s">
        <v>318</v>
      </c>
      <c r="D10814" s="161" t="s">
        <v>74</v>
      </c>
      <c r="E10814" s="135">
        <f t="shared" si="62"/>
        <v>15</v>
      </c>
      <c r="F10814" s="134" t="s">
        <v>3804</v>
      </c>
      <c r="G10814" s="63" t="str">
        <f>VLOOKUP(C10814, 'Class Def. - General Data'!$C$20:$C$1000,1,false)</f>
        <v>ZSI1_LOCK_NUT</v>
      </c>
      <c r="H10814" s="63" t="str">
        <f>IFERROR(__xludf.DUMMYFUNCTION("VLOOKUP(F10814, IMPORTRANGE(""https://docs.google.com/spreadsheets/d/1Lhp9OU0JdFf_VYSMzH5lBcEaU4o8teT1piV-SNzShjg/edit?gid=554141278#gid=554141278"", ""'Char Def. - Attributes'!C20:C2242""), 1,false)"),"ALT_UOM1_SIPI")</f>
        <v>ALT_UOM1_SIPI</v>
      </c>
      <c r="I10814" s="136"/>
      <c r="R10814" s="63" t="str">
        <f t="shared" si="60"/>
        <v>ZSI1_LOCK_NUTALT_UOM1_SIPI</v>
      </c>
    </row>
    <row r="10815" ht="15.75" customHeight="1">
      <c r="B10815" s="63">
        <f t="shared" si="1"/>
        <v>13</v>
      </c>
      <c r="C10815" s="135" t="s">
        <v>318</v>
      </c>
      <c r="D10815" s="161" t="s">
        <v>74</v>
      </c>
      <c r="E10815" s="135">
        <f t="shared" si="62"/>
        <v>16</v>
      </c>
      <c r="F10815" s="134" t="s">
        <v>3805</v>
      </c>
      <c r="G10815" s="63" t="str">
        <f>VLOOKUP(C10815, 'Class Def. - General Data'!$C$20:$C$1000,1,false)</f>
        <v>ZSI1_LOCK_NUT</v>
      </c>
      <c r="H10815" s="63" t="str">
        <f>IFERROR(__xludf.DUMMYFUNCTION("VLOOKUP(F10815, IMPORTRANGE(""https://docs.google.com/spreadsheets/d/1Lhp9OU0JdFf_VYSMzH5lBcEaU4o8teT1piV-SNzShjg/edit?gid=554141278#gid=554141278"", ""'Char Def. - Attributes'!C20:C2242""), 1,false)"),"ALT_DENUM_UOM1")</f>
        <v>ALT_DENUM_UOM1</v>
      </c>
      <c r="I10815" s="136"/>
      <c r="R10815" s="63" t="str">
        <f t="shared" si="60"/>
        <v>ZSI1_LOCK_NUTALT_DENUM_UOM1</v>
      </c>
    </row>
    <row r="10816" ht="15.75" customHeight="1">
      <c r="B10816" s="63">
        <f t="shared" si="1"/>
        <v>13</v>
      </c>
      <c r="C10816" s="135" t="s">
        <v>318</v>
      </c>
      <c r="D10816" s="161" t="s">
        <v>74</v>
      </c>
      <c r="E10816" s="135">
        <f t="shared" si="62"/>
        <v>17</v>
      </c>
      <c r="F10816" s="134" t="s">
        <v>3806</v>
      </c>
      <c r="G10816" s="63" t="str">
        <f>VLOOKUP(C10816, 'Class Def. - General Data'!$C$20:$C$1000,1,false)</f>
        <v>ZSI1_LOCK_NUT</v>
      </c>
      <c r="H10816" s="63" t="str">
        <f>IFERROR(__xludf.DUMMYFUNCTION("VLOOKUP(F10816, IMPORTRANGE(""https://docs.google.com/spreadsheets/d/1Lhp9OU0JdFf_VYSMzH5lBcEaU4o8teT1piV-SNzShjg/edit?gid=554141278#gid=554141278"", ""'Char Def. - Attributes'!C20:C2242""), 1,false)"),"ALT_NUM_UOM1")</f>
        <v>ALT_NUM_UOM1</v>
      </c>
      <c r="I10816" s="136"/>
      <c r="R10816" s="63" t="str">
        <f t="shared" si="60"/>
        <v>ZSI1_LOCK_NUTALT_NUM_UOM1</v>
      </c>
    </row>
    <row r="10817" ht="15.75" customHeight="1">
      <c r="B10817" s="63">
        <f t="shared" si="1"/>
        <v>13</v>
      </c>
      <c r="C10817" s="135" t="s">
        <v>318</v>
      </c>
      <c r="D10817" s="161" t="s">
        <v>74</v>
      </c>
      <c r="E10817" s="135">
        <f t="shared" si="62"/>
        <v>18</v>
      </c>
      <c r="F10817" s="134" t="s">
        <v>3807</v>
      </c>
      <c r="G10817" s="63" t="str">
        <f>VLOOKUP(C10817, 'Class Def. - General Data'!$C$20:$C$1000,1,false)</f>
        <v>ZSI1_LOCK_NUT</v>
      </c>
      <c r="H10817" s="63" t="str">
        <f>IFERROR(__xludf.DUMMYFUNCTION("VLOOKUP(F10817, IMPORTRANGE(""https://docs.google.com/spreadsheets/d/1Lhp9OU0JdFf_VYSMzH5lBcEaU4o8teT1piV-SNzShjg/edit?gid=554141278#gid=554141278"", ""'Char Def. - Attributes'!C20:C2242""), 1,false)"),"ALT_UOM2_SIPI")</f>
        <v>ALT_UOM2_SIPI</v>
      </c>
      <c r="I10817" s="136"/>
      <c r="R10817" s="63" t="str">
        <f t="shared" si="60"/>
        <v>ZSI1_LOCK_NUTALT_UOM2_SIPI</v>
      </c>
    </row>
    <row r="10818" ht="15.75" customHeight="1">
      <c r="B10818" s="63">
        <f t="shared" si="1"/>
        <v>13</v>
      </c>
      <c r="C10818" s="135" t="s">
        <v>318</v>
      </c>
      <c r="D10818" s="161" t="s">
        <v>74</v>
      </c>
      <c r="E10818" s="135">
        <f t="shared" si="62"/>
        <v>19</v>
      </c>
      <c r="F10818" s="134" t="s">
        <v>3808</v>
      </c>
      <c r="G10818" s="63" t="str">
        <f>VLOOKUP(C10818, 'Class Def. - General Data'!$C$20:$C$1000,1,false)</f>
        <v>ZSI1_LOCK_NUT</v>
      </c>
      <c r="H10818" s="63" t="str">
        <f>IFERROR(__xludf.DUMMYFUNCTION("VLOOKUP(F10818, IMPORTRANGE(""https://docs.google.com/spreadsheets/d/1Lhp9OU0JdFf_VYSMzH5lBcEaU4o8teT1piV-SNzShjg/edit?gid=554141278#gid=554141278"", ""'Char Def. - Attributes'!C20:C2242""), 1,false)"),"ALT_DENUM_UOM2")</f>
        <v>ALT_DENUM_UOM2</v>
      </c>
      <c r="I10818" s="136"/>
      <c r="R10818" s="63" t="str">
        <f t="shared" si="60"/>
        <v>ZSI1_LOCK_NUTALT_DENUM_UOM2</v>
      </c>
    </row>
    <row r="10819" ht="15.75" customHeight="1">
      <c r="B10819" s="63">
        <f t="shared" si="1"/>
        <v>13</v>
      </c>
      <c r="C10819" s="135" t="s">
        <v>318</v>
      </c>
      <c r="D10819" s="161" t="s">
        <v>74</v>
      </c>
      <c r="E10819" s="135">
        <f t="shared" si="62"/>
        <v>20</v>
      </c>
      <c r="F10819" s="134" t="s">
        <v>3809</v>
      </c>
      <c r="G10819" s="63" t="str">
        <f>VLOOKUP(C10819, 'Class Def. - General Data'!$C$20:$C$1000,1,false)</f>
        <v>ZSI1_LOCK_NUT</v>
      </c>
      <c r="H10819" s="63" t="str">
        <f>IFERROR(__xludf.DUMMYFUNCTION("VLOOKUP(F10819, IMPORTRANGE(""https://docs.google.com/spreadsheets/d/1Lhp9OU0JdFf_VYSMzH5lBcEaU4o8teT1piV-SNzShjg/edit?gid=554141278#gid=554141278"", ""'Char Def. - Attributes'!C20:C2242""), 1,false)"),"ALT_NUM_UOM2")</f>
        <v>ALT_NUM_UOM2</v>
      </c>
      <c r="I10819" s="136"/>
      <c r="R10819" s="63" t="str">
        <f t="shared" si="60"/>
        <v>ZSI1_LOCK_NUTALT_NUM_UOM2</v>
      </c>
    </row>
    <row r="10820" ht="15.75" customHeight="1">
      <c r="B10820" s="63">
        <f t="shared" si="1"/>
        <v>13</v>
      </c>
      <c r="C10820" s="135" t="s">
        <v>318</v>
      </c>
      <c r="D10820" s="161" t="s">
        <v>74</v>
      </c>
      <c r="E10820" s="135">
        <f t="shared" si="62"/>
        <v>21</v>
      </c>
      <c r="F10820" s="134" t="s">
        <v>3810</v>
      </c>
      <c r="G10820" s="63" t="str">
        <f>VLOOKUP(C10820, 'Class Def. - General Data'!$C$20:$C$1000,1,false)</f>
        <v>ZSI1_LOCK_NUT</v>
      </c>
      <c r="H10820" s="63" t="str">
        <f>IFERROR(__xludf.DUMMYFUNCTION("VLOOKUP(F10820, IMPORTRANGE(""https://docs.google.com/spreadsheets/d/1Lhp9OU0JdFf_VYSMzH5lBcEaU4o8teT1piV-SNzShjg/edit?gid=554141278#gid=554141278"", ""'Char Def. - Attributes'!C20:C2242""), 1,false)"),"ALT_UOM3_SIPI")</f>
        <v>ALT_UOM3_SIPI</v>
      </c>
      <c r="I10820" s="136"/>
      <c r="R10820" s="63" t="str">
        <f t="shared" si="60"/>
        <v>ZSI1_LOCK_NUTALT_UOM3_SIPI</v>
      </c>
    </row>
    <row r="10821" ht="15.75" customHeight="1">
      <c r="B10821" s="63">
        <f t="shared" si="1"/>
        <v>13</v>
      </c>
      <c r="C10821" s="135" t="s">
        <v>318</v>
      </c>
      <c r="D10821" s="161" t="s">
        <v>74</v>
      </c>
      <c r="E10821" s="135">
        <f t="shared" si="62"/>
        <v>22</v>
      </c>
      <c r="F10821" s="134" t="s">
        <v>3811</v>
      </c>
      <c r="G10821" s="63" t="str">
        <f>VLOOKUP(C10821, 'Class Def. - General Data'!$C$20:$C$1000,1,false)</f>
        <v>ZSI1_LOCK_NUT</v>
      </c>
      <c r="H10821" s="63" t="str">
        <f>IFERROR(__xludf.DUMMYFUNCTION("VLOOKUP(F10821, IMPORTRANGE(""https://docs.google.com/spreadsheets/d/1Lhp9OU0JdFf_VYSMzH5lBcEaU4o8teT1piV-SNzShjg/edit?gid=554141278#gid=554141278"", ""'Char Def. - Attributes'!C20:C2242""), 1,false)"),"ALT_DENUM_UOM3")</f>
        <v>ALT_DENUM_UOM3</v>
      </c>
      <c r="I10821" s="136"/>
      <c r="R10821" s="63" t="str">
        <f t="shared" si="60"/>
        <v>ZSI1_LOCK_NUTALT_DENUM_UOM3</v>
      </c>
    </row>
    <row r="10822" ht="15.75" customHeight="1">
      <c r="B10822" s="63">
        <f t="shared" si="1"/>
        <v>13</v>
      </c>
      <c r="C10822" s="135" t="s">
        <v>318</v>
      </c>
      <c r="D10822" s="161" t="s">
        <v>74</v>
      </c>
      <c r="E10822" s="135">
        <f t="shared" si="62"/>
        <v>23</v>
      </c>
      <c r="F10822" s="134" t="s">
        <v>3812</v>
      </c>
      <c r="G10822" s="63" t="str">
        <f>VLOOKUP(C10822, 'Class Def. - General Data'!$C$20:$C$1000,1,false)</f>
        <v>ZSI1_LOCK_NUT</v>
      </c>
      <c r="H10822" s="63" t="str">
        <f>IFERROR(__xludf.DUMMYFUNCTION("VLOOKUP(F10822, IMPORTRANGE(""https://docs.google.com/spreadsheets/d/1Lhp9OU0JdFf_VYSMzH5lBcEaU4o8teT1piV-SNzShjg/edit?gid=554141278#gid=554141278"", ""'Char Def. - Attributes'!C20:C2242""), 1,false)"),"ALT_NUM_UOM3")</f>
        <v>ALT_NUM_UOM3</v>
      </c>
      <c r="I10822" s="136"/>
      <c r="R10822" s="63" t="str">
        <f t="shared" si="60"/>
        <v>ZSI1_LOCK_NUTALT_NUM_UOM3</v>
      </c>
    </row>
    <row r="10823" ht="15.75" customHeight="1">
      <c r="B10823" s="63">
        <f t="shared" si="1"/>
        <v>13</v>
      </c>
      <c r="C10823" s="135" t="s">
        <v>318</v>
      </c>
      <c r="D10823" s="161" t="s">
        <v>74</v>
      </c>
      <c r="E10823" s="135">
        <f t="shared" si="62"/>
        <v>24</v>
      </c>
      <c r="F10823" s="134" t="s">
        <v>3813</v>
      </c>
      <c r="G10823" s="63" t="str">
        <f>VLOOKUP(C10823, 'Class Def. - General Data'!$C$20:$C$1000,1,false)</f>
        <v>ZSI1_LOCK_NUT</v>
      </c>
      <c r="H10823" s="63" t="str">
        <f>IFERROR(__xludf.DUMMYFUNCTION("VLOOKUP(F10823, IMPORTRANGE(""https://docs.google.com/spreadsheets/d/1Lhp9OU0JdFf_VYSMzH5lBcEaU4o8teT1piV-SNzShjg/edit?gid=554141278#gid=554141278"", ""'Char Def. - Attributes'!C20:C2242""), 1,false)"),"ALT_UOM4_SIPI")</f>
        <v>ALT_UOM4_SIPI</v>
      </c>
      <c r="I10823" s="136"/>
      <c r="R10823" s="63" t="str">
        <f t="shared" si="60"/>
        <v>ZSI1_LOCK_NUTALT_UOM4_SIPI</v>
      </c>
    </row>
    <row r="10824" ht="15.75" customHeight="1">
      <c r="B10824" s="63">
        <f t="shared" si="1"/>
        <v>13</v>
      </c>
      <c r="C10824" s="135" t="s">
        <v>318</v>
      </c>
      <c r="D10824" s="161" t="s">
        <v>74</v>
      </c>
      <c r="E10824" s="135">
        <f t="shared" si="62"/>
        <v>25</v>
      </c>
      <c r="F10824" s="134" t="s">
        <v>3814</v>
      </c>
      <c r="G10824" s="63" t="str">
        <f>VLOOKUP(C10824, 'Class Def. - General Data'!$C$20:$C$1000,1,false)</f>
        <v>ZSI1_LOCK_NUT</v>
      </c>
      <c r="H10824" s="63" t="str">
        <f>IFERROR(__xludf.DUMMYFUNCTION("VLOOKUP(F10824, IMPORTRANGE(""https://docs.google.com/spreadsheets/d/1Lhp9OU0JdFf_VYSMzH5lBcEaU4o8teT1piV-SNzShjg/edit?gid=554141278#gid=554141278"", ""'Char Def. - Attributes'!C20:C2242""), 1,false)"),"ALT_DENUM_UOM4")</f>
        <v>ALT_DENUM_UOM4</v>
      </c>
      <c r="I10824" s="136"/>
      <c r="R10824" s="63" t="str">
        <f t="shared" si="60"/>
        <v>ZSI1_LOCK_NUTALT_DENUM_UOM4</v>
      </c>
    </row>
    <row r="10825" ht="15.75" customHeight="1">
      <c r="B10825" s="63">
        <f t="shared" si="1"/>
        <v>13</v>
      </c>
      <c r="C10825" s="135" t="s">
        <v>318</v>
      </c>
      <c r="D10825" s="161" t="s">
        <v>74</v>
      </c>
      <c r="E10825" s="135">
        <f t="shared" si="62"/>
        <v>26</v>
      </c>
      <c r="F10825" s="134" t="s">
        <v>3815</v>
      </c>
      <c r="G10825" s="63" t="str">
        <f>VLOOKUP(C10825, 'Class Def. - General Data'!$C$20:$C$1000,1,false)</f>
        <v>ZSI1_LOCK_NUT</v>
      </c>
      <c r="H10825" s="63" t="str">
        <f>IFERROR(__xludf.DUMMYFUNCTION("VLOOKUP(F10825, IMPORTRANGE(""https://docs.google.com/spreadsheets/d/1Lhp9OU0JdFf_VYSMzH5lBcEaU4o8teT1piV-SNzShjg/edit?gid=554141278#gid=554141278"", ""'Char Def. - Attributes'!C20:C2242""), 1,false)"),"ALT_NUM_UOM4")</f>
        <v>ALT_NUM_UOM4</v>
      </c>
      <c r="I10825" s="136"/>
      <c r="R10825" s="63" t="str">
        <f t="shared" si="60"/>
        <v>ZSI1_LOCK_NUTALT_NUM_UOM4</v>
      </c>
    </row>
    <row r="10826" ht="15.75" customHeight="1">
      <c r="B10826" s="63">
        <f t="shared" si="1"/>
        <v>13</v>
      </c>
      <c r="C10826" s="135" t="s">
        <v>318</v>
      </c>
      <c r="D10826" s="161" t="s">
        <v>74</v>
      </c>
      <c r="E10826" s="135">
        <f t="shared" si="62"/>
        <v>27</v>
      </c>
      <c r="F10826" s="134" t="s">
        <v>3816</v>
      </c>
      <c r="G10826" s="63" t="str">
        <f>VLOOKUP(C10826, 'Class Def. - General Data'!$C$20:$C$1000,1,false)</f>
        <v>ZSI1_LOCK_NUT</v>
      </c>
      <c r="H10826" s="63" t="str">
        <f>IFERROR(__xludf.DUMMYFUNCTION("VLOOKUP(F10826, IMPORTRANGE(""https://docs.google.com/spreadsheets/d/1Lhp9OU0JdFf_VYSMzH5lBcEaU4o8teT1piV-SNzShjg/edit?gid=554141278#gid=554141278"", ""'Char Def. - Attributes'!C20:C2242""), 1,false)"),"ALT_UOM5_SIPI")</f>
        <v>ALT_UOM5_SIPI</v>
      </c>
      <c r="I10826" s="136"/>
      <c r="R10826" s="63" t="str">
        <f t="shared" si="60"/>
        <v>ZSI1_LOCK_NUTALT_UOM5_SIPI</v>
      </c>
    </row>
    <row r="10827" ht="15.75" customHeight="1">
      <c r="B10827" s="63">
        <f t="shared" si="1"/>
        <v>13</v>
      </c>
      <c r="C10827" s="135" t="s">
        <v>318</v>
      </c>
      <c r="D10827" s="161" t="s">
        <v>74</v>
      </c>
      <c r="E10827" s="135">
        <f t="shared" si="62"/>
        <v>28</v>
      </c>
      <c r="F10827" s="134" t="s">
        <v>3817</v>
      </c>
      <c r="G10827" s="63" t="str">
        <f>VLOOKUP(C10827, 'Class Def. - General Data'!$C$20:$C$1000,1,false)</f>
        <v>ZSI1_LOCK_NUT</v>
      </c>
      <c r="H10827" s="63" t="str">
        <f>IFERROR(__xludf.DUMMYFUNCTION("VLOOKUP(F10827, IMPORTRANGE(""https://docs.google.com/spreadsheets/d/1Lhp9OU0JdFf_VYSMzH5lBcEaU4o8teT1piV-SNzShjg/edit?gid=554141278#gid=554141278"", ""'Char Def. - Attributes'!C20:C2242""), 1,false)"),"ALT_DENUM_UOM5")</f>
        <v>ALT_DENUM_UOM5</v>
      </c>
      <c r="I10827" s="136"/>
      <c r="R10827" s="63" t="str">
        <f t="shared" si="60"/>
        <v>ZSI1_LOCK_NUTALT_DENUM_UOM5</v>
      </c>
    </row>
    <row r="10828" ht="15.75" customHeight="1">
      <c r="B10828" s="63">
        <f t="shared" si="1"/>
        <v>13</v>
      </c>
      <c r="C10828" s="135" t="s">
        <v>318</v>
      </c>
      <c r="D10828" s="161" t="s">
        <v>74</v>
      </c>
      <c r="E10828" s="135">
        <f t="shared" si="62"/>
        <v>29</v>
      </c>
      <c r="F10828" s="134" t="s">
        <v>3818</v>
      </c>
      <c r="G10828" s="63" t="str">
        <f>VLOOKUP(C10828, 'Class Def. - General Data'!$C$20:$C$1000,1,false)</f>
        <v>ZSI1_LOCK_NUT</v>
      </c>
      <c r="H10828" s="63" t="str">
        <f>IFERROR(__xludf.DUMMYFUNCTION("VLOOKUP(F10828, IMPORTRANGE(""https://docs.google.com/spreadsheets/d/1Lhp9OU0JdFf_VYSMzH5lBcEaU4o8teT1piV-SNzShjg/edit?gid=554141278#gid=554141278"", ""'Char Def. - Attributes'!C20:C2242""), 1,false)"),"ALT_NUM_UOM5")</f>
        <v>ALT_NUM_UOM5</v>
      </c>
      <c r="I10828" s="136"/>
      <c r="R10828" s="63" t="str">
        <f t="shared" si="60"/>
        <v>ZSI1_LOCK_NUTALT_NUM_UOM5</v>
      </c>
    </row>
    <row r="10829" ht="15.75" customHeight="1">
      <c r="B10829" s="63">
        <f t="shared" si="1"/>
        <v>17</v>
      </c>
      <c r="C10829" s="135" t="s">
        <v>416</v>
      </c>
      <c r="D10829" s="161" t="s">
        <v>74</v>
      </c>
      <c r="E10829" s="135">
        <f t="shared" si="62"/>
        <v>1</v>
      </c>
      <c r="F10829" s="134" t="s">
        <v>4821</v>
      </c>
      <c r="G10829" s="63" t="str">
        <f>VLOOKUP(C10829, 'Class Def. - General Data'!$C$20:$C$1000,1,false)</f>
        <v>ZSI1_LOGO_PROJECT</v>
      </c>
      <c r="H10829" s="63" t="str">
        <f>IFERROR(__xludf.DUMMYFUNCTION("VLOOKUP(F10829, IMPORTRANGE(""https://docs.google.com/spreadsheets/d/1Lhp9OU0JdFf_VYSMzH5lBcEaU4o8teT1piV-SNzShjg/edit?gid=554141278#gid=554141278"", ""'Char Def. - Attributes'!C20:C2242""), 1,false)"),"ITEM_NAME_LOGO_PROJECT")</f>
        <v>ITEM_NAME_LOGO_PROJECT</v>
      </c>
      <c r="I10829" s="136"/>
      <c r="R10829" s="63" t="str">
        <f t="shared" si="60"/>
        <v>ZSI1_LOGO_PROJECTITEM_NAME_LOGO_PROJECT</v>
      </c>
    </row>
    <row r="10830" ht="15.75" customHeight="1">
      <c r="B10830" s="63">
        <f t="shared" si="1"/>
        <v>17</v>
      </c>
      <c r="C10830" s="135" t="s">
        <v>416</v>
      </c>
      <c r="D10830" s="161" t="s">
        <v>74</v>
      </c>
      <c r="E10830" s="135">
        <f t="shared" si="62"/>
        <v>2</v>
      </c>
      <c r="F10830" s="134" t="s">
        <v>4062</v>
      </c>
      <c r="G10830" s="63" t="str">
        <f>VLOOKUP(C10830, 'Class Def. - General Data'!$C$20:$C$1000,1,false)</f>
        <v>ZSI1_LOGO_PROJECT</v>
      </c>
      <c r="H10830" s="63" t="str">
        <f>IFERROR(__xludf.DUMMYFUNCTION("VLOOKUP(F10830, IMPORTRANGE(""https://docs.google.com/spreadsheets/d/1Lhp9OU0JdFf_VYSMzH5lBcEaU4o8teT1piV-SNzShjg/edit?gid=554141278#gid=554141278"", ""'Char Def. - Attributes'!C20:C2242""), 1,false)"),"#N/A")</f>
        <v>#N/A</v>
      </c>
      <c r="I10830" s="136"/>
      <c r="R10830" s="63" t="str">
        <f t="shared" si="60"/>
        <v>ZSI1_LOGO_PROJECTADDTIONAL_SPECIFICATION</v>
      </c>
    </row>
    <row r="10831" ht="15.75" customHeight="1">
      <c r="B10831" s="63">
        <f t="shared" si="1"/>
        <v>17</v>
      </c>
      <c r="C10831" s="135" t="s">
        <v>416</v>
      </c>
      <c r="D10831" s="161" t="s">
        <v>74</v>
      </c>
      <c r="E10831" s="135">
        <f t="shared" si="62"/>
        <v>3</v>
      </c>
      <c r="F10831" s="134" t="s">
        <v>3585</v>
      </c>
      <c r="G10831" s="63" t="str">
        <f>VLOOKUP(C10831, 'Class Def. - General Data'!$C$20:$C$1000,1,false)</f>
        <v>ZSI1_LOGO_PROJECT</v>
      </c>
      <c r="H10831" s="63" t="str">
        <f>IFERROR(__xludf.DUMMYFUNCTION("VLOOKUP(F10831, IMPORTRANGE(""https://docs.google.com/spreadsheets/d/1Lhp9OU0JdFf_VYSMzH5lBcEaU4o8teT1piV-SNzShjg/edit?gid=554141278#gid=554141278"", ""'Char Def. - Attributes'!C20:C2242""), 1,false)"),"HS_CODE")</f>
        <v>HS_CODE</v>
      </c>
      <c r="I10831" s="136"/>
      <c r="R10831" s="63" t="str">
        <f t="shared" si="60"/>
        <v>ZSI1_LOGO_PROJECTHS_CODE</v>
      </c>
    </row>
    <row r="10832" ht="15.75" customHeight="1">
      <c r="B10832" s="63">
        <f t="shared" si="1"/>
        <v>17</v>
      </c>
      <c r="C10832" s="135" t="s">
        <v>416</v>
      </c>
      <c r="D10832" s="161" t="s">
        <v>74</v>
      </c>
      <c r="E10832" s="135">
        <f t="shared" si="62"/>
        <v>4</v>
      </c>
      <c r="F10832" s="134" t="s">
        <v>3587</v>
      </c>
      <c r="G10832" s="63" t="str">
        <f>VLOOKUP(C10832, 'Class Def. - General Data'!$C$20:$C$1000,1,false)</f>
        <v>ZSI1_LOGO_PROJECT</v>
      </c>
      <c r="H10832" s="63" t="str">
        <f>IFERROR(__xludf.DUMMYFUNCTION("VLOOKUP(F10832, IMPORTRANGE(""https://docs.google.com/spreadsheets/d/1Lhp9OU0JdFf_VYSMzH5lBcEaU4o8teT1piV-SNzShjg/edit?gid=554141278#gid=554141278"", ""'Char Def. - Attributes'!C20:C2242""), 1,false)"),"PLANT_BUY")</f>
        <v>PLANT_BUY</v>
      </c>
      <c r="I10832" s="136"/>
      <c r="R10832" s="63" t="str">
        <f t="shared" si="60"/>
        <v>ZSI1_LOGO_PROJECTPLANT_BUY</v>
      </c>
    </row>
    <row r="10833" ht="15.75" customHeight="1">
      <c r="B10833" s="63">
        <f t="shared" si="1"/>
        <v>17</v>
      </c>
      <c r="C10833" s="135" t="s">
        <v>416</v>
      </c>
      <c r="D10833" s="161" t="s">
        <v>74</v>
      </c>
      <c r="E10833" s="135">
        <f t="shared" si="62"/>
        <v>5</v>
      </c>
      <c r="F10833" s="134" t="s">
        <v>4822</v>
      </c>
      <c r="G10833" s="63" t="str">
        <f>VLOOKUP(C10833, 'Class Def. - General Data'!$C$20:$C$1000,1,false)</f>
        <v>ZSI1_LOGO_PROJECT</v>
      </c>
      <c r="H10833" s="63" t="str">
        <f>IFERROR(__xludf.DUMMYFUNCTION("VLOOKUP(F10833, IMPORTRANGE(""https://docs.google.com/spreadsheets/d/1Lhp9OU0JdFf_VYSMzH5lBcEaU4o8teT1piV-SNzShjg/edit?gid=554141278#gid=554141278"", ""'Char Def. - Attributes'!C20:C2242""), 1,false)"),"BASE_UOM_LOGO_PROJECT")</f>
        <v>BASE_UOM_LOGO_PROJECT</v>
      </c>
      <c r="I10833" s="136"/>
      <c r="R10833" s="63" t="str">
        <f t="shared" si="60"/>
        <v>ZSI1_LOGO_PROJECTBASE_UOM_LOGO_PROJECT</v>
      </c>
    </row>
    <row r="10834" ht="15.75" customHeight="1">
      <c r="B10834" s="63">
        <f t="shared" si="1"/>
        <v>17</v>
      </c>
      <c r="C10834" s="135" t="s">
        <v>416</v>
      </c>
      <c r="D10834" s="161" t="s">
        <v>74</v>
      </c>
      <c r="E10834" s="135">
        <f t="shared" si="62"/>
        <v>6</v>
      </c>
      <c r="F10834" s="134" t="s">
        <v>4823</v>
      </c>
      <c r="G10834" s="63" t="str">
        <f>VLOOKUP(C10834, 'Class Def. - General Data'!$C$20:$C$1000,1,false)</f>
        <v>ZSI1_LOGO_PROJECT</v>
      </c>
      <c r="H10834" s="63" t="str">
        <f>IFERROR(__xludf.DUMMYFUNCTION("VLOOKUP(F10834, IMPORTRANGE(""https://docs.google.com/spreadsheets/d/1Lhp9OU0JdFf_VYSMzH5lBcEaU4o8teT1piV-SNzShjg/edit?gid=554141278#gid=554141278"", ""'Char Def. - Attributes'!C20:C2242""), 1,false)"),"ORDER_UNIT_LOGO_PROJECT")</f>
        <v>ORDER_UNIT_LOGO_PROJECT</v>
      </c>
      <c r="I10834" s="136"/>
      <c r="R10834" s="63" t="str">
        <f t="shared" si="60"/>
        <v>ZSI1_LOGO_PROJECTORDER_UNIT_LOGO_PROJECT</v>
      </c>
    </row>
    <row r="10835" ht="15.75" customHeight="1">
      <c r="B10835" s="63">
        <f t="shared" si="1"/>
        <v>17</v>
      </c>
      <c r="C10835" s="135" t="s">
        <v>416</v>
      </c>
      <c r="D10835" s="161" t="s">
        <v>74</v>
      </c>
      <c r="E10835" s="135">
        <f t="shared" si="62"/>
        <v>7</v>
      </c>
      <c r="F10835" s="134" t="s">
        <v>4056</v>
      </c>
      <c r="G10835" s="63" t="str">
        <f>VLOOKUP(C10835, 'Class Def. - General Data'!$C$20:$C$1000,1,false)</f>
        <v>ZSI1_LOGO_PROJECT</v>
      </c>
      <c r="H10835" s="63" t="str">
        <f>IFERROR(__xludf.DUMMYFUNCTION("VLOOKUP(F10835, IMPORTRANGE(""https://docs.google.com/spreadsheets/d/1Lhp9OU0JdFf_VYSMzH5lBcEaU4o8teT1piV-SNzShjg/edit?gid=554141278#gid=554141278"", ""'Char Def. - Attributes'!C20:C2242""), 1,false)"),"GROSS_WEIGHT_OPT")</f>
        <v>GROSS_WEIGHT_OPT</v>
      </c>
      <c r="I10835" s="136"/>
      <c r="R10835" s="63" t="str">
        <f t="shared" si="60"/>
        <v>ZSI1_LOGO_PROJECTGROSS_WEIGHT_OPT</v>
      </c>
    </row>
    <row r="10836" ht="15.75" customHeight="1">
      <c r="B10836" s="63">
        <f t="shared" si="1"/>
        <v>17</v>
      </c>
      <c r="C10836" s="135" t="s">
        <v>416</v>
      </c>
      <c r="D10836" s="161" t="s">
        <v>74</v>
      </c>
      <c r="E10836" s="135">
        <f t="shared" si="62"/>
        <v>8</v>
      </c>
      <c r="F10836" s="134" t="s">
        <v>4057</v>
      </c>
      <c r="G10836" s="63" t="str">
        <f>VLOOKUP(C10836, 'Class Def. - General Data'!$C$20:$C$1000,1,false)</f>
        <v>ZSI1_LOGO_PROJECT</v>
      </c>
      <c r="H10836" s="63" t="str">
        <f>IFERROR(__xludf.DUMMYFUNCTION("VLOOKUP(F10836, IMPORTRANGE(""https://docs.google.com/spreadsheets/d/1Lhp9OU0JdFf_VYSMzH5lBcEaU4o8teT1piV-SNzShjg/edit?gid=554141278#gid=554141278"", ""'Char Def. - Attributes'!C20:C2242""), 1,false)"),"NET_WEIGHT_OPT")</f>
        <v>NET_WEIGHT_OPT</v>
      </c>
      <c r="I10836" s="136"/>
      <c r="R10836" s="63" t="str">
        <f t="shared" si="60"/>
        <v>ZSI1_LOGO_PROJECTNET_WEIGHT_OPT</v>
      </c>
    </row>
    <row r="10837" ht="15.75" customHeight="1">
      <c r="B10837" s="63">
        <f t="shared" si="1"/>
        <v>17</v>
      </c>
      <c r="C10837" s="135" t="s">
        <v>416</v>
      </c>
      <c r="D10837" s="161" t="s">
        <v>74</v>
      </c>
      <c r="E10837" s="135">
        <f t="shared" si="62"/>
        <v>9</v>
      </c>
      <c r="F10837" s="134" t="s">
        <v>4058</v>
      </c>
      <c r="G10837" s="63" t="str">
        <f>VLOOKUP(C10837, 'Class Def. - General Data'!$C$20:$C$1000,1,false)</f>
        <v>ZSI1_LOGO_PROJECT</v>
      </c>
      <c r="H10837" s="63" t="str">
        <f>IFERROR(__xludf.DUMMYFUNCTION("VLOOKUP(F10837, IMPORTRANGE(""https://docs.google.com/spreadsheets/d/1Lhp9OU0JdFf_VYSMzH5lBcEaU4o8teT1piV-SNzShjg/edit?gid=554141278#gid=554141278"", ""'Char Def. - Attributes'!C20:C2242""), 1,false)"),"WEIGHT_UNIT_SI")</f>
        <v>WEIGHT_UNIT_SI</v>
      </c>
      <c r="I10837" s="136"/>
      <c r="R10837" s="63" t="str">
        <f t="shared" si="60"/>
        <v>ZSI1_LOGO_PROJECTWEIGHT_UNIT_SI</v>
      </c>
    </row>
    <row r="10838" ht="15.75" customHeight="1">
      <c r="B10838" s="63">
        <f t="shared" si="1"/>
        <v>17</v>
      </c>
      <c r="C10838" s="135" t="s">
        <v>416</v>
      </c>
      <c r="D10838" s="161" t="s">
        <v>74</v>
      </c>
      <c r="E10838" s="135">
        <f t="shared" si="62"/>
        <v>10</v>
      </c>
      <c r="F10838" s="134" t="s">
        <v>3877</v>
      </c>
      <c r="G10838" s="63" t="str">
        <f>VLOOKUP(C10838, 'Class Def. - General Data'!$C$20:$C$1000,1,false)</f>
        <v>ZSI1_LOGO_PROJECT</v>
      </c>
      <c r="H10838" s="63" t="str">
        <f>IFERROR(__xludf.DUMMYFUNCTION("VLOOKUP(F10838, IMPORTRANGE(""https://docs.google.com/spreadsheets/d/1Lhp9OU0JdFf_VYSMzH5lBcEaU4o8teT1piV-SNzShjg/edit?gid=554141278#gid=554141278"", ""'Char Def. - Attributes'!C20:C2242""), 1,false)"),"VOLUME_OPT")</f>
        <v>VOLUME_OPT</v>
      </c>
      <c r="I10838" s="136"/>
      <c r="R10838" s="63" t="str">
        <f t="shared" si="60"/>
        <v>ZSI1_LOGO_PROJECTVOLUME_OPT</v>
      </c>
    </row>
    <row r="10839" ht="15.75" customHeight="1">
      <c r="B10839" s="63">
        <f t="shared" si="1"/>
        <v>17</v>
      </c>
      <c r="C10839" s="135" t="s">
        <v>416</v>
      </c>
      <c r="D10839" s="161" t="s">
        <v>74</v>
      </c>
      <c r="E10839" s="135">
        <f t="shared" si="62"/>
        <v>11</v>
      </c>
      <c r="F10839" s="134" t="s">
        <v>4059</v>
      </c>
      <c r="G10839" s="63" t="str">
        <f>VLOOKUP(C10839, 'Class Def. - General Data'!$C$20:$C$1000,1,false)</f>
        <v>ZSI1_LOGO_PROJECT</v>
      </c>
      <c r="H10839" s="63" t="str">
        <f>IFERROR(__xludf.DUMMYFUNCTION("VLOOKUP(F10839, IMPORTRANGE(""https://docs.google.com/spreadsheets/d/1Lhp9OU0JdFf_VYSMzH5lBcEaU4o8teT1piV-SNzShjg/edit?gid=554141278#gid=554141278"", ""'Char Def. - Attributes'!C20:C2242""), 1,false)"),"VOLUME_UNIT_SI")</f>
        <v>VOLUME_UNIT_SI</v>
      </c>
      <c r="I10839" s="136"/>
      <c r="R10839" s="63" t="str">
        <f t="shared" si="60"/>
        <v>ZSI1_LOGO_PROJECTVOLUME_UNIT_SI</v>
      </c>
    </row>
    <row r="10840" ht="15.75" customHeight="1">
      <c r="B10840" s="63">
        <f t="shared" si="1"/>
        <v>17</v>
      </c>
      <c r="C10840" s="135" t="s">
        <v>416</v>
      </c>
      <c r="D10840" s="161" t="s">
        <v>74</v>
      </c>
      <c r="E10840" s="135">
        <f t="shared" si="62"/>
        <v>12</v>
      </c>
      <c r="F10840" s="134" t="s">
        <v>3804</v>
      </c>
      <c r="G10840" s="63" t="str">
        <f>VLOOKUP(C10840, 'Class Def. - General Data'!$C$20:$C$1000,1,false)</f>
        <v>ZSI1_LOGO_PROJECT</v>
      </c>
      <c r="H10840" s="63" t="str">
        <f>IFERROR(__xludf.DUMMYFUNCTION("VLOOKUP(F10840, IMPORTRANGE(""https://docs.google.com/spreadsheets/d/1Lhp9OU0JdFf_VYSMzH5lBcEaU4o8teT1piV-SNzShjg/edit?gid=554141278#gid=554141278"", ""'Char Def. - Attributes'!C20:C2242""), 1,false)"),"ALT_UOM1_SIPI")</f>
        <v>ALT_UOM1_SIPI</v>
      </c>
      <c r="I10840" s="136"/>
      <c r="R10840" s="63" t="str">
        <f t="shared" si="60"/>
        <v>ZSI1_LOGO_PROJECTALT_UOM1_SIPI</v>
      </c>
    </row>
    <row r="10841" ht="15.75" customHeight="1">
      <c r="B10841" s="63">
        <f t="shared" si="1"/>
        <v>17</v>
      </c>
      <c r="C10841" s="135" t="s">
        <v>416</v>
      </c>
      <c r="D10841" s="161" t="s">
        <v>74</v>
      </c>
      <c r="E10841" s="135">
        <f t="shared" si="62"/>
        <v>13</v>
      </c>
      <c r="F10841" s="134" t="s">
        <v>3805</v>
      </c>
      <c r="G10841" s="63" t="str">
        <f>VLOOKUP(C10841, 'Class Def. - General Data'!$C$20:$C$1000,1,false)</f>
        <v>ZSI1_LOGO_PROJECT</v>
      </c>
      <c r="H10841" s="63" t="str">
        <f>IFERROR(__xludf.DUMMYFUNCTION("VLOOKUP(F10841, IMPORTRANGE(""https://docs.google.com/spreadsheets/d/1Lhp9OU0JdFf_VYSMzH5lBcEaU4o8teT1piV-SNzShjg/edit?gid=554141278#gid=554141278"", ""'Char Def. - Attributes'!C20:C2242""), 1,false)"),"ALT_DENUM_UOM1")</f>
        <v>ALT_DENUM_UOM1</v>
      </c>
      <c r="I10841" s="136"/>
      <c r="R10841" s="63" t="str">
        <f t="shared" si="60"/>
        <v>ZSI1_LOGO_PROJECTALT_DENUM_UOM1</v>
      </c>
    </row>
    <row r="10842" ht="15.75" customHeight="1">
      <c r="B10842" s="63">
        <f t="shared" si="1"/>
        <v>17</v>
      </c>
      <c r="C10842" s="135" t="s">
        <v>416</v>
      </c>
      <c r="D10842" s="161" t="s">
        <v>74</v>
      </c>
      <c r="E10842" s="135">
        <f t="shared" si="62"/>
        <v>14</v>
      </c>
      <c r="F10842" s="134" t="s">
        <v>3806</v>
      </c>
      <c r="G10842" s="63" t="str">
        <f>VLOOKUP(C10842, 'Class Def. - General Data'!$C$20:$C$1000,1,false)</f>
        <v>ZSI1_LOGO_PROJECT</v>
      </c>
      <c r="H10842" s="63" t="str">
        <f>IFERROR(__xludf.DUMMYFUNCTION("VLOOKUP(F10842, IMPORTRANGE(""https://docs.google.com/spreadsheets/d/1Lhp9OU0JdFf_VYSMzH5lBcEaU4o8teT1piV-SNzShjg/edit?gid=554141278#gid=554141278"", ""'Char Def. - Attributes'!C20:C2242""), 1,false)"),"ALT_NUM_UOM1")</f>
        <v>ALT_NUM_UOM1</v>
      </c>
      <c r="I10842" s="136"/>
      <c r="R10842" s="63" t="str">
        <f t="shared" si="60"/>
        <v>ZSI1_LOGO_PROJECTALT_NUM_UOM1</v>
      </c>
    </row>
    <row r="10843" ht="15.75" customHeight="1">
      <c r="B10843" s="63">
        <f t="shared" si="1"/>
        <v>17</v>
      </c>
      <c r="C10843" s="135" t="s">
        <v>416</v>
      </c>
      <c r="D10843" s="161" t="s">
        <v>74</v>
      </c>
      <c r="E10843" s="135">
        <f t="shared" si="62"/>
        <v>15</v>
      </c>
      <c r="F10843" s="134" t="s">
        <v>3807</v>
      </c>
      <c r="G10843" s="63" t="str">
        <f>VLOOKUP(C10843, 'Class Def. - General Data'!$C$20:$C$1000,1,false)</f>
        <v>ZSI1_LOGO_PROJECT</v>
      </c>
      <c r="H10843" s="63" t="str">
        <f>IFERROR(__xludf.DUMMYFUNCTION("VLOOKUP(F10843, IMPORTRANGE(""https://docs.google.com/spreadsheets/d/1Lhp9OU0JdFf_VYSMzH5lBcEaU4o8teT1piV-SNzShjg/edit?gid=554141278#gid=554141278"", ""'Char Def. - Attributes'!C20:C2242""), 1,false)"),"ALT_UOM2_SIPI")</f>
        <v>ALT_UOM2_SIPI</v>
      </c>
      <c r="I10843" s="136"/>
      <c r="R10843" s="63" t="str">
        <f t="shared" si="60"/>
        <v>ZSI1_LOGO_PROJECTALT_UOM2_SIPI</v>
      </c>
    </row>
    <row r="10844" ht="15.75" customHeight="1">
      <c r="B10844" s="63">
        <f t="shared" si="1"/>
        <v>17</v>
      </c>
      <c r="C10844" s="135" t="s">
        <v>416</v>
      </c>
      <c r="D10844" s="161" t="s">
        <v>74</v>
      </c>
      <c r="E10844" s="135">
        <f t="shared" si="62"/>
        <v>16</v>
      </c>
      <c r="F10844" s="134" t="s">
        <v>3808</v>
      </c>
      <c r="G10844" s="63" t="str">
        <f>VLOOKUP(C10844, 'Class Def. - General Data'!$C$20:$C$1000,1,false)</f>
        <v>ZSI1_LOGO_PROJECT</v>
      </c>
      <c r="H10844" s="63" t="str">
        <f>IFERROR(__xludf.DUMMYFUNCTION("VLOOKUP(F10844, IMPORTRANGE(""https://docs.google.com/spreadsheets/d/1Lhp9OU0JdFf_VYSMzH5lBcEaU4o8teT1piV-SNzShjg/edit?gid=554141278#gid=554141278"", ""'Char Def. - Attributes'!C20:C2242""), 1,false)"),"ALT_DENUM_UOM2")</f>
        <v>ALT_DENUM_UOM2</v>
      </c>
      <c r="I10844" s="136"/>
      <c r="R10844" s="63" t="str">
        <f t="shared" si="60"/>
        <v>ZSI1_LOGO_PROJECTALT_DENUM_UOM2</v>
      </c>
    </row>
    <row r="10845" ht="15.75" customHeight="1">
      <c r="B10845" s="63">
        <f t="shared" si="1"/>
        <v>17</v>
      </c>
      <c r="C10845" s="135" t="s">
        <v>416</v>
      </c>
      <c r="D10845" s="161" t="s">
        <v>74</v>
      </c>
      <c r="E10845" s="135">
        <f t="shared" si="62"/>
        <v>17</v>
      </c>
      <c r="F10845" s="134" t="s">
        <v>3809</v>
      </c>
      <c r="G10845" s="63" t="str">
        <f>VLOOKUP(C10845, 'Class Def. - General Data'!$C$20:$C$1000,1,false)</f>
        <v>ZSI1_LOGO_PROJECT</v>
      </c>
      <c r="H10845" s="63" t="str">
        <f>IFERROR(__xludf.DUMMYFUNCTION("VLOOKUP(F10845, IMPORTRANGE(""https://docs.google.com/spreadsheets/d/1Lhp9OU0JdFf_VYSMzH5lBcEaU4o8teT1piV-SNzShjg/edit?gid=554141278#gid=554141278"", ""'Char Def. - Attributes'!C20:C2242""), 1,false)"),"ALT_NUM_UOM2")</f>
        <v>ALT_NUM_UOM2</v>
      </c>
      <c r="I10845" s="136"/>
      <c r="R10845" s="63" t="str">
        <f t="shared" si="60"/>
        <v>ZSI1_LOGO_PROJECTALT_NUM_UOM2</v>
      </c>
    </row>
    <row r="10846" ht="15.75" customHeight="1">
      <c r="B10846" s="63">
        <f t="shared" si="1"/>
        <v>17</v>
      </c>
      <c r="C10846" s="135" t="s">
        <v>416</v>
      </c>
      <c r="D10846" s="161" t="s">
        <v>74</v>
      </c>
      <c r="E10846" s="135">
        <f t="shared" si="62"/>
        <v>18</v>
      </c>
      <c r="F10846" s="134" t="s">
        <v>3810</v>
      </c>
      <c r="G10846" s="63" t="str">
        <f>VLOOKUP(C10846, 'Class Def. - General Data'!$C$20:$C$1000,1,false)</f>
        <v>ZSI1_LOGO_PROJECT</v>
      </c>
      <c r="H10846" s="63" t="str">
        <f>IFERROR(__xludf.DUMMYFUNCTION("VLOOKUP(F10846, IMPORTRANGE(""https://docs.google.com/spreadsheets/d/1Lhp9OU0JdFf_VYSMzH5lBcEaU4o8teT1piV-SNzShjg/edit?gid=554141278#gid=554141278"", ""'Char Def. - Attributes'!C20:C2242""), 1,false)"),"ALT_UOM3_SIPI")</f>
        <v>ALT_UOM3_SIPI</v>
      </c>
      <c r="I10846" s="136"/>
      <c r="R10846" s="63" t="str">
        <f t="shared" si="60"/>
        <v>ZSI1_LOGO_PROJECTALT_UOM3_SIPI</v>
      </c>
    </row>
    <row r="10847" ht="15.75" customHeight="1">
      <c r="B10847" s="63">
        <f t="shared" si="1"/>
        <v>17</v>
      </c>
      <c r="C10847" s="135" t="s">
        <v>416</v>
      </c>
      <c r="D10847" s="161" t="s">
        <v>74</v>
      </c>
      <c r="E10847" s="135">
        <f t="shared" si="62"/>
        <v>19</v>
      </c>
      <c r="F10847" s="134" t="s">
        <v>3811</v>
      </c>
      <c r="G10847" s="63" t="str">
        <f>VLOOKUP(C10847, 'Class Def. - General Data'!$C$20:$C$1000,1,false)</f>
        <v>ZSI1_LOGO_PROJECT</v>
      </c>
      <c r="H10847" s="63" t="str">
        <f>IFERROR(__xludf.DUMMYFUNCTION("VLOOKUP(F10847, IMPORTRANGE(""https://docs.google.com/spreadsheets/d/1Lhp9OU0JdFf_VYSMzH5lBcEaU4o8teT1piV-SNzShjg/edit?gid=554141278#gid=554141278"", ""'Char Def. - Attributes'!C20:C2242""), 1,false)"),"ALT_DENUM_UOM3")</f>
        <v>ALT_DENUM_UOM3</v>
      </c>
      <c r="I10847" s="136"/>
      <c r="R10847" s="63" t="str">
        <f t="shared" si="60"/>
        <v>ZSI1_LOGO_PROJECTALT_DENUM_UOM3</v>
      </c>
    </row>
    <row r="10848" ht="15.75" customHeight="1">
      <c r="B10848" s="63">
        <f t="shared" si="1"/>
        <v>17</v>
      </c>
      <c r="C10848" s="135" t="s">
        <v>416</v>
      </c>
      <c r="D10848" s="161" t="s">
        <v>74</v>
      </c>
      <c r="E10848" s="135">
        <f t="shared" si="62"/>
        <v>20</v>
      </c>
      <c r="F10848" s="134" t="s">
        <v>3812</v>
      </c>
      <c r="G10848" s="63" t="str">
        <f>VLOOKUP(C10848, 'Class Def. - General Data'!$C$20:$C$1000,1,false)</f>
        <v>ZSI1_LOGO_PROJECT</v>
      </c>
      <c r="H10848" s="63" t="str">
        <f>IFERROR(__xludf.DUMMYFUNCTION("VLOOKUP(F10848, IMPORTRANGE(""https://docs.google.com/spreadsheets/d/1Lhp9OU0JdFf_VYSMzH5lBcEaU4o8teT1piV-SNzShjg/edit?gid=554141278#gid=554141278"", ""'Char Def. - Attributes'!C20:C2242""), 1,false)"),"ALT_NUM_UOM3")</f>
        <v>ALT_NUM_UOM3</v>
      </c>
      <c r="I10848" s="136"/>
      <c r="R10848" s="63" t="str">
        <f t="shared" si="60"/>
        <v>ZSI1_LOGO_PROJECTALT_NUM_UOM3</v>
      </c>
    </row>
    <row r="10849" ht="15.75" customHeight="1">
      <c r="B10849" s="63">
        <f t="shared" si="1"/>
        <v>17</v>
      </c>
      <c r="C10849" s="135" t="s">
        <v>416</v>
      </c>
      <c r="D10849" s="161" t="s">
        <v>74</v>
      </c>
      <c r="E10849" s="135">
        <f t="shared" si="62"/>
        <v>21</v>
      </c>
      <c r="F10849" s="134" t="s">
        <v>3813</v>
      </c>
      <c r="G10849" s="63" t="str">
        <f>VLOOKUP(C10849, 'Class Def. - General Data'!$C$20:$C$1000,1,false)</f>
        <v>ZSI1_LOGO_PROJECT</v>
      </c>
      <c r="H10849" s="63" t="str">
        <f>IFERROR(__xludf.DUMMYFUNCTION("VLOOKUP(F10849, IMPORTRANGE(""https://docs.google.com/spreadsheets/d/1Lhp9OU0JdFf_VYSMzH5lBcEaU4o8teT1piV-SNzShjg/edit?gid=554141278#gid=554141278"", ""'Char Def. - Attributes'!C20:C2242""), 1,false)"),"ALT_UOM4_SIPI")</f>
        <v>ALT_UOM4_SIPI</v>
      </c>
      <c r="I10849" s="136"/>
      <c r="R10849" s="63" t="str">
        <f t="shared" si="60"/>
        <v>ZSI1_LOGO_PROJECTALT_UOM4_SIPI</v>
      </c>
    </row>
    <row r="10850" ht="15.75" customHeight="1">
      <c r="B10850" s="63">
        <f t="shared" si="1"/>
        <v>17</v>
      </c>
      <c r="C10850" s="135" t="s">
        <v>416</v>
      </c>
      <c r="D10850" s="161" t="s">
        <v>74</v>
      </c>
      <c r="E10850" s="135">
        <f t="shared" si="62"/>
        <v>22</v>
      </c>
      <c r="F10850" s="134" t="s">
        <v>3814</v>
      </c>
      <c r="G10850" s="63" t="str">
        <f>VLOOKUP(C10850, 'Class Def. - General Data'!$C$20:$C$1000,1,false)</f>
        <v>ZSI1_LOGO_PROJECT</v>
      </c>
      <c r="H10850" s="63" t="str">
        <f>IFERROR(__xludf.DUMMYFUNCTION("VLOOKUP(F10850, IMPORTRANGE(""https://docs.google.com/spreadsheets/d/1Lhp9OU0JdFf_VYSMzH5lBcEaU4o8teT1piV-SNzShjg/edit?gid=554141278#gid=554141278"", ""'Char Def. - Attributes'!C20:C2242""), 1,false)"),"ALT_DENUM_UOM4")</f>
        <v>ALT_DENUM_UOM4</v>
      </c>
      <c r="I10850" s="136"/>
      <c r="R10850" s="63" t="str">
        <f t="shared" si="60"/>
        <v>ZSI1_LOGO_PROJECTALT_DENUM_UOM4</v>
      </c>
    </row>
    <row r="10851" ht="15.75" customHeight="1">
      <c r="B10851" s="63">
        <f t="shared" si="1"/>
        <v>17</v>
      </c>
      <c r="C10851" s="135" t="s">
        <v>416</v>
      </c>
      <c r="D10851" s="161" t="s">
        <v>74</v>
      </c>
      <c r="E10851" s="135">
        <f t="shared" si="62"/>
        <v>23</v>
      </c>
      <c r="F10851" s="134" t="s">
        <v>3815</v>
      </c>
      <c r="G10851" s="63" t="str">
        <f>VLOOKUP(C10851, 'Class Def. - General Data'!$C$20:$C$1000,1,false)</f>
        <v>ZSI1_LOGO_PROJECT</v>
      </c>
      <c r="H10851" s="63" t="str">
        <f>IFERROR(__xludf.DUMMYFUNCTION("VLOOKUP(F10851, IMPORTRANGE(""https://docs.google.com/spreadsheets/d/1Lhp9OU0JdFf_VYSMzH5lBcEaU4o8teT1piV-SNzShjg/edit?gid=554141278#gid=554141278"", ""'Char Def. - Attributes'!C20:C2242""), 1,false)"),"ALT_NUM_UOM4")</f>
        <v>ALT_NUM_UOM4</v>
      </c>
      <c r="I10851" s="136"/>
      <c r="R10851" s="63" t="str">
        <f t="shared" si="60"/>
        <v>ZSI1_LOGO_PROJECTALT_NUM_UOM4</v>
      </c>
    </row>
    <row r="10852" ht="15.75" customHeight="1">
      <c r="B10852" s="63">
        <f t="shared" si="1"/>
        <v>17</v>
      </c>
      <c r="C10852" s="135" t="s">
        <v>416</v>
      </c>
      <c r="D10852" s="161" t="s">
        <v>74</v>
      </c>
      <c r="E10852" s="135">
        <f t="shared" si="62"/>
        <v>24</v>
      </c>
      <c r="F10852" s="134" t="s">
        <v>3816</v>
      </c>
      <c r="G10852" s="63" t="str">
        <f>VLOOKUP(C10852, 'Class Def. - General Data'!$C$20:$C$1000,1,false)</f>
        <v>ZSI1_LOGO_PROJECT</v>
      </c>
      <c r="H10852" s="63" t="str">
        <f>IFERROR(__xludf.DUMMYFUNCTION("VLOOKUP(F10852, IMPORTRANGE(""https://docs.google.com/spreadsheets/d/1Lhp9OU0JdFf_VYSMzH5lBcEaU4o8teT1piV-SNzShjg/edit?gid=554141278#gid=554141278"", ""'Char Def. - Attributes'!C20:C2242""), 1,false)"),"ALT_UOM5_SIPI")</f>
        <v>ALT_UOM5_SIPI</v>
      </c>
      <c r="I10852" s="136"/>
      <c r="R10852" s="63" t="str">
        <f t="shared" si="60"/>
        <v>ZSI1_LOGO_PROJECTALT_UOM5_SIPI</v>
      </c>
    </row>
    <row r="10853" ht="15.75" customHeight="1">
      <c r="B10853" s="63">
        <f t="shared" si="1"/>
        <v>17</v>
      </c>
      <c r="C10853" s="135" t="s">
        <v>416</v>
      </c>
      <c r="D10853" s="161" t="s">
        <v>74</v>
      </c>
      <c r="E10853" s="135">
        <f t="shared" si="62"/>
        <v>25</v>
      </c>
      <c r="F10853" s="134" t="s">
        <v>3817</v>
      </c>
      <c r="G10853" s="63" t="str">
        <f>VLOOKUP(C10853, 'Class Def. - General Data'!$C$20:$C$1000,1,false)</f>
        <v>ZSI1_LOGO_PROJECT</v>
      </c>
      <c r="H10853" s="63" t="str">
        <f>IFERROR(__xludf.DUMMYFUNCTION("VLOOKUP(F10853, IMPORTRANGE(""https://docs.google.com/spreadsheets/d/1Lhp9OU0JdFf_VYSMzH5lBcEaU4o8teT1piV-SNzShjg/edit?gid=554141278#gid=554141278"", ""'Char Def. - Attributes'!C20:C2242""), 1,false)"),"ALT_DENUM_UOM5")</f>
        <v>ALT_DENUM_UOM5</v>
      </c>
      <c r="I10853" s="136"/>
      <c r="R10853" s="63" t="str">
        <f t="shared" si="60"/>
        <v>ZSI1_LOGO_PROJECTALT_DENUM_UOM5</v>
      </c>
    </row>
    <row r="10854" ht="15.75" customHeight="1">
      <c r="B10854" s="63">
        <f t="shared" si="1"/>
        <v>17</v>
      </c>
      <c r="C10854" s="135" t="s">
        <v>416</v>
      </c>
      <c r="D10854" s="161" t="s">
        <v>74</v>
      </c>
      <c r="E10854" s="135">
        <f t="shared" si="62"/>
        <v>26</v>
      </c>
      <c r="F10854" s="134" t="s">
        <v>3818</v>
      </c>
      <c r="G10854" s="63" t="str">
        <f>VLOOKUP(C10854, 'Class Def. - General Data'!$C$20:$C$1000,1,false)</f>
        <v>ZSI1_LOGO_PROJECT</v>
      </c>
      <c r="H10854" s="63" t="str">
        <f>IFERROR(__xludf.DUMMYFUNCTION("VLOOKUP(F10854, IMPORTRANGE(""https://docs.google.com/spreadsheets/d/1Lhp9OU0JdFf_VYSMzH5lBcEaU4o8teT1piV-SNzShjg/edit?gid=554141278#gid=554141278"", ""'Char Def. - Attributes'!C20:C2242""), 1,false)"),"ALT_NUM_UOM5")</f>
        <v>ALT_NUM_UOM5</v>
      </c>
      <c r="I10854" s="136"/>
      <c r="R10854" s="63" t="str">
        <f t="shared" si="60"/>
        <v>ZSI1_LOGO_PROJECTALT_NUM_UOM5</v>
      </c>
    </row>
    <row r="10855" ht="15.75" customHeight="1">
      <c r="B10855" s="63">
        <f t="shared" si="1"/>
        <v>12</v>
      </c>
      <c r="C10855" s="135" t="s">
        <v>309</v>
      </c>
      <c r="D10855" s="161" t="s">
        <v>74</v>
      </c>
      <c r="E10855" s="135">
        <f t="shared" si="62"/>
        <v>1</v>
      </c>
      <c r="F10855" s="134" t="s">
        <v>4824</v>
      </c>
      <c r="G10855" s="63" t="str">
        <f>VLOOKUP(C10855, 'Class Def. - General Data'!$C$20:$C$1000,1,false)</f>
        <v>ZSI1_LUB_OIL</v>
      </c>
      <c r="H10855" s="63" t="str">
        <f>IFERROR(__xludf.DUMMYFUNCTION("VLOOKUP(F10855, IMPORTRANGE(""https://docs.google.com/spreadsheets/d/1Lhp9OU0JdFf_VYSMzH5lBcEaU4o8teT1piV-SNzShjg/edit?gid=554141278#gid=554141278"", ""'Char Def. - Attributes'!C20:C2242""), 1,false)"),"ITEM_NAME_LUB_OIL")</f>
        <v>ITEM_NAME_LUB_OIL</v>
      </c>
      <c r="I10855" s="136"/>
      <c r="R10855" s="63" t="str">
        <f t="shared" si="60"/>
        <v>ZSI1_LUB_OILITEM_NAME_LUB_OIL</v>
      </c>
    </row>
    <row r="10856" ht="15.75" customHeight="1">
      <c r="B10856" s="63">
        <f t="shared" si="1"/>
        <v>12</v>
      </c>
      <c r="C10856" s="135" t="s">
        <v>309</v>
      </c>
      <c r="D10856" s="161" t="s">
        <v>74</v>
      </c>
      <c r="E10856" s="135">
        <f t="shared" si="62"/>
        <v>2</v>
      </c>
      <c r="F10856" s="134" t="s">
        <v>4825</v>
      </c>
      <c r="G10856" s="63" t="str">
        <f>VLOOKUP(C10856, 'Class Def. - General Data'!$C$20:$C$1000,1,false)</f>
        <v>ZSI1_LUB_OIL</v>
      </c>
      <c r="H10856" s="63" t="str">
        <f>IFERROR(__xludf.DUMMYFUNCTION("VLOOKUP(F10856, IMPORTRANGE(""https://docs.google.com/spreadsheets/d/1Lhp9OU0JdFf_VYSMzH5lBcEaU4o8teT1piV-SNzShjg/edit?gid=554141278#gid=554141278"", ""'Char Def. - Attributes'!C20:C2242""), 1,false)"),"MFR_NO_LUB_OIL")</f>
        <v>MFR_NO_LUB_OIL</v>
      </c>
      <c r="I10856" s="136"/>
      <c r="R10856" s="63" t="str">
        <f t="shared" si="60"/>
        <v>ZSI1_LUB_OILMFR_NO_LUB_OIL</v>
      </c>
    </row>
    <row r="10857" ht="15.75" customHeight="1">
      <c r="B10857" s="63">
        <f t="shared" si="1"/>
        <v>12</v>
      </c>
      <c r="C10857" s="135" t="s">
        <v>309</v>
      </c>
      <c r="D10857" s="161" t="s">
        <v>74</v>
      </c>
      <c r="E10857" s="135">
        <f t="shared" si="62"/>
        <v>3</v>
      </c>
      <c r="F10857" s="134" t="s">
        <v>3782</v>
      </c>
      <c r="G10857" s="63" t="str">
        <f>VLOOKUP(C10857, 'Class Def. - General Data'!$C$20:$C$1000,1,false)</f>
        <v>ZSI1_LUB_OIL</v>
      </c>
      <c r="H10857" s="63" t="str">
        <f>IFERROR(__xludf.DUMMYFUNCTION("VLOOKUP(F10857, IMPORTRANGE(""https://docs.google.com/spreadsheets/d/1Lhp9OU0JdFf_VYSMzH5lBcEaU4o8teT1piV-SNzShjg/edit?gid=554141278#gid=554141278"", ""'Char Def. - Attributes'!C20:C2242""), 1,false)"),"BRAND_EXTERNAL")</f>
        <v>BRAND_EXTERNAL</v>
      </c>
      <c r="I10857" s="136"/>
      <c r="R10857" s="63" t="str">
        <f t="shared" si="60"/>
        <v>ZSI1_LUB_OILBRAND_EXTERNAL</v>
      </c>
    </row>
    <row r="10858" ht="15.75" customHeight="1">
      <c r="B10858" s="63">
        <f t="shared" si="1"/>
        <v>12</v>
      </c>
      <c r="C10858" s="135" t="s">
        <v>309</v>
      </c>
      <c r="D10858" s="161" t="s">
        <v>74</v>
      </c>
      <c r="E10858" s="135">
        <f t="shared" si="62"/>
        <v>4</v>
      </c>
      <c r="F10858" s="134" t="s">
        <v>4826</v>
      </c>
      <c r="G10858" s="63" t="str">
        <f>VLOOKUP(C10858, 'Class Def. - General Data'!$C$20:$C$1000,1,false)</f>
        <v>ZSI1_LUB_OIL</v>
      </c>
      <c r="H10858" s="63" t="str">
        <f>IFERROR(__xludf.DUMMYFUNCTION("VLOOKUP(F10858, IMPORTRANGE(""https://docs.google.com/spreadsheets/d/1Lhp9OU0JdFf_VYSMzH5lBcEaU4o8teT1piV-SNzShjg/edit?gid=554141278#gid=554141278"", ""'Char Def. - Attributes'!C20:C2242""), 1,false)"),"SIZE_L_LUB_OIL")</f>
        <v>SIZE_L_LUB_OIL</v>
      </c>
      <c r="I10858" s="136"/>
      <c r="R10858" s="63" t="str">
        <f t="shared" si="60"/>
        <v>ZSI1_LUB_OILSIZE_L_LUB_OIL</v>
      </c>
    </row>
    <row r="10859" ht="15.75" customHeight="1">
      <c r="B10859" s="63">
        <f t="shared" si="1"/>
        <v>12</v>
      </c>
      <c r="C10859" s="135" t="s">
        <v>309</v>
      </c>
      <c r="D10859" s="161" t="s">
        <v>74</v>
      </c>
      <c r="E10859" s="135">
        <f t="shared" si="62"/>
        <v>5</v>
      </c>
      <c r="F10859" s="134" t="s">
        <v>4062</v>
      </c>
      <c r="G10859" s="63" t="str">
        <f>VLOOKUP(C10859, 'Class Def. - General Data'!$C$20:$C$1000,1,false)</f>
        <v>ZSI1_LUB_OIL</v>
      </c>
      <c r="H10859" s="63" t="str">
        <f>IFERROR(__xludf.DUMMYFUNCTION("VLOOKUP(F10859, IMPORTRANGE(""https://docs.google.com/spreadsheets/d/1Lhp9OU0JdFf_VYSMzH5lBcEaU4o8teT1piV-SNzShjg/edit?gid=554141278#gid=554141278"", ""'Char Def. - Attributes'!C20:C2242""), 1,false)"),"#N/A")</f>
        <v>#N/A</v>
      </c>
      <c r="I10859" s="136"/>
      <c r="R10859" s="63" t="str">
        <f t="shared" si="60"/>
        <v>ZSI1_LUB_OILADDTIONAL_SPECIFICATION</v>
      </c>
    </row>
    <row r="10860" ht="15.75" customHeight="1">
      <c r="B10860" s="63">
        <f t="shared" si="1"/>
        <v>12</v>
      </c>
      <c r="C10860" s="135" t="s">
        <v>309</v>
      </c>
      <c r="D10860" s="161" t="s">
        <v>74</v>
      </c>
      <c r="E10860" s="135">
        <f t="shared" si="62"/>
        <v>6</v>
      </c>
      <c r="F10860" s="134" t="s">
        <v>4053</v>
      </c>
      <c r="G10860" s="63" t="str">
        <f>VLOOKUP(C10860, 'Class Def. - General Data'!$C$20:$C$1000,1,false)</f>
        <v>ZSI1_LUB_OIL</v>
      </c>
      <c r="H10860" s="63" t="str">
        <f>IFERROR(__xludf.DUMMYFUNCTION("VLOOKUP(F10860, IMPORTRANGE(""https://docs.google.com/spreadsheets/d/1Lhp9OU0JdFf_VYSMzH5lBcEaU4o8teT1piV-SNzShjg/edit?gid=554141278#gid=554141278"", ""'Char Def. - Attributes'!C20:C2242""), 1,false)"),"MAINTENANCE_ORDER_TYPE")</f>
        <v>MAINTENANCE_ORDER_TYPE</v>
      </c>
      <c r="I10860" s="136"/>
      <c r="R10860" s="63" t="str">
        <f t="shared" si="60"/>
        <v>ZSI1_LUB_OILMAINTENANCE_ORDER_TYPE</v>
      </c>
    </row>
    <row r="10861" ht="15.75" customHeight="1">
      <c r="B10861" s="63">
        <f t="shared" si="1"/>
        <v>12</v>
      </c>
      <c r="C10861" s="135" t="s">
        <v>309</v>
      </c>
      <c r="D10861" s="161" t="s">
        <v>74</v>
      </c>
      <c r="E10861" s="135">
        <f t="shared" si="62"/>
        <v>7</v>
      </c>
      <c r="F10861" s="134" t="s">
        <v>3585</v>
      </c>
      <c r="G10861" s="63" t="str">
        <f>VLOOKUP(C10861, 'Class Def. - General Data'!$C$20:$C$1000,1,false)</f>
        <v>ZSI1_LUB_OIL</v>
      </c>
      <c r="H10861" s="63" t="str">
        <f>IFERROR(__xludf.DUMMYFUNCTION("VLOOKUP(F10861, IMPORTRANGE(""https://docs.google.com/spreadsheets/d/1Lhp9OU0JdFf_VYSMzH5lBcEaU4o8teT1piV-SNzShjg/edit?gid=554141278#gid=554141278"", ""'Char Def. - Attributes'!C20:C2242""), 1,false)"),"HS_CODE")</f>
        <v>HS_CODE</v>
      </c>
      <c r="I10861" s="136"/>
      <c r="R10861" s="63" t="str">
        <f t="shared" si="60"/>
        <v>ZSI1_LUB_OILHS_CODE</v>
      </c>
    </row>
    <row r="10862" ht="15.75" customHeight="1">
      <c r="B10862" s="63">
        <f t="shared" si="1"/>
        <v>12</v>
      </c>
      <c r="C10862" s="135" t="s">
        <v>309</v>
      </c>
      <c r="D10862" s="161" t="s">
        <v>74</v>
      </c>
      <c r="E10862" s="135">
        <f t="shared" si="62"/>
        <v>8</v>
      </c>
      <c r="F10862" s="134" t="s">
        <v>3587</v>
      </c>
      <c r="G10862" s="63" t="str">
        <f>VLOOKUP(C10862, 'Class Def. - General Data'!$C$20:$C$1000,1,false)</f>
        <v>ZSI1_LUB_OIL</v>
      </c>
      <c r="H10862" s="63" t="str">
        <f>IFERROR(__xludf.DUMMYFUNCTION("VLOOKUP(F10862, IMPORTRANGE(""https://docs.google.com/spreadsheets/d/1Lhp9OU0JdFf_VYSMzH5lBcEaU4o8teT1piV-SNzShjg/edit?gid=554141278#gid=554141278"", ""'Char Def. - Attributes'!C20:C2242""), 1,false)"),"PLANT_BUY")</f>
        <v>PLANT_BUY</v>
      </c>
      <c r="I10862" s="136"/>
      <c r="R10862" s="63" t="str">
        <f t="shared" si="60"/>
        <v>ZSI1_LUB_OILPLANT_BUY</v>
      </c>
    </row>
    <row r="10863" ht="15.75" customHeight="1">
      <c r="B10863" s="63">
        <f t="shared" si="1"/>
        <v>12</v>
      </c>
      <c r="C10863" s="135" t="s">
        <v>309</v>
      </c>
      <c r="D10863" s="161" t="s">
        <v>74</v>
      </c>
      <c r="E10863" s="135">
        <f t="shared" si="62"/>
        <v>9</v>
      </c>
      <c r="F10863" s="134" t="s">
        <v>4827</v>
      </c>
      <c r="G10863" s="63" t="str">
        <f>VLOOKUP(C10863, 'Class Def. - General Data'!$C$20:$C$1000,1,false)</f>
        <v>ZSI1_LUB_OIL</v>
      </c>
      <c r="H10863" s="63" t="str">
        <f>IFERROR(__xludf.DUMMYFUNCTION("VLOOKUP(F10863, IMPORTRANGE(""https://docs.google.com/spreadsheets/d/1Lhp9OU0JdFf_VYSMzH5lBcEaU4o8teT1piV-SNzShjg/edit?gid=554141278#gid=554141278"", ""'Char Def. - Attributes'!C20:C2242""), 1,false)"),"BASE_UOM_LUB_OIL")</f>
        <v>BASE_UOM_LUB_OIL</v>
      </c>
      <c r="I10863" s="136"/>
      <c r="R10863" s="63" t="str">
        <f t="shared" si="60"/>
        <v>ZSI1_LUB_OILBASE_UOM_LUB_OIL</v>
      </c>
    </row>
    <row r="10864" ht="15.75" customHeight="1">
      <c r="B10864" s="63">
        <f t="shared" si="1"/>
        <v>12</v>
      </c>
      <c r="C10864" s="135" t="s">
        <v>309</v>
      </c>
      <c r="D10864" s="161" t="s">
        <v>74</v>
      </c>
      <c r="E10864" s="135">
        <f t="shared" si="62"/>
        <v>10</v>
      </c>
      <c r="F10864" s="134" t="s">
        <v>4828</v>
      </c>
      <c r="G10864" s="63" t="str">
        <f>VLOOKUP(C10864, 'Class Def. - General Data'!$C$20:$C$1000,1,false)</f>
        <v>ZSI1_LUB_OIL</v>
      </c>
      <c r="H10864" s="63" t="str">
        <f>IFERROR(__xludf.DUMMYFUNCTION("VLOOKUP(F10864, IMPORTRANGE(""https://docs.google.com/spreadsheets/d/1Lhp9OU0JdFf_VYSMzH5lBcEaU4o8teT1piV-SNzShjg/edit?gid=554141278#gid=554141278"", ""'Char Def. - Attributes'!C20:C2242""), 1,false)"),"ORDER_UNIT_LUB_OIL")</f>
        <v>ORDER_UNIT_LUB_OIL</v>
      </c>
      <c r="I10864" s="136"/>
      <c r="R10864" s="63" t="str">
        <f t="shared" si="60"/>
        <v>ZSI1_LUB_OILORDER_UNIT_LUB_OIL</v>
      </c>
    </row>
    <row r="10865" ht="15.75" customHeight="1">
      <c r="B10865" s="63">
        <f t="shared" si="1"/>
        <v>12</v>
      </c>
      <c r="C10865" s="135" t="s">
        <v>309</v>
      </c>
      <c r="D10865" s="161" t="s">
        <v>74</v>
      </c>
      <c r="E10865" s="135">
        <f t="shared" si="62"/>
        <v>11</v>
      </c>
      <c r="F10865" s="134" t="s">
        <v>4056</v>
      </c>
      <c r="G10865" s="63" t="str">
        <f>VLOOKUP(C10865, 'Class Def. - General Data'!$C$20:$C$1000,1,false)</f>
        <v>ZSI1_LUB_OIL</v>
      </c>
      <c r="H10865" s="63" t="str">
        <f>IFERROR(__xludf.DUMMYFUNCTION("VLOOKUP(F10865, IMPORTRANGE(""https://docs.google.com/spreadsheets/d/1Lhp9OU0JdFf_VYSMzH5lBcEaU4o8teT1piV-SNzShjg/edit?gid=554141278#gid=554141278"", ""'Char Def. - Attributes'!C20:C2242""), 1,false)"),"GROSS_WEIGHT_OPT")</f>
        <v>GROSS_WEIGHT_OPT</v>
      </c>
      <c r="I10865" s="136"/>
      <c r="R10865" s="63" t="str">
        <f t="shared" si="60"/>
        <v>ZSI1_LUB_OILGROSS_WEIGHT_OPT</v>
      </c>
    </row>
    <row r="10866" ht="15.75" customHeight="1">
      <c r="B10866" s="63">
        <f t="shared" si="1"/>
        <v>12</v>
      </c>
      <c r="C10866" s="135" t="s">
        <v>309</v>
      </c>
      <c r="D10866" s="161" t="s">
        <v>74</v>
      </c>
      <c r="E10866" s="135">
        <f t="shared" si="62"/>
        <v>12</v>
      </c>
      <c r="F10866" s="134" t="s">
        <v>4057</v>
      </c>
      <c r="G10866" s="63" t="str">
        <f>VLOOKUP(C10866, 'Class Def. - General Data'!$C$20:$C$1000,1,false)</f>
        <v>ZSI1_LUB_OIL</v>
      </c>
      <c r="H10866" s="63" t="str">
        <f>IFERROR(__xludf.DUMMYFUNCTION("VLOOKUP(F10866, IMPORTRANGE(""https://docs.google.com/spreadsheets/d/1Lhp9OU0JdFf_VYSMzH5lBcEaU4o8teT1piV-SNzShjg/edit?gid=554141278#gid=554141278"", ""'Char Def. - Attributes'!C20:C2242""), 1,false)"),"NET_WEIGHT_OPT")</f>
        <v>NET_WEIGHT_OPT</v>
      </c>
      <c r="I10866" s="136"/>
      <c r="R10866" s="63" t="str">
        <f t="shared" si="60"/>
        <v>ZSI1_LUB_OILNET_WEIGHT_OPT</v>
      </c>
    </row>
    <row r="10867" ht="15.75" customHeight="1">
      <c r="B10867" s="63">
        <f t="shared" si="1"/>
        <v>12</v>
      </c>
      <c r="C10867" s="135" t="s">
        <v>309</v>
      </c>
      <c r="D10867" s="161" t="s">
        <v>74</v>
      </c>
      <c r="E10867" s="135">
        <f t="shared" si="62"/>
        <v>13</v>
      </c>
      <c r="F10867" s="134" t="s">
        <v>4058</v>
      </c>
      <c r="G10867" s="63" t="str">
        <f>VLOOKUP(C10867, 'Class Def. - General Data'!$C$20:$C$1000,1,false)</f>
        <v>ZSI1_LUB_OIL</v>
      </c>
      <c r="H10867" s="63" t="str">
        <f>IFERROR(__xludf.DUMMYFUNCTION("VLOOKUP(F10867, IMPORTRANGE(""https://docs.google.com/spreadsheets/d/1Lhp9OU0JdFf_VYSMzH5lBcEaU4o8teT1piV-SNzShjg/edit?gid=554141278#gid=554141278"", ""'Char Def. - Attributes'!C20:C2242""), 1,false)"),"WEIGHT_UNIT_SI")</f>
        <v>WEIGHT_UNIT_SI</v>
      </c>
      <c r="I10867" s="136"/>
      <c r="R10867" s="63" t="str">
        <f t="shared" si="60"/>
        <v>ZSI1_LUB_OILWEIGHT_UNIT_SI</v>
      </c>
    </row>
    <row r="10868" ht="15.75" customHeight="1">
      <c r="B10868" s="63">
        <f t="shared" si="1"/>
        <v>12</v>
      </c>
      <c r="C10868" s="135" t="s">
        <v>309</v>
      </c>
      <c r="D10868" s="161" t="s">
        <v>74</v>
      </c>
      <c r="E10868" s="135">
        <f t="shared" si="62"/>
        <v>14</v>
      </c>
      <c r="F10868" s="134" t="s">
        <v>3877</v>
      </c>
      <c r="G10868" s="63" t="str">
        <f>VLOOKUP(C10868, 'Class Def. - General Data'!$C$20:$C$1000,1,false)</f>
        <v>ZSI1_LUB_OIL</v>
      </c>
      <c r="H10868" s="63" t="str">
        <f>IFERROR(__xludf.DUMMYFUNCTION("VLOOKUP(F10868, IMPORTRANGE(""https://docs.google.com/spreadsheets/d/1Lhp9OU0JdFf_VYSMzH5lBcEaU4o8teT1piV-SNzShjg/edit?gid=554141278#gid=554141278"", ""'Char Def. - Attributes'!C20:C2242""), 1,false)"),"VOLUME_OPT")</f>
        <v>VOLUME_OPT</v>
      </c>
      <c r="I10868" s="136"/>
      <c r="R10868" s="63" t="str">
        <f t="shared" si="60"/>
        <v>ZSI1_LUB_OILVOLUME_OPT</v>
      </c>
    </row>
    <row r="10869" ht="15.75" customHeight="1">
      <c r="B10869" s="63">
        <f t="shared" si="1"/>
        <v>12</v>
      </c>
      <c r="C10869" s="135" t="s">
        <v>309</v>
      </c>
      <c r="D10869" s="161" t="s">
        <v>74</v>
      </c>
      <c r="E10869" s="135">
        <f t="shared" si="62"/>
        <v>15</v>
      </c>
      <c r="F10869" s="134" t="s">
        <v>4059</v>
      </c>
      <c r="G10869" s="63" t="str">
        <f>VLOOKUP(C10869, 'Class Def. - General Data'!$C$20:$C$1000,1,false)</f>
        <v>ZSI1_LUB_OIL</v>
      </c>
      <c r="H10869" s="63" t="str">
        <f>IFERROR(__xludf.DUMMYFUNCTION("VLOOKUP(F10869, IMPORTRANGE(""https://docs.google.com/spreadsheets/d/1Lhp9OU0JdFf_VYSMzH5lBcEaU4o8teT1piV-SNzShjg/edit?gid=554141278#gid=554141278"", ""'Char Def. - Attributes'!C20:C2242""), 1,false)"),"VOLUME_UNIT_SI")</f>
        <v>VOLUME_UNIT_SI</v>
      </c>
      <c r="I10869" s="136"/>
      <c r="R10869" s="63" t="str">
        <f t="shared" si="60"/>
        <v>ZSI1_LUB_OILVOLUME_UNIT_SI</v>
      </c>
    </row>
    <row r="10870" ht="15.75" customHeight="1">
      <c r="B10870" s="63">
        <f t="shared" si="1"/>
        <v>12</v>
      </c>
      <c r="C10870" s="135" t="s">
        <v>309</v>
      </c>
      <c r="D10870" s="161" t="s">
        <v>74</v>
      </c>
      <c r="E10870" s="135">
        <f t="shared" si="62"/>
        <v>16</v>
      </c>
      <c r="F10870" s="134" t="s">
        <v>3804</v>
      </c>
      <c r="G10870" s="63" t="str">
        <f>VLOOKUP(C10870, 'Class Def. - General Data'!$C$20:$C$1000,1,false)</f>
        <v>ZSI1_LUB_OIL</v>
      </c>
      <c r="H10870" s="63" t="str">
        <f>IFERROR(__xludf.DUMMYFUNCTION("VLOOKUP(F10870, IMPORTRANGE(""https://docs.google.com/spreadsheets/d/1Lhp9OU0JdFf_VYSMzH5lBcEaU4o8teT1piV-SNzShjg/edit?gid=554141278#gid=554141278"", ""'Char Def. - Attributes'!C20:C2242""), 1,false)"),"ALT_UOM1_SIPI")</f>
        <v>ALT_UOM1_SIPI</v>
      </c>
      <c r="I10870" s="136"/>
      <c r="R10870" s="63" t="str">
        <f t="shared" si="60"/>
        <v>ZSI1_LUB_OILALT_UOM1_SIPI</v>
      </c>
    </row>
    <row r="10871" ht="15.75" customHeight="1">
      <c r="B10871" s="63">
        <f t="shared" si="1"/>
        <v>12</v>
      </c>
      <c r="C10871" s="135" t="s">
        <v>309</v>
      </c>
      <c r="D10871" s="161" t="s">
        <v>74</v>
      </c>
      <c r="E10871" s="135">
        <f t="shared" si="62"/>
        <v>17</v>
      </c>
      <c r="F10871" s="134" t="s">
        <v>3805</v>
      </c>
      <c r="G10871" s="63" t="str">
        <f>VLOOKUP(C10871, 'Class Def. - General Data'!$C$20:$C$1000,1,false)</f>
        <v>ZSI1_LUB_OIL</v>
      </c>
      <c r="H10871" s="63" t="str">
        <f>IFERROR(__xludf.DUMMYFUNCTION("VLOOKUP(F10871, IMPORTRANGE(""https://docs.google.com/spreadsheets/d/1Lhp9OU0JdFf_VYSMzH5lBcEaU4o8teT1piV-SNzShjg/edit?gid=554141278#gid=554141278"", ""'Char Def. - Attributes'!C20:C2242""), 1,false)"),"ALT_DENUM_UOM1")</f>
        <v>ALT_DENUM_UOM1</v>
      </c>
      <c r="I10871" s="136"/>
      <c r="R10871" s="63" t="str">
        <f t="shared" si="60"/>
        <v>ZSI1_LUB_OILALT_DENUM_UOM1</v>
      </c>
    </row>
    <row r="10872" ht="15.75" customHeight="1">
      <c r="B10872" s="63">
        <f t="shared" si="1"/>
        <v>12</v>
      </c>
      <c r="C10872" s="135" t="s">
        <v>309</v>
      </c>
      <c r="D10872" s="161" t="s">
        <v>74</v>
      </c>
      <c r="E10872" s="135">
        <f t="shared" si="62"/>
        <v>18</v>
      </c>
      <c r="F10872" s="134" t="s">
        <v>3806</v>
      </c>
      <c r="G10872" s="63" t="str">
        <f>VLOOKUP(C10872, 'Class Def. - General Data'!$C$20:$C$1000,1,false)</f>
        <v>ZSI1_LUB_OIL</v>
      </c>
      <c r="H10872" s="63" t="str">
        <f>IFERROR(__xludf.DUMMYFUNCTION("VLOOKUP(F10872, IMPORTRANGE(""https://docs.google.com/spreadsheets/d/1Lhp9OU0JdFf_VYSMzH5lBcEaU4o8teT1piV-SNzShjg/edit?gid=554141278#gid=554141278"", ""'Char Def. - Attributes'!C20:C2242""), 1,false)"),"ALT_NUM_UOM1")</f>
        <v>ALT_NUM_UOM1</v>
      </c>
      <c r="I10872" s="136"/>
      <c r="R10872" s="63" t="str">
        <f t="shared" si="60"/>
        <v>ZSI1_LUB_OILALT_NUM_UOM1</v>
      </c>
    </row>
    <row r="10873" ht="15.75" customHeight="1">
      <c r="B10873" s="63">
        <f t="shared" si="1"/>
        <v>12</v>
      </c>
      <c r="C10873" s="135" t="s">
        <v>309</v>
      </c>
      <c r="D10873" s="161" t="s">
        <v>74</v>
      </c>
      <c r="E10873" s="135">
        <f t="shared" si="62"/>
        <v>19</v>
      </c>
      <c r="F10873" s="134" t="s">
        <v>3807</v>
      </c>
      <c r="G10873" s="63" t="str">
        <f>VLOOKUP(C10873, 'Class Def. - General Data'!$C$20:$C$1000,1,false)</f>
        <v>ZSI1_LUB_OIL</v>
      </c>
      <c r="H10873" s="63" t="str">
        <f>IFERROR(__xludf.DUMMYFUNCTION("VLOOKUP(F10873, IMPORTRANGE(""https://docs.google.com/spreadsheets/d/1Lhp9OU0JdFf_VYSMzH5lBcEaU4o8teT1piV-SNzShjg/edit?gid=554141278#gid=554141278"", ""'Char Def. - Attributes'!C20:C2242""), 1,false)"),"ALT_UOM2_SIPI")</f>
        <v>ALT_UOM2_SIPI</v>
      </c>
      <c r="I10873" s="136"/>
      <c r="R10873" s="63" t="str">
        <f t="shared" si="60"/>
        <v>ZSI1_LUB_OILALT_UOM2_SIPI</v>
      </c>
    </row>
    <row r="10874" ht="15.75" customHeight="1">
      <c r="B10874" s="63">
        <f t="shared" si="1"/>
        <v>12</v>
      </c>
      <c r="C10874" s="135" t="s">
        <v>309</v>
      </c>
      <c r="D10874" s="161" t="s">
        <v>74</v>
      </c>
      <c r="E10874" s="135">
        <f t="shared" si="62"/>
        <v>20</v>
      </c>
      <c r="F10874" s="134" t="s">
        <v>3808</v>
      </c>
      <c r="G10874" s="63" t="str">
        <f>VLOOKUP(C10874, 'Class Def. - General Data'!$C$20:$C$1000,1,false)</f>
        <v>ZSI1_LUB_OIL</v>
      </c>
      <c r="H10874" s="63" t="str">
        <f>IFERROR(__xludf.DUMMYFUNCTION("VLOOKUP(F10874, IMPORTRANGE(""https://docs.google.com/spreadsheets/d/1Lhp9OU0JdFf_VYSMzH5lBcEaU4o8teT1piV-SNzShjg/edit?gid=554141278#gid=554141278"", ""'Char Def. - Attributes'!C20:C2242""), 1,false)"),"ALT_DENUM_UOM2")</f>
        <v>ALT_DENUM_UOM2</v>
      </c>
      <c r="I10874" s="136"/>
      <c r="R10874" s="63" t="str">
        <f t="shared" si="60"/>
        <v>ZSI1_LUB_OILALT_DENUM_UOM2</v>
      </c>
    </row>
    <row r="10875" ht="15.75" customHeight="1">
      <c r="B10875" s="63">
        <f t="shared" si="1"/>
        <v>12</v>
      </c>
      <c r="C10875" s="135" t="s">
        <v>309</v>
      </c>
      <c r="D10875" s="161" t="s">
        <v>74</v>
      </c>
      <c r="E10875" s="135">
        <f t="shared" si="62"/>
        <v>21</v>
      </c>
      <c r="F10875" s="134" t="s">
        <v>3809</v>
      </c>
      <c r="G10875" s="63" t="str">
        <f>VLOOKUP(C10875, 'Class Def. - General Data'!$C$20:$C$1000,1,false)</f>
        <v>ZSI1_LUB_OIL</v>
      </c>
      <c r="H10875" s="63" t="str">
        <f>IFERROR(__xludf.DUMMYFUNCTION("VLOOKUP(F10875, IMPORTRANGE(""https://docs.google.com/spreadsheets/d/1Lhp9OU0JdFf_VYSMzH5lBcEaU4o8teT1piV-SNzShjg/edit?gid=554141278#gid=554141278"", ""'Char Def. - Attributes'!C20:C2242""), 1,false)"),"ALT_NUM_UOM2")</f>
        <v>ALT_NUM_UOM2</v>
      </c>
      <c r="I10875" s="136"/>
      <c r="R10875" s="63" t="str">
        <f t="shared" si="60"/>
        <v>ZSI1_LUB_OILALT_NUM_UOM2</v>
      </c>
    </row>
    <row r="10876" ht="15.75" customHeight="1">
      <c r="B10876" s="63">
        <f t="shared" si="1"/>
        <v>12</v>
      </c>
      <c r="C10876" s="135" t="s">
        <v>309</v>
      </c>
      <c r="D10876" s="161" t="s">
        <v>74</v>
      </c>
      <c r="E10876" s="135">
        <f t="shared" si="62"/>
        <v>22</v>
      </c>
      <c r="F10876" s="134" t="s">
        <v>3810</v>
      </c>
      <c r="G10876" s="63" t="str">
        <f>VLOOKUP(C10876, 'Class Def. - General Data'!$C$20:$C$1000,1,false)</f>
        <v>ZSI1_LUB_OIL</v>
      </c>
      <c r="H10876" s="63" t="str">
        <f>IFERROR(__xludf.DUMMYFUNCTION("VLOOKUP(F10876, IMPORTRANGE(""https://docs.google.com/spreadsheets/d/1Lhp9OU0JdFf_VYSMzH5lBcEaU4o8teT1piV-SNzShjg/edit?gid=554141278#gid=554141278"", ""'Char Def. - Attributes'!C20:C2242""), 1,false)"),"ALT_UOM3_SIPI")</f>
        <v>ALT_UOM3_SIPI</v>
      </c>
      <c r="I10876" s="136"/>
      <c r="R10876" s="63" t="str">
        <f t="shared" si="60"/>
        <v>ZSI1_LUB_OILALT_UOM3_SIPI</v>
      </c>
    </row>
    <row r="10877" ht="15.75" customHeight="1">
      <c r="B10877" s="63">
        <f t="shared" si="1"/>
        <v>12</v>
      </c>
      <c r="C10877" s="135" t="s">
        <v>309</v>
      </c>
      <c r="D10877" s="161" t="s">
        <v>74</v>
      </c>
      <c r="E10877" s="135">
        <f t="shared" si="62"/>
        <v>23</v>
      </c>
      <c r="F10877" s="134" t="s">
        <v>3811</v>
      </c>
      <c r="G10877" s="63" t="str">
        <f>VLOOKUP(C10877, 'Class Def. - General Data'!$C$20:$C$1000,1,false)</f>
        <v>ZSI1_LUB_OIL</v>
      </c>
      <c r="H10877" s="63" t="str">
        <f>IFERROR(__xludf.DUMMYFUNCTION("VLOOKUP(F10877, IMPORTRANGE(""https://docs.google.com/spreadsheets/d/1Lhp9OU0JdFf_VYSMzH5lBcEaU4o8teT1piV-SNzShjg/edit?gid=554141278#gid=554141278"", ""'Char Def. - Attributes'!C20:C2242""), 1,false)"),"ALT_DENUM_UOM3")</f>
        <v>ALT_DENUM_UOM3</v>
      </c>
      <c r="I10877" s="136"/>
      <c r="R10877" s="63" t="str">
        <f t="shared" si="60"/>
        <v>ZSI1_LUB_OILALT_DENUM_UOM3</v>
      </c>
    </row>
    <row r="10878" ht="15.75" customHeight="1">
      <c r="B10878" s="63">
        <f t="shared" si="1"/>
        <v>12</v>
      </c>
      <c r="C10878" s="135" t="s">
        <v>309</v>
      </c>
      <c r="D10878" s="161" t="s">
        <v>74</v>
      </c>
      <c r="E10878" s="135">
        <f t="shared" si="62"/>
        <v>24</v>
      </c>
      <c r="F10878" s="134" t="s">
        <v>3812</v>
      </c>
      <c r="G10878" s="63" t="str">
        <f>VLOOKUP(C10878, 'Class Def. - General Data'!$C$20:$C$1000,1,false)</f>
        <v>ZSI1_LUB_OIL</v>
      </c>
      <c r="H10878" s="63" t="str">
        <f>IFERROR(__xludf.DUMMYFUNCTION("VLOOKUP(F10878, IMPORTRANGE(""https://docs.google.com/spreadsheets/d/1Lhp9OU0JdFf_VYSMzH5lBcEaU4o8teT1piV-SNzShjg/edit?gid=554141278#gid=554141278"", ""'Char Def. - Attributes'!C20:C2242""), 1,false)"),"ALT_NUM_UOM3")</f>
        <v>ALT_NUM_UOM3</v>
      </c>
      <c r="I10878" s="136"/>
      <c r="R10878" s="63" t="str">
        <f t="shared" si="60"/>
        <v>ZSI1_LUB_OILALT_NUM_UOM3</v>
      </c>
    </row>
    <row r="10879" ht="15.75" customHeight="1">
      <c r="B10879" s="63">
        <f t="shared" si="1"/>
        <v>12</v>
      </c>
      <c r="C10879" s="135" t="s">
        <v>309</v>
      </c>
      <c r="D10879" s="161" t="s">
        <v>74</v>
      </c>
      <c r="E10879" s="135">
        <f t="shared" si="62"/>
        <v>25</v>
      </c>
      <c r="F10879" s="134" t="s">
        <v>3813</v>
      </c>
      <c r="G10879" s="63" t="str">
        <f>VLOOKUP(C10879, 'Class Def. - General Data'!$C$20:$C$1000,1,false)</f>
        <v>ZSI1_LUB_OIL</v>
      </c>
      <c r="H10879" s="63" t="str">
        <f>IFERROR(__xludf.DUMMYFUNCTION("VLOOKUP(F10879, IMPORTRANGE(""https://docs.google.com/spreadsheets/d/1Lhp9OU0JdFf_VYSMzH5lBcEaU4o8teT1piV-SNzShjg/edit?gid=554141278#gid=554141278"", ""'Char Def. - Attributes'!C20:C2242""), 1,false)"),"ALT_UOM4_SIPI")</f>
        <v>ALT_UOM4_SIPI</v>
      </c>
      <c r="I10879" s="136"/>
      <c r="R10879" s="63" t="str">
        <f t="shared" si="60"/>
        <v>ZSI1_LUB_OILALT_UOM4_SIPI</v>
      </c>
    </row>
    <row r="10880" ht="15.75" customHeight="1">
      <c r="B10880" s="63">
        <f t="shared" si="1"/>
        <v>12</v>
      </c>
      <c r="C10880" s="135" t="s">
        <v>309</v>
      </c>
      <c r="D10880" s="161" t="s">
        <v>74</v>
      </c>
      <c r="E10880" s="135">
        <f t="shared" si="62"/>
        <v>26</v>
      </c>
      <c r="F10880" s="134" t="s">
        <v>3814</v>
      </c>
      <c r="G10880" s="63" t="str">
        <f>VLOOKUP(C10880, 'Class Def. - General Data'!$C$20:$C$1000,1,false)</f>
        <v>ZSI1_LUB_OIL</v>
      </c>
      <c r="H10880" s="63" t="str">
        <f>IFERROR(__xludf.DUMMYFUNCTION("VLOOKUP(F10880, IMPORTRANGE(""https://docs.google.com/spreadsheets/d/1Lhp9OU0JdFf_VYSMzH5lBcEaU4o8teT1piV-SNzShjg/edit?gid=554141278#gid=554141278"", ""'Char Def. - Attributes'!C20:C2242""), 1,false)"),"ALT_DENUM_UOM4")</f>
        <v>ALT_DENUM_UOM4</v>
      </c>
      <c r="I10880" s="136"/>
      <c r="R10880" s="63" t="str">
        <f t="shared" si="60"/>
        <v>ZSI1_LUB_OILALT_DENUM_UOM4</v>
      </c>
    </row>
    <row r="10881" ht="15.75" customHeight="1">
      <c r="B10881" s="63">
        <f t="shared" si="1"/>
        <v>12</v>
      </c>
      <c r="C10881" s="135" t="s">
        <v>309</v>
      </c>
      <c r="D10881" s="161" t="s">
        <v>74</v>
      </c>
      <c r="E10881" s="135">
        <f t="shared" si="62"/>
        <v>27</v>
      </c>
      <c r="F10881" s="134" t="s">
        <v>3815</v>
      </c>
      <c r="G10881" s="63" t="str">
        <f>VLOOKUP(C10881, 'Class Def. - General Data'!$C$20:$C$1000,1,false)</f>
        <v>ZSI1_LUB_OIL</v>
      </c>
      <c r="H10881" s="63" t="str">
        <f>IFERROR(__xludf.DUMMYFUNCTION("VLOOKUP(F10881, IMPORTRANGE(""https://docs.google.com/spreadsheets/d/1Lhp9OU0JdFf_VYSMzH5lBcEaU4o8teT1piV-SNzShjg/edit?gid=554141278#gid=554141278"", ""'Char Def. - Attributes'!C20:C2242""), 1,false)"),"ALT_NUM_UOM4")</f>
        <v>ALT_NUM_UOM4</v>
      </c>
      <c r="I10881" s="136"/>
      <c r="R10881" s="63" t="str">
        <f t="shared" si="60"/>
        <v>ZSI1_LUB_OILALT_NUM_UOM4</v>
      </c>
    </row>
    <row r="10882" ht="15.75" customHeight="1">
      <c r="B10882" s="63">
        <f t="shared" si="1"/>
        <v>12</v>
      </c>
      <c r="C10882" s="135" t="s">
        <v>309</v>
      </c>
      <c r="D10882" s="161" t="s">
        <v>74</v>
      </c>
      <c r="E10882" s="135">
        <f t="shared" si="62"/>
        <v>28</v>
      </c>
      <c r="F10882" s="134" t="s">
        <v>3816</v>
      </c>
      <c r="G10882" s="63" t="str">
        <f>VLOOKUP(C10882, 'Class Def. - General Data'!$C$20:$C$1000,1,false)</f>
        <v>ZSI1_LUB_OIL</v>
      </c>
      <c r="H10882" s="63" t="str">
        <f>IFERROR(__xludf.DUMMYFUNCTION("VLOOKUP(F10882, IMPORTRANGE(""https://docs.google.com/spreadsheets/d/1Lhp9OU0JdFf_VYSMzH5lBcEaU4o8teT1piV-SNzShjg/edit?gid=554141278#gid=554141278"", ""'Char Def. - Attributes'!C20:C2242""), 1,false)"),"ALT_UOM5_SIPI")</f>
        <v>ALT_UOM5_SIPI</v>
      </c>
      <c r="I10882" s="136"/>
      <c r="R10882" s="63" t="str">
        <f t="shared" si="60"/>
        <v>ZSI1_LUB_OILALT_UOM5_SIPI</v>
      </c>
    </row>
    <row r="10883" ht="15.75" customHeight="1">
      <c r="B10883" s="63">
        <f t="shared" si="1"/>
        <v>12</v>
      </c>
      <c r="C10883" s="135" t="s">
        <v>309</v>
      </c>
      <c r="D10883" s="161" t="s">
        <v>74</v>
      </c>
      <c r="E10883" s="135">
        <f t="shared" si="62"/>
        <v>29</v>
      </c>
      <c r="F10883" s="134" t="s">
        <v>3817</v>
      </c>
      <c r="G10883" s="63" t="str">
        <f>VLOOKUP(C10883, 'Class Def. - General Data'!$C$20:$C$1000,1,false)</f>
        <v>ZSI1_LUB_OIL</v>
      </c>
      <c r="H10883" s="63" t="str">
        <f>IFERROR(__xludf.DUMMYFUNCTION("VLOOKUP(F10883, IMPORTRANGE(""https://docs.google.com/spreadsheets/d/1Lhp9OU0JdFf_VYSMzH5lBcEaU4o8teT1piV-SNzShjg/edit?gid=554141278#gid=554141278"", ""'Char Def. - Attributes'!C20:C2242""), 1,false)"),"ALT_DENUM_UOM5")</f>
        <v>ALT_DENUM_UOM5</v>
      </c>
      <c r="I10883" s="136"/>
      <c r="R10883" s="63" t="str">
        <f t="shared" si="60"/>
        <v>ZSI1_LUB_OILALT_DENUM_UOM5</v>
      </c>
    </row>
    <row r="10884" ht="15.75" customHeight="1">
      <c r="B10884" s="63">
        <f t="shared" si="1"/>
        <v>12</v>
      </c>
      <c r="C10884" s="135" t="s">
        <v>309</v>
      </c>
      <c r="D10884" s="161" t="s">
        <v>74</v>
      </c>
      <c r="E10884" s="135">
        <f t="shared" si="62"/>
        <v>30</v>
      </c>
      <c r="F10884" s="134" t="s">
        <v>3818</v>
      </c>
      <c r="G10884" s="63" t="str">
        <f>VLOOKUP(C10884, 'Class Def. - General Data'!$C$20:$C$1000,1,false)</f>
        <v>ZSI1_LUB_OIL</v>
      </c>
      <c r="H10884" s="63" t="str">
        <f>IFERROR(__xludf.DUMMYFUNCTION("VLOOKUP(F10884, IMPORTRANGE(""https://docs.google.com/spreadsheets/d/1Lhp9OU0JdFf_VYSMzH5lBcEaU4o8teT1piV-SNzShjg/edit?gid=554141278#gid=554141278"", ""'Char Def. - Attributes'!C20:C2242""), 1,false)"),"ALT_NUM_UOM5")</f>
        <v>ALT_NUM_UOM5</v>
      </c>
      <c r="I10884" s="136"/>
      <c r="R10884" s="63" t="str">
        <f t="shared" si="60"/>
        <v>ZSI1_LUB_OILALT_NUM_UOM5</v>
      </c>
    </row>
    <row r="10885" ht="15.75" customHeight="1">
      <c r="B10885" s="63">
        <f t="shared" si="1"/>
        <v>16</v>
      </c>
      <c r="C10885" s="135" t="s">
        <v>417</v>
      </c>
      <c r="D10885" s="161" t="s">
        <v>74</v>
      </c>
      <c r="E10885" s="135">
        <f t="shared" si="62"/>
        <v>1</v>
      </c>
      <c r="F10885" s="134" t="s">
        <v>4829</v>
      </c>
      <c r="G10885" s="63" t="str">
        <f>VLOOKUP(C10885, 'Class Def. - General Data'!$C$20:$C$1000,1,false)</f>
        <v>ZSI1_MANUAL_BOOK</v>
      </c>
      <c r="H10885" s="63" t="str">
        <f>IFERROR(__xludf.DUMMYFUNCTION("VLOOKUP(F10885, IMPORTRANGE(""https://docs.google.com/spreadsheets/d/1Lhp9OU0JdFf_VYSMzH5lBcEaU4o8teT1piV-SNzShjg/edit?gid=554141278#gid=554141278"", ""'Char Def. - Attributes'!C20:C2242""), 1,false)"),"ITEM_NAME_MANUAL_BOOK")</f>
        <v>ITEM_NAME_MANUAL_BOOK</v>
      </c>
      <c r="I10885" s="136"/>
      <c r="R10885" s="63" t="str">
        <f t="shared" si="60"/>
        <v>ZSI1_MANUAL_BOOKITEM_NAME_MANUAL_BOOK</v>
      </c>
    </row>
    <row r="10886" ht="15.75" customHeight="1">
      <c r="B10886" s="63">
        <f t="shared" si="1"/>
        <v>16</v>
      </c>
      <c r="C10886" s="135" t="s">
        <v>417</v>
      </c>
      <c r="D10886" s="161" t="s">
        <v>74</v>
      </c>
      <c r="E10886" s="135">
        <f t="shared" si="62"/>
        <v>2</v>
      </c>
      <c r="F10886" s="134" t="s">
        <v>4830</v>
      </c>
      <c r="G10886" s="63" t="str">
        <f>VLOOKUP(C10886, 'Class Def. - General Data'!$C$20:$C$1000,1,false)</f>
        <v>ZSI1_MANUAL_BOOK</v>
      </c>
      <c r="H10886" s="63" t="str">
        <f>IFERROR(__xludf.DUMMYFUNCTION("VLOOKUP(F10886, IMPORTRANGE(""https://docs.google.com/spreadsheets/d/1Lhp9OU0JdFf_VYSMzH5lBcEaU4o8teT1piV-SNzShjg/edit?gid=554141278#gid=554141278"", ""'Char Def. - Attributes'!C20:C2242""), 1,false)"),"DESIGN_MANUAL_BOOK")</f>
        <v>DESIGN_MANUAL_BOOK</v>
      </c>
      <c r="I10886" s="136"/>
      <c r="R10886" s="63" t="str">
        <f t="shared" si="60"/>
        <v>ZSI1_MANUAL_BOOKDESIGN_MANUAL_BOOK</v>
      </c>
    </row>
    <row r="10887" ht="15.75" customHeight="1">
      <c r="B10887" s="63">
        <f t="shared" si="1"/>
        <v>16</v>
      </c>
      <c r="C10887" s="135" t="s">
        <v>417</v>
      </c>
      <c r="D10887" s="161" t="s">
        <v>74</v>
      </c>
      <c r="E10887" s="135">
        <f t="shared" si="62"/>
        <v>3</v>
      </c>
      <c r="F10887" s="134" t="s">
        <v>3585</v>
      </c>
      <c r="G10887" s="63" t="str">
        <f>VLOOKUP(C10887, 'Class Def. - General Data'!$C$20:$C$1000,1,false)</f>
        <v>ZSI1_MANUAL_BOOK</v>
      </c>
      <c r="H10887" s="63" t="str">
        <f>IFERROR(__xludf.DUMMYFUNCTION("VLOOKUP(F10887, IMPORTRANGE(""https://docs.google.com/spreadsheets/d/1Lhp9OU0JdFf_VYSMzH5lBcEaU4o8teT1piV-SNzShjg/edit?gid=554141278#gid=554141278"", ""'Char Def. - Attributes'!C20:C2242""), 1,false)"),"HS_CODE")</f>
        <v>HS_CODE</v>
      </c>
      <c r="I10887" s="136"/>
      <c r="R10887" s="63" t="str">
        <f t="shared" si="60"/>
        <v>ZSI1_MANUAL_BOOKHS_CODE</v>
      </c>
    </row>
    <row r="10888" ht="15.75" customHeight="1">
      <c r="B10888" s="63">
        <f t="shared" si="1"/>
        <v>16</v>
      </c>
      <c r="C10888" s="135" t="s">
        <v>417</v>
      </c>
      <c r="D10888" s="161" t="s">
        <v>74</v>
      </c>
      <c r="E10888" s="135">
        <f t="shared" si="62"/>
        <v>4</v>
      </c>
      <c r="F10888" s="134" t="s">
        <v>3587</v>
      </c>
      <c r="G10888" s="63" t="str">
        <f>VLOOKUP(C10888, 'Class Def. - General Data'!$C$20:$C$1000,1,false)</f>
        <v>ZSI1_MANUAL_BOOK</v>
      </c>
      <c r="H10888" s="63" t="str">
        <f>IFERROR(__xludf.DUMMYFUNCTION("VLOOKUP(F10888, IMPORTRANGE(""https://docs.google.com/spreadsheets/d/1Lhp9OU0JdFf_VYSMzH5lBcEaU4o8teT1piV-SNzShjg/edit?gid=554141278#gid=554141278"", ""'Char Def. - Attributes'!C20:C2242""), 1,false)"),"PLANT_BUY")</f>
        <v>PLANT_BUY</v>
      </c>
      <c r="I10888" s="136"/>
      <c r="R10888" s="63" t="str">
        <f t="shared" si="60"/>
        <v>ZSI1_MANUAL_BOOKPLANT_BUY</v>
      </c>
    </row>
    <row r="10889" ht="15.75" customHeight="1">
      <c r="B10889" s="63">
        <f t="shared" si="1"/>
        <v>16</v>
      </c>
      <c r="C10889" s="135" t="s">
        <v>417</v>
      </c>
      <c r="D10889" s="161" t="s">
        <v>74</v>
      </c>
      <c r="E10889" s="135">
        <f t="shared" si="62"/>
        <v>5</v>
      </c>
      <c r="F10889" s="134" t="s">
        <v>4831</v>
      </c>
      <c r="G10889" s="63" t="str">
        <f>VLOOKUP(C10889, 'Class Def. - General Data'!$C$20:$C$1000,1,false)</f>
        <v>ZSI1_MANUAL_BOOK</v>
      </c>
      <c r="H10889" s="63" t="str">
        <f>IFERROR(__xludf.DUMMYFUNCTION("VLOOKUP(F10889, IMPORTRANGE(""https://docs.google.com/spreadsheets/d/1Lhp9OU0JdFf_VYSMzH5lBcEaU4o8teT1piV-SNzShjg/edit?gid=554141278#gid=554141278"", ""'Char Def. - Attributes'!C20:C2242""), 1,false)"),"BASE_UOM_MANUAL_BOOK")</f>
        <v>BASE_UOM_MANUAL_BOOK</v>
      </c>
      <c r="I10889" s="136"/>
      <c r="R10889" s="63" t="str">
        <f t="shared" si="60"/>
        <v>ZSI1_MANUAL_BOOKBASE_UOM_MANUAL_BOOK</v>
      </c>
    </row>
    <row r="10890" ht="15.75" customHeight="1">
      <c r="B10890" s="63">
        <f t="shared" si="1"/>
        <v>16</v>
      </c>
      <c r="C10890" s="135" t="s">
        <v>417</v>
      </c>
      <c r="D10890" s="161" t="s">
        <v>74</v>
      </c>
      <c r="E10890" s="135">
        <f t="shared" si="62"/>
        <v>6</v>
      </c>
      <c r="F10890" s="134" t="s">
        <v>4832</v>
      </c>
      <c r="G10890" s="63" t="str">
        <f>VLOOKUP(C10890, 'Class Def. - General Data'!$C$20:$C$1000,1,false)</f>
        <v>ZSI1_MANUAL_BOOK</v>
      </c>
      <c r="H10890" s="63" t="str">
        <f>IFERROR(__xludf.DUMMYFUNCTION("VLOOKUP(F10890, IMPORTRANGE(""https://docs.google.com/spreadsheets/d/1Lhp9OU0JdFf_VYSMzH5lBcEaU4o8teT1piV-SNzShjg/edit?gid=554141278#gid=554141278"", ""'Char Def. - Attributes'!C20:C2242""), 1,false)"),"ORDER_UNIT_MANUAL_BOOK")</f>
        <v>ORDER_UNIT_MANUAL_BOOK</v>
      </c>
      <c r="I10890" s="136"/>
      <c r="R10890" s="63" t="str">
        <f t="shared" si="60"/>
        <v>ZSI1_MANUAL_BOOKORDER_UNIT_MANUAL_BOOK</v>
      </c>
    </row>
    <row r="10891" ht="15.75" customHeight="1">
      <c r="B10891" s="63">
        <f t="shared" si="1"/>
        <v>16</v>
      </c>
      <c r="C10891" s="135" t="s">
        <v>417</v>
      </c>
      <c r="D10891" s="161" t="s">
        <v>74</v>
      </c>
      <c r="E10891" s="135">
        <f t="shared" si="62"/>
        <v>7</v>
      </c>
      <c r="F10891" s="134" t="s">
        <v>4056</v>
      </c>
      <c r="G10891" s="63" t="str">
        <f>VLOOKUP(C10891, 'Class Def. - General Data'!$C$20:$C$1000,1,false)</f>
        <v>ZSI1_MANUAL_BOOK</v>
      </c>
      <c r="H10891" s="63" t="str">
        <f>IFERROR(__xludf.DUMMYFUNCTION("VLOOKUP(F10891, IMPORTRANGE(""https://docs.google.com/spreadsheets/d/1Lhp9OU0JdFf_VYSMzH5lBcEaU4o8teT1piV-SNzShjg/edit?gid=554141278#gid=554141278"", ""'Char Def. - Attributes'!C20:C2242""), 1,false)"),"GROSS_WEIGHT_OPT")</f>
        <v>GROSS_WEIGHT_OPT</v>
      </c>
      <c r="I10891" s="136"/>
      <c r="R10891" s="63" t="str">
        <f t="shared" si="60"/>
        <v>ZSI1_MANUAL_BOOKGROSS_WEIGHT_OPT</v>
      </c>
    </row>
    <row r="10892" ht="15.75" customHeight="1">
      <c r="B10892" s="63">
        <f t="shared" si="1"/>
        <v>16</v>
      </c>
      <c r="C10892" s="135" t="s">
        <v>417</v>
      </c>
      <c r="D10892" s="161" t="s">
        <v>74</v>
      </c>
      <c r="E10892" s="135">
        <f t="shared" si="62"/>
        <v>8</v>
      </c>
      <c r="F10892" s="134" t="s">
        <v>4057</v>
      </c>
      <c r="G10892" s="63" t="str">
        <f>VLOOKUP(C10892, 'Class Def. - General Data'!$C$20:$C$1000,1,false)</f>
        <v>ZSI1_MANUAL_BOOK</v>
      </c>
      <c r="H10892" s="63" t="str">
        <f>IFERROR(__xludf.DUMMYFUNCTION("VLOOKUP(F10892, IMPORTRANGE(""https://docs.google.com/spreadsheets/d/1Lhp9OU0JdFf_VYSMzH5lBcEaU4o8teT1piV-SNzShjg/edit?gid=554141278#gid=554141278"", ""'Char Def. - Attributes'!C20:C2242""), 1,false)"),"NET_WEIGHT_OPT")</f>
        <v>NET_WEIGHT_OPT</v>
      </c>
      <c r="I10892" s="136"/>
      <c r="R10892" s="63" t="str">
        <f t="shared" si="60"/>
        <v>ZSI1_MANUAL_BOOKNET_WEIGHT_OPT</v>
      </c>
    </row>
    <row r="10893" ht="15.75" customHeight="1">
      <c r="B10893" s="63">
        <f t="shared" si="1"/>
        <v>16</v>
      </c>
      <c r="C10893" s="135" t="s">
        <v>417</v>
      </c>
      <c r="D10893" s="161" t="s">
        <v>74</v>
      </c>
      <c r="E10893" s="135">
        <f t="shared" si="62"/>
        <v>9</v>
      </c>
      <c r="F10893" s="134" t="s">
        <v>4058</v>
      </c>
      <c r="G10893" s="63" t="str">
        <f>VLOOKUP(C10893, 'Class Def. - General Data'!$C$20:$C$1000,1,false)</f>
        <v>ZSI1_MANUAL_BOOK</v>
      </c>
      <c r="H10893" s="63" t="str">
        <f>IFERROR(__xludf.DUMMYFUNCTION("VLOOKUP(F10893, IMPORTRANGE(""https://docs.google.com/spreadsheets/d/1Lhp9OU0JdFf_VYSMzH5lBcEaU4o8teT1piV-SNzShjg/edit?gid=554141278#gid=554141278"", ""'Char Def. - Attributes'!C20:C2242""), 1,false)"),"WEIGHT_UNIT_SI")</f>
        <v>WEIGHT_UNIT_SI</v>
      </c>
      <c r="I10893" s="136"/>
      <c r="R10893" s="63" t="str">
        <f t="shared" si="60"/>
        <v>ZSI1_MANUAL_BOOKWEIGHT_UNIT_SI</v>
      </c>
    </row>
    <row r="10894" ht="15.75" customHeight="1">
      <c r="B10894" s="63">
        <f t="shared" si="1"/>
        <v>16</v>
      </c>
      <c r="C10894" s="135" t="s">
        <v>417</v>
      </c>
      <c r="D10894" s="161" t="s">
        <v>74</v>
      </c>
      <c r="E10894" s="135">
        <f t="shared" si="62"/>
        <v>10</v>
      </c>
      <c r="F10894" s="134" t="s">
        <v>3877</v>
      </c>
      <c r="G10894" s="63" t="str">
        <f>VLOOKUP(C10894, 'Class Def. - General Data'!$C$20:$C$1000,1,false)</f>
        <v>ZSI1_MANUAL_BOOK</v>
      </c>
      <c r="H10894" s="63" t="str">
        <f>IFERROR(__xludf.DUMMYFUNCTION("VLOOKUP(F10894, IMPORTRANGE(""https://docs.google.com/spreadsheets/d/1Lhp9OU0JdFf_VYSMzH5lBcEaU4o8teT1piV-SNzShjg/edit?gid=554141278#gid=554141278"", ""'Char Def. - Attributes'!C20:C2242""), 1,false)"),"VOLUME_OPT")</f>
        <v>VOLUME_OPT</v>
      </c>
      <c r="I10894" s="136"/>
      <c r="R10894" s="63" t="str">
        <f t="shared" si="60"/>
        <v>ZSI1_MANUAL_BOOKVOLUME_OPT</v>
      </c>
    </row>
    <row r="10895" ht="15.75" customHeight="1">
      <c r="B10895" s="63">
        <f t="shared" si="1"/>
        <v>16</v>
      </c>
      <c r="C10895" s="135" t="s">
        <v>417</v>
      </c>
      <c r="D10895" s="161" t="s">
        <v>74</v>
      </c>
      <c r="E10895" s="135">
        <f t="shared" si="62"/>
        <v>11</v>
      </c>
      <c r="F10895" s="134" t="s">
        <v>4059</v>
      </c>
      <c r="G10895" s="63" t="str">
        <f>VLOOKUP(C10895, 'Class Def. - General Data'!$C$20:$C$1000,1,false)</f>
        <v>ZSI1_MANUAL_BOOK</v>
      </c>
      <c r="H10895" s="63" t="str">
        <f>IFERROR(__xludf.DUMMYFUNCTION("VLOOKUP(F10895, IMPORTRANGE(""https://docs.google.com/spreadsheets/d/1Lhp9OU0JdFf_VYSMzH5lBcEaU4o8teT1piV-SNzShjg/edit?gid=554141278#gid=554141278"", ""'Char Def. - Attributes'!C20:C2242""), 1,false)"),"VOLUME_UNIT_SI")</f>
        <v>VOLUME_UNIT_SI</v>
      </c>
      <c r="I10895" s="136"/>
      <c r="R10895" s="63" t="str">
        <f t="shared" si="60"/>
        <v>ZSI1_MANUAL_BOOKVOLUME_UNIT_SI</v>
      </c>
    </row>
    <row r="10896" ht="15.75" customHeight="1">
      <c r="B10896" s="63">
        <f t="shared" si="1"/>
        <v>16</v>
      </c>
      <c r="C10896" s="135" t="s">
        <v>417</v>
      </c>
      <c r="D10896" s="161" t="s">
        <v>74</v>
      </c>
      <c r="E10896" s="135">
        <f t="shared" si="62"/>
        <v>12</v>
      </c>
      <c r="F10896" s="134" t="s">
        <v>3804</v>
      </c>
      <c r="G10896" s="63" t="str">
        <f>VLOOKUP(C10896, 'Class Def. - General Data'!$C$20:$C$1000,1,false)</f>
        <v>ZSI1_MANUAL_BOOK</v>
      </c>
      <c r="H10896" s="63" t="str">
        <f>IFERROR(__xludf.DUMMYFUNCTION("VLOOKUP(F10896, IMPORTRANGE(""https://docs.google.com/spreadsheets/d/1Lhp9OU0JdFf_VYSMzH5lBcEaU4o8teT1piV-SNzShjg/edit?gid=554141278#gid=554141278"", ""'Char Def. - Attributes'!C20:C2242""), 1,false)"),"ALT_UOM1_SIPI")</f>
        <v>ALT_UOM1_SIPI</v>
      </c>
      <c r="I10896" s="136"/>
      <c r="R10896" s="63" t="str">
        <f t="shared" si="60"/>
        <v>ZSI1_MANUAL_BOOKALT_UOM1_SIPI</v>
      </c>
    </row>
    <row r="10897" ht="15.75" customHeight="1">
      <c r="B10897" s="63">
        <f t="shared" si="1"/>
        <v>16</v>
      </c>
      <c r="C10897" s="135" t="s">
        <v>417</v>
      </c>
      <c r="D10897" s="161" t="s">
        <v>74</v>
      </c>
      <c r="E10897" s="135">
        <f t="shared" si="62"/>
        <v>13</v>
      </c>
      <c r="F10897" s="134" t="s">
        <v>3805</v>
      </c>
      <c r="G10897" s="63" t="str">
        <f>VLOOKUP(C10897, 'Class Def. - General Data'!$C$20:$C$1000,1,false)</f>
        <v>ZSI1_MANUAL_BOOK</v>
      </c>
      <c r="H10897" s="63" t="str">
        <f>IFERROR(__xludf.DUMMYFUNCTION("VLOOKUP(F10897, IMPORTRANGE(""https://docs.google.com/spreadsheets/d/1Lhp9OU0JdFf_VYSMzH5lBcEaU4o8teT1piV-SNzShjg/edit?gid=554141278#gid=554141278"", ""'Char Def. - Attributes'!C20:C2242""), 1,false)"),"ALT_DENUM_UOM1")</f>
        <v>ALT_DENUM_UOM1</v>
      </c>
      <c r="I10897" s="136"/>
      <c r="R10897" s="63" t="str">
        <f t="shared" si="60"/>
        <v>ZSI1_MANUAL_BOOKALT_DENUM_UOM1</v>
      </c>
    </row>
    <row r="10898" ht="15.75" customHeight="1">
      <c r="B10898" s="63">
        <f t="shared" si="1"/>
        <v>16</v>
      </c>
      <c r="C10898" s="135" t="s">
        <v>417</v>
      </c>
      <c r="D10898" s="161" t="s">
        <v>74</v>
      </c>
      <c r="E10898" s="135">
        <f t="shared" si="62"/>
        <v>14</v>
      </c>
      <c r="F10898" s="134" t="s">
        <v>3806</v>
      </c>
      <c r="G10898" s="63" t="str">
        <f>VLOOKUP(C10898, 'Class Def. - General Data'!$C$20:$C$1000,1,false)</f>
        <v>ZSI1_MANUAL_BOOK</v>
      </c>
      <c r="H10898" s="63" t="str">
        <f>IFERROR(__xludf.DUMMYFUNCTION("VLOOKUP(F10898, IMPORTRANGE(""https://docs.google.com/spreadsheets/d/1Lhp9OU0JdFf_VYSMzH5lBcEaU4o8teT1piV-SNzShjg/edit?gid=554141278#gid=554141278"", ""'Char Def. - Attributes'!C20:C2242""), 1,false)"),"ALT_NUM_UOM1")</f>
        <v>ALT_NUM_UOM1</v>
      </c>
      <c r="I10898" s="136"/>
      <c r="R10898" s="63" t="str">
        <f t="shared" si="60"/>
        <v>ZSI1_MANUAL_BOOKALT_NUM_UOM1</v>
      </c>
    </row>
    <row r="10899" ht="15.75" customHeight="1">
      <c r="B10899" s="63">
        <f t="shared" si="1"/>
        <v>16</v>
      </c>
      <c r="C10899" s="135" t="s">
        <v>417</v>
      </c>
      <c r="D10899" s="161" t="s">
        <v>74</v>
      </c>
      <c r="E10899" s="135">
        <f t="shared" si="62"/>
        <v>15</v>
      </c>
      <c r="F10899" s="134" t="s">
        <v>3807</v>
      </c>
      <c r="G10899" s="63" t="str">
        <f>VLOOKUP(C10899, 'Class Def. - General Data'!$C$20:$C$1000,1,false)</f>
        <v>ZSI1_MANUAL_BOOK</v>
      </c>
      <c r="H10899" s="63" t="str">
        <f>IFERROR(__xludf.DUMMYFUNCTION("VLOOKUP(F10899, IMPORTRANGE(""https://docs.google.com/spreadsheets/d/1Lhp9OU0JdFf_VYSMzH5lBcEaU4o8teT1piV-SNzShjg/edit?gid=554141278#gid=554141278"", ""'Char Def. - Attributes'!C20:C2242""), 1,false)"),"ALT_UOM2_SIPI")</f>
        <v>ALT_UOM2_SIPI</v>
      </c>
      <c r="I10899" s="136"/>
      <c r="R10899" s="63" t="str">
        <f t="shared" si="60"/>
        <v>ZSI1_MANUAL_BOOKALT_UOM2_SIPI</v>
      </c>
    </row>
    <row r="10900" ht="15.75" customHeight="1">
      <c r="B10900" s="63">
        <f t="shared" si="1"/>
        <v>16</v>
      </c>
      <c r="C10900" s="135" t="s">
        <v>417</v>
      </c>
      <c r="D10900" s="161" t="s">
        <v>74</v>
      </c>
      <c r="E10900" s="135">
        <f t="shared" si="62"/>
        <v>16</v>
      </c>
      <c r="F10900" s="134" t="s">
        <v>3808</v>
      </c>
      <c r="G10900" s="63" t="str">
        <f>VLOOKUP(C10900, 'Class Def. - General Data'!$C$20:$C$1000,1,false)</f>
        <v>ZSI1_MANUAL_BOOK</v>
      </c>
      <c r="H10900" s="63" t="str">
        <f>IFERROR(__xludf.DUMMYFUNCTION("VLOOKUP(F10900, IMPORTRANGE(""https://docs.google.com/spreadsheets/d/1Lhp9OU0JdFf_VYSMzH5lBcEaU4o8teT1piV-SNzShjg/edit?gid=554141278#gid=554141278"", ""'Char Def. - Attributes'!C20:C2242""), 1,false)"),"ALT_DENUM_UOM2")</f>
        <v>ALT_DENUM_UOM2</v>
      </c>
      <c r="I10900" s="136"/>
      <c r="R10900" s="63" t="str">
        <f t="shared" si="60"/>
        <v>ZSI1_MANUAL_BOOKALT_DENUM_UOM2</v>
      </c>
    </row>
    <row r="10901" ht="15.75" customHeight="1">
      <c r="B10901" s="63">
        <f t="shared" si="1"/>
        <v>16</v>
      </c>
      <c r="C10901" s="135" t="s">
        <v>417</v>
      </c>
      <c r="D10901" s="161" t="s">
        <v>74</v>
      </c>
      <c r="E10901" s="135">
        <f t="shared" si="62"/>
        <v>17</v>
      </c>
      <c r="F10901" s="134" t="s">
        <v>3809</v>
      </c>
      <c r="G10901" s="63" t="str">
        <f>VLOOKUP(C10901, 'Class Def. - General Data'!$C$20:$C$1000,1,false)</f>
        <v>ZSI1_MANUAL_BOOK</v>
      </c>
      <c r="H10901" s="63" t="str">
        <f>IFERROR(__xludf.DUMMYFUNCTION("VLOOKUP(F10901, IMPORTRANGE(""https://docs.google.com/spreadsheets/d/1Lhp9OU0JdFf_VYSMzH5lBcEaU4o8teT1piV-SNzShjg/edit?gid=554141278#gid=554141278"", ""'Char Def. - Attributes'!C20:C2242""), 1,false)"),"ALT_NUM_UOM2")</f>
        <v>ALT_NUM_UOM2</v>
      </c>
      <c r="I10901" s="136"/>
      <c r="R10901" s="63" t="str">
        <f t="shared" si="60"/>
        <v>ZSI1_MANUAL_BOOKALT_NUM_UOM2</v>
      </c>
    </row>
    <row r="10902" ht="15.75" customHeight="1">
      <c r="B10902" s="63">
        <f t="shared" si="1"/>
        <v>16</v>
      </c>
      <c r="C10902" s="135" t="s">
        <v>417</v>
      </c>
      <c r="D10902" s="161" t="s">
        <v>74</v>
      </c>
      <c r="E10902" s="135">
        <f t="shared" si="62"/>
        <v>18</v>
      </c>
      <c r="F10902" s="134" t="s">
        <v>3810</v>
      </c>
      <c r="G10902" s="63" t="str">
        <f>VLOOKUP(C10902, 'Class Def. - General Data'!$C$20:$C$1000,1,false)</f>
        <v>ZSI1_MANUAL_BOOK</v>
      </c>
      <c r="H10902" s="63" t="str">
        <f>IFERROR(__xludf.DUMMYFUNCTION("VLOOKUP(F10902, IMPORTRANGE(""https://docs.google.com/spreadsheets/d/1Lhp9OU0JdFf_VYSMzH5lBcEaU4o8teT1piV-SNzShjg/edit?gid=554141278#gid=554141278"", ""'Char Def. - Attributes'!C20:C2242""), 1,false)"),"ALT_UOM3_SIPI")</f>
        <v>ALT_UOM3_SIPI</v>
      </c>
      <c r="I10902" s="136"/>
      <c r="R10902" s="63" t="str">
        <f t="shared" si="60"/>
        <v>ZSI1_MANUAL_BOOKALT_UOM3_SIPI</v>
      </c>
    </row>
    <row r="10903" ht="15.75" customHeight="1">
      <c r="B10903" s="63">
        <f t="shared" si="1"/>
        <v>16</v>
      </c>
      <c r="C10903" s="135" t="s">
        <v>417</v>
      </c>
      <c r="D10903" s="161" t="s">
        <v>74</v>
      </c>
      <c r="E10903" s="135">
        <f t="shared" si="62"/>
        <v>19</v>
      </c>
      <c r="F10903" s="134" t="s">
        <v>3811</v>
      </c>
      <c r="G10903" s="63" t="str">
        <f>VLOOKUP(C10903, 'Class Def. - General Data'!$C$20:$C$1000,1,false)</f>
        <v>ZSI1_MANUAL_BOOK</v>
      </c>
      <c r="H10903" s="63" t="str">
        <f>IFERROR(__xludf.DUMMYFUNCTION("VLOOKUP(F10903, IMPORTRANGE(""https://docs.google.com/spreadsheets/d/1Lhp9OU0JdFf_VYSMzH5lBcEaU4o8teT1piV-SNzShjg/edit?gid=554141278#gid=554141278"", ""'Char Def. - Attributes'!C20:C2242""), 1,false)"),"ALT_DENUM_UOM3")</f>
        <v>ALT_DENUM_UOM3</v>
      </c>
      <c r="I10903" s="136"/>
      <c r="R10903" s="63" t="str">
        <f t="shared" si="60"/>
        <v>ZSI1_MANUAL_BOOKALT_DENUM_UOM3</v>
      </c>
    </row>
    <row r="10904" ht="15.75" customHeight="1">
      <c r="B10904" s="63">
        <f t="shared" si="1"/>
        <v>16</v>
      </c>
      <c r="C10904" s="135" t="s">
        <v>417</v>
      </c>
      <c r="D10904" s="161" t="s">
        <v>74</v>
      </c>
      <c r="E10904" s="135">
        <f t="shared" si="62"/>
        <v>20</v>
      </c>
      <c r="F10904" s="134" t="s">
        <v>3812</v>
      </c>
      <c r="G10904" s="63" t="str">
        <f>VLOOKUP(C10904, 'Class Def. - General Data'!$C$20:$C$1000,1,false)</f>
        <v>ZSI1_MANUAL_BOOK</v>
      </c>
      <c r="H10904" s="63" t="str">
        <f>IFERROR(__xludf.DUMMYFUNCTION("VLOOKUP(F10904, IMPORTRANGE(""https://docs.google.com/spreadsheets/d/1Lhp9OU0JdFf_VYSMzH5lBcEaU4o8teT1piV-SNzShjg/edit?gid=554141278#gid=554141278"", ""'Char Def. - Attributes'!C20:C2242""), 1,false)"),"ALT_NUM_UOM3")</f>
        <v>ALT_NUM_UOM3</v>
      </c>
      <c r="I10904" s="136"/>
      <c r="R10904" s="63" t="str">
        <f t="shared" si="60"/>
        <v>ZSI1_MANUAL_BOOKALT_NUM_UOM3</v>
      </c>
    </row>
    <row r="10905" ht="15.75" customHeight="1">
      <c r="B10905" s="63">
        <f t="shared" si="1"/>
        <v>16</v>
      </c>
      <c r="C10905" s="135" t="s">
        <v>417</v>
      </c>
      <c r="D10905" s="161" t="s">
        <v>74</v>
      </c>
      <c r="E10905" s="135">
        <f t="shared" si="62"/>
        <v>21</v>
      </c>
      <c r="F10905" s="134" t="s">
        <v>3813</v>
      </c>
      <c r="G10905" s="63" t="str">
        <f>VLOOKUP(C10905, 'Class Def. - General Data'!$C$20:$C$1000,1,false)</f>
        <v>ZSI1_MANUAL_BOOK</v>
      </c>
      <c r="H10905" s="63" t="str">
        <f>IFERROR(__xludf.DUMMYFUNCTION("VLOOKUP(F10905, IMPORTRANGE(""https://docs.google.com/spreadsheets/d/1Lhp9OU0JdFf_VYSMzH5lBcEaU4o8teT1piV-SNzShjg/edit?gid=554141278#gid=554141278"", ""'Char Def. - Attributes'!C20:C2242""), 1,false)"),"ALT_UOM4_SIPI")</f>
        <v>ALT_UOM4_SIPI</v>
      </c>
      <c r="I10905" s="136"/>
      <c r="R10905" s="63" t="str">
        <f t="shared" si="60"/>
        <v>ZSI1_MANUAL_BOOKALT_UOM4_SIPI</v>
      </c>
    </row>
    <row r="10906" ht="15.75" customHeight="1">
      <c r="B10906" s="63">
        <f t="shared" si="1"/>
        <v>16</v>
      </c>
      <c r="C10906" s="135" t="s">
        <v>417</v>
      </c>
      <c r="D10906" s="161" t="s">
        <v>74</v>
      </c>
      <c r="E10906" s="135">
        <f t="shared" si="62"/>
        <v>22</v>
      </c>
      <c r="F10906" s="134" t="s">
        <v>3814</v>
      </c>
      <c r="G10906" s="63" t="str">
        <f>VLOOKUP(C10906, 'Class Def. - General Data'!$C$20:$C$1000,1,false)</f>
        <v>ZSI1_MANUAL_BOOK</v>
      </c>
      <c r="H10906" s="63" t="str">
        <f>IFERROR(__xludf.DUMMYFUNCTION("VLOOKUP(F10906, IMPORTRANGE(""https://docs.google.com/spreadsheets/d/1Lhp9OU0JdFf_VYSMzH5lBcEaU4o8teT1piV-SNzShjg/edit?gid=554141278#gid=554141278"", ""'Char Def. - Attributes'!C20:C2242""), 1,false)"),"ALT_DENUM_UOM4")</f>
        <v>ALT_DENUM_UOM4</v>
      </c>
      <c r="I10906" s="136"/>
      <c r="R10906" s="63" t="str">
        <f t="shared" si="60"/>
        <v>ZSI1_MANUAL_BOOKALT_DENUM_UOM4</v>
      </c>
    </row>
    <row r="10907" ht="15.75" customHeight="1">
      <c r="B10907" s="63">
        <f t="shared" si="1"/>
        <v>16</v>
      </c>
      <c r="C10907" s="135" t="s">
        <v>417</v>
      </c>
      <c r="D10907" s="161" t="s">
        <v>74</v>
      </c>
      <c r="E10907" s="135">
        <f t="shared" si="62"/>
        <v>23</v>
      </c>
      <c r="F10907" s="134" t="s">
        <v>3815</v>
      </c>
      <c r="G10907" s="63" t="str">
        <f>VLOOKUP(C10907, 'Class Def. - General Data'!$C$20:$C$1000,1,false)</f>
        <v>ZSI1_MANUAL_BOOK</v>
      </c>
      <c r="H10907" s="63" t="str">
        <f>IFERROR(__xludf.DUMMYFUNCTION("VLOOKUP(F10907, IMPORTRANGE(""https://docs.google.com/spreadsheets/d/1Lhp9OU0JdFf_VYSMzH5lBcEaU4o8teT1piV-SNzShjg/edit?gid=554141278#gid=554141278"", ""'Char Def. - Attributes'!C20:C2242""), 1,false)"),"ALT_NUM_UOM4")</f>
        <v>ALT_NUM_UOM4</v>
      </c>
      <c r="I10907" s="136"/>
      <c r="R10907" s="63" t="str">
        <f t="shared" si="60"/>
        <v>ZSI1_MANUAL_BOOKALT_NUM_UOM4</v>
      </c>
    </row>
    <row r="10908" ht="15.75" customHeight="1">
      <c r="B10908" s="63">
        <f t="shared" si="1"/>
        <v>16</v>
      </c>
      <c r="C10908" s="135" t="s">
        <v>417</v>
      </c>
      <c r="D10908" s="161" t="s">
        <v>74</v>
      </c>
      <c r="E10908" s="135">
        <f t="shared" si="62"/>
        <v>24</v>
      </c>
      <c r="F10908" s="134" t="s">
        <v>3816</v>
      </c>
      <c r="G10908" s="63" t="str">
        <f>VLOOKUP(C10908, 'Class Def. - General Data'!$C$20:$C$1000,1,false)</f>
        <v>ZSI1_MANUAL_BOOK</v>
      </c>
      <c r="H10908" s="63" t="str">
        <f>IFERROR(__xludf.DUMMYFUNCTION("VLOOKUP(F10908, IMPORTRANGE(""https://docs.google.com/spreadsheets/d/1Lhp9OU0JdFf_VYSMzH5lBcEaU4o8teT1piV-SNzShjg/edit?gid=554141278#gid=554141278"", ""'Char Def. - Attributes'!C20:C2242""), 1,false)"),"ALT_UOM5_SIPI")</f>
        <v>ALT_UOM5_SIPI</v>
      </c>
      <c r="I10908" s="136"/>
      <c r="R10908" s="63" t="str">
        <f t="shared" si="60"/>
        <v>ZSI1_MANUAL_BOOKALT_UOM5_SIPI</v>
      </c>
    </row>
    <row r="10909" ht="15.75" customHeight="1">
      <c r="B10909" s="63">
        <f t="shared" si="1"/>
        <v>16</v>
      </c>
      <c r="C10909" s="135" t="s">
        <v>417</v>
      </c>
      <c r="D10909" s="161" t="s">
        <v>74</v>
      </c>
      <c r="E10909" s="135">
        <f t="shared" si="62"/>
        <v>25</v>
      </c>
      <c r="F10909" s="134" t="s">
        <v>3817</v>
      </c>
      <c r="G10909" s="63" t="str">
        <f>VLOOKUP(C10909, 'Class Def. - General Data'!$C$20:$C$1000,1,false)</f>
        <v>ZSI1_MANUAL_BOOK</v>
      </c>
      <c r="H10909" s="63" t="str">
        <f>IFERROR(__xludf.DUMMYFUNCTION("VLOOKUP(F10909, IMPORTRANGE(""https://docs.google.com/spreadsheets/d/1Lhp9OU0JdFf_VYSMzH5lBcEaU4o8teT1piV-SNzShjg/edit?gid=554141278#gid=554141278"", ""'Char Def. - Attributes'!C20:C2242""), 1,false)"),"ALT_DENUM_UOM5")</f>
        <v>ALT_DENUM_UOM5</v>
      </c>
      <c r="I10909" s="136"/>
      <c r="R10909" s="63" t="str">
        <f t="shared" si="60"/>
        <v>ZSI1_MANUAL_BOOKALT_DENUM_UOM5</v>
      </c>
    </row>
    <row r="10910" ht="15.75" customHeight="1">
      <c r="B10910" s="63">
        <f t="shared" si="1"/>
        <v>16</v>
      </c>
      <c r="C10910" s="135" t="s">
        <v>417</v>
      </c>
      <c r="D10910" s="161" t="s">
        <v>74</v>
      </c>
      <c r="E10910" s="135">
        <f t="shared" si="62"/>
        <v>26</v>
      </c>
      <c r="F10910" s="134" t="s">
        <v>3818</v>
      </c>
      <c r="G10910" s="63" t="str">
        <f>VLOOKUP(C10910, 'Class Def. - General Data'!$C$20:$C$1000,1,false)</f>
        <v>ZSI1_MANUAL_BOOK</v>
      </c>
      <c r="H10910" s="63" t="str">
        <f>IFERROR(__xludf.DUMMYFUNCTION("VLOOKUP(F10910, IMPORTRANGE(""https://docs.google.com/spreadsheets/d/1Lhp9OU0JdFf_VYSMzH5lBcEaU4o8teT1piV-SNzShjg/edit?gid=554141278#gid=554141278"", ""'Char Def. - Attributes'!C20:C2242""), 1,false)"),"ALT_NUM_UOM5")</f>
        <v>ALT_NUM_UOM5</v>
      </c>
      <c r="I10910" s="136"/>
      <c r="R10910" s="63" t="str">
        <f t="shared" si="60"/>
        <v>ZSI1_MANUAL_BOOKALT_NUM_UOM5</v>
      </c>
    </row>
    <row r="10911" ht="15.75" customHeight="1">
      <c r="B10911" s="63">
        <f t="shared" si="1"/>
        <v>18</v>
      </c>
      <c r="C10911" s="135" t="s">
        <v>329</v>
      </c>
      <c r="D10911" s="161" t="s">
        <v>74</v>
      </c>
      <c r="E10911" s="135">
        <f t="shared" si="62"/>
        <v>1</v>
      </c>
      <c r="F10911" s="134" t="s">
        <v>4833</v>
      </c>
      <c r="G10911" s="63" t="str">
        <f>VLOOKUP(C10911, 'Class Def. - General Data'!$C$20:$C$1000,1,false)</f>
        <v>ZSI1_MATL_HANDLING</v>
      </c>
      <c r="H10911" s="63" t="str">
        <f>IFERROR(__xludf.DUMMYFUNCTION("VLOOKUP(F10911, IMPORTRANGE(""https://docs.google.com/spreadsheets/d/1Lhp9OU0JdFf_VYSMzH5lBcEaU4o8teT1piV-SNzShjg/edit?gid=554141278#gid=554141278"", ""'Char Def. - Attributes'!C20:C2242""), 1,false)"),"ITEM_NAME_MATL_HANDLING")</f>
        <v>ITEM_NAME_MATL_HANDLING</v>
      </c>
      <c r="I10911" s="136"/>
      <c r="R10911" s="63" t="str">
        <f t="shared" si="60"/>
        <v>ZSI1_MATL_HANDLINGITEM_NAME_MATL_HANDLING</v>
      </c>
    </row>
    <row r="10912" ht="15.75" customHeight="1">
      <c r="B10912" s="63">
        <f t="shared" si="1"/>
        <v>18</v>
      </c>
      <c r="C10912" s="135" t="s">
        <v>329</v>
      </c>
      <c r="D10912" s="161" t="s">
        <v>74</v>
      </c>
      <c r="E10912" s="135">
        <f t="shared" si="62"/>
        <v>2</v>
      </c>
      <c r="F10912" s="134" t="s">
        <v>4834</v>
      </c>
      <c r="G10912" s="63" t="str">
        <f>VLOOKUP(C10912, 'Class Def. - General Data'!$C$20:$C$1000,1,false)</f>
        <v>ZSI1_MATL_HANDLING</v>
      </c>
      <c r="H10912" s="63" t="str">
        <f>IFERROR(__xludf.DUMMYFUNCTION("VLOOKUP(F10912, IMPORTRANGE(""https://docs.google.com/spreadsheets/d/1Lhp9OU0JdFf_VYSMzH5lBcEaU4o8teT1piV-SNzShjg/edit?gid=554141278#gid=554141278"", ""'Char Def. - Attributes'!C20:C2242""), 1,false)"),"MFR_NO_MATL_HANDLING")</f>
        <v>MFR_NO_MATL_HANDLING</v>
      </c>
      <c r="I10912" s="136"/>
      <c r="R10912" s="63" t="str">
        <f t="shared" si="60"/>
        <v>ZSI1_MATL_HANDLINGMFR_NO_MATL_HANDLING</v>
      </c>
    </row>
    <row r="10913" ht="15.75" customHeight="1">
      <c r="B10913" s="63">
        <f t="shared" si="1"/>
        <v>18</v>
      </c>
      <c r="C10913" s="135" t="s">
        <v>329</v>
      </c>
      <c r="D10913" s="161" t="s">
        <v>74</v>
      </c>
      <c r="E10913" s="135">
        <f t="shared" si="62"/>
        <v>3</v>
      </c>
      <c r="F10913" s="134" t="s">
        <v>3782</v>
      </c>
      <c r="G10913" s="63" t="str">
        <f>VLOOKUP(C10913, 'Class Def. - General Data'!$C$20:$C$1000,1,false)</f>
        <v>ZSI1_MATL_HANDLING</v>
      </c>
      <c r="H10913" s="63" t="str">
        <f>IFERROR(__xludf.DUMMYFUNCTION("VLOOKUP(F10913, IMPORTRANGE(""https://docs.google.com/spreadsheets/d/1Lhp9OU0JdFf_VYSMzH5lBcEaU4o8teT1piV-SNzShjg/edit?gid=554141278#gid=554141278"", ""'Char Def. - Attributes'!C20:C2242""), 1,false)"),"BRAND_EXTERNAL")</f>
        <v>BRAND_EXTERNAL</v>
      </c>
      <c r="I10913" s="136"/>
      <c r="R10913" s="63" t="str">
        <f t="shared" si="60"/>
        <v>ZSI1_MATL_HANDLINGBRAND_EXTERNAL</v>
      </c>
    </row>
    <row r="10914" ht="15.75" customHeight="1">
      <c r="B10914" s="63">
        <f t="shared" si="1"/>
        <v>18</v>
      </c>
      <c r="C10914" s="135" t="s">
        <v>329</v>
      </c>
      <c r="D10914" s="161" t="s">
        <v>74</v>
      </c>
      <c r="E10914" s="135">
        <f t="shared" si="62"/>
        <v>4</v>
      </c>
      <c r="F10914" s="134" t="s">
        <v>4062</v>
      </c>
      <c r="G10914" s="63" t="str">
        <f>VLOOKUP(C10914, 'Class Def. - General Data'!$C$20:$C$1000,1,false)</f>
        <v>ZSI1_MATL_HANDLING</v>
      </c>
      <c r="H10914" s="63" t="str">
        <f>IFERROR(__xludf.DUMMYFUNCTION("VLOOKUP(F10914, IMPORTRANGE(""https://docs.google.com/spreadsheets/d/1Lhp9OU0JdFf_VYSMzH5lBcEaU4o8teT1piV-SNzShjg/edit?gid=554141278#gid=554141278"", ""'Char Def. - Attributes'!C20:C2242""), 1,false)"),"#N/A")</f>
        <v>#N/A</v>
      </c>
      <c r="I10914" s="136"/>
      <c r="R10914" s="63" t="str">
        <f t="shared" si="60"/>
        <v>ZSI1_MATL_HANDLINGADDTIONAL_SPECIFICATION</v>
      </c>
    </row>
    <row r="10915" ht="15.75" customHeight="1">
      <c r="B10915" s="63">
        <f t="shared" si="1"/>
        <v>18</v>
      </c>
      <c r="C10915" s="135" t="s">
        <v>329</v>
      </c>
      <c r="D10915" s="161" t="s">
        <v>74</v>
      </c>
      <c r="E10915" s="135">
        <f t="shared" si="62"/>
        <v>5</v>
      </c>
      <c r="F10915" s="134" t="s">
        <v>4053</v>
      </c>
      <c r="G10915" s="63" t="str">
        <f>VLOOKUP(C10915, 'Class Def. - General Data'!$C$20:$C$1000,1,false)</f>
        <v>ZSI1_MATL_HANDLING</v>
      </c>
      <c r="H10915" s="63" t="str">
        <f>IFERROR(__xludf.DUMMYFUNCTION("VLOOKUP(F10915, IMPORTRANGE(""https://docs.google.com/spreadsheets/d/1Lhp9OU0JdFf_VYSMzH5lBcEaU4o8teT1piV-SNzShjg/edit?gid=554141278#gid=554141278"", ""'Char Def. - Attributes'!C20:C2242""), 1,false)"),"MAINTENANCE_ORDER_TYPE")</f>
        <v>MAINTENANCE_ORDER_TYPE</v>
      </c>
      <c r="I10915" s="136"/>
      <c r="R10915" s="63" t="str">
        <f t="shared" si="60"/>
        <v>ZSI1_MATL_HANDLINGMAINTENANCE_ORDER_TYPE</v>
      </c>
    </row>
    <row r="10916" ht="15.75" customHeight="1">
      <c r="B10916" s="63">
        <f t="shared" si="1"/>
        <v>18</v>
      </c>
      <c r="C10916" s="135" t="s">
        <v>329</v>
      </c>
      <c r="D10916" s="161" t="s">
        <v>74</v>
      </c>
      <c r="E10916" s="135">
        <f t="shared" si="62"/>
        <v>6</v>
      </c>
      <c r="F10916" s="134" t="s">
        <v>3585</v>
      </c>
      <c r="G10916" s="63" t="str">
        <f>VLOOKUP(C10916, 'Class Def. - General Data'!$C$20:$C$1000,1,false)</f>
        <v>ZSI1_MATL_HANDLING</v>
      </c>
      <c r="H10916" s="63" t="str">
        <f>IFERROR(__xludf.DUMMYFUNCTION("VLOOKUP(F10916, IMPORTRANGE(""https://docs.google.com/spreadsheets/d/1Lhp9OU0JdFf_VYSMzH5lBcEaU4o8teT1piV-SNzShjg/edit?gid=554141278#gid=554141278"", ""'Char Def. - Attributes'!C20:C2242""), 1,false)"),"HS_CODE")</f>
        <v>HS_CODE</v>
      </c>
      <c r="I10916" s="136"/>
      <c r="R10916" s="63" t="str">
        <f t="shared" si="60"/>
        <v>ZSI1_MATL_HANDLINGHS_CODE</v>
      </c>
    </row>
    <row r="10917" ht="15.75" customHeight="1">
      <c r="B10917" s="63">
        <f t="shared" si="1"/>
        <v>18</v>
      </c>
      <c r="C10917" s="135" t="s">
        <v>329</v>
      </c>
      <c r="D10917" s="161" t="s">
        <v>74</v>
      </c>
      <c r="E10917" s="135">
        <f t="shared" si="62"/>
        <v>7</v>
      </c>
      <c r="F10917" s="134" t="s">
        <v>3587</v>
      </c>
      <c r="G10917" s="63" t="str">
        <f>VLOOKUP(C10917, 'Class Def. - General Data'!$C$20:$C$1000,1,false)</f>
        <v>ZSI1_MATL_HANDLING</v>
      </c>
      <c r="H10917" s="63" t="str">
        <f>IFERROR(__xludf.DUMMYFUNCTION("VLOOKUP(F10917, IMPORTRANGE(""https://docs.google.com/spreadsheets/d/1Lhp9OU0JdFf_VYSMzH5lBcEaU4o8teT1piV-SNzShjg/edit?gid=554141278#gid=554141278"", ""'Char Def. - Attributes'!C20:C2242""), 1,false)"),"PLANT_BUY")</f>
        <v>PLANT_BUY</v>
      </c>
      <c r="I10917" s="136"/>
      <c r="R10917" s="63" t="str">
        <f t="shared" si="60"/>
        <v>ZSI1_MATL_HANDLINGPLANT_BUY</v>
      </c>
    </row>
    <row r="10918" ht="15.75" customHeight="1">
      <c r="B10918" s="63">
        <f t="shared" si="1"/>
        <v>18</v>
      </c>
      <c r="C10918" s="135" t="s">
        <v>329</v>
      </c>
      <c r="D10918" s="161" t="s">
        <v>74</v>
      </c>
      <c r="E10918" s="135">
        <f t="shared" si="62"/>
        <v>8</v>
      </c>
      <c r="F10918" s="134" t="s">
        <v>4835</v>
      </c>
      <c r="G10918" s="63" t="str">
        <f>VLOOKUP(C10918, 'Class Def. - General Data'!$C$20:$C$1000,1,false)</f>
        <v>ZSI1_MATL_HANDLING</v>
      </c>
      <c r="H10918" s="63" t="str">
        <f>IFERROR(__xludf.DUMMYFUNCTION("VLOOKUP(F10918, IMPORTRANGE(""https://docs.google.com/spreadsheets/d/1Lhp9OU0JdFf_VYSMzH5lBcEaU4o8teT1piV-SNzShjg/edit?gid=554141278#gid=554141278"", ""'Char Def. - Attributes'!C20:C2242""), 1,false)"),"BASE_UOM_MATL_HANDLING")</f>
        <v>BASE_UOM_MATL_HANDLING</v>
      </c>
      <c r="I10918" s="136"/>
      <c r="R10918" s="63" t="str">
        <f t="shared" si="60"/>
        <v>ZSI1_MATL_HANDLINGBASE_UOM_MATL_HANDLING</v>
      </c>
    </row>
    <row r="10919" ht="15.75" customHeight="1">
      <c r="B10919" s="63">
        <f t="shared" si="1"/>
        <v>18</v>
      </c>
      <c r="C10919" s="135" t="s">
        <v>329</v>
      </c>
      <c r="D10919" s="161" t="s">
        <v>74</v>
      </c>
      <c r="E10919" s="135">
        <f t="shared" si="62"/>
        <v>9</v>
      </c>
      <c r="F10919" s="134" t="s">
        <v>4836</v>
      </c>
      <c r="G10919" s="63" t="str">
        <f>VLOOKUP(C10919, 'Class Def. - General Data'!$C$20:$C$1000,1,false)</f>
        <v>ZSI1_MATL_HANDLING</v>
      </c>
      <c r="H10919" s="63" t="str">
        <f>IFERROR(__xludf.DUMMYFUNCTION("VLOOKUP(F10919, IMPORTRANGE(""https://docs.google.com/spreadsheets/d/1Lhp9OU0JdFf_VYSMzH5lBcEaU4o8teT1piV-SNzShjg/edit?gid=554141278#gid=554141278"", ""'Char Def. - Attributes'!C20:C2242""), 1,false)"),"ORDER_UNIT_MATL_HANDLING")</f>
        <v>ORDER_UNIT_MATL_HANDLING</v>
      </c>
      <c r="I10919" s="136"/>
      <c r="R10919" s="63" t="str">
        <f t="shared" si="60"/>
        <v>ZSI1_MATL_HANDLINGORDER_UNIT_MATL_HANDLING</v>
      </c>
    </row>
    <row r="10920" ht="15.75" customHeight="1">
      <c r="B10920" s="63">
        <f t="shared" si="1"/>
        <v>18</v>
      </c>
      <c r="C10920" s="135" t="s">
        <v>329</v>
      </c>
      <c r="D10920" s="161" t="s">
        <v>74</v>
      </c>
      <c r="E10920" s="135">
        <f t="shared" si="62"/>
        <v>10</v>
      </c>
      <c r="F10920" s="134" t="s">
        <v>4056</v>
      </c>
      <c r="G10920" s="63" t="str">
        <f>VLOOKUP(C10920, 'Class Def. - General Data'!$C$20:$C$1000,1,false)</f>
        <v>ZSI1_MATL_HANDLING</v>
      </c>
      <c r="H10920" s="63" t="str">
        <f>IFERROR(__xludf.DUMMYFUNCTION("VLOOKUP(F10920, IMPORTRANGE(""https://docs.google.com/spreadsheets/d/1Lhp9OU0JdFf_VYSMzH5lBcEaU4o8teT1piV-SNzShjg/edit?gid=554141278#gid=554141278"", ""'Char Def. - Attributes'!C20:C2242""), 1,false)"),"GROSS_WEIGHT_OPT")</f>
        <v>GROSS_WEIGHT_OPT</v>
      </c>
      <c r="I10920" s="136"/>
      <c r="R10920" s="63" t="str">
        <f t="shared" si="60"/>
        <v>ZSI1_MATL_HANDLINGGROSS_WEIGHT_OPT</v>
      </c>
    </row>
    <row r="10921" ht="15.75" customHeight="1">
      <c r="B10921" s="63">
        <f t="shared" si="1"/>
        <v>18</v>
      </c>
      <c r="C10921" s="135" t="s">
        <v>329</v>
      </c>
      <c r="D10921" s="161" t="s">
        <v>74</v>
      </c>
      <c r="E10921" s="135">
        <f t="shared" si="62"/>
        <v>11</v>
      </c>
      <c r="F10921" s="134" t="s">
        <v>4057</v>
      </c>
      <c r="G10921" s="63" t="str">
        <f>VLOOKUP(C10921, 'Class Def. - General Data'!$C$20:$C$1000,1,false)</f>
        <v>ZSI1_MATL_HANDLING</v>
      </c>
      <c r="H10921" s="63" t="str">
        <f>IFERROR(__xludf.DUMMYFUNCTION("VLOOKUP(F10921, IMPORTRANGE(""https://docs.google.com/spreadsheets/d/1Lhp9OU0JdFf_VYSMzH5lBcEaU4o8teT1piV-SNzShjg/edit?gid=554141278#gid=554141278"", ""'Char Def. - Attributes'!C20:C2242""), 1,false)"),"NET_WEIGHT_OPT")</f>
        <v>NET_WEIGHT_OPT</v>
      </c>
      <c r="I10921" s="136"/>
      <c r="R10921" s="63" t="str">
        <f t="shared" si="60"/>
        <v>ZSI1_MATL_HANDLINGNET_WEIGHT_OPT</v>
      </c>
    </row>
    <row r="10922" ht="15.75" customHeight="1">
      <c r="B10922" s="63">
        <f t="shared" si="1"/>
        <v>18</v>
      </c>
      <c r="C10922" s="135" t="s">
        <v>329</v>
      </c>
      <c r="D10922" s="161" t="s">
        <v>74</v>
      </c>
      <c r="E10922" s="135">
        <f t="shared" si="62"/>
        <v>12</v>
      </c>
      <c r="F10922" s="134" t="s">
        <v>4058</v>
      </c>
      <c r="G10922" s="63" t="str">
        <f>VLOOKUP(C10922, 'Class Def. - General Data'!$C$20:$C$1000,1,false)</f>
        <v>ZSI1_MATL_HANDLING</v>
      </c>
      <c r="H10922" s="63" t="str">
        <f>IFERROR(__xludf.DUMMYFUNCTION("VLOOKUP(F10922, IMPORTRANGE(""https://docs.google.com/spreadsheets/d/1Lhp9OU0JdFf_VYSMzH5lBcEaU4o8teT1piV-SNzShjg/edit?gid=554141278#gid=554141278"", ""'Char Def. - Attributes'!C20:C2242""), 1,false)"),"WEIGHT_UNIT_SI")</f>
        <v>WEIGHT_UNIT_SI</v>
      </c>
      <c r="I10922" s="136"/>
      <c r="R10922" s="63" t="str">
        <f t="shared" si="60"/>
        <v>ZSI1_MATL_HANDLINGWEIGHT_UNIT_SI</v>
      </c>
    </row>
    <row r="10923" ht="15.75" customHeight="1">
      <c r="B10923" s="63">
        <f t="shared" si="1"/>
        <v>18</v>
      </c>
      <c r="C10923" s="135" t="s">
        <v>329</v>
      </c>
      <c r="D10923" s="161" t="s">
        <v>74</v>
      </c>
      <c r="E10923" s="135">
        <f t="shared" si="62"/>
        <v>13</v>
      </c>
      <c r="F10923" s="134" t="s">
        <v>3877</v>
      </c>
      <c r="G10923" s="63" t="str">
        <f>VLOOKUP(C10923, 'Class Def. - General Data'!$C$20:$C$1000,1,false)</f>
        <v>ZSI1_MATL_HANDLING</v>
      </c>
      <c r="H10923" s="63" t="str">
        <f>IFERROR(__xludf.DUMMYFUNCTION("VLOOKUP(F10923, IMPORTRANGE(""https://docs.google.com/spreadsheets/d/1Lhp9OU0JdFf_VYSMzH5lBcEaU4o8teT1piV-SNzShjg/edit?gid=554141278#gid=554141278"", ""'Char Def. - Attributes'!C20:C2242""), 1,false)"),"VOLUME_OPT")</f>
        <v>VOLUME_OPT</v>
      </c>
      <c r="I10923" s="136"/>
      <c r="R10923" s="63" t="str">
        <f t="shared" si="60"/>
        <v>ZSI1_MATL_HANDLINGVOLUME_OPT</v>
      </c>
    </row>
    <row r="10924" ht="15.75" customHeight="1">
      <c r="B10924" s="63">
        <f t="shared" si="1"/>
        <v>18</v>
      </c>
      <c r="C10924" s="135" t="s">
        <v>329</v>
      </c>
      <c r="D10924" s="161" t="s">
        <v>74</v>
      </c>
      <c r="E10924" s="135">
        <f t="shared" si="62"/>
        <v>14</v>
      </c>
      <c r="F10924" s="134" t="s">
        <v>4059</v>
      </c>
      <c r="G10924" s="63" t="str">
        <f>VLOOKUP(C10924, 'Class Def. - General Data'!$C$20:$C$1000,1,false)</f>
        <v>ZSI1_MATL_HANDLING</v>
      </c>
      <c r="H10924" s="63" t="str">
        <f>IFERROR(__xludf.DUMMYFUNCTION("VLOOKUP(F10924, IMPORTRANGE(""https://docs.google.com/spreadsheets/d/1Lhp9OU0JdFf_VYSMzH5lBcEaU4o8teT1piV-SNzShjg/edit?gid=554141278#gid=554141278"", ""'Char Def. - Attributes'!C20:C2242""), 1,false)"),"VOLUME_UNIT_SI")</f>
        <v>VOLUME_UNIT_SI</v>
      </c>
      <c r="I10924" s="136"/>
      <c r="R10924" s="63" t="str">
        <f t="shared" si="60"/>
        <v>ZSI1_MATL_HANDLINGVOLUME_UNIT_SI</v>
      </c>
    </row>
    <row r="10925" ht="15.75" customHeight="1">
      <c r="B10925" s="63">
        <f t="shared" si="1"/>
        <v>18</v>
      </c>
      <c r="C10925" s="135" t="s">
        <v>329</v>
      </c>
      <c r="D10925" s="161" t="s">
        <v>74</v>
      </c>
      <c r="E10925" s="135">
        <f t="shared" si="62"/>
        <v>15</v>
      </c>
      <c r="F10925" s="134" t="s">
        <v>3804</v>
      </c>
      <c r="G10925" s="63" t="str">
        <f>VLOOKUP(C10925, 'Class Def. - General Data'!$C$20:$C$1000,1,false)</f>
        <v>ZSI1_MATL_HANDLING</v>
      </c>
      <c r="H10925" s="63" t="str">
        <f>IFERROR(__xludf.DUMMYFUNCTION("VLOOKUP(F10925, IMPORTRANGE(""https://docs.google.com/spreadsheets/d/1Lhp9OU0JdFf_VYSMzH5lBcEaU4o8teT1piV-SNzShjg/edit?gid=554141278#gid=554141278"", ""'Char Def. - Attributes'!C20:C2242""), 1,false)"),"ALT_UOM1_SIPI")</f>
        <v>ALT_UOM1_SIPI</v>
      </c>
      <c r="I10925" s="136"/>
      <c r="R10925" s="63" t="str">
        <f t="shared" si="60"/>
        <v>ZSI1_MATL_HANDLINGALT_UOM1_SIPI</v>
      </c>
    </row>
    <row r="10926" ht="15.75" customHeight="1">
      <c r="B10926" s="63">
        <f t="shared" si="1"/>
        <v>18</v>
      </c>
      <c r="C10926" s="135" t="s">
        <v>329</v>
      </c>
      <c r="D10926" s="161" t="s">
        <v>74</v>
      </c>
      <c r="E10926" s="135">
        <f t="shared" si="62"/>
        <v>16</v>
      </c>
      <c r="F10926" s="134" t="s">
        <v>3805</v>
      </c>
      <c r="G10926" s="63" t="str">
        <f>VLOOKUP(C10926, 'Class Def. - General Data'!$C$20:$C$1000,1,false)</f>
        <v>ZSI1_MATL_HANDLING</v>
      </c>
      <c r="H10926" s="63" t="str">
        <f>IFERROR(__xludf.DUMMYFUNCTION("VLOOKUP(F10926, IMPORTRANGE(""https://docs.google.com/spreadsheets/d/1Lhp9OU0JdFf_VYSMzH5lBcEaU4o8teT1piV-SNzShjg/edit?gid=554141278#gid=554141278"", ""'Char Def. - Attributes'!C20:C2242""), 1,false)"),"ALT_DENUM_UOM1")</f>
        <v>ALT_DENUM_UOM1</v>
      </c>
      <c r="I10926" s="136"/>
      <c r="R10926" s="63" t="str">
        <f t="shared" si="60"/>
        <v>ZSI1_MATL_HANDLINGALT_DENUM_UOM1</v>
      </c>
    </row>
    <row r="10927" ht="15.75" customHeight="1">
      <c r="B10927" s="63">
        <f t="shared" si="1"/>
        <v>18</v>
      </c>
      <c r="C10927" s="135" t="s">
        <v>329</v>
      </c>
      <c r="D10927" s="161" t="s">
        <v>74</v>
      </c>
      <c r="E10927" s="135">
        <f t="shared" si="62"/>
        <v>17</v>
      </c>
      <c r="F10927" s="134" t="s">
        <v>3806</v>
      </c>
      <c r="G10927" s="63" t="str">
        <f>VLOOKUP(C10927, 'Class Def. - General Data'!$C$20:$C$1000,1,false)</f>
        <v>ZSI1_MATL_HANDLING</v>
      </c>
      <c r="H10927" s="63" t="str">
        <f>IFERROR(__xludf.DUMMYFUNCTION("VLOOKUP(F10927, IMPORTRANGE(""https://docs.google.com/spreadsheets/d/1Lhp9OU0JdFf_VYSMzH5lBcEaU4o8teT1piV-SNzShjg/edit?gid=554141278#gid=554141278"", ""'Char Def. - Attributes'!C20:C2242""), 1,false)"),"ALT_NUM_UOM1")</f>
        <v>ALT_NUM_UOM1</v>
      </c>
      <c r="I10927" s="136"/>
      <c r="R10927" s="63" t="str">
        <f t="shared" si="60"/>
        <v>ZSI1_MATL_HANDLINGALT_NUM_UOM1</v>
      </c>
    </row>
    <row r="10928" ht="15.75" customHeight="1">
      <c r="B10928" s="63">
        <f t="shared" si="1"/>
        <v>18</v>
      </c>
      <c r="C10928" s="135" t="s">
        <v>329</v>
      </c>
      <c r="D10928" s="161" t="s">
        <v>74</v>
      </c>
      <c r="E10928" s="135">
        <f t="shared" si="62"/>
        <v>18</v>
      </c>
      <c r="F10928" s="134" t="s">
        <v>3807</v>
      </c>
      <c r="G10928" s="63" t="str">
        <f>VLOOKUP(C10928, 'Class Def. - General Data'!$C$20:$C$1000,1,false)</f>
        <v>ZSI1_MATL_HANDLING</v>
      </c>
      <c r="H10928" s="63" t="str">
        <f>IFERROR(__xludf.DUMMYFUNCTION("VLOOKUP(F10928, IMPORTRANGE(""https://docs.google.com/spreadsheets/d/1Lhp9OU0JdFf_VYSMzH5lBcEaU4o8teT1piV-SNzShjg/edit?gid=554141278#gid=554141278"", ""'Char Def. - Attributes'!C20:C2242""), 1,false)"),"ALT_UOM2_SIPI")</f>
        <v>ALT_UOM2_SIPI</v>
      </c>
      <c r="I10928" s="136"/>
      <c r="R10928" s="63" t="str">
        <f t="shared" si="60"/>
        <v>ZSI1_MATL_HANDLINGALT_UOM2_SIPI</v>
      </c>
    </row>
    <row r="10929" ht="15.75" customHeight="1">
      <c r="B10929" s="63">
        <f t="shared" si="1"/>
        <v>18</v>
      </c>
      <c r="C10929" s="135" t="s">
        <v>329</v>
      </c>
      <c r="D10929" s="161" t="s">
        <v>74</v>
      </c>
      <c r="E10929" s="135">
        <f t="shared" si="62"/>
        <v>19</v>
      </c>
      <c r="F10929" s="134" t="s">
        <v>3808</v>
      </c>
      <c r="G10929" s="63" t="str">
        <f>VLOOKUP(C10929, 'Class Def. - General Data'!$C$20:$C$1000,1,false)</f>
        <v>ZSI1_MATL_HANDLING</v>
      </c>
      <c r="H10929" s="63" t="str">
        <f>IFERROR(__xludf.DUMMYFUNCTION("VLOOKUP(F10929, IMPORTRANGE(""https://docs.google.com/spreadsheets/d/1Lhp9OU0JdFf_VYSMzH5lBcEaU4o8teT1piV-SNzShjg/edit?gid=554141278#gid=554141278"", ""'Char Def. - Attributes'!C20:C2242""), 1,false)"),"ALT_DENUM_UOM2")</f>
        <v>ALT_DENUM_UOM2</v>
      </c>
      <c r="I10929" s="136"/>
      <c r="R10929" s="63" t="str">
        <f t="shared" si="60"/>
        <v>ZSI1_MATL_HANDLINGALT_DENUM_UOM2</v>
      </c>
    </row>
    <row r="10930" ht="15.75" customHeight="1">
      <c r="B10930" s="63">
        <f t="shared" si="1"/>
        <v>18</v>
      </c>
      <c r="C10930" s="135" t="s">
        <v>329</v>
      </c>
      <c r="D10930" s="161" t="s">
        <v>74</v>
      </c>
      <c r="E10930" s="135">
        <f t="shared" si="62"/>
        <v>20</v>
      </c>
      <c r="F10930" s="134" t="s">
        <v>3809</v>
      </c>
      <c r="G10930" s="63" t="str">
        <f>VLOOKUP(C10930, 'Class Def. - General Data'!$C$20:$C$1000,1,false)</f>
        <v>ZSI1_MATL_HANDLING</v>
      </c>
      <c r="H10930" s="63" t="str">
        <f>IFERROR(__xludf.DUMMYFUNCTION("VLOOKUP(F10930, IMPORTRANGE(""https://docs.google.com/spreadsheets/d/1Lhp9OU0JdFf_VYSMzH5lBcEaU4o8teT1piV-SNzShjg/edit?gid=554141278#gid=554141278"", ""'Char Def. - Attributes'!C20:C2242""), 1,false)"),"ALT_NUM_UOM2")</f>
        <v>ALT_NUM_UOM2</v>
      </c>
      <c r="I10930" s="136"/>
      <c r="R10930" s="63" t="str">
        <f t="shared" si="60"/>
        <v>ZSI1_MATL_HANDLINGALT_NUM_UOM2</v>
      </c>
    </row>
    <row r="10931" ht="15.75" customHeight="1">
      <c r="B10931" s="63">
        <f t="shared" si="1"/>
        <v>18</v>
      </c>
      <c r="C10931" s="135" t="s">
        <v>329</v>
      </c>
      <c r="D10931" s="161" t="s">
        <v>74</v>
      </c>
      <c r="E10931" s="135">
        <f t="shared" si="62"/>
        <v>21</v>
      </c>
      <c r="F10931" s="134" t="s">
        <v>3810</v>
      </c>
      <c r="G10931" s="63" t="str">
        <f>VLOOKUP(C10931, 'Class Def. - General Data'!$C$20:$C$1000,1,false)</f>
        <v>ZSI1_MATL_HANDLING</v>
      </c>
      <c r="H10931" s="63" t="str">
        <f>IFERROR(__xludf.DUMMYFUNCTION("VLOOKUP(F10931, IMPORTRANGE(""https://docs.google.com/spreadsheets/d/1Lhp9OU0JdFf_VYSMzH5lBcEaU4o8teT1piV-SNzShjg/edit?gid=554141278#gid=554141278"", ""'Char Def. - Attributes'!C20:C2242""), 1,false)"),"ALT_UOM3_SIPI")</f>
        <v>ALT_UOM3_SIPI</v>
      </c>
      <c r="I10931" s="136"/>
      <c r="R10931" s="63" t="str">
        <f t="shared" si="60"/>
        <v>ZSI1_MATL_HANDLINGALT_UOM3_SIPI</v>
      </c>
    </row>
    <row r="10932" ht="15.75" customHeight="1">
      <c r="B10932" s="63">
        <f t="shared" si="1"/>
        <v>18</v>
      </c>
      <c r="C10932" s="135" t="s">
        <v>329</v>
      </c>
      <c r="D10932" s="161" t="s">
        <v>74</v>
      </c>
      <c r="E10932" s="135">
        <f t="shared" si="62"/>
        <v>22</v>
      </c>
      <c r="F10932" s="134" t="s">
        <v>3811</v>
      </c>
      <c r="G10932" s="63" t="str">
        <f>VLOOKUP(C10932, 'Class Def. - General Data'!$C$20:$C$1000,1,false)</f>
        <v>ZSI1_MATL_HANDLING</v>
      </c>
      <c r="H10932" s="63" t="str">
        <f>IFERROR(__xludf.DUMMYFUNCTION("VLOOKUP(F10932, IMPORTRANGE(""https://docs.google.com/spreadsheets/d/1Lhp9OU0JdFf_VYSMzH5lBcEaU4o8teT1piV-SNzShjg/edit?gid=554141278#gid=554141278"", ""'Char Def. - Attributes'!C20:C2242""), 1,false)"),"ALT_DENUM_UOM3")</f>
        <v>ALT_DENUM_UOM3</v>
      </c>
      <c r="I10932" s="136"/>
      <c r="R10932" s="63" t="str">
        <f t="shared" si="60"/>
        <v>ZSI1_MATL_HANDLINGALT_DENUM_UOM3</v>
      </c>
    </row>
    <row r="10933" ht="15.75" customHeight="1">
      <c r="B10933" s="63">
        <f t="shared" si="1"/>
        <v>18</v>
      </c>
      <c r="C10933" s="135" t="s">
        <v>329</v>
      </c>
      <c r="D10933" s="161" t="s">
        <v>74</v>
      </c>
      <c r="E10933" s="135">
        <f t="shared" si="62"/>
        <v>23</v>
      </c>
      <c r="F10933" s="134" t="s">
        <v>3812</v>
      </c>
      <c r="G10933" s="63" t="str">
        <f>VLOOKUP(C10933, 'Class Def. - General Data'!$C$20:$C$1000,1,false)</f>
        <v>ZSI1_MATL_HANDLING</v>
      </c>
      <c r="H10933" s="63" t="str">
        <f>IFERROR(__xludf.DUMMYFUNCTION("VLOOKUP(F10933, IMPORTRANGE(""https://docs.google.com/spreadsheets/d/1Lhp9OU0JdFf_VYSMzH5lBcEaU4o8teT1piV-SNzShjg/edit?gid=554141278#gid=554141278"", ""'Char Def. - Attributes'!C20:C2242""), 1,false)"),"ALT_NUM_UOM3")</f>
        <v>ALT_NUM_UOM3</v>
      </c>
      <c r="I10933" s="136"/>
      <c r="R10933" s="63" t="str">
        <f t="shared" si="60"/>
        <v>ZSI1_MATL_HANDLINGALT_NUM_UOM3</v>
      </c>
    </row>
    <row r="10934" ht="15.75" customHeight="1">
      <c r="B10934" s="63">
        <f t="shared" si="1"/>
        <v>18</v>
      </c>
      <c r="C10934" s="135" t="s">
        <v>329</v>
      </c>
      <c r="D10934" s="161" t="s">
        <v>74</v>
      </c>
      <c r="E10934" s="135">
        <f t="shared" si="62"/>
        <v>24</v>
      </c>
      <c r="F10934" s="134" t="s">
        <v>3813</v>
      </c>
      <c r="G10934" s="63" t="str">
        <f>VLOOKUP(C10934, 'Class Def. - General Data'!$C$20:$C$1000,1,false)</f>
        <v>ZSI1_MATL_HANDLING</v>
      </c>
      <c r="H10934" s="63" t="str">
        <f>IFERROR(__xludf.DUMMYFUNCTION("VLOOKUP(F10934, IMPORTRANGE(""https://docs.google.com/spreadsheets/d/1Lhp9OU0JdFf_VYSMzH5lBcEaU4o8teT1piV-SNzShjg/edit?gid=554141278#gid=554141278"", ""'Char Def. - Attributes'!C20:C2242""), 1,false)"),"ALT_UOM4_SIPI")</f>
        <v>ALT_UOM4_SIPI</v>
      </c>
      <c r="I10934" s="136"/>
      <c r="R10934" s="63" t="str">
        <f t="shared" si="60"/>
        <v>ZSI1_MATL_HANDLINGALT_UOM4_SIPI</v>
      </c>
    </row>
    <row r="10935" ht="15.75" customHeight="1">
      <c r="B10935" s="63">
        <f t="shared" si="1"/>
        <v>18</v>
      </c>
      <c r="C10935" s="135" t="s">
        <v>329</v>
      </c>
      <c r="D10935" s="161" t="s">
        <v>74</v>
      </c>
      <c r="E10935" s="135">
        <f t="shared" si="62"/>
        <v>25</v>
      </c>
      <c r="F10935" s="134" t="s">
        <v>3814</v>
      </c>
      <c r="G10935" s="63" t="str">
        <f>VLOOKUP(C10935, 'Class Def. - General Data'!$C$20:$C$1000,1,false)</f>
        <v>ZSI1_MATL_HANDLING</v>
      </c>
      <c r="H10935" s="63" t="str">
        <f>IFERROR(__xludf.DUMMYFUNCTION("VLOOKUP(F10935, IMPORTRANGE(""https://docs.google.com/spreadsheets/d/1Lhp9OU0JdFf_VYSMzH5lBcEaU4o8teT1piV-SNzShjg/edit?gid=554141278#gid=554141278"", ""'Char Def. - Attributes'!C20:C2242""), 1,false)"),"ALT_DENUM_UOM4")</f>
        <v>ALT_DENUM_UOM4</v>
      </c>
      <c r="I10935" s="136"/>
      <c r="R10935" s="63" t="str">
        <f t="shared" si="60"/>
        <v>ZSI1_MATL_HANDLINGALT_DENUM_UOM4</v>
      </c>
    </row>
    <row r="10936" ht="15.75" customHeight="1">
      <c r="B10936" s="63">
        <f t="shared" si="1"/>
        <v>18</v>
      </c>
      <c r="C10936" s="135" t="s">
        <v>329</v>
      </c>
      <c r="D10936" s="161" t="s">
        <v>74</v>
      </c>
      <c r="E10936" s="135">
        <f t="shared" si="62"/>
        <v>26</v>
      </c>
      <c r="F10936" s="134" t="s">
        <v>3815</v>
      </c>
      <c r="G10936" s="63" t="str">
        <f>VLOOKUP(C10936, 'Class Def. - General Data'!$C$20:$C$1000,1,false)</f>
        <v>ZSI1_MATL_HANDLING</v>
      </c>
      <c r="H10936" s="63" t="str">
        <f>IFERROR(__xludf.DUMMYFUNCTION("VLOOKUP(F10936, IMPORTRANGE(""https://docs.google.com/spreadsheets/d/1Lhp9OU0JdFf_VYSMzH5lBcEaU4o8teT1piV-SNzShjg/edit?gid=554141278#gid=554141278"", ""'Char Def. - Attributes'!C20:C2242""), 1,false)"),"ALT_NUM_UOM4")</f>
        <v>ALT_NUM_UOM4</v>
      </c>
      <c r="I10936" s="136"/>
      <c r="R10936" s="63" t="str">
        <f t="shared" si="60"/>
        <v>ZSI1_MATL_HANDLINGALT_NUM_UOM4</v>
      </c>
    </row>
    <row r="10937" ht="15.75" customHeight="1">
      <c r="B10937" s="63">
        <f t="shared" si="1"/>
        <v>18</v>
      </c>
      <c r="C10937" s="135" t="s">
        <v>329</v>
      </c>
      <c r="D10937" s="161" t="s">
        <v>74</v>
      </c>
      <c r="E10937" s="135">
        <f t="shared" si="62"/>
        <v>27</v>
      </c>
      <c r="F10937" s="134" t="s">
        <v>3816</v>
      </c>
      <c r="G10937" s="63" t="str">
        <f>VLOOKUP(C10937, 'Class Def. - General Data'!$C$20:$C$1000,1,false)</f>
        <v>ZSI1_MATL_HANDLING</v>
      </c>
      <c r="H10937" s="63" t="str">
        <f>IFERROR(__xludf.DUMMYFUNCTION("VLOOKUP(F10937, IMPORTRANGE(""https://docs.google.com/spreadsheets/d/1Lhp9OU0JdFf_VYSMzH5lBcEaU4o8teT1piV-SNzShjg/edit?gid=554141278#gid=554141278"", ""'Char Def. - Attributes'!C20:C2242""), 1,false)"),"ALT_UOM5_SIPI")</f>
        <v>ALT_UOM5_SIPI</v>
      </c>
      <c r="I10937" s="136"/>
      <c r="R10937" s="63" t="str">
        <f t="shared" si="60"/>
        <v>ZSI1_MATL_HANDLINGALT_UOM5_SIPI</v>
      </c>
    </row>
    <row r="10938" ht="15.75" customHeight="1">
      <c r="B10938" s="63">
        <f t="shared" si="1"/>
        <v>18</v>
      </c>
      <c r="C10938" s="135" t="s">
        <v>329</v>
      </c>
      <c r="D10938" s="161" t="s">
        <v>74</v>
      </c>
      <c r="E10938" s="135">
        <f t="shared" si="62"/>
        <v>28</v>
      </c>
      <c r="F10938" s="134" t="s">
        <v>3817</v>
      </c>
      <c r="G10938" s="63" t="str">
        <f>VLOOKUP(C10938, 'Class Def. - General Data'!$C$20:$C$1000,1,false)</f>
        <v>ZSI1_MATL_HANDLING</v>
      </c>
      <c r="H10938" s="63" t="str">
        <f>IFERROR(__xludf.DUMMYFUNCTION("VLOOKUP(F10938, IMPORTRANGE(""https://docs.google.com/spreadsheets/d/1Lhp9OU0JdFf_VYSMzH5lBcEaU4o8teT1piV-SNzShjg/edit?gid=554141278#gid=554141278"", ""'Char Def. - Attributes'!C20:C2242""), 1,false)"),"ALT_DENUM_UOM5")</f>
        <v>ALT_DENUM_UOM5</v>
      </c>
      <c r="I10938" s="136"/>
      <c r="R10938" s="63" t="str">
        <f t="shared" si="60"/>
        <v>ZSI1_MATL_HANDLINGALT_DENUM_UOM5</v>
      </c>
    </row>
    <row r="10939" ht="15.75" customHeight="1">
      <c r="B10939" s="63">
        <f t="shared" si="1"/>
        <v>18</v>
      </c>
      <c r="C10939" s="135" t="s">
        <v>329</v>
      </c>
      <c r="D10939" s="161" t="s">
        <v>74</v>
      </c>
      <c r="E10939" s="135">
        <f t="shared" si="62"/>
        <v>29</v>
      </c>
      <c r="F10939" s="134" t="s">
        <v>3818</v>
      </c>
      <c r="G10939" s="63" t="str">
        <f>VLOOKUP(C10939, 'Class Def. - General Data'!$C$20:$C$1000,1,false)</f>
        <v>ZSI1_MATL_HANDLING</v>
      </c>
      <c r="H10939" s="63" t="str">
        <f>IFERROR(__xludf.DUMMYFUNCTION("VLOOKUP(F10939, IMPORTRANGE(""https://docs.google.com/spreadsheets/d/1Lhp9OU0JdFf_VYSMzH5lBcEaU4o8teT1piV-SNzShjg/edit?gid=554141278#gid=554141278"", ""'Char Def. - Attributes'!C20:C2242""), 1,false)"),"ALT_NUM_UOM5")</f>
        <v>ALT_NUM_UOM5</v>
      </c>
      <c r="I10939" s="136"/>
      <c r="R10939" s="63" t="str">
        <f t="shared" si="60"/>
        <v>ZSI1_MATL_HANDLINGALT_NUM_UOM5</v>
      </c>
    </row>
    <row r="10940" ht="15.75" customHeight="1">
      <c r="B10940" s="63">
        <f t="shared" si="1"/>
        <v>17</v>
      </c>
      <c r="C10940" s="135" t="s">
        <v>336</v>
      </c>
      <c r="D10940" s="161" t="s">
        <v>74</v>
      </c>
      <c r="E10940" s="135">
        <f t="shared" si="62"/>
        <v>1</v>
      </c>
      <c r="F10940" s="134" t="s">
        <v>4837</v>
      </c>
      <c r="G10940" s="63" t="str">
        <f>VLOOKUP(C10940, 'Class Def. - General Data'!$C$20:$C$1000,1,false)</f>
        <v>ZSI1_MC_COMPONENT</v>
      </c>
      <c r="H10940" s="63" t="str">
        <f>IFERROR(__xludf.DUMMYFUNCTION("VLOOKUP(F10940, IMPORTRANGE(""https://docs.google.com/spreadsheets/d/1Lhp9OU0JdFf_VYSMzH5lBcEaU4o8teT1piV-SNzShjg/edit?gid=554141278#gid=554141278"", ""'Char Def. - Attributes'!C20:C2242""), 1,false)"),"ITEM_NAME_MC_COMPONENT")</f>
        <v>ITEM_NAME_MC_COMPONENT</v>
      </c>
      <c r="I10940" s="136"/>
      <c r="R10940" s="63" t="str">
        <f t="shared" si="60"/>
        <v>ZSI1_MC_COMPONENTITEM_NAME_MC_COMPONENT</v>
      </c>
    </row>
    <row r="10941" ht="15.75" customHeight="1">
      <c r="B10941" s="63">
        <f t="shared" si="1"/>
        <v>17</v>
      </c>
      <c r="C10941" s="135" t="s">
        <v>336</v>
      </c>
      <c r="D10941" s="161" t="s">
        <v>74</v>
      </c>
      <c r="E10941" s="135">
        <f t="shared" si="62"/>
        <v>2</v>
      </c>
      <c r="F10941" s="134" t="s">
        <v>4838</v>
      </c>
      <c r="G10941" s="63" t="str">
        <f>VLOOKUP(C10941, 'Class Def. - General Data'!$C$20:$C$1000,1,false)</f>
        <v>ZSI1_MC_COMPONENT</v>
      </c>
      <c r="H10941" s="63" t="str">
        <f>IFERROR(__xludf.DUMMYFUNCTION("VLOOKUP(F10941, IMPORTRANGE(""https://docs.google.com/spreadsheets/d/1Lhp9OU0JdFf_VYSMzH5lBcEaU4o8teT1piV-SNzShjg/edit?gid=554141278#gid=554141278"", ""'Char Def. - Attributes'!C20:C2242""), 1,false)"),"MFR_NO_MC_COMPONENT")</f>
        <v>MFR_NO_MC_COMPONENT</v>
      </c>
      <c r="I10941" s="136"/>
      <c r="R10941" s="63" t="str">
        <f t="shared" si="60"/>
        <v>ZSI1_MC_COMPONENTMFR_NO_MC_COMPONENT</v>
      </c>
    </row>
    <row r="10942" ht="15.75" customHeight="1">
      <c r="B10942" s="63">
        <f t="shared" si="1"/>
        <v>17</v>
      </c>
      <c r="C10942" s="135" t="s">
        <v>336</v>
      </c>
      <c r="D10942" s="161" t="s">
        <v>74</v>
      </c>
      <c r="E10942" s="135">
        <f t="shared" si="62"/>
        <v>3</v>
      </c>
      <c r="F10942" s="134" t="s">
        <v>3782</v>
      </c>
      <c r="G10942" s="63" t="str">
        <f>VLOOKUP(C10942, 'Class Def. - General Data'!$C$20:$C$1000,1,false)</f>
        <v>ZSI1_MC_COMPONENT</v>
      </c>
      <c r="H10942" s="63" t="str">
        <f>IFERROR(__xludf.DUMMYFUNCTION("VLOOKUP(F10942, IMPORTRANGE(""https://docs.google.com/spreadsheets/d/1Lhp9OU0JdFf_VYSMzH5lBcEaU4o8teT1piV-SNzShjg/edit?gid=554141278#gid=554141278"", ""'Char Def. - Attributes'!C20:C2242""), 1,false)"),"BRAND_EXTERNAL")</f>
        <v>BRAND_EXTERNAL</v>
      </c>
      <c r="I10942" s="136"/>
      <c r="R10942" s="63" t="str">
        <f t="shared" si="60"/>
        <v>ZSI1_MC_COMPONENTBRAND_EXTERNAL</v>
      </c>
    </row>
    <row r="10943" ht="15.75" customHeight="1">
      <c r="B10943" s="63">
        <f t="shared" si="1"/>
        <v>17</v>
      </c>
      <c r="C10943" s="135" t="s">
        <v>336</v>
      </c>
      <c r="D10943" s="161" t="s">
        <v>74</v>
      </c>
      <c r="E10943" s="135">
        <f t="shared" si="62"/>
        <v>4</v>
      </c>
      <c r="F10943" s="134" t="s">
        <v>4062</v>
      </c>
      <c r="G10943" s="63" t="str">
        <f>VLOOKUP(C10943, 'Class Def. - General Data'!$C$20:$C$1000,1,false)</f>
        <v>ZSI1_MC_COMPONENT</v>
      </c>
      <c r="H10943" s="63" t="str">
        <f>IFERROR(__xludf.DUMMYFUNCTION("VLOOKUP(F10943, IMPORTRANGE(""https://docs.google.com/spreadsheets/d/1Lhp9OU0JdFf_VYSMzH5lBcEaU4o8teT1piV-SNzShjg/edit?gid=554141278#gid=554141278"", ""'Char Def. - Attributes'!C20:C2242""), 1,false)"),"#N/A")</f>
        <v>#N/A</v>
      </c>
      <c r="I10943" s="136"/>
      <c r="R10943" s="63" t="str">
        <f t="shared" si="60"/>
        <v>ZSI1_MC_COMPONENTADDTIONAL_SPECIFICATION</v>
      </c>
    </row>
    <row r="10944" ht="15.75" customHeight="1">
      <c r="B10944" s="63">
        <f t="shared" si="1"/>
        <v>17</v>
      </c>
      <c r="C10944" s="135" t="s">
        <v>336</v>
      </c>
      <c r="D10944" s="161" t="s">
        <v>74</v>
      </c>
      <c r="E10944" s="135">
        <f t="shared" si="62"/>
        <v>5</v>
      </c>
      <c r="F10944" s="134" t="s">
        <v>3585</v>
      </c>
      <c r="G10944" s="63" t="str">
        <f>VLOOKUP(C10944, 'Class Def. - General Data'!$C$20:$C$1000,1,false)</f>
        <v>ZSI1_MC_COMPONENT</v>
      </c>
      <c r="H10944" s="63" t="str">
        <f>IFERROR(__xludf.DUMMYFUNCTION("VLOOKUP(F10944, IMPORTRANGE(""https://docs.google.com/spreadsheets/d/1Lhp9OU0JdFf_VYSMzH5lBcEaU4o8teT1piV-SNzShjg/edit?gid=554141278#gid=554141278"", ""'Char Def. - Attributes'!C20:C2242""), 1,false)"),"HS_CODE")</f>
        <v>HS_CODE</v>
      </c>
      <c r="I10944" s="136"/>
      <c r="R10944" s="63" t="str">
        <f t="shared" si="60"/>
        <v>ZSI1_MC_COMPONENTHS_CODE</v>
      </c>
    </row>
    <row r="10945" ht="15.75" customHeight="1">
      <c r="B10945" s="63">
        <f t="shared" si="1"/>
        <v>17</v>
      </c>
      <c r="C10945" s="135" t="s">
        <v>336</v>
      </c>
      <c r="D10945" s="161" t="s">
        <v>74</v>
      </c>
      <c r="E10945" s="135">
        <f t="shared" si="62"/>
        <v>6</v>
      </c>
      <c r="F10945" s="134" t="s">
        <v>3587</v>
      </c>
      <c r="G10945" s="63" t="str">
        <f>VLOOKUP(C10945, 'Class Def. - General Data'!$C$20:$C$1000,1,false)</f>
        <v>ZSI1_MC_COMPONENT</v>
      </c>
      <c r="H10945" s="63" t="str">
        <f>IFERROR(__xludf.DUMMYFUNCTION("VLOOKUP(F10945, IMPORTRANGE(""https://docs.google.com/spreadsheets/d/1Lhp9OU0JdFf_VYSMzH5lBcEaU4o8teT1piV-SNzShjg/edit?gid=554141278#gid=554141278"", ""'Char Def. - Attributes'!C20:C2242""), 1,false)"),"PLANT_BUY")</f>
        <v>PLANT_BUY</v>
      </c>
      <c r="I10945" s="136"/>
      <c r="R10945" s="63" t="str">
        <f t="shared" si="60"/>
        <v>ZSI1_MC_COMPONENTPLANT_BUY</v>
      </c>
    </row>
    <row r="10946" ht="15.75" customHeight="1">
      <c r="B10946" s="63">
        <f t="shared" si="1"/>
        <v>17</v>
      </c>
      <c r="C10946" s="135" t="s">
        <v>336</v>
      </c>
      <c r="D10946" s="161" t="s">
        <v>74</v>
      </c>
      <c r="E10946" s="135">
        <f t="shared" si="62"/>
        <v>7</v>
      </c>
      <c r="F10946" s="134" t="s">
        <v>4839</v>
      </c>
      <c r="G10946" s="63" t="str">
        <f>VLOOKUP(C10946, 'Class Def. - General Data'!$C$20:$C$1000,1,false)</f>
        <v>ZSI1_MC_COMPONENT</v>
      </c>
      <c r="H10946" s="63" t="str">
        <f>IFERROR(__xludf.DUMMYFUNCTION("VLOOKUP(F10946, IMPORTRANGE(""https://docs.google.com/spreadsheets/d/1Lhp9OU0JdFf_VYSMzH5lBcEaU4o8teT1piV-SNzShjg/edit?gid=554141278#gid=554141278"", ""'Char Def. - Attributes'!C20:C2242""), 1,false)"),"BASE_UOM_MC_COMPONENT")</f>
        <v>BASE_UOM_MC_COMPONENT</v>
      </c>
      <c r="I10946" s="136"/>
      <c r="R10946" s="63" t="str">
        <f t="shared" si="60"/>
        <v>ZSI1_MC_COMPONENTBASE_UOM_MC_COMPONENT</v>
      </c>
    </row>
    <row r="10947" ht="15.75" customHeight="1">
      <c r="B10947" s="63">
        <f t="shared" si="1"/>
        <v>17</v>
      </c>
      <c r="C10947" s="135" t="s">
        <v>336</v>
      </c>
      <c r="D10947" s="161" t="s">
        <v>74</v>
      </c>
      <c r="E10947" s="135">
        <f t="shared" si="62"/>
        <v>8</v>
      </c>
      <c r="F10947" s="134" t="s">
        <v>4840</v>
      </c>
      <c r="G10947" s="63" t="str">
        <f>VLOOKUP(C10947, 'Class Def. - General Data'!$C$20:$C$1000,1,false)</f>
        <v>ZSI1_MC_COMPONENT</v>
      </c>
      <c r="H10947" s="63" t="str">
        <f>IFERROR(__xludf.DUMMYFUNCTION("VLOOKUP(F10947, IMPORTRANGE(""https://docs.google.com/spreadsheets/d/1Lhp9OU0JdFf_VYSMzH5lBcEaU4o8teT1piV-SNzShjg/edit?gid=554141278#gid=554141278"", ""'Char Def. - Attributes'!C20:C2242""), 1,false)"),"ORDER_UNIT_MC_COMPONENT")</f>
        <v>ORDER_UNIT_MC_COMPONENT</v>
      </c>
      <c r="I10947" s="136"/>
      <c r="R10947" s="63" t="str">
        <f t="shared" si="60"/>
        <v>ZSI1_MC_COMPONENTORDER_UNIT_MC_COMPONENT</v>
      </c>
    </row>
    <row r="10948" ht="15.75" customHeight="1">
      <c r="B10948" s="63">
        <f t="shared" si="1"/>
        <v>17</v>
      </c>
      <c r="C10948" s="135" t="s">
        <v>336</v>
      </c>
      <c r="D10948" s="161" t="s">
        <v>74</v>
      </c>
      <c r="E10948" s="135">
        <f t="shared" si="62"/>
        <v>9</v>
      </c>
      <c r="F10948" s="134" t="s">
        <v>4056</v>
      </c>
      <c r="G10948" s="63" t="str">
        <f>VLOOKUP(C10948, 'Class Def. - General Data'!$C$20:$C$1000,1,false)</f>
        <v>ZSI1_MC_COMPONENT</v>
      </c>
      <c r="H10948" s="63" t="str">
        <f>IFERROR(__xludf.DUMMYFUNCTION("VLOOKUP(F10948, IMPORTRANGE(""https://docs.google.com/spreadsheets/d/1Lhp9OU0JdFf_VYSMzH5lBcEaU4o8teT1piV-SNzShjg/edit?gid=554141278#gid=554141278"", ""'Char Def. - Attributes'!C20:C2242""), 1,false)"),"GROSS_WEIGHT_OPT")</f>
        <v>GROSS_WEIGHT_OPT</v>
      </c>
      <c r="I10948" s="136"/>
      <c r="R10948" s="63" t="str">
        <f t="shared" si="60"/>
        <v>ZSI1_MC_COMPONENTGROSS_WEIGHT_OPT</v>
      </c>
    </row>
    <row r="10949" ht="15.75" customHeight="1">
      <c r="B10949" s="63">
        <f t="shared" si="1"/>
        <v>17</v>
      </c>
      <c r="C10949" s="135" t="s">
        <v>336</v>
      </c>
      <c r="D10949" s="161" t="s">
        <v>74</v>
      </c>
      <c r="E10949" s="135">
        <f t="shared" si="62"/>
        <v>10</v>
      </c>
      <c r="F10949" s="134" t="s">
        <v>4057</v>
      </c>
      <c r="G10949" s="63" t="str">
        <f>VLOOKUP(C10949, 'Class Def. - General Data'!$C$20:$C$1000,1,false)</f>
        <v>ZSI1_MC_COMPONENT</v>
      </c>
      <c r="H10949" s="63" t="str">
        <f>IFERROR(__xludf.DUMMYFUNCTION("VLOOKUP(F10949, IMPORTRANGE(""https://docs.google.com/spreadsheets/d/1Lhp9OU0JdFf_VYSMzH5lBcEaU4o8teT1piV-SNzShjg/edit?gid=554141278#gid=554141278"", ""'Char Def. - Attributes'!C20:C2242""), 1,false)"),"NET_WEIGHT_OPT")</f>
        <v>NET_WEIGHT_OPT</v>
      </c>
      <c r="I10949" s="136"/>
      <c r="R10949" s="63" t="str">
        <f t="shared" si="60"/>
        <v>ZSI1_MC_COMPONENTNET_WEIGHT_OPT</v>
      </c>
    </row>
    <row r="10950" ht="15.75" customHeight="1">
      <c r="B10950" s="63">
        <f t="shared" si="1"/>
        <v>17</v>
      </c>
      <c r="C10950" s="135" t="s">
        <v>336</v>
      </c>
      <c r="D10950" s="161" t="s">
        <v>74</v>
      </c>
      <c r="E10950" s="135">
        <f t="shared" si="62"/>
        <v>11</v>
      </c>
      <c r="F10950" s="134" t="s">
        <v>4058</v>
      </c>
      <c r="G10950" s="63" t="str">
        <f>VLOOKUP(C10950, 'Class Def. - General Data'!$C$20:$C$1000,1,false)</f>
        <v>ZSI1_MC_COMPONENT</v>
      </c>
      <c r="H10950" s="63" t="str">
        <f>IFERROR(__xludf.DUMMYFUNCTION("VLOOKUP(F10950, IMPORTRANGE(""https://docs.google.com/spreadsheets/d/1Lhp9OU0JdFf_VYSMzH5lBcEaU4o8teT1piV-SNzShjg/edit?gid=554141278#gid=554141278"", ""'Char Def. - Attributes'!C20:C2242""), 1,false)"),"WEIGHT_UNIT_SI")</f>
        <v>WEIGHT_UNIT_SI</v>
      </c>
      <c r="I10950" s="136"/>
      <c r="R10950" s="63" t="str">
        <f t="shared" si="60"/>
        <v>ZSI1_MC_COMPONENTWEIGHT_UNIT_SI</v>
      </c>
    </row>
    <row r="10951" ht="15.75" customHeight="1">
      <c r="B10951" s="63">
        <f t="shared" si="1"/>
        <v>17</v>
      </c>
      <c r="C10951" s="135" t="s">
        <v>336</v>
      </c>
      <c r="D10951" s="161" t="s">
        <v>74</v>
      </c>
      <c r="E10951" s="135">
        <f t="shared" si="62"/>
        <v>12</v>
      </c>
      <c r="F10951" s="134" t="s">
        <v>3877</v>
      </c>
      <c r="G10951" s="63" t="str">
        <f>VLOOKUP(C10951, 'Class Def. - General Data'!$C$20:$C$1000,1,false)</f>
        <v>ZSI1_MC_COMPONENT</v>
      </c>
      <c r="H10951" s="63" t="str">
        <f>IFERROR(__xludf.DUMMYFUNCTION("VLOOKUP(F10951, IMPORTRANGE(""https://docs.google.com/spreadsheets/d/1Lhp9OU0JdFf_VYSMzH5lBcEaU4o8teT1piV-SNzShjg/edit?gid=554141278#gid=554141278"", ""'Char Def. - Attributes'!C20:C2242""), 1,false)"),"VOLUME_OPT")</f>
        <v>VOLUME_OPT</v>
      </c>
      <c r="I10951" s="136"/>
      <c r="R10951" s="63" t="str">
        <f t="shared" si="60"/>
        <v>ZSI1_MC_COMPONENTVOLUME_OPT</v>
      </c>
    </row>
    <row r="10952" ht="15.75" customHeight="1">
      <c r="B10952" s="63">
        <f t="shared" si="1"/>
        <v>17</v>
      </c>
      <c r="C10952" s="135" t="s">
        <v>336</v>
      </c>
      <c r="D10952" s="161" t="s">
        <v>74</v>
      </c>
      <c r="E10952" s="135">
        <f t="shared" si="62"/>
        <v>13</v>
      </c>
      <c r="F10952" s="134" t="s">
        <v>4059</v>
      </c>
      <c r="G10952" s="63" t="str">
        <f>VLOOKUP(C10952, 'Class Def. - General Data'!$C$20:$C$1000,1,false)</f>
        <v>ZSI1_MC_COMPONENT</v>
      </c>
      <c r="H10952" s="63" t="str">
        <f>IFERROR(__xludf.DUMMYFUNCTION("VLOOKUP(F10952, IMPORTRANGE(""https://docs.google.com/spreadsheets/d/1Lhp9OU0JdFf_VYSMzH5lBcEaU4o8teT1piV-SNzShjg/edit?gid=554141278#gid=554141278"", ""'Char Def. - Attributes'!C20:C2242""), 1,false)"),"VOLUME_UNIT_SI")</f>
        <v>VOLUME_UNIT_SI</v>
      </c>
      <c r="I10952" s="136"/>
      <c r="R10952" s="63" t="str">
        <f t="shared" si="60"/>
        <v>ZSI1_MC_COMPONENTVOLUME_UNIT_SI</v>
      </c>
    </row>
    <row r="10953" ht="15.75" customHeight="1">
      <c r="B10953" s="63">
        <f t="shared" si="1"/>
        <v>17</v>
      </c>
      <c r="C10953" s="135" t="s">
        <v>336</v>
      </c>
      <c r="D10953" s="161" t="s">
        <v>74</v>
      </c>
      <c r="E10953" s="135">
        <f t="shared" si="62"/>
        <v>14</v>
      </c>
      <c r="F10953" s="134" t="s">
        <v>3804</v>
      </c>
      <c r="G10953" s="63" t="str">
        <f>VLOOKUP(C10953, 'Class Def. - General Data'!$C$20:$C$1000,1,false)</f>
        <v>ZSI1_MC_COMPONENT</v>
      </c>
      <c r="H10953" s="63" t="str">
        <f>IFERROR(__xludf.DUMMYFUNCTION("VLOOKUP(F10953, IMPORTRANGE(""https://docs.google.com/spreadsheets/d/1Lhp9OU0JdFf_VYSMzH5lBcEaU4o8teT1piV-SNzShjg/edit?gid=554141278#gid=554141278"", ""'Char Def. - Attributes'!C20:C2242""), 1,false)"),"ALT_UOM1_SIPI")</f>
        <v>ALT_UOM1_SIPI</v>
      </c>
      <c r="I10953" s="136"/>
      <c r="R10953" s="63" t="str">
        <f t="shared" si="60"/>
        <v>ZSI1_MC_COMPONENTALT_UOM1_SIPI</v>
      </c>
    </row>
    <row r="10954" ht="15.75" customHeight="1">
      <c r="B10954" s="63">
        <f t="shared" si="1"/>
        <v>17</v>
      </c>
      <c r="C10954" s="135" t="s">
        <v>336</v>
      </c>
      <c r="D10954" s="161" t="s">
        <v>74</v>
      </c>
      <c r="E10954" s="135">
        <f t="shared" si="62"/>
        <v>15</v>
      </c>
      <c r="F10954" s="134" t="s">
        <v>3805</v>
      </c>
      <c r="G10954" s="63" t="str">
        <f>VLOOKUP(C10954, 'Class Def. - General Data'!$C$20:$C$1000,1,false)</f>
        <v>ZSI1_MC_COMPONENT</v>
      </c>
      <c r="H10954" s="63" t="str">
        <f>IFERROR(__xludf.DUMMYFUNCTION("VLOOKUP(F10954, IMPORTRANGE(""https://docs.google.com/spreadsheets/d/1Lhp9OU0JdFf_VYSMzH5lBcEaU4o8teT1piV-SNzShjg/edit?gid=554141278#gid=554141278"", ""'Char Def. - Attributes'!C20:C2242""), 1,false)"),"ALT_DENUM_UOM1")</f>
        <v>ALT_DENUM_UOM1</v>
      </c>
      <c r="I10954" s="136"/>
      <c r="R10954" s="63" t="str">
        <f t="shared" si="60"/>
        <v>ZSI1_MC_COMPONENTALT_DENUM_UOM1</v>
      </c>
    </row>
    <row r="10955" ht="15.75" customHeight="1">
      <c r="B10955" s="63">
        <f t="shared" si="1"/>
        <v>17</v>
      </c>
      <c r="C10955" s="135" t="s">
        <v>336</v>
      </c>
      <c r="D10955" s="161" t="s">
        <v>74</v>
      </c>
      <c r="E10955" s="135">
        <f t="shared" si="62"/>
        <v>16</v>
      </c>
      <c r="F10955" s="134" t="s">
        <v>3806</v>
      </c>
      <c r="G10955" s="63" t="str">
        <f>VLOOKUP(C10955, 'Class Def. - General Data'!$C$20:$C$1000,1,false)</f>
        <v>ZSI1_MC_COMPONENT</v>
      </c>
      <c r="H10955" s="63" t="str">
        <f>IFERROR(__xludf.DUMMYFUNCTION("VLOOKUP(F10955, IMPORTRANGE(""https://docs.google.com/spreadsheets/d/1Lhp9OU0JdFf_VYSMzH5lBcEaU4o8teT1piV-SNzShjg/edit?gid=554141278#gid=554141278"", ""'Char Def. - Attributes'!C20:C2242""), 1,false)"),"ALT_NUM_UOM1")</f>
        <v>ALT_NUM_UOM1</v>
      </c>
      <c r="I10955" s="136"/>
      <c r="R10955" s="63" t="str">
        <f t="shared" si="60"/>
        <v>ZSI1_MC_COMPONENTALT_NUM_UOM1</v>
      </c>
    </row>
    <row r="10956" ht="15.75" customHeight="1">
      <c r="B10956" s="63">
        <f t="shared" si="1"/>
        <v>17</v>
      </c>
      <c r="C10956" s="135" t="s">
        <v>336</v>
      </c>
      <c r="D10956" s="161" t="s">
        <v>74</v>
      </c>
      <c r="E10956" s="135">
        <f t="shared" si="62"/>
        <v>17</v>
      </c>
      <c r="F10956" s="134" t="s">
        <v>3807</v>
      </c>
      <c r="G10956" s="63" t="str">
        <f>VLOOKUP(C10956, 'Class Def. - General Data'!$C$20:$C$1000,1,false)</f>
        <v>ZSI1_MC_COMPONENT</v>
      </c>
      <c r="H10956" s="63" t="str">
        <f>IFERROR(__xludf.DUMMYFUNCTION("VLOOKUP(F10956, IMPORTRANGE(""https://docs.google.com/spreadsheets/d/1Lhp9OU0JdFf_VYSMzH5lBcEaU4o8teT1piV-SNzShjg/edit?gid=554141278#gid=554141278"", ""'Char Def. - Attributes'!C20:C2242""), 1,false)"),"ALT_UOM2_SIPI")</f>
        <v>ALT_UOM2_SIPI</v>
      </c>
      <c r="I10956" s="136"/>
      <c r="R10956" s="63" t="str">
        <f t="shared" si="60"/>
        <v>ZSI1_MC_COMPONENTALT_UOM2_SIPI</v>
      </c>
    </row>
    <row r="10957" ht="15.75" customHeight="1">
      <c r="B10957" s="63">
        <f t="shared" si="1"/>
        <v>17</v>
      </c>
      <c r="C10957" s="135" t="s">
        <v>336</v>
      </c>
      <c r="D10957" s="161" t="s">
        <v>74</v>
      </c>
      <c r="E10957" s="135">
        <f t="shared" si="62"/>
        <v>18</v>
      </c>
      <c r="F10957" s="134" t="s">
        <v>3808</v>
      </c>
      <c r="G10957" s="63" t="str">
        <f>VLOOKUP(C10957, 'Class Def. - General Data'!$C$20:$C$1000,1,false)</f>
        <v>ZSI1_MC_COMPONENT</v>
      </c>
      <c r="H10957" s="63" t="str">
        <f>IFERROR(__xludf.DUMMYFUNCTION("VLOOKUP(F10957, IMPORTRANGE(""https://docs.google.com/spreadsheets/d/1Lhp9OU0JdFf_VYSMzH5lBcEaU4o8teT1piV-SNzShjg/edit?gid=554141278#gid=554141278"", ""'Char Def. - Attributes'!C20:C2242""), 1,false)"),"ALT_DENUM_UOM2")</f>
        <v>ALT_DENUM_UOM2</v>
      </c>
      <c r="I10957" s="136"/>
      <c r="R10957" s="63" t="str">
        <f t="shared" si="60"/>
        <v>ZSI1_MC_COMPONENTALT_DENUM_UOM2</v>
      </c>
    </row>
    <row r="10958" ht="15.75" customHeight="1">
      <c r="B10958" s="63">
        <f t="shared" si="1"/>
        <v>17</v>
      </c>
      <c r="C10958" s="135" t="s">
        <v>336</v>
      </c>
      <c r="D10958" s="161" t="s">
        <v>74</v>
      </c>
      <c r="E10958" s="135">
        <f t="shared" si="62"/>
        <v>19</v>
      </c>
      <c r="F10958" s="134" t="s">
        <v>3809</v>
      </c>
      <c r="G10958" s="63" t="str">
        <f>VLOOKUP(C10958, 'Class Def. - General Data'!$C$20:$C$1000,1,false)</f>
        <v>ZSI1_MC_COMPONENT</v>
      </c>
      <c r="H10958" s="63" t="str">
        <f>IFERROR(__xludf.DUMMYFUNCTION("VLOOKUP(F10958, IMPORTRANGE(""https://docs.google.com/spreadsheets/d/1Lhp9OU0JdFf_VYSMzH5lBcEaU4o8teT1piV-SNzShjg/edit?gid=554141278#gid=554141278"", ""'Char Def. - Attributes'!C20:C2242""), 1,false)"),"ALT_NUM_UOM2")</f>
        <v>ALT_NUM_UOM2</v>
      </c>
      <c r="I10958" s="136"/>
      <c r="R10958" s="63" t="str">
        <f t="shared" si="60"/>
        <v>ZSI1_MC_COMPONENTALT_NUM_UOM2</v>
      </c>
    </row>
    <row r="10959" ht="15.75" customHeight="1">
      <c r="B10959" s="63">
        <f t="shared" si="1"/>
        <v>17</v>
      </c>
      <c r="C10959" s="135" t="s">
        <v>336</v>
      </c>
      <c r="D10959" s="161" t="s">
        <v>74</v>
      </c>
      <c r="E10959" s="135">
        <f t="shared" si="62"/>
        <v>20</v>
      </c>
      <c r="F10959" s="134" t="s">
        <v>3810</v>
      </c>
      <c r="G10959" s="63" t="str">
        <f>VLOOKUP(C10959, 'Class Def. - General Data'!$C$20:$C$1000,1,false)</f>
        <v>ZSI1_MC_COMPONENT</v>
      </c>
      <c r="H10959" s="63" t="str">
        <f>IFERROR(__xludf.DUMMYFUNCTION("VLOOKUP(F10959, IMPORTRANGE(""https://docs.google.com/spreadsheets/d/1Lhp9OU0JdFf_VYSMzH5lBcEaU4o8teT1piV-SNzShjg/edit?gid=554141278#gid=554141278"", ""'Char Def. - Attributes'!C20:C2242""), 1,false)"),"ALT_UOM3_SIPI")</f>
        <v>ALT_UOM3_SIPI</v>
      </c>
      <c r="I10959" s="136"/>
      <c r="R10959" s="63" t="str">
        <f t="shared" si="60"/>
        <v>ZSI1_MC_COMPONENTALT_UOM3_SIPI</v>
      </c>
    </row>
    <row r="10960" ht="15.75" customHeight="1">
      <c r="B10960" s="63">
        <f t="shared" si="1"/>
        <v>17</v>
      </c>
      <c r="C10960" s="135" t="s">
        <v>336</v>
      </c>
      <c r="D10960" s="161" t="s">
        <v>74</v>
      </c>
      <c r="E10960" s="135">
        <f t="shared" si="62"/>
        <v>21</v>
      </c>
      <c r="F10960" s="134" t="s">
        <v>3811</v>
      </c>
      <c r="G10960" s="63" t="str">
        <f>VLOOKUP(C10960, 'Class Def. - General Data'!$C$20:$C$1000,1,false)</f>
        <v>ZSI1_MC_COMPONENT</v>
      </c>
      <c r="H10960" s="63" t="str">
        <f>IFERROR(__xludf.DUMMYFUNCTION("VLOOKUP(F10960, IMPORTRANGE(""https://docs.google.com/spreadsheets/d/1Lhp9OU0JdFf_VYSMzH5lBcEaU4o8teT1piV-SNzShjg/edit?gid=554141278#gid=554141278"", ""'Char Def. - Attributes'!C20:C2242""), 1,false)"),"ALT_DENUM_UOM3")</f>
        <v>ALT_DENUM_UOM3</v>
      </c>
      <c r="I10960" s="136"/>
      <c r="R10960" s="63" t="str">
        <f t="shared" si="60"/>
        <v>ZSI1_MC_COMPONENTALT_DENUM_UOM3</v>
      </c>
    </row>
    <row r="10961" ht="15.75" customHeight="1">
      <c r="B10961" s="63">
        <f t="shared" si="1"/>
        <v>17</v>
      </c>
      <c r="C10961" s="135" t="s">
        <v>336</v>
      </c>
      <c r="D10961" s="161" t="s">
        <v>74</v>
      </c>
      <c r="E10961" s="135">
        <f t="shared" si="62"/>
        <v>22</v>
      </c>
      <c r="F10961" s="134" t="s">
        <v>3812</v>
      </c>
      <c r="G10961" s="63" t="str">
        <f>VLOOKUP(C10961, 'Class Def. - General Data'!$C$20:$C$1000,1,false)</f>
        <v>ZSI1_MC_COMPONENT</v>
      </c>
      <c r="H10961" s="63" t="str">
        <f>IFERROR(__xludf.DUMMYFUNCTION("VLOOKUP(F10961, IMPORTRANGE(""https://docs.google.com/spreadsheets/d/1Lhp9OU0JdFf_VYSMzH5lBcEaU4o8teT1piV-SNzShjg/edit?gid=554141278#gid=554141278"", ""'Char Def. - Attributes'!C20:C2242""), 1,false)"),"ALT_NUM_UOM3")</f>
        <v>ALT_NUM_UOM3</v>
      </c>
      <c r="I10961" s="136"/>
      <c r="R10961" s="63" t="str">
        <f t="shared" si="60"/>
        <v>ZSI1_MC_COMPONENTALT_NUM_UOM3</v>
      </c>
    </row>
    <row r="10962" ht="15.75" customHeight="1">
      <c r="B10962" s="63">
        <f t="shared" si="1"/>
        <v>17</v>
      </c>
      <c r="C10962" s="135" t="s">
        <v>336</v>
      </c>
      <c r="D10962" s="161" t="s">
        <v>74</v>
      </c>
      <c r="E10962" s="135">
        <f t="shared" si="62"/>
        <v>23</v>
      </c>
      <c r="F10962" s="134" t="s">
        <v>3813</v>
      </c>
      <c r="G10962" s="63" t="str">
        <f>VLOOKUP(C10962, 'Class Def. - General Data'!$C$20:$C$1000,1,false)</f>
        <v>ZSI1_MC_COMPONENT</v>
      </c>
      <c r="H10962" s="63" t="str">
        <f>IFERROR(__xludf.DUMMYFUNCTION("VLOOKUP(F10962, IMPORTRANGE(""https://docs.google.com/spreadsheets/d/1Lhp9OU0JdFf_VYSMzH5lBcEaU4o8teT1piV-SNzShjg/edit?gid=554141278#gid=554141278"", ""'Char Def. - Attributes'!C20:C2242""), 1,false)"),"ALT_UOM4_SIPI")</f>
        <v>ALT_UOM4_SIPI</v>
      </c>
      <c r="I10962" s="136"/>
      <c r="R10962" s="63" t="str">
        <f t="shared" si="60"/>
        <v>ZSI1_MC_COMPONENTALT_UOM4_SIPI</v>
      </c>
    </row>
    <row r="10963" ht="15.75" customHeight="1">
      <c r="B10963" s="63">
        <f t="shared" si="1"/>
        <v>17</v>
      </c>
      <c r="C10963" s="135" t="s">
        <v>336</v>
      </c>
      <c r="D10963" s="161" t="s">
        <v>74</v>
      </c>
      <c r="E10963" s="135">
        <f t="shared" si="62"/>
        <v>24</v>
      </c>
      <c r="F10963" s="134" t="s">
        <v>3814</v>
      </c>
      <c r="G10963" s="63" t="str">
        <f>VLOOKUP(C10963, 'Class Def. - General Data'!$C$20:$C$1000,1,false)</f>
        <v>ZSI1_MC_COMPONENT</v>
      </c>
      <c r="H10963" s="63" t="str">
        <f>IFERROR(__xludf.DUMMYFUNCTION("VLOOKUP(F10963, IMPORTRANGE(""https://docs.google.com/spreadsheets/d/1Lhp9OU0JdFf_VYSMzH5lBcEaU4o8teT1piV-SNzShjg/edit?gid=554141278#gid=554141278"", ""'Char Def. - Attributes'!C20:C2242""), 1,false)"),"ALT_DENUM_UOM4")</f>
        <v>ALT_DENUM_UOM4</v>
      </c>
      <c r="I10963" s="136"/>
      <c r="R10963" s="63" t="str">
        <f t="shared" si="60"/>
        <v>ZSI1_MC_COMPONENTALT_DENUM_UOM4</v>
      </c>
    </row>
    <row r="10964" ht="15.75" customHeight="1">
      <c r="B10964" s="63">
        <f t="shared" si="1"/>
        <v>17</v>
      </c>
      <c r="C10964" s="135" t="s">
        <v>336</v>
      </c>
      <c r="D10964" s="161" t="s">
        <v>74</v>
      </c>
      <c r="E10964" s="135">
        <f t="shared" si="62"/>
        <v>25</v>
      </c>
      <c r="F10964" s="134" t="s">
        <v>3815</v>
      </c>
      <c r="G10964" s="63" t="str">
        <f>VLOOKUP(C10964, 'Class Def. - General Data'!$C$20:$C$1000,1,false)</f>
        <v>ZSI1_MC_COMPONENT</v>
      </c>
      <c r="H10964" s="63" t="str">
        <f>IFERROR(__xludf.DUMMYFUNCTION("VLOOKUP(F10964, IMPORTRANGE(""https://docs.google.com/spreadsheets/d/1Lhp9OU0JdFf_VYSMzH5lBcEaU4o8teT1piV-SNzShjg/edit?gid=554141278#gid=554141278"", ""'Char Def. - Attributes'!C20:C2242""), 1,false)"),"ALT_NUM_UOM4")</f>
        <v>ALT_NUM_UOM4</v>
      </c>
      <c r="I10964" s="136"/>
      <c r="R10964" s="63" t="str">
        <f t="shared" si="60"/>
        <v>ZSI1_MC_COMPONENTALT_NUM_UOM4</v>
      </c>
    </row>
    <row r="10965" ht="15.75" customHeight="1">
      <c r="B10965" s="63">
        <f t="shared" si="1"/>
        <v>17</v>
      </c>
      <c r="C10965" s="135" t="s">
        <v>336</v>
      </c>
      <c r="D10965" s="161" t="s">
        <v>74</v>
      </c>
      <c r="E10965" s="135">
        <f t="shared" si="62"/>
        <v>26</v>
      </c>
      <c r="F10965" s="134" t="s">
        <v>3816</v>
      </c>
      <c r="G10965" s="63" t="str">
        <f>VLOOKUP(C10965, 'Class Def. - General Data'!$C$20:$C$1000,1,false)</f>
        <v>ZSI1_MC_COMPONENT</v>
      </c>
      <c r="H10965" s="63" t="str">
        <f>IFERROR(__xludf.DUMMYFUNCTION("VLOOKUP(F10965, IMPORTRANGE(""https://docs.google.com/spreadsheets/d/1Lhp9OU0JdFf_VYSMzH5lBcEaU4o8teT1piV-SNzShjg/edit?gid=554141278#gid=554141278"", ""'Char Def. - Attributes'!C20:C2242""), 1,false)"),"ALT_UOM5_SIPI")</f>
        <v>ALT_UOM5_SIPI</v>
      </c>
      <c r="I10965" s="136"/>
      <c r="R10965" s="63" t="str">
        <f t="shared" si="60"/>
        <v>ZSI1_MC_COMPONENTALT_UOM5_SIPI</v>
      </c>
    </row>
    <row r="10966" ht="15.75" customHeight="1">
      <c r="B10966" s="63">
        <f t="shared" si="1"/>
        <v>17</v>
      </c>
      <c r="C10966" s="135" t="s">
        <v>336</v>
      </c>
      <c r="D10966" s="161" t="s">
        <v>74</v>
      </c>
      <c r="E10966" s="135">
        <f t="shared" si="62"/>
        <v>27</v>
      </c>
      <c r="F10966" s="134" t="s">
        <v>3817</v>
      </c>
      <c r="G10966" s="63" t="str">
        <f>VLOOKUP(C10966, 'Class Def. - General Data'!$C$20:$C$1000,1,false)</f>
        <v>ZSI1_MC_COMPONENT</v>
      </c>
      <c r="H10966" s="63" t="str">
        <f>IFERROR(__xludf.DUMMYFUNCTION("VLOOKUP(F10966, IMPORTRANGE(""https://docs.google.com/spreadsheets/d/1Lhp9OU0JdFf_VYSMzH5lBcEaU4o8teT1piV-SNzShjg/edit?gid=554141278#gid=554141278"", ""'Char Def. - Attributes'!C20:C2242""), 1,false)"),"ALT_DENUM_UOM5")</f>
        <v>ALT_DENUM_UOM5</v>
      </c>
      <c r="I10966" s="136"/>
      <c r="R10966" s="63" t="str">
        <f t="shared" si="60"/>
        <v>ZSI1_MC_COMPONENTALT_DENUM_UOM5</v>
      </c>
    </row>
    <row r="10967" ht="15.75" customHeight="1">
      <c r="B10967" s="63">
        <f t="shared" si="1"/>
        <v>17</v>
      </c>
      <c r="C10967" s="135" t="s">
        <v>336</v>
      </c>
      <c r="D10967" s="161" t="s">
        <v>74</v>
      </c>
      <c r="E10967" s="135">
        <f t="shared" si="62"/>
        <v>28</v>
      </c>
      <c r="F10967" s="134" t="s">
        <v>3818</v>
      </c>
      <c r="G10967" s="63" t="str">
        <f>VLOOKUP(C10967, 'Class Def. - General Data'!$C$20:$C$1000,1,false)</f>
        <v>ZSI1_MC_COMPONENT</v>
      </c>
      <c r="H10967" s="63" t="str">
        <f>IFERROR(__xludf.DUMMYFUNCTION("VLOOKUP(F10967, IMPORTRANGE(""https://docs.google.com/spreadsheets/d/1Lhp9OU0JdFf_VYSMzH5lBcEaU4o8teT1piV-SNzShjg/edit?gid=554141278#gid=554141278"", ""'Char Def. - Attributes'!C20:C2242""), 1,false)"),"ALT_NUM_UOM5")</f>
        <v>ALT_NUM_UOM5</v>
      </c>
      <c r="I10967" s="136"/>
      <c r="R10967" s="63" t="str">
        <f t="shared" si="60"/>
        <v>ZSI1_MC_COMPONENTALT_NUM_UOM5</v>
      </c>
    </row>
    <row r="10968" ht="15.75" customHeight="1">
      <c r="B10968" s="63">
        <f t="shared" si="1"/>
        <v>14</v>
      </c>
      <c r="C10968" s="135" t="s">
        <v>418</v>
      </c>
      <c r="D10968" s="161" t="s">
        <v>74</v>
      </c>
      <c r="E10968" s="135">
        <f t="shared" si="62"/>
        <v>1</v>
      </c>
      <c r="F10968" s="134" t="s">
        <v>4841</v>
      </c>
      <c r="G10968" s="63" t="str">
        <f>VLOOKUP(C10968, 'Class Def. - General Data'!$C$20:$C$1000,1,false)</f>
        <v>ZSI1_MDF_BOARD</v>
      </c>
      <c r="H10968" s="63" t="str">
        <f>IFERROR(__xludf.DUMMYFUNCTION("VLOOKUP(F10968, IMPORTRANGE(""https://docs.google.com/spreadsheets/d/1Lhp9OU0JdFf_VYSMzH5lBcEaU4o8teT1piV-SNzShjg/edit?gid=554141278#gid=554141278"", ""'Char Def. - Attributes'!C20:C2242""), 1,false)"),"ITEM_NAME_MDF_BOARD")</f>
        <v>ITEM_NAME_MDF_BOARD</v>
      </c>
      <c r="I10968" s="136"/>
      <c r="R10968" s="63" t="str">
        <f t="shared" si="60"/>
        <v>ZSI1_MDF_BOARDITEM_NAME_MDF_BOARD</v>
      </c>
    </row>
    <row r="10969" ht="15.75" customHeight="1">
      <c r="B10969" s="63">
        <f t="shared" si="1"/>
        <v>14</v>
      </c>
      <c r="C10969" s="135" t="s">
        <v>418</v>
      </c>
      <c r="D10969" s="161" t="s">
        <v>74</v>
      </c>
      <c r="E10969" s="135">
        <f t="shared" si="62"/>
        <v>2</v>
      </c>
      <c r="F10969" s="134" t="s">
        <v>4842</v>
      </c>
      <c r="G10969" s="63" t="str">
        <f>VLOOKUP(C10969, 'Class Def. - General Data'!$C$20:$C$1000,1,false)</f>
        <v>ZSI1_MDF_BOARD</v>
      </c>
      <c r="H10969" s="63" t="str">
        <f>IFERROR(__xludf.DUMMYFUNCTION("VLOOKUP(F10969, IMPORTRANGE(""https://docs.google.com/spreadsheets/d/1Lhp9OU0JdFf_VYSMzH5lBcEaU4o8teT1piV-SNzShjg/edit?gid=554141278#gid=554141278"", ""'Char Def. - Attributes'!C20:C2242""), 1,false)"),"MATERIAL_MDF_BOARD")</f>
        <v>MATERIAL_MDF_BOARD</v>
      </c>
      <c r="I10969" s="136"/>
      <c r="R10969" s="63" t="str">
        <f t="shared" si="60"/>
        <v>ZSI1_MDF_BOARDMATERIAL_MDF_BOARD</v>
      </c>
    </row>
    <row r="10970" ht="15.75" customHeight="1">
      <c r="B10970" s="63">
        <f t="shared" si="1"/>
        <v>14</v>
      </c>
      <c r="C10970" s="135" t="s">
        <v>418</v>
      </c>
      <c r="D10970" s="161" t="s">
        <v>74</v>
      </c>
      <c r="E10970" s="135">
        <f t="shared" si="62"/>
        <v>3</v>
      </c>
      <c r="F10970" s="134" t="s">
        <v>4843</v>
      </c>
      <c r="G10970" s="63" t="str">
        <f>VLOOKUP(C10970, 'Class Def. - General Data'!$C$20:$C$1000,1,false)</f>
        <v>ZSI1_MDF_BOARD</v>
      </c>
      <c r="H10970" s="63" t="str">
        <f>IFERROR(__xludf.DUMMYFUNCTION("VLOOKUP(F10970, IMPORTRANGE(""https://docs.google.com/spreadsheets/d/1Lhp9OU0JdFf_VYSMzH5lBcEaU4o8teT1piV-SNzShjg/edit?gid=554141278#gid=554141278"", ""'Char Def. - Attributes'!C20:C2242""), 1,false)"),"THICKNESS_MM_MDF_BOARD")</f>
        <v>THICKNESS_MM_MDF_BOARD</v>
      </c>
      <c r="I10970" s="136"/>
      <c r="R10970" s="63" t="str">
        <f t="shared" si="60"/>
        <v>ZSI1_MDF_BOARDTHICKNESS_MM_MDF_BOARD</v>
      </c>
    </row>
    <row r="10971" ht="15.75" customHeight="1">
      <c r="B10971" s="63">
        <f t="shared" si="1"/>
        <v>14</v>
      </c>
      <c r="C10971" s="135" t="s">
        <v>418</v>
      </c>
      <c r="D10971" s="161" t="s">
        <v>74</v>
      </c>
      <c r="E10971" s="135">
        <f t="shared" si="62"/>
        <v>4</v>
      </c>
      <c r="F10971" s="134" t="s">
        <v>4844</v>
      </c>
      <c r="G10971" s="63" t="str">
        <f>VLOOKUP(C10971, 'Class Def. - General Data'!$C$20:$C$1000,1,false)</f>
        <v>ZSI1_MDF_BOARD</v>
      </c>
      <c r="H10971" s="63" t="str">
        <f>IFERROR(__xludf.DUMMYFUNCTION("VLOOKUP(F10971, IMPORTRANGE(""https://docs.google.com/spreadsheets/d/1Lhp9OU0JdFf_VYSMzH5lBcEaU4o8teT1piV-SNzShjg/edit?gid=554141278#gid=554141278"", ""'Char Def. - Attributes'!C20:C2242""), 1,false)"),"LENGTH_MM_MDF_BOARD")</f>
        <v>LENGTH_MM_MDF_BOARD</v>
      </c>
      <c r="I10971" s="136"/>
      <c r="R10971" s="63" t="str">
        <f t="shared" si="60"/>
        <v>ZSI1_MDF_BOARDLENGTH_MM_MDF_BOARD</v>
      </c>
    </row>
    <row r="10972" ht="15.75" customHeight="1">
      <c r="B10972" s="63">
        <f t="shared" si="1"/>
        <v>14</v>
      </c>
      <c r="C10972" s="135" t="s">
        <v>418</v>
      </c>
      <c r="D10972" s="161" t="s">
        <v>74</v>
      </c>
      <c r="E10972" s="135">
        <f t="shared" si="62"/>
        <v>5</v>
      </c>
      <c r="F10972" s="134" t="s">
        <v>4845</v>
      </c>
      <c r="G10972" s="63" t="str">
        <f>VLOOKUP(C10972, 'Class Def. - General Data'!$C$20:$C$1000,1,false)</f>
        <v>ZSI1_MDF_BOARD</v>
      </c>
      <c r="H10972" s="63" t="str">
        <f>IFERROR(__xludf.DUMMYFUNCTION("VLOOKUP(F10972, IMPORTRANGE(""https://docs.google.com/spreadsheets/d/1Lhp9OU0JdFf_VYSMzH5lBcEaU4o8teT1piV-SNzShjg/edit?gid=554141278#gid=554141278"", ""'Char Def. - Attributes'!C20:C2242""), 1,false)"),"WIDTH_MM_MDF_BOARD")</f>
        <v>WIDTH_MM_MDF_BOARD</v>
      </c>
      <c r="I10972" s="136"/>
      <c r="R10972" s="63" t="str">
        <f t="shared" si="60"/>
        <v>ZSI1_MDF_BOARDWIDTH_MM_MDF_BOARD</v>
      </c>
    </row>
    <row r="10973" ht="15.75" customHeight="1">
      <c r="B10973" s="63">
        <f t="shared" si="1"/>
        <v>14</v>
      </c>
      <c r="C10973" s="135" t="s">
        <v>418</v>
      </c>
      <c r="D10973" s="161" t="s">
        <v>74</v>
      </c>
      <c r="E10973" s="135">
        <f t="shared" si="62"/>
        <v>6</v>
      </c>
      <c r="F10973" s="134" t="s">
        <v>4053</v>
      </c>
      <c r="G10973" s="63" t="str">
        <f>VLOOKUP(C10973, 'Class Def. - General Data'!$C$20:$C$1000,1,false)</f>
        <v>ZSI1_MDF_BOARD</v>
      </c>
      <c r="H10973" s="63" t="str">
        <f>IFERROR(__xludf.DUMMYFUNCTION("VLOOKUP(F10973, IMPORTRANGE(""https://docs.google.com/spreadsheets/d/1Lhp9OU0JdFf_VYSMzH5lBcEaU4o8teT1piV-SNzShjg/edit?gid=554141278#gid=554141278"", ""'Char Def. - Attributes'!C20:C2242""), 1,false)"),"MAINTENANCE_ORDER_TYPE")</f>
        <v>MAINTENANCE_ORDER_TYPE</v>
      </c>
      <c r="I10973" s="136"/>
      <c r="R10973" s="63" t="str">
        <f t="shared" si="60"/>
        <v>ZSI1_MDF_BOARDMAINTENANCE_ORDER_TYPE</v>
      </c>
    </row>
    <row r="10974" ht="15.75" customHeight="1">
      <c r="B10974" s="63">
        <f t="shared" si="1"/>
        <v>14</v>
      </c>
      <c r="C10974" s="135" t="s">
        <v>418</v>
      </c>
      <c r="D10974" s="161" t="s">
        <v>74</v>
      </c>
      <c r="E10974" s="135">
        <f t="shared" si="62"/>
        <v>7</v>
      </c>
      <c r="F10974" s="134" t="s">
        <v>3585</v>
      </c>
      <c r="G10974" s="63" t="str">
        <f>VLOOKUP(C10974, 'Class Def. - General Data'!$C$20:$C$1000,1,false)</f>
        <v>ZSI1_MDF_BOARD</v>
      </c>
      <c r="H10974" s="63" t="str">
        <f>IFERROR(__xludf.DUMMYFUNCTION("VLOOKUP(F10974, IMPORTRANGE(""https://docs.google.com/spreadsheets/d/1Lhp9OU0JdFf_VYSMzH5lBcEaU4o8teT1piV-SNzShjg/edit?gid=554141278#gid=554141278"", ""'Char Def. - Attributes'!C20:C2242""), 1,false)"),"HS_CODE")</f>
        <v>HS_CODE</v>
      </c>
      <c r="I10974" s="136"/>
      <c r="R10974" s="63" t="str">
        <f t="shared" si="60"/>
        <v>ZSI1_MDF_BOARDHS_CODE</v>
      </c>
    </row>
    <row r="10975" ht="15.75" customHeight="1">
      <c r="B10975" s="63">
        <f t="shared" si="1"/>
        <v>14</v>
      </c>
      <c r="C10975" s="135" t="s">
        <v>418</v>
      </c>
      <c r="D10975" s="161" t="s">
        <v>74</v>
      </c>
      <c r="E10975" s="135">
        <f t="shared" si="62"/>
        <v>8</v>
      </c>
      <c r="F10975" s="134" t="s">
        <v>3587</v>
      </c>
      <c r="G10975" s="63" t="str">
        <f>VLOOKUP(C10975, 'Class Def. - General Data'!$C$20:$C$1000,1,false)</f>
        <v>ZSI1_MDF_BOARD</v>
      </c>
      <c r="H10975" s="63" t="str">
        <f>IFERROR(__xludf.DUMMYFUNCTION("VLOOKUP(F10975, IMPORTRANGE(""https://docs.google.com/spreadsheets/d/1Lhp9OU0JdFf_VYSMzH5lBcEaU4o8teT1piV-SNzShjg/edit?gid=554141278#gid=554141278"", ""'Char Def. - Attributes'!C20:C2242""), 1,false)"),"PLANT_BUY")</f>
        <v>PLANT_BUY</v>
      </c>
      <c r="I10975" s="136"/>
      <c r="R10975" s="63" t="str">
        <f t="shared" si="60"/>
        <v>ZSI1_MDF_BOARDPLANT_BUY</v>
      </c>
    </row>
    <row r="10976" ht="15.75" customHeight="1">
      <c r="B10976" s="63">
        <f t="shared" si="1"/>
        <v>14</v>
      </c>
      <c r="C10976" s="135" t="s">
        <v>418</v>
      </c>
      <c r="D10976" s="161" t="s">
        <v>74</v>
      </c>
      <c r="E10976" s="135">
        <f t="shared" si="62"/>
        <v>9</v>
      </c>
      <c r="F10976" s="134" t="s">
        <v>4846</v>
      </c>
      <c r="G10976" s="63" t="str">
        <f>VLOOKUP(C10976, 'Class Def. - General Data'!$C$20:$C$1000,1,false)</f>
        <v>ZSI1_MDF_BOARD</v>
      </c>
      <c r="H10976" s="63" t="str">
        <f>IFERROR(__xludf.DUMMYFUNCTION("VLOOKUP(F10976, IMPORTRANGE(""https://docs.google.com/spreadsheets/d/1Lhp9OU0JdFf_VYSMzH5lBcEaU4o8teT1piV-SNzShjg/edit?gid=554141278#gid=554141278"", ""'Char Def. - Attributes'!C20:C2242""), 1,false)"),"BASE_UOM_MDF_BOARD")</f>
        <v>BASE_UOM_MDF_BOARD</v>
      </c>
      <c r="I10976" s="136"/>
      <c r="R10976" s="63" t="str">
        <f t="shared" si="60"/>
        <v>ZSI1_MDF_BOARDBASE_UOM_MDF_BOARD</v>
      </c>
    </row>
    <row r="10977" ht="15.75" customHeight="1">
      <c r="B10977" s="63">
        <f t="shared" si="1"/>
        <v>14</v>
      </c>
      <c r="C10977" s="135" t="s">
        <v>418</v>
      </c>
      <c r="D10977" s="161" t="s">
        <v>74</v>
      </c>
      <c r="E10977" s="135">
        <f t="shared" si="62"/>
        <v>10</v>
      </c>
      <c r="F10977" s="134" t="s">
        <v>4847</v>
      </c>
      <c r="G10977" s="63" t="str">
        <f>VLOOKUP(C10977, 'Class Def. - General Data'!$C$20:$C$1000,1,false)</f>
        <v>ZSI1_MDF_BOARD</v>
      </c>
      <c r="H10977" s="63" t="str">
        <f>IFERROR(__xludf.DUMMYFUNCTION("VLOOKUP(F10977, IMPORTRANGE(""https://docs.google.com/spreadsheets/d/1Lhp9OU0JdFf_VYSMzH5lBcEaU4o8teT1piV-SNzShjg/edit?gid=554141278#gid=554141278"", ""'Char Def. - Attributes'!C20:C2242""), 1,false)"),"ORDER_UNIT_MDF_BOARD")</f>
        <v>ORDER_UNIT_MDF_BOARD</v>
      </c>
      <c r="I10977" s="136"/>
      <c r="R10977" s="63" t="str">
        <f t="shared" si="60"/>
        <v>ZSI1_MDF_BOARDORDER_UNIT_MDF_BOARD</v>
      </c>
    </row>
    <row r="10978" ht="15.75" customHeight="1">
      <c r="B10978" s="63">
        <f t="shared" si="1"/>
        <v>14</v>
      </c>
      <c r="C10978" s="135" t="s">
        <v>418</v>
      </c>
      <c r="D10978" s="161" t="s">
        <v>74</v>
      </c>
      <c r="E10978" s="135">
        <f t="shared" si="62"/>
        <v>11</v>
      </c>
      <c r="F10978" s="134" t="s">
        <v>4056</v>
      </c>
      <c r="G10978" s="63" t="str">
        <f>VLOOKUP(C10978, 'Class Def. - General Data'!$C$20:$C$1000,1,false)</f>
        <v>ZSI1_MDF_BOARD</v>
      </c>
      <c r="H10978" s="63" t="str">
        <f>IFERROR(__xludf.DUMMYFUNCTION("VLOOKUP(F10978, IMPORTRANGE(""https://docs.google.com/spreadsheets/d/1Lhp9OU0JdFf_VYSMzH5lBcEaU4o8teT1piV-SNzShjg/edit?gid=554141278#gid=554141278"", ""'Char Def. - Attributes'!C20:C2242""), 1,false)"),"GROSS_WEIGHT_OPT")</f>
        <v>GROSS_WEIGHT_OPT</v>
      </c>
      <c r="I10978" s="136"/>
      <c r="R10978" s="63" t="str">
        <f t="shared" si="60"/>
        <v>ZSI1_MDF_BOARDGROSS_WEIGHT_OPT</v>
      </c>
    </row>
    <row r="10979" ht="15.75" customHeight="1">
      <c r="B10979" s="63">
        <f t="shared" si="1"/>
        <v>14</v>
      </c>
      <c r="C10979" s="135" t="s">
        <v>418</v>
      </c>
      <c r="D10979" s="161" t="s">
        <v>74</v>
      </c>
      <c r="E10979" s="135">
        <f t="shared" si="62"/>
        <v>12</v>
      </c>
      <c r="F10979" s="134" t="s">
        <v>4057</v>
      </c>
      <c r="G10979" s="63" t="str">
        <f>VLOOKUP(C10979, 'Class Def. - General Data'!$C$20:$C$1000,1,false)</f>
        <v>ZSI1_MDF_BOARD</v>
      </c>
      <c r="H10979" s="63" t="str">
        <f>IFERROR(__xludf.DUMMYFUNCTION("VLOOKUP(F10979, IMPORTRANGE(""https://docs.google.com/spreadsheets/d/1Lhp9OU0JdFf_VYSMzH5lBcEaU4o8teT1piV-SNzShjg/edit?gid=554141278#gid=554141278"", ""'Char Def. - Attributes'!C20:C2242""), 1,false)"),"NET_WEIGHT_OPT")</f>
        <v>NET_WEIGHT_OPT</v>
      </c>
      <c r="I10979" s="136"/>
      <c r="R10979" s="63" t="str">
        <f t="shared" si="60"/>
        <v>ZSI1_MDF_BOARDNET_WEIGHT_OPT</v>
      </c>
    </row>
    <row r="10980" ht="15.75" customHeight="1">
      <c r="B10980" s="63">
        <f t="shared" si="1"/>
        <v>14</v>
      </c>
      <c r="C10980" s="135" t="s">
        <v>418</v>
      </c>
      <c r="D10980" s="161" t="s">
        <v>74</v>
      </c>
      <c r="E10980" s="135">
        <f t="shared" si="62"/>
        <v>13</v>
      </c>
      <c r="F10980" s="134" t="s">
        <v>4058</v>
      </c>
      <c r="G10980" s="63" t="str">
        <f>VLOOKUP(C10980, 'Class Def. - General Data'!$C$20:$C$1000,1,false)</f>
        <v>ZSI1_MDF_BOARD</v>
      </c>
      <c r="H10980" s="63" t="str">
        <f>IFERROR(__xludf.DUMMYFUNCTION("VLOOKUP(F10980, IMPORTRANGE(""https://docs.google.com/spreadsheets/d/1Lhp9OU0JdFf_VYSMzH5lBcEaU4o8teT1piV-SNzShjg/edit?gid=554141278#gid=554141278"", ""'Char Def. - Attributes'!C20:C2242""), 1,false)"),"WEIGHT_UNIT_SI")</f>
        <v>WEIGHT_UNIT_SI</v>
      </c>
      <c r="I10980" s="136"/>
      <c r="R10980" s="63" t="str">
        <f t="shared" si="60"/>
        <v>ZSI1_MDF_BOARDWEIGHT_UNIT_SI</v>
      </c>
    </row>
    <row r="10981" ht="15.75" customHeight="1">
      <c r="B10981" s="63">
        <f t="shared" si="1"/>
        <v>14</v>
      </c>
      <c r="C10981" s="135" t="s">
        <v>418</v>
      </c>
      <c r="D10981" s="161" t="s">
        <v>74</v>
      </c>
      <c r="E10981" s="135">
        <f t="shared" si="62"/>
        <v>14</v>
      </c>
      <c r="F10981" s="134" t="s">
        <v>3877</v>
      </c>
      <c r="G10981" s="63" t="str">
        <f>VLOOKUP(C10981, 'Class Def. - General Data'!$C$20:$C$1000,1,false)</f>
        <v>ZSI1_MDF_BOARD</v>
      </c>
      <c r="H10981" s="63" t="str">
        <f>IFERROR(__xludf.DUMMYFUNCTION("VLOOKUP(F10981, IMPORTRANGE(""https://docs.google.com/spreadsheets/d/1Lhp9OU0JdFf_VYSMzH5lBcEaU4o8teT1piV-SNzShjg/edit?gid=554141278#gid=554141278"", ""'Char Def. - Attributes'!C20:C2242""), 1,false)"),"VOLUME_OPT")</f>
        <v>VOLUME_OPT</v>
      </c>
      <c r="I10981" s="136"/>
      <c r="R10981" s="63" t="str">
        <f t="shared" si="60"/>
        <v>ZSI1_MDF_BOARDVOLUME_OPT</v>
      </c>
    </row>
    <row r="10982" ht="15.75" customHeight="1">
      <c r="B10982" s="63">
        <f t="shared" si="1"/>
        <v>14</v>
      </c>
      <c r="C10982" s="135" t="s">
        <v>418</v>
      </c>
      <c r="D10982" s="161" t="s">
        <v>74</v>
      </c>
      <c r="E10982" s="135">
        <f t="shared" si="62"/>
        <v>15</v>
      </c>
      <c r="F10982" s="134" t="s">
        <v>4059</v>
      </c>
      <c r="G10982" s="63" t="str">
        <f>VLOOKUP(C10982, 'Class Def. - General Data'!$C$20:$C$1000,1,false)</f>
        <v>ZSI1_MDF_BOARD</v>
      </c>
      <c r="H10982" s="63" t="str">
        <f>IFERROR(__xludf.DUMMYFUNCTION("VLOOKUP(F10982, IMPORTRANGE(""https://docs.google.com/spreadsheets/d/1Lhp9OU0JdFf_VYSMzH5lBcEaU4o8teT1piV-SNzShjg/edit?gid=554141278#gid=554141278"", ""'Char Def. - Attributes'!C20:C2242""), 1,false)"),"VOLUME_UNIT_SI")</f>
        <v>VOLUME_UNIT_SI</v>
      </c>
      <c r="I10982" s="136"/>
      <c r="R10982" s="63" t="str">
        <f t="shared" si="60"/>
        <v>ZSI1_MDF_BOARDVOLUME_UNIT_SI</v>
      </c>
    </row>
    <row r="10983" ht="15.75" customHeight="1">
      <c r="B10983" s="63">
        <f t="shared" si="1"/>
        <v>14</v>
      </c>
      <c r="C10983" s="135" t="s">
        <v>418</v>
      </c>
      <c r="D10983" s="161" t="s">
        <v>74</v>
      </c>
      <c r="E10983" s="135">
        <f t="shared" si="62"/>
        <v>16</v>
      </c>
      <c r="F10983" s="134" t="s">
        <v>3804</v>
      </c>
      <c r="G10983" s="63" t="str">
        <f>VLOOKUP(C10983, 'Class Def. - General Data'!$C$20:$C$1000,1,false)</f>
        <v>ZSI1_MDF_BOARD</v>
      </c>
      <c r="H10983" s="63" t="str">
        <f>IFERROR(__xludf.DUMMYFUNCTION("VLOOKUP(F10983, IMPORTRANGE(""https://docs.google.com/spreadsheets/d/1Lhp9OU0JdFf_VYSMzH5lBcEaU4o8teT1piV-SNzShjg/edit?gid=554141278#gid=554141278"", ""'Char Def. - Attributes'!C20:C2242""), 1,false)"),"ALT_UOM1_SIPI")</f>
        <v>ALT_UOM1_SIPI</v>
      </c>
      <c r="I10983" s="136"/>
      <c r="R10983" s="63" t="str">
        <f t="shared" si="60"/>
        <v>ZSI1_MDF_BOARDALT_UOM1_SIPI</v>
      </c>
    </row>
    <row r="10984" ht="15.75" customHeight="1">
      <c r="B10984" s="63">
        <f t="shared" si="1"/>
        <v>14</v>
      </c>
      <c r="C10984" s="135" t="s">
        <v>418</v>
      </c>
      <c r="D10984" s="161" t="s">
        <v>74</v>
      </c>
      <c r="E10984" s="135">
        <f t="shared" si="62"/>
        <v>17</v>
      </c>
      <c r="F10984" s="134" t="s">
        <v>3805</v>
      </c>
      <c r="G10984" s="63" t="str">
        <f>VLOOKUP(C10984, 'Class Def. - General Data'!$C$20:$C$1000,1,false)</f>
        <v>ZSI1_MDF_BOARD</v>
      </c>
      <c r="H10984" s="63" t="str">
        <f>IFERROR(__xludf.DUMMYFUNCTION("VLOOKUP(F10984, IMPORTRANGE(""https://docs.google.com/spreadsheets/d/1Lhp9OU0JdFf_VYSMzH5lBcEaU4o8teT1piV-SNzShjg/edit?gid=554141278#gid=554141278"", ""'Char Def. - Attributes'!C20:C2242""), 1,false)"),"ALT_DENUM_UOM1")</f>
        <v>ALT_DENUM_UOM1</v>
      </c>
      <c r="I10984" s="136"/>
      <c r="R10984" s="63" t="str">
        <f t="shared" si="60"/>
        <v>ZSI1_MDF_BOARDALT_DENUM_UOM1</v>
      </c>
    </row>
    <row r="10985" ht="15.75" customHeight="1">
      <c r="B10985" s="63">
        <f t="shared" si="1"/>
        <v>14</v>
      </c>
      <c r="C10985" s="135" t="s">
        <v>418</v>
      </c>
      <c r="D10985" s="161" t="s">
        <v>74</v>
      </c>
      <c r="E10985" s="135">
        <f t="shared" si="62"/>
        <v>18</v>
      </c>
      <c r="F10985" s="134" t="s">
        <v>3806</v>
      </c>
      <c r="G10985" s="63" t="str">
        <f>VLOOKUP(C10985, 'Class Def. - General Data'!$C$20:$C$1000,1,false)</f>
        <v>ZSI1_MDF_BOARD</v>
      </c>
      <c r="H10985" s="63" t="str">
        <f>IFERROR(__xludf.DUMMYFUNCTION("VLOOKUP(F10985, IMPORTRANGE(""https://docs.google.com/spreadsheets/d/1Lhp9OU0JdFf_VYSMzH5lBcEaU4o8teT1piV-SNzShjg/edit?gid=554141278#gid=554141278"", ""'Char Def. - Attributes'!C20:C2242""), 1,false)"),"ALT_NUM_UOM1")</f>
        <v>ALT_NUM_UOM1</v>
      </c>
      <c r="I10985" s="136"/>
      <c r="R10985" s="63" t="str">
        <f t="shared" si="60"/>
        <v>ZSI1_MDF_BOARDALT_NUM_UOM1</v>
      </c>
    </row>
    <row r="10986" ht="15.75" customHeight="1">
      <c r="B10986" s="63">
        <f t="shared" si="1"/>
        <v>14</v>
      </c>
      <c r="C10986" s="135" t="s">
        <v>418</v>
      </c>
      <c r="D10986" s="161" t="s">
        <v>74</v>
      </c>
      <c r="E10986" s="135">
        <f t="shared" si="62"/>
        <v>19</v>
      </c>
      <c r="F10986" s="134" t="s">
        <v>3807</v>
      </c>
      <c r="G10986" s="63" t="str">
        <f>VLOOKUP(C10986, 'Class Def. - General Data'!$C$20:$C$1000,1,false)</f>
        <v>ZSI1_MDF_BOARD</v>
      </c>
      <c r="H10986" s="63" t="str">
        <f>IFERROR(__xludf.DUMMYFUNCTION("VLOOKUP(F10986, IMPORTRANGE(""https://docs.google.com/spreadsheets/d/1Lhp9OU0JdFf_VYSMzH5lBcEaU4o8teT1piV-SNzShjg/edit?gid=554141278#gid=554141278"", ""'Char Def. - Attributes'!C20:C2242""), 1,false)"),"ALT_UOM2_SIPI")</f>
        <v>ALT_UOM2_SIPI</v>
      </c>
      <c r="I10986" s="136"/>
      <c r="R10986" s="63" t="str">
        <f t="shared" si="60"/>
        <v>ZSI1_MDF_BOARDALT_UOM2_SIPI</v>
      </c>
    </row>
    <row r="10987" ht="15.75" customHeight="1">
      <c r="B10987" s="63">
        <f t="shared" si="1"/>
        <v>14</v>
      </c>
      <c r="C10987" s="135" t="s">
        <v>418</v>
      </c>
      <c r="D10987" s="161" t="s">
        <v>74</v>
      </c>
      <c r="E10987" s="135">
        <f t="shared" si="62"/>
        <v>20</v>
      </c>
      <c r="F10987" s="134" t="s">
        <v>3808</v>
      </c>
      <c r="G10987" s="63" t="str">
        <f>VLOOKUP(C10987, 'Class Def. - General Data'!$C$20:$C$1000,1,false)</f>
        <v>ZSI1_MDF_BOARD</v>
      </c>
      <c r="H10987" s="63" t="str">
        <f>IFERROR(__xludf.DUMMYFUNCTION("VLOOKUP(F10987, IMPORTRANGE(""https://docs.google.com/spreadsheets/d/1Lhp9OU0JdFf_VYSMzH5lBcEaU4o8teT1piV-SNzShjg/edit?gid=554141278#gid=554141278"", ""'Char Def. - Attributes'!C20:C2242""), 1,false)"),"ALT_DENUM_UOM2")</f>
        <v>ALT_DENUM_UOM2</v>
      </c>
      <c r="I10987" s="136"/>
      <c r="R10987" s="63" t="str">
        <f t="shared" si="60"/>
        <v>ZSI1_MDF_BOARDALT_DENUM_UOM2</v>
      </c>
    </row>
    <row r="10988" ht="15.75" customHeight="1">
      <c r="B10988" s="63">
        <f t="shared" si="1"/>
        <v>14</v>
      </c>
      <c r="C10988" s="135" t="s">
        <v>418</v>
      </c>
      <c r="D10988" s="161" t="s">
        <v>74</v>
      </c>
      <c r="E10988" s="135">
        <f t="shared" si="62"/>
        <v>21</v>
      </c>
      <c r="F10988" s="134" t="s">
        <v>3809</v>
      </c>
      <c r="G10988" s="63" t="str">
        <f>VLOOKUP(C10988, 'Class Def. - General Data'!$C$20:$C$1000,1,false)</f>
        <v>ZSI1_MDF_BOARD</v>
      </c>
      <c r="H10988" s="63" t="str">
        <f>IFERROR(__xludf.DUMMYFUNCTION("VLOOKUP(F10988, IMPORTRANGE(""https://docs.google.com/spreadsheets/d/1Lhp9OU0JdFf_VYSMzH5lBcEaU4o8teT1piV-SNzShjg/edit?gid=554141278#gid=554141278"", ""'Char Def. - Attributes'!C20:C2242""), 1,false)"),"ALT_NUM_UOM2")</f>
        <v>ALT_NUM_UOM2</v>
      </c>
      <c r="I10988" s="136"/>
      <c r="R10988" s="63" t="str">
        <f t="shared" si="60"/>
        <v>ZSI1_MDF_BOARDALT_NUM_UOM2</v>
      </c>
    </row>
    <row r="10989" ht="15.75" customHeight="1">
      <c r="B10989" s="63">
        <f t="shared" si="1"/>
        <v>14</v>
      </c>
      <c r="C10989" s="135" t="s">
        <v>418</v>
      </c>
      <c r="D10989" s="161" t="s">
        <v>74</v>
      </c>
      <c r="E10989" s="135">
        <f t="shared" si="62"/>
        <v>22</v>
      </c>
      <c r="F10989" s="134" t="s">
        <v>3810</v>
      </c>
      <c r="G10989" s="63" t="str">
        <f>VLOOKUP(C10989, 'Class Def. - General Data'!$C$20:$C$1000,1,false)</f>
        <v>ZSI1_MDF_BOARD</v>
      </c>
      <c r="H10989" s="63" t="str">
        <f>IFERROR(__xludf.DUMMYFUNCTION("VLOOKUP(F10989, IMPORTRANGE(""https://docs.google.com/spreadsheets/d/1Lhp9OU0JdFf_VYSMzH5lBcEaU4o8teT1piV-SNzShjg/edit?gid=554141278#gid=554141278"", ""'Char Def. - Attributes'!C20:C2242""), 1,false)"),"ALT_UOM3_SIPI")</f>
        <v>ALT_UOM3_SIPI</v>
      </c>
      <c r="I10989" s="136"/>
      <c r="R10989" s="63" t="str">
        <f t="shared" si="60"/>
        <v>ZSI1_MDF_BOARDALT_UOM3_SIPI</v>
      </c>
    </row>
    <row r="10990" ht="15.75" customHeight="1">
      <c r="B10990" s="63">
        <f t="shared" si="1"/>
        <v>14</v>
      </c>
      <c r="C10990" s="135" t="s">
        <v>418</v>
      </c>
      <c r="D10990" s="161" t="s">
        <v>74</v>
      </c>
      <c r="E10990" s="135">
        <f t="shared" si="62"/>
        <v>23</v>
      </c>
      <c r="F10990" s="134" t="s">
        <v>3811</v>
      </c>
      <c r="G10990" s="63" t="str">
        <f>VLOOKUP(C10990, 'Class Def. - General Data'!$C$20:$C$1000,1,false)</f>
        <v>ZSI1_MDF_BOARD</v>
      </c>
      <c r="H10990" s="63" t="str">
        <f>IFERROR(__xludf.DUMMYFUNCTION("VLOOKUP(F10990, IMPORTRANGE(""https://docs.google.com/spreadsheets/d/1Lhp9OU0JdFf_VYSMzH5lBcEaU4o8teT1piV-SNzShjg/edit?gid=554141278#gid=554141278"", ""'Char Def. - Attributes'!C20:C2242""), 1,false)"),"ALT_DENUM_UOM3")</f>
        <v>ALT_DENUM_UOM3</v>
      </c>
      <c r="I10990" s="136"/>
      <c r="R10990" s="63" t="str">
        <f t="shared" si="60"/>
        <v>ZSI1_MDF_BOARDALT_DENUM_UOM3</v>
      </c>
    </row>
    <row r="10991" ht="15.75" customHeight="1">
      <c r="B10991" s="63">
        <f t="shared" si="1"/>
        <v>14</v>
      </c>
      <c r="C10991" s="135" t="s">
        <v>418</v>
      </c>
      <c r="D10991" s="161" t="s">
        <v>74</v>
      </c>
      <c r="E10991" s="135">
        <f t="shared" si="62"/>
        <v>24</v>
      </c>
      <c r="F10991" s="134" t="s">
        <v>3812</v>
      </c>
      <c r="G10991" s="63" t="str">
        <f>VLOOKUP(C10991, 'Class Def. - General Data'!$C$20:$C$1000,1,false)</f>
        <v>ZSI1_MDF_BOARD</v>
      </c>
      <c r="H10991" s="63" t="str">
        <f>IFERROR(__xludf.DUMMYFUNCTION("VLOOKUP(F10991, IMPORTRANGE(""https://docs.google.com/spreadsheets/d/1Lhp9OU0JdFf_VYSMzH5lBcEaU4o8teT1piV-SNzShjg/edit?gid=554141278#gid=554141278"", ""'Char Def. - Attributes'!C20:C2242""), 1,false)"),"ALT_NUM_UOM3")</f>
        <v>ALT_NUM_UOM3</v>
      </c>
      <c r="I10991" s="136"/>
      <c r="R10991" s="63" t="str">
        <f t="shared" si="60"/>
        <v>ZSI1_MDF_BOARDALT_NUM_UOM3</v>
      </c>
    </row>
    <row r="10992" ht="15.75" customHeight="1">
      <c r="B10992" s="63">
        <f t="shared" si="1"/>
        <v>14</v>
      </c>
      <c r="C10992" s="135" t="s">
        <v>418</v>
      </c>
      <c r="D10992" s="161" t="s">
        <v>74</v>
      </c>
      <c r="E10992" s="135">
        <f t="shared" si="62"/>
        <v>25</v>
      </c>
      <c r="F10992" s="134" t="s">
        <v>3813</v>
      </c>
      <c r="G10992" s="63" t="str">
        <f>VLOOKUP(C10992, 'Class Def. - General Data'!$C$20:$C$1000,1,false)</f>
        <v>ZSI1_MDF_BOARD</v>
      </c>
      <c r="H10992" s="63" t="str">
        <f>IFERROR(__xludf.DUMMYFUNCTION("VLOOKUP(F10992, IMPORTRANGE(""https://docs.google.com/spreadsheets/d/1Lhp9OU0JdFf_VYSMzH5lBcEaU4o8teT1piV-SNzShjg/edit?gid=554141278#gid=554141278"", ""'Char Def. - Attributes'!C20:C2242""), 1,false)"),"ALT_UOM4_SIPI")</f>
        <v>ALT_UOM4_SIPI</v>
      </c>
      <c r="I10992" s="136"/>
      <c r="R10992" s="63" t="str">
        <f t="shared" si="60"/>
        <v>ZSI1_MDF_BOARDALT_UOM4_SIPI</v>
      </c>
    </row>
    <row r="10993" ht="15.75" customHeight="1">
      <c r="B10993" s="63">
        <f t="shared" si="1"/>
        <v>14</v>
      </c>
      <c r="C10993" s="135" t="s">
        <v>418</v>
      </c>
      <c r="D10993" s="161" t="s">
        <v>74</v>
      </c>
      <c r="E10993" s="135">
        <f t="shared" si="62"/>
        <v>26</v>
      </c>
      <c r="F10993" s="134" t="s">
        <v>3814</v>
      </c>
      <c r="G10993" s="63" t="str">
        <f>VLOOKUP(C10993, 'Class Def. - General Data'!$C$20:$C$1000,1,false)</f>
        <v>ZSI1_MDF_BOARD</v>
      </c>
      <c r="H10993" s="63" t="str">
        <f>IFERROR(__xludf.DUMMYFUNCTION("VLOOKUP(F10993, IMPORTRANGE(""https://docs.google.com/spreadsheets/d/1Lhp9OU0JdFf_VYSMzH5lBcEaU4o8teT1piV-SNzShjg/edit?gid=554141278#gid=554141278"", ""'Char Def. - Attributes'!C20:C2242""), 1,false)"),"ALT_DENUM_UOM4")</f>
        <v>ALT_DENUM_UOM4</v>
      </c>
      <c r="I10993" s="136"/>
      <c r="R10993" s="63" t="str">
        <f t="shared" si="60"/>
        <v>ZSI1_MDF_BOARDALT_DENUM_UOM4</v>
      </c>
    </row>
    <row r="10994" ht="15.75" customHeight="1">
      <c r="B10994" s="63">
        <f t="shared" si="1"/>
        <v>14</v>
      </c>
      <c r="C10994" s="135" t="s">
        <v>418</v>
      </c>
      <c r="D10994" s="161" t="s">
        <v>74</v>
      </c>
      <c r="E10994" s="135">
        <f t="shared" si="62"/>
        <v>27</v>
      </c>
      <c r="F10994" s="134" t="s">
        <v>3815</v>
      </c>
      <c r="G10994" s="63" t="str">
        <f>VLOOKUP(C10994, 'Class Def. - General Data'!$C$20:$C$1000,1,false)</f>
        <v>ZSI1_MDF_BOARD</v>
      </c>
      <c r="H10994" s="63" t="str">
        <f>IFERROR(__xludf.DUMMYFUNCTION("VLOOKUP(F10994, IMPORTRANGE(""https://docs.google.com/spreadsheets/d/1Lhp9OU0JdFf_VYSMzH5lBcEaU4o8teT1piV-SNzShjg/edit?gid=554141278#gid=554141278"", ""'Char Def. - Attributes'!C20:C2242""), 1,false)"),"ALT_NUM_UOM4")</f>
        <v>ALT_NUM_UOM4</v>
      </c>
      <c r="I10994" s="136"/>
      <c r="R10994" s="63" t="str">
        <f t="shared" si="60"/>
        <v>ZSI1_MDF_BOARDALT_NUM_UOM4</v>
      </c>
    </row>
    <row r="10995" ht="15.75" customHeight="1">
      <c r="B10995" s="63">
        <f t="shared" si="1"/>
        <v>14</v>
      </c>
      <c r="C10995" s="135" t="s">
        <v>418</v>
      </c>
      <c r="D10995" s="161" t="s">
        <v>74</v>
      </c>
      <c r="E10995" s="135">
        <f t="shared" si="62"/>
        <v>28</v>
      </c>
      <c r="F10995" s="134" t="s">
        <v>3816</v>
      </c>
      <c r="G10995" s="63" t="str">
        <f>VLOOKUP(C10995, 'Class Def. - General Data'!$C$20:$C$1000,1,false)</f>
        <v>ZSI1_MDF_BOARD</v>
      </c>
      <c r="H10995" s="63" t="str">
        <f>IFERROR(__xludf.DUMMYFUNCTION("VLOOKUP(F10995, IMPORTRANGE(""https://docs.google.com/spreadsheets/d/1Lhp9OU0JdFf_VYSMzH5lBcEaU4o8teT1piV-SNzShjg/edit?gid=554141278#gid=554141278"", ""'Char Def. - Attributes'!C20:C2242""), 1,false)"),"ALT_UOM5_SIPI")</f>
        <v>ALT_UOM5_SIPI</v>
      </c>
      <c r="I10995" s="136"/>
      <c r="R10995" s="63" t="str">
        <f t="shared" si="60"/>
        <v>ZSI1_MDF_BOARDALT_UOM5_SIPI</v>
      </c>
    </row>
    <row r="10996" ht="15.75" customHeight="1">
      <c r="B10996" s="63">
        <f t="shared" si="1"/>
        <v>14</v>
      </c>
      <c r="C10996" s="135" t="s">
        <v>418</v>
      </c>
      <c r="D10996" s="161" t="s">
        <v>74</v>
      </c>
      <c r="E10996" s="135">
        <f t="shared" si="62"/>
        <v>29</v>
      </c>
      <c r="F10996" s="134" t="s">
        <v>3817</v>
      </c>
      <c r="G10996" s="63" t="str">
        <f>VLOOKUP(C10996, 'Class Def. - General Data'!$C$20:$C$1000,1,false)</f>
        <v>ZSI1_MDF_BOARD</v>
      </c>
      <c r="H10996" s="63" t="str">
        <f>IFERROR(__xludf.DUMMYFUNCTION("VLOOKUP(F10996, IMPORTRANGE(""https://docs.google.com/spreadsheets/d/1Lhp9OU0JdFf_VYSMzH5lBcEaU4o8teT1piV-SNzShjg/edit?gid=554141278#gid=554141278"", ""'Char Def. - Attributes'!C20:C2242""), 1,false)"),"ALT_DENUM_UOM5")</f>
        <v>ALT_DENUM_UOM5</v>
      </c>
      <c r="I10996" s="136"/>
      <c r="R10996" s="63" t="str">
        <f t="shared" si="60"/>
        <v>ZSI1_MDF_BOARDALT_DENUM_UOM5</v>
      </c>
    </row>
    <row r="10997" ht="15.75" customHeight="1">
      <c r="B10997" s="63">
        <f t="shared" si="1"/>
        <v>14</v>
      </c>
      <c r="C10997" s="135" t="s">
        <v>418</v>
      </c>
      <c r="D10997" s="161" t="s">
        <v>74</v>
      </c>
      <c r="E10997" s="135">
        <f t="shared" si="62"/>
        <v>30</v>
      </c>
      <c r="F10997" s="134" t="s">
        <v>3818</v>
      </c>
      <c r="G10997" s="63" t="str">
        <f>VLOOKUP(C10997, 'Class Def. - General Data'!$C$20:$C$1000,1,false)</f>
        <v>ZSI1_MDF_BOARD</v>
      </c>
      <c r="H10997" s="63" t="str">
        <f>IFERROR(__xludf.DUMMYFUNCTION("VLOOKUP(F10997, IMPORTRANGE(""https://docs.google.com/spreadsheets/d/1Lhp9OU0JdFf_VYSMzH5lBcEaU4o8teT1piV-SNzShjg/edit?gid=554141278#gid=554141278"", ""'Char Def. - Attributes'!C20:C2242""), 1,false)"),"ALT_NUM_UOM5")</f>
        <v>ALT_NUM_UOM5</v>
      </c>
      <c r="I10997" s="136"/>
      <c r="R10997" s="63" t="str">
        <f t="shared" si="60"/>
        <v>ZSI1_MDF_BOARDALT_NUM_UOM5</v>
      </c>
    </row>
    <row r="10998" ht="15.75" customHeight="1">
      <c r="B10998" s="63">
        <f t="shared" si="1"/>
        <v>17</v>
      </c>
      <c r="C10998" s="135" t="s">
        <v>307</v>
      </c>
      <c r="D10998" s="161" t="s">
        <v>74</v>
      </c>
      <c r="E10998" s="135">
        <f t="shared" si="62"/>
        <v>1</v>
      </c>
      <c r="F10998" s="134" t="s">
        <v>4848</v>
      </c>
      <c r="G10998" s="63" t="str">
        <f>VLOOKUP(C10998, 'Class Def. - General Data'!$C$20:$C$1000,1,false)</f>
        <v>ZSI1_MEASURE_INST</v>
      </c>
      <c r="H10998" s="63" t="str">
        <f>IFERROR(__xludf.DUMMYFUNCTION("VLOOKUP(F10998, IMPORTRANGE(""https://docs.google.com/spreadsheets/d/1Lhp9OU0JdFf_VYSMzH5lBcEaU4o8teT1piV-SNzShjg/edit?gid=554141278#gid=554141278"", ""'Char Def. - Attributes'!C20:C2242""), 1,false)"),"ITEM_NAME_MEASURE_INST")</f>
        <v>ITEM_NAME_MEASURE_INST</v>
      </c>
      <c r="I10998" s="136"/>
      <c r="R10998" s="63" t="str">
        <f t="shared" si="60"/>
        <v>ZSI1_MEASURE_INSTITEM_NAME_MEASURE_INST</v>
      </c>
    </row>
    <row r="10999" ht="15.75" customHeight="1">
      <c r="B10999" s="63">
        <f t="shared" si="1"/>
        <v>17</v>
      </c>
      <c r="C10999" s="135" t="s">
        <v>307</v>
      </c>
      <c r="D10999" s="161" t="s">
        <v>74</v>
      </c>
      <c r="E10999" s="135">
        <f t="shared" si="62"/>
        <v>2</v>
      </c>
      <c r="F10999" s="134" t="s">
        <v>4849</v>
      </c>
      <c r="G10999" s="63" t="str">
        <f>VLOOKUP(C10999, 'Class Def. - General Data'!$C$20:$C$1000,1,false)</f>
        <v>ZSI1_MEASURE_INST</v>
      </c>
      <c r="H10999" s="63" t="str">
        <f>IFERROR(__xludf.DUMMYFUNCTION("VLOOKUP(F10999, IMPORTRANGE(""https://docs.google.com/spreadsheets/d/1Lhp9OU0JdFf_VYSMzH5lBcEaU4o8teT1piV-SNzShjg/edit?gid=554141278#gid=554141278"", ""'Char Def. - Attributes'!C20:C2242""), 1,false)"),"MFR_NO_MEASURE_INST")</f>
        <v>MFR_NO_MEASURE_INST</v>
      </c>
      <c r="I10999" s="136"/>
      <c r="R10999" s="63" t="str">
        <f t="shared" si="60"/>
        <v>ZSI1_MEASURE_INSTMFR_NO_MEASURE_INST</v>
      </c>
    </row>
    <row r="11000" ht="15.75" customHeight="1">
      <c r="B11000" s="63">
        <f t="shared" si="1"/>
        <v>17</v>
      </c>
      <c r="C11000" s="135" t="s">
        <v>307</v>
      </c>
      <c r="D11000" s="161" t="s">
        <v>74</v>
      </c>
      <c r="E11000" s="135">
        <f t="shared" si="62"/>
        <v>3</v>
      </c>
      <c r="F11000" s="134" t="s">
        <v>3782</v>
      </c>
      <c r="G11000" s="63" t="str">
        <f>VLOOKUP(C11000, 'Class Def. - General Data'!$C$20:$C$1000,1,false)</f>
        <v>ZSI1_MEASURE_INST</v>
      </c>
      <c r="H11000" s="63" t="str">
        <f>IFERROR(__xludf.DUMMYFUNCTION("VLOOKUP(F11000, IMPORTRANGE(""https://docs.google.com/spreadsheets/d/1Lhp9OU0JdFf_VYSMzH5lBcEaU4o8teT1piV-SNzShjg/edit?gid=554141278#gid=554141278"", ""'Char Def. - Attributes'!C20:C2242""), 1,false)"),"BRAND_EXTERNAL")</f>
        <v>BRAND_EXTERNAL</v>
      </c>
      <c r="I11000" s="136"/>
      <c r="R11000" s="63" t="str">
        <f t="shared" si="60"/>
        <v>ZSI1_MEASURE_INSTBRAND_EXTERNAL</v>
      </c>
    </row>
    <row r="11001" ht="15.75" customHeight="1">
      <c r="B11001" s="63">
        <f t="shared" si="1"/>
        <v>17</v>
      </c>
      <c r="C11001" s="135" t="s">
        <v>307</v>
      </c>
      <c r="D11001" s="161" t="s">
        <v>74</v>
      </c>
      <c r="E11001" s="135">
        <f t="shared" si="62"/>
        <v>4</v>
      </c>
      <c r="F11001" s="134" t="s">
        <v>4850</v>
      </c>
      <c r="G11001" s="63" t="str">
        <f>VLOOKUP(C11001, 'Class Def. - General Data'!$C$20:$C$1000,1,false)</f>
        <v>ZSI1_MEASURE_INST</v>
      </c>
      <c r="H11001" s="63" t="str">
        <f>IFERROR(__xludf.DUMMYFUNCTION("VLOOKUP(F11001, IMPORTRANGE(""https://docs.google.com/spreadsheets/d/1Lhp9OU0JdFf_VYSMzH5lBcEaU4o8teT1piV-SNzShjg/edit?gid=554141278#gid=554141278"", ""'Char Def. - Attributes'!C20:C2242""), 1,false)"),"ADA_RANGE_MEASURE_INST")</f>
        <v>ADA_RANGE_MEASURE_INST</v>
      </c>
      <c r="I11001" s="136"/>
      <c r="R11001" s="63" t="str">
        <f t="shared" si="60"/>
        <v>ZSI1_MEASURE_INSTADA_RANGE_MEASURE_INST</v>
      </c>
    </row>
    <row r="11002" ht="15.75" customHeight="1">
      <c r="B11002" s="63">
        <f t="shared" si="1"/>
        <v>17</v>
      </c>
      <c r="C11002" s="135" t="s">
        <v>307</v>
      </c>
      <c r="D11002" s="161" t="s">
        <v>74</v>
      </c>
      <c r="E11002" s="135">
        <f t="shared" si="62"/>
        <v>5</v>
      </c>
      <c r="F11002" s="134" t="s">
        <v>4851</v>
      </c>
      <c r="G11002" s="63" t="str">
        <f>VLOOKUP(C11002, 'Class Def. - General Data'!$C$20:$C$1000,1,false)</f>
        <v>ZSI1_MEASURE_INST</v>
      </c>
      <c r="H11002" s="63" t="str">
        <f>IFERROR(__xludf.DUMMYFUNCTION("VLOOKUP(F11002, IMPORTRANGE(""https://docs.google.com/spreadsheets/d/1Lhp9OU0JdFf_VYSMzH5lBcEaU4o8teT1piV-SNzShjg/edit?gid=554141278#gid=554141278"", ""'Char Def. - Attributes'!C20:C2242""), 1,false)"),"RANGE1_MEASURE_INST")</f>
        <v>RANGE1_MEASURE_INST</v>
      </c>
      <c r="I11002" s="136"/>
      <c r="R11002" s="63" t="str">
        <f t="shared" si="60"/>
        <v>ZSI1_MEASURE_INSTRANGE1_MEASURE_INST</v>
      </c>
    </row>
    <row r="11003" ht="15.75" customHeight="1">
      <c r="B11003" s="63">
        <f t="shared" si="1"/>
        <v>17</v>
      </c>
      <c r="C11003" s="135" t="s">
        <v>307</v>
      </c>
      <c r="D11003" s="161" t="s">
        <v>74</v>
      </c>
      <c r="E11003" s="135">
        <f t="shared" si="62"/>
        <v>6</v>
      </c>
      <c r="F11003" s="134" t="s">
        <v>4852</v>
      </c>
      <c r="G11003" s="63" t="str">
        <f>VLOOKUP(C11003, 'Class Def. - General Data'!$C$20:$C$1000,1,false)</f>
        <v>ZSI1_MEASURE_INST</v>
      </c>
      <c r="H11003" s="63" t="str">
        <f>IFERROR(__xludf.DUMMYFUNCTION("VLOOKUP(F11003, IMPORTRANGE(""https://docs.google.com/spreadsheets/d/1Lhp9OU0JdFf_VYSMzH5lBcEaU4o8teT1piV-SNzShjg/edit?gid=554141278#gid=554141278"", ""'Char Def. - Attributes'!C20:C2242""), 1,false)"),"SATUAN_RANGE1_MEASURE_INST")</f>
        <v>SATUAN_RANGE1_MEASURE_INST</v>
      </c>
      <c r="I11003" s="136"/>
      <c r="R11003" s="63" t="str">
        <f t="shared" si="60"/>
        <v>ZSI1_MEASURE_INSTSATUAN_RANGE1_MEASURE_INST</v>
      </c>
    </row>
    <row r="11004" ht="15.75" customHeight="1">
      <c r="B11004" s="63">
        <f t="shared" si="1"/>
        <v>17</v>
      </c>
      <c r="C11004" s="135" t="s">
        <v>307</v>
      </c>
      <c r="D11004" s="161" t="s">
        <v>74</v>
      </c>
      <c r="E11004" s="135">
        <f t="shared" si="62"/>
        <v>7</v>
      </c>
      <c r="F11004" s="134" t="s">
        <v>4853</v>
      </c>
      <c r="G11004" s="63" t="str">
        <f>VLOOKUP(C11004, 'Class Def. - General Data'!$C$20:$C$1000,1,false)</f>
        <v>ZSI1_MEASURE_INST</v>
      </c>
      <c r="H11004" s="63" t="str">
        <f>IFERROR(__xludf.DUMMYFUNCTION("VLOOKUP(F11004, IMPORTRANGE(""https://docs.google.com/spreadsheets/d/1Lhp9OU0JdFf_VYSMzH5lBcEaU4o8teT1piV-SNzShjg/edit?gid=554141278#gid=554141278"", ""'Char Def. - Attributes'!C20:C2242""), 1,false)"),"RANGE2_MEASURE_INST")</f>
        <v>RANGE2_MEASURE_INST</v>
      </c>
      <c r="I11004" s="136"/>
      <c r="R11004" s="63" t="str">
        <f t="shared" si="60"/>
        <v>ZSI1_MEASURE_INSTRANGE2_MEASURE_INST</v>
      </c>
    </row>
    <row r="11005" ht="15.75" customHeight="1">
      <c r="B11005" s="63">
        <f t="shared" si="1"/>
        <v>17</v>
      </c>
      <c r="C11005" s="135" t="s">
        <v>307</v>
      </c>
      <c r="D11005" s="161" t="s">
        <v>74</v>
      </c>
      <c r="E11005" s="135">
        <f t="shared" si="62"/>
        <v>8</v>
      </c>
      <c r="F11005" s="134" t="s">
        <v>4854</v>
      </c>
      <c r="G11005" s="63" t="str">
        <f>VLOOKUP(C11005, 'Class Def. - General Data'!$C$20:$C$1000,1,false)</f>
        <v>ZSI1_MEASURE_INST</v>
      </c>
      <c r="H11005" s="63" t="str">
        <f>IFERROR(__xludf.DUMMYFUNCTION("VLOOKUP(F11005, IMPORTRANGE(""https://docs.google.com/spreadsheets/d/1Lhp9OU0JdFf_VYSMzH5lBcEaU4o8teT1piV-SNzShjg/edit?gid=554141278#gid=554141278"", ""'Char Def. - Attributes'!C20:C2242""), 1,false)"),"SATUAN_RANGE2_MEASURE_INST")</f>
        <v>SATUAN_RANGE2_MEASURE_INST</v>
      </c>
      <c r="I11005" s="136"/>
      <c r="R11005" s="63" t="str">
        <f t="shared" si="60"/>
        <v>ZSI1_MEASURE_INSTSATUAN_RANGE2_MEASURE_INST</v>
      </c>
    </row>
    <row r="11006" ht="15.75" customHeight="1">
      <c r="B11006" s="63">
        <f t="shared" si="1"/>
        <v>17</v>
      </c>
      <c r="C11006" s="135" t="s">
        <v>307</v>
      </c>
      <c r="D11006" s="161" t="s">
        <v>74</v>
      </c>
      <c r="E11006" s="135">
        <f t="shared" si="62"/>
        <v>9</v>
      </c>
      <c r="F11006" s="134" t="s">
        <v>4062</v>
      </c>
      <c r="G11006" s="63" t="str">
        <f>VLOOKUP(C11006, 'Class Def. - General Data'!$C$20:$C$1000,1,false)</f>
        <v>ZSI1_MEASURE_INST</v>
      </c>
      <c r="H11006" s="63" t="str">
        <f>IFERROR(__xludf.DUMMYFUNCTION("VLOOKUP(F11006, IMPORTRANGE(""https://docs.google.com/spreadsheets/d/1Lhp9OU0JdFf_VYSMzH5lBcEaU4o8teT1piV-SNzShjg/edit?gid=554141278#gid=554141278"", ""'Char Def. - Attributes'!C20:C2242""), 1,false)"),"#N/A")</f>
        <v>#N/A</v>
      </c>
      <c r="I11006" s="136"/>
      <c r="R11006" s="63" t="str">
        <f t="shared" si="60"/>
        <v>ZSI1_MEASURE_INSTADDTIONAL_SPECIFICATION</v>
      </c>
    </row>
    <row r="11007" ht="15.75" customHeight="1">
      <c r="B11007" s="63">
        <f t="shared" si="1"/>
        <v>17</v>
      </c>
      <c r="C11007" s="135" t="s">
        <v>307</v>
      </c>
      <c r="D11007" s="161" t="s">
        <v>74</v>
      </c>
      <c r="E11007" s="135">
        <f t="shared" si="62"/>
        <v>10</v>
      </c>
      <c r="F11007" s="134" t="s">
        <v>4053</v>
      </c>
      <c r="G11007" s="63" t="str">
        <f>VLOOKUP(C11007, 'Class Def. - General Data'!$C$20:$C$1000,1,false)</f>
        <v>ZSI1_MEASURE_INST</v>
      </c>
      <c r="H11007" s="63" t="str">
        <f>IFERROR(__xludf.DUMMYFUNCTION("VLOOKUP(F11007, IMPORTRANGE(""https://docs.google.com/spreadsheets/d/1Lhp9OU0JdFf_VYSMzH5lBcEaU4o8teT1piV-SNzShjg/edit?gid=554141278#gid=554141278"", ""'Char Def. - Attributes'!C20:C2242""), 1,false)"),"MAINTENANCE_ORDER_TYPE")</f>
        <v>MAINTENANCE_ORDER_TYPE</v>
      </c>
      <c r="I11007" s="136"/>
      <c r="R11007" s="63" t="str">
        <f t="shared" si="60"/>
        <v>ZSI1_MEASURE_INSTMAINTENANCE_ORDER_TYPE</v>
      </c>
    </row>
    <row r="11008" ht="15.75" customHeight="1">
      <c r="B11008" s="63">
        <f t="shared" si="1"/>
        <v>17</v>
      </c>
      <c r="C11008" s="135" t="s">
        <v>307</v>
      </c>
      <c r="D11008" s="161" t="s">
        <v>74</v>
      </c>
      <c r="E11008" s="135">
        <f t="shared" si="62"/>
        <v>11</v>
      </c>
      <c r="F11008" s="134" t="s">
        <v>3585</v>
      </c>
      <c r="G11008" s="63" t="str">
        <f>VLOOKUP(C11008, 'Class Def. - General Data'!$C$20:$C$1000,1,false)</f>
        <v>ZSI1_MEASURE_INST</v>
      </c>
      <c r="H11008" s="63" t="str">
        <f>IFERROR(__xludf.DUMMYFUNCTION("VLOOKUP(F11008, IMPORTRANGE(""https://docs.google.com/spreadsheets/d/1Lhp9OU0JdFf_VYSMzH5lBcEaU4o8teT1piV-SNzShjg/edit?gid=554141278#gid=554141278"", ""'Char Def. - Attributes'!C20:C2242""), 1,false)"),"HS_CODE")</f>
        <v>HS_CODE</v>
      </c>
      <c r="I11008" s="136"/>
      <c r="R11008" s="63" t="str">
        <f t="shared" si="60"/>
        <v>ZSI1_MEASURE_INSTHS_CODE</v>
      </c>
    </row>
    <row r="11009" ht="15.75" customHeight="1">
      <c r="B11009" s="63">
        <f t="shared" si="1"/>
        <v>17</v>
      </c>
      <c r="C11009" s="135" t="s">
        <v>307</v>
      </c>
      <c r="D11009" s="161" t="s">
        <v>74</v>
      </c>
      <c r="E11009" s="135">
        <f t="shared" si="62"/>
        <v>12</v>
      </c>
      <c r="F11009" s="134" t="s">
        <v>3587</v>
      </c>
      <c r="G11009" s="63" t="str">
        <f>VLOOKUP(C11009, 'Class Def. - General Data'!$C$20:$C$1000,1,false)</f>
        <v>ZSI1_MEASURE_INST</v>
      </c>
      <c r="H11009" s="63" t="str">
        <f>IFERROR(__xludf.DUMMYFUNCTION("VLOOKUP(F11009, IMPORTRANGE(""https://docs.google.com/spreadsheets/d/1Lhp9OU0JdFf_VYSMzH5lBcEaU4o8teT1piV-SNzShjg/edit?gid=554141278#gid=554141278"", ""'Char Def. - Attributes'!C20:C2242""), 1,false)"),"PLANT_BUY")</f>
        <v>PLANT_BUY</v>
      </c>
      <c r="I11009" s="136"/>
      <c r="R11009" s="63" t="str">
        <f t="shared" si="60"/>
        <v>ZSI1_MEASURE_INSTPLANT_BUY</v>
      </c>
    </row>
    <row r="11010" ht="15.75" customHeight="1">
      <c r="B11010" s="63">
        <f t="shared" si="1"/>
        <v>17</v>
      </c>
      <c r="C11010" s="135" t="s">
        <v>307</v>
      </c>
      <c r="D11010" s="161" t="s">
        <v>74</v>
      </c>
      <c r="E11010" s="135">
        <f t="shared" si="62"/>
        <v>13</v>
      </c>
      <c r="F11010" s="134" t="s">
        <v>4855</v>
      </c>
      <c r="G11010" s="63" t="str">
        <f>VLOOKUP(C11010, 'Class Def. - General Data'!$C$20:$C$1000,1,false)</f>
        <v>ZSI1_MEASURE_INST</v>
      </c>
      <c r="H11010" s="63" t="str">
        <f>IFERROR(__xludf.DUMMYFUNCTION("VLOOKUP(F11010, IMPORTRANGE(""https://docs.google.com/spreadsheets/d/1Lhp9OU0JdFf_VYSMzH5lBcEaU4o8teT1piV-SNzShjg/edit?gid=554141278#gid=554141278"", ""'Char Def. - Attributes'!C20:C2242""), 1,false)"),"BASE_UOM_MEASURE_INST")</f>
        <v>BASE_UOM_MEASURE_INST</v>
      </c>
      <c r="I11010" s="136"/>
      <c r="R11010" s="63" t="str">
        <f t="shared" si="60"/>
        <v>ZSI1_MEASURE_INSTBASE_UOM_MEASURE_INST</v>
      </c>
    </row>
    <row r="11011" ht="15.75" customHeight="1">
      <c r="B11011" s="63">
        <f t="shared" si="1"/>
        <v>17</v>
      </c>
      <c r="C11011" s="135" t="s">
        <v>307</v>
      </c>
      <c r="D11011" s="161" t="s">
        <v>74</v>
      </c>
      <c r="E11011" s="135">
        <f t="shared" si="62"/>
        <v>14</v>
      </c>
      <c r="F11011" s="134" t="s">
        <v>4856</v>
      </c>
      <c r="G11011" s="63" t="str">
        <f>VLOOKUP(C11011, 'Class Def. - General Data'!$C$20:$C$1000,1,false)</f>
        <v>ZSI1_MEASURE_INST</v>
      </c>
      <c r="H11011" s="63" t="str">
        <f>IFERROR(__xludf.DUMMYFUNCTION("VLOOKUP(F11011, IMPORTRANGE(""https://docs.google.com/spreadsheets/d/1Lhp9OU0JdFf_VYSMzH5lBcEaU4o8teT1piV-SNzShjg/edit?gid=554141278#gid=554141278"", ""'Char Def. - Attributes'!C20:C2242""), 1,false)"),"ORDER_UNIT_MEASURE_INST")</f>
        <v>ORDER_UNIT_MEASURE_INST</v>
      </c>
      <c r="I11011" s="136"/>
      <c r="R11011" s="63" t="str">
        <f t="shared" si="60"/>
        <v>ZSI1_MEASURE_INSTORDER_UNIT_MEASURE_INST</v>
      </c>
    </row>
    <row r="11012" ht="15.75" customHeight="1">
      <c r="B11012" s="63">
        <f t="shared" si="1"/>
        <v>17</v>
      </c>
      <c r="C11012" s="135" t="s">
        <v>307</v>
      </c>
      <c r="D11012" s="161" t="s">
        <v>74</v>
      </c>
      <c r="E11012" s="135">
        <f t="shared" si="62"/>
        <v>15</v>
      </c>
      <c r="F11012" s="134" t="s">
        <v>4056</v>
      </c>
      <c r="G11012" s="63" t="str">
        <f>VLOOKUP(C11012, 'Class Def. - General Data'!$C$20:$C$1000,1,false)</f>
        <v>ZSI1_MEASURE_INST</v>
      </c>
      <c r="H11012" s="63" t="str">
        <f>IFERROR(__xludf.DUMMYFUNCTION("VLOOKUP(F11012, IMPORTRANGE(""https://docs.google.com/spreadsheets/d/1Lhp9OU0JdFf_VYSMzH5lBcEaU4o8teT1piV-SNzShjg/edit?gid=554141278#gid=554141278"", ""'Char Def. - Attributes'!C20:C2242""), 1,false)"),"GROSS_WEIGHT_OPT")</f>
        <v>GROSS_WEIGHT_OPT</v>
      </c>
      <c r="I11012" s="136"/>
      <c r="R11012" s="63" t="str">
        <f t="shared" si="60"/>
        <v>ZSI1_MEASURE_INSTGROSS_WEIGHT_OPT</v>
      </c>
    </row>
    <row r="11013" ht="15.75" customHeight="1">
      <c r="B11013" s="63">
        <f t="shared" si="1"/>
        <v>17</v>
      </c>
      <c r="C11013" s="135" t="s">
        <v>307</v>
      </c>
      <c r="D11013" s="161" t="s">
        <v>74</v>
      </c>
      <c r="E11013" s="135">
        <f t="shared" si="62"/>
        <v>16</v>
      </c>
      <c r="F11013" s="134" t="s">
        <v>4057</v>
      </c>
      <c r="G11013" s="63" t="str">
        <f>VLOOKUP(C11013, 'Class Def. - General Data'!$C$20:$C$1000,1,false)</f>
        <v>ZSI1_MEASURE_INST</v>
      </c>
      <c r="H11013" s="63" t="str">
        <f>IFERROR(__xludf.DUMMYFUNCTION("VLOOKUP(F11013, IMPORTRANGE(""https://docs.google.com/spreadsheets/d/1Lhp9OU0JdFf_VYSMzH5lBcEaU4o8teT1piV-SNzShjg/edit?gid=554141278#gid=554141278"", ""'Char Def. - Attributes'!C20:C2242""), 1,false)"),"NET_WEIGHT_OPT")</f>
        <v>NET_WEIGHT_OPT</v>
      </c>
      <c r="I11013" s="136"/>
      <c r="R11013" s="63" t="str">
        <f t="shared" si="60"/>
        <v>ZSI1_MEASURE_INSTNET_WEIGHT_OPT</v>
      </c>
    </row>
    <row r="11014" ht="15.75" customHeight="1">
      <c r="B11014" s="63">
        <f t="shared" si="1"/>
        <v>17</v>
      </c>
      <c r="C11014" s="135" t="s">
        <v>307</v>
      </c>
      <c r="D11014" s="161" t="s">
        <v>74</v>
      </c>
      <c r="E11014" s="135">
        <f t="shared" si="62"/>
        <v>17</v>
      </c>
      <c r="F11014" s="134" t="s">
        <v>4058</v>
      </c>
      <c r="G11014" s="63" t="str">
        <f>VLOOKUP(C11014, 'Class Def. - General Data'!$C$20:$C$1000,1,false)</f>
        <v>ZSI1_MEASURE_INST</v>
      </c>
      <c r="H11014" s="63" t="str">
        <f>IFERROR(__xludf.DUMMYFUNCTION("VLOOKUP(F11014, IMPORTRANGE(""https://docs.google.com/spreadsheets/d/1Lhp9OU0JdFf_VYSMzH5lBcEaU4o8teT1piV-SNzShjg/edit?gid=554141278#gid=554141278"", ""'Char Def. - Attributes'!C20:C2242""), 1,false)"),"WEIGHT_UNIT_SI")</f>
        <v>WEIGHT_UNIT_SI</v>
      </c>
      <c r="I11014" s="136"/>
      <c r="R11014" s="63" t="str">
        <f t="shared" si="60"/>
        <v>ZSI1_MEASURE_INSTWEIGHT_UNIT_SI</v>
      </c>
    </row>
    <row r="11015" ht="15.75" customHeight="1">
      <c r="B11015" s="63">
        <f t="shared" si="1"/>
        <v>17</v>
      </c>
      <c r="C11015" s="135" t="s">
        <v>307</v>
      </c>
      <c r="D11015" s="161" t="s">
        <v>74</v>
      </c>
      <c r="E11015" s="135">
        <f t="shared" si="62"/>
        <v>18</v>
      </c>
      <c r="F11015" s="134" t="s">
        <v>3877</v>
      </c>
      <c r="G11015" s="63" t="str">
        <f>VLOOKUP(C11015, 'Class Def. - General Data'!$C$20:$C$1000,1,false)</f>
        <v>ZSI1_MEASURE_INST</v>
      </c>
      <c r="H11015" s="63" t="str">
        <f>IFERROR(__xludf.DUMMYFUNCTION("VLOOKUP(F11015, IMPORTRANGE(""https://docs.google.com/spreadsheets/d/1Lhp9OU0JdFf_VYSMzH5lBcEaU4o8teT1piV-SNzShjg/edit?gid=554141278#gid=554141278"", ""'Char Def. - Attributes'!C20:C2242""), 1,false)"),"VOLUME_OPT")</f>
        <v>VOLUME_OPT</v>
      </c>
      <c r="I11015" s="136"/>
      <c r="R11015" s="63" t="str">
        <f t="shared" si="60"/>
        <v>ZSI1_MEASURE_INSTVOLUME_OPT</v>
      </c>
    </row>
    <row r="11016" ht="15.75" customHeight="1">
      <c r="B11016" s="63">
        <f t="shared" si="1"/>
        <v>17</v>
      </c>
      <c r="C11016" s="135" t="s">
        <v>307</v>
      </c>
      <c r="D11016" s="161" t="s">
        <v>74</v>
      </c>
      <c r="E11016" s="135">
        <f t="shared" si="62"/>
        <v>19</v>
      </c>
      <c r="F11016" s="134" t="s">
        <v>4059</v>
      </c>
      <c r="G11016" s="63" t="str">
        <f>VLOOKUP(C11016, 'Class Def. - General Data'!$C$20:$C$1000,1,false)</f>
        <v>ZSI1_MEASURE_INST</v>
      </c>
      <c r="H11016" s="63" t="str">
        <f>IFERROR(__xludf.DUMMYFUNCTION("VLOOKUP(F11016, IMPORTRANGE(""https://docs.google.com/spreadsheets/d/1Lhp9OU0JdFf_VYSMzH5lBcEaU4o8teT1piV-SNzShjg/edit?gid=554141278#gid=554141278"", ""'Char Def. - Attributes'!C20:C2242""), 1,false)"),"VOLUME_UNIT_SI")</f>
        <v>VOLUME_UNIT_SI</v>
      </c>
      <c r="I11016" s="136"/>
      <c r="R11016" s="63" t="str">
        <f t="shared" si="60"/>
        <v>ZSI1_MEASURE_INSTVOLUME_UNIT_SI</v>
      </c>
    </row>
    <row r="11017" ht="15.75" customHeight="1">
      <c r="B11017" s="63">
        <f t="shared" si="1"/>
        <v>17</v>
      </c>
      <c r="C11017" s="135" t="s">
        <v>307</v>
      </c>
      <c r="D11017" s="161" t="s">
        <v>74</v>
      </c>
      <c r="E11017" s="135">
        <f t="shared" si="62"/>
        <v>20</v>
      </c>
      <c r="F11017" s="134" t="s">
        <v>3804</v>
      </c>
      <c r="G11017" s="63" t="str">
        <f>VLOOKUP(C11017, 'Class Def. - General Data'!$C$20:$C$1000,1,false)</f>
        <v>ZSI1_MEASURE_INST</v>
      </c>
      <c r="H11017" s="63" t="str">
        <f>IFERROR(__xludf.DUMMYFUNCTION("VLOOKUP(F11017, IMPORTRANGE(""https://docs.google.com/spreadsheets/d/1Lhp9OU0JdFf_VYSMzH5lBcEaU4o8teT1piV-SNzShjg/edit?gid=554141278#gid=554141278"", ""'Char Def. - Attributes'!C20:C2242""), 1,false)"),"ALT_UOM1_SIPI")</f>
        <v>ALT_UOM1_SIPI</v>
      </c>
      <c r="I11017" s="136"/>
      <c r="R11017" s="63" t="str">
        <f t="shared" si="60"/>
        <v>ZSI1_MEASURE_INSTALT_UOM1_SIPI</v>
      </c>
    </row>
    <row r="11018" ht="15.75" customHeight="1">
      <c r="B11018" s="63">
        <f t="shared" si="1"/>
        <v>17</v>
      </c>
      <c r="C11018" s="135" t="s">
        <v>307</v>
      </c>
      <c r="D11018" s="161" t="s">
        <v>74</v>
      </c>
      <c r="E11018" s="135">
        <f t="shared" si="62"/>
        <v>21</v>
      </c>
      <c r="F11018" s="134" t="s">
        <v>3805</v>
      </c>
      <c r="G11018" s="63" t="str">
        <f>VLOOKUP(C11018, 'Class Def. - General Data'!$C$20:$C$1000,1,false)</f>
        <v>ZSI1_MEASURE_INST</v>
      </c>
      <c r="H11018" s="63" t="str">
        <f>IFERROR(__xludf.DUMMYFUNCTION("VLOOKUP(F11018, IMPORTRANGE(""https://docs.google.com/spreadsheets/d/1Lhp9OU0JdFf_VYSMzH5lBcEaU4o8teT1piV-SNzShjg/edit?gid=554141278#gid=554141278"", ""'Char Def. - Attributes'!C20:C2242""), 1,false)"),"ALT_DENUM_UOM1")</f>
        <v>ALT_DENUM_UOM1</v>
      </c>
      <c r="I11018" s="136"/>
      <c r="R11018" s="63" t="str">
        <f t="shared" si="60"/>
        <v>ZSI1_MEASURE_INSTALT_DENUM_UOM1</v>
      </c>
    </row>
    <row r="11019" ht="15.75" customHeight="1">
      <c r="B11019" s="63">
        <f t="shared" si="1"/>
        <v>17</v>
      </c>
      <c r="C11019" s="135" t="s">
        <v>307</v>
      </c>
      <c r="D11019" s="161" t="s">
        <v>74</v>
      </c>
      <c r="E11019" s="135">
        <f t="shared" si="62"/>
        <v>22</v>
      </c>
      <c r="F11019" s="134" t="s">
        <v>3806</v>
      </c>
      <c r="G11019" s="63" t="str">
        <f>VLOOKUP(C11019, 'Class Def. - General Data'!$C$20:$C$1000,1,false)</f>
        <v>ZSI1_MEASURE_INST</v>
      </c>
      <c r="H11019" s="63" t="str">
        <f>IFERROR(__xludf.DUMMYFUNCTION("VLOOKUP(F11019, IMPORTRANGE(""https://docs.google.com/spreadsheets/d/1Lhp9OU0JdFf_VYSMzH5lBcEaU4o8teT1piV-SNzShjg/edit?gid=554141278#gid=554141278"", ""'Char Def. - Attributes'!C20:C2242""), 1,false)"),"ALT_NUM_UOM1")</f>
        <v>ALT_NUM_UOM1</v>
      </c>
      <c r="I11019" s="136"/>
      <c r="R11019" s="63" t="str">
        <f t="shared" si="60"/>
        <v>ZSI1_MEASURE_INSTALT_NUM_UOM1</v>
      </c>
    </row>
    <row r="11020" ht="15.75" customHeight="1">
      <c r="B11020" s="63">
        <f t="shared" si="1"/>
        <v>17</v>
      </c>
      <c r="C11020" s="135" t="s">
        <v>307</v>
      </c>
      <c r="D11020" s="161" t="s">
        <v>74</v>
      </c>
      <c r="E11020" s="135">
        <f t="shared" si="62"/>
        <v>23</v>
      </c>
      <c r="F11020" s="134" t="s">
        <v>3807</v>
      </c>
      <c r="G11020" s="63" t="str">
        <f>VLOOKUP(C11020, 'Class Def. - General Data'!$C$20:$C$1000,1,false)</f>
        <v>ZSI1_MEASURE_INST</v>
      </c>
      <c r="H11020" s="63" t="str">
        <f>IFERROR(__xludf.DUMMYFUNCTION("VLOOKUP(F11020, IMPORTRANGE(""https://docs.google.com/spreadsheets/d/1Lhp9OU0JdFf_VYSMzH5lBcEaU4o8teT1piV-SNzShjg/edit?gid=554141278#gid=554141278"", ""'Char Def. - Attributes'!C20:C2242""), 1,false)"),"ALT_UOM2_SIPI")</f>
        <v>ALT_UOM2_SIPI</v>
      </c>
      <c r="I11020" s="136"/>
      <c r="R11020" s="63" t="str">
        <f t="shared" si="60"/>
        <v>ZSI1_MEASURE_INSTALT_UOM2_SIPI</v>
      </c>
    </row>
    <row r="11021" ht="15.75" customHeight="1">
      <c r="B11021" s="63">
        <f t="shared" si="1"/>
        <v>17</v>
      </c>
      <c r="C11021" s="135" t="s">
        <v>307</v>
      </c>
      <c r="D11021" s="161" t="s">
        <v>74</v>
      </c>
      <c r="E11021" s="135">
        <f t="shared" si="62"/>
        <v>24</v>
      </c>
      <c r="F11021" s="134" t="s">
        <v>3808</v>
      </c>
      <c r="G11021" s="63" t="str">
        <f>VLOOKUP(C11021, 'Class Def. - General Data'!$C$20:$C$1000,1,false)</f>
        <v>ZSI1_MEASURE_INST</v>
      </c>
      <c r="H11021" s="63" t="str">
        <f>IFERROR(__xludf.DUMMYFUNCTION("VLOOKUP(F11021, IMPORTRANGE(""https://docs.google.com/spreadsheets/d/1Lhp9OU0JdFf_VYSMzH5lBcEaU4o8teT1piV-SNzShjg/edit?gid=554141278#gid=554141278"", ""'Char Def. - Attributes'!C20:C2242""), 1,false)"),"ALT_DENUM_UOM2")</f>
        <v>ALT_DENUM_UOM2</v>
      </c>
      <c r="I11021" s="136"/>
      <c r="R11021" s="63" t="str">
        <f t="shared" si="60"/>
        <v>ZSI1_MEASURE_INSTALT_DENUM_UOM2</v>
      </c>
    </row>
    <row r="11022" ht="15.75" customHeight="1">
      <c r="B11022" s="63">
        <f t="shared" si="1"/>
        <v>17</v>
      </c>
      <c r="C11022" s="135" t="s">
        <v>307</v>
      </c>
      <c r="D11022" s="161" t="s">
        <v>74</v>
      </c>
      <c r="E11022" s="135">
        <f t="shared" si="62"/>
        <v>25</v>
      </c>
      <c r="F11022" s="134" t="s">
        <v>3809</v>
      </c>
      <c r="G11022" s="63" t="str">
        <f>VLOOKUP(C11022, 'Class Def. - General Data'!$C$20:$C$1000,1,false)</f>
        <v>ZSI1_MEASURE_INST</v>
      </c>
      <c r="H11022" s="63" t="str">
        <f>IFERROR(__xludf.DUMMYFUNCTION("VLOOKUP(F11022, IMPORTRANGE(""https://docs.google.com/spreadsheets/d/1Lhp9OU0JdFf_VYSMzH5lBcEaU4o8teT1piV-SNzShjg/edit?gid=554141278#gid=554141278"", ""'Char Def. - Attributes'!C20:C2242""), 1,false)"),"ALT_NUM_UOM2")</f>
        <v>ALT_NUM_UOM2</v>
      </c>
      <c r="I11022" s="136"/>
      <c r="R11022" s="63" t="str">
        <f t="shared" si="60"/>
        <v>ZSI1_MEASURE_INSTALT_NUM_UOM2</v>
      </c>
    </row>
    <row r="11023" ht="15.75" customHeight="1">
      <c r="B11023" s="63">
        <f t="shared" si="1"/>
        <v>17</v>
      </c>
      <c r="C11023" s="135" t="s">
        <v>307</v>
      </c>
      <c r="D11023" s="161" t="s">
        <v>74</v>
      </c>
      <c r="E11023" s="135">
        <f t="shared" si="62"/>
        <v>26</v>
      </c>
      <c r="F11023" s="134" t="s">
        <v>3810</v>
      </c>
      <c r="G11023" s="63" t="str">
        <f>VLOOKUP(C11023, 'Class Def. - General Data'!$C$20:$C$1000,1,false)</f>
        <v>ZSI1_MEASURE_INST</v>
      </c>
      <c r="H11023" s="63" t="str">
        <f>IFERROR(__xludf.DUMMYFUNCTION("VLOOKUP(F11023, IMPORTRANGE(""https://docs.google.com/spreadsheets/d/1Lhp9OU0JdFf_VYSMzH5lBcEaU4o8teT1piV-SNzShjg/edit?gid=554141278#gid=554141278"", ""'Char Def. - Attributes'!C20:C2242""), 1,false)"),"ALT_UOM3_SIPI")</f>
        <v>ALT_UOM3_SIPI</v>
      </c>
      <c r="I11023" s="136"/>
      <c r="R11023" s="63" t="str">
        <f t="shared" si="60"/>
        <v>ZSI1_MEASURE_INSTALT_UOM3_SIPI</v>
      </c>
    </row>
    <row r="11024" ht="15.75" customHeight="1">
      <c r="B11024" s="63">
        <f t="shared" si="1"/>
        <v>17</v>
      </c>
      <c r="C11024" s="135" t="s">
        <v>307</v>
      </c>
      <c r="D11024" s="161" t="s">
        <v>74</v>
      </c>
      <c r="E11024" s="135">
        <f t="shared" si="62"/>
        <v>27</v>
      </c>
      <c r="F11024" s="134" t="s">
        <v>3811</v>
      </c>
      <c r="G11024" s="63" t="str">
        <f>VLOOKUP(C11024, 'Class Def. - General Data'!$C$20:$C$1000,1,false)</f>
        <v>ZSI1_MEASURE_INST</v>
      </c>
      <c r="H11024" s="63" t="str">
        <f>IFERROR(__xludf.DUMMYFUNCTION("VLOOKUP(F11024, IMPORTRANGE(""https://docs.google.com/spreadsheets/d/1Lhp9OU0JdFf_VYSMzH5lBcEaU4o8teT1piV-SNzShjg/edit?gid=554141278#gid=554141278"", ""'Char Def. - Attributes'!C20:C2242""), 1,false)"),"ALT_DENUM_UOM3")</f>
        <v>ALT_DENUM_UOM3</v>
      </c>
      <c r="I11024" s="136"/>
      <c r="R11024" s="63" t="str">
        <f t="shared" si="60"/>
        <v>ZSI1_MEASURE_INSTALT_DENUM_UOM3</v>
      </c>
    </row>
    <row r="11025" ht="15.75" customHeight="1">
      <c r="B11025" s="63">
        <f t="shared" si="1"/>
        <v>17</v>
      </c>
      <c r="C11025" s="135" t="s">
        <v>307</v>
      </c>
      <c r="D11025" s="161" t="s">
        <v>74</v>
      </c>
      <c r="E11025" s="135">
        <f t="shared" si="62"/>
        <v>28</v>
      </c>
      <c r="F11025" s="134" t="s">
        <v>3812</v>
      </c>
      <c r="G11025" s="63" t="str">
        <f>VLOOKUP(C11025, 'Class Def. - General Data'!$C$20:$C$1000,1,false)</f>
        <v>ZSI1_MEASURE_INST</v>
      </c>
      <c r="H11025" s="63" t="str">
        <f>IFERROR(__xludf.DUMMYFUNCTION("VLOOKUP(F11025, IMPORTRANGE(""https://docs.google.com/spreadsheets/d/1Lhp9OU0JdFf_VYSMzH5lBcEaU4o8teT1piV-SNzShjg/edit?gid=554141278#gid=554141278"", ""'Char Def. - Attributes'!C20:C2242""), 1,false)"),"ALT_NUM_UOM3")</f>
        <v>ALT_NUM_UOM3</v>
      </c>
      <c r="I11025" s="136"/>
      <c r="R11025" s="63" t="str">
        <f t="shared" si="60"/>
        <v>ZSI1_MEASURE_INSTALT_NUM_UOM3</v>
      </c>
    </row>
    <row r="11026" ht="15.75" customHeight="1">
      <c r="B11026" s="63">
        <f t="shared" si="1"/>
        <v>17</v>
      </c>
      <c r="C11026" s="135" t="s">
        <v>307</v>
      </c>
      <c r="D11026" s="161" t="s">
        <v>74</v>
      </c>
      <c r="E11026" s="135">
        <f t="shared" si="62"/>
        <v>29</v>
      </c>
      <c r="F11026" s="134" t="s">
        <v>3813</v>
      </c>
      <c r="G11026" s="63" t="str">
        <f>VLOOKUP(C11026, 'Class Def. - General Data'!$C$20:$C$1000,1,false)</f>
        <v>ZSI1_MEASURE_INST</v>
      </c>
      <c r="H11026" s="63" t="str">
        <f>IFERROR(__xludf.DUMMYFUNCTION("VLOOKUP(F11026, IMPORTRANGE(""https://docs.google.com/spreadsheets/d/1Lhp9OU0JdFf_VYSMzH5lBcEaU4o8teT1piV-SNzShjg/edit?gid=554141278#gid=554141278"", ""'Char Def. - Attributes'!C20:C2242""), 1,false)"),"ALT_UOM4_SIPI")</f>
        <v>ALT_UOM4_SIPI</v>
      </c>
      <c r="I11026" s="136"/>
      <c r="R11026" s="63" t="str">
        <f t="shared" si="60"/>
        <v>ZSI1_MEASURE_INSTALT_UOM4_SIPI</v>
      </c>
    </row>
    <row r="11027" ht="15.75" customHeight="1">
      <c r="B11027" s="63">
        <f t="shared" si="1"/>
        <v>17</v>
      </c>
      <c r="C11027" s="135" t="s">
        <v>307</v>
      </c>
      <c r="D11027" s="161" t="s">
        <v>74</v>
      </c>
      <c r="E11027" s="135">
        <f t="shared" si="62"/>
        <v>30</v>
      </c>
      <c r="F11027" s="134" t="s">
        <v>3814</v>
      </c>
      <c r="G11027" s="63" t="str">
        <f>VLOOKUP(C11027, 'Class Def. - General Data'!$C$20:$C$1000,1,false)</f>
        <v>ZSI1_MEASURE_INST</v>
      </c>
      <c r="H11027" s="63" t="str">
        <f>IFERROR(__xludf.DUMMYFUNCTION("VLOOKUP(F11027, IMPORTRANGE(""https://docs.google.com/spreadsheets/d/1Lhp9OU0JdFf_VYSMzH5lBcEaU4o8teT1piV-SNzShjg/edit?gid=554141278#gid=554141278"", ""'Char Def. - Attributes'!C20:C2242""), 1,false)"),"ALT_DENUM_UOM4")</f>
        <v>ALT_DENUM_UOM4</v>
      </c>
      <c r="I11027" s="136"/>
      <c r="R11027" s="63" t="str">
        <f t="shared" si="60"/>
        <v>ZSI1_MEASURE_INSTALT_DENUM_UOM4</v>
      </c>
    </row>
    <row r="11028" ht="15.75" customHeight="1">
      <c r="B11028" s="63">
        <f t="shared" si="1"/>
        <v>17</v>
      </c>
      <c r="C11028" s="135" t="s">
        <v>307</v>
      </c>
      <c r="D11028" s="161" t="s">
        <v>74</v>
      </c>
      <c r="E11028" s="135">
        <f t="shared" si="62"/>
        <v>31</v>
      </c>
      <c r="F11028" s="134" t="s">
        <v>3815</v>
      </c>
      <c r="G11028" s="63" t="str">
        <f>VLOOKUP(C11028, 'Class Def. - General Data'!$C$20:$C$1000,1,false)</f>
        <v>ZSI1_MEASURE_INST</v>
      </c>
      <c r="H11028" s="63" t="str">
        <f>IFERROR(__xludf.DUMMYFUNCTION("VLOOKUP(F11028, IMPORTRANGE(""https://docs.google.com/spreadsheets/d/1Lhp9OU0JdFf_VYSMzH5lBcEaU4o8teT1piV-SNzShjg/edit?gid=554141278#gid=554141278"", ""'Char Def. - Attributes'!C20:C2242""), 1,false)"),"ALT_NUM_UOM4")</f>
        <v>ALT_NUM_UOM4</v>
      </c>
      <c r="I11028" s="136"/>
      <c r="R11028" s="63" t="str">
        <f t="shared" si="60"/>
        <v>ZSI1_MEASURE_INSTALT_NUM_UOM4</v>
      </c>
    </row>
    <row r="11029" ht="15.75" customHeight="1">
      <c r="B11029" s="63">
        <f t="shared" si="1"/>
        <v>17</v>
      </c>
      <c r="C11029" s="135" t="s">
        <v>307</v>
      </c>
      <c r="D11029" s="161" t="s">
        <v>74</v>
      </c>
      <c r="E11029" s="135">
        <f t="shared" si="62"/>
        <v>32</v>
      </c>
      <c r="F11029" s="134" t="s">
        <v>3816</v>
      </c>
      <c r="G11029" s="63" t="str">
        <f>VLOOKUP(C11029, 'Class Def. - General Data'!$C$20:$C$1000,1,false)</f>
        <v>ZSI1_MEASURE_INST</v>
      </c>
      <c r="H11029" s="63" t="str">
        <f>IFERROR(__xludf.DUMMYFUNCTION("VLOOKUP(F11029, IMPORTRANGE(""https://docs.google.com/spreadsheets/d/1Lhp9OU0JdFf_VYSMzH5lBcEaU4o8teT1piV-SNzShjg/edit?gid=554141278#gid=554141278"", ""'Char Def. - Attributes'!C20:C2242""), 1,false)"),"ALT_UOM5_SIPI")</f>
        <v>ALT_UOM5_SIPI</v>
      </c>
      <c r="I11029" s="136"/>
      <c r="R11029" s="63" t="str">
        <f t="shared" si="60"/>
        <v>ZSI1_MEASURE_INSTALT_UOM5_SIPI</v>
      </c>
    </row>
    <row r="11030" ht="15.75" customHeight="1">
      <c r="B11030" s="63">
        <f t="shared" si="1"/>
        <v>17</v>
      </c>
      <c r="C11030" s="135" t="s">
        <v>307</v>
      </c>
      <c r="D11030" s="161" t="s">
        <v>74</v>
      </c>
      <c r="E11030" s="135">
        <f t="shared" si="62"/>
        <v>33</v>
      </c>
      <c r="F11030" s="134" t="s">
        <v>3817</v>
      </c>
      <c r="G11030" s="63" t="str">
        <f>VLOOKUP(C11030, 'Class Def. - General Data'!$C$20:$C$1000,1,false)</f>
        <v>ZSI1_MEASURE_INST</v>
      </c>
      <c r="H11030" s="63" t="str">
        <f>IFERROR(__xludf.DUMMYFUNCTION("VLOOKUP(F11030, IMPORTRANGE(""https://docs.google.com/spreadsheets/d/1Lhp9OU0JdFf_VYSMzH5lBcEaU4o8teT1piV-SNzShjg/edit?gid=554141278#gid=554141278"", ""'Char Def. - Attributes'!C20:C2242""), 1,false)"),"ALT_DENUM_UOM5")</f>
        <v>ALT_DENUM_UOM5</v>
      </c>
      <c r="I11030" s="136"/>
      <c r="R11030" s="63" t="str">
        <f t="shared" si="60"/>
        <v>ZSI1_MEASURE_INSTALT_DENUM_UOM5</v>
      </c>
    </row>
    <row r="11031" ht="15.75" customHeight="1">
      <c r="B11031" s="63">
        <f t="shared" si="1"/>
        <v>17</v>
      </c>
      <c r="C11031" s="135" t="s">
        <v>307</v>
      </c>
      <c r="D11031" s="161" t="s">
        <v>74</v>
      </c>
      <c r="E11031" s="135">
        <f t="shared" si="62"/>
        <v>34</v>
      </c>
      <c r="F11031" s="134" t="s">
        <v>3818</v>
      </c>
      <c r="G11031" s="63" t="str">
        <f>VLOOKUP(C11031, 'Class Def. - General Data'!$C$20:$C$1000,1,false)</f>
        <v>ZSI1_MEASURE_INST</v>
      </c>
      <c r="H11031" s="63" t="str">
        <f>IFERROR(__xludf.DUMMYFUNCTION("VLOOKUP(F11031, IMPORTRANGE(""https://docs.google.com/spreadsheets/d/1Lhp9OU0JdFf_VYSMzH5lBcEaU4o8teT1piV-SNzShjg/edit?gid=554141278#gid=554141278"", ""'Char Def. - Attributes'!C20:C2242""), 1,false)"),"ALT_NUM_UOM5")</f>
        <v>ALT_NUM_UOM5</v>
      </c>
      <c r="I11031" s="136"/>
      <c r="R11031" s="63" t="str">
        <f t="shared" si="60"/>
        <v>ZSI1_MEASURE_INSTALT_NUM_UOM5</v>
      </c>
    </row>
    <row r="11032" ht="15.75" customHeight="1">
      <c r="B11032" s="63">
        <f t="shared" si="1"/>
        <v>14</v>
      </c>
      <c r="C11032" s="135" t="s">
        <v>419</v>
      </c>
      <c r="D11032" s="161" t="s">
        <v>74</v>
      </c>
      <c r="E11032" s="135">
        <f t="shared" si="62"/>
        <v>1</v>
      </c>
      <c r="F11032" s="134" t="s">
        <v>4857</v>
      </c>
      <c r="G11032" s="63" t="str">
        <f>VLOOKUP(C11032, 'Class Def. - General Data'!$C$20:$C$1000,1,false)</f>
        <v>ZSI1_MECH_SEAL</v>
      </c>
      <c r="H11032" s="63" t="str">
        <f>IFERROR(__xludf.DUMMYFUNCTION("VLOOKUP(F11032, IMPORTRANGE(""https://docs.google.com/spreadsheets/d/1Lhp9OU0JdFf_VYSMzH5lBcEaU4o8teT1piV-SNzShjg/edit?gid=554141278#gid=554141278"", ""'Char Def. - Attributes'!C20:C2242""), 1,false)"),"ITEM_NAME_MECH_SEAL")</f>
        <v>ITEM_NAME_MECH_SEAL</v>
      </c>
      <c r="I11032" s="136"/>
      <c r="R11032" s="63" t="str">
        <f t="shared" si="60"/>
        <v>ZSI1_MECH_SEALITEM_NAME_MECH_SEAL</v>
      </c>
    </row>
    <row r="11033" ht="15.75" customHeight="1">
      <c r="B11033" s="63">
        <f t="shared" si="1"/>
        <v>14</v>
      </c>
      <c r="C11033" s="135" t="s">
        <v>419</v>
      </c>
      <c r="D11033" s="161" t="s">
        <v>74</v>
      </c>
      <c r="E11033" s="135">
        <f t="shared" si="62"/>
        <v>2</v>
      </c>
      <c r="F11033" s="134" t="s">
        <v>4858</v>
      </c>
      <c r="G11033" s="63" t="str">
        <f>VLOOKUP(C11033, 'Class Def. - General Data'!$C$20:$C$1000,1,false)</f>
        <v>ZSI1_MECH_SEAL</v>
      </c>
      <c r="H11033" s="63" t="str">
        <f>IFERROR(__xludf.DUMMYFUNCTION("VLOOKUP(F11033, IMPORTRANGE(""https://docs.google.com/spreadsheets/d/1Lhp9OU0JdFf_VYSMzH5lBcEaU4o8teT1piV-SNzShjg/edit?gid=554141278#gid=554141278"", ""'Char Def. - Attributes'!C20:C2242""), 1,false)"),"DIMENSION_MECH_SEAL")</f>
        <v>DIMENSION_MECH_SEAL</v>
      </c>
      <c r="I11033" s="136"/>
      <c r="R11033" s="63" t="str">
        <f t="shared" si="60"/>
        <v>ZSI1_MECH_SEALDIMENSION_MECH_SEAL</v>
      </c>
    </row>
    <row r="11034" ht="15.75" customHeight="1">
      <c r="B11034" s="63">
        <f t="shared" si="1"/>
        <v>14</v>
      </c>
      <c r="C11034" s="135" t="s">
        <v>419</v>
      </c>
      <c r="D11034" s="161" t="s">
        <v>74</v>
      </c>
      <c r="E11034" s="135">
        <f t="shared" si="62"/>
        <v>3</v>
      </c>
      <c r="F11034" s="134" t="s">
        <v>4859</v>
      </c>
      <c r="G11034" s="63" t="str">
        <f>VLOOKUP(C11034, 'Class Def. - General Data'!$C$20:$C$1000,1,false)</f>
        <v>ZSI1_MECH_SEAL</v>
      </c>
      <c r="H11034" s="63" t="str">
        <f>IFERROR(__xludf.DUMMYFUNCTION("VLOOKUP(F11034, IMPORTRANGE(""https://docs.google.com/spreadsheets/d/1Lhp9OU0JdFf_VYSMzH5lBcEaU4o8teT1piV-SNzShjg/edit?gid=554141278#gid=554141278"", ""'Char Def. - Attributes'!C20:C2242""), 1,false)"),"SHAFT_SLEEVE_DIA_IN_MECH_SEAL")</f>
        <v>SHAFT_SLEEVE_DIA_IN_MECH_SEAL</v>
      </c>
      <c r="I11034" s="136"/>
      <c r="R11034" s="63" t="str">
        <f t="shared" si="60"/>
        <v>ZSI1_MECH_SEALSHAFT_SLEEVE_DIA_IN_MECH_SEAL</v>
      </c>
    </row>
    <row r="11035" ht="15.75" customHeight="1">
      <c r="B11035" s="63">
        <f t="shared" si="1"/>
        <v>14</v>
      </c>
      <c r="C11035" s="135" t="s">
        <v>419</v>
      </c>
      <c r="D11035" s="161" t="s">
        <v>74</v>
      </c>
      <c r="E11035" s="135">
        <f t="shared" si="62"/>
        <v>4</v>
      </c>
      <c r="F11035" s="134" t="s">
        <v>4860</v>
      </c>
      <c r="G11035" s="63" t="str">
        <f>VLOOKUP(C11035, 'Class Def. - General Data'!$C$20:$C$1000,1,false)</f>
        <v>ZSI1_MECH_SEAL</v>
      </c>
      <c r="H11035" s="63" t="str">
        <f>IFERROR(__xludf.DUMMYFUNCTION("VLOOKUP(F11035, IMPORTRANGE(""https://docs.google.com/spreadsheets/d/1Lhp9OU0JdFf_VYSMzH5lBcEaU4o8teT1piV-SNzShjg/edit?gid=554141278#gid=554141278"", ""'Char Def. - Attributes'!C20:C2242""), 1,false)"),"SHAFT_SLEEVE_DIA_MM_MECH_SEAL")</f>
        <v>SHAFT_SLEEVE_DIA_MM_MECH_SEAL</v>
      </c>
      <c r="I11035" s="136"/>
      <c r="R11035" s="63" t="str">
        <f t="shared" si="60"/>
        <v>ZSI1_MECH_SEALSHAFT_SLEEVE_DIA_MM_MECH_SEAL</v>
      </c>
    </row>
    <row r="11036" ht="15.75" customHeight="1">
      <c r="B11036" s="63">
        <f t="shared" si="1"/>
        <v>14</v>
      </c>
      <c r="C11036" s="135" t="s">
        <v>419</v>
      </c>
      <c r="D11036" s="161" t="s">
        <v>74</v>
      </c>
      <c r="E11036" s="135">
        <f t="shared" si="62"/>
        <v>5</v>
      </c>
      <c r="F11036" s="134" t="s">
        <v>4861</v>
      </c>
      <c r="G11036" s="63" t="str">
        <f>VLOOKUP(C11036, 'Class Def. - General Data'!$C$20:$C$1000,1,false)</f>
        <v>ZSI1_MECH_SEAL</v>
      </c>
      <c r="H11036" s="63" t="str">
        <f>IFERROR(__xludf.DUMMYFUNCTION("VLOOKUP(F11036, IMPORTRANGE(""https://docs.google.com/spreadsheets/d/1Lhp9OU0JdFf_VYSMzH5lBcEaU4o8teT1piV-SNzShjg/edit?gid=554141278#gid=554141278"", ""'Char Def. - Attributes'!C20:C2242""), 1,false)"),"MFR_NO_MECH_SEAL")</f>
        <v>MFR_NO_MECH_SEAL</v>
      </c>
      <c r="I11036" s="136"/>
      <c r="R11036" s="63" t="str">
        <f t="shared" si="60"/>
        <v>ZSI1_MECH_SEALMFR_NO_MECH_SEAL</v>
      </c>
    </row>
    <row r="11037" ht="15.75" customHeight="1">
      <c r="B11037" s="63">
        <f t="shared" si="1"/>
        <v>14</v>
      </c>
      <c r="C11037" s="135" t="s">
        <v>419</v>
      </c>
      <c r="D11037" s="161" t="s">
        <v>74</v>
      </c>
      <c r="E11037" s="135">
        <f t="shared" si="62"/>
        <v>6</v>
      </c>
      <c r="F11037" s="134" t="s">
        <v>3782</v>
      </c>
      <c r="G11037" s="63" t="str">
        <f>VLOOKUP(C11037, 'Class Def. - General Data'!$C$20:$C$1000,1,false)</f>
        <v>ZSI1_MECH_SEAL</v>
      </c>
      <c r="H11037" s="63" t="str">
        <f>IFERROR(__xludf.DUMMYFUNCTION("VLOOKUP(F11037, IMPORTRANGE(""https://docs.google.com/spreadsheets/d/1Lhp9OU0JdFf_VYSMzH5lBcEaU4o8teT1piV-SNzShjg/edit?gid=554141278#gid=554141278"", ""'Char Def. - Attributes'!C20:C2242""), 1,false)"),"BRAND_EXTERNAL")</f>
        <v>BRAND_EXTERNAL</v>
      </c>
      <c r="I11037" s="136"/>
      <c r="R11037" s="63" t="str">
        <f t="shared" si="60"/>
        <v>ZSI1_MECH_SEALBRAND_EXTERNAL</v>
      </c>
    </row>
    <row r="11038" ht="15.75" customHeight="1">
      <c r="B11038" s="63">
        <f t="shared" si="1"/>
        <v>14</v>
      </c>
      <c r="C11038" s="135" t="s">
        <v>419</v>
      </c>
      <c r="D11038" s="161" t="s">
        <v>74</v>
      </c>
      <c r="E11038" s="135">
        <f t="shared" si="62"/>
        <v>7</v>
      </c>
      <c r="F11038" s="134" t="s">
        <v>4053</v>
      </c>
      <c r="G11038" s="63" t="str">
        <f>VLOOKUP(C11038, 'Class Def. - General Data'!$C$20:$C$1000,1,false)</f>
        <v>ZSI1_MECH_SEAL</v>
      </c>
      <c r="H11038" s="63" t="str">
        <f>IFERROR(__xludf.DUMMYFUNCTION("VLOOKUP(F11038, IMPORTRANGE(""https://docs.google.com/spreadsheets/d/1Lhp9OU0JdFf_VYSMzH5lBcEaU4o8teT1piV-SNzShjg/edit?gid=554141278#gid=554141278"", ""'Char Def. - Attributes'!C20:C2242""), 1,false)"),"MAINTENANCE_ORDER_TYPE")</f>
        <v>MAINTENANCE_ORDER_TYPE</v>
      </c>
      <c r="I11038" s="136"/>
      <c r="R11038" s="63" t="str">
        <f t="shared" si="60"/>
        <v>ZSI1_MECH_SEALMAINTENANCE_ORDER_TYPE</v>
      </c>
    </row>
    <row r="11039" ht="15.75" customHeight="1">
      <c r="B11039" s="63">
        <f t="shared" si="1"/>
        <v>14</v>
      </c>
      <c r="C11039" s="135" t="s">
        <v>419</v>
      </c>
      <c r="D11039" s="161" t="s">
        <v>74</v>
      </c>
      <c r="E11039" s="135">
        <f t="shared" si="62"/>
        <v>8</v>
      </c>
      <c r="F11039" s="134" t="s">
        <v>3585</v>
      </c>
      <c r="G11039" s="63" t="str">
        <f>VLOOKUP(C11039, 'Class Def. - General Data'!$C$20:$C$1000,1,false)</f>
        <v>ZSI1_MECH_SEAL</v>
      </c>
      <c r="H11039" s="63" t="str">
        <f>IFERROR(__xludf.DUMMYFUNCTION("VLOOKUP(F11039, IMPORTRANGE(""https://docs.google.com/spreadsheets/d/1Lhp9OU0JdFf_VYSMzH5lBcEaU4o8teT1piV-SNzShjg/edit?gid=554141278#gid=554141278"", ""'Char Def. - Attributes'!C20:C2242""), 1,false)"),"HS_CODE")</f>
        <v>HS_CODE</v>
      </c>
      <c r="I11039" s="136"/>
      <c r="R11039" s="63" t="str">
        <f t="shared" si="60"/>
        <v>ZSI1_MECH_SEALHS_CODE</v>
      </c>
    </row>
    <row r="11040" ht="15.75" customHeight="1">
      <c r="B11040" s="63">
        <f t="shared" si="1"/>
        <v>14</v>
      </c>
      <c r="C11040" s="135" t="s">
        <v>419</v>
      </c>
      <c r="D11040" s="161" t="s">
        <v>74</v>
      </c>
      <c r="E11040" s="135">
        <f t="shared" si="62"/>
        <v>9</v>
      </c>
      <c r="F11040" s="134" t="s">
        <v>3587</v>
      </c>
      <c r="G11040" s="63" t="str">
        <f>VLOOKUP(C11040, 'Class Def. - General Data'!$C$20:$C$1000,1,false)</f>
        <v>ZSI1_MECH_SEAL</v>
      </c>
      <c r="H11040" s="63" t="str">
        <f>IFERROR(__xludf.DUMMYFUNCTION("VLOOKUP(F11040, IMPORTRANGE(""https://docs.google.com/spreadsheets/d/1Lhp9OU0JdFf_VYSMzH5lBcEaU4o8teT1piV-SNzShjg/edit?gid=554141278#gid=554141278"", ""'Char Def. - Attributes'!C20:C2242""), 1,false)"),"PLANT_BUY")</f>
        <v>PLANT_BUY</v>
      </c>
      <c r="I11040" s="136"/>
      <c r="R11040" s="63" t="str">
        <f t="shared" si="60"/>
        <v>ZSI1_MECH_SEALPLANT_BUY</v>
      </c>
    </row>
    <row r="11041" ht="15.75" customHeight="1">
      <c r="B11041" s="63">
        <f t="shared" si="1"/>
        <v>14</v>
      </c>
      <c r="C11041" s="135" t="s">
        <v>419</v>
      </c>
      <c r="D11041" s="161" t="s">
        <v>74</v>
      </c>
      <c r="E11041" s="135">
        <f t="shared" si="62"/>
        <v>10</v>
      </c>
      <c r="F11041" s="134" t="s">
        <v>4862</v>
      </c>
      <c r="G11041" s="63" t="str">
        <f>VLOOKUP(C11041, 'Class Def. - General Data'!$C$20:$C$1000,1,false)</f>
        <v>ZSI1_MECH_SEAL</v>
      </c>
      <c r="H11041" s="63" t="str">
        <f>IFERROR(__xludf.DUMMYFUNCTION("VLOOKUP(F11041, IMPORTRANGE(""https://docs.google.com/spreadsheets/d/1Lhp9OU0JdFf_VYSMzH5lBcEaU4o8teT1piV-SNzShjg/edit?gid=554141278#gid=554141278"", ""'Char Def. - Attributes'!C20:C2242""), 1,false)"),"BASE_UOM_MECH_SEAL")</f>
        <v>BASE_UOM_MECH_SEAL</v>
      </c>
      <c r="I11041" s="136"/>
      <c r="R11041" s="63" t="str">
        <f t="shared" si="60"/>
        <v>ZSI1_MECH_SEALBASE_UOM_MECH_SEAL</v>
      </c>
    </row>
    <row r="11042" ht="15.75" customHeight="1">
      <c r="B11042" s="63">
        <f t="shared" si="1"/>
        <v>14</v>
      </c>
      <c r="C11042" s="135" t="s">
        <v>419</v>
      </c>
      <c r="D11042" s="161" t="s">
        <v>74</v>
      </c>
      <c r="E11042" s="135">
        <f t="shared" si="62"/>
        <v>11</v>
      </c>
      <c r="F11042" s="134" t="s">
        <v>4863</v>
      </c>
      <c r="G11042" s="63" t="str">
        <f>VLOOKUP(C11042, 'Class Def. - General Data'!$C$20:$C$1000,1,false)</f>
        <v>ZSI1_MECH_SEAL</v>
      </c>
      <c r="H11042" s="63" t="str">
        <f>IFERROR(__xludf.DUMMYFUNCTION("VLOOKUP(F11042, IMPORTRANGE(""https://docs.google.com/spreadsheets/d/1Lhp9OU0JdFf_VYSMzH5lBcEaU4o8teT1piV-SNzShjg/edit?gid=554141278#gid=554141278"", ""'Char Def. - Attributes'!C20:C2242""), 1,false)"),"ORDER_UNIT_MECH_SEAL")</f>
        <v>ORDER_UNIT_MECH_SEAL</v>
      </c>
      <c r="I11042" s="136"/>
      <c r="R11042" s="63" t="str">
        <f t="shared" si="60"/>
        <v>ZSI1_MECH_SEALORDER_UNIT_MECH_SEAL</v>
      </c>
    </row>
    <row r="11043" ht="15.75" customHeight="1">
      <c r="B11043" s="63">
        <f t="shared" si="1"/>
        <v>14</v>
      </c>
      <c r="C11043" s="135" t="s">
        <v>419</v>
      </c>
      <c r="D11043" s="161" t="s">
        <v>74</v>
      </c>
      <c r="E11043" s="135">
        <f t="shared" si="62"/>
        <v>12</v>
      </c>
      <c r="F11043" s="134" t="s">
        <v>4056</v>
      </c>
      <c r="G11043" s="63" t="str">
        <f>VLOOKUP(C11043, 'Class Def. - General Data'!$C$20:$C$1000,1,false)</f>
        <v>ZSI1_MECH_SEAL</v>
      </c>
      <c r="H11043" s="63" t="str">
        <f>IFERROR(__xludf.DUMMYFUNCTION("VLOOKUP(F11043, IMPORTRANGE(""https://docs.google.com/spreadsheets/d/1Lhp9OU0JdFf_VYSMzH5lBcEaU4o8teT1piV-SNzShjg/edit?gid=554141278#gid=554141278"", ""'Char Def. - Attributes'!C20:C2242""), 1,false)"),"GROSS_WEIGHT_OPT")</f>
        <v>GROSS_WEIGHT_OPT</v>
      </c>
      <c r="I11043" s="136"/>
      <c r="R11043" s="63" t="str">
        <f t="shared" si="60"/>
        <v>ZSI1_MECH_SEALGROSS_WEIGHT_OPT</v>
      </c>
    </row>
    <row r="11044" ht="15.75" customHeight="1">
      <c r="B11044" s="63">
        <f t="shared" si="1"/>
        <v>14</v>
      </c>
      <c r="C11044" s="135" t="s">
        <v>419</v>
      </c>
      <c r="D11044" s="161" t="s">
        <v>74</v>
      </c>
      <c r="E11044" s="135">
        <f t="shared" si="62"/>
        <v>13</v>
      </c>
      <c r="F11044" s="134" t="s">
        <v>4057</v>
      </c>
      <c r="G11044" s="63" t="str">
        <f>VLOOKUP(C11044, 'Class Def. - General Data'!$C$20:$C$1000,1,false)</f>
        <v>ZSI1_MECH_SEAL</v>
      </c>
      <c r="H11044" s="63" t="str">
        <f>IFERROR(__xludf.DUMMYFUNCTION("VLOOKUP(F11044, IMPORTRANGE(""https://docs.google.com/spreadsheets/d/1Lhp9OU0JdFf_VYSMzH5lBcEaU4o8teT1piV-SNzShjg/edit?gid=554141278#gid=554141278"", ""'Char Def. - Attributes'!C20:C2242""), 1,false)"),"NET_WEIGHT_OPT")</f>
        <v>NET_WEIGHT_OPT</v>
      </c>
      <c r="I11044" s="136"/>
      <c r="R11044" s="63" t="str">
        <f t="shared" si="60"/>
        <v>ZSI1_MECH_SEALNET_WEIGHT_OPT</v>
      </c>
    </row>
    <row r="11045" ht="15.75" customHeight="1">
      <c r="B11045" s="63">
        <f t="shared" si="1"/>
        <v>14</v>
      </c>
      <c r="C11045" s="135" t="s">
        <v>419</v>
      </c>
      <c r="D11045" s="161" t="s">
        <v>74</v>
      </c>
      <c r="E11045" s="135">
        <f t="shared" si="62"/>
        <v>14</v>
      </c>
      <c r="F11045" s="134" t="s">
        <v>4058</v>
      </c>
      <c r="G11045" s="63" t="str">
        <f>VLOOKUP(C11045, 'Class Def. - General Data'!$C$20:$C$1000,1,false)</f>
        <v>ZSI1_MECH_SEAL</v>
      </c>
      <c r="H11045" s="63" t="str">
        <f>IFERROR(__xludf.DUMMYFUNCTION("VLOOKUP(F11045, IMPORTRANGE(""https://docs.google.com/spreadsheets/d/1Lhp9OU0JdFf_VYSMzH5lBcEaU4o8teT1piV-SNzShjg/edit?gid=554141278#gid=554141278"", ""'Char Def. - Attributes'!C20:C2242""), 1,false)"),"WEIGHT_UNIT_SI")</f>
        <v>WEIGHT_UNIT_SI</v>
      </c>
      <c r="I11045" s="136"/>
      <c r="R11045" s="63" t="str">
        <f t="shared" si="60"/>
        <v>ZSI1_MECH_SEALWEIGHT_UNIT_SI</v>
      </c>
    </row>
    <row r="11046" ht="15.75" customHeight="1">
      <c r="B11046" s="63">
        <f t="shared" si="1"/>
        <v>14</v>
      </c>
      <c r="C11046" s="135" t="s">
        <v>419</v>
      </c>
      <c r="D11046" s="161" t="s">
        <v>74</v>
      </c>
      <c r="E11046" s="135">
        <f t="shared" si="62"/>
        <v>15</v>
      </c>
      <c r="F11046" s="134" t="s">
        <v>3877</v>
      </c>
      <c r="G11046" s="63" t="str">
        <f>VLOOKUP(C11046, 'Class Def. - General Data'!$C$20:$C$1000,1,false)</f>
        <v>ZSI1_MECH_SEAL</v>
      </c>
      <c r="H11046" s="63" t="str">
        <f>IFERROR(__xludf.DUMMYFUNCTION("VLOOKUP(F11046, IMPORTRANGE(""https://docs.google.com/spreadsheets/d/1Lhp9OU0JdFf_VYSMzH5lBcEaU4o8teT1piV-SNzShjg/edit?gid=554141278#gid=554141278"", ""'Char Def. - Attributes'!C20:C2242""), 1,false)"),"VOLUME_OPT")</f>
        <v>VOLUME_OPT</v>
      </c>
      <c r="I11046" s="136"/>
      <c r="R11046" s="63" t="str">
        <f t="shared" si="60"/>
        <v>ZSI1_MECH_SEALVOLUME_OPT</v>
      </c>
    </row>
    <row r="11047" ht="15.75" customHeight="1">
      <c r="B11047" s="63">
        <f t="shared" si="1"/>
        <v>14</v>
      </c>
      <c r="C11047" s="135" t="s">
        <v>419</v>
      </c>
      <c r="D11047" s="161" t="s">
        <v>74</v>
      </c>
      <c r="E11047" s="135">
        <f t="shared" si="62"/>
        <v>16</v>
      </c>
      <c r="F11047" s="134" t="s">
        <v>4059</v>
      </c>
      <c r="G11047" s="63" t="str">
        <f>VLOOKUP(C11047, 'Class Def. - General Data'!$C$20:$C$1000,1,false)</f>
        <v>ZSI1_MECH_SEAL</v>
      </c>
      <c r="H11047" s="63" t="str">
        <f>IFERROR(__xludf.DUMMYFUNCTION("VLOOKUP(F11047, IMPORTRANGE(""https://docs.google.com/spreadsheets/d/1Lhp9OU0JdFf_VYSMzH5lBcEaU4o8teT1piV-SNzShjg/edit?gid=554141278#gid=554141278"", ""'Char Def. - Attributes'!C20:C2242""), 1,false)"),"VOLUME_UNIT_SI")</f>
        <v>VOLUME_UNIT_SI</v>
      </c>
      <c r="I11047" s="136"/>
      <c r="R11047" s="63" t="str">
        <f t="shared" si="60"/>
        <v>ZSI1_MECH_SEALVOLUME_UNIT_SI</v>
      </c>
    </row>
    <row r="11048" ht="15.75" customHeight="1">
      <c r="B11048" s="63">
        <f t="shared" si="1"/>
        <v>14</v>
      </c>
      <c r="C11048" s="135" t="s">
        <v>419</v>
      </c>
      <c r="D11048" s="161" t="s">
        <v>74</v>
      </c>
      <c r="E11048" s="135">
        <f t="shared" si="62"/>
        <v>17</v>
      </c>
      <c r="F11048" s="134" t="s">
        <v>3804</v>
      </c>
      <c r="G11048" s="63" t="str">
        <f>VLOOKUP(C11048, 'Class Def. - General Data'!$C$20:$C$1000,1,false)</f>
        <v>ZSI1_MECH_SEAL</v>
      </c>
      <c r="H11048" s="63" t="str">
        <f>IFERROR(__xludf.DUMMYFUNCTION("VLOOKUP(F11048, IMPORTRANGE(""https://docs.google.com/spreadsheets/d/1Lhp9OU0JdFf_VYSMzH5lBcEaU4o8teT1piV-SNzShjg/edit?gid=554141278#gid=554141278"", ""'Char Def. - Attributes'!C20:C2242""), 1,false)"),"ALT_UOM1_SIPI")</f>
        <v>ALT_UOM1_SIPI</v>
      </c>
      <c r="I11048" s="136"/>
      <c r="R11048" s="63" t="str">
        <f t="shared" si="60"/>
        <v>ZSI1_MECH_SEALALT_UOM1_SIPI</v>
      </c>
    </row>
    <row r="11049" ht="15.75" customHeight="1">
      <c r="B11049" s="63">
        <f t="shared" si="1"/>
        <v>14</v>
      </c>
      <c r="C11049" s="135" t="s">
        <v>419</v>
      </c>
      <c r="D11049" s="161" t="s">
        <v>74</v>
      </c>
      <c r="E11049" s="135">
        <f t="shared" si="62"/>
        <v>18</v>
      </c>
      <c r="F11049" s="134" t="s">
        <v>3805</v>
      </c>
      <c r="G11049" s="63" t="str">
        <f>VLOOKUP(C11049, 'Class Def. - General Data'!$C$20:$C$1000,1,false)</f>
        <v>ZSI1_MECH_SEAL</v>
      </c>
      <c r="H11049" s="63" t="str">
        <f>IFERROR(__xludf.DUMMYFUNCTION("VLOOKUP(F11049, IMPORTRANGE(""https://docs.google.com/spreadsheets/d/1Lhp9OU0JdFf_VYSMzH5lBcEaU4o8teT1piV-SNzShjg/edit?gid=554141278#gid=554141278"", ""'Char Def. - Attributes'!C20:C2242""), 1,false)"),"ALT_DENUM_UOM1")</f>
        <v>ALT_DENUM_UOM1</v>
      </c>
      <c r="I11049" s="136"/>
      <c r="R11049" s="63" t="str">
        <f t="shared" si="60"/>
        <v>ZSI1_MECH_SEALALT_DENUM_UOM1</v>
      </c>
    </row>
    <row r="11050" ht="15.75" customHeight="1">
      <c r="B11050" s="63">
        <f t="shared" si="1"/>
        <v>14</v>
      </c>
      <c r="C11050" s="135" t="s">
        <v>419</v>
      </c>
      <c r="D11050" s="161" t="s">
        <v>74</v>
      </c>
      <c r="E11050" s="135">
        <f t="shared" si="62"/>
        <v>19</v>
      </c>
      <c r="F11050" s="134" t="s">
        <v>3806</v>
      </c>
      <c r="G11050" s="63" t="str">
        <f>VLOOKUP(C11050, 'Class Def. - General Data'!$C$20:$C$1000,1,false)</f>
        <v>ZSI1_MECH_SEAL</v>
      </c>
      <c r="H11050" s="63" t="str">
        <f>IFERROR(__xludf.DUMMYFUNCTION("VLOOKUP(F11050, IMPORTRANGE(""https://docs.google.com/spreadsheets/d/1Lhp9OU0JdFf_VYSMzH5lBcEaU4o8teT1piV-SNzShjg/edit?gid=554141278#gid=554141278"", ""'Char Def. - Attributes'!C20:C2242""), 1,false)"),"ALT_NUM_UOM1")</f>
        <v>ALT_NUM_UOM1</v>
      </c>
      <c r="I11050" s="136"/>
      <c r="R11050" s="63" t="str">
        <f t="shared" si="60"/>
        <v>ZSI1_MECH_SEALALT_NUM_UOM1</v>
      </c>
    </row>
    <row r="11051" ht="15.75" customHeight="1">
      <c r="B11051" s="63">
        <f t="shared" si="1"/>
        <v>14</v>
      </c>
      <c r="C11051" s="135" t="s">
        <v>419</v>
      </c>
      <c r="D11051" s="161" t="s">
        <v>74</v>
      </c>
      <c r="E11051" s="135">
        <f t="shared" si="62"/>
        <v>20</v>
      </c>
      <c r="F11051" s="134" t="s">
        <v>3807</v>
      </c>
      <c r="G11051" s="63" t="str">
        <f>VLOOKUP(C11051, 'Class Def. - General Data'!$C$20:$C$1000,1,false)</f>
        <v>ZSI1_MECH_SEAL</v>
      </c>
      <c r="H11051" s="63" t="str">
        <f>IFERROR(__xludf.DUMMYFUNCTION("VLOOKUP(F11051, IMPORTRANGE(""https://docs.google.com/spreadsheets/d/1Lhp9OU0JdFf_VYSMzH5lBcEaU4o8teT1piV-SNzShjg/edit?gid=554141278#gid=554141278"", ""'Char Def. - Attributes'!C20:C2242""), 1,false)"),"ALT_UOM2_SIPI")</f>
        <v>ALT_UOM2_SIPI</v>
      </c>
      <c r="I11051" s="136"/>
      <c r="R11051" s="63" t="str">
        <f t="shared" si="60"/>
        <v>ZSI1_MECH_SEALALT_UOM2_SIPI</v>
      </c>
    </row>
    <row r="11052" ht="15.75" customHeight="1">
      <c r="B11052" s="63">
        <f t="shared" si="1"/>
        <v>14</v>
      </c>
      <c r="C11052" s="135" t="s">
        <v>419</v>
      </c>
      <c r="D11052" s="161" t="s">
        <v>74</v>
      </c>
      <c r="E11052" s="135">
        <f t="shared" si="62"/>
        <v>21</v>
      </c>
      <c r="F11052" s="134" t="s">
        <v>3808</v>
      </c>
      <c r="G11052" s="63" t="str">
        <f>VLOOKUP(C11052, 'Class Def. - General Data'!$C$20:$C$1000,1,false)</f>
        <v>ZSI1_MECH_SEAL</v>
      </c>
      <c r="H11052" s="63" t="str">
        <f>IFERROR(__xludf.DUMMYFUNCTION("VLOOKUP(F11052, IMPORTRANGE(""https://docs.google.com/spreadsheets/d/1Lhp9OU0JdFf_VYSMzH5lBcEaU4o8teT1piV-SNzShjg/edit?gid=554141278#gid=554141278"", ""'Char Def. - Attributes'!C20:C2242""), 1,false)"),"ALT_DENUM_UOM2")</f>
        <v>ALT_DENUM_UOM2</v>
      </c>
      <c r="I11052" s="136"/>
      <c r="R11052" s="63" t="str">
        <f t="shared" si="60"/>
        <v>ZSI1_MECH_SEALALT_DENUM_UOM2</v>
      </c>
    </row>
    <row r="11053" ht="15.75" customHeight="1">
      <c r="B11053" s="63">
        <f t="shared" si="1"/>
        <v>14</v>
      </c>
      <c r="C11053" s="135" t="s">
        <v>419</v>
      </c>
      <c r="D11053" s="161" t="s">
        <v>74</v>
      </c>
      <c r="E11053" s="135">
        <f t="shared" si="62"/>
        <v>22</v>
      </c>
      <c r="F11053" s="134" t="s">
        <v>3809</v>
      </c>
      <c r="G11053" s="63" t="str">
        <f>VLOOKUP(C11053, 'Class Def. - General Data'!$C$20:$C$1000,1,false)</f>
        <v>ZSI1_MECH_SEAL</v>
      </c>
      <c r="H11053" s="63" t="str">
        <f>IFERROR(__xludf.DUMMYFUNCTION("VLOOKUP(F11053, IMPORTRANGE(""https://docs.google.com/spreadsheets/d/1Lhp9OU0JdFf_VYSMzH5lBcEaU4o8teT1piV-SNzShjg/edit?gid=554141278#gid=554141278"", ""'Char Def. - Attributes'!C20:C2242""), 1,false)"),"ALT_NUM_UOM2")</f>
        <v>ALT_NUM_UOM2</v>
      </c>
      <c r="I11053" s="136"/>
      <c r="R11053" s="63" t="str">
        <f t="shared" si="60"/>
        <v>ZSI1_MECH_SEALALT_NUM_UOM2</v>
      </c>
    </row>
    <row r="11054" ht="15.75" customHeight="1">
      <c r="B11054" s="63">
        <f t="shared" si="1"/>
        <v>14</v>
      </c>
      <c r="C11054" s="135" t="s">
        <v>419</v>
      </c>
      <c r="D11054" s="161" t="s">
        <v>74</v>
      </c>
      <c r="E11054" s="135">
        <f t="shared" si="62"/>
        <v>23</v>
      </c>
      <c r="F11054" s="134" t="s">
        <v>3810</v>
      </c>
      <c r="G11054" s="63" t="str">
        <f>VLOOKUP(C11054, 'Class Def. - General Data'!$C$20:$C$1000,1,false)</f>
        <v>ZSI1_MECH_SEAL</v>
      </c>
      <c r="H11054" s="63" t="str">
        <f>IFERROR(__xludf.DUMMYFUNCTION("VLOOKUP(F11054, IMPORTRANGE(""https://docs.google.com/spreadsheets/d/1Lhp9OU0JdFf_VYSMzH5lBcEaU4o8teT1piV-SNzShjg/edit?gid=554141278#gid=554141278"", ""'Char Def. - Attributes'!C20:C2242""), 1,false)"),"ALT_UOM3_SIPI")</f>
        <v>ALT_UOM3_SIPI</v>
      </c>
      <c r="I11054" s="136"/>
      <c r="R11054" s="63" t="str">
        <f t="shared" si="60"/>
        <v>ZSI1_MECH_SEALALT_UOM3_SIPI</v>
      </c>
    </row>
    <row r="11055" ht="15.75" customHeight="1">
      <c r="B11055" s="63">
        <f t="shared" si="1"/>
        <v>14</v>
      </c>
      <c r="C11055" s="135" t="s">
        <v>419</v>
      </c>
      <c r="D11055" s="161" t="s">
        <v>74</v>
      </c>
      <c r="E11055" s="135">
        <f t="shared" si="62"/>
        <v>24</v>
      </c>
      <c r="F11055" s="134" t="s">
        <v>3811</v>
      </c>
      <c r="G11055" s="63" t="str">
        <f>VLOOKUP(C11055, 'Class Def. - General Data'!$C$20:$C$1000,1,false)</f>
        <v>ZSI1_MECH_SEAL</v>
      </c>
      <c r="H11055" s="63" t="str">
        <f>IFERROR(__xludf.DUMMYFUNCTION("VLOOKUP(F11055, IMPORTRANGE(""https://docs.google.com/spreadsheets/d/1Lhp9OU0JdFf_VYSMzH5lBcEaU4o8teT1piV-SNzShjg/edit?gid=554141278#gid=554141278"", ""'Char Def. - Attributes'!C20:C2242""), 1,false)"),"ALT_DENUM_UOM3")</f>
        <v>ALT_DENUM_UOM3</v>
      </c>
      <c r="I11055" s="136"/>
      <c r="R11055" s="63" t="str">
        <f t="shared" si="60"/>
        <v>ZSI1_MECH_SEALALT_DENUM_UOM3</v>
      </c>
    </row>
    <row r="11056" ht="15.75" customHeight="1">
      <c r="B11056" s="63">
        <f t="shared" si="1"/>
        <v>14</v>
      </c>
      <c r="C11056" s="135" t="s">
        <v>419</v>
      </c>
      <c r="D11056" s="161" t="s">
        <v>74</v>
      </c>
      <c r="E11056" s="135">
        <f t="shared" si="62"/>
        <v>25</v>
      </c>
      <c r="F11056" s="134" t="s">
        <v>3812</v>
      </c>
      <c r="G11056" s="63" t="str">
        <f>VLOOKUP(C11056, 'Class Def. - General Data'!$C$20:$C$1000,1,false)</f>
        <v>ZSI1_MECH_SEAL</v>
      </c>
      <c r="H11056" s="63" t="str">
        <f>IFERROR(__xludf.DUMMYFUNCTION("VLOOKUP(F11056, IMPORTRANGE(""https://docs.google.com/spreadsheets/d/1Lhp9OU0JdFf_VYSMzH5lBcEaU4o8teT1piV-SNzShjg/edit?gid=554141278#gid=554141278"", ""'Char Def. - Attributes'!C20:C2242""), 1,false)"),"ALT_NUM_UOM3")</f>
        <v>ALT_NUM_UOM3</v>
      </c>
      <c r="I11056" s="136"/>
      <c r="R11056" s="63" t="str">
        <f t="shared" si="60"/>
        <v>ZSI1_MECH_SEALALT_NUM_UOM3</v>
      </c>
    </row>
    <row r="11057" ht="15.75" customHeight="1">
      <c r="B11057" s="63">
        <f t="shared" si="1"/>
        <v>14</v>
      </c>
      <c r="C11057" s="135" t="s">
        <v>419</v>
      </c>
      <c r="D11057" s="161" t="s">
        <v>74</v>
      </c>
      <c r="E11057" s="135">
        <f t="shared" si="62"/>
        <v>26</v>
      </c>
      <c r="F11057" s="134" t="s">
        <v>3813</v>
      </c>
      <c r="G11057" s="63" t="str">
        <f>VLOOKUP(C11057, 'Class Def. - General Data'!$C$20:$C$1000,1,false)</f>
        <v>ZSI1_MECH_SEAL</v>
      </c>
      <c r="H11057" s="63" t="str">
        <f>IFERROR(__xludf.DUMMYFUNCTION("VLOOKUP(F11057, IMPORTRANGE(""https://docs.google.com/spreadsheets/d/1Lhp9OU0JdFf_VYSMzH5lBcEaU4o8teT1piV-SNzShjg/edit?gid=554141278#gid=554141278"", ""'Char Def. - Attributes'!C20:C2242""), 1,false)"),"ALT_UOM4_SIPI")</f>
        <v>ALT_UOM4_SIPI</v>
      </c>
      <c r="I11057" s="136"/>
      <c r="R11057" s="63" t="str">
        <f t="shared" si="60"/>
        <v>ZSI1_MECH_SEALALT_UOM4_SIPI</v>
      </c>
    </row>
    <row r="11058" ht="15.75" customHeight="1">
      <c r="B11058" s="63">
        <f t="shared" si="1"/>
        <v>14</v>
      </c>
      <c r="C11058" s="135" t="s">
        <v>419</v>
      </c>
      <c r="D11058" s="161" t="s">
        <v>74</v>
      </c>
      <c r="E11058" s="135">
        <f t="shared" si="62"/>
        <v>27</v>
      </c>
      <c r="F11058" s="134" t="s">
        <v>3814</v>
      </c>
      <c r="G11058" s="63" t="str">
        <f>VLOOKUP(C11058, 'Class Def. - General Data'!$C$20:$C$1000,1,false)</f>
        <v>ZSI1_MECH_SEAL</v>
      </c>
      <c r="H11058" s="63" t="str">
        <f>IFERROR(__xludf.DUMMYFUNCTION("VLOOKUP(F11058, IMPORTRANGE(""https://docs.google.com/spreadsheets/d/1Lhp9OU0JdFf_VYSMzH5lBcEaU4o8teT1piV-SNzShjg/edit?gid=554141278#gid=554141278"", ""'Char Def. - Attributes'!C20:C2242""), 1,false)"),"ALT_DENUM_UOM4")</f>
        <v>ALT_DENUM_UOM4</v>
      </c>
      <c r="I11058" s="136"/>
      <c r="R11058" s="63" t="str">
        <f t="shared" si="60"/>
        <v>ZSI1_MECH_SEALALT_DENUM_UOM4</v>
      </c>
    </row>
    <row r="11059" ht="15.75" customHeight="1">
      <c r="B11059" s="63">
        <f t="shared" si="1"/>
        <v>14</v>
      </c>
      <c r="C11059" s="135" t="s">
        <v>419</v>
      </c>
      <c r="D11059" s="161" t="s">
        <v>74</v>
      </c>
      <c r="E11059" s="135">
        <f t="shared" si="62"/>
        <v>28</v>
      </c>
      <c r="F11059" s="134" t="s">
        <v>3815</v>
      </c>
      <c r="G11059" s="63" t="str">
        <f>VLOOKUP(C11059, 'Class Def. - General Data'!$C$20:$C$1000,1,false)</f>
        <v>ZSI1_MECH_SEAL</v>
      </c>
      <c r="H11059" s="63" t="str">
        <f>IFERROR(__xludf.DUMMYFUNCTION("VLOOKUP(F11059, IMPORTRANGE(""https://docs.google.com/spreadsheets/d/1Lhp9OU0JdFf_VYSMzH5lBcEaU4o8teT1piV-SNzShjg/edit?gid=554141278#gid=554141278"", ""'Char Def. - Attributes'!C20:C2242""), 1,false)"),"ALT_NUM_UOM4")</f>
        <v>ALT_NUM_UOM4</v>
      </c>
      <c r="I11059" s="136"/>
      <c r="R11059" s="63" t="str">
        <f t="shared" si="60"/>
        <v>ZSI1_MECH_SEALALT_NUM_UOM4</v>
      </c>
    </row>
    <row r="11060" ht="15.75" customHeight="1">
      <c r="B11060" s="63">
        <f t="shared" si="1"/>
        <v>14</v>
      </c>
      <c r="C11060" s="135" t="s">
        <v>419</v>
      </c>
      <c r="D11060" s="161" t="s">
        <v>74</v>
      </c>
      <c r="E11060" s="135">
        <f t="shared" si="62"/>
        <v>29</v>
      </c>
      <c r="F11060" s="134" t="s">
        <v>3816</v>
      </c>
      <c r="G11060" s="63" t="str">
        <f>VLOOKUP(C11060, 'Class Def. - General Data'!$C$20:$C$1000,1,false)</f>
        <v>ZSI1_MECH_SEAL</v>
      </c>
      <c r="H11060" s="63" t="str">
        <f>IFERROR(__xludf.DUMMYFUNCTION("VLOOKUP(F11060, IMPORTRANGE(""https://docs.google.com/spreadsheets/d/1Lhp9OU0JdFf_VYSMzH5lBcEaU4o8teT1piV-SNzShjg/edit?gid=554141278#gid=554141278"", ""'Char Def. - Attributes'!C20:C2242""), 1,false)"),"ALT_UOM5_SIPI")</f>
        <v>ALT_UOM5_SIPI</v>
      </c>
      <c r="I11060" s="136"/>
      <c r="R11060" s="63" t="str">
        <f t="shared" si="60"/>
        <v>ZSI1_MECH_SEALALT_UOM5_SIPI</v>
      </c>
    </row>
    <row r="11061" ht="15.75" customHeight="1">
      <c r="B11061" s="63">
        <f t="shared" si="1"/>
        <v>14</v>
      </c>
      <c r="C11061" s="135" t="s">
        <v>419</v>
      </c>
      <c r="D11061" s="161" t="s">
        <v>74</v>
      </c>
      <c r="E11061" s="135">
        <f t="shared" si="62"/>
        <v>30</v>
      </c>
      <c r="F11061" s="134" t="s">
        <v>3817</v>
      </c>
      <c r="G11061" s="63" t="str">
        <f>VLOOKUP(C11061, 'Class Def. - General Data'!$C$20:$C$1000,1,false)</f>
        <v>ZSI1_MECH_SEAL</v>
      </c>
      <c r="H11061" s="63" t="str">
        <f>IFERROR(__xludf.DUMMYFUNCTION("VLOOKUP(F11061, IMPORTRANGE(""https://docs.google.com/spreadsheets/d/1Lhp9OU0JdFf_VYSMzH5lBcEaU4o8teT1piV-SNzShjg/edit?gid=554141278#gid=554141278"", ""'Char Def. - Attributes'!C20:C2242""), 1,false)"),"ALT_DENUM_UOM5")</f>
        <v>ALT_DENUM_UOM5</v>
      </c>
      <c r="I11061" s="136"/>
      <c r="R11061" s="63" t="str">
        <f t="shared" si="60"/>
        <v>ZSI1_MECH_SEALALT_DENUM_UOM5</v>
      </c>
    </row>
    <row r="11062" ht="15.75" customHeight="1">
      <c r="B11062" s="63">
        <f t="shared" si="1"/>
        <v>14</v>
      </c>
      <c r="C11062" s="135" t="s">
        <v>419</v>
      </c>
      <c r="D11062" s="161" t="s">
        <v>74</v>
      </c>
      <c r="E11062" s="135">
        <f t="shared" si="62"/>
        <v>31</v>
      </c>
      <c r="F11062" s="134" t="s">
        <v>3818</v>
      </c>
      <c r="G11062" s="63" t="str">
        <f>VLOOKUP(C11062, 'Class Def. - General Data'!$C$20:$C$1000,1,false)</f>
        <v>ZSI1_MECH_SEAL</v>
      </c>
      <c r="H11062" s="63" t="str">
        <f>IFERROR(__xludf.DUMMYFUNCTION("VLOOKUP(F11062, IMPORTRANGE(""https://docs.google.com/spreadsheets/d/1Lhp9OU0JdFf_VYSMzH5lBcEaU4o8teT1piV-SNzShjg/edit?gid=554141278#gid=554141278"", ""'Char Def. - Attributes'!C20:C2242""), 1,false)"),"ALT_NUM_UOM5")</f>
        <v>ALT_NUM_UOM5</v>
      </c>
      <c r="I11062" s="136"/>
      <c r="R11062" s="63" t="str">
        <f t="shared" si="60"/>
        <v>ZSI1_MECH_SEALALT_NUM_UOM5</v>
      </c>
    </row>
    <row r="11063" ht="15.75" customHeight="1">
      <c r="B11063" s="63">
        <f t="shared" si="1"/>
        <v>17</v>
      </c>
      <c r="C11063" s="135" t="s">
        <v>420</v>
      </c>
      <c r="D11063" s="161" t="s">
        <v>74</v>
      </c>
      <c r="E11063" s="135">
        <f t="shared" si="62"/>
        <v>1</v>
      </c>
      <c r="F11063" s="134" t="s">
        <v>4864</v>
      </c>
      <c r="G11063" s="63" t="str">
        <f>VLOOKUP(C11063, 'Class Def. - General Data'!$C$20:$C$1000,1,false)</f>
        <v>ZSI1_MED_SUPPLIES</v>
      </c>
      <c r="H11063" s="63" t="str">
        <f>IFERROR(__xludf.DUMMYFUNCTION("VLOOKUP(F11063, IMPORTRANGE(""https://docs.google.com/spreadsheets/d/1Lhp9OU0JdFf_VYSMzH5lBcEaU4o8teT1piV-SNzShjg/edit?gid=554141278#gid=554141278"", ""'Char Def. - Attributes'!C20:C2242""), 1,false)"),"ITEM_NAME_MED_SUPPLIES")</f>
        <v>ITEM_NAME_MED_SUPPLIES</v>
      </c>
      <c r="I11063" s="136"/>
      <c r="R11063" s="63" t="str">
        <f t="shared" si="60"/>
        <v>ZSI1_MED_SUPPLIESITEM_NAME_MED_SUPPLIES</v>
      </c>
    </row>
    <row r="11064" ht="15.75" customHeight="1">
      <c r="B11064" s="63">
        <f t="shared" si="1"/>
        <v>17</v>
      </c>
      <c r="C11064" s="135" t="s">
        <v>420</v>
      </c>
      <c r="D11064" s="161" t="s">
        <v>74</v>
      </c>
      <c r="E11064" s="135">
        <f t="shared" si="62"/>
        <v>2</v>
      </c>
      <c r="F11064" s="134" t="s">
        <v>4865</v>
      </c>
      <c r="G11064" s="63" t="str">
        <f>VLOOKUP(C11064, 'Class Def. - General Data'!$C$20:$C$1000,1,false)</f>
        <v>ZSI1_MED_SUPPLIES</v>
      </c>
      <c r="H11064" s="63" t="str">
        <f>IFERROR(__xludf.DUMMYFUNCTION("VLOOKUP(F11064, IMPORTRANGE(""https://docs.google.com/spreadsheets/d/1Lhp9OU0JdFf_VYSMzH5lBcEaU4o8teT1piV-SNzShjg/edit?gid=554141278#gid=554141278"", ""'Char Def. - Attributes'!C20:C2242""), 1,false)"),"SPECIFICATION_MED_SUPPLIES")</f>
        <v>SPECIFICATION_MED_SUPPLIES</v>
      </c>
      <c r="I11064" s="136"/>
      <c r="R11064" s="63" t="str">
        <f t="shared" si="60"/>
        <v>ZSI1_MED_SUPPLIESSPECIFICATION_MED_SUPPLIES</v>
      </c>
    </row>
    <row r="11065" ht="15.75" customHeight="1">
      <c r="B11065" s="63">
        <f t="shared" si="1"/>
        <v>17</v>
      </c>
      <c r="C11065" s="135" t="s">
        <v>420</v>
      </c>
      <c r="D11065" s="161" t="s">
        <v>74</v>
      </c>
      <c r="E11065" s="135">
        <f t="shared" si="62"/>
        <v>3</v>
      </c>
      <c r="F11065" s="134" t="s">
        <v>4866</v>
      </c>
      <c r="G11065" s="63" t="str">
        <f>VLOOKUP(C11065, 'Class Def. - General Data'!$C$20:$C$1000,1,false)</f>
        <v>ZSI1_MED_SUPPLIES</v>
      </c>
      <c r="H11065" s="63" t="str">
        <f>IFERROR(__xludf.DUMMYFUNCTION("VLOOKUP(F11065, IMPORTRANGE(""https://docs.google.com/spreadsheets/d/1Lhp9OU0JdFf_VYSMzH5lBcEaU4o8teT1piV-SNzShjg/edit?gid=554141278#gid=554141278"", ""'Char Def. - Attributes'!C20:C2242""), 1,false)"),"ISI_PER_PAC_MED_SUPPLIES")</f>
        <v>ISI_PER_PAC_MED_SUPPLIES</v>
      </c>
      <c r="I11065" s="136"/>
      <c r="R11065" s="63" t="str">
        <f t="shared" si="60"/>
        <v>ZSI1_MED_SUPPLIESISI_PER_PAC_MED_SUPPLIES</v>
      </c>
    </row>
    <row r="11066" ht="15.75" customHeight="1">
      <c r="B11066" s="63">
        <f t="shared" si="1"/>
        <v>17</v>
      </c>
      <c r="C11066" s="135" t="s">
        <v>420</v>
      </c>
      <c r="D11066" s="161" t="s">
        <v>74</v>
      </c>
      <c r="E11066" s="135">
        <f t="shared" si="62"/>
        <v>4</v>
      </c>
      <c r="F11066" s="134" t="s">
        <v>3782</v>
      </c>
      <c r="G11066" s="63" t="str">
        <f>VLOOKUP(C11066, 'Class Def. - General Data'!$C$20:$C$1000,1,false)</f>
        <v>ZSI1_MED_SUPPLIES</v>
      </c>
      <c r="H11066" s="63" t="str">
        <f>IFERROR(__xludf.DUMMYFUNCTION("VLOOKUP(F11066, IMPORTRANGE(""https://docs.google.com/spreadsheets/d/1Lhp9OU0JdFf_VYSMzH5lBcEaU4o8teT1piV-SNzShjg/edit?gid=554141278#gid=554141278"", ""'Char Def. - Attributes'!C20:C2242""), 1,false)"),"BRAND_EXTERNAL")</f>
        <v>BRAND_EXTERNAL</v>
      </c>
      <c r="I11066" s="136"/>
      <c r="R11066" s="63" t="str">
        <f t="shared" si="60"/>
        <v>ZSI1_MED_SUPPLIESBRAND_EXTERNAL</v>
      </c>
    </row>
    <row r="11067" ht="15.75" customHeight="1">
      <c r="B11067" s="63">
        <f t="shared" si="1"/>
        <v>17</v>
      </c>
      <c r="C11067" s="135" t="s">
        <v>420</v>
      </c>
      <c r="D11067" s="161" t="s">
        <v>74</v>
      </c>
      <c r="E11067" s="135">
        <f t="shared" si="62"/>
        <v>5</v>
      </c>
      <c r="F11067" s="134" t="s">
        <v>3585</v>
      </c>
      <c r="G11067" s="63" t="str">
        <f>VLOOKUP(C11067, 'Class Def. - General Data'!$C$20:$C$1000,1,false)</f>
        <v>ZSI1_MED_SUPPLIES</v>
      </c>
      <c r="H11067" s="63" t="str">
        <f>IFERROR(__xludf.DUMMYFUNCTION("VLOOKUP(F11067, IMPORTRANGE(""https://docs.google.com/spreadsheets/d/1Lhp9OU0JdFf_VYSMzH5lBcEaU4o8teT1piV-SNzShjg/edit?gid=554141278#gid=554141278"", ""'Char Def. - Attributes'!C20:C2242""), 1,false)"),"HS_CODE")</f>
        <v>HS_CODE</v>
      </c>
      <c r="I11067" s="136"/>
      <c r="R11067" s="63" t="str">
        <f t="shared" si="60"/>
        <v>ZSI1_MED_SUPPLIESHS_CODE</v>
      </c>
    </row>
    <row r="11068" ht="15.75" customHeight="1">
      <c r="B11068" s="63">
        <f t="shared" si="1"/>
        <v>17</v>
      </c>
      <c r="C11068" s="135" t="s">
        <v>420</v>
      </c>
      <c r="D11068" s="161" t="s">
        <v>74</v>
      </c>
      <c r="E11068" s="135">
        <f t="shared" si="62"/>
        <v>6</v>
      </c>
      <c r="F11068" s="134" t="s">
        <v>3587</v>
      </c>
      <c r="G11068" s="63" t="str">
        <f>VLOOKUP(C11068, 'Class Def. - General Data'!$C$20:$C$1000,1,false)</f>
        <v>ZSI1_MED_SUPPLIES</v>
      </c>
      <c r="H11068" s="63" t="str">
        <f>IFERROR(__xludf.DUMMYFUNCTION("VLOOKUP(F11068, IMPORTRANGE(""https://docs.google.com/spreadsheets/d/1Lhp9OU0JdFf_VYSMzH5lBcEaU4o8teT1piV-SNzShjg/edit?gid=554141278#gid=554141278"", ""'Char Def. - Attributes'!C20:C2242""), 1,false)"),"PLANT_BUY")</f>
        <v>PLANT_BUY</v>
      </c>
      <c r="I11068" s="136"/>
      <c r="R11068" s="63" t="str">
        <f t="shared" si="60"/>
        <v>ZSI1_MED_SUPPLIESPLANT_BUY</v>
      </c>
    </row>
    <row r="11069" ht="15.75" customHeight="1">
      <c r="B11069" s="63">
        <f t="shared" si="1"/>
        <v>17</v>
      </c>
      <c r="C11069" s="135" t="s">
        <v>420</v>
      </c>
      <c r="D11069" s="161" t="s">
        <v>74</v>
      </c>
      <c r="E11069" s="135">
        <f t="shared" si="62"/>
        <v>7</v>
      </c>
      <c r="F11069" s="134" t="s">
        <v>4867</v>
      </c>
      <c r="G11069" s="63" t="str">
        <f>VLOOKUP(C11069, 'Class Def. - General Data'!$C$20:$C$1000,1,false)</f>
        <v>ZSI1_MED_SUPPLIES</v>
      </c>
      <c r="H11069" s="63" t="str">
        <f>IFERROR(__xludf.DUMMYFUNCTION("VLOOKUP(F11069, IMPORTRANGE(""https://docs.google.com/spreadsheets/d/1Lhp9OU0JdFf_VYSMzH5lBcEaU4o8teT1piV-SNzShjg/edit?gid=554141278#gid=554141278"", ""'Char Def. - Attributes'!C20:C2242""), 1,false)"),"BASE_UOM_MED_SUPPLIES")</f>
        <v>BASE_UOM_MED_SUPPLIES</v>
      </c>
      <c r="I11069" s="136"/>
      <c r="R11069" s="63" t="str">
        <f t="shared" si="60"/>
        <v>ZSI1_MED_SUPPLIESBASE_UOM_MED_SUPPLIES</v>
      </c>
    </row>
    <row r="11070" ht="15.75" customHeight="1">
      <c r="B11070" s="63">
        <f t="shared" si="1"/>
        <v>17</v>
      </c>
      <c r="C11070" s="135" t="s">
        <v>420</v>
      </c>
      <c r="D11070" s="161" t="s">
        <v>74</v>
      </c>
      <c r="E11070" s="135">
        <f t="shared" si="62"/>
        <v>8</v>
      </c>
      <c r="F11070" s="134" t="s">
        <v>4868</v>
      </c>
      <c r="G11070" s="63" t="str">
        <f>VLOOKUP(C11070, 'Class Def. - General Data'!$C$20:$C$1000,1,false)</f>
        <v>ZSI1_MED_SUPPLIES</v>
      </c>
      <c r="H11070" s="63" t="str">
        <f>IFERROR(__xludf.DUMMYFUNCTION("VLOOKUP(F11070, IMPORTRANGE(""https://docs.google.com/spreadsheets/d/1Lhp9OU0JdFf_VYSMzH5lBcEaU4o8teT1piV-SNzShjg/edit?gid=554141278#gid=554141278"", ""'Char Def. - Attributes'!C20:C2242""), 1,false)"),"ORDER_UNIT_MED_SUPPLIES")</f>
        <v>ORDER_UNIT_MED_SUPPLIES</v>
      </c>
      <c r="I11070" s="136"/>
      <c r="R11070" s="63" t="str">
        <f t="shared" si="60"/>
        <v>ZSI1_MED_SUPPLIESORDER_UNIT_MED_SUPPLIES</v>
      </c>
    </row>
    <row r="11071" ht="15.75" customHeight="1">
      <c r="B11071" s="63">
        <f t="shared" si="1"/>
        <v>17</v>
      </c>
      <c r="C11071" s="135" t="s">
        <v>420</v>
      </c>
      <c r="D11071" s="161" t="s">
        <v>74</v>
      </c>
      <c r="E11071" s="135">
        <f t="shared" si="62"/>
        <v>9</v>
      </c>
      <c r="F11071" s="134" t="s">
        <v>4056</v>
      </c>
      <c r="G11071" s="63" t="str">
        <f>VLOOKUP(C11071, 'Class Def. - General Data'!$C$20:$C$1000,1,false)</f>
        <v>ZSI1_MED_SUPPLIES</v>
      </c>
      <c r="H11071" s="63" t="str">
        <f>IFERROR(__xludf.DUMMYFUNCTION("VLOOKUP(F11071, IMPORTRANGE(""https://docs.google.com/spreadsheets/d/1Lhp9OU0JdFf_VYSMzH5lBcEaU4o8teT1piV-SNzShjg/edit?gid=554141278#gid=554141278"", ""'Char Def. - Attributes'!C20:C2242""), 1,false)"),"GROSS_WEIGHT_OPT")</f>
        <v>GROSS_WEIGHT_OPT</v>
      </c>
      <c r="I11071" s="136"/>
      <c r="R11071" s="63" t="str">
        <f t="shared" si="60"/>
        <v>ZSI1_MED_SUPPLIESGROSS_WEIGHT_OPT</v>
      </c>
    </row>
    <row r="11072" ht="15.75" customHeight="1">
      <c r="B11072" s="63">
        <f t="shared" si="1"/>
        <v>17</v>
      </c>
      <c r="C11072" s="135" t="s">
        <v>420</v>
      </c>
      <c r="D11072" s="161" t="s">
        <v>74</v>
      </c>
      <c r="E11072" s="135">
        <f t="shared" si="62"/>
        <v>10</v>
      </c>
      <c r="F11072" s="134" t="s">
        <v>4057</v>
      </c>
      <c r="G11072" s="63" t="str">
        <f>VLOOKUP(C11072, 'Class Def. - General Data'!$C$20:$C$1000,1,false)</f>
        <v>ZSI1_MED_SUPPLIES</v>
      </c>
      <c r="H11072" s="63" t="str">
        <f>IFERROR(__xludf.DUMMYFUNCTION("VLOOKUP(F11072, IMPORTRANGE(""https://docs.google.com/spreadsheets/d/1Lhp9OU0JdFf_VYSMzH5lBcEaU4o8teT1piV-SNzShjg/edit?gid=554141278#gid=554141278"", ""'Char Def. - Attributes'!C20:C2242""), 1,false)"),"NET_WEIGHT_OPT")</f>
        <v>NET_WEIGHT_OPT</v>
      </c>
      <c r="I11072" s="136"/>
      <c r="R11072" s="63" t="str">
        <f t="shared" si="60"/>
        <v>ZSI1_MED_SUPPLIESNET_WEIGHT_OPT</v>
      </c>
    </row>
    <row r="11073" ht="15.75" customHeight="1">
      <c r="B11073" s="63">
        <f t="shared" si="1"/>
        <v>17</v>
      </c>
      <c r="C11073" s="135" t="s">
        <v>420</v>
      </c>
      <c r="D11073" s="161" t="s">
        <v>74</v>
      </c>
      <c r="E11073" s="135">
        <f t="shared" si="62"/>
        <v>11</v>
      </c>
      <c r="F11073" s="134" t="s">
        <v>4058</v>
      </c>
      <c r="G11073" s="63" t="str">
        <f>VLOOKUP(C11073, 'Class Def. - General Data'!$C$20:$C$1000,1,false)</f>
        <v>ZSI1_MED_SUPPLIES</v>
      </c>
      <c r="H11073" s="63" t="str">
        <f>IFERROR(__xludf.DUMMYFUNCTION("VLOOKUP(F11073, IMPORTRANGE(""https://docs.google.com/spreadsheets/d/1Lhp9OU0JdFf_VYSMzH5lBcEaU4o8teT1piV-SNzShjg/edit?gid=554141278#gid=554141278"", ""'Char Def. - Attributes'!C20:C2242""), 1,false)"),"WEIGHT_UNIT_SI")</f>
        <v>WEIGHT_UNIT_SI</v>
      </c>
      <c r="I11073" s="136"/>
      <c r="R11073" s="63" t="str">
        <f t="shared" si="60"/>
        <v>ZSI1_MED_SUPPLIESWEIGHT_UNIT_SI</v>
      </c>
    </row>
    <row r="11074" ht="15.75" customHeight="1">
      <c r="B11074" s="63">
        <f t="shared" si="1"/>
        <v>17</v>
      </c>
      <c r="C11074" s="135" t="s">
        <v>420</v>
      </c>
      <c r="D11074" s="161" t="s">
        <v>74</v>
      </c>
      <c r="E11074" s="135">
        <f t="shared" si="62"/>
        <v>12</v>
      </c>
      <c r="F11074" s="134" t="s">
        <v>3877</v>
      </c>
      <c r="G11074" s="63" t="str">
        <f>VLOOKUP(C11074, 'Class Def. - General Data'!$C$20:$C$1000,1,false)</f>
        <v>ZSI1_MED_SUPPLIES</v>
      </c>
      <c r="H11074" s="63" t="str">
        <f>IFERROR(__xludf.DUMMYFUNCTION("VLOOKUP(F11074, IMPORTRANGE(""https://docs.google.com/spreadsheets/d/1Lhp9OU0JdFf_VYSMzH5lBcEaU4o8teT1piV-SNzShjg/edit?gid=554141278#gid=554141278"", ""'Char Def. - Attributes'!C20:C2242""), 1,false)"),"VOLUME_OPT")</f>
        <v>VOLUME_OPT</v>
      </c>
      <c r="I11074" s="136"/>
      <c r="R11074" s="63" t="str">
        <f t="shared" si="60"/>
        <v>ZSI1_MED_SUPPLIESVOLUME_OPT</v>
      </c>
    </row>
    <row r="11075" ht="15.75" customHeight="1">
      <c r="B11075" s="63">
        <f t="shared" si="1"/>
        <v>17</v>
      </c>
      <c r="C11075" s="135" t="s">
        <v>420</v>
      </c>
      <c r="D11075" s="161" t="s">
        <v>74</v>
      </c>
      <c r="E11075" s="135">
        <f t="shared" si="62"/>
        <v>13</v>
      </c>
      <c r="F11075" s="134" t="s">
        <v>4059</v>
      </c>
      <c r="G11075" s="63" t="str">
        <f>VLOOKUP(C11075, 'Class Def. - General Data'!$C$20:$C$1000,1,false)</f>
        <v>ZSI1_MED_SUPPLIES</v>
      </c>
      <c r="H11075" s="63" t="str">
        <f>IFERROR(__xludf.DUMMYFUNCTION("VLOOKUP(F11075, IMPORTRANGE(""https://docs.google.com/spreadsheets/d/1Lhp9OU0JdFf_VYSMzH5lBcEaU4o8teT1piV-SNzShjg/edit?gid=554141278#gid=554141278"", ""'Char Def. - Attributes'!C20:C2242""), 1,false)"),"VOLUME_UNIT_SI")</f>
        <v>VOLUME_UNIT_SI</v>
      </c>
      <c r="I11075" s="136"/>
      <c r="R11075" s="63" t="str">
        <f t="shared" si="60"/>
        <v>ZSI1_MED_SUPPLIESVOLUME_UNIT_SI</v>
      </c>
    </row>
    <row r="11076" ht="15.75" customHeight="1">
      <c r="B11076" s="63">
        <f t="shared" si="1"/>
        <v>17</v>
      </c>
      <c r="C11076" s="135" t="s">
        <v>420</v>
      </c>
      <c r="D11076" s="161" t="s">
        <v>74</v>
      </c>
      <c r="E11076" s="135">
        <f t="shared" si="62"/>
        <v>14</v>
      </c>
      <c r="F11076" s="134" t="s">
        <v>3804</v>
      </c>
      <c r="G11076" s="63" t="str">
        <f>VLOOKUP(C11076, 'Class Def. - General Data'!$C$20:$C$1000,1,false)</f>
        <v>ZSI1_MED_SUPPLIES</v>
      </c>
      <c r="H11076" s="63" t="str">
        <f>IFERROR(__xludf.DUMMYFUNCTION("VLOOKUP(F11076, IMPORTRANGE(""https://docs.google.com/spreadsheets/d/1Lhp9OU0JdFf_VYSMzH5lBcEaU4o8teT1piV-SNzShjg/edit?gid=554141278#gid=554141278"", ""'Char Def. - Attributes'!C20:C2242""), 1,false)"),"ALT_UOM1_SIPI")</f>
        <v>ALT_UOM1_SIPI</v>
      </c>
      <c r="I11076" s="136"/>
      <c r="R11076" s="63" t="str">
        <f t="shared" si="60"/>
        <v>ZSI1_MED_SUPPLIESALT_UOM1_SIPI</v>
      </c>
    </row>
    <row r="11077" ht="15.75" customHeight="1">
      <c r="B11077" s="63">
        <f t="shared" si="1"/>
        <v>17</v>
      </c>
      <c r="C11077" s="135" t="s">
        <v>420</v>
      </c>
      <c r="D11077" s="161" t="s">
        <v>74</v>
      </c>
      <c r="E11077" s="135">
        <f t="shared" si="62"/>
        <v>15</v>
      </c>
      <c r="F11077" s="134" t="s">
        <v>3805</v>
      </c>
      <c r="G11077" s="63" t="str">
        <f>VLOOKUP(C11077, 'Class Def. - General Data'!$C$20:$C$1000,1,false)</f>
        <v>ZSI1_MED_SUPPLIES</v>
      </c>
      <c r="H11077" s="63" t="str">
        <f>IFERROR(__xludf.DUMMYFUNCTION("VLOOKUP(F11077, IMPORTRANGE(""https://docs.google.com/spreadsheets/d/1Lhp9OU0JdFf_VYSMzH5lBcEaU4o8teT1piV-SNzShjg/edit?gid=554141278#gid=554141278"", ""'Char Def. - Attributes'!C20:C2242""), 1,false)"),"ALT_DENUM_UOM1")</f>
        <v>ALT_DENUM_UOM1</v>
      </c>
      <c r="I11077" s="136"/>
      <c r="R11077" s="63" t="str">
        <f t="shared" si="60"/>
        <v>ZSI1_MED_SUPPLIESALT_DENUM_UOM1</v>
      </c>
    </row>
    <row r="11078" ht="15.75" customHeight="1">
      <c r="B11078" s="63">
        <f t="shared" si="1"/>
        <v>17</v>
      </c>
      <c r="C11078" s="135" t="s">
        <v>420</v>
      </c>
      <c r="D11078" s="161" t="s">
        <v>74</v>
      </c>
      <c r="E11078" s="135">
        <f t="shared" si="62"/>
        <v>16</v>
      </c>
      <c r="F11078" s="134" t="s">
        <v>3806</v>
      </c>
      <c r="G11078" s="63" t="str">
        <f>VLOOKUP(C11078, 'Class Def. - General Data'!$C$20:$C$1000,1,false)</f>
        <v>ZSI1_MED_SUPPLIES</v>
      </c>
      <c r="H11078" s="63" t="str">
        <f>IFERROR(__xludf.DUMMYFUNCTION("VLOOKUP(F11078, IMPORTRANGE(""https://docs.google.com/spreadsheets/d/1Lhp9OU0JdFf_VYSMzH5lBcEaU4o8teT1piV-SNzShjg/edit?gid=554141278#gid=554141278"", ""'Char Def. - Attributes'!C20:C2242""), 1,false)"),"ALT_NUM_UOM1")</f>
        <v>ALT_NUM_UOM1</v>
      </c>
      <c r="I11078" s="136"/>
      <c r="R11078" s="63" t="str">
        <f t="shared" si="60"/>
        <v>ZSI1_MED_SUPPLIESALT_NUM_UOM1</v>
      </c>
    </row>
    <row r="11079" ht="15.75" customHeight="1">
      <c r="B11079" s="63">
        <f t="shared" si="1"/>
        <v>17</v>
      </c>
      <c r="C11079" s="135" t="s">
        <v>420</v>
      </c>
      <c r="D11079" s="161" t="s">
        <v>74</v>
      </c>
      <c r="E11079" s="135">
        <f t="shared" si="62"/>
        <v>17</v>
      </c>
      <c r="F11079" s="134" t="s">
        <v>3807</v>
      </c>
      <c r="G11079" s="63" t="str">
        <f>VLOOKUP(C11079, 'Class Def. - General Data'!$C$20:$C$1000,1,false)</f>
        <v>ZSI1_MED_SUPPLIES</v>
      </c>
      <c r="H11079" s="63" t="str">
        <f>IFERROR(__xludf.DUMMYFUNCTION("VLOOKUP(F11079, IMPORTRANGE(""https://docs.google.com/spreadsheets/d/1Lhp9OU0JdFf_VYSMzH5lBcEaU4o8teT1piV-SNzShjg/edit?gid=554141278#gid=554141278"", ""'Char Def. - Attributes'!C20:C2242""), 1,false)"),"ALT_UOM2_SIPI")</f>
        <v>ALT_UOM2_SIPI</v>
      </c>
      <c r="I11079" s="136"/>
      <c r="R11079" s="63" t="str">
        <f t="shared" si="60"/>
        <v>ZSI1_MED_SUPPLIESALT_UOM2_SIPI</v>
      </c>
    </row>
    <row r="11080" ht="15.75" customHeight="1">
      <c r="B11080" s="63">
        <f t="shared" si="1"/>
        <v>17</v>
      </c>
      <c r="C11080" s="135" t="s">
        <v>420</v>
      </c>
      <c r="D11080" s="161" t="s">
        <v>74</v>
      </c>
      <c r="E11080" s="135">
        <f t="shared" si="62"/>
        <v>18</v>
      </c>
      <c r="F11080" s="134" t="s">
        <v>3808</v>
      </c>
      <c r="G11080" s="63" t="str">
        <f>VLOOKUP(C11080, 'Class Def. - General Data'!$C$20:$C$1000,1,false)</f>
        <v>ZSI1_MED_SUPPLIES</v>
      </c>
      <c r="H11080" s="63" t="str">
        <f>IFERROR(__xludf.DUMMYFUNCTION("VLOOKUP(F11080, IMPORTRANGE(""https://docs.google.com/spreadsheets/d/1Lhp9OU0JdFf_VYSMzH5lBcEaU4o8teT1piV-SNzShjg/edit?gid=554141278#gid=554141278"", ""'Char Def. - Attributes'!C20:C2242""), 1,false)"),"ALT_DENUM_UOM2")</f>
        <v>ALT_DENUM_UOM2</v>
      </c>
      <c r="I11080" s="136"/>
      <c r="R11080" s="63" t="str">
        <f t="shared" si="60"/>
        <v>ZSI1_MED_SUPPLIESALT_DENUM_UOM2</v>
      </c>
    </row>
    <row r="11081" ht="15.75" customHeight="1">
      <c r="B11081" s="63">
        <f t="shared" si="1"/>
        <v>17</v>
      </c>
      <c r="C11081" s="135" t="s">
        <v>420</v>
      </c>
      <c r="D11081" s="161" t="s">
        <v>74</v>
      </c>
      <c r="E11081" s="135">
        <f t="shared" si="62"/>
        <v>19</v>
      </c>
      <c r="F11081" s="134" t="s">
        <v>3809</v>
      </c>
      <c r="G11081" s="63" t="str">
        <f>VLOOKUP(C11081, 'Class Def. - General Data'!$C$20:$C$1000,1,false)</f>
        <v>ZSI1_MED_SUPPLIES</v>
      </c>
      <c r="H11081" s="63" t="str">
        <f>IFERROR(__xludf.DUMMYFUNCTION("VLOOKUP(F11081, IMPORTRANGE(""https://docs.google.com/spreadsheets/d/1Lhp9OU0JdFf_VYSMzH5lBcEaU4o8teT1piV-SNzShjg/edit?gid=554141278#gid=554141278"", ""'Char Def. - Attributes'!C20:C2242""), 1,false)"),"ALT_NUM_UOM2")</f>
        <v>ALT_NUM_UOM2</v>
      </c>
      <c r="I11081" s="136"/>
      <c r="R11081" s="63" t="str">
        <f t="shared" si="60"/>
        <v>ZSI1_MED_SUPPLIESALT_NUM_UOM2</v>
      </c>
    </row>
    <row r="11082" ht="15.75" customHeight="1">
      <c r="B11082" s="63">
        <f t="shared" si="1"/>
        <v>17</v>
      </c>
      <c r="C11082" s="135" t="s">
        <v>420</v>
      </c>
      <c r="D11082" s="161" t="s">
        <v>74</v>
      </c>
      <c r="E11082" s="135">
        <f t="shared" si="62"/>
        <v>20</v>
      </c>
      <c r="F11082" s="134" t="s">
        <v>3810</v>
      </c>
      <c r="G11082" s="63" t="str">
        <f>VLOOKUP(C11082, 'Class Def. - General Data'!$C$20:$C$1000,1,false)</f>
        <v>ZSI1_MED_SUPPLIES</v>
      </c>
      <c r="H11082" s="63" t="str">
        <f>IFERROR(__xludf.DUMMYFUNCTION("VLOOKUP(F11082, IMPORTRANGE(""https://docs.google.com/spreadsheets/d/1Lhp9OU0JdFf_VYSMzH5lBcEaU4o8teT1piV-SNzShjg/edit?gid=554141278#gid=554141278"", ""'Char Def. - Attributes'!C20:C2242""), 1,false)"),"ALT_UOM3_SIPI")</f>
        <v>ALT_UOM3_SIPI</v>
      </c>
      <c r="I11082" s="136"/>
      <c r="R11082" s="63" t="str">
        <f t="shared" si="60"/>
        <v>ZSI1_MED_SUPPLIESALT_UOM3_SIPI</v>
      </c>
    </row>
    <row r="11083" ht="15.75" customHeight="1">
      <c r="B11083" s="63">
        <f t="shared" si="1"/>
        <v>17</v>
      </c>
      <c r="C11083" s="135" t="s">
        <v>420</v>
      </c>
      <c r="D11083" s="161" t="s">
        <v>74</v>
      </c>
      <c r="E11083" s="135">
        <f t="shared" si="62"/>
        <v>21</v>
      </c>
      <c r="F11083" s="134" t="s">
        <v>3811</v>
      </c>
      <c r="G11083" s="63" t="str">
        <f>VLOOKUP(C11083, 'Class Def. - General Data'!$C$20:$C$1000,1,false)</f>
        <v>ZSI1_MED_SUPPLIES</v>
      </c>
      <c r="H11083" s="63" t="str">
        <f>IFERROR(__xludf.DUMMYFUNCTION("VLOOKUP(F11083, IMPORTRANGE(""https://docs.google.com/spreadsheets/d/1Lhp9OU0JdFf_VYSMzH5lBcEaU4o8teT1piV-SNzShjg/edit?gid=554141278#gid=554141278"", ""'Char Def. - Attributes'!C20:C2242""), 1,false)"),"ALT_DENUM_UOM3")</f>
        <v>ALT_DENUM_UOM3</v>
      </c>
      <c r="I11083" s="136"/>
      <c r="R11083" s="63" t="str">
        <f t="shared" si="60"/>
        <v>ZSI1_MED_SUPPLIESALT_DENUM_UOM3</v>
      </c>
    </row>
    <row r="11084" ht="15.75" customHeight="1">
      <c r="B11084" s="63">
        <f t="shared" si="1"/>
        <v>17</v>
      </c>
      <c r="C11084" s="135" t="s">
        <v>420</v>
      </c>
      <c r="D11084" s="161" t="s">
        <v>74</v>
      </c>
      <c r="E11084" s="135">
        <f t="shared" si="62"/>
        <v>22</v>
      </c>
      <c r="F11084" s="134" t="s">
        <v>3812</v>
      </c>
      <c r="G11084" s="63" t="str">
        <f>VLOOKUP(C11084, 'Class Def. - General Data'!$C$20:$C$1000,1,false)</f>
        <v>ZSI1_MED_SUPPLIES</v>
      </c>
      <c r="H11084" s="63" t="str">
        <f>IFERROR(__xludf.DUMMYFUNCTION("VLOOKUP(F11084, IMPORTRANGE(""https://docs.google.com/spreadsheets/d/1Lhp9OU0JdFf_VYSMzH5lBcEaU4o8teT1piV-SNzShjg/edit?gid=554141278#gid=554141278"", ""'Char Def. - Attributes'!C20:C2242""), 1,false)"),"ALT_NUM_UOM3")</f>
        <v>ALT_NUM_UOM3</v>
      </c>
      <c r="I11084" s="136"/>
      <c r="R11084" s="63" t="str">
        <f t="shared" si="60"/>
        <v>ZSI1_MED_SUPPLIESALT_NUM_UOM3</v>
      </c>
    </row>
    <row r="11085" ht="15.75" customHeight="1">
      <c r="B11085" s="63">
        <f t="shared" si="1"/>
        <v>17</v>
      </c>
      <c r="C11085" s="135" t="s">
        <v>420</v>
      </c>
      <c r="D11085" s="161" t="s">
        <v>74</v>
      </c>
      <c r="E11085" s="135">
        <f t="shared" si="62"/>
        <v>23</v>
      </c>
      <c r="F11085" s="134" t="s">
        <v>3813</v>
      </c>
      <c r="G11085" s="63" t="str">
        <f>VLOOKUP(C11085, 'Class Def. - General Data'!$C$20:$C$1000,1,false)</f>
        <v>ZSI1_MED_SUPPLIES</v>
      </c>
      <c r="H11085" s="63" t="str">
        <f>IFERROR(__xludf.DUMMYFUNCTION("VLOOKUP(F11085, IMPORTRANGE(""https://docs.google.com/spreadsheets/d/1Lhp9OU0JdFf_VYSMzH5lBcEaU4o8teT1piV-SNzShjg/edit?gid=554141278#gid=554141278"", ""'Char Def. - Attributes'!C20:C2242""), 1,false)"),"ALT_UOM4_SIPI")</f>
        <v>ALT_UOM4_SIPI</v>
      </c>
      <c r="I11085" s="136"/>
      <c r="R11085" s="63" t="str">
        <f t="shared" si="60"/>
        <v>ZSI1_MED_SUPPLIESALT_UOM4_SIPI</v>
      </c>
    </row>
    <row r="11086" ht="15.75" customHeight="1">
      <c r="B11086" s="63">
        <f t="shared" si="1"/>
        <v>17</v>
      </c>
      <c r="C11086" s="135" t="s">
        <v>420</v>
      </c>
      <c r="D11086" s="161" t="s">
        <v>74</v>
      </c>
      <c r="E11086" s="135">
        <f t="shared" si="62"/>
        <v>24</v>
      </c>
      <c r="F11086" s="134" t="s">
        <v>3814</v>
      </c>
      <c r="G11086" s="63" t="str">
        <f>VLOOKUP(C11086, 'Class Def. - General Data'!$C$20:$C$1000,1,false)</f>
        <v>ZSI1_MED_SUPPLIES</v>
      </c>
      <c r="H11086" s="63" t="str">
        <f>IFERROR(__xludf.DUMMYFUNCTION("VLOOKUP(F11086, IMPORTRANGE(""https://docs.google.com/spreadsheets/d/1Lhp9OU0JdFf_VYSMzH5lBcEaU4o8teT1piV-SNzShjg/edit?gid=554141278#gid=554141278"", ""'Char Def. - Attributes'!C20:C2242""), 1,false)"),"ALT_DENUM_UOM4")</f>
        <v>ALT_DENUM_UOM4</v>
      </c>
      <c r="I11086" s="136"/>
      <c r="R11086" s="63" t="str">
        <f t="shared" si="60"/>
        <v>ZSI1_MED_SUPPLIESALT_DENUM_UOM4</v>
      </c>
    </row>
    <row r="11087" ht="15.75" customHeight="1">
      <c r="B11087" s="63">
        <f t="shared" si="1"/>
        <v>17</v>
      </c>
      <c r="C11087" s="135" t="s">
        <v>420</v>
      </c>
      <c r="D11087" s="161" t="s">
        <v>74</v>
      </c>
      <c r="E11087" s="135">
        <f t="shared" si="62"/>
        <v>25</v>
      </c>
      <c r="F11087" s="134" t="s">
        <v>3815</v>
      </c>
      <c r="G11087" s="63" t="str">
        <f>VLOOKUP(C11087, 'Class Def. - General Data'!$C$20:$C$1000,1,false)</f>
        <v>ZSI1_MED_SUPPLIES</v>
      </c>
      <c r="H11087" s="63" t="str">
        <f>IFERROR(__xludf.DUMMYFUNCTION("VLOOKUP(F11087, IMPORTRANGE(""https://docs.google.com/spreadsheets/d/1Lhp9OU0JdFf_VYSMzH5lBcEaU4o8teT1piV-SNzShjg/edit?gid=554141278#gid=554141278"", ""'Char Def. - Attributes'!C20:C2242""), 1,false)"),"ALT_NUM_UOM4")</f>
        <v>ALT_NUM_UOM4</v>
      </c>
      <c r="I11087" s="136"/>
      <c r="R11087" s="63" t="str">
        <f t="shared" si="60"/>
        <v>ZSI1_MED_SUPPLIESALT_NUM_UOM4</v>
      </c>
    </row>
    <row r="11088" ht="15.75" customHeight="1">
      <c r="B11088" s="63">
        <f t="shared" si="1"/>
        <v>17</v>
      </c>
      <c r="C11088" s="135" t="s">
        <v>420</v>
      </c>
      <c r="D11088" s="161" t="s">
        <v>74</v>
      </c>
      <c r="E11088" s="135">
        <f t="shared" si="62"/>
        <v>26</v>
      </c>
      <c r="F11088" s="134" t="s">
        <v>3816</v>
      </c>
      <c r="G11088" s="63" t="str">
        <f>VLOOKUP(C11088, 'Class Def. - General Data'!$C$20:$C$1000,1,false)</f>
        <v>ZSI1_MED_SUPPLIES</v>
      </c>
      <c r="H11088" s="63" t="str">
        <f>IFERROR(__xludf.DUMMYFUNCTION("VLOOKUP(F11088, IMPORTRANGE(""https://docs.google.com/spreadsheets/d/1Lhp9OU0JdFf_VYSMzH5lBcEaU4o8teT1piV-SNzShjg/edit?gid=554141278#gid=554141278"", ""'Char Def. - Attributes'!C20:C2242""), 1,false)"),"ALT_UOM5_SIPI")</f>
        <v>ALT_UOM5_SIPI</v>
      </c>
      <c r="I11088" s="136"/>
      <c r="R11088" s="63" t="str">
        <f t="shared" si="60"/>
        <v>ZSI1_MED_SUPPLIESALT_UOM5_SIPI</v>
      </c>
    </row>
    <row r="11089" ht="15.75" customHeight="1">
      <c r="B11089" s="63">
        <f t="shared" si="1"/>
        <v>17</v>
      </c>
      <c r="C11089" s="135" t="s">
        <v>420</v>
      </c>
      <c r="D11089" s="161" t="s">
        <v>74</v>
      </c>
      <c r="E11089" s="135">
        <f t="shared" si="62"/>
        <v>27</v>
      </c>
      <c r="F11089" s="134" t="s">
        <v>3817</v>
      </c>
      <c r="G11089" s="63" t="str">
        <f>VLOOKUP(C11089, 'Class Def. - General Data'!$C$20:$C$1000,1,false)</f>
        <v>ZSI1_MED_SUPPLIES</v>
      </c>
      <c r="H11089" s="63" t="str">
        <f>IFERROR(__xludf.DUMMYFUNCTION("VLOOKUP(F11089, IMPORTRANGE(""https://docs.google.com/spreadsheets/d/1Lhp9OU0JdFf_VYSMzH5lBcEaU4o8teT1piV-SNzShjg/edit?gid=554141278#gid=554141278"", ""'Char Def. - Attributes'!C20:C2242""), 1,false)"),"ALT_DENUM_UOM5")</f>
        <v>ALT_DENUM_UOM5</v>
      </c>
      <c r="I11089" s="136"/>
      <c r="R11089" s="63" t="str">
        <f t="shared" si="60"/>
        <v>ZSI1_MED_SUPPLIESALT_DENUM_UOM5</v>
      </c>
    </row>
    <row r="11090" ht="15.75" customHeight="1">
      <c r="B11090" s="63">
        <f t="shared" si="1"/>
        <v>17</v>
      </c>
      <c r="C11090" s="135" t="s">
        <v>420</v>
      </c>
      <c r="D11090" s="161" t="s">
        <v>74</v>
      </c>
      <c r="E11090" s="135">
        <f t="shared" si="62"/>
        <v>28</v>
      </c>
      <c r="F11090" s="134" t="s">
        <v>3818</v>
      </c>
      <c r="G11090" s="63" t="str">
        <f>VLOOKUP(C11090, 'Class Def. - General Data'!$C$20:$C$1000,1,false)</f>
        <v>ZSI1_MED_SUPPLIES</v>
      </c>
      <c r="H11090" s="63" t="str">
        <f>IFERROR(__xludf.DUMMYFUNCTION("VLOOKUP(F11090, IMPORTRANGE(""https://docs.google.com/spreadsheets/d/1Lhp9OU0JdFf_VYSMzH5lBcEaU4o8teT1piV-SNzShjg/edit?gid=554141278#gid=554141278"", ""'Char Def. - Attributes'!C20:C2242""), 1,false)"),"ALT_NUM_UOM5")</f>
        <v>ALT_NUM_UOM5</v>
      </c>
      <c r="I11090" s="136"/>
      <c r="R11090" s="63" t="str">
        <f t="shared" si="60"/>
        <v>ZSI1_MED_SUPPLIESALT_NUM_UOM5</v>
      </c>
    </row>
    <row r="11091" ht="15.75" customHeight="1">
      <c r="B11091" s="63">
        <f t="shared" si="1"/>
        <v>18</v>
      </c>
      <c r="C11091" s="135" t="s">
        <v>333</v>
      </c>
      <c r="D11091" s="161" t="s">
        <v>74</v>
      </c>
      <c r="E11091" s="135">
        <f t="shared" si="62"/>
        <v>1</v>
      </c>
      <c r="F11091" s="134" t="s">
        <v>4869</v>
      </c>
      <c r="G11091" s="63" t="str">
        <f>VLOOKUP(C11091, 'Class Def. - General Data'!$C$20:$C$1000,1,false)</f>
        <v>ZSI1_MEDICAL_EQUIP</v>
      </c>
      <c r="H11091" s="63" t="str">
        <f>IFERROR(__xludf.DUMMYFUNCTION("VLOOKUP(F11091, IMPORTRANGE(""https://docs.google.com/spreadsheets/d/1Lhp9OU0JdFf_VYSMzH5lBcEaU4o8teT1piV-SNzShjg/edit?gid=554141278#gid=554141278"", ""'Char Def. - Attributes'!C20:C2242""), 1,false)"),"ITEM_NAME_MEDICAL_EQUIP")</f>
        <v>ITEM_NAME_MEDICAL_EQUIP</v>
      </c>
      <c r="I11091" s="136"/>
      <c r="R11091" s="63" t="str">
        <f t="shared" si="60"/>
        <v>ZSI1_MEDICAL_EQUIPITEM_NAME_MEDICAL_EQUIP</v>
      </c>
    </row>
    <row r="11092" ht="15.75" customHeight="1">
      <c r="B11092" s="63">
        <f t="shared" si="1"/>
        <v>18</v>
      </c>
      <c r="C11092" s="135" t="s">
        <v>333</v>
      </c>
      <c r="D11092" s="161" t="s">
        <v>74</v>
      </c>
      <c r="E11092" s="135">
        <f t="shared" si="62"/>
        <v>2</v>
      </c>
      <c r="F11092" s="134" t="s">
        <v>4870</v>
      </c>
      <c r="G11092" s="63" t="str">
        <f>VLOOKUP(C11092, 'Class Def. - General Data'!$C$20:$C$1000,1,false)</f>
        <v>ZSI1_MEDICAL_EQUIP</v>
      </c>
      <c r="H11092" s="63" t="str">
        <f>IFERROR(__xludf.DUMMYFUNCTION("VLOOKUP(F11092, IMPORTRANGE(""https://docs.google.com/spreadsheets/d/1Lhp9OU0JdFf_VYSMzH5lBcEaU4o8teT1piV-SNzShjg/edit?gid=554141278#gid=554141278"", ""'Char Def. - Attributes'!C20:C2242""), 1,false)"),"MFR_NO_MEDICAL_EQUIP")</f>
        <v>MFR_NO_MEDICAL_EQUIP</v>
      </c>
      <c r="I11092" s="136"/>
      <c r="R11092" s="63" t="str">
        <f t="shared" si="60"/>
        <v>ZSI1_MEDICAL_EQUIPMFR_NO_MEDICAL_EQUIP</v>
      </c>
    </row>
    <row r="11093" ht="15.75" customHeight="1">
      <c r="B11093" s="63">
        <f t="shared" si="1"/>
        <v>18</v>
      </c>
      <c r="C11093" s="135" t="s">
        <v>333</v>
      </c>
      <c r="D11093" s="161" t="s">
        <v>74</v>
      </c>
      <c r="E11093" s="135">
        <f t="shared" si="62"/>
        <v>3</v>
      </c>
      <c r="F11093" s="134" t="s">
        <v>3782</v>
      </c>
      <c r="G11093" s="63" t="str">
        <f>VLOOKUP(C11093, 'Class Def. - General Data'!$C$20:$C$1000,1,false)</f>
        <v>ZSI1_MEDICAL_EQUIP</v>
      </c>
      <c r="H11093" s="63" t="str">
        <f>IFERROR(__xludf.DUMMYFUNCTION("VLOOKUP(F11093, IMPORTRANGE(""https://docs.google.com/spreadsheets/d/1Lhp9OU0JdFf_VYSMzH5lBcEaU4o8teT1piV-SNzShjg/edit?gid=554141278#gid=554141278"", ""'Char Def. - Attributes'!C20:C2242""), 1,false)"),"BRAND_EXTERNAL")</f>
        <v>BRAND_EXTERNAL</v>
      </c>
      <c r="I11093" s="136"/>
      <c r="R11093" s="63" t="str">
        <f t="shared" si="60"/>
        <v>ZSI1_MEDICAL_EQUIPBRAND_EXTERNAL</v>
      </c>
    </row>
    <row r="11094" ht="15.75" customHeight="1">
      <c r="B11094" s="63">
        <f t="shared" si="1"/>
        <v>18</v>
      </c>
      <c r="C11094" s="135" t="s">
        <v>333</v>
      </c>
      <c r="D11094" s="161" t="s">
        <v>74</v>
      </c>
      <c r="E11094" s="135">
        <f t="shared" si="62"/>
        <v>4</v>
      </c>
      <c r="F11094" s="134" t="s">
        <v>4062</v>
      </c>
      <c r="G11094" s="63" t="str">
        <f>VLOOKUP(C11094, 'Class Def. - General Data'!$C$20:$C$1000,1,false)</f>
        <v>ZSI1_MEDICAL_EQUIP</v>
      </c>
      <c r="H11094" s="63" t="str">
        <f>IFERROR(__xludf.DUMMYFUNCTION("VLOOKUP(F11094, IMPORTRANGE(""https://docs.google.com/spreadsheets/d/1Lhp9OU0JdFf_VYSMzH5lBcEaU4o8teT1piV-SNzShjg/edit?gid=554141278#gid=554141278"", ""'Char Def. - Attributes'!C20:C2242""), 1,false)"),"#N/A")</f>
        <v>#N/A</v>
      </c>
      <c r="I11094" s="136"/>
      <c r="R11094" s="63" t="str">
        <f t="shared" si="60"/>
        <v>ZSI1_MEDICAL_EQUIPADDTIONAL_SPECIFICATION</v>
      </c>
    </row>
    <row r="11095" ht="15.75" customHeight="1">
      <c r="B11095" s="63">
        <f t="shared" si="1"/>
        <v>18</v>
      </c>
      <c r="C11095" s="135" t="s">
        <v>333</v>
      </c>
      <c r="D11095" s="161" t="s">
        <v>74</v>
      </c>
      <c r="E11095" s="135">
        <f t="shared" si="62"/>
        <v>5</v>
      </c>
      <c r="F11095" s="134" t="s">
        <v>3585</v>
      </c>
      <c r="G11095" s="63" t="str">
        <f>VLOOKUP(C11095, 'Class Def. - General Data'!$C$20:$C$1000,1,false)</f>
        <v>ZSI1_MEDICAL_EQUIP</v>
      </c>
      <c r="H11095" s="63" t="str">
        <f>IFERROR(__xludf.DUMMYFUNCTION("VLOOKUP(F11095, IMPORTRANGE(""https://docs.google.com/spreadsheets/d/1Lhp9OU0JdFf_VYSMzH5lBcEaU4o8teT1piV-SNzShjg/edit?gid=554141278#gid=554141278"", ""'Char Def. - Attributes'!C20:C2242""), 1,false)"),"HS_CODE")</f>
        <v>HS_CODE</v>
      </c>
      <c r="I11095" s="136"/>
      <c r="R11095" s="63" t="str">
        <f t="shared" si="60"/>
        <v>ZSI1_MEDICAL_EQUIPHS_CODE</v>
      </c>
    </row>
    <row r="11096" ht="15.75" customHeight="1">
      <c r="B11096" s="63">
        <f t="shared" si="1"/>
        <v>18</v>
      </c>
      <c r="C11096" s="135" t="s">
        <v>333</v>
      </c>
      <c r="D11096" s="161" t="s">
        <v>74</v>
      </c>
      <c r="E11096" s="135">
        <f t="shared" si="62"/>
        <v>6</v>
      </c>
      <c r="F11096" s="134" t="s">
        <v>3587</v>
      </c>
      <c r="G11096" s="63" t="str">
        <f>VLOOKUP(C11096, 'Class Def. - General Data'!$C$20:$C$1000,1,false)</f>
        <v>ZSI1_MEDICAL_EQUIP</v>
      </c>
      <c r="H11096" s="63" t="str">
        <f>IFERROR(__xludf.DUMMYFUNCTION("VLOOKUP(F11096, IMPORTRANGE(""https://docs.google.com/spreadsheets/d/1Lhp9OU0JdFf_VYSMzH5lBcEaU4o8teT1piV-SNzShjg/edit?gid=554141278#gid=554141278"", ""'Char Def. - Attributes'!C20:C2242""), 1,false)"),"PLANT_BUY")</f>
        <v>PLANT_BUY</v>
      </c>
      <c r="I11096" s="136"/>
      <c r="R11096" s="63" t="str">
        <f t="shared" si="60"/>
        <v>ZSI1_MEDICAL_EQUIPPLANT_BUY</v>
      </c>
    </row>
    <row r="11097" ht="15.75" customHeight="1">
      <c r="B11097" s="63">
        <f t="shared" si="1"/>
        <v>18</v>
      </c>
      <c r="C11097" s="135" t="s">
        <v>333</v>
      </c>
      <c r="D11097" s="161" t="s">
        <v>74</v>
      </c>
      <c r="E11097" s="135">
        <f t="shared" si="62"/>
        <v>7</v>
      </c>
      <c r="F11097" s="134" t="s">
        <v>4871</v>
      </c>
      <c r="G11097" s="63" t="str">
        <f>VLOOKUP(C11097, 'Class Def. - General Data'!$C$20:$C$1000,1,false)</f>
        <v>ZSI1_MEDICAL_EQUIP</v>
      </c>
      <c r="H11097" s="63" t="str">
        <f>IFERROR(__xludf.DUMMYFUNCTION("VLOOKUP(F11097, IMPORTRANGE(""https://docs.google.com/spreadsheets/d/1Lhp9OU0JdFf_VYSMzH5lBcEaU4o8teT1piV-SNzShjg/edit?gid=554141278#gid=554141278"", ""'Char Def. - Attributes'!C20:C2242""), 1,false)"),"BASE_UOM_MEDICAL_EQUIP")</f>
        <v>BASE_UOM_MEDICAL_EQUIP</v>
      </c>
      <c r="I11097" s="136"/>
      <c r="R11097" s="63" t="str">
        <f t="shared" si="60"/>
        <v>ZSI1_MEDICAL_EQUIPBASE_UOM_MEDICAL_EQUIP</v>
      </c>
    </row>
    <row r="11098" ht="15.75" customHeight="1">
      <c r="B11098" s="63">
        <f t="shared" si="1"/>
        <v>18</v>
      </c>
      <c r="C11098" s="135" t="s">
        <v>333</v>
      </c>
      <c r="D11098" s="161" t="s">
        <v>74</v>
      </c>
      <c r="E11098" s="135">
        <f t="shared" si="62"/>
        <v>8</v>
      </c>
      <c r="F11098" s="134" t="s">
        <v>4872</v>
      </c>
      <c r="G11098" s="63" t="str">
        <f>VLOOKUP(C11098, 'Class Def. - General Data'!$C$20:$C$1000,1,false)</f>
        <v>ZSI1_MEDICAL_EQUIP</v>
      </c>
      <c r="H11098" s="63" t="str">
        <f>IFERROR(__xludf.DUMMYFUNCTION("VLOOKUP(F11098, IMPORTRANGE(""https://docs.google.com/spreadsheets/d/1Lhp9OU0JdFf_VYSMzH5lBcEaU4o8teT1piV-SNzShjg/edit?gid=554141278#gid=554141278"", ""'Char Def. - Attributes'!C20:C2242""), 1,false)"),"ORDER_UNIT_MEDICAL_EQUIP")</f>
        <v>ORDER_UNIT_MEDICAL_EQUIP</v>
      </c>
      <c r="I11098" s="136"/>
      <c r="R11098" s="63" t="str">
        <f t="shared" si="60"/>
        <v>ZSI1_MEDICAL_EQUIPORDER_UNIT_MEDICAL_EQUIP</v>
      </c>
    </row>
    <row r="11099" ht="15.75" customHeight="1">
      <c r="B11099" s="63">
        <f t="shared" si="1"/>
        <v>18</v>
      </c>
      <c r="C11099" s="135" t="s">
        <v>333</v>
      </c>
      <c r="D11099" s="161" t="s">
        <v>74</v>
      </c>
      <c r="E11099" s="135">
        <f t="shared" si="62"/>
        <v>9</v>
      </c>
      <c r="F11099" s="134" t="s">
        <v>4056</v>
      </c>
      <c r="G11099" s="63" t="str">
        <f>VLOOKUP(C11099, 'Class Def. - General Data'!$C$20:$C$1000,1,false)</f>
        <v>ZSI1_MEDICAL_EQUIP</v>
      </c>
      <c r="H11099" s="63" t="str">
        <f>IFERROR(__xludf.DUMMYFUNCTION("VLOOKUP(F11099, IMPORTRANGE(""https://docs.google.com/spreadsheets/d/1Lhp9OU0JdFf_VYSMzH5lBcEaU4o8teT1piV-SNzShjg/edit?gid=554141278#gid=554141278"", ""'Char Def. - Attributes'!C20:C2242""), 1,false)"),"GROSS_WEIGHT_OPT")</f>
        <v>GROSS_WEIGHT_OPT</v>
      </c>
      <c r="I11099" s="136"/>
      <c r="R11099" s="63" t="str">
        <f t="shared" si="60"/>
        <v>ZSI1_MEDICAL_EQUIPGROSS_WEIGHT_OPT</v>
      </c>
    </row>
    <row r="11100" ht="15.75" customHeight="1">
      <c r="B11100" s="63">
        <f t="shared" si="1"/>
        <v>18</v>
      </c>
      <c r="C11100" s="135" t="s">
        <v>333</v>
      </c>
      <c r="D11100" s="161" t="s">
        <v>74</v>
      </c>
      <c r="E11100" s="135">
        <f t="shared" si="62"/>
        <v>10</v>
      </c>
      <c r="F11100" s="134" t="s">
        <v>4057</v>
      </c>
      <c r="G11100" s="63" t="str">
        <f>VLOOKUP(C11100, 'Class Def. - General Data'!$C$20:$C$1000,1,false)</f>
        <v>ZSI1_MEDICAL_EQUIP</v>
      </c>
      <c r="H11100" s="63" t="str">
        <f>IFERROR(__xludf.DUMMYFUNCTION("VLOOKUP(F11100, IMPORTRANGE(""https://docs.google.com/spreadsheets/d/1Lhp9OU0JdFf_VYSMzH5lBcEaU4o8teT1piV-SNzShjg/edit?gid=554141278#gid=554141278"", ""'Char Def. - Attributes'!C20:C2242""), 1,false)"),"NET_WEIGHT_OPT")</f>
        <v>NET_WEIGHT_OPT</v>
      </c>
      <c r="I11100" s="136"/>
      <c r="R11100" s="63" t="str">
        <f t="shared" si="60"/>
        <v>ZSI1_MEDICAL_EQUIPNET_WEIGHT_OPT</v>
      </c>
    </row>
    <row r="11101" ht="15.75" customHeight="1">
      <c r="B11101" s="63">
        <f t="shared" si="1"/>
        <v>18</v>
      </c>
      <c r="C11101" s="135" t="s">
        <v>333</v>
      </c>
      <c r="D11101" s="161" t="s">
        <v>74</v>
      </c>
      <c r="E11101" s="135">
        <f t="shared" si="62"/>
        <v>11</v>
      </c>
      <c r="F11101" s="134" t="s">
        <v>4058</v>
      </c>
      <c r="G11101" s="63" t="str">
        <f>VLOOKUP(C11101, 'Class Def. - General Data'!$C$20:$C$1000,1,false)</f>
        <v>ZSI1_MEDICAL_EQUIP</v>
      </c>
      <c r="H11101" s="63" t="str">
        <f>IFERROR(__xludf.DUMMYFUNCTION("VLOOKUP(F11101, IMPORTRANGE(""https://docs.google.com/spreadsheets/d/1Lhp9OU0JdFf_VYSMzH5lBcEaU4o8teT1piV-SNzShjg/edit?gid=554141278#gid=554141278"", ""'Char Def. - Attributes'!C20:C2242""), 1,false)"),"WEIGHT_UNIT_SI")</f>
        <v>WEIGHT_UNIT_SI</v>
      </c>
      <c r="I11101" s="136"/>
      <c r="R11101" s="63" t="str">
        <f t="shared" si="60"/>
        <v>ZSI1_MEDICAL_EQUIPWEIGHT_UNIT_SI</v>
      </c>
    </row>
    <row r="11102" ht="15.75" customHeight="1">
      <c r="B11102" s="63">
        <f t="shared" si="1"/>
        <v>18</v>
      </c>
      <c r="C11102" s="135" t="s">
        <v>333</v>
      </c>
      <c r="D11102" s="161" t="s">
        <v>74</v>
      </c>
      <c r="E11102" s="135">
        <f t="shared" si="62"/>
        <v>12</v>
      </c>
      <c r="F11102" s="134" t="s">
        <v>3877</v>
      </c>
      <c r="G11102" s="63" t="str">
        <f>VLOOKUP(C11102, 'Class Def. - General Data'!$C$20:$C$1000,1,false)</f>
        <v>ZSI1_MEDICAL_EQUIP</v>
      </c>
      <c r="H11102" s="63" t="str">
        <f>IFERROR(__xludf.DUMMYFUNCTION("VLOOKUP(F11102, IMPORTRANGE(""https://docs.google.com/spreadsheets/d/1Lhp9OU0JdFf_VYSMzH5lBcEaU4o8teT1piV-SNzShjg/edit?gid=554141278#gid=554141278"", ""'Char Def. - Attributes'!C20:C2242""), 1,false)"),"VOLUME_OPT")</f>
        <v>VOLUME_OPT</v>
      </c>
      <c r="I11102" s="136"/>
      <c r="R11102" s="63" t="str">
        <f t="shared" si="60"/>
        <v>ZSI1_MEDICAL_EQUIPVOLUME_OPT</v>
      </c>
    </row>
    <row r="11103" ht="15.75" customHeight="1">
      <c r="B11103" s="63">
        <f t="shared" si="1"/>
        <v>18</v>
      </c>
      <c r="C11103" s="135" t="s">
        <v>333</v>
      </c>
      <c r="D11103" s="161" t="s">
        <v>74</v>
      </c>
      <c r="E11103" s="135">
        <f t="shared" si="62"/>
        <v>13</v>
      </c>
      <c r="F11103" s="134" t="s">
        <v>4059</v>
      </c>
      <c r="G11103" s="63" t="str">
        <f>VLOOKUP(C11103, 'Class Def. - General Data'!$C$20:$C$1000,1,false)</f>
        <v>ZSI1_MEDICAL_EQUIP</v>
      </c>
      <c r="H11103" s="63" t="str">
        <f>IFERROR(__xludf.DUMMYFUNCTION("VLOOKUP(F11103, IMPORTRANGE(""https://docs.google.com/spreadsheets/d/1Lhp9OU0JdFf_VYSMzH5lBcEaU4o8teT1piV-SNzShjg/edit?gid=554141278#gid=554141278"", ""'Char Def. - Attributes'!C20:C2242""), 1,false)"),"VOLUME_UNIT_SI")</f>
        <v>VOLUME_UNIT_SI</v>
      </c>
      <c r="I11103" s="136"/>
      <c r="R11103" s="63" t="str">
        <f t="shared" si="60"/>
        <v>ZSI1_MEDICAL_EQUIPVOLUME_UNIT_SI</v>
      </c>
    </row>
    <row r="11104" ht="15.75" customHeight="1">
      <c r="B11104" s="63">
        <f t="shared" si="1"/>
        <v>18</v>
      </c>
      <c r="C11104" s="135" t="s">
        <v>333</v>
      </c>
      <c r="D11104" s="161" t="s">
        <v>74</v>
      </c>
      <c r="E11104" s="135">
        <f t="shared" si="62"/>
        <v>14</v>
      </c>
      <c r="F11104" s="134" t="s">
        <v>3804</v>
      </c>
      <c r="G11104" s="63" t="str">
        <f>VLOOKUP(C11104, 'Class Def. - General Data'!$C$20:$C$1000,1,false)</f>
        <v>ZSI1_MEDICAL_EQUIP</v>
      </c>
      <c r="H11104" s="63" t="str">
        <f>IFERROR(__xludf.DUMMYFUNCTION("VLOOKUP(F11104, IMPORTRANGE(""https://docs.google.com/spreadsheets/d/1Lhp9OU0JdFf_VYSMzH5lBcEaU4o8teT1piV-SNzShjg/edit?gid=554141278#gid=554141278"", ""'Char Def. - Attributes'!C20:C2242""), 1,false)"),"ALT_UOM1_SIPI")</f>
        <v>ALT_UOM1_SIPI</v>
      </c>
      <c r="I11104" s="136"/>
      <c r="R11104" s="63" t="str">
        <f t="shared" si="60"/>
        <v>ZSI1_MEDICAL_EQUIPALT_UOM1_SIPI</v>
      </c>
    </row>
    <row r="11105" ht="15.75" customHeight="1">
      <c r="B11105" s="63">
        <f t="shared" si="1"/>
        <v>18</v>
      </c>
      <c r="C11105" s="135" t="s">
        <v>333</v>
      </c>
      <c r="D11105" s="161" t="s">
        <v>74</v>
      </c>
      <c r="E11105" s="135">
        <f t="shared" si="62"/>
        <v>15</v>
      </c>
      <c r="F11105" s="134" t="s">
        <v>3805</v>
      </c>
      <c r="G11105" s="63" t="str">
        <f>VLOOKUP(C11105, 'Class Def. - General Data'!$C$20:$C$1000,1,false)</f>
        <v>ZSI1_MEDICAL_EQUIP</v>
      </c>
      <c r="H11105" s="63" t="str">
        <f>IFERROR(__xludf.DUMMYFUNCTION("VLOOKUP(F11105, IMPORTRANGE(""https://docs.google.com/spreadsheets/d/1Lhp9OU0JdFf_VYSMzH5lBcEaU4o8teT1piV-SNzShjg/edit?gid=554141278#gid=554141278"", ""'Char Def. - Attributes'!C20:C2242""), 1,false)"),"ALT_DENUM_UOM1")</f>
        <v>ALT_DENUM_UOM1</v>
      </c>
      <c r="I11105" s="136"/>
      <c r="R11105" s="63" t="str">
        <f t="shared" si="60"/>
        <v>ZSI1_MEDICAL_EQUIPALT_DENUM_UOM1</v>
      </c>
    </row>
    <row r="11106" ht="15.75" customHeight="1">
      <c r="B11106" s="63">
        <f t="shared" si="1"/>
        <v>18</v>
      </c>
      <c r="C11106" s="135" t="s">
        <v>333</v>
      </c>
      <c r="D11106" s="161" t="s">
        <v>74</v>
      </c>
      <c r="E11106" s="135">
        <f t="shared" si="62"/>
        <v>16</v>
      </c>
      <c r="F11106" s="134" t="s">
        <v>3806</v>
      </c>
      <c r="G11106" s="63" t="str">
        <f>VLOOKUP(C11106, 'Class Def. - General Data'!$C$20:$C$1000,1,false)</f>
        <v>ZSI1_MEDICAL_EQUIP</v>
      </c>
      <c r="H11106" s="63" t="str">
        <f>IFERROR(__xludf.DUMMYFUNCTION("VLOOKUP(F11106, IMPORTRANGE(""https://docs.google.com/spreadsheets/d/1Lhp9OU0JdFf_VYSMzH5lBcEaU4o8teT1piV-SNzShjg/edit?gid=554141278#gid=554141278"", ""'Char Def. - Attributes'!C20:C2242""), 1,false)"),"ALT_NUM_UOM1")</f>
        <v>ALT_NUM_UOM1</v>
      </c>
      <c r="I11106" s="136"/>
      <c r="R11106" s="63" t="str">
        <f t="shared" si="60"/>
        <v>ZSI1_MEDICAL_EQUIPALT_NUM_UOM1</v>
      </c>
    </row>
    <row r="11107" ht="15.75" customHeight="1">
      <c r="B11107" s="63">
        <f t="shared" si="1"/>
        <v>18</v>
      </c>
      <c r="C11107" s="135" t="s">
        <v>333</v>
      </c>
      <c r="D11107" s="161" t="s">
        <v>74</v>
      </c>
      <c r="E11107" s="135">
        <f t="shared" si="62"/>
        <v>17</v>
      </c>
      <c r="F11107" s="134" t="s">
        <v>3807</v>
      </c>
      <c r="G11107" s="63" t="str">
        <f>VLOOKUP(C11107, 'Class Def. - General Data'!$C$20:$C$1000,1,false)</f>
        <v>ZSI1_MEDICAL_EQUIP</v>
      </c>
      <c r="H11107" s="63" t="str">
        <f>IFERROR(__xludf.DUMMYFUNCTION("VLOOKUP(F11107, IMPORTRANGE(""https://docs.google.com/spreadsheets/d/1Lhp9OU0JdFf_VYSMzH5lBcEaU4o8teT1piV-SNzShjg/edit?gid=554141278#gid=554141278"", ""'Char Def. - Attributes'!C20:C2242""), 1,false)"),"ALT_UOM2_SIPI")</f>
        <v>ALT_UOM2_SIPI</v>
      </c>
      <c r="I11107" s="136"/>
      <c r="R11107" s="63" t="str">
        <f t="shared" si="60"/>
        <v>ZSI1_MEDICAL_EQUIPALT_UOM2_SIPI</v>
      </c>
    </row>
    <row r="11108" ht="15.75" customHeight="1">
      <c r="B11108" s="63">
        <f t="shared" si="1"/>
        <v>18</v>
      </c>
      <c r="C11108" s="135" t="s">
        <v>333</v>
      </c>
      <c r="D11108" s="161" t="s">
        <v>74</v>
      </c>
      <c r="E11108" s="135">
        <f t="shared" si="62"/>
        <v>18</v>
      </c>
      <c r="F11108" s="134" t="s">
        <v>3808</v>
      </c>
      <c r="G11108" s="63" t="str">
        <f>VLOOKUP(C11108, 'Class Def. - General Data'!$C$20:$C$1000,1,false)</f>
        <v>ZSI1_MEDICAL_EQUIP</v>
      </c>
      <c r="H11108" s="63" t="str">
        <f>IFERROR(__xludf.DUMMYFUNCTION("VLOOKUP(F11108, IMPORTRANGE(""https://docs.google.com/spreadsheets/d/1Lhp9OU0JdFf_VYSMzH5lBcEaU4o8teT1piV-SNzShjg/edit?gid=554141278#gid=554141278"", ""'Char Def. - Attributes'!C20:C2242""), 1,false)"),"ALT_DENUM_UOM2")</f>
        <v>ALT_DENUM_UOM2</v>
      </c>
      <c r="I11108" s="136"/>
      <c r="R11108" s="63" t="str">
        <f t="shared" si="60"/>
        <v>ZSI1_MEDICAL_EQUIPALT_DENUM_UOM2</v>
      </c>
    </row>
    <row r="11109" ht="15.75" customHeight="1">
      <c r="B11109" s="63">
        <f t="shared" si="1"/>
        <v>18</v>
      </c>
      <c r="C11109" s="135" t="s">
        <v>333</v>
      </c>
      <c r="D11109" s="161" t="s">
        <v>74</v>
      </c>
      <c r="E11109" s="135">
        <f t="shared" si="62"/>
        <v>19</v>
      </c>
      <c r="F11109" s="134" t="s">
        <v>3809</v>
      </c>
      <c r="G11109" s="63" t="str">
        <f>VLOOKUP(C11109, 'Class Def. - General Data'!$C$20:$C$1000,1,false)</f>
        <v>ZSI1_MEDICAL_EQUIP</v>
      </c>
      <c r="H11109" s="63" t="str">
        <f>IFERROR(__xludf.DUMMYFUNCTION("VLOOKUP(F11109, IMPORTRANGE(""https://docs.google.com/spreadsheets/d/1Lhp9OU0JdFf_VYSMzH5lBcEaU4o8teT1piV-SNzShjg/edit?gid=554141278#gid=554141278"", ""'Char Def. - Attributes'!C20:C2242""), 1,false)"),"ALT_NUM_UOM2")</f>
        <v>ALT_NUM_UOM2</v>
      </c>
      <c r="I11109" s="136"/>
      <c r="R11109" s="63" t="str">
        <f t="shared" si="60"/>
        <v>ZSI1_MEDICAL_EQUIPALT_NUM_UOM2</v>
      </c>
    </row>
    <row r="11110" ht="15.75" customHeight="1">
      <c r="B11110" s="63">
        <f t="shared" si="1"/>
        <v>18</v>
      </c>
      <c r="C11110" s="135" t="s">
        <v>333</v>
      </c>
      <c r="D11110" s="161" t="s">
        <v>74</v>
      </c>
      <c r="E11110" s="135">
        <f t="shared" si="62"/>
        <v>20</v>
      </c>
      <c r="F11110" s="134" t="s">
        <v>3810</v>
      </c>
      <c r="G11110" s="63" t="str">
        <f>VLOOKUP(C11110, 'Class Def. - General Data'!$C$20:$C$1000,1,false)</f>
        <v>ZSI1_MEDICAL_EQUIP</v>
      </c>
      <c r="H11110" s="63" t="str">
        <f>IFERROR(__xludf.DUMMYFUNCTION("VLOOKUP(F11110, IMPORTRANGE(""https://docs.google.com/spreadsheets/d/1Lhp9OU0JdFf_VYSMzH5lBcEaU4o8teT1piV-SNzShjg/edit?gid=554141278#gid=554141278"", ""'Char Def. - Attributes'!C20:C2242""), 1,false)"),"ALT_UOM3_SIPI")</f>
        <v>ALT_UOM3_SIPI</v>
      </c>
      <c r="I11110" s="136"/>
      <c r="R11110" s="63" t="str">
        <f t="shared" si="60"/>
        <v>ZSI1_MEDICAL_EQUIPALT_UOM3_SIPI</v>
      </c>
    </row>
    <row r="11111" ht="15.75" customHeight="1">
      <c r="B11111" s="63">
        <f t="shared" si="1"/>
        <v>18</v>
      </c>
      <c r="C11111" s="135" t="s">
        <v>333</v>
      </c>
      <c r="D11111" s="161" t="s">
        <v>74</v>
      </c>
      <c r="E11111" s="135">
        <f t="shared" si="62"/>
        <v>21</v>
      </c>
      <c r="F11111" s="134" t="s">
        <v>3811</v>
      </c>
      <c r="G11111" s="63" t="str">
        <f>VLOOKUP(C11111, 'Class Def. - General Data'!$C$20:$C$1000,1,false)</f>
        <v>ZSI1_MEDICAL_EQUIP</v>
      </c>
      <c r="H11111" s="63" t="str">
        <f>IFERROR(__xludf.DUMMYFUNCTION("VLOOKUP(F11111, IMPORTRANGE(""https://docs.google.com/spreadsheets/d/1Lhp9OU0JdFf_VYSMzH5lBcEaU4o8teT1piV-SNzShjg/edit?gid=554141278#gid=554141278"", ""'Char Def. - Attributes'!C20:C2242""), 1,false)"),"ALT_DENUM_UOM3")</f>
        <v>ALT_DENUM_UOM3</v>
      </c>
      <c r="I11111" s="136"/>
      <c r="R11111" s="63" t="str">
        <f t="shared" si="60"/>
        <v>ZSI1_MEDICAL_EQUIPALT_DENUM_UOM3</v>
      </c>
    </row>
    <row r="11112" ht="15.75" customHeight="1">
      <c r="B11112" s="63">
        <f t="shared" si="1"/>
        <v>18</v>
      </c>
      <c r="C11112" s="135" t="s">
        <v>333</v>
      </c>
      <c r="D11112" s="161" t="s">
        <v>74</v>
      </c>
      <c r="E11112" s="135">
        <f t="shared" si="62"/>
        <v>22</v>
      </c>
      <c r="F11112" s="134" t="s">
        <v>3812</v>
      </c>
      <c r="G11112" s="63" t="str">
        <f>VLOOKUP(C11112, 'Class Def. - General Data'!$C$20:$C$1000,1,false)</f>
        <v>ZSI1_MEDICAL_EQUIP</v>
      </c>
      <c r="H11112" s="63" t="str">
        <f>IFERROR(__xludf.DUMMYFUNCTION("VLOOKUP(F11112, IMPORTRANGE(""https://docs.google.com/spreadsheets/d/1Lhp9OU0JdFf_VYSMzH5lBcEaU4o8teT1piV-SNzShjg/edit?gid=554141278#gid=554141278"", ""'Char Def. - Attributes'!C20:C2242""), 1,false)"),"ALT_NUM_UOM3")</f>
        <v>ALT_NUM_UOM3</v>
      </c>
      <c r="I11112" s="136"/>
      <c r="R11112" s="63" t="str">
        <f t="shared" si="60"/>
        <v>ZSI1_MEDICAL_EQUIPALT_NUM_UOM3</v>
      </c>
    </row>
    <row r="11113" ht="15.75" customHeight="1">
      <c r="B11113" s="63">
        <f t="shared" si="1"/>
        <v>18</v>
      </c>
      <c r="C11113" s="135" t="s">
        <v>333</v>
      </c>
      <c r="D11113" s="161" t="s">
        <v>74</v>
      </c>
      <c r="E11113" s="135">
        <f t="shared" si="62"/>
        <v>23</v>
      </c>
      <c r="F11113" s="134" t="s">
        <v>3813</v>
      </c>
      <c r="G11113" s="63" t="str">
        <f>VLOOKUP(C11113, 'Class Def. - General Data'!$C$20:$C$1000,1,false)</f>
        <v>ZSI1_MEDICAL_EQUIP</v>
      </c>
      <c r="H11113" s="63" t="str">
        <f>IFERROR(__xludf.DUMMYFUNCTION("VLOOKUP(F11113, IMPORTRANGE(""https://docs.google.com/spreadsheets/d/1Lhp9OU0JdFf_VYSMzH5lBcEaU4o8teT1piV-SNzShjg/edit?gid=554141278#gid=554141278"", ""'Char Def. - Attributes'!C20:C2242""), 1,false)"),"ALT_UOM4_SIPI")</f>
        <v>ALT_UOM4_SIPI</v>
      </c>
      <c r="I11113" s="136"/>
      <c r="R11113" s="63" t="str">
        <f t="shared" si="60"/>
        <v>ZSI1_MEDICAL_EQUIPALT_UOM4_SIPI</v>
      </c>
    </row>
    <row r="11114" ht="15.75" customHeight="1">
      <c r="B11114" s="63">
        <f t="shared" si="1"/>
        <v>18</v>
      </c>
      <c r="C11114" s="135" t="s">
        <v>333</v>
      </c>
      <c r="D11114" s="161" t="s">
        <v>74</v>
      </c>
      <c r="E11114" s="135">
        <f t="shared" si="62"/>
        <v>24</v>
      </c>
      <c r="F11114" s="134" t="s">
        <v>3814</v>
      </c>
      <c r="G11114" s="63" t="str">
        <f>VLOOKUP(C11114, 'Class Def. - General Data'!$C$20:$C$1000,1,false)</f>
        <v>ZSI1_MEDICAL_EQUIP</v>
      </c>
      <c r="H11114" s="63" t="str">
        <f>IFERROR(__xludf.DUMMYFUNCTION("VLOOKUP(F11114, IMPORTRANGE(""https://docs.google.com/spreadsheets/d/1Lhp9OU0JdFf_VYSMzH5lBcEaU4o8teT1piV-SNzShjg/edit?gid=554141278#gid=554141278"", ""'Char Def. - Attributes'!C20:C2242""), 1,false)"),"ALT_DENUM_UOM4")</f>
        <v>ALT_DENUM_UOM4</v>
      </c>
      <c r="I11114" s="136"/>
      <c r="R11114" s="63" t="str">
        <f t="shared" si="60"/>
        <v>ZSI1_MEDICAL_EQUIPALT_DENUM_UOM4</v>
      </c>
    </row>
    <row r="11115" ht="15.75" customHeight="1">
      <c r="B11115" s="63">
        <f t="shared" si="1"/>
        <v>18</v>
      </c>
      <c r="C11115" s="135" t="s">
        <v>333</v>
      </c>
      <c r="D11115" s="161" t="s">
        <v>74</v>
      </c>
      <c r="E11115" s="135">
        <f t="shared" si="62"/>
        <v>25</v>
      </c>
      <c r="F11115" s="134" t="s">
        <v>3815</v>
      </c>
      <c r="G11115" s="63" t="str">
        <f>VLOOKUP(C11115, 'Class Def. - General Data'!$C$20:$C$1000,1,false)</f>
        <v>ZSI1_MEDICAL_EQUIP</v>
      </c>
      <c r="H11115" s="63" t="str">
        <f>IFERROR(__xludf.DUMMYFUNCTION("VLOOKUP(F11115, IMPORTRANGE(""https://docs.google.com/spreadsheets/d/1Lhp9OU0JdFf_VYSMzH5lBcEaU4o8teT1piV-SNzShjg/edit?gid=554141278#gid=554141278"", ""'Char Def. - Attributes'!C20:C2242""), 1,false)"),"ALT_NUM_UOM4")</f>
        <v>ALT_NUM_UOM4</v>
      </c>
      <c r="I11115" s="136"/>
      <c r="R11115" s="63" t="str">
        <f t="shared" si="60"/>
        <v>ZSI1_MEDICAL_EQUIPALT_NUM_UOM4</v>
      </c>
    </row>
    <row r="11116" ht="15.75" customHeight="1">
      <c r="B11116" s="63">
        <f t="shared" si="1"/>
        <v>18</v>
      </c>
      <c r="C11116" s="135" t="s">
        <v>333</v>
      </c>
      <c r="D11116" s="161" t="s">
        <v>74</v>
      </c>
      <c r="E11116" s="135">
        <f t="shared" si="62"/>
        <v>26</v>
      </c>
      <c r="F11116" s="134" t="s">
        <v>3816</v>
      </c>
      <c r="G11116" s="63" t="str">
        <f>VLOOKUP(C11116, 'Class Def. - General Data'!$C$20:$C$1000,1,false)</f>
        <v>ZSI1_MEDICAL_EQUIP</v>
      </c>
      <c r="H11116" s="63" t="str">
        <f>IFERROR(__xludf.DUMMYFUNCTION("VLOOKUP(F11116, IMPORTRANGE(""https://docs.google.com/spreadsheets/d/1Lhp9OU0JdFf_VYSMzH5lBcEaU4o8teT1piV-SNzShjg/edit?gid=554141278#gid=554141278"", ""'Char Def. - Attributes'!C20:C2242""), 1,false)"),"ALT_UOM5_SIPI")</f>
        <v>ALT_UOM5_SIPI</v>
      </c>
      <c r="I11116" s="136"/>
      <c r="R11116" s="63" t="str">
        <f t="shared" si="60"/>
        <v>ZSI1_MEDICAL_EQUIPALT_UOM5_SIPI</v>
      </c>
    </row>
    <row r="11117" ht="15.75" customHeight="1">
      <c r="B11117" s="63">
        <f t="shared" si="1"/>
        <v>18</v>
      </c>
      <c r="C11117" s="135" t="s">
        <v>333</v>
      </c>
      <c r="D11117" s="161" t="s">
        <v>74</v>
      </c>
      <c r="E11117" s="135">
        <f t="shared" si="62"/>
        <v>27</v>
      </c>
      <c r="F11117" s="134" t="s">
        <v>3817</v>
      </c>
      <c r="G11117" s="63" t="str">
        <f>VLOOKUP(C11117, 'Class Def. - General Data'!$C$20:$C$1000,1,false)</f>
        <v>ZSI1_MEDICAL_EQUIP</v>
      </c>
      <c r="H11117" s="63" t="str">
        <f>IFERROR(__xludf.DUMMYFUNCTION("VLOOKUP(F11117, IMPORTRANGE(""https://docs.google.com/spreadsheets/d/1Lhp9OU0JdFf_VYSMzH5lBcEaU4o8teT1piV-SNzShjg/edit?gid=554141278#gid=554141278"", ""'Char Def. - Attributes'!C20:C2242""), 1,false)"),"ALT_DENUM_UOM5")</f>
        <v>ALT_DENUM_UOM5</v>
      </c>
      <c r="I11117" s="136"/>
      <c r="R11117" s="63" t="str">
        <f t="shared" si="60"/>
        <v>ZSI1_MEDICAL_EQUIPALT_DENUM_UOM5</v>
      </c>
    </row>
    <row r="11118" ht="15.75" customHeight="1">
      <c r="B11118" s="63">
        <f t="shared" si="1"/>
        <v>18</v>
      </c>
      <c r="C11118" s="135" t="s">
        <v>333</v>
      </c>
      <c r="D11118" s="161" t="s">
        <v>74</v>
      </c>
      <c r="E11118" s="135">
        <f t="shared" si="62"/>
        <v>28</v>
      </c>
      <c r="F11118" s="134" t="s">
        <v>3818</v>
      </c>
      <c r="G11118" s="63" t="str">
        <f>VLOOKUP(C11118, 'Class Def. - General Data'!$C$20:$C$1000,1,false)</f>
        <v>ZSI1_MEDICAL_EQUIP</v>
      </c>
      <c r="H11118" s="63" t="str">
        <f>IFERROR(__xludf.DUMMYFUNCTION("VLOOKUP(F11118, IMPORTRANGE(""https://docs.google.com/spreadsheets/d/1Lhp9OU0JdFf_VYSMzH5lBcEaU4o8teT1piV-SNzShjg/edit?gid=554141278#gid=554141278"", ""'Char Def. - Attributes'!C20:C2242""), 1,false)"),"ALT_NUM_UOM5")</f>
        <v>ALT_NUM_UOM5</v>
      </c>
      <c r="I11118" s="136"/>
      <c r="R11118" s="63" t="str">
        <f t="shared" si="60"/>
        <v>ZSI1_MEDICAL_EQUIPALT_NUM_UOM5</v>
      </c>
    </row>
    <row r="11119" ht="15.75" customHeight="1">
      <c r="B11119" s="63">
        <f t="shared" si="1"/>
        <v>17</v>
      </c>
      <c r="C11119" s="135" t="s">
        <v>421</v>
      </c>
      <c r="D11119" s="161" t="s">
        <v>74</v>
      </c>
      <c r="E11119" s="135">
        <f t="shared" si="62"/>
        <v>1</v>
      </c>
      <c r="F11119" s="134" t="s">
        <v>4873</v>
      </c>
      <c r="G11119" s="63" t="str">
        <f>VLOOKUP(C11119, 'Class Def. - General Data'!$C$20:$C$1000,1,false)</f>
        <v>ZSI1_MISC_CONTAIN</v>
      </c>
      <c r="H11119" s="63" t="str">
        <f>IFERROR(__xludf.DUMMYFUNCTION("VLOOKUP(F11119, IMPORTRANGE(""https://docs.google.com/spreadsheets/d/1Lhp9OU0JdFf_VYSMzH5lBcEaU4o8teT1piV-SNzShjg/edit?gid=554141278#gid=554141278"", ""'Char Def. - Attributes'!C20:C2242""), 1,false)"),"ITEM_NAME_MISC_CONTAIN")</f>
        <v>ITEM_NAME_MISC_CONTAIN</v>
      </c>
      <c r="I11119" s="136"/>
      <c r="R11119" s="63" t="str">
        <f t="shared" si="60"/>
        <v>ZSI1_MISC_CONTAINITEM_NAME_MISC_CONTAIN</v>
      </c>
    </row>
    <row r="11120" ht="15.75" customHeight="1">
      <c r="B11120" s="63">
        <f t="shared" si="1"/>
        <v>17</v>
      </c>
      <c r="C11120" s="135" t="s">
        <v>421</v>
      </c>
      <c r="D11120" s="161" t="s">
        <v>74</v>
      </c>
      <c r="E11120" s="135">
        <f t="shared" si="62"/>
        <v>2</v>
      </c>
      <c r="F11120" s="134" t="s">
        <v>4874</v>
      </c>
      <c r="G11120" s="63" t="str">
        <f>VLOOKUP(C11120, 'Class Def. - General Data'!$C$20:$C$1000,1,false)</f>
        <v>ZSI1_MISC_CONTAIN</v>
      </c>
      <c r="H11120" s="63" t="str">
        <f>IFERROR(__xludf.DUMMYFUNCTION("VLOOKUP(F11120, IMPORTRANGE(""https://docs.google.com/spreadsheets/d/1Lhp9OU0JdFf_VYSMzH5lBcEaU4o8teT1piV-SNzShjg/edit?gid=554141278#gid=554141278"", ""'Char Def. - Attributes'!C20:C2242""), 1,false)"),"ITEM_DETAIL_TYPE_MISC_CONTAIN")</f>
        <v>ITEM_DETAIL_TYPE_MISC_CONTAIN</v>
      </c>
      <c r="I11120" s="136"/>
      <c r="R11120" s="63" t="str">
        <f t="shared" si="60"/>
        <v>ZSI1_MISC_CONTAINITEM_DETAIL_TYPE_MISC_CONTAIN</v>
      </c>
    </row>
    <row r="11121" ht="15.75" customHeight="1">
      <c r="B11121" s="63">
        <f t="shared" si="1"/>
        <v>17</v>
      </c>
      <c r="C11121" s="135" t="s">
        <v>421</v>
      </c>
      <c r="D11121" s="161" t="s">
        <v>74</v>
      </c>
      <c r="E11121" s="135">
        <f t="shared" si="62"/>
        <v>3</v>
      </c>
      <c r="F11121" s="134" t="s">
        <v>4875</v>
      </c>
      <c r="G11121" s="63" t="str">
        <f>VLOOKUP(C11121, 'Class Def. - General Data'!$C$20:$C$1000,1,false)</f>
        <v>ZSI1_MISC_CONTAIN</v>
      </c>
      <c r="H11121" s="63" t="str">
        <f>IFERROR(__xludf.DUMMYFUNCTION("VLOOKUP(F11121, IMPORTRANGE(""https://docs.google.com/spreadsheets/d/1Lhp9OU0JdFf_VYSMzH5lBcEaU4o8teT1piV-SNzShjg/edit?gid=554141278#gid=554141278"", ""'Char Def. - Attributes'!C20:C2242""), 1,false)"),"DIMENSION_MISC_CONTAIN")</f>
        <v>DIMENSION_MISC_CONTAIN</v>
      </c>
      <c r="I11121" s="136"/>
      <c r="R11121" s="63" t="str">
        <f t="shared" si="60"/>
        <v>ZSI1_MISC_CONTAINDIMENSION_MISC_CONTAIN</v>
      </c>
    </row>
    <row r="11122" ht="15.75" customHeight="1">
      <c r="B11122" s="63">
        <f t="shared" si="1"/>
        <v>17</v>
      </c>
      <c r="C11122" s="135" t="s">
        <v>421</v>
      </c>
      <c r="D11122" s="161" t="s">
        <v>74</v>
      </c>
      <c r="E11122" s="135">
        <f t="shared" si="62"/>
        <v>4</v>
      </c>
      <c r="F11122" s="134" t="s">
        <v>4876</v>
      </c>
      <c r="G11122" s="63" t="str">
        <f>VLOOKUP(C11122, 'Class Def. - General Data'!$C$20:$C$1000,1,false)</f>
        <v>ZSI1_MISC_CONTAIN</v>
      </c>
      <c r="H11122" s="63" t="str">
        <f>IFERROR(__xludf.DUMMYFUNCTION("VLOOKUP(F11122, IMPORTRANGE(""https://docs.google.com/spreadsheets/d/1Lhp9OU0JdFf_VYSMzH5lBcEaU4o8teT1piV-SNzShjg/edit?gid=554141278#gid=554141278"", ""'Char Def. - Attributes'!C20:C2242""), 1,false)"),"VOLUME_L_MISC_CONTAIN")</f>
        <v>VOLUME_L_MISC_CONTAIN</v>
      </c>
      <c r="I11122" s="136"/>
      <c r="R11122" s="63" t="str">
        <f t="shared" si="60"/>
        <v>ZSI1_MISC_CONTAINVOLUME_L_MISC_CONTAIN</v>
      </c>
    </row>
    <row r="11123" ht="15.75" customHeight="1">
      <c r="B11123" s="63">
        <f t="shared" si="1"/>
        <v>17</v>
      </c>
      <c r="C11123" s="135" t="s">
        <v>421</v>
      </c>
      <c r="D11123" s="161" t="s">
        <v>74</v>
      </c>
      <c r="E11123" s="135">
        <f t="shared" si="62"/>
        <v>5</v>
      </c>
      <c r="F11123" s="134" t="s">
        <v>4877</v>
      </c>
      <c r="G11123" s="63" t="str">
        <f>VLOOKUP(C11123, 'Class Def. - General Data'!$C$20:$C$1000,1,false)</f>
        <v>ZSI1_MISC_CONTAIN</v>
      </c>
      <c r="H11123" s="63" t="str">
        <f>IFERROR(__xludf.DUMMYFUNCTION("VLOOKUP(F11123, IMPORTRANGE(""https://docs.google.com/spreadsheets/d/1Lhp9OU0JdFf_VYSMzH5lBcEaU4o8teT1piV-SNzShjg/edit?gid=554141278#gid=554141278"", ""'Char Def. - Attributes'!C20:C2242""), 1,false)"),"LENGTH_CM_MISC_CONTAIN")</f>
        <v>LENGTH_CM_MISC_CONTAIN</v>
      </c>
      <c r="I11123" s="136"/>
      <c r="R11123" s="63" t="str">
        <f t="shared" si="60"/>
        <v>ZSI1_MISC_CONTAINLENGTH_CM_MISC_CONTAIN</v>
      </c>
    </row>
    <row r="11124" ht="15.75" customHeight="1">
      <c r="B11124" s="63">
        <f t="shared" si="1"/>
        <v>17</v>
      </c>
      <c r="C11124" s="135" t="s">
        <v>421</v>
      </c>
      <c r="D11124" s="161" t="s">
        <v>74</v>
      </c>
      <c r="E11124" s="135">
        <f t="shared" si="62"/>
        <v>6</v>
      </c>
      <c r="F11124" s="134" t="s">
        <v>4878</v>
      </c>
      <c r="G11124" s="63" t="str">
        <f>VLOOKUP(C11124, 'Class Def. - General Data'!$C$20:$C$1000,1,false)</f>
        <v>ZSI1_MISC_CONTAIN</v>
      </c>
      <c r="H11124" s="63" t="str">
        <f>IFERROR(__xludf.DUMMYFUNCTION("VLOOKUP(F11124, IMPORTRANGE(""https://docs.google.com/spreadsheets/d/1Lhp9OU0JdFf_VYSMzH5lBcEaU4o8teT1piV-SNzShjg/edit?gid=554141278#gid=554141278"", ""'Char Def. - Attributes'!C20:C2242""), 1,false)"),"WIDTH_CM_MISC_CONTAIN")</f>
        <v>WIDTH_CM_MISC_CONTAIN</v>
      </c>
      <c r="I11124" s="136"/>
      <c r="R11124" s="63" t="str">
        <f t="shared" si="60"/>
        <v>ZSI1_MISC_CONTAINWIDTH_CM_MISC_CONTAIN</v>
      </c>
    </row>
    <row r="11125" ht="15.75" customHeight="1">
      <c r="B11125" s="63">
        <f t="shared" si="1"/>
        <v>17</v>
      </c>
      <c r="C11125" s="135" t="s">
        <v>421</v>
      </c>
      <c r="D11125" s="161" t="s">
        <v>74</v>
      </c>
      <c r="E11125" s="135">
        <f t="shared" si="62"/>
        <v>7</v>
      </c>
      <c r="F11125" s="134" t="s">
        <v>4879</v>
      </c>
      <c r="G11125" s="63" t="str">
        <f>VLOOKUP(C11125, 'Class Def. - General Data'!$C$20:$C$1000,1,false)</f>
        <v>ZSI1_MISC_CONTAIN</v>
      </c>
      <c r="H11125" s="63" t="str">
        <f>IFERROR(__xludf.DUMMYFUNCTION("VLOOKUP(F11125, IMPORTRANGE(""https://docs.google.com/spreadsheets/d/1Lhp9OU0JdFf_VYSMzH5lBcEaU4o8teT1piV-SNzShjg/edit?gid=554141278#gid=554141278"", ""'Char Def. - Attributes'!C20:C2242""), 1,false)"),"HEIGHT_CM_MISC_CONTAIN")</f>
        <v>HEIGHT_CM_MISC_CONTAIN</v>
      </c>
      <c r="I11125" s="136"/>
      <c r="R11125" s="63" t="str">
        <f t="shared" si="60"/>
        <v>ZSI1_MISC_CONTAINHEIGHT_CM_MISC_CONTAIN</v>
      </c>
    </row>
    <row r="11126" ht="15.75" customHeight="1">
      <c r="B11126" s="63">
        <f t="shared" si="1"/>
        <v>17</v>
      </c>
      <c r="C11126" s="135" t="s">
        <v>421</v>
      </c>
      <c r="D11126" s="161" t="s">
        <v>74</v>
      </c>
      <c r="E11126" s="135">
        <f t="shared" si="62"/>
        <v>8</v>
      </c>
      <c r="F11126" s="134" t="s">
        <v>3782</v>
      </c>
      <c r="G11126" s="63" t="str">
        <f>VLOOKUP(C11126, 'Class Def. - General Data'!$C$20:$C$1000,1,false)</f>
        <v>ZSI1_MISC_CONTAIN</v>
      </c>
      <c r="H11126" s="63" t="str">
        <f>IFERROR(__xludf.DUMMYFUNCTION("VLOOKUP(F11126, IMPORTRANGE(""https://docs.google.com/spreadsheets/d/1Lhp9OU0JdFf_VYSMzH5lBcEaU4o8teT1piV-SNzShjg/edit?gid=554141278#gid=554141278"", ""'Char Def. - Attributes'!C20:C2242""), 1,false)"),"BRAND_EXTERNAL")</f>
        <v>BRAND_EXTERNAL</v>
      </c>
      <c r="I11126" s="136"/>
      <c r="R11126" s="63" t="str">
        <f t="shared" si="60"/>
        <v>ZSI1_MISC_CONTAINBRAND_EXTERNAL</v>
      </c>
    </row>
    <row r="11127" ht="15.75" customHeight="1">
      <c r="B11127" s="63">
        <f t="shared" si="1"/>
        <v>17</v>
      </c>
      <c r="C11127" s="135" t="s">
        <v>421</v>
      </c>
      <c r="D11127" s="161" t="s">
        <v>74</v>
      </c>
      <c r="E11127" s="135">
        <f t="shared" si="62"/>
        <v>9</v>
      </c>
      <c r="F11127" s="134" t="s">
        <v>4062</v>
      </c>
      <c r="G11127" s="63" t="str">
        <f>VLOOKUP(C11127, 'Class Def. - General Data'!$C$20:$C$1000,1,false)</f>
        <v>ZSI1_MISC_CONTAIN</v>
      </c>
      <c r="H11127" s="63" t="str">
        <f>IFERROR(__xludf.DUMMYFUNCTION("VLOOKUP(F11127, IMPORTRANGE(""https://docs.google.com/spreadsheets/d/1Lhp9OU0JdFf_VYSMzH5lBcEaU4o8teT1piV-SNzShjg/edit?gid=554141278#gid=554141278"", ""'Char Def. - Attributes'!C20:C2242""), 1,false)"),"#N/A")</f>
        <v>#N/A</v>
      </c>
      <c r="I11127" s="136"/>
      <c r="R11127" s="63" t="str">
        <f t="shared" si="60"/>
        <v>ZSI1_MISC_CONTAINADDTIONAL_SPECIFICATION</v>
      </c>
    </row>
    <row r="11128" ht="15.75" customHeight="1">
      <c r="B11128" s="63">
        <f t="shared" si="1"/>
        <v>17</v>
      </c>
      <c r="C11128" s="135" t="s">
        <v>421</v>
      </c>
      <c r="D11128" s="161" t="s">
        <v>74</v>
      </c>
      <c r="E11128" s="135">
        <f t="shared" si="62"/>
        <v>10</v>
      </c>
      <c r="F11128" s="134" t="s">
        <v>4053</v>
      </c>
      <c r="G11128" s="63" t="str">
        <f>VLOOKUP(C11128, 'Class Def. - General Data'!$C$20:$C$1000,1,false)</f>
        <v>ZSI1_MISC_CONTAIN</v>
      </c>
      <c r="H11128" s="63" t="str">
        <f>IFERROR(__xludf.DUMMYFUNCTION("VLOOKUP(F11128, IMPORTRANGE(""https://docs.google.com/spreadsheets/d/1Lhp9OU0JdFf_VYSMzH5lBcEaU4o8teT1piV-SNzShjg/edit?gid=554141278#gid=554141278"", ""'Char Def. - Attributes'!C20:C2242""), 1,false)"),"MAINTENANCE_ORDER_TYPE")</f>
        <v>MAINTENANCE_ORDER_TYPE</v>
      </c>
      <c r="I11128" s="136"/>
      <c r="R11128" s="63" t="str">
        <f t="shared" si="60"/>
        <v>ZSI1_MISC_CONTAINMAINTENANCE_ORDER_TYPE</v>
      </c>
    </row>
    <row r="11129" ht="15.75" customHeight="1">
      <c r="B11129" s="63">
        <f t="shared" si="1"/>
        <v>17</v>
      </c>
      <c r="C11129" s="135" t="s">
        <v>421</v>
      </c>
      <c r="D11129" s="161" t="s">
        <v>74</v>
      </c>
      <c r="E11129" s="135">
        <f t="shared" si="62"/>
        <v>11</v>
      </c>
      <c r="F11129" s="134" t="s">
        <v>3585</v>
      </c>
      <c r="G11129" s="63" t="str">
        <f>VLOOKUP(C11129, 'Class Def. - General Data'!$C$20:$C$1000,1,false)</f>
        <v>ZSI1_MISC_CONTAIN</v>
      </c>
      <c r="H11129" s="63" t="str">
        <f>IFERROR(__xludf.DUMMYFUNCTION("VLOOKUP(F11129, IMPORTRANGE(""https://docs.google.com/spreadsheets/d/1Lhp9OU0JdFf_VYSMzH5lBcEaU4o8teT1piV-SNzShjg/edit?gid=554141278#gid=554141278"", ""'Char Def. - Attributes'!C20:C2242""), 1,false)"),"HS_CODE")</f>
        <v>HS_CODE</v>
      </c>
      <c r="I11129" s="136"/>
      <c r="R11129" s="63" t="str">
        <f t="shared" si="60"/>
        <v>ZSI1_MISC_CONTAINHS_CODE</v>
      </c>
    </row>
    <row r="11130" ht="15.75" customHeight="1">
      <c r="B11130" s="63">
        <f t="shared" si="1"/>
        <v>17</v>
      </c>
      <c r="C11130" s="135" t="s">
        <v>421</v>
      </c>
      <c r="D11130" s="161" t="s">
        <v>74</v>
      </c>
      <c r="E11130" s="135">
        <f t="shared" si="62"/>
        <v>12</v>
      </c>
      <c r="F11130" s="134" t="s">
        <v>3587</v>
      </c>
      <c r="G11130" s="63" t="str">
        <f>VLOOKUP(C11130, 'Class Def. - General Data'!$C$20:$C$1000,1,false)</f>
        <v>ZSI1_MISC_CONTAIN</v>
      </c>
      <c r="H11130" s="63" t="str">
        <f>IFERROR(__xludf.DUMMYFUNCTION("VLOOKUP(F11130, IMPORTRANGE(""https://docs.google.com/spreadsheets/d/1Lhp9OU0JdFf_VYSMzH5lBcEaU4o8teT1piV-SNzShjg/edit?gid=554141278#gid=554141278"", ""'Char Def. - Attributes'!C20:C2242""), 1,false)"),"PLANT_BUY")</f>
        <v>PLANT_BUY</v>
      </c>
      <c r="I11130" s="136"/>
      <c r="R11130" s="63" t="str">
        <f t="shared" si="60"/>
        <v>ZSI1_MISC_CONTAINPLANT_BUY</v>
      </c>
    </row>
    <row r="11131" ht="15.75" customHeight="1">
      <c r="B11131" s="63">
        <f t="shared" si="1"/>
        <v>17</v>
      </c>
      <c r="C11131" s="135" t="s">
        <v>421</v>
      </c>
      <c r="D11131" s="161" t="s">
        <v>74</v>
      </c>
      <c r="E11131" s="135">
        <f t="shared" si="62"/>
        <v>13</v>
      </c>
      <c r="F11131" s="134" t="s">
        <v>4880</v>
      </c>
      <c r="G11131" s="63" t="str">
        <f>VLOOKUP(C11131, 'Class Def. - General Data'!$C$20:$C$1000,1,false)</f>
        <v>ZSI1_MISC_CONTAIN</v>
      </c>
      <c r="H11131" s="63" t="str">
        <f>IFERROR(__xludf.DUMMYFUNCTION("VLOOKUP(F11131, IMPORTRANGE(""https://docs.google.com/spreadsheets/d/1Lhp9OU0JdFf_VYSMzH5lBcEaU4o8teT1piV-SNzShjg/edit?gid=554141278#gid=554141278"", ""'Char Def. - Attributes'!C20:C2242""), 1,false)"),"BASE_UOM_MISC_CONTAIN")</f>
        <v>BASE_UOM_MISC_CONTAIN</v>
      </c>
      <c r="I11131" s="136"/>
      <c r="R11131" s="63" t="str">
        <f t="shared" si="60"/>
        <v>ZSI1_MISC_CONTAINBASE_UOM_MISC_CONTAIN</v>
      </c>
    </row>
    <row r="11132" ht="15.75" customHeight="1">
      <c r="B11132" s="63">
        <f t="shared" si="1"/>
        <v>17</v>
      </c>
      <c r="C11132" s="135" t="s">
        <v>421</v>
      </c>
      <c r="D11132" s="161" t="s">
        <v>74</v>
      </c>
      <c r="E11132" s="135">
        <f t="shared" si="62"/>
        <v>14</v>
      </c>
      <c r="F11132" s="134" t="s">
        <v>4881</v>
      </c>
      <c r="G11132" s="63" t="str">
        <f>VLOOKUP(C11132, 'Class Def. - General Data'!$C$20:$C$1000,1,false)</f>
        <v>ZSI1_MISC_CONTAIN</v>
      </c>
      <c r="H11132" s="63" t="str">
        <f>IFERROR(__xludf.DUMMYFUNCTION("VLOOKUP(F11132, IMPORTRANGE(""https://docs.google.com/spreadsheets/d/1Lhp9OU0JdFf_VYSMzH5lBcEaU4o8teT1piV-SNzShjg/edit?gid=554141278#gid=554141278"", ""'Char Def. - Attributes'!C20:C2242""), 1,false)"),"ORDER_UNIT_MISC_CONTAIN")</f>
        <v>ORDER_UNIT_MISC_CONTAIN</v>
      </c>
      <c r="I11132" s="136"/>
      <c r="R11132" s="63" t="str">
        <f t="shared" si="60"/>
        <v>ZSI1_MISC_CONTAINORDER_UNIT_MISC_CONTAIN</v>
      </c>
    </row>
    <row r="11133" ht="15.75" customHeight="1">
      <c r="B11133" s="63">
        <f t="shared" si="1"/>
        <v>17</v>
      </c>
      <c r="C11133" s="135" t="s">
        <v>421</v>
      </c>
      <c r="D11133" s="161" t="s">
        <v>74</v>
      </c>
      <c r="E11133" s="135">
        <f t="shared" si="62"/>
        <v>15</v>
      </c>
      <c r="F11133" s="134" t="s">
        <v>4056</v>
      </c>
      <c r="G11133" s="63" t="str">
        <f>VLOOKUP(C11133, 'Class Def. - General Data'!$C$20:$C$1000,1,false)</f>
        <v>ZSI1_MISC_CONTAIN</v>
      </c>
      <c r="H11133" s="63" t="str">
        <f>IFERROR(__xludf.DUMMYFUNCTION("VLOOKUP(F11133, IMPORTRANGE(""https://docs.google.com/spreadsheets/d/1Lhp9OU0JdFf_VYSMzH5lBcEaU4o8teT1piV-SNzShjg/edit?gid=554141278#gid=554141278"", ""'Char Def. - Attributes'!C20:C2242""), 1,false)"),"GROSS_WEIGHT_OPT")</f>
        <v>GROSS_WEIGHT_OPT</v>
      </c>
      <c r="I11133" s="136"/>
      <c r="R11133" s="63" t="str">
        <f t="shared" si="60"/>
        <v>ZSI1_MISC_CONTAINGROSS_WEIGHT_OPT</v>
      </c>
    </row>
    <row r="11134" ht="15.75" customHeight="1">
      <c r="B11134" s="63">
        <f t="shared" si="1"/>
        <v>17</v>
      </c>
      <c r="C11134" s="135" t="s">
        <v>421</v>
      </c>
      <c r="D11134" s="161" t="s">
        <v>74</v>
      </c>
      <c r="E11134" s="135">
        <f t="shared" si="62"/>
        <v>16</v>
      </c>
      <c r="F11134" s="134" t="s">
        <v>4057</v>
      </c>
      <c r="G11134" s="63" t="str">
        <f>VLOOKUP(C11134, 'Class Def. - General Data'!$C$20:$C$1000,1,false)</f>
        <v>ZSI1_MISC_CONTAIN</v>
      </c>
      <c r="H11134" s="63" t="str">
        <f>IFERROR(__xludf.DUMMYFUNCTION("VLOOKUP(F11134, IMPORTRANGE(""https://docs.google.com/spreadsheets/d/1Lhp9OU0JdFf_VYSMzH5lBcEaU4o8teT1piV-SNzShjg/edit?gid=554141278#gid=554141278"", ""'Char Def. - Attributes'!C20:C2242""), 1,false)"),"NET_WEIGHT_OPT")</f>
        <v>NET_WEIGHT_OPT</v>
      </c>
      <c r="I11134" s="136"/>
      <c r="R11134" s="63" t="str">
        <f t="shared" si="60"/>
        <v>ZSI1_MISC_CONTAINNET_WEIGHT_OPT</v>
      </c>
    </row>
    <row r="11135" ht="15.75" customHeight="1">
      <c r="B11135" s="63">
        <f t="shared" si="1"/>
        <v>17</v>
      </c>
      <c r="C11135" s="135" t="s">
        <v>421</v>
      </c>
      <c r="D11135" s="161" t="s">
        <v>74</v>
      </c>
      <c r="E11135" s="135">
        <f t="shared" si="62"/>
        <v>17</v>
      </c>
      <c r="F11135" s="134" t="s">
        <v>4058</v>
      </c>
      <c r="G11135" s="63" t="str">
        <f>VLOOKUP(C11135, 'Class Def. - General Data'!$C$20:$C$1000,1,false)</f>
        <v>ZSI1_MISC_CONTAIN</v>
      </c>
      <c r="H11135" s="63" t="str">
        <f>IFERROR(__xludf.DUMMYFUNCTION("VLOOKUP(F11135, IMPORTRANGE(""https://docs.google.com/spreadsheets/d/1Lhp9OU0JdFf_VYSMzH5lBcEaU4o8teT1piV-SNzShjg/edit?gid=554141278#gid=554141278"", ""'Char Def. - Attributes'!C20:C2242""), 1,false)"),"WEIGHT_UNIT_SI")</f>
        <v>WEIGHT_UNIT_SI</v>
      </c>
      <c r="I11135" s="136"/>
      <c r="R11135" s="63" t="str">
        <f t="shared" si="60"/>
        <v>ZSI1_MISC_CONTAINWEIGHT_UNIT_SI</v>
      </c>
    </row>
    <row r="11136" ht="15.75" customHeight="1">
      <c r="B11136" s="63">
        <f t="shared" si="1"/>
        <v>17</v>
      </c>
      <c r="C11136" s="135" t="s">
        <v>421</v>
      </c>
      <c r="D11136" s="161" t="s">
        <v>74</v>
      </c>
      <c r="E11136" s="135">
        <f t="shared" si="62"/>
        <v>18</v>
      </c>
      <c r="F11136" s="134" t="s">
        <v>3877</v>
      </c>
      <c r="G11136" s="63" t="str">
        <f>VLOOKUP(C11136, 'Class Def. - General Data'!$C$20:$C$1000,1,false)</f>
        <v>ZSI1_MISC_CONTAIN</v>
      </c>
      <c r="H11136" s="63" t="str">
        <f>IFERROR(__xludf.DUMMYFUNCTION("VLOOKUP(F11136, IMPORTRANGE(""https://docs.google.com/spreadsheets/d/1Lhp9OU0JdFf_VYSMzH5lBcEaU4o8teT1piV-SNzShjg/edit?gid=554141278#gid=554141278"", ""'Char Def. - Attributes'!C20:C2242""), 1,false)"),"VOLUME_OPT")</f>
        <v>VOLUME_OPT</v>
      </c>
      <c r="I11136" s="136"/>
      <c r="R11136" s="63" t="str">
        <f t="shared" si="60"/>
        <v>ZSI1_MISC_CONTAINVOLUME_OPT</v>
      </c>
    </row>
    <row r="11137" ht="15.75" customHeight="1">
      <c r="B11137" s="63">
        <f t="shared" si="1"/>
        <v>17</v>
      </c>
      <c r="C11137" s="135" t="s">
        <v>421</v>
      </c>
      <c r="D11137" s="161" t="s">
        <v>74</v>
      </c>
      <c r="E11137" s="135">
        <f t="shared" si="62"/>
        <v>19</v>
      </c>
      <c r="F11137" s="134" t="s">
        <v>4059</v>
      </c>
      <c r="G11137" s="63" t="str">
        <f>VLOOKUP(C11137, 'Class Def. - General Data'!$C$20:$C$1000,1,false)</f>
        <v>ZSI1_MISC_CONTAIN</v>
      </c>
      <c r="H11137" s="63" t="str">
        <f>IFERROR(__xludf.DUMMYFUNCTION("VLOOKUP(F11137, IMPORTRANGE(""https://docs.google.com/spreadsheets/d/1Lhp9OU0JdFf_VYSMzH5lBcEaU4o8teT1piV-SNzShjg/edit?gid=554141278#gid=554141278"", ""'Char Def. - Attributes'!C20:C2242""), 1,false)"),"VOLUME_UNIT_SI")</f>
        <v>VOLUME_UNIT_SI</v>
      </c>
      <c r="I11137" s="136"/>
      <c r="R11137" s="63" t="str">
        <f t="shared" si="60"/>
        <v>ZSI1_MISC_CONTAINVOLUME_UNIT_SI</v>
      </c>
    </row>
    <row r="11138" ht="15.75" customHeight="1">
      <c r="B11138" s="63">
        <f t="shared" si="1"/>
        <v>17</v>
      </c>
      <c r="C11138" s="135" t="s">
        <v>421</v>
      </c>
      <c r="D11138" s="161" t="s">
        <v>74</v>
      </c>
      <c r="E11138" s="135">
        <f t="shared" si="62"/>
        <v>20</v>
      </c>
      <c r="F11138" s="134" t="s">
        <v>3804</v>
      </c>
      <c r="G11138" s="63" t="str">
        <f>VLOOKUP(C11138, 'Class Def. - General Data'!$C$20:$C$1000,1,false)</f>
        <v>ZSI1_MISC_CONTAIN</v>
      </c>
      <c r="H11138" s="63" t="str">
        <f>IFERROR(__xludf.DUMMYFUNCTION("VLOOKUP(F11138, IMPORTRANGE(""https://docs.google.com/spreadsheets/d/1Lhp9OU0JdFf_VYSMzH5lBcEaU4o8teT1piV-SNzShjg/edit?gid=554141278#gid=554141278"", ""'Char Def. - Attributes'!C20:C2242""), 1,false)"),"ALT_UOM1_SIPI")</f>
        <v>ALT_UOM1_SIPI</v>
      </c>
      <c r="I11138" s="136"/>
      <c r="R11138" s="63" t="str">
        <f t="shared" si="60"/>
        <v>ZSI1_MISC_CONTAINALT_UOM1_SIPI</v>
      </c>
    </row>
    <row r="11139" ht="15.75" customHeight="1">
      <c r="B11139" s="63">
        <f t="shared" si="1"/>
        <v>17</v>
      </c>
      <c r="C11139" s="135" t="s">
        <v>421</v>
      </c>
      <c r="D11139" s="161" t="s">
        <v>74</v>
      </c>
      <c r="E11139" s="135">
        <f t="shared" si="62"/>
        <v>21</v>
      </c>
      <c r="F11139" s="134" t="s">
        <v>3805</v>
      </c>
      <c r="G11139" s="63" t="str">
        <f>VLOOKUP(C11139, 'Class Def. - General Data'!$C$20:$C$1000,1,false)</f>
        <v>ZSI1_MISC_CONTAIN</v>
      </c>
      <c r="H11139" s="63" t="str">
        <f>IFERROR(__xludf.DUMMYFUNCTION("VLOOKUP(F11139, IMPORTRANGE(""https://docs.google.com/spreadsheets/d/1Lhp9OU0JdFf_VYSMzH5lBcEaU4o8teT1piV-SNzShjg/edit?gid=554141278#gid=554141278"", ""'Char Def. - Attributes'!C20:C2242""), 1,false)"),"ALT_DENUM_UOM1")</f>
        <v>ALT_DENUM_UOM1</v>
      </c>
      <c r="I11139" s="136"/>
      <c r="R11139" s="63" t="str">
        <f t="shared" si="60"/>
        <v>ZSI1_MISC_CONTAINALT_DENUM_UOM1</v>
      </c>
    </row>
    <row r="11140" ht="15.75" customHeight="1">
      <c r="B11140" s="63">
        <f t="shared" si="1"/>
        <v>17</v>
      </c>
      <c r="C11140" s="135" t="s">
        <v>421</v>
      </c>
      <c r="D11140" s="161" t="s">
        <v>74</v>
      </c>
      <c r="E11140" s="135">
        <f t="shared" si="62"/>
        <v>22</v>
      </c>
      <c r="F11140" s="134" t="s">
        <v>3806</v>
      </c>
      <c r="G11140" s="63" t="str">
        <f>VLOOKUP(C11140, 'Class Def. - General Data'!$C$20:$C$1000,1,false)</f>
        <v>ZSI1_MISC_CONTAIN</v>
      </c>
      <c r="H11140" s="63" t="str">
        <f>IFERROR(__xludf.DUMMYFUNCTION("VLOOKUP(F11140, IMPORTRANGE(""https://docs.google.com/spreadsheets/d/1Lhp9OU0JdFf_VYSMzH5lBcEaU4o8teT1piV-SNzShjg/edit?gid=554141278#gid=554141278"", ""'Char Def. - Attributes'!C20:C2242""), 1,false)"),"ALT_NUM_UOM1")</f>
        <v>ALT_NUM_UOM1</v>
      </c>
      <c r="I11140" s="136"/>
      <c r="R11140" s="63" t="str">
        <f t="shared" si="60"/>
        <v>ZSI1_MISC_CONTAINALT_NUM_UOM1</v>
      </c>
    </row>
    <row r="11141" ht="15.75" customHeight="1">
      <c r="B11141" s="63">
        <f t="shared" si="1"/>
        <v>17</v>
      </c>
      <c r="C11141" s="135" t="s">
        <v>421</v>
      </c>
      <c r="D11141" s="161" t="s">
        <v>74</v>
      </c>
      <c r="E11141" s="135">
        <f t="shared" si="62"/>
        <v>23</v>
      </c>
      <c r="F11141" s="134" t="s">
        <v>3807</v>
      </c>
      <c r="G11141" s="63" t="str">
        <f>VLOOKUP(C11141, 'Class Def. - General Data'!$C$20:$C$1000,1,false)</f>
        <v>ZSI1_MISC_CONTAIN</v>
      </c>
      <c r="H11141" s="63" t="str">
        <f>IFERROR(__xludf.DUMMYFUNCTION("VLOOKUP(F11141, IMPORTRANGE(""https://docs.google.com/spreadsheets/d/1Lhp9OU0JdFf_VYSMzH5lBcEaU4o8teT1piV-SNzShjg/edit?gid=554141278#gid=554141278"", ""'Char Def. - Attributes'!C20:C2242""), 1,false)"),"ALT_UOM2_SIPI")</f>
        <v>ALT_UOM2_SIPI</v>
      </c>
      <c r="I11141" s="136"/>
      <c r="R11141" s="63" t="str">
        <f t="shared" si="60"/>
        <v>ZSI1_MISC_CONTAINALT_UOM2_SIPI</v>
      </c>
    </row>
    <row r="11142" ht="15.75" customHeight="1">
      <c r="B11142" s="63">
        <f t="shared" si="1"/>
        <v>17</v>
      </c>
      <c r="C11142" s="135" t="s">
        <v>421</v>
      </c>
      <c r="D11142" s="161" t="s">
        <v>74</v>
      </c>
      <c r="E11142" s="135">
        <f t="shared" si="62"/>
        <v>24</v>
      </c>
      <c r="F11142" s="134" t="s">
        <v>3808</v>
      </c>
      <c r="G11142" s="63" t="str">
        <f>VLOOKUP(C11142, 'Class Def. - General Data'!$C$20:$C$1000,1,false)</f>
        <v>ZSI1_MISC_CONTAIN</v>
      </c>
      <c r="H11142" s="63" t="str">
        <f>IFERROR(__xludf.DUMMYFUNCTION("VLOOKUP(F11142, IMPORTRANGE(""https://docs.google.com/spreadsheets/d/1Lhp9OU0JdFf_VYSMzH5lBcEaU4o8teT1piV-SNzShjg/edit?gid=554141278#gid=554141278"", ""'Char Def. - Attributes'!C20:C2242""), 1,false)"),"ALT_DENUM_UOM2")</f>
        <v>ALT_DENUM_UOM2</v>
      </c>
      <c r="I11142" s="136"/>
      <c r="R11142" s="63" t="str">
        <f t="shared" si="60"/>
        <v>ZSI1_MISC_CONTAINALT_DENUM_UOM2</v>
      </c>
    </row>
    <row r="11143" ht="15.75" customHeight="1">
      <c r="B11143" s="63">
        <f t="shared" si="1"/>
        <v>17</v>
      </c>
      <c r="C11143" s="135" t="s">
        <v>421</v>
      </c>
      <c r="D11143" s="161" t="s">
        <v>74</v>
      </c>
      <c r="E11143" s="135">
        <f t="shared" si="62"/>
        <v>25</v>
      </c>
      <c r="F11143" s="134" t="s">
        <v>3809</v>
      </c>
      <c r="G11143" s="63" t="str">
        <f>VLOOKUP(C11143, 'Class Def. - General Data'!$C$20:$C$1000,1,false)</f>
        <v>ZSI1_MISC_CONTAIN</v>
      </c>
      <c r="H11143" s="63" t="str">
        <f>IFERROR(__xludf.DUMMYFUNCTION("VLOOKUP(F11143, IMPORTRANGE(""https://docs.google.com/spreadsheets/d/1Lhp9OU0JdFf_VYSMzH5lBcEaU4o8teT1piV-SNzShjg/edit?gid=554141278#gid=554141278"", ""'Char Def. - Attributes'!C20:C2242""), 1,false)"),"ALT_NUM_UOM2")</f>
        <v>ALT_NUM_UOM2</v>
      </c>
      <c r="I11143" s="136"/>
      <c r="R11143" s="63" t="str">
        <f t="shared" si="60"/>
        <v>ZSI1_MISC_CONTAINALT_NUM_UOM2</v>
      </c>
    </row>
    <row r="11144" ht="15.75" customHeight="1">
      <c r="B11144" s="63">
        <f t="shared" si="1"/>
        <v>17</v>
      </c>
      <c r="C11144" s="135" t="s">
        <v>421</v>
      </c>
      <c r="D11144" s="161" t="s">
        <v>74</v>
      </c>
      <c r="E11144" s="135">
        <f t="shared" si="62"/>
        <v>26</v>
      </c>
      <c r="F11144" s="134" t="s">
        <v>3810</v>
      </c>
      <c r="G11144" s="63" t="str">
        <f>VLOOKUP(C11144, 'Class Def. - General Data'!$C$20:$C$1000,1,false)</f>
        <v>ZSI1_MISC_CONTAIN</v>
      </c>
      <c r="H11144" s="63" t="str">
        <f>IFERROR(__xludf.DUMMYFUNCTION("VLOOKUP(F11144, IMPORTRANGE(""https://docs.google.com/spreadsheets/d/1Lhp9OU0JdFf_VYSMzH5lBcEaU4o8teT1piV-SNzShjg/edit?gid=554141278#gid=554141278"", ""'Char Def. - Attributes'!C20:C2242""), 1,false)"),"ALT_UOM3_SIPI")</f>
        <v>ALT_UOM3_SIPI</v>
      </c>
      <c r="I11144" s="136"/>
      <c r="R11144" s="63" t="str">
        <f t="shared" si="60"/>
        <v>ZSI1_MISC_CONTAINALT_UOM3_SIPI</v>
      </c>
    </row>
    <row r="11145" ht="15.75" customHeight="1">
      <c r="B11145" s="63">
        <f t="shared" si="1"/>
        <v>17</v>
      </c>
      <c r="C11145" s="135" t="s">
        <v>421</v>
      </c>
      <c r="D11145" s="161" t="s">
        <v>74</v>
      </c>
      <c r="E11145" s="135">
        <f t="shared" si="62"/>
        <v>27</v>
      </c>
      <c r="F11145" s="134" t="s">
        <v>3811</v>
      </c>
      <c r="G11145" s="63" t="str">
        <f>VLOOKUP(C11145, 'Class Def. - General Data'!$C$20:$C$1000,1,false)</f>
        <v>ZSI1_MISC_CONTAIN</v>
      </c>
      <c r="H11145" s="63" t="str">
        <f>IFERROR(__xludf.DUMMYFUNCTION("VLOOKUP(F11145, IMPORTRANGE(""https://docs.google.com/spreadsheets/d/1Lhp9OU0JdFf_VYSMzH5lBcEaU4o8teT1piV-SNzShjg/edit?gid=554141278#gid=554141278"", ""'Char Def. - Attributes'!C20:C2242""), 1,false)"),"ALT_DENUM_UOM3")</f>
        <v>ALT_DENUM_UOM3</v>
      </c>
      <c r="I11145" s="136"/>
      <c r="R11145" s="63" t="str">
        <f t="shared" si="60"/>
        <v>ZSI1_MISC_CONTAINALT_DENUM_UOM3</v>
      </c>
    </row>
    <row r="11146" ht="15.75" customHeight="1">
      <c r="B11146" s="63">
        <f t="shared" si="1"/>
        <v>17</v>
      </c>
      <c r="C11146" s="135" t="s">
        <v>421</v>
      </c>
      <c r="D11146" s="161" t="s">
        <v>74</v>
      </c>
      <c r="E11146" s="135">
        <f t="shared" si="62"/>
        <v>28</v>
      </c>
      <c r="F11146" s="134" t="s">
        <v>3812</v>
      </c>
      <c r="G11146" s="63" t="str">
        <f>VLOOKUP(C11146, 'Class Def. - General Data'!$C$20:$C$1000,1,false)</f>
        <v>ZSI1_MISC_CONTAIN</v>
      </c>
      <c r="H11146" s="63" t="str">
        <f>IFERROR(__xludf.DUMMYFUNCTION("VLOOKUP(F11146, IMPORTRANGE(""https://docs.google.com/spreadsheets/d/1Lhp9OU0JdFf_VYSMzH5lBcEaU4o8teT1piV-SNzShjg/edit?gid=554141278#gid=554141278"", ""'Char Def. - Attributes'!C20:C2242""), 1,false)"),"ALT_NUM_UOM3")</f>
        <v>ALT_NUM_UOM3</v>
      </c>
      <c r="I11146" s="136"/>
      <c r="R11146" s="63" t="str">
        <f t="shared" si="60"/>
        <v>ZSI1_MISC_CONTAINALT_NUM_UOM3</v>
      </c>
    </row>
    <row r="11147" ht="15.75" customHeight="1">
      <c r="B11147" s="63">
        <f t="shared" si="1"/>
        <v>17</v>
      </c>
      <c r="C11147" s="135" t="s">
        <v>421</v>
      </c>
      <c r="D11147" s="161" t="s">
        <v>74</v>
      </c>
      <c r="E11147" s="135">
        <f t="shared" si="62"/>
        <v>29</v>
      </c>
      <c r="F11147" s="134" t="s">
        <v>3813</v>
      </c>
      <c r="G11147" s="63" t="str">
        <f>VLOOKUP(C11147, 'Class Def. - General Data'!$C$20:$C$1000,1,false)</f>
        <v>ZSI1_MISC_CONTAIN</v>
      </c>
      <c r="H11147" s="63" t="str">
        <f>IFERROR(__xludf.DUMMYFUNCTION("VLOOKUP(F11147, IMPORTRANGE(""https://docs.google.com/spreadsheets/d/1Lhp9OU0JdFf_VYSMzH5lBcEaU4o8teT1piV-SNzShjg/edit?gid=554141278#gid=554141278"", ""'Char Def. - Attributes'!C20:C2242""), 1,false)"),"ALT_UOM4_SIPI")</f>
        <v>ALT_UOM4_SIPI</v>
      </c>
      <c r="I11147" s="136"/>
      <c r="R11147" s="63" t="str">
        <f t="shared" si="60"/>
        <v>ZSI1_MISC_CONTAINALT_UOM4_SIPI</v>
      </c>
    </row>
    <row r="11148" ht="15.75" customHeight="1">
      <c r="B11148" s="63">
        <f t="shared" si="1"/>
        <v>17</v>
      </c>
      <c r="C11148" s="135" t="s">
        <v>421</v>
      </c>
      <c r="D11148" s="161" t="s">
        <v>74</v>
      </c>
      <c r="E11148" s="135">
        <f t="shared" si="62"/>
        <v>30</v>
      </c>
      <c r="F11148" s="134" t="s">
        <v>3814</v>
      </c>
      <c r="G11148" s="63" t="str">
        <f>VLOOKUP(C11148, 'Class Def. - General Data'!$C$20:$C$1000,1,false)</f>
        <v>ZSI1_MISC_CONTAIN</v>
      </c>
      <c r="H11148" s="63" t="str">
        <f>IFERROR(__xludf.DUMMYFUNCTION("VLOOKUP(F11148, IMPORTRANGE(""https://docs.google.com/spreadsheets/d/1Lhp9OU0JdFf_VYSMzH5lBcEaU4o8teT1piV-SNzShjg/edit?gid=554141278#gid=554141278"", ""'Char Def. - Attributes'!C20:C2242""), 1,false)"),"ALT_DENUM_UOM4")</f>
        <v>ALT_DENUM_UOM4</v>
      </c>
      <c r="I11148" s="136"/>
      <c r="R11148" s="63" t="str">
        <f t="shared" si="60"/>
        <v>ZSI1_MISC_CONTAINALT_DENUM_UOM4</v>
      </c>
    </row>
    <row r="11149" ht="15.75" customHeight="1">
      <c r="B11149" s="63">
        <f t="shared" si="1"/>
        <v>17</v>
      </c>
      <c r="C11149" s="135" t="s">
        <v>421</v>
      </c>
      <c r="D11149" s="161" t="s">
        <v>74</v>
      </c>
      <c r="E11149" s="135">
        <f t="shared" si="62"/>
        <v>31</v>
      </c>
      <c r="F11149" s="134" t="s">
        <v>3815</v>
      </c>
      <c r="G11149" s="63" t="str">
        <f>VLOOKUP(C11149, 'Class Def. - General Data'!$C$20:$C$1000,1,false)</f>
        <v>ZSI1_MISC_CONTAIN</v>
      </c>
      <c r="H11149" s="63" t="str">
        <f>IFERROR(__xludf.DUMMYFUNCTION("VLOOKUP(F11149, IMPORTRANGE(""https://docs.google.com/spreadsheets/d/1Lhp9OU0JdFf_VYSMzH5lBcEaU4o8teT1piV-SNzShjg/edit?gid=554141278#gid=554141278"", ""'Char Def. - Attributes'!C20:C2242""), 1,false)"),"ALT_NUM_UOM4")</f>
        <v>ALT_NUM_UOM4</v>
      </c>
      <c r="I11149" s="136"/>
      <c r="R11149" s="63" t="str">
        <f t="shared" si="60"/>
        <v>ZSI1_MISC_CONTAINALT_NUM_UOM4</v>
      </c>
    </row>
    <row r="11150" ht="15.75" customHeight="1">
      <c r="B11150" s="63">
        <f t="shared" si="1"/>
        <v>17</v>
      </c>
      <c r="C11150" s="135" t="s">
        <v>421</v>
      </c>
      <c r="D11150" s="161" t="s">
        <v>74</v>
      </c>
      <c r="E11150" s="135">
        <f t="shared" si="62"/>
        <v>32</v>
      </c>
      <c r="F11150" s="134" t="s">
        <v>3816</v>
      </c>
      <c r="G11150" s="63" t="str">
        <f>VLOOKUP(C11150, 'Class Def. - General Data'!$C$20:$C$1000,1,false)</f>
        <v>ZSI1_MISC_CONTAIN</v>
      </c>
      <c r="H11150" s="63" t="str">
        <f>IFERROR(__xludf.DUMMYFUNCTION("VLOOKUP(F11150, IMPORTRANGE(""https://docs.google.com/spreadsheets/d/1Lhp9OU0JdFf_VYSMzH5lBcEaU4o8teT1piV-SNzShjg/edit?gid=554141278#gid=554141278"", ""'Char Def. - Attributes'!C20:C2242""), 1,false)"),"ALT_UOM5_SIPI")</f>
        <v>ALT_UOM5_SIPI</v>
      </c>
      <c r="I11150" s="136"/>
      <c r="R11150" s="63" t="str">
        <f t="shared" si="60"/>
        <v>ZSI1_MISC_CONTAINALT_UOM5_SIPI</v>
      </c>
    </row>
    <row r="11151" ht="15.75" customHeight="1">
      <c r="B11151" s="63">
        <f t="shared" si="1"/>
        <v>17</v>
      </c>
      <c r="C11151" s="135" t="s">
        <v>421</v>
      </c>
      <c r="D11151" s="161" t="s">
        <v>74</v>
      </c>
      <c r="E11151" s="135">
        <f t="shared" si="62"/>
        <v>33</v>
      </c>
      <c r="F11151" s="134" t="s">
        <v>3817</v>
      </c>
      <c r="G11151" s="63" t="str">
        <f>VLOOKUP(C11151, 'Class Def. - General Data'!$C$20:$C$1000,1,false)</f>
        <v>ZSI1_MISC_CONTAIN</v>
      </c>
      <c r="H11151" s="63" t="str">
        <f>IFERROR(__xludf.DUMMYFUNCTION("VLOOKUP(F11151, IMPORTRANGE(""https://docs.google.com/spreadsheets/d/1Lhp9OU0JdFf_VYSMzH5lBcEaU4o8teT1piV-SNzShjg/edit?gid=554141278#gid=554141278"", ""'Char Def. - Attributes'!C20:C2242""), 1,false)"),"ALT_DENUM_UOM5")</f>
        <v>ALT_DENUM_UOM5</v>
      </c>
      <c r="I11151" s="136"/>
      <c r="R11151" s="63" t="str">
        <f t="shared" si="60"/>
        <v>ZSI1_MISC_CONTAINALT_DENUM_UOM5</v>
      </c>
    </row>
    <row r="11152" ht="15.75" customHeight="1">
      <c r="B11152" s="63">
        <f t="shared" si="1"/>
        <v>17</v>
      </c>
      <c r="C11152" s="135" t="s">
        <v>421</v>
      </c>
      <c r="D11152" s="161" t="s">
        <v>74</v>
      </c>
      <c r="E11152" s="135">
        <f t="shared" si="62"/>
        <v>34</v>
      </c>
      <c r="F11152" s="134" t="s">
        <v>3818</v>
      </c>
      <c r="G11152" s="63" t="str">
        <f>VLOOKUP(C11152, 'Class Def. - General Data'!$C$20:$C$1000,1,false)</f>
        <v>ZSI1_MISC_CONTAIN</v>
      </c>
      <c r="H11152" s="63" t="str">
        <f>IFERROR(__xludf.DUMMYFUNCTION("VLOOKUP(F11152, IMPORTRANGE(""https://docs.google.com/spreadsheets/d/1Lhp9OU0JdFf_VYSMzH5lBcEaU4o8teT1piV-SNzShjg/edit?gid=554141278#gid=554141278"", ""'Char Def. - Attributes'!C20:C2242""), 1,false)"),"ALT_NUM_UOM5")</f>
        <v>ALT_NUM_UOM5</v>
      </c>
      <c r="I11152" s="136"/>
      <c r="R11152" s="63" t="str">
        <f t="shared" si="60"/>
        <v>ZSI1_MISC_CONTAINALT_NUM_UOM5</v>
      </c>
    </row>
    <row r="11153" ht="15.75" customHeight="1">
      <c r="B11153" s="63">
        <f t="shared" si="1"/>
        <v>17</v>
      </c>
      <c r="C11153" s="135" t="s">
        <v>421</v>
      </c>
      <c r="D11153" s="161" t="s">
        <v>74</v>
      </c>
      <c r="E11153" s="135">
        <f t="shared" si="62"/>
        <v>35</v>
      </c>
      <c r="F11153" s="134" t="s">
        <v>4882</v>
      </c>
      <c r="G11153" s="63" t="str">
        <f>VLOOKUP(C11153, 'Class Def. - General Data'!$C$20:$C$1000,1,false)</f>
        <v>ZSI1_MISC_CONTAIN</v>
      </c>
      <c r="H11153" s="63" t="str">
        <f>IFERROR(__xludf.DUMMYFUNCTION("VLOOKUP(F11153, IMPORTRANGE(""https://docs.google.com/spreadsheets/d/1Lhp9OU0JdFf_VYSMzH5lBcEaU4o8teT1piV-SNzShjg/edit?gid=554141278#gid=554141278"", ""'Char Def. - Attributes'!C20:C2242""), 1,false)"),"MATERIAL_MISC_CONTAIN")</f>
        <v>MATERIAL_MISC_CONTAIN</v>
      </c>
      <c r="I11153" s="136"/>
      <c r="R11153" s="63" t="str">
        <f t="shared" si="60"/>
        <v>ZSI1_MISC_CONTAINMATERIAL_MISC_CONTAIN</v>
      </c>
    </row>
    <row r="11154" ht="15.75" customHeight="1">
      <c r="B11154" s="63">
        <f t="shared" si="1"/>
        <v>17</v>
      </c>
      <c r="C11154" s="135" t="s">
        <v>421</v>
      </c>
      <c r="D11154" s="161" t="s">
        <v>74</v>
      </c>
      <c r="E11154" s="135">
        <f t="shared" si="62"/>
        <v>36</v>
      </c>
      <c r="F11154" s="134" t="s">
        <v>4883</v>
      </c>
      <c r="G11154" s="63" t="str">
        <f>VLOOKUP(C11154, 'Class Def. - General Data'!$C$20:$C$1000,1,false)</f>
        <v>ZSI1_MISC_CONTAIN</v>
      </c>
      <c r="H11154" s="63" t="str">
        <f>IFERROR(__xludf.DUMMYFUNCTION("VLOOKUP(F11154, IMPORTRANGE(""https://docs.google.com/spreadsheets/d/1Lhp9OU0JdFf_VYSMzH5lBcEaU4o8teT1piV-SNzShjg/edit?gid=554141278#gid=554141278"", ""'Char Def. - Attributes'!C20:C2242""), 1,false)"),"THICKNESS_MM_MISC_CONTAIN")</f>
        <v>THICKNESS_MM_MISC_CONTAIN</v>
      </c>
      <c r="I11154" s="136"/>
      <c r="R11154" s="63" t="str">
        <f t="shared" si="60"/>
        <v>ZSI1_MISC_CONTAINTHICKNESS_MM_MISC_CONTAIN</v>
      </c>
    </row>
    <row r="11155" ht="15.75" customHeight="1">
      <c r="B11155" s="63">
        <f t="shared" si="1"/>
        <v>17</v>
      </c>
      <c r="C11155" s="135" t="s">
        <v>421</v>
      </c>
      <c r="D11155" s="161" t="s">
        <v>74</v>
      </c>
      <c r="E11155" s="135">
        <f t="shared" si="62"/>
        <v>37</v>
      </c>
      <c r="F11155" s="134" t="s">
        <v>4884</v>
      </c>
      <c r="G11155" s="63" t="str">
        <f>VLOOKUP(C11155, 'Class Def. - General Data'!$C$20:$C$1000,1,false)</f>
        <v>ZSI1_MISC_CONTAIN</v>
      </c>
      <c r="H11155" s="63" t="str">
        <f>IFERROR(__xludf.DUMMYFUNCTION("VLOOKUP(F11155, IMPORTRANGE(""https://docs.google.com/spreadsheets/d/1Lhp9OU0JdFf_VYSMzH5lBcEaU4o8teT1piV-SNzShjg/edit?gid=554141278#gid=554141278"", ""'Char Def. - Attributes'!C20:C2242""), 1,false)"),"WIDTH_MM_MISC_CONTAIN")</f>
        <v>WIDTH_MM_MISC_CONTAIN</v>
      </c>
      <c r="I11155" s="136"/>
      <c r="R11155" s="63" t="str">
        <f t="shared" si="60"/>
        <v>ZSI1_MISC_CONTAINWIDTH_MM_MISC_CONTAIN</v>
      </c>
    </row>
    <row r="11156" ht="15.75" customHeight="1">
      <c r="B11156" s="63">
        <f t="shared" si="1"/>
        <v>17</v>
      </c>
      <c r="C11156" s="135" t="s">
        <v>421</v>
      </c>
      <c r="D11156" s="161" t="s">
        <v>74</v>
      </c>
      <c r="E11156" s="135">
        <f t="shared" si="62"/>
        <v>38</v>
      </c>
      <c r="F11156" s="134" t="s">
        <v>4885</v>
      </c>
      <c r="G11156" s="63" t="str">
        <f>VLOOKUP(C11156, 'Class Def. - General Data'!$C$20:$C$1000,1,false)</f>
        <v>ZSI1_MISC_CONTAIN</v>
      </c>
      <c r="H11156" s="63" t="str">
        <f>IFERROR(__xludf.DUMMYFUNCTION("VLOOKUP(F11156, IMPORTRANGE(""https://docs.google.com/spreadsheets/d/1Lhp9OU0JdFf_VYSMzH5lBcEaU4o8teT1piV-SNzShjg/edit?gid=554141278#gid=554141278"", ""'Char Def. - Attributes'!C20:C2242""), 1,false)"),"HEIGHT_MM_MISC_CONTAIN")</f>
        <v>HEIGHT_MM_MISC_CONTAIN</v>
      </c>
      <c r="I11156" s="136"/>
      <c r="R11156" s="63" t="str">
        <f t="shared" si="60"/>
        <v>ZSI1_MISC_CONTAINHEIGHT_MM_MISC_CONTAIN</v>
      </c>
    </row>
    <row r="11157" ht="15.75" customHeight="1">
      <c r="B11157" s="63">
        <f t="shared" si="1"/>
        <v>18</v>
      </c>
      <c r="C11157" s="135" t="s">
        <v>521</v>
      </c>
      <c r="D11157" s="161" t="s">
        <v>74</v>
      </c>
      <c r="E11157" s="135">
        <f t="shared" si="62"/>
        <v>1</v>
      </c>
      <c r="F11157" s="134" t="s">
        <v>4886</v>
      </c>
      <c r="G11157" s="63" t="str">
        <f>VLOOKUP(C11157, 'Class Def. - General Data'!$C$20:$C$1000,1,false)</f>
        <v>ZSI1_MISC_FASTENER</v>
      </c>
      <c r="H11157" s="63" t="str">
        <f>IFERROR(__xludf.DUMMYFUNCTION("VLOOKUP(F11157, IMPORTRANGE(""https://docs.google.com/spreadsheets/d/1Lhp9OU0JdFf_VYSMzH5lBcEaU4o8teT1piV-SNzShjg/edit?gid=554141278#gid=554141278"", ""'Char Def. - Attributes'!C20:C2242""), 1,false)"),"ITEM_NAME_MISC_FASTENER")</f>
        <v>ITEM_NAME_MISC_FASTENER</v>
      </c>
      <c r="I11157" s="136"/>
      <c r="R11157" s="63" t="str">
        <f t="shared" si="60"/>
        <v>ZSI1_MISC_FASTENERITEM_NAME_MISC_FASTENER</v>
      </c>
    </row>
    <row r="11158" ht="15.75" customHeight="1">
      <c r="B11158" s="63">
        <f t="shared" si="1"/>
        <v>18</v>
      </c>
      <c r="C11158" s="135" t="s">
        <v>521</v>
      </c>
      <c r="D11158" s="161" t="s">
        <v>74</v>
      </c>
      <c r="E11158" s="135">
        <f t="shared" si="62"/>
        <v>2</v>
      </c>
      <c r="F11158" s="134" t="s">
        <v>4887</v>
      </c>
      <c r="G11158" s="63" t="str">
        <f>VLOOKUP(C11158, 'Class Def. - General Data'!$C$20:$C$1000,1,false)</f>
        <v>ZSI1_MISC_FASTENER</v>
      </c>
      <c r="H11158" s="63" t="str">
        <f>IFERROR(__xludf.DUMMYFUNCTION("VLOOKUP(F11158, IMPORTRANGE(""https://docs.google.com/spreadsheets/d/1Lhp9OU0JdFf_VYSMzH5lBcEaU4o8teT1piV-SNzShjg/edit?gid=554141278#gid=554141278"", ""'Char Def. - Attributes'!C20:C2242""), 1,false)"),"SIZE_MISC_FASTENER")</f>
        <v>SIZE_MISC_FASTENER</v>
      </c>
      <c r="I11158" s="136"/>
      <c r="R11158" s="63" t="str">
        <f t="shared" si="60"/>
        <v>ZSI1_MISC_FASTENERSIZE_MISC_FASTENER</v>
      </c>
    </row>
    <row r="11159" ht="15.75" customHeight="1">
      <c r="B11159" s="63">
        <f t="shared" si="1"/>
        <v>18</v>
      </c>
      <c r="C11159" s="135" t="s">
        <v>521</v>
      </c>
      <c r="D11159" s="161" t="s">
        <v>74</v>
      </c>
      <c r="E11159" s="135">
        <f t="shared" si="62"/>
        <v>3</v>
      </c>
      <c r="F11159" s="134" t="s">
        <v>4888</v>
      </c>
      <c r="G11159" s="63" t="str">
        <f>VLOOKUP(C11159, 'Class Def. - General Data'!$C$20:$C$1000,1,false)</f>
        <v>ZSI1_MISC_FASTENER</v>
      </c>
      <c r="H11159" s="63" t="str">
        <f>IFERROR(__xludf.DUMMYFUNCTION("VLOOKUP(F11159, IMPORTRANGE(""https://docs.google.com/spreadsheets/d/1Lhp9OU0JdFf_VYSMzH5lBcEaU4o8teT1piV-SNzShjg/edit?gid=554141278#gid=554141278"", ""'Char Def. - Attributes'!C20:C2242""), 1,false)"),"MATERIAL_MISC_FASTENER")</f>
        <v>MATERIAL_MISC_FASTENER</v>
      </c>
      <c r="I11159" s="136"/>
      <c r="R11159" s="63" t="str">
        <f t="shared" si="60"/>
        <v>ZSI1_MISC_FASTENERMATERIAL_MISC_FASTENER</v>
      </c>
    </row>
    <row r="11160" ht="15.75" customHeight="1">
      <c r="B11160" s="63">
        <f t="shared" si="1"/>
        <v>18</v>
      </c>
      <c r="C11160" s="135" t="s">
        <v>521</v>
      </c>
      <c r="D11160" s="161" t="s">
        <v>74</v>
      </c>
      <c r="E11160" s="135">
        <f t="shared" si="62"/>
        <v>4</v>
      </c>
      <c r="F11160" s="134" t="s">
        <v>3781</v>
      </c>
      <c r="G11160" s="63" t="str">
        <f>VLOOKUP(C11160, 'Class Def. - General Data'!$C$20:$C$1000,1,false)</f>
        <v>ZSI1_MISC_FASTENER</v>
      </c>
      <c r="H11160" s="63" t="str">
        <f>IFERROR(__xludf.DUMMYFUNCTION("VLOOKUP(F11160, IMPORTRANGE(""https://docs.google.com/spreadsheets/d/1Lhp9OU0JdFf_VYSMzH5lBcEaU4o8teT1piV-SNzShjg/edit?gid=554141278#gid=554141278"", ""'Char Def. - Attributes'!C20:C2242""), 1,false)"),"EXTERNAL_BRAND")</f>
        <v>EXTERNAL_BRAND</v>
      </c>
      <c r="I11160" s="136"/>
      <c r="R11160" s="63" t="str">
        <f t="shared" si="60"/>
        <v>ZSI1_MISC_FASTENEREXTERNAL_BRAND</v>
      </c>
    </row>
    <row r="11161" ht="15.75" customHeight="1">
      <c r="B11161" s="63">
        <f t="shared" si="1"/>
        <v>18</v>
      </c>
      <c r="C11161" s="135" t="s">
        <v>521</v>
      </c>
      <c r="D11161" s="161" t="s">
        <v>74</v>
      </c>
      <c r="E11161" s="135">
        <f t="shared" si="62"/>
        <v>5</v>
      </c>
      <c r="F11161" s="134" t="s">
        <v>3782</v>
      </c>
      <c r="G11161" s="63" t="str">
        <f>VLOOKUP(C11161, 'Class Def. - General Data'!$C$20:$C$1000,1,false)</f>
        <v>ZSI1_MISC_FASTENER</v>
      </c>
      <c r="H11161" s="63" t="str">
        <f>IFERROR(__xludf.DUMMYFUNCTION("VLOOKUP(F11161, IMPORTRANGE(""https://docs.google.com/spreadsheets/d/1Lhp9OU0JdFf_VYSMzH5lBcEaU4o8teT1piV-SNzShjg/edit?gid=554141278#gid=554141278"", ""'Char Def. - Attributes'!C20:C2242""), 1,false)"),"BRAND_EXTERNAL")</f>
        <v>BRAND_EXTERNAL</v>
      </c>
      <c r="I11161" s="136"/>
      <c r="R11161" s="63" t="str">
        <f t="shared" si="60"/>
        <v>ZSI1_MISC_FASTENERBRAND_EXTERNAL</v>
      </c>
    </row>
    <row r="11162" ht="15.75" customHeight="1">
      <c r="B11162" s="63">
        <f t="shared" si="1"/>
        <v>18</v>
      </c>
      <c r="C11162" s="135" t="s">
        <v>521</v>
      </c>
      <c r="D11162" s="161" t="s">
        <v>74</v>
      </c>
      <c r="E11162" s="135">
        <f t="shared" si="62"/>
        <v>6</v>
      </c>
      <c r="F11162" s="134" t="s">
        <v>4062</v>
      </c>
      <c r="G11162" s="63" t="str">
        <f>VLOOKUP(C11162, 'Class Def. - General Data'!$C$20:$C$1000,1,false)</f>
        <v>ZSI1_MISC_FASTENER</v>
      </c>
      <c r="H11162" s="63" t="str">
        <f>IFERROR(__xludf.DUMMYFUNCTION("VLOOKUP(F11162, IMPORTRANGE(""https://docs.google.com/spreadsheets/d/1Lhp9OU0JdFf_VYSMzH5lBcEaU4o8teT1piV-SNzShjg/edit?gid=554141278#gid=554141278"", ""'Char Def. - Attributes'!C20:C2242""), 1,false)"),"#N/A")</f>
        <v>#N/A</v>
      </c>
      <c r="I11162" s="136"/>
      <c r="R11162" s="63" t="str">
        <f t="shared" si="60"/>
        <v>ZSI1_MISC_FASTENERADDTIONAL_SPECIFICATION</v>
      </c>
    </row>
    <row r="11163" ht="15.75" customHeight="1">
      <c r="B11163" s="63">
        <f t="shared" si="1"/>
        <v>18</v>
      </c>
      <c r="C11163" s="135" t="s">
        <v>521</v>
      </c>
      <c r="D11163" s="161" t="s">
        <v>74</v>
      </c>
      <c r="E11163" s="135">
        <f t="shared" si="62"/>
        <v>7</v>
      </c>
      <c r="F11163" s="134" t="s">
        <v>3585</v>
      </c>
      <c r="G11163" s="63" t="str">
        <f>VLOOKUP(C11163, 'Class Def. - General Data'!$C$20:$C$1000,1,false)</f>
        <v>ZSI1_MISC_FASTENER</v>
      </c>
      <c r="H11163" s="63" t="str">
        <f>IFERROR(__xludf.DUMMYFUNCTION("VLOOKUP(F11163, IMPORTRANGE(""https://docs.google.com/spreadsheets/d/1Lhp9OU0JdFf_VYSMzH5lBcEaU4o8teT1piV-SNzShjg/edit?gid=554141278#gid=554141278"", ""'Char Def. - Attributes'!C20:C2242""), 1,false)"),"HS_CODE")</f>
        <v>HS_CODE</v>
      </c>
      <c r="I11163" s="136"/>
      <c r="R11163" s="63" t="str">
        <f t="shared" si="60"/>
        <v>ZSI1_MISC_FASTENERHS_CODE</v>
      </c>
    </row>
    <row r="11164" ht="15.75" customHeight="1">
      <c r="B11164" s="63">
        <f t="shared" si="1"/>
        <v>18</v>
      </c>
      <c r="C11164" s="135" t="s">
        <v>521</v>
      </c>
      <c r="D11164" s="161" t="s">
        <v>74</v>
      </c>
      <c r="E11164" s="135">
        <f t="shared" si="62"/>
        <v>8</v>
      </c>
      <c r="F11164" s="134" t="s">
        <v>3587</v>
      </c>
      <c r="G11164" s="63" t="str">
        <f>VLOOKUP(C11164, 'Class Def. - General Data'!$C$20:$C$1000,1,false)</f>
        <v>ZSI1_MISC_FASTENER</v>
      </c>
      <c r="H11164" s="63" t="str">
        <f>IFERROR(__xludf.DUMMYFUNCTION("VLOOKUP(F11164, IMPORTRANGE(""https://docs.google.com/spreadsheets/d/1Lhp9OU0JdFf_VYSMzH5lBcEaU4o8teT1piV-SNzShjg/edit?gid=554141278#gid=554141278"", ""'Char Def. - Attributes'!C20:C2242""), 1,false)"),"PLANT_BUY")</f>
        <v>PLANT_BUY</v>
      </c>
      <c r="I11164" s="136"/>
      <c r="R11164" s="63" t="str">
        <f t="shared" si="60"/>
        <v>ZSI1_MISC_FASTENERPLANT_BUY</v>
      </c>
    </row>
    <row r="11165" ht="15.75" customHeight="1">
      <c r="B11165" s="63">
        <f t="shared" si="1"/>
        <v>18</v>
      </c>
      <c r="C11165" s="135" t="s">
        <v>521</v>
      </c>
      <c r="D11165" s="161" t="s">
        <v>74</v>
      </c>
      <c r="E11165" s="135">
        <f t="shared" si="62"/>
        <v>9</v>
      </c>
      <c r="F11165" s="134" t="s">
        <v>4889</v>
      </c>
      <c r="G11165" s="63" t="str">
        <f>VLOOKUP(C11165, 'Class Def. - General Data'!$C$20:$C$1000,1,false)</f>
        <v>ZSI1_MISC_FASTENER</v>
      </c>
      <c r="H11165" s="63" t="str">
        <f>IFERROR(__xludf.DUMMYFUNCTION("VLOOKUP(F11165, IMPORTRANGE(""https://docs.google.com/spreadsheets/d/1Lhp9OU0JdFf_VYSMzH5lBcEaU4o8teT1piV-SNzShjg/edit?gid=554141278#gid=554141278"", ""'Char Def. - Attributes'!C20:C2242""), 1,false)"),"BASE_UOM_MISC_FASTENER")</f>
        <v>BASE_UOM_MISC_FASTENER</v>
      </c>
      <c r="I11165" s="136"/>
      <c r="R11165" s="63" t="str">
        <f t="shared" si="60"/>
        <v>ZSI1_MISC_FASTENERBASE_UOM_MISC_FASTENER</v>
      </c>
    </row>
    <row r="11166" ht="15.75" customHeight="1">
      <c r="B11166" s="63">
        <f t="shared" si="1"/>
        <v>18</v>
      </c>
      <c r="C11166" s="135" t="s">
        <v>521</v>
      </c>
      <c r="D11166" s="161" t="s">
        <v>74</v>
      </c>
      <c r="E11166" s="135">
        <f t="shared" si="62"/>
        <v>10</v>
      </c>
      <c r="F11166" s="134" t="s">
        <v>4890</v>
      </c>
      <c r="G11166" s="63" t="str">
        <f>VLOOKUP(C11166, 'Class Def. - General Data'!$C$20:$C$1000,1,false)</f>
        <v>ZSI1_MISC_FASTENER</v>
      </c>
      <c r="H11166" s="63" t="str">
        <f>IFERROR(__xludf.DUMMYFUNCTION("VLOOKUP(F11166, IMPORTRANGE(""https://docs.google.com/spreadsheets/d/1Lhp9OU0JdFf_VYSMzH5lBcEaU4o8teT1piV-SNzShjg/edit?gid=554141278#gid=554141278"", ""'Char Def. - Attributes'!C20:C2242""), 1,false)"),"ORDER_UNIT_MISC_FASTENER")</f>
        <v>ORDER_UNIT_MISC_FASTENER</v>
      </c>
      <c r="I11166" s="136"/>
      <c r="R11166" s="63" t="str">
        <f t="shared" si="60"/>
        <v>ZSI1_MISC_FASTENERORDER_UNIT_MISC_FASTENER</v>
      </c>
    </row>
    <row r="11167" ht="15.75" customHeight="1">
      <c r="B11167" s="63">
        <f t="shared" si="1"/>
        <v>18</v>
      </c>
      <c r="C11167" s="135" t="s">
        <v>521</v>
      </c>
      <c r="D11167" s="161" t="s">
        <v>74</v>
      </c>
      <c r="E11167" s="135">
        <f t="shared" si="62"/>
        <v>11</v>
      </c>
      <c r="F11167" s="134" t="s">
        <v>4056</v>
      </c>
      <c r="G11167" s="63" t="str">
        <f>VLOOKUP(C11167, 'Class Def. - General Data'!$C$20:$C$1000,1,false)</f>
        <v>ZSI1_MISC_FASTENER</v>
      </c>
      <c r="H11167" s="63" t="str">
        <f>IFERROR(__xludf.DUMMYFUNCTION("VLOOKUP(F11167, IMPORTRANGE(""https://docs.google.com/spreadsheets/d/1Lhp9OU0JdFf_VYSMzH5lBcEaU4o8teT1piV-SNzShjg/edit?gid=554141278#gid=554141278"", ""'Char Def. - Attributes'!C20:C2242""), 1,false)"),"GROSS_WEIGHT_OPT")</f>
        <v>GROSS_WEIGHT_OPT</v>
      </c>
      <c r="I11167" s="136"/>
      <c r="R11167" s="63" t="str">
        <f t="shared" si="60"/>
        <v>ZSI1_MISC_FASTENERGROSS_WEIGHT_OPT</v>
      </c>
    </row>
    <row r="11168" ht="15.75" customHeight="1">
      <c r="B11168" s="63">
        <f t="shared" si="1"/>
        <v>18</v>
      </c>
      <c r="C11168" s="135" t="s">
        <v>521</v>
      </c>
      <c r="D11168" s="161" t="s">
        <v>74</v>
      </c>
      <c r="E11168" s="135">
        <f t="shared" si="62"/>
        <v>12</v>
      </c>
      <c r="F11168" s="134" t="s">
        <v>4057</v>
      </c>
      <c r="G11168" s="63" t="str">
        <f>VLOOKUP(C11168, 'Class Def. - General Data'!$C$20:$C$1000,1,false)</f>
        <v>ZSI1_MISC_FASTENER</v>
      </c>
      <c r="H11168" s="63" t="str">
        <f>IFERROR(__xludf.DUMMYFUNCTION("VLOOKUP(F11168, IMPORTRANGE(""https://docs.google.com/spreadsheets/d/1Lhp9OU0JdFf_VYSMzH5lBcEaU4o8teT1piV-SNzShjg/edit?gid=554141278#gid=554141278"", ""'Char Def. - Attributes'!C20:C2242""), 1,false)"),"NET_WEIGHT_OPT")</f>
        <v>NET_WEIGHT_OPT</v>
      </c>
      <c r="I11168" s="136"/>
      <c r="R11168" s="63" t="str">
        <f t="shared" si="60"/>
        <v>ZSI1_MISC_FASTENERNET_WEIGHT_OPT</v>
      </c>
    </row>
    <row r="11169" ht="15.75" customHeight="1">
      <c r="B11169" s="63">
        <f t="shared" si="1"/>
        <v>18</v>
      </c>
      <c r="C11169" s="135" t="s">
        <v>521</v>
      </c>
      <c r="D11169" s="161" t="s">
        <v>74</v>
      </c>
      <c r="E11169" s="135">
        <f t="shared" si="62"/>
        <v>13</v>
      </c>
      <c r="F11169" s="134" t="s">
        <v>4058</v>
      </c>
      <c r="G11169" s="63" t="str">
        <f>VLOOKUP(C11169, 'Class Def. - General Data'!$C$20:$C$1000,1,false)</f>
        <v>ZSI1_MISC_FASTENER</v>
      </c>
      <c r="H11169" s="63" t="str">
        <f>IFERROR(__xludf.DUMMYFUNCTION("VLOOKUP(F11169, IMPORTRANGE(""https://docs.google.com/spreadsheets/d/1Lhp9OU0JdFf_VYSMzH5lBcEaU4o8teT1piV-SNzShjg/edit?gid=554141278#gid=554141278"", ""'Char Def. - Attributes'!C20:C2242""), 1,false)"),"WEIGHT_UNIT_SI")</f>
        <v>WEIGHT_UNIT_SI</v>
      </c>
      <c r="I11169" s="136"/>
      <c r="R11169" s="63" t="str">
        <f t="shared" si="60"/>
        <v>ZSI1_MISC_FASTENERWEIGHT_UNIT_SI</v>
      </c>
    </row>
    <row r="11170" ht="15.75" customHeight="1">
      <c r="B11170" s="63">
        <f t="shared" si="1"/>
        <v>18</v>
      </c>
      <c r="C11170" s="135" t="s">
        <v>521</v>
      </c>
      <c r="D11170" s="161" t="s">
        <v>74</v>
      </c>
      <c r="E11170" s="135">
        <f t="shared" si="62"/>
        <v>14</v>
      </c>
      <c r="F11170" s="134" t="s">
        <v>3877</v>
      </c>
      <c r="G11170" s="63" t="str">
        <f>VLOOKUP(C11170, 'Class Def. - General Data'!$C$20:$C$1000,1,false)</f>
        <v>ZSI1_MISC_FASTENER</v>
      </c>
      <c r="H11170" s="63" t="str">
        <f>IFERROR(__xludf.DUMMYFUNCTION("VLOOKUP(F11170, IMPORTRANGE(""https://docs.google.com/spreadsheets/d/1Lhp9OU0JdFf_VYSMzH5lBcEaU4o8teT1piV-SNzShjg/edit?gid=554141278#gid=554141278"", ""'Char Def. - Attributes'!C20:C2242""), 1,false)"),"VOLUME_OPT")</f>
        <v>VOLUME_OPT</v>
      </c>
      <c r="I11170" s="136"/>
      <c r="R11170" s="63" t="str">
        <f t="shared" si="60"/>
        <v>ZSI1_MISC_FASTENERVOLUME_OPT</v>
      </c>
    </row>
    <row r="11171" ht="15.75" customHeight="1">
      <c r="B11171" s="63">
        <f t="shared" si="1"/>
        <v>18</v>
      </c>
      <c r="C11171" s="135" t="s">
        <v>521</v>
      </c>
      <c r="D11171" s="161" t="s">
        <v>74</v>
      </c>
      <c r="E11171" s="135">
        <f t="shared" si="62"/>
        <v>15</v>
      </c>
      <c r="F11171" s="134" t="s">
        <v>4059</v>
      </c>
      <c r="G11171" s="63" t="str">
        <f>VLOOKUP(C11171, 'Class Def. - General Data'!$C$20:$C$1000,1,false)</f>
        <v>ZSI1_MISC_FASTENER</v>
      </c>
      <c r="H11171" s="63" t="str">
        <f>IFERROR(__xludf.DUMMYFUNCTION("VLOOKUP(F11171, IMPORTRANGE(""https://docs.google.com/spreadsheets/d/1Lhp9OU0JdFf_VYSMzH5lBcEaU4o8teT1piV-SNzShjg/edit?gid=554141278#gid=554141278"", ""'Char Def. - Attributes'!C20:C2242""), 1,false)"),"VOLUME_UNIT_SI")</f>
        <v>VOLUME_UNIT_SI</v>
      </c>
      <c r="I11171" s="136"/>
      <c r="R11171" s="63" t="str">
        <f t="shared" si="60"/>
        <v>ZSI1_MISC_FASTENERVOLUME_UNIT_SI</v>
      </c>
    </row>
    <row r="11172" ht="15.75" customHeight="1">
      <c r="B11172" s="63">
        <f t="shared" si="1"/>
        <v>18</v>
      </c>
      <c r="C11172" s="135" t="s">
        <v>521</v>
      </c>
      <c r="D11172" s="161" t="s">
        <v>74</v>
      </c>
      <c r="E11172" s="135">
        <f t="shared" si="62"/>
        <v>16</v>
      </c>
      <c r="F11172" s="134" t="s">
        <v>3804</v>
      </c>
      <c r="G11172" s="63" t="str">
        <f>VLOOKUP(C11172, 'Class Def. - General Data'!$C$20:$C$1000,1,false)</f>
        <v>ZSI1_MISC_FASTENER</v>
      </c>
      <c r="H11172" s="63" t="str">
        <f>IFERROR(__xludf.DUMMYFUNCTION("VLOOKUP(F11172, IMPORTRANGE(""https://docs.google.com/spreadsheets/d/1Lhp9OU0JdFf_VYSMzH5lBcEaU4o8teT1piV-SNzShjg/edit?gid=554141278#gid=554141278"", ""'Char Def. - Attributes'!C20:C2242""), 1,false)"),"ALT_UOM1_SIPI")</f>
        <v>ALT_UOM1_SIPI</v>
      </c>
      <c r="I11172" s="136"/>
      <c r="R11172" s="63" t="str">
        <f t="shared" si="60"/>
        <v>ZSI1_MISC_FASTENERALT_UOM1_SIPI</v>
      </c>
    </row>
    <row r="11173" ht="15.75" customHeight="1">
      <c r="B11173" s="63">
        <f t="shared" si="1"/>
        <v>18</v>
      </c>
      <c r="C11173" s="135" t="s">
        <v>521</v>
      </c>
      <c r="D11173" s="161" t="s">
        <v>74</v>
      </c>
      <c r="E11173" s="135">
        <f t="shared" si="62"/>
        <v>17</v>
      </c>
      <c r="F11173" s="134" t="s">
        <v>3805</v>
      </c>
      <c r="G11173" s="63" t="str">
        <f>VLOOKUP(C11173, 'Class Def. - General Data'!$C$20:$C$1000,1,false)</f>
        <v>ZSI1_MISC_FASTENER</v>
      </c>
      <c r="H11173" s="63" t="str">
        <f>IFERROR(__xludf.DUMMYFUNCTION("VLOOKUP(F11173, IMPORTRANGE(""https://docs.google.com/spreadsheets/d/1Lhp9OU0JdFf_VYSMzH5lBcEaU4o8teT1piV-SNzShjg/edit?gid=554141278#gid=554141278"", ""'Char Def. - Attributes'!C20:C2242""), 1,false)"),"ALT_DENUM_UOM1")</f>
        <v>ALT_DENUM_UOM1</v>
      </c>
      <c r="I11173" s="136"/>
      <c r="R11173" s="63" t="str">
        <f t="shared" si="60"/>
        <v>ZSI1_MISC_FASTENERALT_DENUM_UOM1</v>
      </c>
    </row>
    <row r="11174" ht="15.75" customHeight="1">
      <c r="B11174" s="63">
        <f t="shared" si="1"/>
        <v>18</v>
      </c>
      <c r="C11174" s="135" t="s">
        <v>521</v>
      </c>
      <c r="D11174" s="161" t="s">
        <v>74</v>
      </c>
      <c r="E11174" s="135">
        <f t="shared" si="62"/>
        <v>18</v>
      </c>
      <c r="F11174" s="134" t="s">
        <v>3806</v>
      </c>
      <c r="G11174" s="63" t="str">
        <f>VLOOKUP(C11174, 'Class Def. - General Data'!$C$20:$C$1000,1,false)</f>
        <v>ZSI1_MISC_FASTENER</v>
      </c>
      <c r="H11174" s="63" t="str">
        <f>IFERROR(__xludf.DUMMYFUNCTION("VLOOKUP(F11174, IMPORTRANGE(""https://docs.google.com/spreadsheets/d/1Lhp9OU0JdFf_VYSMzH5lBcEaU4o8teT1piV-SNzShjg/edit?gid=554141278#gid=554141278"", ""'Char Def. - Attributes'!C20:C2242""), 1,false)"),"ALT_NUM_UOM1")</f>
        <v>ALT_NUM_UOM1</v>
      </c>
      <c r="I11174" s="136"/>
      <c r="R11174" s="63" t="str">
        <f t="shared" si="60"/>
        <v>ZSI1_MISC_FASTENERALT_NUM_UOM1</v>
      </c>
    </row>
    <row r="11175" ht="15.75" customHeight="1">
      <c r="B11175" s="63">
        <f t="shared" si="1"/>
        <v>18</v>
      </c>
      <c r="C11175" s="135" t="s">
        <v>521</v>
      </c>
      <c r="D11175" s="161" t="s">
        <v>74</v>
      </c>
      <c r="E11175" s="135">
        <f t="shared" si="62"/>
        <v>19</v>
      </c>
      <c r="F11175" s="134" t="s">
        <v>3807</v>
      </c>
      <c r="G11175" s="63" t="str">
        <f>VLOOKUP(C11175, 'Class Def. - General Data'!$C$20:$C$1000,1,false)</f>
        <v>ZSI1_MISC_FASTENER</v>
      </c>
      <c r="H11175" s="63" t="str">
        <f>IFERROR(__xludf.DUMMYFUNCTION("VLOOKUP(F11175, IMPORTRANGE(""https://docs.google.com/spreadsheets/d/1Lhp9OU0JdFf_VYSMzH5lBcEaU4o8teT1piV-SNzShjg/edit?gid=554141278#gid=554141278"", ""'Char Def. - Attributes'!C20:C2242""), 1,false)"),"ALT_UOM2_SIPI")</f>
        <v>ALT_UOM2_SIPI</v>
      </c>
      <c r="I11175" s="136"/>
      <c r="R11175" s="63" t="str">
        <f t="shared" si="60"/>
        <v>ZSI1_MISC_FASTENERALT_UOM2_SIPI</v>
      </c>
    </row>
    <row r="11176" ht="15.75" customHeight="1">
      <c r="B11176" s="63">
        <f t="shared" si="1"/>
        <v>18</v>
      </c>
      <c r="C11176" s="135" t="s">
        <v>521</v>
      </c>
      <c r="D11176" s="161" t="s">
        <v>74</v>
      </c>
      <c r="E11176" s="135">
        <f t="shared" si="62"/>
        <v>20</v>
      </c>
      <c r="F11176" s="134" t="s">
        <v>3808</v>
      </c>
      <c r="G11176" s="63" t="str">
        <f>VLOOKUP(C11176, 'Class Def. - General Data'!$C$20:$C$1000,1,false)</f>
        <v>ZSI1_MISC_FASTENER</v>
      </c>
      <c r="H11176" s="63" t="str">
        <f>IFERROR(__xludf.DUMMYFUNCTION("VLOOKUP(F11176, IMPORTRANGE(""https://docs.google.com/spreadsheets/d/1Lhp9OU0JdFf_VYSMzH5lBcEaU4o8teT1piV-SNzShjg/edit?gid=554141278#gid=554141278"", ""'Char Def. - Attributes'!C20:C2242""), 1,false)"),"ALT_DENUM_UOM2")</f>
        <v>ALT_DENUM_UOM2</v>
      </c>
      <c r="I11176" s="136"/>
      <c r="R11176" s="63" t="str">
        <f t="shared" si="60"/>
        <v>ZSI1_MISC_FASTENERALT_DENUM_UOM2</v>
      </c>
    </row>
    <row r="11177" ht="15.75" customHeight="1">
      <c r="B11177" s="63">
        <f t="shared" si="1"/>
        <v>18</v>
      </c>
      <c r="C11177" s="135" t="s">
        <v>521</v>
      </c>
      <c r="D11177" s="161" t="s">
        <v>74</v>
      </c>
      <c r="E11177" s="135">
        <f t="shared" si="62"/>
        <v>21</v>
      </c>
      <c r="F11177" s="134" t="s">
        <v>3809</v>
      </c>
      <c r="G11177" s="63" t="str">
        <f>VLOOKUP(C11177, 'Class Def. - General Data'!$C$20:$C$1000,1,false)</f>
        <v>ZSI1_MISC_FASTENER</v>
      </c>
      <c r="H11177" s="63" t="str">
        <f>IFERROR(__xludf.DUMMYFUNCTION("VLOOKUP(F11177, IMPORTRANGE(""https://docs.google.com/spreadsheets/d/1Lhp9OU0JdFf_VYSMzH5lBcEaU4o8teT1piV-SNzShjg/edit?gid=554141278#gid=554141278"", ""'Char Def. - Attributes'!C20:C2242""), 1,false)"),"ALT_NUM_UOM2")</f>
        <v>ALT_NUM_UOM2</v>
      </c>
      <c r="I11177" s="136"/>
      <c r="R11177" s="63" t="str">
        <f t="shared" si="60"/>
        <v>ZSI1_MISC_FASTENERALT_NUM_UOM2</v>
      </c>
    </row>
    <row r="11178" ht="15.75" customHeight="1">
      <c r="B11178" s="63">
        <f t="shared" si="1"/>
        <v>18</v>
      </c>
      <c r="C11178" s="135" t="s">
        <v>521</v>
      </c>
      <c r="D11178" s="161" t="s">
        <v>74</v>
      </c>
      <c r="E11178" s="135">
        <f t="shared" si="62"/>
        <v>22</v>
      </c>
      <c r="F11178" s="134" t="s">
        <v>3810</v>
      </c>
      <c r="G11178" s="63" t="str">
        <f>VLOOKUP(C11178, 'Class Def. - General Data'!$C$20:$C$1000,1,false)</f>
        <v>ZSI1_MISC_FASTENER</v>
      </c>
      <c r="H11178" s="63" t="str">
        <f>IFERROR(__xludf.DUMMYFUNCTION("VLOOKUP(F11178, IMPORTRANGE(""https://docs.google.com/spreadsheets/d/1Lhp9OU0JdFf_VYSMzH5lBcEaU4o8teT1piV-SNzShjg/edit?gid=554141278#gid=554141278"", ""'Char Def. - Attributes'!C20:C2242""), 1,false)"),"ALT_UOM3_SIPI")</f>
        <v>ALT_UOM3_SIPI</v>
      </c>
      <c r="I11178" s="136"/>
      <c r="R11178" s="63" t="str">
        <f t="shared" si="60"/>
        <v>ZSI1_MISC_FASTENERALT_UOM3_SIPI</v>
      </c>
    </row>
    <row r="11179" ht="15.75" customHeight="1">
      <c r="B11179" s="63">
        <f t="shared" si="1"/>
        <v>18</v>
      </c>
      <c r="C11179" s="135" t="s">
        <v>521</v>
      </c>
      <c r="D11179" s="161" t="s">
        <v>74</v>
      </c>
      <c r="E11179" s="135">
        <f t="shared" si="62"/>
        <v>23</v>
      </c>
      <c r="F11179" s="134" t="s">
        <v>3811</v>
      </c>
      <c r="G11179" s="63" t="str">
        <f>VLOOKUP(C11179, 'Class Def. - General Data'!$C$20:$C$1000,1,false)</f>
        <v>ZSI1_MISC_FASTENER</v>
      </c>
      <c r="H11179" s="63" t="str">
        <f>IFERROR(__xludf.DUMMYFUNCTION("VLOOKUP(F11179, IMPORTRANGE(""https://docs.google.com/spreadsheets/d/1Lhp9OU0JdFf_VYSMzH5lBcEaU4o8teT1piV-SNzShjg/edit?gid=554141278#gid=554141278"", ""'Char Def. - Attributes'!C20:C2242""), 1,false)"),"ALT_DENUM_UOM3")</f>
        <v>ALT_DENUM_UOM3</v>
      </c>
      <c r="I11179" s="136"/>
      <c r="R11179" s="63" t="str">
        <f t="shared" si="60"/>
        <v>ZSI1_MISC_FASTENERALT_DENUM_UOM3</v>
      </c>
    </row>
    <row r="11180" ht="15.75" customHeight="1">
      <c r="B11180" s="63">
        <f t="shared" si="1"/>
        <v>18</v>
      </c>
      <c r="C11180" s="135" t="s">
        <v>521</v>
      </c>
      <c r="D11180" s="161" t="s">
        <v>74</v>
      </c>
      <c r="E11180" s="135">
        <f t="shared" si="62"/>
        <v>24</v>
      </c>
      <c r="F11180" s="134" t="s">
        <v>3812</v>
      </c>
      <c r="G11180" s="63" t="str">
        <f>VLOOKUP(C11180, 'Class Def. - General Data'!$C$20:$C$1000,1,false)</f>
        <v>ZSI1_MISC_FASTENER</v>
      </c>
      <c r="H11180" s="63" t="str">
        <f>IFERROR(__xludf.DUMMYFUNCTION("VLOOKUP(F11180, IMPORTRANGE(""https://docs.google.com/spreadsheets/d/1Lhp9OU0JdFf_VYSMzH5lBcEaU4o8teT1piV-SNzShjg/edit?gid=554141278#gid=554141278"", ""'Char Def. - Attributes'!C20:C2242""), 1,false)"),"ALT_NUM_UOM3")</f>
        <v>ALT_NUM_UOM3</v>
      </c>
      <c r="I11180" s="136"/>
      <c r="R11180" s="63" t="str">
        <f t="shared" si="60"/>
        <v>ZSI1_MISC_FASTENERALT_NUM_UOM3</v>
      </c>
    </row>
    <row r="11181" ht="15.75" customHeight="1">
      <c r="B11181" s="63">
        <f t="shared" si="1"/>
        <v>18</v>
      </c>
      <c r="C11181" s="135" t="s">
        <v>521</v>
      </c>
      <c r="D11181" s="161" t="s">
        <v>74</v>
      </c>
      <c r="E11181" s="135">
        <f t="shared" si="62"/>
        <v>25</v>
      </c>
      <c r="F11181" s="134" t="s">
        <v>3813</v>
      </c>
      <c r="G11181" s="63" t="str">
        <f>VLOOKUP(C11181, 'Class Def. - General Data'!$C$20:$C$1000,1,false)</f>
        <v>ZSI1_MISC_FASTENER</v>
      </c>
      <c r="H11181" s="63" t="str">
        <f>IFERROR(__xludf.DUMMYFUNCTION("VLOOKUP(F11181, IMPORTRANGE(""https://docs.google.com/spreadsheets/d/1Lhp9OU0JdFf_VYSMzH5lBcEaU4o8teT1piV-SNzShjg/edit?gid=554141278#gid=554141278"", ""'Char Def. - Attributes'!C20:C2242""), 1,false)"),"ALT_UOM4_SIPI")</f>
        <v>ALT_UOM4_SIPI</v>
      </c>
      <c r="I11181" s="136"/>
      <c r="R11181" s="63" t="str">
        <f t="shared" si="60"/>
        <v>ZSI1_MISC_FASTENERALT_UOM4_SIPI</v>
      </c>
    </row>
    <row r="11182" ht="15.75" customHeight="1">
      <c r="B11182" s="63">
        <f t="shared" si="1"/>
        <v>18</v>
      </c>
      <c r="C11182" s="135" t="s">
        <v>521</v>
      </c>
      <c r="D11182" s="161" t="s">
        <v>74</v>
      </c>
      <c r="E11182" s="135">
        <f t="shared" si="62"/>
        <v>26</v>
      </c>
      <c r="F11182" s="134" t="s">
        <v>3814</v>
      </c>
      <c r="G11182" s="63" t="str">
        <f>VLOOKUP(C11182, 'Class Def. - General Data'!$C$20:$C$1000,1,false)</f>
        <v>ZSI1_MISC_FASTENER</v>
      </c>
      <c r="H11182" s="63" t="str">
        <f>IFERROR(__xludf.DUMMYFUNCTION("VLOOKUP(F11182, IMPORTRANGE(""https://docs.google.com/spreadsheets/d/1Lhp9OU0JdFf_VYSMzH5lBcEaU4o8teT1piV-SNzShjg/edit?gid=554141278#gid=554141278"", ""'Char Def. - Attributes'!C20:C2242""), 1,false)"),"ALT_DENUM_UOM4")</f>
        <v>ALT_DENUM_UOM4</v>
      </c>
      <c r="I11182" s="136"/>
      <c r="R11182" s="63" t="str">
        <f t="shared" si="60"/>
        <v>ZSI1_MISC_FASTENERALT_DENUM_UOM4</v>
      </c>
    </row>
    <row r="11183" ht="15.75" customHeight="1">
      <c r="B11183" s="63">
        <f t="shared" si="1"/>
        <v>18</v>
      </c>
      <c r="C11183" s="135" t="s">
        <v>521</v>
      </c>
      <c r="D11183" s="161" t="s">
        <v>74</v>
      </c>
      <c r="E11183" s="135">
        <f t="shared" si="62"/>
        <v>27</v>
      </c>
      <c r="F11183" s="134" t="s">
        <v>3815</v>
      </c>
      <c r="G11183" s="63" t="str">
        <f>VLOOKUP(C11183, 'Class Def. - General Data'!$C$20:$C$1000,1,false)</f>
        <v>ZSI1_MISC_FASTENER</v>
      </c>
      <c r="H11183" s="63" t="str">
        <f>IFERROR(__xludf.DUMMYFUNCTION("VLOOKUP(F11183, IMPORTRANGE(""https://docs.google.com/spreadsheets/d/1Lhp9OU0JdFf_VYSMzH5lBcEaU4o8teT1piV-SNzShjg/edit?gid=554141278#gid=554141278"", ""'Char Def. - Attributes'!C20:C2242""), 1,false)"),"ALT_NUM_UOM4")</f>
        <v>ALT_NUM_UOM4</v>
      </c>
      <c r="I11183" s="136"/>
      <c r="R11183" s="63" t="str">
        <f t="shared" si="60"/>
        <v>ZSI1_MISC_FASTENERALT_NUM_UOM4</v>
      </c>
    </row>
    <row r="11184" ht="15.75" customHeight="1">
      <c r="B11184" s="63">
        <f t="shared" si="1"/>
        <v>18</v>
      </c>
      <c r="C11184" s="135" t="s">
        <v>521</v>
      </c>
      <c r="D11184" s="161" t="s">
        <v>74</v>
      </c>
      <c r="E11184" s="135">
        <f t="shared" si="62"/>
        <v>28</v>
      </c>
      <c r="F11184" s="134" t="s">
        <v>3816</v>
      </c>
      <c r="G11184" s="63" t="str">
        <f>VLOOKUP(C11184, 'Class Def. - General Data'!$C$20:$C$1000,1,false)</f>
        <v>ZSI1_MISC_FASTENER</v>
      </c>
      <c r="H11184" s="63" t="str">
        <f>IFERROR(__xludf.DUMMYFUNCTION("VLOOKUP(F11184, IMPORTRANGE(""https://docs.google.com/spreadsheets/d/1Lhp9OU0JdFf_VYSMzH5lBcEaU4o8teT1piV-SNzShjg/edit?gid=554141278#gid=554141278"", ""'Char Def. - Attributes'!C20:C2242""), 1,false)"),"ALT_UOM5_SIPI")</f>
        <v>ALT_UOM5_SIPI</v>
      </c>
      <c r="I11184" s="136"/>
      <c r="R11184" s="63" t="str">
        <f t="shared" si="60"/>
        <v>ZSI1_MISC_FASTENERALT_UOM5_SIPI</v>
      </c>
    </row>
    <row r="11185" ht="15.75" customHeight="1">
      <c r="B11185" s="63">
        <f t="shared" si="1"/>
        <v>18</v>
      </c>
      <c r="C11185" s="135" t="s">
        <v>521</v>
      </c>
      <c r="D11185" s="161" t="s">
        <v>74</v>
      </c>
      <c r="E11185" s="135">
        <f t="shared" si="62"/>
        <v>29</v>
      </c>
      <c r="F11185" s="134" t="s">
        <v>3817</v>
      </c>
      <c r="G11185" s="63" t="str">
        <f>VLOOKUP(C11185, 'Class Def. - General Data'!$C$20:$C$1000,1,false)</f>
        <v>ZSI1_MISC_FASTENER</v>
      </c>
      <c r="H11185" s="63" t="str">
        <f>IFERROR(__xludf.DUMMYFUNCTION("VLOOKUP(F11185, IMPORTRANGE(""https://docs.google.com/spreadsheets/d/1Lhp9OU0JdFf_VYSMzH5lBcEaU4o8teT1piV-SNzShjg/edit?gid=554141278#gid=554141278"", ""'Char Def. - Attributes'!C20:C2242""), 1,false)"),"ALT_DENUM_UOM5")</f>
        <v>ALT_DENUM_UOM5</v>
      </c>
      <c r="I11185" s="136"/>
      <c r="R11185" s="63" t="str">
        <f t="shared" si="60"/>
        <v>ZSI1_MISC_FASTENERALT_DENUM_UOM5</v>
      </c>
    </row>
    <row r="11186" ht="15.75" customHeight="1">
      <c r="B11186" s="63">
        <f t="shared" si="1"/>
        <v>18</v>
      </c>
      <c r="C11186" s="135" t="s">
        <v>521</v>
      </c>
      <c r="D11186" s="161" t="s">
        <v>74</v>
      </c>
      <c r="E11186" s="135">
        <f t="shared" si="62"/>
        <v>30</v>
      </c>
      <c r="F11186" s="134" t="s">
        <v>3818</v>
      </c>
      <c r="G11186" s="63" t="str">
        <f>VLOOKUP(C11186, 'Class Def. - General Data'!$C$20:$C$1000,1,false)</f>
        <v>ZSI1_MISC_FASTENER</v>
      </c>
      <c r="H11186" s="63" t="str">
        <f>IFERROR(__xludf.DUMMYFUNCTION("VLOOKUP(F11186, IMPORTRANGE(""https://docs.google.com/spreadsheets/d/1Lhp9OU0JdFf_VYSMzH5lBcEaU4o8teT1piV-SNzShjg/edit?gid=554141278#gid=554141278"", ""'Char Def. - Attributes'!C20:C2242""), 1,false)"),"ALT_NUM_UOM5")</f>
        <v>ALT_NUM_UOM5</v>
      </c>
      <c r="I11186" s="136"/>
      <c r="R11186" s="63" t="str">
        <f t="shared" si="60"/>
        <v>ZSI1_MISC_FASTENERALT_NUM_UOM5</v>
      </c>
    </row>
    <row r="11187" ht="15.75" customHeight="1">
      <c r="B11187" s="63">
        <f t="shared" si="1"/>
        <v>12</v>
      </c>
      <c r="C11187" s="135" t="s">
        <v>522</v>
      </c>
      <c r="D11187" s="161" t="s">
        <v>74</v>
      </c>
      <c r="E11187" s="135">
        <f t="shared" si="62"/>
        <v>1</v>
      </c>
      <c r="F11187" s="134" t="s">
        <v>4891</v>
      </c>
      <c r="G11187" s="63" t="str">
        <f>VLOOKUP(C11187, 'Class Def. - General Data'!$C$20:$C$1000,1,false)</f>
        <v>ZSI1_MIX_EQP</v>
      </c>
      <c r="H11187" s="63" t="str">
        <f>IFERROR(__xludf.DUMMYFUNCTION("VLOOKUP(F11187, IMPORTRANGE(""https://docs.google.com/spreadsheets/d/1Lhp9OU0JdFf_VYSMzH5lBcEaU4o8teT1piV-SNzShjg/edit?gid=554141278#gid=554141278"", ""'Char Def. - Attributes'!C20:C2242""), 1,false)"),"ITEM_NAME_MIX_EQP")</f>
        <v>ITEM_NAME_MIX_EQP</v>
      </c>
      <c r="I11187" s="136"/>
      <c r="R11187" s="63" t="str">
        <f t="shared" si="60"/>
        <v>ZSI1_MIX_EQPITEM_NAME_MIX_EQP</v>
      </c>
    </row>
    <row r="11188" ht="15.75" customHeight="1">
      <c r="B11188" s="63">
        <f t="shared" si="1"/>
        <v>12</v>
      </c>
      <c r="C11188" s="135" t="s">
        <v>522</v>
      </c>
      <c r="D11188" s="161" t="s">
        <v>74</v>
      </c>
      <c r="E11188" s="135">
        <f t="shared" si="62"/>
        <v>2</v>
      </c>
      <c r="F11188" s="134" t="s">
        <v>4892</v>
      </c>
      <c r="G11188" s="63" t="str">
        <f>VLOOKUP(C11188, 'Class Def. - General Data'!$C$20:$C$1000,1,false)</f>
        <v>ZSI1_MIX_EQP</v>
      </c>
      <c r="H11188" s="63" t="str">
        <f>IFERROR(__xludf.DUMMYFUNCTION("VLOOKUP(F11188, IMPORTRANGE(""https://docs.google.com/spreadsheets/d/1Lhp9OU0JdFf_VYSMzH5lBcEaU4o8teT1piV-SNzShjg/edit?gid=554141278#gid=554141278"", ""'Char Def. - Attributes'!C20:C2242""), 1,false)"),"MFR_NO_MIX_EQP")</f>
        <v>MFR_NO_MIX_EQP</v>
      </c>
      <c r="I11188" s="136"/>
      <c r="R11188" s="63" t="str">
        <f t="shared" si="60"/>
        <v>ZSI1_MIX_EQPMFR_NO_MIX_EQP</v>
      </c>
    </row>
    <row r="11189" ht="15.75" customHeight="1">
      <c r="B11189" s="63">
        <f t="shared" si="1"/>
        <v>12</v>
      </c>
      <c r="C11189" s="135" t="s">
        <v>522</v>
      </c>
      <c r="D11189" s="161" t="s">
        <v>74</v>
      </c>
      <c r="E11189" s="135">
        <f t="shared" si="62"/>
        <v>3</v>
      </c>
      <c r="F11189" s="134" t="s">
        <v>3782</v>
      </c>
      <c r="G11189" s="63" t="str">
        <f>VLOOKUP(C11189, 'Class Def. - General Data'!$C$20:$C$1000,1,false)</f>
        <v>ZSI1_MIX_EQP</v>
      </c>
      <c r="H11189" s="63" t="str">
        <f>IFERROR(__xludf.DUMMYFUNCTION("VLOOKUP(F11189, IMPORTRANGE(""https://docs.google.com/spreadsheets/d/1Lhp9OU0JdFf_VYSMzH5lBcEaU4o8teT1piV-SNzShjg/edit?gid=554141278#gid=554141278"", ""'Char Def. - Attributes'!C20:C2242""), 1,false)"),"BRAND_EXTERNAL")</f>
        <v>BRAND_EXTERNAL</v>
      </c>
      <c r="I11189" s="136"/>
      <c r="R11189" s="63" t="str">
        <f t="shared" si="60"/>
        <v>ZSI1_MIX_EQPBRAND_EXTERNAL</v>
      </c>
    </row>
    <row r="11190" ht="15.75" customHeight="1">
      <c r="B11190" s="63">
        <f t="shared" si="1"/>
        <v>12</v>
      </c>
      <c r="C11190" s="135" t="s">
        <v>522</v>
      </c>
      <c r="D11190" s="161" t="s">
        <v>74</v>
      </c>
      <c r="E11190" s="135">
        <f t="shared" si="62"/>
        <v>4</v>
      </c>
      <c r="F11190" s="134" t="s">
        <v>4893</v>
      </c>
      <c r="G11190" s="63" t="str">
        <f>VLOOKUP(C11190, 'Class Def. - General Data'!$C$20:$C$1000,1,false)</f>
        <v>ZSI1_MIX_EQP</v>
      </c>
      <c r="H11190" s="63" t="str">
        <f>IFERROR(__xludf.DUMMYFUNCTION("VLOOKUP(F11190, IMPORTRANGE(""https://docs.google.com/spreadsheets/d/1Lhp9OU0JdFf_VYSMzH5lBcEaU4o8teT1piV-SNzShjg/edit?gid=554141278#gid=554141278"", ""'Char Def. - Attributes'!C20:C2242""), 1,false)"),"SPEC_MIX_EQP")</f>
        <v>SPEC_MIX_EQP</v>
      </c>
      <c r="I11190" s="136"/>
      <c r="R11190" s="63" t="str">
        <f t="shared" si="60"/>
        <v>ZSI1_MIX_EQPSPEC_MIX_EQP</v>
      </c>
    </row>
    <row r="11191" ht="15.75" customHeight="1">
      <c r="B11191" s="63">
        <f t="shared" si="1"/>
        <v>12</v>
      </c>
      <c r="C11191" s="135" t="s">
        <v>522</v>
      </c>
      <c r="D11191" s="161" t="s">
        <v>74</v>
      </c>
      <c r="E11191" s="135">
        <f t="shared" si="62"/>
        <v>5</v>
      </c>
      <c r="F11191" s="134" t="s">
        <v>4053</v>
      </c>
      <c r="G11191" s="63" t="str">
        <f>VLOOKUP(C11191, 'Class Def. - General Data'!$C$20:$C$1000,1,false)</f>
        <v>ZSI1_MIX_EQP</v>
      </c>
      <c r="H11191" s="63" t="str">
        <f>IFERROR(__xludf.DUMMYFUNCTION("VLOOKUP(F11191, IMPORTRANGE(""https://docs.google.com/spreadsheets/d/1Lhp9OU0JdFf_VYSMzH5lBcEaU4o8teT1piV-SNzShjg/edit?gid=554141278#gid=554141278"", ""'Char Def. - Attributes'!C20:C2242""), 1,false)"),"MAINTENANCE_ORDER_TYPE")</f>
        <v>MAINTENANCE_ORDER_TYPE</v>
      </c>
      <c r="I11191" s="136"/>
      <c r="R11191" s="63" t="str">
        <f t="shared" si="60"/>
        <v>ZSI1_MIX_EQPMAINTENANCE_ORDER_TYPE</v>
      </c>
    </row>
    <row r="11192" ht="15.75" customHeight="1">
      <c r="B11192" s="63">
        <f t="shared" si="1"/>
        <v>12</v>
      </c>
      <c r="C11192" s="135" t="s">
        <v>522</v>
      </c>
      <c r="D11192" s="161" t="s">
        <v>74</v>
      </c>
      <c r="E11192" s="135">
        <f t="shared" si="62"/>
        <v>6</v>
      </c>
      <c r="F11192" s="134" t="s">
        <v>3585</v>
      </c>
      <c r="G11192" s="63" t="str">
        <f>VLOOKUP(C11192, 'Class Def. - General Data'!$C$20:$C$1000,1,false)</f>
        <v>ZSI1_MIX_EQP</v>
      </c>
      <c r="H11192" s="63" t="str">
        <f>IFERROR(__xludf.DUMMYFUNCTION("VLOOKUP(F11192, IMPORTRANGE(""https://docs.google.com/spreadsheets/d/1Lhp9OU0JdFf_VYSMzH5lBcEaU4o8teT1piV-SNzShjg/edit?gid=554141278#gid=554141278"", ""'Char Def. - Attributes'!C20:C2242""), 1,false)"),"HS_CODE")</f>
        <v>HS_CODE</v>
      </c>
      <c r="I11192" s="136"/>
      <c r="R11192" s="63" t="str">
        <f t="shared" si="60"/>
        <v>ZSI1_MIX_EQPHS_CODE</v>
      </c>
    </row>
    <row r="11193" ht="15.75" customHeight="1">
      <c r="B11193" s="63">
        <f t="shared" si="1"/>
        <v>12</v>
      </c>
      <c r="C11193" s="135" t="s">
        <v>522</v>
      </c>
      <c r="D11193" s="161" t="s">
        <v>74</v>
      </c>
      <c r="E11193" s="135">
        <f t="shared" si="62"/>
        <v>7</v>
      </c>
      <c r="F11193" s="134" t="s">
        <v>3587</v>
      </c>
      <c r="G11193" s="63" t="str">
        <f>VLOOKUP(C11193, 'Class Def. - General Data'!$C$20:$C$1000,1,false)</f>
        <v>ZSI1_MIX_EQP</v>
      </c>
      <c r="H11193" s="63" t="str">
        <f>IFERROR(__xludf.DUMMYFUNCTION("VLOOKUP(F11193, IMPORTRANGE(""https://docs.google.com/spreadsheets/d/1Lhp9OU0JdFf_VYSMzH5lBcEaU4o8teT1piV-SNzShjg/edit?gid=554141278#gid=554141278"", ""'Char Def. - Attributes'!C20:C2242""), 1,false)"),"PLANT_BUY")</f>
        <v>PLANT_BUY</v>
      </c>
      <c r="I11193" s="136"/>
      <c r="R11193" s="63" t="str">
        <f t="shared" si="60"/>
        <v>ZSI1_MIX_EQPPLANT_BUY</v>
      </c>
    </row>
    <row r="11194" ht="15.75" customHeight="1">
      <c r="B11194" s="63">
        <f t="shared" si="1"/>
        <v>12</v>
      </c>
      <c r="C11194" s="135" t="s">
        <v>522</v>
      </c>
      <c r="D11194" s="161" t="s">
        <v>74</v>
      </c>
      <c r="E11194" s="135">
        <f t="shared" si="62"/>
        <v>8</v>
      </c>
      <c r="F11194" s="134" t="s">
        <v>4894</v>
      </c>
      <c r="G11194" s="63" t="str">
        <f>VLOOKUP(C11194, 'Class Def. - General Data'!$C$20:$C$1000,1,false)</f>
        <v>ZSI1_MIX_EQP</v>
      </c>
      <c r="H11194" s="63" t="str">
        <f>IFERROR(__xludf.DUMMYFUNCTION("VLOOKUP(F11194, IMPORTRANGE(""https://docs.google.com/spreadsheets/d/1Lhp9OU0JdFf_VYSMzH5lBcEaU4o8teT1piV-SNzShjg/edit?gid=554141278#gid=554141278"", ""'Char Def. - Attributes'!C20:C2242""), 1,false)"),"BASE_UOM_MIX_EQP")</f>
        <v>BASE_UOM_MIX_EQP</v>
      </c>
      <c r="I11194" s="136"/>
      <c r="R11194" s="63" t="str">
        <f t="shared" si="60"/>
        <v>ZSI1_MIX_EQPBASE_UOM_MIX_EQP</v>
      </c>
    </row>
    <row r="11195" ht="15.75" customHeight="1">
      <c r="B11195" s="63">
        <f t="shared" si="1"/>
        <v>12</v>
      </c>
      <c r="C11195" s="135" t="s">
        <v>522</v>
      </c>
      <c r="D11195" s="161" t="s">
        <v>74</v>
      </c>
      <c r="E11195" s="135">
        <f t="shared" si="62"/>
        <v>9</v>
      </c>
      <c r="F11195" s="134" t="s">
        <v>4895</v>
      </c>
      <c r="G11195" s="63" t="str">
        <f>VLOOKUP(C11195, 'Class Def. - General Data'!$C$20:$C$1000,1,false)</f>
        <v>ZSI1_MIX_EQP</v>
      </c>
      <c r="H11195" s="63" t="str">
        <f>IFERROR(__xludf.DUMMYFUNCTION("VLOOKUP(F11195, IMPORTRANGE(""https://docs.google.com/spreadsheets/d/1Lhp9OU0JdFf_VYSMzH5lBcEaU4o8teT1piV-SNzShjg/edit?gid=554141278#gid=554141278"", ""'Char Def. - Attributes'!C20:C2242""), 1,false)"),"ORDER_UNIT_MIX_EQP")</f>
        <v>ORDER_UNIT_MIX_EQP</v>
      </c>
      <c r="I11195" s="136"/>
      <c r="R11195" s="63" t="str">
        <f t="shared" si="60"/>
        <v>ZSI1_MIX_EQPORDER_UNIT_MIX_EQP</v>
      </c>
    </row>
    <row r="11196" ht="15.75" customHeight="1">
      <c r="B11196" s="63">
        <f t="shared" si="1"/>
        <v>12</v>
      </c>
      <c r="C11196" s="135" t="s">
        <v>522</v>
      </c>
      <c r="D11196" s="161" t="s">
        <v>74</v>
      </c>
      <c r="E11196" s="135">
        <f t="shared" si="62"/>
        <v>10</v>
      </c>
      <c r="F11196" s="134" t="s">
        <v>4056</v>
      </c>
      <c r="G11196" s="63" t="str">
        <f>VLOOKUP(C11196, 'Class Def. - General Data'!$C$20:$C$1000,1,false)</f>
        <v>ZSI1_MIX_EQP</v>
      </c>
      <c r="H11196" s="63" t="str">
        <f>IFERROR(__xludf.DUMMYFUNCTION("VLOOKUP(F11196, IMPORTRANGE(""https://docs.google.com/spreadsheets/d/1Lhp9OU0JdFf_VYSMzH5lBcEaU4o8teT1piV-SNzShjg/edit?gid=554141278#gid=554141278"", ""'Char Def. - Attributes'!C20:C2242""), 1,false)"),"GROSS_WEIGHT_OPT")</f>
        <v>GROSS_WEIGHT_OPT</v>
      </c>
      <c r="I11196" s="136"/>
      <c r="R11196" s="63" t="str">
        <f t="shared" si="60"/>
        <v>ZSI1_MIX_EQPGROSS_WEIGHT_OPT</v>
      </c>
    </row>
    <row r="11197" ht="15.75" customHeight="1">
      <c r="B11197" s="63">
        <f t="shared" si="1"/>
        <v>12</v>
      </c>
      <c r="C11197" s="135" t="s">
        <v>522</v>
      </c>
      <c r="D11197" s="161" t="s">
        <v>74</v>
      </c>
      <c r="E11197" s="135">
        <f t="shared" si="62"/>
        <v>11</v>
      </c>
      <c r="F11197" s="134" t="s">
        <v>4057</v>
      </c>
      <c r="G11197" s="63" t="str">
        <f>VLOOKUP(C11197, 'Class Def. - General Data'!$C$20:$C$1000,1,false)</f>
        <v>ZSI1_MIX_EQP</v>
      </c>
      <c r="H11197" s="63" t="str">
        <f>IFERROR(__xludf.DUMMYFUNCTION("VLOOKUP(F11197, IMPORTRANGE(""https://docs.google.com/spreadsheets/d/1Lhp9OU0JdFf_VYSMzH5lBcEaU4o8teT1piV-SNzShjg/edit?gid=554141278#gid=554141278"", ""'Char Def. - Attributes'!C20:C2242""), 1,false)"),"NET_WEIGHT_OPT")</f>
        <v>NET_WEIGHT_OPT</v>
      </c>
      <c r="I11197" s="136"/>
      <c r="R11197" s="63" t="str">
        <f t="shared" si="60"/>
        <v>ZSI1_MIX_EQPNET_WEIGHT_OPT</v>
      </c>
    </row>
    <row r="11198" ht="15.75" customHeight="1">
      <c r="B11198" s="63">
        <f t="shared" si="1"/>
        <v>12</v>
      </c>
      <c r="C11198" s="135" t="s">
        <v>522</v>
      </c>
      <c r="D11198" s="161" t="s">
        <v>74</v>
      </c>
      <c r="E11198" s="135">
        <f t="shared" si="62"/>
        <v>12</v>
      </c>
      <c r="F11198" s="134" t="s">
        <v>4058</v>
      </c>
      <c r="G11198" s="63" t="str">
        <f>VLOOKUP(C11198, 'Class Def. - General Data'!$C$20:$C$1000,1,false)</f>
        <v>ZSI1_MIX_EQP</v>
      </c>
      <c r="H11198" s="63" t="str">
        <f>IFERROR(__xludf.DUMMYFUNCTION("VLOOKUP(F11198, IMPORTRANGE(""https://docs.google.com/spreadsheets/d/1Lhp9OU0JdFf_VYSMzH5lBcEaU4o8teT1piV-SNzShjg/edit?gid=554141278#gid=554141278"", ""'Char Def. - Attributes'!C20:C2242""), 1,false)"),"WEIGHT_UNIT_SI")</f>
        <v>WEIGHT_UNIT_SI</v>
      </c>
      <c r="I11198" s="136"/>
      <c r="R11198" s="63" t="str">
        <f t="shared" si="60"/>
        <v>ZSI1_MIX_EQPWEIGHT_UNIT_SI</v>
      </c>
    </row>
    <row r="11199" ht="15.75" customHeight="1">
      <c r="B11199" s="63">
        <f t="shared" si="1"/>
        <v>12</v>
      </c>
      <c r="C11199" s="135" t="s">
        <v>522</v>
      </c>
      <c r="D11199" s="161" t="s">
        <v>74</v>
      </c>
      <c r="E11199" s="135">
        <f t="shared" si="62"/>
        <v>13</v>
      </c>
      <c r="F11199" s="134" t="s">
        <v>3877</v>
      </c>
      <c r="G11199" s="63" t="str">
        <f>VLOOKUP(C11199, 'Class Def. - General Data'!$C$20:$C$1000,1,false)</f>
        <v>ZSI1_MIX_EQP</v>
      </c>
      <c r="H11199" s="63" t="str">
        <f>IFERROR(__xludf.DUMMYFUNCTION("VLOOKUP(F11199, IMPORTRANGE(""https://docs.google.com/spreadsheets/d/1Lhp9OU0JdFf_VYSMzH5lBcEaU4o8teT1piV-SNzShjg/edit?gid=554141278#gid=554141278"", ""'Char Def. - Attributes'!C20:C2242""), 1,false)"),"VOLUME_OPT")</f>
        <v>VOLUME_OPT</v>
      </c>
      <c r="I11199" s="136"/>
      <c r="R11199" s="63" t="str">
        <f t="shared" si="60"/>
        <v>ZSI1_MIX_EQPVOLUME_OPT</v>
      </c>
    </row>
    <row r="11200" ht="15.75" customHeight="1">
      <c r="B11200" s="63">
        <f t="shared" si="1"/>
        <v>12</v>
      </c>
      <c r="C11200" s="135" t="s">
        <v>522</v>
      </c>
      <c r="D11200" s="161" t="s">
        <v>74</v>
      </c>
      <c r="E11200" s="135">
        <f t="shared" si="62"/>
        <v>14</v>
      </c>
      <c r="F11200" s="134" t="s">
        <v>4059</v>
      </c>
      <c r="G11200" s="63" t="str">
        <f>VLOOKUP(C11200, 'Class Def. - General Data'!$C$20:$C$1000,1,false)</f>
        <v>ZSI1_MIX_EQP</v>
      </c>
      <c r="H11200" s="63" t="str">
        <f>IFERROR(__xludf.DUMMYFUNCTION("VLOOKUP(F11200, IMPORTRANGE(""https://docs.google.com/spreadsheets/d/1Lhp9OU0JdFf_VYSMzH5lBcEaU4o8teT1piV-SNzShjg/edit?gid=554141278#gid=554141278"", ""'Char Def. - Attributes'!C20:C2242""), 1,false)"),"VOLUME_UNIT_SI")</f>
        <v>VOLUME_UNIT_SI</v>
      </c>
      <c r="I11200" s="136"/>
      <c r="R11200" s="63" t="str">
        <f t="shared" si="60"/>
        <v>ZSI1_MIX_EQPVOLUME_UNIT_SI</v>
      </c>
    </row>
    <row r="11201" ht="15.75" customHeight="1">
      <c r="B11201" s="63">
        <f t="shared" si="1"/>
        <v>12</v>
      </c>
      <c r="C11201" s="135" t="s">
        <v>522</v>
      </c>
      <c r="D11201" s="161" t="s">
        <v>74</v>
      </c>
      <c r="E11201" s="135">
        <f t="shared" si="62"/>
        <v>15</v>
      </c>
      <c r="F11201" s="134" t="s">
        <v>3804</v>
      </c>
      <c r="G11201" s="63" t="str">
        <f>VLOOKUP(C11201, 'Class Def. - General Data'!$C$20:$C$1000,1,false)</f>
        <v>ZSI1_MIX_EQP</v>
      </c>
      <c r="H11201" s="63" t="str">
        <f>IFERROR(__xludf.DUMMYFUNCTION("VLOOKUP(F11201, IMPORTRANGE(""https://docs.google.com/spreadsheets/d/1Lhp9OU0JdFf_VYSMzH5lBcEaU4o8teT1piV-SNzShjg/edit?gid=554141278#gid=554141278"", ""'Char Def. - Attributes'!C20:C2242""), 1,false)"),"ALT_UOM1_SIPI")</f>
        <v>ALT_UOM1_SIPI</v>
      </c>
      <c r="I11201" s="136"/>
      <c r="R11201" s="63" t="str">
        <f t="shared" si="60"/>
        <v>ZSI1_MIX_EQPALT_UOM1_SIPI</v>
      </c>
    </row>
    <row r="11202" ht="15.75" customHeight="1">
      <c r="B11202" s="63">
        <f t="shared" si="1"/>
        <v>12</v>
      </c>
      <c r="C11202" s="135" t="s">
        <v>522</v>
      </c>
      <c r="D11202" s="161" t="s">
        <v>74</v>
      </c>
      <c r="E11202" s="135">
        <f t="shared" si="62"/>
        <v>16</v>
      </c>
      <c r="F11202" s="134" t="s">
        <v>3805</v>
      </c>
      <c r="G11202" s="63" t="str">
        <f>VLOOKUP(C11202, 'Class Def. - General Data'!$C$20:$C$1000,1,false)</f>
        <v>ZSI1_MIX_EQP</v>
      </c>
      <c r="H11202" s="63" t="str">
        <f>IFERROR(__xludf.DUMMYFUNCTION("VLOOKUP(F11202, IMPORTRANGE(""https://docs.google.com/spreadsheets/d/1Lhp9OU0JdFf_VYSMzH5lBcEaU4o8teT1piV-SNzShjg/edit?gid=554141278#gid=554141278"", ""'Char Def. - Attributes'!C20:C2242""), 1,false)"),"ALT_DENUM_UOM1")</f>
        <v>ALT_DENUM_UOM1</v>
      </c>
      <c r="I11202" s="136"/>
      <c r="R11202" s="63" t="str">
        <f t="shared" si="60"/>
        <v>ZSI1_MIX_EQPALT_DENUM_UOM1</v>
      </c>
    </row>
    <row r="11203" ht="15.75" customHeight="1">
      <c r="B11203" s="63">
        <f t="shared" si="1"/>
        <v>12</v>
      </c>
      <c r="C11203" s="135" t="s">
        <v>522</v>
      </c>
      <c r="D11203" s="161" t="s">
        <v>74</v>
      </c>
      <c r="E11203" s="135">
        <f t="shared" si="62"/>
        <v>17</v>
      </c>
      <c r="F11203" s="134" t="s">
        <v>3806</v>
      </c>
      <c r="G11203" s="63" t="str">
        <f>VLOOKUP(C11203, 'Class Def. - General Data'!$C$20:$C$1000,1,false)</f>
        <v>ZSI1_MIX_EQP</v>
      </c>
      <c r="H11203" s="63" t="str">
        <f>IFERROR(__xludf.DUMMYFUNCTION("VLOOKUP(F11203, IMPORTRANGE(""https://docs.google.com/spreadsheets/d/1Lhp9OU0JdFf_VYSMzH5lBcEaU4o8teT1piV-SNzShjg/edit?gid=554141278#gid=554141278"", ""'Char Def. - Attributes'!C20:C2242""), 1,false)"),"ALT_NUM_UOM1")</f>
        <v>ALT_NUM_UOM1</v>
      </c>
      <c r="I11203" s="136"/>
      <c r="R11203" s="63" t="str">
        <f t="shared" si="60"/>
        <v>ZSI1_MIX_EQPALT_NUM_UOM1</v>
      </c>
    </row>
    <row r="11204" ht="15.75" customHeight="1">
      <c r="B11204" s="63">
        <f t="shared" si="1"/>
        <v>12</v>
      </c>
      <c r="C11204" s="135" t="s">
        <v>522</v>
      </c>
      <c r="D11204" s="161" t="s">
        <v>74</v>
      </c>
      <c r="E11204" s="135">
        <f t="shared" si="62"/>
        <v>18</v>
      </c>
      <c r="F11204" s="134" t="s">
        <v>3807</v>
      </c>
      <c r="G11204" s="63" t="str">
        <f>VLOOKUP(C11204, 'Class Def. - General Data'!$C$20:$C$1000,1,false)</f>
        <v>ZSI1_MIX_EQP</v>
      </c>
      <c r="H11204" s="63" t="str">
        <f>IFERROR(__xludf.DUMMYFUNCTION("VLOOKUP(F11204, IMPORTRANGE(""https://docs.google.com/spreadsheets/d/1Lhp9OU0JdFf_VYSMzH5lBcEaU4o8teT1piV-SNzShjg/edit?gid=554141278#gid=554141278"", ""'Char Def. - Attributes'!C20:C2242""), 1,false)"),"ALT_UOM2_SIPI")</f>
        <v>ALT_UOM2_SIPI</v>
      </c>
      <c r="I11204" s="136"/>
      <c r="R11204" s="63" t="str">
        <f t="shared" si="60"/>
        <v>ZSI1_MIX_EQPALT_UOM2_SIPI</v>
      </c>
    </row>
    <row r="11205" ht="15.75" customHeight="1">
      <c r="B11205" s="63">
        <f t="shared" si="1"/>
        <v>12</v>
      </c>
      <c r="C11205" s="135" t="s">
        <v>522</v>
      </c>
      <c r="D11205" s="161" t="s">
        <v>74</v>
      </c>
      <c r="E11205" s="135">
        <f t="shared" si="62"/>
        <v>19</v>
      </c>
      <c r="F11205" s="134" t="s">
        <v>3808</v>
      </c>
      <c r="G11205" s="63" t="str">
        <f>VLOOKUP(C11205, 'Class Def. - General Data'!$C$20:$C$1000,1,false)</f>
        <v>ZSI1_MIX_EQP</v>
      </c>
      <c r="H11205" s="63" t="str">
        <f>IFERROR(__xludf.DUMMYFUNCTION("VLOOKUP(F11205, IMPORTRANGE(""https://docs.google.com/spreadsheets/d/1Lhp9OU0JdFf_VYSMzH5lBcEaU4o8teT1piV-SNzShjg/edit?gid=554141278#gid=554141278"", ""'Char Def. - Attributes'!C20:C2242""), 1,false)"),"ALT_DENUM_UOM2")</f>
        <v>ALT_DENUM_UOM2</v>
      </c>
      <c r="I11205" s="136"/>
      <c r="R11205" s="63" t="str">
        <f t="shared" si="60"/>
        <v>ZSI1_MIX_EQPALT_DENUM_UOM2</v>
      </c>
    </row>
    <row r="11206" ht="15.75" customHeight="1">
      <c r="B11206" s="63">
        <f t="shared" si="1"/>
        <v>12</v>
      </c>
      <c r="C11206" s="135" t="s">
        <v>522</v>
      </c>
      <c r="D11206" s="161" t="s">
        <v>74</v>
      </c>
      <c r="E11206" s="135">
        <f t="shared" si="62"/>
        <v>20</v>
      </c>
      <c r="F11206" s="134" t="s">
        <v>3809</v>
      </c>
      <c r="G11206" s="63" t="str">
        <f>VLOOKUP(C11206, 'Class Def. - General Data'!$C$20:$C$1000,1,false)</f>
        <v>ZSI1_MIX_EQP</v>
      </c>
      <c r="H11206" s="63" t="str">
        <f>IFERROR(__xludf.DUMMYFUNCTION("VLOOKUP(F11206, IMPORTRANGE(""https://docs.google.com/spreadsheets/d/1Lhp9OU0JdFf_VYSMzH5lBcEaU4o8teT1piV-SNzShjg/edit?gid=554141278#gid=554141278"", ""'Char Def. - Attributes'!C20:C2242""), 1,false)"),"ALT_NUM_UOM2")</f>
        <v>ALT_NUM_UOM2</v>
      </c>
      <c r="I11206" s="136"/>
      <c r="R11206" s="63" t="str">
        <f t="shared" si="60"/>
        <v>ZSI1_MIX_EQPALT_NUM_UOM2</v>
      </c>
    </row>
    <row r="11207" ht="15.75" customHeight="1">
      <c r="B11207" s="63">
        <f t="shared" si="1"/>
        <v>12</v>
      </c>
      <c r="C11207" s="135" t="s">
        <v>522</v>
      </c>
      <c r="D11207" s="161" t="s">
        <v>74</v>
      </c>
      <c r="E11207" s="135">
        <f t="shared" si="62"/>
        <v>21</v>
      </c>
      <c r="F11207" s="134" t="s">
        <v>3810</v>
      </c>
      <c r="G11207" s="63" t="str">
        <f>VLOOKUP(C11207, 'Class Def. - General Data'!$C$20:$C$1000,1,false)</f>
        <v>ZSI1_MIX_EQP</v>
      </c>
      <c r="H11207" s="63" t="str">
        <f>IFERROR(__xludf.DUMMYFUNCTION("VLOOKUP(F11207, IMPORTRANGE(""https://docs.google.com/spreadsheets/d/1Lhp9OU0JdFf_VYSMzH5lBcEaU4o8teT1piV-SNzShjg/edit?gid=554141278#gid=554141278"", ""'Char Def. - Attributes'!C20:C2242""), 1,false)"),"ALT_UOM3_SIPI")</f>
        <v>ALT_UOM3_SIPI</v>
      </c>
      <c r="I11207" s="136"/>
      <c r="R11207" s="63" t="str">
        <f t="shared" si="60"/>
        <v>ZSI1_MIX_EQPALT_UOM3_SIPI</v>
      </c>
    </row>
    <row r="11208" ht="15.75" customHeight="1">
      <c r="B11208" s="63">
        <f t="shared" si="1"/>
        <v>12</v>
      </c>
      <c r="C11208" s="135" t="s">
        <v>522</v>
      </c>
      <c r="D11208" s="161" t="s">
        <v>74</v>
      </c>
      <c r="E11208" s="135">
        <f t="shared" si="62"/>
        <v>22</v>
      </c>
      <c r="F11208" s="134" t="s">
        <v>3811</v>
      </c>
      <c r="G11208" s="63" t="str">
        <f>VLOOKUP(C11208, 'Class Def. - General Data'!$C$20:$C$1000,1,false)</f>
        <v>ZSI1_MIX_EQP</v>
      </c>
      <c r="H11208" s="63" t="str">
        <f>IFERROR(__xludf.DUMMYFUNCTION("VLOOKUP(F11208, IMPORTRANGE(""https://docs.google.com/spreadsheets/d/1Lhp9OU0JdFf_VYSMzH5lBcEaU4o8teT1piV-SNzShjg/edit?gid=554141278#gid=554141278"", ""'Char Def. - Attributes'!C20:C2242""), 1,false)"),"ALT_DENUM_UOM3")</f>
        <v>ALT_DENUM_UOM3</v>
      </c>
      <c r="I11208" s="136"/>
      <c r="R11208" s="63" t="str">
        <f t="shared" si="60"/>
        <v>ZSI1_MIX_EQPALT_DENUM_UOM3</v>
      </c>
    </row>
    <row r="11209" ht="15.75" customHeight="1">
      <c r="B11209" s="63">
        <f t="shared" si="1"/>
        <v>12</v>
      </c>
      <c r="C11209" s="135" t="s">
        <v>522</v>
      </c>
      <c r="D11209" s="161" t="s">
        <v>74</v>
      </c>
      <c r="E11209" s="135">
        <f t="shared" si="62"/>
        <v>23</v>
      </c>
      <c r="F11209" s="134" t="s">
        <v>3812</v>
      </c>
      <c r="G11209" s="63" t="str">
        <f>VLOOKUP(C11209, 'Class Def. - General Data'!$C$20:$C$1000,1,false)</f>
        <v>ZSI1_MIX_EQP</v>
      </c>
      <c r="H11209" s="63" t="str">
        <f>IFERROR(__xludf.DUMMYFUNCTION("VLOOKUP(F11209, IMPORTRANGE(""https://docs.google.com/spreadsheets/d/1Lhp9OU0JdFf_VYSMzH5lBcEaU4o8teT1piV-SNzShjg/edit?gid=554141278#gid=554141278"", ""'Char Def. - Attributes'!C20:C2242""), 1,false)"),"ALT_NUM_UOM3")</f>
        <v>ALT_NUM_UOM3</v>
      </c>
      <c r="I11209" s="136"/>
      <c r="R11209" s="63" t="str">
        <f t="shared" si="60"/>
        <v>ZSI1_MIX_EQPALT_NUM_UOM3</v>
      </c>
    </row>
    <row r="11210" ht="15.75" customHeight="1">
      <c r="B11210" s="63">
        <f t="shared" si="1"/>
        <v>12</v>
      </c>
      <c r="C11210" s="135" t="s">
        <v>522</v>
      </c>
      <c r="D11210" s="161" t="s">
        <v>74</v>
      </c>
      <c r="E11210" s="135">
        <f t="shared" si="62"/>
        <v>24</v>
      </c>
      <c r="F11210" s="134" t="s">
        <v>3813</v>
      </c>
      <c r="G11210" s="63" t="str">
        <f>VLOOKUP(C11210, 'Class Def. - General Data'!$C$20:$C$1000,1,false)</f>
        <v>ZSI1_MIX_EQP</v>
      </c>
      <c r="H11210" s="63" t="str">
        <f>IFERROR(__xludf.DUMMYFUNCTION("VLOOKUP(F11210, IMPORTRANGE(""https://docs.google.com/spreadsheets/d/1Lhp9OU0JdFf_VYSMzH5lBcEaU4o8teT1piV-SNzShjg/edit?gid=554141278#gid=554141278"", ""'Char Def. - Attributes'!C20:C2242""), 1,false)"),"ALT_UOM4_SIPI")</f>
        <v>ALT_UOM4_SIPI</v>
      </c>
      <c r="I11210" s="136"/>
      <c r="R11210" s="63" t="str">
        <f t="shared" si="60"/>
        <v>ZSI1_MIX_EQPALT_UOM4_SIPI</v>
      </c>
    </row>
    <row r="11211" ht="15.75" customHeight="1">
      <c r="B11211" s="63">
        <f t="shared" si="1"/>
        <v>12</v>
      </c>
      <c r="C11211" s="135" t="s">
        <v>522</v>
      </c>
      <c r="D11211" s="161" t="s">
        <v>74</v>
      </c>
      <c r="E11211" s="135">
        <f t="shared" si="62"/>
        <v>25</v>
      </c>
      <c r="F11211" s="134" t="s">
        <v>3814</v>
      </c>
      <c r="G11211" s="63" t="str">
        <f>VLOOKUP(C11211, 'Class Def. - General Data'!$C$20:$C$1000,1,false)</f>
        <v>ZSI1_MIX_EQP</v>
      </c>
      <c r="H11211" s="63" t="str">
        <f>IFERROR(__xludf.DUMMYFUNCTION("VLOOKUP(F11211, IMPORTRANGE(""https://docs.google.com/spreadsheets/d/1Lhp9OU0JdFf_VYSMzH5lBcEaU4o8teT1piV-SNzShjg/edit?gid=554141278#gid=554141278"", ""'Char Def. - Attributes'!C20:C2242""), 1,false)"),"ALT_DENUM_UOM4")</f>
        <v>ALT_DENUM_UOM4</v>
      </c>
      <c r="I11211" s="136"/>
      <c r="R11211" s="63" t="str">
        <f t="shared" si="60"/>
        <v>ZSI1_MIX_EQPALT_DENUM_UOM4</v>
      </c>
    </row>
    <row r="11212" ht="15.75" customHeight="1">
      <c r="B11212" s="63">
        <f t="shared" si="1"/>
        <v>12</v>
      </c>
      <c r="C11212" s="135" t="s">
        <v>522</v>
      </c>
      <c r="D11212" s="161" t="s">
        <v>74</v>
      </c>
      <c r="E11212" s="135">
        <f t="shared" si="62"/>
        <v>26</v>
      </c>
      <c r="F11212" s="134" t="s">
        <v>3815</v>
      </c>
      <c r="G11212" s="63" t="str">
        <f>VLOOKUP(C11212, 'Class Def. - General Data'!$C$20:$C$1000,1,false)</f>
        <v>ZSI1_MIX_EQP</v>
      </c>
      <c r="H11212" s="63" t="str">
        <f>IFERROR(__xludf.DUMMYFUNCTION("VLOOKUP(F11212, IMPORTRANGE(""https://docs.google.com/spreadsheets/d/1Lhp9OU0JdFf_VYSMzH5lBcEaU4o8teT1piV-SNzShjg/edit?gid=554141278#gid=554141278"", ""'Char Def. - Attributes'!C20:C2242""), 1,false)"),"ALT_NUM_UOM4")</f>
        <v>ALT_NUM_UOM4</v>
      </c>
      <c r="I11212" s="136"/>
      <c r="R11212" s="63" t="str">
        <f t="shared" si="60"/>
        <v>ZSI1_MIX_EQPALT_NUM_UOM4</v>
      </c>
    </row>
    <row r="11213" ht="15.75" customHeight="1">
      <c r="B11213" s="63">
        <f t="shared" si="1"/>
        <v>12</v>
      </c>
      <c r="C11213" s="135" t="s">
        <v>522</v>
      </c>
      <c r="D11213" s="161" t="s">
        <v>74</v>
      </c>
      <c r="E11213" s="135">
        <f t="shared" si="62"/>
        <v>27</v>
      </c>
      <c r="F11213" s="134" t="s">
        <v>3816</v>
      </c>
      <c r="G11213" s="63" t="str">
        <f>VLOOKUP(C11213, 'Class Def. - General Data'!$C$20:$C$1000,1,false)</f>
        <v>ZSI1_MIX_EQP</v>
      </c>
      <c r="H11213" s="63" t="str">
        <f>IFERROR(__xludf.DUMMYFUNCTION("VLOOKUP(F11213, IMPORTRANGE(""https://docs.google.com/spreadsheets/d/1Lhp9OU0JdFf_VYSMzH5lBcEaU4o8teT1piV-SNzShjg/edit?gid=554141278#gid=554141278"", ""'Char Def. - Attributes'!C20:C2242""), 1,false)"),"ALT_UOM5_SIPI")</f>
        <v>ALT_UOM5_SIPI</v>
      </c>
      <c r="I11213" s="136"/>
      <c r="R11213" s="63" t="str">
        <f t="shared" si="60"/>
        <v>ZSI1_MIX_EQPALT_UOM5_SIPI</v>
      </c>
    </row>
    <row r="11214" ht="15.75" customHeight="1">
      <c r="B11214" s="63">
        <f t="shared" si="1"/>
        <v>12</v>
      </c>
      <c r="C11214" s="135" t="s">
        <v>522</v>
      </c>
      <c r="D11214" s="161" t="s">
        <v>74</v>
      </c>
      <c r="E11214" s="135">
        <f t="shared" si="62"/>
        <v>28</v>
      </c>
      <c r="F11214" s="134" t="s">
        <v>3817</v>
      </c>
      <c r="G11214" s="63" t="str">
        <f>VLOOKUP(C11214, 'Class Def. - General Data'!$C$20:$C$1000,1,false)</f>
        <v>ZSI1_MIX_EQP</v>
      </c>
      <c r="H11214" s="63" t="str">
        <f>IFERROR(__xludf.DUMMYFUNCTION("VLOOKUP(F11214, IMPORTRANGE(""https://docs.google.com/spreadsheets/d/1Lhp9OU0JdFf_VYSMzH5lBcEaU4o8teT1piV-SNzShjg/edit?gid=554141278#gid=554141278"", ""'Char Def. - Attributes'!C20:C2242""), 1,false)"),"ALT_DENUM_UOM5")</f>
        <v>ALT_DENUM_UOM5</v>
      </c>
      <c r="I11214" s="136"/>
      <c r="R11214" s="63" t="str">
        <f t="shared" si="60"/>
        <v>ZSI1_MIX_EQPALT_DENUM_UOM5</v>
      </c>
    </row>
    <row r="11215" ht="15.75" customHeight="1">
      <c r="B11215" s="63">
        <f t="shared" si="1"/>
        <v>12</v>
      </c>
      <c r="C11215" s="135" t="s">
        <v>522</v>
      </c>
      <c r="D11215" s="161" t="s">
        <v>74</v>
      </c>
      <c r="E11215" s="135">
        <f t="shared" si="62"/>
        <v>29</v>
      </c>
      <c r="F11215" s="134" t="s">
        <v>3818</v>
      </c>
      <c r="G11215" s="63" t="str">
        <f>VLOOKUP(C11215, 'Class Def. - General Data'!$C$20:$C$1000,1,false)</f>
        <v>ZSI1_MIX_EQP</v>
      </c>
      <c r="H11215" s="63" t="str">
        <f>IFERROR(__xludf.DUMMYFUNCTION("VLOOKUP(F11215, IMPORTRANGE(""https://docs.google.com/spreadsheets/d/1Lhp9OU0JdFf_VYSMzH5lBcEaU4o8teT1piV-SNzShjg/edit?gid=554141278#gid=554141278"", ""'Char Def. - Attributes'!C20:C2242""), 1,false)"),"ALT_NUM_UOM5")</f>
        <v>ALT_NUM_UOM5</v>
      </c>
      <c r="I11215" s="136"/>
      <c r="R11215" s="63" t="str">
        <f t="shared" si="60"/>
        <v>ZSI1_MIX_EQPALT_NUM_UOM5</v>
      </c>
    </row>
    <row r="11216" ht="15.75" customHeight="1">
      <c r="B11216" s="63">
        <f t="shared" si="1"/>
        <v>12</v>
      </c>
      <c r="C11216" s="135" t="s">
        <v>525</v>
      </c>
      <c r="D11216" s="161" t="s">
        <v>74</v>
      </c>
      <c r="E11216" s="135">
        <f t="shared" si="62"/>
        <v>1</v>
      </c>
      <c r="F11216" s="134" t="s">
        <v>4896</v>
      </c>
      <c r="G11216" s="63" t="str">
        <f>VLOOKUP(C11216, 'Class Def. - General Data'!$C$20:$C$1000,1,false)</f>
        <v>ZSI1_MOLDING</v>
      </c>
      <c r="H11216" s="63" t="str">
        <f>IFERROR(__xludf.DUMMYFUNCTION("VLOOKUP(F11216, IMPORTRANGE(""https://docs.google.com/spreadsheets/d/1Lhp9OU0JdFf_VYSMzH5lBcEaU4o8teT1piV-SNzShjg/edit?gid=554141278#gid=554141278"", ""'Char Def. - Attributes'!C20:C2242""), 1,false)"),"ITEM_NAME_MOLDING")</f>
        <v>ITEM_NAME_MOLDING</v>
      </c>
      <c r="I11216" s="136"/>
      <c r="R11216" s="63" t="str">
        <f t="shared" si="60"/>
        <v>ZSI1_MOLDINGITEM_NAME_MOLDING</v>
      </c>
    </row>
    <row r="11217" ht="15.75" customHeight="1">
      <c r="B11217" s="63">
        <f t="shared" si="1"/>
        <v>12</v>
      </c>
      <c r="C11217" s="135" t="s">
        <v>525</v>
      </c>
      <c r="D11217" s="161" t="s">
        <v>74</v>
      </c>
      <c r="E11217" s="135">
        <f t="shared" si="62"/>
        <v>2</v>
      </c>
      <c r="F11217" s="134" t="s">
        <v>4897</v>
      </c>
      <c r="G11217" s="63" t="str">
        <f>VLOOKUP(C11217, 'Class Def. - General Data'!$C$20:$C$1000,1,false)</f>
        <v>ZSI1_MOLDING</v>
      </c>
      <c r="H11217" s="63" t="str">
        <f>IFERROR(__xludf.DUMMYFUNCTION("VLOOKUP(F11217, IMPORTRANGE(""https://docs.google.com/spreadsheets/d/1Lhp9OU0JdFf_VYSMzH5lBcEaU4o8teT1piV-SNzShjg/edit?gid=554141278#gid=554141278"", ""'Char Def. - Attributes'!C20:C2242""), 1,false)"),"DESIGN_MOLDING")</f>
        <v>DESIGN_MOLDING</v>
      </c>
      <c r="I11217" s="136"/>
      <c r="R11217" s="63" t="str">
        <f t="shared" si="60"/>
        <v>ZSI1_MOLDINGDESIGN_MOLDING</v>
      </c>
    </row>
    <row r="11218" ht="15.75" customHeight="1">
      <c r="B11218" s="63">
        <f t="shared" si="1"/>
        <v>12</v>
      </c>
      <c r="C11218" s="135" t="s">
        <v>525</v>
      </c>
      <c r="D11218" s="161" t="s">
        <v>74</v>
      </c>
      <c r="E11218" s="135">
        <f t="shared" si="62"/>
        <v>3</v>
      </c>
      <c r="F11218" s="134" t="s">
        <v>4898</v>
      </c>
      <c r="G11218" s="63" t="str">
        <f>VLOOKUP(C11218, 'Class Def. - General Data'!$C$20:$C$1000,1,false)</f>
        <v>ZSI1_MOLDING</v>
      </c>
      <c r="H11218" s="63" t="str">
        <f>IFERROR(__xludf.DUMMYFUNCTION("VLOOKUP(F11218, IMPORTRANGE(""https://docs.google.com/spreadsheets/d/1Lhp9OU0JdFf_VYSMzH5lBcEaU4o8teT1piV-SNzShjg/edit?gid=554141278#gid=554141278"", ""'Char Def. - Attributes'!C20:C2242""), 1,false)"),"NUMB_CAVITIES_PREFORM_MOLD")</f>
        <v>NUMB_CAVITIES_PREFORM_MOLD</v>
      </c>
      <c r="I11218" s="136"/>
      <c r="R11218" s="63" t="str">
        <f t="shared" si="60"/>
        <v>ZSI1_MOLDINGNUMB_CAVITIES_PREFORM_MOLD</v>
      </c>
    </row>
    <row r="11219" ht="15.75" customHeight="1">
      <c r="B11219" s="63">
        <f t="shared" si="1"/>
        <v>12</v>
      </c>
      <c r="C11219" s="135" t="s">
        <v>525</v>
      </c>
      <c r="D11219" s="161" t="s">
        <v>74</v>
      </c>
      <c r="E11219" s="135">
        <f t="shared" si="62"/>
        <v>4</v>
      </c>
      <c r="F11219" s="134" t="s">
        <v>4062</v>
      </c>
      <c r="G11219" s="63" t="str">
        <f>VLOOKUP(C11219, 'Class Def. - General Data'!$C$20:$C$1000,1,false)</f>
        <v>ZSI1_MOLDING</v>
      </c>
      <c r="H11219" s="63" t="str">
        <f>IFERROR(__xludf.DUMMYFUNCTION("VLOOKUP(F11219, IMPORTRANGE(""https://docs.google.com/spreadsheets/d/1Lhp9OU0JdFf_VYSMzH5lBcEaU4o8teT1piV-SNzShjg/edit?gid=554141278#gid=554141278"", ""'Char Def. - Attributes'!C20:C2242""), 1,false)"),"#N/A")</f>
        <v>#N/A</v>
      </c>
      <c r="I11219" s="136"/>
      <c r="R11219" s="63" t="str">
        <f t="shared" si="60"/>
        <v>ZSI1_MOLDINGADDTIONAL_SPECIFICATION</v>
      </c>
    </row>
    <row r="11220" ht="15.75" customHeight="1">
      <c r="B11220" s="63">
        <f t="shared" si="1"/>
        <v>12</v>
      </c>
      <c r="C11220" s="135" t="s">
        <v>525</v>
      </c>
      <c r="D11220" s="161" t="s">
        <v>74</v>
      </c>
      <c r="E11220" s="135">
        <f t="shared" si="62"/>
        <v>5</v>
      </c>
      <c r="F11220" s="134" t="s">
        <v>4899</v>
      </c>
      <c r="G11220" s="63" t="str">
        <f>VLOOKUP(C11220, 'Class Def. - General Data'!$C$20:$C$1000,1,false)</f>
        <v>ZSI1_MOLDING</v>
      </c>
      <c r="H11220" s="63" t="str">
        <f>IFERROR(__xludf.DUMMYFUNCTION("VLOOKUP(F11220, IMPORTRANGE(""https://docs.google.com/spreadsheets/d/1Lhp9OU0JdFf_VYSMzH5lBcEaU4o8teT1piV-SNzShjg/edit?gid=554141278#gid=554141278"", ""'Char Def. - Attributes'!C20:C2242""), 1,false)"),"MOLDING_ID")</f>
        <v>MOLDING_ID</v>
      </c>
      <c r="I11220" s="136"/>
      <c r="R11220" s="63" t="str">
        <f t="shared" si="60"/>
        <v>ZSI1_MOLDINGMOLDING_ID</v>
      </c>
    </row>
    <row r="11221" ht="15.75" customHeight="1">
      <c r="B11221" s="63">
        <f t="shared" si="1"/>
        <v>12</v>
      </c>
      <c r="C11221" s="135" t="s">
        <v>525</v>
      </c>
      <c r="D11221" s="161" t="s">
        <v>74</v>
      </c>
      <c r="E11221" s="135">
        <f t="shared" si="62"/>
        <v>6</v>
      </c>
      <c r="F11221" s="134" t="s">
        <v>3585</v>
      </c>
      <c r="G11221" s="63" t="str">
        <f>VLOOKUP(C11221, 'Class Def. - General Data'!$C$20:$C$1000,1,false)</f>
        <v>ZSI1_MOLDING</v>
      </c>
      <c r="H11221" s="63" t="str">
        <f>IFERROR(__xludf.DUMMYFUNCTION("VLOOKUP(F11221, IMPORTRANGE(""https://docs.google.com/spreadsheets/d/1Lhp9OU0JdFf_VYSMzH5lBcEaU4o8teT1piV-SNzShjg/edit?gid=554141278#gid=554141278"", ""'Char Def. - Attributes'!C20:C2242""), 1,false)"),"HS_CODE")</f>
        <v>HS_CODE</v>
      </c>
      <c r="I11221" s="136"/>
      <c r="R11221" s="63" t="str">
        <f t="shared" si="60"/>
        <v>ZSI1_MOLDINGHS_CODE</v>
      </c>
    </row>
    <row r="11222" ht="15.75" customHeight="1">
      <c r="B11222" s="63">
        <f t="shared" si="1"/>
        <v>12</v>
      </c>
      <c r="C11222" s="135" t="s">
        <v>525</v>
      </c>
      <c r="D11222" s="161" t="s">
        <v>74</v>
      </c>
      <c r="E11222" s="135">
        <f t="shared" si="62"/>
        <v>7</v>
      </c>
      <c r="F11222" s="134" t="s">
        <v>3587</v>
      </c>
      <c r="G11222" s="63" t="str">
        <f>VLOOKUP(C11222, 'Class Def. - General Data'!$C$20:$C$1000,1,false)</f>
        <v>ZSI1_MOLDING</v>
      </c>
      <c r="H11222" s="63" t="str">
        <f>IFERROR(__xludf.DUMMYFUNCTION("VLOOKUP(F11222, IMPORTRANGE(""https://docs.google.com/spreadsheets/d/1Lhp9OU0JdFf_VYSMzH5lBcEaU4o8teT1piV-SNzShjg/edit?gid=554141278#gid=554141278"", ""'Char Def. - Attributes'!C20:C2242""), 1,false)"),"PLANT_BUY")</f>
        <v>PLANT_BUY</v>
      </c>
      <c r="I11222" s="136"/>
      <c r="R11222" s="63" t="str">
        <f t="shared" si="60"/>
        <v>ZSI1_MOLDINGPLANT_BUY</v>
      </c>
    </row>
    <row r="11223" ht="15.75" customHeight="1">
      <c r="B11223" s="63">
        <f t="shared" si="1"/>
        <v>12</v>
      </c>
      <c r="C11223" s="135" t="s">
        <v>525</v>
      </c>
      <c r="D11223" s="161" t="s">
        <v>74</v>
      </c>
      <c r="E11223" s="135">
        <f t="shared" si="62"/>
        <v>8</v>
      </c>
      <c r="F11223" s="134" t="s">
        <v>4900</v>
      </c>
      <c r="G11223" s="63" t="str">
        <f>VLOOKUP(C11223, 'Class Def. - General Data'!$C$20:$C$1000,1,false)</f>
        <v>ZSI1_MOLDING</v>
      </c>
      <c r="H11223" s="63" t="str">
        <f>IFERROR(__xludf.DUMMYFUNCTION("VLOOKUP(F11223, IMPORTRANGE(""https://docs.google.com/spreadsheets/d/1Lhp9OU0JdFf_VYSMzH5lBcEaU4o8teT1piV-SNzShjg/edit?gid=554141278#gid=554141278"", ""'Char Def. - Attributes'!C20:C2242""), 1,false)"),"BASE_UOM_MOLDING")</f>
        <v>BASE_UOM_MOLDING</v>
      </c>
      <c r="I11223" s="136"/>
      <c r="R11223" s="63" t="str">
        <f t="shared" si="60"/>
        <v>ZSI1_MOLDINGBASE_UOM_MOLDING</v>
      </c>
    </row>
    <row r="11224" ht="15.75" customHeight="1">
      <c r="B11224" s="63">
        <f t="shared" si="1"/>
        <v>12</v>
      </c>
      <c r="C11224" s="135" t="s">
        <v>525</v>
      </c>
      <c r="D11224" s="161" t="s">
        <v>74</v>
      </c>
      <c r="E11224" s="135">
        <f t="shared" si="62"/>
        <v>9</v>
      </c>
      <c r="F11224" s="134" t="s">
        <v>4901</v>
      </c>
      <c r="G11224" s="63" t="str">
        <f>VLOOKUP(C11224, 'Class Def. - General Data'!$C$20:$C$1000,1,false)</f>
        <v>ZSI1_MOLDING</v>
      </c>
      <c r="H11224" s="63" t="str">
        <f>IFERROR(__xludf.DUMMYFUNCTION("VLOOKUP(F11224, IMPORTRANGE(""https://docs.google.com/spreadsheets/d/1Lhp9OU0JdFf_VYSMzH5lBcEaU4o8teT1piV-SNzShjg/edit?gid=554141278#gid=554141278"", ""'Char Def. - Attributes'!C20:C2242""), 1,false)"),"ORDER_UNIT_MOLDING")</f>
        <v>ORDER_UNIT_MOLDING</v>
      </c>
      <c r="I11224" s="136"/>
      <c r="R11224" s="63" t="str">
        <f t="shared" si="60"/>
        <v>ZSI1_MOLDINGORDER_UNIT_MOLDING</v>
      </c>
    </row>
    <row r="11225" ht="15.75" customHeight="1">
      <c r="B11225" s="63">
        <f t="shared" si="1"/>
        <v>12</v>
      </c>
      <c r="C11225" s="135" t="s">
        <v>525</v>
      </c>
      <c r="D11225" s="161" t="s">
        <v>74</v>
      </c>
      <c r="E11225" s="135">
        <f t="shared" si="62"/>
        <v>10</v>
      </c>
      <c r="F11225" s="134" t="s">
        <v>4056</v>
      </c>
      <c r="G11225" s="63" t="str">
        <f>VLOOKUP(C11225, 'Class Def. - General Data'!$C$20:$C$1000,1,false)</f>
        <v>ZSI1_MOLDING</v>
      </c>
      <c r="H11225" s="63" t="str">
        <f>IFERROR(__xludf.DUMMYFUNCTION("VLOOKUP(F11225, IMPORTRANGE(""https://docs.google.com/spreadsheets/d/1Lhp9OU0JdFf_VYSMzH5lBcEaU4o8teT1piV-SNzShjg/edit?gid=554141278#gid=554141278"", ""'Char Def. - Attributes'!C20:C2242""), 1,false)"),"GROSS_WEIGHT_OPT")</f>
        <v>GROSS_WEIGHT_OPT</v>
      </c>
      <c r="I11225" s="136"/>
      <c r="R11225" s="63" t="str">
        <f t="shared" si="60"/>
        <v>ZSI1_MOLDINGGROSS_WEIGHT_OPT</v>
      </c>
    </row>
    <row r="11226" ht="15.75" customHeight="1">
      <c r="B11226" s="63">
        <f t="shared" si="1"/>
        <v>12</v>
      </c>
      <c r="C11226" s="135" t="s">
        <v>525</v>
      </c>
      <c r="D11226" s="161" t="s">
        <v>74</v>
      </c>
      <c r="E11226" s="135">
        <f t="shared" si="62"/>
        <v>11</v>
      </c>
      <c r="F11226" s="134" t="s">
        <v>4057</v>
      </c>
      <c r="G11226" s="63" t="str">
        <f>VLOOKUP(C11226, 'Class Def. - General Data'!$C$20:$C$1000,1,false)</f>
        <v>ZSI1_MOLDING</v>
      </c>
      <c r="H11226" s="63" t="str">
        <f>IFERROR(__xludf.DUMMYFUNCTION("VLOOKUP(F11226, IMPORTRANGE(""https://docs.google.com/spreadsheets/d/1Lhp9OU0JdFf_VYSMzH5lBcEaU4o8teT1piV-SNzShjg/edit?gid=554141278#gid=554141278"", ""'Char Def. - Attributes'!C20:C2242""), 1,false)"),"NET_WEIGHT_OPT")</f>
        <v>NET_WEIGHT_OPT</v>
      </c>
      <c r="I11226" s="136"/>
      <c r="R11226" s="63" t="str">
        <f t="shared" si="60"/>
        <v>ZSI1_MOLDINGNET_WEIGHT_OPT</v>
      </c>
    </row>
    <row r="11227" ht="15.75" customHeight="1">
      <c r="B11227" s="63">
        <f t="shared" si="1"/>
        <v>12</v>
      </c>
      <c r="C11227" s="135" t="s">
        <v>525</v>
      </c>
      <c r="D11227" s="161" t="s">
        <v>74</v>
      </c>
      <c r="E11227" s="135">
        <f t="shared" si="62"/>
        <v>12</v>
      </c>
      <c r="F11227" s="134" t="s">
        <v>4058</v>
      </c>
      <c r="G11227" s="63" t="str">
        <f>VLOOKUP(C11227, 'Class Def. - General Data'!$C$20:$C$1000,1,false)</f>
        <v>ZSI1_MOLDING</v>
      </c>
      <c r="H11227" s="63" t="str">
        <f>IFERROR(__xludf.DUMMYFUNCTION("VLOOKUP(F11227, IMPORTRANGE(""https://docs.google.com/spreadsheets/d/1Lhp9OU0JdFf_VYSMzH5lBcEaU4o8teT1piV-SNzShjg/edit?gid=554141278#gid=554141278"", ""'Char Def. - Attributes'!C20:C2242""), 1,false)"),"WEIGHT_UNIT_SI")</f>
        <v>WEIGHT_UNIT_SI</v>
      </c>
      <c r="I11227" s="136"/>
      <c r="R11227" s="63" t="str">
        <f t="shared" si="60"/>
        <v>ZSI1_MOLDINGWEIGHT_UNIT_SI</v>
      </c>
    </row>
    <row r="11228" ht="15.75" customHeight="1">
      <c r="B11228" s="63">
        <f t="shared" si="1"/>
        <v>12</v>
      </c>
      <c r="C11228" s="135" t="s">
        <v>525</v>
      </c>
      <c r="D11228" s="161" t="s">
        <v>74</v>
      </c>
      <c r="E11228" s="135">
        <f t="shared" si="62"/>
        <v>13</v>
      </c>
      <c r="F11228" s="134" t="s">
        <v>3877</v>
      </c>
      <c r="G11228" s="63" t="str">
        <f>VLOOKUP(C11228, 'Class Def. - General Data'!$C$20:$C$1000,1,false)</f>
        <v>ZSI1_MOLDING</v>
      </c>
      <c r="H11228" s="63" t="str">
        <f>IFERROR(__xludf.DUMMYFUNCTION("VLOOKUP(F11228, IMPORTRANGE(""https://docs.google.com/spreadsheets/d/1Lhp9OU0JdFf_VYSMzH5lBcEaU4o8teT1piV-SNzShjg/edit?gid=554141278#gid=554141278"", ""'Char Def. - Attributes'!C20:C2242""), 1,false)"),"VOLUME_OPT")</f>
        <v>VOLUME_OPT</v>
      </c>
      <c r="I11228" s="136"/>
      <c r="R11228" s="63" t="str">
        <f t="shared" si="60"/>
        <v>ZSI1_MOLDINGVOLUME_OPT</v>
      </c>
    </row>
    <row r="11229" ht="15.75" customHeight="1">
      <c r="B11229" s="63">
        <f t="shared" si="1"/>
        <v>12</v>
      </c>
      <c r="C11229" s="135" t="s">
        <v>525</v>
      </c>
      <c r="D11229" s="161" t="s">
        <v>74</v>
      </c>
      <c r="E11229" s="135">
        <f t="shared" si="62"/>
        <v>14</v>
      </c>
      <c r="F11229" s="134" t="s">
        <v>4059</v>
      </c>
      <c r="G11229" s="63" t="str">
        <f>VLOOKUP(C11229, 'Class Def. - General Data'!$C$20:$C$1000,1,false)</f>
        <v>ZSI1_MOLDING</v>
      </c>
      <c r="H11229" s="63" t="str">
        <f>IFERROR(__xludf.DUMMYFUNCTION("VLOOKUP(F11229, IMPORTRANGE(""https://docs.google.com/spreadsheets/d/1Lhp9OU0JdFf_VYSMzH5lBcEaU4o8teT1piV-SNzShjg/edit?gid=554141278#gid=554141278"", ""'Char Def. - Attributes'!C20:C2242""), 1,false)"),"VOLUME_UNIT_SI")</f>
        <v>VOLUME_UNIT_SI</v>
      </c>
      <c r="I11229" s="136"/>
      <c r="R11229" s="63" t="str">
        <f t="shared" si="60"/>
        <v>ZSI1_MOLDINGVOLUME_UNIT_SI</v>
      </c>
    </row>
    <row r="11230" ht="15.75" customHeight="1">
      <c r="B11230" s="63">
        <f t="shared" si="1"/>
        <v>12</v>
      </c>
      <c r="C11230" s="135" t="s">
        <v>525</v>
      </c>
      <c r="D11230" s="161" t="s">
        <v>74</v>
      </c>
      <c r="E11230" s="135">
        <f t="shared" si="62"/>
        <v>15</v>
      </c>
      <c r="F11230" s="134" t="s">
        <v>3804</v>
      </c>
      <c r="G11230" s="63" t="str">
        <f>VLOOKUP(C11230, 'Class Def. - General Data'!$C$20:$C$1000,1,false)</f>
        <v>ZSI1_MOLDING</v>
      </c>
      <c r="H11230" s="63" t="str">
        <f>IFERROR(__xludf.DUMMYFUNCTION("VLOOKUP(F11230, IMPORTRANGE(""https://docs.google.com/spreadsheets/d/1Lhp9OU0JdFf_VYSMzH5lBcEaU4o8teT1piV-SNzShjg/edit?gid=554141278#gid=554141278"", ""'Char Def. - Attributes'!C20:C2242""), 1,false)"),"ALT_UOM1_SIPI")</f>
        <v>ALT_UOM1_SIPI</v>
      </c>
      <c r="I11230" s="136"/>
      <c r="R11230" s="63" t="str">
        <f t="shared" si="60"/>
        <v>ZSI1_MOLDINGALT_UOM1_SIPI</v>
      </c>
    </row>
    <row r="11231" ht="15.75" customHeight="1">
      <c r="B11231" s="63">
        <f t="shared" si="1"/>
        <v>12</v>
      </c>
      <c r="C11231" s="135" t="s">
        <v>525</v>
      </c>
      <c r="D11231" s="161" t="s">
        <v>74</v>
      </c>
      <c r="E11231" s="135">
        <f t="shared" si="62"/>
        <v>16</v>
      </c>
      <c r="F11231" s="134" t="s">
        <v>3805</v>
      </c>
      <c r="G11231" s="63" t="str">
        <f>VLOOKUP(C11231, 'Class Def. - General Data'!$C$20:$C$1000,1,false)</f>
        <v>ZSI1_MOLDING</v>
      </c>
      <c r="H11231" s="63" t="str">
        <f>IFERROR(__xludf.DUMMYFUNCTION("VLOOKUP(F11231, IMPORTRANGE(""https://docs.google.com/spreadsheets/d/1Lhp9OU0JdFf_VYSMzH5lBcEaU4o8teT1piV-SNzShjg/edit?gid=554141278#gid=554141278"", ""'Char Def. - Attributes'!C20:C2242""), 1,false)"),"ALT_DENUM_UOM1")</f>
        <v>ALT_DENUM_UOM1</v>
      </c>
      <c r="I11231" s="136"/>
      <c r="R11231" s="63" t="str">
        <f t="shared" si="60"/>
        <v>ZSI1_MOLDINGALT_DENUM_UOM1</v>
      </c>
    </row>
    <row r="11232" ht="15.75" customHeight="1">
      <c r="B11232" s="63">
        <f t="shared" si="1"/>
        <v>12</v>
      </c>
      <c r="C11232" s="135" t="s">
        <v>525</v>
      </c>
      <c r="D11232" s="161" t="s">
        <v>74</v>
      </c>
      <c r="E11232" s="135">
        <f t="shared" si="62"/>
        <v>17</v>
      </c>
      <c r="F11232" s="134" t="s">
        <v>3806</v>
      </c>
      <c r="G11232" s="63" t="str">
        <f>VLOOKUP(C11232, 'Class Def. - General Data'!$C$20:$C$1000,1,false)</f>
        <v>ZSI1_MOLDING</v>
      </c>
      <c r="H11232" s="63" t="str">
        <f>IFERROR(__xludf.DUMMYFUNCTION("VLOOKUP(F11232, IMPORTRANGE(""https://docs.google.com/spreadsheets/d/1Lhp9OU0JdFf_VYSMzH5lBcEaU4o8teT1piV-SNzShjg/edit?gid=554141278#gid=554141278"", ""'Char Def. - Attributes'!C20:C2242""), 1,false)"),"ALT_NUM_UOM1")</f>
        <v>ALT_NUM_UOM1</v>
      </c>
      <c r="I11232" s="136"/>
      <c r="R11232" s="63" t="str">
        <f t="shared" si="60"/>
        <v>ZSI1_MOLDINGALT_NUM_UOM1</v>
      </c>
    </row>
    <row r="11233" ht="15.75" customHeight="1">
      <c r="B11233" s="63">
        <f t="shared" si="1"/>
        <v>12</v>
      </c>
      <c r="C11233" s="135" t="s">
        <v>525</v>
      </c>
      <c r="D11233" s="161" t="s">
        <v>74</v>
      </c>
      <c r="E11233" s="135">
        <f t="shared" si="62"/>
        <v>18</v>
      </c>
      <c r="F11233" s="134" t="s">
        <v>3807</v>
      </c>
      <c r="G11233" s="63" t="str">
        <f>VLOOKUP(C11233, 'Class Def. - General Data'!$C$20:$C$1000,1,false)</f>
        <v>ZSI1_MOLDING</v>
      </c>
      <c r="H11233" s="63" t="str">
        <f>IFERROR(__xludf.DUMMYFUNCTION("VLOOKUP(F11233, IMPORTRANGE(""https://docs.google.com/spreadsheets/d/1Lhp9OU0JdFf_VYSMzH5lBcEaU4o8teT1piV-SNzShjg/edit?gid=554141278#gid=554141278"", ""'Char Def. - Attributes'!C20:C2242""), 1,false)"),"ALT_UOM2_SIPI")</f>
        <v>ALT_UOM2_SIPI</v>
      </c>
      <c r="I11233" s="136"/>
      <c r="R11233" s="63" t="str">
        <f t="shared" si="60"/>
        <v>ZSI1_MOLDINGALT_UOM2_SIPI</v>
      </c>
    </row>
    <row r="11234" ht="15.75" customHeight="1">
      <c r="B11234" s="63">
        <f t="shared" si="1"/>
        <v>12</v>
      </c>
      <c r="C11234" s="135" t="s">
        <v>525</v>
      </c>
      <c r="D11234" s="161" t="s">
        <v>74</v>
      </c>
      <c r="E11234" s="135">
        <f t="shared" si="62"/>
        <v>19</v>
      </c>
      <c r="F11234" s="134" t="s">
        <v>3808</v>
      </c>
      <c r="G11234" s="63" t="str">
        <f>VLOOKUP(C11234, 'Class Def. - General Data'!$C$20:$C$1000,1,false)</f>
        <v>ZSI1_MOLDING</v>
      </c>
      <c r="H11234" s="63" t="str">
        <f>IFERROR(__xludf.DUMMYFUNCTION("VLOOKUP(F11234, IMPORTRANGE(""https://docs.google.com/spreadsheets/d/1Lhp9OU0JdFf_VYSMzH5lBcEaU4o8teT1piV-SNzShjg/edit?gid=554141278#gid=554141278"", ""'Char Def. - Attributes'!C20:C2242""), 1,false)"),"ALT_DENUM_UOM2")</f>
        <v>ALT_DENUM_UOM2</v>
      </c>
      <c r="I11234" s="136"/>
      <c r="R11234" s="63" t="str">
        <f t="shared" si="60"/>
        <v>ZSI1_MOLDINGALT_DENUM_UOM2</v>
      </c>
    </row>
    <row r="11235" ht="15.75" customHeight="1">
      <c r="B11235" s="63">
        <f t="shared" si="1"/>
        <v>12</v>
      </c>
      <c r="C11235" s="135" t="s">
        <v>525</v>
      </c>
      <c r="D11235" s="161" t="s">
        <v>74</v>
      </c>
      <c r="E11235" s="135">
        <f t="shared" si="62"/>
        <v>20</v>
      </c>
      <c r="F11235" s="134" t="s">
        <v>3809</v>
      </c>
      <c r="G11235" s="63" t="str">
        <f>VLOOKUP(C11235, 'Class Def. - General Data'!$C$20:$C$1000,1,false)</f>
        <v>ZSI1_MOLDING</v>
      </c>
      <c r="H11235" s="63" t="str">
        <f>IFERROR(__xludf.DUMMYFUNCTION("VLOOKUP(F11235, IMPORTRANGE(""https://docs.google.com/spreadsheets/d/1Lhp9OU0JdFf_VYSMzH5lBcEaU4o8teT1piV-SNzShjg/edit?gid=554141278#gid=554141278"", ""'Char Def. - Attributes'!C20:C2242""), 1,false)"),"ALT_NUM_UOM2")</f>
        <v>ALT_NUM_UOM2</v>
      </c>
      <c r="I11235" s="136"/>
      <c r="R11235" s="63" t="str">
        <f t="shared" si="60"/>
        <v>ZSI1_MOLDINGALT_NUM_UOM2</v>
      </c>
    </row>
    <row r="11236" ht="15.75" customHeight="1">
      <c r="B11236" s="63">
        <f t="shared" si="1"/>
        <v>12</v>
      </c>
      <c r="C11236" s="135" t="s">
        <v>525</v>
      </c>
      <c r="D11236" s="161" t="s">
        <v>74</v>
      </c>
      <c r="E11236" s="135">
        <f t="shared" si="62"/>
        <v>21</v>
      </c>
      <c r="F11236" s="134" t="s">
        <v>3810</v>
      </c>
      <c r="G11236" s="63" t="str">
        <f>VLOOKUP(C11236, 'Class Def. - General Data'!$C$20:$C$1000,1,false)</f>
        <v>ZSI1_MOLDING</v>
      </c>
      <c r="H11236" s="63" t="str">
        <f>IFERROR(__xludf.DUMMYFUNCTION("VLOOKUP(F11236, IMPORTRANGE(""https://docs.google.com/spreadsheets/d/1Lhp9OU0JdFf_VYSMzH5lBcEaU4o8teT1piV-SNzShjg/edit?gid=554141278#gid=554141278"", ""'Char Def. - Attributes'!C20:C2242""), 1,false)"),"ALT_UOM3_SIPI")</f>
        <v>ALT_UOM3_SIPI</v>
      </c>
      <c r="I11236" s="136"/>
      <c r="R11236" s="63" t="str">
        <f t="shared" si="60"/>
        <v>ZSI1_MOLDINGALT_UOM3_SIPI</v>
      </c>
    </row>
    <row r="11237" ht="15.75" customHeight="1">
      <c r="B11237" s="63">
        <f t="shared" si="1"/>
        <v>12</v>
      </c>
      <c r="C11237" s="135" t="s">
        <v>525</v>
      </c>
      <c r="D11237" s="161" t="s">
        <v>74</v>
      </c>
      <c r="E11237" s="135">
        <f t="shared" si="62"/>
        <v>22</v>
      </c>
      <c r="F11237" s="134" t="s">
        <v>3811</v>
      </c>
      <c r="G11237" s="63" t="str">
        <f>VLOOKUP(C11237, 'Class Def. - General Data'!$C$20:$C$1000,1,false)</f>
        <v>ZSI1_MOLDING</v>
      </c>
      <c r="H11237" s="63" t="str">
        <f>IFERROR(__xludf.DUMMYFUNCTION("VLOOKUP(F11237, IMPORTRANGE(""https://docs.google.com/spreadsheets/d/1Lhp9OU0JdFf_VYSMzH5lBcEaU4o8teT1piV-SNzShjg/edit?gid=554141278#gid=554141278"", ""'Char Def. - Attributes'!C20:C2242""), 1,false)"),"ALT_DENUM_UOM3")</f>
        <v>ALT_DENUM_UOM3</v>
      </c>
      <c r="I11237" s="136"/>
      <c r="R11237" s="63" t="str">
        <f t="shared" si="60"/>
        <v>ZSI1_MOLDINGALT_DENUM_UOM3</v>
      </c>
    </row>
    <row r="11238" ht="15.75" customHeight="1">
      <c r="B11238" s="63">
        <f t="shared" si="1"/>
        <v>12</v>
      </c>
      <c r="C11238" s="135" t="s">
        <v>525</v>
      </c>
      <c r="D11238" s="161" t="s">
        <v>74</v>
      </c>
      <c r="E11238" s="135">
        <f t="shared" si="62"/>
        <v>23</v>
      </c>
      <c r="F11238" s="134" t="s">
        <v>3812</v>
      </c>
      <c r="G11238" s="63" t="str">
        <f>VLOOKUP(C11238, 'Class Def. - General Data'!$C$20:$C$1000,1,false)</f>
        <v>ZSI1_MOLDING</v>
      </c>
      <c r="H11238" s="63" t="str">
        <f>IFERROR(__xludf.DUMMYFUNCTION("VLOOKUP(F11238, IMPORTRANGE(""https://docs.google.com/spreadsheets/d/1Lhp9OU0JdFf_VYSMzH5lBcEaU4o8teT1piV-SNzShjg/edit?gid=554141278#gid=554141278"", ""'Char Def. - Attributes'!C20:C2242""), 1,false)"),"ALT_NUM_UOM3")</f>
        <v>ALT_NUM_UOM3</v>
      </c>
      <c r="I11238" s="136"/>
      <c r="R11238" s="63" t="str">
        <f t="shared" si="60"/>
        <v>ZSI1_MOLDINGALT_NUM_UOM3</v>
      </c>
    </row>
    <row r="11239" ht="15.75" customHeight="1">
      <c r="B11239" s="63">
        <f t="shared" si="1"/>
        <v>12</v>
      </c>
      <c r="C11239" s="135" t="s">
        <v>525</v>
      </c>
      <c r="D11239" s="161" t="s">
        <v>74</v>
      </c>
      <c r="E11239" s="135">
        <f t="shared" si="62"/>
        <v>24</v>
      </c>
      <c r="F11239" s="134" t="s">
        <v>3813</v>
      </c>
      <c r="G11239" s="63" t="str">
        <f>VLOOKUP(C11239, 'Class Def. - General Data'!$C$20:$C$1000,1,false)</f>
        <v>ZSI1_MOLDING</v>
      </c>
      <c r="H11239" s="63" t="str">
        <f>IFERROR(__xludf.DUMMYFUNCTION("VLOOKUP(F11239, IMPORTRANGE(""https://docs.google.com/spreadsheets/d/1Lhp9OU0JdFf_VYSMzH5lBcEaU4o8teT1piV-SNzShjg/edit?gid=554141278#gid=554141278"", ""'Char Def. - Attributes'!C20:C2242""), 1,false)"),"ALT_UOM4_SIPI")</f>
        <v>ALT_UOM4_SIPI</v>
      </c>
      <c r="I11239" s="136"/>
      <c r="R11239" s="63" t="str">
        <f t="shared" si="60"/>
        <v>ZSI1_MOLDINGALT_UOM4_SIPI</v>
      </c>
    </row>
    <row r="11240" ht="15.75" customHeight="1">
      <c r="B11240" s="63">
        <f t="shared" si="1"/>
        <v>12</v>
      </c>
      <c r="C11240" s="135" t="s">
        <v>525</v>
      </c>
      <c r="D11240" s="161" t="s">
        <v>74</v>
      </c>
      <c r="E11240" s="135">
        <f t="shared" si="62"/>
        <v>25</v>
      </c>
      <c r="F11240" s="134" t="s">
        <v>3814</v>
      </c>
      <c r="G11240" s="63" t="str">
        <f>VLOOKUP(C11240, 'Class Def. - General Data'!$C$20:$C$1000,1,false)</f>
        <v>ZSI1_MOLDING</v>
      </c>
      <c r="H11240" s="63" t="str">
        <f>IFERROR(__xludf.DUMMYFUNCTION("VLOOKUP(F11240, IMPORTRANGE(""https://docs.google.com/spreadsheets/d/1Lhp9OU0JdFf_VYSMzH5lBcEaU4o8teT1piV-SNzShjg/edit?gid=554141278#gid=554141278"", ""'Char Def. - Attributes'!C20:C2242""), 1,false)"),"ALT_DENUM_UOM4")</f>
        <v>ALT_DENUM_UOM4</v>
      </c>
      <c r="I11240" s="136"/>
      <c r="R11240" s="63" t="str">
        <f t="shared" si="60"/>
        <v>ZSI1_MOLDINGALT_DENUM_UOM4</v>
      </c>
    </row>
    <row r="11241" ht="15.75" customHeight="1">
      <c r="B11241" s="63">
        <f t="shared" si="1"/>
        <v>12</v>
      </c>
      <c r="C11241" s="135" t="s">
        <v>525</v>
      </c>
      <c r="D11241" s="161" t="s">
        <v>74</v>
      </c>
      <c r="E11241" s="135">
        <f t="shared" si="62"/>
        <v>26</v>
      </c>
      <c r="F11241" s="134" t="s">
        <v>3815</v>
      </c>
      <c r="G11241" s="63" t="str">
        <f>VLOOKUP(C11241, 'Class Def. - General Data'!$C$20:$C$1000,1,false)</f>
        <v>ZSI1_MOLDING</v>
      </c>
      <c r="H11241" s="63" t="str">
        <f>IFERROR(__xludf.DUMMYFUNCTION("VLOOKUP(F11241, IMPORTRANGE(""https://docs.google.com/spreadsheets/d/1Lhp9OU0JdFf_VYSMzH5lBcEaU4o8teT1piV-SNzShjg/edit?gid=554141278#gid=554141278"", ""'Char Def. - Attributes'!C20:C2242""), 1,false)"),"ALT_NUM_UOM4")</f>
        <v>ALT_NUM_UOM4</v>
      </c>
      <c r="I11241" s="136"/>
      <c r="R11241" s="63" t="str">
        <f t="shared" si="60"/>
        <v>ZSI1_MOLDINGALT_NUM_UOM4</v>
      </c>
    </row>
    <row r="11242" ht="15.75" customHeight="1">
      <c r="B11242" s="63">
        <f t="shared" si="1"/>
        <v>12</v>
      </c>
      <c r="C11242" s="135" t="s">
        <v>525</v>
      </c>
      <c r="D11242" s="161" t="s">
        <v>74</v>
      </c>
      <c r="E11242" s="135">
        <f t="shared" si="62"/>
        <v>27</v>
      </c>
      <c r="F11242" s="134" t="s">
        <v>3816</v>
      </c>
      <c r="G11242" s="63" t="str">
        <f>VLOOKUP(C11242, 'Class Def. - General Data'!$C$20:$C$1000,1,false)</f>
        <v>ZSI1_MOLDING</v>
      </c>
      <c r="H11242" s="63" t="str">
        <f>IFERROR(__xludf.DUMMYFUNCTION("VLOOKUP(F11242, IMPORTRANGE(""https://docs.google.com/spreadsheets/d/1Lhp9OU0JdFf_VYSMzH5lBcEaU4o8teT1piV-SNzShjg/edit?gid=554141278#gid=554141278"", ""'Char Def. - Attributes'!C20:C2242""), 1,false)"),"ALT_UOM5_SIPI")</f>
        <v>ALT_UOM5_SIPI</v>
      </c>
      <c r="I11242" s="136"/>
      <c r="R11242" s="63" t="str">
        <f t="shared" si="60"/>
        <v>ZSI1_MOLDINGALT_UOM5_SIPI</v>
      </c>
    </row>
    <row r="11243" ht="15.75" customHeight="1">
      <c r="B11243" s="63">
        <f t="shared" si="1"/>
        <v>12</v>
      </c>
      <c r="C11243" s="135" t="s">
        <v>525</v>
      </c>
      <c r="D11243" s="161" t="s">
        <v>74</v>
      </c>
      <c r="E11243" s="135">
        <f t="shared" si="62"/>
        <v>28</v>
      </c>
      <c r="F11243" s="134" t="s">
        <v>3817</v>
      </c>
      <c r="G11243" s="63" t="str">
        <f>VLOOKUP(C11243, 'Class Def. - General Data'!$C$20:$C$1000,1,false)</f>
        <v>ZSI1_MOLDING</v>
      </c>
      <c r="H11243" s="63" t="str">
        <f>IFERROR(__xludf.DUMMYFUNCTION("VLOOKUP(F11243, IMPORTRANGE(""https://docs.google.com/spreadsheets/d/1Lhp9OU0JdFf_VYSMzH5lBcEaU4o8teT1piV-SNzShjg/edit?gid=554141278#gid=554141278"", ""'Char Def. - Attributes'!C20:C2242""), 1,false)"),"ALT_DENUM_UOM5")</f>
        <v>ALT_DENUM_UOM5</v>
      </c>
      <c r="I11243" s="136"/>
      <c r="R11243" s="63" t="str">
        <f t="shared" si="60"/>
        <v>ZSI1_MOLDINGALT_DENUM_UOM5</v>
      </c>
    </row>
    <row r="11244" ht="15.75" customHeight="1">
      <c r="B11244" s="63">
        <f t="shared" si="1"/>
        <v>12</v>
      </c>
      <c r="C11244" s="135" t="s">
        <v>525</v>
      </c>
      <c r="D11244" s="161" t="s">
        <v>74</v>
      </c>
      <c r="E11244" s="135">
        <f t="shared" si="62"/>
        <v>29</v>
      </c>
      <c r="F11244" s="134" t="s">
        <v>3818</v>
      </c>
      <c r="G11244" s="63" t="str">
        <f>VLOOKUP(C11244, 'Class Def. - General Data'!$C$20:$C$1000,1,false)</f>
        <v>ZSI1_MOLDING</v>
      </c>
      <c r="H11244" s="63" t="str">
        <f>IFERROR(__xludf.DUMMYFUNCTION("VLOOKUP(F11244, IMPORTRANGE(""https://docs.google.com/spreadsheets/d/1Lhp9OU0JdFf_VYSMzH5lBcEaU4o8teT1piV-SNzShjg/edit?gid=554141278#gid=554141278"", ""'Char Def. - Attributes'!C20:C2242""), 1,false)"),"ALT_NUM_UOM5")</f>
        <v>ALT_NUM_UOM5</v>
      </c>
      <c r="I11244" s="136"/>
      <c r="R11244" s="63" t="str">
        <f t="shared" si="60"/>
        <v>ZSI1_MOLDINGALT_NUM_UOM5</v>
      </c>
    </row>
    <row r="11245" ht="15.75" customHeight="1">
      <c r="B11245" s="63">
        <f t="shared" si="1"/>
        <v>17</v>
      </c>
      <c r="C11245" s="135" t="s">
        <v>300</v>
      </c>
      <c r="D11245" s="161" t="s">
        <v>74</v>
      </c>
      <c r="E11245" s="135">
        <f t="shared" si="62"/>
        <v>1</v>
      </c>
      <c r="F11245" s="134" t="s">
        <v>4902</v>
      </c>
      <c r="G11245" s="63" t="str">
        <f>VLOOKUP(C11245, 'Class Def. - General Data'!$C$20:$C$1000,1,false)</f>
        <v>ZSI1_MTR_GEN_COMP</v>
      </c>
      <c r="H11245" s="63" t="str">
        <f>IFERROR(__xludf.DUMMYFUNCTION("VLOOKUP(F11245, IMPORTRANGE(""https://docs.google.com/spreadsheets/d/1Lhp9OU0JdFf_VYSMzH5lBcEaU4o8teT1piV-SNzShjg/edit?gid=554141278#gid=554141278"", ""'Char Def. - Attributes'!C20:C2242""), 1,false)"),"ITEM_NAME_MTR_GEN_COMP")</f>
        <v>ITEM_NAME_MTR_GEN_COMP</v>
      </c>
      <c r="I11245" s="136"/>
      <c r="R11245" s="63" t="str">
        <f t="shared" si="60"/>
        <v>ZSI1_MTR_GEN_COMPITEM_NAME_MTR_GEN_COMP</v>
      </c>
    </row>
    <row r="11246" ht="15.75" customHeight="1">
      <c r="B11246" s="63">
        <f t="shared" si="1"/>
        <v>17</v>
      </c>
      <c r="C11246" s="135" t="s">
        <v>300</v>
      </c>
      <c r="D11246" s="161" t="s">
        <v>74</v>
      </c>
      <c r="E11246" s="135">
        <f t="shared" si="62"/>
        <v>2</v>
      </c>
      <c r="F11246" s="134" t="s">
        <v>4903</v>
      </c>
      <c r="G11246" s="63" t="str">
        <f>VLOOKUP(C11246, 'Class Def. - General Data'!$C$20:$C$1000,1,false)</f>
        <v>ZSI1_MTR_GEN_COMP</v>
      </c>
      <c r="H11246" s="63" t="str">
        <f>IFERROR(__xludf.DUMMYFUNCTION("VLOOKUP(F11246, IMPORTRANGE(""https://docs.google.com/spreadsheets/d/1Lhp9OU0JdFf_VYSMzH5lBcEaU4o8teT1piV-SNzShjg/edit?gid=554141278#gid=554141278"", ""'Char Def. - Attributes'!C20:C2242""), 1,false)"),"MFR_NO_MTR_GEN_COMP")</f>
        <v>MFR_NO_MTR_GEN_COMP</v>
      </c>
      <c r="I11246" s="136"/>
      <c r="R11246" s="63" t="str">
        <f t="shared" si="60"/>
        <v>ZSI1_MTR_GEN_COMPMFR_NO_MTR_GEN_COMP</v>
      </c>
    </row>
    <row r="11247" ht="15.75" customHeight="1">
      <c r="B11247" s="63">
        <f t="shared" si="1"/>
        <v>17</v>
      </c>
      <c r="C11247" s="135" t="s">
        <v>300</v>
      </c>
      <c r="D11247" s="161" t="s">
        <v>74</v>
      </c>
      <c r="E11247" s="135">
        <f t="shared" si="62"/>
        <v>3</v>
      </c>
      <c r="F11247" s="134" t="s">
        <v>3782</v>
      </c>
      <c r="G11247" s="63" t="str">
        <f>VLOOKUP(C11247, 'Class Def. - General Data'!$C$20:$C$1000,1,false)</f>
        <v>ZSI1_MTR_GEN_COMP</v>
      </c>
      <c r="H11247" s="63" t="str">
        <f>IFERROR(__xludf.DUMMYFUNCTION("VLOOKUP(F11247, IMPORTRANGE(""https://docs.google.com/spreadsheets/d/1Lhp9OU0JdFf_VYSMzH5lBcEaU4o8teT1piV-SNzShjg/edit?gid=554141278#gid=554141278"", ""'Char Def. - Attributes'!C20:C2242""), 1,false)"),"BRAND_EXTERNAL")</f>
        <v>BRAND_EXTERNAL</v>
      </c>
      <c r="I11247" s="136"/>
      <c r="R11247" s="63" t="str">
        <f t="shared" si="60"/>
        <v>ZSI1_MTR_GEN_COMPBRAND_EXTERNAL</v>
      </c>
    </row>
    <row r="11248" ht="15.75" customHeight="1">
      <c r="B11248" s="63">
        <f t="shared" si="1"/>
        <v>17</v>
      </c>
      <c r="C11248" s="135" t="s">
        <v>300</v>
      </c>
      <c r="D11248" s="161" t="s">
        <v>74</v>
      </c>
      <c r="E11248" s="135">
        <f t="shared" si="62"/>
        <v>4</v>
      </c>
      <c r="F11248" s="134" t="s">
        <v>4062</v>
      </c>
      <c r="G11248" s="63" t="str">
        <f>VLOOKUP(C11248, 'Class Def. - General Data'!$C$20:$C$1000,1,false)</f>
        <v>ZSI1_MTR_GEN_COMP</v>
      </c>
      <c r="H11248" s="63" t="str">
        <f>IFERROR(__xludf.DUMMYFUNCTION("VLOOKUP(F11248, IMPORTRANGE(""https://docs.google.com/spreadsheets/d/1Lhp9OU0JdFf_VYSMzH5lBcEaU4o8teT1piV-SNzShjg/edit?gid=554141278#gid=554141278"", ""'Char Def. - Attributes'!C20:C2242""), 1,false)"),"#N/A")</f>
        <v>#N/A</v>
      </c>
      <c r="I11248" s="136"/>
      <c r="R11248" s="63" t="str">
        <f t="shared" si="60"/>
        <v>ZSI1_MTR_GEN_COMPADDTIONAL_SPECIFICATION</v>
      </c>
    </row>
    <row r="11249" ht="15.75" customHeight="1">
      <c r="B11249" s="63">
        <f t="shared" si="1"/>
        <v>17</v>
      </c>
      <c r="C11249" s="135" t="s">
        <v>300</v>
      </c>
      <c r="D11249" s="161" t="s">
        <v>74</v>
      </c>
      <c r="E11249" s="135">
        <f t="shared" si="62"/>
        <v>5</v>
      </c>
      <c r="F11249" s="134" t="s">
        <v>4053</v>
      </c>
      <c r="G11249" s="63" t="str">
        <f>VLOOKUP(C11249, 'Class Def. - General Data'!$C$20:$C$1000,1,false)</f>
        <v>ZSI1_MTR_GEN_COMP</v>
      </c>
      <c r="H11249" s="63" t="str">
        <f>IFERROR(__xludf.DUMMYFUNCTION("VLOOKUP(F11249, IMPORTRANGE(""https://docs.google.com/spreadsheets/d/1Lhp9OU0JdFf_VYSMzH5lBcEaU4o8teT1piV-SNzShjg/edit?gid=554141278#gid=554141278"", ""'Char Def. - Attributes'!C20:C2242""), 1,false)"),"MAINTENANCE_ORDER_TYPE")</f>
        <v>MAINTENANCE_ORDER_TYPE</v>
      </c>
      <c r="I11249" s="136"/>
      <c r="R11249" s="63" t="str">
        <f t="shared" si="60"/>
        <v>ZSI1_MTR_GEN_COMPMAINTENANCE_ORDER_TYPE</v>
      </c>
    </row>
    <row r="11250" ht="15.75" customHeight="1">
      <c r="B11250" s="63">
        <f t="shared" si="1"/>
        <v>17</v>
      </c>
      <c r="C11250" s="135" t="s">
        <v>300</v>
      </c>
      <c r="D11250" s="161" t="s">
        <v>74</v>
      </c>
      <c r="E11250" s="135">
        <f t="shared" si="62"/>
        <v>6</v>
      </c>
      <c r="F11250" s="134" t="s">
        <v>3585</v>
      </c>
      <c r="G11250" s="63" t="str">
        <f>VLOOKUP(C11250, 'Class Def. - General Data'!$C$20:$C$1000,1,false)</f>
        <v>ZSI1_MTR_GEN_COMP</v>
      </c>
      <c r="H11250" s="63" t="str">
        <f>IFERROR(__xludf.DUMMYFUNCTION("VLOOKUP(F11250, IMPORTRANGE(""https://docs.google.com/spreadsheets/d/1Lhp9OU0JdFf_VYSMzH5lBcEaU4o8teT1piV-SNzShjg/edit?gid=554141278#gid=554141278"", ""'Char Def. - Attributes'!C20:C2242""), 1,false)"),"HS_CODE")</f>
        <v>HS_CODE</v>
      </c>
      <c r="I11250" s="136"/>
      <c r="R11250" s="63" t="str">
        <f t="shared" si="60"/>
        <v>ZSI1_MTR_GEN_COMPHS_CODE</v>
      </c>
    </row>
    <row r="11251" ht="15.75" customHeight="1">
      <c r="B11251" s="63">
        <f t="shared" si="1"/>
        <v>17</v>
      </c>
      <c r="C11251" s="135" t="s">
        <v>300</v>
      </c>
      <c r="D11251" s="161" t="s">
        <v>74</v>
      </c>
      <c r="E11251" s="135">
        <f t="shared" si="62"/>
        <v>7</v>
      </c>
      <c r="F11251" s="134" t="s">
        <v>3587</v>
      </c>
      <c r="G11251" s="63" t="str">
        <f>VLOOKUP(C11251, 'Class Def. - General Data'!$C$20:$C$1000,1,false)</f>
        <v>ZSI1_MTR_GEN_COMP</v>
      </c>
      <c r="H11251" s="63" t="str">
        <f>IFERROR(__xludf.DUMMYFUNCTION("VLOOKUP(F11251, IMPORTRANGE(""https://docs.google.com/spreadsheets/d/1Lhp9OU0JdFf_VYSMzH5lBcEaU4o8teT1piV-SNzShjg/edit?gid=554141278#gid=554141278"", ""'Char Def. - Attributes'!C20:C2242""), 1,false)"),"PLANT_BUY")</f>
        <v>PLANT_BUY</v>
      </c>
      <c r="I11251" s="136"/>
      <c r="R11251" s="63" t="str">
        <f t="shared" si="60"/>
        <v>ZSI1_MTR_GEN_COMPPLANT_BUY</v>
      </c>
    </row>
    <row r="11252" ht="15.75" customHeight="1">
      <c r="B11252" s="63">
        <f t="shared" si="1"/>
        <v>17</v>
      </c>
      <c r="C11252" s="135" t="s">
        <v>300</v>
      </c>
      <c r="D11252" s="161" t="s">
        <v>74</v>
      </c>
      <c r="E11252" s="135">
        <f t="shared" si="62"/>
        <v>8</v>
      </c>
      <c r="F11252" s="134" t="s">
        <v>4904</v>
      </c>
      <c r="G11252" s="63" t="str">
        <f>VLOOKUP(C11252, 'Class Def. - General Data'!$C$20:$C$1000,1,false)</f>
        <v>ZSI1_MTR_GEN_COMP</v>
      </c>
      <c r="H11252" s="63" t="str">
        <f>IFERROR(__xludf.DUMMYFUNCTION("VLOOKUP(F11252, IMPORTRANGE(""https://docs.google.com/spreadsheets/d/1Lhp9OU0JdFf_VYSMzH5lBcEaU4o8teT1piV-SNzShjg/edit?gid=554141278#gid=554141278"", ""'Char Def. - Attributes'!C20:C2242""), 1,false)"),"BASE_UOM_MTR_GEN_COMP")</f>
        <v>BASE_UOM_MTR_GEN_COMP</v>
      </c>
      <c r="I11252" s="136"/>
      <c r="R11252" s="63" t="str">
        <f t="shared" si="60"/>
        <v>ZSI1_MTR_GEN_COMPBASE_UOM_MTR_GEN_COMP</v>
      </c>
    </row>
    <row r="11253" ht="15.75" customHeight="1">
      <c r="B11253" s="63">
        <f t="shared" si="1"/>
        <v>17</v>
      </c>
      <c r="C11253" s="135" t="s">
        <v>300</v>
      </c>
      <c r="D11253" s="161" t="s">
        <v>74</v>
      </c>
      <c r="E11253" s="135">
        <f t="shared" si="62"/>
        <v>9</v>
      </c>
      <c r="F11253" s="134" t="s">
        <v>4905</v>
      </c>
      <c r="G11253" s="63" t="str">
        <f>VLOOKUP(C11253, 'Class Def. - General Data'!$C$20:$C$1000,1,false)</f>
        <v>ZSI1_MTR_GEN_COMP</v>
      </c>
      <c r="H11253" s="63" t="str">
        <f>IFERROR(__xludf.DUMMYFUNCTION("VLOOKUP(F11253, IMPORTRANGE(""https://docs.google.com/spreadsheets/d/1Lhp9OU0JdFf_VYSMzH5lBcEaU4o8teT1piV-SNzShjg/edit?gid=554141278#gid=554141278"", ""'Char Def. - Attributes'!C20:C2242""), 1,false)"),"ORDER_UNIT_MTR_GEN_COMP")</f>
        <v>ORDER_UNIT_MTR_GEN_COMP</v>
      </c>
      <c r="I11253" s="136"/>
      <c r="R11253" s="63" t="str">
        <f t="shared" si="60"/>
        <v>ZSI1_MTR_GEN_COMPORDER_UNIT_MTR_GEN_COMP</v>
      </c>
    </row>
    <row r="11254" ht="15.75" customHeight="1">
      <c r="B11254" s="63">
        <f t="shared" si="1"/>
        <v>17</v>
      </c>
      <c r="C11254" s="135" t="s">
        <v>300</v>
      </c>
      <c r="D11254" s="161" t="s">
        <v>74</v>
      </c>
      <c r="E11254" s="135">
        <f t="shared" si="62"/>
        <v>10</v>
      </c>
      <c r="F11254" s="134" t="s">
        <v>4056</v>
      </c>
      <c r="G11254" s="63" t="str">
        <f>VLOOKUP(C11254, 'Class Def. - General Data'!$C$20:$C$1000,1,false)</f>
        <v>ZSI1_MTR_GEN_COMP</v>
      </c>
      <c r="H11254" s="63" t="str">
        <f>IFERROR(__xludf.DUMMYFUNCTION("VLOOKUP(F11254, IMPORTRANGE(""https://docs.google.com/spreadsheets/d/1Lhp9OU0JdFf_VYSMzH5lBcEaU4o8teT1piV-SNzShjg/edit?gid=554141278#gid=554141278"", ""'Char Def. - Attributes'!C20:C2242""), 1,false)"),"GROSS_WEIGHT_OPT")</f>
        <v>GROSS_WEIGHT_OPT</v>
      </c>
      <c r="I11254" s="136"/>
      <c r="R11254" s="63" t="str">
        <f t="shared" si="60"/>
        <v>ZSI1_MTR_GEN_COMPGROSS_WEIGHT_OPT</v>
      </c>
    </row>
    <row r="11255" ht="15.75" customHeight="1">
      <c r="B11255" s="63">
        <f t="shared" si="1"/>
        <v>17</v>
      </c>
      <c r="C11255" s="135" t="s">
        <v>300</v>
      </c>
      <c r="D11255" s="161" t="s">
        <v>74</v>
      </c>
      <c r="E11255" s="135">
        <f t="shared" si="62"/>
        <v>11</v>
      </c>
      <c r="F11255" s="134" t="s">
        <v>4057</v>
      </c>
      <c r="G11255" s="63" t="str">
        <f>VLOOKUP(C11255, 'Class Def. - General Data'!$C$20:$C$1000,1,false)</f>
        <v>ZSI1_MTR_GEN_COMP</v>
      </c>
      <c r="H11255" s="63" t="str">
        <f>IFERROR(__xludf.DUMMYFUNCTION("VLOOKUP(F11255, IMPORTRANGE(""https://docs.google.com/spreadsheets/d/1Lhp9OU0JdFf_VYSMzH5lBcEaU4o8teT1piV-SNzShjg/edit?gid=554141278#gid=554141278"", ""'Char Def. - Attributes'!C20:C2242""), 1,false)"),"NET_WEIGHT_OPT")</f>
        <v>NET_WEIGHT_OPT</v>
      </c>
      <c r="I11255" s="136"/>
      <c r="R11255" s="63" t="str">
        <f t="shared" si="60"/>
        <v>ZSI1_MTR_GEN_COMPNET_WEIGHT_OPT</v>
      </c>
    </row>
    <row r="11256" ht="15.75" customHeight="1">
      <c r="B11256" s="63">
        <f t="shared" si="1"/>
        <v>17</v>
      </c>
      <c r="C11256" s="135" t="s">
        <v>300</v>
      </c>
      <c r="D11256" s="161" t="s">
        <v>74</v>
      </c>
      <c r="E11256" s="135">
        <f t="shared" si="62"/>
        <v>12</v>
      </c>
      <c r="F11256" s="134" t="s">
        <v>4058</v>
      </c>
      <c r="G11256" s="63" t="str">
        <f>VLOOKUP(C11256, 'Class Def. - General Data'!$C$20:$C$1000,1,false)</f>
        <v>ZSI1_MTR_GEN_COMP</v>
      </c>
      <c r="H11256" s="63" t="str">
        <f>IFERROR(__xludf.DUMMYFUNCTION("VLOOKUP(F11256, IMPORTRANGE(""https://docs.google.com/spreadsheets/d/1Lhp9OU0JdFf_VYSMzH5lBcEaU4o8teT1piV-SNzShjg/edit?gid=554141278#gid=554141278"", ""'Char Def. - Attributes'!C20:C2242""), 1,false)"),"WEIGHT_UNIT_SI")</f>
        <v>WEIGHT_UNIT_SI</v>
      </c>
      <c r="I11256" s="136"/>
      <c r="R11256" s="63" t="str">
        <f t="shared" si="60"/>
        <v>ZSI1_MTR_GEN_COMPWEIGHT_UNIT_SI</v>
      </c>
    </row>
    <row r="11257" ht="15.75" customHeight="1">
      <c r="B11257" s="63">
        <f t="shared" si="1"/>
        <v>17</v>
      </c>
      <c r="C11257" s="135" t="s">
        <v>300</v>
      </c>
      <c r="D11257" s="161" t="s">
        <v>74</v>
      </c>
      <c r="E11257" s="135">
        <f t="shared" si="62"/>
        <v>13</v>
      </c>
      <c r="F11257" s="134" t="s">
        <v>3877</v>
      </c>
      <c r="G11257" s="63" t="str">
        <f>VLOOKUP(C11257, 'Class Def. - General Data'!$C$20:$C$1000,1,false)</f>
        <v>ZSI1_MTR_GEN_COMP</v>
      </c>
      <c r="H11257" s="63" t="str">
        <f>IFERROR(__xludf.DUMMYFUNCTION("VLOOKUP(F11257, IMPORTRANGE(""https://docs.google.com/spreadsheets/d/1Lhp9OU0JdFf_VYSMzH5lBcEaU4o8teT1piV-SNzShjg/edit?gid=554141278#gid=554141278"", ""'Char Def. - Attributes'!C20:C2242""), 1,false)"),"VOLUME_OPT")</f>
        <v>VOLUME_OPT</v>
      </c>
      <c r="I11257" s="136"/>
      <c r="R11257" s="63" t="str">
        <f t="shared" si="60"/>
        <v>ZSI1_MTR_GEN_COMPVOLUME_OPT</v>
      </c>
    </row>
    <row r="11258" ht="15.75" customHeight="1">
      <c r="B11258" s="63">
        <f t="shared" si="1"/>
        <v>17</v>
      </c>
      <c r="C11258" s="135" t="s">
        <v>300</v>
      </c>
      <c r="D11258" s="161" t="s">
        <v>74</v>
      </c>
      <c r="E11258" s="135">
        <f t="shared" si="62"/>
        <v>14</v>
      </c>
      <c r="F11258" s="134" t="s">
        <v>4059</v>
      </c>
      <c r="G11258" s="63" t="str">
        <f>VLOOKUP(C11258, 'Class Def. - General Data'!$C$20:$C$1000,1,false)</f>
        <v>ZSI1_MTR_GEN_COMP</v>
      </c>
      <c r="H11258" s="63" t="str">
        <f>IFERROR(__xludf.DUMMYFUNCTION("VLOOKUP(F11258, IMPORTRANGE(""https://docs.google.com/spreadsheets/d/1Lhp9OU0JdFf_VYSMzH5lBcEaU4o8teT1piV-SNzShjg/edit?gid=554141278#gid=554141278"", ""'Char Def. - Attributes'!C20:C2242""), 1,false)"),"VOLUME_UNIT_SI")</f>
        <v>VOLUME_UNIT_SI</v>
      </c>
      <c r="I11258" s="136"/>
      <c r="R11258" s="63" t="str">
        <f t="shared" si="60"/>
        <v>ZSI1_MTR_GEN_COMPVOLUME_UNIT_SI</v>
      </c>
    </row>
    <row r="11259" ht="15.75" customHeight="1">
      <c r="B11259" s="63">
        <f t="shared" si="1"/>
        <v>17</v>
      </c>
      <c r="C11259" s="135" t="s">
        <v>300</v>
      </c>
      <c r="D11259" s="161" t="s">
        <v>74</v>
      </c>
      <c r="E11259" s="135">
        <f t="shared" si="62"/>
        <v>15</v>
      </c>
      <c r="F11259" s="134" t="s">
        <v>3804</v>
      </c>
      <c r="G11259" s="63" t="str">
        <f>VLOOKUP(C11259, 'Class Def. - General Data'!$C$20:$C$1000,1,false)</f>
        <v>ZSI1_MTR_GEN_COMP</v>
      </c>
      <c r="H11259" s="63" t="str">
        <f>IFERROR(__xludf.DUMMYFUNCTION("VLOOKUP(F11259, IMPORTRANGE(""https://docs.google.com/spreadsheets/d/1Lhp9OU0JdFf_VYSMzH5lBcEaU4o8teT1piV-SNzShjg/edit?gid=554141278#gid=554141278"", ""'Char Def. - Attributes'!C20:C2242""), 1,false)"),"ALT_UOM1_SIPI")</f>
        <v>ALT_UOM1_SIPI</v>
      </c>
      <c r="I11259" s="136"/>
      <c r="R11259" s="63" t="str">
        <f t="shared" si="60"/>
        <v>ZSI1_MTR_GEN_COMPALT_UOM1_SIPI</v>
      </c>
    </row>
    <row r="11260" ht="15.75" customHeight="1">
      <c r="B11260" s="63">
        <f t="shared" si="1"/>
        <v>17</v>
      </c>
      <c r="C11260" s="135" t="s">
        <v>300</v>
      </c>
      <c r="D11260" s="161" t="s">
        <v>74</v>
      </c>
      <c r="E11260" s="135">
        <f t="shared" si="62"/>
        <v>16</v>
      </c>
      <c r="F11260" s="134" t="s">
        <v>3805</v>
      </c>
      <c r="G11260" s="63" t="str">
        <f>VLOOKUP(C11260, 'Class Def. - General Data'!$C$20:$C$1000,1,false)</f>
        <v>ZSI1_MTR_GEN_COMP</v>
      </c>
      <c r="H11260" s="63" t="str">
        <f>IFERROR(__xludf.DUMMYFUNCTION("VLOOKUP(F11260, IMPORTRANGE(""https://docs.google.com/spreadsheets/d/1Lhp9OU0JdFf_VYSMzH5lBcEaU4o8teT1piV-SNzShjg/edit?gid=554141278#gid=554141278"", ""'Char Def. - Attributes'!C20:C2242""), 1,false)"),"ALT_DENUM_UOM1")</f>
        <v>ALT_DENUM_UOM1</v>
      </c>
      <c r="I11260" s="136"/>
      <c r="R11260" s="63" t="str">
        <f t="shared" si="60"/>
        <v>ZSI1_MTR_GEN_COMPALT_DENUM_UOM1</v>
      </c>
    </row>
    <row r="11261" ht="15.75" customHeight="1">
      <c r="B11261" s="63">
        <f t="shared" si="1"/>
        <v>17</v>
      </c>
      <c r="C11261" s="135" t="s">
        <v>300</v>
      </c>
      <c r="D11261" s="161" t="s">
        <v>74</v>
      </c>
      <c r="E11261" s="135">
        <f t="shared" si="62"/>
        <v>17</v>
      </c>
      <c r="F11261" s="134" t="s">
        <v>3806</v>
      </c>
      <c r="G11261" s="63" t="str">
        <f>VLOOKUP(C11261, 'Class Def. - General Data'!$C$20:$C$1000,1,false)</f>
        <v>ZSI1_MTR_GEN_COMP</v>
      </c>
      <c r="H11261" s="63" t="str">
        <f>IFERROR(__xludf.DUMMYFUNCTION("VLOOKUP(F11261, IMPORTRANGE(""https://docs.google.com/spreadsheets/d/1Lhp9OU0JdFf_VYSMzH5lBcEaU4o8teT1piV-SNzShjg/edit?gid=554141278#gid=554141278"", ""'Char Def. - Attributes'!C20:C2242""), 1,false)"),"ALT_NUM_UOM1")</f>
        <v>ALT_NUM_UOM1</v>
      </c>
      <c r="I11261" s="136"/>
      <c r="R11261" s="63" t="str">
        <f t="shared" si="60"/>
        <v>ZSI1_MTR_GEN_COMPALT_NUM_UOM1</v>
      </c>
    </row>
    <row r="11262" ht="15.75" customHeight="1">
      <c r="B11262" s="63">
        <f t="shared" si="1"/>
        <v>17</v>
      </c>
      <c r="C11262" s="135" t="s">
        <v>300</v>
      </c>
      <c r="D11262" s="161" t="s">
        <v>74</v>
      </c>
      <c r="E11262" s="135">
        <f t="shared" si="62"/>
        <v>18</v>
      </c>
      <c r="F11262" s="134" t="s">
        <v>3807</v>
      </c>
      <c r="G11262" s="63" t="str">
        <f>VLOOKUP(C11262, 'Class Def. - General Data'!$C$20:$C$1000,1,false)</f>
        <v>ZSI1_MTR_GEN_COMP</v>
      </c>
      <c r="H11262" s="63" t="str">
        <f>IFERROR(__xludf.DUMMYFUNCTION("VLOOKUP(F11262, IMPORTRANGE(""https://docs.google.com/spreadsheets/d/1Lhp9OU0JdFf_VYSMzH5lBcEaU4o8teT1piV-SNzShjg/edit?gid=554141278#gid=554141278"", ""'Char Def. - Attributes'!C20:C2242""), 1,false)"),"ALT_UOM2_SIPI")</f>
        <v>ALT_UOM2_SIPI</v>
      </c>
      <c r="I11262" s="136"/>
      <c r="R11262" s="63" t="str">
        <f t="shared" si="60"/>
        <v>ZSI1_MTR_GEN_COMPALT_UOM2_SIPI</v>
      </c>
    </row>
    <row r="11263" ht="15.75" customHeight="1">
      <c r="B11263" s="63">
        <f t="shared" si="1"/>
        <v>17</v>
      </c>
      <c r="C11263" s="135" t="s">
        <v>300</v>
      </c>
      <c r="D11263" s="161" t="s">
        <v>74</v>
      </c>
      <c r="E11263" s="135">
        <f t="shared" si="62"/>
        <v>19</v>
      </c>
      <c r="F11263" s="134" t="s">
        <v>3808</v>
      </c>
      <c r="G11263" s="63" t="str">
        <f>VLOOKUP(C11263, 'Class Def. - General Data'!$C$20:$C$1000,1,false)</f>
        <v>ZSI1_MTR_GEN_COMP</v>
      </c>
      <c r="H11263" s="63" t="str">
        <f>IFERROR(__xludf.DUMMYFUNCTION("VLOOKUP(F11263, IMPORTRANGE(""https://docs.google.com/spreadsheets/d/1Lhp9OU0JdFf_VYSMzH5lBcEaU4o8teT1piV-SNzShjg/edit?gid=554141278#gid=554141278"", ""'Char Def. - Attributes'!C20:C2242""), 1,false)"),"ALT_DENUM_UOM2")</f>
        <v>ALT_DENUM_UOM2</v>
      </c>
      <c r="I11263" s="136"/>
      <c r="R11263" s="63" t="str">
        <f t="shared" si="60"/>
        <v>ZSI1_MTR_GEN_COMPALT_DENUM_UOM2</v>
      </c>
    </row>
    <row r="11264" ht="15.75" customHeight="1">
      <c r="B11264" s="63">
        <f t="shared" si="1"/>
        <v>17</v>
      </c>
      <c r="C11264" s="135" t="s">
        <v>300</v>
      </c>
      <c r="D11264" s="161" t="s">
        <v>74</v>
      </c>
      <c r="E11264" s="135">
        <f t="shared" si="62"/>
        <v>20</v>
      </c>
      <c r="F11264" s="134" t="s">
        <v>3809</v>
      </c>
      <c r="G11264" s="63" t="str">
        <f>VLOOKUP(C11264, 'Class Def. - General Data'!$C$20:$C$1000,1,false)</f>
        <v>ZSI1_MTR_GEN_COMP</v>
      </c>
      <c r="H11264" s="63" t="str">
        <f>IFERROR(__xludf.DUMMYFUNCTION("VLOOKUP(F11264, IMPORTRANGE(""https://docs.google.com/spreadsheets/d/1Lhp9OU0JdFf_VYSMzH5lBcEaU4o8teT1piV-SNzShjg/edit?gid=554141278#gid=554141278"", ""'Char Def. - Attributes'!C20:C2242""), 1,false)"),"ALT_NUM_UOM2")</f>
        <v>ALT_NUM_UOM2</v>
      </c>
      <c r="I11264" s="136"/>
      <c r="R11264" s="63" t="str">
        <f t="shared" si="60"/>
        <v>ZSI1_MTR_GEN_COMPALT_NUM_UOM2</v>
      </c>
    </row>
    <row r="11265" ht="15.75" customHeight="1">
      <c r="B11265" s="63">
        <f t="shared" si="1"/>
        <v>17</v>
      </c>
      <c r="C11265" s="135" t="s">
        <v>300</v>
      </c>
      <c r="D11265" s="161" t="s">
        <v>74</v>
      </c>
      <c r="E11265" s="135">
        <f t="shared" si="62"/>
        <v>21</v>
      </c>
      <c r="F11265" s="134" t="s">
        <v>3810</v>
      </c>
      <c r="G11265" s="63" t="str">
        <f>VLOOKUP(C11265, 'Class Def. - General Data'!$C$20:$C$1000,1,false)</f>
        <v>ZSI1_MTR_GEN_COMP</v>
      </c>
      <c r="H11265" s="63" t="str">
        <f>IFERROR(__xludf.DUMMYFUNCTION("VLOOKUP(F11265, IMPORTRANGE(""https://docs.google.com/spreadsheets/d/1Lhp9OU0JdFf_VYSMzH5lBcEaU4o8teT1piV-SNzShjg/edit?gid=554141278#gid=554141278"", ""'Char Def. - Attributes'!C20:C2242""), 1,false)"),"ALT_UOM3_SIPI")</f>
        <v>ALT_UOM3_SIPI</v>
      </c>
      <c r="I11265" s="136"/>
      <c r="R11265" s="63" t="str">
        <f t="shared" si="60"/>
        <v>ZSI1_MTR_GEN_COMPALT_UOM3_SIPI</v>
      </c>
    </row>
    <row r="11266" ht="15.75" customHeight="1">
      <c r="B11266" s="63">
        <f t="shared" si="1"/>
        <v>17</v>
      </c>
      <c r="C11266" s="135" t="s">
        <v>300</v>
      </c>
      <c r="D11266" s="161" t="s">
        <v>74</v>
      </c>
      <c r="E11266" s="135">
        <f t="shared" si="62"/>
        <v>22</v>
      </c>
      <c r="F11266" s="134" t="s">
        <v>3811</v>
      </c>
      <c r="G11266" s="63" t="str">
        <f>VLOOKUP(C11266, 'Class Def. - General Data'!$C$20:$C$1000,1,false)</f>
        <v>ZSI1_MTR_GEN_COMP</v>
      </c>
      <c r="H11266" s="63" t="str">
        <f>IFERROR(__xludf.DUMMYFUNCTION("VLOOKUP(F11266, IMPORTRANGE(""https://docs.google.com/spreadsheets/d/1Lhp9OU0JdFf_VYSMzH5lBcEaU4o8teT1piV-SNzShjg/edit?gid=554141278#gid=554141278"", ""'Char Def. - Attributes'!C20:C2242""), 1,false)"),"ALT_DENUM_UOM3")</f>
        <v>ALT_DENUM_UOM3</v>
      </c>
      <c r="I11266" s="136"/>
      <c r="R11266" s="63" t="str">
        <f t="shared" si="60"/>
        <v>ZSI1_MTR_GEN_COMPALT_DENUM_UOM3</v>
      </c>
    </row>
    <row r="11267" ht="15.75" customHeight="1">
      <c r="B11267" s="63">
        <f t="shared" si="1"/>
        <v>17</v>
      </c>
      <c r="C11267" s="135" t="s">
        <v>300</v>
      </c>
      <c r="D11267" s="161" t="s">
        <v>74</v>
      </c>
      <c r="E11267" s="135">
        <f t="shared" si="62"/>
        <v>23</v>
      </c>
      <c r="F11267" s="134" t="s">
        <v>3812</v>
      </c>
      <c r="G11267" s="63" t="str">
        <f>VLOOKUP(C11267, 'Class Def. - General Data'!$C$20:$C$1000,1,false)</f>
        <v>ZSI1_MTR_GEN_COMP</v>
      </c>
      <c r="H11267" s="63" t="str">
        <f>IFERROR(__xludf.DUMMYFUNCTION("VLOOKUP(F11267, IMPORTRANGE(""https://docs.google.com/spreadsheets/d/1Lhp9OU0JdFf_VYSMzH5lBcEaU4o8teT1piV-SNzShjg/edit?gid=554141278#gid=554141278"", ""'Char Def. - Attributes'!C20:C2242""), 1,false)"),"ALT_NUM_UOM3")</f>
        <v>ALT_NUM_UOM3</v>
      </c>
      <c r="I11267" s="136"/>
      <c r="R11267" s="63" t="str">
        <f t="shared" si="60"/>
        <v>ZSI1_MTR_GEN_COMPALT_NUM_UOM3</v>
      </c>
    </row>
    <row r="11268" ht="15.75" customHeight="1">
      <c r="B11268" s="63">
        <f t="shared" si="1"/>
        <v>17</v>
      </c>
      <c r="C11268" s="135" t="s">
        <v>300</v>
      </c>
      <c r="D11268" s="161" t="s">
        <v>74</v>
      </c>
      <c r="E11268" s="135">
        <f t="shared" si="62"/>
        <v>24</v>
      </c>
      <c r="F11268" s="134" t="s">
        <v>3813</v>
      </c>
      <c r="G11268" s="63" t="str">
        <f>VLOOKUP(C11268, 'Class Def. - General Data'!$C$20:$C$1000,1,false)</f>
        <v>ZSI1_MTR_GEN_COMP</v>
      </c>
      <c r="H11268" s="63" t="str">
        <f>IFERROR(__xludf.DUMMYFUNCTION("VLOOKUP(F11268, IMPORTRANGE(""https://docs.google.com/spreadsheets/d/1Lhp9OU0JdFf_VYSMzH5lBcEaU4o8teT1piV-SNzShjg/edit?gid=554141278#gid=554141278"", ""'Char Def. - Attributes'!C20:C2242""), 1,false)"),"ALT_UOM4_SIPI")</f>
        <v>ALT_UOM4_SIPI</v>
      </c>
      <c r="I11268" s="136"/>
      <c r="R11268" s="63" t="str">
        <f t="shared" si="60"/>
        <v>ZSI1_MTR_GEN_COMPALT_UOM4_SIPI</v>
      </c>
    </row>
    <row r="11269" ht="15.75" customHeight="1">
      <c r="B11269" s="63">
        <f t="shared" si="1"/>
        <v>17</v>
      </c>
      <c r="C11269" s="135" t="s">
        <v>300</v>
      </c>
      <c r="D11269" s="161" t="s">
        <v>74</v>
      </c>
      <c r="E11269" s="135">
        <f t="shared" si="62"/>
        <v>25</v>
      </c>
      <c r="F11269" s="134" t="s">
        <v>3814</v>
      </c>
      <c r="G11269" s="63" t="str">
        <f>VLOOKUP(C11269, 'Class Def. - General Data'!$C$20:$C$1000,1,false)</f>
        <v>ZSI1_MTR_GEN_COMP</v>
      </c>
      <c r="H11269" s="63" t="str">
        <f>IFERROR(__xludf.DUMMYFUNCTION("VLOOKUP(F11269, IMPORTRANGE(""https://docs.google.com/spreadsheets/d/1Lhp9OU0JdFf_VYSMzH5lBcEaU4o8teT1piV-SNzShjg/edit?gid=554141278#gid=554141278"", ""'Char Def. - Attributes'!C20:C2242""), 1,false)"),"ALT_DENUM_UOM4")</f>
        <v>ALT_DENUM_UOM4</v>
      </c>
      <c r="I11269" s="136"/>
      <c r="R11269" s="63" t="str">
        <f t="shared" si="60"/>
        <v>ZSI1_MTR_GEN_COMPALT_DENUM_UOM4</v>
      </c>
    </row>
    <row r="11270" ht="15.75" customHeight="1">
      <c r="B11270" s="63">
        <f t="shared" si="1"/>
        <v>17</v>
      </c>
      <c r="C11270" s="135" t="s">
        <v>300</v>
      </c>
      <c r="D11270" s="161" t="s">
        <v>74</v>
      </c>
      <c r="E11270" s="135">
        <f t="shared" si="62"/>
        <v>26</v>
      </c>
      <c r="F11270" s="134" t="s">
        <v>3815</v>
      </c>
      <c r="G11270" s="63" t="str">
        <f>VLOOKUP(C11270, 'Class Def. - General Data'!$C$20:$C$1000,1,false)</f>
        <v>ZSI1_MTR_GEN_COMP</v>
      </c>
      <c r="H11270" s="63" t="str">
        <f>IFERROR(__xludf.DUMMYFUNCTION("VLOOKUP(F11270, IMPORTRANGE(""https://docs.google.com/spreadsheets/d/1Lhp9OU0JdFf_VYSMzH5lBcEaU4o8teT1piV-SNzShjg/edit?gid=554141278#gid=554141278"", ""'Char Def. - Attributes'!C20:C2242""), 1,false)"),"ALT_NUM_UOM4")</f>
        <v>ALT_NUM_UOM4</v>
      </c>
      <c r="I11270" s="136"/>
      <c r="R11270" s="63" t="str">
        <f t="shared" si="60"/>
        <v>ZSI1_MTR_GEN_COMPALT_NUM_UOM4</v>
      </c>
    </row>
    <row r="11271" ht="15.75" customHeight="1">
      <c r="B11271" s="63">
        <f t="shared" si="1"/>
        <v>17</v>
      </c>
      <c r="C11271" s="135" t="s">
        <v>300</v>
      </c>
      <c r="D11271" s="161" t="s">
        <v>74</v>
      </c>
      <c r="E11271" s="135">
        <f t="shared" si="62"/>
        <v>27</v>
      </c>
      <c r="F11271" s="134" t="s">
        <v>3816</v>
      </c>
      <c r="G11271" s="63" t="str">
        <f>VLOOKUP(C11271, 'Class Def. - General Data'!$C$20:$C$1000,1,false)</f>
        <v>ZSI1_MTR_GEN_COMP</v>
      </c>
      <c r="H11271" s="63" t="str">
        <f>IFERROR(__xludf.DUMMYFUNCTION("VLOOKUP(F11271, IMPORTRANGE(""https://docs.google.com/spreadsheets/d/1Lhp9OU0JdFf_VYSMzH5lBcEaU4o8teT1piV-SNzShjg/edit?gid=554141278#gid=554141278"", ""'Char Def. - Attributes'!C20:C2242""), 1,false)"),"ALT_UOM5_SIPI")</f>
        <v>ALT_UOM5_SIPI</v>
      </c>
      <c r="I11271" s="136"/>
      <c r="R11271" s="63" t="str">
        <f t="shared" si="60"/>
        <v>ZSI1_MTR_GEN_COMPALT_UOM5_SIPI</v>
      </c>
    </row>
    <row r="11272" ht="15.75" customHeight="1">
      <c r="B11272" s="63">
        <f t="shared" si="1"/>
        <v>17</v>
      </c>
      <c r="C11272" s="135" t="s">
        <v>300</v>
      </c>
      <c r="D11272" s="161" t="s">
        <v>74</v>
      </c>
      <c r="E11272" s="135">
        <f t="shared" si="62"/>
        <v>28</v>
      </c>
      <c r="F11272" s="134" t="s">
        <v>3817</v>
      </c>
      <c r="G11272" s="63" t="str">
        <f>VLOOKUP(C11272, 'Class Def. - General Data'!$C$20:$C$1000,1,false)</f>
        <v>ZSI1_MTR_GEN_COMP</v>
      </c>
      <c r="H11272" s="63" t="str">
        <f>IFERROR(__xludf.DUMMYFUNCTION("VLOOKUP(F11272, IMPORTRANGE(""https://docs.google.com/spreadsheets/d/1Lhp9OU0JdFf_VYSMzH5lBcEaU4o8teT1piV-SNzShjg/edit?gid=554141278#gid=554141278"", ""'Char Def. - Attributes'!C20:C2242""), 1,false)"),"ALT_DENUM_UOM5")</f>
        <v>ALT_DENUM_UOM5</v>
      </c>
      <c r="I11272" s="136"/>
      <c r="R11272" s="63" t="str">
        <f t="shared" si="60"/>
        <v>ZSI1_MTR_GEN_COMPALT_DENUM_UOM5</v>
      </c>
    </row>
    <row r="11273" ht="15.75" customHeight="1">
      <c r="B11273" s="63">
        <f t="shared" si="1"/>
        <v>17</v>
      </c>
      <c r="C11273" s="135" t="s">
        <v>300</v>
      </c>
      <c r="D11273" s="161" t="s">
        <v>74</v>
      </c>
      <c r="E11273" s="135">
        <f t="shared" si="62"/>
        <v>29</v>
      </c>
      <c r="F11273" s="134" t="s">
        <v>3818</v>
      </c>
      <c r="G11273" s="63" t="str">
        <f>VLOOKUP(C11273, 'Class Def. - General Data'!$C$20:$C$1000,1,false)</f>
        <v>ZSI1_MTR_GEN_COMP</v>
      </c>
      <c r="H11273" s="63" t="str">
        <f>IFERROR(__xludf.DUMMYFUNCTION("VLOOKUP(F11273, IMPORTRANGE(""https://docs.google.com/spreadsheets/d/1Lhp9OU0JdFf_VYSMzH5lBcEaU4o8teT1piV-SNzShjg/edit?gid=554141278#gid=554141278"", ""'Char Def. - Attributes'!C20:C2242""), 1,false)"),"ALT_NUM_UOM5")</f>
        <v>ALT_NUM_UOM5</v>
      </c>
      <c r="I11273" s="136"/>
      <c r="R11273" s="63" t="str">
        <f t="shared" si="60"/>
        <v>ZSI1_MTR_GEN_COMPALT_NUM_UOM5</v>
      </c>
    </row>
    <row r="11274" ht="15.75" customHeight="1">
      <c r="B11274" s="63">
        <f t="shared" si="1"/>
        <v>10</v>
      </c>
      <c r="C11274" s="135" t="s">
        <v>422</v>
      </c>
      <c r="D11274" s="161" t="s">
        <v>74</v>
      </c>
      <c r="E11274" s="135">
        <f t="shared" si="62"/>
        <v>1</v>
      </c>
      <c r="F11274" s="134" t="s">
        <v>4906</v>
      </c>
      <c r="G11274" s="63" t="str">
        <f>VLOOKUP(C11274, 'Class Def. - General Data'!$C$20:$C$1000,1,false)</f>
        <v>ZSI1_NAILS</v>
      </c>
      <c r="H11274" s="63" t="str">
        <f>IFERROR(__xludf.DUMMYFUNCTION("VLOOKUP(F11274, IMPORTRANGE(""https://docs.google.com/spreadsheets/d/1Lhp9OU0JdFf_VYSMzH5lBcEaU4o8teT1piV-SNzShjg/edit?gid=554141278#gid=554141278"", ""'Char Def. - Attributes'!C20:C2242""), 1,false)"),"ITEM_NAME_NAILS")</f>
        <v>ITEM_NAME_NAILS</v>
      </c>
      <c r="I11274" s="136"/>
      <c r="R11274" s="63" t="str">
        <f t="shared" si="60"/>
        <v>ZSI1_NAILSITEM_NAME_NAILS</v>
      </c>
    </row>
    <row r="11275" ht="15.75" customHeight="1">
      <c r="B11275" s="63">
        <f t="shared" si="1"/>
        <v>10</v>
      </c>
      <c r="C11275" s="135" t="s">
        <v>422</v>
      </c>
      <c r="D11275" s="161" t="s">
        <v>74</v>
      </c>
      <c r="E11275" s="135">
        <f t="shared" si="62"/>
        <v>2</v>
      </c>
      <c r="F11275" s="134" t="s">
        <v>4907</v>
      </c>
      <c r="G11275" s="63" t="str">
        <f>VLOOKUP(C11275, 'Class Def. - General Data'!$C$20:$C$1000,1,false)</f>
        <v>ZSI1_NAILS</v>
      </c>
      <c r="H11275" s="63" t="str">
        <f>IFERROR(__xludf.DUMMYFUNCTION("VLOOKUP(F11275, IMPORTRANGE(""https://docs.google.com/spreadsheets/d/1Lhp9OU0JdFf_VYSMzH5lBcEaU4o8teT1piV-SNzShjg/edit?gid=554141278#gid=554141278"", ""'Char Def. - Attributes'!C20:C2242""), 1,false)"),"#N/A")</f>
        <v>#N/A</v>
      </c>
      <c r="I11275" s="136"/>
      <c r="R11275" s="63" t="str">
        <f t="shared" si="60"/>
        <v>ZSI1_NAILSDIMENSION_NAILS</v>
      </c>
    </row>
    <row r="11276" ht="15.75" customHeight="1">
      <c r="B11276" s="63">
        <f t="shared" si="1"/>
        <v>10</v>
      </c>
      <c r="C11276" s="135" t="s">
        <v>422</v>
      </c>
      <c r="D11276" s="161" t="s">
        <v>74</v>
      </c>
      <c r="E11276" s="135">
        <f t="shared" si="62"/>
        <v>3</v>
      </c>
      <c r="F11276" s="134" t="s">
        <v>4908</v>
      </c>
      <c r="G11276" s="63" t="str">
        <f>VLOOKUP(C11276, 'Class Def. - General Data'!$C$20:$C$1000,1,false)</f>
        <v>ZSI1_NAILS</v>
      </c>
      <c r="H11276" s="63" t="str">
        <f>IFERROR(__xludf.DUMMYFUNCTION("VLOOKUP(F11276, IMPORTRANGE(""https://docs.google.com/spreadsheets/d/1Lhp9OU0JdFf_VYSMzH5lBcEaU4o8teT1piV-SNzShjg/edit?gid=554141278#gid=554141278"", ""'Char Def. - Attributes'!C20:C2242""), 1,false)"),"#N/A")</f>
        <v>#N/A</v>
      </c>
      <c r="I11276" s="136"/>
      <c r="R11276" s="63" t="str">
        <f t="shared" si="60"/>
        <v>ZSI1_NAILSRIVET_TYPE_NAILS</v>
      </c>
    </row>
    <row r="11277" ht="15.75" customHeight="1">
      <c r="B11277" s="63">
        <f t="shared" si="1"/>
        <v>10</v>
      </c>
      <c r="C11277" s="135" t="s">
        <v>422</v>
      </c>
      <c r="D11277" s="161" t="s">
        <v>74</v>
      </c>
      <c r="E11277" s="135">
        <f t="shared" si="62"/>
        <v>4</v>
      </c>
      <c r="F11277" s="134" t="s">
        <v>4909</v>
      </c>
      <c r="G11277" s="63" t="str">
        <f>VLOOKUP(C11277, 'Class Def. - General Data'!$C$20:$C$1000,1,false)</f>
        <v>ZSI1_NAILS</v>
      </c>
      <c r="H11277" s="63" t="str">
        <f>IFERROR(__xludf.DUMMYFUNCTION("VLOOKUP(F11277, IMPORTRANGE(""https://docs.google.com/spreadsheets/d/1Lhp9OU0JdFf_VYSMzH5lBcEaU4o8teT1piV-SNzShjg/edit?gid=554141278#gid=554141278"", ""'Char Def. - Attributes'!C20:C2242""), 1,false)"),"DIAMETER_MM_NAILS")</f>
        <v>DIAMETER_MM_NAILS</v>
      </c>
      <c r="I11277" s="136"/>
      <c r="R11277" s="63" t="str">
        <f t="shared" si="60"/>
        <v>ZSI1_NAILSDIAMETER_MM_NAILS</v>
      </c>
    </row>
    <row r="11278" ht="15.75" customHeight="1">
      <c r="B11278" s="63">
        <f t="shared" si="1"/>
        <v>10</v>
      </c>
      <c r="C11278" s="135" t="s">
        <v>422</v>
      </c>
      <c r="D11278" s="161" t="s">
        <v>74</v>
      </c>
      <c r="E11278" s="135">
        <f t="shared" si="62"/>
        <v>5</v>
      </c>
      <c r="F11278" s="134" t="s">
        <v>4910</v>
      </c>
      <c r="G11278" s="63" t="str">
        <f>VLOOKUP(C11278, 'Class Def. - General Data'!$C$20:$C$1000,1,false)</f>
        <v>ZSI1_NAILS</v>
      </c>
      <c r="H11278" s="63" t="str">
        <f>IFERROR(__xludf.DUMMYFUNCTION("VLOOKUP(F11278, IMPORTRANGE(""https://docs.google.com/spreadsheets/d/1Lhp9OU0JdFf_VYSMzH5lBcEaU4o8teT1piV-SNzShjg/edit?gid=554141278#gid=554141278"", ""'Char Def. - Attributes'!C20:C2242""), 1,false)"),"DIAMETER_INCH_NAILS")</f>
        <v>DIAMETER_INCH_NAILS</v>
      </c>
      <c r="I11278" s="136"/>
      <c r="R11278" s="63" t="str">
        <f t="shared" si="60"/>
        <v>ZSI1_NAILSDIAMETER_INCH_NAILS</v>
      </c>
    </row>
    <row r="11279" ht="15.75" customHeight="1">
      <c r="B11279" s="63">
        <f t="shared" si="1"/>
        <v>10</v>
      </c>
      <c r="C11279" s="135" t="s">
        <v>422</v>
      </c>
      <c r="D11279" s="161" t="s">
        <v>74</v>
      </c>
      <c r="E11279" s="135">
        <f t="shared" si="62"/>
        <v>6</v>
      </c>
      <c r="F11279" s="134" t="s">
        <v>4911</v>
      </c>
      <c r="G11279" s="63" t="str">
        <f>VLOOKUP(C11279, 'Class Def. - General Data'!$C$20:$C$1000,1,false)</f>
        <v>ZSI1_NAILS</v>
      </c>
      <c r="H11279" s="63" t="str">
        <f>IFERROR(__xludf.DUMMYFUNCTION("VLOOKUP(F11279, IMPORTRANGE(""https://docs.google.com/spreadsheets/d/1Lhp9OU0JdFf_VYSMzH5lBcEaU4o8teT1piV-SNzShjg/edit?gid=554141278#gid=554141278"", ""'Char Def. - Attributes'!C20:C2242""), 1,false)"),"#N/A")</f>
        <v>#N/A</v>
      </c>
      <c r="I11279" s="136"/>
      <c r="R11279" s="63" t="str">
        <f t="shared" si="60"/>
        <v>ZSI1_NAILSLENGTH_NAILS</v>
      </c>
    </row>
    <row r="11280" ht="15.75" customHeight="1">
      <c r="B11280" s="63">
        <f t="shared" si="1"/>
        <v>10</v>
      </c>
      <c r="C11280" s="135" t="s">
        <v>422</v>
      </c>
      <c r="D11280" s="161" t="s">
        <v>74</v>
      </c>
      <c r="E11280" s="135">
        <f t="shared" si="62"/>
        <v>7</v>
      </c>
      <c r="F11280" s="134" t="s">
        <v>4912</v>
      </c>
      <c r="G11280" s="63" t="str">
        <f>VLOOKUP(C11280, 'Class Def. - General Data'!$C$20:$C$1000,1,false)</f>
        <v>ZSI1_NAILS</v>
      </c>
      <c r="H11280" s="63" t="str">
        <f>IFERROR(__xludf.DUMMYFUNCTION("VLOOKUP(F11280, IMPORTRANGE(""https://docs.google.com/spreadsheets/d/1Lhp9OU0JdFf_VYSMzH5lBcEaU4o8teT1piV-SNzShjg/edit?gid=554141278#gid=554141278"", ""'Char Def. - Attributes'!C20:C2242""), 1,false)"),"MATERIAL_NAILS")</f>
        <v>MATERIAL_NAILS</v>
      </c>
      <c r="I11280" s="136"/>
      <c r="R11280" s="63" t="str">
        <f t="shared" si="60"/>
        <v>ZSI1_NAILSMATERIAL_NAILS</v>
      </c>
    </row>
    <row r="11281" ht="15.75" customHeight="1">
      <c r="B11281" s="63">
        <f t="shared" si="1"/>
        <v>10</v>
      </c>
      <c r="C11281" s="135" t="s">
        <v>422</v>
      </c>
      <c r="D11281" s="161" t="s">
        <v>74</v>
      </c>
      <c r="E11281" s="135">
        <f t="shared" si="62"/>
        <v>8</v>
      </c>
      <c r="F11281" s="134" t="s">
        <v>4913</v>
      </c>
      <c r="G11281" s="63" t="str">
        <f>VLOOKUP(C11281, 'Class Def. - General Data'!$C$20:$C$1000,1,false)</f>
        <v>ZSI1_NAILS</v>
      </c>
      <c r="H11281" s="63" t="str">
        <f>IFERROR(__xludf.DUMMYFUNCTION("VLOOKUP(F11281, IMPORTRANGE(""https://docs.google.com/spreadsheets/d/1Lhp9OU0JdFf_VYSMzH5lBcEaU4o8teT1piV-SNzShjg/edit?gid=554141278#gid=554141278"", ""'Char Def. - Attributes'!C20:C2242""), 1,false)"),"FINISHING_NAILS")</f>
        <v>FINISHING_NAILS</v>
      </c>
      <c r="I11281" s="136"/>
      <c r="R11281" s="63" t="str">
        <f t="shared" si="60"/>
        <v>ZSI1_NAILSFINISHING_NAILS</v>
      </c>
    </row>
    <row r="11282" ht="15.75" customHeight="1">
      <c r="B11282" s="63">
        <f t="shared" si="1"/>
        <v>10</v>
      </c>
      <c r="C11282" s="135" t="s">
        <v>422</v>
      </c>
      <c r="D11282" s="161" t="s">
        <v>74</v>
      </c>
      <c r="E11282" s="135">
        <f t="shared" si="62"/>
        <v>9</v>
      </c>
      <c r="F11282" s="134" t="s">
        <v>3585</v>
      </c>
      <c r="G11282" s="63" t="str">
        <f>VLOOKUP(C11282, 'Class Def. - General Data'!$C$20:$C$1000,1,false)</f>
        <v>ZSI1_NAILS</v>
      </c>
      <c r="H11282" s="63" t="str">
        <f>IFERROR(__xludf.DUMMYFUNCTION("VLOOKUP(F11282, IMPORTRANGE(""https://docs.google.com/spreadsheets/d/1Lhp9OU0JdFf_VYSMzH5lBcEaU4o8teT1piV-SNzShjg/edit?gid=554141278#gid=554141278"", ""'Char Def. - Attributes'!C20:C2242""), 1,false)"),"HS_CODE")</f>
        <v>HS_CODE</v>
      </c>
      <c r="I11282" s="136"/>
      <c r="R11282" s="63" t="str">
        <f t="shared" si="60"/>
        <v>ZSI1_NAILSHS_CODE</v>
      </c>
    </row>
    <row r="11283" ht="15.75" customHeight="1">
      <c r="B11283" s="63">
        <f t="shared" si="1"/>
        <v>10</v>
      </c>
      <c r="C11283" s="135" t="s">
        <v>422</v>
      </c>
      <c r="D11283" s="161" t="s">
        <v>74</v>
      </c>
      <c r="E11283" s="135">
        <f t="shared" si="62"/>
        <v>10</v>
      </c>
      <c r="F11283" s="134" t="s">
        <v>3587</v>
      </c>
      <c r="G11283" s="63" t="str">
        <f>VLOOKUP(C11283, 'Class Def. - General Data'!$C$20:$C$1000,1,false)</f>
        <v>ZSI1_NAILS</v>
      </c>
      <c r="H11283" s="63" t="str">
        <f>IFERROR(__xludf.DUMMYFUNCTION("VLOOKUP(F11283, IMPORTRANGE(""https://docs.google.com/spreadsheets/d/1Lhp9OU0JdFf_VYSMzH5lBcEaU4o8teT1piV-SNzShjg/edit?gid=554141278#gid=554141278"", ""'Char Def. - Attributes'!C20:C2242""), 1,false)"),"PLANT_BUY")</f>
        <v>PLANT_BUY</v>
      </c>
      <c r="I11283" s="136"/>
      <c r="R11283" s="63" t="str">
        <f t="shared" si="60"/>
        <v>ZSI1_NAILSPLANT_BUY</v>
      </c>
    </row>
    <row r="11284" ht="15.75" customHeight="1">
      <c r="B11284" s="63">
        <f t="shared" si="1"/>
        <v>10</v>
      </c>
      <c r="C11284" s="135" t="s">
        <v>422</v>
      </c>
      <c r="D11284" s="161" t="s">
        <v>74</v>
      </c>
      <c r="E11284" s="135">
        <f t="shared" si="62"/>
        <v>11</v>
      </c>
      <c r="F11284" s="134" t="s">
        <v>4914</v>
      </c>
      <c r="G11284" s="63" t="str">
        <f>VLOOKUP(C11284, 'Class Def. - General Data'!$C$20:$C$1000,1,false)</f>
        <v>ZSI1_NAILS</v>
      </c>
      <c r="H11284" s="63" t="str">
        <f>IFERROR(__xludf.DUMMYFUNCTION("VLOOKUP(F11284, IMPORTRANGE(""https://docs.google.com/spreadsheets/d/1Lhp9OU0JdFf_VYSMzH5lBcEaU4o8teT1piV-SNzShjg/edit?gid=554141278#gid=554141278"", ""'Char Def. - Attributes'!C20:C2242""), 1,false)"),"BASE_UOM_NAILS")</f>
        <v>BASE_UOM_NAILS</v>
      </c>
      <c r="I11284" s="136"/>
      <c r="R11284" s="63" t="str">
        <f t="shared" si="60"/>
        <v>ZSI1_NAILSBASE_UOM_NAILS</v>
      </c>
    </row>
    <row r="11285" ht="15.75" customHeight="1">
      <c r="B11285" s="63">
        <f t="shared" si="1"/>
        <v>10</v>
      </c>
      <c r="C11285" s="135" t="s">
        <v>422</v>
      </c>
      <c r="D11285" s="161" t="s">
        <v>74</v>
      </c>
      <c r="E11285" s="135">
        <f t="shared" si="62"/>
        <v>12</v>
      </c>
      <c r="F11285" s="134" t="s">
        <v>4915</v>
      </c>
      <c r="G11285" s="63" t="str">
        <f>VLOOKUP(C11285, 'Class Def. - General Data'!$C$20:$C$1000,1,false)</f>
        <v>ZSI1_NAILS</v>
      </c>
      <c r="H11285" s="63" t="str">
        <f>IFERROR(__xludf.DUMMYFUNCTION("VLOOKUP(F11285, IMPORTRANGE(""https://docs.google.com/spreadsheets/d/1Lhp9OU0JdFf_VYSMzH5lBcEaU4o8teT1piV-SNzShjg/edit?gid=554141278#gid=554141278"", ""'Char Def. - Attributes'!C20:C2242""), 1,false)"),"ORDER_UNIT_NAILS")</f>
        <v>ORDER_UNIT_NAILS</v>
      </c>
      <c r="I11285" s="136"/>
      <c r="R11285" s="63" t="str">
        <f t="shared" si="60"/>
        <v>ZSI1_NAILSORDER_UNIT_NAILS</v>
      </c>
    </row>
    <row r="11286" ht="15.75" customHeight="1">
      <c r="B11286" s="63">
        <f t="shared" si="1"/>
        <v>10</v>
      </c>
      <c r="C11286" s="135" t="s">
        <v>422</v>
      </c>
      <c r="D11286" s="161" t="s">
        <v>74</v>
      </c>
      <c r="E11286" s="135">
        <f t="shared" si="62"/>
        <v>13</v>
      </c>
      <c r="F11286" s="134" t="s">
        <v>4056</v>
      </c>
      <c r="G11286" s="63" t="str">
        <f>VLOOKUP(C11286, 'Class Def. - General Data'!$C$20:$C$1000,1,false)</f>
        <v>ZSI1_NAILS</v>
      </c>
      <c r="H11286" s="63" t="str">
        <f>IFERROR(__xludf.DUMMYFUNCTION("VLOOKUP(F11286, IMPORTRANGE(""https://docs.google.com/spreadsheets/d/1Lhp9OU0JdFf_VYSMzH5lBcEaU4o8teT1piV-SNzShjg/edit?gid=554141278#gid=554141278"", ""'Char Def. - Attributes'!C20:C2242""), 1,false)"),"GROSS_WEIGHT_OPT")</f>
        <v>GROSS_WEIGHT_OPT</v>
      </c>
      <c r="I11286" s="136"/>
      <c r="R11286" s="63" t="str">
        <f t="shared" si="60"/>
        <v>ZSI1_NAILSGROSS_WEIGHT_OPT</v>
      </c>
    </row>
    <row r="11287" ht="15.75" customHeight="1">
      <c r="B11287" s="63">
        <f t="shared" si="1"/>
        <v>10</v>
      </c>
      <c r="C11287" s="135" t="s">
        <v>422</v>
      </c>
      <c r="D11287" s="161" t="s">
        <v>74</v>
      </c>
      <c r="E11287" s="135">
        <f t="shared" si="62"/>
        <v>14</v>
      </c>
      <c r="F11287" s="134" t="s">
        <v>4057</v>
      </c>
      <c r="G11287" s="63" t="str">
        <f>VLOOKUP(C11287, 'Class Def. - General Data'!$C$20:$C$1000,1,false)</f>
        <v>ZSI1_NAILS</v>
      </c>
      <c r="H11287" s="63" t="str">
        <f>IFERROR(__xludf.DUMMYFUNCTION("VLOOKUP(F11287, IMPORTRANGE(""https://docs.google.com/spreadsheets/d/1Lhp9OU0JdFf_VYSMzH5lBcEaU4o8teT1piV-SNzShjg/edit?gid=554141278#gid=554141278"", ""'Char Def. - Attributes'!C20:C2242""), 1,false)"),"NET_WEIGHT_OPT")</f>
        <v>NET_WEIGHT_OPT</v>
      </c>
      <c r="I11287" s="136"/>
      <c r="R11287" s="63" t="str">
        <f t="shared" si="60"/>
        <v>ZSI1_NAILSNET_WEIGHT_OPT</v>
      </c>
    </row>
    <row r="11288" ht="15.75" customHeight="1">
      <c r="B11288" s="63">
        <f t="shared" si="1"/>
        <v>10</v>
      </c>
      <c r="C11288" s="135" t="s">
        <v>422</v>
      </c>
      <c r="D11288" s="161" t="s">
        <v>74</v>
      </c>
      <c r="E11288" s="135">
        <f t="shared" si="62"/>
        <v>15</v>
      </c>
      <c r="F11288" s="134" t="s">
        <v>4058</v>
      </c>
      <c r="G11288" s="63" t="str">
        <f>VLOOKUP(C11288, 'Class Def. - General Data'!$C$20:$C$1000,1,false)</f>
        <v>ZSI1_NAILS</v>
      </c>
      <c r="H11288" s="63" t="str">
        <f>IFERROR(__xludf.DUMMYFUNCTION("VLOOKUP(F11288, IMPORTRANGE(""https://docs.google.com/spreadsheets/d/1Lhp9OU0JdFf_VYSMzH5lBcEaU4o8teT1piV-SNzShjg/edit?gid=554141278#gid=554141278"", ""'Char Def. - Attributes'!C20:C2242""), 1,false)"),"WEIGHT_UNIT_SI")</f>
        <v>WEIGHT_UNIT_SI</v>
      </c>
      <c r="I11288" s="136"/>
      <c r="R11288" s="63" t="str">
        <f t="shared" si="60"/>
        <v>ZSI1_NAILSWEIGHT_UNIT_SI</v>
      </c>
    </row>
    <row r="11289" ht="15.75" customHeight="1">
      <c r="B11289" s="63">
        <f t="shared" si="1"/>
        <v>10</v>
      </c>
      <c r="C11289" s="135" t="s">
        <v>422</v>
      </c>
      <c r="D11289" s="161" t="s">
        <v>74</v>
      </c>
      <c r="E11289" s="135">
        <f t="shared" si="62"/>
        <v>16</v>
      </c>
      <c r="F11289" s="134" t="s">
        <v>3877</v>
      </c>
      <c r="G11289" s="63" t="str">
        <f>VLOOKUP(C11289, 'Class Def. - General Data'!$C$20:$C$1000,1,false)</f>
        <v>ZSI1_NAILS</v>
      </c>
      <c r="H11289" s="63" t="str">
        <f>IFERROR(__xludf.DUMMYFUNCTION("VLOOKUP(F11289, IMPORTRANGE(""https://docs.google.com/spreadsheets/d/1Lhp9OU0JdFf_VYSMzH5lBcEaU4o8teT1piV-SNzShjg/edit?gid=554141278#gid=554141278"", ""'Char Def. - Attributes'!C20:C2242""), 1,false)"),"VOLUME_OPT")</f>
        <v>VOLUME_OPT</v>
      </c>
      <c r="I11289" s="136"/>
      <c r="R11289" s="63" t="str">
        <f t="shared" si="60"/>
        <v>ZSI1_NAILSVOLUME_OPT</v>
      </c>
    </row>
    <row r="11290" ht="15.75" customHeight="1">
      <c r="B11290" s="63">
        <f t="shared" si="1"/>
        <v>10</v>
      </c>
      <c r="C11290" s="135" t="s">
        <v>422</v>
      </c>
      <c r="D11290" s="161" t="s">
        <v>74</v>
      </c>
      <c r="E11290" s="135">
        <f t="shared" si="62"/>
        <v>17</v>
      </c>
      <c r="F11290" s="134" t="s">
        <v>4059</v>
      </c>
      <c r="G11290" s="63" t="str">
        <f>VLOOKUP(C11290, 'Class Def. - General Data'!$C$20:$C$1000,1,false)</f>
        <v>ZSI1_NAILS</v>
      </c>
      <c r="H11290" s="63" t="str">
        <f>IFERROR(__xludf.DUMMYFUNCTION("VLOOKUP(F11290, IMPORTRANGE(""https://docs.google.com/spreadsheets/d/1Lhp9OU0JdFf_VYSMzH5lBcEaU4o8teT1piV-SNzShjg/edit?gid=554141278#gid=554141278"", ""'Char Def. - Attributes'!C20:C2242""), 1,false)"),"VOLUME_UNIT_SI")</f>
        <v>VOLUME_UNIT_SI</v>
      </c>
      <c r="I11290" s="136"/>
      <c r="R11290" s="63" t="str">
        <f t="shared" si="60"/>
        <v>ZSI1_NAILSVOLUME_UNIT_SI</v>
      </c>
    </row>
    <row r="11291" ht="15.75" customHeight="1">
      <c r="B11291" s="63">
        <f t="shared" si="1"/>
        <v>10</v>
      </c>
      <c r="C11291" s="135" t="s">
        <v>422</v>
      </c>
      <c r="D11291" s="161" t="s">
        <v>74</v>
      </c>
      <c r="E11291" s="135">
        <f t="shared" si="62"/>
        <v>18</v>
      </c>
      <c r="F11291" s="134" t="s">
        <v>3804</v>
      </c>
      <c r="G11291" s="63" t="str">
        <f>VLOOKUP(C11291, 'Class Def. - General Data'!$C$20:$C$1000,1,false)</f>
        <v>ZSI1_NAILS</v>
      </c>
      <c r="H11291" s="63" t="str">
        <f>IFERROR(__xludf.DUMMYFUNCTION("VLOOKUP(F11291, IMPORTRANGE(""https://docs.google.com/spreadsheets/d/1Lhp9OU0JdFf_VYSMzH5lBcEaU4o8teT1piV-SNzShjg/edit?gid=554141278#gid=554141278"", ""'Char Def. - Attributes'!C20:C2242""), 1,false)"),"ALT_UOM1_SIPI")</f>
        <v>ALT_UOM1_SIPI</v>
      </c>
      <c r="I11291" s="136"/>
      <c r="R11291" s="63" t="str">
        <f t="shared" si="60"/>
        <v>ZSI1_NAILSALT_UOM1_SIPI</v>
      </c>
    </row>
    <row r="11292" ht="15.75" customHeight="1">
      <c r="B11292" s="63">
        <f t="shared" si="1"/>
        <v>10</v>
      </c>
      <c r="C11292" s="135" t="s">
        <v>422</v>
      </c>
      <c r="D11292" s="161" t="s">
        <v>74</v>
      </c>
      <c r="E11292" s="135">
        <f t="shared" si="62"/>
        <v>19</v>
      </c>
      <c r="F11292" s="134" t="s">
        <v>3805</v>
      </c>
      <c r="G11292" s="63" t="str">
        <f>VLOOKUP(C11292, 'Class Def. - General Data'!$C$20:$C$1000,1,false)</f>
        <v>ZSI1_NAILS</v>
      </c>
      <c r="H11292" s="63" t="str">
        <f>IFERROR(__xludf.DUMMYFUNCTION("VLOOKUP(F11292, IMPORTRANGE(""https://docs.google.com/spreadsheets/d/1Lhp9OU0JdFf_VYSMzH5lBcEaU4o8teT1piV-SNzShjg/edit?gid=554141278#gid=554141278"", ""'Char Def. - Attributes'!C20:C2242""), 1,false)"),"ALT_DENUM_UOM1")</f>
        <v>ALT_DENUM_UOM1</v>
      </c>
      <c r="I11292" s="136"/>
      <c r="R11292" s="63" t="str">
        <f t="shared" si="60"/>
        <v>ZSI1_NAILSALT_DENUM_UOM1</v>
      </c>
    </row>
    <row r="11293" ht="15.75" customHeight="1">
      <c r="B11293" s="63">
        <f t="shared" si="1"/>
        <v>10</v>
      </c>
      <c r="C11293" s="135" t="s">
        <v>422</v>
      </c>
      <c r="D11293" s="161" t="s">
        <v>74</v>
      </c>
      <c r="E11293" s="135">
        <f t="shared" si="62"/>
        <v>20</v>
      </c>
      <c r="F11293" s="134" t="s">
        <v>3806</v>
      </c>
      <c r="G11293" s="63" t="str">
        <f>VLOOKUP(C11293, 'Class Def. - General Data'!$C$20:$C$1000,1,false)</f>
        <v>ZSI1_NAILS</v>
      </c>
      <c r="H11293" s="63" t="str">
        <f>IFERROR(__xludf.DUMMYFUNCTION("VLOOKUP(F11293, IMPORTRANGE(""https://docs.google.com/spreadsheets/d/1Lhp9OU0JdFf_VYSMzH5lBcEaU4o8teT1piV-SNzShjg/edit?gid=554141278#gid=554141278"", ""'Char Def. - Attributes'!C20:C2242""), 1,false)"),"ALT_NUM_UOM1")</f>
        <v>ALT_NUM_UOM1</v>
      </c>
      <c r="I11293" s="136"/>
      <c r="R11293" s="63" t="str">
        <f t="shared" si="60"/>
        <v>ZSI1_NAILSALT_NUM_UOM1</v>
      </c>
    </row>
    <row r="11294" ht="15.75" customHeight="1">
      <c r="B11294" s="63">
        <f t="shared" si="1"/>
        <v>10</v>
      </c>
      <c r="C11294" s="135" t="s">
        <v>422</v>
      </c>
      <c r="D11294" s="161" t="s">
        <v>74</v>
      </c>
      <c r="E11294" s="135">
        <f t="shared" si="62"/>
        <v>21</v>
      </c>
      <c r="F11294" s="134" t="s">
        <v>3807</v>
      </c>
      <c r="G11294" s="63" t="str">
        <f>VLOOKUP(C11294, 'Class Def. - General Data'!$C$20:$C$1000,1,false)</f>
        <v>ZSI1_NAILS</v>
      </c>
      <c r="H11294" s="63" t="str">
        <f>IFERROR(__xludf.DUMMYFUNCTION("VLOOKUP(F11294, IMPORTRANGE(""https://docs.google.com/spreadsheets/d/1Lhp9OU0JdFf_VYSMzH5lBcEaU4o8teT1piV-SNzShjg/edit?gid=554141278#gid=554141278"", ""'Char Def. - Attributes'!C20:C2242""), 1,false)"),"ALT_UOM2_SIPI")</f>
        <v>ALT_UOM2_SIPI</v>
      </c>
      <c r="I11294" s="136"/>
      <c r="R11294" s="63" t="str">
        <f t="shared" si="60"/>
        <v>ZSI1_NAILSALT_UOM2_SIPI</v>
      </c>
    </row>
    <row r="11295" ht="15.75" customHeight="1">
      <c r="B11295" s="63">
        <f t="shared" si="1"/>
        <v>10</v>
      </c>
      <c r="C11295" s="135" t="s">
        <v>422</v>
      </c>
      <c r="D11295" s="161" t="s">
        <v>74</v>
      </c>
      <c r="E11295" s="135">
        <f t="shared" si="62"/>
        <v>22</v>
      </c>
      <c r="F11295" s="134" t="s">
        <v>3808</v>
      </c>
      <c r="G11295" s="63" t="str">
        <f>VLOOKUP(C11295, 'Class Def. - General Data'!$C$20:$C$1000,1,false)</f>
        <v>ZSI1_NAILS</v>
      </c>
      <c r="H11295" s="63" t="str">
        <f>IFERROR(__xludf.DUMMYFUNCTION("VLOOKUP(F11295, IMPORTRANGE(""https://docs.google.com/spreadsheets/d/1Lhp9OU0JdFf_VYSMzH5lBcEaU4o8teT1piV-SNzShjg/edit?gid=554141278#gid=554141278"", ""'Char Def. - Attributes'!C20:C2242""), 1,false)"),"ALT_DENUM_UOM2")</f>
        <v>ALT_DENUM_UOM2</v>
      </c>
      <c r="I11295" s="136"/>
      <c r="R11295" s="63" t="str">
        <f t="shared" si="60"/>
        <v>ZSI1_NAILSALT_DENUM_UOM2</v>
      </c>
    </row>
    <row r="11296" ht="15.75" customHeight="1">
      <c r="B11296" s="63">
        <f t="shared" si="1"/>
        <v>10</v>
      </c>
      <c r="C11296" s="135" t="s">
        <v>422</v>
      </c>
      <c r="D11296" s="161" t="s">
        <v>74</v>
      </c>
      <c r="E11296" s="135">
        <f t="shared" si="62"/>
        <v>23</v>
      </c>
      <c r="F11296" s="134" t="s">
        <v>3809</v>
      </c>
      <c r="G11296" s="63" t="str">
        <f>VLOOKUP(C11296, 'Class Def. - General Data'!$C$20:$C$1000,1,false)</f>
        <v>ZSI1_NAILS</v>
      </c>
      <c r="H11296" s="63" t="str">
        <f>IFERROR(__xludf.DUMMYFUNCTION("VLOOKUP(F11296, IMPORTRANGE(""https://docs.google.com/spreadsheets/d/1Lhp9OU0JdFf_VYSMzH5lBcEaU4o8teT1piV-SNzShjg/edit?gid=554141278#gid=554141278"", ""'Char Def. - Attributes'!C20:C2242""), 1,false)"),"ALT_NUM_UOM2")</f>
        <v>ALT_NUM_UOM2</v>
      </c>
      <c r="I11296" s="136"/>
      <c r="R11296" s="63" t="str">
        <f t="shared" si="60"/>
        <v>ZSI1_NAILSALT_NUM_UOM2</v>
      </c>
    </row>
    <row r="11297" ht="15.75" customHeight="1">
      <c r="B11297" s="63">
        <f t="shared" si="1"/>
        <v>10</v>
      </c>
      <c r="C11297" s="135" t="s">
        <v>422</v>
      </c>
      <c r="D11297" s="161" t="s">
        <v>74</v>
      </c>
      <c r="E11297" s="135">
        <f t="shared" si="62"/>
        <v>24</v>
      </c>
      <c r="F11297" s="134" t="s">
        <v>3810</v>
      </c>
      <c r="G11297" s="63" t="str">
        <f>VLOOKUP(C11297, 'Class Def. - General Data'!$C$20:$C$1000,1,false)</f>
        <v>ZSI1_NAILS</v>
      </c>
      <c r="H11297" s="63" t="str">
        <f>IFERROR(__xludf.DUMMYFUNCTION("VLOOKUP(F11297, IMPORTRANGE(""https://docs.google.com/spreadsheets/d/1Lhp9OU0JdFf_VYSMzH5lBcEaU4o8teT1piV-SNzShjg/edit?gid=554141278#gid=554141278"", ""'Char Def. - Attributes'!C20:C2242""), 1,false)"),"ALT_UOM3_SIPI")</f>
        <v>ALT_UOM3_SIPI</v>
      </c>
      <c r="I11297" s="136"/>
      <c r="R11297" s="63" t="str">
        <f t="shared" si="60"/>
        <v>ZSI1_NAILSALT_UOM3_SIPI</v>
      </c>
    </row>
    <row r="11298" ht="15.75" customHeight="1">
      <c r="B11298" s="63">
        <f t="shared" si="1"/>
        <v>10</v>
      </c>
      <c r="C11298" s="135" t="s">
        <v>422</v>
      </c>
      <c r="D11298" s="161" t="s">
        <v>74</v>
      </c>
      <c r="E11298" s="135">
        <f t="shared" si="62"/>
        <v>25</v>
      </c>
      <c r="F11298" s="134" t="s">
        <v>3811</v>
      </c>
      <c r="G11298" s="63" t="str">
        <f>VLOOKUP(C11298, 'Class Def. - General Data'!$C$20:$C$1000,1,false)</f>
        <v>ZSI1_NAILS</v>
      </c>
      <c r="H11298" s="63" t="str">
        <f>IFERROR(__xludf.DUMMYFUNCTION("VLOOKUP(F11298, IMPORTRANGE(""https://docs.google.com/spreadsheets/d/1Lhp9OU0JdFf_VYSMzH5lBcEaU4o8teT1piV-SNzShjg/edit?gid=554141278#gid=554141278"", ""'Char Def. - Attributes'!C20:C2242""), 1,false)"),"ALT_DENUM_UOM3")</f>
        <v>ALT_DENUM_UOM3</v>
      </c>
      <c r="I11298" s="136"/>
      <c r="R11298" s="63" t="str">
        <f t="shared" si="60"/>
        <v>ZSI1_NAILSALT_DENUM_UOM3</v>
      </c>
    </row>
    <row r="11299" ht="15.75" customHeight="1">
      <c r="B11299" s="63">
        <f t="shared" si="1"/>
        <v>10</v>
      </c>
      <c r="C11299" s="135" t="s">
        <v>422</v>
      </c>
      <c r="D11299" s="161" t="s">
        <v>74</v>
      </c>
      <c r="E11299" s="135">
        <f t="shared" si="62"/>
        <v>26</v>
      </c>
      <c r="F11299" s="134" t="s">
        <v>3812</v>
      </c>
      <c r="G11299" s="63" t="str">
        <f>VLOOKUP(C11299, 'Class Def. - General Data'!$C$20:$C$1000,1,false)</f>
        <v>ZSI1_NAILS</v>
      </c>
      <c r="H11299" s="63" t="str">
        <f>IFERROR(__xludf.DUMMYFUNCTION("VLOOKUP(F11299, IMPORTRANGE(""https://docs.google.com/spreadsheets/d/1Lhp9OU0JdFf_VYSMzH5lBcEaU4o8teT1piV-SNzShjg/edit?gid=554141278#gid=554141278"", ""'Char Def. - Attributes'!C20:C2242""), 1,false)"),"ALT_NUM_UOM3")</f>
        <v>ALT_NUM_UOM3</v>
      </c>
      <c r="I11299" s="136"/>
      <c r="R11299" s="63" t="str">
        <f t="shared" si="60"/>
        <v>ZSI1_NAILSALT_NUM_UOM3</v>
      </c>
    </row>
    <row r="11300" ht="15.75" customHeight="1">
      <c r="B11300" s="63">
        <f t="shared" si="1"/>
        <v>10</v>
      </c>
      <c r="C11300" s="135" t="s">
        <v>422</v>
      </c>
      <c r="D11300" s="161" t="s">
        <v>74</v>
      </c>
      <c r="E11300" s="135">
        <f t="shared" si="62"/>
        <v>27</v>
      </c>
      <c r="F11300" s="134" t="s">
        <v>3813</v>
      </c>
      <c r="G11300" s="63" t="str">
        <f>VLOOKUP(C11300, 'Class Def. - General Data'!$C$20:$C$1000,1,false)</f>
        <v>ZSI1_NAILS</v>
      </c>
      <c r="H11300" s="63" t="str">
        <f>IFERROR(__xludf.DUMMYFUNCTION("VLOOKUP(F11300, IMPORTRANGE(""https://docs.google.com/spreadsheets/d/1Lhp9OU0JdFf_VYSMzH5lBcEaU4o8teT1piV-SNzShjg/edit?gid=554141278#gid=554141278"", ""'Char Def. - Attributes'!C20:C2242""), 1,false)"),"ALT_UOM4_SIPI")</f>
        <v>ALT_UOM4_SIPI</v>
      </c>
      <c r="I11300" s="136"/>
      <c r="R11300" s="63" t="str">
        <f t="shared" si="60"/>
        <v>ZSI1_NAILSALT_UOM4_SIPI</v>
      </c>
    </row>
    <row r="11301" ht="15.75" customHeight="1">
      <c r="B11301" s="63">
        <f t="shared" si="1"/>
        <v>10</v>
      </c>
      <c r="C11301" s="135" t="s">
        <v>422</v>
      </c>
      <c r="D11301" s="161" t="s">
        <v>74</v>
      </c>
      <c r="E11301" s="135">
        <f t="shared" si="62"/>
        <v>28</v>
      </c>
      <c r="F11301" s="134" t="s">
        <v>3814</v>
      </c>
      <c r="G11301" s="63" t="str">
        <f>VLOOKUP(C11301, 'Class Def. - General Data'!$C$20:$C$1000,1,false)</f>
        <v>ZSI1_NAILS</v>
      </c>
      <c r="H11301" s="63" t="str">
        <f>IFERROR(__xludf.DUMMYFUNCTION("VLOOKUP(F11301, IMPORTRANGE(""https://docs.google.com/spreadsheets/d/1Lhp9OU0JdFf_VYSMzH5lBcEaU4o8teT1piV-SNzShjg/edit?gid=554141278#gid=554141278"", ""'Char Def. - Attributes'!C20:C2242""), 1,false)"),"ALT_DENUM_UOM4")</f>
        <v>ALT_DENUM_UOM4</v>
      </c>
      <c r="I11301" s="136"/>
      <c r="R11301" s="63" t="str">
        <f t="shared" si="60"/>
        <v>ZSI1_NAILSALT_DENUM_UOM4</v>
      </c>
    </row>
    <row r="11302" ht="15.75" customHeight="1">
      <c r="B11302" s="63">
        <f t="shared" si="1"/>
        <v>10</v>
      </c>
      <c r="C11302" s="135" t="s">
        <v>422</v>
      </c>
      <c r="D11302" s="161" t="s">
        <v>74</v>
      </c>
      <c r="E11302" s="135">
        <f t="shared" si="62"/>
        <v>29</v>
      </c>
      <c r="F11302" s="134" t="s">
        <v>3815</v>
      </c>
      <c r="G11302" s="63" t="str">
        <f>VLOOKUP(C11302, 'Class Def. - General Data'!$C$20:$C$1000,1,false)</f>
        <v>ZSI1_NAILS</v>
      </c>
      <c r="H11302" s="63" t="str">
        <f>IFERROR(__xludf.DUMMYFUNCTION("VLOOKUP(F11302, IMPORTRANGE(""https://docs.google.com/spreadsheets/d/1Lhp9OU0JdFf_VYSMzH5lBcEaU4o8teT1piV-SNzShjg/edit?gid=554141278#gid=554141278"", ""'Char Def. - Attributes'!C20:C2242""), 1,false)"),"ALT_NUM_UOM4")</f>
        <v>ALT_NUM_UOM4</v>
      </c>
      <c r="I11302" s="136"/>
      <c r="R11302" s="63" t="str">
        <f t="shared" si="60"/>
        <v>ZSI1_NAILSALT_NUM_UOM4</v>
      </c>
    </row>
    <row r="11303" ht="15.75" customHeight="1">
      <c r="B11303" s="63">
        <f t="shared" si="1"/>
        <v>10</v>
      </c>
      <c r="C11303" s="135" t="s">
        <v>422</v>
      </c>
      <c r="D11303" s="161" t="s">
        <v>74</v>
      </c>
      <c r="E11303" s="135">
        <f t="shared" si="62"/>
        <v>30</v>
      </c>
      <c r="F11303" s="134" t="s">
        <v>3816</v>
      </c>
      <c r="G11303" s="63" t="str">
        <f>VLOOKUP(C11303, 'Class Def. - General Data'!$C$20:$C$1000,1,false)</f>
        <v>ZSI1_NAILS</v>
      </c>
      <c r="H11303" s="63" t="str">
        <f>IFERROR(__xludf.DUMMYFUNCTION("VLOOKUP(F11303, IMPORTRANGE(""https://docs.google.com/spreadsheets/d/1Lhp9OU0JdFf_VYSMzH5lBcEaU4o8teT1piV-SNzShjg/edit?gid=554141278#gid=554141278"", ""'Char Def. - Attributes'!C20:C2242""), 1,false)"),"ALT_UOM5_SIPI")</f>
        <v>ALT_UOM5_SIPI</v>
      </c>
      <c r="I11303" s="136"/>
      <c r="R11303" s="63" t="str">
        <f t="shared" si="60"/>
        <v>ZSI1_NAILSALT_UOM5_SIPI</v>
      </c>
    </row>
    <row r="11304" ht="15.75" customHeight="1">
      <c r="B11304" s="63">
        <f t="shared" si="1"/>
        <v>10</v>
      </c>
      <c r="C11304" s="135" t="s">
        <v>422</v>
      </c>
      <c r="D11304" s="161" t="s">
        <v>74</v>
      </c>
      <c r="E11304" s="135">
        <f t="shared" si="62"/>
        <v>31</v>
      </c>
      <c r="F11304" s="134" t="s">
        <v>3817</v>
      </c>
      <c r="G11304" s="63" t="str">
        <f>VLOOKUP(C11304, 'Class Def. - General Data'!$C$20:$C$1000,1,false)</f>
        <v>ZSI1_NAILS</v>
      </c>
      <c r="H11304" s="63" t="str">
        <f>IFERROR(__xludf.DUMMYFUNCTION("VLOOKUP(F11304, IMPORTRANGE(""https://docs.google.com/spreadsheets/d/1Lhp9OU0JdFf_VYSMzH5lBcEaU4o8teT1piV-SNzShjg/edit?gid=554141278#gid=554141278"", ""'Char Def. - Attributes'!C20:C2242""), 1,false)"),"ALT_DENUM_UOM5")</f>
        <v>ALT_DENUM_UOM5</v>
      </c>
      <c r="I11304" s="136"/>
      <c r="R11304" s="63" t="str">
        <f t="shared" si="60"/>
        <v>ZSI1_NAILSALT_DENUM_UOM5</v>
      </c>
    </row>
    <row r="11305" ht="15.75" customHeight="1">
      <c r="B11305" s="63">
        <f t="shared" si="1"/>
        <v>10</v>
      </c>
      <c r="C11305" s="135" t="s">
        <v>422</v>
      </c>
      <c r="D11305" s="161" t="s">
        <v>74</v>
      </c>
      <c r="E11305" s="135">
        <f t="shared" si="62"/>
        <v>32</v>
      </c>
      <c r="F11305" s="134" t="s">
        <v>3818</v>
      </c>
      <c r="G11305" s="63" t="str">
        <f>VLOOKUP(C11305, 'Class Def. - General Data'!$C$20:$C$1000,1,false)</f>
        <v>ZSI1_NAILS</v>
      </c>
      <c r="H11305" s="63" t="str">
        <f>IFERROR(__xludf.DUMMYFUNCTION("VLOOKUP(F11305, IMPORTRANGE(""https://docs.google.com/spreadsheets/d/1Lhp9OU0JdFf_VYSMzH5lBcEaU4o8teT1piV-SNzShjg/edit?gid=554141278#gid=554141278"", ""'Char Def. - Attributes'!C20:C2242""), 1,false)"),"ALT_NUM_UOM5")</f>
        <v>ALT_NUM_UOM5</v>
      </c>
      <c r="I11305" s="136"/>
      <c r="R11305" s="63" t="str">
        <f t="shared" si="60"/>
        <v>ZSI1_NAILSALT_NUM_UOM5</v>
      </c>
    </row>
    <row r="11306" ht="15.75" customHeight="1">
      <c r="B11306" s="63">
        <f t="shared" si="1"/>
        <v>16</v>
      </c>
      <c r="C11306" s="135" t="s">
        <v>423</v>
      </c>
      <c r="D11306" s="161" t="s">
        <v>74</v>
      </c>
      <c r="E11306" s="135">
        <f t="shared" si="62"/>
        <v>1</v>
      </c>
      <c r="F11306" s="134" t="s">
        <v>4916</v>
      </c>
      <c r="G11306" s="63" t="str">
        <f>VLOOKUP(C11306, 'Class Def. - General Data'!$C$20:$C$1000,1,false)</f>
        <v>ZSI1_NETWORK_EQP</v>
      </c>
      <c r="H11306" s="63" t="str">
        <f>IFERROR(__xludf.DUMMYFUNCTION("VLOOKUP(F11306, IMPORTRANGE(""https://docs.google.com/spreadsheets/d/1Lhp9OU0JdFf_VYSMzH5lBcEaU4o8teT1piV-SNzShjg/edit?gid=554141278#gid=554141278"", ""'Char Def. - Attributes'!C20:C2242""), 1,false)"),"ITEM_NAME_NETWORK_EQP")</f>
        <v>ITEM_NAME_NETWORK_EQP</v>
      </c>
      <c r="I11306" s="136"/>
      <c r="R11306" s="63" t="str">
        <f t="shared" si="60"/>
        <v>ZSI1_NETWORK_EQPITEM_NAME_NETWORK_EQP</v>
      </c>
    </row>
    <row r="11307" ht="15.75" customHeight="1">
      <c r="B11307" s="63">
        <f t="shared" si="1"/>
        <v>16</v>
      </c>
      <c r="C11307" s="135" t="s">
        <v>423</v>
      </c>
      <c r="D11307" s="161" t="s">
        <v>74</v>
      </c>
      <c r="E11307" s="135">
        <f t="shared" si="62"/>
        <v>2</v>
      </c>
      <c r="F11307" s="134" t="s">
        <v>4917</v>
      </c>
      <c r="G11307" s="63" t="str">
        <f>VLOOKUP(C11307, 'Class Def. - General Data'!$C$20:$C$1000,1,false)</f>
        <v>ZSI1_NETWORK_EQP</v>
      </c>
      <c r="H11307" s="63" t="str">
        <f>IFERROR(__xludf.DUMMYFUNCTION("VLOOKUP(F11307, IMPORTRANGE(""https://docs.google.com/spreadsheets/d/1Lhp9OU0JdFf_VYSMzH5lBcEaU4o8teT1piV-SNzShjg/edit?gid=554141278#gid=554141278"", ""'Char Def. - Attributes'!C20:C2242""), 1,false)"),"MFR_NO_NETWORK_EQP")</f>
        <v>MFR_NO_NETWORK_EQP</v>
      </c>
      <c r="I11307" s="136"/>
      <c r="R11307" s="63" t="str">
        <f t="shared" si="60"/>
        <v>ZSI1_NETWORK_EQPMFR_NO_NETWORK_EQP</v>
      </c>
    </row>
    <row r="11308" ht="15.75" customHeight="1">
      <c r="B11308" s="63">
        <f t="shared" si="1"/>
        <v>16</v>
      </c>
      <c r="C11308" s="135" t="s">
        <v>423</v>
      </c>
      <c r="D11308" s="161" t="s">
        <v>74</v>
      </c>
      <c r="E11308" s="135">
        <f t="shared" si="62"/>
        <v>3</v>
      </c>
      <c r="F11308" s="134" t="s">
        <v>3782</v>
      </c>
      <c r="G11308" s="63" t="str">
        <f>VLOOKUP(C11308, 'Class Def. - General Data'!$C$20:$C$1000,1,false)</f>
        <v>ZSI1_NETWORK_EQP</v>
      </c>
      <c r="H11308" s="63" t="str">
        <f>IFERROR(__xludf.DUMMYFUNCTION("VLOOKUP(F11308, IMPORTRANGE(""https://docs.google.com/spreadsheets/d/1Lhp9OU0JdFf_VYSMzH5lBcEaU4o8teT1piV-SNzShjg/edit?gid=554141278#gid=554141278"", ""'Char Def. - Attributes'!C20:C2242""), 1,false)"),"BRAND_EXTERNAL")</f>
        <v>BRAND_EXTERNAL</v>
      </c>
      <c r="I11308" s="136"/>
      <c r="R11308" s="63" t="str">
        <f t="shared" si="60"/>
        <v>ZSI1_NETWORK_EQPBRAND_EXTERNAL</v>
      </c>
    </row>
    <row r="11309" ht="15.75" customHeight="1">
      <c r="B11309" s="63">
        <f t="shared" si="1"/>
        <v>16</v>
      </c>
      <c r="C11309" s="135" t="s">
        <v>423</v>
      </c>
      <c r="D11309" s="161" t="s">
        <v>74</v>
      </c>
      <c r="E11309" s="135">
        <f t="shared" si="62"/>
        <v>4</v>
      </c>
      <c r="F11309" s="134" t="s">
        <v>4062</v>
      </c>
      <c r="G11309" s="63" t="str">
        <f>VLOOKUP(C11309, 'Class Def. - General Data'!$C$20:$C$1000,1,false)</f>
        <v>ZSI1_NETWORK_EQP</v>
      </c>
      <c r="H11309" s="63" t="str">
        <f>IFERROR(__xludf.DUMMYFUNCTION("VLOOKUP(F11309, IMPORTRANGE(""https://docs.google.com/spreadsheets/d/1Lhp9OU0JdFf_VYSMzH5lBcEaU4o8teT1piV-SNzShjg/edit?gid=554141278#gid=554141278"", ""'Char Def. - Attributes'!C20:C2242""), 1,false)"),"#N/A")</f>
        <v>#N/A</v>
      </c>
      <c r="I11309" s="136"/>
      <c r="R11309" s="63" t="str">
        <f t="shared" si="60"/>
        <v>ZSI1_NETWORK_EQPADDTIONAL_SPECIFICATION</v>
      </c>
    </row>
    <row r="11310" ht="15.75" customHeight="1">
      <c r="B11310" s="63">
        <f t="shared" si="1"/>
        <v>16</v>
      </c>
      <c r="C11310" s="135" t="s">
        <v>423</v>
      </c>
      <c r="D11310" s="161" t="s">
        <v>74</v>
      </c>
      <c r="E11310" s="135">
        <f t="shared" si="62"/>
        <v>5</v>
      </c>
      <c r="F11310" s="134" t="s">
        <v>4053</v>
      </c>
      <c r="G11310" s="63" t="str">
        <f>VLOOKUP(C11310, 'Class Def. - General Data'!$C$20:$C$1000,1,false)</f>
        <v>ZSI1_NETWORK_EQP</v>
      </c>
      <c r="H11310" s="63" t="str">
        <f>IFERROR(__xludf.DUMMYFUNCTION("VLOOKUP(F11310, IMPORTRANGE(""https://docs.google.com/spreadsheets/d/1Lhp9OU0JdFf_VYSMzH5lBcEaU4o8teT1piV-SNzShjg/edit?gid=554141278#gid=554141278"", ""'Char Def. - Attributes'!C20:C2242""), 1,false)"),"MAINTENANCE_ORDER_TYPE")</f>
        <v>MAINTENANCE_ORDER_TYPE</v>
      </c>
      <c r="I11310" s="136"/>
      <c r="R11310" s="63" t="str">
        <f t="shared" si="60"/>
        <v>ZSI1_NETWORK_EQPMAINTENANCE_ORDER_TYPE</v>
      </c>
    </row>
    <row r="11311" ht="15.75" customHeight="1">
      <c r="B11311" s="63">
        <f t="shared" si="1"/>
        <v>16</v>
      </c>
      <c r="C11311" s="135" t="s">
        <v>423</v>
      </c>
      <c r="D11311" s="161" t="s">
        <v>74</v>
      </c>
      <c r="E11311" s="135">
        <f t="shared" si="62"/>
        <v>6</v>
      </c>
      <c r="F11311" s="134" t="s">
        <v>3585</v>
      </c>
      <c r="G11311" s="63" t="str">
        <f>VLOOKUP(C11311, 'Class Def. - General Data'!$C$20:$C$1000,1,false)</f>
        <v>ZSI1_NETWORK_EQP</v>
      </c>
      <c r="H11311" s="63" t="str">
        <f>IFERROR(__xludf.DUMMYFUNCTION("VLOOKUP(F11311, IMPORTRANGE(""https://docs.google.com/spreadsheets/d/1Lhp9OU0JdFf_VYSMzH5lBcEaU4o8teT1piV-SNzShjg/edit?gid=554141278#gid=554141278"", ""'Char Def. - Attributes'!C20:C2242""), 1,false)"),"HS_CODE")</f>
        <v>HS_CODE</v>
      </c>
      <c r="I11311" s="136"/>
      <c r="R11311" s="63" t="str">
        <f t="shared" si="60"/>
        <v>ZSI1_NETWORK_EQPHS_CODE</v>
      </c>
    </row>
    <row r="11312" ht="15.75" customHeight="1">
      <c r="B11312" s="63">
        <f t="shared" si="1"/>
        <v>16</v>
      </c>
      <c r="C11312" s="135" t="s">
        <v>423</v>
      </c>
      <c r="D11312" s="161" t="s">
        <v>74</v>
      </c>
      <c r="E11312" s="135">
        <f t="shared" si="62"/>
        <v>7</v>
      </c>
      <c r="F11312" s="134" t="s">
        <v>3587</v>
      </c>
      <c r="G11312" s="63" t="str">
        <f>VLOOKUP(C11312, 'Class Def. - General Data'!$C$20:$C$1000,1,false)</f>
        <v>ZSI1_NETWORK_EQP</v>
      </c>
      <c r="H11312" s="63" t="str">
        <f>IFERROR(__xludf.DUMMYFUNCTION("VLOOKUP(F11312, IMPORTRANGE(""https://docs.google.com/spreadsheets/d/1Lhp9OU0JdFf_VYSMzH5lBcEaU4o8teT1piV-SNzShjg/edit?gid=554141278#gid=554141278"", ""'Char Def. - Attributes'!C20:C2242""), 1,false)"),"PLANT_BUY")</f>
        <v>PLANT_BUY</v>
      </c>
      <c r="I11312" s="136"/>
      <c r="R11312" s="63" t="str">
        <f t="shared" si="60"/>
        <v>ZSI1_NETWORK_EQPPLANT_BUY</v>
      </c>
    </row>
    <row r="11313" ht="15.75" customHeight="1">
      <c r="B11313" s="63">
        <f t="shared" si="1"/>
        <v>16</v>
      </c>
      <c r="C11313" s="135" t="s">
        <v>423</v>
      </c>
      <c r="D11313" s="161" t="s">
        <v>74</v>
      </c>
      <c r="E11313" s="135">
        <f t="shared" si="62"/>
        <v>8</v>
      </c>
      <c r="F11313" s="134" t="s">
        <v>4918</v>
      </c>
      <c r="G11313" s="63" t="str">
        <f>VLOOKUP(C11313, 'Class Def. - General Data'!$C$20:$C$1000,1,false)</f>
        <v>ZSI1_NETWORK_EQP</v>
      </c>
      <c r="H11313" s="63" t="str">
        <f>IFERROR(__xludf.DUMMYFUNCTION("VLOOKUP(F11313, IMPORTRANGE(""https://docs.google.com/spreadsheets/d/1Lhp9OU0JdFf_VYSMzH5lBcEaU4o8teT1piV-SNzShjg/edit?gid=554141278#gid=554141278"", ""'Char Def. - Attributes'!C20:C2242""), 1,false)"),"BASE_UOM_NETWORK_EQP")</f>
        <v>BASE_UOM_NETWORK_EQP</v>
      </c>
      <c r="I11313" s="136"/>
      <c r="R11313" s="63" t="str">
        <f t="shared" si="60"/>
        <v>ZSI1_NETWORK_EQPBASE_UOM_NETWORK_EQP</v>
      </c>
    </row>
    <row r="11314" ht="15.75" customHeight="1">
      <c r="B11314" s="63">
        <f t="shared" si="1"/>
        <v>16</v>
      </c>
      <c r="C11314" s="135" t="s">
        <v>423</v>
      </c>
      <c r="D11314" s="161" t="s">
        <v>74</v>
      </c>
      <c r="E11314" s="135">
        <f t="shared" si="62"/>
        <v>9</v>
      </c>
      <c r="F11314" s="134" t="s">
        <v>4919</v>
      </c>
      <c r="G11314" s="63" t="str">
        <f>VLOOKUP(C11314, 'Class Def. - General Data'!$C$20:$C$1000,1,false)</f>
        <v>ZSI1_NETWORK_EQP</v>
      </c>
      <c r="H11314" s="63" t="str">
        <f>IFERROR(__xludf.DUMMYFUNCTION("VLOOKUP(F11314, IMPORTRANGE(""https://docs.google.com/spreadsheets/d/1Lhp9OU0JdFf_VYSMzH5lBcEaU4o8teT1piV-SNzShjg/edit?gid=554141278#gid=554141278"", ""'Char Def. - Attributes'!C20:C2242""), 1,false)"),"ORDER_UNIT_NETWORK_EQP")</f>
        <v>ORDER_UNIT_NETWORK_EQP</v>
      </c>
      <c r="I11314" s="136"/>
      <c r="R11314" s="63" t="str">
        <f t="shared" si="60"/>
        <v>ZSI1_NETWORK_EQPORDER_UNIT_NETWORK_EQP</v>
      </c>
    </row>
    <row r="11315" ht="15.75" customHeight="1">
      <c r="B11315" s="63">
        <f t="shared" si="1"/>
        <v>16</v>
      </c>
      <c r="C11315" s="135" t="s">
        <v>423</v>
      </c>
      <c r="D11315" s="161" t="s">
        <v>74</v>
      </c>
      <c r="E11315" s="135">
        <f t="shared" si="62"/>
        <v>10</v>
      </c>
      <c r="F11315" s="134" t="s">
        <v>4056</v>
      </c>
      <c r="G11315" s="63" t="str">
        <f>VLOOKUP(C11315, 'Class Def. - General Data'!$C$20:$C$1000,1,false)</f>
        <v>ZSI1_NETWORK_EQP</v>
      </c>
      <c r="H11315" s="63" t="str">
        <f>IFERROR(__xludf.DUMMYFUNCTION("VLOOKUP(F11315, IMPORTRANGE(""https://docs.google.com/spreadsheets/d/1Lhp9OU0JdFf_VYSMzH5lBcEaU4o8teT1piV-SNzShjg/edit?gid=554141278#gid=554141278"", ""'Char Def. - Attributes'!C20:C2242""), 1,false)"),"GROSS_WEIGHT_OPT")</f>
        <v>GROSS_WEIGHT_OPT</v>
      </c>
      <c r="I11315" s="136"/>
      <c r="R11315" s="63" t="str">
        <f t="shared" si="60"/>
        <v>ZSI1_NETWORK_EQPGROSS_WEIGHT_OPT</v>
      </c>
    </row>
    <row r="11316" ht="15.75" customHeight="1">
      <c r="B11316" s="63">
        <f t="shared" si="1"/>
        <v>16</v>
      </c>
      <c r="C11316" s="135" t="s">
        <v>423</v>
      </c>
      <c r="D11316" s="161" t="s">
        <v>74</v>
      </c>
      <c r="E11316" s="135">
        <f t="shared" si="62"/>
        <v>11</v>
      </c>
      <c r="F11316" s="134" t="s">
        <v>4057</v>
      </c>
      <c r="G11316" s="63" t="str">
        <f>VLOOKUP(C11316, 'Class Def. - General Data'!$C$20:$C$1000,1,false)</f>
        <v>ZSI1_NETWORK_EQP</v>
      </c>
      <c r="H11316" s="63" t="str">
        <f>IFERROR(__xludf.DUMMYFUNCTION("VLOOKUP(F11316, IMPORTRANGE(""https://docs.google.com/spreadsheets/d/1Lhp9OU0JdFf_VYSMzH5lBcEaU4o8teT1piV-SNzShjg/edit?gid=554141278#gid=554141278"", ""'Char Def. - Attributes'!C20:C2242""), 1,false)"),"NET_WEIGHT_OPT")</f>
        <v>NET_WEIGHT_OPT</v>
      </c>
      <c r="I11316" s="136"/>
      <c r="R11316" s="63" t="str">
        <f t="shared" si="60"/>
        <v>ZSI1_NETWORK_EQPNET_WEIGHT_OPT</v>
      </c>
    </row>
    <row r="11317" ht="15.75" customHeight="1">
      <c r="B11317" s="63">
        <f t="shared" si="1"/>
        <v>16</v>
      </c>
      <c r="C11317" s="135" t="s">
        <v>423</v>
      </c>
      <c r="D11317" s="161" t="s">
        <v>74</v>
      </c>
      <c r="E11317" s="135">
        <f t="shared" si="62"/>
        <v>12</v>
      </c>
      <c r="F11317" s="134" t="s">
        <v>4058</v>
      </c>
      <c r="G11317" s="63" t="str">
        <f>VLOOKUP(C11317, 'Class Def. - General Data'!$C$20:$C$1000,1,false)</f>
        <v>ZSI1_NETWORK_EQP</v>
      </c>
      <c r="H11317" s="63" t="str">
        <f>IFERROR(__xludf.DUMMYFUNCTION("VLOOKUP(F11317, IMPORTRANGE(""https://docs.google.com/spreadsheets/d/1Lhp9OU0JdFf_VYSMzH5lBcEaU4o8teT1piV-SNzShjg/edit?gid=554141278#gid=554141278"", ""'Char Def. - Attributes'!C20:C2242""), 1,false)"),"WEIGHT_UNIT_SI")</f>
        <v>WEIGHT_UNIT_SI</v>
      </c>
      <c r="I11317" s="136"/>
      <c r="R11317" s="63" t="str">
        <f t="shared" si="60"/>
        <v>ZSI1_NETWORK_EQPWEIGHT_UNIT_SI</v>
      </c>
    </row>
    <row r="11318" ht="15.75" customHeight="1">
      <c r="B11318" s="63">
        <f t="shared" si="1"/>
        <v>16</v>
      </c>
      <c r="C11318" s="135" t="s">
        <v>423</v>
      </c>
      <c r="D11318" s="161" t="s">
        <v>74</v>
      </c>
      <c r="E11318" s="135">
        <f t="shared" si="62"/>
        <v>13</v>
      </c>
      <c r="F11318" s="134" t="s">
        <v>3877</v>
      </c>
      <c r="G11318" s="63" t="str">
        <f>VLOOKUP(C11318, 'Class Def. - General Data'!$C$20:$C$1000,1,false)</f>
        <v>ZSI1_NETWORK_EQP</v>
      </c>
      <c r="H11318" s="63" t="str">
        <f>IFERROR(__xludf.DUMMYFUNCTION("VLOOKUP(F11318, IMPORTRANGE(""https://docs.google.com/spreadsheets/d/1Lhp9OU0JdFf_VYSMzH5lBcEaU4o8teT1piV-SNzShjg/edit?gid=554141278#gid=554141278"", ""'Char Def. - Attributes'!C20:C2242""), 1,false)"),"VOLUME_OPT")</f>
        <v>VOLUME_OPT</v>
      </c>
      <c r="I11318" s="136"/>
      <c r="R11318" s="63" t="str">
        <f t="shared" si="60"/>
        <v>ZSI1_NETWORK_EQPVOLUME_OPT</v>
      </c>
    </row>
    <row r="11319" ht="15.75" customHeight="1">
      <c r="B11319" s="63">
        <f t="shared" si="1"/>
        <v>16</v>
      </c>
      <c r="C11319" s="135" t="s">
        <v>423</v>
      </c>
      <c r="D11319" s="161" t="s">
        <v>74</v>
      </c>
      <c r="E11319" s="135">
        <f t="shared" si="62"/>
        <v>14</v>
      </c>
      <c r="F11319" s="134" t="s">
        <v>4059</v>
      </c>
      <c r="G11319" s="63" t="str">
        <f>VLOOKUP(C11319, 'Class Def. - General Data'!$C$20:$C$1000,1,false)</f>
        <v>ZSI1_NETWORK_EQP</v>
      </c>
      <c r="H11319" s="63" t="str">
        <f>IFERROR(__xludf.DUMMYFUNCTION("VLOOKUP(F11319, IMPORTRANGE(""https://docs.google.com/spreadsheets/d/1Lhp9OU0JdFf_VYSMzH5lBcEaU4o8teT1piV-SNzShjg/edit?gid=554141278#gid=554141278"", ""'Char Def. - Attributes'!C20:C2242""), 1,false)"),"VOLUME_UNIT_SI")</f>
        <v>VOLUME_UNIT_SI</v>
      </c>
      <c r="I11319" s="136"/>
      <c r="R11319" s="63" t="str">
        <f t="shared" si="60"/>
        <v>ZSI1_NETWORK_EQPVOLUME_UNIT_SI</v>
      </c>
    </row>
    <row r="11320" ht="15.75" customHeight="1">
      <c r="B11320" s="63">
        <f t="shared" si="1"/>
        <v>16</v>
      </c>
      <c r="C11320" s="135" t="s">
        <v>423</v>
      </c>
      <c r="D11320" s="161" t="s">
        <v>74</v>
      </c>
      <c r="E11320" s="135">
        <f t="shared" si="62"/>
        <v>15</v>
      </c>
      <c r="F11320" s="134" t="s">
        <v>3804</v>
      </c>
      <c r="G11320" s="63" t="str">
        <f>VLOOKUP(C11320, 'Class Def. - General Data'!$C$20:$C$1000,1,false)</f>
        <v>ZSI1_NETWORK_EQP</v>
      </c>
      <c r="H11320" s="63" t="str">
        <f>IFERROR(__xludf.DUMMYFUNCTION("VLOOKUP(F11320, IMPORTRANGE(""https://docs.google.com/spreadsheets/d/1Lhp9OU0JdFf_VYSMzH5lBcEaU4o8teT1piV-SNzShjg/edit?gid=554141278#gid=554141278"", ""'Char Def. - Attributes'!C20:C2242""), 1,false)"),"ALT_UOM1_SIPI")</f>
        <v>ALT_UOM1_SIPI</v>
      </c>
      <c r="I11320" s="136"/>
      <c r="R11320" s="63" t="str">
        <f t="shared" si="60"/>
        <v>ZSI1_NETWORK_EQPALT_UOM1_SIPI</v>
      </c>
    </row>
    <row r="11321" ht="15.75" customHeight="1">
      <c r="B11321" s="63">
        <f t="shared" si="1"/>
        <v>16</v>
      </c>
      <c r="C11321" s="135" t="s">
        <v>423</v>
      </c>
      <c r="D11321" s="161" t="s">
        <v>74</v>
      </c>
      <c r="E11321" s="135">
        <f t="shared" si="62"/>
        <v>16</v>
      </c>
      <c r="F11321" s="134" t="s">
        <v>3805</v>
      </c>
      <c r="G11321" s="63" t="str">
        <f>VLOOKUP(C11321, 'Class Def. - General Data'!$C$20:$C$1000,1,false)</f>
        <v>ZSI1_NETWORK_EQP</v>
      </c>
      <c r="H11321" s="63" t="str">
        <f>IFERROR(__xludf.DUMMYFUNCTION("VLOOKUP(F11321, IMPORTRANGE(""https://docs.google.com/spreadsheets/d/1Lhp9OU0JdFf_VYSMzH5lBcEaU4o8teT1piV-SNzShjg/edit?gid=554141278#gid=554141278"", ""'Char Def. - Attributes'!C20:C2242""), 1,false)"),"ALT_DENUM_UOM1")</f>
        <v>ALT_DENUM_UOM1</v>
      </c>
      <c r="I11321" s="136"/>
      <c r="R11321" s="63" t="str">
        <f t="shared" si="60"/>
        <v>ZSI1_NETWORK_EQPALT_DENUM_UOM1</v>
      </c>
    </row>
    <row r="11322" ht="15.75" customHeight="1">
      <c r="B11322" s="63">
        <f t="shared" si="1"/>
        <v>16</v>
      </c>
      <c r="C11322" s="135" t="s">
        <v>423</v>
      </c>
      <c r="D11322" s="161" t="s">
        <v>74</v>
      </c>
      <c r="E11322" s="135">
        <f t="shared" si="62"/>
        <v>17</v>
      </c>
      <c r="F11322" s="134" t="s">
        <v>3806</v>
      </c>
      <c r="G11322" s="63" t="str">
        <f>VLOOKUP(C11322, 'Class Def. - General Data'!$C$20:$C$1000,1,false)</f>
        <v>ZSI1_NETWORK_EQP</v>
      </c>
      <c r="H11322" s="63" t="str">
        <f>IFERROR(__xludf.DUMMYFUNCTION("VLOOKUP(F11322, IMPORTRANGE(""https://docs.google.com/spreadsheets/d/1Lhp9OU0JdFf_VYSMzH5lBcEaU4o8teT1piV-SNzShjg/edit?gid=554141278#gid=554141278"", ""'Char Def. - Attributes'!C20:C2242""), 1,false)"),"ALT_NUM_UOM1")</f>
        <v>ALT_NUM_UOM1</v>
      </c>
      <c r="I11322" s="136"/>
      <c r="R11322" s="63" t="str">
        <f t="shared" si="60"/>
        <v>ZSI1_NETWORK_EQPALT_NUM_UOM1</v>
      </c>
    </row>
    <row r="11323" ht="15.75" customHeight="1">
      <c r="B11323" s="63">
        <f t="shared" si="1"/>
        <v>16</v>
      </c>
      <c r="C11323" s="135" t="s">
        <v>423</v>
      </c>
      <c r="D11323" s="161" t="s">
        <v>74</v>
      </c>
      <c r="E11323" s="135">
        <f t="shared" si="62"/>
        <v>18</v>
      </c>
      <c r="F11323" s="134" t="s">
        <v>3807</v>
      </c>
      <c r="G11323" s="63" t="str">
        <f>VLOOKUP(C11323, 'Class Def. - General Data'!$C$20:$C$1000,1,false)</f>
        <v>ZSI1_NETWORK_EQP</v>
      </c>
      <c r="H11323" s="63" t="str">
        <f>IFERROR(__xludf.DUMMYFUNCTION("VLOOKUP(F11323, IMPORTRANGE(""https://docs.google.com/spreadsheets/d/1Lhp9OU0JdFf_VYSMzH5lBcEaU4o8teT1piV-SNzShjg/edit?gid=554141278#gid=554141278"", ""'Char Def. - Attributes'!C20:C2242""), 1,false)"),"ALT_UOM2_SIPI")</f>
        <v>ALT_UOM2_SIPI</v>
      </c>
      <c r="I11323" s="136"/>
      <c r="R11323" s="63" t="str">
        <f t="shared" si="60"/>
        <v>ZSI1_NETWORK_EQPALT_UOM2_SIPI</v>
      </c>
    </row>
    <row r="11324" ht="15.75" customHeight="1">
      <c r="B11324" s="63">
        <f t="shared" si="1"/>
        <v>16</v>
      </c>
      <c r="C11324" s="135" t="s">
        <v>423</v>
      </c>
      <c r="D11324" s="161" t="s">
        <v>74</v>
      </c>
      <c r="E11324" s="135">
        <f t="shared" si="62"/>
        <v>19</v>
      </c>
      <c r="F11324" s="134" t="s">
        <v>3808</v>
      </c>
      <c r="G11324" s="63" t="str">
        <f>VLOOKUP(C11324, 'Class Def. - General Data'!$C$20:$C$1000,1,false)</f>
        <v>ZSI1_NETWORK_EQP</v>
      </c>
      <c r="H11324" s="63" t="str">
        <f>IFERROR(__xludf.DUMMYFUNCTION("VLOOKUP(F11324, IMPORTRANGE(""https://docs.google.com/spreadsheets/d/1Lhp9OU0JdFf_VYSMzH5lBcEaU4o8teT1piV-SNzShjg/edit?gid=554141278#gid=554141278"", ""'Char Def. - Attributes'!C20:C2242""), 1,false)"),"ALT_DENUM_UOM2")</f>
        <v>ALT_DENUM_UOM2</v>
      </c>
      <c r="I11324" s="136"/>
      <c r="R11324" s="63" t="str">
        <f t="shared" si="60"/>
        <v>ZSI1_NETWORK_EQPALT_DENUM_UOM2</v>
      </c>
    </row>
    <row r="11325" ht="15.75" customHeight="1">
      <c r="B11325" s="63">
        <f t="shared" si="1"/>
        <v>16</v>
      </c>
      <c r="C11325" s="135" t="s">
        <v>423</v>
      </c>
      <c r="D11325" s="161" t="s">
        <v>74</v>
      </c>
      <c r="E11325" s="135">
        <f t="shared" si="62"/>
        <v>20</v>
      </c>
      <c r="F11325" s="134" t="s">
        <v>3809</v>
      </c>
      <c r="G11325" s="63" t="str">
        <f>VLOOKUP(C11325, 'Class Def. - General Data'!$C$20:$C$1000,1,false)</f>
        <v>ZSI1_NETWORK_EQP</v>
      </c>
      <c r="H11325" s="63" t="str">
        <f>IFERROR(__xludf.DUMMYFUNCTION("VLOOKUP(F11325, IMPORTRANGE(""https://docs.google.com/spreadsheets/d/1Lhp9OU0JdFf_VYSMzH5lBcEaU4o8teT1piV-SNzShjg/edit?gid=554141278#gid=554141278"", ""'Char Def. - Attributes'!C20:C2242""), 1,false)"),"ALT_NUM_UOM2")</f>
        <v>ALT_NUM_UOM2</v>
      </c>
      <c r="I11325" s="136"/>
      <c r="R11325" s="63" t="str">
        <f t="shared" si="60"/>
        <v>ZSI1_NETWORK_EQPALT_NUM_UOM2</v>
      </c>
    </row>
    <row r="11326" ht="15.75" customHeight="1">
      <c r="B11326" s="63">
        <f t="shared" si="1"/>
        <v>16</v>
      </c>
      <c r="C11326" s="135" t="s">
        <v>423</v>
      </c>
      <c r="D11326" s="161" t="s">
        <v>74</v>
      </c>
      <c r="E11326" s="135">
        <f t="shared" si="62"/>
        <v>21</v>
      </c>
      <c r="F11326" s="134" t="s">
        <v>3810</v>
      </c>
      <c r="G11326" s="63" t="str">
        <f>VLOOKUP(C11326, 'Class Def. - General Data'!$C$20:$C$1000,1,false)</f>
        <v>ZSI1_NETWORK_EQP</v>
      </c>
      <c r="H11326" s="63" t="str">
        <f>IFERROR(__xludf.DUMMYFUNCTION("VLOOKUP(F11326, IMPORTRANGE(""https://docs.google.com/spreadsheets/d/1Lhp9OU0JdFf_VYSMzH5lBcEaU4o8teT1piV-SNzShjg/edit?gid=554141278#gid=554141278"", ""'Char Def. - Attributes'!C20:C2242""), 1,false)"),"ALT_UOM3_SIPI")</f>
        <v>ALT_UOM3_SIPI</v>
      </c>
      <c r="I11326" s="136"/>
      <c r="R11326" s="63" t="str">
        <f t="shared" si="60"/>
        <v>ZSI1_NETWORK_EQPALT_UOM3_SIPI</v>
      </c>
    </row>
    <row r="11327" ht="15.75" customHeight="1">
      <c r="B11327" s="63">
        <f t="shared" si="1"/>
        <v>16</v>
      </c>
      <c r="C11327" s="135" t="s">
        <v>423</v>
      </c>
      <c r="D11327" s="161" t="s">
        <v>74</v>
      </c>
      <c r="E11327" s="135">
        <f t="shared" si="62"/>
        <v>22</v>
      </c>
      <c r="F11327" s="134" t="s">
        <v>3811</v>
      </c>
      <c r="G11327" s="63" t="str">
        <f>VLOOKUP(C11327, 'Class Def. - General Data'!$C$20:$C$1000,1,false)</f>
        <v>ZSI1_NETWORK_EQP</v>
      </c>
      <c r="H11327" s="63" t="str">
        <f>IFERROR(__xludf.DUMMYFUNCTION("VLOOKUP(F11327, IMPORTRANGE(""https://docs.google.com/spreadsheets/d/1Lhp9OU0JdFf_VYSMzH5lBcEaU4o8teT1piV-SNzShjg/edit?gid=554141278#gid=554141278"", ""'Char Def. - Attributes'!C20:C2242""), 1,false)"),"ALT_DENUM_UOM3")</f>
        <v>ALT_DENUM_UOM3</v>
      </c>
      <c r="I11327" s="136"/>
      <c r="R11327" s="63" t="str">
        <f t="shared" si="60"/>
        <v>ZSI1_NETWORK_EQPALT_DENUM_UOM3</v>
      </c>
    </row>
    <row r="11328" ht="15.75" customHeight="1">
      <c r="B11328" s="63">
        <f t="shared" si="1"/>
        <v>16</v>
      </c>
      <c r="C11328" s="135" t="s">
        <v>423</v>
      </c>
      <c r="D11328" s="161" t="s">
        <v>74</v>
      </c>
      <c r="E11328" s="135">
        <f t="shared" si="62"/>
        <v>23</v>
      </c>
      <c r="F11328" s="134" t="s">
        <v>3812</v>
      </c>
      <c r="G11328" s="63" t="str">
        <f>VLOOKUP(C11328, 'Class Def. - General Data'!$C$20:$C$1000,1,false)</f>
        <v>ZSI1_NETWORK_EQP</v>
      </c>
      <c r="H11328" s="63" t="str">
        <f>IFERROR(__xludf.DUMMYFUNCTION("VLOOKUP(F11328, IMPORTRANGE(""https://docs.google.com/spreadsheets/d/1Lhp9OU0JdFf_VYSMzH5lBcEaU4o8teT1piV-SNzShjg/edit?gid=554141278#gid=554141278"", ""'Char Def. - Attributes'!C20:C2242""), 1,false)"),"ALT_NUM_UOM3")</f>
        <v>ALT_NUM_UOM3</v>
      </c>
      <c r="I11328" s="136"/>
      <c r="R11328" s="63" t="str">
        <f t="shared" si="60"/>
        <v>ZSI1_NETWORK_EQPALT_NUM_UOM3</v>
      </c>
    </row>
    <row r="11329" ht="15.75" customHeight="1">
      <c r="B11329" s="63">
        <f t="shared" si="1"/>
        <v>16</v>
      </c>
      <c r="C11329" s="135" t="s">
        <v>423</v>
      </c>
      <c r="D11329" s="161" t="s">
        <v>74</v>
      </c>
      <c r="E11329" s="135">
        <f t="shared" si="62"/>
        <v>24</v>
      </c>
      <c r="F11329" s="134" t="s">
        <v>3813</v>
      </c>
      <c r="G11329" s="63" t="str">
        <f>VLOOKUP(C11329, 'Class Def. - General Data'!$C$20:$C$1000,1,false)</f>
        <v>ZSI1_NETWORK_EQP</v>
      </c>
      <c r="H11329" s="63" t="str">
        <f>IFERROR(__xludf.DUMMYFUNCTION("VLOOKUP(F11329, IMPORTRANGE(""https://docs.google.com/spreadsheets/d/1Lhp9OU0JdFf_VYSMzH5lBcEaU4o8teT1piV-SNzShjg/edit?gid=554141278#gid=554141278"", ""'Char Def. - Attributes'!C20:C2242""), 1,false)"),"ALT_UOM4_SIPI")</f>
        <v>ALT_UOM4_SIPI</v>
      </c>
      <c r="I11329" s="136"/>
      <c r="R11329" s="63" t="str">
        <f t="shared" si="60"/>
        <v>ZSI1_NETWORK_EQPALT_UOM4_SIPI</v>
      </c>
    </row>
    <row r="11330" ht="15.75" customHeight="1">
      <c r="B11330" s="63">
        <f t="shared" si="1"/>
        <v>16</v>
      </c>
      <c r="C11330" s="135" t="s">
        <v>423</v>
      </c>
      <c r="D11330" s="161" t="s">
        <v>74</v>
      </c>
      <c r="E11330" s="135">
        <f t="shared" si="62"/>
        <v>25</v>
      </c>
      <c r="F11330" s="134" t="s">
        <v>3814</v>
      </c>
      <c r="G11330" s="63" t="str">
        <f>VLOOKUP(C11330, 'Class Def. - General Data'!$C$20:$C$1000,1,false)</f>
        <v>ZSI1_NETWORK_EQP</v>
      </c>
      <c r="H11330" s="63" t="str">
        <f>IFERROR(__xludf.DUMMYFUNCTION("VLOOKUP(F11330, IMPORTRANGE(""https://docs.google.com/spreadsheets/d/1Lhp9OU0JdFf_VYSMzH5lBcEaU4o8teT1piV-SNzShjg/edit?gid=554141278#gid=554141278"", ""'Char Def. - Attributes'!C20:C2242""), 1,false)"),"ALT_DENUM_UOM4")</f>
        <v>ALT_DENUM_UOM4</v>
      </c>
      <c r="I11330" s="136"/>
      <c r="R11330" s="63" t="str">
        <f t="shared" si="60"/>
        <v>ZSI1_NETWORK_EQPALT_DENUM_UOM4</v>
      </c>
    </row>
    <row r="11331" ht="15.75" customHeight="1">
      <c r="B11331" s="63">
        <f t="shared" si="1"/>
        <v>16</v>
      </c>
      <c r="C11331" s="135" t="s">
        <v>423</v>
      </c>
      <c r="D11331" s="161" t="s">
        <v>74</v>
      </c>
      <c r="E11331" s="135">
        <f t="shared" si="62"/>
        <v>26</v>
      </c>
      <c r="F11331" s="134" t="s">
        <v>3815</v>
      </c>
      <c r="G11331" s="63" t="str">
        <f>VLOOKUP(C11331, 'Class Def. - General Data'!$C$20:$C$1000,1,false)</f>
        <v>ZSI1_NETWORK_EQP</v>
      </c>
      <c r="H11331" s="63" t="str">
        <f>IFERROR(__xludf.DUMMYFUNCTION("VLOOKUP(F11331, IMPORTRANGE(""https://docs.google.com/spreadsheets/d/1Lhp9OU0JdFf_VYSMzH5lBcEaU4o8teT1piV-SNzShjg/edit?gid=554141278#gid=554141278"", ""'Char Def. - Attributes'!C20:C2242""), 1,false)"),"ALT_NUM_UOM4")</f>
        <v>ALT_NUM_UOM4</v>
      </c>
      <c r="I11331" s="136"/>
      <c r="R11331" s="63" t="str">
        <f t="shared" si="60"/>
        <v>ZSI1_NETWORK_EQPALT_NUM_UOM4</v>
      </c>
    </row>
    <row r="11332" ht="15.75" customHeight="1">
      <c r="B11332" s="63">
        <f t="shared" si="1"/>
        <v>16</v>
      </c>
      <c r="C11332" s="135" t="s">
        <v>423</v>
      </c>
      <c r="D11332" s="161" t="s">
        <v>74</v>
      </c>
      <c r="E11332" s="135">
        <f t="shared" si="62"/>
        <v>27</v>
      </c>
      <c r="F11332" s="134" t="s">
        <v>3816</v>
      </c>
      <c r="G11332" s="63" t="str">
        <f>VLOOKUP(C11332, 'Class Def. - General Data'!$C$20:$C$1000,1,false)</f>
        <v>ZSI1_NETWORK_EQP</v>
      </c>
      <c r="H11332" s="63" t="str">
        <f>IFERROR(__xludf.DUMMYFUNCTION("VLOOKUP(F11332, IMPORTRANGE(""https://docs.google.com/spreadsheets/d/1Lhp9OU0JdFf_VYSMzH5lBcEaU4o8teT1piV-SNzShjg/edit?gid=554141278#gid=554141278"", ""'Char Def. - Attributes'!C20:C2242""), 1,false)"),"ALT_UOM5_SIPI")</f>
        <v>ALT_UOM5_SIPI</v>
      </c>
      <c r="I11332" s="136"/>
      <c r="R11332" s="63" t="str">
        <f t="shared" si="60"/>
        <v>ZSI1_NETWORK_EQPALT_UOM5_SIPI</v>
      </c>
    </row>
    <row r="11333" ht="15.75" customHeight="1">
      <c r="B11333" s="63">
        <f t="shared" si="1"/>
        <v>16</v>
      </c>
      <c r="C11333" s="135" t="s">
        <v>423</v>
      </c>
      <c r="D11333" s="161" t="s">
        <v>74</v>
      </c>
      <c r="E11333" s="135">
        <f t="shared" si="62"/>
        <v>28</v>
      </c>
      <c r="F11333" s="134" t="s">
        <v>3817</v>
      </c>
      <c r="G11333" s="63" t="str">
        <f>VLOOKUP(C11333, 'Class Def. - General Data'!$C$20:$C$1000,1,false)</f>
        <v>ZSI1_NETWORK_EQP</v>
      </c>
      <c r="H11333" s="63" t="str">
        <f>IFERROR(__xludf.DUMMYFUNCTION("VLOOKUP(F11333, IMPORTRANGE(""https://docs.google.com/spreadsheets/d/1Lhp9OU0JdFf_VYSMzH5lBcEaU4o8teT1piV-SNzShjg/edit?gid=554141278#gid=554141278"", ""'Char Def. - Attributes'!C20:C2242""), 1,false)"),"ALT_DENUM_UOM5")</f>
        <v>ALT_DENUM_UOM5</v>
      </c>
      <c r="I11333" s="136"/>
      <c r="R11333" s="63" t="str">
        <f t="shared" si="60"/>
        <v>ZSI1_NETWORK_EQPALT_DENUM_UOM5</v>
      </c>
    </row>
    <row r="11334" ht="15.75" customHeight="1">
      <c r="B11334" s="63">
        <f t="shared" si="1"/>
        <v>16</v>
      </c>
      <c r="C11334" s="135" t="s">
        <v>423</v>
      </c>
      <c r="D11334" s="161" t="s">
        <v>74</v>
      </c>
      <c r="E11334" s="135">
        <f t="shared" si="62"/>
        <v>29</v>
      </c>
      <c r="F11334" s="134" t="s">
        <v>3818</v>
      </c>
      <c r="G11334" s="63" t="str">
        <f>VLOOKUP(C11334, 'Class Def. - General Data'!$C$20:$C$1000,1,false)</f>
        <v>ZSI1_NETWORK_EQP</v>
      </c>
      <c r="H11334" s="63" t="str">
        <f>IFERROR(__xludf.DUMMYFUNCTION("VLOOKUP(F11334, IMPORTRANGE(""https://docs.google.com/spreadsheets/d/1Lhp9OU0JdFf_VYSMzH5lBcEaU4o8teT1piV-SNzShjg/edit?gid=554141278#gid=554141278"", ""'Char Def. - Attributes'!C20:C2242""), 1,false)"),"ALT_NUM_UOM5")</f>
        <v>ALT_NUM_UOM5</v>
      </c>
      <c r="I11334" s="136"/>
      <c r="R11334" s="63" t="str">
        <f t="shared" si="60"/>
        <v>ZSI1_NETWORK_EQPALT_NUM_UOM5</v>
      </c>
    </row>
    <row r="11335" ht="15.75" customHeight="1">
      <c r="B11335" s="63">
        <f t="shared" si="1"/>
        <v>18</v>
      </c>
      <c r="C11335" s="135" t="s">
        <v>424</v>
      </c>
      <c r="D11335" s="161" t="s">
        <v>74</v>
      </c>
      <c r="E11335" s="135">
        <f t="shared" si="62"/>
        <v>1</v>
      </c>
      <c r="F11335" s="134" t="s">
        <v>4920</v>
      </c>
      <c r="G11335" s="63" t="str">
        <f>VLOOKUP(C11335, 'Class Def. - General Data'!$C$20:$C$1000,1,false)</f>
        <v>ZSI1_NIPPLE_GREASE</v>
      </c>
      <c r="H11335" s="63" t="str">
        <f>IFERROR(__xludf.DUMMYFUNCTION("VLOOKUP(F11335, IMPORTRANGE(""https://docs.google.com/spreadsheets/d/1Lhp9OU0JdFf_VYSMzH5lBcEaU4o8teT1piV-SNzShjg/edit?gid=554141278#gid=554141278"", ""'Char Def. - Attributes'!C20:C2242""), 1,false)"),"ITEM_NAME_NIPPLE_GREASE")</f>
        <v>ITEM_NAME_NIPPLE_GREASE</v>
      </c>
      <c r="I11335" s="136"/>
      <c r="R11335" s="63" t="str">
        <f t="shared" si="60"/>
        <v>ZSI1_NIPPLE_GREASEITEM_NAME_NIPPLE_GREASE</v>
      </c>
    </row>
    <row r="11336" ht="15.75" customHeight="1">
      <c r="B11336" s="63">
        <f t="shared" si="1"/>
        <v>18</v>
      </c>
      <c r="C11336" s="135" t="s">
        <v>424</v>
      </c>
      <c r="D11336" s="161" t="s">
        <v>74</v>
      </c>
      <c r="E11336" s="135">
        <f t="shared" si="62"/>
        <v>2</v>
      </c>
      <c r="F11336" s="134" t="s">
        <v>4921</v>
      </c>
      <c r="G11336" s="63" t="str">
        <f>VLOOKUP(C11336, 'Class Def. - General Data'!$C$20:$C$1000,1,false)</f>
        <v>ZSI1_NIPPLE_GREASE</v>
      </c>
      <c r="H11336" s="63" t="str">
        <f>IFERROR(__xludf.DUMMYFUNCTION("VLOOKUP(F11336, IMPORTRANGE(""https://docs.google.com/spreadsheets/d/1Lhp9OU0JdFf_VYSMzH5lBcEaU4o8teT1piV-SNzShjg/edit?gid=554141278#gid=554141278"", ""'Char Def. - Attributes'!C20:C2242""), 1,false)"),"THREAD_DIMENSION_NIPPLE_GREASE")</f>
        <v>THREAD_DIMENSION_NIPPLE_GREASE</v>
      </c>
      <c r="I11336" s="136"/>
      <c r="R11336" s="63" t="str">
        <f t="shared" si="60"/>
        <v>ZSI1_NIPPLE_GREASETHREAD_DIMENSION_NIPPLE_GREASE</v>
      </c>
    </row>
    <row r="11337" ht="15.75" customHeight="1">
      <c r="B11337" s="63">
        <f t="shared" si="1"/>
        <v>18</v>
      </c>
      <c r="C11337" s="135" t="s">
        <v>424</v>
      </c>
      <c r="D11337" s="161" t="s">
        <v>74</v>
      </c>
      <c r="E11337" s="135">
        <f t="shared" si="62"/>
        <v>3</v>
      </c>
      <c r="F11337" s="134" t="s">
        <v>4922</v>
      </c>
      <c r="G11337" s="63" t="str">
        <f>VLOOKUP(C11337, 'Class Def. - General Data'!$C$20:$C$1000,1,false)</f>
        <v>ZSI1_NIPPLE_GREASE</v>
      </c>
      <c r="H11337" s="63" t="str">
        <f>IFERROR(__xludf.DUMMYFUNCTION("VLOOKUP(F11337, IMPORTRANGE(""https://docs.google.com/spreadsheets/d/1Lhp9OU0JdFf_VYSMzH5lBcEaU4o8teT1piV-SNzShjg/edit?gid=554141278#gid=554141278"", ""'Char Def. - Attributes'!C20:C2242""), 1,false)"),"THREAD_SIZE_MM_NIPPLE_GREASE")</f>
        <v>THREAD_SIZE_MM_NIPPLE_GREASE</v>
      </c>
      <c r="I11337" s="136"/>
      <c r="R11337" s="63" t="str">
        <f t="shared" si="60"/>
        <v>ZSI1_NIPPLE_GREASETHREAD_SIZE_MM_NIPPLE_GREASE</v>
      </c>
    </row>
    <row r="11338" ht="15.75" customHeight="1">
      <c r="B11338" s="63">
        <f t="shared" si="1"/>
        <v>18</v>
      </c>
      <c r="C11338" s="135" t="s">
        <v>424</v>
      </c>
      <c r="D11338" s="161" t="s">
        <v>74</v>
      </c>
      <c r="E11338" s="135">
        <f t="shared" si="62"/>
        <v>4</v>
      </c>
      <c r="F11338" s="134" t="s">
        <v>4923</v>
      </c>
      <c r="G11338" s="63" t="str">
        <f>VLOOKUP(C11338, 'Class Def. - General Data'!$C$20:$C$1000,1,false)</f>
        <v>ZSI1_NIPPLE_GREASE</v>
      </c>
      <c r="H11338" s="63" t="str">
        <f>IFERROR(__xludf.DUMMYFUNCTION("VLOOKUP(F11338, IMPORTRANGE(""https://docs.google.com/spreadsheets/d/1Lhp9OU0JdFf_VYSMzH5lBcEaU4o8teT1piV-SNzShjg/edit?gid=554141278#gid=554141278"", ""'Char Def. - Attributes'!C20:C2242""), 1,false)"),"THREAD_SIZE_INCH_NIPPLE_GREASE")</f>
        <v>THREAD_SIZE_INCH_NIPPLE_GREASE</v>
      </c>
      <c r="I11338" s="136"/>
      <c r="R11338" s="63" t="str">
        <f t="shared" si="60"/>
        <v>ZSI1_NIPPLE_GREASETHREAD_SIZE_INCH_NIPPLE_GREASE</v>
      </c>
    </row>
    <row r="11339" ht="15.75" customHeight="1">
      <c r="B11339" s="63">
        <f t="shared" si="1"/>
        <v>18</v>
      </c>
      <c r="C11339" s="135" t="s">
        <v>424</v>
      </c>
      <c r="D11339" s="161" t="s">
        <v>74</v>
      </c>
      <c r="E11339" s="135">
        <f t="shared" si="62"/>
        <v>5</v>
      </c>
      <c r="F11339" s="134" t="s">
        <v>4924</v>
      </c>
      <c r="G11339" s="63" t="str">
        <f>VLOOKUP(C11339, 'Class Def. - General Data'!$C$20:$C$1000,1,false)</f>
        <v>ZSI1_NIPPLE_GREASE</v>
      </c>
      <c r="H11339" s="63" t="str">
        <f>IFERROR(__xludf.DUMMYFUNCTION("VLOOKUP(F11339, IMPORTRANGE(""https://docs.google.com/spreadsheets/d/1Lhp9OU0JdFf_VYSMzH5lBcEaU4o8teT1piV-SNzShjg/edit?gid=554141278#gid=554141278"", ""'Char Def. - Attributes'!C20:C2242""), 1,false)"),"MATERIAL_NIPPLE_GREASE")</f>
        <v>MATERIAL_NIPPLE_GREASE</v>
      </c>
      <c r="I11339" s="136"/>
      <c r="R11339" s="63" t="str">
        <f t="shared" si="60"/>
        <v>ZSI1_NIPPLE_GREASEMATERIAL_NIPPLE_GREASE</v>
      </c>
    </row>
    <row r="11340" ht="15.75" customHeight="1">
      <c r="B11340" s="63">
        <f t="shared" si="1"/>
        <v>18</v>
      </c>
      <c r="C11340" s="135" t="s">
        <v>424</v>
      </c>
      <c r="D11340" s="161" t="s">
        <v>74</v>
      </c>
      <c r="E11340" s="135">
        <f t="shared" si="62"/>
        <v>6</v>
      </c>
      <c r="F11340" s="134" t="s">
        <v>4053</v>
      </c>
      <c r="G11340" s="63" t="str">
        <f>VLOOKUP(C11340, 'Class Def. - General Data'!$C$20:$C$1000,1,false)</f>
        <v>ZSI1_NIPPLE_GREASE</v>
      </c>
      <c r="H11340" s="63" t="str">
        <f>IFERROR(__xludf.DUMMYFUNCTION("VLOOKUP(F11340, IMPORTRANGE(""https://docs.google.com/spreadsheets/d/1Lhp9OU0JdFf_VYSMzH5lBcEaU4o8teT1piV-SNzShjg/edit?gid=554141278#gid=554141278"", ""'Char Def. - Attributes'!C20:C2242""), 1,false)"),"MAINTENANCE_ORDER_TYPE")</f>
        <v>MAINTENANCE_ORDER_TYPE</v>
      </c>
      <c r="I11340" s="136"/>
      <c r="R11340" s="63" t="str">
        <f t="shared" si="60"/>
        <v>ZSI1_NIPPLE_GREASEMAINTENANCE_ORDER_TYPE</v>
      </c>
    </row>
    <row r="11341" ht="15.75" customHeight="1">
      <c r="B11341" s="63">
        <f t="shared" si="1"/>
        <v>18</v>
      </c>
      <c r="C11341" s="135" t="s">
        <v>424</v>
      </c>
      <c r="D11341" s="161" t="s">
        <v>74</v>
      </c>
      <c r="E11341" s="135">
        <f t="shared" si="62"/>
        <v>7</v>
      </c>
      <c r="F11341" s="134" t="s">
        <v>3585</v>
      </c>
      <c r="G11341" s="63" t="str">
        <f>VLOOKUP(C11341, 'Class Def. - General Data'!$C$20:$C$1000,1,false)</f>
        <v>ZSI1_NIPPLE_GREASE</v>
      </c>
      <c r="H11341" s="63" t="str">
        <f>IFERROR(__xludf.DUMMYFUNCTION("VLOOKUP(F11341, IMPORTRANGE(""https://docs.google.com/spreadsheets/d/1Lhp9OU0JdFf_VYSMzH5lBcEaU4o8teT1piV-SNzShjg/edit?gid=554141278#gid=554141278"", ""'Char Def. - Attributes'!C20:C2242""), 1,false)"),"HS_CODE")</f>
        <v>HS_CODE</v>
      </c>
      <c r="I11341" s="136"/>
      <c r="R11341" s="63" t="str">
        <f t="shared" si="60"/>
        <v>ZSI1_NIPPLE_GREASEHS_CODE</v>
      </c>
    </row>
    <row r="11342" ht="15.75" customHeight="1">
      <c r="B11342" s="63">
        <f t="shared" si="1"/>
        <v>18</v>
      </c>
      <c r="C11342" s="135" t="s">
        <v>424</v>
      </c>
      <c r="D11342" s="161" t="s">
        <v>74</v>
      </c>
      <c r="E11342" s="135">
        <f t="shared" si="62"/>
        <v>8</v>
      </c>
      <c r="F11342" s="134" t="s">
        <v>3587</v>
      </c>
      <c r="G11342" s="63" t="str">
        <f>VLOOKUP(C11342, 'Class Def. - General Data'!$C$20:$C$1000,1,false)</f>
        <v>ZSI1_NIPPLE_GREASE</v>
      </c>
      <c r="H11342" s="63" t="str">
        <f>IFERROR(__xludf.DUMMYFUNCTION("VLOOKUP(F11342, IMPORTRANGE(""https://docs.google.com/spreadsheets/d/1Lhp9OU0JdFf_VYSMzH5lBcEaU4o8teT1piV-SNzShjg/edit?gid=554141278#gid=554141278"", ""'Char Def. - Attributes'!C20:C2242""), 1,false)"),"PLANT_BUY")</f>
        <v>PLANT_BUY</v>
      </c>
      <c r="I11342" s="136"/>
      <c r="R11342" s="63" t="str">
        <f t="shared" si="60"/>
        <v>ZSI1_NIPPLE_GREASEPLANT_BUY</v>
      </c>
    </row>
    <row r="11343" ht="15.75" customHeight="1">
      <c r="B11343" s="63">
        <f t="shared" si="1"/>
        <v>18</v>
      </c>
      <c r="C11343" s="135" t="s">
        <v>424</v>
      </c>
      <c r="D11343" s="161" t="s">
        <v>74</v>
      </c>
      <c r="E11343" s="135">
        <f t="shared" si="62"/>
        <v>9</v>
      </c>
      <c r="F11343" s="134" t="s">
        <v>4925</v>
      </c>
      <c r="G11343" s="63" t="str">
        <f>VLOOKUP(C11343, 'Class Def. - General Data'!$C$20:$C$1000,1,false)</f>
        <v>ZSI1_NIPPLE_GREASE</v>
      </c>
      <c r="H11343" s="63" t="str">
        <f>IFERROR(__xludf.DUMMYFUNCTION("VLOOKUP(F11343, IMPORTRANGE(""https://docs.google.com/spreadsheets/d/1Lhp9OU0JdFf_VYSMzH5lBcEaU4o8teT1piV-SNzShjg/edit?gid=554141278#gid=554141278"", ""'Char Def. - Attributes'!C20:C2242""), 1,false)"),"BASE_UOM_NIPPLE_GREASE")</f>
        <v>BASE_UOM_NIPPLE_GREASE</v>
      </c>
      <c r="I11343" s="136"/>
      <c r="R11343" s="63" t="str">
        <f t="shared" si="60"/>
        <v>ZSI1_NIPPLE_GREASEBASE_UOM_NIPPLE_GREASE</v>
      </c>
    </row>
    <row r="11344" ht="15.75" customHeight="1">
      <c r="B11344" s="63">
        <f t="shared" si="1"/>
        <v>18</v>
      </c>
      <c r="C11344" s="135" t="s">
        <v>424</v>
      </c>
      <c r="D11344" s="161" t="s">
        <v>74</v>
      </c>
      <c r="E11344" s="135">
        <f t="shared" si="62"/>
        <v>10</v>
      </c>
      <c r="F11344" s="134" t="s">
        <v>4926</v>
      </c>
      <c r="G11344" s="63" t="str">
        <f>VLOOKUP(C11344, 'Class Def. - General Data'!$C$20:$C$1000,1,false)</f>
        <v>ZSI1_NIPPLE_GREASE</v>
      </c>
      <c r="H11344" s="63" t="str">
        <f>IFERROR(__xludf.DUMMYFUNCTION("VLOOKUP(F11344, IMPORTRANGE(""https://docs.google.com/spreadsheets/d/1Lhp9OU0JdFf_VYSMzH5lBcEaU4o8teT1piV-SNzShjg/edit?gid=554141278#gid=554141278"", ""'Char Def. - Attributes'!C20:C2242""), 1,false)"),"ORDER_UNIT_NIPPLE_GREASE")</f>
        <v>ORDER_UNIT_NIPPLE_GREASE</v>
      </c>
      <c r="I11344" s="136"/>
      <c r="R11344" s="63" t="str">
        <f t="shared" si="60"/>
        <v>ZSI1_NIPPLE_GREASEORDER_UNIT_NIPPLE_GREASE</v>
      </c>
    </row>
    <row r="11345" ht="15.75" customHeight="1">
      <c r="B11345" s="63">
        <f t="shared" si="1"/>
        <v>18</v>
      </c>
      <c r="C11345" s="135" t="s">
        <v>424</v>
      </c>
      <c r="D11345" s="161" t="s">
        <v>74</v>
      </c>
      <c r="E11345" s="135">
        <f t="shared" si="62"/>
        <v>11</v>
      </c>
      <c r="F11345" s="134" t="s">
        <v>4056</v>
      </c>
      <c r="G11345" s="63" t="str">
        <f>VLOOKUP(C11345, 'Class Def. - General Data'!$C$20:$C$1000,1,false)</f>
        <v>ZSI1_NIPPLE_GREASE</v>
      </c>
      <c r="H11345" s="63" t="str">
        <f>IFERROR(__xludf.DUMMYFUNCTION("VLOOKUP(F11345, IMPORTRANGE(""https://docs.google.com/spreadsheets/d/1Lhp9OU0JdFf_VYSMzH5lBcEaU4o8teT1piV-SNzShjg/edit?gid=554141278#gid=554141278"", ""'Char Def. - Attributes'!C20:C2242""), 1,false)"),"GROSS_WEIGHT_OPT")</f>
        <v>GROSS_WEIGHT_OPT</v>
      </c>
      <c r="I11345" s="136"/>
      <c r="R11345" s="63" t="str">
        <f t="shared" si="60"/>
        <v>ZSI1_NIPPLE_GREASEGROSS_WEIGHT_OPT</v>
      </c>
    </row>
    <row r="11346" ht="15.75" customHeight="1">
      <c r="B11346" s="63">
        <f t="shared" si="1"/>
        <v>18</v>
      </c>
      <c r="C11346" s="135" t="s">
        <v>424</v>
      </c>
      <c r="D11346" s="161" t="s">
        <v>74</v>
      </c>
      <c r="E11346" s="135">
        <f t="shared" si="62"/>
        <v>12</v>
      </c>
      <c r="F11346" s="134" t="s">
        <v>4057</v>
      </c>
      <c r="G11346" s="63" t="str">
        <f>VLOOKUP(C11346, 'Class Def. - General Data'!$C$20:$C$1000,1,false)</f>
        <v>ZSI1_NIPPLE_GREASE</v>
      </c>
      <c r="H11346" s="63" t="str">
        <f>IFERROR(__xludf.DUMMYFUNCTION("VLOOKUP(F11346, IMPORTRANGE(""https://docs.google.com/spreadsheets/d/1Lhp9OU0JdFf_VYSMzH5lBcEaU4o8teT1piV-SNzShjg/edit?gid=554141278#gid=554141278"", ""'Char Def. - Attributes'!C20:C2242""), 1,false)"),"NET_WEIGHT_OPT")</f>
        <v>NET_WEIGHT_OPT</v>
      </c>
      <c r="I11346" s="136"/>
      <c r="R11346" s="63" t="str">
        <f t="shared" si="60"/>
        <v>ZSI1_NIPPLE_GREASENET_WEIGHT_OPT</v>
      </c>
    </row>
    <row r="11347" ht="15.75" customHeight="1">
      <c r="B11347" s="63">
        <f t="shared" si="1"/>
        <v>18</v>
      </c>
      <c r="C11347" s="135" t="s">
        <v>424</v>
      </c>
      <c r="D11347" s="161" t="s">
        <v>74</v>
      </c>
      <c r="E11347" s="135">
        <f t="shared" si="62"/>
        <v>13</v>
      </c>
      <c r="F11347" s="134" t="s">
        <v>4058</v>
      </c>
      <c r="G11347" s="63" t="str">
        <f>VLOOKUP(C11347, 'Class Def. - General Data'!$C$20:$C$1000,1,false)</f>
        <v>ZSI1_NIPPLE_GREASE</v>
      </c>
      <c r="H11347" s="63" t="str">
        <f>IFERROR(__xludf.DUMMYFUNCTION("VLOOKUP(F11347, IMPORTRANGE(""https://docs.google.com/spreadsheets/d/1Lhp9OU0JdFf_VYSMzH5lBcEaU4o8teT1piV-SNzShjg/edit?gid=554141278#gid=554141278"", ""'Char Def. - Attributes'!C20:C2242""), 1,false)"),"WEIGHT_UNIT_SI")</f>
        <v>WEIGHT_UNIT_SI</v>
      </c>
      <c r="I11347" s="136"/>
      <c r="R11347" s="63" t="str">
        <f t="shared" si="60"/>
        <v>ZSI1_NIPPLE_GREASEWEIGHT_UNIT_SI</v>
      </c>
    </row>
    <row r="11348" ht="15.75" customHeight="1">
      <c r="B11348" s="63">
        <f t="shared" si="1"/>
        <v>18</v>
      </c>
      <c r="C11348" s="135" t="s">
        <v>424</v>
      </c>
      <c r="D11348" s="161" t="s">
        <v>74</v>
      </c>
      <c r="E11348" s="135">
        <f t="shared" si="62"/>
        <v>14</v>
      </c>
      <c r="F11348" s="134" t="s">
        <v>3877</v>
      </c>
      <c r="G11348" s="63" t="str">
        <f>VLOOKUP(C11348, 'Class Def. - General Data'!$C$20:$C$1000,1,false)</f>
        <v>ZSI1_NIPPLE_GREASE</v>
      </c>
      <c r="H11348" s="63" t="str">
        <f>IFERROR(__xludf.DUMMYFUNCTION("VLOOKUP(F11348, IMPORTRANGE(""https://docs.google.com/spreadsheets/d/1Lhp9OU0JdFf_VYSMzH5lBcEaU4o8teT1piV-SNzShjg/edit?gid=554141278#gid=554141278"", ""'Char Def. - Attributes'!C20:C2242""), 1,false)"),"VOLUME_OPT")</f>
        <v>VOLUME_OPT</v>
      </c>
      <c r="I11348" s="136"/>
      <c r="R11348" s="63" t="str">
        <f t="shared" si="60"/>
        <v>ZSI1_NIPPLE_GREASEVOLUME_OPT</v>
      </c>
    </row>
    <row r="11349" ht="15.75" customHeight="1">
      <c r="B11349" s="63">
        <f t="shared" si="1"/>
        <v>18</v>
      </c>
      <c r="C11349" s="135" t="s">
        <v>424</v>
      </c>
      <c r="D11349" s="161" t="s">
        <v>74</v>
      </c>
      <c r="E11349" s="135">
        <f t="shared" si="62"/>
        <v>15</v>
      </c>
      <c r="F11349" s="134" t="s">
        <v>4059</v>
      </c>
      <c r="G11349" s="63" t="str">
        <f>VLOOKUP(C11349, 'Class Def. - General Data'!$C$20:$C$1000,1,false)</f>
        <v>ZSI1_NIPPLE_GREASE</v>
      </c>
      <c r="H11349" s="63" t="str">
        <f>IFERROR(__xludf.DUMMYFUNCTION("VLOOKUP(F11349, IMPORTRANGE(""https://docs.google.com/spreadsheets/d/1Lhp9OU0JdFf_VYSMzH5lBcEaU4o8teT1piV-SNzShjg/edit?gid=554141278#gid=554141278"", ""'Char Def. - Attributes'!C20:C2242""), 1,false)"),"VOLUME_UNIT_SI")</f>
        <v>VOLUME_UNIT_SI</v>
      </c>
      <c r="I11349" s="136"/>
      <c r="R11349" s="63" t="str">
        <f t="shared" si="60"/>
        <v>ZSI1_NIPPLE_GREASEVOLUME_UNIT_SI</v>
      </c>
    </row>
    <row r="11350" ht="15.75" customHeight="1">
      <c r="B11350" s="63">
        <f t="shared" si="1"/>
        <v>18</v>
      </c>
      <c r="C11350" s="135" t="s">
        <v>424</v>
      </c>
      <c r="D11350" s="161" t="s">
        <v>74</v>
      </c>
      <c r="E11350" s="135">
        <f t="shared" si="62"/>
        <v>16</v>
      </c>
      <c r="F11350" s="134" t="s">
        <v>3804</v>
      </c>
      <c r="G11350" s="63" t="str">
        <f>VLOOKUP(C11350, 'Class Def. - General Data'!$C$20:$C$1000,1,false)</f>
        <v>ZSI1_NIPPLE_GREASE</v>
      </c>
      <c r="H11350" s="63" t="str">
        <f>IFERROR(__xludf.DUMMYFUNCTION("VLOOKUP(F11350, IMPORTRANGE(""https://docs.google.com/spreadsheets/d/1Lhp9OU0JdFf_VYSMzH5lBcEaU4o8teT1piV-SNzShjg/edit?gid=554141278#gid=554141278"", ""'Char Def. - Attributes'!C20:C2242""), 1,false)"),"ALT_UOM1_SIPI")</f>
        <v>ALT_UOM1_SIPI</v>
      </c>
      <c r="I11350" s="136"/>
      <c r="R11350" s="63" t="str">
        <f t="shared" si="60"/>
        <v>ZSI1_NIPPLE_GREASEALT_UOM1_SIPI</v>
      </c>
    </row>
    <row r="11351" ht="15.75" customHeight="1">
      <c r="B11351" s="63">
        <f t="shared" si="1"/>
        <v>18</v>
      </c>
      <c r="C11351" s="135" t="s">
        <v>424</v>
      </c>
      <c r="D11351" s="161" t="s">
        <v>74</v>
      </c>
      <c r="E11351" s="135">
        <f t="shared" si="62"/>
        <v>17</v>
      </c>
      <c r="F11351" s="134" t="s">
        <v>3805</v>
      </c>
      <c r="G11351" s="63" t="str">
        <f>VLOOKUP(C11351, 'Class Def. - General Data'!$C$20:$C$1000,1,false)</f>
        <v>ZSI1_NIPPLE_GREASE</v>
      </c>
      <c r="H11351" s="63" t="str">
        <f>IFERROR(__xludf.DUMMYFUNCTION("VLOOKUP(F11351, IMPORTRANGE(""https://docs.google.com/spreadsheets/d/1Lhp9OU0JdFf_VYSMzH5lBcEaU4o8teT1piV-SNzShjg/edit?gid=554141278#gid=554141278"", ""'Char Def. - Attributes'!C20:C2242""), 1,false)"),"ALT_DENUM_UOM1")</f>
        <v>ALT_DENUM_UOM1</v>
      </c>
      <c r="I11351" s="136"/>
      <c r="R11351" s="63" t="str">
        <f t="shared" si="60"/>
        <v>ZSI1_NIPPLE_GREASEALT_DENUM_UOM1</v>
      </c>
    </row>
    <row r="11352" ht="15.75" customHeight="1">
      <c r="B11352" s="63">
        <f t="shared" si="1"/>
        <v>18</v>
      </c>
      <c r="C11352" s="135" t="s">
        <v>424</v>
      </c>
      <c r="D11352" s="161" t="s">
        <v>74</v>
      </c>
      <c r="E11352" s="135">
        <f t="shared" si="62"/>
        <v>18</v>
      </c>
      <c r="F11352" s="134" t="s">
        <v>3806</v>
      </c>
      <c r="G11352" s="63" t="str">
        <f>VLOOKUP(C11352, 'Class Def. - General Data'!$C$20:$C$1000,1,false)</f>
        <v>ZSI1_NIPPLE_GREASE</v>
      </c>
      <c r="H11352" s="63" t="str">
        <f>IFERROR(__xludf.DUMMYFUNCTION("VLOOKUP(F11352, IMPORTRANGE(""https://docs.google.com/spreadsheets/d/1Lhp9OU0JdFf_VYSMzH5lBcEaU4o8teT1piV-SNzShjg/edit?gid=554141278#gid=554141278"", ""'Char Def. - Attributes'!C20:C2242""), 1,false)"),"ALT_NUM_UOM1")</f>
        <v>ALT_NUM_UOM1</v>
      </c>
      <c r="I11352" s="136"/>
      <c r="R11352" s="63" t="str">
        <f t="shared" si="60"/>
        <v>ZSI1_NIPPLE_GREASEALT_NUM_UOM1</v>
      </c>
    </row>
    <row r="11353" ht="15.75" customHeight="1">
      <c r="B11353" s="63">
        <f t="shared" si="1"/>
        <v>18</v>
      </c>
      <c r="C11353" s="135" t="s">
        <v>424</v>
      </c>
      <c r="D11353" s="161" t="s">
        <v>74</v>
      </c>
      <c r="E11353" s="135">
        <f t="shared" si="62"/>
        <v>19</v>
      </c>
      <c r="F11353" s="134" t="s">
        <v>3807</v>
      </c>
      <c r="G11353" s="63" t="str">
        <f>VLOOKUP(C11353, 'Class Def. - General Data'!$C$20:$C$1000,1,false)</f>
        <v>ZSI1_NIPPLE_GREASE</v>
      </c>
      <c r="H11353" s="63" t="str">
        <f>IFERROR(__xludf.DUMMYFUNCTION("VLOOKUP(F11353, IMPORTRANGE(""https://docs.google.com/spreadsheets/d/1Lhp9OU0JdFf_VYSMzH5lBcEaU4o8teT1piV-SNzShjg/edit?gid=554141278#gid=554141278"", ""'Char Def. - Attributes'!C20:C2242""), 1,false)"),"ALT_UOM2_SIPI")</f>
        <v>ALT_UOM2_SIPI</v>
      </c>
      <c r="I11353" s="136"/>
      <c r="R11353" s="63" t="str">
        <f t="shared" si="60"/>
        <v>ZSI1_NIPPLE_GREASEALT_UOM2_SIPI</v>
      </c>
    </row>
    <row r="11354" ht="15.75" customHeight="1">
      <c r="B11354" s="63">
        <f t="shared" si="1"/>
        <v>18</v>
      </c>
      <c r="C11354" s="135" t="s">
        <v>424</v>
      </c>
      <c r="D11354" s="161" t="s">
        <v>74</v>
      </c>
      <c r="E11354" s="135">
        <f t="shared" si="62"/>
        <v>20</v>
      </c>
      <c r="F11354" s="134" t="s">
        <v>3808</v>
      </c>
      <c r="G11354" s="63" t="str">
        <f>VLOOKUP(C11354, 'Class Def. - General Data'!$C$20:$C$1000,1,false)</f>
        <v>ZSI1_NIPPLE_GREASE</v>
      </c>
      <c r="H11354" s="63" t="str">
        <f>IFERROR(__xludf.DUMMYFUNCTION("VLOOKUP(F11354, IMPORTRANGE(""https://docs.google.com/spreadsheets/d/1Lhp9OU0JdFf_VYSMzH5lBcEaU4o8teT1piV-SNzShjg/edit?gid=554141278#gid=554141278"", ""'Char Def. - Attributes'!C20:C2242""), 1,false)"),"ALT_DENUM_UOM2")</f>
        <v>ALT_DENUM_UOM2</v>
      </c>
      <c r="I11354" s="136"/>
      <c r="R11354" s="63" t="str">
        <f t="shared" si="60"/>
        <v>ZSI1_NIPPLE_GREASEALT_DENUM_UOM2</v>
      </c>
    </row>
    <row r="11355" ht="15.75" customHeight="1">
      <c r="B11355" s="63">
        <f t="shared" si="1"/>
        <v>18</v>
      </c>
      <c r="C11355" s="135" t="s">
        <v>424</v>
      </c>
      <c r="D11355" s="161" t="s">
        <v>74</v>
      </c>
      <c r="E11355" s="135">
        <f t="shared" si="62"/>
        <v>21</v>
      </c>
      <c r="F11355" s="134" t="s">
        <v>3809</v>
      </c>
      <c r="G11355" s="63" t="str">
        <f>VLOOKUP(C11355, 'Class Def. - General Data'!$C$20:$C$1000,1,false)</f>
        <v>ZSI1_NIPPLE_GREASE</v>
      </c>
      <c r="H11355" s="63" t="str">
        <f>IFERROR(__xludf.DUMMYFUNCTION("VLOOKUP(F11355, IMPORTRANGE(""https://docs.google.com/spreadsheets/d/1Lhp9OU0JdFf_VYSMzH5lBcEaU4o8teT1piV-SNzShjg/edit?gid=554141278#gid=554141278"", ""'Char Def. - Attributes'!C20:C2242""), 1,false)"),"ALT_NUM_UOM2")</f>
        <v>ALT_NUM_UOM2</v>
      </c>
      <c r="I11355" s="136"/>
      <c r="R11355" s="63" t="str">
        <f t="shared" si="60"/>
        <v>ZSI1_NIPPLE_GREASEALT_NUM_UOM2</v>
      </c>
    </row>
    <row r="11356" ht="15.75" customHeight="1">
      <c r="B11356" s="63">
        <f t="shared" si="1"/>
        <v>18</v>
      </c>
      <c r="C11356" s="135" t="s">
        <v>424</v>
      </c>
      <c r="D11356" s="161" t="s">
        <v>74</v>
      </c>
      <c r="E11356" s="135">
        <f t="shared" si="62"/>
        <v>22</v>
      </c>
      <c r="F11356" s="134" t="s">
        <v>3810</v>
      </c>
      <c r="G11356" s="63" t="str">
        <f>VLOOKUP(C11356, 'Class Def. - General Data'!$C$20:$C$1000,1,false)</f>
        <v>ZSI1_NIPPLE_GREASE</v>
      </c>
      <c r="H11356" s="63" t="str">
        <f>IFERROR(__xludf.DUMMYFUNCTION("VLOOKUP(F11356, IMPORTRANGE(""https://docs.google.com/spreadsheets/d/1Lhp9OU0JdFf_VYSMzH5lBcEaU4o8teT1piV-SNzShjg/edit?gid=554141278#gid=554141278"", ""'Char Def. - Attributes'!C20:C2242""), 1,false)"),"ALT_UOM3_SIPI")</f>
        <v>ALT_UOM3_SIPI</v>
      </c>
      <c r="I11356" s="136"/>
      <c r="R11356" s="63" t="str">
        <f t="shared" si="60"/>
        <v>ZSI1_NIPPLE_GREASEALT_UOM3_SIPI</v>
      </c>
    </row>
    <row r="11357" ht="15.75" customHeight="1">
      <c r="B11357" s="63">
        <f t="shared" si="1"/>
        <v>18</v>
      </c>
      <c r="C11357" s="135" t="s">
        <v>424</v>
      </c>
      <c r="D11357" s="161" t="s">
        <v>74</v>
      </c>
      <c r="E11357" s="135">
        <f t="shared" si="62"/>
        <v>23</v>
      </c>
      <c r="F11357" s="134" t="s">
        <v>3811</v>
      </c>
      <c r="G11357" s="63" t="str">
        <f>VLOOKUP(C11357, 'Class Def. - General Data'!$C$20:$C$1000,1,false)</f>
        <v>ZSI1_NIPPLE_GREASE</v>
      </c>
      <c r="H11357" s="63" t="str">
        <f>IFERROR(__xludf.DUMMYFUNCTION("VLOOKUP(F11357, IMPORTRANGE(""https://docs.google.com/spreadsheets/d/1Lhp9OU0JdFf_VYSMzH5lBcEaU4o8teT1piV-SNzShjg/edit?gid=554141278#gid=554141278"", ""'Char Def. - Attributes'!C20:C2242""), 1,false)"),"ALT_DENUM_UOM3")</f>
        <v>ALT_DENUM_UOM3</v>
      </c>
      <c r="I11357" s="136"/>
      <c r="R11357" s="63" t="str">
        <f t="shared" si="60"/>
        <v>ZSI1_NIPPLE_GREASEALT_DENUM_UOM3</v>
      </c>
    </row>
    <row r="11358" ht="15.75" customHeight="1">
      <c r="B11358" s="63">
        <f t="shared" si="1"/>
        <v>18</v>
      </c>
      <c r="C11358" s="135" t="s">
        <v>424</v>
      </c>
      <c r="D11358" s="161" t="s">
        <v>74</v>
      </c>
      <c r="E11358" s="135">
        <f t="shared" si="62"/>
        <v>24</v>
      </c>
      <c r="F11358" s="134" t="s">
        <v>3812</v>
      </c>
      <c r="G11358" s="63" t="str">
        <f>VLOOKUP(C11358, 'Class Def. - General Data'!$C$20:$C$1000,1,false)</f>
        <v>ZSI1_NIPPLE_GREASE</v>
      </c>
      <c r="H11358" s="63" t="str">
        <f>IFERROR(__xludf.DUMMYFUNCTION("VLOOKUP(F11358, IMPORTRANGE(""https://docs.google.com/spreadsheets/d/1Lhp9OU0JdFf_VYSMzH5lBcEaU4o8teT1piV-SNzShjg/edit?gid=554141278#gid=554141278"", ""'Char Def. - Attributes'!C20:C2242""), 1,false)"),"ALT_NUM_UOM3")</f>
        <v>ALT_NUM_UOM3</v>
      </c>
      <c r="I11358" s="136"/>
      <c r="R11358" s="63" t="str">
        <f t="shared" si="60"/>
        <v>ZSI1_NIPPLE_GREASEALT_NUM_UOM3</v>
      </c>
    </row>
    <row r="11359" ht="15.75" customHeight="1">
      <c r="B11359" s="63">
        <f t="shared" si="1"/>
        <v>18</v>
      </c>
      <c r="C11359" s="135" t="s">
        <v>424</v>
      </c>
      <c r="D11359" s="161" t="s">
        <v>74</v>
      </c>
      <c r="E11359" s="135">
        <f t="shared" si="62"/>
        <v>25</v>
      </c>
      <c r="F11359" s="134" t="s">
        <v>3813</v>
      </c>
      <c r="G11359" s="63" t="str">
        <f>VLOOKUP(C11359, 'Class Def. - General Data'!$C$20:$C$1000,1,false)</f>
        <v>ZSI1_NIPPLE_GREASE</v>
      </c>
      <c r="H11359" s="63" t="str">
        <f>IFERROR(__xludf.DUMMYFUNCTION("VLOOKUP(F11359, IMPORTRANGE(""https://docs.google.com/spreadsheets/d/1Lhp9OU0JdFf_VYSMzH5lBcEaU4o8teT1piV-SNzShjg/edit?gid=554141278#gid=554141278"", ""'Char Def. - Attributes'!C20:C2242""), 1,false)"),"ALT_UOM4_SIPI")</f>
        <v>ALT_UOM4_SIPI</v>
      </c>
      <c r="I11359" s="136"/>
      <c r="R11359" s="63" t="str">
        <f t="shared" si="60"/>
        <v>ZSI1_NIPPLE_GREASEALT_UOM4_SIPI</v>
      </c>
    </row>
    <row r="11360" ht="15.75" customHeight="1">
      <c r="B11360" s="63">
        <f t="shared" si="1"/>
        <v>18</v>
      </c>
      <c r="C11360" s="135" t="s">
        <v>424</v>
      </c>
      <c r="D11360" s="161" t="s">
        <v>74</v>
      </c>
      <c r="E11360" s="135">
        <f t="shared" si="62"/>
        <v>26</v>
      </c>
      <c r="F11360" s="134" t="s">
        <v>3814</v>
      </c>
      <c r="G11360" s="63" t="str">
        <f>VLOOKUP(C11360, 'Class Def. - General Data'!$C$20:$C$1000,1,false)</f>
        <v>ZSI1_NIPPLE_GREASE</v>
      </c>
      <c r="H11360" s="63" t="str">
        <f>IFERROR(__xludf.DUMMYFUNCTION("VLOOKUP(F11360, IMPORTRANGE(""https://docs.google.com/spreadsheets/d/1Lhp9OU0JdFf_VYSMzH5lBcEaU4o8teT1piV-SNzShjg/edit?gid=554141278#gid=554141278"", ""'Char Def. - Attributes'!C20:C2242""), 1,false)"),"ALT_DENUM_UOM4")</f>
        <v>ALT_DENUM_UOM4</v>
      </c>
      <c r="I11360" s="136"/>
      <c r="R11360" s="63" t="str">
        <f t="shared" si="60"/>
        <v>ZSI1_NIPPLE_GREASEALT_DENUM_UOM4</v>
      </c>
    </row>
    <row r="11361" ht="15.75" customHeight="1">
      <c r="B11361" s="63">
        <f t="shared" si="1"/>
        <v>18</v>
      </c>
      <c r="C11361" s="135" t="s">
        <v>424</v>
      </c>
      <c r="D11361" s="161" t="s">
        <v>74</v>
      </c>
      <c r="E11361" s="135">
        <f t="shared" si="62"/>
        <v>27</v>
      </c>
      <c r="F11361" s="134" t="s">
        <v>3815</v>
      </c>
      <c r="G11361" s="63" t="str">
        <f>VLOOKUP(C11361, 'Class Def. - General Data'!$C$20:$C$1000,1,false)</f>
        <v>ZSI1_NIPPLE_GREASE</v>
      </c>
      <c r="H11361" s="63" t="str">
        <f>IFERROR(__xludf.DUMMYFUNCTION("VLOOKUP(F11361, IMPORTRANGE(""https://docs.google.com/spreadsheets/d/1Lhp9OU0JdFf_VYSMzH5lBcEaU4o8teT1piV-SNzShjg/edit?gid=554141278#gid=554141278"", ""'Char Def. - Attributes'!C20:C2242""), 1,false)"),"ALT_NUM_UOM4")</f>
        <v>ALT_NUM_UOM4</v>
      </c>
      <c r="I11361" s="136"/>
      <c r="R11361" s="63" t="str">
        <f t="shared" si="60"/>
        <v>ZSI1_NIPPLE_GREASEALT_NUM_UOM4</v>
      </c>
    </row>
    <row r="11362" ht="15.75" customHeight="1">
      <c r="B11362" s="63">
        <f t="shared" si="1"/>
        <v>18</v>
      </c>
      <c r="C11362" s="135" t="s">
        <v>424</v>
      </c>
      <c r="D11362" s="161" t="s">
        <v>74</v>
      </c>
      <c r="E11362" s="135">
        <f t="shared" si="62"/>
        <v>28</v>
      </c>
      <c r="F11362" s="134" t="s">
        <v>3816</v>
      </c>
      <c r="G11362" s="63" t="str">
        <f>VLOOKUP(C11362, 'Class Def. - General Data'!$C$20:$C$1000,1,false)</f>
        <v>ZSI1_NIPPLE_GREASE</v>
      </c>
      <c r="H11362" s="63" t="str">
        <f>IFERROR(__xludf.DUMMYFUNCTION("VLOOKUP(F11362, IMPORTRANGE(""https://docs.google.com/spreadsheets/d/1Lhp9OU0JdFf_VYSMzH5lBcEaU4o8teT1piV-SNzShjg/edit?gid=554141278#gid=554141278"", ""'Char Def. - Attributes'!C20:C2242""), 1,false)"),"ALT_UOM5_SIPI")</f>
        <v>ALT_UOM5_SIPI</v>
      </c>
      <c r="I11362" s="136"/>
      <c r="R11362" s="63" t="str">
        <f t="shared" si="60"/>
        <v>ZSI1_NIPPLE_GREASEALT_UOM5_SIPI</v>
      </c>
    </row>
    <row r="11363" ht="15.75" customHeight="1">
      <c r="B11363" s="63">
        <f t="shared" si="1"/>
        <v>18</v>
      </c>
      <c r="C11363" s="135" t="s">
        <v>424</v>
      </c>
      <c r="D11363" s="161" t="s">
        <v>74</v>
      </c>
      <c r="E11363" s="135">
        <f t="shared" si="62"/>
        <v>29</v>
      </c>
      <c r="F11363" s="134" t="s">
        <v>3817</v>
      </c>
      <c r="G11363" s="63" t="str">
        <f>VLOOKUP(C11363, 'Class Def. - General Data'!$C$20:$C$1000,1,false)</f>
        <v>ZSI1_NIPPLE_GREASE</v>
      </c>
      <c r="H11363" s="63" t="str">
        <f>IFERROR(__xludf.DUMMYFUNCTION("VLOOKUP(F11363, IMPORTRANGE(""https://docs.google.com/spreadsheets/d/1Lhp9OU0JdFf_VYSMzH5lBcEaU4o8teT1piV-SNzShjg/edit?gid=554141278#gid=554141278"", ""'Char Def. - Attributes'!C20:C2242""), 1,false)"),"ALT_DENUM_UOM5")</f>
        <v>ALT_DENUM_UOM5</v>
      </c>
      <c r="I11363" s="136"/>
      <c r="R11363" s="63" t="str">
        <f t="shared" si="60"/>
        <v>ZSI1_NIPPLE_GREASEALT_DENUM_UOM5</v>
      </c>
    </row>
    <row r="11364" ht="15.75" customHeight="1">
      <c r="B11364" s="63">
        <f t="shared" si="1"/>
        <v>18</v>
      </c>
      <c r="C11364" s="135" t="s">
        <v>424</v>
      </c>
      <c r="D11364" s="161" t="s">
        <v>74</v>
      </c>
      <c r="E11364" s="135">
        <f t="shared" si="62"/>
        <v>30</v>
      </c>
      <c r="F11364" s="134" t="s">
        <v>3818</v>
      </c>
      <c r="G11364" s="63" t="str">
        <f>VLOOKUP(C11364, 'Class Def. - General Data'!$C$20:$C$1000,1,false)</f>
        <v>ZSI1_NIPPLE_GREASE</v>
      </c>
      <c r="H11364" s="63" t="str">
        <f>IFERROR(__xludf.DUMMYFUNCTION("VLOOKUP(F11364, IMPORTRANGE(""https://docs.google.com/spreadsheets/d/1Lhp9OU0JdFf_VYSMzH5lBcEaU4o8teT1piV-SNzShjg/edit?gid=554141278#gid=554141278"", ""'Char Def. - Attributes'!C20:C2242""), 1,false)"),"ALT_NUM_UOM5")</f>
        <v>ALT_NUM_UOM5</v>
      </c>
      <c r="I11364" s="136"/>
      <c r="R11364" s="63" t="str">
        <f t="shared" si="60"/>
        <v>ZSI1_NIPPLE_GREASEALT_NUM_UOM5</v>
      </c>
    </row>
    <row r="11365" ht="15.75" customHeight="1">
      <c r="B11365" s="63">
        <f t="shared" si="1"/>
        <v>18</v>
      </c>
      <c r="C11365" s="135" t="s">
        <v>425</v>
      </c>
      <c r="D11365" s="161" t="s">
        <v>74</v>
      </c>
      <c r="E11365" s="135">
        <f t="shared" si="62"/>
        <v>1</v>
      </c>
      <c r="F11365" s="134" t="s">
        <v>4927</v>
      </c>
      <c r="G11365" s="63" t="str">
        <f>VLOOKUP(C11365, 'Class Def. - General Data'!$C$20:$C$1000,1,false)</f>
        <v>ZSI1_NON_ELEC_WIRE</v>
      </c>
      <c r="H11365" s="63" t="str">
        <f>IFERROR(__xludf.DUMMYFUNCTION("VLOOKUP(F11365, IMPORTRANGE(""https://docs.google.com/spreadsheets/d/1Lhp9OU0JdFf_VYSMzH5lBcEaU4o8teT1piV-SNzShjg/edit?gid=554141278#gid=554141278"", ""'Char Def. - Attributes'!C20:C2242""), 1,false)"),"ITEM_NAME_NON_ELEC_WIRE")</f>
        <v>ITEM_NAME_NON_ELEC_WIRE</v>
      </c>
      <c r="I11365" s="136"/>
      <c r="R11365" s="63" t="str">
        <f t="shared" si="60"/>
        <v>ZSI1_NON_ELEC_WIREITEM_NAME_NON_ELEC_WIRE</v>
      </c>
    </row>
    <row r="11366" ht="15.75" customHeight="1">
      <c r="B11366" s="63">
        <f t="shared" si="1"/>
        <v>18</v>
      </c>
      <c r="C11366" s="135" t="s">
        <v>425</v>
      </c>
      <c r="D11366" s="161" t="s">
        <v>74</v>
      </c>
      <c r="E11366" s="135">
        <f t="shared" si="62"/>
        <v>2</v>
      </c>
      <c r="F11366" s="134" t="s">
        <v>4928</v>
      </c>
      <c r="G11366" s="63" t="str">
        <f>VLOOKUP(C11366, 'Class Def. - General Data'!$C$20:$C$1000,1,false)</f>
        <v>ZSI1_NON_ELEC_WIRE</v>
      </c>
      <c r="H11366" s="63" t="str">
        <f>IFERROR(__xludf.DUMMYFUNCTION("VLOOKUP(F11366, IMPORTRANGE(""https://docs.google.com/spreadsheets/d/1Lhp9OU0JdFf_VYSMzH5lBcEaU4o8teT1piV-SNzShjg/edit?gid=554141278#gid=554141278"", ""'Char Def. - Attributes'!C20:C2242""), 1,false)"),"MATERIAL_NON_ELEC_WIRE")</f>
        <v>MATERIAL_NON_ELEC_WIRE</v>
      </c>
      <c r="I11366" s="136"/>
      <c r="R11366" s="63" t="str">
        <f t="shared" si="60"/>
        <v>ZSI1_NON_ELEC_WIREMATERIAL_NON_ELEC_WIRE</v>
      </c>
    </row>
    <row r="11367" ht="15.75" customHeight="1">
      <c r="B11367" s="63">
        <f t="shared" si="1"/>
        <v>18</v>
      </c>
      <c r="C11367" s="135" t="s">
        <v>425</v>
      </c>
      <c r="D11367" s="161" t="s">
        <v>74</v>
      </c>
      <c r="E11367" s="135">
        <f t="shared" si="62"/>
        <v>3</v>
      </c>
      <c r="F11367" s="134" t="s">
        <v>4929</v>
      </c>
      <c r="G11367" s="63" t="str">
        <f>VLOOKUP(C11367, 'Class Def. - General Data'!$C$20:$C$1000,1,false)</f>
        <v>ZSI1_NON_ELEC_WIRE</v>
      </c>
      <c r="H11367" s="63" t="str">
        <f>IFERROR(__xludf.DUMMYFUNCTION("VLOOKUP(F11367, IMPORTRANGE(""https://docs.google.com/spreadsheets/d/1Lhp9OU0JdFf_VYSMzH5lBcEaU4o8teT1piV-SNzShjg/edit?gid=554141278#gid=554141278"", ""'Char Def. - Attributes'!C20:C2242""), 1,false)"),"WIRE_DIAMETER_MM_NON_ELEC_WIRE")</f>
        <v>WIRE_DIAMETER_MM_NON_ELEC_WIRE</v>
      </c>
      <c r="I11367" s="136"/>
      <c r="R11367" s="63" t="str">
        <f t="shared" si="60"/>
        <v>ZSI1_NON_ELEC_WIREWIRE_DIAMETER_MM_NON_ELEC_WIRE</v>
      </c>
    </row>
    <row r="11368" ht="15.75" customHeight="1">
      <c r="B11368" s="63">
        <f t="shared" si="1"/>
        <v>18</v>
      </c>
      <c r="C11368" s="135" t="s">
        <v>425</v>
      </c>
      <c r="D11368" s="161" t="s">
        <v>74</v>
      </c>
      <c r="E11368" s="135">
        <f t="shared" si="62"/>
        <v>4</v>
      </c>
      <c r="F11368" s="134" t="s">
        <v>4930</v>
      </c>
      <c r="G11368" s="63" t="str">
        <f>VLOOKUP(C11368, 'Class Def. - General Data'!$C$20:$C$1000,1,false)</f>
        <v>ZSI1_NON_ELEC_WIRE</v>
      </c>
      <c r="H11368" s="63" t="str">
        <f>IFERROR(__xludf.DUMMYFUNCTION("VLOOKUP(F11368, IMPORTRANGE(""https://docs.google.com/spreadsheets/d/1Lhp9OU0JdFf_VYSMzH5lBcEaU4o8teT1piV-SNzShjg/edit?gid=554141278#gid=554141278"", ""'Char Def. - Attributes'!C20:C2242""), 1,false)"),"WIRE_LENGTH_MM_NON_ELEC_WIRE")</f>
        <v>WIRE_LENGTH_MM_NON_ELEC_WIRE</v>
      </c>
      <c r="I11368" s="136"/>
      <c r="R11368" s="63" t="str">
        <f t="shared" si="60"/>
        <v>ZSI1_NON_ELEC_WIREWIRE_LENGTH_MM_NON_ELEC_WIRE</v>
      </c>
    </row>
    <row r="11369" ht="15.75" customHeight="1">
      <c r="B11369" s="63">
        <f t="shared" si="1"/>
        <v>18</v>
      </c>
      <c r="C11369" s="135" t="s">
        <v>425</v>
      </c>
      <c r="D11369" s="161" t="s">
        <v>74</v>
      </c>
      <c r="E11369" s="135">
        <f t="shared" si="62"/>
        <v>5</v>
      </c>
      <c r="F11369" s="134" t="s">
        <v>3585</v>
      </c>
      <c r="G11369" s="63" t="str">
        <f>VLOOKUP(C11369, 'Class Def. - General Data'!$C$20:$C$1000,1,false)</f>
        <v>ZSI1_NON_ELEC_WIRE</v>
      </c>
      <c r="H11369" s="63" t="str">
        <f>IFERROR(__xludf.DUMMYFUNCTION("VLOOKUP(F11369, IMPORTRANGE(""https://docs.google.com/spreadsheets/d/1Lhp9OU0JdFf_VYSMzH5lBcEaU4o8teT1piV-SNzShjg/edit?gid=554141278#gid=554141278"", ""'Char Def. - Attributes'!C20:C2242""), 1,false)"),"HS_CODE")</f>
        <v>HS_CODE</v>
      </c>
      <c r="I11369" s="136"/>
      <c r="R11369" s="63" t="str">
        <f t="shared" si="60"/>
        <v>ZSI1_NON_ELEC_WIREHS_CODE</v>
      </c>
    </row>
    <row r="11370" ht="15.75" customHeight="1">
      <c r="B11370" s="63">
        <f t="shared" si="1"/>
        <v>18</v>
      </c>
      <c r="C11370" s="135" t="s">
        <v>425</v>
      </c>
      <c r="D11370" s="161" t="s">
        <v>74</v>
      </c>
      <c r="E11370" s="135">
        <f t="shared" si="62"/>
        <v>6</v>
      </c>
      <c r="F11370" s="134" t="s">
        <v>3587</v>
      </c>
      <c r="G11370" s="63" t="str">
        <f>VLOOKUP(C11370, 'Class Def. - General Data'!$C$20:$C$1000,1,false)</f>
        <v>ZSI1_NON_ELEC_WIRE</v>
      </c>
      <c r="H11370" s="63" t="str">
        <f>IFERROR(__xludf.DUMMYFUNCTION("VLOOKUP(F11370, IMPORTRANGE(""https://docs.google.com/spreadsheets/d/1Lhp9OU0JdFf_VYSMzH5lBcEaU4o8teT1piV-SNzShjg/edit?gid=554141278#gid=554141278"", ""'Char Def. - Attributes'!C20:C2242""), 1,false)"),"PLANT_BUY")</f>
        <v>PLANT_BUY</v>
      </c>
      <c r="I11370" s="136"/>
      <c r="R11370" s="63" t="str">
        <f t="shared" si="60"/>
        <v>ZSI1_NON_ELEC_WIREPLANT_BUY</v>
      </c>
    </row>
    <row r="11371" ht="15.75" customHeight="1">
      <c r="B11371" s="63">
        <f t="shared" si="1"/>
        <v>18</v>
      </c>
      <c r="C11371" s="135" t="s">
        <v>425</v>
      </c>
      <c r="D11371" s="161" t="s">
        <v>74</v>
      </c>
      <c r="E11371" s="135">
        <f t="shared" si="62"/>
        <v>7</v>
      </c>
      <c r="F11371" s="134" t="s">
        <v>4931</v>
      </c>
      <c r="G11371" s="63" t="str">
        <f>VLOOKUP(C11371, 'Class Def. - General Data'!$C$20:$C$1000,1,false)</f>
        <v>ZSI1_NON_ELEC_WIRE</v>
      </c>
      <c r="H11371" s="63" t="str">
        <f>IFERROR(__xludf.DUMMYFUNCTION("VLOOKUP(F11371, IMPORTRANGE(""https://docs.google.com/spreadsheets/d/1Lhp9OU0JdFf_VYSMzH5lBcEaU4o8teT1piV-SNzShjg/edit?gid=554141278#gid=554141278"", ""'Char Def. - Attributes'!C20:C2242""), 1,false)"),"BASE_UOM_NON_ELEC_WIRE")</f>
        <v>BASE_UOM_NON_ELEC_WIRE</v>
      </c>
      <c r="I11371" s="136"/>
      <c r="R11371" s="63" t="str">
        <f t="shared" si="60"/>
        <v>ZSI1_NON_ELEC_WIREBASE_UOM_NON_ELEC_WIRE</v>
      </c>
    </row>
    <row r="11372" ht="15.75" customHeight="1">
      <c r="B11372" s="63">
        <f t="shared" si="1"/>
        <v>18</v>
      </c>
      <c r="C11372" s="135" t="s">
        <v>425</v>
      </c>
      <c r="D11372" s="161" t="s">
        <v>74</v>
      </c>
      <c r="E11372" s="135">
        <f t="shared" si="62"/>
        <v>8</v>
      </c>
      <c r="F11372" s="134" t="s">
        <v>4932</v>
      </c>
      <c r="G11372" s="63" t="str">
        <f>VLOOKUP(C11372, 'Class Def. - General Data'!$C$20:$C$1000,1,false)</f>
        <v>ZSI1_NON_ELEC_WIRE</v>
      </c>
      <c r="H11372" s="63" t="str">
        <f>IFERROR(__xludf.DUMMYFUNCTION("VLOOKUP(F11372, IMPORTRANGE(""https://docs.google.com/spreadsheets/d/1Lhp9OU0JdFf_VYSMzH5lBcEaU4o8teT1piV-SNzShjg/edit?gid=554141278#gid=554141278"", ""'Char Def. - Attributes'!C20:C2242""), 1,false)"),"ORDER_UNIT_NON_ELEC_WIRE")</f>
        <v>ORDER_UNIT_NON_ELEC_WIRE</v>
      </c>
      <c r="I11372" s="136"/>
      <c r="R11372" s="63" t="str">
        <f t="shared" si="60"/>
        <v>ZSI1_NON_ELEC_WIREORDER_UNIT_NON_ELEC_WIRE</v>
      </c>
    </row>
    <row r="11373" ht="15.75" customHeight="1">
      <c r="B11373" s="63">
        <f t="shared" si="1"/>
        <v>18</v>
      </c>
      <c r="C11373" s="135" t="s">
        <v>425</v>
      </c>
      <c r="D11373" s="161" t="s">
        <v>74</v>
      </c>
      <c r="E11373" s="135">
        <f t="shared" si="62"/>
        <v>9</v>
      </c>
      <c r="F11373" s="134" t="s">
        <v>4056</v>
      </c>
      <c r="G11373" s="63" t="str">
        <f>VLOOKUP(C11373, 'Class Def. - General Data'!$C$20:$C$1000,1,false)</f>
        <v>ZSI1_NON_ELEC_WIRE</v>
      </c>
      <c r="H11373" s="63" t="str">
        <f>IFERROR(__xludf.DUMMYFUNCTION("VLOOKUP(F11373, IMPORTRANGE(""https://docs.google.com/spreadsheets/d/1Lhp9OU0JdFf_VYSMzH5lBcEaU4o8teT1piV-SNzShjg/edit?gid=554141278#gid=554141278"", ""'Char Def. - Attributes'!C20:C2242""), 1,false)"),"GROSS_WEIGHT_OPT")</f>
        <v>GROSS_WEIGHT_OPT</v>
      </c>
      <c r="I11373" s="136"/>
      <c r="R11373" s="63" t="str">
        <f t="shared" si="60"/>
        <v>ZSI1_NON_ELEC_WIREGROSS_WEIGHT_OPT</v>
      </c>
    </row>
    <row r="11374" ht="15.75" customHeight="1">
      <c r="B11374" s="63">
        <f t="shared" si="1"/>
        <v>18</v>
      </c>
      <c r="C11374" s="135" t="s">
        <v>425</v>
      </c>
      <c r="D11374" s="161" t="s">
        <v>74</v>
      </c>
      <c r="E11374" s="135">
        <f t="shared" si="62"/>
        <v>10</v>
      </c>
      <c r="F11374" s="134" t="s">
        <v>4057</v>
      </c>
      <c r="G11374" s="63" t="str">
        <f>VLOOKUP(C11374, 'Class Def. - General Data'!$C$20:$C$1000,1,false)</f>
        <v>ZSI1_NON_ELEC_WIRE</v>
      </c>
      <c r="H11374" s="63" t="str">
        <f>IFERROR(__xludf.DUMMYFUNCTION("VLOOKUP(F11374, IMPORTRANGE(""https://docs.google.com/spreadsheets/d/1Lhp9OU0JdFf_VYSMzH5lBcEaU4o8teT1piV-SNzShjg/edit?gid=554141278#gid=554141278"", ""'Char Def. - Attributes'!C20:C2242""), 1,false)"),"NET_WEIGHT_OPT")</f>
        <v>NET_WEIGHT_OPT</v>
      </c>
      <c r="I11374" s="136"/>
      <c r="R11374" s="63" t="str">
        <f t="shared" si="60"/>
        <v>ZSI1_NON_ELEC_WIRENET_WEIGHT_OPT</v>
      </c>
    </row>
    <row r="11375" ht="15.75" customHeight="1">
      <c r="B11375" s="63">
        <f t="shared" si="1"/>
        <v>18</v>
      </c>
      <c r="C11375" s="135" t="s">
        <v>425</v>
      </c>
      <c r="D11375" s="161" t="s">
        <v>74</v>
      </c>
      <c r="E11375" s="135">
        <f t="shared" si="62"/>
        <v>11</v>
      </c>
      <c r="F11375" s="134" t="s">
        <v>4058</v>
      </c>
      <c r="G11375" s="63" t="str">
        <f>VLOOKUP(C11375, 'Class Def. - General Data'!$C$20:$C$1000,1,false)</f>
        <v>ZSI1_NON_ELEC_WIRE</v>
      </c>
      <c r="H11375" s="63" t="str">
        <f>IFERROR(__xludf.DUMMYFUNCTION("VLOOKUP(F11375, IMPORTRANGE(""https://docs.google.com/spreadsheets/d/1Lhp9OU0JdFf_VYSMzH5lBcEaU4o8teT1piV-SNzShjg/edit?gid=554141278#gid=554141278"", ""'Char Def. - Attributes'!C20:C2242""), 1,false)"),"WEIGHT_UNIT_SI")</f>
        <v>WEIGHT_UNIT_SI</v>
      </c>
      <c r="I11375" s="136"/>
      <c r="R11375" s="63" t="str">
        <f t="shared" si="60"/>
        <v>ZSI1_NON_ELEC_WIREWEIGHT_UNIT_SI</v>
      </c>
    </row>
    <row r="11376" ht="15.75" customHeight="1">
      <c r="B11376" s="63">
        <f t="shared" si="1"/>
        <v>18</v>
      </c>
      <c r="C11376" s="135" t="s">
        <v>425</v>
      </c>
      <c r="D11376" s="161" t="s">
        <v>74</v>
      </c>
      <c r="E11376" s="135">
        <f t="shared" si="62"/>
        <v>12</v>
      </c>
      <c r="F11376" s="134" t="s">
        <v>3877</v>
      </c>
      <c r="G11376" s="63" t="str">
        <f>VLOOKUP(C11376, 'Class Def. - General Data'!$C$20:$C$1000,1,false)</f>
        <v>ZSI1_NON_ELEC_WIRE</v>
      </c>
      <c r="H11376" s="63" t="str">
        <f>IFERROR(__xludf.DUMMYFUNCTION("VLOOKUP(F11376, IMPORTRANGE(""https://docs.google.com/spreadsheets/d/1Lhp9OU0JdFf_VYSMzH5lBcEaU4o8teT1piV-SNzShjg/edit?gid=554141278#gid=554141278"", ""'Char Def. - Attributes'!C20:C2242""), 1,false)"),"VOLUME_OPT")</f>
        <v>VOLUME_OPT</v>
      </c>
      <c r="I11376" s="136"/>
      <c r="R11376" s="63" t="str">
        <f t="shared" si="60"/>
        <v>ZSI1_NON_ELEC_WIREVOLUME_OPT</v>
      </c>
    </row>
    <row r="11377" ht="15.75" customHeight="1">
      <c r="B11377" s="63">
        <f t="shared" si="1"/>
        <v>18</v>
      </c>
      <c r="C11377" s="135" t="s">
        <v>425</v>
      </c>
      <c r="D11377" s="161" t="s">
        <v>74</v>
      </c>
      <c r="E11377" s="135">
        <f t="shared" si="62"/>
        <v>13</v>
      </c>
      <c r="F11377" s="134" t="s">
        <v>4059</v>
      </c>
      <c r="G11377" s="63" t="str">
        <f>VLOOKUP(C11377, 'Class Def. - General Data'!$C$20:$C$1000,1,false)</f>
        <v>ZSI1_NON_ELEC_WIRE</v>
      </c>
      <c r="H11377" s="63" t="str">
        <f>IFERROR(__xludf.DUMMYFUNCTION("VLOOKUP(F11377, IMPORTRANGE(""https://docs.google.com/spreadsheets/d/1Lhp9OU0JdFf_VYSMzH5lBcEaU4o8teT1piV-SNzShjg/edit?gid=554141278#gid=554141278"", ""'Char Def. - Attributes'!C20:C2242""), 1,false)"),"VOLUME_UNIT_SI")</f>
        <v>VOLUME_UNIT_SI</v>
      </c>
      <c r="I11377" s="136"/>
      <c r="R11377" s="63" t="str">
        <f t="shared" si="60"/>
        <v>ZSI1_NON_ELEC_WIREVOLUME_UNIT_SI</v>
      </c>
    </row>
    <row r="11378" ht="15.75" customHeight="1">
      <c r="B11378" s="63">
        <f t="shared" si="1"/>
        <v>18</v>
      </c>
      <c r="C11378" s="135" t="s">
        <v>425</v>
      </c>
      <c r="D11378" s="161" t="s">
        <v>74</v>
      </c>
      <c r="E11378" s="135">
        <f t="shared" si="62"/>
        <v>14</v>
      </c>
      <c r="F11378" s="134" t="s">
        <v>3804</v>
      </c>
      <c r="G11378" s="63" t="str">
        <f>VLOOKUP(C11378, 'Class Def. - General Data'!$C$20:$C$1000,1,false)</f>
        <v>ZSI1_NON_ELEC_WIRE</v>
      </c>
      <c r="H11378" s="63" t="str">
        <f>IFERROR(__xludf.DUMMYFUNCTION("VLOOKUP(F11378, IMPORTRANGE(""https://docs.google.com/spreadsheets/d/1Lhp9OU0JdFf_VYSMzH5lBcEaU4o8teT1piV-SNzShjg/edit?gid=554141278#gid=554141278"", ""'Char Def. - Attributes'!C20:C2242""), 1,false)"),"ALT_UOM1_SIPI")</f>
        <v>ALT_UOM1_SIPI</v>
      </c>
      <c r="I11378" s="136"/>
      <c r="R11378" s="63" t="str">
        <f t="shared" si="60"/>
        <v>ZSI1_NON_ELEC_WIREALT_UOM1_SIPI</v>
      </c>
    </row>
    <row r="11379" ht="15.75" customHeight="1">
      <c r="B11379" s="63">
        <f t="shared" si="1"/>
        <v>18</v>
      </c>
      <c r="C11379" s="135" t="s">
        <v>425</v>
      </c>
      <c r="D11379" s="161" t="s">
        <v>74</v>
      </c>
      <c r="E11379" s="135">
        <f t="shared" si="62"/>
        <v>15</v>
      </c>
      <c r="F11379" s="134" t="s">
        <v>3805</v>
      </c>
      <c r="G11379" s="63" t="str">
        <f>VLOOKUP(C11379, 'Class Def. - General Data'!$C$20:$C$1000,1,false)</f>
        <v>ZSI1_NON_ELEC_WIRE</v>
      </c>
      <c r="H11379" s="63" t="str">
        <f>IFERROR(__xludf.DUMMYFUNCTION("VLOOKUP(F11379, IMPORTRANGE(""https://docs.google.com/spreadsheets/d/1Lhp9OU0JdFf_VYSMzH5lBcEaU4o8teT1piV-SNzShjg/edit?gid=554141278#gid=554141278"", ""'Char Def. - Attributes'!C20:C2242""), 1,false)"),"ALT_DENUM_UOM1")</f>
        <v>ALT_DENUM_UOM1</v>
      </c>
      <c r="I11379" s="136"/>
      <c r="R11379" s="63" t="str">
        <f t="shared" si="60"/>
        <v>ZSI1_NON_ELEC_WIREALT_DENUM_UOM1</v>
      </c>
    </row>
    <row r="11380" ht="15.75" customHeight="1">
      <c r="B11380" s="63">
        <f t="shared" si="1"/>
        <v>18</v>
      </c>
      <c r="C11380" s="135" t="s">
        <v>425</v>
      </c>
      <c r="D11380" s="161" t="s">
        <v>74</v>
      </c>
      <c r="E11380" s="135">
        <f t="shared" si="62"/>
        <v>16</v>
      </c>
      <c r="F11380" s="134" t="s">
        <v>3806</v>
      </c>
      <c r="G11380" s="63" t="str">
        <f>VLOOKUP(C11380, 'Class Def. - General Data'!$C$20:$C$1000,1,false)</f>
        <v>ZSI1_NON_ELEC_WIRE</v>
      </c>
      <c r="H11380" s="63" t="str">
        <f>IFERROR(__xludf.DUMMYFUNCTION("VLOOKUP(F11380, IMPORTRANGE(""https://docs.google.com/spreadsheets/d/1Lhp9OU0JdFf_VYSMzH5lBcEaU4o8teT1piV-SNzShjg/edit?gid=554141278#gid=554141278"", ""'Char Def. - Attributes'!C20:C2242""), 1,false)"),"ALT_NUM_UOM1")</f>
        <v>ALT_NUM_UOM1</v>
      </c>
      <c r="I11380" s="136"/>
      <c r="R11380" s="63" t="str">
        <f t="shared" si="60"/>
        <v>ZSI1_NON_ELEC_WIREALT_NUM_UOM1</v>
      </c>
    </row>
    <row r="11381" ht="15.75" customHeight="1">
      <c r="B11381" s="63">
        <f t="shared" si="1"/>
        <v>18</v>
      </c>
      <c r="C11381" s="135" t="s">
        <v>425</v>
      </c>
      <c r="D11381" s="161" t="s">
        <v>74</v>
      </c>
      <c r="E11381" s="135">
        <f t="shared" si="62"/>
        <v>17</v>
      </c>
      <c r="F11381" s="134" t="s">
        <v>3807</v>
      </c>
      <c r="G11381" s="63" t="str">
        <f>VLOOKUP(C11381, 'Class Def. - General Data'!$C$20:$C$1000,1,false)</f>
        <v>ZSI1_NON_ELEC_WIRE</v>
      </c>
      <c r="H11381" s="63" t="str">
        <f>IFERROR(__xludf.DUMMYFUNCTION("VLOOKUP(F11381, IMPORTRANGE(""https://docs.google.com/spreadsheets/d/1Lhp9OU0JdFf_VYSMzH5lBcEaU4o8teT1piV-SNzShjg/edit?gid=554141278#gid=554141278"", ""'Char Def. - Attributes'!C20:C2242""), 1,false)"),"ALT_UOM2_SIPI")</f>
        <v>ALT_UOM2_SIPI</v>
      </c>
      <c r="I11381" s="136"/>
      <c r="R11381" s="63" t="str">
        <f t="shared" si="60"/>
        <v>ZSI1_NON_ELEC_WIREALT_UOM2_SIPI</v>
      </c>
    </row>
    <row r="11382" ht="15.75" customHeight="1">
      <c r="B11382" s="63">
        <f t="shared" si="1"/>
        <v>18</v>
      </c>
      <c r="C11382" s="135" t="s">
        <v>425</v>
      </c>
      <c r="D11382" s="161" t="s">
        <v>74</v>
      </c>
      <c r="E11382" s="135">
        <f t="shared" si="62"/>
        <v>18</v>
      </c>
      <c r="F11382" s="134" t="s">
        <v>3808</v>
      </c>
      <c r="G11382" s="63" t="str">
        <f>VLOOKUP(C11382, 'Class Def. - General Data'!$C$20:$C$1000,1,false)</f>
        <v>ZSI1_NON_ELEC_WIRE</v>
      </c>
      <c r="H11382" s="63" t="str">
        <f>IFERROR(__xludf.DUMMYFUNCTION("VLOOKUP(F11382, IMPORTRANGE(""https://docs.google.com/spreadsheets/d/1Lhp9OU0JdFf_VYSMzH5lBcEaU4o8teT1piV-SNzShjg/edit?gid=554141278#gid=554141278"", ""'Char Def. - Attributes'!C20:C2242""), 1,false)"),"ALT_DENUM_UOM2")</f>
        <v>ALT_DENUM_UOM2</v>
      </c>
      <c r="I11382" s="136"/>
      <c r="R11382" s="63" t="str">
        <f t="shared" si="60"/>
        <v>ZSI1_NON_ELEC_WIREALT_DENUM_UOM2</v>
      </c>
    </row>
    <row r="11383" ht="15.75" customHeight="1">
      <c r="B11383" s="63">
        <f t="shared" si="1"/>
        <v>18</v>
      </c>
      <c r="C11383" s="135" t="s">
        <v>425</v>
      </c>
      <c r="D11383" s="161" t="s">
        <v>74</v>
      </c>
      <c r="E11383" s="135">
        <f t="shared" si="62"/>
        <v>19</v>
      </c>
      <c r="F11383" s="134" t="s">
        <v>3809</v>
      </c>
      <c r="G11383" s="63" t="str">
        <f>VLOOKUP(C11383, 'Class Def. - General Data'!$C$20:$C$1000,1,false)</f>
        <v>ZSI1_NON_ELEC_WIRE</v>
      </c>
      <c r="H11383" s="63" t="str">
        <f>IFERROR(__xludf.DUMMYFUNCTION("VLOOKUP(F11383, IMPORTRANGE(""https://docs.google.com/spreadsheets/d/1Lhp9OU0JdFf_VYSMzH5lBcEaU4o8teT1piV-SNzShjg/edit?gid=554141278#gid=554141278"", ""'Char Def. - Attributes'!C20:C2242""), 1,false)"),"ALT_NUM_UOM2")</f>
        <v>ALT_NUM_UOM2</v>
      </c>
      <c r="I11383" s="136"/>
      <c r="R11383" s="63" t="str">
        <f t="shared" si="60"/>
        <v>ZSI1_NON_ELEC_WIREALT_NUM_UOM2</v>
      </c>
    </row>
    <row r="11384" ht="15.75" customHeight="1">
      <c r="B11384" s="63">
        <f t="shared" si="1"/>
        <v>18</v>
      </c>
      <c r="C11384" s="135" t="s">
        <v>425</v>
      </c>
      <c r="D11384" s="161" t="s">
        <v>74</v>
      </c>
      <c r="E11384" s="135">
        <f t="shared" si="62"/>
        <v>20</v>
      </c>
      <c r="F11384" s="134" t="s">
        <v>3810</v>
      </c>
      <c r="G11384" s="63" t="str">
        <f>VLOOKUP(C11384, 'Class Def. - General Data'!$C$20:$C$1000,1,false)</f>
        <v>ZSI1_NON_ELEC_WIRE</v>
      </c>
      <c r="H11384" s="63" t="str">
        <f>IFERROR(__xludf.DUMMYFUNCTION("VLOOKUP(F11384, IMPORTRANGE(""https://docs.google.com/spreadsheets/d/1Lhp9OU0JdFf_VYSMzH5lBcEaU4o8teT1piV-SNzShjg/edit?gid=554141278#gid=554141278"", ""'Char Def. - Attributes'!C20:C2242""), 1,false)"),"ALT_UOM3_SIPI")</f>
        <v>ALT_UOM3_SIPI</v>
      </c>
      <c r="I11384" s="136"/>
      <c r="R11384" s="63" t="str">
        <f t="shared" si="60"/>
        <v>ZSI1_NON_ELEC_WIREALT_UOM3_SIPI</v>
      </c>
    </row>
    <row r="11385" ht="15.75" customHeight="1">
      <c r="B11385" s="63">
        <f t="shared" si="1"/>
        <v>18</v>
      </c>
      <c r="C11385" s="135" t="s">
        <v>425</v>
      </c>
      <c r="D11385" s="161" t="s">
        <v>74</v>
      </c>
      <c r="E11385" s="135">
        <f t="shared" si="62"/>
        <v>21</v>
      </c>
      <c r="F11385" s="134" t="s">
        <v>3811</v>
      </c>
      <c r="G11385" s="63" t="str">
        <f>VLOOKUP(C11385, 'Class Def. - General Data'!$C$20:$C$1000,1,false)</f>
        <v>ZSI1_NON_ELEC_WIRE</v>
      </c>
      <c r="H11385" s="63" t="str">
        <f>IFERROR(__xludf.DUMMYFUNCTION("VLOOKUP(F11385, IMPORTRANGE(""https://docs.google.com/spreadsheets/d/1Lhp9OU0JdFf_VYSMzH5lBcEaU4o8teT1piV-SNzShjg/edit?gid=554141278#gid=554141278"", ""'Char Def. - Attributes'!C20:C2242""), 1,false)"),"ALT_DENUM_UOM3")</f>
        <v>ALT_DENUM_UOM3</v>
      </c>
      <c r="I11385" s="136"/>
      <c r="R11385" s="63" t="str">
        <f t="shared" si="60"/>
        <v>ZSI1_NON_ELEC_WIREALT_DENUM_UOM3</v>
      </c>
    </row>
    <row r="11386" ht="15.75" customHeight="1">
      <c r="B11386" s="63">
        <f t="shared" si="1"/>
        <v>18</v>
      </c>
      <c r="C11386" s="135" t="s">
        <v>425</v>
      </c>
      <c r="D11386" s="161" t="s">
        <v>74</v>
      </c>
      <c r="E11386" s="135">
        <f t="shared" si="62"/>
        <v>22</v>
      </c>
      <c r="F11386" s="134" t="s">
        <v>3812</v>
      </c>
      <c r="G11386" s="63" t="str">
        <f>VLOOKUP(C11386, 'Class Def. - General Data'!$C$20:$C$1000,1,false)</f>
        <v>ZSI1_NON_ELEC_WIRE</v>
      </c>
      <c r="H11386" s="63" t="str">
        <f>IFERROR(__xludf.DUMMYFUNCTION("VLOOKUP(F11386, IMPORTRANGE(""https://docs.google.com/spreadsheets/d/1Lhp9OU0JdFf_VYSMzH5lBcEaU4o8teT1piV-SNzShjg/edit?gid=554141278#gid=554141278"", ""'Char Def. - Attributes'!C20:C2242""), 1,false)"),"ALT_NUM_UOM3")</f>
        <v>ALT_NUM_UOM3</v>
      </c>
      <c r="I11386" s="136"/>
      <c r="R11386" s="63" t="str">
        <f t="shared" si="60"/>
        <v>ZSI1_NON_ELEC_WIREALT_NUM_UOM3</v>
      </c>
    </row>
    <row r="11387" ht="15.75" customHeight="1">
      <c r="B11387" s="63">
        <f t="shared" si="1"/>
        <v>18</v>
      </c>
      <c r="C11387" s="135" t="s">
        <v>425</v>
      </c>
      <c r="D11387" s="161" t="s">
        <v>74</v>
      </c>
      <c r="E11387" s="135">
        <f t="shared" si="62"/>
        <v>23</v>
      </c>
      <c r="F11387" s="134" t="s">
        <v>3813</v>
      </c>
      <c r="G11387" s="63" t="str">
        <f>VLOOKUP(C11387, 'Class Def. - General Data'!$C$20:$C$1000,1,false)</f>
        <v>ZSI1_NON_ELEC_WIRE</v>
      </c>
      <c r="H11387" s="63" t="str">
        <f>IFERROR(__xludf.DUMMYFUNCTION("VLOOKUP(F11387, IMPORTRANGE(""https://docs.google.com/spreadsheets/d/1Lhp9OU0JdFf_VYSMzH5lBcEaU4o8teT1piV-SNzShjg/edit?gid=554141278#gid=554141278"", ""'Char Def. - Attributes'!C20:C2242""), 1,false)"),"ALT_UOM4_SIPI")</f>
        <v>ALT_UOM4_SIPI</v>
      </c>
      <c r="I11387" s="136"/>
      <c r="R11387" s="63" t="str">
        <f t="shared" si="60"/>
        <v>ZSI1_NON_ELEC_WIREALT_UOM4_SIPI</v>
      </c>
    </row>
    <row r="11388" ht="15.75" customHeight="1">
      <c r="B11388" s="63">
        <f t="shared" si="1"/>
        <v>18</v>
      </c>
      <c r="C11388" s="135" t="s">
        <v>425</v>
      </c>
      <c r="D11388" s="161" t="s">
        <v>74</v>
      </c>
      <c r="E11388" s="135">
        <f t="shared" si="62"/>
        <v>24</v>
      </c>
      <c r="F11388" s="134" t="s">
        <v>3814</v>
      </c>
      <c r="G11388" s="63" t="str">
        <f>VLOOKUP(C11388, 'Class Def. - General Data'!$C$20:$C$1000,1,false)</f>
        <v>ZSI1_NON_ELEC_WIRE</v>
      </c>
      <c r="H11388" s="63" t="str">
        <f>IFERROR(__xludf.DUMMYFUNCTION("VLOOKUP(F11388, IMPORTRANGE(""https://docs.google.com/spreadsheets/d/1Lhp9OU0JdFf_VYSMzH5lBcEaU4o8teT1piV-SNzShjg/edit?gid=554141278#gid=554141278"", ""'Char Def. - Attributes'!C20:C2242""), 1,false)"),"ALT_DENUM_UOM4")</f>
        <v>ALT_DENUM_UOM4</v>
      </c>
      <c r="I11388" s="136"/>
      <c r="R11388" s="63" t="str">
        <f t="shared" si="60"/>
        <v>ZSI1_NON_ELEC_WIREALT_DENUM_UOM4</v>
      </c>
    </row>
    <row r="11389" ht="15.75" customHeight="1">
      <c r="B11389" s="63">
        <f t="shared" si="1"/>
        <v>18</v>
      </c>
      <c r="C11389" s="135" t="s">
        <v>425</v>
      </c>
      <c r="D11389" s="161" t="s">
        <v>74</v>
      </c>
      <c r="E11389" s="135">
        <f t="shared" si="62"/>
        <v>25</v>
      </c>
      <c r="F11389" s="134" t="s">
        <v>3815</v>
      </c>
      <c r="G11389" s="63" t="str">
        <f>VLOOKUP(C11389, 'Class Def. - General Data'!$C$20:$C$1000,1,false)</f>
        <v>ZSI1_NON_ELEC_WIRE</v>
      </c>
      <c r="H11389" s="63" t="str">
        <f>IFERROR(__xludf.DUMMYFUNCTION("VLOOKUP(F11389, IMPORTRANGE(""https://docs.google.com/spreadsheets/d/1Lhp9OU0JdFf_VYSMzH5lBcEaU4o8teT1piV-SNzShjg/edit?gid=554141278#gid=554141278"", ""'Char Def. - Attributes'!C20:C2242""), 1,false)"),"ALT_NUM_UOM4")</f>
        <v>ALT_NUM_UOM4</v>
      </c>
      <c r="I11389" s="136"/>
      <c r="R11389" s="63" t="str">
        <f t="shared" si="60"/>
        <v>ZSI1_NON_ELEC_WIREALT_NUM_UOM4</v>
      </c>
    </row>
    <row r="11390" ht="15.75" customHeight="1">
      <c r="B11390" s="63">
        <f t="shared" si="1"/>
        <v>18</v>
      </c>
      <c r="C11390" s="135" t="s">
        <v>425</v>
      </c>
      <c r="D11390" s="161" t="s">
        <v>74</v>
      </c>
      <c r="E11390" s="135">
        <f t="shared" si="62"/>
        <v>26</v>
      </c>
      <c r="F11390" s="134" t="s">
        <v>3816</v>
      </c>
      <c r="G11390" s="63" t="str">
        <f>VLOOKUP(C11390, 'Class Def. - General Data'!$C$20:$C$1000,1,false)</f>
        <v>ZSI1_NON_ELEC_WIRE</v>
      </c>
      <c r="H11390" s="63" t="str">
        <f>IFERROR(__xludf.DUMMYFUNCTION("VLOOKUP(F11390, IMPORTRANGE(""https://docs.google.com/spreadsheets/d/1Lhp9OU0JdFf_VYSMzH5lBcEaU4o8teT1piV-SNzShjg/edit?gid=554141278#gid=554141278"", ""'Char Def. - Attributes'!C20:C2242""), 1,false)"),"ALT_UOM5_SIPI")</f>
        <v>ALT_UOM5_SIPI</v>
      </c>
      <c r="I11390" s="136"/>
      <c r="R11390" s="63" t="str">
        <f t="shared" si="60"/>
        <v>ZSI1_NON_ELEC_WIREALT_UOM5_SIPI</v>
      </c>
    </row>
    <row r="11391" ht="15.75" customHeight="1">
      <c r="B11391" s="63">
        <f t="shared" si="1"/>
        <v>18</v>
      </c>
      <c r="C11391" s="135" t="s">
        <v>425</v>
      </c>
      <c r="D11391" s="161" t="s">
        <v>74</v>
      </c>
      <c r="E11391" s="135">
        <f t="shared" si="62"/>
        <v>27</v>
      </c>
      <c r="F11391" s="134" t="s">
        <v>3817</v>
      </c>
      <c r="G11391" s="63" t="str">
        <f>VLOOKUP(C11391, 'Class Def. - General Data'!$C$20:$C$1000,1,false)</f>
        <v>ZSI1_NON_ELEC_WIRE</v>
      </c>
      <c r="H11391" s="63" t="str">
        <f>IFERROR(__xludf.DUMMYFUNCTION("VLOOKUP(F11391, IMPORTRANGE(""https://docs.google.com/spreadsheets/d/1Lhp9OU0JdFf_VYSMzH5lBcEaU4o8teT1piV-SNzShjg/edit?gid=554141278#gid=554141278"", ""'Char Def. - Attributes'!C20:C2242""), 1,false)"),"ALT_DENUM_UOM5")</f>
        <v>ALT_DENUM_UOM5</v>
      </c>
      <c r="I11391" s="136"/>
      <c r="R11391" s="63" t="str">
        <f t="shared" si="60"/>
        <v>ZSI1_NON_ELEC_WIREALT_DENUM_UOM5</v>
      </c>
    </row>
    <row r="11392" ht="15.75" customHeight="1">
      <c r="B11392" s="63">
        <f t="shared" si="1"/>
        <v>18</v>
      </c>
      <c r="C11392" s="135" t="s">
        <v>425</v>
      </c>
      <c r="D11392" s="161" t="s">
        <v>74</v>
      </c>
      <c r="E11392" s="135">
        <f t="shared" si="62"/>
        <v>28</v>
      </c>
      <c r="F11392" s="134" t="s">
        <v>3818</v>
      </c>
      <c r="G11392" s="63" t="str">
        <f>VLOOKUP(C11392, 'Class Def. - General Data'!$C$20:$C$1000,1,false)</f>
        <v>ZSI1_NON_ELEC_WIRE</v>
      </c>
      <c r="H11392" s="63" t="str">
        <f>IFERROR(__xludf.DUMMYFUNCTION("VLOOKUP(F11392, IMPORTRANGE(""https://docs.google.com/spreadsheets/d/1Lhp9OU0JdFf_VYSMzH5lBcEaU4o8teT1piV-SNzShjg/edit?gid=554141278#gid=554141278"", ""'Char Def. - Attributes'!C20:C2242""), 1,false)"),"ALT_NUM_UOM5")</f>
        <v>ALT_NUM_UOM5</v>
      </c>
      <c r="I11392" s="136"/>
      <c r="R11392" s="63" t="str">
        <f t="shared" si="60"/>
        <v>ZSI1_NON_ELEC_WIREALT_NUM_UOM5</v>
      </c>
    </row>
    <row r="11393" ht="15.75" customHeight="1">
      <c r="B11393" s="63">
        <f t="shared" si="1"/>
        <v>8</v>
      </c>
      <c r="C11393" s="135" t="s">
        <v>426</v>
      </c>
      <c r="D11393" s="161" t="s">
        <v>74</v>
      </c>
      <c r="E11393" s="135">
        <f t="shared" si="62"/>
        <v>1</v>
      </c>
      <c r="F11393" s="134" t="s">
        <v>4933</v>
      </c>
      <c r="G11393" s="63" t="str">
        <f>VLOOKUP(C11393, 'Class Def. - General Data'!$C$20:$C$1000,1,false)</f>
        <v>ZSI1_NUT</v>
      </c>
      <c r="H11393" s="63" t="str">
        <f>IFERROR(__xludf.DUMMYFUNCTION("VLOOKUP(F11393, IMPORTRANGE(""https://docs.google.com/spreadsheets/d/1Lhp9OU0JdFf_VYSMzH5lBcEaU4o8teT1piV-SNzShjg/edit?gid=554141278#gid=554141278"", ""'Char Def. - Attributes'!C20:C2242""), 1,false)"),"ITEM_NAME_NUT")</f>
        <v>ITEM_NAME_NUT</v>
      </c>
      <c r="I11393" s="136"/>
      <c r="R11393" s="63" t="str">
        <f t="shared" si="60"/>
        <v>ZSI1_NUTITEM_NAME_NUT</v>
      </c>
    </row>
    <row r="11394" ht="15.75" customHeight="1">
      <c r="B11394" s="63">
        <f t="shared" si="1"/>
        <v>8</v>
      </c>
      <c r="C11394" s="135" t="s">
        <v>426</v>
      </c>
      <c r="D11394" s="161" t="s">
        <v>74</v>
      </c>
      <c r="E11394" s="135">
        <f t="shared" si="62"/>
        <v>2</v>
      </c>
      <c r="F11394" s="134" t="s">
        <v>4934</v>
      </c>
      <c r="G11394" s="63" t="str">
        <f>VLOOKUP(C11394, 'Class Def. - General Data'!$C$20:$C$1000,1,false)</f>
        <v>ZSI1_NUT</v>
      </c>
      <c r="H11394" s="63" t="str">
        <f>IFERROR(__xludf.DUMMYFUNCTION("VLOOKUP(F11394, IMPORTRANGE(""https://docs.google.com/spreadsheets/d/1Lhp9OU0JdFf_VYSMzH5lBcEaU4o8teT1piV-SNzShjg/edit?gid=554141278#gid=554141278"", ""'Char Def. - Attributes'!C20:C2242""), 1,false)"),"DIMENSION_NUT")</f>
        <v>DIMENSION_NUT</v>
      </c>
      <c r="I11394" s="136"/>
      <c r="R11394" s="63" t="str">
        <f t="shared" si="60"/>
        <v>ZSI1_NUTDIMENSION_NUT</v>
      </c>
    </row>
    <row r="11395" ht="15.75" customHeight="1">
      <c r="B11395" s="63">
        <f t="shared" si="1"/>
        <v>8</v>
      </c>
      <c r="C11395" s="135" t="s">
        <v>426</v>
      </c>
      <c r="D11395" s="161" t="s">
        <v>74</v>
      </c>
      <c r="E11395" s="135">
        <f t="shared" si="62"/>
        <v>3</v>
      </c>
      <c r="F11395" s="134" t="s">
        <v>4935</v>
      </c>
      <c r="G11395" s="63" t="str">
        <f>VLOOKUP(C11395, 'Class Def. - General Data'!$C$20:$C$1000,1,false)</f>
        <v>ZSI1_NUT</v>
      </c>
      <c r="H11395" s="63" t="str">
        <f>IFERROR(__xludf.DUMMYFUNCTION("VLOOKUP(F11395, IMPORTRANGE(""https://docs.google.com/spreadsheets/d/1Lhp9OU0JdFf_VYSMzH5lBcEaU4o8teT1piV-SNzShjg/edit?gid=554141278#gid=554141278"", ""'Char Def. - Attributes'!C20:C2242""), 1,false)"),"DIAMETER_IN_NUT")</f>
        <v>DIAMETER_IN_NUT</v>
      </c>
      <c r="I11395" s="136"/>
      <c r="R11395" s="63" t="str">
        <f t="shared" si="60"/>
        <v>ZSI1_NUTDIAMETER_IN_NUT</v>
      </c>
    </row>
    <row r="11396" ht="15.75" customHeight="1">
      <c r="B11396" s="63">
        <f t="shared" si="1"/>
        <v>8</v>
      </c>
      <c r="C11396" s="135" t="s">
        <v>426</v>
      </c>
      <c r="D11396" s="161" t="s">
        <v>74</v>
      </c>
      <c r="E11396" s="135">
        <f t="shared" si="62"/>
        <v>4</v>
      </c>
      <c r="F11396" s="134" t="s">
        <v>4936</v>
      </c>
      <c r="G11396" s="63" t="str">
        <f>VLOOKUP(C11396, 'Class Def. - General Data'!$C$20:$C$1000,1,false)</f>
        <v>ZSI1_NUT</v>
      </c>
      <c r="H11396" s="63" t="str">
        <f>IFERROR(__xludf.DUMMYFUNCTION("VLOOKUP(F11396, IMPORTRANGE(""https://docs.google.com/spreadsheets/d/1Lhp9OU0JdFf_VYSMzH5lBcEaU4o8teT1piV-SNzShjg/edit?gid=554141278#gid=554141278"", ""'Char Def. - Attributes'!C20:C2242""), 1,false)"),"DIAMETER_MM_NUT")</f>
        <v>DIAMETER_MM_NUT</v>
      </c>
      <c r="I11396" s="136"/>
      <c r="R11396" s="63" t="str">
        <f t="shared" si="60"/>
        <v>ZSI1_NUTDIAMETER_MM_NUT</v>
      </c>
    </row>
    <row r="11397" ht="15.75" customHeight="1">
      <c r="B11397" s="63">
        <f t="shared" si="1"/>
        <v>8</v>
      </c>
      <c r="C11397" s="135" t="s">
        <v>426</v>
      </c>
      <c r="D11397" s="161" t="s">
        <v>74</v>
      </c>
      <c r="E11397" s="135">
        <f t="shared" si="62"/>
        <v>5</v>
      </c>
      <c r="F11397" s="134" t="s">
        <v>4937</v>
      </c>
      <c r="G11397" s="63" t="str">
        <f>VLOOKUP(C11397, 'Class Def. - General Data'!$C$20:$C$1000,1,false)</f>
        <v>ZSI1_NUT</v>
      </c>
      <c r="H11397" s="63" t="str">
        <f>IFERROR(__xludf.DUMMYFUNCTION("VLOOKUP(F11397, IMPORTRANGE(""https://docs.google.com/spreadsheets/d/1Lhp9OU0JdFf_VYSMzH5lBcEaU4o8teT1piV-SNzShjg/edit?gid=554141278#gid=554141278"", ""'Char Def. - Attributes'!C20:C2242""), 1,false)"),"THREADS_IN_NUT")</f>
        <v>THREADS_IN_NUT</v>
      </c>
      <c r="I11397" s="136"/>
      <c r="R11397" s="63" t="str">
        <f t="shared" si="60"/>
        <v>ZSI1_NUTTHREADS_IN_NUT</v>
      </c>
    </row>
    <row r="11398" ht="15.75" customHeight="1">
      <c r="B11398" s="63">
        <f t="shared" si="1"/>
        <v>8</v>
      </c>
      <c r="C11398" s="135" t="s">
        <v>426</v>
      </c>
      <c r="D11398" s="161" t="s">
        <v>74</v>
      </c>
      <c r="E11398" s="135">
        <f t="shared" si="62"/>
        <v>6</v>
      </c>
      <c r="F11398" s="134" t="s">
        <v>4938</v>
      </c>
      <c r="G11398" s="63" t="str">
        <f>VLOOKUP(C11398, 'Class Def. - General Data'!$C$20:$C$1000,1,false)</f>
        <v>ZSI1_NUT</v>
      </c>
      <c r="H11398" s="63" t="str">
        <f>IFERROR(__xludf.DUMMYFUNCTION("VLOOKUP(F11398, IMPORTRANGE(""https://docs.google.com/spreadsheets/d/1Lhp9OU0JdFf_VYSMzH5lBcEaU4o8teT1piV-SNzShjg/edit?gid=554141278#gid=554141278"", ""'Char Def. - Attributes'!C20:C2242""), 1,false)"),"THREADS_MM_NUT")</f>
        <v>THREADS_MM_NUT</v>
      </c>
      <c r="I11398" s="136"/>
      <c r="R11398" s="63" t="str">
        <f t="shared" si="60"/>
        <v>ZSI1_NUTTHREADS_MM_NUT</v>
      </c>
    </row>
    <row r="11399" ht="15.75" customHeight="1">
      <c r="B11399" s="63">
        <f t="shared" si="1"/>
        <v>8</v>
      </c>
      <c r="C11399" s="135" t="s">
        <v>426</v>
      </c>
      <c r="D11399" s="161" t="s">
        <v>74</v>
      </c>
      <c r="E11399" s="135">
        <f t="shared" si="62"/>
        <v>7</v>
      </c>
      <c r="F11399" s="134" t="s">
        <v>4939</v>
      </c>
      <c r="G11399" s="63" t="str">
        <f>VLOOKUP(C11399, 'Class Def. - General Data'!$C$20:$C$1000,1,false)</f>
        <v>ZSI1_NUT</v>
      </c>
      <c r="H11399" s="63" t="str">
        <f>IFERROR(__xludf.DUMMYFUNCTION("VLOOKUP(F11399, IMPORTRANGE(""https://docs.google.com/spreadsheets/d/1Lhp9OU0JdFf_VYSMzH5lBcEaU4o8teT1piV-SNzShjg/edit?gid=554141278#gid=554141278"", ""'Char Def. - Attributes'!C20:C2242""), 1,false)"),"MATERIAL_NUT")</f>
        <v>MATERIAL_NUT</v>
      </c>
      <c r="I11399" s="136"/>
      <c r="R11399" s="63" t="str">
        <f t="shared" si="60"/>
        <v>ZSI1_NUTMATERIAL_NUT</v>
      </c>
    </row>
    <row r="11400" ht="15.75" customHeight="1">
      <c r="B11400" s="63">
        <f t="shared" si="1"/>
        <v>8</v>
      </c>
      <c r="C11400" s="135" t="s">
        <v>426</v>
      </c>
      <c r="D11400" s="161" t="s">
        <v>74</v>
      </c>
      <c r="E11400" s="135">
        <f t="shared" si="62"/>
        <v>8</v>
      </c>
      <c r="F11400" s="134" t="s">
        <v>4940</v>
      </c>
      <c r="G11400" s="63" t="str">
        <f>VLOOKUP(C11400, 'Class Def. - General Data'!$C$20:$C$1000,1,false)</f>
        <v>ZSI1_NUT</v>
      </c>
      <c r="H11400" s="63" t="str">
        <f>IFERROR(__xludf.DUMMYFUNCTION("VLOOKUP(F11400, IMPORTRANGE(""https://docs.google.com/spreadsheets/d/1Lhp9OU0JdFf_VYSMzH5lBcEaU4o8teT1piV-SNzShjg/edit?gid=554141278#gid=554141278"", ""'Char Def. - Attributes'!C20:C2242""), 1,false)"),"FINISHING_NUT")</f>
        <v>FINISHING_NUT</v>
      </c>
      <c r="I11400" s="136"/>
      <c r="R11400" s="63" t="str">
        <f t="shared" si="60"/>
        <v>ZSI1_NUTFINISHING_NUT</v>
      </c>
    </row>
    <row r="11401" ht="15.75" customHeight="1">
      <c r="B11401" s="63">
        <f t="shared" si="1"/>
        <v>8</v>
      </c>
      <c r="C11401" s="135" t="s">
        <v>426</v>
      </c>
      <c r="D11401" s="161" t="s">
        <v>74</v>
      </c>
      <c r="E11401" s="135">
        <f t="shared" si="62"/>
        <v>9</v>
      </c>
      <c r="F11401" s="134" t="s">
        <v>4941</v>
      </c>
      <c r="G11401" s="63" t="str">
        <f>VLOOKUP(C11401, 'Class Def. - General Data'!$C$20:$C$1000,1,false)</f>
        <v>ZSI1_NUT</v>
      </c>
      <c r="H11401" s="63" t="str">
        <f>IFERROR(__xludf.DUMMYFUNCTION("VLOOKUP(F11401, IMPORTRANGE(""https://docs.google.com/spreadsheets/d/1Lhp9OU0JdFf_VYSMzH5lBcEaU4o8teT1piV-SNzShjg/edit?gid=554141278#gid=554141278"", ""'Char Def. - Attributes'!C20:C2242""), 1,false)"),"#N/A")</f>
        <v>#N/A</v>
      </c>
      <c r="I11401" s="136"/>
      <c r="R11401" s="63" t="str">
        <f t="shared" si="60"/>
        <v>ZSI1_NUTTHREAD_DIRECTION_NUT</v>
      </c>
    </row>
    <row r="11402" ht="15.75" customHeight="1">
      <c r="B11402" s="63">
        <f t="shared" si="1"/>
        <v>8</v>
      </c>
      <c r="C11402" s="135" t="s">
        <v>426</v>
      </c>
      <c r="D11402" s="161" t="s">
        <v>74</v>
      </c>
      <c r="E11402" s="135">
        <f t="shared" si="62"/>
        <v>10</v>
      </c>
      <c r="F11402" s="134" t="s">
        <v>4053</v>
      </c>
      <c r="G11402" s="63" t="str">
        <f>VLOOKUP(C11402, 'Class Def. - General Data'!$C$20:$C$1000,1,false)</f>
        <v>ZSI1_NUT</v>
      </c>
      <c r="H11402" s="63" t="str">
        <f>IFERROR(__xludf.DUMMYFUNCTION("VLOOKUP(F11402, IMPORTRANGE(""https://docs.google.com/spreadsheets/d/1Lhp9OU0JdFf_VYSMzH5lBcEaU4o8teT1piV-SNzShjg/edit?gid=554141278#gid=554141278"", ""'Char Def. - Attributes'!C20:C2242""), 1,false)"),"MAINTENANCE_ORDER_TYPE")</f>
        <v>MAINTENANCE_ORDER_TYPE</v>
      </c>
      <c r="I11402" s="136"/>
      <c r="R11402" s="63" t="str">
        <f t="shared" si="60"/>
        <v>ZSI1_NUTMAINTENANCE_ORDER_TYPE</v>
      </c>
    </row>
    <row r="11403" ht="15.75" customHeight="1">
      <c r="B11403" s="63">
        <f t="shared" si="1"/>
        <v>8</v>
      </c>
      <c r="C11403" s="135" t="s">
        <v>426</v>
      </c>
      <c r="D11403" s="161" t="s">
        <v>74</v>
      </c>
      <c r="E11403" s="135">
        <f t="shared" si="62"/>
        <v>11</v>
      </c>
      <c r="F11403" s="134" t="s">
        <v>3585</v>
      </c>
      <c r="G11403" s="63" t="str">
        <f>VLOOKUP(C11403, 'Class Def. - General Data'!$C$20:$C$1000,1,false)</f>
        <v>ZSI1_NUT</v>
      </c>
      <c r="H11403" s="63" t="str">
        <f>IFERROR(__xludf.DUMMYFUNCTION("VLOOKUP(F11403, IMPORTRANGE(""https://docs.google.com/spreadsheets/d/1Lhp9OU0JdFf_VYSMzH5lBcEaU4o8teT1piV-SNzShjg/edit?gid=554141278#gid=554141278"", ""'Char Def. - Attributes'!C20:C2242""), 1,false)"),"HS_CODE")</f>
        <v>HS_CODE</v>
      </c>
      <c r="I11403" s="136"/>
      <c r="R11403" s="63" t="str">
        <f t="shared" si="60"/>
        <v>ZSI1_NUTHS_CODE</v>
      </c>
    </row>
    <row r="11404" ht="15.75" customHeight="1">
      <c r="B11404" s="63">
        <f t="shared" si="1"/>
        <v>8</v>
      </c>
      <c r="C11404" s="135" t="s">
        <v>426</v>
      </c>
      <c r="D11404" s="161" t="s">
        <v>74</v>
      </c>
      <c r="E11404" s="135">
        <f t="shared" si="62"/>
        <v>12</v>
      </c>
      <c r="F11404" s="134" t="s">
        <v>3587</v>
      </c>
      <c r="G11404" s="63" t="str">
        <f>VLOOKUP(C11404, 'Class Def. - General Data'!$C$20:$C$1000,1,false)</f>
        <v>ZSI1_NUT</v>
      </c>
      <c r="H11404" s="63" t="str">
        <f>IFERROR(__xludf.DUMMYFUNCTION("VLOOKUP(F11404, IMPORTRANGE(""https://docs.google.com/spreadsheets/d/1Lhp9OU0JdFf_VYSMzH5lBcEaU4o8teT1piV-SNzShjg/edit?gid=554141278#gid=554141278"", ""'Char Def. - Attributes'!C20:C2242""), 1,false)"),"PLANT_BUY")</f>
        <v>PLANT_BUY</v>
      </c>
      <c r="I11404" s="136"/>
      <c r="R11404" s="63" t="str">
        <f t="shared" si="60"/>
        <v>ZSI1_NUTPLANT_BUY</v>
      </c>
    </row>
    <row r="11405" ht="15.75" customHeight="1">
      <c r="B11405" s="63">
        <f t="shared" si="1"/>
        <v>8</v>
      </c>
      <c r="C11405" s="135" t="s">
        <v>426</v>
      </c>
      <c r="D11405" s="161" t="s">
        <v>74</v>
      </c>
      <c r="E11405" s="135">
        <f t="shared" si="62"/>
        <v>13</v>
      </c>
      <c r="F11405" s="134" t="s">
        <v>4942</v>
      </c>
      <c r="G11405" s="63" t="str">
        <f>VLOOKUP(C11405, 'Class Def. - General Data'!$C$20:$C$1000,1,false)</f>
        <v>ZSI1_NUT</v>
      </c>
      <c r="H11405" s="63" t="str">
        <f>IFERROR(__xludf.DUMMYFUNCTION("VLOOKUP(F11405, IMPORTRANGE(""https://docs.google.com/spreadsheets/d/1Lhp9OU0JdFf_VYSMzH5lBcEaU4o8teT1piV-SNzShjg/edit?gid=554141278#gid=554141278"", ""'Char Def. - Attributes'!C20:C2242""), 1,false)"),"BASE_UOM_NUT")</f>
        <v>BASE_UOM_NUT</v>
      </c>
      <c r="I11405" s="136"/>
      <c r="R11405" s="63" t="str">
        <f t="shared" si="60"/>
        <v>ZSI1_NUTBASE_UOM_NUT</v>
      </c>
    </row>
    <row r="11406" ht="15.75" customHeight="1">
      <c r="B11406" s="63">
        <f t="shared" si="1"/>
        <v>8</v>
      </c>
      <c r="C11406" s="135" t="s">
        <v>426</v>
      </c>
      <c r="D11406" s="161" t="s">
        <v>74</v>
      </c>
      <c r="E11406" s="135">
        <f t="shared" si="62"/>
        <v>14</v>
      </c>
      <c r="F11406" s="134" t="s">
        <v>4943</v>
      </c>
      <c r="G11406" s="63" t="str">
        <f>VLOOKUP(C11406, 'Class Def. - General Data'!$C$20:$C$1000,1,false)</f>
        <v>ZSI1_NUT</v>
      </c>
      <c r="H11406" s="63" t="str">
        <f>IFERROR(__xludf.DUMMYFUNCTION("VLOOKUP(F11406, IMPORTRANGE(""https://docs.google.com/spreadsheets/d/1Lhp9OU0JdFf_VYSMzH5lBcEaU4o8teT1piV-SNzShjg/edit?gid=554141278#gid=554141278"", ""'Char Def. - Attributes'!C20:C2242""), 1,false)"),"ORDER_UNIT_NUT")</f>
        <v>ORDER_UNIT_NUT</v>
      </c>
      <c r="I11406" s="136"/>
      <c r="R11406" s="63" t="str">
        <f t="shared" si="60"/>
        <v>ZSI1_NUTORDER_UNIT_NUT</v>
      </c>
    </row>
    <row r="11407" ht="15.75" customHeight="1">
      <c r="B11407" s="63">
        <f t="shared" si="1"/>
        <v>8</v>
      </c>
      <c r="C11407" s="135" t="s">
        <v>426</v>
      </c>
      <c r="D11407" s="161" t="s">
        <v>74</v>
      </c>
      <c r="E11407" s="135">
        <f t="shared" si="62"/>
        <v>15</v>
      </c>
      <c r="F11407" s="134" t="s">
        <v>4056</v>
      </c>
      <c r="G11407" s="63" t="str">
        <f>VLOOKUP(C11407, 'Class Def. - General Data'!$C$20:$C$1000,1,false)</f>
        <v>ZSI1_NUT</v>
      </c>
      <c r="H11407" s="63" t="str">
        <f>IFERROR(__xludf.DUMMYFUNCTION("VLOOKUP(F11407, IMPORTRANGE(""https://docs.google.com/spreadsheets/d/1Lhp9OU0JdFf_VYSMzH5lBcEaU4o8teT1piV-SNzShjg/edit?gid=554141278#gid=554141278"", ""'Char Def. - Attributes'!C20:C2242""), 1,false)"),"GROSS_WEIGHT_OPT")</f>
        <v>GROSS_WEIGHT_OPT</v>
      </c>
      <c r="I11407" s="137"/>
      <c r="J11407" s="137"/>
      <c r="K11407" s="137"/>
      <c r="L11407" s="137"/>
      <c r="M11407" s="137"/>
      <c r="N11407" s="137"/>
      <c r="O11407" s="137"/>
      <c r="P11407" s="137"/>
      <c r="Q11407" s="137"/>
      <c r="R11407" s="63" t="str">
        <f t="shared" si="60"/>
        <v>ZSI1_NUTGROSS_WEIGHT_OPT</v>
      </c>
      <c r="S11407" s="137"/>
    </row>
    <row r="11408" ht="15.75" customHeight="1">
      <c r="B11408" s="63">
        <f t="shared" si="1"/>
        <v>8</v>
      </c>
      <c r="C11408" s="135" t="s">
        <v>426</v>
      </c>
      <c r="D11408" s="161" t="s">
        <v>74</v>
      </c>
      <c r="E11408" s="135">
        <f t="shared" si="62"/>
        <v>16</v>
      </c>
      <c r="F11408" s="134" t="s">
        <v>4057</v>
      </c>
      <c r="G11408" s="63" t="str">
        <f>VLOOKUP(C11408, 'Class Def. - General Data'!$C$20:$C$1000,1,false)</f>
        <v>ZSI1_NUT</v>
      </c>
      <c r="H11408" s="63" t="str">
        <f>IFERROR(__xludf.DUMMYFUNCTION("VLOOKUP(F11408, IMPORTRANGE(""https://docs.google.com/spreadsheets/d/1Lhp9OU0JdFf_VYSMzH5lBcEaU4o8teT1piV-SNzShjg/edit?gid=554141278#gid=554141278"", ""'Char Def. - Attributes'!C20:C2242""), 1,false)"),"NET_WEIGHT_OPT")</f>
        <v>NET_WEIGHT_OPT</v>
      </c>
      <c r="R11408" s="63" t="str">
        <f t="shared" si="60"/>
        <v>ZSI1_NUTNET_WEIGHT_OPT</v>
      </c>
    </row>
    <row r="11409" ht="15.75" customHeight="1">
      <c r="B11409" s="63">
        <f t="shared" si="1"/>
        <v>8</v>
      </c>
      <c r="C11409" s="135" t="s">
        <v>426</v>
      </c>
      <c r="D11409" s="161" t="s">
        <v>74</v>
      </c>
      <c r="E11409" s="135">
        <f t="shared" si="62"/>
        <v>17</v>
      </c>
      <c r="F11409" s="134" t="s">
        <v>4058</v>
      </c>
      <c r="G11409" s="63" t="str">
        <f>VLOOKUP(C11409, 'Class Def. - General Data'!$C$20:$C$1000,1,false)</f>
        <v>ZSI1_NUT</v>
      </c>
      <c r="H11409" s="63" t="str">
        <f>IFERROR(__xludf.DUMMYFUNCTION("VLOOKUP(F11409, IMPORTRANGE(""https://docs.google.com/spreadsheets/d/1Lhp9OU0JdFf_VYSMzH5lBcEaU4o8teT1piV-SNzShjg/edit?gid=554141278#gid=554141278"", ""'Char Def. - Attributes'!C20:C2242""), 1,false)"),"WEIGHT_UNIT_SI")</f>
        <v>WEIGHT_UNIT_SI</v>
      </c>
      <c r="R11409" s="63" t="str">
        <f t="shared" si="60"/>
        <v>ZSI1_NUTWEIGHT_UNIT_SI</v>
      </c>
    </row>
    <row r="11410" ht="15.75" customHeight="1">
      <c r="B11410" s="63">
        <f t="shared" si="1"/>
        <v>8</v>
      </c>
      <c r="C11410" s="135" t="s">
        <v>426</v>
      </c>
      <c r="D11410" s="161" t="s">
        <v>74</v>
      </c>
      <c r="E11410" s="135">
        <f t="shared" si="62"/>
        <v>18</v>
      </c>
      <c r="F11410" s="134" t="s">
        <v>3877</v>
      </c>
      <c r="G11410" s="63" t="str">
        <f>VLOOKUP(C11410, 'Class Def. - General Data'!$C$20:$C$1000,1,false)</f>
        <v>ZSI1_NUT</v>
      </c>
      <c r="H11410" s="63" t="str">
        <f>IFERROR(__xludf.DUMMYFUNCTION("VLOOKUP(F11410, IMPORTRANGE(""https://docs.google.com/spreadsheets/d/1Lhp9OU0JdFf_VYSMzH5lBcEaU4o8teT1piV-SNzShjg/edit?gid=554141278#gid=554141278"", ""'Char Def. - Attributes'!C20:C2242""), 1,false)"),"VOLUME_OPT")</f>
        <v>VOLUME_OPT</v>
      </c>
      <c r="R11410" s="63" t="str">
        <f t="shared" si="60"/>
        <v>ZSI1_NUTVOLUME_OPT</v>
      </c>
    </row>
    <row r="11411" ht="15.75" customHeight="1">
      <c r="B11411" s="63">
        <f t="shared" si="1"/>
        <v>8</v>
      </c>
      <c r="C11411" s="135" t="s">
        <v>426</v>
      </c>
      <c r="D11411" s="161" t="s">
        <v>74</v>
      </c>
      <c r="E11411" s="135">
        <f t="shared" si="62"/>
        <v>19</v>
      </c>
      <c r="F11411" s="134" t="s">
        <v>4059</v>
      </c>
      <c r="G11411" s="63" t="str">
        <f>VLOOKUP(C11411, 'Class Def. - General Data'!$C$20:$C$1000,1,false)</f>
        <v>ZSI1_NUT</v>
      </c>
      <c r="H11411" s="63" t="str">
        <f>IFERROR(__xludf.DUMMYFUNCTION("VLOOKUP(F11411, IMPORTRANGE(""https://docs.google.com/spreadsheets/d/1Lhp9OU0JdFf_VYSMzH5lBcEaU4o8teT1piV-SNzShjg/edit?gid=554141278#gid=554141278"", ""'Char Def. - Attributes'!C20:C2242""), 1,false)"),"VOLUME_UNIT_SI")</f>
        <v>VOLUME_UNIT_SI</v>
      </c>
      <c r="R11411" s="63" t="str">
        <f t="shared" si="60"/>
        <v>ZSI1_NUTVOLUME_UNIT_SI</v>
      </c>
    </row>
    <row r="11412" ht="15.75" customHeight="1">
      <c r="B11412" s="63">
        <f t="shared" si="1"/>
        <v>8</v>
      </c>
      <c r="C11412" s="135" t="s">
        <v>426</v>
      </c>
      <c r="D11412" s="161" t="s">
        <v>74</v>
      </c>
      <c r="E11412" s="135">
        <f t="shared" si="62"/>
        <v>20</v>
      </c>
      <c r="F11412" s="134" t="s">
        <v>3804</v>
      </c>
      <c r="G11412" s="63" t="str">
        <f>VLOOKUP(C11412, 'Class Def. - General Data'!$C$20:$C$1000,1,false)</f>
        <v>ZSI1_NUT</v>
      </c>
      <c r="H11412" s="63" t="str">
        <f>IFERROR(__xludf.DUMMYFUNCTION("VLOOKUP(F11412, IMPORTRANGE(""https://docs.google.com/spreadsheets/d/1Lhp9OU0JdFf_VYSMzH5lBcEaU4o8teT1piV-SNzShjg/edit?gid=554141278#gid=554141278"", ""'Char Def. - Attributes'!C20:C2242""), 1,false)"),"ALT_UOM1_SIPI")</f>
        <v>ALT_UOM1_SIPI</v>
      </c>
      <c r="R11412" s="63" t="str">
        <f t="shared" si="60"/>
        <v>ZSI1_NUTALT_UOM1_SIPI</v>
      </c>
    </row>
    <row r="11413" ht="15.75" customHeight="1">
      <c r="B11413" s="63">
        <f t="shared" si="1"/>
        <v>8</v>
      </c>
      <c r="C11413" s="135" t="s">
        <v>426</v>
      </c>
      <c r="D11413" s="161" t="s">
        <v>74</v>
      </c>
      <c r="E11413" s="135">
        <f t="shared" si="62"/>
        <v>21</v>
      </c>
      <c r="F11413" s="134" t="s">
        <v>3805</v>
      </c>
      <c r="G11413" s="63" t="str">
        <f>VLOOKUP(C11413, 'Class Def. - General Data'!$C$20:$C$1000,1,false)</f>
        <v>ZSI1_NUT</v>
      </c>
      <c r="H11413" s="63" t="str">
        <f>IFERROR(__xludf.DUMMYFUNCTION("VLOOKUP(F11413, IMPORTRANGE(""https://docs.google.com/spreadsheets/d/1Lhp9OU0JdFf_VYSMzH5lBcEaU4o8teT1piV-SNzShjg/edit?gid=554141278#gid=554141278"", ""'Char Def. - Attributes'!C20:C2242""), 1,false)"),"ALT_DENUM_UOM1")</f>
        <v>ALT_DENUM_UOM1</v>
      </c>
      <c r="R11413" s="63" t="str">
        <f t="shared" si="60"/>
        <v>ZSI1_NUTALT_DENUM_UOM1</v>
      </c>
    </row>
    <row r="11414" ht="15.75" customHeight="1">
      <c r="B11414" s="63">
        <f t="shared" si="1"/>
        <v>8</v>
      </c>
      <c r="C11414" s="135" t="s">
        <v>426</v>
      </c>
      <c r="D11414" s="161" t="s">
        <v>74</v>
      </c>
      <c r="E11414" s="135">
        <f t="shared" si="62"/>
        <v>22</v>
      </c>
      <c r="F11414" s="134" t="s">
        <v>3806</v>
      </c>
      <c r="G11414" s="63" t="str">
        <f>VLOOKUP(C11414, 'Class Def. - General Data'!$C$20:$C$1000,1,false)</f>
        <v>ZSI1_NUT</v>
      </c>
      <c r="H11414" s="63" t="str">
        <f>IFERROR(__xludf.DUMMYFUNCTION("VLOOKUP(F11414, IMPORTRANGE(""https://docs.google.com/spreadsheets/d/1Lhp9OU0JdFf_VYSMzH5lBcEaU4o8teT1piV-SNzShjg/edit?gid=554141278#gid=554141278"", ""'Char Def. - Attributes'!C20:C2242""), 1,false)"),"ALT_NUM_UOM1")</f>
        <v>ALT_NUM_UOM1</v>
      </c>
      <c r="R11414" s="63" t="str">
        <f t="shared" si="60"/>
        <v>ZSI1_NUTALT_NUM_UOM1</v>
      </c>
    </row>
    <row r="11415" ht="15.75" customHeight="1">
      <c r="B11415" s="63">
        <f t="shared" si="1"/>
        <v>8</v>
      </c>
      <c r="C11415" s="135" t="s">
        <v>426</v>
      </c>
      <c r="D11415" s="161" t="s">
        <v>74</v>
      </c>
      <c r="E11415" s="135">
        <f t="shared" si="62"/>
        <v>23</v>
      </c>
      <c r="F11415" s="134" t="s">
        <v>3807</v>
      </c>
      <c r="G11415" s="63" t="str">
        <f>VLOOKUP(C11415, 'Class Def. - General Data'!$C$20:$C$1000,1,false)</f>
        <v>ZSI1_NUT</v>
      </c>
      <c r="H11415" s="63" t="str">
        <f>IFERROR(__xludf.DUMMYFUNCTION("VLOOKUP(F11415, IMPORTRANGE(""https://docs.google.com/spreadsheets/d/1Lhp9OU0JdFf_VYSMzH5lBcEaU4o8teT1piV-SNzShjg/edit?gid=554141278#gid=554141278"", ""'Char Def. - Attributes'!C20:C2242""), 1,false)"),"ALT_UOM2_SIPI")</f>
        <v>ALT_UOM2_SIPI</v>
      </c>
      <c r="R11415" s="63" t="str">
        <f t="shared" si="60"/>
        <v>ZSI1_NUTALT_UOM2_SIPI</v>
      </c>
    </row>
    <row r="11416" ht="15.75" customHeight="1">
      <c r="B11416" s="63">
        <f t="shared" si="1"/>
        <v>8</v>
      </c>
      <c r="C11416" s="135" t="s">
        <v>426</v>
      </c>
      <c r="D11416" s="161" t="s">
        <v>74</v>
      </c>
      <c r="E11416" s="135">
        <f t="shared" si="62"/>
        <v>24</v>
      </c>
      <c r="F11416" s="134" t="s">
        <v>3808</v>
      </c>
      <c r="G11416" s="63" t="str">
        <f>VLOOKUP(C11416, 'Class Def. - General Data'!$C$20:$C$1000,1,false)</f>
        <v>ZSI1_NUT</v>
      </c>
      <c r="H11416" s="63" t="str">
        <f>IFERROR(__xludf.DUMMYFUNCTION("VLOOKUP(F11416, IMPORTRANGE(""https://docs.google.com/spreadsheets/d/1Lhp9OU0JdFf_VYSMzH5lBcEaU4o8teT1piV-SNzShjg/edit?gid=554141278#gid=554141278"", ""'Char Def. - Attributes'!C20:C2242""), 1,false)"),"ALT_DENUM_UOM2")</f>
        <v>ALT_DENUM_UOM2</v>
      </c>
      <c r="R11416" s="63" t="str">
        <f t="shared" si="60"/>
        <v>ZSI1_NUTALT_DENUM_UOM2</v>
      </c>
    </row>
    <row r="11417" ht="15.75" customHeight="1">
      <c r="B11417" s="63">
        <f t="shared" si="1"/>
        <v>8</v>
      </c>
      <c r="C11417" s="135" t="s">
        <v>426</v>
      </c>
      <c r="D11417" s="161" t="s">
        <v>74</v>
      </c>
      <c r="E11417" s="135">
        <f t="shared" si="62"/>
        <v>25</v>
      </c>
      <c r="F11417" s="134" t="s">
        <v>3809</v>
      </c>
      <c r="G11417" s="63" t="str">
        <f>VLOOKUP(C11417, 'Class Def. - General Data'!$C$20:$C$1000,1,false)</f>
        <v>ZSI1_NUT</v>
      </c>
      <c r="H11417" s="63" t="str">
        <f>IFERROR(__xludf.DUMMYFUNCTION("VLOOKUP(F11417, IMPORTRANGE(""https://docs.google.com/spreadsheets/d/1Lhp9OU0JdFf_VYSMzH5lBcEaU4o8teT1piV-SNzShjg/edit?gid=554141278#gid=554141278"", ""'Char Def. - Attributes'!C20:C2242""), 1,false)"),"ALT_NUM_UOM2")</f>
        <v>ALT_NUM_UOM2</v>
      </c>
      <c r="I11417" s="136"/>
      <c r="R11417" s="63" t="str">
        <f t="shared" si="60"/>
        <v>ZSI1_NUTALT_NUM_UOM2</v>
      </c>
    </row>
    <row r="11418" ht="15.75" customHeight="1">
      <c r="B11418" s="63">
        <f t="shared" si="1"/>
        <v>8</v>
      </c>
      <c r="C11418" s="135" t="s">
        <v>426</v>
      </c>
      <c r="D11418" s="161" t="s">
        <v>74</v>
      </c>
      <c r="E11418" s="135">
        <f t="shared" si="62"/>
        <v>26</v>
      </c>
      <c r="F11418" s="134" t="s">
        <v>3810</v>
      </c>
      <c r="G11418" s="63" t="str">
        <f>VLOOKUP(C11418, 'Class Def. - General Data'!$C$20:$C$1000,1,false)</f>
        <v>ZSI1_NUT</v>
      </c>
      <c r="H11418" s="63" t="str">
        <f>IFERROR(__xludf.DUMMYFUNCTION("VLOOKUP(F11418, IMPORTRANGE(""https://docs.google.com/spreadsheets/d/1Lhp9OU0JdFf_VYSMzH5lBcEaU4o8teT1piV-SNzShjg/edit?gid=554141278#gid=554141278"", ""'Char Def. - Attributes'!C20:C2242""), 1,false)"),"ALT_UOM3_SIPI")</f>
        <v>ALT_UOM3_SIPI</v>
      </c>
      <c r="I11418" s="136"/>
      <c r="R11418" s="63" t="str">
        <f t="shared" si="60"/>
        <v>ZSI1_NUTALT_UOM3_SIPI</v>
      </c>
    </row>
    <row r="11419" ht="15.75" customHeight="1">
      <c r="B11419" s="63">
        <f t="shared" si="1"/>
        <v>8</v>
      </c>
      <c r="C11419" s="135" t="s">
        <v>426</v>
      </c>
      <c r="D11419" s="161" t="s">
        <v>74</v>
      </c>
      <c r="E11419" s="135">
        <f t="shared" si="62"/>
        <v>27</v>
      </c>
      <c r="F11419" s="134" t="s">
        <v>3811</v>
      </c>
      <c r="G11419" s="63" t="str">
        <f>VLOOKUP(C11419, 'Class Def. - General Data'!$C$20:$C$1000,1,false)</f>
        <v>ZSI1_NUT</v>
      </c>
      <c r="H11419" s="63" t="str">
        <f>IFERROR(__xludf.DUMMYFUNCTION("VLOOKUP(F11419, IMPORTRANGE(""https://docs.google.com/spreadsheets/d/1Lhp9OU0JdFf_VYSMzH5lBcEaU4o8teT1piV-SNzShjg/edit?gid=554141278#gid=554141278"", ""'Char Def. - Attributes'!C20:C2242""), 1,false)"),"ALT_DENUM_UOM3")</f>
        <v>ALT_DENUM_UOM3</v>
      </c>
      <c r="I11419" s="136"/>
      <c r="R11419" s="63" t="str">
        <f t="shared" si="60"/>
        <v>ZSI1_NUTALT_DENUM_UOM3</v>
      </c>
    </row>
    <row r="11420" ht="15.75" customHeight="1">
      <c r="B11420" s="63">
        <f t="shared" si="1"/>
        <v>8</v>
      </c>
      <c r="C11420" s="135" t="s">
        <v>426</v>
      </c>
      <c r="D11420" s="161" t="s">
        <v>74</v>
      </c>
      <c r="E11420" s="135">
        <f t="shared" si="62"/>
        <v>28</v>
      </c>
      <c r="F11420" s="134" t="s">
        <v>3812</v>
      </c>
      <c r="G11420" s="63" t="str">
        <f>VLOOKUP(C11420, 'Class Def. - General Data'!$C$20:$C$1000,1,false)</f>
        <v>ZSI1_NUT</v>
      </c>
      <c r="H11420" s="63" t="str">
        <f>IFERROR(__xludf.DUMMYFUNCTION("VLOOKUP(F11420, IMPORTRANGE(""https://docs.google.com/spreadsheets/d/1Lhp9OU0JdFf_VYSMzH5lBcEaU4o8teT1piV-SNzShjg/edit?gid=554141278#gid=554141278"", ""'Char Def. - Attributes'!C20:C2242""), 1,false)"),"ALT_NUM_UOM3")</f>
        <v>ALT_NUM_UOM3</v>
      </c>
      <c r="I11420" s="136"/>
      <c r="R11420" s="63" t="str">
        <f t="shared" si="60"/>
        <v>ZSI1_NUTALT_NUM_UOM3</v>
      </c>
    </row>
    <row r="11421" ht="15.75" customHeight="1">
      <c r="B11421" s="63">
        <f t="shared" si="1"/>
        <v>8</v>
      </c>
      <c r="C11421" s="135" t="s">
        <v>426</v>
      </c>
      <c r="D11421" s="161" t="s">
        <v>74</v>
      </c>
      <c r="E11421" s="135">
        <f t="shared" si="62"/>
        <v>29</v>
      </c>
      <c r="F11421" s="134" t="s">
        <v>3813</v>
      </c>
      <c r="G11421" s="63" t="str">
        <f>VLOOKUP(C11421, 'Class Def. - General Data'!$C$20:$C$1000,1,false)</f>
        <v>ZSI1_NUT</v>
      </c>
      <c r="H11421" s="63" t="str">
        <f>IFERROR(__xludf.DUMMYFUNCTION("VLOOKUP(F11421, IMPORTRANGE(""https://docs.google.com/spreadsheets/d/1Lhp9OU0JdFf_VYSMzH5lBcEaU4o8teT1piV-SNzShjg/edit?gid=554141278#gid=554141278"", ""'Char Def. - Attributes'!C20:C2242""), 1,false)"),"ALT_UOM4_SIPI")</f>
        <v>ALT_UOM4_SIPI</v>
      </c>
      <c r="I11421" s="136"/>
      <c r="R11421" s="63" t="str">
        <f t="shared" si="60"/>
        <v>ZSI1_NUTALT_UOM4_SIPI</v>
      </c>
    </row>
    <row r="11422" ht="15.75" customHeight="1">
      <c r="B11422" s="63">
        <f t="shared" si="1"/>
        <v>8</v>
      </c>
      <c r="C11422" s="135" t="s">
        <v>426</v>
      </c>
      <c r="D11422" s="161" t="s">
        <v>74</v>
      </c>
      <c r="E11422" s="135">
        <f t="shared" si="62"/>
        <v>30</v>
      </c>
      <c r="F11422" s="134" t="s">
        <v>3814</v>
      </c>
      <c r="G11422" s="63" t="str">
        <f>VLOOKUP(C11422, 'Class Def. - General Data'!$C$20:$C$1000,1,false)</f>
        <v>ZSI1_NUT</v>
      </c>
      <c r="H11422" s="63" t="str">
        <f>IFERROR(__xludf.DUMMYFUNCTION("VLOOKUP(F11422, IMPORTRANGE(""https://docs.google.com/spreadsheets/d/1Lhp9OU0JdFf_VYSMzH5lBcEaU4o8teT1piV-SNzShjg/edit?gid=554141278#gid=554141278"", ""'Char Def. - Attributes'!C20:C2242""), 1,false)"),"ALT_DENUM_UOM4")</f>
        <v>ALT_DENUM_UOM4</v>
      </c>
      <c r="I11422" s="136"/>
      <c r="R11422" s="63" t="str">
        <f t="shared" si="60"/>
        <v>ZSI1_NUTALT_DENUM_UOM4</v>
      </c>
    </row>
    <row r="11423" ht="15.75" customHeight="1">
      <c r="B11423" s="63">
        <f t="shared" si="1"/>
        <v>8</v>
      </c>
      <c r="C11423" s="135" t="s">
        <v>426</v>
      </c>
      <c r="D11423" s="161" t="s">
        <v>74</v>
      </c>
      <c r="E11423" s="135">
        <f t="shared" si="62"/>
        <v>31</v>
      </c>
      <c r="F11423" s="134" t="s">
        <v>3815</v>
      </c>
      <c r="G11423" s="63" t="str">
        <f>VLOOKUP(C11423, 'Class Def. - General Data'!$C$20:$C$1000,1,false)</f>
        <v>ZSI1_NUT</v>
      </c>
      <c r="H11423" s="63" t="str">
        <f>IFERROR(__xludf.DUMMYFUNCTION("VLOOKUP(F11423, IMPORTRANGE(""https://docs.google.com/spreadsheets/d/1Lhp9OU0JdFf_VYSMzH5lBcEaU4o8teT1piV-SNzShjg/edit?gid=554141278#gid=554141278"", ""'Char Def. - Attributes'!C20:C2242""), 1,false)"),"ALT_NUM_UOM4")</f>
        <v>ALT_NUM_UOM4</v>
      </c>
      <c r="I11423" s="136"/>
      <c r="R11423" s="63" t="str">
        <f t="shared" si="60"/>
        <v>ZSI1_NUTALT_NUM_UOM4</v>
      </c>
    </row>
    <row r="11424" ht="15.75" customHeight="1">
      <c r="B11424" s="63">
        <f t="shared" si="1"/>
        <v>8</v>
      </c>
      <c r="C11424" s="135" t="s">
        <v>426</v>
      </c>
      <c r="D11424" s="161" t="s">
        <v>74</v>
      </c>
      <c r="E11424" s="135">
        <f t="shared" si="62"/>
        <v>32</v>
      </c>
      <c r="F11424" s="134" t="s">
        <v>3816</v>
      </c>
      <c r="G11424" s="63" t="str">
        <f>VLOOKUP(C11424, 'Class Def. - General Data'!$C$20:$C$1000,1,false)</f>
        <v>ZSI1_NUT</v>
      </c>
      <c r="H11424" s="63" t="str">
        <f>IFERROR(__xludf.DUMMYFUNCTION("VLOOKUP(F11424, IMPORTRANGE(""https://docs.google.com/spreadsheets/d/1Lhp9OU0JdFf_VYSMzH5lBcEaU4o8teT1piV-SNzShjg/edit?gid=554141278#gid=554141278"", ""'Char Def. - Attributes'!C20:C2242""), 1,false)"),"ALT_UOM5_SIPI")</f>
        <v>ALT_UOM5_SIPI</v>
      </c>
      <c r="I11424" s="136"/>
      <c r="R11424" s="63" t="str">
        <f t="shared" si="60"/>
        <v>ZSI1_NUTALT_UOM5_SIPI</v>
      </c>
    </row>
    <row r="11425" ht="15.75" customHeight="1">
      <c r="B11425" s="63">
        <f t="shared" si="1"/>
        <v>8</v>
      </c>
      <c r="C11425" s="135" t="s">
        <v>426</v>
      </c>
      <c r="D11425" s="161" t="s">
        <v>74</v>
      </c>
      <c r="E11425" s="135">
        <f t="shared" si="62"/>
        <v>33</v>
      </c>
      <c r="F11425" s="134" t="s">
        <v>3817</v>
      </c>
      <c r="G11425" s="63" t="str">
        <f>VLOOKUP(C11425, 'Class Def. - General Data'!$C$20:$C$1000,1,false)</f>
        <v>ZSI1_NUT</v>
      </c>
      <c r="H11425" s="63" t="str">
        <f>IFERROR(__xludf.DUMMYFUNCTION("VLOOKUP(F11425, IMPORTRANGE(""https://docs.google.com/spreadsheets/d/1Lhp9OU0JdFf_VYSMzH5lBcEaU4o8teT1piV-SNzShjg/edit?gid=554141278#gid=554141278"", ""'Char Def. - Attributes'!C20:C2242""), 1,false)"),"ALT_DENUM_UOM5")</f>
        <v>ALT_DENUM_UOM5</v>
      </c>
      <c r="I11425" s="136"/>
      <c r="R11425" s="63" t="str">
        <f t="shared" si="60"/>
        <v>ZSI1_NUTALT_DENUM_UOM5</v>
      </c>
    </row>
    <row r="11426" ht="15.75" customHeight="1">
      <c r="B11426" s="63">
        <f t="shared" si="1"/>
        <v>8</v>
      </c>
      <c r="C11426" s="135" t="s">
        <v>426</v>
      </c>
      <c r="D11426" s="161" t="s">
        <v>74</v>
      </c>
      <c r="E11426" s="135">
        <f t="shared" si="62"/>
        <v>34</v>
      </c>
      <c r="F11426" s="134" t="s">
        <v>3818</v>
      </c>
      <c r="G11426" s="63" t="str">
        <f>VLOOKUP(C11426, 'Class Def. - General Data'!$C$20:$C$1000,1,false)</f>
        <v>ZSI1_NUT</v>
      </c>
      <c r="H11426" s="63" t="str">
        <f>IFERROR(__xludf.DUMMYFUNCTION("VLOOKUP(F11426, IMPORTRANGE(""https://docs.google.com/spreadsheets/d/1Lhp9OU0JdFf_VYSMzH5lBcEaU4o8teT1piV-SNzShjg/edit?gid=554141278#gid=554141278"", ""'Char Def. - Attributes'!C20:C2242""), 1,false)"),"ALT_NUM_UOM5")</f>
        <v>ALT_NUM_UOM5</v>
      </c>
      <c r="I11426" s="136"/>
      <c r="R11426" s="63" t="str">
        <f t="shared" si="60"/>
        <v>ZSI1_NUTALT_NUM_UOM5</v>
      </c>
    </row>
    <row r="11427" ht="15.75" customHeight="1">
      <c r="B11427" s="63">
        <f t="shared" si="1"/>
        <v>11</v>
      </c>
      <c r="C11427" s="135" t="s">
        <v>427</v>
      </c>
      <c r="D11427" s="161" t="s">
        <v>74</v>
      </c>
      <c r="E11427" s="135">
        <f t="shared" si="62"/>
        <v>1</v>
      </c>
      <c r="F11427" s="134" t="s">
        <v>4944</v>
      </c>
      <c r="G11427" s="63" t="str">
        <f>VLOOKUP(C11427, 'Class Def. - General Data'!$C$20:$C$1000,1,false)</f>
        <v>ZSI1_O_RING</v>
      </c>
      <c r="H11427" s="63" t="str">
        <f>IFERROR(__xludf.DUMMYFUNCTION("VLOOKUP(F11427, IMPORTRANGE(""https://docs.google.com/spreadsheets/d/1Lhp9OU0JdFf_VYSMzH5lBcEaU4o8teT1piV-SNzShjg/edit?gid=554141278#gid=554141278"", ""'Char Def. - Attributes'!C20:C2242""), 1,false)"),"ITEM_NAME_O_RING")</f>
        <v>ITEM_NAME_O_RING</v>
      </c>
      <c r="I11427" s="136"/>
      <c r="R11427" s="63" t="str">
        <f t="shared" si="60"/>
        <v>ZSI1_O_RINGITEM_NAME_O_RING</v>
      </c>
    </row>
    <row r="11428" ht="15.75" customHeight="1">
      <c r="B11428" s="63">
        <f t="shared" si="1"/>
        <v>11</v>
      </c>
      <c r="C11428" s="135" t="s">
        <v>427</v>
      </c>
      <c r="D11428" s="161" t="s">
        <v>74</v>
      </c>
      <c r="E11428" s="135">
        <f t="shared" si="62"/>
        <v>2</v>
      </c>
      <c r="F11428" s="134" t="s">
        <v>4945</v>
      </c>
      <c r="G11428" s="63" t="str">
        <f>VLOOKUP(C11428, 'Class Def. - General Data'!$C$20:$C$1000,1,false)</f>
        <v>ZSI1_O_RING</v>
      </c>
      <c r="H11428" s="63" t="str">
        <f>IFERROR(__xludf.DUMMYFUNCTION("VLOOKUP(F11428, IMPORTRANGE(""https://docs.google.com/spreadsheets/d/1Lhp9OU0JdFf_VYSMzH5lBcEaU4o8teT1piV-SNzShjg/edit?gid=554141278#gid=554141278"", ""'Char Def. - Attributes'!C20:C2242""), 1,false)"),"DIMENSION_O_RING")</f>
        <v>DIMENSION_O_RING</v>
      </c>
      <c r="I11428" s="136"/>
      <c r="R11428" s="63" t="str">
        <f t="shared" si="60"/>
        <v>ZSI1_O_RINGDIMENSION_O_RING</v>
      </c>
    </row>
    <row r="11429" ht="15.75" customHeight="1">
      <c r="B11429" s="63">
        <f t="shared" si="1"/>
        <v>11</v>
      </c>
      <c r="C11429" s="135" t="s">
        <v>427</v>
      </c>
      <c r="D11429" s="161" t="s">
        <v>74</v>
      </c>
      <c r="E11429" s="135">
        <f t="shared" si="62"/>
        <v>3</v>
      </c>
      <c r="F11429" s="134" t="s">
        <v>4946</v>
      </c>
      <c r="G11429" s="63" t="str">
        <f>VLOOKUP(C11429, 'Class Def. - General Data'!$C$20:$C$1000,1,false)</f>
        <v>ZSI1_O_RING</v>
      </c>
      <c r="H11429" s="63" t="str">
        <f>IFERROR(__xludf.DUMMYFUNCTION("VLOOKUP(F11429, IMPORTRANGE(""https://docs.google.com/spreadsheets/d/1Lhp9OU0JdFf_VYSMzH5lBcEaU4o8teT1piV-SNzShjg/edit?gid=554141278#gid=554141278"", ""'Char Def. - Attributes'!C20:C2242""), 1,false)"),"INSIDE_DIAMETER_IN_O_RING")</f>
        <v>INSIDE_DIAMETER_IN_O_RING</v>
      </c>
      <c r="I11429" s="136"/>
      <c r="R11429" s="63" t="str">
        <f t="shared" si="60"/>
        <v>ZSI1_O_RINGINSIDE_DIAMETER_IN_O_RING</v>
      </c>
    </row>
    <row r="11430" ht="15.75" customHeight="1">
      <c r="B11430" s="63">
        <f t="shared" si="1"/>
        <v>11</v>
      </c>
      <c r="C11430" s="135" t="s">
        <v>427</v>
      </c>
      <c r="D11430" s="161" t="s">
        <v>74</v>
      </c>
      <c r="E11430" s="135">
        <f t="shared" si="62"/>
        <v>4</v>
      </c>
      <c r="F11430" s="134" t="s">
        <v>4947</v>
      </c>
      <c r="G11430" s="63" t="str">
        <f>VLOOKUP(C11430, 'Class Def. - General Data'!$C$20:$C$1000,1,false)</f>
        <v>ZSI1_O_RING</v>
      </c>
      <c r="H11430" s="63" t="str">
        <f>IFERROR(__xludf.DUMMYFUNCTION("VLOOKUP(F11430, IMPORTRANGE(""https://docs.google.com/spreadsheets/d/1Lhp9OU0JdFf_VYSMzH5lBcEaU4o8teT1piV-SNzShjg/edit?gid=554141278#gid=554141278"", ""'Char Def. - Attributes'!C20:C2242""), 1,false)"),"INSIDE_DIAMETER_MM_O_RING")</f>
        <v>INSIDE_DIAMETER_MM_O_RING</v>
      </c>
      <c r="I11430" s="136"/>
      <c r="R11430" s="63" t="str">
        <f t="shared" si="60"/>
        <v>ZSI1_O_RINGINSIDE_DIAMETER_MM_O_RING</v>
      </c>
    </row>
    <row r="11431" ht="15.75" customHeight="1">
      <c r="B11431" s="63">
        <f t="shared" si="1"/>
        <v>11</v>
      </c>
      <c r="C11431" s="135" t="s">
        <v>427</v>
      </c>
      <c r="D11431" s="161" t="s">
        <v>74</v>
      </c>
      <c r="E11431" s="135">
        <f t="shared" si="62"/>
        <v>5</v>
      </c>
      <c r="F11431" s="134" t="s">
        <v>4948</v>
      </c>
      <c r="G11431" s="63" t="str">
        <f>VLOOKUP(C11431, 'Class Def. - General Data'!$C$20:$C$1000,1,false)</f>
        <v>ZSI1_O_RING</v>
      </c>
      <c r="H11431" s="63" t="str">
        <f>IFERROR(__xludf.DUMMYFUNCTION("VLOOKUP(F11431, IMPORTRANGE(""https://docs.google.com/spreadsheets/d/1Lhp9OU0JdFf_VYSMzH5lBcEaU4o8teT1piV-SNzShjg/edit?gid=554141278#gid=554141278"", ""'Char Def. - Attributes'!C20:C2242""), 1,false)"),"OUTSIDE_DIAMETER_IN_O_RING")</f>
        <v>OUTSIDE_DIAMETER_IN_O_RING</v>
      </c>
      <c r="I11431" s="136"/>
      <c r="R11431" s="63" t="str">
        <f t="shared" si="60"/>
        <v>ZSI1_O_RINGOUTSIDE_DIAMETER_IN_O_RING</v>
      </c>
    </row>
    <row r="11432" ht="15.75" customHeight="1">
      <c r="B11432" s="63">
        <f t="shared" si="1"/>
        <v>11</v>
      </c>
      <c r="C11432" s="135" t="s">
        <v>427</v>
      </c>
      <c r="D11432" s="161" t="s">
        <v>74</v>
      </c>
      <c r="E11432" s="135">
        <f t="shared" si="62"/>
        <v>6</v>
      </c>
      <c r="F11432" s="134" t="s">
        <v>4949</v>
      </c>
      <c r="G11432" s="63" t="str">
        <f>VLOOKUP(C11432, 'Class Def. - General Data'!$C$20:$C$1000,1,false)</f>
        <v>ZSI1_O_RING</v>
      </c>
      <c r="H11432" s="63" t="str">
        <f>IFERROR(__xludf.DUMMYFUNCTION("VLOOKUP(F11432, IMPORTRANGE(""https://docs.google.com/spreadsheets/d/1Lhp9OU0JdFf_VYSMzH5lBcEaU4o8teT1piV-SNzShjg/edit?gid=554141278#gid=554141278"", ""'Char Def. - Attributes'!C20:C2242""), 1,false)"),"OUTSIDE_DIAMETER_MM_O_RING")</f>
        <v>OUTSIDE_DIAMETER_MM_O_RING</v>
      </c>
      <c r="I11432" s="136"/>
      <c r="R11432" s="63" t="str">
        <f t="shared" si="60"/>
        <v>ZSI1_O_RINGOUTSIDE_DIAMETER_MM_O_RING</v>
      </c>
    </row>
    <row r="11433" ht="15.75" customHeight="1">
      <c r="B11433" s="63">
        <f t="shared" si="1"/>
        <v>11</v>
      </c>
      <c r="C11433" s="135" t="s">
        <v>427</v>
      </c>
      <c r="D11433" s="161" t="s">
        <v>74</v>
      </c>
      <c r="E11433" s="135">
        <f t="shared" si="62"/>
        <v>7</v>
      </c>
      <c r="F11433" s="134" t="s">
        <v>4950</v>
      </c>
      <c r="G11433" s="63" t="str">
        <f>VLOOKUP(C11433, 'Class Def. - General Data'!$C$20:$C$1000,1,false)</f>
        <v>ZSI1_O_RING</v>
      </c>
      <c r="H11433" s="63" t="str">
        <f>IFERROR(__xludf.DUMMYFUNCTION("VLOOKUP(F11433, IMPORTRANGE(""https://docs.google.com/spreadsheets/d/1Lhp9OU0JdFf_VYSMzH5lBcEaU4o8teT1piV-SNzShjg/edit?gid=554141278#gid=554141278"", ""'Char Def. - Attributes'!C20:C2242""), 1,false)"),"WIDTH_IN_O_RING")</f>
        <v>WIDTH_IN_O_RING</v>
      </c>
      <c r="I11433" s="136"/>
      <c r="R11433" s="63" t="str">
        <f t="shared" si="60"/>
        <v>ZSI1_O_RINGWIDTH_IN_O_RING</v>
      </c>
    </row>
    <row r="11434" ht="15.75" customHeight="1">
      <c r="B11434" s="63">
        <f t="shared" si="1"/>
        <v>11</v>
      </c>
      <c r="C11434" s="135" t="s">
        <v>427</v>
      </c>
      <c r="D11434" s="161" t="s">
        <v>74</v>
      </c>
      <c r="E11434" s="135">
        <f t="shared" si="62"/>
        <v>8</v>
      </c>
      <c r="F11434" s="134" t="s">
        <v>4951</v>
      </c>
      <c r="G11434" s="63" t="str">
        <f>VLOOKUP(C11434, 'Class Def. - General Data'!$C$20:$C$1000,1,false)</f>
        <v>ZSI1_O_RING</v>
      </c>
      <c r="H11434" s="63" t="str">
        <f>IFERROR(__xludf.DUMMYFUNCTION("VLOOKUP(F11434, IMPORTRANGE(""https://docs.google.com/spreadsheets/d/1Lhp9OU0JdFf_VYSMzH5lBcEaU4o8teT1piV-SNzShjg/edit?gid=554141278#gid=554141278"", ""'Char Def. - Attributes'!C20:C2242""), 1,false)"),"WIDTH_MM_O_RING")</f>
        <v>WIDTH_MM_O_RING</v>
      </c>
      <c r="I11434" s="136"/>
      <c r="R11434" s="63" t="str">
        <f t="shared" si="60"/>
        <v>ZSI1_O_RINGWIDTH_MM_O_RING</v>
      </c>
    </row>
    <row r="11435" ht="15.75" customHeight="1">
      <c r="B11435" s="63">
        <f t="shared" si="1"/>
        <v>11</v>
      </c>
      <c r="C11435" s="135" t="s">
        <v>427</v>
      </c>
      <c r="D11435" s="161" t="s">
        <v>74</v>
      </c>
      <c r="E11435" s="135">
        <f t="shared" si="62"/>
        <v>9</v>
      </c>
      <c r="F11435" s="134" t="s">
        <v>4952</v>
      </c>
      <c r="G11435" s="63" t="str">
        <f>VLOOKUP(C11435, 'Class Def. - General Data'!$C$20:$C$1000,1,false)</f>
        <v>ZSI1_O_RING</v>
      </c>
      <c r="H11435" s="63" t="str">
        <f>IFERROR(__xludf.DUMMYFUNCTION("VLOOKUP(F11435, IMPORTRANGE(""https://docs.google.com/spreadsheets/d/1Lhp9OU0JdFf_VYSMzH5lBcEaU4o8teT1piV-SNzShjg/edit?gid=554141278#gid=554141278"", ""'Char Def. - Attributes'!C20:C2242""), 1,false)"),"MATERIAL_O_RING")</f>
        <v>MATERIAL_O_RING</v>
      </c>
      <c r="I11435" s="136"/>
      <c r="R11435" s="63" t="str">
        <f t="shared" si="60"/>
        <v>ZSI1_O_RINGMATERIAL_O_RING</v>
      </c>
    </row>
    <row r="11436" ht="15.75" customHeight="1">
      <c r="B11436" s="63">
        <f t="shared" si="1"/>
        <v>11</v>
      </c>
      <c r="C11436" s="135" t="s">
        <v>427</v>
      </c>
      <c r="D11436" s="161" t="s">
        <v>74</v>
      </c>
      <c r="E11436" s="135">
        <f t="shared" si="62"/>
        <v>10</v>
      </c>
      <c r="F11436" s="134" t="s">
        <v>4053</v>
      </c>
      <c r="G11436" s="63" t="str">
        <f>VLOOKUP(C11436, 'Class Def. - General Data'!$C$20:$C$1000,1,false)</f>
        <v>ZSI1_O_RING</v>
      </c>
      <c r="H11436" s="63" t="str">
        <f>IFERROR(__xludf.DUMMYFUNCTION("VLOOKUP(F11436, IMPORTRANGE(""https://docs.google.com/spreadsheets/d/1Lhp9OU0JdFf_VYSMzH5lBcEaU4o8teT1piV-SNzShjg/edit?gid=554141278#gid=554141278"", ""'Char Def. - Attributes'!C20:C2242""), 1,false)"),"MAINTENANCE_ORDER_TYPE")</f>
        <v>MAINTENANCE_ORDER_TYPE</v>
      </c>
      <c r="I11436" s="136"/>
      <c r="R11436" s="63" t="str">
        <f t="shared" si="60"/>
        <v>ZSI1_O_RINGMAINTENANCE_ORDER_TYPE</v>
      </c>
    </row>
    <row r="11437" ht="15.75" customHeight="1">
      <c r="B11437" s="63">
        <f t="shared" si="1"/>
        <v>11</v>
      </c>
      <c r="C11437" s="135" t="s">
        <v>427</v>
      </c>
      <c r="D11437" s="161" t="s">
        <v>74</v>
      </c>
      <c r="E11437" s="135">
        <f t="shared" si="62"/>
        <v>11</v>
      </c>
      <c r="F11437" s="134" t="s">
        <v>3585</v>
      </c>
      <c r="G11437" s="63" t="str">
        <f>VLOOKUP(C11437, 'Class Def. - General Data'!$C$20:$C$1000,1,false)</f>
        <v>ZSI1_O_RING</v>
      </c>
      <c r="H11437" s="63" t="str">
        <f>IFERROR(__xludf.DUMMYFUNCTION("VLOOKUP(F11437, IMPORTRANGE(""https://docs.google.com/spreadsheets/d/1Lhp9OU0JdFf_VYSMzH5lBcEaU4o8teT1piV-SNzShjg/edit?gid=554141278#gid=554141278"", ""'Char Def. - Attributes'!C20:C2242""), 1,false)"),"HS_CODE")</f>
        <v>HS_CODE</v>
      </c>
      <c r="I11437" s="136"/>
      <c r="R11437" s="63" t="str">
        <f t="shared" si="60"/>
        <v>ZSI1_O_RINGHS_CODE</v>
      </c>
    </row>
    <row r="11438" ht="15.75" customHeight="1">
      <c r="B11438" s="63">
        <f t="shared" si="1"/>
        <v>11</v>
      </c>
      <c r="C11438" s="135" t="s">
        <v>427</v>
      </c>
      <c r="D11438" s="161" t="s">
        <v>74</v>
      </c>
      <c r="E11438" s="135">
        <f t="shared" si="62"/>
        <v>12</v>
      </c>
      <c r="F11438" s="134" t="s">
        <v>3587</v>
      </c>
      <c r="G11438" s="63" t="str">
        <f>VLOOKUP(C11438, 'Class Def. - General Data'!$C$20:$C$1000,1,false)</f>
        <v>ZSI1_O_RING</v>
      </c>
      <c r="H11438" s="63" t="str">
        <f>IFERROR(__xludf.DUMMYFUNCTION("VLOOKUP(F11438, IMPORTRANGE(""https://docs.google.com/spreadsheets/d/1Lhp9OU0JdFf_VYSMzH5lBcEaU4o8teT1piV-SNzShjg/edit?gid=554141278#gid=554141278"", ""'Char Def. - Attributes'!C20:C2242""), 1,false)"),"PLANT_BUY")</f>
        <v>PLANT_BUY</v>
      </c>
      <c r="I11438" s="136"/>
      <c r="R11438" s="63" t="str">
        <f t="shared" si="60"/>
        <v>ZSI1_O_RINGPLANT_BUY</v>
      </c>
    </row>
    <row r="11439" ht="15.75" customHeight="1">
      <c r="B11439" s="63">
        <f t="shared" si="1"/>
        <v>11</v>
      </c>
      <c r="C11439" s="135" t="s">
        <v>427</v>
      </c>
      <c r="D11439" s="161" t="s">
        <v>74</v>
      </c>
      <c r="E11439" s="135">
        <f t="shared" si="62"/>
        <v>13</v>
      </c>
      <c r="F11439" s="134" t="s">
        <v>4953</v>
      </c>
      <c r="G11439" s="63" t="str">
        <f>VLOOKUP(C11439, 'Class Def. - General Data'!$C$20:$C$1000,1,false)</f>
        <v>ZSI1_O_RING</v>
      </c>
      <c r="H11439" s="63" t="str">
        <f>IFERROR(__xludf.DUMMYFUNCTION("VLOOKUP(F11439, IMPORTRANGE(""https://docs.google.com/spreadsheets/d/1Lhp9OU0JdFf_VYSMzH5lBcEaU4o8teT1piV-SNzShjg/edit?gid=554141278#gid=554141278"", ""'Char Def. - Attributes'!C20:C2242""), 1,false)"),"BASE_UOM_O_RING")</f>
        <v>BASE_UOM_O_RING</v>
      </c>
      <c r="I11439" s="136"/>
      <c r="R11439" s="63" t="str">
        <f t="shared" si="60"/>
        <v>ZSI1_O_RINGBASE_UOM_O_RING</v>
      </c>
    </row>
    <row r="11440" ht="15.75" customHeight="1">
      <c r="B11440" s="63">
        <f t="shared" si="1"/>
        <v>11</v>
      </c>
      <c r="C11440" s="135" t="s">
        <v>427</v>
      </c>
      <c r="D11440" s="161" t="s">
        <v>74</v>
      </c>
      <c r="E11440" s="135">
        <f t="shared" si="62"/>
        <v>14</v>
      </c>
      <c r="F11440" s="134" t="s">
        <v>4954</v>
      </c>
      <c r="G11440" s="63" t="str">
        <f>VLOOKUP(C11440, 'Class Def. - General Data'!$C$20:$C$1000,1,false)</f>
        <v>ZSI1_O_RING</v>
      </c>
      <c r="H11440" s="63" t="str">
        <f>IFERROR(__xludf.DUMMYFUNCTION("VLOOKUP(F11440, IMPORTRANGE(""https://docs.google.com/spreadsheets/d/1Lhp9OU0JdFf_VYSMzH5lBcEaU4o8teT1piV-SNzShjg/edit?gid=554141278#gid=554141278"", ""'Char Def. - Attributes'!C20:C2242""), 1,false)"),"ORDER_UNIT_O_RING")</f>
        <v>ORDER_UNIT_O_RING</v>
      </c>
      <c r="I11440" s="136"/>
      <c r="R11440" s="63" t="str">
        <f t="shared" si="60"/>
        <v>ZSI1_O_RINGORDER_UNIT_O_RING</v>
      </c>
    </row>
    <row r="11441" ht="15.75" customHeight="1">
      <c r="B11441" s="63">
        <f t="shared" si="1"/>
        <v>11</v>
      </c>
      <c r="C11441" s="135" t="s">
        <v>427</v>
      </c>
      <c r="D11441" s="161" t="s">
        <v>74</v>
      </c>
      <c r="E11441" s="135">
        <f t="shared" si="62"/>
        <v>15</v>
      </c>
      <c r="F11441" s="134" t="s">
        <v>4056</v>
      </c>
      <c r="G11441" s="63" t="str">
        <f>VLOOKUP(C11441, 'Class Def. - General Data'!$C$20:$C$1000,1,false)</f>
        <v>ZSI1_O_RING</v>
      </c>
      <c r="H11441" s="63" t="str">
        <f>IFERROR(__xludf.DUMMYFUNCTION("VLOOKUP(F11441, IMPORTRANGE(""https://docs.google.com/spreadsheets/d/1Lhp9OU0JdFf_VYSMzH5lBcEaU4o8teT1piV-SNzShjg/edit?gid=554141278#gid=554141278"", ""'Char Def. - Attributes'!C20:C2242""), 1,false)"),"GROSS_WEIGHT_OPT")</f>
        <v>GROSS_WEIGHT_OPT</v>
      </c>
      <c r="I11441" s="136"/>
      <c r="R11441" s="63" t="str">
        <f t="shared" si="60"/>
        <v>ZSI1_O_RINGGROSS_WEIGHT_OPT</v>
      </c>
    </row>
    <row r="11442" ht="15.75" customHeight="1">
      <c r="B11442" s="63">
        <f t="shared" si="1"/>
        <v>11</v>
      </c>
      <c r="C11442" s="135" t="s">
        <v>427</v>
      </c>
      <c r="D11442" s="161" t="s">
        <v>74</v>
      </c>
      <c r="E11442" s="135">
        <f t="shared" si="62"/>
        <v>16</v>
      </c>
      <c r="F11442" s="134" t="s">
        <v>4057</v>
      </c>
      <c r="G11442" s="63" t="str">
        <f>VLOOKUP(C11442, 'Class Def. - General Data'!$C$20:$C$1000,1,false)</f>
        <v>ZSI1_O_RING</v>
      </c>
      <c r="H11442" s="63" t="str">
        <f>IFERROR(__xludf.DUMMYFUNCTION("VLOOKUP(F11442, IMPORTRANGE(""https://docs.google.com/spreadsheets/d/1Lhp9OU0JdFf_VYSMzH5lBcEaU4o8teT1piV-SNzShjg/edit?gid=554141278#gid=554141278"", ""'Char Def. - Attributes'!C20:C2242""), 1,false)"),"NET_WEIGHT_OPT")</f>
        <v>NET_WEIGHT_OPT</v>
      </c>
      <c r="I11442" s="136"/>
      <c r="R11442" s="63" t="str">
        <f t="shared" si="60"/>
        <v>ZSI1_O_RINGNET_WEIGHT_OPT</v>
      </c>
    </row>
    <row r="11443" ht="15.75" customHeight="1">
      <c r="B11443" s="63">
        <f t="shared" si="1"/>
        <v>11</v>
      </c>
      <c r="C11443" s="135" t="s">
        <v>427</v>
      </c>
      <c r="D11443" s="161" t="s">
        <v>74</v>
      </c>
      <c r="E11443" s="135">
        <f t="shared" si="62"/>
        <v>17</v>
      </c>
      <c r="F11443" s="134" t="s">
        <v>4058</v>
      </c>
      <c r="G11443" s="63" t="str">
        <f>VLOOKUP(C11443, 'Class Def. - General Data'!$C$20:$C$1000,1,false)</f>
        <v>ZSI1_O_RING</v>
      </c>
      <c r="H11443" s="63" t="str">
        <f>IFERROR(__xludf.DUMMYFUNCTION("VLOOKUP(F11443, IMPORTRANGE(""https://docs.google.com/spreadsheets/d/1Lhp9OU0JdFf_VYSMzH5lBcEaU4o8teT1piV-SNzShjg/edit?gid=554141278#gid=554141278"", ""'Char Def. - Attributes'!C20:C2242""), 1,false)"),"WEIGHT_UNIT_SI")</f>
        <v>WEIGHT_UNIT_SI</v>
      </c>
      <c r="I11443" s="136"/>
      <c r="R11443" s="63" t="str">
        <f t="shared" si="60"/>
        <v>ZSI1_O_RINGWEIGHT_UNIT_SI</v>
      </c>
    </row>
    <row r="11444" ht="15.75" customHeight="1">
      <c r="B11444" s="63">
        <f t="shared" si="1"/>
        <v>11</v>
      </c>
      <c r="C11444" s="135" t="s">
        <v>427</v>
      </c>
      <c r="D11444" s="161" t="s">
        <v>74</v>
      </c>
      <c r="E11444" s="135">
        <f t="shared" si="62"/>
        <v>18</v>
      </c>
      <c r="F11444" s="134" t="s">
        <v>3877</v>
      </c>
      <c r="G11444" s="63" t="str">
        <f>VLOOKUP(C11444, 'Class Def. - General Data'!$C$20:$C$1000,1,false)</f>
        <v>ZSI1_O_RING</v>
      </c>
      <c r="H11444" s="63" t="str">
        <f>IFERROR(__xludf.DUMMYFUNCTION("VLOOKUP(F11444, IMPORTRANGE(""https://docs.google.com/spreadsheets/d/1Lhp9OU0JdFf_VYSMzH5lBcEaU4o8teT1piV-SNzShjg/edit?gid=554141278#gid=554141278"", ""'Char Def. - Attributes'!C20:C2242""), 1,false)"),"VOLUME_OPT")</f>
        <v>VOLUME_OPT</v>
      </c>
      <c r="I11444" s="136"/>
      <c r="R11444" s="63" t="str">
        <f t="shared" si="60"/>
        <v>ZSI1_O_RINGVOLUME_OPT</v>
      </c>
    </row>
    <row r="11445" ht="15.75" customHeight="1">
      <c r="B11445" s="63">
        <f t="shared" si="1"/>
        <v>11</v>
      </c>
      <c r="C11445" s="135" t="s">
        <v>427</v>
      </c>
      <c r="D11445" s="161" t="s">
        <v>74</v>
      </c>
      <c r="E11445" s="135">
        <f t="shared" si="62"/>
        <v>19</v>
      </c>
      <c r="F11445" s="134" t="s">
        <v>4059</v>
      </c>
      <c r="G11445" s="63" t="str">
        <f>VLOOKUP(C11445, 'Class Def. - General Data'!$C$20:$C$1000,1,false)</f>
        <v>ZSI1_O_RING</v>
      </c>
      <c r="H11445" s="63" t="str">
        <f>IFERROR(__xludf.DUMMYFUNCTION("VLOOKUP(F11445, IMPORTRANGE(""https://docs.google.com/spreadsheets/d/1Lhp9OU0JdFf_VYSMzH5lBcEaU4o8teT1piV-SNzShjg/edit?gid=554141278#gid=554141278"", ""'Char Def. - Attributes'!C20:C2242""), 1,false)"),"VOLUME_UNIT_SI")</f>
        <v>VOLUME_UNIT_SI</v>
      </c>
      <c r="I11445" s="136"/>
      <c r="R11445" s="63" t="str">
        <f t="shared" si="60"/>
        <v>ZSI1_O_RINGVOLUME_UNIT_SI</v>
      </c>
    </row>
    <row r="11446" ht="15.75" customHeight="1">
      <c r="B11446" s="63">
        <f t="shared" si="1"/>
        <v>11</v>
      </c>
      <c r="C11446" s="135" t="s">
        <v>427</v>
      </c>
      <c r="D11446" s="161" t="s">
        <v>74</v>
      </c>
      <c r="E11446" s="135">
        <f t="shared" si="62"/>
        <v>20</v>
      </c>
      <c r="F11446" s="134" t="s">
        <v>3804</v>
      </c>
      <c r="G11446" s="63" t="str">
        <f>VLOOKUP(C11446, 'Class Def. - General Data'!$C$20:$C$1000,1,false)</f>
        <v>ZSI1_O_RING</v>
      </c>
      <c r="H11446" s="63" t="str">
        <f>IFERROR(__xludf.DUMMYFUNCTION("VLOOKUP(F11446, IMPORTRANGE(""https://docs.google.com/spreadsheets/d/1Lhp9OU0JdFf_VYSMzH5lBcEaU4o8teT1piV-SNzShjg/edit?gid=554141278#gid=554141278"", ""'Char Def. - Attributes'!C20:C2242""), 1,false)"),"ALT_UOM1_SIPI")</f>
        <v>ALT_UOM1_SIPI</v>
      </c>
      <c r="I11446" s="136"/>
      <c r="R11446" s="63" t="str">
        <f t="shared" si="60"/>
        <v>ZSI1_O_RINGALT_UOM1_SIPI</v>
      </c>
    </row>
    <row r="11447" ht="15.75" customHeight="1">
      <c r="B11447" s="63">
        <f t="shared" si="1"/>
        <v>11</v>
      </c>
      <c r="C11447" s="135" t="s">
        <v>427</v>
      </c>
      <c r="D11447" s="161" t="s">
        <v>74</v>
      </c>
      <c r="E11447" s="135">
        <f t="shared" si="62"/>
        <v>21</v>
      </c>
      <c r="F11447" s="134" t="s">
        <v>3805</v>
      </c>
      <c r="G11447" s="63" t="str">
        <f>VLOOKUP(C11447, 'Class Def. - General Data'!$C$20:$C$1000,1,false)</f>
        <v>ZSI1_O_RING</v>
      </c>
      <c r="H11447" s="63" t="str">
        <f>IFERROR(__xludf.DUMMYFUNCTION("VLOOKUP(F11447, IMPORTRANGE(""https://docs.google.com/spreadsheets/d/1Lhp9OU0JdFf_VYSMzH5lBcEaU4o8teT1piV-SNzShjg/edit?gid=554141278#gid=554141278"", ""'Char Def. - Attributes'!C20:C2242""), 1,false)"),"ALT_DENUM_UOM1")</f>
        <v>ALT_DENUM_UOM1</v>
      </c>
      <c r="I11447" s="136"/>
      <c r="R11447" s="63" t="str">
        <f t="shared" si="60"/>
        <v>ZSI1_O_RINGALT_DENUM_UOM1</v>
      </c>
    </row>
    <row r="11448" ht="15.75" customHeight="1">
      <c r="B11448" s="63">
        <f t="shared" si="1"/>
        <v>11</v>
      </c>
      <c r="C11448" s="135" t="s">
        <v>427</v>
      </c>
      <c r="D11448" s="161" t="s">
        <v>74</v>
      </c>
      <c r="E11448" s="135">
        <f t="shared" si="62"/>
        <v>22</v>
      </c>
      <c r="F11448" s="134" t="s">
        <v>3806</v>
      </c>
      <c r="G11448" s="63" t="str">
        <f>VLOOKUP(C11448, 'Class Def. - General Data'!$C$20:$C$1000,1,false)</f>
        <v>ZSI1_O_RING</v>
      </c>
      <c r="H11448" s="63" t="str">
        <f>IFERROR(__xludf.DUMMYFUNCTION("VLOOKUP(F11448, IMPORTRANGE(""https://docs.google.com/spreadsheets/d/1Lhp9OU0JdFf_VYSMzH5lBcEaU4o8teT1piV-SNzShjg/edit?gid=554141278#gid=554141278"", ""'Char Def. - Attributes'!C20:C2242""), 1,false)"),"ALT_NUM_UOM1")</f>
        <v>ALT_NUM_UOM1</v>
      </c>
      <c r="I11448" s="136"/>
      <c r="R11448" s="63" t="str">
        <f t="shared" si="60"/>
        <v>ZSI1_O_RINGALT_NUM_UOM1</v>
      </c>
    </row>
    <row r="11449" ht="15.75" customHeight="1">
      <c r="B11449" s="63">
        <f t="shared" si="1"/>
        <v>11</v>
      </c>
      <c r="C11449" s="135" t="s">
        <v>427</v>
      </c>
      <c r="D11449" s="161" t="s">
        <v>74</v>
      </c>
      <c r="E11449" s="135">
        <f t="shared" si="62"/>
        <v>23</v>
      </c>
      <c r="F11449" s="134" t="s">
        <v>3807</v>
      </c>
      <c r="G11449" s="63" t="str">
        <f>VLOOKUP(C11449, 'Class Def. - General Data'!$C$20:$C$1000,1,false)</f>
        <v>ZSI1_O_RING</v>
      </c>
      <c r="H11449" s="63" t="str">
        <f>IFERROR(__xludf.DUMMYFUNCTION("VLOOKUP(F11449, IMPORTRANGE(""https://docs.google.com/spreadsheets/d/1Lhp9OU0JdFf_VYSMzH5lBcEaU4o8teT1piV-SNzShjg/edit?gid=554141278#gid=554141278"", ""'Char Def. - Attributes'!C20:C2242""), 1,false)"),"ALT_UOM2_SIPI")</f>
        <v>ALT_UOM2_SIPI</v>
      </c>
      <c r="I11449" s="136"/>
      <c r="R11449" s="63" t="str">
        <f t="shared" si="60"/>
        <v>ZSI1_O_RINGALT_UOM2_SIPI</v>
      </c>
    </row>
    <row r="11450" ht="15.75" customHeight="1">
      <c r="B11450" s="63">
        <f t="shared" si="1"/>
        <v>11</v>
      </c>
      <c r="C11450" s="135" t="s">
        <v>427</v>
      </c>
      <c r="D11450" s="161" t="s">
        <v>74</v>
      </c>
      <c r="E11450" s="135">
        <f t="shared" si="62"/>
        <v>24</v>
      </c>
      <c r="F11450" s="134" t="s">
        <v>3808</v>
      </c>
      <c r="G11450" s="63" t="str">
        <f>VLOOKUP(C11450, 'Class Def. - General Data'!$C$20:$C$1000,1,false)</f>
        <v>ZSI1_O_RING</v>
      </c>
      <c r="H11450" s="63" t="str">
        <f>IFERROR(__xludf.DUMMYFUNCTION("VLOOKUP(F11450, IMPORTRANGE(""https://docs.google.com/spreadsheets/d/1Lhp9OU0JdFf_VYSMzH5lBcEaU4o8teT1piV-SNzShjg/edit?gid=554141278#gid=554141278"", ""'Char Def. - Attributes'!C20:C2242""), 1,false)"),"ALT_DENUM_UOM2")</f>
        <v>ALT_DENUM_UOM2</v>
      </c>
      <c r="I11450" s="136"/>
      <c r="R11450" s="63" t="str">
        <f t="shared" si="60"/>
        <v>ZSI1_O_RINGALT_DENUM_UOM2</v>
      </c>
    </row>
    <row r="11451" ht="15.75" customHeight="1">
      <c r="B11451" s="63">
        <f t="shared" si="1"/>
        <v>11</v>
      </c>
      <c r="C11451" s="135" t="s">
        <v>427</v>
      </c>
      <c r="D11451" s="161" t="s">
        <v>74</v>
      </c>
      <c r="E11451" s="135">
        <f t="shared" si="62"/>
        <v>25</v>
      </c>
      <c r="F11451" s="134" t="s">
        <v>3809</v>
      </c>
      <c r="G11451" s="63" t="str">
        <f>VLOOKUP(C11451, 'Class Def. - General Data'!$C$20:$C$1000,1,false)</f>
        <v>ZSI1_O_RING</v>
      </c>
      <c r="H11451" s="63" t="str">
        <f>IFERROR(__xludf.DUMMYFUNCTION("VLOOKUP(F11451, IMPORTRANGE(""https://docs.google.com/spreadsheets/d/1Lhp9OU0JdFf_VYSMzH5lBcEaU4o8teT1piV-SNzShjg/edit?gid=554141278#gid=554141278"", ""'Char Def. - Attributes'!C20:C2242""), 1,false)"),"ALT_NUM_UOM2")</f>
        <v>ALT_NUM_UOM2</v>
      </c>
      <c r="I11451" s="136"/>
      <c r="R11451" s="63" t="str">
        <f t="shared" si="60"/>
        <v>ZSI1_O_RINGALT_NUM_UOM2</v>
      </c>
    </row>
    <row r="11452" ht="15.75" customHeight="1">
      <c r="B11452" s="63">
        <f t="shared" si="1"/>
        <v>11</v>
      </c>
      <c r="C11452" s="135" t="s">
        <v>427</v>
      </c>
      <c r="D11452" s="161" t="s">
        <v>74</v>
      </c>
      <c r="E11452" s="135">
        <f t="shared" si="62"/>
        <v>26</v>
      </c>
      <c r="F11452" s="134" t="s">
        <v>3810</v>
      </c>
      <c r="G11452" s="63" t="str">
        <f>VLOOKUP(C11452, 'Class Def. - General Data'!$C$20:$C$1000,1,false)</f>
        <v>ZSI1_O_RING</v>
      </c>
      <c r="H11452" s="63" t="str">
        <f>IFERROR(__xludf.DUMMYFUNCTION("VLOOKUP(F11452, IMPORTRANGE(""https://docs.google.com/spreadsheets/d/1Lhp9OU0JdFf_VYSMzH5lBcEaU4o8teT1piV-SNzShjg/edit?gid=554141278#gid=554141278"", ""'Char Def. - Attributes'!C20:C2242""), 1,false)"),"ALT_UOM3_SIPI")</f>
        <v>ALT_UOM3_SIPI</v>
      </c>
      <c r="I11452" s="136"/>
      <c r="R11452" s="63" t="str">
        <f t="shared" si="60"/>
        <v>ZSI1_O_RINGALT_UOM3_SIPI</v>
      </c>
    </row>
    <row r="11453" ht="15.75" customHeight="1">
      <c r="B11453" s="63">
        <f t="shared" si="1"/>
        <v>11</v>
      </c>
      <c r="C11453" s="135" t="s">
        <v>427</v>
      </c>
      <c r="D11453" s="161" t="s">
        <v>74</v>
      </c>
      <c r="E11453" s="135">
        <f t="shared" si="62"/>
        <v>27</v>
      </c>
      <c r="F11453" s="134" t="s">
        <v>3811</v>
      </c>
      <c r="G11453" s="63" t="str">
        <f>VLOOKUP(C11453, 'Class Def. - General Data'!$C$20:$C$1000,1,false)</f>
        <v>ZSI1_O_RING</v>
      </c>
      <c r="H11453" s="63" t="str">
        <f>IFERROR(__xludf.DUMMYFUNCTION("VLOOKUP(F11453, IMPORTRANGE(""https://docs.google.com/spreadsheets/d/1Lhp9OU0JdFf_VYSMzH5lBcEaU4o8teT1piV-SNzShjg/edit?gid=554141278#gid=554141278"", ""'Char Def. - Attributes'!C20:C2242""), 1,false)"),"ALT_DENUM_UOM3")</f>
        <v>ALT_DENUM_UOM3</v>
      </c>
      <c r="I11453" s="136"/>
      <c r="R11453" s="63" t="str">
        <f t="shared" si="60"/>
        <v>ZSI1_O_RINGALT_DENUM_UOM3</v>
      </c>
    </row>
    <row r="11454" ht="15.75" customHeight="1">
      <c r="B11454" s="63">
        <f t="shared" si="1"/>
        <v>11</v>
      </c>
      <c r="C11454" s="135" t="s">
        <v>427</v>
      </c>
      <c r="D11454" s="161" t="s">
        <v>74</v>
      </c>
      <c r="E11454" s="135">
        <f t="shared" si="62"/>
        <v>28</v>
      </c>
      <c r="F11454" s="134" t="s">
        <v>3812</v>
      </c>
      <c r="G11454" s="63" t="str">
        <f>VLOOKUP(C11454, 'Class Def. - General Data'!$C$20:$C$1000,1,false)</f>
        <v>ZSI1_O_RING</v>
      </c>
      <c r="H11454" s="63" t="str">
        <f>IFERROR(__xludf.DUMMYFUNCTION("VLOOKUP(F11454, IMPORTRANGE(""https://docs.google.com/spreadsheets/d/1Lhp9OU0JdFf_VYSMzH5lBcEaU4o8teT1piV-SNzShjg/edit?gid=554141278#gid=554141278"", ""'Char Def. - Attributes'!C20:C2242""), 1,false)"),"ALT_NUM_UOM3")</f>
        <v>ALT_NUM_UOM3</v>
      </c>
      <c r="I11454" s="136"/>
      <c r="R11454" s="63" t="str">
        <f t="shared" si="60"/>
        <v>ZSI1_O_RINGALT_NUM_UOM3</v>
      </c>
    </row>
    <row r="11455" ht="15.75" customHeight="1">
      <c r="B11455" s="63">
        <f t="shared" si="1"/>
        <v>11</v>
      </c>
      <c r="C11455" s="135" t="s">
        <v>427</v>
      </c>
      <c r="D11455" s="161" t="s">
        <v>74</v>
      </c>
      <c r="E11455" s="135">
        <f t="shared" si="62"/>
        <v>29</v>
      </c>
      <c r="F11455" s="134" t="s">
        <v>3813</v>
      </c>
      <c r="G11455" s="63" t="str">
        <f>VLOOKUP(C11455, 'Class Def. - General Data'!$C$20:$C$1000,1,false)</f>
        <v>ZSI1_O_RING</v>
      </c>
      <c r="H11455" s="63" t="str">
        <f>IFERROR(__xludf.DUMMYFUNCTION("VLOOKUP(F11455, IMPORTRANGE(""https://docs.google.com/spreadsheets/d/1Lhp9OU0JdFf_VYSMzH5lBcEaU4o8teT1piV-SNzShjg/edit?gid=554141278#gid=554141278"", ""'Char Def. - Attributes'!C20:C2242""), 1,false)"),"ALT_UOM4_SIPI")</f>
        <v>ALT_UOM4_SIPI</v>
      </c>
      <c r="I11455" s="136"/>
      <c r="R11455" s="63" t="str">
        <f t="shared" si="60"/>
        <v>ZSI1_O_RINGALT_UOM4_SIPI</v>
      </c>
    </row>
    <row r="11456" ht="15.75" customHeight="1">
      <c r="B11456" s="63">
        <f t="shared" si="1"/>
        <v>11</v>
      </c>
      <c r="C11456" s="135" t="s">
        <v>427</v>
      </c>
      <c r="D11456" s="161" t="s">
        <v>74</v>
      </c>
      <c r="E11456" s="135">
        <f t="shared" si="62"/>
        <v>30</v>
      </c>
      <c r="F11456" s="134" t="s">
        <v>3814</v>
      </c>
      <c r="G11456" s="63" t="str">
        <f>VLOOKUP(C11456, 'Class Def. - General Data'!$C$20:$C$1000,1,false)</f>
        <v>ZSI1_O_RING</v>
      </c>
      <c r="H11456" s="63" t="str">
        <f>IFERROR(__xludf.DUMMYFUNCTION("VLOOKUP(F11456, IMPORTRANGE(""https://docs.google.com/spreadsheets/d/1Lhp9OU0JdFf_VYSMzH5lBcEaU4o8teT1piV-SNzShjg/edit?gid=554141278#gid=554141278"", ""'Char Def. - Attributes'!C20:C2242""), 1,false)"),"ALT_DENUM_UOM4")</f>
        <v>ALT_DENUM_UOM4</v>
      </c>
      <c r="I11456" s="136"/>
      <c r="R11456" s="63" t="str">
        <f t="shared" si="60"/>
        <v>ZSI1_O_RINGALT_DENUM_UOM4</v>
      </c>
    </row>
    <row r="11457" ht="15.75" customHeight="1">
      <c r="B11457" s="63">
        <f t="shared" si="1"/>
        <v>11</v>
      </c>
      <c r="C11457" s="135" t="s">
        <v>427</v>
      </c>
      <c r="D11457" s="161" t="s">
        <v>74</v>
      </c>
      <c r="E11457" s="135">
        <f t="shared" si="62"/>
        <v>31</v>
      </c>
      <c r="F11457" s="134" t="s">
        <v>3815</v>
      </c>
      <c r="G11457" s="63" t="str">
        <f>VLOOKUP(C11457, 'Class Def. - General Data'!$C$20:$C$1000,1,false)</f>
        <v>ZSI1_O_RING</v>
      </c>
      <c r="H11457" s="63" t="str">
        <f>IFERROR(__xludf.DUMMYFUNCTION("VLOOKUP(F11457, IMPORTRANGE(""https://docs.google.com/spreadsheets/d/1Lhp9OU0JdFf_VYSMzH5lBcEaU4o8teT1piV-SNzShjg/edit?gid=554141278#gid=554141278"", ""'Char Def. - Attributes'!C20:C2242""), 1,false)"),"ALT_NUM_UOM4")</f>
        <v>ALT_NUM_UOM4</v>
      </c>
      <c r="I11457" s="136"/>
      <c r="R11457" s="63" t="str">
        <f t="shared" si="60"/>
        <v>ZSI1_O_RINGALT_NUM_UOM4</v>
      </c>
    </row>
    <row r="11458" ht="15.75" customHeight="1">
      <c r="B11458" s="63">
        <f t="shared" si="1"/>
        <v>11</v>
      </c>
      <c r="C11458" s="135" t="s">
        <v>427</v>
      </c>
      <c r="D11458" s="161" t="s">
        <v>74</v>
      </c>
      <c r="E11458" s="135">
        <f t="shared" si="62"/>
        <v>32</v>
      </c>
      <c r="F11458" s="134" t="s">
        <v>3816</v>
      </c>
      <c r="G11458" s="63" t="str">
        <f>VLOOKUP(C11458, 'Class Def. - General Data'!$C$20:$C$1000,1,false)</f>
        <v>ZSI1_O_RING</v>
      </c>
      <c r="H11458" s="63" t="str">
        <f>IFERROR(__xludf.DUMMYFUNCTION("VLOOKUP(F11458, IMPORTRANGE(""https://docs.google.com/spreadsheets/d/1Lhp9OU0JdFf_VYSMzH5lBcEaU4o8teT1piV-SNzShjg/edit?gid=554141278#gid=554141278"", ""'Char Def. - Attributes'!C20:C2242""), 1,false)"),"ALT_UOM5_SIPI")</f>
        <v>ALT_UOM5_SIPI</v>
      </c>
      <c r="I11458" s="136"/>
      <c r="R11458" s="63" t="str">
        <f t="shared" si="60"/>
        <v>ZSI1_O_RINGALT_UOM5_SIPI</v>
      </c>
    </row>
    <row r="11459" ht="15.75" customHeight="1">
      <c r="B11459" s="63">
        <f t="shared" si="1"/>
        <v>11</v>
      </c>
      <c r="C11459" s="135" t="s">
        <v>427</v>
      </c>
      <c r="D11459" s="161" t="s">
        <v>74</v>
      </c>
      <c r="E11459" s="135">
        <f t="shared" si="62"/>
        <v>33</v>
      </c>
      <c r="F11459" s="134" t="s">
        <v>3817</v>
      </c>
      <c r="G11459" s="63" t="str">
        <f>VLOOKUP(C11459, 'Class Def. - General Data'!$C$20:$C$1000,1,false)</f>
        <v>ZSI1_O_RING</v>
      </c>
      <c r="H11459" s="63" t="str">
        <f>IFERROR(__xludf.DUMMYFUNCTION("VLOOKUP(F11459, IMPORTRANGE(""https://docs.google.com/spreadsheets/d/1Lhp9OU0JdFf_VYSMzH5lBcEaU4o8teT1piV-SNzShjg/edit?gid=554141278#gid=554141278"", ""'Char Def. - Attributes'!C20:C2242""), 1,false)"),"ALT_DENUM_UOM5")</f>
        <v>ALT_DENUM_UOM5</v>
      </c>
      <c r="I11459" s="136"/>
      <c r="R11459" s="63" t="str">
        <f t="shared" si="60"/>
        <v>ZSI1_O_RINGALT_DENUM_UOM5</v>
      </c>
    </row>
    <row r="11460" ht="15.75" customHeight="1">
      <c r="B11460" s="63">
        <f t="shared" si="1"/>
        <v>11</v>
      </c>
      <c r="C11460" s="135" t="s">
        <v>427</v>
      </c>
      <c r="D11460" s="161" t="s">
        <v>74</v>
      </c>
      <c r="E11460" s="135">
        <f t="shared" si="62"/>
        <v>34</v>
      </c>
      <c r="F11460" s="134" t="s">
        <v>3818</v>
      </c>
      <c r="G11460" s="63" t="str">
        <f>VLOOKUP(C11460, 'Class Def. - General Data'!$C$20:$C$1000,1,false)</f>
        <v>ZSI1_O_RING</v>
      </c>
      <c r="H11460" s="63" t="str">
        <f>IFERROR(__xludf.DUMMYFUNCTION("VLOOKUP(F11460, IMPORTRANGE(""https://docs.google.com/spreadsheets/d/1Lhp9OU0JdFf_VYSMzH5lBcEaU4o8teT1piV-SNzShjg/edit?gid=554141278#gid=554141278"", ""'Char Def. - Attributes'!C20:C2242""), 1,false)"),"ALT_NUM_UOM5")</f>
        <v>ALT_NUM_UOM5</v>
      </c>
      <c r="I11460" s="136"/>
      <c r="R11460" s="63" t="str">
        <f t="shared" si="60"/>
        <v>ZSI1_O_RINGALT_NUM_UOM5</v>
      </c>
    </row>
    <row r="11461" ht="15.75" customHeight="1">
      <c r="B11461" s="63">
        <f t="shared" si="1"/>
        <v>13</v>
      </c>
      <c r="C11461" s="135" t="s">
        <v>294</v>
      </c>
      <c r="D11461" s="161" t="s">
        <v>74</v>
      </c>
      <c r="E11461" s="135">
        <f t="shared" si="62"/>
        <v>1</v>
      </c>
      <c r="F11461" s="134" t="s">
        <v>4955</v>
      </c>
      <c r="G11461" s="63" t="str">
        <f>VLOOKUP(C11461, 'Class Def. - General Data'!$C$20:$C$1000,1,false)</f>
        <v>ZSI1_OEM_PART</v>
      </c>
      <c r="H11461" s="63" t="str">
        <f>IFERROR(__xludf.DUMMYFUNCTION("VLOOKUP(F11461, IMPORTRANGE(""https://docs.google.com/spreadsheets/d/1Lhp9OU0JdFf_VYSMzH5lBcEaU4o8teT1piV-SNzShjg/edit?gid=554141278#gid=554141278"", ""'Char Def. - Attributes'!C20:C2242""), 1,false)"),"ITEM_NAME_OEM_PART")</f>
        <v>ITEM_NAME_OEM_PART</v>
      </c>
      <c r="I11461" s="136"/>
      <c r="R11461" s="63" t="str">
        <f t="shared" si="60"/>
        <v>ZSI1_OEM_PARTITEM_NAME_OEM_PART</v>
      </c>
    </row>
    <row r="11462" ht="15.75" customHeight="1">
      <c r="B11462" s="63">
        <f t="shared" si="1"/>
        <v>13</v>
      </c>
      <c r="C11462" s="135" t="s">
        <v>294</v>
      </c>
      <c r="D11462" s="161" t="s">
        <v>74</v>
      </c>
      <c r="E11462" s="135">
        <f t="shared" si="62"/>
        <v>2</v>
      </c>
      <c r="F11462" s="134" t="s">
        <v>4956</v>
      </c>
      <c r="G11462" s="63" t="str">
        <f>VLOOKUP(C11462, 'Class Def. - General Data'!$C$20:$C$1000,1,false)</f>
        <v>ZSI1_OEM_PART</v>
      </c>
      <c r="H11462" s="63" t="str">
        <f>IFERROR(__xludf.DUMMYFUNCTION("VLOOKUP(F11462, IMPORTRANGE(""https://docs.google.com/spreadsheets/d/1Lhp9OU0JdFf_VYSMzH5lBcEaU4o8teT1piV-SNzShjg/edit?gid=554141278#gid=554141278"", ""'Char Def. - Attributes'!C20:C2242""), 1,false)"),"MFR_NO_OEM_PART")</f>
        <v>MFR_NO_OEM_PART</v>
      </c>
      <c r="I11462" s="136"/>
      <c r="R11462" s="63" t="str">
        <f t="shared" si="60"/>
        <v>ZSI1_OEM_PARTMFR_NO_OEM_PART</v>
      </c>
    </row>
    <row r="11463" ht="15.75" customHeight="1">
      <c r="B11463" s="63">
        <f t="shared" si="1"/>
        <v>13</v>
      </c>
      <c r="C11463" s="135" t="s">
        <v>294</v>
      </c>
      <c r="D11463" s="161" t="s">
        <v>74</v>
      </c>
      <c r="E11463" s="135">
        <f t="shared" si="62"/>
        <v>3</v>
      </c>
      <c r="F11463" s="134" t="s">
        <v>3782</v>
      </c>
      <c r="G11463" s="63" t="str">
        <f>VLOOKUP(C11463, 'Class Def. - General Data'!$C$20:$C$1000,1,false)</f>
        <v>ZSI1_OEM_PART</v>
      </c>
      <c r="H11463" s="63" t="str">
        <f>IFERROR(__xludf.DUMMYFUNCTION("VLOOKUP(F11463, IMPORTRANGE(""https://docs.google.com/spreadsheets/d/1Lhp9OU0JdFf_VYSMzH5lBcEaU4o8teT1piV-SNzShjg/edit?gid=554141278#gid=554141278"", ""'Char Def. - Attributes'!C20:C2242""), 1,false)"),"BRAND_EXTERNAL")</f>
        <v>BRAND_EXTERNAL</v>
      </c>
      <c r="I11463" s="136"/>
      <c r="R11463" s="63" t="str">
        <f t="shared" si="60"/>
        <v>ZSI1_OEM_PARTBRAND_EXTERNAL</v>
      </c>
    </row>
    <row r="11464" ht="15.75" customHeight="1">
      <c r="B11464" s="63">
        <f t="shared" si="1"/>
        <v>13</v>
      </c>
      <c r="C11464" s="135" t="s">
        <v>294</v>
      </c>
      <c r="D11464" s="161" t="s">
        <v>74</v>
      </c>
      <c r="E11464" s="135">
        <f t="shared" si="62"/>
        <v>4</v>
      </c>
      <c r="F11464" s="134" t="s">
        <v>4062</v>
      </c>
      <c r="G11464" s="63" t="str">
        <f>VLOOKUP(C11464, 'Class Def. - General Data'!$C$20:$C$1000,1,false)</f>
        <v>ZSI1_OEM_PART</v>
      </c>
      <c r="H11464" s="63" t="str">
        <f>IFERROR(__xludf.DUMMYFUNCTION("VLOOKUP(F11464, IMPORTRANGE(""https://docs.google.com/spreadsheets/d/1Lhp9OU0JdFf_VYSMzH5lBcEaU4o8teT1piV-SNzShjg/edit?gid=554141278#gid=554141278"", ""'Char Def. - Attributes'!C20:C2242""), 1,false)"),"#N/A")</f>
        <v>#N/A</v>
      </c>
      <c r="I11464" s="136"/>
      <c r="R11464" s="63" t="str">
        <f t="shared" si="60"/>
        <v>ZSI1_OEM_PARTADDTIONAL_SPECIFICATION</v>
      </c>
    </row>
    <row r="11465" ht="15.75" customHeight="1">
      <c r="B11465" s="63">
        <f t="shared" si="1"/>
        <v>13</v>
      </c>
      <c r="C11465" s="135" t="s">
        <v>294</v>
      </c>
      <c r="D11465" s="161" t="s">
        <v>74</v>
      </c>
      <c r="E11465" s="135">
        <f t="shared" si="62"/>
        <v>5</v>
      </c>
      <c r="F11465" s="134" t="s">
        <v>4957</v>
      </c>
      <c r="G11465" s="63" t="str">
        <f>VLOOKUP(C11465, 'Class Def. - General Data'!$C$20:$C$1000,1,false)</f>
        <v>ZSI1_OEM_PART</v>
      </c>
      <c r="H11465" s="63" t="str">
        <f>IFERROR(__xludf.DUMMYFUNCTION("VLOOKUP(F11465, IMPORTRANGE(""https://docs.google.com/spreadsheets/d/1Lhp9OU0JdFf_VYSMzH5lBcEaU4o8teT1piV-SNzShjg/edit?gid=554141278#gid=554141278"", ""'Char Def. - Attributes'!C20:C2242""), 1,false)"),"EQUIP_NAME_OEM_PART")</f>
        <v>EQUIP_NAME_OEM_PART</v>
      </c>
      <c r="I11465" s="136"/>
      <c r="R11465" s="63" t="str">
        <f t="shared" si="60"/>
        <v>ZSI1_OEM_PARTEQUIP_NAME_OEM_PART</v>
      </c>
    </row>
    <row r="11466" ht="15.75" customHeight="1">
      <c r="B11466" s="63">
        <f t="shared" si="1"/>
        <v>13</v>
      </c>
      <c r="C11466" s="135" t="s">
        <v>294</v>
      </c>
      <c r="D11466" s="161" t="s">
        <v>74</v>
      </c>
      <c r="E11466" s="135">
        <f t="shared" si="62"/>
        <v>6</v>
      </c>
      <c r="F11466" s="134" t="s">
        <v>4053</v>
      </c>
      <c r="G11466" s="63" t="str">
        <f>VLOOKUP(C11466, 'Class Def. - General Data'!$C$20:$C$1000,1,false)</f>
        <v>ZSI1_OEM_PART</v>
      </c>
      <c r="H11466" s="63" t="str">
        <f>IFERROR(__xludf.DUMMYFUNCTION("VLOOKUP(F11466, IMPORTRANGE(""https://docs.google.com/spreadsheets/d/1Lhp9OU0JdFf_VYSMzH5lBcEaU4o8teT1piV-SNzShjg/edit?gid=554141278#gid=554141278"", ""'Char Def. - Attributes'!C20:C2242""), 1,false)"),"MAINTENANCE_ORDER_TYPE")</f>
        <v>MAINTENANCE_ORDER_TYPE</v>
      </c>
      <c r="I11466" s="136"/>
      <c r="R11466" s="63" t="str">
        <f t="shared" si="60"/>
        <v>ZSI1_OEM_PARTMAINTENANCE_ORDER_TYPE</v>
      </c>
    </row>
    <row r="11467" ht="15.75" customHeight="1">
      <c r="B11467" s="63">
        <f t="shared" si="1"/>
        <v>13</v>
      </c>
      <c r="C11467" s="135" t="s">
        <v>294</v>
      </c>
      <c r="D11467" s="161" t="s">
        <v>74</v>
      </c>
      <c r="E11467" s="135">
        <f t="shared" si="62"/>
        <v>7</v>
      </c>
      <c r="F11467" s="134" t="s">
        <v>3585</v>
      </c>
      <c r="G11467" s="63" t="str">
        <f>VLOOKUP(C11467, 'Class Def. - General Data'!$C$20:$C$1000,1,false)</f>
        <v>ZSI1_OEM_PART</v>
      </c>
      <c r="H11467" s="63" t="str">
        <f>IFERROR(__xludf.DUMMYFUNCTION("VLOOKUP(F11467, IMPORTRANGE(""https://docs.google.com/spreadsheets/d/1Lhp9OU0JdFf_VYSMzH5lBcEaU4o8teT1piV-SNzShjg/edit?gid=554141278#gid=554141278"", ""'Char Def. - Attributes'!C20:C2242""), 1,false)"),"HS_CODE")</f>
        <v>HS_CODE</v>
      </c>
      <c r="I11467" s="136"/>
      <c r="R11467" s="63" t="str">
        <f t="shared" si="60"/>
        <v>ZSI1_OEM_PARTHS_CODE</v>
      </c>
    </row>
    <row r="11468" ht="15.75" customHeight="1">
      <c r="B11468" s="63">
        <f t="shared" si="1"/>
        <v>13</v>
      </c>
      <c r="C11468" s="135" t="s">
        <v>294</v>
      </c>
      <c r="D11468" s="161" t="s">
        <v>74</v>
      </c>
      <c r="E11468" s="135">
        <f t="shared" si="62"/>
        <v>8</v>
      </c>
      <c r="F11468" s="134" t="s">
        <v>3587</v>
      </c>
      <c r="G11468" s="63" t="str">
        <f>VLOOKUP(C11468, 'Class Def. - General Data'!$C$20:$C$1000,1,false)</f>
        <v>ZSI1_OEM_PART</v>
      </c>
      <c r="H11468" s="63" t="str">
        <f>IFERROR(__xludf.DUMMYFUNCTION("VLOOKUP(F11468, IMPORTRANGE(""https://docs.google.com/spreadsheets/d/1Lhp9OU0JdFf_VYSMzH5lBcEaU4o8teT1piV-SNzShjg/edit?gid=554141278#gid=554141278"", ""'Char Def. - Attributes'!C20:C2242""), 1,false)"),"PLANT_BUY")</f>
        <v>PLANT_BUY</v>
      </c>
      <c r="I11468" s="136"/>
      <c r="R11468" s="63" t="str">
        <f t="shared" si="60"/>
        <v>ZSI1_OEM_PARTPLANT_BUY</v>
      </c>
    </row>
    <row r="11469" ht="15.75" customHeight="1">
      <c r="B11469" s="63">
        <f t="shared" si="1"/>
        <v>13</v>
      </c>
      <c r="C11469" s="135" t="s">
        <v>294</v>
      </c>
      <c r="D11469" s="161" t="s">
        <v>74</v>
      </c>
      <c r="E11469" s="135">
        <f t="shared" si="62"/>
        <v>9</v>
      </c>
      <c r="F11469" s="134" t="s">
        <v>4958</v>
      </c>
      <c r="G11469" s="63" t="str">
        <f>VLOOKUP(C11469, 'Class Def. - General Data'!$C$20:$C$1000,1,false)</f>
        <v>ZSI1_OEM_PART</v>
      </c>
      <c r="H11469" s="63" t="str">
        <f>IFERROR(__xludf.DUMMYFUNCTION("VLOOKUP(F11469, IMPORTRANGE(""https://docs.google.com/spreadsheets/d/1Lhp9OU0JdFf_VYSMzH5lBcEaU4o8teT1piV-SNzShjg/edit?gid=554141278#gid=554141278"", ""'Char Def. - Attributes'!C20:C2242""), 1,false)"),"BASE_UOM_OEM_PART")</f>
        <v>BASE_UOM_OEM_PART</v>
      </c>
      <c r="I11469" s="136"/>
      <c r="R11469" s="63" t="str">
        <f t="shared" si="60"/>
        <v>ZSI1_OEM_PARTBASE_UOM_OEM_PART</v>
      </c>
    </row>
    <row r="11470" ht="15.75" customHeight="1">
      <c r="B11470" s="63">
        <f t="shared" si="1"/>
        <v>13</v>
      </c>
      <c r="C11470" s="135" t="s">
        <v>294</v>
      </c>
      <c r="D11470" s="161" t="s">
        <v>74</v>
      </c>
      <c r="E11470" s="135">
        <f t="shared" si="62"/>
        <v>10</v>
      </c>
      <c r="F11470" s="134" t="s">
        <v>4959</v>
      </c>
      <c r="G11470" s="63" t="str">
        <f>VLOOKUP(C11470, 'Class Def. - General Data'!$C$20:$C$1000,1,false)</f>
        <v>ZSI1_OEM_PART</v>
      </c>
      <c r="H11470" s="63" t="str">
        <f>IFERROR(__xludf.DUMMYFUNCTION("VLOOKUP(F11470, IMPORTRANGE(""https://docs.google.com/spreadsheets/d/1Lhp9OU0JdFf_VYSMzH5lBcEaU4o8teT1piV-SNzShjg/edit?gid=554141278#gid=554141278"", ""'Char Def. - Attributes'!C20:C2242""), 1,false)"),"ORDER_UNIT_OEM_PART")</f>
        <v>ORDER_UNIT_OEM_PART</v>
      </c>
      <c r="I11470" s="136"/>
      <c r="R11470" s="63" t="str">
        <f t="shared" si="60"/>
        <v>ZSI1_OEM_PARTORDER_UNIT_OEM_PART</v>
      </c>
    </row>
    <row r="11471" ht="15.75" customHeight="1">
      <c r="B11471" s="63">
        <f t="shared" si="1"/>
        <v>13</v>
      </c>
      <c r="C11471" s="135" t="s">
        <v>294</v>
      </c>
      <c r="D11471" s="161" t="s">
        <v>74</v>
      </c>
      <c r="E11471" s="135">
        <f t="shared" si="62"/>
        <v>11</v>
      </c>
      <c r="F11471" s="134" t="s">
        <v>4056</v>
      </c>
      <c r="G11471" s="63" t="str">
        <f>VLOOKUP(C11471, 'Class Def. - General Data'!$C$20:$C$1000,1,false)</f>
        <v>ZSI1_OEM_PART</v>
      </c>
      <c r="H11471" s="63" t="str">
        <f>IFERROR(__xludf.DUMMYFUNCTION("VLOOKUP(F11471, IMPORTRANGE(""https://docs.google.com/spreadsheets/d/1Lhp9OU0JdFf_VYSMzH5lBcEaU4o8teT1piV-SNzShjg/edit?gid=554141278#gid=554141278"", ""'Char Def. - Attributes'!C20:C2242""), 1,false)"),"GROSS_WEIGHT_OPT")</f>
        <v>GROSS_WEIGHT_OPT</v>
      </c>
      <c r="I11471" s="136"/>
      <c r="R11471" s="63" t="str">
        <f t="shared" si="60"/>
        <v>ZSI1_OEM_PARTGROSS_WEIGHT_OPT</v>
      </c>
    </row>
    <row r="11472" ht="15.75" customHeight="1">
      <c r="B11472" s="63">
        <f t="shared" si="1"/>
        <v>13</v>
      </c>
      <c r="C11472" s="135" t="s">
        <v>294</v>
      </c>
      <c r="D11472" s="161" t="s">
        <v>74</v>
      </c>
      <c r="E11472" s="135">
        <f t="shared" si="62"/>
        <v>12</v>
      </c>
      <c r="F11472" s="134" t="s">
        <v>4057</v>
      </c>
      <c r="G11472" s="63" t="str">
        <f>VLOOKUP(C11472, 'Class Def. - General Data'!$C$20:$C$1000,1,false)</f>
        <v>ZSI1_OEM_PART</v>
      </c>
      <c r="H11472" s="63" t="str">
        <f>IFERROR(__xludf.DUMMYFUNCTION("VLOOKUP(F11472, IMPORTRANGE(""https://docs.google.com/spreadsheets/d/1Lhp9OU0JdFf_VYSMzH5lBcEaU4o8teT1piV-SNzShjg/edit?gid=554141278#gid=554141278"", ""'Char Def. - Attributes'!C20:C2242""), 1,false)"),"NET_WEIGHT_OPT")</f>
        <v>NET_WEIGHT_OPT</v>
      </c>
      <c r="I11472" s="136"/>
      <c r="R11472" s="63" t="str">
        <f t="shared" si="60"/>
        <v>ZSI1_OEM_PARTNET_WEIGHT_OPT</v>
      </c>
    </row>
    <row r="11473" ht="15.75" customHeight="1">
      <c r="B11473" s="63">
        <f t="shared" si="1"/>
        <v>13</v>
      </c>
      <c r="C11473" s="135" t="s">
        <v>294</v>
      </c>
      <c r="D11473" s="161" t="s">
        <v>74</v>
      </c>
      <c r="E11473" s="135">
        <f t="shared" si="62"/>
        <v>13</v>
      </c>
      <c r="F11473" s="134" t="s">
        <v>4058</v>
      </c>
      <c r="G11473" s="63" t="str">
        <f>VLOOKUP(C11473, 'Class Def. - General Data'!$C$20:$C$1000,1,false)</f>
        <v>ZSI1_OEM_PART</v>
      </c>
      <c r="H11473" s="63" t="str">
        <f>IFERROR(__xludf.DUMMYFUNCTION("VLOOKUP(F11473, IMPORTRANGE(""https://docs.google.com/spreadsheets/d/1Lhp9OU0JdFf_VYSMzH5lBcEaU4o8teT1piV-SNzShjg/edit?gid=554141278#gid=554141278"", ""'Char Def. - Attributes'!C20:C2242""), 1,false)"),"WEIGHT_UNIT_SI")</f>
        <v>WEIGHT_UNIT_SI</v>
      </c>
      <c r="I11473" s="136"/>
      <c r="R11473" s="63" t="str">
        <f t="shared" si="60"/>
        <v>ZSI1_OEM_PARTWEIGHT_UNIT_SI</v>
      </c>
    </row>
    <row r="11474" ht="15.75" customHeight="1">
      <c r="B11474" s="63">
        <f t="shared" si="1"/>
        <v>13</v>
      </c>
      <c r="C11474" s="135" t="s">
        <v>294</v>
      </c>
      <c r="D11474" s="161" t="s">
        <v>74</v>
      </c>
      <c r="E11474" s="135">
        <f t="shared" si="62"/>
        <v>14</v>
      </c>
      <c r="F11474" s="134" t="s">
        <v>3877</v>
      </c>
      <c r="G11474" s="63" t="str">
        <f>VLOOKUP(C11474, 'Class Def. - General Data'!$C$20:$C$1000,1,false)</f>
        <v>ZSI1_OEM_PART</v>
      </c>
      <c r="H11474" s="63" t="str">
        <f>IFERROR(__xludf.DUMMYFUNCTION("VLOOKUP(F11474, IMPORTRANGE(""https://docs.google.com/spreadsheets/d/1Lhp9OU0JdFf_VYSMzH5lBcEaU4o8teT1piV-SNzShjg/edit?gid=554141278#gid=554141278"", ""'Char Def. - Attributes'!C20:C2242""), 1,false)"),"VOLUME_OPT")</f>
        <v>VOLUME_OPT</v>
      </c>
      <c r="I11474" s="136"/>
      <c r="R11474" s="63" t="str">
        <f t="shared" si="60"/>
        <v>ZSI1_OEM_PARTVOLUME_OPT</v>
      </c>
    </row>
    <row r="11475" ht="15.75" customHeight="1">
      <c r="B11475" s="63">
        <f t="shared" si="1"/>
        <v>13</v>
      </c>
      <c r="C11475" s="135" t="s">
        <v>294</v>
      </c>
      <c r="D11475" s="161" t="s">
        <v>74</v>
      </c>
      <c r="E11475" s="135">
        <f t="shared" si="62"/>
        <v>15</v>
      </c>
      <c r="F11475" s="134" t="s">
        <v>4059</v>
      </c>
      <c r="G11475" s="63" t="str">
        <f>VLOOKUP(C11475, 'Class Def. - General Data'!$C$20:$C$1000,1,false)</f>
        <v>ZSI1_OEM_PART</v>
      </c>
      <c r="H11475" s="63" t="str">
        <f>IFERROR(__xludf.DUMMYFUNCTION("VLOOKUP(F11475, IMPORTRANGE(""https://docs.google.com/spreadsheets/d/1Lhp9OU0JdFf_VYSMzH5lBcEaU4o8teT1piV-SNzShjg/edit?gid=554141278#gid=554141278"", ""'Char Def. - Attributes'!C20:C2242""), 1,false)"),"VOLUME_UNIT_SI")</f>
        <v>VOLUME_UNIT_SI</v>
      </c>
      <c r="I11475" s="136"/>
      <c r="R11475" s="63" t="str">
        <f t="shared" si="60"/>
        <v>ZSI1_OEM_PARTVOLUME_UNIT_SI</v>
      </c>
    </row>
    <row r="11476" ht="15.75" customHeight="1">
      <c r="B11476" s="63">
        <f t="shared" si="1"/>
        <v>13</v>
      </c>
      <c r="C11476" s="135" t="s">
        <v>294</v>
      </c>
      <c r="D11476" s="161" t="s">
        <v>74</v>
      </c>
      <c r="E11476" s="135">
        <f t="shared" si="62"/>
        <v>16</v>
      </c>
      <c r="F11476" s="134" t="s">
        <v>3804</v>
      </c>
      <c r="G11476" s="63" t="str">
        <f>VLOOKUP(C11476, 'Class Def. - General Data'!$C$20:$C$1000,1,false)</f>
        <v>ZSI1_OEM_PART</v>
      </c>
      <c r="H11476" s="63" t="str">
        <f>IFERROR(__xludf.DUMMYFUNCTION("VLOOKUP(F11476, IMPORTRANGE(""https://docs.google.com/spreadsheets/d/1Lhp9OU0JdFf_VYSMzH5lBcEaU4o8teT1piV-SNzShjg/edit?gid=554141278#gid=554141278"", ""'Char Def. - Attributes'!C20:C2242""), 1,false)"),"ALT_UOM1_SIPI")</f>
        <v>ALT_UOM1_SIPI</v>
      </c>
      <c r="I11476" s="136"/>
      <c r="R11476" s="63" t="str">
        <f t="shared" si="60"/>
        <v>ZSI1_OEM_PARTALT_UOM1_SIPI</v>
      </c>
    </row>
    <row r="11477" ht="15.75" customHeight="1">
      <c r="B11477" s="63">
        <f t="shared" si="1"/>
        <v>13</v>
      </c>
      <c r="C11477" s="135" t="s">
        <v>294</v>
      </c>
      <c r="D11477" s="161" t="s">
        <v>74</v>
      </c>
      <c r="E11477" s="135">
        <f t="shared" si="62"/>
        <v>17</v>
      </c>
      <c r="F11477" s="134" t="s">
        <v>3805</v>
      </c>
      <c r="G11477" s="63" t="str">
        <f>VLOOKUP(C11477, 'Class Def. - General Data'!$C$20:$C$1000,1,false)</f>
        <v>ZSI1_OEM_PART</v>
      </c>
      <c r="H11477" s="63" t="str">
        <f>IFERROR(__xludf.DUMMYFUNCTION("VLOOKUP(F11477, IMPORTRANGE(""https://docs.google.com/spreadsheets/d/1Lhp9OU0JdFf_VYSMzH5lBcEaU4o8teT1piV-SNzShjg/edit?gid=554141278#gid=554141278"", ""'Char Def. - Attributes'!C20:C2242""), 1,false)"),"ALT_DENUM_UOM1")</f>
        <v>ALT_DENUM_UOM1</v>
      </c>
      <c r="I11477" s="136"/>
      <c r="R11477" s="63" t="str">
        <f t="shared" si="60"/>
        <v>ZSI1_OEM_PARTALT_DENUM_UOM1</v>
      </c>
    </row>
    <row r="11478" ht="15.75" customHeight="1">
      <c r="B11478" s="63">
        <f t="shared" si="1"/>
        <v>13</v>
      </c>
      <c r="C11478" s="135" t="s">
        <v>294</v>
      </c>
      <c r="D11478" s="161" t="s">
        <v>74</v>
      </c>
      <c r="E11478" s="135">
        <f t="shared" si="62"/>
        <v>18</v>
      </c>
      <c r="F11478" s="134" t="s">
        <v>3806</v>
      </c>
      <c r="G11478" s="63" t="str">
        <f>VLOOKUP(C11478, 'Class Def. - General Data'!$C$20:$C$1000,1,false)</f>
        <v>ZSI1_OEM_PART</v>
      </c>
      <c r="H11478" s="63" t="str">
        <f>IFERROR(__xludf.DUMMYFUNCTION("VLOOKUP(F11478, IMPORTRANGE(""https://docs.google.com/spreadsheets/d/1Lhp9OU0JdFf_VYSMzH5lBcEaU4o8teT1piV-SNzShjg/edit?gid=554141278#gid=554141278"", ""'Char Def. - Attributes'!C20:C2242""), 1,false)"),"ALT_NUM_UOM1")</f>
        <v>ALT_NUM_UOM1</v>
      </c>
      <c r="I11478" s="136"/>
      <c r="R11478" s="63" t="str">
        <f t="shared" si="60"/>
        <v>ZSI1_OEM_PARTALT_NUM_UOM1</v>
      </c>
    </row>
    <row r="11479" ht="15.75" customHeight="1">
      <c r="B11479" s="63">
        <f t="shared" si="1"/>
        <v>13</v>
      </c>
      <c r="C11479" s="135" t="s">
        <v>294</v>
      </c>
      <c r="D11479" s="161" t="s">
        <v>74</v>
      </c>
      <c r="E11479" s="135">
        <f t="shared" si="62"/>
        <v>19</v>
      </c>
      <c r="F11479" s="134" t="s">
        <v>3807</v>
      </c>
      <c r="G11479" s="63" t="str">
        <f>VLOOKUP(C11479, 'Class Def. - General Data'!$C$20:$C$1000,1,false)</f>
        <v>ZSI1_OEM_PART</v>
      </c>
      <c r="H11479" s="63" t="str">
        <f>IFERROR(__xludf.DUMMYFUNCTION("VLOOKUP(F11479, IMPORTRANGE(""https://docs.google.com/spreadsheets/d/1Lhp9OU0JdFf_VYSMzH5lBcEaU4o8teT1piV-SNzShjg/edit?gid=554141278#gid=554141278"", ""'Char Def. - Attributes'!C20:C2242""), 1,false)"),"ALT_UOM2_SIPI")</f>
        <v>ALT_UOM2_SIPI</v>
      </c>
      <c r="I11479" s="136"/>
      <c r="R11479" s="63" t="str">
        <f t="shared" si="60"/>
        <v>ZSI1_OEM_PARTALT_UOM2_SIPI</v>
      </c>
    </row>
    <row r="11480" ht="15.75" customHeight="1">
      <c r="B11480" s="63">
        <f t="shared" si="1"/>
        <v>13</v>
      </c>
      <c r="C11480" s="135" t="s">
        <v>294</v>
      </c>
      <c r="D11480" s="161" t="s">
        <v>74</v>
      </c>
      <c r="E11480" s="135">
        <f t="shared" si="62"/>
        <v>20</v>
      </c>
      <c r="F11480" s="134" t="s">
        <v>3808</v>
      </c>
      <c r="G11480" s="63" t="str">
        <f>VLOOKUP(C11480, 'Class Def. - General Data'!$C$20:$C$1000,1,false)</f>
        <v>ZSI1_OEM_PART</v>
      </c>
      <c r="H11480" s="63" t="str">
        <f>IFERROR(__xludf.DUMMYFUNCTION("VLOOKUP(F11480, IMPORTRANGE(""https://docs.google.com/spreadsheets/d/1Lhp9OU0JdFf_VYSMzH5lBcEaU4o8teT1piV-SNzShjg/edit?gid=554141278#gid=554141278"", ""'Char Def. - Attributes'!C20:C2242""), 1,false)"),"ALT_DENUM_UOM2")</f>
        <v>ALT_DENUM_UOM2</v>
      </c>
      <c r="I11480" s="136"/>
      <c r="R11480" s="63" t="str">
        <f t="shared" si="60"/>
        <v>ZSI1_OEM_PARTALT_DENUM_UOM2</v>
      </c>
    </row>
    <row r="11481" ht="15.75" customHeight="1">
      <c r="B11481" s="63">
        <f t="shared" si="1"/>
        <v>13</v>
      </c>
      <c r="C11481" s="135" t="s">
        <v>294</v>
      </c>
      <c r="D11481" s="161" t="s">
        <v>74</v>
      </c>
      <c r="E11481" s="135">
        <f t="shared" si="62"/>
        <v>21</v>
      </c>
      <c r="F11481" s="134" t="s">
        <v>3809</v>
      </c>
      <c r="G11481" s="63" t="str">
        <f>VLOOKUP(C11481, 'Class Def. - General Data'!$C$20:$C$1000,1,false)</f>
        <v>ZSI1_OEM_PART</v>
      </c>
      <c r="H11481" s="63" t="str">
        <f>IFERROR(__xludf.DUMMYFUNCTION("VLOOKUP(F11481, IMPORTRANGE(""https://docs.google.com/spreadsheets/d/1Lhp9OU0JdFf_VYSMzH5lBcEaU4o8teT1piV-SNzShjg/edit?gid=554141278#gid=554141278"", ""'Char Def. - Attributes'!C20:C2242""), 1,false)"),"ALT_NUM_UOM2")</f>
        <v>ALT_NUM_UOM2</v>
      </c>
      <c r="I11481" s="136"/>
      <c r="R11481" s="63" t="str">
        <f t="shared" si="60"/>
        <v>ZSI1_OEM_PARTALT_NUM_UOM2</v>
      </c>
    </row>
    <row r="11482" ht="15.75" customHeight="1">
      <c r="B11482" s="63">
        <f t="shared" si="1"/>
        <v>13</v>
      </c>
      <c r="C11482" s="135" t="s">
        <v>294</v>
      </c>
      <c r="D11482" s="161" t="s">
        <v>74</v>
      </c>
      <c r="E11482" s="135">
        <f t="shared" si="62"/>
        <v>22</v>
      </c>
      <c r="F11482" s="134" t="s">
        <v>3810</v>
      </c>
      <c r="G11482" s="63" t="str">
        <f>VLOOKUP(C11482, 'Class Def. - General Data'!$C$20:$C$1000,1,false)</f>
        <v>ZSI1_OEM_PART</v>
      </c>
      <c r="H11482" s="63" t="str">
        <f>IFERROR(__xludf.DUMMYFUNCTION("VLOOKUP(F11482, IMPORTRANGE(""https://docs.google.com/spreadsheets/d/1Lhp9OU0JdFf_VYSMzH5lBcEaU4o8teT1piV-SNzShjg/edit?gid=554141278#gid=554141278"", ""'Char Def. - Attributes'!C20:C2242""), 1,false)"),"ALT_UOM3_SIPI")</f>
        <v>ALT_UOM3_SIPI</v>
      </c>
      <c r="I11482" s="136"/>
      <c r="R11482" s="63" t="str">
        <f t="shared" si="60"/>
        <v>ZSI1_OEM_PARTALT_UOM3_SIPI</v>
      </c>
    </row>
    <row r="11483" ht="15.75" customHeight="1">
      <c r="B11483" s="63">
        <f t="shared" si="1"/>
        <v>13</v>
      </c>
      <c r="C11483" s="135" t="s">
        <v>294</v>
      </c>
      <c r="D11483" s="161" t="s">
        <v>74</v>
      </c>
      <c r="E11483" s="135">
        <f t="shared" si="62"/>
        <v>23</v>
      </c>
      <c r="F11483" s="134" t="s">
        <v>3811</v>
      </c>
      <c r="G11483" s="63" t="str">
        <f>VLOOKUP(C11483, 'Class Def. - General Data'!$C$20:$C$1000,1,false)</f>
        <v>ZSI1_OEM_PART</v>
      </c>
      <c r="H11483" s="63" t="str">
        <f>IFERROR(__xludf.DUMMYFUNCTION("VLOOKUP(F11483, IMPORTRANGE(""https://docs.google.com/spreadsheets/d/1Lhp9OU0JdFf_VYSMzH5lBcEaU4o8teT1piV-SNzShjg/edit?gid=554141278#gid=554141278"", ""'Char Def. - Attributes'!C20:C2242""), 1,false)"),"ALT_DENUM_UOM3")</f>
        <v>ALT_DENUM_UOM3</v>
      </c>
      <c r="I11483" s="136"/>
      <c r="R11483" s="63" t="str">
        <f t="shared" si="60"/>
        <v>ZSI1_OEM_PARTALT_DENUM_UOM3</v>
      </c>
    </row>
    <row r="11484" ht="15.75" customHeight="1">
      <c r="B11484" s="63">
        <f t="shared" si="1"/>
        <v>13</v>
      </c>
      <c r="C11484" s="135" t="s">
        <v>294</v>
      </c>
      <c r="D11484" s="161" t="s">
        <v>74</v>
      </c>
      <c r="E11484" s="135">
        <f t="shared" si="62"/>
        <v>24</v>
      </c>
      <c r="F11484" s="134" t="s">
        <v>3812</v>
      </c>
      <c r="G11484" s="63" t="str">
        <f>VLOOKUP(C11484, 'Class Def. - General Data'!$C$20:$C$1000,1,false)</f>
        <v>ZSI1_OEM_PART</v>
      </c>
      <c r="H11484" s="63" t="str">
        <f>IFERROR(__xludf.DUMMYFUNCTION("VLOOKUP(F11484, IMPORTRANGE(""https://docs.google.com/spreadsheets/d/1Lhp9OU0JdFf_VYSMzH5lBcEaU4o8teT1piV-SNzShjg/edit?gid=554141278#gid=554141278"", ""'Char Def. - Attributes'!C20:C2242""), 1,false)"),"ALT_NUM_UOM3")</f>
        <v>ALT_NUM_UOM3</v>
      </c>
      <c r="I11484" s="136"/>
      <c r="R11484" s="63" t="str">
        <f t="shared" si="60"/>
        <v>ZSI1_OEM_PARTALT_NUM_UOM3</v>
      </c>
    </row>
    <row r="11485" ht="15.75" customHeight="1">
      <c r="B11485" s="63">
        <f t="shared" si="1"/>
        <v>13</v>
      </c>
      <c r="C11485" s="135" t="s">
        <v>294</v>
      </c>
      <c r="D11485" s="161" t="s">
        <v>74</v>
      </c>
      <c r="E11485" s="135">
        <f t="shared" si="62"/>
        <v>25</v>
      </c>
      <c r="F11485" s="134" t="s">
        <v>3813</v>
      </c>
      <c r="G11485" s="63" t="str">
        <f>VLOOKUP(C11485, 'Class Def. - General Data'!$C$20:$C$1000,1,false)</f>
        <v>ZSI1_OEM_PART</v>
      </c>
      <c r="H11485" s="63" t="str">
        <f>IFERROR(__xludf.DUMMYFUNCTION("VLOOKUP(F11485, IMPORTRANGE(""https://docs.google.com/spreadsheets/d/1Lhp9OU0JdFf_VYSMzH5lBcEaU4o8teT1piV-SNzShjg/edit?gid=554141278#gid=554141278"", ""'Char Def. - Attributes'!C20:C2242""), 1,false)"),"ALT_UOM4_SIPI")</f>
        <v>ALT_UOM4_SIPI</v>
      </c>
      <c r="I11485" s="136"/>
      <c r="R11485" s="63" t="str">
        <f t="shared" si="60"/>
        <v>ZSI1_OEM_PARTALT_UOM4_SIPI</v>
      </c>
    </row>
    <row r="11486" ht="15.75" customHeight="1">
      <c r="B11486" s="63">
        <f t="shared" si="1"/>
        <v>13</v>
      </c>
      <c r="C11486" s="135" t="s">
        <v>294</v>
      </c>
      <c r="D11486" s="161" t="s">
        <v>74</v>
      </c>
      <c r="E11486" s="135">
        <f t="shared" si="62"/>
        <v>26</v>
      </c>
      <c r="F11486" s="134" t="s">
        <v>3814</v>
      </c>
      <c r="G11486" s="63" t="str">
        <f>VLOOKUP(C11486, 'Class Def. - General Data'!$C$20:$C$1000,1,false)</f>
        <v>ZSI1_OEM_PART</v>
      </c>
      <c r="H11486" s="63" t="str">
        <f>IFERROR(__xludf.DUMMYFUNCTION("VLOOKUP(F11486, IMPORTRANGE(""https://docs.google.com/spreadsheets/d/1Lhp9OU0JdFf_VYSMzH5lBcEaU4o8teT1piV-SNzShjg/edit?gid=554141278#gid=554141278"", ""'Char Def. - Attributes'!C20:C2242""), 1,false)"),"ALT_DENUM_UOM4")</f>
        <v>ALT_DENUM_UOM4</v>
      </c>
      <c r="I11486" s="136"/>
      <c r="R11486" s="63" t="str">
        <f t="shared" si="60"/>
        <v>ZSI1_OEM_PARTALT_DENUM_UOM4</v>
      </c>
    </row>
    <row r="11487" ht="15.75" customHeight="1">
      <c r="B11487" s="63">
        <f t="shared" si="1"/>
        <v>13</v>
      </c>
      <c r="C11487" s="135" t="s">
        <v>294</v>
      </c>
      <c r="D11487" s="161" t="s">
        <v>74</v>
      </c>
      <c r="E11487" s="135">
        <f t="shared" si="62"/>
        <v>27</v>
      </c>
      <c r="F11487" s="134" t="s">
        <v>3815</v>
      </c>
      <c r="G11487" s="63" t="str">
        <f>VLOOKUP(C11487, 'Class Def. - General Data'!$C$20:$C$1000,1,false)</f>
        <v>ZSI1_OEM_PART</v>
      </c>
      <c r="H11487" s="63" t="str">
        <f>IFERROR(__xludf.DUMMYFUNCTION("VLOOKUP(F11487, IMPORTRANGE(""https://docs.google.com/spreadsheets/d/1Lhp9OU0JdFf_VYSMzH5lBcEaU4o8teT1piV-SNzShjg/edit?gid=554141278#gid=554141278"", ""'Char Def. - Attributes'!C20:C2242""), 1,false)"),"ALT_NUM_UOM4")</f>
        <v>ALT_NUM_UOM4</v>
      </c>
      <c r="I11487" s="136"/>
      <c r="R11487" s="63" t="str">
        <f t="shared" si="60"/>
        <v>ZSI1_OEM_PARTALT_NUM_UOM4</v>
      </c>
    </row>
    <row r="11488" ht="15.75" customHeight="1">
      <c r="B11488" s="63">
        <f t="shared" si="1"/>
        <v>13</v>
      </c>
      <c r="C11488" s="135" t="s">
        <v>294</v>
      </c>
      <c r="D11488" s="161" t="s">
        <v>74</v>
      </c>
      <c r="E11488" s="135">
        <f t="shared" si="62"/>
        <v>28</v>
      </c>
      <c r="F11488" s="134" t="s">
        <v>3816</v>
      </c>
      <c r="G11488" s="63" t="str">
        <f>VLOOKUP(C11488, 'Class Def. - General Data'!$C$20:$C$1000,1,false)</f>
        <v>ZSI1_OEM_PART</v>
      </c>
      <c r="H11488" s="63" t="str">
        <f>IFERROR(__xludf.DUMMYFUNCTION("VLOOKUP(F11488, IMPORTRANGE(""https://docs.google.com/spreadsheets/d/1Lhp9OU0JdFf_VYSMzH5lBcEaU4o8teT1piV-SNzShjg/edit?gid=554141278#gid=554141278"", ""'Char Def. - Attributes'!C20:C2242""), 1,false)"),"ALT_UOM5_SIPI")</f>
        <v>ALT_UOM5_SIPI</v>
      </c>
      <c r="I11488" s="136"/>
      <c r="R11488" s="63" t="str">
        <f t="shared" si="60"/>
        <v>ZSI1_OEM_PARTALT_UOM5_SIPI</v>
      </c>
    </row>
    <row r="11489" ht="15.75" customHeight="1">
      <c r="B11489" s="63">
        <f t="shared" si="1"/>
        <v>13</v>
      </c>
      <c r="C11489" s="135" t="s">
        <v>294</v>
      </c>
      <c r="D11489" s="161" t="s">
        <v>74</v>
      </c>
      <c r="E11489" s="135">
        <f t="shared" si="62"/>
        <v>29</v>
      </c>
      <c r="F11489" s="134" t="s">
        <v>3817</v>
      </c>
      <c r="G11489" s="63" t="str">
        <f>VLOOKUP(C11489, 'Class Def. - General Data'!$C$20:$C$1000,1,false)</f>
        <v>ZSI1_OEM_PART</v>
      </c>
      <c r="H11489" s="63" t="str">
        <f>IFERROR(__xludf.DUMMYFUNCTION("VLOOKUP(F11489, IMPORTRANGE(""https://docs.google.com/spreadsheets/d/1Lhp9OU0JdFf_VYSMzH5lBcEaU4o8teT1piV-SNzShjg/edit?gid=554141278#gid=554141278"", ""'Char Def. - Attributes'!C20:C2242""), 1,false)"),"ALT_DENUM_UOM5")</f>
        <v>ALT_DENUM_UOM5</v>
      </c>
      <c r="I11489" s="136"/>
      <c r="R11489" s="63" t="str">
        <f t="shared" si="60"/>
        <v>ZSI1_OEM_PARTALT_DENUM_UOM5</v>
      </c>
    </row>
    <row r="11490" ht="15.75" customHeight="1">
      <c r="B11490" s="63">
        <f t="shared" si="1"/>
        <v>13</v>
      </c>
      <c r="C11490" s="135" t="s">
        <v>294</v>
      </c>
      <c r="D11490" s="161" t="s">
        <v>74</v>
      </c>
      <c r="E11490" s="135">
        <f t="shared" si="62"/>
        <v>30</v>
      </c>
      <c r="F11490" s="134" t="s">
        <v>3818</v>
      </c>
      <c r="G11490" s="63" t="str">
        <f>VLOOKUP(C11490, 'Class Def. - General Data'!$C$20:$C$1000,1,false)</f>
        <v>ZSI1_OEM_PART</v>
      </c>
      <c r="H11490" s="63" t="str">
        <f>IFERROR(__xludf.DUMMYFUNCTION("VLOOKUP(F11490, IMPORTRANGE(""https://docs.google.com/spreadsheets/d/1Lhp9OU0JdFf_VYSMzH5lBcEaU4o8teT1piV-SNzShjg/edit?gid=554141278#gid=554141278"", ""'Char Def. - Attributes'!C20:C2242""), 1,false)"),"ALT_NUM_UOM5")</f>
        <v>ALT_NUM_UOM5</v>
      </c>
      <c r="I11490" s="136"/>
      <c r="R11490" s="63" t="str">
        <f t="shared" si="60"/>
        <v>ZSI1_OEM_PARTALT_NUM_UOM5</v>
      </c>
    </row>
    <row r="11491" ht="15.75" customHeight="1">
      <c r="B11491" s="63">
        <f t="shared" si="1"/>
        <v>18</v>
      </c>
      <c r="C11491" s="135" t="s">
        <v>428</v>
      </c>
      <c r="D11491" s="161" t="s">
        <v>74</v>
      </c>
      <c r="E11491" s="135">
        <f t="shared" si="62"/>
        <v>1</v>
      </c>
      <c r="F11491" s="134" t="s">
        <v>4960</v>
      </c>
      <c r="G11491" s="63" t="str">
        <f>VLOOKUP(C11491, 'Class Def. - General Data'!$C$20:$C$1000,1,false)</f>
        <v>ZSI1_OFFICE_BOARDS</v>
      </c>
      <c r="H11491" s="63" t="str">
        <f>IFERROR(__xludf.DUMMYFUNCTION("VLOOKUP(F11491, IMPORTRANGE(""https://docs.google.com/spreadsheets/d/1Lhp9OU0JdFf_VYSMzH5lBcEaU4o8teT1piV-SNzShjg/edit?gid=554141278#gid=554141278"", ""'Char Def. - Attributes'!C20:C2242""), 1,false)"),"ITEM_NAME_OFFICE_BOARDS")</f>
        <v>ITEM_NAME_OFFICE_BOARDS</v>
      </c>
      <c r="I11491" s="136"/>
      <c r="R11491" s="63" t="str">
        <f t="shared" si="60"/>
        <v>ZSI1_OFFICE_BOARDSITEM_NAME_OFFICE_BOARDS</v>
      </c>
    </row>
    <row r="11492" ht="15.75" customHeight="1">
      <c r="B11492" s="63">
        <f t="shared" si="1"/>
        <v>18</v>
      </c>
      <c r="C11492" s="135" t="s">
        <v>428</v>
      </c>
      <c r="D11492" s="161" t="s">
        <v>74</v>
      </c>
      <c r="E11492" s="135">
        <f t="shared" si="62"/>
        <v>2</v>
      </c>
      <c r="F11492" s="134" t="s">
        <v>4961</v>
      </c>
      <c r="G11492" s="63" t="str">
        <f>VLOOKUP(C11492, 'Class Def. - General Data'!$C$20:$C$1000,1,false)</f>
        <v>ZSI1_OFFICE_BOARDS</v>
      </c>
      <c r="H11492" s="63" t="str">
        <f>IFERROR(__xludf.DUMMYFUNCTION("VLOOKUP(F11492, IMPORTRANGE(""https://docs.google.com/spreadsheets/d/1Lhp9OU0JdFf_VYSMzH5lBcEaU4o8teT1piV-SNzShjg/edit?gid=554141278#gid=554141278"", ""'Char Def. - Attributes'!C20:C2242""), 1,false)"),"LENGTH_MM_OFFICE_BOARDS")</f>
        <v>LENGTH_MM_OFFICE_BOARDS</v>
      </c>
      <c r="I11492" s="136"/>
      <c r="R11492" s="63" t="str">
        <f t="shared" si="60"/>
        <v>ZSI1_OFFICE_BOARDSLENGTH_MM_OFFICE_BOARDS</v>
      </c>
    </row>
    <row r="11493" ht="15.75" customHeight="1">
      <c r="B11493" s="63">
        <f t="shared" si="1"/>
        <v>18</v>
      </c>
      <c r="C11493" s="135" t="s">
        <v>428</v>
      </c>
      <c r="D11493" s="161" t="s">
        <v>74</v>
      </c>
      <c r="E11493" s="135">
        <f t="shared" si="62"/>
        <v>3</v>
      </c>
      <c r="F11493" s="134" t="s">
        <v>4962</v>
      </c>
      <c r="G11493" s="63" t="str">
        <f>VLOOKUP(C11493, 'Class Def. - General Data'!$C$20:$C$1000,1,false)</f>
        <v>ZSI1_OFFICE_BOARDS</v>
      </c>
      <c r="H11493" s="63" t="str">
        <f>IFERROR(__xludf.DUMMYFUNCTION("VLOOKUP(F11493, IMPORTRANGE(""https://docs.google.com/spreadsheets/d/1Lhp9OU0JdFf_VYSMzH5lBcEaU4o8teT1piV-SNzShjg/edit?gid=554141278#gid=554141278"", ""'Char Def. - Attributes'!C20:C2242""), 1,false)"),"WIDTH_MM_OFFICE_BOARDS")</f>
        <v>WIDTH_MM_OFFICE_BOARDS</v>
      </c>
      <c r="I11493" s="136"/>
      <c r="R11493" s="63" t="str">
        <f t="shared" si="60"/>
        <v>ZSI1_OFFICE_BOARDSWIDTH_MM_OFFICE_BOARDS</v>
      </c>
    </row>
    <row r="11494" ht="15.75" customHeight="1">
      <c r="B11494" s="63">
        <f t="shared" si="1"/>
        <v>18</v>
      </c>
      <c r="C11494" s="135" t="s">
        <v>428</v>
      </c>
      <c r="D11494" s="161" t="s">
        <v>74</v>
      </c>
      <c r="E11494" s="135">
        <f t="shared" si="62"/>
        <v>4</v>
      </c>
      <c r="F11494" s="134" t="s">
        <v>4062</v>
      </c>
      <c r="G11494" s="63" t="str">
        <f>VLOOKUP(C11494, 'Class Def. - General Data'!$C$20:$C$1000,1,false)</f>
        <v>ZSI1_OFFICE_BOARDS</v>
      </c>
      <c r="H11494" s="63" t="str">
        <f>IFERROR(__xludf.DUMMYFUNCTION("VLOOKUP(F11494, IMPORTRANGE(""https://docs.google.com/spreadsheets/d/1Lhp9OU0JdFf_VYSMzH5lBcEaU4o8teT1piV-SNzShjg/edit?gid=554141278#gid=554141278"", ""'Char Def. - Attributes'!C20:C2242""), 1,false)"),"#N/A")</f>
        <v>#N/A</v>
      </c>
      <c r="I11494" s="136"/>
      <c r="R11494" s="63" t="str">
        <f t="shared" si="60"/>
        <v>ZSI1_OFFICE_BOARDSADDTIONAL_SPECIFICATION</v>
      </c>
    </row>
    <row r="11495" ht="15.75" customHeight="1">
      <c r="B11495" s="63">
        <f t="shared" si="1"/>
        <v>18</v>
      </c>
      <c r="C11495" s="135" t="s">
        <v>428</v>
      </c>
      <c r="D11495" s="161" t="s">
        <v>74</v>
      </c>
      <c r="E11495" s="135">
        <f t="shared" si="62"/>
        <v>5</v>
      </c>
      <c r="F11495" s="134" t="s">
        <v>4053</v>
      </c>
      <c r="G11495" s="63" t="str">
        <f>VLOOKUP(C11495, 'Class Def. - General Data'!$C$20:$C$1000,1,false)</f>
        <v>ZSI1_OFFICE_BOARDS</v>
      </c>
      <c r="H11495" s="63" t="str">
        <f>IFERROR(__xludf.DUMMYFUNCTION("VLOOKUP(F11495, IMPORTRANGE(""https://docs.google.com/spreadsheets/d/1Lhp9OU0JdFf_VYSMzH5lBcEaU4o8teT1piV-SNzShjg/edit?gid=554141278#gid=554141278"", ""'Char Def. - Attributes'!C20:C2242""), 1,false)"),"MAINTENANCE_ORDER_TYPE")</f>
        <v>MAINTENANCE_ORDER_TYPE</v>
      </c>
      <c r="I11495" s="136"/>
      <c r="R11495" s="63" t="str">
        <f t="shared" si="60"/>
        <v>ZSI1_OFFICE_BOARDSMAINTENANCE_ORDER_TYPE</v>
      </c>
    </row>
    <row r="11496" ht="15.75" customHeight="1">
      <c r="B11496" s="63">
        <f t="shared" si="1"/>
        <v>18</v>
      </c>
      <c r="C11496" s="135" t="s">
        <v>428</v>
      </c>
      <c r="D11496" s="161" t="s">
        <v>74</v>
      </c>
      <c r="E11496" s="135">
        <f t="shared" si="62"/>
        <v>6</v>
      </c>
      <c r="F11496" s="134" t="s">
        <v>3585</v>
      </c>
      <c r="G11496" s="63" t="str">
        <f>VLOOKUP(C11496, 'Class Def. - General Data'!$C$20:$C$1000,1,false)</f>
        <v>ZSI1_OFFICE_BOARDS</v>
      </c>
      <c r="H11496" s="63" t="str">
        <f>IFERROR(__xludf.DUMMYFUNCTION("VLOOKUP(F11496, IMPORTRANGE(""https://docs.google.com/spreadsheets/d/1Lhp9OU0JdFf_VYSMzH5lBcEaU4o8teT1piV-SNzShjg/edit?gid=554141278#gid=554141278"", ""'Char Def. - Attributes'!C20:C2242""), 1,false)"),"HS_CODE")</f>
        <v>HS_CODE</v>
      </c>
      <c r="I11496" s="136"/>
      <c r="R11496" s="63" t="str">
        <f t="shared" si="60"/>
        <v>ZSI1_OFFICE_BOARDSHS_CODE</v>
      </c>
    </row>
    <row r="11497" ht="15.75" customHeight="1">
      <c r="B11497" s="63">
        <f t="shared" si="1"/>
        <v>18</v>
      </c>
      <c r="C11497" s="135" t="s">
        <v>428</v>
      </c>
      <c r="D11497" s="161" t="s">
        <v>74</v>
      </c>
      <c r="E11497" s="135">
        <f t="shared" si="62"/>
        <v>7</v>
      </c>
      <c r="F11497" s="134" t="s">
        <v>3587</v>
      </c>
      <c r="G11497" s="63" t="str">
        <f>VLOOKUP(C11497, 'Class Def. - General Data'!$C$20:$C$1000,1,false)</f>
        <v>ZSI1_OFFICE_BOARDS</v>
      </c>
      <c r="H11497" s="63" t="str">
        <f>IFERROR(__xludf.DUMMYFUNCTION("VLOOKUP(F11497, IMPORTRANGE(""https://docs.google.com/spreadsheets/d/1Lhp9OU0JdFf_VYSMzH5lBcEaU4o8teT1piV-SNzShjg/edit?gid=554141278#gid=554141278"", ""'Char Def. - Attributes'!C20:C2242""), 1,false)"),"PLANT_BUY")</f>
        <v>PLANT_BUY</v>
      </c>
      <c r="I11497" s="136"/>
      <c r="R11497" s="63" t="str">
        <f t="shared" si="60"/>
        <v>ZSI1_OFFICE_BOARDSPLANT_BUY</v>
      </c>
    </row>
    <row r="11498" ht="15.75" customHeight="1">
      <c r="B11498" s="63">
        <f t="shared" si="1"/>
        <v>18</v>
      </c>
      <c r="C11498" s="135" t="s">
        <v>428</v>
      </c>
      <c r="D11498" s="161" t="s">
        <v>74</v>
      </c>
      <c r="E11498" s="135">
        <f t="shared" si="62"/>
        <v>8</v>
      </c>
      <c r="F11498" s="134" t="s">
        <v>4963</v>
      </c>
      <c r="G11498" s="63" t="str">
        <f>VLOOKUP(C11498, 'Class Def. - General Data'!$C$20:$C$1000,1,false)</f>
        <v>ZSI1_OFFICE_BOARDS</v>
      </c>
      <c r="H11498" s="63" t="str">
        <f>IFERROR(__xludf.DUMMYFUNCTION("VLOOKUP(F11498, IMPORTRANGE(""https://docs.google.com/spreadsheets/d/1Lhp9OU0JdFf_VYSMzH5lBcEaU4o8teT1piV-SNzShjg/edit?gid=554141278#gid=554141278"", ""'Char Def. - Attributes'!C20:C2242""), 1,false)"),"BASE_UOM_OFFICE_BOARDS")</f>
        <v>BASE_UOM_OFFICE_BOARDS</v>
      </c>
      <c r="I11498" s="136"/>
      <c r="R11498" s="63" t="str">
        <f t="shared" si="60"/>
        <v>ZSI1_OFFICE_BOARDSBASE_UOM_OFFICE_BOARDS</v>
      </c>
    </row>
    <row r="11499" ht="15.75" customHeight="1">
      <c r="B11499" s="63">
        <f t="shared" si="1"/>
        <v>18</v>
      </c>
      <c r="C11499" s="135" t="s">
        <v>428</v>
      </c>
      <c r="D11499" s="161" t="s">
        <v>74</v>
      </c>
      <c r="E11499" s="135">
        <f t="shared" si="62"/>
        <v>9</v>
      </c>
      <c r="F11499" s="134" t="s">
        <v>4964</v>
      </c>
      <c r="G11499" s="63" t="str">
        <f>VLOOKUP(C11499, 'Class Def. - General Data'!$C$20:$C$1000,1,false)</f>
        <v>ZSI1_OFFICE_BOARDS</v>
      </c>
      <c r="H11499" s="63" t="str">
        <f>IFERROR(__xludf.DUMMYFUNCTION("VLOOKUP(F11499, IMPORTRANGE(""https://docs.google.com/spreadsheets/d/1Lhp9OU0JdFf_VYSMzH5lBcEaU4o8teT1piV-SNzShjg/edit?gid=554141278#gid=554141278"", ""'Char Def. - Attributes'!C20:C2242""), 1,false)"),"ORDER_UNIT_OFFICE_BOARDS")</f>
        <v>ORDER_UNIT_OFFICE_BOARDS</v>
      </c>
      <c r="I11499" s="136"/>
      <c r="R11499" s="63" t="str">
        <f t="shared" si="60"/>
        <v>ZSI1_OFFICE_BOARDSORDER_UNIT_OFFICE_BOARDS</v>
      </c>
    </row>
    <row r="11500" ht="15.75" customHeight="1">
      <c r="B11500" s="63">
        <f t="shared" si="1"/>
        <v>18</v>
      </c>
      <c r="C11500" s="135" t="s">
        <v>428</v>
      </c>
      <c r="D11500" s="161" t="s">
        <v>74</v>
      </c>
      <c r="E11500" s="135">
        <f t="shared" si="62"/>
        <v>10</v>
      </c>
      <c r="F11500" s="134" t="s">
        <v>4056</v>
      </c>
      <c r="G11500" s="63" t="str">
        <f>VLOOKUP(C11500, 'Class Def. - General Data'!$C$20:$C$1000,1,false)</f>
        <v>ZSI1_OFFICE_BOARDS</v>
      </c>
      <c r="H11500" s="63" t="str">
        <f>IFERROR(__xludf.DUMMYFUNCTION("VLOOKUP(F11500, IMPORTRANGE(""https://docs.google.com/spreadsheets/d/1Lhp9OU0JdFf_VYSMzH5lBcEaU4o8teT1piV-SNzShjg/edit?gid=554141278#gid=554141278"", ""'Char Def. - Attributes'!C20:C2242""), 1,false)"),"GROSS_WEIGHT_OPT")</f>
        <v>GROSS_WEIGHT_OPT</v>
      </c>
      <c r="I11500" s="136"/>
      <c r="R11500" s="63" t="str">
        <f t="shared" si="60"/>
        <v>ZSI1_OFFICE_BOARDSGROSS_WEIGHT_OPT</v>
      </c>
    </row>
    <row r="11501" ht="15.75" customHeight="1">
      <c r="B11501" s="63">
        <f t="shared" si="1"/>
        <v>18</v>
      </c>
      <c r="C11501" s="135" t="s">
        <v>428</v>
      </c>
      <c r="D11501" s="161" t="s">
        <v>74</v>
      </c>
      <c r="E11501" s="135">
        <f t="shared" si="62"/>
        <v>11</v>
      </c>
      <c r="F11501" s="134" t="s">
        <v>4057</v>
      </c>
      <c r="G11501" s="63" t="str">
        <f>VLOOKUP(C11501, 'Class Def. - General Data'!$C$20:$C$1000,1,false)</f>
        <v>ZSI1_OFFICE_BOARDS</v>
      </c>
      <c r="H11501" s="63" t="str">
        <f>IFERROR(__xludf.DUMMYFUNCTION("VLOOKUP(F11501, IMPORTRANGE(""https://docs.google.com/spreadsheets/d/1Lhp9OU0JdFf_VYSMzH5lBcEaU4o8teT1piV-SNzShjg/edit?gid=554141278#gid=554141278"", ""'Char Def. - Attributes'!C20:C2242""), 1,false)"),"NET_WEIGHT_OPT")</f>
        <v>NET_WEIGHT_OPT</v>
      </c>
      <c r="I11501" s="136"/>
      <c r="R11501" s="63" t="str">
        <f t="shared" si="60"/>
        <v>ZSI1_OFFICE_BOARDSNET_WEIGHT_OPT</v>
      </c>
    </row>
    <row r="11502" ht="15.75" customHeight="1">
      <c r="B11502" s="63">
        <f t="shared" si="1"/>
        <v>18</v>
      </c>
      <c r="C11502" s="135" t="s">
        <v>428</v>
      </c>
      <c r="D11502" s="161" t="s">
        <v>74</v>
      </c>
      <c r="E11502" s="135">
        <f t="shared" si="62"/>
        <v>12</v>
      </c>
      <c r="F11502" s="134" t="s">
        <v>4058</v>
      </c>
      <c r="G11502" s="63" t="str">
        <f>VLOOKUP(C11502, 'Class Def. - General Data'!$C$20:$C$1000,1,false)</f>
        <v>ZSI1_OFFICE_BOARDS</v>
      </c>
      <c r="H11502" s="63" t="str">
        <f>IFERROR(__xludf.DUMMYFUNCTION("VLOOKUP(F11502, IMPORTRANGE(""https://docs.google.com/spreadsheets/d/1Lhp9OU0JdFf_VYSMzH5lBcEaU4o8teT1piV-SNzShjg/edit?gid=554141278#gid=554141278"", ""'Char Def. - Attributes'!C20:C2242""), 1,false)"),"WEIGHT_UNIT_SI")</f>
        <v>WEIGHT_UNIT_SI</v>
      </c>
      <c r="I11502" s="136"/>
      <c r="R11502" s="63" t="str">
        <f t="shared" si="60"/>
        <v>ZSI1_OFFICE_BOARDSWEIGHT_UNIT_SI</v>
      </c>
    </row>
    <row r="11503" ht="15.75" customHeight="1">
      <c r="B11503" s="63">
        <f t="shared" si="1"/>
        <v>18</v>
      </c>
      <c r="C11503" s="135" t="s">
        <v>428</v>
      </c>
      <c r="D11503" s="161" t="s">
        <v>74</v>
      </c>
      <c r="E11503" s="135">
        <f t="shared" si="62"/>
        <v>13</v>
      </c>
      <c r="F11503" s="134" t="s">
        <v>3877</v>
      </c>
      <c r="G11503" s="63" t="str">
        <f>VLOOKUP(C11503, 'Class Def. - General Data'!$C$20:$C$1000,1,false)</f>
        <v>ZSI1_OFFICE_BOARDS</v>
      </c>
      <c r="H11503" s="63" t="str">
        <f>IFERROR(__xludf.DUMMYFUNCTION("VLOOKUP(F11503, IMPORTRANGE(""https://docs.google.com/spreadsheets/d/1Lhp9OU0JdFf_VYSMzH5lBcEaU4o8teT1piV-SNzShjg/edit?gid=554141278#gid=554141278"", ""'Char Def. - Attributes'!C20:C2242""), 1,false)"),"VOLUME_OPT")</f>
        <v>VOLUME_OPT</v>
      </c>
      <c r="I11503" s="136"/>
      <c r="R11503" s="63" t="str">
        <f t="shared" si="60"/>
        <v>ZSI1_OFFICE_BOARDSVOLUME_OPT</v>
      </c>
    </row>
    <row r="11504" ht="15.75" customHeight="1">
      <c r="B11504" s="63">
        <f t="shared" si="1"/>
        <v>18</v>
      </c>
      <c r="C11504" s="135" t="s">
        <v>428</v>
      </c>
      <c r="D11504" s="161" t="s">
        <v>74</v>
      </c>
      <c r="E11504" s="135">
        <f t="shared" si="62"/>
        <v>14</v>
      </c>
      <c r="F11504" s="134" t="s">
        <v>4059</v>
      </c>
      <c r="G11504" s="63" t="str">
        <f>VLOOKUP(C11504, 'Class Def. - General Data'!$C$20:$C$1000,1,false)</f>
        <v>ZSI1_OFFICE_BOARDS</v>
      </c>
      <c r="H11504" s="63" t="str">
        <f>IFERROR(__xludf.DUMMYFUNCTION("VLOOKUP(F11504, IMPORTRANGE(""https://docs.google.com/spreadsheets/d/1Lhp9OU0JdFf_VYSMzH5lBcEaU4o8teT1piV-SNzShjg/edit?gid=554141278#gid=554141278"", ""'Char Def. - Attributes'!C20:C2242""), 1,false)"),"VOLUME_UNIT_SI")</f>
        <v>VOLUME_UNIT_SI</v>
      </c>
      <c r="I11504" s="136"/>
      <c r="R11504" s="63" t="str">
        <f t="shared" si="60"/>
        <v>ZSI1_OFFICE_BOARDSVOLUME_UNIT_SI</v>
      </c>
    </row>
    <row r="11505" ht="15.75" customHeight="1">
      <c r="B11505" s="63">
        <f t="shared" si="1"/>
        <v>18</v>
      </c>
      <c r="C11505" s="135" t="s">
        <v>428</v>
      </c>
      <c r="D11505" s="161" t="s">
        <v>74</v>
      </c>
      <c r="E11505" s="135">
        <f t="shared" si="62"/>
        <v>15</v>
      </c>
      <c r="F11505" s="134" t="s">
        <v>3804</v>
      </c>
      <c r="G11505" s="63" t="str">
        <f>VLOOKUP(C11505, 'Class Def. - General Data'!$C$20:$C$1000,1,false)</f>
        <v>ZSI1_OFFICE_BOARDS</v>
      </c>
      <c r="H11505" s="63" t="str">
        <f>IFERROR(__xludf.DUMMYFUNCTION("VLOOKUP(F11505, IMPORTRANGE(""https://docs.google.com/spreadsheets/d/1Lhp9OU0JdFf_VYSMzH5lBcEaU4o8teT1piV-SNzShjg/edit?gid=554141278#gid=554141278"", ""'Char Def. - Attributes'!C20:C2242""), 1,false)"),"ALT_UOM1_SIPI")</f>
        <v>ALT_UOM1_SIPI</v>
      </c>
      <c r="I11505" s="136"/>
      <c r="R11505" s="63" t="str">
        <f t="shared" si="60"/>
        <v>ZSI1_OFFICE_BOARDSALT_UOM1_SIPI</v>
      </c>
    </row>
    <row r="11506" ht="15.75" customHeight="1">
      <c r="B11506" s="63">
        <f t="shared" si="1"/>
        <v>18</v>
      </c>
      <c r="C11506" s="135" t="s">
        <v>428</v>
      </c>
      <c r="D11506" s="161" t="s">
        <v>74</v>
      </c>
      <c r="E11506" s="135">
        <f t="shared" si="62"/>
        <v>16</v>
      </c>
      <c r="F11506" s="134" t="s">
        <v>3805</v>
      </c>
      <c r="G11506" s="63" t="str">
        <f>VLOOKUP(C11506, 'Class Def. - General Data'!$C$20:$C$1000,1,false)</f>
        <v>ZSI1_OFFICE_BOARDS</v>
      </c>
      <c r="H11506" s="63" t="str">
        <f>IFERROR(__xludf.DUMMYFUNCTION("VLOOKUP(F11506, IMPORTRANGE(""https://docs.google.com/spreadsheets/d/1Lhp9OU0JdFf_VYSMzH5lBcEaU4o8teT1piV-SNzShjg/edit?gid=554141278#gid=554141278"", ""'Char Def. - Attributes'!C20:C2242""), 1,false)"),"ALT_DENUM_UOM1")</f>
        <v>ALT_DENUM_UOM1</v>
      </c>
      <c r="I11506" s="136"/>
      <c r="R11506" s="63" t="str">
        <f t="shared" si="60"/>
        <v>ZSI1_OFFICE_BOARDSALT_DENUM_UOM1</v>
      </c>
    </row>
    <row r="11507" ht="15.75" customHeight="1">
      <c r="B11507" s="63">
        <f t="shared" si="1"/>
        <v>18</v>
      </c>
      <c r="C11507" s="135" t="s">
        <v>428</v>
      </c>
      <c r="D11507" s="161" t="s">
        <v>74</v>
      </c>
      <c r="E11507" s="135">
        <f t="shared" si="62"/>
        <v>17</v>
      </c>
      <c r="F11507" s="134" t="s">
        <v>3806</v>
      </c>
      <c r="G11507" s="63" t="str">
        <f>VLOOKUP(C11507, 'Class Def. - General Data'!$C$20:$C$1000,1,false)</f>
        <v>ZSI1_OFFICE_BOARDS</v>
      </c>
      <c r="H11507" s="63" t="str">
        <f>IFERROR(__xludf.DUMMYFUNCTION("VLOOKUP(F11507, IMPORTRANGE(""https://docs.google.com/spreadsheets/d/1Lhp9OU0JdFf_VYSMzH5lBcEaU4o8teT1piV-SNzShjg/edit?gid=554141278#gid=554141278"", ""'Char Def. - Attributes'!C20:C2242""), 1,false)"),"ALT_NUM_UOM1")</f>
        <v>ALT_NUM_UOM1</v>
      </c>
      <c r="I11507" s="136"/>
      <c r="R11507" s="63" t="str">
        <f t="shared" si="60"/>
        <v>ZSI1_OFFICE_BOARDSALT_NUM_UOM1</v>
      </c>
    </row>
    <row r="11508" ht="15.75" customHeight="1">
      <c r="B11508" s="63">
        <f t="shared" si="1"/>
        <v>18</v>
      </c>
      <c r="C11508" s="135" t="s">
        <v>428</v>
      </c>
      <c r="D11508" s="161" t="s">
        <v>74</v>
      </c>
      <c r="E11508" s="135">
        <f t="shared" si="62"/>
        <v>18</v>
      </c>
      <c r="F11508" s="134" t="s">
        <v>3807</v>
      </c>
      <c r="G11508" s="63" t="str">
        <f>VLOOKUP(C11508, 'Class Def. - General Data'!$C$20:$C$1000,1,false)</f>
        <v>ZSI1_OFFICE_BOARDS</v>
      </c>
      <c r="H11508" s="63" t="str">
        <f>IFERROR(__xludf.DUMMYFUNCTION("VLOOKUP(F11508, IMPORTRANGE(""https://docs.google.com/spreadsheets/d/1Lhp9OU0JdFf_VYSMzH5lBcEaU4o8teT1piV-SNzShjg/edit?gid=554141278#gid=554141278"", ""'Char Def. - Attributes'!C20:C2242""), 1,false)"),"ALT_UOM2_SIPI")</f>
        <v>ALT_UOM2_SIPI</v>
      </c>
      <c r="I11508" s="136"/>
      <c r="R11508" s="63" t="str">
        <f t="shared" si="60"/>
        <v>ZSI1_OFFICE_BOARDSALT_UOM2_SIPI</v>
      </c>
    </row>
    <row r="11509" ht="15.75" customHeight="1">
      <c r="B11509" s="63">
        <f t="shared" si="1"/>
        <v>18</v>
      </c>
      <c r="C11509" s="135" t="s">
        <v>428</v>
      </c>
      <c r="D11509" s="161" t="s">
        <v>74</v>
      </c>
      <c r="E11509" s="135">
        <f t="shared" si="62"/>
        <v>19</v>
      </c>
      <c r="F11509" s="134" t="s">
        <v>3808</v>
      </c>
      <c r="G11509" s="63" t="str">
        <f>VLOOKUP(C11509, 'Class Def. - General Data'!$C$20:$C$1000,1,false)</f>
        <v>ZSI1_OFFICE_BOARDS</v>
      </c>
      <c r="H11509" s="63" t="str">
        <f>IFERROR(__xludf.DUMMYFUNCTION("VLOOKUP(F11509, IMPORTRANGE(""https://docs.google.com/spreadsheets/d/1Lhp9OU0JdFf_VYSMzH5lBcEaU4o8teT1piV-SNzShjg/edit?gid=554141278#gid=554141278"", ""'Char Def. - Attributes'!C20:C2242""), 1,false)"),"ALT_DENUM_UOM2")</f>
        <v>ALT_DENUM_UOM2</v>
      </c>
      <c r="I11509" s="136"/>
      <c r="R11509" s="63" t="str">
        <f t="shared" si="60"/>
        <v>ZSI1_OFFICE_BOARDSALT_DENUM_UOM2</v>
      </c>
    </row>
    <row r="11510" ht="15.75" customHeight="1">
      <c r="B11510" s="63">
        <f t="shared" si="1"/>
        <v>18</v>
      </c>
      <c r="C11510" s="135" t="s">
        <v>428</v>
      </c>
      <c r="D11510" s="161" t="s">
        <v>74</v>
      </c>
      <c r="E11510" s="135">
        <f t="shared" si="62"/>
        <v>20</v>
      </c>
      <c r="F11510" s="134" t="s">
        <v>3809</v>
      </c>
      <c r="G11510" s="63" t="str">
        <f>VLOOKUP(C11510, 'Class Def. - General Data'!$C$20:$C$1000,1,false)</f>
        <v>ZSI1_OFFICE_BOARDS</v>
      </c>
      <c r="H11510" s="63" t="str">
        <f>IFERROR(__xludf.DUMMYFUNCTION("VLOOKUP(F11510, IMPORTRANGE(""https://docs.google.com/spreadsheets/d/1Lhp9OU0JdFf_VYSMzH5lBcEaU4o8teT1piV-SNzShjg/edit?gid=554141278#gid=554141278"", ""'Char Def. - Attributes'!C20:C2242""), 1,false)"),"ALT_NUM_UOM2")</f>
        <v>ALT_NUM_UOM2</v>
      </c>
      <c r="I11510" s="136"/>
      <c r="R11510" s="63" t="str">
        <f t="shared" si="60"/>
        <v>ZSI1_OFFICE_BOARDSALT_NUM_UOM2</v>
      </c>
    </row>
    <row r="11511" ht="15.75" customHeight="1">
      <c r="B11511" s="63">
        <f t="shared" si="1"/>
        <v>18</v>
      </c>
      <c r="C11511" s="135" t="s">
        <v>428</v>
      </c>
      <c r="D11511" s="161" t="s">
        <v>74</v>
      </c>
      <c r="E11511" s="135">
        <f t="shared" si="62"/>
        <v>21</v>
      </c>
      <c r="F11511" s="134" t="s">
        <v>3810</v>
      </c>
      <c r="G11511" s="63" t="str">
        <f>VLOOKUP(C11511, 'Class Def. - General Data'!$C$20:$C$1000,1,false)</f>
        <v>ZSI1_OFFICE_BOARDS</v>
      </c>
      <c r="H11511" s="63" t="str">
        <f>IFERROR(__xludf.DUMMYFUNCTION("VLOOKUP(F11511, IMPORTRANGE(""https://docs.google.com/spreadsheets/d/1Lhp9OU0JdFf_VYSMzH5lBcEaU4o8teT1piV-SNzShjg/edit?gid=554141278#gid=554141278"", ""'Char Def. - Attributes'!C20:C2242""), 1,false)"),"ALT_UOM3_SIPI")</f>
        <v>ALT_UOM3_SIPI</v>
      </c>
      <c r="I11511" s="136"/>
      <c r="R11511" s="63" t="str">
        <f t="shared" si="60"/>
        <v>ZSI1_OFFICE_BOARDSALT_UOM3_SIPI</v>
      </c>
    </row>
    <row r="11512" ht="15.75" customHeight="1">
      <c r="B11512" s="63">
        <f t="shared" si="1"/>
        <v>18</v>
      </c>
      <c r="C11512" s="135" t="s">
        <v>428</v>
      </c>
      <c r="D11512" s="161" t="s">
        <v>74</v>
      </c>
      <c r="E11512" s="135">
        <f t="shared" si="62"/>
        <v>22</v>
      </c>
      <c r="F11512" s="134" t="s">
        <v>3811</v>
      </c>
      <c r="G11512" s="63" t="str">
        <f>VLOOKUP(C11512, 'Class Def. - General Data'!$C$20:$C$1000,1,false)</f>
        <v>ZSI1_OFFICE_BOARDS</v>
      </c>
      <c r="H11512" s="63" t="str">
        <f>IFERROR(__xludf.DUMMYFUNCTION("VLOOKUP(F11512, IMPORTRANGE(""https://docs.google.com/spreadsheets/d/1Lhp9OU0JdFf_VYSMzH5lBcEaU4o8teT1piV-SNzShjg/edit?gid=554141278#gid=554141278"", ""'Char Def. - Attributes'!C20:C2242""), 1,false)"),"ALT_DENUM_UOM3")</f>
        <v>ALT_DENUM_UOM3</v>
      </c>
      <c r="I11512" s="136"/>
      <c r="R11512" s="63" t="str">
        <f t="shared" si="60"/>
        <v>ZSI1_OFFICE_BOARDSALT_DENUM_UOM3</v>
      </c>
    </row>
    <row r="11513" ht="15.75" customHeight="1">
      <c r="B11513" s="63">
        <f t="shared" si="1"/>
        <v>18</v>
      </c>
      <c r="C11513" s="135" t="s">
        <v>428</v>
      </c>
      <c r="D11513" s="161" t="s">
        <v>74</v>
      </c>
      <c r="E11513" s="135">
        <f t="shared" si="62"/>
        <v>23</v>
      </c>
      <c r="F11513" s="134" t="s">
        <v>3812</v>
      </c>
      <c r="G11513" s="63" t="str">
        <f>VLOOKUP(C11513, 'Class Def. - General Data'!$C$20:$C$1000,1,false)</f>
        <v>ZSI1_OFFICE_BOARDS</v>
      </c>
      <c r="H11513" s="63" t="str">
        <f>IFERROR(__xludf.DUMMYFUNCTION("VLOOKUP(F11513, IMPORTRANGE(""https://docs.google.com/spreadsheets/d/1Lhp9OU0JdFf_VYSMzH5lBcEaU4o8teT1piV-SNzShjg/edit?gid=554141278#gid=554141278"", ""'Char Def. - Attributes'!C20:C2242""), 1,false)"),"ALT_NUM_UOM3")</f>
        <v>ALT_NUM_UOM3</v>
      </c>
      <c r="I11513" s="136"/>
      <c r="R11513" s="63" t="str">
        <f t="shared" si="60"/>
        <v>ZSI1_OFFICE_BOARDSALT_NUM_UOM3</v>
      </c>
    </row>
    <row r="11514" ht="15.75" customHeight="1">
      <c r="B11514" s="63">
        <f t="shared" si="1"/>
        <v>18</v>
      </c>
      <c r="C11514" s="135" t="s">
        <v>428</v>
      </c>
      <c r="D11514" s="161" t="s">
        <v>74</v>
      </c>
      <c r="E11514" s="135">
        <f t="shared" si="62"/>
        <v>24</v>
      </c>
      <c r="F11514" s="134" t="s">
        <v>3813</v>
      </c>
      <c r="G11514" s="63" t="str">
        <f>VLOOKUP(C11514, 'Class Def. - General Data'!$C$20:$C$1000,1,false)</f>
        <v>ZSI1_OFFICE_BOARDS</v>
      </c>
      <c r="H11514" s="63" t="str">
        <f>IFERROR(__xludf.DUMMYFUNCTION("VLOOKUP(F11514, IMPORTRANGE(""https://docs.google.com/spreadsheets/d/1Lhp9OU0JdFf_VYSMzH5lBcEaU4o8teT1piV-SNzShjg/edit?gid=554141278#gid=554141278"", ""'Char Def. - Attributes'!C20:C2242""), 1,false)"),"ALT_UOM4_SIPI")</f>
        <v>ALT_UOM4_SIPI</v>
      </c>
      <c r="I11514" s="136"/>
      <c r="R11514" s="63" t="str">
        <f t="shared" si="60"/>
        <v>ZSI1_OFFICE_BOARDSALT_UOM4_SIPI</v>
      </c>
    </row>
    <row r="11515" ht="15.75" customHeight="1">
      <c r="B11515" s="63">
        <f t="shared" si="1"/>
        <v>18</v>
      </c>
      <c r="C11515" s="135" t="s">
        <v>428</v>
      </c>
      <c r="D11515" s="161" t="s">
        <v>74</v>
      </c>
      <c r="E11515" s="135">
        <f t="shared" si="62"/>
        <v>25</v>
      </c>
      <c r="F11515" s="134" t="s">
        <v>3814</v>
      </c>
      <c r="G11515" s="63" t="str">
        <f>VLOOKUP(C11515, 'Class Def. - General Data'!$C$20:$C$1000,1,false)</f>
        <v>ZSI1_OFFICE_BOARDS</v>
      </c>
      <c r="H11515" s="63" t="str">
        <f>IFERROR(__xludf.DUMMYFUNCTION("VLOOKUP(F11515, IMPORTRANGE(""https://docs.google.com/spreadsheets/d/1Lhp9OU0JdFf_VYSMzH5lBcEaU4o8teT1piV-SNzShjg/edit?gid=554141278#gid=554141278"", ""'Char Def. - Attributes'!C20:C2242""), 1,false)"),"ALT_DENUM_UOM4")</f>
        <v>ALT_DENUM_UOM4</v>
      </c>
      <c r="I11515" s="136"/>
      <c r="R11515" s="63" t="str">
        <f t="shared" si="60"/>
        <v>ZSI1_OFFICE_BOARDSALT_DENUM_UOM4</v>
      </c>
    </row>
    <row r="11516" ht="15.75" customHeight="1">
      <c r="B11516" s="63">
        <f t="shared" si="1"/>
        <v>18</v>
      </c>
      <c r="C11516" s="135" t="s">
        <v>428</v>
      </c>
      <c r="D11516" s="161" t="s">
        <v>74</v>
      </c>
      <c r="E11516" s="135">
        <f t="shared" si="62"/>
        <v>26</v>
      </c>
      <c r="F11516" s="134" t="s">
        <v>3815</v>
      </c>
      <c r="G11516" s="63" t="str">
        <f>VLOOKUP(C11516, 'Class Def. - General Data'!$C$20:$C$1000,1,false)</f>
        <v>ZSI1_OFFICE_BOARDS</v>
      </c>
      <c r="H11516" s="63" t="str">
        <f>IFERROR(__xludf.DUMMYFUNCTION("VLOOKUP(F11516, IMPORTRANGE(""https://docs.google.com/spreadsheets/d/1Lhp9OU0JdFf_VYSMzH5lBcEaU4o8teT1piV-SNzShjg/edit?gid=554141278#gid=554141278"", ""'Char Def. - Attributes'!C20:C2242""), 1,false)"),"ALT_NUM_UOM4")</f>
        <v>ALT_NUM_UOM4</v>
      </c>
      <c r="I11516" s="136"/>
      <c r="R11516" s="63" t="str">
        <f t="shared" si="60"/>
        <v>ZSI1_OFFICE_BOARDSALT_NUM_UOM4</v>
      </c>
    </row>
    <row r="11517" ht="15.75" customHeight="1">
      <c r="B11517" s="63">
        <f t="shared" si="1"/>
        <v>18</v>
      </c>
      <c r="C11517" s="135" t="s">
        <v>428</v>
      </c>
      <c r="D11517" s="161" t="s">
        <v>74</v>
      </c>
      <c r="E11517" s="135">
        <f t="shared" si="62"/>
        <v>27</v>
      </c>
      <c r="F11517" s="134" t="s">
        <v>3816</v>
      </c>
      <c r="G11517" s="63" t="str">
        <f>VLOOKUP(C11517, 'Class Def. - General Data'!$C$20:$C$1000,1,false)</f>
        <v>ZSI1_OFFICE_BOARDS</v>
      </c>
      <c r="H11517" s="63" t="str">
        <f>IFERROR(__xludf.DUMMYFUNCTION("VLOOKUP(F11517, IMPORTRANGE(""https://docs.google.com/spreadsheets/d/1Lhp9OU0JdFf_VYSMzH5lBcEaU4o8teT1piV-SNzShjg/edit?gid=554141278#gid=554141278"", ""'Char Def. - Attributes'!C20:C2242""), 1,false)"),"ALT_UOM5_SIPI")</f>
        <v>ALT_UOM5_SIPI</v>
      </c>
      <c r="I11517" s="136"/>
      <c r="R11517" s="63" t="str">
        <f t="shared" si="60"/>
        <v>ZSI1_OFFICE_BOARDSALT_UOM5_SIPI</v>
      </c>
    </row>
    <row r="11518" ht="15.75" customHeight="1">
      <c r="B11518" s="63">
        <f t="shared" si="1"/>
        <v>18</v>
      </c>
      <c r="C11518" s="135" t="s">
        <v>428</v>
      </c>
      <c r="D11518" s="161" t="s">
        <v>74</v>
      </c>
      <c r="E11518" s="135">
        <f t="shared" si="62"/>
        <v>28</v>
      </c>
      <c r="F11518" s="134" t="s">
        <v>3817</v>
      </c>
      <c r="G11518" s="63" t="str">
        <f>VLOOKUP(C11518, 'Class Def. - General Data'!$C$20:$C$1000,1,false)</f>
        <v>ZSI1_OFFICE_BOARDS</v>
      </c>
      <c r="H11518" s="63" t="str">
        <f>IFERROR(__xludf.DUMMYFUNCTION("VLOOKUP(F11518, IMPORTRANGE(""https://docs.google.com/spreadsheets/d/1Lhp9OU0JdFf_VYSMzH5lBcEaU4o8teT1piV-SNzShjg/edit?gid=554141278#gid=554141278"", ""'Char Def. - Attributes'!C20:C2242""), 1,false)"),"ALT_DENUM_UOM5")</f>
        <v>ALT_DENUM_UOM5</v>
      </c>
      <c r="I11518" s="136"/>
      <c r="R11518" s="63" t="str">
        <f t="shared" si="60"/>
        <v>ZSI1_OFFICE_BOARDSALT_DENUM_UOM5</v>
      </c>
    </row>
    <row r="11519" ht="15.75" customHeight="1">
      <c r="B11519" s="63">
        <f t="shared" si="1"/>
        <v>18</v>
      </c>
      <c r="C11519" s="135" t="s">
        <v>428</v>
      </c>
      <c r="D11519" s="161" t="s">
        <v>74</v>
      </c>
      <c r="E11519" s="135">
        <f t="shared" si="62"/>
        <v>29</v>
      </c>
      <c r="F11519" s="134" t="s">
        <v>3818</v>
      </c>
      <c r="G11519" s="63" t="str">
        <f>VLOOKUP(C11519, 'Class Def. - General Data'!$C$20:$C$1000,1,false)</f>
        <v>ZSI1_OFFICE_BOARDS</v>
      </c>
      <c r="H11519" s="63" t="str">
        <f>IFERROR(__xludf.DUMMYFUNCTION("VLOOKUP(F11519, IMPORTRANGE(""https://docs.google.com/spreadsheets/d/1Lhp9OU0JdFf_VYSMzH5lBcEaU4o8teT1piV-SNzShjg/edit?gid=554141278#gid=554141278"", ""'Char Def. - Attributes'!C20:C2242""), 1,false)"),"ALT_NUM_UOM5")</f>
        <v>ALT_NUM_UOM5</v>
      </c>
      <c r="I11519" s="136"/>
      <c r="R11519" s="63" t="str">
        <f t="shared" si="60"/>
        <v>ZSI1_OFFICE_BOARDSALT_NUM_UOM5</v>
      </c>
    </row>
    <row r="11520" ht="15.75" customHeight="1">
      <c r="B11520" s="63">
        <f t="shared" si="1"/>
        <v>17</v>
      </c>
      <c r="C11520" s="135" t="s">
        <v>301</v>
      </c>
      <c r="D11520" s="161" t="s">
        <v>74</v>
      </c>
      <c r="E11520" s="135">
        <f t="shared" si="62"/>
        <v>1</v>
      </c>
      <c r="F11520" s="134" t="s">
        <v>4965</v>
      </c>
      <c r="G11520" s="63" t="str">
        <f>VLOOKUP(C11520, 'Class Def. - General Data'!$C$20:$C$1000,1,false)</f>
        <v>ZSI1_OFFICE_EQUIP</v>
      </c>
      <c r="H11520" s="63" t="str">
        <f>IFERROR(__xludf.DUMMYFUNCTION("VLOOKUP(F11520, IMPORTRANGE(""https://docs.google.com/spreadsheets/d/1Lhp9OU0JdFf_VYSMzH5lBcEaU4o8teT1piV-SNzShjg/edit?gid=554141278#gid=554141278"", ""'Char Def. - Attributes'!C20:C2242""), 1,false)"),"ITEM_NAME_OFFICE_EQUIP")</f>
        <v>ITEM_NAME_OFFICE_EQUIP</v>
      </c>
      <c r="I11520" s="136"/>
      <c r="R11520" s="63" t="str">
        <f t="shared" si="60"/>
        <v>ZSI1_OFFICE_EQUIPITEM_NAME_OFFICE_EQUIP</v>
      </c>
    </row>
    <row r="11521" ht="15.75" customHeight="1">
      <c r="B11521" s="63">
        <f t="shared" si="1"/>
        <v>17</v>
      </c>
      <c r="C11521" s="135" t="s">
        <v>301</v>
      </c>
      <c r="D11521" s="161" t="s">
        <v>74</v>
      </c>
      <c r="E11521" s="135">
        <f t="shared" si="62"/>
        <v>2</v>
      </c>
      <c r="F11521" s="134" t="s">
        <v>4966</v>
      </c>
      <c r="G11521" s="63" t="str">
        <f>VLOOKUP(C11521, 'Class Def. - General Data'!$C$20:$C$1000,1,false)</f>
        <v>ZSI1_OFFICE_EQUIP</v>
      </c>
      <c r="H11521" s="63" t="str">
        <f>IFERROR(__xludf.DUMMYFUNCTION("VLOOKUP(F11521, IMPORTRANGE(""https://docs.google.com/spreadsheets/d/1Lhp9OU0JdFf_VYSMzH5lBcEaU4o8teT1piV-SNzShjg/edit?gid=554141278#gid=554141278"", ""'Char Def. - Attributes'!C20:C2242""), 1,false)"),"MFR_NO_OFFICE_EQUIP")</f>
        <v>MFR_NO_OFFICE_EQUIP</v>
      </c>
      <c r="I11521" s="136"/>
      <c r="R11521" s="63" t="str">
        <f t="shared" si="60"/>
        <v>ZSI1_OFFICE_EQUIPMFR_NO_OFFICE_EQUIP</v>
      </c>
    </row>
    <row r="11522" ht="15.75" customHeight="1">
      <c r="B11522" s="63">
        <f t="shared" si="1"/>
        <v>17</v>
      </c>
      <c r="C11522" s="135" t="s">
        <v>301</v>
      </c>
      <c r="D11522" s="161" t="s">
        <v>74</v>
      </c>
      <c r="E11522" s="135">
        <f t="shared" si="62"/>
        <v>3</v>
      </c>
      <c r="F11522" s="134" t="s">
        <v>3782</v>
      </c>
      <c r="G11522" s="63" t="str">
        <f>VLOOKUP(C11522, 'Class Def. - General Data'!$C$20:$C$1000,1,false)</f>
        <v>ZSI1_OFFICE_EQUIP</v>
      </c>
      <c r="H11522" s="63" t="str">
        <f>IFERROR(__xludf.DUMMYFUNCTION("VLOOKUP(F11522, IMPORTRANGE(""https://docs.google.com/spreadsheets/d/1Lhp9OU0JdFf_VYSMzH5lBcEaU4o8teT1piV-SNzShjg/edit?gid=554141278#gid=554141278"", ""'Char Def. - Attributes'!C20:C2242""), 1,false)"),"BRAND_EXTERNAL")</f>
        <v>BRAND_EXTERNAL</v>
      </c>
      <c r="I11522" s="136"/>
      <c r="R11522" s="63" t="str">
        <f t="shared" si="60"/>
        <v>ZSI1_OFFICE_EQUIPBRAND_EXTERNAL</v>
      </c>
    </row>
    <row r="11523" ht="15.75" customHeight="1">
      <c r="B11523" s="63">
        <f t="shared" si="1"/>
        <v>17</v>
      </c>
      <c r="C11523" s="135" t="s">
        <v>301</v>
      </c>
      <c r="D11523" s="161" t="s">
        <v>74</v>
      </c>
      <c r="E11523" s="135">
        <f t="shared" si="62"/>
        <v>4</v>
      </c>
      <c r="F11523" s="134" t="s">
        <v>4062</v>
      </c>
      <c r="G11523" s="63" t="str">
        <f>VLOOKUP(C11523, 'Class Def. - General Data'!$C$20:$C$1000,1,false)</f>
        <v>ZSI1_OFFICE_EQUIP</v>
      </c>
      <c r="H11523" s="63" t="str">
        <f>IFERROR(__xludf.DUMMYFUNCTION("VLOOKUP(F11523, IMPORTRANGE(""https://docs.google.com/spreadsheets/d/1Lhp9OU0JdFf_VYSMzH5lBcEaU4o8teT1piV-SNzShjg/edit?gid=554141278#gid=554141278"", ""'Char Def. - Attributes'!C20:C2242""), 1,false)"),"#N/A")</f>
        <v>#N/A</v>
      </c>
      <c r="I11523" s="136"/>
      <c r="R11523" s="63" t="str">
        <f t="shared" si="60"/>
        <v>ZSI1_OFFICE_EQUIPADDTIONAL_SPECIFICATION</v>
      </c>
    </row>
    <row r="11524" ht="15.75" customHeight="1">
      <c r="B11524" s="63">
        <f t="shared" si="1"/>
        <v>17</v>
      </c>
      <c r="C11524" s="135" t="s">
        <v>301</v>
      </c>
      <c r="D11524" s="161" t="s">
        <v>74</v>
      </c>
      <c r="E11524" s="135">
        <f t="shared" si="62"/>
        <v>5</v>
      </c>
      <c r="F11524" s="134" t="s">
        <v>3778</v>
      </c>
      <c r="G11524" s="63" t="str">
        <f>VLOOKUP(C11524, 'Class Def. - General Data'!$C$20:$C$1000,1,false)</f>
        <v>ZSI1_OFFICE_EQUIP</v>
      </c>
      <c r="H11524" s="63" t="str">
        <f>IFERROR(__xludf.DUMMYFUNCTION("VLOOKUP(F11524, IMPORTRANGE(""https://docs.google.com/spreadsheets/d/1Lhp9OU0JdFf_VYSMzH5lBcEaU4o8teT1piV-SNzShjg/edit?gid=554141278#gid=554141278"", ""'Char Def. - Attributes'!C20:C2242""), 1,false)"),"SPECIAL_ACTIVITY")</f>
        <v>SPECIAL_ACTIVITY</v>
      </c>
      <c r="I11524" s="136"/>
      <c r="R11524" s="63" t="str">
        <f t="shared" si="60"/>
        <v>ZSI1_OFFICE_EQUIPSPECIAL_ACTIVITY</v>
      </c>
    </row>
    <row r="11525" ht="15.75" customHeight="1">
      <c r="B11525" s="63">
        <f t="shared" si="1"/>
        <v>17</v>
      </c>
      <c r="C11525" s="135" t="s">
        <v>301</v>
      </c>
      <c r="D11525" s="161" t="s">
        <v>74</v>
      </c>
      <c r="E11525" s="135">
        <f t="shared" si="62"/>
        <v>6</v>
      </c>
      <c r="F11525" s="134" t="s">
        <v>3779</v>
      </c>
      <c r="G11525" s="63" t="str">
        <f>VLOOKUP(C11525, 'Class Def. - General Data'!$C$20:$C$1000,1,false)</f>
        <v>ZSI1_OFFICE_EQUIP</v>
      </c>
      <c r="H11525" s="63" t="str">
        <f>IFERROR(__xludf.DUMMYFUNCTION("VLOOKUP(F11525, IMPORTRANGE(""https://docs.google.com/spreadsheets/d/1Lhp9OU0JdFf_VYSMzH5lBcEaU4o8teT1piV-SNzShjg/edit?gid=554141278#gid=554141278"", ""'Char Def. - Attributes'!C20:C2242""), 1,false)"),"EMBOSSED_BRAND_WINGS")</f>
        <v>EMBOSSED_BRAND_WINGS</v>
      </c>
      <c r="I11525" s="136"/>
      <c r="R11525" s="63" t="str">
        <f t="shared" si="60"/>
        <v>ZSI1_OFFICE_EQUIPEMBOSSED_BRAND_WINGS</v>
      </c>
    </row>
    <row r="11526" ht="15.75" customHeight="1">
      <c r="B11526" s="63">
        <f t="shared" si="1"/>
        <v>17</v>
      </c>
      <c r="C11526" s="135" t="s">
        <v>301</v>
      </c>
      <c r="D11526" s="161" t="s">
        <v>74</v>
      </c>
      <c r="E11526" s="135">
        <f t="shared" si="62"/>
        <v>7</v>
      </c>
      <c r="F11526" s="134" t="s">
        <v>3780</v>
      </c>
      <c r="G11526" s="63" t="str">
        <f>VLOOKUP(C11526, 'Class Def. - General Data'!$C$20:$C$1000,1,false)</f>
        <v>ZSI1_OFFICE_EQUIP</v>
      </c>
      <c r="H11526" s="63" t="str">
        <f>IFERROR(__xludf.DUMMYFUNCTION("VLOOKUP(F11526, IMPORTRANGE(""https://docs.google.com/spreadsheets/d/1Lhp9OU0JdFf_VYSMzH5lBcEaU4o8teT1piV-SNzShjg/edit?gid=554141278#gid=554141278"", ""'Char Def. - Attributes'!C20:C2242""), 1,false)"),"BRAND_WINGS_SIPI")</f>
        <v>BRAND_WINGS_SIPI</v>
      </c>
      <c r="I11526" s="136"/>
      <c r="R11526" s="63" t="str">
        <f t="shared" si="60"/>
        <v>ZSI1_OFFICE_EQUIPBRAND_WINGS_SIPI</v>
      </c>
    </row>
    <row r="11527" ht="15.75" customHeight="1">
      <c r="B11527" s="63">
        <f t="shared" si="1"/>
        <v>17</v>
      </c>
      <c r="C11527" s="135" t="s">
        <v>301</v>
      </c>
      <c r="D11527" s="161" t="s">
        <v>74</v>
      </c>
      <c r="E11527" s="135">
        <f t="shared" si="62"/>
        <v>8</v>
      </c>
      <c r="F11527" s="134" t="s">
        <v>3585</v>
      </c>
      <c r="G11527" s="63" t="str">
        <f>VLOOKUP(C11527, 'Class Def. - General Data'!$C$20:$C$1000,1,false)</f>
        <v>ZSI1_OFFICE_EQUIP</v>
      </c>
      <c r="H11527" s="63" t="str">
        <f>IFERROR(__xludf.DUMMYFUNCTION("VLOOKUP(F11527, IMPORTRANGE(""https://docs.google.com/spreadsheets/d/1Lhp9OU0JdFf_VYSMzH5lBcEaU4o8teT1piV-SNzShjg/edit?gid=554141278#gid=554141278"", ""'Char Def. - Attributes'!C20:C2242""), 1,false)"),"HS_CODE")</f>
        <v>HS_CODE</v>
      </c>
      <c r="I11527" s="136"/>
      <c r="R11527" s="63" t="str">
        <f t="shared" si="60"/>
        <v>ZSI1_OFFICE_EQUIPHS_CODE</v>
      </c>
    </row>
    <row r="11528" ht="15.75" customHeight="1">
      <c r="B11528" s="63">
        <f t="shared" si="1"/>
        <v>17</v>
      </c>
      <c r="C11528" s="135" t="s">
        <v>301</v>
      </c>
      <c r="D11528" s="161" t="s">
        <v>74</v>
      </c>
      <c r="E11528" s="135">
        <f t="shared" si="62"/>
        <v>9</v>
      </c>
      <c r="F11528" s="134" t="s">
        <v>3587</v>
      </c>
      <c r="G11528" s="63" t="str">
        <f>VLOOKUP(C11528, 'Class Def. - General Data'!$C$20:$C$1000,1,false)</f>
        <v>ZSI1_OFFICE_EQUIP</v>
      </c>
      <c r="H11528" s="63" t="str">
        <f>IFERROR(__xludf.DUMMYFUNCTION("VLOOKUP(F11528, IMPORTRANGE(""https://docs.google.com/spreadsheets/d/1Lhp9OU0JdFf_VYSMzH5lBcEaU4o8teT1piV-SNzShjg/edit?gid=554141278#gid=554141278"", ""'Char Def. - Attributes'!C20:C2242""), 1,false)"),"PLANT_BUY")</f>
        <v>PLANT_BUY</v>
      </c>
      <c r="I11528" s="136"/>
      <c r="R11528" s="63" t="str">
        <f t="shared" si="60"/>
        <v>ZSI1_OFFICE_EQUIPPLANT_BUY</v>
      </c>
    </row>
    <row r="11529" ht="15.75" customHeight="1">
      <c r="B11529" s="63">
        <f t="shared" si="1"/>
        <v>17</v>
      </c>
      <c r="C11529" s="135" t="s">
        <v>301</v>
      </c>
      <c r="D11529" s="161" t="s">
        <v>74</v>
      </c>
      <c r="E11529" s="135">
        <f t="shared" si="62"/>
        <v>10</v>
      </c>
      <c r="F11529" s="134" t="s">
        <v>4967</v>
      </c>
      <c r="G11529" s="63" t="str">
        <f>VLOOKUP(C11529, 'Class Def. - General Data'!$C$20:$C$1000,1,false)</f>
        <v>ZSI1_OFFICE_EQUIP</v>
      </c>
      <c r="H11529" s="63" t="str">
        <f>IFERROR(__xludf.DUMMYFUNCTION("VLOOKUP(F11529, IMPORTRANGE(""https://docs.google.com/spreadsheets/d/1Lhp9OU0JdFf_VYSMzH5lBcEaU4o8teT1piV-SNzShjg/edit?gid=554141278#gid=554141278"", ""'Char Def. - Attributes'!C20:C2242""), 1,false)"),"BASE_UOM_OFFICE_EQUIP")</f>
        <v>BASE_UOM_OFFICE_EQUIP</v>
      </c>
      <c r="I11529" s="136"/>
      <c r="R11529" s="63" t="str">
        <f t="shared" si="60"/>
        <v>ZSI1_OFFICE_EQUIPBASE_UOM_OFFICE_EQUIP</v>
      </c>
    </row>
    <row r="11530" ht="15.75" customHeight="1">
      <c r="B11530" s="63">
        <f t="shared" si="1"/>
        <v>17</v>
      </c>
      <c r="C11530" s="135" t="s">
        <v>301</v>
      </c>
      <c r="D11530" s="161" t="s">
        <v>74</v>
      </c>
      <c r="E11530" s="135">
        <f t="shared" si="62"/>
        <v>11</v>
      </c>
      <c r="F11530" s="134" t="s">
        <v>4968</v>
      </c>
      <c r="G11530" s="63" t="str">
        <f>VLOOKUP(C11530, 'Class Def. - General Data'!$C$20:$C$1000,1,false)</f>
        <v>ZSI1_OFFICE_EQUIP</v>
      </c>
      <c r="H11530" s="63" t="str">
        <f>IFERROR(__xludf.DUMMYFUNCTION("VLOOKUP(F11530, IMPORTRANGE(""https://docs.google.com/spreadsheets/d/1Lhp9OU0JdFf_VYSMzH5lBcEaU4o8teT1piV-SNzShjg/edit?gid=554141278#gid=554141278"", ""'Char Def. - Attributes'!C20:C2242""), 1,false)"),"ORDER_UNIT_OFFICE_EQUIP")</f>
        <v>ORDER_UNIT_OFFICE_EQUIP</v>
      </c>
      <c r="I11530" s="136"/>
      <c r="R11530" s="63" t="str">
        <f t="shared" si="60"/>
        <v>ZSI1_OFFICE_EQUIPORDER_UNIT_OFFICE_EQUIP</v>
      </c>
    </row>
    <row r="11531" ht="15.75" customHeight="1">
      <c r="B11531" s="63">
        <f t="shared" si="1"/>
        <v>17</v>
      </c>
      <c r="C11531" s="135" t="s">
        <v>301</v>
      </c>
      <c r="D11531" s="161" t="s">
        <v>74</v>
      </c>
      <c r="E11531" s="135">
        <f t="shared" si="62"/>
        <v>12</v>
      </c>
      <c r="F11531" s="134" t="s">
        <v>4056</v>
      </c>
      <c r="G11531" s="63" t="str">
        <f>VLOOKUP(C11531, 'Class Def. - General Data'!$C$20:$C$1000,1,false)</f>
        <v>ZSI1_OFFICE_EQUIP</v>
      </c>
      <c r="H11531" s="63" t="str">
        <f>IFERROR(__xludf.DUMMYFUNCTION("VLOOKUP(F11531, IMPORTRANGE(""https://docs.google.com/spreadsheets/d/1Lhp9OU0JdFf_VYSMzH5lBcEaU4o8teT1piV-SNzShjg/edit?gid=554141278#gid=554141278"", ""'Char Def. - Attributes'!C20:C2242""), 1,false)"),"GROSS_WEIGHT_OPT")</f>
        <v>GROSS_WEIGHT_OPT</v>
      </c>
      <c r="I11531" s="136"/>
      <c r="R11531" s="63" t="str">
        <f t="shared" si="60"/>
        <v>ZSI1_OFFICE_EQUIPGROSS_WEIGHT_OPT</v>
      </c>
    </row>
    <row r="11532" ht="15.75" customHeight="1">
      <c r="B11532" s="63">
        <f t="shared" si="1"/>
        <v>17</v>
      </c>
      <c r="C11532" s="135" t="s">
        <v>301</v>
      </c>
      <c r="D11532" s="161" t="s">
        <v>74</v>
      </c>
      <c r="E11532" s="135">
        <f t="shared" si="62"/>
        <v>13</v>
      </c>
      <c r="F11532" s="134" t="s">
        <v>4057</v>
      </c>
      <c r="G11532" s="63" t="str">
        <f>VLOOKUP(C11532, 'Class Def. - General Data'!$C$20:$C$1000,1,false)</f>
        <v>ZSI1_OFFICE_EQUIP</v>
      </c>
      <c r="H11532" s="63" t="str">
        <f>IFERROR(__xludf.DUMMYFUNCTION("VLOOKUP(F11532, IMPORTRANGE(""https://docs.google.com/spreadsheets/d/1Lhp9OU0JdFf_VYSMzH5lBcEaU4o8teT1piV-SNzShjg/edit?gid=554141278#gid=554141278"", ""'Char Def. - Attributes'!C20:C2242""), 1,false)"),"NET_WEIGHT_OPT")</f>
        <v>NET_WEIGHT_OPT</v>
      </c>
      <c r="I11532" s="136"/>
      <c r="R11532" s="63" t="str">
        <f t="shared" si="60"/>
        <v>ZSI1_OFFICE_EQUIPNET_WEIGHT_OPT</v>
      </c>
    </row>
    <row r="11533" ht="15.75" customHeight="1">
      <c r="B11533" s="63">
        <f t="shared" si="1"/>
        <v>17</v>
      </c>
      <c r="C11533" s="135" t="s">
        <v>301</v>
      </c>
      <c r="D11533" s="161" t="s">
        <v>74</v>
      </c>
      <c r="E11533" s="135">
        <f t="shared" si="62"/>
        <v>14</v>
      </c>
      <c r="F11533" s="134" t="s">
        <v>4058</v>
      </c>
      <c r="G11533" s="63" t="str">
        <f>VLOOKUP(C11533, 'Class Def. - General Data'!$C$20:$C$1000,1,false)</f>
        <v>ZSI1_OFFICE_EQUIP</v>
      </c>
      <c r="H11533" s="63" t="str">
        <f>IFERROR(__xludf.DUMMYFUNCTION("VLOOKUP(F11533, IMPORTRANGE(""https://docs.google.com/spreadsheets/d/1Lhp9OU0JdFf_VYSMzH5lBcEaU4o8teT1piV-SNzShjg/edit?gid=554141278#gid=554141278"", ""'Char Def. - Attributes'!C20:C2242""), 1,false)"),"WEIGHT_UNIT_SI")</f>
        <v>WEIGHT_UNIT_SI</v>
      </c>
      <c r="I11533" s="136"/>
      <c r="R11533" s="63" t="str">
        <f t="shared" si="60"/>
        <v>ZSI1_OFFICE_EQUIPWEIGHT_UNIT_SI</v>
      </c>
    </row>
    <row r="11534" ht="15.75" customHeight="1">
      <c r="B11534" s="63">
        <f t="shared" si="1"/>
        <v>17</v>
      </c>
      <c r="C11534" s="135" t="s">
        <v>301</v>
      </c>
      <c r="D11534" s="161" t="s">
        <v>74</v>
      </c>
      <c r="E11534" s="135">
        <f t="shared" si="62"/>
        <v>15</v>
      </c>
      <c r="F11534" s="134" t="s">
        <v>3877</v>
      </c>
      <c r="G11534" s="63" t="str">
        <f>VLOOKUP(C11534, 'Class Def. - General Data'!$C$20:$C$1000,1,false)</f>
        <v>ZSI1_OFFICE_EQUIP</v>
      </c>
      <c r="H11534" s="63" t="str">
        <f>IFERROR(__xludf.DUMMYFUNCTION("VLOOKUP(F11534, IMPORTRANGE(""https://docs.google.com/spreadsheets/d/1Lhp9OU0JdFf_VYSMzH5lBcEaU4o8teT1piV-SNzShjg/edit?gid=554141278#gid=554141278"", ""'Char Def. - Attributes'!C20:C2242""), 1,false)"),"VOLUME_OPT")</f>
        <v>VOLUME_OPT</v>
      </c>
      <c r="I11534" s="136"/>
      <c r="R11534" s="63" t="str">
        <f t="shared" si="60"/>
        <v>ZSI1_OFFICE_EQUIPVOLUME_OPT</v>
      </c>
    </row>
    <row r="11535" ht="15.75" customHeight="1">
      <c r="B11535" s="63">
        <f t="shared" si="1"/>
        <v>17</v>
      </c>
      <c r="C11535" s="135" t="s">
        <v>301</v>
      </c>
      <c r="D11535" s="161" t="s">
        <v>74</v>
      </c>
      <c r="E11535" s="135">
        <f t="shared" si="62"/>
        <v>16</v>
      </c>
      <c r="F11535" s="134" t="s">
        <v>4059</v>
      </c>
      <c r="G11535" s="63" t="str">
        <f>VLOOKUP(C11535, 'Class Def. - General Data'!$C$20:$C$1000,1,false)</f>
        <v>ZSI1_OFFICE_EQUIP</v>
      </c>
      <c r="H11535" s="63" t="str">
        <f>IFERROR(__xludf.DUMMYFUNCTION("VLOOKUP(F11535, IMPORTRANGE(""https://docs.google.com/spreadsheets/d/1Lhp9OU0JdFf_VYSMzH5lBcEaU4o8teT1piV-SNzShjg/edit?gid=554141278#gid=554141278"", ""'Char Def. - Attributes'!C20:C2242""), 1,false)"),"VOLUME_UNIT_SI")</f>
        <v>VOLUME_UNIT_SI</v>
      </c>
      <c r="I11535" s="136"/>
      <c r="R11535" s="63" t="str">
        <f t="shared" si="60"/>
        <v>ZSI1_OFFICE_EQUIPVOLUME_UNIT_SI</v>
      </c>
    </row>
    <row r="11536" ht="15.75" customHeight="1">
      <c r="B11536" s="63">
        <f t="shared" si="1"/>
        <v>17</v>
      </c>
      <c r="C11536" s="135" t="s">
        <v>301</v>
      </c>
      <c r="D11536" s="161" t="s">
        <v>74</v>
      </c>
      <c r="E11536" s="135">
        <f t="shared" si="62"/>
        <v>17</v>
      </c>
      <c r="F11536" s="134" t="s">
        <v>3804</v>
      </c>
      <c r="G11536" s="63" t="str">
        <f>VLOOKUP(C11536, 'Class Def. - General Data'!$C$20:$C$1000,1,false)</f>
        <v>ZSI1_OFFICE_EQUIP</v>
      </c>
      <c r="H11536" s="63" t="str">
        <f>IFERROR(__xludf.DUMMYFUNCTION("VLOOKUP(F11536, IMPORTRANGE(""https://docs.google.com/spreadsheets/d/1Lhp9OU0JdFf_VYSMzH5lBcEaU4o8teT1piV-SNzShjg/edit?gid=554141278#gid=554141278"", ""'Char Def. - Attributes'!C20:C2242""), 1,false)"),"ALT_UOM1_SIPI")</f>
        <v>ALT_UOM1_SIPI</v>
      </c>
      <c r="I11536" s="136"/>
      <c r="R11536" s="63" t="str">
        <f t="shared" si="60"/>
        <v>ZSI1_OFFICE_EQUIPALT_UOM1_SIPI</v>
      </c>
    </row>
    <row r="11537" ht="15.75" customHeight="1">
      <c r="B11537" s="63">
        <f t="shared" si="1"/>
        <v>17</v>
      </c>
      <c r="C11537" s="135" t="s">
        <v>301</v>
      </c>
      <c r="D11537" s="161" t="s">
        <v>74</v>
      </c>
      <c r="E11537" s="135">
        <f t="shared" si="62"/>
        <v>18</v>
      </c>
      <c r="F11537" s="134" t="s">
        <v>3805</v>
      </c>
      <c r="G11537" s="63" t="str">
        <f>VLOOKUP(C11537, 'Class Def. - General Data'!$C$20:$C$1000,1,false)</f>
        <v>ZSI1_OFFICE_EQUIP</v>
      </c>
      <c r="H11537" s="63" t="str">
        <f>IFERROR(__xludf.DUMMYFUNCTION("VLOOKUP(F11537, IMPORTRANGE(""https://docs.google.com/spreadsheets/d/1Lhp9OU0JdFf_VYSMzH5lBcEaU4o8teT1piV-SNzShjg/edit?gid=554141278#gid=554141278"", ""'Char Def. - Attributes'!C20:C2242""), 1,false)"),"ALT_DENUM_UOM1")</f>
        <v>ALT_DENUM_UOM1</v>
      </c>
      <c r="I11537" s="136"/>
      <c r="R11537" s="63" t="str">
        <f t="shared" si="60"/>
        <v>ZSI1_OFFICE_EQUIPALT_DENUM_UOM1</v>
      </c>
    </row>
    <row r="11538" ht="15.75" customHeight="1">
      <c r="B11538" s="63">
        <f t="shared" si="1"/>
        <v>17</v>
      </c>
      <c r="C11538" s="135" t="s">
        <v>301</v>
      </c>
      <c r="D11538" s="161" t="s">
        <v>74</v>
      </c>
      <c r="E11538" s="135">
        <f t="shared" si="62"/>
        <v>19</v>
      </c>
      <c r="F11538" s="134" t="s">
        <v>3806</v>
      </c>
      <c r="G11538" s="63" t="str">
        <f>VLOOKUP(C11538, 'Class Def. - General Data'!$C$20:$C$1000,1,false)</f>
        <v>ZSI1_OFFICE_EQUIP</v>
      </c>
      <c r="H11538" s="63" t="str">
        <f>IFERROR(__xludf.DUMMYFUNCTION("VLOOKUP(F11538, IMPORTRANGE(""https://docs.google.com/spreadsheets/d/1Lhp9OU0JdFf_VYSMzH5lBcEaU4o8teT1piV-SNzShjg/edit?gid=554141278#gid=554141278"", ""'Char Def. - Attributes'!C20:C2242""), 1,false)"),"ALT_NUM_UOM1")</f>
        <v>ALT_NUM_UOM1</v>
      </c>
      <c r="I11538" s="136"/>
      <c r="R11538" s="63" t="str">
        <f t="shared" si="60"/>
        <v>ZSI1_OFFICE_EQUIPALT_NUM_UOM1</v>
      </c>
    </row>
    <row r="11539" ht="15.75" customHeight="1">
      <c r="B11539" s="63">
        <f t="shared" si="1"/>
        <v>17</v>
      </c>
      <c r="C11539" s="135" t="s">
        <v>301</v>
      </c>
      <c r="D11539" s="161" t="s">
        <v>74</v>
      </c>
      <c r="E11539" s="135">
        <f t="shared" si="62"/>
        <v>20</v>
      </c>
      <c r="F11539" s="134" t="s">
        <v>3807</v>
      </c>
      <c r="G11539" s="63" t="str">
        <f>VLOOKUP(C11539, 'Class Def. - General Data'!$C$20:$C$1000,1,false)</f>
        <v>ZSI1_OFFICE_EQUIP</v>
      </c>
      <c r="H11539" s="63" t="str">
        <f>IFERROR(__xludf.DUMMYFUNCTION("VLOOKUP(F11539, IMPORTRANGE(""https://docs.google.com/spreadsheets/d/1Lhp9OU0JdFf_VYSMzH5lBcEaU4o8teT1piV-SNzShjg/edit?gid=554141278#gid=554141278"", ""'Char Def. - Attributes'!C20:C2242""), 1,false)"),"ALT_UOM2_SIPI")</f>
        <v>ALT_UOM2_SIPI</v>
      </c>
      <c r="I11539" s="136"/>
      <c r="R11539" s="63" t="str">
        <f t="shared" si="60"/>
        <v>ZSI1_OFFICE_EQUIPALT_UOM2_SIPI</v>
      </c>
    </row>
    <row r="11540" ht="15.75" customHeight="1">
      <c r="B11540" s="63">
        <f t="shared" si="1"/>
        <v>17</v>
      </c>
      <c r="C11540" s="135" t="s">
        <v>301</v>
      </c>
      <c r="D11540" s="161" t="s">
        <v>74</v>
      </c>
      <c r="E11540" s="135">
        <f t="shared" si="62"/>
        <v>21</v>
      </c>
      <c r="F11540" s="134" t="s">
        <v>3808</v>
      </c>
      <c r="G11540" s="63" t="str">
        <f>VLOOKUP(C11540, 'Class Def. - General Data'!$C$20:$C$1000,1,false)</f>
        <v>ZSI1_OFFICE_EQUIP</v>
      </c>
      <c r="H11540" s="63" t="str">
        <f>IFERROR(__xludf.DUMMYFUNCTION("VLOOKUP(F11540, IMPORTRANGE(""https://docs.google.com/spreadsheets/d/1Lhp9OU0JdFf_VYSMzH5lBcEaU4o8teT1piV-SNzShjg/edit?gid=554141278#gid=554141278"", ""'Char Def. - Attributes'!C20:C2242""), 1,false)"),"ALT_DENUM_UOM2")</f>
        <v>ALT_DENUM_UOM2</v>
      </c>
      <c r="I11540" s="136"/>
      <c r="R11540" s="63" t="str">
        <f t="shared" si="60"/>
        <v>ZSI1_OFFICE_EQUIPALT_DENUM_UOM2</v>
      </c>
    </row>
    <row r="11541" ht="15.75" customHeight="1">
      <c r="B11541" s="63">
        <f t="shared" si="1"/>
        <v>17</v>
      </c>
      <c r="C11541" s="135" t="s">
        <v>301</v>
      </c>
      <c r="D11541" s="161" t="s">
        <v>74</v>
      </c>
      <c r="E11541" s="135">
        <f t="shared" si="62"/>
        <v>22</v>
      </c>
      <c r="F11541" s="134" t="s">
        <v>3809</v>
      </c>
      <c r="G11541" s="63" t="str">
        <f>VLOOKUP(C11541, 'Class Def. - General Data'!$C$20:$C$1000,1,false)</f>
        <v>ZSI1_OFFICE_EQUIP</v>
      </c>
      <c r="H11541" s="63" t="str">
        <f>IFERROR(__xludf.DUMMYFUNCTION("VLOOKUP(F11541, IMPORTRANGE(""https://docs.google.com/spreadsheets/d/1Lhp9OU0JdFf_VYSMzH5lBcEaU4o8teT1piV-SNzShjg/edit?gid=554141278#gid=554141278"", ""'Char Def. - Attributes'!C20:C2242""), 1,false)"),"ALT_NUM_UOM2")</f>
        <v>ALT_NUM_UOM2</v>
      </c>
      <c r="I11541" s="136"/>
      <c r="R11541" s="63" t="str">
        <f t="shared" si="60"/>
        <v>ZSI1_OFFICE_EQUIPALT_NUM_UOM2</v>
      </c>
    </row>
    <row r="11542" ht="15.75" customHeight="1">
      <c r="B11542" s="63">
        <f t="shared" si="1"/>
        <v>17</v>
      </c>
      <c r="C11542" s="135" t="s">
        <v>301</v>
      </c>
      <c r="D11542" s="161" t="s">
        <v>74</v>
      </c>
      <c r="E11542" s="135">
        <f t="shared" si="62"/>
        <v>23</v>
      </c>
      <c r="F11542" s="134" t="s">
        <v>3810</v>
      </c>
      <c r="G11542" s="63" t="str">
        <f>VLOOKUP(C11542, 'Class Def. - General Data'!$C$20:$C$1000,1,false)</f>
        <v>ZSI1_OFFICE_EQUIP</v>
      </c>
      <c r="H11542" s="63" t="str">
        <f>IFERROR(__xludf.DUMMYFUNCTION("VLOOKUP(F11542, IMPORTRANGE(""https://docs.google.com/spreadsheets/d/1Lhp9OU0JdFf_VYSMzH5lBcEaU4o8teT1piV-SNzShjg/edit?gid=554141278#gid=554141278"", ""'Char Def. - Attributes'!C20:C2242""), 1,false)"),"ALT_UOM3_SIPI")</f>
        <v>ALT_UOM3_SIPI</v>
      </c>
      <c r="I11542" s="136"/>
      <c r="R11542" s="63" t="str">
        <f t="shared" si="60"/>
        <v>ZSI1_OFFICE_EQUIPALT_UOM3_SIPI</v>
      </c>
    </row>
    <row r="11543" ht="15.75" customHeight="1">
      <c r="B11543" s="63">
        <f t="shared" si="1"/>
        <v>17</v>
      </c>
      <c r="C11543" s="135" t="s">
        <v>301</v>
      </c>
      <c r="D11543" s="161" t="s">
        <v>74</v>
      </c>
      <c r="E11543" s="135">
        <f t="shared" si="62"/>
        <v>24</v>
      </c>
      <c r="F11543" s="134" t="s">
        <v>3811</v>
      </c>
      <c r="G11543" s="63" t="str">
        <f>VLOOKUP(C11543, 'Class Def. - General Data'!$C$20:$C$1000,1,false)</f>
        <v>ZSI1_OFFICE_EQUIP</v>
      </c>
      <c r="H11543" s="63" t="str">
        <f>IFERROR(__xludf.DUMMYFUNCTION("VLOOKUP(F11543, IMPORTRANGE(""https://docs.google.com/spreadsheets/d/1Lhp9OU0JdFf_VYSMzH5lBcEaU4o8teT1piV-SNzShjg/edit?gid=554141278#gid=554141278"", ""'Char Def. - Attributes'!C20:C2242""), 1,false)"),"ALT_DENUM_UOM3")</f>
        <v>ALT_DENUM_UOM3</v>
      </c>
      <c r="I11543" s="136"/>
      <c r="R11543" s="63" t="str">
        <f t="shared" si="60"/>
        <v>ZSI1_OFFICE_EQUIPALT_DENUM_UOM3</v>
      </c>
    </row>
    <row r="11544" ht="15.75" customHeight="1">
      <c r="B11544" s="63">
        <f t="shared" si="1"/>
        <v>17</v>
      </c>
      <c r="C11544" s="135" t="s">
        <v>301</v>
      </c>
      <c r="D11544" s="161" t="s">
        <v>74</v>
      </c>
      <c r="E11544" s="135">
        <f t="shared" si="62"/>
        <v>25</v>
      </c>
      <c r="F11544" s="134" t="s">
        <v>3812</v>
      </c>
      <c r="G11544" s="63" t="str">
        <f>VLOOKUP(C11544, 'Class Def. - General Data'!$C$20:$C$1000,1,false)</f>
        <v>ZSI1_OFFICE_EQUIP</v>
      </c>
      <c r="H11544" s="63" t="str">
        <f>IFERROR(__xludf.DUMMYFUNCTION("VLOOKUP(F11544, IMPORTRANGE(""https://docs.google.com/spreadsheets/d/1Lhp9OU0JdFf_VYSMzH5lBcEaU4o8teT1piV-SNzShjg/edit?gid=554141278#gid=554141278"", ""'Char Def. - Attributes'!C20:C2242""), 1,false)"),"ALT_NUM_UOM3")</f>
        <v>ALT_NUM_UOM3</v>
      </c>
      <c r="I11544" s="136"/>
      <c r="R11544" s="63" t="str">
        <f t="shared" si="60"/>
        <v>ZSI1_OFFICE_EQUIPALT_NUM_UOM3</v>
      </c>
    </row>
    <row r="11545" ht="15.75" customHeight="1">
      <c r="B11545" s="63">
        <f t="shared" si="1"/>
        <v>17</v>
      </c>
      <c r="C11545" s="135" t="s">
        <v>301</v>
      </c>
      <c r="D11545" s="161" t="s">
        <v>74</v>
      </c>
      <c r="E11545" s="135">
        <f t="shared" si="62"/>
        <v>26</v>
      </c>
      <c r="F11545" s="134" t="s">
        <v>3813</v>
      </c>
      <c r="G11545" s="63" t="str">
        <f>VLOOKUP(C11545, 'Class Def. - General Data'!$C$20:$C$1000,1,false)</f>
        <v>ZSI1_OFFICE_EQUIP</v>
      </c>
      <c r="H11545" s="63" t="str">
        <f>IFERROR(__xludf.DUMMYFUNCTION("VLOOKUP(F11545, IMPORTRANGE(""https://docs.google.com/spreadsheets/d/1Lhp9OU0JdFf_VYSMzH5lBcEaU4o8teT1piV-SNzShjg/edit?gid=554141278#gid=554141278"", ""'Char Def. - Attributes'!C20:C2242""), 1,false)"),"ALT_UOM4_SIPI")</f>
        <v>ALT_UOM4_SIPI</v>
      </c>
      <c r="I11545" s="136"/>
      <c r="R11545" s="63" t="str">
        <f t="shared" si="60"/>
        <v>ZSI1_OFFICE_EQUIPALT_UOM4_SIPI</v>
      </c>
    </row>
    <row r="11546" ht="15.75" customHeight="1">
      <c r="B11546" s="63">
        <f t="shared" si="1"/>
        <v>17</v>
      </c>
      <c r="C11546" s="135" t="s">
        <v>301</v>
      </c>
      <c r="D11546" s="161" t="s">
        <v>74</v>
      </c>
      <c r="E11546" s="135">
        <f t="shared" si="62"/>
        <v>27</v>
      </c>
      <c r="F11546" s="134" t="s">
        <v>3814</v>
      </c>
      <c r="G11546" s="63" t="str">
        <f>VLOOKUP(C11546, 'Class Def. - General Data'!$C$20:$C$1000,1,false)</f>
        <v>ZSI1_OFFICE_EQUIP</v>
      </c>
      <c r="H11546" s="63" t="str">
        <f>IFERROR(__xludf.DUMMYFUNCTION("VLOOKUP(F11546, IMPORTRANGE(""https://docs.google.com/spreadsheets/d/1Lhp9OU0JdFf_VYSMzH5lBcEaU4o8teT1piV-SNzShjg/edit?gid=554141278#gid=554141278"", ""'Char Def. - Attributes'!C20:C2242""), 1,false)"),"ALT_DENUM_UOM4")</f>
        <v>ALT_DENUM_UOM4</v>
      </c>
      <c r="I11546" s="136"/>
      <c r="R11546" s="63" t="str">
        <f t="shared" si="60"/>
        <v>ZSI1_OFFICE_EQUIPALT_DENUM_UOM4</v>
      </c>
    </row>
    <row r="11547" ht="15.75" customHeight="1">
      <c r="B11547" s="63">
        <f t="shared" si="1"/>
        <v>17</v>
      </c>
      <c r="C11547" s="135" t="s">
        <v>301</v>
      </c>
      <c r="D11547" s="161" t="s">
        <v>74</v>
      </c>
      <c r="E11547" s="135">
        <f t="shared" si="62"/>
        <v>28</v>
      </c>
      <c r="F11547" s="134" t="s">
        <v>3815</v>
      </c>
      <c r="G11547" s="63" t="str">
        <f>VLOOKUP(C11547, 'Class Def. - General Data'!$C$20:$C$1000,1,false)</f>
        <v>ZSI1_OFFICE_EQUIP</v>
      </c>
      <c r="H11547" s="63" t="str">
        <f>IFERROR(__xludf.DUMMYFUNCTION("VLOOKUP(F11547, IMPORTRANGE(""https://docs.google.com/spreadsheets/d/1Lhp9OU0JdFf_VYSMzH5lBcEaU4o8teT1piV-SNzShjg/edit?gid=554141278#gid=554141278"", ""'Char Def. - Attributes'!C20:C2242""), 1,false)"),"ALT_NUM_UOM4")</f>
        <v>ALT_NUM_UOM4</v>
      </c>
      <c r="I11547" s="136"/>
      <c r="R11547" s="63" t="str">
        <f t="shared" si="60"/>
        <v>ZSI1_OFFICE_EQUIPALT_NUM_UOM4</v>
      </c>
    </row>
    <row r="11548" ht="15.75" customHeight="1">
      <c r="B11548" s="63">
        <f t="shared" si="1"/>
        <v>17</v>
      </c>
      <c r="C11548" s="135" t="s">
        <v>301</v>
      </c>
      <c r="D11548" s="161" t="s">
        <v>74</v>
      </c>
      <c r="E11548" s="135">
        <f t="shared" si="62"/>
        <v>29</v>
      </c>
      <c r="F11548" s="134" t="s">
        <v>3816</v>
      </c>
      <c r="G11548" s="63" t="str">
        <f>VLOOKUP(C11548, 'Class Def. - General Data'!$C$20:$C$1000,1,false)</f>
        <v>ZSI1_OFFICE_EQUIP</v>
      </c>
      <c r="H11548" s="63" t="str">
        <f>IFERROR(__xludf.DUMMYFUNCTION("VLOOKUP(F11548, IMPORTRANGE(""https://docs.google.com/spreadsheets/d/1Lhp9OU0JdFf_VYSMzH5lBcEaU4o8teT1piV-SNzShjg/edit?gid=554141278#gid=554141278"", ""'Char Def. - Attributes'!C20:C2242""), 1,false)"),"ALT_UOM5_SIPI")</f>
        <v>ALT_UOM5_SIPI</v>
      </c>
      <c r="I11548" s="136"/>
      <c r="R11548" s="63" t="str">
        <f t="shared" si="60"/>
        <v>ZSI1_OFFICE_EQUIPALT_UOM5_SIPI</v>
      </c>
    </row>
    <row r="11549" ht="15.75" customHeight="1">
      <c r="B11549" s="63">
        <f t="shared" si="1"/>
        <v>17</v>
      </c>
      <c r="C11549" s="135" t="s">
        <v>301</v>
      </c>
      <c r="D11549" s="161" t="s">
        <v>74</v>
      </c>
      <c r="E11549" s="135">
        <f t="shared" si="62"/>
        <v>30</v>
      </c>
      <c r="F11549" s="134" t="s">
        <v>3817</v>
      </c>
      <c r="G11549" s="63" t="str">
        <f>VLOOKUP(C11549, 'Class Def. - General Data'!$C$20:$C$1000,1,false)</f>
        <v>ZSI1_OFFICE_EQUIP</v>
      </c>
      <c r="H11549" s="63" t="str">
        <f>IFERROR(__xludf.DUMMYFUNCTION("VLOOKUP(F11549, IMPORTRANGE(""https://docs.google.com/spreadsheets/d/1Lhp9OU0JdFf_VYSMzH5lBcEaU4o8teT1piV-SNzShjg/edit?gid=554141278#gid=554141278"", ""'Char Def. - Attributes'!C20:C2242""), 1,false)"),"ALT_DENUM_UOM5")</f>
        <v>ALT_DENUM_UOM5</v>
      </c>
      <c r="I11549" s="136"/>
      <c r="R11549" s="63" t="str">
        <f t="shared" si="60"/>
        <v>ZSI1_OFFICE_EQUIPALT_DENUM_UOM5</v>
      </c>
    </row>
    <row r="11550" ht="15.75" customHeight="1">
      <c r="B11550" s="63">
        <f t="shared" si="1"/>
        <v>17</v>
      </c>
      <c r="C11550" s="135" t="s">
        <v>301</v>
      </c>
      <c r="D11550" s="161" t="s">
        <v>74</v>
      </c>
      <c r="E11550" s="135">
        <f t="shared" si="62"/>
        <v>31</v>
      </c>
      <c r="F11550" s="134" t="s">
        <v>3818</v>
      </c>
      <c r="G11550" s="63" t="str">
        <f>VLOOKUP(C11550, 'Class Def. - General Data'!$C$20:$C$1000,1,false)</f>
        <v>ZSI1_OFFICE_EQUIP</v>
      </c>
      <c r="H11550" s="63" t="str">
        <f>IFERROR(__xludf.DUMMYFUNCTION("VLOOKUP(F11550, IMPORTRANGE(""https://docs.google.com/spreadsheets/d/1Lhp9OU0JdFf_VYSMzH5lBcEaU4o8teT1piV-SNzShjg/edit?gid=554141278#gid=554141278"", ""'Char Def. - Attributes'!C20:C2242""), 1,false)"),"ALT_NUM_UOM5")</f>
        <v>ALT_NUM_UOM5</v>
      </c>
      <c r="I11550" s="136"/>
      <c r="R11550" s="63" t="str">
        <f t="shared" si="60"/>
        <v>ZSI1_OFFICE_EQUIPALT_NUM_UOM5</v>
      </c>
    </row>
    <row r="11551" ht="15.75" customHeight="1">
      <c r="B11551" s="63">
        <f t="shared" si="1"/>
        <v>16</v>
      </c>
      <c r="C11551" s="135" t="s">
        <v>429</v>
      </c>
      <c r="D11551" s="161" t="s">
        <v>74</v>
      </c>
      <c r="E11551" s="135">
        <f t="shared" si="62"/>
        <v>1</v>
      </c>
      <c r="F11551" s="134" t="s">
        <v>4969</v>
      </c>
      <c r="G11551" s="63" t="str">
        <f>VLOOKUP(C11551, 'Class Def. - General Data'!$C$20:$C$1000,1,false)</f>
        <v>ZSI1_OFFICE_ORGZ</v>
      </c>
      <c r="H11551" s="63" t="str">
        <f>IFERROR(__xludf.DUMMYFUNCTION("VLOOKUP(F11551, IMPORTRANGE(""https://docs.google.com/spreadsheets/d/1Lhp9OU0JdFf_VYSMzH5lBcEaU4o8teT1piV-SNzShjg/edit?gid=554141278#gid=554141278"", ""'Char Def. - Attributes'!C20:C2242""), 1,false)"),"ITEM_NAME_OFFICE_ORGZ")</f>
        <v>ITEM_NAME_OFFICE_ORGZ</v>
      </c>
      <c r="I11551" s="136"/>
      <c r="R11551" s="63" t="str">
        <f t="shared" si="60"/>
        <v>ZSI1_OFFICE_ORGZITEM_NAME_OFFICE_ORGZ</v>
      </c>
    </row>
    <row r="11552" ht="15.75" customHeight="1">
      <c r="B11552" s="63">
        <f t="shared" si="1"/>
        <v>16</v>
      </c>
      <c r="C11552" s="135" t="s">
        <v>429</v>
      </c>
      <c r="D11552" s="161" t="s">
        <v>74</v>
      </c>
      <c r="E11552" s="135">
        <f t="shared" si="62"/>
        <v>2</v>
      </c>
      <c r="F11552" s="134" t="s">
        <v>3779</v>
      </c>
      <c r="G11552" s="63" t="str">
        <f>VLOOKUP(C11552, 'Class Def. - General Data'!$C$20:$C$1000,1,false)</f>
        <v>ZSI1_OFFICE_ORGZ</v>
      </c>
      <c r="H11552" s="63" t="str">
        <f>IFERROR(__xludf.DUMMYFUNCTION("VLOOKUP(F11552, IMPORTRANGE(""https://docs.google.com/spreadsheets/d/1Lhp9OU0JdFf_VYSMzH5lBcEaU4o8teT1piV-SNzShjg/edit?gid=554141278#gid=554141278"", ""'Char Def. - Attributes'!C20:C2242""), 1,false)"),"EMBOSSED_BRAND_WINGS")</f>
        <v>EMBOSSED_BRAND_WINGS</v>
      </c>
      <c r="I11552" s="136"/>
      <c r="R11552" s="63" t="str">
        <f t="shared" si="60"/>
        <v>ZSI1_OFFICE_ORGZEMBOSSED_BRAND_WINGS</v>
      </c>
    </row>
    <row r="11553" ht="15.75" customHeight="1">
      <c r="B11553" s="63">
        <f t="shared" si="1"/>
        <v>16</v>
      </c>
      <c r="C11553" s="135" t="s">
        <v>429</v>
      </c>
      <c r="D11553" s="161" t="s">
        <v>74</v>
      </c>
      <c r="E11553" s="135">
        <f t="shared" si="62"/>
        <v>3</v>
      </c>
      <c r="F11553" s="134" t="s">
        <v>3780</v>
      </c>
      <c r="G11553" s="63" t="str">
        <f>VLOOKUP(C11553, 'Class Def. - General Data'!$C$20:$C$1000,1,false)</f>
        <v>ZSI1_OFFICE_ORGZ</v>
      </c>
      <c r="H11553" s="63" t="str">
        <f>IFERROR(__xludf.DUMMYFUNCTION("VLOOKUP(F11553, IMPORTRANGE(""https://docs.google.com/spreadsheets/d/1Lhp9OU0JdFf_VYSMzH5lBcEaU4o8teT1piV-SNzShjg/edit?gid=554141278#gid=554141278"", ""'Char Def. - Attributes'!C20:C2242""), 1,false)"),"BRAND_WINGS_SIPI")</f>
        <v>BRAND_WINGS_SIPI</v>
      </c>
      <c r="I11553" s="136"/>
      <c r="R11553" s="63" t="str">
        <f t="shared" si="60"/>
        <v>ZSI1_OFFICE_ORGZBRAND_WINGS_SIPI</v>
      </c>
    </row>
    <row r="11554" ht="15.75" customHeight="1">
      <c r="B11554" s="63">
        <f t="shared" si="1"/>
        <v>16</v>
      </c>
      <c r="C11554" s="135" t="s">
        <v>429</v>
      </c>
      <c r="D11554" s="161" t="s">
        <v>74</v>
      </c>
      <c r="E11554" s="135">
        <f t="shared" si="62"/>
        <v>4</v>
      </c>
      <c r="F11554" s="134" t="s">
        <v>3778</v>
      </c>
      <c r="G11554" s="63" t="str">
        <f>VLOOKUP(C11554, 'Class Def. - General Data'!$C$20:$C$1000,1,false)</f>
        <v>ZSI1_OFFICE_ORGZ</v>
      </c>
      <c r="H11554" s="63" t="str">
        <f>IFERROR(__xludf.DUMMYFUNCTION("VLOOKUP(F11554, IMPORTRANGE(""https://docs.google.com/spreadsheets/d/1Lhp9OU0JdFf_VYSMzH5lBcEaU4o8teT1piV-SNzShjg/edit?gid=554141278#gid=554141278"", ""'Char Def. - Attributes'!C20:C2242""), 1,false)"),"SPECIAL_ACTIVITY")</f>
        <v>SPECIAL_ACTIVITY</v>
      </c>
      <c r="I11554" s="136"/>
      <c r="R11554" s="63" t="str">
        <f t="shared" si="60"/>
        <v>ZSI1_OFFICE_ORGZSPECIAL_ACTIVITY</v>
      </c>
    </row>
    <row r="11555" ht="15.75" customHeight="1">
      <c r="B11555" s="63">
        <f t="shared" si="1"/>
        <v>16</v>
      </c>
      <c r="C11555" s="135" t="s">
        <v>429</v>
      </c>
      <c r="D11555" s="161" t="s">
        <v>74</v>
      </c>
      <c r="E11555" s="135">
        <f t="shared" si="62"/>
        <v>5</v>
      </c>
      <c r="F11555" s="134" t="s">
        <v>4970</v>
      </c>
      <c r="G11555" s="63" t="str">
        <f>VLOOKUP(C11555, 'Class Def. - General Data'!$C$20:$C$1000,1,false)</f>
        <v>ZSI1_OFFICE_ORGZ</v>
      </c>
      <c r="H11555" s="63" t="str">
        <f>IFERROR(__xludf.DUMMYFUNCTION("VLOOKUP(F11555, IMPORTRANGE(""https://docs.google.com/spreadsheets/d/1Lhp9OU0JdFf_VYSMzH5lBcEaU4o8teT1piV-SNzShjg/edit?gid=554141278#gid=554141278"", ""'Char Def. - Attributes'!C20:C2242""), 1,false)"),"WIDTH_MM_OFFICE_ORGZ")</f>
        <v>WIDTH_MM_OFFICE_ORGZ</v>
      </c>
      <c r="I11555" s="136"/>
      <c r="R11555" s="63" t="str">
        <f t="shared" si="60"/>
        <v>ZSI1_OFFICE_ORGZWIDTH_MM_OFFICE_ORGZ</v>
      </c>
    </row>
    <row r="11556" ht="15.75" customHeight="1">
      <c r="B11556" s="63">
        <f t="shared" si="1"/>
        <v>16</v>
      </c>
      <c r="C11556" s="135" t="s">
        <v>429</v>
      </c>
      <c r="D11556" s="161" t="s">
        <v>74</v>
      </c>
      <c r="E11556" s="135">
        <f t="shared" si="62"/>
        <v>6</v>
      </c>
      <c r="F11556" s="134" t="s">
        <v>4971</v>
      </c>
      <c r="G11556" s="63" t="str">
        <f>VLOOKUP(C11556, 'Class Def. - General Data'!$C$20:$C$1000,1,false)</f>
        <v>ZSI1_OFFICE_ORGZ</v>
      </c>
      <c r="H11556" s="63" t="str">
        <f>IFERROR(__xludf.DUMMYFUNCTION("VLOOKUP(F11556, IMPORTRANGE(""https://docs.google.com/spreadsheets/d/1Lhp9OU0JdFf_VYSMzH5lBcEaU4o8teT1piV-SNzShjg/edit?gid=554141278#gid=554141278"", ""'Char Def. - Attributes'!C20:C2242""), 1,false)"),"LENGTH_MM_OFFICE_ORGZ")</f>
        <v>LENGTH_MM_OFFICE_ORGZ</v>
      </c>
      <c r="I11556" s="136"/>
      <c r="R11556" s="63" t="str">
        <f t="shared" si="60"/>
        <v>ZSI1_OFFICE_ORGZLENGTH_MM_OFFICE_ORGZ</v>
      </c>
    </row>
    <row r="11557" ht="15.75" customHeight="1">
      <c r="B11557" s="63">
        <f t="shared" si="1"/>
        <v>16</v>
      </c>
      <c r="C11557" s="135" t="s">
        <v>429</v>
      </c>
      <c r="D11557" s="161" t="s">
        <v>74</v>
      </c>
      <c r="E11557" s="135">
        <f t="shared" si="62"/>
        <v>7</v>
      </c>
      <c r="F11557" s="134" t="s">
        <v>4972</v>
      </c>
      <c r="G11557" s="63" t="str">
        <f>VLOOKUP(C11557, 'Class Def. - General Data'!$C$20:$C$1000,1,false)</f>
        <v>ZSI1_OFFICE_ORGZ</v>
      </c>
      <c r="H11557" s="63" t="str">
        <f>IFERROR(__xludf.DUMMYFUNCTION("VLOOKUP(F11557, IMPORTRANGE(""https://docs.google.com/spreadsheets/d/1Lhp9OU0JdFf_VYSMzH5lBcEaU4o8teT1piV-SNzShjg/edit?gid=554141278#gid=554141278"", ""'Char Def. - Attributes'!C20:C2242""), 1,false)"),"HEIGHT_MM_OFFICE_ORGZ")</f>
        <v>HEIGHT_MM_OFFICE_ORGZ</v>
      </c>
      <c r="I11557" s="136"/>
      <c r="R11557" s="63" t="str">
        <f t="shared" si="60"/>
        <v>ZSI1_OFFICE_ORGZHEIGHT_MM_OFFICE_ORGZ</v>
      </c>
    </row>
    <row r="11558" ht="15.75" customHeight="1">
      <c r="B11558" s="63">
        <f t="shared" si="1"/>
        <v>16</v>
      </c>
      <c r="C11558" s="135" t="s">
        <v>429</v>
      </c>
      <c r="D11558" s="161" t="s">
        <v>74</v>
      </c>
      <c r="E11558" s="135">
        <f t="shared" si="62"/>
        <v>8</v>
      </c>
      <c r="F11558" s="134" t="s">
        <v>4973</v>
      </c>
      <c r="G11558" s="63" t="str">
        <f>VLOOKUP(C11558, 'Class Def. - General Data'!$C$20:$C$1000,1,false)</f>
        <v>ZSI1_OFFICE_ORGZ</v>
      </c>
      <c r="H11558" s="63" t="str">
        <f>IFERROR(__xludf.DUMMYFUNCTION("VLOOKUP(F11558, IMPORTRANGE(""https://docs.google.com/spreadsheets/d/1Lhp9OU0JdFf_VYSMzH5lBcEaU4o8teT1piV-SNzShjg/edit?gid=554141278#gid=554141278"", ""'Char Def. - Attributes'!C20:C2242""), 1,false)"),"MATERIAL_OFFICE_ORGZ")</f>
        <v>MATERIAL_OFFICE_ORGZ</v>
      </c>
      <c r="I11558" s="136"/>
      <c r="R11558" s="63" t="str">
        <f t="shared" si="60"/>
        <v>ZSI1_OFFICE_ORGZMATERIAL_OFFICE_ORGZ</v>
      </c>
    </row>
    <row r="11559" ht="15.75" customHeight="1">
      <c r="B11559" s="63">
        <f t="shared" si="1"/>
        <v>16</v>
      </c>
      <c r="C11559" s="135" t="s">
        <v>429</v>
      </c>
      <c r="D11559" s="161" t="s">
        <v>74</v>
      </c>
      <c r="E11559" s="135">
        <f t="shared" si="62"/>
        <v>9</v>
      </c>
      <c r="F11559" s="134" t="s">
        <v>4974</v>
      </c>
      <c r="G11559" s="63" t="str">
        <f>VLOOKUP(C11559, 'Class Def. - General Data'!$C$20:$C$1000,1,false)</f>
        <v>ZSI1_OFFICE_ORGZ</v>
      </c>
      <c r="H11559" s="63" t="str">
        <f>IFERROR(__xludf.DUMMYFUNCTION("VLOOKUP(F11559, IMPORTRANGE(""https://docs.google.com/spreadsheets/d/1Lhp9OU0JdFf_VYSMzH5lBcEaU4o8teT1piV-SNzShjg/edit?gid=554141278#gid=554141278"", ""'Char Def. - Attributes'!C20:C2242""), 1,false)"),"ADDIITIONAL_INFO_OFFICE_ORGZ")</f>
        <v>ADDIITIONAL_INFO_OFFICE_ORGZ</v>
      </c>
      <c r="I11559" s="136"/>
      <c r="R11559" s="63" t="str">
        <f t="shared" si="60"/>
        <v>ZSI1_OFFICE_ORGZADDIITIONAL_INFO_OFFICE_ORGZ</v>
      </c>
    </row>
    <row r="11560" ht="15.75" customHeight="1">
      <c r="B11560" s="63">
        <f t="shared" si="1"/>
        <v>16</v>
      </c>
      <c r="C11560" s="135" t="s">
        <v>429</v>
      </c>
      <c r="D11560" s="161" t="s">
        <v>74</v>
      </c>
      <c r="E11560" s="135">
        <f t="shared" si="62"/>
        <v>10</v>
      </c>
      <c r="F11560" s="134" t="s">
        <v>3585</v>
      </c>
      <c r="G11560" s="63" t="str">
        <f>VLOOKUP(C11560, 'Class Def. - General Data'!$C$20:$C$1000,1,false)</f>
        <v>ZSI1_OFFICE_ORGZ</v>
      </c>
      <c r="H11560" s="63" t="str">
        <f>IFERROR(__xludf.DUMMYFUNCTION("VLOOKUP(F11560, IMPORTRANGE(""https://docs.google.com/spreadsheets/d/1Lhp9OU0JdFf_VYSMzH5lBcEaU4o8teT1piV-SNzShjg/edit?gid=554141278#gid=554141278"", ""'Char Def. - Attributes'!C20:C2242""), 1,false)"),"HS_CODE")</f>
        <v>HS_CODE</v>
      </c>
      <c r="I11560" s="136"/>
      <c r="R11560" s="63" t="str">
        <f t="shared" si="60"/>
        <v>ZSI1_OFFICE_ORGZHS_CODE</v>
      </c>
    </row>
    <row r="11561" ht="15.75" customHeight="1">
      <c r="B11561" s="63">
        <f t="shared" si="1"/>
        <v>16</v>
      </c>
      <c r="C11561" s="135" t="s">
        <v>429</v>
      </c>
      <c r="D11561" s="161" t="s">
        <v>74</v>
      </c>
      <c r="E11561" s="135">
        <f t="shared" si="62"/>
        <v>11</v>
      </c>
      <c r="F11561" s="134" t="s">
        <v>3587</v>
      </c>
      <c r="G11561" s="63" t="str">
        <f>VLOOKUP(C11561, 'Class Def. - General Data'!$C$20:$C$1000,1,false)</f>
        <v>ZSI1_OFFICE_ORGZ</v>
      </c>
      <c r="H11561" s="63" t="str">
        <f>IFERROR(__xludf.DUMMYFUNCTION("VLOOKUP(F11561, IMPORTRANGE(""https://docs.google.com/spreadsheets/d/1Lhp9OU0JdFf_VYSMzH5lBcEaU4o8teT1piV-SNzShjg/edit?gid=554141278#gid=554141278"", ""'Char Def. - Attributes'!C20:C2242""), 1,false)"),"PLANT_BUY")</f>
        <v>PLANT_BUY</v>
      </c>
      <c r="I11561" s="136"/>
      <c r="R11561" s="63" t="str">
        <f t="shared" si="60"/>
        <v>ZSI1_OFFICE_ORGZPLANT_BUY</v>
      </c>
    </row>
    <row r="11562" ht="15.75" customHeight="1">
      <c r="B11562" s="63">
        <f t="shared" si="1"/>
        <v>16</v>
      </c>
      <c r="C11562" s="135" t="s">
        <v>429</v>
      </c>
      <c r="D11562" s="161" t="s">
        <v>74</v>
      </c>
      <c r="E11562" s="135">
        <f t="shared" si="62"/>
        <v>12</v>
      </c>
      <c r="F11562" s="134" t="s">
        <v>4975</v>
      </c>
      <c r="G11562" s="63" t="str">
        <f>VLOOKUP(C11562, 'Class Def. - General Data'!$C$20:$C$1000,1,false)</f>
        <v>ZSI1_OFFICE_ORGZ</v>
      </c>
      <c r="H11562" s="63" t="str">
        <f>IFERROR(__xludf.DUMMYFUNCTION("VLOOKUP(F11562, IMPORTRANGE(""https://docs.google.com/spreadsheets/d/1Lhp9OU0JdFf_VYSMzH5lBcEaU4o8teT1piV-SNzShjg/edit?gid=554141278#gid=554141278"", ""'Char Def. - Attributes'!C20:C2242""), 1,false)"),"BASE_UOM_OFFICE_ORGZ")</f>
        <v>BASE_UOM_OFFICE_ORGZ</v>
      </c>
      <c r="I11562" s="136"/>
      <c r="R11562" s="63" t="str">
        <f t="shared" si="60"/>
        <v>ZSI1_OFFICE_ORGZBASE_UOM_OFFICE_ORGZ</v>
      </c>
    </row>
    <row r="11563" ht="15.75" customHeight="1">
      <c r="B11563" s="63">
        <f t="shared" si="1"/>
        <v>16</v>
      </c>
      <c r="C11563" s="135" t="s">
        <v>429</v>
      </c>
      <c r="D11563" s="161" t="s">
        <v>74</v>
      </c>
      <c r="E11563" s="135">
        <f t="shared" si="62"/>
        <v>13</v>
      </c>
      <c r="F11563" s="134" t="s">
        <v>4976</v>
      </c>
      <c r="G11563" s="63" t="str">
        <f>VLOOKUP(C11563, 'Class Def. - General Data'!$C$20:$C$1000,1,false)</f>
        <v>ZSI1_OFFICE_ORGZ</v>
      </c>
      <c r="H11563" s="63" t="str">
        <f>IFERROR(__xludf.DUMMYFUNCTION("VLOOKUP(F11563, IMPORTRANGE(""https://docs.google.com/spreadsheets/d/1Lhp9OU0JdFf_VYSMzH5lBcEaU4o8teT1piV-SNzShjg/edit?gid=554141278#gid=554141278"", ""'Char Def. - Attributes'!C20:C2242""), 1,false)"),"ORDER_UNIT_OFFICE_ORGZ")</f>
        <v>ORDER_UNIT_OFFICE_ORGZ</v>
      </c>
      <c r="I11563" s="136"/>
      <c r="R11563" s="63" t="str">
        <f t="shared" si="60"/>
        <v>ZSI1_OFFICE_ORGZORDER_UNIT_OFFICE_ORGZ</v>
      </c>
    </row>
    <row r="11564" ht="15.75" customHeight="1">
      <c r="B11564" s="63">
        <f t="shared" si="1"/>
        <v>16</v>
      </c>
      <c r="C11564" s="135" t="s">
        <v>429</v>
      </c>
      <c r="D11564" s="161" t="s">
        <v>74</v>
      </c>
      <c r="E11564" s="135">
        <f t="shared" si="62"/>
        <v>14</v>
      </c>
      <c r="F11564" s="134" t="s">
        <v>4056</v>
      </c>
      <c r="G11564" s="63" t="str">
        <f>VLOOKUP(C11564, 'Class Def. - General Data'!$C$20:$C$1000,1,false)</f>
        <v>ZSI1_OFFICE_ORGZ</v>
      </c>
      <c r="H11564" s="63" t="str">
        <f>IFERROR(__xludf.DUMMYFUNCTION("VLOOKUP(F11564, IMPORTRANGE(""https://docs.google.com/spreadsheets/d/1Lhp9OU0JdFf_VYSMzH5lBcEaU4o8teT1piV-SNzShjg/edit?gid=554141278#gid=554141278"", ""'Char Def. - Attributes'!C20:C2242""), 1,false)"),"GROSS_WEIGHT_OPT")</f>
        <v>GROSS_WEIGHT_OPT</v>
      </c>
      <c r="I11564" s="136"/>
      <c r="R11564" s="63" t="str">
        <f t="shared" si="60"/>
        <v>ZSI1_OFFICE_ORGZGROSS_WEIGHT_OPT</v>
      </c>
    </row>
    <row r="11565" ht="15.75" customHeight="1">
      <c r="B11565" s="63">
        <f t="shared" si="1"/>
        <v>16</v>
      </c>
      <c r="C11565" s="135" t="s">
        <v>429</v>
      </c>
      <c r="D11565" s="161" t="s">
        <v>74</v>
      </c>
      <c r="E11565" s="135">
        <f t="shared" si="62"/>
        <v>15</v>
      </c>
      <c r="F11565" s="134" t="s">
        <v>4057</v>
      </c>
      <c r="G11565" s="63" t="str">
        <f>VLOOKUP(C11565, 'Class Def. - General Data'!$C$20:$C$1000,1,false)</f>
        <v>ZSI1_OFFICE_ORGZ</v>
      </c>
      <c r="H11565" s="63" t="str">
        <f>IFERROR(__xludf.DUMMYFUNCTION("VLOOKUP(F11565, IMPORTRANGE(""https://docs.google.com/spreadsheets/d/1Lhp9OU0JdFf_VYSMzH5lBcEaU4o8teT1piV-SNzShjg/edit?gid=554141278#gid=554141278"", ""'Char Def. - Attributes'!C20:C2242""), 1,false)"),"NET_WEIGHT_OPT")</f>
        <v>NET_WEIGHT_OPT</v>
      </c>
      <c r="I11565" s="136"/>
      <c r="R11565" s="63" t="str">
        <f t="shared" si="60"/>
        <v>ZSI1_OFFICE_ORGZNET_WEIGHT_OPT</v>
      </c>
    </row>
    <row r="11566" ht="15.75" customHeight="1">
      <c r="B11566" s="63">
        <f t="shared" si="1"/>
        <v>16</v>
      </c>
      <c r="C11566" s="135" t="s">
        <v>429</v>
      </c>
      <c r="D11566" s="161" t="s">
        <v>74</v>
      </c>
      <c r="E11566" s="135">
        <f t="shared" si="62"/>
        <v>16</v>
      </c>
      <c r="F11566" s="134" t="s">
        <v>4058</v>
      </c>
      <c r="G11566" s="63" t="str">
        <f>VLOOKUP(C11566, 'Class Def. - General Data'!$C$20:$C$1000,1,false)</f>
        <v>ZSI1_OFFICE_ORGZ</v>
      </c>
      <c r="H11566" s="63" t="str">
        <f>IFERROR(__xludf.DUMMYFUNCTION("VLOOKUP(F11566, IMPORTRANGE(""https://docs.google.com/spreadsheets/d/1Lhp9OU0JdFf_VYSMzH5lBcEaU4o8teT1piV-SNzShjg/edit?gid=554141278#gid=554141278"", ""'Char Def. - Attributes'!C20:C2242""), 1,false)"),"WEIGHT_UNIT_SI")</f>
        <v>WEIGHT_UNIT_SI</v>
      </c>
      <c r="I11566" s="136"/>
      <c r="R11566" s="63" t="str">
        <f t="shared" si="60"/>
        <v>ZSI1_OFFICE_ORGZWEIGHT_UNIT_SI</v>
      </c>
    </row>
    <row r="11567" ht="15.75" customHeight="1">
      <c r="B11567" s="63">
        <f t="shared" si="1"/>
        <v>16</v>
      </c>
      <c r="C11567" s="135" t="s">
        <v>429</v>
      </c>
      <c r="D11567" s="161" t="s">
        <v>74</v>
      </c>
      <c r="E11567" s="135">
        <f t="shared" si="62"/>
        <v>17</v>
      </c>
      <c r="F11567" s="134" t="s">
        <v>3877</v>
      </c>
      <c r="G11567" s="63" t="str">
        <f>VLOOKUP(C11567, 'Class Def. - General Data'!$C$20:$C$1000,1,false)</f>
        <v>ZSI1_OFFICE_ORGZ</v>
      </c>
      <c r="H11567" s="63" t="str">
        <f>IFERROR(__xludf.DUMMYFUNCTION("VLOOKUP(F11567, IMPORTRANGE(""https://docs.google.com/spreadsheets/d/1Lhp9OU0JdFf_VYSMzH5lBcEaU4o8teT1piV-SNzShjg/edit?gid=554141278#gid=554141278"", ""'Char Def. - Attributes'!C20:C2242""), 1,false)"),"VOLUME_OPT")</f>
        <v>VOLUME_OPT</v>
      </c>
      <c r="I11567" s="136"/>
      <c r="R11567" s="63" t="str">
        <f t="shared" si="60"/>
        <v>ZSI1_OFFICE_ORGZVOLUME_OPT</v>
      </c>
    </row>
    <row r="11568" ht="15.75" customHeight="1">
      <c r="B11568" s="63">
        <f t="shared" si="1"/>
        <v>16</v>
      </c>
      <c r="C11568" s="135" t="s">
        <v>429</v>
      </c>
      <c r="D11568" s="161" t="s">
        <v>74</v>
      </c>
      <c r="E11568" s="135">
        <f t="shared" si="62"/>
        <v>18</v>
      </c>
      <c r="F11568" s="134" t="s">
        <v>4059</v>
      </c>
      <c r="G11568" s="63" t="str">
        <f>VLOOKUP(C11568, 'Class Def. - General Data'!$C$20:$C$1000,1,false)</f>
        <v>ZSI1_OFFICE_ORGZ</v>
      </c>
      <c r="H11568" s="63" t="str">
        <f>IFERROR(__xludf.DUMMYFUNCTION("VLOOKUP(F11568, IMPORTRANGE(""https://docs.google.com/spreadsheets/d/1Lhp9OU0JdFf_VYSMzH5lBcEaU4o8teT1piV-SNzShjg/edit?gid=554141278#gid=554141278"", ""'Char Def. - Attributes'!C20:C2242""), 1,false)"),"VOLUME_UNIT_SI")</f>
        <v>VOLUME_UNIT_SI</v>
      </c>
      <c r="I11568" s="136"/>
      <c r="R11568" s="63" t="str">
        <f t="shared" si="60"/>
        <v>ZSI1_OFFICE_ORGZVOLUME_UNIT_SI</v>
      </c>
    </row>
    <row r="11569" ht="15.75" customHeight="1">
      <c r="B11569" s="63">
        <f t="shared" si="1"/>
        <v>16</v>
      </c>
      <c r="C11569" s="135" t="s">
        <v>429</v>
      </c>
      <c r="D11569" s="161" t="s">
        <v>74</v>
      </c>
      <c r="E11569" s="135">
        <f t="shared" si="62"/>
        <v>19</v>
      </c>
      <c r="F11569" s="134" t="s">
        <v>3804</v>
      </c>
      <c r="G11569" s="63" t="str">
        <f>VLOOKUP(C11569, 'Class Def. - General Data'!$C$20:$C$1000,1,false)</f>
        <v>ZSI1_OFFICE_ORGZ</v>
      </c>
      <c r="H11569" s="63" t="str">
        <f>IFERROR(__xludf.DUMMYFUNCTION("VLOOKUP(F11569, IMPORTRANGE(""https://docs.google.com/spreadsheets/d/1Lhp9OU0JdFf_VYSMzH5lBcEaU4o8teT1piV-SNzShjg/edit?gid=554141278#gid=554141278"", ""'Char Def. - Attributes'!C20:C2242""), 1,false)"),"ALT_UOM1_SIPI")</f>
        <v>ALT_UOM1_SIPI</v>
      </c>
      <c r="I11569" s="136"/>
      <c r="R11569" s="63" t="str">
        <f t="shared" si="60"/>
        <v>ZSI1_OFFICE_ORGZALT_UOM1_SIPI</v>
      </c>
    </row>
    <row r="11570" ht="15.75" customHeight="1">
      <c r="B11570" s="63">
        <f t="shared" si="1"/>
        <v>16</v>
      </c>
      <c r="C11570" s="135" t="s">
        <v>429</v>
      </c>
      <c r="D11570" s="161" t="s">
        <v>74</v>
      </c>
      <c r="E11570" s="135">
        <f t="shared" si="62"/>
        <v>20</v>
      </c>
      <c r="F11570" s="134" t="s">
        <v>3805</v>
      </c>
      <c r="G11570" s="63" t="str">
        <f>VLOOKUP(C11570, 'Class Def. - General Data'!$C$20:$C$1000,1,false)</f>
        <v>ZSI1_OFFICE_ORGZ</v>
      </c>
      <c r="H11570" s="63" t="str">
        <f>IFERROR(__xludf.DUMMYFUNCTION("VLOOKUP(F11570, IMPORTRANGE(""https://docs.google.com/spreadsheets/d/1Lhp9OU0JdFf_VYSMzH5lBcEaU4o8teT1piV-SNzShjg/edit?gid=554141278#gid=554141278"", ""'Char Def. - Attributes'!C20:C2242""), 1,false)"),"ALT_DENUM_UOM1")</f>
        <v>ALT_DENUM_UOM1</v>
      </c>
      <c r="I11570" s="136"/>
      <c r="R11570" s="63" t="str">
        <f t="shared" si="60"/>
        <v>ZSI1_OFFICE_ORGZALT_DENUM_UOM1</v>
      </c>
    </row>
    <row r="11571" ht="15.75" customHeight="1">
      <c r="B11571" s="63">
        <f t="shared" si="1"/>
        <v>16</v>
      </c>
      <c r="C11571" s="135" t="s">
        <v>429</v>
      </c>
      <c r="D11571" s="161" t="s">
        <v>74</v>
      </c>
      <c r="E11571" s="135">
        <f t="shared" si="62"/>
        <v>21</v>
      </c>
      <c r="F11571" s="134" t="s">
        <v>3806</v>
      </c>
      <c r="G11571" s="63" t="str">
        <f>VLOOKUP(C11571, 'Class Def. - General Data'!$C$20:$C$1000,1,false)</f>
        <v>ZSI1_OFFICE_ORGZ</v>
      </c>
      <c r="H11571" s="63" t="str">
        <f>IFERROR(__xludf.DUMMYFUNCTION("VLOOKUP(F11571, IMPORTRANGE(""https://docs.google.com/spreadsheets/d/1Lhp9OU0JdFf_VYSMzH5lBcEaU4o8teT1piV-SNzShjg/edit?gid=554141278#gid=554141278"", ""'Char Def. - Attributes'!C20:C2242""), 1,false)"),"ALT_NUM_UOM1")</f>
        <v>ALT_NUM_UOM1</v>
      </c>
      <c r="I11571" s="136"/>
      <c r="R11571" s="63" t="str">
        <f t="shared" si="60"/>
        <v>ZSI1_OFFICE_ORGZALT_NUM_UOM1</v>
      </c>
    </row>
    <row r="11572" ht="15.75" customHeight="1">
      <c r="B11572" s="63">
        <f t="shared" si="1"/>
        <v>16</v>
      </c>
      <c r="C11572" s="135" t="s">
        <v>429</v>
      </c>
      <c r="D11572" s="161" t="s">
        <v>74</v>
      </c>
      <c r="E11572" s="135">
        <f t="shared" si="62"/>
        <v>22</v>
      </c>
      <c r="F11572" s="134" t="s">
        <v>3807</v>
      </c>
      <c r="G11572" s="63" t="str">
        <f>VLOOKUP(C11572, 'Class Def. - General Data'!$C$20:$C$1000,1,false)</f>
        <v>ZSI1_OFFICE_ORGZ</v>
      </c>
      <c r="H11572" s="63" t="str">
        <f>IFERROR(__xludf.DUMMYFUNCTION("VLOOKUP(F11572, IMPORTRANGE(""https://docs.google.com/spreadsheets/d/1Lhp9OU0JdFf_VYSMzH5lBcEaU4o8teT1piV-SNzShjg/edit?gid=554141278#gid=554141278"", ""'Char Def. - Attributes'!C20:C2242""), 1,false)"),"ALT_UOM2_SIPI")</f>
        <v>ALT_UOM2_SIPI</v>
      </c>
      <c r="I11572" s="136"/>
      <c r="R11572" s="63" t="str">
        <f t="shared" si="60"/>
        <v>ZSI1_OFFICE_ORGZALT_UOM2_SIPI</v>
      </c>
    </row>
    <row r="11573" ht="15.75" customHeight="1">
      <c r="B11573" s="63">
        <f t="shared" si="1"/>
        <v>16</v>
      </c>
      <c r="C11573" s="135" t="s">
        <v>429</v>
      </c>
      <c r="D11573" s="161" t="s">
        <v>74</v>
      </c>
      <c r="E11573" s="135">
        <f t="shared" si="62"/>
        <v>23</v>
      </c>
      <c r="F11573" s="134" t="s">
        <v>3808</v>
      </c>
      <c r="G11573" s="63" t="str">
        <f>VLOOKUP(C11573, 'Class Def. - General Data'!$C$20:$C$1000,1,false)</f>
        <v>ZSI1_OFFICE_ORGZ</v>
      </c>
      <c r="H11573" s="63" t="str">
        <f>IFERROR(__xludf.DUMMYFUNCTION("VLOOKUP(F11573, IMPORTRANGE(""https://docs.google.com/spreadsheets/d/1Lhp9OU0JdFf_VYSMzH5lBcEaU4o8teT1piV-SNzShjg/edit?gid=554141278#gid=554141278"", ""'Char Def. - Attributes'!C20:C2242""), 1,false)"),"ALT_DENUM_UOM2")</f>
        <v>ALT_DENUM_UOM2</v>
      </c>
      <c r="I11573" s="136"/>
      <c r="R11573" s="63" t="str">
        <f t="shared" si="60"/>
        <v>ZSI1_OFFICE_ORGZALT_DENUM_UOM2</v>
      </c>
    </row>
    <row r="11574" ht="15.75" customHeight="1">
      <c r="B11574" s="63">
        <f t="shared" si="1"/>
        <v>16</v>
      </c>
      <c r="C11574" s="135" t="s">
        <v>429</v>
      </c>
      <c r="D11574" s="161" t="s">
        <v>74</v>
      </c>
      <c r="E11574" s="135">
        <f t="shared" si="62"/>
        <v>24</v>
      </c>
      <c r="F11574" s="134" t="s">
        <v>3809</v>
      </c>
      <c r="G11574" s="63" t="str">
        <f>VLOOKUP(C11574, 'Class Def. - General Data'!$C$20:$C$1000,1,false)</f>
        <v>ZSI1_OFFICE_ORGZ</v>
      </c>
      <c r="H11574" s="63" t="str">
        <f>IFERROR(__xludf.DUMMYFUNCTION("VLOOKUP(F11574, IMPORTRANGE(""https://docs.google.com/spreadsheets/d/1Lhp9OU0JdFf_VYSMzH5lBcEaU4o8teT1piV-SNzShjg/edit?gid=554141278#gid=554141278"", ""'Char Def. - Attributes'!C20:C2242""), 1,false)"),"ALT_NUM_UOM2")</f>
        <v>ALT_NUM_UOM2</v>
      </c>
      <c r="I11574" s="136"/>
      <c r="R11574" s="63" t="str">
        <f t="shared" si="60"/>
        <v>ZSI1_OFFICE_ORGZALT_NUM_UOM2</v>
      </c>
    </row>
    <row r="11575" ht="15.75" customHeight="1">
      <c r="B11575" s="63">
        <f t="shared" si="1"/>
        <v>16</v>
      </c>
      <c r="C11575" s="135" t="s">
        <v>429</v>
      </c>
      <c r="D11575" s="161" t="s">
        <v>74</v>
      </c>
      <c r="E11575" s="135">
        <f t="shared" si="62"/>
        <v>25</v>
      </c>
      <c r="F11575" s="134" t="s">
        <v>3810</v>
      </c>
      <c r="G11575" s="63" t="str">
        <f>VLOOKUP(C11575, 'Class Def. - General Data'!$C$20:$C$1000,1,false)</f>
        <v>ZSI1_OFFICE_ORGZ</v>
      </c>
      <c r="H11575" s="63" t="str">
        <f>IFERROR(__xludf.DUMMYFUNCTION("VLOOKUP(F11575, IMPORTRANGE(""https://docs.google.com/spreadsheets/d/1Lhp9OU0JdFf_VYSMzH5lBcEaU4o8teT1piV-SNzShjg/edit?gid=554141278#gid=554141278"", ""'Char Def. - Attributes'!C20:C2242""), 1,false)"),"ALT_UOM3_SIPI")</f>
        <v>ALT_UOM3_SIPI</v>
      </c>
      <c r="I11575" s="136"/>
      <c r="R11575" s="63" t="str">
        <f t="shared" si="60"/>
        <v>ZSI1_OFFICE_ORGZALT_UOM3_SIPI</v>
      </c>
    </row>
    <row r="11576" ht="15.75" customHeight="1">
      <c r="B11576" s="63">
        <f t="shared" si="1"/>
        <v>16</v>
      </c>
      <c r="C11576" s="135" t="s">
        <v>429</v>
      </c>
      <c r="D11576" s="161" t="s">
        <v>74</v>
      </c>
      <c r="E11576" s="135">
        <f t="shared" si="62"/>
        <v>26</v>
      </c>
      <c r="F11576" s="134" t="s">
        <v>3811</v>
      </c>
      <c r="G11576" s="63" t="str">
        <f>VLOOKUP(C11576, 'Class Def. - General Data'!$C$20:$C$1000,1,false)</f>
        <v>ZSI1_OFFICE_ORGZ</v>
      </c>
      <c r="H11576" s="63" t="str">
        <f>IFERROR(__xludf.DUMMYFUNCTION("VLOOKUP(F11576, IMPORTRANGE(""https://docs.google.com/spreadsheets/d/1Lhp9OU0JdFf_VYSMzH5lBcEaU4o8teT1piV-SNzShjg/edit?gid=554141278#gid=554141278"", ""'Char Def. - Attributes'!C20:C2242""), 1,false)"),"ALT_DENUM_UOM3")</f>
        <v>ALT_DENUM_UOM3</v>
      </c>
      <c r="I11576" s="136"/>
      <c r="R11576" s="63" t="str">
        <f t="shared" si="60"/>
        <v>ZSI1_OFFICE_ORGZALT_DENUM_UOM3</v>
      </c>
    </row>
    <row r="11577" ht="15.75" customHeight="1">
      <c r="B11577" s="63">
        <f t="shared" si="1"/>
        <v>16</v>
      </c>
      <c r="C11577" s="135" t="s">
        <v>429</v>
      </c>
      <c r="D11577" s="161" t="s">
        <v>74</v>
      </c>
      <c r="E11577" s="135">
        <f t="shared" si="62"/>
        <v>27</v>
      </c>
      <c r="F11577" s="134" t="s">
        <v>3812</v>
      </c>
      <c r="G11577" s="63" t="str">
        <f>VLOOKUP(C11577, 'Class Def. - General Data'!$C$20:$C$1000,1,false)</f>
        <v>ZSI1_OFFICE_ORGZ</v>
      </c>
      <c r="H11577" s="63" t="str">
        <f>IFERROR(__xludf.DUMMYFUNCTION("VLOOKUP(F11577, IMPORTRANGE(""https://docs.google.com/spreadsheets/d/1Lhp9OU0JdFf_VYSMzH5lBcEaU4o8teT1piV-SNzShjg/edit?gid=554141278#gid=554141278"", ""'Char Def. - Attributes'!C20:C2242""), 1,false)"),"ALT_NUM_UOM3")</f>
        <v>ALT_NUM_UOM3</v>
      </c>
      <c r="I11577" s="136"/>
      <c r="R11577" s="63" t="str">
        <f t="shared" si="60"/>
        <v>ZSI1_OFFICE_ORGZALT_NUM_UOM3</v>
      </c>
    </row>
    <row r="11578" ht="15.75" customHeight="1">
      <c r="B11578" s="63">
        <f t="shared" si="1"/>
        <v>16</v>
      </c>
      <c r="C11578" s="135" t="s">
        <v>429</v>
      </c>
      <c r="D11578" s="161" t="s">
        <v>74</v>
      </c>
      <c r="E11578" s="135">
        <f t="shared" si="62"/>
        <v>28</v>
      </c>
      <c r="F11578" s="134" t="s">
        <v>3813</v>
      </c>
      <c r="G11578" s="63" t="str">
        <f>VLOOKUP(C11578, 'Class Def. - General Data'!$C$20:$C$1000,1,false)</f>
        <v>ZSI1_OFFICE_ORGZ</v>
      </c>
      <c r="H11578" s="63" t="str">
        <f>IFERROR(__xludf.DUMMYFUNCTION("VLOOKUP(F11578, IMPORTRANGE(""https://docs.google.com/spreadsheets/d/1Lhp9OU0JdFf_VYSMzH5lBcEaU4o8teT1piV-SNzShjg/edit?gid=554141278#gid=554141278"", ""'Char Def. - Attributes'!C20:C2242""), 1,false)"),"ALT_UOM4_SIPI")</f>
        <v>ALT_UOM4_SIPI</v>
      </c>
      <c r="I11578" s="136"/>
      <c r="R11578" s="63" t="str">
        <f t="shared" si="60"/>
        <v>ZSI1_OFFICE_ORGZALT_UOM4_SIPI</v>
      </c>
    </row>
    <row r="11579" ht="15.75" customHeight="1">
      <c r="B11579" s="63">
        <f t="shared" si="1"/>
        <v>16</v>
      </c>
      <c r="C11579" s="135" t="s">
        <v>429</v>
      </c>
      <c r="D11579" s="161" t="s">
        <v>74</v>
      </c>
      <c r="E11579" s="135">
        <f t="shared" si="62"/>
        <v>29</v>
      </c>
      <c r="F11579" s="134" t="s">
        <v>3814</v>
      </c>
      <c r="G11579" s="63" t="str">
        <f>VLOOKUP(C11579, 'Class Def. - General Data'!$C$20:$C$1000,1,false)</f>
        <v>ZSI1_OFFICE_ORGZ</v>
      </c>
      <c r="H11579" s="63" t="str">
        <f>IFERROR(__xludf.DUMMYFUNCTION("VLOOKUP(F11579, IMPORTRANGE(""https://docs.google.com/spreadsheets/d/1Lhp9OU0JdFf_VYSMzH5lBcEaU4o8teT1piV-SNzShjg/edit?gid=554141278#gid=554141278"", ""'Char Def. - Attributes'!C20:C2242""), 1,false)"),"ALT_DENUM_UOM4")</f>
        <v>ALT_DENUM_UOM4</v>
      </c>
      <c r="I11579" s="136"/>
      <c r="R11579" s="63" t="str">
        <f t="shared" si="60"/>
        <v>ZSI1_OFFICE_ORGZALT_DENUM_UOM4</v>
      </c>
    </row>
    <row r="11580" ht="15.75" customHeight="1">
      <c r="B11580" s="63">
        <f t="shared" si="1"/>
        <v>16</v>
      </c>
      <c r="C11580" s="135" t="s">
        <v>429</v>
      </c>
      <c r="D11580" s="161" t="s">
        <v>74</v>
      </c>
      <c r="E11580" s="135">
        <f t="shared" si="62"/>
        <v>30</v>
      </c>
      <c r="F11580" s="134" t="s">
        <v>3815</v>
      </c>
      <c r="G11580" s="63" t="str">
        <f>VLOOKUP(C11580, 'Class Def. - General Data'!$C$20:$C$1000,1,false)</f>
        <v>ZSI1_OFFICE_ORGZ</v>
      </c>
      <c r="H11580" s="63" t="str">
        <f>IFERROR(__xludf.DUMMYFUNCTION("VLOOKUP(F11580, IMPORTRANGE(""https://docs.google.com/spreadsheets/d/1Lhp9OU0JdFf_VYSMzH5lBcEaU4o8teT1piV-SNzShjg/edit?gid=554141278#gid=554141278"", ""'Char Def. - Attributes'!C20:C2242""), 1,false)"),"ALT_NUM_UOM4")</f>
        <v>ALT_NUM_UOM4</v>
      </c>
      <c r="I11580" s="136"/>
      <c r="R11580" s="63" t="str">
        <f t="shared" si="60"/>
        <v>ZSI1_OFFICE_ORGZALT_NUM_UOM4</v>
      </c>
    </row>
    <row r="11581" ht="15.75" customHeight="1">
      <c r="B11581" s="63">
        <f t="shared" si="1"/>
        <v>16</v>
      </c>
      <c r="C11581" s="135" t="s">
        <v>429</v>
      </c>
      <c r="D11581" s="161" t="s">
        <v>74</v>
      </c>
      <c r="E11581" s="135">
        <f t="shared" si="62"/>
        <v>31</v>
      </c>
      <c r="F11581" s="134" t="s">
        <v>3816</v>
      </c>
      <c r="G11581" s="63" t="str">
        <f>VLOOKUP(C11581, 'Class Def. - General Data'!$C$20:$C$1000,1,false)</f>
        <v>ZSI1_OFFICE_ORGZ</v>
      </c>
      <c r="H11581" s="63" t="str">
        <f>IFERROR(__xludf.DUMMYFUNCTION("VLOOKUP(F11581, IMPORTRANGE(""https://docs.google.com/spreadsheets/d/1Lhp9OU0JdFf_VYSMzH5lBcEaU4o8teT1piV-SNzShjg/edit?gid=554141278#gid=554141278"", ""'Char Def. - Attributes'!C20:C2242""), 1,false)"),"ALT_UOM5_SIPI")</f>
        <v>ALT_UOM5_SIPI</v>
      </c>
      <c r="I11581" s="136"/>
      <c r="R11581" s="63" t="str">
        <f t="shared" si="60"/>
        <v>ZSI1_OFFICE_ORGZALT_UOM5_SIPI</v>
      </c>
    </row>
    <row r="11582" ht="15.75" customHeight="1">
      <c r="B11582" s="63">
        <f t="shared" si="1"/>
        <v>16</v>
      </c>
      <c r="C11582" s="135" t="s">
        <v>429</v>
      </c>
      <c r="D11582" s="161" t="s">
        <v>74</v>
      </c>
      <c r="E11582" s="135">
        <f t="shared" si="62"/>
        <v>32</v>
      </c>
      <c r="F11582" s="134" t="s">
        <v>3817</v>
      </c>
      <c r="G11582" s="63" t="str">
        <f>VLOOKUP(C11582, 'Class Def. - General Data'!$C$20:$C$1000,1,false)</f>
        <v>ZSI1_OFFICE_ORGZ</v>
      </c>
      <c r="H11582" s="63" t="str">
        <f>IFERROR(__xludf.DUMMYFUNCTION("VLOOKUP(F11582, IMPORTRANGE(""https://docs.google.com/spreadsheets/d/1Lhp9OU0JdFf_VYSMzH5lBcEaU4o8teT1piV-SNzShjg/edit?gid=554141278#gid=554141278"", ""'Char Def. - Attributes'!C20:C2242""), 1,false)"),"ALT_DENUM_UOM5")</f>
        <v>ALT_DENUM_UOM5</v>
      </c>
      <c r="I11582" s="136"/>
      <c r="R11582" s="63" t="str">
        <f t="shared" si="60"/>
        <v>ZSI1_OFFICE_ORGZALT_DENUM_UOM5</v>
      </c>
    </row>
    <row r="11583" ht="15.75" customHeight="1">
      <c r="B11583" s="63">
        <f t="shared" si="1"/>
        <v>16</v>
      </c>
      <c r="C11583" s="135" t="s">
        <v>429</v>
      </c>
      <c r="D11583" s="161" t="s">
        <v>74</v>
      </c>
      <c r="E11583" s="135">
        <f t="shared" si="62"/>
        <v>33</v>
      </c>
      <c r="F11583" s="134" t="s">
        <v>3818</v>
      </c>
      <c r="G11583" s="63" t="str">
        <f>VLOOKUP(C11583, 'Class Def. - General Data'!$C$20:$C$1000,1,false)</f>
        <v>ZSI1_OFFICE_ORGZ</v>
      </c>
      <c r="H11583" s="63" t="str">
        <f>IFERROR(__xludf.DUMMYFUNCTION("VLOOKUP(F11583, IMPORTRANGE(""https://docs.google.com/spreadsheets/d/1Lhp9OU0JdFf_VYSMzH5lBcEaU4o8teT1piV-SNzShjg/edit?gid=554141278#gid=554141278"", ""'Char Def. - Attributes'!C20:C2242""), 1,false)"),"ALT_NUM_UOM5")</f>
        <v>ALT_NUM_UOM5</v>
      </c>
      <c r="I11583" s="136"/>
      <c r="R11583" s="63" t="str">
        <f t="shared" si="60"/>
        <v>ZSI1_OFFICE_ORGZALT_NUM_UOM5</v>
      </c>
    </row>
    <row r="11584" ht="15.75" customHeight="1">
      <c r="B11584" s="63">
        <f t="shared" si="1"/>
        <v>17</v>
      </c>
      <c r="C11584" s="135" t="s">
        <v>430</v>
      </c>
      <c r="D11584" s="161" t="s">
        <v>74</v>
      </c>
      <c r="E11584" s="135">
        <f t="shared" si="62"/>
        <v>1</v>
      </c>
      <c r="F11584" s="134" t="s">
        <v>4977</v>
      </c>
      <c r="G11584" s="63" t="str">
        <f>VLOOKUP(C11584, 'Class Def. - General Data'!$C$20:$C$1000,1,false)</f>
        <v>ZSI1_OFFICE_PAPER</v>
      </c>
      <c r="H11584" s="63" t="str">
        <f>IFERROR(__xludf.DUMMYFUNCTION("VLOOKUP(F11584, IMPORTRANGE(""https://docs.google.com/spreadsheets/d/1Lhp9OU0JdFf_VYSMzH5lBcEaU4o8teT1piV-SNzShjg/edit?gid=554141278#gid=554141278"", ""'Char Def. - Attributes'!C20:C2242""), 1,false)"),"ITEM_NAME_OFFICE_PAPER")</f>
        <v>ITEM_NAME_OFFICE_PAPER</v>
      </c>
      <c r="I11584" s="136"/>
      <c r="R11584" s="63" t="str">
        <f t="shared" si="60"/>
        <v>ZSI1_OFFICE_PAPERITEM_NAME_OFFICE_PAPER</v>
      </c>
    </row>
    <row r="11585" ht="15.75" customHeight="1">
      <c r="B11585" s="63">
        <f t="shared" si="1"/>
        <v>17</v>
      </c>
      <c r="C11585" s="135" t="s">
        <v>430</v>
      </c>
      <c r="D11585" s="161" t="s">
        <v>74</v>
      </c>
      <c r="E11585" s="135">
        <f t="shared" si="62"/>
        <v>2</v>
      </c>
      <c r="F11585" s="134" t="s">
        <v>4978</v>
      </c>
      <c r="G11585" s="63" t="str">
        <f>VLOOKUP(C11585, 'Class Def. - General Data'!$C$20:$C$1000,1,false)</f>
        <v>ZSI1_OFFICE_PAPER</v>
      </c>
      <c r="H11585" s="63" t="str">
        <f>IFERROR(__xludf.DUMMYFUNCTION("VLOOKUP(F11585, IMPORTRANGE(""https://docs.google.com/spreadsheets/d/1Lhp9OU0JdFf_VYSMzH5lBcEaU4o8teT1piV-SNzShjg/edit?gid=554141278#gid=554141278"", ""'Char Def. - Attributes'!C20:C2242""), 1,false)"),"PAPER_SIZE_OFFICE_PAPER")</f>
        <v>PAPER_SIZE_OFFICE_PAPER</v>
      </c>
      <c r="I11585" s="136"/>
      <c r="R11585" s="63" t="str">
        <f t="shared" si="60"/>
        <v>ZSI1_OFFICE_PAPERPAPER_SIZE_OFFICE_PAPER</v>
      </c>
    </row>
    <row r="11586" ht="15.75" customHeight="1">
      <c r="B11586" s="63">
        <f t="shared" si="1"/>
        <v>17</v>
      </c>
      <c r="C11586" s="135" t="s">
        <v>430</v>
      </c>
      <c r="D11586" s="161" t="s">
        <v>74</v>
      </c>
      <c r="E11586" s="135">
        <f t="shared" si="62"/>
        <v>3</v>
      </c>
      <c r="F11586" s="134" t="s">
        <v>4979</v>
      </c>
      <c r="G11586" s="63" t="str">
        <f>VLOOKUP(C11586, 'Class Def. - General Data'!$C$20:$C$1000,1,false)</f>
        <v>ZSI1_OFFICE_PAPER</v>
      </c>
      <c r="H11586" s="63" t="str">
        <f>IFERROR(__xludf.DUMMYFUNCTION("VLOOKUP(F11586, IMPORTRANGE(""https://docs.google.com/spreadsheets/d/1Lhp9OU0JdFf_VYSMzH5lBcEaU4o8teT1piV-SNzShjg/edit?gid=554141278#gid=554141278"", ""'Char Def. - Attributes'!C20:C2242""), 1,false)"),"PAPER_WEIGHT_GSM_OFFICE_PAPER")</f>
        <v>PAPER_WEIGHT_GSM_OFFICE_PAPER</v>
      </c>
      <c r="I11586" s="136"/>
      <c r="R11586" s="63" t="str">
        <f t="shared" si="60"/>
        <v>ZSI1_OFFICE_PAPERPAPER_WEIGHT_GSM_OFFICE_PAPER</v>
      </c>
    </row>
    <row r="11587" ht="15.75" customHeight="1">
      <c r="B11587" s="63">
        <f t="shared" si="1"/>
        <v>17</v>
      </c>
      <c r="C11587" s="135" t="s">
        <v>430</v>
      </c>
      <c r="D11587" s="161" t="s">
        <v>74</v>
      </c>
      <c r="E11587" s="135">
        <f t="shared" si="62"/>
        <v>4</v>
      </c>
      <c r="F11587" s="134" t="s">
        <v>4062</v>
      </c>
      <c r="G11587" s="63" t="str">
        <f>VLOOKUP(C11587, 'Class Def. - General Data'!$C$20:$C$1000,1,false)</f>
        <v>ZSI1_OFFICE_PAPER</v>
      </c>
      <c r="H11587" s="63" t="str">
        <f>IFERROR(__xludf.DUMMYFUNCTION("VLOOKUP(F11587, IMPORTRANGE(""https://docs.google.com/spreadsheets/d/1Lhp9OU0JdFf_VYSMzH5lBcEaU4o8teT1piV-SNzShjg/edit?gid=554141278#gid=554141278"", ""'Char Def. - Attributes'!C20:C2242""), 1,false)"),"#N/A")</f>
        <v>#N/A</v>
      </c>
      <c r="I11587" s="136"/>
      <c r="R11587" s="63" t="str">
        <f t="shared" si="60"/>
        <v>ZSI1_OFFICE_PAPERADDTIONAL_SPECIFICATION</v>
      </c>
    </row>
    <row r="11588" ht="15.75" customHeight="1">
      <c r="B11588" s="63">
        <f t="shared" si="1"/>
        <v>17</v>
      </c>
      <c r="C11588" s="135" t="s">
        <v>430</v>
      </c>
      <c r="D11588" s="161" t="s">
        <v>74</v>
      </c>
      <c r="E11588" s="135">
        <f t="shared" si="62"/>
        <v>5</v>
      </c>
      <c r="F11588" s="134" t="s">
        <v>4053</v>
      </c>
      <c r="G11588" s="63" t="str">
        <f>VLOOKUP(C11588, 'Class Def. - General Data'!$C$20:$C$1000,1,false)</f>
        <v>ZSI1_OFFICE_PAPER</v>
      </c>
      <c r="H11588" s="63" t="str">
        <f>IFERROR(__xludf.DUMMYFUNCTION("VLOOKUP(F11588, IMPORTRANGE(""https://docs.google.com/spreadsheets/d/1Lhp9OU0JdFf_VYSMzH5lBcEaU4o8teT1piV-SNzShjg/edit?gid=554141278#gid=554141278"", ""'Char Def. - Attributes'!C20:C2242""), 1,false)"),"MAINTENANCE_ORDER_TYPE")</f>
        <v>MAINTENANCE_ORDER_TYPE</v>
      </c>
      <c r="I11588" s="136"/>
      <c r="R11588" s="63" t="str">
        <f t="shared" si="60"/>
        <v>ZSI1_OFFICE_PAPERMAINTENANCE_ORDER_TYPE</v>
      </c>
    </row>
    <row r="11589" ht="15.75" customHeight="1">
      <c r="B11589" s="63">
        <f t="shared" si="1"/>
        <v>17</v>
      </c>
      <c r="C11589" s="135" t="s">
        <v>430</v>
      </c>
      <c r="D11589" s="161" t="s">
        <v>74</v>
      </c>
      <c r="E11589" s="135">
        <f t="shared" si="62"/>
        <v>6</v>
      </c>
      <c r="F11589" s="134" t="s">
        <v>3585</v>
      </c>
      <c r="G11589" s="63" t="str">
        <f>VLOOKUP(C11589, 'Class Def. - General Data'!$C$20:$C$1000,1,false)</f>
        <v>ZSI1_OFFICE_PAPER</v>
      </c>
      <c r="H11589" s="63" t="str">
        <f>IFERROR(__xludf.DUMMYFUNCTION("VLOOKUP(F11589, IMPORTRANGE(""https://docs.google.com/spreadsheets/d/1Lhp9OU0JdFf_VYSMzH5lBcEaU4o8teT1piV-SNzShjg/edit?gid=554141278#gid=554141278"", ""'Char Def. - Attributes'!C20:C2242""), 1,false)"),"HS_CODE")</f>
        <v>HS_CODE</v>
      </c>
      <c r="I11589" s="136"/>
      <c r="R11589" s="63" t="str">
        <f t="shared" si="60"/>
        <v>ZSI1_OFFICE_PAPERHS_CODE</v>
      </c>
    </row>
    <row r="11590" ht="15.75" customHeight="1">
      <c r="B11590" s="63">
        <f t="shared" si="1"/>
        <v>17</v>
      </c>
      <c r="C11590" s="135" t="s">
        <v>430</v>
      </c>
      <c r="D11590" s="161" t="s">
        <v>74</v>
      </c>
      <c r="E11590" s="135">
        <f t="shared" si="62"/>
        <v>7</v>
      </c>
      <c r="F11590" s="134" t="s">
        <v>3587</v>
      </c>
      <c r="G11590" s="63" t="str">
        <f>VLOOKUP(C11590, 'Class Def. - General Data'!$C$20:$C$1000,1,false)</f>
        <v>ZSI1_OFFICE_PAPER</v>
      </c>
      <c r="H11590" s="63" t="str">
        <f>IFERROR(__xludf.DUMMYFUNCTION("VLOOKUP(F11590, IMPORTRANGE(""https://docs.google.com/spreadsheets/d/1Lhp9OU0JdFf_VYSMzH5lBcEaU4o8teT1piV-SNzShjg/edit?gid=554141278#gid=554141278"", ""'Char Def. - Attributes'!C20:C2242""), 1,false)"),"PLANT_BUY")</f>
        <v>PLANT_BUY</v>
      </c>
      <c r="I11590" s="136"/>
      <c r="R11590" s="63" t="str">
        <f t="shared" si="60"/>
        <v>ZSI1_OFFICE_PAPERPLANT_BUY</v>
      </c>
    </row>
    <row r="11591" ht="15.75" customHeight="1">
      <c r="B11591" s="63">
        <f t="shared" si="1"/>
        <v>17</v>
      </c>
      <c r="C11591" s="135" t="s">
        <v>430</v>
      </c>
      <c r="D11591" s="161" t="s">
        <v>74</v>
      </c>
      <c r="E11591" s="135">
        <f t="shared" si="62"/>
        <v>8</v>
      </c>
      <c r="F11591" s="134" t="s">
        <v>4980</v>
      </c>
      <c r="G11591" s="63" t="str">
        <f>VLOOKUP(C11591, 'Class Def. - General Data'!$C$20:$C$1000,1,false)</f>
        <v>ZSI1_OFFICE_PAPER</v>
      </c>
      <c r="H11591" s="63" t="str">
        <f>IFERROR(__xludf.DUMMYFUNCTION("VLOOKUP(F11591, IMPORTRANGE(""https://docs.google.com/spreadsheets/d/1Lhp9OU0JdFf_VYSMzH5lBcEaU4o8teT1piV-SNzShjg/edit?gid=554141278#gid=554141278"", ""'Char Def. - Attributes'!C20:C2242""), 1,false)"),"BASE_UOM_OFFICE_PAPER")</f>
        <v>BASE_UOM_OFFICE_PAPER</v>
      </c>
      <c r="I11591" s="136"/>
      <c r="R11591" s="63" t="str">
        <f t="shared" si="60"/>
        <v>ZSI1_OFFICE_PAPERBASE_UOM_OFFICE_PAPER</v>
      </c>
    </row>
    <row r="11592" ht="15.75" customHeight="1">
      <c r="B11592" s="63">
        <f t="shared" si="1"/>
        <v>17</v>
      </c>
      <c r="C11592" s="135" t="s">
        <v>430</v>
      </c>
      <c r="D11592" s="161" t="s">
        <v>74</v>
      </c>
      <c r="E11592" s="135">
        <f t="shared" si="62"/>
        <v>9</v>
      </c>
      <c r="F11592" s="134" t="s">
        <v>4981</v>
      </c>
      <c r="G11592" s="63" t="str">
        <f>VLOOKUP(C11592, 'Class Def. - General Data'!$C$20:$C$1000,1,false)</f>
        <v>ZSI1_OFFICE_PAPER</v>
      </c>
      <c r="H11592" s="63" t="str">
        <f>IFERROR(__xludf.DUMMYFUNCTION("VLOOKUP(F11592, IMPORTRANGE(""https://docs.google.com/spreadsheets/d/1Lhp9OU0JdFf_VYSMzH5lBcEaU4o8teT1piV-SNzShjg/edit?gid=554141278#gid=554141278"", ""'Char Def. - Attributes'!C20:C2242""), 1,false)"),"ORDER_UNIT_OFFICE_PAPER")</f>
        <v>ORDER_UNIT_OFFICE_PAPER</v>
      </c>
      <c r="I11592" s="136"/>
      <c r="R11592" s="63" t="str">
        <f t="shared" si="60"/>
        <v>ZSI1_OFFICE_PAPERORDER_UNIT_OFFICE_PAPER</v>
      </c>
    </row>
    <row r="11593" ht="15.75" customHeight="1">
      <c r="B11593" s="63">
        <f t="shared" si="1"/>
        <v>17</v>
      </c>
      <c r="C11593" s="135" t="s">
        <v>430</v>
      </c>
      <c r="D11593" s="161" t="s">
        <v>74</v>
      </c>
      <c r="E11593" s="135">
        <f t="shared" si="62"/>
        <v>10</v>
      </c>
      <c r="F11593" s="134" t="s">
        <v>4056</v>
      </c>
      <c r="G11593" s="63" t="str">
        <f>VLOOKUP(C11593, 'Class Def. - General Data'!$C$20:$C$1000,1,false)</f>
        <v>ZSI1_OFFICE_PAPER</v>
      </c>
      <c r="H11593" s="63" t="str">
        <f>IFERROR(__xludf.DUMMYFUNCTION("VLOOKUP(F11593, IMPORTRANGE(""https://docs.google.com/spreadsheets/d/1Lhp9OU0JdFf_VYSMzH5lBcEaU4o8teT1piV-SNzShjg/edit?gid=554141278#gid=554141278"", ""'Char Def. - Attributes'!C20:C2242""), 1,false)"),"GROSS_WEIGHT_OPT")</f>
        <v>GROSS_WEIGHT_OPT</v>
      </c>
      <c r="I11593" s="136"/>
      <c r="R11593" s="63" t="str">
        <f t="shared" si="60"/>
        <v>ZSI1_OFFICE_PAPERGROSS_WEIGHT_OPT</v>
      </c>
    </row>
    <row r="11594" ht="15.75" customHeight="1">
      <c r="B11594" s="63">
        <f t="shared" si="1"/>
        <v>17</v>
      </c>
      <c r="C11594" s="135" t="s">
        <v>430</v>
      </c>
      <c r="D11594" s="161" t="s">
        <v>74</v>
      </c>
      <c r="E11594" s="135">
        <f t="shared" si="62"/>
        <v>11</v>
      </c>
      <c r="F11594" s="134" t="s">
        <v>4057</v>
      </c>
      <c r="G11594" s="63" t="str">
        <f>VLOOKUP(C11594, 'Class Def. - General Data'!$C$20:$C$1000,1,false)</f>
        <v>ZSI1_OFFICE_PAPER</v>
      </c>
      <c r="H11594" s="63" t="str">
        <f>IFERROR(__xludf.DUMMYFUNCTION("VLOOKUP(F11594, IMPORTRANGE(""https://docs.google.com/spreadsheets/d/1Lhp9OU0JdFf_VYSMzH5lBcEaU4o8teT1piV-SNzShjg/edit?gid=554141278#gid=554141278"", ""'Char Def. - Attributes'!C20:C2242""), 1,false)"),"NET_WEIGHT_OPT")</f>
        <v>NET_WEIGHT_OPT</v>
      </c>
      <c r="I11594" s="136"/>
      <c r="R11594" s="63" t="str">
        <f t="shared" si="60"/>
        <v>ZSI1_OFFICE_PAPERNET_WEIGHT_OPT</v>
      </c>
    </row>
    <row r="11595" ht="15.75" customHeight="1">
      <c r="B11595" s="63">
        <f t="shared" si="1"/>
        <v>17</v>
      </c>
      <c r="C11595" s="135" t="s">
        <v>430</v>
      </c>
      <c r="D11595" s="161" t="s">
        <v>74</v>
      </c>
      <c r="E11595" s="135">
        <f t="shared" si="62"/>
        <v>12</v>
      </c>
      <c r="F11595" s="134" t="s">
        <v>4058</v>
      </c>
      <c r="G11595" s="63" t="str">
        <f>VLOOKUP(C11595, 'Class Def. - General Data'!$C$20:$C$1000,1,false)</f>
        <v>ZSI1_OFFICE_PAPER</v>
      </c>
      <c r="H11595" s="63" t="str">
        <f>IFERROR(__xludf.DUMMYFUNCTION("VLOOKUP(F11595, IMPORTRANGE(""https://docs.google.com/spreadsheets/d/1Lhp9OU0JdFf_VYSMzH5lBcEaU4o8teT1piV-SNzShjg/edit?gid=554141278#gid=554141278"", ""'Char Def. - Attributes'!C20:C2242""), 1,false)"),"WEIGHT_UNIT_SI")</f>
        <v>WEIGHT_UNIT_SI</v>
      </c>
      <c r="I11595" s="136"/>
      <c r="R11595" s="63" t="str">
        <f t="shared" si="60"/>
        <v>ZSI1_OFFICE_PAPERWEIGHT_UNIT_SI</v>
      </c>
    </row>
    <row r="11596" ht="15.75" customHeight="1">
      <c r="B11596" s="63">
        <f t="shared" si="1"/>
        <v>17</v>
      </c>
      <c r="C11596" s="135" t="s">
        <v>430</v>
      </c>
      <c r="D11596" s="161" t="s">
        <v>74</v>
      </c>
      <c r="E11596" s="135">
        <f t="shared" si="62"/>
        <v>13</v>
      </c>
      <c r="F11596" s="134" t="s">
        <v>3877</v>
      </c>
      <c r="G11596" s="63" t="str">
        <f>VLOOKUP(C11596, 'Class Def. - General Data'!$C$20:$C$1000,1,false)</f>
        <v>ZSI1_OFFICE_PAPER</v>
      </c>
      <c r="H11596" s="63" t="str">
        <f>IFERROR(__xludf.DUMMYFUNCTION("VLOOKUP(F11596, IMPORTRANGE(""https://docs.google.com/spreadsheets/d/1Lhp9OU0JdFf_VYSMzH5lBcEaU4o8teT1piV-SNzShjg/edit?gid=554141278#gid=554141278"", ""'Char Def. - Attributes'!C20:C2242""), 1,false)"),"VOLUME_OPT")</f>
        <v>VOLUME_OPT</v>
      </c>
      <c r="I11596" s="136"/>
      <c r="R11596" s="63" t="str">
        <f t="shared" si="60"/>
        <v>ZSI1_OFFICE_PAPERVOLUME_OPT</v>
      </c>
    </row>
    <row r="11597" ht="15.75" customHeight="1">
      <c r="B11597" s="63">
        <f t="shared" si="1"/>
        <v>17</v>
      </c>
      <c r="C11597" s="135" t="s">
        <v>430</v>
      </c>
      <c r="D11597" s="161" t="s">
        <v>74</v>
      </c>
      <c r="E11597" s="135">
        <f t="shared" si="62"/>
        <v>14</v>
      </c>
      <c r="F11597" s="134" t="s">
        <v>4059</v>
      </c>
      <c r="G11597" s="63" t="str">
        <f>VLOOKUP(C11597, 'Class Def. - General Data'!$C$20:$C$1000,1,false)</f>
        <v>ZSI1_OFFICE_PAPER</v>
      </c>
      <c r="H11597" s="63" t="str">
        <f>IFERROR(__xludf.DUMMYFUNCTION("VLOOKUP(F11597, IMPORTRANGE(""https://docs.google.com/spreadsheets/d/1Lhp9OU0JdFf_VYSMzH5lBcEaU4o8teT1piV-SNzShjg/edit?gid=554141278#gid=554141278"", ""'Char Def. - Attributes'!C20:C2242""), 1,false)"),"VOLUME_UNIT_SI")</f>
        <v>VOLUME_UNIT_SI</v>
      </c>
      <c r="I11597" s="136"/>
      <c r="R11597" s="63" t="str">
        <f t="shared" si="60"/>
        <v>ZSI1_OFFICE_PAPERVOLUME_UNIT_SI</v>
      </c>
    </row>
    <row r="11598" ht="15.75" customHeight="1">
      <c r="B11598" s="63">
        <f t="shared" si="1"/>
        <v>17</v>
      </c>
      <c r="C11598" s="135" t="s">
        <v>430</v>
      </c>
      <c r="D11598" s="161" t="s">
        <v>74</v>
      </c>
      <c r="E11598" s="135">
        <f t="shared" si="62"/>
        <v>15</v>
      </c>
      <c r="F11598" s="134" t="s">
        <v>3804</v>
      </c>
      <c r="G11598" s="63" t="str">
        <f>VLOOKUP(C11598, 'Class Def. - General Data'!$C$20:$C$1000,1,false)</f>
        <v>ZSI1_OFFICE_PAPER</v>
      </c>
      <c r="H11598" s="63" t="str">
        <f>IFERROR(__xludf.DUMMYFUNCTION("VLOOKUP(F11598, IMPORTRANGE(""https://docs.google.com/spreadsheets/d/1Lhp9OU0JdFf_VYSMzH5lBcEaU4o8teT1piV-SNzShjg/edit?gid=554141278#gid=554141278"", ""'Char Def. - Attributes'!C20:C2242""), 1,false)"),"ALT_UOM1_SIPI")</f>
        <v>ALT_UOM1_SIPI</v>
      </c>
      <c r="I11598" s="136"/>
      <c r="R11598" s="63" t="str">
        <f t="shared" si="60"/>
        <v>ZSI1_OFFICE_PAPERALT_UOM1_SIPI</v>
      </c>
    </row>
    <row r="11599" ht="15.75" customHeight="1">
      <c r="B11599" s="63">
        <f t="shared" si="1"/>
        <v>17</v>
      </c>
      <c r="C11599" s="135" t="s">
        <v>430</v>
      </c>
      <c r="D11599" s="161" t="s">
        <v>74</v>
      </c>
      <c r="E11599" s="135">
        <f t="shared" si="62"/>
        <v>16</v>
      </c>
      <c r="F11599" s="134" t="s">
        <v>3805</v>
      </c>
      <c r="G11599" s="63" t="str">
        <f>VLOOKUP(C11599, 'Class Def. - General Data'!$C$20:$C$1000,1,false)</f>
        <v>ZSI1_OFFICE_PAPER</v>
      </c>
      <c r="H11599" s="63" t="str">
        <f>IFERROR(__xludf.DUMMYFUNCTION("VLOOKUP(F11599, IMPORTRANGE(""https://docs.google.com/spreadsheets/d/1Lhp9OU0JdFf_VYSMzH5lBcEaU4o8teT1piV-SNzShjg/edit?gid=554141278#gid=554141278"", ""'Char Def. - Attributes'!C20:C2242""), 1,false)"),"ALT_DENUM_UOM1")</f>
        <v>ALT_DENUM_UOM1</v>
      </c>
      <c r="I11599" s="136"/>
      <c r="R11599" s="63" t="str">
        <f t="shared" si="60"/>
        <v>ZSI1_OFFICE_PAPERALT_DENUM_UOM1</v>
      </c>
    </row>
    <row r="11600" ht="15.75" customHeight="1">
      <c r="B11600" s="63">
        <f t="shared" si="1"/>
        <v>17</v>
      </c>
      <c r="C11600" s="135" t="s">
        <v>430</v>
      </c>
      <c r="D11600" s="161" t="s">
        <v>74</v>
      </c>
      <c r="E11600" s="135">
        <f t="shared" si="62"/>
        <v>17</v>
      </c>
      <c r="F11600" s="134" t="s">
        <v>3806</v>
      </c>
      <c r="G11600" s="63" t="str">
        <f>VLOOKUP(C11600, 'Class Def. - General Data'!$C$20:$C$1000,1,false)</f>
        <v>ZSI1_OFFICE_PAPER</v>
      </c>
      <c r="H11600" s="63" t="str">
        <f>IFERROR(__xludf.DUMMYFUNCTION("VLOOKUP(F11600, IMPORTRANGE(""https://docs.google.com/spreadsheets/d/1Lhp9OU0JdFf_VYSMzH5lBcEaU4o8teT1piV-SNzShjg/edit?gid=554141278#gid=554141278"", ""'Char Def. - Attributes'!C20:C2242""), 1,false)"),"ALT_NUM_UOM1")</f>
        <v>ALT_NUM_UOM1</v>
      </c>
      <c r="I11600" s="136"/>
      <c r="R11600" s="63" t="str">
        <f t="shared" si="60"/>
        <v>ZSI1_OFFICE_PAPERALT_NUM_UOM1</v>
      </c>
    </row>
    <row r="11601" ht="15.75" customHeight="1">
      <c r="B11601" s="63">
        <f t="shared" si="1"/>
        <v>17</v>
      </c>
      <c r="C11601" s="135" t="s">
        <v>430</v>
      </c>
      <c r="D11601" s="161" t="s">
        <v>74</v>
      </c>
      <c r="E11601" s="135">
        <f t="shared" si="62"/>
        <v>18</v>
      </c>
      <c r="F11601" s="134" t="s">
        <v>3807</v>
      </c>
      <c r="G11601" s="63" t="str">
        <f>VLOOKUP(C11601, 'Class Def. - General Data'!$C$20:$C$1000,1,false)</f>
        <v>ZSI1_OFFICE_PAPER</v>
      </c>
      <c r="H11601" s="63" t="str">
        <f>IFERROR(__xludf.DUMMYFUNCTION("VLOOKUP(F11601, IMPORTRANGE(""https://docs.google.com/spreadsheets/d/1Lhp9OU0JdFf_VYSMzH5lBcEaU4o8teT1piV-SNzShjg/edit?gid=554141278#gid=554141278"", ""'Char Def. - Attributes'!C20:C2242""), 1,false)"),"ALT_UOM2_SIPI")</f>
        <v>ALT_UOM2_SIPI</v>
      </c>
      <c r="I11601" s="136"/>
      <c r="R11601" s="63" t="str">
        <f t="shared" si="60"/>
        <v>ZSI1_OFFICE_PAPERALT_UOM2_SIPI</v>
      </c>
    </row>
    <row r="11602" ht="15.75" customHeight="1">
      <c r="B11602" s="63">
        <f t="shared" si="1"/>
        <v>17</v>
      </c>
      <c r="C11602" s="135" t="s">
        <v>430</v>
      </c>
      <c r="D11602" s="161" t="s">
        <v>74</v>
      </c>
      <c r="E11602" s="135">
        <f t="shared" si="62"/>
        <v>19</v>
      </c>
      <c r="F11602" s="134" t="s">
        <v>3808</v>
      </c>
      <c r="G11602" s="63" t="str">
        <f>VLOOKUP(C11602, 'Class Def. - General Data'!$C$20:$C$1000,1,false)</f>
        <v>ZSI1_OFFICE_PAPER</v>
      </c>
      <c r="H11602" s="63" t="str">
        <f>IFERROR(__xludf.DUMMYFUNCTION("VLOOKUP(F11602, IMPORTRANGE(""https://docs.google.com/spreadsheets/d/1Lhp9OU0JdFf_VYSMzH5lBcEaU4o8teT1piV-SNzShjg/edit?gid=554141278#gid=554141278"", ""'Char Def. - Attributes'!C20:C2242""), 1,false)"),"ALT_DENUM_UOM2")</f>
        <v>ALT_DENUM_UOM2</v>
      </c>
      <c r="I11602" s="136"/>
      <c r="R11602" s="63" t="str">
        <f t="shared" si="60"/>
        <v>ZSI1_OFFICE_PAPERALT_DENUM_UOM2</v>
      </c>
    </row>
    <row r="11603" ht="15.75" customHeight="1">
      <c r="B11603" s="63">
        <f t="shared" si="1"/>
        <v>17</v>
      </c>
      <c r="C11603" s="135" t="s">
        <v>430</v>
      </c>
      <c r="D11603" s="161" t="s">
        <v>74</v>
      </c>
      <c r="E11603" s="135">
        <f t="shared" si="62"/>
        <v>20</v>
      </c>
      <c r="F11603" s="134" t="s">
        <v>3809</v>
      </c>
      <c r="G11603" s="63" t="str">
        <f>VLOOKUP(C11603, 'Class Def. - General Data'!$C$20:$C$1000,1,false)</f>
        <v>ZSI1_OFFICE_PAPER</v>
      </c>
      <c r="H11603" s="63" t="str">
        <f>IFERROR(__xludf.DUMMYFUNCTION("VLOOKUP(F11603, IMPORTRANGE(""https://docs.google.com/spreadsheets/d/1Lhp9OU0JdFf_VYSMzH5lBcEaU4o8teT1piV-SNzShjg/edit?gid=554141278#gid=554141278"", ""'Char Def. - Attributes'!C20:C2242""), 1,false)"),"ALT_NUM_UOM2")</f>
        <v>ALT_NUM_UOM2</v>
      </c>
      <c r="I11603" s="136"/>
      <c r="R11603" s="63" t="str">
        <f t="shared" si="60"/>
        <v>ZSI1_OFFICE_PAPERALT_NUM_UOM2</v>
      </c>
    </row>
    <row r="11604" ht="15.75" customHeight="1">
      <c r="B11604" s="63">
        <f t="shared" si="1"/>
        <v>17</v>
      </c>
      <c r="C11604" s="135" t="s">
        <v>430</v>
      </c>
      <c r="D11604" s="161" t="s">
        <v>74</v>
      </c>
      <c r="E11604" s="135">
        <f t="shared" si="62"/>
        <v>21</v>
      </c>
      <c r="F11604" s="134" t="s">
        <v>3810</v>
      </c>
      <c r="G11604" s="63" t="str">
        <f>VLOOKUP(C11604, 'Class Def. - General Data'!$C$20:$C$1000,1,false)</f>
        <v>ZSI1_OFFICE_PAPER</v>
      </c>
      <c r="H11604" s="63" t="str">
        <f>IFERROR(__xludf.DUMMYFUNCTION("VLOOKUP(F11604, IMPORTRANGE(""https://docs.google.com/spreadsheets/d/1Lhp9OU0JdFf_VYSMzH5lBcEaU4o8teT1piV-SNzShjg/edit?gid=554141278#gid=554141278"", ""'Char Def. - Attributes'!C20:C2242""), 1,false)"),"ALT_UOM3_SIPI")</f>
        <v>ALT_UOM3_SIPI</v>
      </c>
      <c r="I11604" s="136"/>
      <c r="R11604" s="63" t="str">
        <f t="shared" si="60"/>
        <v>ZSI1_OFFICE_PAPERALT_UOM3_SIPI</v>
      </c>
    </row>
    <row r="11605" ht="15.75" customHeight="1">
      <c r="B11605" s="63">
        <f t="shared" si="1"/>
        <v>17</v>
      </c>
      <c r="C11605" s="135" t="s">
        <v>430</v>
      </c>
      <c r="D11605" s="161" t="s">
        <v>74</v>
      </c>
      <c r="E11605" s="135">
        <f t="shared" si="62"/>
        <v>22</v>
      </c>
      <c r="F11605" s="134" t="s">
        <v>3811</v>
      </c>
      <c r="G11605" s="63" t="str">
        <f>VLOOKUP(C11605, 'Class Def. - General Data'!$C$20:$C$1000,1,false)</f>
        <v>ZSI1_OFFICE_PAPER</v>
      </c>
      <c r="H11605" s="63" t="str">
        <f>IFERROR(__xludf.DUMMYFUNCTION("VLOOKUP(F11605, IMPORTRANGE(""https://docs.google.com/spreadsheets/d/1Lhp9OU0JdFf_VYSMzH5lBcEaU4o8teT1piV-SNzShjg/edit?gid=554141278#gid=554141278"", ""'Char Def. - Attributes'!C20:C2242""), 1,false)"),"ALT_DENUM_UOM3")</f>
        <v>ALT_DENUM_UOM3</v>
      </c>
      <c r="I11605" s="136"/>
      <c r="R11605" s="63" t="str">
        <f t="shared" si="60"/>
        <v>ZSI1_OFFICE_PAPERALT_DENUM_UOM3</v>
      </c>
    </row>
    <row r="11606" ht="15.75" customHeight="1">
      <c r="B11606" s="63">
        <f t="shared" si="1"/>
        <v>17</v>
      </c>
      <c r="C11606" s="135" t="s">
        <v>430</v>
      </c>
      <c r="D11606" s="161" t="s">
        <v>74</v>
      </c>
      <c r="E11606" s="135">
        <f t="shared" si="62"/>
        <v>23</v>
      </c>
      <c r="F11606" s="134" t="s">
        <v>3812</v>
      </c>
      <c r="G11606" s="63" t="str">
        <f>VLOOKUP(C11606, 'Class Def. - General Data'!$C$20:$C$1000,1,false)</f>
        <v>ZSI1_OFFICE_PAPER</v>
      </c>
      <c r="H11606" s="63" t="str">
        <f>IFERROR(__xludf.DUMMYFUNCTION("VLOOKUP(F11606, IMPORTRANGE(""https://docs.google.com/spreadsheets/d/1Lhp9OU0JdFf_VYSMzH5lBcEaU4o8teT1piV-SNzShjg/edit?gid=554141278#gid=554141278"", ""'Char Def. - Attributes'!C20:C2242""), 1,false)"),"ALT_NUM_UOM3")</f>
        <v>ALT_NUM_UOM3</v>
      </c>
      <c r="I11606" s="136"/>
      <c r="R11606" s="63" t="str">
        <f t="shared" si="60"/>
        <v>ZSI1_OFFICE_PAPERALT_NUM_UOM3</v>
      </c>
    </row>
    <row r="11607" ht="15.75" customHeight="1">
      <c r="B11607" s="63">
        <f t="shared" si="1"/>
        <v>17</v>
      </c>
      <c r="C11607" s="135" t="s">
        <v>430</v>
      </c>
      <c r="D11607" s="161" t="s">
        <v>74</v>
      </c>
      <c r="E11607" s="135">
        <f t="shared" si="62"/>
        <v>24</v>
      </c>
      <c r="F11607" s="134" t="s">
        <v>3813</v>
      </c>
      <c r="G11607" s="63" t="str">
        <f>VLOOKUP(C11607, 'Class Def. - General Data'!$C$20:$C$1000,1,false)</f>
        <v>ZSI1_OFFICE_PAPER</v>
      </c>
      <c r="H11607" s="63" t="str">
        <f>IFERROR(__xludf.DUMMYFUNCTION("VLOOKUP(F11607, IMPORTRANGE(""https://docs.google.com/spreadsheets/d/1Lhp9OU0JdFf_VYSMzH5lBcEaU4o8teT1piV-SNzShjg/edit?gid=554141278#gid=554141278"", ""'Char Def. - Attributes'!C20:C2242""), 1,false)"),"ALT_UOM4_SIPI")</f>
        <v>ALT_UOM4_SIPI</v>
      </c>
      <c r="I11607" s="136"/>
      <c r="R11607" s="63" t="str">
        <f t="shared" si="60"/>
        <v>ZSI1_OFFICE_PAPERALT_UOM4_SIPI</v>
      </c>
    </row>
    <row r="11608" ht="15.75" customHeight="1">
      <c r="B11608" s="63">
        <f t="shared" si="1"/>
        <v>17</v>
      </c>
      <c r="C11608" s="135" t="s">
        <v>430</v>
      </c>
      <c r="D11608" s="161" t="s">
        <v>74</v>
      </c>
      <c r="E11608" s="135">
        <f t="shared" si="62"/>
        <v>25</v>
      </c>
      <c r="F11608" s="134" t="s">
        <v>3814</v>
      </c>
      <c r="G11608" s="63" t="str">
        <f>VLOOKUP(C11608, 'Class Def. - General Data'!$C$20:$C$1000,1,false)</f>
        <v>ZSI1_OFFICE_PAPER</v>
      </c>
      <c r="H11608" s="63" t="str">
        <f>IFERROR(__xludf.DUMMYFUNCTION("VLOOKUP(F11608, IMPORTRANGE(""https://docs.google.com/spreadsheets/d/1Lhp9OU0JdFf_VYSMzH5lBcEaU4o8teT1piV-SNzShjg/edit?gid=554141278#gid=554141278"", ""'Char Def. - Attributes'!C20:C2242""), 1,false)"),"ALT_DENUM_UOM4")</f>
        <v>ALT_DENUM_UOM4</v>
      </c>
      <c r="I11608" s="136"/>
      <c r="R11608" s="63" t="str">
        <f t="shared" si="60"/>
        <v>ZSI1_OFFICE_PAPERALT_DENUM_UOM4</v>
      </c>
    </row>
    <row r="11609" ht="15.75" customHeight="1">
      <c r="B11609" s="63">
        <f t="shared" si="1"/>
        <v>17</v>
      </c>
      <c r="C11609" s="135" t="s">
        <v>430</v>
      </c>
      <c r="D11609" s="161" t="s">
        <v>74</v>
      </c>
      <c r="E11609" s="135">
        <f t="shared" si="62"/>
        <v>26</v>
      </c>
      <c r="F11609" s="134" t="s">
        <v>3815</v>
      </c>
      <c r="G11609" s="63" t="str">
        <f>VLOOKUP(C11609, 'Class Def. - General Data'!$C$20:$C$1000,1,false)</f>
        <v>ZSI1_OFFICE_PAPER</v>
      </c>
      <c r="H11609" s="63" t="str">
        <f>IFERROR(__xludf.DUMMYFUNCTION("VLOOKUP(F11609, IMPORTRANGE(""https://docs.google.com/spreadsheets/d/1Lhp9OU0JdFf_VYSMzH5lBcEaU4o8teT1piV-SNzShjg/edit?gid=554141278#gid=554141278"", ""'Char Def. - Attributes'!C20:C2242""), 1,false)"),"ALT_NUM_UOM4")</f>
        <v>ALT_NUM_UOM4</v>
      </c>
      <c r="I11609" s="136"/>
      <c r="R11609" s="63" t="str">
        <f t="shared" si="60"/>
        <v>ZSI1_OFFICE_PAPERALT_NUM_UOM4</v>
      </c>
    </row>
    <row r="11610" ht="15.75" customHeight="1">
      <c r="B11610" s="63">
        <f t="shared" si="1"/>
        <v>17</v>
      </c>
      <c r="C11610" s="135" t="s">
        <v>430</v>
      </c>
      <c r="D11610" s="161" t="s">
        <v>74</v>
      </c>
      <c r="E11610" s="135">
        <f t="shared" si="62"/>
        <v>27</v>
      </c>
      <c r="F11610" s="134" t="s">
        <v>3816</v>
      </c>
      <c r="G11610" s="63" t="str">
        <f>VLOOKUP(C11610, 'Class Def. - General Data'!$C$20:$C$1000,1,false)</f>
        <v>ZSI1_OFFICE_PAPER</v>
      </c>
      <c r="H11610" s="63" t="str">
        <f>IFERROR(__xludf.DUMMYFUNCTION("VLOOKUP(F11610, IMPORTRANGE(""https://docs.google.com/spreadsheets/d/1Lhp9OU0JdFf_VYSMzH5lBcEaU4o8teT1piV-SNzShjg/edit?gid=554141278#gid=554141278"", ""'Char Def. - Attributes'!C20:C2242""), 1,false)"),"ALT_UOM5_SIPI")</f>
        <v>ALT_UOM5_SIPI</v>
      </c>
      <c r="I11610" s="136"/>
      <c r="R11610" s="63" t="str">
        <f t="shared" si="60"/>
        <v>ZSI1_OFFICE_PAPERALT_UOM5_SIPI</v>
      </c>
    </row>
    <row r="11611" ht="15.75" customHeight="1">
      <c r="B11611" s="63">
        <f t="shared" si="1"/>
        <v>17</v>
      </c>
      <c r="C11611" s="135" t="s">
        <v>430</v>
      </c>
      <c r="D11611" s="161" t="s">
        <v>74</v>
      </c>
      <c r="E11611" s="135">
        <f t="shared" si="62"/>
        <v>28</v>
      </c>
      <c r="F11611" s="134" t="s">
        <v>3817</v>
      </c>
      <c r="G11611" s="63" t="str">
        <f>VLOOKUP(C11611, 'Class Def. - General Data'!$C$20:$C$1000,1,false)</f>
        <v>ZSI1_OFFICE_PAPER</v>
      </c>
      <c r="H11611" s="63" t="str">
        <f>IFERROR(__xludf.DUMMYFUNCTION("VLOOKUP(F11611, IMPORTRANGE(""https://docs.google.com/spreadsheets/d/1Lhp9OU0JdFf_VYSMzH5lBcEaU4o8teT1piV-SNzShjg/edit?gid=554141278#gid=554141278"", ""'Char Def. - Attributes'!C20:C2242""), 1,false)"),"ALT_DENUM_UOM5")</f>
        <v>ALT_DENUM_UOM5</v>
      </c>
      <c r="I11611" s="136"/>
      <c r="R11611" s="63" t="str">
        <f t="shared" si="60"/>
        <v>ZSI1_OFFICE_PAPERALT_DENUM_UOM5</v>
      </c>
    </row>
    <row r="11612" ht="15.75" customHeight="1">
      <c r="B11612" s="63">
        <f t="shared" si="1"/>
        <v>17</v>
      </c>
      <c r="C11612" s="135" t="s">
        <v>430</v>
      </c>
      <c r="D11612" s="161" t="s">
        <v>74</v>
      </c>
      <c r="E11612" s="135">
        <f t="shared" si="62"/>
        <v>29</v>
      </c>
      <c r="F11612" s="134" t="s">
        <v>3818</v>
      </c>
      <c r="G11612" s="63" t="str">
        <f>VLOOKUP(C11612, 'Class Def. - General Data'!$C$20:$C$1000,1,false)</f>
        <v>ZSI1_OFFICE_PAPER</v>
      </c>
      <c r="H11612" s="63" t="str">
        <f>IFERROR(__xludf.DUMMYFUNCTION("VLOOKUP(F11612, IMPORTRANGE(""https://docs.google.com/spreadsheets/d/1Lhp9OU0JdFf_VYSMzH5lBcEaU4o8teT1piV-SNzShjg/edit?gid=554141278#gid=554141278"", ""'Char Def. - Attributes'!C20:C2242""), 1,false)"),"ALT_NUM_UOM5")</f>
        <v>ALT_NUM_UOM5</v>
      </c>
      <c r="I11612" s="136"/>
      <c r="R11612" s="63" t="str">
        <f t="shared" si="60"/>
        <v>ZSI1_OFFICE_PAPERALT_NUM_UOM5</v>
      </c>
    </row>
    <row r="11613" ht="15.75" customHeight="1">
      <c r="B11613" s="63">
        <f t="shared" si="1"/>
        <v>16</v>
      </c>
      <c r="C11613" s="135" t="s">
        <v>431</v>
      </c>
      <c r="D11613" s="161" t="s">
        <v>74</v>
      </c>
      <c r="E11613" s="135">
        <f t="shared" si="62"/>
        <v>1</v>
      </c>
      <c r="F11613" s="134" t="s">
        <v>4982</v>
      </c>
      <c r="G11613" s="63" t="str">
        <f>VLOOKUP(C11613, 'Class Def. - General Data'!$C$20:$C$1000,1,false)</f>
        <v>ZSI1_OFFICE_SUPP</v>
      </c>
      <c r="H11613" s="63" t="str">
        <f>IFERROR(__xludf.DUMMYFUNCTION("VLOOKUP(F11613, IMPORTRANGE(""https://docs.google.com/spreadsheets/d/1Lhp9OU0JdFf_VYSMzH5lBcEaU4o8teT1piV-SNzShjg/edit?gid=554141278#gid=554141278"", ""'Char Def. - Attributes'!C20:C2242""), 1,false)"),"ITEM_NAME_OFFICE_SUPP")</f>
        <v>ITEM_NAME_OFFICE_SUPP</v>
      </c>
      <c r="I11613" s="136"/>
      <c r="R11613" s="63" t="str">
        <f t="shared" si="60"/>
        <v>ZSI1_OFFICE_SUPPITEM_NAME_OFFICE_SUPP</v>
      </c>
    </row>
    <row r="11614" ht="15.75" customHeight="1">
      <c r="B11614" s="63">
        <f t="shared" si="1"/>
        <v>16</v>
      </c>
      <c r="C11614" s="135" t="s">
        <v>431</v>
      </c>
      <c r="D11614" s="161" t="s">
        <v>74</v>
      </c>
      <c r="E11614" s="135">
        <f t="shared" si="62"/>
        <v>2</v>
      </c>
      <c r="F11614" s="134" t="s">
        <v>4983</v>
      </c>
      <c r="G11614" s="63" t="str">
        <f>VLOOKUP(C11614, 'Class Def. - General Data'!$C$20:$C$1000,1,false)</f>
        <v>ZSI1_OFFICE_SUPP</v>
      </c>
      <c r="H11614" s="63" t="str">
        <f>IFERROR(__xludf.DUMMYFUNCTION("VLOOKUP(F11614, IMPORTRANGE(""https://docs.google.com/spreadsheets/d/1Lhp9OU0JdFf_VYSMzH5lBcEaU4o8teT1piV-SNzShjg/edit?gid=554141278#gid=554141278"", ""'Char Def. - Attributes'!C20:C2242""), 1,false)"),"SERIES_OFFICE_SUPP")</f>
        <v>SERIES_OFFICE_SUPP</v>
      </c>
      <c r="I11614" s="136"/>
      <c r="R11614" s="63" t="str">
        <f t="shared" si="60"/>
        <v>ZSI1_OFFICE_SUPPSERIES_OFFICE_SUPP</v>
      </c>
    </row>
    <row r="11615" ht="15.75" customHeight="1">
      <c r="B11615" s="63">
        <f t="shared" si="1"/>
        <v>16</v>
      </c>
      <c r="C11615" s="135" t="s">
        <v>431</v>
      </c>
      <c r="D11615" s="161" t="s">
        <v>74</v>
      </c>
      <c r="E11615" s="135">
        <f t="shared" si="62"/>
        <v>3</v>
      </c>
      <c r="F11615" s="134" t="s">
        <v>4541</v>
      </c>
      <c r="G11615" s="63" t="str">
        <f>VLOOKUP(C11615, 'Class Def. - General Data'!$C$20:$C$1000,1,false)</f>
        <v>ZSI1_OFFICE_SUPP</v>
      </c>
      <c r="H11615" s="63" t="str">
        <f>IFERROR(__xludf.DUMMYFUNCTION("VLOOKUP(F11615, IMPORTRANGE(""https://docs.google.com/spreadsheets/d/1Lhp9OU0JdFf_VYSMzH5lBcEaU4o8teT1piV-SNzShjg/edit?gid=554141278#gid=554141278"", ""'Char Def. - Attributes'!C20:C2242""), 1,false)"),"PERLU_BRAND")</f>
        <v>PERLU_BRAND</v>
      </c>
      <c r="I11615" s="136"/>
      <c r="R11615" s="63" t="str">
        <f t="shared" si="60"/>
        <v>ZSI1_OFFICE_SUPPPERLU_BRAND</v>
      </c>
    </row>
    <row r="11616" ht="15.75" customHeight="1">
      <c r="B11616" s="63">
        <f t="shared" si="1"/>
        <v>16</v>
      </c>
      <c r="C11616" s="135" t="s">
        <v>431</v>
      </c>
      <c r="D11616" s="161" t="s">
        <v>74</v>
      </c>
      <c r="E11616" s="135">
        <f t="shared" si="62"/>
        <v>4</v>
      </c>
      <c r="F11616" s="134" t="s">
        <v>3782</v>
      </c>
      <c r="G11616" s="63" t="str">
        <f>VLOOKUP(C11616, 'Class Def. - General Data'!$C$20:$C$1000,1,false)</f>
        <v>ZSI1_OFFICE_SUPP</v>
      </c>
      <c r="H11616" s="63" t="str">
        <f>IFERROR(__xludf.DUMMYFUNCTION("VLOOKUP(F11616, IMPORTRANGE(""https://docs.google.com/spreadsheets/d/1Lhp9OU0JdFf_VYSMzH5lBcEaU4o8teT1piV-SNzShjg/edit?gid=554141278#gid=554141278"", ""'Char Def. - Attributes'!C20:C2242""), 1,false)"),"BRAND_EXTERNAL")</f>
        <v>BRAND_EXTERNAL</v>
      </c>
      <c r="I11616" s="136"/>
      <c r="R11616" s="63" t="str">
        <f t="shared" si="60"/>
        <v>ZSI1_OFFICE_SUPPBRAND_EXTERNAL</v>
      </c>
    </row>
    <row r="11617" ht="15.75" customHeight="1">
      <c r="B11617" s="63">
        <f t="shared" si="1"/>
        <v>16</v>
      </c>
      <c r="C11617" s="135" t="s">
        <v>431</v>
      </c>
      <c r="D11617" s="161" t="s">
        <v>74</v>
      </c>
      <c r="E11617" s="135">
        <f t="shared" si="62"/>
        <v>5</v>
      </c>
      <c r="F11617" s="134" t="s">
        <v>4984</v>
      </c>
      <c r="G11617" s="63" t="str">
        <f>VLOOKUP(C11617, 'Class Def. - General Data'!$C$20:$C$1000,1,false)</f>
        <v>ZSI1_OFFICE_SUPP</v>
      </c>
      <c r="H11617" s="63" t="str">
        <f>IFERROR(__xludf.DUMMYFUNCTION("VLOOKUP(F11617, IMPORTRANGE(""https://docs.google.com/spreadsheets/d/1Lhp9OU0JdFf_VYSMzH5lBcEaU4o8teT1piV-SNzShjg/edit?gid=554141278#gid=554141278"", ""'Char Def. - Attributes'!C20:C2242""), 1,false)"),"ISI_PER_PAC_OFFICE_SUPP")</f>
        <v>ISI_PER_PAC_OFFICE_SUPP</v>
      </c>
      <c r="I11617" s="136"/>
      <c r="R11617" s="63" t="str">
        <f t="shared" si="60"/>
        <v>ZSI1_OFFICE_SUPPISI_PER_PAC_OFFICE_SUPP</v>
      </c>
    </row>
    <row r="11618" ht="15.75" customHeight="1">
      <c r="B11618" s="63">
        <f t="shared" si="1"/>
        <v>16</v>
      </c>
      <c r="C11618" s="135" t="s">
        <v>431</v>
      </c>
      <c r="D11618" s="161" t="s">
        <v>74</v>
      </c>
      <c r="E11618" s="135">
        <f t="shared" si="62"/>
        <v>6</v>
      </c>
      <c r="F11618" s="134" t="s">
        <v>3585</v>
      </c>
      <c r="G11618" s="63" t="str">
        <f>VLOOKUP(C11618, 'Class Def. - General Data'!$C$20:$C$1000,1,false)</f>
        <v>ZSI1_OFFICE_SUPP</v>
      </c>
      <c r="H11618" s="63" t="str">
        <f>IFERROR(__xludf.DUMMYFUNCTION("VLOOKUP(F11618, IMPORTRANGE(""https://docs.google.com/spreadsheets/d/1Lhp9OU0JdFf_VYSMzH5lBcEaU4o8teT1piV-SNzShjg/edit?gid=554141278#gid=554141278"", ""'Char Def. - Attributes'!C20:C2242""), 1,false)"),"HS_CODE")</f>
        <v>HS_CODE</v>
      </c>
      <c r="I11618" s="136"/>
      <c r="R11618" s="63" t="str">
        <f t="shared" si="60"/>
        <v>ZSI1_OFFICE_SUPPHS_CODE</v>
      </c>
    </row>
    <row r="11619" ht="15.75" customHeight="1">
      <c r="B11619" s="63">
        <f t="shared" si="1"/>
        <v>16</v>
      </c>
      <c r="C11619" s="135" t="s">
        <v>431</v>
      </c>
      <c r="D11619" s="161" t="s">
        <v>74</v>
      </c>
      <c r="E11619" s="135">
        <f t="shared" si="62"/>
        <v>7</v>
      </c>
      <c r="F11619" s="134" t="s">
        <v>3587</v>
      </c>
      <c r="G11619" s="63" t="str">
        <f>VLOOKUP(C11619, 'Class Def. - General Data'!$C$20:$C$1000,1,false)</f>
        <v>ZSI1_OFFICE_SUPP</v>
      </c>
      <c r="H11619" s="63" t="str">
        <f>IFERROR(__xludf.DUMMYFUNCTION("VLOOKUP(F11619, IMPORTRANGE(""https://docs.google.com/spreadsheets/d/1Lhp9OU0JdFf_VYSMzH5lBcEaU4o8teT1piV-SNzShjg/edit?gid=554141278#gid=554141278"", ""'Char Def. - Attributes'!C20:C2242""), 1,false)"),"PLANT_BUY")</f>
        <v>PLANT_BUY</v>
      </c>
      <c r="I11619" s="136"/>
      <c r="R11619" s="63" t="str">
        <f t="shared" si="60"/>
        <v>ZSI1_OFFICE_SUPPPLANT_BUY</v>
      </c>
    </row>
    <row r="11620" ht="15.75" customHeight="1">
      <c r="B11620" s="63">
        <f t="shared" si="1"/>
        <v>16</v>
      </c>
      <c r="C11620" s="135" t="s">
        <v>431</v>
      </c>
      <c r="D11620" s="161" t="s">
        <v>74</v>
      </c>
      <c r="E11620" s="135">
        <f t="shared" si="62"/>
        <v>8</v>
      </c>
      <c r="F11620" s="134" t="s">
        <v>4985</v>
      </c>
      <c r="G11620" s="63" t="str">
        <f>VLOOKUP(C11620, 'Class Def. - General Data'!$C$20:$C$1000,1,false)</f>
        <v>ZSI1_OFFICE_SUPP</v>
      </c>
      <c r="H11620" s="63" t="str">
        <f>IFERROR(__xludf.DUMMYFUNCTION("VLOOKUP(F11620, IMPORTRANGE(""https://docs.google.com/spreadsheets/d/1Lhp9OU0JdFf_VYSMzH5lBcEaU4o8teT1piV-SNzShjg/edit?gid=554141278#gid=554141278"", ""'Char Def. - Attributes'!C20:C2242""), 1,false)"),"BASE_UOM_OFFICE_SUPP")</f>
        <v>BASE_UOM_OFFICE_SUPP</v>
      </c>
      <c r="I11620" s="136"/>
      <c r="R11620" s="63" t="str">
        <f t="shared" si="60"/>
        <v>ZSI1_OFFICE_SUPPBASE_UOM_OFFICE_SUPP</v>
      </c>
    </row>
    <row r="11621" ht="15.75" customHeight="1">
      <c r="B11621" s="63">
        <f t="shared" si="1"/>
        <v>16</v>
      </c>
      <c r="C11621" s="135" t="s">
        <v>431</v>
      </c>
      <c r="D11621" s="161" t="s">
        <v>74</v>
      </c>
      <c r="E11621" s="135">
        <f t="shared" si="62"/>
        <v>9</v>
      </c>
      <c r="F11621" s="134" t="s">
        <v>4986</v>
      </c>
      <c r="G11621" s="63" t="str">
        <f>VLOOKUP(C11621, 'Class Def. - General Data'!$C$20:$C$1000,1,false)</f>
        <v>ZSI1_OFFICE_SUPP</v>
      </c>
      <c r="H11621" s="63" t="str">
        <f>IFERROR(__xludf.DUMMYFUNCTION("VLOOKUP(F11621, IMPORTRANGE(""https://docs.google.com/spreadsheets/d/1Lhp9OU0JdFf_VYSMzH5lBcEaU4o8teT1piV-SNzShjg/edit?gid=554141278#gid=554141278"", ""'Char Def. - Attributes'!C20:C2242""), 1,false)"),"ORDER_UNIT_OFFICE_SUPP")</f>
        <v>ORDER_UNIT_OFFICE_SUPP</v>
      </c>
      <c r="I11621" s="136"/>
      <c r="R11621" s="63" t="str">
        <f t="shared" si="60"/>
        <v>ZSI1_OFFICE_SUPPORDER_UNIT_OFFICE_SUPP</v>
      </c>
    </row>
    <row r="11622" ht="15.75" customHeight="1">
      <c r="B11622" s="63">
        <f t="shared" si="1"/>
        <v>16</v>
      </c>
      <c r="C11622" s="135" t="s">
        <v>431</v>
      </c>
      <c r="D11622" s="161" t="s">
        <v>74</v>
      </c>
      <c r="E11622" s="135">
        <f t="shared" si="62"/>
        <v>10</v>
      </c>
      <c r="F11622" s="134" t="s">
        <v>4056</v>
      </c>
      <c r="G11622" s="63" t="str">
        <f>VLOOKUP(C11622, 'Class Def. - General Data'!$C$20:$C$1000,1,false)</f>
        <v>ZSI1_OFFICE_SUPP</v>
      </c>
      <c r="H11622" s="63" t="str">
        <f>IFERROR(__xludf.DUMMYFUNCTION("VLOOKUP(F11622, IMPORTRANGE(""https://docs.google.com/spreadsheets/d/1Lhp9OU0JdFf_VYSMzH5lBcEaU4o8teT1piV-SNzShjg/edit?gid=554141278#gid=554141278"", ""'Char Def. - Attributes'!C20:C2242""), 1,false)"),"GROSS_WEIGHT_OPT")</f>
        <v>GROSS_WEIGHT_OPT</v>
      </c>
      <c r="I11622" s="136"/>
      <c r="R11622" s="63" t="str">
        <f t="shared" si="60"/>
        <v>ZSI1_OFFICE_SUPPGROSS_WEIGHT_OPT</v>
      </c>
    </row>
    <row r="11623" ht="15.75" customHeight="1">
      <c r="B11623" s="63">
        <f t="shared" si="1"/>
        <v>16</v>
      </c>
      <c r="C11623" s="135" t="s">
        <v>431</v>
      </c>
      <c r="D11623" s="161" t="s">
        <v>74</v>
      </c>
      <c r="E11623" s="135">
        <f t="shared" si="62"/>
        <v>11</v>
      </c>
      <c r="F11623" s="134" t="s">
        <v>4057</v>
      </c>
      <c r="G11623" s="63" t="str">
        <f>VLOOKUP(C11623, 'Class Def. - General Data'!$C$20:$C$1000,1,false)</f>
        <v>ZSI1_OFFICE_SUPP</v>
      </c>
      <c r="H11623" s="63" t="str">
        <f>IFERROR(__xludf.DUMMYFUNCTION("VLOOKUP(F11623, IMPORTRANGE(""https://docs.google.com/spreadsheets/d/1Lhp9OU0JdFf_VYSMzH5lBcEaU4o8teT1piV-SNzShjg/edit?gid=554141278#gid=554141278"", ""'Char Def. - Attributes'!C20:C2242""), 1,false)"),"NET_WEIGHT_OPT")</f>
        <v>NET_WEIGHT_OPT</v>
      </c>
      <c r="I11623" s="136"/>
      <c r="R11623" s="63" t="str">
        <f t="shared" si="60"/>
        <v>ZSI1_OFFICE_SUPPNET_WEIGHT_OPT</v>
      </c>
    </row>
    <row r="11624" ht="15.75" customHeight="1">
      <c r="B11624" s="63">
        <f t="shared" si="1"/>
        <v>16</v>
      </c>
      <c r="C11624" s="135" t="s">
        <v>431</v>
      </c>
      <c r="D11624" s="161" t="s">
        <v>74</v>
      </c>
      <c r="E11624" s="135">
        <f t="shared" si="62"/>
        <v>12</v>
      </c>
      <c r="F11624" s="134" t="s">
        <v>4058</v>
      </c>
      <c r="G11624" s="63" t="str">
        <f>VLOOKUP(C11624, 'Class Def. - General Data'!$C$20:$C$1000,1,false)</f>
        <v>ZSI1_OFFICE_SUPP</v>
      </c>
      <c r="H11624" s="63" t="str">
        <f>IFERROR(__xludf.DUMMYFUNCTION("VLOOKUP(F11624, IMPORTRANGE(""https://docs.google.com/spreadsheets/d/1Lhp9OU0JdFf_VYSMzH5lBcEaU4o8teT1piV-SNzShjg/edit?gid=554141278#gid=554141278"", ""'Char Def. - Attributes'!C20:C2242""), 1,false)"),"WEIGHT_UNIT_SI")</f>
        <v>WEIGHT_UNIT_SI</v>
      </c>
      <c r="I11624" s="136"/>
      <c r="R11624" s="63" t="str">
        <f t="shared" si="60"/>
        <v>ZSI1_OFFICE_SUPPWEIGHT_UNIT_SI</v>
      </c>
    </row>
    <row r="11625" ht="15.75" customHeight="1">
      <c r="B11625" s="63">
        <f t="shared" si="1"/>
        <v>16</v>
      </c>
      <c r="C11625" s="135" t="s">
        <v>431</v>
      </c>
      <c r="D11625" s="161" t="s">
        <v>74</v>
      </c>
      <c r="E11625" s="135">
        <f t="shared" si="62"/>
        <v>13</v>
      </c>
      <c r="F11625" s="134" t="s">
        <v>3877</v>
      </c>
      <c r="G11625" s="63" t="str">
        <f>VLOOKUP(C11625, 'Class Def. - General Data'!$C$20:$C$1000,1,false)</f>
        <v>ZSI1_OFFICE_SUPP</v>
      </c>
      <c r="H11625" s="63" t="str">
        <f>IFERROR(__xludf.DUMMYFUNCTION("VLOOKUP(F11625, IMPORTRANGE(""https://docs.google.com/spreadsheets/d/1Lhp9OU0JdFf_VYSMzH5lBcEaU4o8teT1piV-SNzShjg/edit?gid=554141278#gid=554141278"", ""'Char Def. - Attributes'!C20:C2242""), 1,false)"),"VOLUME_OPT")</f>
        <v>VOLUME_OPT</v>
      </c>
      <c r="I11625" s="136"/>
      <c r="R11625" s="63" t="str">
        <f t="shared" si="60"/>
        <v>ZSI1_OFFICE_SUPPVOLUME_OPT</v>
      </c>
    </row>
    <row r="11626" ht="15.75" customHeight="1">
      <c r="B11626" s="63">
        <f t="shared" si="1"/>
        <v>16</v>
      </c>
      <c r="C11626" s="135" t="s">
        <v>431</v>
      </c>
      <c r="D11626" s="161" t="s">
        <v>74</v>
      </c>
      <c r="E11626" s="135">
        <f t="shared" si="62"/>
        <v>14</v>
      </c>
      <c r="F11626" s="134" t="s">
        <v>4059</v>
      </c>
      <c r="G11626" s="63" t="str">
        <f>VLOOKUP(C11626, 'Class Def. - General Data'!$C$20:$C$1000,1,false)</f>
        <v>ZSI1_OFFICE_SUPP</v>
      </c>
      <c r="H11626" s="63" t="str">
        <f>IFERROR(__xludf.DUMMYFUNCTION("VLOOKUP(F11626, IMPORTRANGE(""https://docs.google.com/spreadsheets/d/1Lhp9OU0JdFf_VYSMzH5lBcEaU4o8teT1piV-SNzShjg/edit?gid=554141278#gid=554141278"", ""'Char Def. - Attributes'!C20:C2242""), 1,false)"),"VOLUME_UNIT_SI")</f>
        <v>VOLUME_UNIT_SI</v>
      </c>
      <c r="I11626" s="136"/>
      <c r="R11626" s="63" t="str">
        <f t="shared" si="60"/>
        <v>ZSI1_OFFICE_SUPPVOLUME_UNIT_SI</v>
      </c>
    </row>
    <row r="11627" ht="15.75" customHeight="1">
      <c r="B11627" s="63">
        <f t="shared" si="1"/>
        <v>16</v>
      </c>
      <c r="C11627" s="135" t="s">
        <v>431</v>
      </c>
      <c r="D11627" s="161" t="s">
        <v>74</v>
      </c>
      <c r="E11627" s="135">
        <f t="shared" si="62"/>
        <v>15</v>
      </c>
      <c r="F11627" s="134" t="s">
        <v>3804</v>
      </c>
      <c r="G11627" s="63" t="str">
        <f>VLOOKUP(C11627, 'Class Def. - General Data'!$C$20:$C$1000,1,false)</f>
        <v>ZSI1_OFFICE_SUPP</v>
      </c>
      <c r="H11627" s="63" t="str">
        <f>IFERROR(__xludf.DUMMYFUNCTION("VLOOKUP(F11627, IMPORTRANGE(""https://docs.google.com/spreadsheets/d/1Lhp9OU0JdFf_VYSMzH5lBcEaU4o8teT1piV-SNzShjg/edit?gid=554141278#gid=554141278"", ""'Char Def. - Attributes'!C20:C2242""), 1,false)"),"ALT_UOM1_SIPI")</f>
        <v>ALT_UOM1_SIPI</v>
      </c>
      <c r="I11627" s="136"/>
      <c r="R11627" s="63" t="str">
        <f t="shared" si="60"/>
        <v>ZSI1_OFFICE_SUPPALT_UOM1_SIPI</v>
      </c>
    </row>
    <row r="11628" ht="15.75" customHeight="1">
      <c r="B11628" s="63">
        <f t="shared" si="1"/>
        <v>16</v>
      </c>
      <c r="C11628" s="135" t="s">
        <v>431</v>
      </c>
      <c r="D11628" s="161" t="s">
        <v>74</v>
      </c>
      <c r="E11628" s="135">
        <f t="shared" si="62"/>
        <v>16</v>
      </c>
      <c r="F11628" s="134" t="s">
        <v>3805</v>
      </c>
      <c r="G11628" s="63" t="str">
        <f>VLOOKUP(C11628, 'Class Def. - General Data'!$C$20:$C$1000,1,false)</f>
        <v>ZSI1_OFFICE_SUPP</v>
      </c>
      <c r="H11628" s="63" t="str">
        <f>IFERROR(__xludf.DUMMYFUNCTION("VLOOKUP(F11628, IMPORTRANGE(""https://docs.google.com/spreadsheets/d/1Lhp9OU0JdFf_VYSMzH5lBcEaU4o8teT1piV-SNzShjg/edit?gid=554141278#gid=554141278"", ""'Char Def. - Attributes'!C20:C2242""), 1,false)"),"ALT_DENUM_UOM1")</f>
        <v>ALT_DENUM_UOM1</v>
      </c>
      <c r="I11628" s="136"/>
      <c r="R11628" s="63" t="str">
        <f t="shared" si="60"/>
        <v>ZSI1_OFFICE_SUPPALT_DENUM_UOM1</v>
      </c>
    </row>
    <row r="11629" ht="15.75" customHeight="1">
      <c r="B11629" s="63">
        <f t="shared" si="1"/>
        <v>16</v>
      </c>
      <c r="C11629" s="135" t="s">
        <v>431</v>
      </c>
      <c r="D11629" s="161" t="s">
        <v>74</v>
      </c>
      <c r="E11629" s="135">
        <f t="shared" si="62"/>
        <v>17</v>
      </c>
      <c r="F11629" s="134" t="s">
        <v>3806</v>
      </c>
      <c r="G11629" s="63" t="str">
        <f>VLOOKUP(C11629, 'Class Def. - General Data'!$C$20:$C$1000,1,false)</f>
        <v>ZSI1_OFFICE_SUPP</v>
      </c>
      <c r="H11629" s="63" t="str">
        <f>IFERROR(__xludf.DUMMYFUNCTION("VLOOKUP(F11629, IMPORTRANGE(""https://docs.google.com/spreadsheets/d/1Lhp9OU0JdFf_VYSMzH5lBcEaU4o8teT1piV-SNzShjg/edit?gid=554141278#gid=554141278"", ""'Char Def. - Attributes'!C20:C2242""), 1,false)"),"ALT_NUM_UOM1")</f>
        <v>ALT_NUM_UOM1</v>
      </c>
      <c r="I11629" s="136"/>
      <c r="R11629" s="63" t="str">
        <f t="shared" si="60"/>
        <v>ZSI1_OFFICE_SUPPALT_NUM_UOM1</v>
      </c>
    </row>
    <row r="11630" ht="15.75" customHeight="1">
      <c r="B11630" s="63">
        <f t="shared" si="1"/>
        <v>16</v>
      </c>
      <c r="C11630" s="135" t="s">
        <v>431</v>
      </c>
      <c r="D11630" s="161" t="s">
        <v>74</v>
      </c>
      <c r="E11630" s="135">
        <f t="shared" si="62"/>
        <v>18</v>
      </c>
      <c r="F11630" s="134" t="s">
        <v>3807</v>
      </c>
      <c r="G11630" s="63" t="str">
        <f>VLOOKUP(C11630, 'Class Def. - General Data'!$C$20:$C$1000,1,false)</f>
        <v>ZSI1_OFFICE_SUPP</v>
      </c>
      <c r="H11630" s="63" t="str">
        <f>IFERROR(__xludf.DUMMYFUNCTION("VLOOKUP(F11630, IMPORTRANGE(""https://docs.google.com/spreadsheets/d/1Lhp9OU0JdFf_VYSMzH5lBcEaU4o8teT1piV-SNzShjg/edit?gid=554141278#gid=554141278"", ""'Char Def. - Attributes'!C20:C2242""), 1,false)"),"ALT_UOM2_SIPI")</f>
        <v>ALT_UOM2_SIPI</v>
      </c>
      <c r="I11630" s="136"/>
      <c r="R11630" s="63" t="str">
        <f t="shared" si="60"/>
        <v>ZSI1_OFFICE_SUPPALT_UOM2_SIPI</v>
      </c>
    </row>
    <row r="11631" ht="15.75" customHeight="1">
      <c r="B11631" s="63">
        <f t="shared" si="1"/>
        <v>16</v>
      </c>
      <c r="C11631" s="135" t="s">
        <v>431</v>
      </c>
      <c r="D11631" s="161" t="s">
        <v>74</v>
      </c>
      <c r="E11631" s="135">
        <f t="shared" si="62"/>
        <v>19</v>
      </c>
      <c r="F11631" s="134" t="s">
        <v>3808</v>
      </c>
      <c r="G11631" s="63" t="str">
        <f>VLOOKUP(C11631, 'Class Def. - General Data'!$C$20:$C$1000,1,false)</f>
        <v>ZSI1_OFFICE_SUPP</v>
      </c>
      <c r="H11631" s="63" t="str">
        <f>IFERROR(__xludf.DUMMYFUNCTION("VLOOKUP(F11631, IMPORTRANGE(""https://docs.google.com/spreadsheets/d/1Lhp9OU0JdFf_VYSMzH5lBcEaU4o8teT1piV-SNzShjg/edit?gid=554141278#gid=554141278"", ""'Char Def. - Attributes'!C20:C2242""), 1,false)"),"ALT_DENUM_UOM2")</f>
        <v>ALT_DENUM_UOM2</v>
      </c>
      <c r="I11631" s="136"/>
      <c r="R11631" s="63" t="str">
        <f t="shared" si="60"/>
        <v>ZSI1_OFFICE_SUPPALT_DENUM_UOM2</v>
      </c>
    </row>
    <row r="11632" ht="15.75" customHeight="1">
      <c r="B11632" s="63">
        <f t="shared" si="1"/>
        <v>16</v>
      </c>
      <c r="C11632" s="135" t="s">
        <v>431</v>
      </c>
      <c r="D11632" s="161" t="s">
        <v>74</v>
      </c>
      <c r="E11632" s="135">
        <f t="shared" si="62"/>
        <v>20</v>
      </c>
      <c r="F11632" s="134" t="s">
        <v>3809</v>
      </c>
      <c r="G11632" s="63" t="str">
        <f>VLOOKUP(C11632, 'Class Def. - General Data'!$C$20:$C$1000,1,false)</f>
        <v>ZSI1_OFFICE_SUPP</v>
      </c>
      <c r="H11632" s="63" t="str">
        <f>IFERROR(__xludf.DUMMYFUNCTION("VLOOKUP(F11632, IMPORTRANGE(""https://docs.google.com/spreadsheets/d/1Lhp9OU0JdFf_VYSMzH5lBcEaU4o8teT1piV-SNzShjg/edit?gid=554141278#gid=554141278"", ""'Char Def. - Attributes'!C20:C2242""), 1,false)"),"ALT_NUM_UOM2")</f>
        <v>ALT_NUM_UOM2</v>
      </c>
      <c r="I11632" s="136"/>
      <c r="R11632" s="63" t="str">
        <f t="shared" si="60"/>
        <v>ZSI1_OFFICE_SUPPALT_NUM_UOM2</v>
      </c>
    </row>
    <row r="11633" ht="15.75" customHeight="1">
      <c r="B11633" s="63">
        <f t="shared" si="1"/>
        <v>16</v>
      </c>
      <c r="C11633" s="135" t="s">
        <v>431</v>
      </c>
      <c r="D11633" s="161" t="s">
        <v>74</v>
      </c>
      <c r="E11633" s="135">
        <f t="shared" si="62"/>
        <v>21</v>
      </c>
      <c r="F11633" s="134" t="s">
        <v>3810</v>
      </c>
      <c r="G11633" s="63" t="str">
        <f>VLOOKUP(C11633, 'Class Def. - General Data'!$C$20:$C$1000,1,false)</f>
        <v>ZSI1_OFFICE_SUPP</v>
      </c>
      <c r="H11633" s="63" t="str">
        <f>IFERROR(__xludf.DUMMYFUNCTION("VLOOKUP(F11633, IMPORTRANGE(""https://docs.google.com/spreadsheets/d/1Lhp9OU0JdFf_VYSMzH5lBcEaU4o8teT1piV-SNzShjg/edit?gid=554141278#gid=554141278"", ""'Char Def. - Attributes'!C20:C2242""), 1,false)"),"ALT_UOM3_SIPI")</f>
        <v>ALT_UOM3_SIPI</v>
      </c>
      <c r="I11633" s="136"/>
      <c r="R11633" s="63" t="str">
        <f t="shared" si="60"/>
        <v>ZSI1_OFFICE_SUPPALT_UOM3_SIPI</v>
      </c>
    </row>
    <row r="11634" ht="15.75" customHeight="1">
      <c r="B11634" s="63">
        <f t="shared" si="1"/>
        <v>16</v>
      </c>
      <c r="C11634" s="135" t="s">
        <v>431</v>
      </c>
      <c r="D11634" s="161" t="s">
        <v>74</v>
      </c>
      <c r="E11634" s="135">
        <f t="shared" si="62"/>
        <v>22</v>
      </c>
      <c r="F11634" s="134" t="s">
        <v>3811</v>
      </c>
      <c r="G11634" s="63" t="str">
        <f>VLOOKUP(C11634, 'Class Def. - General Data'!$C$20:$C$1000,1,false)</f>
        <v>ZSI1_OFFICE_SUPP</v>
      </c>
      <c r="H11634" s="63" t="str">
        <f>IFERROR(__xludf.DUMMYFUNCTION("VLOOKUP(F11634, IMPORTRANGE(""https://docs.google.com/spreadsheets/d/1Lhp9OU0JdFf_VYSMzH5lBcEaU4o8teT1piV-SNzShjg/edit?gid=554141278#gid=554141278"", ""'Char Def. - Attributes'!C20:C2242""), 1,false)"),"ALT_DENUM_UOM3")</f>
        <v>ALT_DENUM_UOM3</v>
      </c>
      <c r="I11634" s="136"/>
      <c r="R11634" s="63" t="str">
        <f t="shared" si="60"/>
        <v>ZSI1_OFFICE_SUPPALT_DENUM_UOM3</v>
      </c>
    </row>
    <row r="11635" ht="15.75" customHeight="1">
      <c r="B11635" s="63">
        <f t="shared" si="1"/>
        <v>16</v>
      </c>
      <c r="C11635" s="135" t="s">
        <v>431</v>
      </c>
      <c r="D11635" s="161" t="s">
        <v>74</v>
      </c>
      <c r="E11635" s="135">
        <f t="shared" si="62"/>
        <v>23</v>
      </c>
      <c r="F11635" s="134" t="s">
        <v>3812</v>
      </c>
      <c r="G11635" s="63" t="str">
        <f>VLOOKUP(C11635, 'Class Def. - General Data'!$C$20:$C$1000,1,false)</f>
        <v>ZSI1_OFFICE_SUPP</v>
      </c>
      <c r="H11635" s="63" t="str">
        <f>IFERROR(__xludf.DUMMYFUNCTION("VLOOKUP(F11635, IMPORTRANGE(""https://docs.google.com/spreadsheets/d/1Lhp9OU0JdFf_VYSMzH5lBcEaU4o8teT1piV-SNzShjg/edit?gid=554141278#gid=554141278"", ""'Char Def. - Attributes'!C20:C2242""), 1,false)"),"ALT_NUM_UOM3")</f>
        <v>ALT_NUM_UOM3</v>
      </c>
      <c r="I11635" s="136"/>
      <c r="R11635" s="63" t="str">
        <f t="shared" si="60"/>
        <v>ZSI1_OFFICE_SUPPALT_NUM_UOM3</v>
      </c>
    </row>
    <row r="11636" ht="15.75" customHeight="1">
      <c r="B11636" s="63">
        <f t="shared" si="1"/>
        <v>16</v>
      </c>
      <c r="C11636" s="135" t="s">
        <v>431</v>
      </c>
      <c r="D11636" s="161" t="s">
        <v>74</v>
      </c>
      <c r="E11636" s="135">
        <f t="shared" si="62"/>
        <v>24</v>
      </c>
      <c r="F11636" s="134" t="s">
        <v>3813</v>
      </c>
      <c r="G11636" s="63" t="str">
        <f>VLOOKUP(C11636, 'Class Def. - General Data'!$C$20:$C$1000,1,false)</f>
        <v>ZSI1_OFFICE_SUPP</v>
      </c>
      <c r="H11636" s="63" t="str">
        <f>IFERROR(__xludf.DUMMYFUNCTION("VLOOKUP(F11636, IMPORTRANGE(""https://docs.google.com/spreadsheets/d/1Lhp9OU0JdFf_VYSMzH5lBcEaU4o8teT1piV-SNzShjg/edit?gid=554141278#gid=554141278"", ""'Char Def. - Attributes'!C20:C2242""), 1,false)"),"ALT_UOM4_SIPI")</f>
        <v>ALT_UOM4_SIPI</v>
      </c>
      <c r="I11636" s="136"/>
      <c r="R11636" s="63" t="str">
        <f t="shared" si="60"/>
        <v>ZSI1_OFFICE_SUPPALT_UOM4_SIPI</v>
      </c>
    </row>
    <row r="11637" ht="15.75" customHeight="1">
      <c r="B11637" s="63">
        <f t="shared" si="1"/>
        <v>16</v>
      </c>
      <c r="C11637" s="135" t="s">
        <v>431</v>
      </c>
      <c r="D11637" s="161" t="s">
        <v>74</v>
      </c>
      <c r="E11637" s="135">
        <f t="shared" si="62"/>
        <v>25</v>
      </c>
      <c r="F11637" s="134" t="s">
        <v>3814</v>
      </c>
      <c r="G11637" s="63" t="str">
        <f>VLOOKUP(C11637, 'Class Def. - General Data'!$C$20:$C$1000,1,false)</f>
        <v>ZSI1_OFFICE_SUPP</v>
      </c>
      <c r="H11637" s="63" t="str">
        <f>IFERROR(__xludf.DUMMYFUNCTION("VLOOKUP(F11637, IMPORTRANGE(""https://docs.google.com/spreadsheets/d/1Lhp9OU0JdFf_VYSMzH5lBcEaU4o8teT1piV-SNzShjg/edit?gid=554141278#gid=554141278"", ""'Char Def. - Attributes'!C20:C2242""), 1,false)"),"ALT_DENUM_UOM4")</f>
        <v>ALT_DENUM_UOM4</v>
      </c>
      <c r="I11637" s="136"/>
      <c r="R11637" s="63" t="str">
        <f t="shared" si="60"/>
        <v>ZSI1_OFFICE_SUPPALT_DENUM_UOM4</v>
      </c>
    </row>
    <row r="11638" ht="15.75" customHeight="1">
      <c r="B11638" s="63">
        <f t="shared" si="1"/>
        <v>16</v>
      </c>
      <c r="C11638" s="135" t="s">
        <v>431</v>
      </c>
      <c r="D11638" s="161" t="s">
        <v>74</v>
      </c>
      <c r="E11638" s="135">
        <f t="shared" si="62"/>
        <v>26</v>
      </c>
      <c r="F11638" s="134" t="s">
        <v>3815</v>
      </c>
      <c r="G11638" s="63" t="str">
        <f>VLOOKUP(C11638, 'Class Def. - General Data'!$C$20:$C$1000,1,false)</f>
        <v>ZSI1_OFFICE_SUPP</v>
      </c>
      <c r="H11638" s="63" t="str">
        <f>IFERROR(__xludf.DUMMYFUNCTION("VLOOKUP(F11638, IMPORTRANGE(""https://docs.google.com/spreadsheets/d/1Lhp9OU0JdFf_VYSMzH5lBcEaU4o8teT1piV-SNzShjg/edit?gid=554141278#gid=554141278"", ""'Char Def. - Attributes'!C20:C2242""), 1,false)"),"ALT_NUM_UOM4")</f>
        <v>ALT_NUM_UOM4</v>
      </c>
      <c r="I11638" s="136"/>
      <c r="R11638" s="63" t="str">
        <f t="shared" si="60"/>
        <v>ZSI1_OFFICE_SUPPALT_NUM_UOM4</v>
      </c>
    </row>
    <row r="11639" ht="15.75" customHeight="1">
      <c r="B11639" s="63">
        <f t="shared" si="1"/>
        <v>16</v>
      </c>
      <c r="C11639" s="135" t="s">
        <v>431</v>
      </c>
      <c r="D11639" s="161" t="s">
        <v>74</v>
      </c>
      <c r="E11639" s="135">
        <f t="shared" si="62"/>
        <v>27</v>
      </c>
      <c r="F11639" s="134" t="s">
        <v>3816</v>
      </c>
      <c r="G11639" s="63" t="str">
        <f>VLOOKUP(C11639, 'Class Def. - General Data'!$C$20:$C$1000,1,false)</f>
        <v>ZSI1_OFFICE_SUPP</v>
      </c>
      <c r="H11639" s="63" t="str">
        <f>IFERROR(__xludf.DUMMYFUNCTION("VLOOKUP(F11639, IMPORTRANGE(""https://docs.google.com/spreadsheets/d/1Lhp9OU0JdFf_VYSMzH5lBcEaU4o8teT1piV-SNzShjg/edit?gid=554141278#gid=554141278"", ""'Char Def. - Attributes'!C20:C2242""), 1,false)"),"ALT_UOM5_SIPI")</f>
        <v>ALT_UOM5_SIPI</v>
      </c>
      <c r="I11639" s="136"/>
      <c r="R11639" s="63" t="str">
        <f t="shared" si="60"/>
        <v>ZSI1_OFFICE_SUPPALT_UOM5_SIPI</v>
      </c>
    </row>
    <row r="11640" ht="15.75" customHeight="1">
      <c r="B11640" s="63">
        <f t="shared" si="1"/>
        <v>16</v>
      </c>
      <c r="C11640" s="135" t="s">
        <v>431</v>
      </c>
      <c r="D11640" s="161" t="s">
        <v>74</v>
      </c>
      <c r="E11640" s="135">
        <f t="shared" si="62"/>
        <v>28</v>
      </c>
      <c r="F11640" s="134" t="s">
        <v>3817</v>
      </c>
      <c r="G11640" s="63" t="str">
        <f>VLOOKUP(C11640, 'Class Def. - General Data'!$C$20:$C$1000,1,false)</f>
        <v>ZSI1_OFFICE_SUPP</v>
      </c>
      <c r="H11640" s="63" t="str">
        <f>IFERROR(__xludf.DUMMYFUNCTION("VLOOKUP(F11640, IMPORTRANGE(""https://docs.google.com/spreadsheets/d/1Lhp9OU0JdFf_VYSMzH5lBcEaU4o8teT1piV-SNzShjg/edit?gid=554141278#gid=554141278"", ""'Char Def. - Attributes'!C20:C2242""), 1,false)"),"ALT_DENUM_UOM5")</f>
        <v>ALT_DENUM_UOM5</v>
      </c>
      <c r="I11640" s="136"/>
      <c r="R11640" s="63" t="str">
        <f t="shared" si="60"/>
        <v>ZSI1_OFFICE_SUPPALT_DENUM_UOM5</v>
      </c>
    </row>
    <row r="11641" ht="15.75" customHeight="1">
      <c r="B11641" s="63">
        <f t="shared" si="1"/>
        <v>16</v>
      </c>
      <c r="C11641" s="135" t="s">
        <v>431</v>
      </c>
      <c r="D11641" s="161" t="s">
        <v>74</v>
      </c>
      <c r="E11641" s="135">
        <f t="shared" si="62"/>
        <v>29</v>
      </c>
      <c r="F11641" s="134" t="s">
        <v>3818</v>
      </c>
      <c r="G11641" s="63" t="str">
        <f>VLOOKUP(C11641, 'Class Def. - General Data'!$C$20:$C$1000,1,false)</f>
        <v>ZSI1_OFFICE_SUPP</v>
      </c>
      <c r="H11641" s="63" t="str">
        <f>IFERROR(__xludf.DUMMYFUNCTION("VLOOKUP(F11641, IMPORTRANGE(""https://docs.google.com/spreadsheets/d/1Lhp9OU0JdFf_VYSMzH5lBcEaU4o8teT1piV-SNzShjg/edit?gid=554141278#gid=554141278"", ""'Char Def. - Attributes'!C20:C2242""), 1,false)"),"ALT_NUM_UOM5")</f>
        <v>ALT_NUM_UOM5</v>
      </c>
      <c r="I11641" s="136"/>
      <c r="R11641" s="63" t="str">
        <f t="shared" si="60"/>
        <v>ZSI1_OFFICE_SUPPALT_NUM_UOM5</v>
      </c>
    </row>
    <row r="11642" ht="15.75" customHeight="1">
      <c r="B11642" s="63">
        <f t="shared" si="1"/>
        <v>13</v>
      </c>
      <c r="C11642" s="135" t="s">
        <v>432</v>
      </c>
      <c r="D11642" s="161" t="s">
        <v>74</v>
      </c>
      <c r="E11642" s="135">
        <f t="shared" si="62"/>
        <v>1</v>
      </c>
      <c r="F11642" s="134" t="s">
        <v>4987</v>
      </c>
      <c r="G11642" s="63" t="str">
        <f>VLOOKUP(C11642, 'Class Def. - General Data'!$C$20:$C$1000,1,false)</f>
        <v>ZSI1_OIL_SEAL</v>
      </c>
      <c r="H11642" s="63" t="str">
        <f>IFERROR(__xludf.DUMMYFUNCTION("VLOOKUP(F11642, IMPORTRANGE(""https://docs.google.com/spreadsheets/d/1Lhp9OU0JdFf_VYSMzH5lBcEaU4o8teT1piV-SNzShjg/edit?gid=554141278#gid=554141278"", ""'Char Def. - Attributes'!C20:C2242""), 1,false)"),"ITEM_NAME_OIL_SEAL")</f>
        <v>ITEM_NAME_OIL_SEAL</v>
      </c>
      <c r="I11642" s="136"/>
      <c r="R11642" s="63" t="str">
        <f t="shared" si="60"/>
        <v>ZSI1_OIL_SEALITEM_NAME_OIL_SEAL</v>
      </c>
    </row>
    <row r="11643" ht="15.75" customHeight="1">
      <c r="B11643" s="63">
        <f t="shared" si="1"/>
        <v>13</v>
      </c>
      <c r="C11643" s="135" t="s">
        <v>432</v>
      </c>
      <c r="D11643" s="161" t="s">
        <v>74</v>
      </c>
      <c r="E11643" s="135">
        <f t="shared" si="62"/>
        <v>2</v>
      </c>
      <c r="F11643" s="134" t="s">
        <v>4988</v>
      </c>
      <c r="G11643" s="63" t="str">
        <f>VLOOKUP(C11643, 'Class Def. - General Data'!$C$20:$C$1000,1,false)</f>
        <v>ZSI1_OIL_SEAL</v>
      </c>
      <c r="H11643" s="63" t="str">
        <f>IFERROR(__xludf.DUMMYFUNCTION("VLOOKUP(F11643, IMPORTRANGE(""https://docs.google.com/spreadsheets/d/1Lhp9OU0JdFf_VYSMzH5lBcEaU4o8teT1piV-SNzShjg/edit?gid=554141278#gid=554141278"", ""'Char Def. - Attributes'!C20:C2242""), 1,false)"),"TYPE_OIL_SEAL")</f>
        <v>TYPE_OIL_SEAL</v>
      </c>
      <c r="I11643" s="136"/>
      <c r="R11643" s="63" t="str">
        <f t="shared" si="60"/>
        <v>ZSI1_OIL_SEALTYPE_OIL_SEAL</v>
      </c>
    </row>
    <row r="11644" ht="15.75" customHeight="1">
      <c r="B11644" s="63">
        <f t="shared" si="1"/>
        <v>13</v>
      </c>
      <c r="C11644" s="135" t="s">
        <v>432</v>
      </c>
      <c r="D11644" s="161" t="s">
        <v>74</v>
      </c>
      <c r="E11644" s="135">
        <f t="shared" si="62"/>
        <v>3</v>
      </c>
      <c r="F11644" s="134" t="s">
        <v>4989</v>
      </c>
      <c r="G11644" s="63" t="str">
        <f>VLOOKUP(C11644, 'Class Def. - General Data'!$C$20:$C$1000,1,false)</f>
        <v>ZSI1_OIL_SEAL</v>
      </c>
      <c r="H11644" s="63" t="str">
        <f>IFERROR(__xludf.DUMMYFUNCTION("VLOOKUP(F11644, IMPORTRANGE(""https://docs.google.com/spreadsheets/d/1Lhp9OU0JdFf_VYSMzH5lBcEaU4o8teT1piV-SNzShjg/edit?gid=554141278#gid=554141278"", ""'Char Def. - Attributes'!C20:C2242""), 1,false)"),"INSIDE_DIAMETER_MM_OIL_SEAL")</f>
        <v>INSIDE_DIAMETER_MM_OIL_SEAL</v>
      </c>
      <c r="I11644" s="136"/>
      <c r="R11644" s="63" t="str">
        <f t="shared" si="60"/>
        <v>ZSI1_OIL_SEALINSIDE_DIAMETER_MM_OIL_SEAL</v>
      </c>
    </row>
    <row r="11645" ht="15.75" customHeight="1">
      <c r="B11645" s="63">
        <f t="shared" si="1"/>
        <v>13</v>
      </c>
      <c r="C11645" s="135" t="s">
        <v>432</v>
      </c>
      <c r="D11645" s="161" t="s">
        <v>74</v>
      </c>
      <c r="E11645" s="135">
        <f t="shared" si="62"/>
        <v>4</v>
      </c>
      <c r="F11645" s="134" t="s">
        <v>4990</v>
      </c>
      <c r="G11645" s="63" t="str">
        <f>VLOOKUP(C11645, 'Class Def. - General Data'!$C$20:$C$1000,1,false)</f>
        <v>ZSI1_OIL_SEAL</v>
      </c>
      <c r="H11645" s="63" t="str">
        <f>IFERROR(__xludf.DUMMYFUNCTION("VLOOKUP(F11645, IMPORTRANGE(""https://docs.google.com/spreadsheets/d/1Lhp9OU0JdFf_VYSMzH5lBcEaU4o8teT1piV-SNzShjg/edit?gid=554141278#gid=554141278"", ""'Char Def. - Attributes'!C20:C2242""), 1,false)"),"OUTSIDE_DIAMETER_MM_OIL_SEAL")</f>
        <v>OUTSIDE_DIAMETER_MM_OIL_SEAL</v>
      </c>
      <c r="I11645" s="136"/>
      <c r="R11645" s="63" t="str">
        <f t="shared" si="60"/>
        <v>ZSI1_OIL_SEALOUTSIDE_DIAMETER_MM_OIL_SEAL</v>
      </c>
    </row>
    <row r="11646" ht="15.75" customHeight="1">
      <c r="B11646" s="63">
        <f t="shared" si="1"/>
        <v>13</v>
      </c>
      <c r="C11646" s="135" t="s">
        <v>432</v>
      </c>
      <c r="D11646" s="161" t="s">
        <v>74</v>
      </c>
      <c r="E11646" s="135">
        <f t="shared" si="62"/>
        <v>5</v>
      </c>
      <c r="F11646" s="134" t="s">
        <v>4991</v>
      </c>
      <c r="G11646" s="63" t="str">
        <f>VLOOKUP(C11646, 'Class Def. - General Data'!$C$20:$C$1000,1,false)</f>
        <v>ZSI1_OIL_SEAL</v>
      </c>
      <c r="H11646" s="63" t="str">
        <f>IFERROR(__xludf.DUMMYFUNCTION("VLOOKUP(F11646, IMPORTRANGE(""https://docs.google.com/spreadsheets/d/1Lhp9OU0JdFf_VYSMzH5lBcEaU4o8teT1piV-SNzShjg/edit?gid=554141278#gid=554141278"", ""'Char Def. - Attributes'!C20:C2242""), 1,false)"),"WIDTH_MM_OIL_SEAL")</f>
        <v>WIDTH_MM_OIL_SEAL</v>
      </c>
      <c r="I11646" s="136"/>
      <c r="R11646" s="63" t="str">
        <f t="shared" si="60"/>
        <v>ZSI1_OIL_SEALWIDTH_MM_OIL_SEAL</v>
      </c>
    </row>
    <row r="11647" ht="15.75" customHeight="1">
      <c r="B11647" s="63">
        <f t="shared" si="1"/>
        <v>13</v>
      </c>
      <c r="C11647" s="135" t="s">
        <v>432</v>
      </c>
      <c r="D11647" s="161" t="s">
        <v>74</v>
      </c>
      <c r="E11647" s="135">
        <f t="shared" si="62"/>
        <v>6</v>
      </c>
      <c r="F11647" s="134" t="s">
        <v>4992</v>
      </c>
      <c r="G11647" s="63" t="str">
        <f>VLOOKUP(C11647, 'Class Def. - General Data'!$C$20:$C$1000,1,false)</f>
        <v>ZSI1_OIL_SEAL</v>
      </c>
      <c r="H11647" s="63" t="str">
        <f>IFERROR(__xludf.DUMMYFUNCTION("VLOOKUP(F11647, IMPORTRANGE(""https://docs.google.com/spreadsheets/d/1Lhp9OU0JdFf_VYSMzH5lBcEaU4o8teT1piV-SNzShjg/edit?gid=554141278#gid=554141278"", ""'Char Def. - Attributes'!C20:C2242""), 1,false)"),"SEAL_MATERIAL_OIL_SEAL")</f>
        <v>SEAL_MATERIAL_OIL_SEAL</v>
      </c>
      <c r="I11647" s="136"/>
      <c r="R11647" s="63" t="str">
        <f t="shared" si="60"/>
        <v>ZSI1_OIL_SEALSEAL_MATERIAL_OIL_SEAL</v>
      </c>
    </row>
    <row r="11648" ht="15.75" customHeight="1">
      <c r="B11648" s="63">
        <f t="shared" si="1"/>
        <v>13</v>
      </c>
      <c r="C11648" s="135" t="s">
        <v>432</v>
      </c>
      <c r="D11648" s="161" t="s">
        <v>74</v>
      </c>
      <c r="E11648" s="135">
        <f t="shared" si="62"/>
        <v>7</v>
      </c>
      <c r="F11648" s="134" t="s">
        <v>4053</v>
      </c>
      <c r="G11648" s="63" t="str">
        <f>VLOOKUP(C11648, 'Class Def. - General Data'!$C$20:$C$1000,1,false)</f>
        <v>ZSI1_OIL_SEAL</v>
      </c>
      <c r="H11648" s="63" t="str">
        <f>IFERROR(__xludf.DUMMYFUNCTION("VLOOKUP(F11648, IMPORTRANGE(""https://docs.google.com/spreadsheets/d/1Lhp9OU0JdFf_VYSMzH5lBcEaU4o8teT1piV-SNzShjg/edit?gid=554141278#gid=554141278"", ""'Char Def. - Attributes'!C20:C2242""), 1,false)"),"MAINTENANCE_ORDER_TYPE")</f>
        <v>MAINTENANCE_ORDER_TYPE</v>
      </c>
      <c r="I11648" s="136"/>
      <c r="R11648" s="63" t="str">
        <f t="shared" si="60"/>
        <v>ZSI1_OIL_SEALMAINTENANCE_ORDER_TYPE</v>
      </c>
    </row>
    <row r="11649" ht="15.75" customHeight="1">
      <c r="B11649" s="63">
        <f t="shared" si="1"/>
        <v>13</v>
      </c>
      <c r="C11649" s="135" t="s">
        <v>432</v>
      </c>
      <c r="D11649" s="161" t="s">
        <v>74</v>
      </c>
      <c r="E11649" s="135">
        <f t="shared" si="62"/>
        <v>8</v>
      </c>
      <c r="F11649" s="134" t="s">
        <v>3585</v>
      </c>
      <c r="G11649" s="63" t="str">
        <f>VLOOKUP(C11649, 'Class Def. - General Data'!$C$20:$C$1000,1,false)</f>
        <v>ZSI1_OIL_SEAL</v>
      </c>
      <c r="H11649" s="63" t="str">
        <f>IFERROR(__xludf.DUMMYFUNCTION("VLOOKUP(F11649, IMPORTRANGE(""https://docs.google.com/spreadsheets/d/1Lhp9OU0JdFf_VYSMzH5lBcEaU4o8teT1piV-SNzShjg/edit?gid=554141278#gid=554141278"", ""'Char Def. - Attributes'!C20:C2242""), 1,false)"),"HS_CODE")</f>
        <v>HS_CODE</v>
      </c>
      <c r="I11649" s="136"/>
      <c r="R11649" s="63" t="str">
        <f t="shared" si="60"/>
        <v>ZSI1_OIL_SEALHS_CODE</v>
      </c>
    </row>
    <row r="11650" ht="15.75" customHeight="1">
      <c r="B11650" s="63">
        <f t="shared" si="1"/>
        <v>13</v>
      </c>
      <c r="C11650" s="135" t="s">
        <v>432</v>
      </c>
      <c r="D11650" s="161" t="s">
        <v>74</v>
      </c>
      <c r="E11650" s="135">
        <f t="shared" si="62"/>
        <v>9</v>
      </c>
      <c r="F11650" s="134" t="s">
        <v>3587</v>
      </c>
      <c r="G11650" s="63" t="str">
        <f>VLOOKUP(C11650, 'Class Def. - General Data'!$C$20:$C$1000,1,false)</f>
        <v>ZSI1_OIL_SEAL</v>
      </c>
      <c r="H11650" s="63" t="str">
        <f>IFERROR(__xludf.DUMMYFUNCTION("VLOOKUP(F11650, IMPORTRANGE(""https://docs.google.com/spreadsheets/d/1Lhp9OU0JdFf_VYSMzH5lBcEaU4o8teT1piV-SNzShjg/edit?gid=554141278#gid=554141278"", ""'Char Def. - Attributes'!C20:C2242""), 1,false)"),"PLANT_BUY")</f>
        <v>PLANT_BUY</v>
      </c>
      <c r="I11650" s="136"/>
      <c r="R11650" s="63" t="str">
        <f t="shared" si="60"/>
        <v>ZSI1_OIL_SEALPLANT_BUY</v>
      </c>
    </row>
    <row r="11651" ht="15.75" customHeight="1">
      <c r="B11651" s="63">
        <f t="shared" si="1"/>
        <v>13</v>
      </c>
      <c r="C11651" s="135" t="s">
        <v>432</v>
      </c>
      <c r="D11651" s="161" t="s">
        <v>74</v>
      </c>
      <c r="E11651" s="135">
        <f t="shared" si="62"/>
        <v>10</v>
      </c>
      <c r="F11651" s="134" t="s">
        <v>4993</v>
      </c>
      <c r="G11651" s="63" t="str">
        <f>VLOOKUP(C11651, 'Class Def. - General Data'!$C$20:$C$1000,1,false)</f>
        <v>ZSI1_OIL_SEAL</v>
      </c>
      <c r="H11651" s="63" t="str">
        <f>IFERROR(__xludf.DUMMYFUNCTION("VLOOKUP(F11651, IMPORTRANGE(""https://docs.google.com/spreadsheets/d/1Lhp9OU0JdFf_VYSMzH5lBcEaU4o8teT1piV-SNzShjg/edit?gid=554141278#gid=554141278"", ""'Char Def. - Attributes'!C20:C2242""), 1,false)"),"BASE_UOM_OIL_SEAL")</f>
        <v>BASE_UOM_OIL_SEAL</v>
      </c>
      <c r="I11651" s="136"/>
      <c r="R11651" s="63" t="str">
        <f t="shared" si="60"/>
        <v>ZSI1_OIL_SEALBASE_UOM_OIL_SEAL</v>
      </c>
    </row>
    <row r="11652" ht="15.75" customHeight="1">
      <c r="B11652" s="63">
        <f t="shared" si="1"/>
        <v>13</v>
      </c>
      <c r="C11652" s="135" t="s">
        <v>432</v>
      </c>
      <c r="D11652" s="161" t="s">
        <v>74</v>
      </c>
      <c r="E11652" s="135">
        <f t="shared" si="62"/>
        <v>11</v>
      </c>
      <c r="F11652" s="134" t="s">
        <v>4994</v>
      </c>
      <c r="G11652" s="63" t="str">
        <f>VLOOKUP(C11652, 'Class Def. - General Data'!$C$20:$C$1000,1,false)</f>
        <v>ZSI1_OIL_SEAL</v>
      </c>
      <c r="H11652" s="63" t="str">
        <f>IFERROR(__xludf.DUMMYFUNCTION("VLOOKUP(F11652, IMPORTRANGE(""https://docs.google.com/spreadsheets/d/1Lhp9OU0JdFf_VYSMzH5lBcEaU4o8teT1piV-SNzShjg/edit?gid=554141278#gid=554141278"", ""'Char Def. - Attributes'!C20:C2242""), 1,false)"),"ORDER_UNIT_OIL_SEAL")</f>
        <v>ORDER_UNIT_OIL_SEAL</v>
      </c>
      <c r="I11652" s="136"/>
      <c r="R11652" s="63" t="str">
        <f t="shared" si="60"/>
        <v>ZSI1_OIL_SEALORDER_UNIT_OIL_SEAL</v>
      </c>
    </row>
    <row r="11653" ht="15.75" customHeight="1">
      <c r="B11653" s="63">
        <f t="shared" si="1"/>
        <v>13</v>
      </c>
      <c r="C11653" s="135" t="s">
        <v>432</v>
      </c>
      <c r="D11653" s="161" t="s">
        <v>74</v>
      </c>
      <c r="E11653" s="135">
        <f t="shared" si="62"/>
        <v>12</v>
      </c>
      <c r="F11653" s="134" t="s">
        <v>4056</v>
      </c>
      <c r="G11653" s="63" t="str">
        <f>VLOOKUP(C11653, 'Class Def. - General Data'!$C$20:$C$1000,1,false)</f>
        <v>ZSI1_OIL_SEAL</v>
      </c>
      <c r="H11653" s="63" t="str">
        <f>IFERROR(__xludf.DUMMYFUNCTION("VLOOKUP(F11653, IMPORTRANGE(""https://docs.google.com/spreadsheets/d/1Lhp9OU0JdFf_VYSMzH5lBcEaU4o8teT1piV-SNzShjg/edit?gid=554141278#gid=554141278"", ""'Char Def. - Attributes'!C20:C2242""), 1,false)"),"GROSS_WEIGHT_OPT")</f>
        <v>GROSS_WEIGHT_OPT</v>
      </c>
      <c r="I11653" s="136"/>
      <c r="R11653" s="63" t="str">
        <f t="shared" si="60"/>
        <v>ZSI1_OIL_SEALGROSS_WEIGHT_OPT</v>
      </c>
    </row>
    <row r="11654" ht="15.75" customHeight="1">
      <c r="B11654" s="63">
        <f t="shared" si="1"/>
        <v>13</v>
      </c>
      <c r="C11654" s="135" t="s">
        <v>432</v>
      </c>
      <c r="D11654" s="161" t="s">
        <v>74</v>
      </c>
      <c r="E11654" s="135">
        <f t="shared" si="62"/>
        <v>13</v>
      </c>
      <c r="F11654" s="134" t="s">
        <v>4057</v>
      </c>
      <c r="G11654" s="63" t="str">
        <f>VLOOKUP(C11654, 'Class Def. - General Data'!$C$20:$C$1000,1,false)</f>
        <v>ZSI1_OIL_SEAL</v>
      </c>
      <c r="H11654" s="63" t="str">
        <f>IFERROR(__xludf.DUMMYFUNCTION("VLOOKUP(F11654, IMPORTRANGE(""https://docs.google.com/spreadsheets/d/1Lhp9OU0JdFf_VYSMzH5lBcEaU4o8teT1piV-SNzShjg/edit?gid=554141278#gid=554141278"", ""'Char Def. - Attributes'!C20:C2242""), 1,false)"),"NET_WEIGHT_OPT")</f>
        <v>NET_WEIGHT_OPT</v>
      </c>
      <c r="I11654" s="136"/>
      <c r="R11654" s="63" t="str">
        <f t="shared" si="60"/>
        <v>ZSI1_OIL_SEALNET_WEIGHT_OPT</v>
      </c>
    </row>
    <row r="11655" ht="15.75" customHeight="1">
      <c r="B11655" s="63">
        <f t="shared" si="1"/>
        <v>13</v>
      </c>
      <c r="C11655" s="135" t="s">
        <v>432</v>
      </c>
      <c r="D11655" s="161" t="s">
        <v>74</v>
      </c>
      <c r="E11655" s="135">
        <f t="shared" si="62"/>
        <v>14</v>
      </c>
      <c r="F11655" s="134" t="s">
        <v>4058</v>
      </c>
      <c r="G11655" s="63" t="str">
        <f>VLOOKUP(C11655, 'Class Def. - General Data'!$C$20:$C$1000,1,false)</f>
        <v>ZSI1_OIL_SEAL</v>
      </c>
      <c r="H11655" s="63" t="str">
        <f>IFERROR(__xludf.DUMMYFUNCTION("VLOOKUP(F11655, IMPORTRANGE(""https://docs.google.com/spreadsheets/d/1Lhp9OU0JdFf_VYSMzH5lBcEaU4o8teT1piV-SNzShjg/edit?gid=554141278#gid=554141278"", ""'Char Def. - Attributes'!C20:C2242""), 1,false)"),"WEIGHT_UNIT_SI")</f>
        <v>WEIGHT_UNIT_SI</v>
      </c>
      <c r="I11655" s="136"/>
      <c r="R11655" s="63" t="str">
        <f t="shared" si="60"/>
        <v>ZSI1_OIL_SEALWEIGHT_UNIT_SI</v>
      </c>
    </row>
    <row r="11656" ht="15.75" customHeight="1">
      <c r="B11656" s="63">
        <f t="shared" si="1"/>
        <v>13</v>
      </c>
      <c r="C11656" s="135" t="s">
        <v>432</v>
      </c>
      <c r="D11656" s="161" t="s">
        <v>74</v>
      </c>
      <c r="E11656" s="135">
        <f t="shared" si="62"/>
        <v>15</v>
      </c>
      <c r="F11656" s="134" t="s">
        <v>3877</v>
      </c>
      <c r="G11656" s="63" t="str">
        <f>VLOOKUP(C11656, 'Class Def. - General Data'!$C$20:$C$1000,1,false)</f>
        <v>ZSI1_OIL_SEAL</v>
      </c>
      <c r="H11656" s="63" t="str">
        <f>IFERROR(__xludf.DUMMYFUNCTION("VLOOKUP(F11656, IMPORTRANGE(""https://docs.google.com/spreadsheets/d/1Lhp9OU0JdFf_VYSMzH5lBcEaU4o8teT1piV-SNzShjg/edit?gid=554141278#gid=554141278"", ""'Char Def. - Attributes'!C20:C2242""), 1,false)"),"VOLUME_OPT")</f>
        <v>VOLUME_OPT</v>
      </c>
      <c r="I11656" s="136"/>
      <c r="R11656" s="63" t="str">
        <f t="shared" si="60"/>
        <v>ZSI1_OIL_SEALVOLUME_OPT</v>
      </c>
    </row>
    <row r="11657" ht="15.75" customHeight="1">
      <c r="B11657" s="63">
        <f t="shared" si="1"/>
        <v>13</v>
      </c>
      <c r="C11657" s="135" t="s">
        <v>432</v>
      </c>
      <c r="D11657" s="161" t="s">
        <v>74</v>
      </c>
      <c r="E11657" s="135">
        <f t="shared" si="62"/>
        <v>16</v>
      </c>
      <c r="F11657" s="134" t="s">
        <v>4059</v>
      </c>
      <c r="G11657" s="63" t="str">
        <f>VLOOKUP(C11657, 'Class Def. - General Data'!$C$20:$C$1000,1,false)</f>
        <v>ZSI1_OIL_SEAL</v>
      </c>
      <c r="H11657" s="63" t="str">
        <f>IFERROR(__xludf.DUMMYFUNCTION("VLOOKUP(F11657, IMPORTRANGE(""https://docs.google.com/spreadsheets/d/1Lhp9OU0JdFf_VYSMzH5lBcEaU4o8teT1piV-SNzShjg/edit?gid=554141278#gid=554141278"", ""'Char Def. - Attributes'!C20:C2242""), 1,false)"),"VOLUME_UNIT_SI")</f>
        <v>VOLUME_UNIT_SI</v>
      </c>
      <c r="I11657" s="136"/>
      <c r="R11657" s="63" t="str">
        <f t="shared" si="60"/>
        <v>ZSI1_OIL_SEALVOLUME_UNIT_SI</v>
      </c>
    </row>
    <row r="11658" ht="15.75" customHeight="1">
      <c r="B11658" s="63">
        <f t="shared" si="1"/>
        <v>13</v>
      </c>
      <c r="C11658" s="135" t="s">
        <v>432</v>
      </c>
      <c r="D11658" s="161" t="s">
        <v>74</v>
      </c>
      <c r="E11658" s="135">
        <f t="shared" si="62"/>
        <v>17</v>
      </c>
      <c r="F11658" s="134" t="s">
        <v>3804</v>
      </c>
      <c r="G11658" s="63" t="str">
        <f>VLOOKUP(C11658, 'Class Def. - General Data'!$C$20:$C$1000,1,false)</f>
        <v>ZSI1_OIL_SEAL</v>
      </c>
      <c r="H11658" s="63" t="str">
        <f>IFERROR(__xludf.DUMMYFUNCTION("VLOOKUP(F11658, IMPORTRANGE(""https://docs.google.com/spreadsheets/d/1Lhp9OU0JdFf_VYSMzH5lBcEaU4o8teT1piV-SNzShjg/edit?gid=554141278#gid=554141278"", ""'Char Def. - Attributes'!C20:C2242""), 1,false)"),"ALT_UOM1_SIPI")</f>
        <v>ALT_UOM1_SIPI</v>
      </c>
      <c r="I11658" s="136"/>
      <c r="R11658" s="63" t="str">
        <f t="shared" si="60"/>
        <v>ZSI1_OIL_SEALALT_UOM1_SIPI</v>
      </c>
    </row>
    <row r="11659" ht="15.75" customHeight="1">
      <c r="B11659" s="63">
        <f t="shared" si="1"/>
        <v>13</v>
      </c>
      <c r="C11659" s="135" t="s">
        <v>432</v>
      </c>
      <c r="D11659" s="161" t="s">
        <v>74</v>
      </c>
      <c r="E11659" s="135">
        <f t="shared" si="62"/>
        <v>18</v>
      </c>
      <c r="F11659" s="134" t="s">
        <v>3805</v>
      </c>
      <c r="G11659" s="63" t="str">
        <f>VLOOKUP(C11659, 'Class Def. - General Data'!$C$20:$C$1000,1,false)</f>
        <v>ZSI1_OIL_SEAL</v>
      </c>
      <c r="H11659" s="63" t="str">
        <f>IFERROR(__xludf.DUMMYFUNCTION("VLOOKUP(F11659, IMPORTRANGE(""https://docs.google.com/spreadsheets/d/1Lhp9OU0JdFf_VYSMzH5lBcEaU4o8teT1piV-SNzShjg/edit?gid=554141278#gid=554141278"", ""'Char Def. - Attributes'!C20:C2242""), 1,false)"),"ALT_DENUM_UOM1")</f>
        <v>ALT_DENUM_UOM1</v>
      </c>
      <c r="I11659" s="136"/>
      <c r="R11659" s="63" t="str">
        <f t="shared" si="60"/>
        <v>ZSI1_OIL_SEALALT_DENUM_UOM1</v>
      </c>
    </row>
    <row r="11660" ht="15.75" customHeight="1">
      <c r="B11660" s="63">
        <f t="shared" si="1"/>
        <v>13</v>
      </c>
      <c r="C11660" s="135" t="s">
        <v>432</v>
      </c>
      <c r="D11660" s="161" t="s">
        <v>74</v>
      </c>
      <c r="E11660" s="135">
        <f t="shared" si="62"/>
        <v>19</v>
      </c>
      <c r="F11660" s="134" t="s">
        <v>3806</v>
      </c>
      <c r="G11660" s="63" t="str">
        <f>VLOOKUP(C11660, 'Class Def. - General Data'!$C$20:$C$1000,1,false)</f>
        <v>ZSI1_OIL_SEAL</v>
      </c>
      <c r="H11660" s="63" t="str">
        <f>IFERROR(__xludf.DUMMYFUNCTION("VLOOKUP(F11660, IMPORTRANGE(""https://docs.google.com/spreadsheets/d/1Lhp9OU0JdFf_VYSMzH5lBcEaU4o8teT1piV-SNzShjg/edit?gid=554141278#gid=554141278"", ""'Char Def. - Attributes'!C20:C2242""), 1,false)"),"ALT_NUM_UOM1")</f>
        <v>ALT_NUM_UOM1</v>
      </c>
      <c r="I11660" s="136"/>
      <c r="R11660" s="63" t="str">
        <f t="shared" si="60"/>
        <v>ZSI1_OIL_SEALALT_NUM_UOM1</v>
      </c>
    </row>
    <row r="11661" ht="15.75" customHeight="1">
      <c r="B11661" s="63">
        <f t="shared" si="1"/>
        <v>13</v>
      </c>
      <c r="C11661" s="135" t="s">
        <v>432</v>
      </c>
      <c r="D11661" s="161" t="s">
        <v>74</v>
      </c>
      <c r="E11661" s="135">
        <f t="shared" si="62"/>
        <v>20</v>
      </c>
      <c r="F11661" s="134" t="s">
        <v>3807</v>
      </c>
      <c r="G11661" s="63" t="str">
        <f>VLOOKUP(C11661, 'Class Def. - General Data'!$C$20:$C$1000,1,false)</f>
        <v>ZSI1_OIL_SEAL</v>
      </c>
      <c r="H11661" s="63" t="str">
        <f>IFERROR(__xludf.DUMMYFUNCTION("VLOOKUP(F11661, IMPORTRANGE(""https://docs.google.com/spreadsheets/d/1Lhp9OU0JdFf_VYSMzH5lBcEaU4o8teT1piV-SNzShjg/edit?gid=554141278#gid=554141278"", ""'Char Def. - Attributes'!C20:C2242""), 1,false)"),"ALT_UOM2_SIPI")</f>
        <v>ALT_UOM2_SIPI</v>
      </c>
      <c r="I11661" s="136"/>
      <c r="R11661" s="63" t="str">
        <f t="shared" si="60"/>
        <v>ZSI1_OIL_SEALALT_UOM2_SIPI</v>
      </c>
    </row>
    <row r="11662" ht="15.75" customHeight="1">
      <c r="B11662" s="63">
        <f t="shared" si="1"/>
        <v>13</v>
      </c>
      <c r="C11662" s="135" t="s">
        <v>432</v>
      </c>
      <c r="D11662" s="161" t="s">
        <v>74</v>
      </c>
      <c r="E11662" s="135">
        <f t="shared" si="62"/>
        <v>21</v>
      </c>
      <c r="F11662" s="134" t="s">
        <v>3808</v>
      </c>
      <c r="G11662" s="63" t="str">
        <f>VLOOKUP(C11662, 'Class Def. - General Data'!$C$20:$C$1000,1,false)</f>
        <v>ZSI1_OIL_SEAL</v>
      </c>
      <c r="H11662" s="63" t="str">
        <f>IFERROR(__xludf.DUMMYFUNCTION("VLOOKUP(F11662, IMPORTRANGE(""https://docs.google.com/spreadsheets/d/1Lhp9OU0JdFf_VYSMzH5lBcEaU4o8teT1piV-SNzShjg/edit?gid=554141278#gid=554141278"", ""'Char Def. - Attributes'!C20:C2242""), 1,false)"),"ALT_DENUM_UOM2")</f>
        <v>ALT_DENUM_UOM2</v>
      </c>
      <c r="I11662" s="136"/>
      <c r="R11662" s="63" t="str">
        <f t="shared" si="60"/>
        <v>ZSI1_OIL_SEALALT_DENUM_UOM2</v>
      </c>
    </row>
    <row r="11663" ht="15.75" customHeight="1">
      <c r="B11663" s="63">
        <f t="shared" si="1"/>
        <v>13</v>
      </c>
      <c r="C11663" s="135" t="s">
        <v>432</v>
      </c>
      <c r="D11663" s="161" t="s">
        <v>74</v>
      </c>
      <c r="E11663" s="135">
        <f t="shared" si="62"/>
        <v>22</v>
      </c>
      <c r="F11663" s="134" t="s">
        <v>3809</v>
      </c>
      <c r="G11663" s="63" t="str">
        <f>VLOOKUP(C11663, 'Class Def. - General Data'!$C$20:$C$1000,1,false)</f>
        <v>ZSI1_OIL_SEAL</v>
      </c>
      <c r="H11663" s="63" t="str">
        <f>IFERROR(__xludf.DUMMYFUNCTION("VLOOKUP(F11663, IMPORTRANGE(""https://docs.google.com/spreadsheets/d/1Lhp9OU0JdFf_VYSMzH5lBcEaU4o8teT1piV-SNzShjg/edit?gid=554141278#gid=554141278"", ""'Char Def. - Attributes'!C20:C2242""), 1,false)"),"ALT_NUM_UOM2")</f>
        <v>ALT_NUM_UOM2</v>
      </c>
      <c r="I11663" s="136"/>
      <c r="R11663" s="63" t="str">
        <f t="shared" si="60"/>
        <v>ZSI1_OIL_SEALALT_NUM_UOM2</v>
      </c>
    </row>
    <row r="11664" ht="15.75" customHeight="1">
      <c r="B11664" s="63">
        <f t="shared" si="1"/>
        <v>13</v>
      </c>
      <c r="C11664" s="135" t="s">
        <v>432</v>
      </c>
      <c r="D11664" s="161" t="s">
        <v>74</v>
      </c>
      <c r="E11664" s="135">
        <f t="shared" si="62"/>
        <v>23</v>
      </c>
      <c r="F11664" s="134" t="s">
        <v>3810</v>
      </c>
      <c r="G11664" s="63" t="str">
        <f>VLOOKUP(C11664, 'Class Def. - General Data'!$C$20:$C$1000,1,false)</f>
        <v>ZSI1_OIL_SEAL</v>
      </c>
      <c r="H11664" s="63" t="str">
        <f>IFERROR(__xludf.DUMMYFUNCTION("VLOOKUP(F11664, IMPORTRANGE(""https://docs.google.com/spreadsheets/d/1Lhp9OU0JdFf_VYSMzH5lBcEaU4o8teT1piV-SNzShjg/edit?gid=554141278#gid=554141278"", ""'Char Def. - Attributes'!C20:C2242""), 1,false)"),"ALT_UOM3_SIPI")</f>
        <v>ALT_UOM3_SIPI</v>
      </c>
      <c r="I11664" s="136"/>
      <c r="R11664" s="63" t="str">
        <f t="shared" si="60"/>
        <v>ZSI1_OIL_SEALALT_UOM3_SIPI</v>
      </c>
    </row>
    <row r="11665" ht="15.75" customHeight="1">
      <c r="B11665" s="63">
        <f t="shared" si="1"/>
        <v>13</v>
      </c>
      <c r="C11665" s="135" t="s">
        <v>432</v>
      </c>
      <c r="D11665" s="161" t="s">
        <v>74</v>
      </c>
      <c r="E11665" s="135">
        <f t="shared" si="62"/>
        <v>24</v>
      </c>
      <c r="F11665" s="134" t="s">
        <v>3811</v>
      </c>
      <c r="G11665" s="63" t="str">
        <f>VLOOKUP(C11665, 'Class Def. - General Data'!$C$20:$C$1000,1,false)</f>
        <v>ZSI1_OIL_SEAL</v>
      </c>
      <c r="H11665" s="63" t="str">
        <f>IFERROR(__xludf.DUMMYFUNCTION("VLOOKUP(F11665, IMPORTRANGE(""https://docs.google.com/spreadsheets/d/1Lhp9OU0JdFf_VYSMzH5lBcEaU4o8teT1piV-SNzShjg/edit?gid=554141278#gid=554141278"", ""'Char Def. - Attributes'!C20:C2242""), 1,false)"),"ALT_DENUM_UOM3")</f>
        <v>ALT_DENUM_UOM3</v>
      </c>
      <c r="I11665" s="136"/>
      <c r="R11665" s="63" t="str">
        <f t="shared" si="60"/>
        <v>ZSI1_OIL_SEALALT_DENUM_UOM3</v>
      </c>
    </row>
    <row r="11666" ht="15.75" customHeight="1">
      <c r="B11666" s="63">
        <f t="shared" si="1"/>
        <v>13</v>
      </c>
      <c r="C11666" s="135" t="s">
        <v>432</v>
      </c>
      <c r="D11666" s="161" t="s">
        <v>74</v>
      </c>
      <c r="E11666" s="135">
        <f t="shared" si="62"/>
        <v>25</v>
      </c>
      <c r="F11666" s="134" t="s">
        <v>3812</v>
      </c>
      <c r="G11666" s="63" t="str">
        <f>VLOOKUP(C11666, 'Class Def. - General Data'!$C$20:$C$1000,1,false)</f>
        <v>ZSI1_OIL_SEAL</v>
      </c>
      <c r="H11666" s="63" t="str">
        <f>IFERROR(__xludf.DUMMYFUNCTION("VLOOKUP(F11666, IMPORTRANGE(""https://docs.google.com/spreadsheets/d/1Lhp9OU0JdFf_VYSMzH5lBcEaU4o8teT1piV-SNzShjg/edit?gid=554141278#gid=554141278"", ""'Char Def. - Attributes'!C20:C2242""), 1,false)"),"ALT_NUM_UOM3")</f>
        <v>ALT_NUM_UOM3</v>
      </c>
      <c r="I11666" s="136"/>
      <c r="R11666" s="63" t="str">
        <f t="shared" si="60"/>
        <v>ZSI1_OIL_SEALALT_NUM_UOM3</v>
      </c>
    </row>
    <row r="11667" ht="15.75" customHeight="1">
      <c r="B11667" s="63">
        <f t="shared" si="1"/>
        <v>13</v>
      </c>
      <c r="C11667" s="135" t="s">
        <v>432</v>
      </c>
      <c r="D11667" s="161" t="s">
        <v>74</v>
      </c>
      <c r="E11667" s="135">
        <f t="shared" si="62"/>
        <v>26</v>
      </c>
      <c r="F11667" s="134" t="s">
        <v>3813</v>
      </c>
      <c r="G11667" s="63" t="str">
        <f>VLOOKUP(C11667, 'Class Def. - General Data'!$C$20:$C$1000,1,false)</f>
        <v>ZSI1_OIL_SEAL</v>
      </c>
      <c r="H11667" s="63" t="str">
        <f>IFERROR(__xludf.DUMMYFUNCTION("VLOOKUP(F11667, IMPORTRANGE(""https://docs.google.com/spreadsheets/d/1Lhp9OU0JdFf_VYSMzH5lBcEaU4o8teT1piV-SNzShjg/edit?gid=554141278#gid=554141278"", ""'Char Def. - Attributes'!C20:C2242""), 1,false)"),"ALT_UOM4_SIPI")</f>
        <v>ALT_UOM4_SIPI</v>
      </c>
      <c r="I11667" s="136"/>
      <c r="R11667" s="63" t="str">
        <f t="shared" si="60"/>
        <v>ZSI1_OIL_SEALALT_UOM4_SIPI</v>
      </c>
    </row>
    <row r="11668" ht="15.75" customHeight="1">
      <c r="B11668" s="63">
        <f t="shared" si="1"/>
        <v>13</v>
      </c>
      <c r="C11668" s="135" t="s">
        <v>432</v>
      </c>
      <c r="D11668" s="161" t="s">
        <v>74</v>
      </c>
      <c r="E11668" s="135">
        <f t="shared" si="62"/>
        <v>27</v>
      </c>
      <c r="F11668" s="134" t="s">
        <v>3814</v>
      </c>
      <c r="G11668" s="63" t="str">
        <f>VLOOKUP(C11668, 'Class Def. - General Data'!$C$20:$C$1000,1,false)</f>
        <v>ZSI1_OIL_SEAL</v>
      </c>
      <c r="H11668" s="63" t="str">
        <f>IFERROR(__xludf.DUMMYFUNCTION("VLOOKUP(F11668, IMPORTRANGE(""https://docs.google.com/spreadsheets/d/1Lhp9OU0JdFf_VYSMzH5lBcEaU4o8teT1piV-SNzShjg/edit?gid=554141278#gid=554141278"", ""'Char Def. - Attributes'!C20:C2242""), 1,false)"),"ALT_DENUM_UOM4")</f>
        <v>ALT_DENUM_UOM4</v>
      </c>
      <c r="I11668" s="136"/>
      <c r="R11668" s="63" t="str">
        <f t="shared" si="60"/>
        <v>ZSI1_OIL_SEALALT_DENUM_UOM4</v>
      </c>
    </row>
    <row r="11669" ht="15.75" customHeight="1">
      <c r="B11669" s="63">
        <f t="shared" si="1"/>
        <v>13</v>
      </c>
      <c r="C11669" s="135" t="s">
        <v>432</v>
      </c>
      <c r="D11669" s="161" t="s">
        <v>74</v>
      </c>
      <c r="E11669" s="135">
        <f t="shared" si="62"/>
        <v>28</v>
      </c>
      <c r="F11669" s="134" t="s">
        <v>3815</v>
      </c>
      <c r="G11669" s="63" t="str">
        <f>VLOOKUP(C11669, 'Class Def. - General Data'!$C$20:$C$1000,1,false)</f>
        <v>ZSI1_OIL_SEAL</v>
      </c>
      <c r="H11669" s="63" t="str">
        <f>IFERROR(__xludf.DUMMYFUNCTION("VLOOKUP(F11669, IMPORTRANGE(""https://docs.google.com/spreadsheets/d/1Lhp9OU0JdFf_VYSMzH5lBcEaU4o8teT1piV-SNzShjg/edit?gid=554141278#gid=554141278"", ""'Char Def. - Attributes'!C20:C2242""), 1,false)"),"ALT_NUM_UOM4")</f>
        <v>ALT_NUM_UOM4</v>
      </c>
      <c r="I11669" s="136"/>
      <c r="R11669" s="63" t="str">
        <f t="shared" si="60"/>
        <v>ZSI1_OIL_SEALALT_NUM_UOM4</v>
      </c>
    </row>
    <row r="11670" ht="15.75" customHeight="1">
      <c r="B11670" s="63">
        <f t="shared" si="1"/>
        <v>13</v>
      </c>
      <c r="C11670" s="135" t="s">
        <v>432</v>
      </c>
      <c r="D11670" s="161" t="s">
        <v>74</v>
      </c>
      <c r="E11670" s="135">
        <f t="shared" si="62"/>
        <v>29</v>
      </c>
      <c r="F11670" s="134" t="s">
        <v>3816</v>
      </c>
      <c r="G11670" s="63" t="str">
        <f>VLOOKUP(C11670, 'Class Def. - General Data'!$C$20:$C$1000,1,false)</f>
        <v>ZSI1_OIL_SEAL</v>
      </c>
      <c r="H11670" s="63" t="str">
        <f>IFERROR(__xludf.DUMMYFUNCTION("VLOOKUP(F11670, IMPORTRANGE(""https://docs.google.com/spreadsheets/d/1Lhp9OU0JdFf_VYSMzH5lBcEaU4o8teT1piV-SNzShjg/edit?gid=554141278#gid=554141278"", ""'Char Def. - Attributes'!C20:C2242""), 1,false)"),"ALT_UOM5_SIPI")</f>
        <v>ALT_UOM5_SIPI</v>
      </c>
      <c r="I11670" s="136"/>
      <c r="R11670" s="63" t="str">
        <f t="shared" si="60"/>
        <v>ZSI1_OIL_SEALALT_UOM5_SIPI</v>
      </c>
    </row>
    <row r="11671" ht="15.75" customHeight="1">
      <c r="B11671" s="63">
        <f t="shared" si="1"/>
        <v>13</v>
      </c>
      <c r="C11671" s="135" t="s">
        <v>432</v>
      </c>
      <c r="D11671" s="161" t="s">
        <v>74</v>
      </c>
      <c r="E11671" s="135">
        <f t="shared" si="62"/>
        <v>30</v>
      </c>
      <c r="F11671" s="134" t="s">
        <v>3817</v>
      </c>
      <c r="G11671" s="63" t="str">
        <f>VLOOKUP(C11671, 'Class Def. - General Data'!$C$20:$C$1000,1,false)</f>
        <v>ZSI1_OIL_SEAL</v>
      </c>
      <c r="H11671" s="63" t="str">
        <f>IFERROR(__xludf.DUMMYFUNCTION("VLOOKUP(F11671, IMPORTRANGE(""https://docs.google.com/spreadsheets/d/1Lhp9OU0JdFf_VYSMzH5lBcEaU4o8teT1piV-SNzShjg/edit?gid=554141278#gid=554141278"", ""'Char Def. - Attributes'!C20:C2242""), 1,false)"),"ALT_DENUM_UOM5")</f>
        <v>ALT_DENUM_UOM5</v>
      </c>
      <c r="I11671" s="136"/>
      <c r="R11671" s="63" t="str">
        <f t="shared" si="60"/>
        <v>ZSI1_OIL_SEALALT_DENUM_UOM5</v>
      </c>
    </row>
    <row r="11672" ht="15.75" customHeight="1">
      <c r="B11672" s="63">
        <f t="shared" si="1"/>
        <v>13</v>
      </c>
      <c r="C11672" s="135" t="s">
        <v>432</v>
      </c>
      <c r="D11672" s="161" t="s">
        <v>74</v>
      </c>
      <c r="E11672" s="135">
        <f t="shared" si="62"/>
        <v>31</v>
      </c>
      <c r="F11672" s="134" t="s">
        <v>3818</v>
      </c>
      <c r="G11672" s="63" t="str">
        <f>VLOOKUP(C11672, 'Class Def. - General Data'!$C$20:$C$1000,1,false)</f>
        <v>ZSI1_OIL_SEAL</v>
      </c>
      <c r="H11672" s="63" t="str">
        <f>IFERROR(__xludf.DUMMYFUNCTION("VLOOKUP(F11672, IMPORTRANGE(""https://docs.google.com/spreadsheets/d/1Lhp9OU0JdFf_VYSMzH5lBcEaU4o8teT1piV-SNzShjg/edit?gid=554141278#gid=554141278"", ""'Char Def. - Attributes'!C20:C2242""), 1,false)"),"ALT_NUM_UOM5")</f>
        <v>ALT_NUM_UOM5</v>
      </c>
      <c r="I11672" s="136"/>
      <c r="R11672" s="63" t="str">
        <f t="shared" si="60"/>
        <v>ZSI1_OIL_SEALALT_NUM_UOM5</v>
      </c>
    </row>
    <row r="11673" ht="15.75" customHeight="1">
      <c r="B11673" s="63">
        <f t="shared" si="1"/>
        <v>17</v>
      </c>
      <c r="C11673" s="135" t="s">
        <v>500</v>
      </c>
      <c r="D11673" s="161" t="s">
        <v>74</v>
      </c>
      <c r="E11673" s="135">
        <f t="shared" si="62"/>
        <v>1</v>
      </c>
      <c r="F11673" s="134" t="s">
        <v>4995</v>
      </c>
      <c r="G11673" s="63" t="str">
        <f>VLOOKUP(C11673, 'Class Def. - General Data'!$C$20:$C$1000,1,false)</f>
        <v>ZSI1_PACKING_SUPP</v>
      </c>
      <c r="H11673" s="63" t="str">
        <f>IFERROR(__xludf.DUMMYFUNCTION("VLOOKUP(F11673, IMPORTRANGE(""https://docs.google.com/spreadsheets/d/1Lhp9OU0JdFf_VYSMzH5lBcEaU4o8teT1piV-SNzShjg/edit?gid=554141278#gid=554141278"", ""'Char Def. - Attributes'!C20:C2242""), 1,false)"),"ITEM_NAME_PACKING_SUPP")</f>
        <v>ITEM_NAME_PACKING_SUPP</v>
      </c>
      <c r="I11673" s="136"/>
      <c r="R11673" s="63" t="str">
        <f t="shared" si="60"/>
        <v>ZSI1_PACKING_SUPPITEM_NAME_PACKING_SUPP</v>
      </c>
    </row>
    <row r="11674" ht="15.75" customHeight="1">
      <c r="B11674" s="63">
        <f t="shared" si="1"/>
        <v>17</v>
      </c>
      <c r="C11674" s="135" t="s">
        <v>500</v>
      </c>
      <c r="D11674" s="161" t="s">
        <v>74</v>
      </c>
      <c r="E11674" s="135">
        <f t="shared" si="62"/>
        <v>2</v>
      </c>
      <c r="F11674" s="134" t="s">
        <v>4996</v>
      </c>
      <c r="G11674" s="63" t="str">
        <f>VLOOKUP(C11674, 'Class Def. - General Data'!$C$20:$C$1000,1,false)</f>
        <v>ZSI1_PACKING_SUPP</v>
      </c>
      <c r="H11674" s="63" t="str">
        <f>IFERROR(__xludf.DUMMYFUNCTION("VLOOKUP(F11674, IMPORTRANGE(""https://docs.google.com/spreadsheets/d/1Lhp9OU0JdFf_VYSMzH5lBcEaU4o8teT1piV-SNzShjg/edit?gid=554141278#gid=554141278"", ""'Char Def. - Attributes'!C20:C2242""), 1,false)"),"#N/A")</f>
        <v>#N/A</v>
      </c>
      <c r="I11674" s="136"/>
      <c r="R11674" s="63" t="str">
        <f t="shared" si="60"/>
        <v>ZSI1_PACKING_SUPPEXTENAL_BRAND</v>
      </c>
    </row>
    <row r="11675" ht="15.75" customHeight="1">
      <c r="B11675" s="63">
        <f t="shared" si="1"/>
        <v>17</v>
      </c>
      <c r="C11675" s="135" t="s">
        <v>500</v>
      </c>
      <c r="D11675" s="161" t="s">
        <v>74</v>
      </c>
      <c r="E11675" s="135">
        <f t="shared" si="62"/>
        <v>3</v>
      </c>
      <c r="F11675" s="134" t="s">
        <v>3782</v>
      </c>
      <c r="G11675" s="63" t="str">
        <f>VLOOKUP(C11675, 'Class Def. - General Data'!$C$20:$C$1000,1,false)</f>
        <v>ZSI1_PACKING_SUPP</v>
      </c>
      <c r="H11675" s="63" t="str">
        <f>IFERROR(__xludf.DUMMYFUNCTION("VLOOKUP(F11675, IMPORTRANGE(""https://docs.google.com/spreadsheets/d/1Lhp9OU0JdFf_VYSMzH5lBcEaU4o8teT1piV-SNzShjg/edit?gid=554141278#gid=554141278"", ""'Char Def. - Attributes'!C20:C2242""), 1,false)"),"BRAND_EXTERNAL")</f>
        <v>BRAND_EXTERNAL</v>
      </c>
      <c r="I11675" s="136"/>
      <c r="R11675" s="63" t="str">
        <f t="shared" si="60"/>
        <v>ZSI1_PACKING_SUPPBRAND_EXTERNAL</v>
      </c>
    </row>
    <row r="11676" ht="15.75" customHeight="1">
      <c r="B11676" s="63">
        <f t="shared" si="1"/>
        <v>17</v>
      </c>
      <c r="C11676" s="135" t="s">
        <v>500</v>
      </c>
      <c r="D11676" s="161" t="s">
        <v>74</v>
      </c>
      <c r="E11676" s="135">
        <f t="shared" si="62"/>
        <v>4</v>
      </c>
      <c r="F11676" s="134" t="s">
        <v>4997</v>
      </c>
      <c r="G11676" s="63" t="str">
        <f>VLOOKUP(C11676, 'Class Def. - General Data'!$C$20:$C$1000,1,false)</f>
        <v>ZSI1_PACKING_SUPP</v>
      </c>
      <c r="H11676" s="63" t="str">
        <f>IFERROR(__xludf.DUMMYFUNCTION("VLOOKUP(F11676, IMPORTRANGE(""https://docs.google.com/spreadsheets/d/1Lhp9OU0JdFf_VYSMzH5lBcEaU4o8teT1piV-SNzShjg/edit?gid=554141278#gid=554141278"", ""'Char Def. - Attributes'!C20:C2242""), 1,false)"),"#N/A")</f>
        <v>#N/A</v>
      </c>
      <c r="I11676" s="136"/>
      <c r="R11676" s="63" t="str">
        <f t="shared" si="60"/>
        <v>ZSI1_PACKING_SUPPTYPE_PACKING_SUPP</v>
      </c>
    </row>
    <row r="11677" ht="15.75" customHeight="1">
      <c r="B11677" s="63">
        <f t="shared" si="1"/>
        <v>17</v>
      </c>
      <c r="C11677" s="135" t="s">
        <v>500</v>
      </c>
      <c r="D11677" s="161" t="s">
        <v>74</v>
      </c>
      <c r="E11677" s="135">
        <f t="shared" si="62"/>
        <v>5</v>
      </c>
      <c r="F11677" s="134" t="s">
        <v>4998</v>
      </c>
      <c r="G11677" s="63" t="str">
        <f>VLOOKUP(C11677, 'Class Def. - General Data'!$C$20:$C$1000,1,false)</f>
        <v>ZSI1_PACKING_SUPP</v>
      </c>
      <c r="H11677" s="63" t="str">
        <f>IFERROR(__xludf.DUMMYFUNCTION("VLOOKUP(F11677, IMPORTRANGE(""https://docs.google.com/spreadsheets/d/1Lhp9OU0JdFf_VYSMzH5lBcEaU4o8teT1piV-SNzShjg/edit?gid=554141278#gid=554141278"", ""'Char Def. - Attributes'!C20:C2242""), 1,false)"),"MATERIAL_PACKING_SUPP")</f>
        <v>MATERIAL_PACKING_SUPP</v>
      </c>
      <c r="I11677" s="136"/>
      <c r="R11677" s="63" t="str">
        <f t="shared" si="60"/>
        <v>ZSI1_PACKING_SUPPMATERIAL_PACKING_SUPP</v>
      </c>
    </row>
    <row r="11678" ht="15.75" customHeight="1">
      <c r="B11678" s="63">
        <f t="shared" si="1"/>
        <v>17</v>
      </c>
      <c r="C11678" s="135" t="s">
        <v>500</v>
      </c>
      <c r="D11678" s="161" t="s">
        <v>74</v>
      </c>
      <c r="E11678" s="135">
        <f t="shared" si="62"/>
        <v>6</v>
      </c>
      <c r="F11678" s="134" t="s">
        <v>4999</v>
      </c>
      <c r="G11678" s="63" t="str">
        <f>VLOOKUP(C11678, 'Class Def. - General Data'!$C$20:$C$1000,1,false)</f>
        <v>ZSI1_PACKING_SUPP</v>
      </c>
      <c r="H11678" s="63" t="str">
        <f>IFERROR(__xludf.DUMMYFUNCTION("VLOOKUP(F11678, IMPORTRANGE(""https://docs.google.com/spreadsheets/d/1Lhp9OU0JdFf_VYSMzH5lBcEaU4o8teT1piV-SNzShjg/edit?gid=554141278#gid=554141278"", ""'Char Def. - Attributes'!C20:C2242""), 1,false)"),"#N/A")</f>
        <v>#N/A</v>
      </c>
      <c r="I11678" s="136"/>
      <c r="R11678" s="63" t="str">
        <f t="shared" si="60"/>
        <v>ZSI1_PACKING_SUPPDIMENSION_SIZE_PACKING_SUPP</v>
      </c>
    </row>
    <row r="11679" ht="15.75" customHeight="1">
      <c r="B11679" s="63">
        <f t="shared" si="1"/>
        <v>17</v>
      </c>
      <c r="C11679" s="135" t="s">
        <v>500</v>
      </c>
      <c r="D11679" s="161" t="s">
        <v>74</v>
      </c>
      <c r="E11679" s="135">
        <f t="shared" si="62"/>
        <v>7</v>
      </c>
      <c r="F11679" s="134" t="s">
        <v>5000</v>
      </c>
      <c r="G11679" s="63" t="str">
        <f>VLOOKUP(C11679, 'Class Def. - General Data'!$C$20:$C$1000,1,false)</f>
        <v>ZSI1_PACKING_SUPP</v>
      </c>
      <c r="H11679" s="63" t="str">
        <f>IFERROR(__xludf.DUMMYFUNCTION("VLOOKUP(F11679, IMPORTRANGE(""https://docs.google.com/spreadsheets/d/1Lhp9OU0JdFf_VYSMzH5lBcEaU4o8teT1piV-SNzShjg/edit?gid=554141278#gid=554141278"", ""'Char Def. - Attributes'!C20:C2242""), 1,false)"),"#N/A")</f>
        <v>#N/A</v>
      </c>
      <c r="I11679" s="136"/>
      <c r="R11679" s="63" t="str">
        <f t="shared" si="60"/>
        <v>ZSI1_PACKING_SUPPSIZE_PACKING_SUPP</v>
      </c>
    </row>
    <row r="11680" ht="15.75" customHeight="1">
      <c r="B11680" s="63">
        <f t="shared" si="1"/>
        <v>17</v>
      </c>
      <c r="C11680" s="135" t="s">
        <v>500</v>
      </c>
      <c r="D11680" s="161" t="s">
        <v>74</v>
      </c>
      <c r="E11680" s="135">
        <f t="shared" si="62"/>
        <v>8</v>
      </c>
      <c r="F11680" s="134" t="s">
        <v>3585</v>
      </c>
      <c r="G11680" s="63" t="str">
        <f>VLOOKUP(C11680, 'Class Def. - General Data'!$C$20:$C$1000,1,false)</f>
        <v>ZSI1_PACKING_SUPP</v>
      </c>
      <c r="H11680" s="63" t="str">
        <f>IFERROR(__xludf.DUMMYFUNCTION("VLOOKUP(F11680, IMPORTRANGE(""https://docs.google.com/spreadsheets/d/1Lhp9OU0JdFf_VYSMzH5lBcEaU4o8teT1piV-SNzShjg/edit?gid=554141278#gid=554141278"", ""'Char Def. - Attributes'!C20:C2242""), 1,false)"),"HS_CODE")</f>
        <v>HS_CODE</v>
      </c>
      <c r="I11680" s="136"/>
      <c r="R11680" s="63" t="str">
        <f t="shared" si="60"/>
        <v>ZSI1_PACKING_SUPPHS_CODE</v>
      </c>
    </row>
    <row r="11681" ht="15.75" customHeight="1">
      <c r="B11681" s="63">
        <f t="shared" si="1"/>
        <v>17</v>
      </c>
      <c r="C11681" s="135" t="s">
        <v>500</v>
      </c>
      <c r="D11681" s="161" t="s">
        <v>74</v>
      </c>
      <c r="E11681" s="135">
        <f t="shared" si="62"/>
        <v>9</v>
      </c>
      <c r="F11681" s="134" t="s">
        <v>3587</v>
      </c>
      <c r="G11681" s="63" t="str">
        <f>VLOOKUP(C11681, 'Class Def. - General Data'!$C$20:$C$1000,1,false)</f>
        <v>ZSI1_PACKING_SUPP</v>
      </c>
      <c r="H11681" s="63" t="str">
        <f>IFERROR(__xludf.DUMMYFUNCTION("VLOOKUP(F11681, IMPORTRANGE(""https://docs.google.com/spreadsheets/d/1Lhp9OU0JdFf_VYSMzH5lBcEaU4o8teT1piV-SNzShjg/edit?gid=554141278#gid=554141278"", ""'Char Def. - Attributes'!C20:C2242""), 1,false)"),"PLANT_BUY")</f>
        <v>PLANT_BUY</v>
      </c>
      <c r="I11681" s="136"/>
      <c r="R11681" s="63" t="str">
        <f t="shared" si="60"/>
        <v>ZSI1_PACKING_SUPPPLANT_BUY</v>
      </c>
    </row>
    <row r="11682" ht="15.75" customHeight="1">
      <c r="B11682" s="63">
        <f t="shared" si="1"/>
        <v>17</v>
      </c>
      <c r="C11682" s="135" t="s">
        <v>500</v>
      </c>
      <c r="D11682" s="161" t="s">
        <v>74</v>
      </c>
      <c r="E11682" s="135">
        <f t="shared" si="62"/>
        <v>10</v>
      </c>
      <c r="F11682" s="134" t="s">
        <v>5001</v>
      </c>
      <c r="G11682" s="63" t="str">
        <f>VLOOKUP(C11682, 'Class Def. - General Data'!$C$20:$C$1000,1,false)</f>
        <v>ZSI1_PACKING_SUPP</v>
      </c>
      <c r="H11682" s="63" t="str">
        <f>IFERROR(__xludf.DUMMYFUNCTION("VLOOKUP(F11682, IMPORTRANGE(""https://docs.google.com/spreadsheets/d/1Lhp9OU0JdFf_VYSMzH5lBcEaU4o8teT1piV-SNzShjg/edit?gid=554141278#gid=554141278"", ""'Char Def. - Attributes'!C20:C2242""), 1,false)"),"BASE_UOM_PACKING_SUPP")</f>
        <v>BASE_UOM_PACKING_SUPP</v>
      </c>
      <c r="I11682" s="136"/>
      <c r="R11682" s="63" t="str">
        <f t="shared" si="60"/>
        <v>ZSI1_PACKING_SUPPBASE_UOM_PACKING_SUPP</v>
      </c>
    </row>
    <row r="11683" ht="15.75" customHeight="1">
      <c r="B11683" s="63">
        <f t="shared" si="1"/>
        <v>17</v>
      </c>
      <c r="C11683" s="135" t="s">
        <v>500</v>
      </c>
      <c r="D11683" s="161" t="s">
        <v>74</v>
      </c>
      <c r="E11683" s="135">
        <f t="shared" si="62"/>
        <v>11</v>
      </c>
      <c r="F11683" s="134" t="s">
        <v>5002</v>
      </c>
      <c r="G11683" s="63" t="str">
        <f>VLOOKUP(C11683, 'Class Def. - General Data'!$C$20:$C$1000,1,false)</f>
        <v>ZSI1_PACKING_SUPP</v>
      </c>
      <c r="H11683" s="63" t="str">
        <f>IFERROR(__xludf.DUMMYFUNCTION("VLOOKUP(F11683, IMPORTRANGE(""https://docs.google.com/spreadsheets/d/1Lhp9OU0JdFf_VYSMzH5lBcEaU4o8teT1piV-SNzShjg/edit?gid=554141278#gid=554141278"", ""'Char Def. - Attributes'!C20:C2242""), 1,false)"),"ORDER_UNIT_PACKING_SUPP")</f>
        <v>ORDER_UNIT_PACKING_SUPP</v>
      </c>
      <c r="I11683" s="136"/>
      <c r="R11683" s="63" t="str">
        <f t="shared" si="60"/>
        <v>ZSI1_PACKING_SUPPORDER_UNIT_PACKING_SUPP</v>
      </c>
    </row>
    <row r="11684" ht="15.75" customHeight="1">
      <c r="B11684" s="63">
        <f t="shared" si="1"/>
        <v>17</v>
      </c>
      <c r="C11684" s="135" t="s">
        <v>500</v>
      </c>
      <c r="D11684" s="161" t="s">
        <v>74</v>
      </c>
      <c r="E11684" s="135">
        <f t="shared" si="62"/>
        <v>12</v>
      </c>
      <c r="F11684" s="134" t="s">
        <v>4056</v>
      </c>
      <c r="G11684" s="63" t="str">
        <f>VLOOKUP(C11684, 'Class Def. - General Data'!$C$20:$C$1000,1,false)</f>
        <v>ZSI1_PACKING_SUPP</v>
      </c>
      <c r="H11684" s="63" t="str">
        <f>IFERROR(__xludf.DUMMYFUNCTION("VLOOKUP(F11684, IMPORTRANGE(""https://docs.google.com/spreadsheets/d/1Lhp9OU0JdFf_VYSMzH5lBcEaU4o8teT1piV-SNzShjg/edit?gid=554141278#gid=554141278"", ""'Char Def. - Attributes'!C20:C2242""), 1,false)"),"GROSS_WEIGHT_OPT")</f>
        <v>GROSS_WEIGHT_OPT</v>
      </c>
      <c r="I11684" s="136"/>
      <c r="R11684" s="63" t="str">
        <f t="shared" si="60"/>
        <v>ZSI1_PACKING_SUPPGROSS_WEIGHT_OPT</v>
      </c>
    </row>
    <row r="11685" ht="15.75" customHeight="1">
      <c r="B11685" s="63">
        <f t="shared" si="1"/>
        <v>17</v>
      </c>
      <c r="C11685" s="135" t="s">
        <v>500</v>
      </c>
      <c r="D11685" s="161" t="s">
        <v>74</v>
      </c>
      <c r="E11685" s="135">
        <f t="shared" si="62"/>
        <v>13</v>
      </c>
      <c r="F11685" s="134" t="s">
        <v>4057</v>
      </c>
      <c r="G11685" s="63" t="str">
        <f>VLOOKUP(C11685, 'Class Def. - General Data'!$C$20:$C$1000,1,false)</f>
        <v>ZSI1_PACKING_SUPP</v>
      </c>
      <c r="H11685" s="63" t="str">
        <f>IFERROR(__xludf.DUMMYFUNCTION("VLOOKUP(F11685, IMPORTRANGE(""https://docs.google.com/spreadsheets/d/1Lhp9OU0JdFf_VYSMzH5lBcEaU4o8teT1piV-SNzShjg/edit?gid=554141278#gid=554141278"", ""'Char Def. - Attributes'!C20:C2242""), 1,false)"),"NET_WEIGHT_OPT")</f>
        <v>NET_WEIGHT_OPT</v>
      </c>
      <c r="I11685" s="136"/>
      <c r="R11685" s="63" t="str">
        <f t="shared" si="60"/>
        <v>ZSI1_PACKING_SUPPNET_WEIGHT_OPT</v>
      </c>
    </row>
    <row r="11686" ht="15.75" customHeight="1">
      <c r="B11686" s="63">
        <f t="shared" si="1"/>
        <v>17</v>
      </c>
      <c r="C11686" s="135" t="s">
        <v>500</v>
      </c>
      <c r="D11686" s="161" t="s">
        <v>74</v>
      </c>
      <c r="E11686" s="135">
        <f t="shared" si="62"/>
        <v>14</v>
      </c>
      <c r="F11686" s="134" t="s">
        <v>4058</v>
      </c>
      <c r="G11686" s="63" t="str">
        <f>VLOOKUP(C11686, 'Class Def. - General Data'!$C$20:$C$1000,1,false)</f>
        <v>ZSI1_PACKING_SUPP</v>
      </c>
      <c r="H11686" s="63" t="str">
        <f>IFERROR(__xludf.DUMMYFUNCTION("VLOOKUP(F11686, IMPORTRANGE(""https://docs.google.com/spreadsheets/d/1Lhp9OU0JdFf_VYSMzH5lBcEaU4o8teT1piV-SNzShjg/edit?gid=554141278#gid=554141278"", ""'Char Def. - Attributes'!C20:C2242""), 1,false)"),"WEIGHT_UNIT_SI")</f>
        <v>WEIGHT_UNIT_SI</v>
      </c>
      <c r="I11686" s="136"/>
      <c r="R11686" s="63" t="str">
        <f t="shared" si="60"/>
        <v>ZSI1_PACKING_SUPPWEIGHT_UNIT_SI</v>
      </c>
    </row>
    <row r="11687" ht="15.75" customHeight="1">
      <c r="B11687" s="63">
        <f t="shared" si="1"/>
        <v>17</v>
      </c>
      <c r="C11687" s="135" t="s">
        <v>500</v>
      </c>
      <c r="D11687" s="161" t="s">
        <v>74</v>
      </c>
      <c r="E11687" s="135">
        <f t="shared" si="62"/>
        <v>15</v>
      </c>
      <c r="F11687" s="134" t="s">
        <v>3877</v>
      </c>
      <c r="G11687" s="63" t="str">
        <f>VLOOKUP(C11687, 'Class Def. - General Data'!$C$20:$C$1000,1,false)</f>
        <v>ZSI1_PACKING_SUPP</v>
      </c>
      <c r="H11687" s="63" t="str">
        <f>IFERROR(__xludf.DUMMYFUNCTION("VLOOKUP(F11687, IMPORTRANGE(""https://docs.google.com/spreadsheets/d/1Lhp9OU0JdFf_VYSMzH5lBcEaU4o8teT1piV-SNzShjg/edit?gid=554141278#gid=554141278"", ""'Char Def. - Attributes'!C20:C2242""), 1,false)"),"VOLUME_OPT")</f>
        <v>VOLUME_OPT</v>
      </c>
      <c r="I11687" s="136"/>
      <c r="R11687" s="63" t="str">
        <f t="shared" si="60"/>
        <v>ZSI1_PACKING_SUPPVOLUME_OPT</v>
      </c>
    </row>
    <row r="11688" ht="15.75" customHeight="1">
      <c r="B11688" s="63">
        <f t="shared" si="1"/>
        <v>17</v>
      </c>
      <c r="C11688" s="135" t="s">
        <v>500</v>
      </c>
      <c r="D11688" s="161" t="s">
        <v>74</v>
      </c>
      <c r="E11688" s="135">
        <f t="shared" si="62"/>
        <v>16</v>
      </c>
      <c r="F11688" s="134" t="s">
        <v>4059</v>
      </c>
      <c r="G11688" s="63" t="str">
        <f>VLOOKUP(C11688, 'Class Def. - General Data'!$C$20:$C$1000,1,false)</f>
        <v>ZSI1_PACKING_SUPP</v>
      </c>
      <c r="H11688" s="63" t="str">
        <f>IFERROR(__xludf.DUMMYFUNCTION("VLOOKUP(F11688, IMPORTRANGE(""https://docs.google.com/spreadsheets/d/1Lhp9OU0JdFf_VYSMzH5lBcEaU4o8teT1piV-SNzShjg/edit?gid=554141278#gid=554141278"", ""'Char Def. - Attributes'!C20:C2242""), 1,false)"),"VOLUME_UNIT_SI")</f>
        <v>VOLUME_UNIT_SI</v>
      </c>
      <c r="I11688" s="136"/>
      <c r="R11688" s="63" t="str">
        <f t="shared" si="60"/>
        <v>ZSI1_PACKING_SUPPVOLUME_UNIT_SI</v>
      </c>
    </row>
    <row r="11689" ht="15.75" customHeight="1">
      <c r="B11689" s="63">
        <f t="shared" si="1"/>
        <v>17</v>
      </c>
      <c r="C11689" s="135" t="s">
        <v>500</v>
      </c>
      <c r="D11689" s="161" t="s">
        <v>74</v>
      </c>
      <c r="E11689" s="135">
        <f t="shared" si="62"/>
        <v>17</v>
      </c>
      <c r="F11689" s="134" t="s">
        <v>3804</v>
      </c>
      <c r="G11689" s="63" t="str">
        <f>VLOOKUP(C11689, 'Class Def. - General Data'!$C$20:$C$1000,1,false)</f>
        <v>ZSI1_PACKING_SUPP</v>
      </c>
      <c r="H11689" s="63" t="str">
        <f>IFERROR(__xludf.DUMMYFUNCTION("VLOOKUP(F11689, IMPORTRANGE(""https://docs.google.com/spreadsheets/d/1Lhp9OU0JdFf_VYSMzH5lBcEaU4o8teT1piV-SNzShjg/edit?gid=554141278#gid=554141278"", ""'Char Def. - Attributes'!C20:C2242""), 1,false)"),"ALT_UOM1_SIPI")</f>
        <v>ALT_UOM1_SIPI</v>
      </c>
      <c r="I11689" s="136"/>
      <c r="R11689" s="63" t="str">
        <f t="shared" si="60"/>
        <v>ZSI1_PACKING_SUPPALT_UOM1_SIPI</v>
      </c>
    </row>
    <row r="11690" ht="15.75" customHeight="1">
      <c r="B11690" s="63">
        <f t="shared" si="1"/>
        <v>17</v>
      </c>
      <c r="C11690" s="135" t="s">
        <v>500</v>
      </c>
      <c r="D11690" s="161" t="s">
        <v>74</v>
      </c>
      <c r="E11690" s="135">
        <f t="shared" si="62"/>
        <v>18</v>
      </c>
      <c r="F11690" s="134" t="s">
        <v>3805</v>
      </c>
      <c r="G11690" s="63" t="str">
        <f>VLOOKUP(C11690, 'Class Def. - General Data'!$C$20:$C$1000,1,false)</f>
        <v>ZSI1_PACKING_SUPP</v>
      </c>
      <c r="H11690" s="63" t="str">
        <f>IFERROR(__xludf.DUMMYFUNCTION("VLOOKUP(F11690, IMPORTRANGE(""https://docs.google.com/spreadsheets/d/1Lhp9OU0JdFf_VYSMzH5lBcEaU4o8teT1piV-SNzShjg/edit?gid=554141278#gid=554141278"", ""'Char Def. - Attributes'!C20:C2242""), 1,false)"),"ALT_DENUM_UOM1")</f>
        <v>ALT_DENUM_UOM1</v>
      </c>
      <c r="I11690" s="136"/>
      <c r="R11690" s="63" t="str">
        <f t="shared" si="60"/>
        <v>ZSI1_PACKING_SUPPALT_DENUM_UOM1</v>
      </c>
    </row>
    <row r="11691" ht="15.75" customHeight="1">
      <c r="B11691" s="63">
        <f t="shared" si="1"/>
        <v>17</v>
      </c>
      <c r="C11691" s="135" t="s">
        <v>500</v>
      </c>
      <c r="D11691" s="161" t="s">
        <v>74</v>
      </c>
      <c r="E11691" s="135">
        <f t="shared" si="62"/>
        <v>19</v>
      </c>
      <c r="F11691" s="134" t="s">
        <v>3806</v>
      </c>
      <c r="G11691" s="63" t="str">
        <f>VLOOKUP(C11691, 'Class Def. - General Data'!$C$20:$C$1000,1,false)</f>
        <v>ZSI1_PACKING_SUPP</v>
      </c>
      <c r="H11691" s="63" t="str">
        <f>IFERROR(__xludf.DUMMYFUNCTION("VLOOKUP(F11691, IMPORTRANGE(""https://docs.google.com/spreadsheets/d/1Lhp9OU0JdFf_VYSMzH5lBcEaU4o8teT1piV-SNzShjg/edit?gid=554141278#gid=554141278"", ""'Char Def. - Attributes'!C20:C2242""), 1,false)"),"ALT_NUM_UOM1")</f>
        <v>ALT_NUM_UOM1</v>
      </c>
      <c r="I11691" s="136"/>
      <c r="R11691" s="63" t="str">
        <f t="shared" si="60"/>
        <v>ZSI1_PACKING_SUPPALT_NUM_UOM1</v>
      </c>
    </row>
    <row r="11692" ht="15.75" customHeight="1">
      <c r="B11692" s="63">
        <f t="shared" si="1"/>
        <v>17</v>
      </c>
      <c r="C11692" s="135" t="s">
        <v>500</v>
      </c>
      <c r="D11692" s="161" t="s">
        <v>74</v>
      </c>
      <c r="E11692" s="135">
        <f t="shared" si="62"/>
        <v>20</v>
      </c>
      <c r="F11692" s="134" t="s">
        <v>3807</v>
      </c>
      <c r="G11692" s="63" t="str">
        <f>VLOOKUP(C11692, 'Class Def. - General Data'!$C$20:$C$1000,1,false)</f>
        <v>ZSI1_PACKING_SUPP</v>
      </c>
      <c r="H11692" s="63" t="str">
        <f>IFERROR(__xludf.DUMMYFUNCTION("VLOOKUP(F11692, IMPORTRANGE(""https://docs.google.com/spreadsheets/d/1Lhp9OU0JdFf_VYSMzH5lBcEaU4o8teT1piV-SNzShjg/edit?gid=554141278#gid=554141278"", ""'Char Def. - Attributes'!C20:C2242""), 1,false)"),"ALT_UOM2_SIPI")</f>
        <v>ALT_UOM2_SIPI</v>
      </c>
      <c r="I11692" s="136"/>
      <c r="R11692" s="63" t="str">
        <f t="shared" si="60"/>
        <v>ZSI1_PACKING_SUPPALT_UOM2_SIPI</v>
      </c>
    </row>
    <row r="11693" ht="15.75" customHeight="1">
      <c r="B11693" s="63">
        <f t="shared" si="1"/>
        <v>17</v>
      </c>
      <c r="C11693" s="135" t="s">
        <v>500</v>
      </c>
      <c r="D11693" s="161" t="s">
        <v>74</v>
      </c>
      <c r="E11693" s="135">
        <f t="shared" si="62"/>
        <v>21</v>
      </c>
      <c r="F11693" s="134" t="s">
        <v>3808</v>
      </c>
      <c r="G11693" s="63" t="str">
        <f>VLOOKUP(C11693, 'Class Def. - General Data'!$C$20:$C$1000,1,false)</f>
        <v>ZSI1_PACKING_SUPP</v>
      </c>
      <c r="H11693" s="63" t="str">
        <f>IFERROR(__xludf.DUMMYFUNCTION("VLOOKUP(F11693, IMPORTRANGE(""https://docs.google.com/spreadsheets/d/1Lhp9OU0JdFf_VYSMzH5lBcEaU4o8teT1piV-SNzShjg/edit?gid=554141278#gid=554141278"", ""'Char Def. - Attributes'!C20:C2242""), 1,false)"),"ALT_DENUM_UOM2")</f>
        <v>ALT_DENUM_UOM2</v>
      </c>
      <c r="I11693" s="136"/>
      <c r="R11693" s="63" t="str">
        <f t="shared" si="60"/>
        <v>ZSI1_PACKING_SUPPALT_DENUM_UOM2</v>
      </c>
    </row>
    <row r="11694" ht="15.75" customHeight="1">
      <c r="B11694" s="63">
        <f t="shared" si="1"/>
        <v>17</v>
      </c>
      <c r="C11694" s="135" t="s">
        <v>500</v>
      </c>
      <c r="D11694" s="161" t="s">
        <v>74</v>
      </c>
      <c r="E11694" s="135">
        <f t="shared" si="62"/>
        <v>22</v>
      </c>
      <c r="F11694" s="134" t="s">
        <v>3809</v>
      </c>
      <c r="G11694" s="63" t="str">
        <f>VLOOKUP(C11694, 'Class Def. - General Data'!$C$20:$C$1000,1,false)</f>
        <v>ZSI1_PACKING_SUPP</v>
      </c>
      <c r="H11694" s="63" t="str">
        <f>IFERROR(__xludf.DUMMYFUNCTION("VLOOKUP(F11694, IMPORTRANGE(""https://docs.google.com/spreadsheets/d/1Lhp9OU0JdFf_VYSMzH5lBcEaU4o8teT1piV-SNzShjg/edit?gid=554141278#gid=554141278"", ""'Char Def. - Attributes'!C20:C2242""), 1,false)"),"ALT_NUM_UOM2")</f>
        <v>ALT_NUM_UOM2</v>
      </c>
      <c r="I11694" s="136"/>
      <c r="R11694" s="63" t="str">
        <f t="shared" si="60"/>
        <v>ZSI1_PACKING_SUPPALT_NUM_UOM2</v>
      </c>
    </row>
    <row r="11695" ht="15.75" customHeight="1">
      <c r="B11695" s="63">
        <f t="shared" si="1"/>
        <v>17</v>
      </c>
      <c r="C11695" s="135" t="s">
        <v>500</v>
      </c>
      <c r="D11695" s="161" t="s">
        <v>74</v>
      </c>
      <c r="E11695" s="135">
        <f t="shared" si="62"/>
        <v>23</v>
      </c>
      <c r="F11695" s="134" t="s">
        <v>3810</v>
      </c>
      <c r="G11695" s="63" t="str">
        <f>VLOOKUP(C11695, 'Class Def. - General Data'!$C$20:$C$1000,1,false)</f>
        <v>ZSI1_PACKING_SUPP</v>
      </c>
      <c r="H11695" s="63" t="str">
        <f>IFERROR(__xludf.DUMMYFUNCTION("VLOOKUP(F11695, IMPORTRANGE(""https://docs.google.com/spreadsheets/d/1Lhp9OU0JdFf_VYSMzH5lBcEaU4o8teT1piV-SNzShjg/edit?gid=554141278#gid=554141278"", ""'Char Def. - Attributes'!C20:C2242""), 1,false)"),"ALT_UOM3_SIPI")</f>
        <v>ALT_UOM3_SIPI</v>
      </c>
      <c r="I11695" s="136"/>
      <c r="R11695" s="63" t="str">
        <f t="shared" si="60"/>
        <v>ZSI1_PACKING_SUPPALT_UOM3_SIPI</v>
      </c>
    </row>
    <row r="11696" ht="15.75" customHeight="1">
      <c r="B11696" s="63">
        <f t="shared" si="1"/>
        <v>17</v>
      </c>
      <c r="C11696" s="135" t="s">
        <v>500</v>
      </c>
      <c r="D11696" s="161" t="s">
        <v>74</v>
      </c>
      <c r="E11696" s="135">
        <f t="shared" si="62"/>
        <v>24</v>
      </c>
      <c r="F11696" s="134" t="s">
        <v>3811</v>
      </c>
      <c r="G11696" s="63" t="str">
        <f>VLOOKUP(C11696, 'Class Def. - General Data'!$C$20:$C$1000,1,false)</f>
        <v>ZSI1_PACKING_SUPP</v>
      </c>
      <c r="H11696" s="63" t="str">
        <f>IFERROR(__xludf.DUMMYFUNCTION("VLOOKUP(F11696, IMPORTRANGE(""https://docs.google.com/spreadsheets/d/1Lhp9OU0JdFf_VYSMzH5lBcEaU4o8teT1piV-SNzShjg/edit?gid=554141278#gid=554141278"", ""'Char Def. - Attributes'!C20:C2242""), 1,false)"),"ALT_DENUM_UOM3")</f>
        <v>ALT_DENUM_UOM3</v>
      </c>
      <c r="I11696" s="136"/>
      <c r="R11696" s="63" t="str">
        <f t="shared" si="60"/>
        <v>ZSI1_PACKING_SUPPALT_DENUM_UOM3</v>
      </c>
    </row>
    <row r="11697" ht="15.75" customHeight="1">
      <c r="B11697" s="63">
        <f t="shared" si="1"/>
        <v>17</v>
      </c>
      <c r="C11697" s="135" t="s">
        <v>500</v>
      </c>
      <c r="D11697" s="161" t="s">
        <v>74</v>
      </c>
      <c r="E11697" s="135">
        <f t="shared" si="62"/>
        <v>25</v>
      </c>
      <c r="F11697" s="134" t="s">
        <v>3812</v>
      </c>
      <c r="G11697" s="63" t="str">
        <f>VLOOKUP(C11697, 'Class Def. - General Data'!$C$20:$C$1000,1,false)</f>
        <v>ZSI1_PACKING_SUPP</v>
      </c>
      <c r="H11697" s="63" t="str">
        <f>IFERROR(__xludf.DUMMYFUNCTION("VLOOKUP(F11697, IMPORTRANGE(""https://docs.google.com/spreadsheets/d/1Lhp9OU0JdFf_VYSMzH5lBcEaU4o8teT1piV-SNzShjg/edit?gid=554141278#gid=554141278"", ""'Char Def. - Attributes'!C20:C2242""), 1,false)"),"ALT_NUM_UOM3")</f>
        <v>ALT_NUM_UOM3</v>
      </c>
      <c r="I11697" s="136"/>
      <c r="R11697" s="63" t="str">
        <f t="shared" si="60"/>
        <v>ZSI1_PACKING_SUPPALT_NUM_UOM3</v>
      </c>
    </row>
    <row r="11698" ht="15.75" customHeight="1">
      <c r="B11698" s="63">
        <f t="shared" si="1"/>
        <v>17</v>
      </c>
      <c r="C11698" s="135" t="s">
        <v>500</v>
      </c>
      <c r="D11698" s="161" t="s">
        <v>74</v>
      </c>
      <c r="E11698" s="135">
        <f t="shared" si="62"/>
        <v>26</v>
      </c>
      <c r="F11698" s="134" t="s">
        <v>3813</v>
      </c>
      <c r="G11698" s="63" t="str">
        <f>VLOOKUP(C11698, 'Class Def. - General Data'!$C$20:$C$1000,1,false)</f>
        <v>ZSI1_PACKING_SUPP</v>
      </c>
      <c r="H11698" s="63" t="str">
        <f>IFERROR(__xludf.DUMMYFUNCTION("VLOOKUP(F11698, IMPORTRANGE(""https://docs.google.com/spreadsheets/d/1Lhp9OU0JdFf_VYSMzH5lBcEaU4o8teT1piV-SNzShjg/edit?gid=554141278#gid=554141278"", ""'Char Def. - Attributes'!C20:C2242""), 1,false)"),"ALT_UOM4_SIPI")</f>
        <v>ALT_UOM4_SIPI</v>
      </c>
      <c r="I11698" s="136"/>
      <c r="R11698" s="63" t="str">
        <f t="shared" si="60"/>
        <v>ZSI1_PACKING_SUPPALT_UOM4_SIPI</v>
      </c>
    </row>
    <row r="11699" ht="15.75" customHeight="1">
      <c r="B11699" s="63">
        <f t="shared" si="1"/>
        <v>17</v>
      </c>
      <c r="C11699" s="135" t="s">
        <v>500</v>
      </c>
      <c r="D11699" s="161" t="s">
        <v>74</v>
      </c>
      <c r="E11699" s="135">
        <f t="shared" si="62"/>
        <v>27</v>
      </c>
      <c r="F11699" s="134" t="s">
        <v>3814</v>
      </c>
      <c r="G11699" s="63" t="str">
        <f>VLOOKUP(C11699, 'Class Def. - General Data'!$C$20:$C$1000,1,false)</f>
        <v>ZSI1_PACKING_SUPP</v>
      </c>
      <c r="H11699" s="63" t="str">
        <f>IFERROR(__xludf.DUMMYFUNCTION("VLOOKUP(F11699, IMPORTRANGE(""https://docs.google.com/spreadsheets/d/1Lhp9OU0JdFf_VYSMzH5lBcEaU4o8teT1piV-SNzShjg/edit?gid=554141278#gid=554141278"", ""'Char Def. - Attributes'!C20:C2242""), 1,false)"),"ALT_DENUM_UOM4")</f>
        <v>ALT_DENUM_UOM4</v>
      </c>
      <c r="I11699" s="136"/>
      <c r="R11699" s="63" t="str">
        <f t="shared" si="60"/>
        <v>ZSI1_PACKING_SUPPALT_DENUM_UOM4</v>
      </c>
    </row>
    <row r="11700" ht="15.75" customHeight="1">
      <c r="B11700" s="63">
        <f t="shared" si="1"/>
        <v>17</v>
      </c>
      <c r="C11700" s="135" t="s">
        <v>500</v>
      </c>
      <c r="D11700" s="161" t="s">
        <v>74</v>
      </c>
      <c r="E11700" s="135">
        <f t="shared" si="62"/>
        <v>28</v>
      </c>
      <c r="F11700" s="134" t="s">
        <v>3815</v>
      </c>
      <c r="G11700" s="63" t="str">
        <f>VLOOKUP(C11700, 'Class Def. - General Data'!$C$20:$C$1000,1,false)</f>
        <v>ZSI1_PACKING_SUPP</v>
      </c>
      <c r="H11700" s="63" t="str">
        <f>IFERROR(__xludf.DUMMYFUNCTION("VLOOKUP(F11700, IMPORTRANGE(""https://docs.google.com/spreadsheets/d/1Lhp9OU0JdFf_VYSMzH5lBcEaU4o8teT1piV-SNzShjg/edit?gid=554141278#gid=554141278"", ""'Char Def. - Attributes'!C20:C2242""), 1,false)"),"ALT_NUM_UOM4")</f>
        <v>ALT_NUM_UOM4</v>
      </c>
      <c r="I11700" s="136"/>
      <c r="R11700" s="63" t="str">
        <f t="shared" si="60"/>
        <v>ZSI1_PACKING_SUPPALT_NUM_UOM4</v>
      </c>
    </row>
    <row r="11701" ht="15.75" customHeight="1">
      <c r="B11701" s="63">
        <f t="shared" si="1"/>
        <v>17</v>
      </c>
      <c r="C11701" s="135" t="s">
        <v>500</v>
      </c>
      <c r="D11701" s="161" t="s">
        <v>74</v>
      </c>
      <c r="E11701" s="135">
        <f t="shared" si="62"/>
        <v>29</v>
      </c>
      <c r="F11701" s="134" t="s">
        <v>3816</v>
      </c>
      <c r="G11701" s="63" t="str">
        <f>VLOOKUP(C11701, 'Class Def. - General Data'!$C$20:$C$1000,1,false)</f>
        <v>ZSI1_PACKING_SUPP</v>
      </c>
      <c r="H11701" s="63" t="str">
        <f>IFERROR(__xludf.DUMMYFUNCTION("VLOOKUP(F11701, IMPORTRANGE(""https://docs.google.com/spreadsheets/d/1Lhp9OU0JdFf_VYSMzH5lBcEaU4o8teT1piV-SNzShjg/edit?gid=554141278#gid=554141278"", ""'Char Def. - Attributes'!C20:C2242""), 1,false)"),"ALT_UOM5_SIPI")</f>
        <v>ALT_UOM5_SIPI</v>
      </c>
      <c r="I11701" s="136"/>
      <c r="R11701" s="63" t="str">
        <f t="shared" si="60"/>
        <v>ZSI1_PACKING_SUPPALT_UOM5_SIPI</v>
      </c>
    </row>
    <row r="11702" ht="15.75" customHeight="1">
      <c r="B11702" s="63">
        <f t="shared" si="1"/>
        <v>17</v>
      </c>
      <c r="C11702" s="135" t="s">
        <v>500</v>
      </c>
      <c r="D11702" s="161" t="s">
        <v>74</v>
      </c>
      <c r="E11702" s="135">
        <f t="shared" si="62"/>
        <v>30</v>
      </c>
      <c r="F11702" s="134" t="s">
        <v>3817</v>
      </c>
      <c r="G11702" s="63" t="str">
        <f>VLOOKUP(C11702, 'Class Def. - General Data'!$C$20:$C$1000,1,false)</f>
        <v>ZSI1_PACKING_SUPP</v>
      </c>
      <c r="H11702" s="63" t="str">
        <f>IFERROR(__xludf.DUMMYFUNCTION("VLOOKUP(F11702, IMPORTRANGE(""https://docs.google.com/spreadsheets/d/1Lhp9OU0JdFf_VYSMzH5lBcEaU4o8teT1piV-SNzShjg/edit?gid=554141278#gid=554141278"", ""'Char Def. - Attributes'!C20:C2242""), 1,false)"),"ALT_DENUM_UOM5")</f>
        <v>ALT_DENUM_UOM5</v>
      </c>
      <c r="I11702" s="136"/>
      <c r="R11702" s="63" t="str">
        <f t="shared" si="60"/>
        <v>ZSI1_PACKING_SUPPALT_DENUM_UOM5</v>
      </c>
    </row>
    <row r="11703" ht="15.75" customHeight="1">
      <c r="B11703" s="63">
        <f t="shared" si="1"/>
        <v>17</v>
      </c>
      <c r="C11703" s="135" t="s">
        <v>500</v>
      </c>
      <c r="D11703" s="161" t="s">
        <v>74</v>
      </c>
      <c r="E11703" s="135">
        <f t="shared" si="62"/>
        <v>31</v>
      </c>
      <c r="F11703" s="134" t="s">
        <v>3818</v>
      </c>
      <c r="G11703" s="63" t="str">
        <f>VLOOKUP(C11703, 'Class Def. - General Data'!$C$20:$C$1000,1,false)</f>
        <v>ZSI1_PACKING_SUPP</v>
      </c>
      <c r="H11703" s="63" t="str">
        <f>IFERROR(__xludf.DUMMYFUNCTION("VLOOKUP(F11703, IMPORTRANGE(""https://docs.google.com/spreadsheets/d/1Lhp9OU0JdFf_VYSMzH5lBcEaU4o8teT1piV-SNzShjg/edit?gid=554141278#gid=554141278"", ""'Char Def. - Attributes'!C20:C2242""), 1,false)"),"ALT_NUM_UOM5")</f>
        <v>ALT_NUM_UOM5</v>
      </c>
      <c r="I11703" s="136"/>
      <c r="R11703" s="63" t="str">
        <f t="shared" si="60"/>
        <v>ZSI1_PACKING_SUPPALT_NUM_UOM5</v>
      </c>
    </row>
    <row r="11704" ht="15.75" customHeight="1">
      <c r="B11704" s="63">
        <f t="shared" si="1"/>
        <v>15</v>
      </c>
      <c r="C11704" s="135" t="s">
        <v>502</v>
      </c>
      <c r="D11704" s="161" t="s">
        <v>74</v>
      </c>
      <c r="E11704" s="135">
        <f t="shared" si="62"/>
        <v>1</v>
      </c>
      <c r="F11704" s="134" t="s">
        <v>5003</v>
      </c>
      <c r="G11704" s="63" t="str">
        <f>VLOOKUP(C11704, 'Class Def. - General Data'!$C$20:$C$1000,1,false)</f>
        <v>ZSI1_PAINT_ACCS</v>
      </c>
      <c r="H11704" s="63" t="str">
        <f>IFERROR(__xludf.DUMMYFUNCTION("VLOOKUP(F11704, IMPORTRANGE(""https://docs.google.com/spreadsheets/d/1Lhp9OU0JdFf_VYSMzH5lBcEaU4o8teT1piV-SNzShjg/edit?gid=554141278#gid=554141278"", ""'Char Def. - Attributes'!C20:C2242""), 1,false)"),"ITEM_NAME_PAINT_ACCS")</f>
        <v>ITEM_NAME_PAINT_ACCS</v>
      </c>
      <c r="I11704" s="136"/>
      <c r="R11704" s="63" t="str">
        <f t="shared" si="60"/>
        <v>ZSI1_PAINT_ACCSITEM_NAME_PAINT_ACCS</v>
      </c>
    </row>
    <row r="11705" ht="15.75" customHeight="1">
      <c r="B11705" s="63">
        <f t="shared" si="1"/>
        <v>15</v>
      </c>
      <c r="C11705" s="135" t="s">
        <v>502</v>
      </c>
      <c r="D11705" s="161" t="s">
        <v>74</v>
      </c>
      <c r="E11705" s="135">
        <f t="shared" si="62"/>
        <v>2</v>
      </c>
      <c r="F11705" s="134" t="s">
        <v>5004</v>
      </c>
      <c r="G11705" s="63" t="str">
        <f>VLOOKUP(C11705, 'Class Def. - General Data'!$C$20:$C$1000,1,false)</f>
        <v>ZSI1_PAINT_ACCS</v>
      </c>
      <c r="H11705" s="63" t="str">
        <f>IFERROR(__xludf.DUMMYFUNCTION("VLOOKUP(F11705, IMPORTRANGE(""https://docs.google.com/spreadsheets/d/1Lhp9OU0JdFf_VYSMzH5lBcEaU4o8teT1piV-SNzShjg/edit?gid=554141278#gid=554141278"", ""'Char Def. - Attributes'!C20:C2242""), 1,false)"),"MATERIAL_PAINT_ACCS")</f>
        <v>MATERIAL_PAINT_ACCS</v>
      </c>
      <c r="I11705" s="136"/>
      <c r="R11705" s="63" t="str">
        <f t="shared" si="60"/>
        <v>ZSI1_PAINT_ACCSMATERIAL_PAINT_ACCS</v>
      </c>
    </row>
    <row r="11706" ht="15.75" customHeight="1">
      <c r="B11706" s="63">
        <f t="shared" si="1"/>
        <v>15</v>
      </c>
      <c r="C11706" s="135" t="s">
        <v>502</v>
      </c>
      <c r="D11706" s="161" t="s">
        <v>74</v>
      </c>
      <c r="E11706" s="135">
        <f t="shared" si="62"/>
        <v>3</v>
      </c>
      <c r="F11706" s="134" t="s">
        <v>5005</v>
      </c>
      <c r="G11706" s="63" t="str">
        <f>VLOOKUP(C11706, 'Class Def. - General Data'!$C$20:$C$1000,1,false)</f>
        <v>ZSI1_PAINT_ACCS</v>
      </c>
      <c r="H11706" s="63" t="str">
        <f>IFERROR(__xludf.DUMMYFUNCTION("VLOOKUP(F11706, IMPORTRANGE(""https://docs.google.com/spreadsheets/d/1Lhp9OU0JdFf_VYSMzH5lBcEaU4o8teT1piV-SNzShjg/edit?gid=554141278#gid=554141278"", ""'Char Def. - Attributes'!C20:C2242""), 1,false)"),"BRUSH_DIMENSION_PAINT_ACCS")</f>
        <v>BRUSH_DIMENSION_PAINT_ACCS</v>
      </c>
      <c r="I11706" s="136"/>
      <c r="R11706" s="63" t="str">
        <f t="shared" si="60"/>
        <v>ZSI1_PAINT_ACCSBRUSH_DIMENSION_PAINT_ACCS</v>
      </c>
    </row>
    <row r="11707" ht="15.75" customHeight="1">
      <c r="B11707" s="63">
        <f t="shared" si="1"/>
        <v>15</v>
      </c>
      <c r="C11707" s="135" t="s">
        <v>502</v>
      </c>
      <c r="D11707" s="161" t="s">
        <v>74</v>
      </c>
      <c r="E11707" s="135">
        <f t="shared" si="62"/>
        <v>4</v>
      </c>
      <c r="F11707" s="134" t="s">
        <v>5006</v>
      </c>
      <c r="G11707" s="63" t="str">
        <f>VLOOKUP(C11707, 'Class Def. - General Data'!$C$20:$C$1000,1,false)</f>
        <v>ZSI1_PAINT_ACCS</v>
      </c>
      <c r="H11707" s="63" t="str">
        <f>IFERROR(__xludf.DUMMYFUNCTION("VLOOKUP(F11707, IMPORTRANGE(""https://docs.google.com/spreadsheets/d/1Lhp9OU0JdFf_VYSMzH5lBcEaU4o8teT1piV-SNzShjg/edit?gid=554141278#gid=554141278"", ""'Char Def. - Attributes'!C20:C2242""), 1,false)"),"BRUSH_SIZE_IN_PAINT_ACCS")</f>
        <v>BRUSH_SIZE_IN_PAINT_ACCS</v>
      </c>
      <c r="I11707" s="136"/>
      <c r="R11707" s="63" t="str">
        <f t="shared" si="60"/>
        <v>ZSI1_PAINT_ACCSBRUSH_SIZE_IN_PAINT_ACCS</v>
      </c>
    </row>
    <row r="11708" ht="15.75" customHeight="1">
      <c r="B11708" s="63">
        <f t="shared" si="1"/>
        <v>15</v>
      </c>
      <c r="C11708" s="135" t="s">
        <v>502</v>
      </c>
      <c r="D11708" s="161" t="s">
        <v>74</v>
      </c>
      <c r="E11708" s="135">
        <f t="shared" si="62"/>
        <v>5</v>
      </c>
      <c r="F11708" s="134" t="s">
        <v>5007</v>
      </c>
      <c r="G11708" s="63" t="str">
        <f>VLOOKUP(C11708, 'Class Def. - General Data'!$C$20:$C$1000,1,false)</f>
        <v>ZSI1_PAINT_ACCS</v>
      </c>
      <c r="H11708" s="63" t="str">
        <f>IFERROR(__xludf.DUMMYFUNCTION("VLOOKUP(F11708, IMPORTRANGE(""https://docs.google.com/spreadsheets/d/1Lhp9OU0JdFf_VYSMzH5lBcEaU4o8teT1piV-SNzShjg/edit?gid=554141278#gid=554141278"", ""'Char Def. - Attributes'!C20:C2242""), 1,false)"),"BRUSH_SIZE_MM_PAINT_ACCS")</f>
        <v>BRUSH_SIZE_MM_PAINT_ACCS</v>
      </c>
      <c r="I11708" s="136"/>
      <c r="R11708" s="63" t="str">
        <f t="shared" si="60"/>
        <v>ZSI1_PAINT_ACCSBRUSH_SIZE_MM_PAINT_ACCS</v>
      </c>
    </row>
    <row r="11709" ht="15.75" customHeight="1">
      <c r="B11709" s="63">
        <f t="shared" si="1"/>
        <v>15</v>
      </c>
      <c r="C11709" s="135" t="s">
        <v>502</v>
      </c>
      <c r="D11709" s="161" t="s">
        <v>74</v>
      </c>
      <c r="E11709" s="135">
        <f t="shared" si="62"/>
        <v>6</v>
      </c>
      <c r="F11709" s="134" t="s">
        <v>4053</v>
      </c>
      <c r="G11709" s="63" t="str">
        <f>VLOOKUP(C11709, 'Class Def. - General Data'!$C$20:$C$1000,1,false)</f>
        <v>ZSI1_PAINT_ACCS</v>
      </c>
      <c r="H11709" s="63" t="str">
        <f>IFERROR(__xludf.DUMMYFUNCTION("VLOOKUP(F11709, IMPORTRANGE(""https://docs.google.com/spreadsheets/d/1Lhp9OU0JdFf_VYSMzH5lBcEaU4o8teT1piV-SNzShjg/edit?gid=554141278#gid=554141278"", ""'Char Def. - Attributes'!C20:C2242""), 1,false)"),"MAINTENANCE_ORDER_TYPE")</f>
        <v>MAINTENANCE_ORDER_TYPE</v>
      </c>
      <c r="I11709" s="136"/>
      <c r="R11709" s="63" t="str">
        <f t="shared" si="60"/>
        <v>ZSI1_PAINT_ACCSMAINTENANCE_ORDER_TYPE</v>
      </c>
    </row>
    <row r="11710" ht="15.75" customHeight="1">
      <c r="B11710" s="63">
        <f t="shared" si="1"/>
        <v>15</v>
      </c>
      <c r="C11710" s="135" t="s">
        <v>502</v>
      </c>
      <c r="D11710" s="161" t="s">
        <v>74</v>
      </c>
      <c r="E11710" s="135">
        <f t="shared" si="62"/>
        <v>7</v>
      </c>
      <c r="F11710" s="134" t="s">
        <v>3585</v>
      </c>
      <c r="G11710" s="63" t="str">
        <f>VLOOKUP(C11710, 'Class Def. - General Data'!$C$20:$C$1000,1,false)</f>
        <v>ZSI1_PAINT_ACCS</v>
      </c>
      <c r="H11710" s="63" t="str">
        <f>IFERROR(__xludf.DUMMYFUNCTION("VLOOKUP(F11710, IMPORTRANGE(""https://docs.google.com/spreadsheets/d/1Lhp9OU0JdFf_VYSMzH5lBcEaU4o8teT1piV-SNzShjg/edit?gid=554141278#gid=554141278"", ""'Char Def. - Attributes'!C20:C2242""), 1,false)"),"HS_CODE")</f>
        <v>HS_CODE</v>
      </c>
      <c r="I11710" s="136"/>
      <c r="R11710" s="63" t="str">
        <f t="shared" si="60"/>
        <v>ZSI1_PAINT_ACCSHS_CODE</v>
      </c>
    </row>
    <row r="11711" ht="15.75" customHeight="1">
      <c r="B11711" s="63">
        <f t="shared" si="1"/>
        <v>15</v>
      </c>
      <c r="C11711" s="135" t="s">
        <v>502</v>
      </c>
      <c r="D11711" s="161" t="s">
        <v>74</v>
      </c>
      <c r="E11711" s="135">
        <f t="shared" si="62"/>
        <v>8</v>
      </c>
      <c r="F11711" s="134" t="s">
        <v>3587</v>
      </c>
      <c r="G11711" s="63" t="str">
        <f>VLOOKUP(C11711, 'Class Def. - General Data'!$C$20:$C$1000,1,false)</f>
        <v>ZSI1_PAINT_ACCS</v>
      </c>
      <c r="H11711" s="63" t="str">
        <f>IFERROR(__xludf.DUMMYFUNCTION("VLOOKUP(F11711, IMPORTRANGE(""https://docs.google.com/spreadsheets/d/1Lhp9OU0JdFf_VYSMzH5lBcEaU4o8teT1piV-SNzShjg/edit?gid=554141278#gid=554141278"", ""'Char Def. - Attributes'!C20:C2242""), 1,false)"),"PLANT_BUY")</f>
        <v>PLANT_BUY</v>
      </c>
      <c r="I11711" s="136"/>
      <c r="R11711" s="63" t="str">
        <f t="shared" si="60"/>
        <v>ZSI1_PAINT_ACCSPLANT_BUY</v>
      </c>
    </row>
    <row r="11712" ht="15.75" customHeight="1">
      <c r="B11712" s="63">
        <f t="shared" si="1"/>
        <v>15</v>
      </c>
      <c r="C11712" s="135" t="s">
        <v>502</v>
      </c>
      <c r="D11712" s="161" t="s">
        <v>74</v>
      </c>
      <c r="E11712" s="135">
        <f t="shared" si="62"/>
        <v>9</v>
      </c>
      <c r="F11712" s="134" t="s">
        <v>5008</v>
      </c>
      <c r="G11712" s="63" t="str">
        <f>VLOOKUP(C11712, 'Class Def. - General Data'!$C$20:$C$1000,1,false)</f>
        <v>ZSI1_PAINT_ACCS</v>
      </c>
      <c r="H11712" s="63" t="str">
        <f>IFERROR(__xludf.DUMMYFUNCTION("VLOOKUP(F11712, IMPORTRANGE(""https://docs.google.com/spreadsheets/d/1Lhp9OU0JdFf_VYSMzH5lBcEaU4o8teT1piV-SNzShjg/edit?gid=554141278#gid=554141278"", ""'Char Def. - Attributes'!C20:C2242""), 1,false)"),"BASE_UOM_PAINT_ACCS")</f>
        <v>BASE_UOM_PAINT_ACCS</v>
      </c>
      <c r="I11712" s="136"/>
      <c r="R11712" s="63" t="str">
        <f t="shared" si="60"/>
        <v>ZSI1_PAINT_ACCSBASE_UOM_PAINT_ACCS</v>
      </c>
    </row>
    <row r="11713" ht="15.75" customHeight="1">
      <c r="B11713" s="63">
        <f t="shared" si="1"/>
        <v>15</v>
      </c>
      <c r="C11713" s="135" t="s">
        <v>502</v>
      </c>
      <c r="D11713" s="161" t="s">
        <v>74</v>
      </c>
      <c r="E11713" s="135">
        <f t="shared" si="62"/>
        <v>10</v>
      </c>
      <c r="F11713" s="134" t="s">
        <v>5009</v>
      </c>
      <c r="G11713" s="63" t="str">
        <f>VLOOKUP(C11713, 'Class Def. - General Data'!$C$20:$C$1000,1,false)</f>
        <v>ZSI1_PAINT_ACCS</v>
      </c>
      <c r="H11713" s="63" t="str">
        <f>IFERROR(__xludf.DUMMYFUNCTION("VLOOKUP(F11713, IMPORTRANGE(""https://docs.google.com/spreadsheets/d/1Lhp9OU0JdFf_VYSMzH5lBcEaU4o8teT1piV-SNzShjg/edit?gid=554141278#gid=554141278"", ""'Char Def. - Attributes'!C20:C2242""), 1,false)"),"ORDER_UNIT_PAINT_ACCS")</f>
        <v>ORDER_UNIT_PAINT_ACCS</v>
      </c>
      <c r="I11713" s="136"/>
      <c r="R11713" s="63" t="str">
        <f t="shared" si="60"/>
        <v>ZSI1_PAINT_ACCSORDER_UNIT_PAINT_ACCS</v>
      </c>
    </row>
    <row r="11714" ht="15.75" customHeight="1">
      <c r="B11714" s="63">
        <f t="shared" si="1"/>
        <v>15</v>
      </c>
      <c r="C11714" s="135" t="s">
        <v>502</v>
      </c>
      <c r="D11714" s="161" t="s">
        <v>74</v>
      </c>
      <c r="E11714" s="135">
        <f t="shared" si="62"/>
        <v>11</v>
      </c>
      <c r="F11714" s="134" t="s">
        <v>4056</v>
      </c>
      <c r="G11714" s="63" t="str">
        <f>VLOOKUP(C11714, 'Class Def. - General Data'!$C$20:$C$1000,1,false)</f>
        <v>ZSI1_PAINT_ACCS</v>
      </c>
      <c r="H11714" s="63" t="str">
        <f>IFERROR(__xludf.DUMMYFUNCTION("VLOOKUP(F11714, IMPORTRANGE(""https://docs.google.com/spreadsheets/d/1Lhp9OU0JdFf_VYSMzH5lBcEaU4o8teT1piV-SNzShjg/edit?gid=554141278#gid=554141278"", ""'Char Def. - Attributes'!C20:C2242""), 1,false)"),"GROSS_WEIGHT_OPT")</f>
        <v>GROSS_WEIGHT_OPT</v>
      </c>
      <c r="I11714" s="136"/>
      <c r="R11714" s="63" t="str">
        <f t="shared" si="60"/>
        <v>ZSI1_PAINT_ACCSGROSS_WEIGHT_OPT</v>
      </c>
    </row>
    <row r="11715" ht="15.75" customHeight="1">
      <c r="B11715" s="63">
        <f t="shared" si="1"/>
        <v>15</v>
      </c>
      <c r="C11715" s="135" t="s">
        <v>502</v>
      </c>
      <c r="D11715" s="161" t="s">
        <v>74</v>
      </c>
      <c r="E11715" s="135">
        <f t="shared" si="62"/>
        <v>12</v>
      </c>
      <c r="F11715" s="134" t="s">
        <v>4057</v>
      </c>
      <c r="G11715" s="63" t="str">
        <f>VLOOKUP(C11715, 'Class Def. - General Data'!$C$20:$C$1000,1,false)</f>
        <v>ZSI1_PAINT_ACCS</v>
      </c>
      <c r="H11715" s="63" t="str">
        <f>IFERROR(__xludf.DUMMYFUNCTION("VLOOKUP(F11715, IMPORTRANGE(""https://docs.google.com/spreadsheets/d/1Lhp9OU0JdFf_VYSMzH5lBcEaU4o8teT1piV-SNzShjg/edit?gid=554141278#gid=554141278"", ""'Char Def. - Attributes'!C20:C2242""), 1,false)"),"NET_WEIGHT_OPT")</f>
        <v>NET_WEIGHT_OPT</v>
      </c>
      <c r="I11715" s="136"/>
      <c r="R11715" s="63" t="str">
        <f t="shared" si="60"/>
        <v>ZSI1_PAINT_ACCSNET_WEIGHT_OPT</v>
      </c>
    </row>
    <row r="11716" ht="15.75" customHeight="1">
      <c r="B11716" s="63">
        <f t="shared" si="1"/>
        <v>15</v>
      </c>
      <c r="C11716" s="135" t="s">
        <v>502</v>
      </c>
      <c r="D11716" s="161" t="s">
        <v>74</v>
      </c>
      <c r="E11716" s="135">
        <f t="shared" si="62"/>
        <v>13</v>
      </c>
      <c r="F11716" s="134" t="s">
        <v>4058</v>
      </c>
      <c r="G11716" s="63" t="str">
        <f>VLOOKUP(C11716, 'Class Def. - General Data'!$C$20:$C$1000,1,false)</f>
        <v>ZSI1_PAINT_ACCS</v>
      </c>
      <c r="H11716" s="63" t="str">
        <f>IFERROR(__xludf.DUMMYFUNCTION("VLOOKUP(F11716, IMPORTRANGE(""https://docs.google.com/spreadsheets/d/1Lhp9OU0JdFf_VYSMzH5lBcEaU4o8teT1piV-SNzShjg/edit?gid=554141278#gid=554141278"", ""'Char Def. - Attributes'!C20:C2242""), 1,false)"),"WEIGHT_UNIT_SI")</f>
        <v>WEIGHT_UNIT_SI</v>
      </c>
      <c r="I11716" s="136"/>
      <c r="R11716" s="63" t="str">
        <f t="shared" si="60"/>
        <v>ZSI1_PAINT_ACCSWEIGHT_UNIT_SI</v>
      </c>
    </row>
    <row r="11717" ht="15.75" customHeight="1">
      <c r="B11717" s="63">
        <f t="shared" si="1"/>
        <v>15</v>
      </c>
      <c r="C11717" s="135" t="s">
        <v>502</v>
      </c>
      <c r="D11717" s="161" t="s">
        <v>74</v>
      </c>
      <c r="E11717" s="135">
        <f t="shared" si="62"/>
        <v>14</v>
      </c>
      <c r="F11717" s="134" t="s">
        <v>3877</v>
      </c>
      <c r="G11717" s="63" t="str">
        <f>VLOOKUP(C11717, 'Class Def. - General Data'!$C$20:$C$1000,1,false)</f>
        <v>ZSI1_PAINT_ACCS</v>
      </c>
      <c r="H11717" s="63" t="str">
        <f>IFERROR(__xludf.DUMMYFUNCTION("VLOOKUP(F11717, IMPORTRANGE(""https://docs.google.com/spreadsheets/d/1Lhp9OU0JdFf_VYSMzH5lBcEaU4o8teT1piV-SNzShjg/edit?gid=554141278#gid=554141278"", ""'Char Def. - Attributes'!C20:C2242""), 1,false)"),"VOLUME_OPT")</f>
        <v>VOLUME_OPT</v>
      </c>
      <c r="I11717" s="136"/>
      <c r="R11717" s="63" t="str">
        <f t="shared" si="60"/>
        <v>ZSI1_PAINT_ACCSVOLUME_OPT</v>
      </c>
    </row>
    <row r="11718" ht="15.75" customHeight="1">
      <c r="B11718" s="63">
        <f t="shared" si="1"/>
        <v>15</v>
      </c>
      <c r="C11718" s="135" t="s">
        <v>502</v>
      </c>
      <c r="D11718" s="161" t="s">
        <v>74</v>
      </c>
      <c r="E11718" s="135">
        <f t="shared" si="62"/>
        <v>15</v>
      </c>
      <c r="F11718" s="134" t="s">
        <v>4059</v>
      </c>
      <c r="G11718" s="63" t="str">
        <f>VLOOKUP(C11718, 'Class Def. - General Data'!$C$20:$C$1000,1,false)</f>
        <v>ZSI1_PAINT_ACCS</v>
      </c>
      <c r="H11718" s="63" t="str">
        <f>IFERROR(__xludf.DUMMYFUNCTION("VLOOKUP(F11718, IMPORTRANGE(""https://docs.google.com/spreadsheets/d/1Lhp9OU0JdFf_VYSMzH5lBcEaU4o8teT1piV-SNzShjg/edit?gid=554141278#gid=554141278"", ""'Char Def. - Attributes'!C20:C2242""), 1,false)"),"VOLUME_UNIT_SI")</f>
        <v>VOLUME_UNIT_SI</v>
      </c>
      <c r="I11718" s="136"/>
      <c r="R11718" s="63" t="str">
        <f t="shared" si="60"/>
        <v>ZSI1_PAINT_ACCSVOLUME_UNIT_SI</v>
      </c>
    </row>
    <row r="11719" ht="15.75" customHeight="1">
      <c r="B11719" s="63">
        <f t="shared" si="1"/>
        <v>15</v>
      </c>
      <c r="C11719" s="135" t="s">
        <v>502</v>
      </c>
      <c r="D11719" s="161" t="s">
        <v>74</v>
      </c>
      <c r="E11719" s="135">
        <f t="shared" si="62"/>
        <v>16</v>
      </c>
      <c r="F11719" s="134" t="s">
        <v>3804</v>
      </c>
      <c r="G11719" s="63" t="str">
        <f>VLOOKUP(C11719, 'Class Def. - General Data'!$C$20:$C$1000,1,false)</f>
        <v>ZSI1_PAINT_ACCS</v>
      </c>
      <c r="H11719" s="63" t="str">
        <f>IFERROR(__xludf.DUMMYFUNCTION("VLOOKUP(F11719, IMPORTRANGE(""https://docs.google.com/spreadsheets/d/1Lhp9OU0JdFf_VYSMzH5lBcEaU4o8teT1piV-SNzShjg/edit?gid=554141278#gid=554141278"", ""'Char Def. - Attributes'!C20:C2242""), 1,false)"),"ALT_UOM1_SIPI")</f>
        <v>ALT_UOM1_SIPI</v>
      </c>
      <c r="I11719" s="136"/>
      <c r="R11719" s="63" t="str">
        <f t="shared" si="60"/>
        <v>ZSI1_PAINT_ACCSALT_UOM1_SIPI</v>
      </c>
    </row>
    <row r="11720" ht="15.75" customHeight="1">
      <c r="B11720" s="63">
        <f t="shared" si="1"/>
        <v>15</v>
      </c>
      <c r="C11720" s="135" t="s">
        <v>502</v>
      </c>
      <c r="D11720" s="161" t="s">
        <v>74</v>
      </c>
      <c r="E11720" s="135">
        <f t="shared" si="62"/>
        <v>17</v>
      </c>
      <c r="F11720" s="134" t="s">
        <v>3805</v>
      </c>
      <c r="G11720" s="63" t="str">
        <f>VLOOKUP(C11720, 'Class Def. - General Data'!$C$20:$C$1000,1,false)</f>
        <v>ZSI1_PAINT_ACCS</v>
      </c>
      <c r="H11720" s="63" t="str">
        <f>IFERROR(__xludf.DUMMYFUNCTION("VLOOKUP(F11720, IMPORTRANGE(""https://docs.google.com/spreadsheets/d/1Lhp9OU0JdFf_VYSMzH5lBcEaU4o8teT1piV-SNzShjg/edit?gid=554141278#gid=554141278"", ""'Char Def. - Attributes'!C20:C2242""), 1,false)"),"ALT_DENUM_UOM1")</f>
        <v>ALT_DENUM_UOM1</v>
      </c>
      <c r="I11720" s="136"/>
      <c r="R11720" s="63" t="str">
        <f t="shared" si="60"/>
        <v>ZSI1_PAINT_ACCSALT_DENUM_UOM1</v>
      </c>
    </row>
    <row r="11721" ht="15.75" customHeight="1">
      <c r="B11721" s="63">
        <f t="shared" si="1"/>
        <v>15</v>
      </c>
      <c r="C11721" s="135" t="s">
        <v>502</v>
      </c>
      <c r="D11721" s="161" t="s">
        <v>74</v>
      </c>
      <c r="E11721" s="135">
        <f t="shared" si="62"/>
        <v>18</v>
      </c>
      <c r="F11721" s="134" t="s">
        <v>3806</v>
      </c>
      <c r="G11721" s="63" t="str">
        <f>VLOOKUP(C11721, 'Class Def. - General Data'!$C$20:$C$1000,1,false)</f>
        <v>ZSI1_PAINT_ACCS</v>
      </c>
      <c r="H11721" s="63" t="str">
        <f>IFERROR(__xludf.DUMMYFUNCTION("VLOOKUP(F11721, IMPORTRANGE(""https://docs.google.com/spreadsheets/d/1Lhp9OU0JdFf_VYSMzH5lBcEaU4o8teT1piV-SNzShjg/edit?gid=554141278#gid=554141278"", ""'Char Def. - Attributes'!C20:C2242""), 1,false)"),"ALT_NUM_UOM1")</f>
        <v>ALT_NUM_UOM1</v>
      </c>
      <c r="I11721" s="136"/>
      <c r="R11721" s="63" t="str">
        <f t="shared" si="60"/>
        <v>ZSI1_PAINT_ACCSALT_NUM_UOM1</v>
      </c>
    </row>
    <row r="11722" ht="15.75" customHeight="1">
      <c r="B11722" s="63">
        <f t="shared" si="1"/>
        <v>15</v>
      </c>
      <c r="C11722" s="135" t="s">
        <v>502</v>
      </c>
      <c r="D11722" s="161" t="s">
        <v>74</v>
      </c>
      <c r="E11722" s="135">
        <f t="shared" si="62"/>
        <v>19</v>
      </c>
      <c r="F11722" s="134" t="s">
        <v>3807</v>
      </c>
      <c r="G11722" s="63" t="str">
        <f>VLOOKUP(C11722, 'Class Def. - General Data'!$C$20:$C$1000,1,false)</f>
        <v>ZSI1_PAINT_ACCS</v>
      </c>
      <c r="H11722" s="63" t="str">
        <f>IFERROR(__xludf.DUMMYFUNCTION("VLOOKUP(F11722, IMPORTRANGE(""https://docs.google.com/spreadsheets/d/1Lhp9OU0JdFf_VYSMzH5lBcEaU4o8teT1piV-SNzShjg/edit?gid=554141278#gid=554141278"", ""'Char Def. - Attributes'!C20:C2242""), 1,false)"),"ALT_UOM2_SIPI")</f>
        <v>ALT_UOM2_SIPI</v>
      </c>
      <c r="I11722" s="136"/>
      <c r="R11722" s="63" t="str">
        <f t="shared" si="60"/>
        <v>ZSI1_PAINT_ACCSALT_UOM2_SIPI</v>
      </c>
    </row>
    <row r="11723" ht="15.75" customHeight="1">
      <c r="B11723" s="63">
        <f t="shared" si="1"/>
        <v>15</v>
      </c>
      <c r="C11723" s="135" t="s">
        <v>502</v>
      </c>
      <c r="D11723" s="161" t="s">
        <v>74</v>
      </c>
      <c r="E11723" s="135">
        <f t="shared" si="62"/>
        <v>20</v>
      </c>
      <c r="F11723" s="134" t="s">
        <v>3808</v>
      </c>
      <c r="G11723" s="63" t="str">
        <f>VLOOKUP(C11723, 'Class Def. - General Data'!$C$20:$C$1000,1,false)</f>
        <v>ZSI1_PAINT_ACCS</v>
      </c>
      <c r="H11723" s="63" t="str">
        <f>IFERROR(__xludf.DUMMYFUNCTION("VLOOKUP(F11723, IMPORTRANGE(""https://docs.google.com/spreadsheets/d/1Lhp9OU0JdFf_VYSMzH5lBcEaU4o8teT1piV-SNzShjg/edit?gid=554141278#gid=554141278"", ""'Char Def. - Attributes'!C20:C2242""), 1,false)"),"ALT_DENUM_UOM2")</f>
        <v>ALT_DENUM_UOM2</v>
      </c>
      <c r="I11723" s="136"/>
      <c r="R11723" s="63" t="str">
        <f t="shared" si="60"/>
        <v>ZSI1_PAINT_ACCSALT_DENUM_UOM2</v>
      </c>
    </row>
    <row r="11724" ht="15.75" customHeight="1">
      <c r="B11724" s="63">
        <f t="shared" si="1"/>
        <v>15</v>
      </c>
      <c r="C11724" s="135" t="s">
        <v>502</v>
      </c>
      <c r="D11724" s="161" t="s">
        <v>74</v>
      </c>
      <c r="E11724" s="135">
        <f t="shared" si="62"/>
        <v>21</v>
      </c>
      <c r="F11724" s="134" t="s">
        <v>3809</v>
      </c>
      <c r="G11724" s="63" t="str">
        <f>VLOOKUP(C11724, 'Class Def. - General Data'!$C$20:$C$1000,1,false)</f>
        <v>ZSI1_PAINT_ACCS</v>
      </c>
      <c r="H11724" s="63" t="str">
        <f>IFERROR(__xludf.DUMMYFUNCTION("VLOOKUP(F11724, IMPORTRANGE(""https://docs.google.com/spreadsheets/d/1Lhp9OU0JdFf_VYSMzH5lBcEaU4o8teT1piV-SNzShjg/edit?gid=554141278#gid=554141278"", ""'Char Def. - Attributes'!C20:C2242""), 1,false)"),"ALT_NUM_UOM2")</f>
        <v>ALT_NUM_UOM2</v>
      </c>
      <c r="I11724" s="136"/>
      <c r="R11724" s="63" t="str">
        <f t="shared" si="60"/>
        <v>ZSI1_PAINT_ACCSALT_NUM_UOM2</v>
      </c>
    </row>
    <row r="11725" ht="15.75" customHeight="1">
      <c r="B11725" s="63">
        <f t="shared" si="1"/>
        <v>15</v>
      </c>
      <c r="C11725" s="135" t="s">
        <v>502</v>
      </c>
      <c r="D11725" s="161" t="s">
        <v>74</v>
      </c>
      <c r="E11725" s="135">
        <f t="shared" si="62"/>
        <v>22</v>
      </c>
      <c r="F11725" s="134" t="s">
        <v>3810</v>
      </c>
      <c r="G11725" s="63" t="str">
        <f>VLOOKUP(C11725, 'Class Def. - General Data'!$C$20:$C$1000,1,false)</f>
        <v>ZSI1_PAINT_ACCS</v>
      </c>
      <c r="H11725" s="63" t="str">
        <f>IFERROR(__xludf.DUMMYFUNCTION("VLOOKUP(F11725, IMPORTRANGE(""https://docs.google.com/spreadsheets/d/1Lhp9OU0JdFf_VYSMzH5lBcEaU4o8teT1piV-SNzShjg/edit?gid=554141278#gid=554141278"", ""'Char Def. - Attributes'!C20:C2242""), 1,false)"),"ALT_UOM3_SIPI")</f>
        <v>ALT_UOM3_SIPI</v>
      </c>
      <c r="I11725" s="136"/>
      <c r="R11725" s="63" t="str">
        <f t="shared" si="60"/>
        <v>ZSI1_PAINT_ACCSALT_UOM3_SIPI</v>
      </c>
    </row>
    <row r="11726" ht="15.75" customHeight="1">
      <c r="B11726" s="63">
        <f t="shared" si="1"/>
        <v>15</v>
      </c>
      <c r="C11726" s="135" t="s">
        <v>502</v>
      </c>
      <c r="D11726" s="161" t="s">
        <v>74</v>
      </c>
      <c r="E11726" s="135">
        <f t="shared" si="62"/>
        <v>23</v>
      </c>
      <c r="F11726" s="134" t="s">
        <v>3811</v>
      </c>
      <c r="G11726" s="63" t="str">
        <f>VLOOKUP(C11726, 'Class Def. - General Data'!$C$20:$C$1000,1,false)</f>
        <v>ZSI1_PAINT_ACCS</v>
      </c>
      <c r="H11726" s="63" t="str">
        <f>IFERROR(__xludf.DUMMYFUNCTION("VLOOKUP(F11726, IMPORTRANGE(""https://docs.google.com/spreadsheets/d/1Lhp9OU0JdFf_VYSMzH5lBcEaU4o8teT1piV-SNzShjg/edit?gid=554141278#gid=554141278"", ""'Char Def. - Attributes'!C20:C2242""), 1,false)"),"ALT_DENUM_UOM3")</f>
        <v>ALT_DENUM_UOM3</v>
      </c>
      <c r="I11726" s="136"/>
      <c r="R11726" s="63" t="str">
        <f t="shared" si="60"/>
        <v>ZSI1_PAINT_ACCSALT_DENUM_UOM3</v>
      </c>
    </row>
    <row r="11727" ht="15.75" customHeight="1">
      <c r="B11727" s="63">
        <f t="shared" si="1"/>
        <v>15</v>
      </c>
      <c r="C11727" s="135" t="s">
        <v>502</v>
      </c>
      <c r="D11727" s="161" t="s">
        <v>74</v>
      </c>
      <c r="E11727" s="135">
        <f t="shared" si="62"/>
        <v>24</v>
      </c>
      <c r="F11727" s="134" t="s">
        <v>3812</v>
      </c>
      <c r="G11727" s="63" t="str">
        <f>VLOOKUP(C11727, 'Class Def. - General Data'!$C$20:$C$1000,1,false)</f>
        <v>ZSI1_PAINT_ACCS</v>
      </c>
      <c r="H11727" s="63" t="str">
        <f>IFERROR(__xludf.DUMMYFUNCTION("VLOOKUP(F11727, IMPORTRANGE(""https://docs.google.com/spreadsheets/d/1Lhp9OU0JdFf_VYSMzH5lBcEaU4o8teT1piV-SNzShjg/edit?gid=554141278#gid=554141278"", ""'Char Def. - Attributes'!C20:C2242""), 1,false)"),"ALT_NUM_UOM3")</f>
        <v>ALT_NUM_UOM3</v>
      </c>
      <c r="I11727" s="136"/>
      <c r="R11727" s="63" t="str">
        <f t="shared" si="60"/>
        <v>ZSI1_PAINT_ACCSALT_NUM_UOM3</v>
      </c>
    </row>
    <row r="11728" ht="15.75" customHeight="1">
      <c r="B11728" s="63">
        <f t="shared" si="1"/>
        <v>15</v>
      </c>
      <c r="C11728" s="135" t="s">
        <v>502</v>
      </c>
      <c r="D11728" s="161" t="s">
        <v>74</v>
      </c>
      <c r="E11728" s="135">
        <f t="shared" si="62"/>
        <v>25</v>
      </c>
      <c r="F11728" s="134" t="s">
        <v>3813</v>
      </c>
      <c r="G11728" s="63" t="str">
        <f>VLOOKUP(C11728, 'Class Def. - General Data'!$C$20:$C$1000,1,false)</f>
        <v>ZSI1_PAINT_ACCS</v>
      </c>
      <c r="H11728" s="63" t="str">
        <f>IFERROR(__xludf.DUMMYFUNCTION("VLOOKUP(F11728, IMPORTRANGE(""https://docs.google.com/spreadsheets/d/1Lhp9OU0JdFf_VYSMzH5lBcEaU4o8teT1piV-SNzShjg/edit?gid=554141278#gid=554141278"", ""'Char Def. - Attributes'!C20:C2242""), 1,false)"),"ALT_UOM4_SIPI")</f>
        <v>ALT_UOM4_SIPI</v>
      </c>
      <c r="I11728" s="136"/>
      <c r="R11728" s="63" t="str">
        <f t="shared" si="60"/>
        <v>ZSI1_PAINT_ACCSALT_UOM4_SIPI</v>
      </c>
    </row>
    <row r="11729" ht="15.75" customHeight="1">
      <c r="B11729" s="63">
        <f t="shared" si="1"/>
        <v>15</v>
      </c>
      <c r="C11729" s="135" t="s">
        <v>502</v>
      </c>
      <c r="D11729" s="161" t="s">
        <v>74</v>
      </c>
      <c r="E11729" s="135">
        <f t="shared" si="62"/>
        <v>26</v>
      </c>
      <c r="F11729" s="134" t="s">
        <v>3814</v>
      </c>
      <c r="G11729" s="63" t="str">
        <f>VLOOKUP(C11729, 'Class Def. - General Data'!$C$20:$C$1000,1,false)</f>
        <v>ZSI1_PAINT_ACCS</v>
      </c>
      <c r="H11729" s="63" t="str">
        <f>IFERROR(__xludf.DUMMYFUNCTION("VLOOKUP(F11729, IMPORTRANGE(""https://docs.google.com/spreadsheets/d/1Lhp9OU0JdFf_VYSMzH5lBcEaU4o8teT1piV-SNzShjg/edit?gid=554141278#gid=554141278"", ""'Char Def. - Attributes'!C20:C2242""), 1,false)"),"ALT_DENUM_UOM4")</f>
        <v>ALT_DENUM_UOM4</v>
      </c>
      <c r="I11729" s="136"/>
      <c r="R11729" s="63" t="str">
        <f t="shared" si="60"/>
        <v>ZSI1_PAINT_ACCSALT_DENUM_UOM4</v>
      </c>
    </row>
    <row r="11730" ht="15.75" customHeight="1">
      <c r="B11730" s="63">
        <f t="shared" si="1"/>
        <v>15</v>
      </c>
      <c r="C11730" s="135" t="s">
        <v>502</v>
      </c>
      <c r="D11730" s="161" t="s">
        <v>74</v>
      </c>
      <c r="E11730" s="135">
        <f t="shared" si="62"/>
        <v>27</v>
      </c>
      <c r="F11730" s="134" t="s">
        <v>3815</v>
      </c>
      <c r="G11730" s="63" t="str">
        <f>VLOOKUP(C11730, 'Class Def. - General Data'!$C$20:$C$1000,1,false)</f>
        <v>ZSI1_PAINT_ACCS</v>
      </c>
      <c r="H11730" s="63" t="str">
        <f>IFERROR(__xludf.DUMMYFUNCTION("VLOOKUP(F11730, IMPORTRANGE(""https://docs.google.com/spreadsheets/d/1Lhp9OU0JdFf_VYSMzH5lBcEaU4o8teT1piV-SNzShjg/edit?gid=554141278#gid=554141278"", ""'Char Def. - Attributes'!C20:C2242""), 1,false)"),"ALT_NUM_UOM4")</f>
        <v>ALT_NUM_UOM4</v>
      </c>
      <c r="I11730" s="136"/>
      <c r="R11730" s="63" t="str">
        <f t="shared" si="60"/>
        <v>ZSI1_PAINT_ACCSALT_NUM_UOM4</v>
      </c>
    </row>
    <row r="11731" ht="15.75" customHeight="1">
      <c r="B11731" s="63">
        <f t="shared" si="1"/>
        <v>15</v>
      </c>
      <c r="C11731" s="135" t="s">
        <v>502</v>
      </c>
      <c r="D11731" s="161" t="s">
        <v>74</v>
      </c>
      <c r="E11731" s="135">
        <f t="shared" si="62"/>
        <v>28</v>
      </c>
      <c r="F11731" s="134" t="s">
        <v>3816</v>
      </c>
      <c r="G11731" s="63" t="str">
        <f>VLOOKUP(C11731, 'Class Def. - General Data'!$C$20:$C$1000,1,false)</f>
        <v>ZSI1_PAINT_ACCS</v>
      </c>
      <c r="H11731" s="63" t="str">
        <f>IFERROR(__xludf.DUMMYFUNCTION("VLOOKUP(F11731, IMPORTRANGE(""https://docs.google.com/spreadsheets/d/1Lhp9OU0JdFf_VYSMzH5lBcEaU4o8teT1piV-SNzShjg/edit?gid=554141278#gid=554141278"", ""'Char Def. - Attributes'!C20:C2242""), 1,false)"),"ALT_UOM5_SIPI")</f>
        <v>ALT_UOM5_SIPI</v>
      </c>
      <c r="I11731" s="136"/>
      <c r="R11731" s="63" t="str">
        <f t="shared" si="60"/>
        <v>ZSI1_PAINT_ACCSALT_UOM5_SIPI</v>
      </c>
    </row>
    <row r="11732" ht="15.75" customHeight="1">
      <c r="B11732" s="63">
        <f t="shared" si="1"/>
        <v>15</v>
      </c>
      <c r="C11732" s="135" t="s">
        <v>502</v>
      </c>
      <c r="D11732" s="161" t="s">
        <v>74</v>
      </c>
      <c r="E11732" s="135">
        <f t="shared" si="62"/>
        <v>29</v>
      </c>
      <c r="F11732" s="134" t="s">
        <v>3817</v>
      </c>
      <c r="G11732" s="63" t="str">
        <f>VLOOKUP(C11732, 'Class Def. - General Data'!$C$20:$C$1000,1,false)</f>
        <v>ZSI1_PAINT_ACCS</v>
      </c>
      <c r="H11732" s="63" t="str">
        <f>IFERROR(__xludf.DUMMYFUNCTION("VLOOKUP(F11732, IMPORTRANGE(""https://docs.google.com/spreadsheets/d/1Lhp9OU0JdFf_VYSMzH5lBcEaU4o8teT1piV-SNzShjg/edit?gid=554141278#gid=554141278"", ""'Char Def. - Attributes'!C20:C2242""), 1,false)"),"ALT_DENUM_UOM5")</f>
        <v>ALT_DENUM_UOM5</v>
      </c>
      <c r="I11732" s="136"/>
      <c r="R11732" s="63" t="str">
        <f t="shared" si="60"/>
        <v>ZSI1_PAINT_ACCSALT_DENUM_UOM5</v>
      </c>
    </row>
    <row r="11733" ht="15.75" customHeight="1">
      <c r="B11733" s="63">
        <f t="shared" si="1"/>
        <v>15</v>
      </c>
      <c r="C11733" s="135" t="s">
        <v>502</v>
      </c>
      <c r="D11733" s="161" t="s">
        <v>74</v>
      </c>
      <c r="E11733" s="135">
        <f t="shared" si="62"/>
        <v>30</v>
      </c>
      <c r="F11733" s="134" t="s">
        <v>3818</v>
      </c>
      <c r="G11733" s="63" t="str">
        <f>VLOOKUP(C11733, 'Class Def. - General Data'!$C$20:$C$1000,1,false)</f>
        <v>ZSI1_PAINT_ACCS</v>
      </c>
      <c r="H11733" s="63" t="str">
        <f>IFERROR(__xludf.DUMMYFUNCTION("VLOOKUP(F11733, IMPORTRANGE(""https://docs.google.com/spreadsheets/d/1Lhp9OU0JdFf_VYSMzH5lBcEaU4o8teT1piV-SNzShjg/edit?gid=554141278#gid=554141278"", ""'Char Def. - Attributes'!C20:C2242""), 1,false)"),"ALT_NUM_UOM5")</f>
        <v>ALT_NUM_UOM5</v>
      </c>
      <c r="I11733" s="136"/>
      <c r="R11733" s="63" t="str">
        <f t="shared" si="60"/>
        <v>ZSI1_PAINT_ACCSALT_NUM_UOM5</v>
      </c>
    </row>
    <row r="11734" ht="15.75" customHeight="1">
      <c r="B11734" s="63">
        <f t="shared" si="1"/>
        <v>17</v>
      </c>
      <c r="C11734" s="135" t="s">
        <v>501</v>
      </c>
      <c r="D11734" s="161" t="s">
        <v>74</v>
      </c>
      <c r="E11734" s="135">
        <f t="shared" si="62"/>
        <v>1</v>
      </c>
      <c r="F11734" s="134" t="s">
        <v>5010</v>
      </c>
      <c r="G11734" s="63" t="str">
        <f>VLOOKUP(C11734, 'Class Def. - General Data'!$C$20:$C$1000,1,false)</f>
        <v>ZSI1_PAINT_FINISH</v>
      </c>
      <c r="H11734" s="63" t="str">
        <f>IFERROR(__xludf.DUMMYFUNCTION("VLOOKUP(F11734, IMPORTRANGE(""https://docs.google.com/spreadsheets/d/1Lhp9OU0JdFf_VYSMzH5lBcEaU4o8teT1piV-SNzShjg/edit?gid=554141278#gid=554141278"", ""'Char Def. - Attributes'!C20:C2242""), 1,false)"),"ITEM_NAME_PAINT_FINISH")</f>
        <v>ITEM_NAME_PAINT_FINISH</v>
      </c>
      <c r="I11734" s="136"/>
      <c r="R11734" s="63" t="str">
        <f t="shared" si="60"/>
        <v>ZSI1_PAINT_FINISHITEM_NAME_PAINT_FINISH</v>
      </c>
    </row>
    <row r="11735" ht="15.75" customHeight="1">
      <c r="B11735" s="63">
        <f t="shared" si="1"/>
        <v>17</v>
      </c>
      <c r="C11735" s="135" t="s">
        <v>501</v>
      </c>
      <c r="D11735" s="161" t="s">
        <v>74</v>
      </c>
      <c r="E11735" s="135">
        <f t="shared" si="62"/>
        <v>2</v>
      </c>
      <c r="F11735" s="134" t="s">
        <v>5011</v>
      </c>
      <c r="G11735" s="63" t="str">
        <f>VLOOKUP(C11735, 'Class Def. - General Data'!$C$20:$C$1000,1,false)</f>
        <v>ZSI1_PAINT_FINISH</v>
      </c>
      <c r="H11735" s="63" t="str">
        <f>IFERROR(__xludf.DUMMYFUNCTION("VLOOKUP(F11735, IMPORTRANGE(""https://docs.google.com/spreadsheets/d/1Lhp9OU0JdFf_VYSMzH5lBcEaU4o8teT1piV-SNzShjg/edit?gid=554141278#gid=554141278"", ""'Char Def. - Attributes'!C20:C2242""), 1,false)"),"SERIES_NAME_PAINT_FINISH")</f>
        <v>SERIES_NAME_PAINT_FINISH</v>
      </c>
      <c r="I11735" s="136"/>
      <c r="R11735" s="63" t="str">
        <f t="shared" si="60"/>
        <v>ZSI1_PAINT_FINISHSERIES_NAME_PAINT_FINISH</v>
      </c>
    </row>
    <row r="11736" ht="15.75" customHeight="1">
      <c r="B11736" s="63">
        <f t="shared" si="1"/>
        <v>17</v>
      </c>
      <c r="C11736" s="135" t="s">
        <v>501</v>
      </c>
      <c r="D11736" s="161" t="s">
        <v>74</v>
      </c>
      <c r="E11736" s="135">
        <f t="shared" si="62"/>
        <v>3</v>
      </c>
      <c r="F11736" s="134" t="s">
        <v>5012</v>
      </c>
      <c r="G11736" s="63" t="str">
        <f>VLOOKUP(C11736, 'Class Def. - General Data'!$C$20:$C$1000,1,false)</f>
        <v>ZSI1_PAINT_FINISH</v>
      </c>
      <c r="H11736" s="63" t="str">
        <f>IFERROR(__xludf.DUMMYFUNCTION("VLOOKUP(F11736, IMPORTRANGE(""https://docs.google.com/spreadsheets/d/1Lhp9OU0JdFf_VYSMzH5lBcEaU4o8teT1piV-SNzShjg/edit?gid=554141278#gid=554141278"", ""'Char Def. - Attributes'!C20:C2242""), 1,false)"),"SERIES_COLOR_PAINT_FINISH")</f>
        <v>SERIES_COLOR_PAINT_FINISH</v>
      </c>
      <c r="I11736" s="136"/>
      <c r="R11736" s="63" t="str">
        <f t="shared" si="60"/>
        <v>ZSI1_PAINT_FINISHSERIES_COLOR_PAINT_FINISH</v>
      </c>
    </row>
    <row r="11737" ht="15.75" customHeight="1">
      <c r="B11737" s="63">
        <f t="shared" si="1"/>
        <v>17</v>
      </c>
      <c r="C11737" s="135" t="s">
        <v>501</v>
      </c>
      <c r="D11737" s="161" t="s">
        <v>74</v>
      </c>
      <c r="E11737" s="135">
        <f t="shared" si="62"/>
        <v>4</v>
      </c>
      <c r="F11737" s="134" t="s">
        <v>3782</v>
      </c>
      <c r="G11737" s="63" t="str">
        <f>VLOOKUP(C11737, 'Class Def. - General Data'!$C$20:$C$1000,1,false)</f>
        <v>ZSI1_PAINT_FINISH</v>
      </c>
      <c r="H11737" s="63" t="str">
        <f>IFERROR(__xludf.DUMMYFUNCTION("VLOOKUP(F11737, IMPORTRANGE(""https://docs.google.com/spreadsheets/d/1Lhp9OU0JdFf_VYSMzH5lBcEaU4o8teT1piV-SNzShjg/edit?gid=554141278#gid=554141278"", ""'Char Def. - Attributes'!C20:C2242""), 1,false)"),"BRAND_EXTERNAL")</f>
        <v>BRAND_EXTERNAL</v>
      </c>
      <c r="I11737" s="136"/>
      <c r="R11737" s="63" t="str">
        <f t="shared" si="60"/>
        <v>ZSI1_PAINT_FINISHBRAND_EXTERNAL</v>
      </c>
    </row>
    <row r="11738" ht="15.75" customHeight="1">
      <c r="B11738" s="63">
        <f t="shared" si="1"/>
        <v>17</v>
      </c>
      <c r="C11738" s="135" t="s">
        <v>501</v>
      </c>
      <c r="D11738" s="161" t="s">
        <v>74</v>
      </c>
      <c r="E11738" s="135">
        <f t="shared" si="62"/>
        <v>5</v>
      </c>
      <c r="F11738" s="134" t="s">
        <v>5013</v>
      </c>
      <c r="G11738" s="63" t="str">
        <f>VLOOKUP(C11738, 'Class Def. - General Data'!$C$20:$C$1000,1,false)</f>
        <v>ZSI1_PAINT_FINISH</v>
      </c>
      <c r="H11738" s="63" t="str">
        <f>IFERROR(__xludf.DUMMYFUNCTION("VLOOKUP(F11738, IMPORTRANGE(""https://docs.google.com/spreadsheets/d/1Lhp9OU0JdFf_VYSMzH5lBcEaU4o8teT1piV-SNzShjg/edit?gid=554141278#gid=554141278"", ""'Char Def. - Attributes'!C20:C2242""), 1,false)"),"CAP_DIMENSION_PAINT_FINISH")</f>
        <v>CAP_DIMENSION_PAINT_FINISH</v>
      </c>
      <c r="I11738" s="136"/>
      <c r="R11738" s="63" t="str">
        <f t="shared" si="60"/>
        <v>ZSI1_PAINT_FINISHCAP_DIMENSION_PAINT_FINISH</v>
      </c>
    </row>
    <row r="11739" ht="15.75" customHeight="1">
      <c r="B11739" s="63">
        <f t="shared" si="1"/>
        <v>17</v>
      </c>
      <c r="C11739" s="135" t="s">
        <v>501</v>
      </c>
      <c r="D11739" s="161" t="s">
        <v>74</v>
      </c>
      <c r="E11739" s="135">
        <f t="shared" si="62"/>
        <v>6</v>
      </c>
      <c r="F11739" s="134" t="s">
        <v>5014</v>
      </c>
      <c r="G11739" s="63" t="str">
        <f>VLOOKUP(C11739, 'Class Def. - General Data'!$C$20:$C$1000,1,false)</f>
        <v>ZSI1_PAINT_FINISH</v>
      </c>
      <c r="H11739" s="63" t="str">
        <f>IFERROR(__xludf.DUMMYFUNCTION("VLOOKUP(F11739, IMPORTRANGE(""https://docs.google.com/spreadsheets/d/1Lhp9OU0JdFf_VYSMzH5lBcEaU4o8teT1piV-SNzShjg/edit?gid=554141278#gid=554141278"", ""'Char Def. - Attributes'!C20:C2242""), 1,false)"),"#N/A")</f>
        <v>#N/A</v>
      </c>
      <c r="I11739" s="136"/>
      <c r="R11739" s="63" t="str">
        <f t="shared" si="60"/>
        <v>ZSI1_PAINT_FINISHCAPACITY_PAINT_FINISH</v>
      </c>
    </row>
    <row r="11740" ht="15.75" customHeight="1">
      <c r="B11740" s="63">
        <f t="shared" si="1"/>
        <v>17</v>
      </c>
      <c r="C11740" s="135" t="s">
        <v>501</v>
      </c>
      <c r="D11740" s="161" t="s">
        <v>74</v>
      </c>
      <c r="E11740" s="135">
        <f t="shared" si="62"/>
        <v>7</v>
      </c>
      <c r="F11740" s="134" t="s">
        <v>3585</v>
      </c>
      <c r="G11740" s="63" t="str">
        <f>VLOOKUP(C11740, 'Class Def. - General Data'!$C$20:$C$1000,1,false)</f>
        <v>ZSI1_PAINT_FINISH</v>
      </c>
      <c r="H11740" s="63" t="str">
        <f>IFERROR(__xludf.DUMMYFUNCTION("VLOOKUP(F11740, IMPORTRANGE(""https://docs.google.com/spreadsheets/d/1Lhp9OU0JdFf_VYSMzH5lBcEaU4o8teT1piV-SNzShjg/edit?gid=554141278#gid=554141278"", ""'Char Def. - Attributes'!C20:C2242""), 1,false)"),"HS_CODE")</f>
        <v>HS_CODE</v>
      </c>
      <c r="I11740" s="136"/>
      <c r="R11740" s="63" t="str">
        <f t="shared" si="60"/>
        <v>ZSI1_PAINT_FINISHHS_CODE</v>
      </c>
    </row>
    <row r="11741" ht="15.75" customHeight="1">
      <c r="B11741" s="63">
        <f t="shared" si="1"/>
        <v>17</v>
      </c>
      <c r="C11741" s="135" t="s">
        <v>501</v>
      </c>
      <c r="D11741" s="161" t="s">
        <v>74</v>
      </c>
      <c r="E11741" s="135">
        <f t="shared" si="62"/>
        <v>8</v>
      </c>
      <c r="F11741" s="134" t="s">
        <v>3587</v>
      </c>
      <c r="G11741" s="63" t="str">
        <f>VLOOKUP(C11741, 'Class Def. - General Data'!$C$20:$C$1000,1,false)</f>
        <v>ZSI1_PAINT_FINISH</v>
      </c>
      <c r="H11741" s="63" t="str">
        <f>IFERROR(__xludf.DUMMYFUNCTION("VLOOKUP(F11741, IMPORTRANGE(""https://docs.google.com/spreadsheets/d/1Lhp9OU0JdFf_VYSMzH5lBcEaU4o8teT1piV-SNzShjg/edit?gid=554141278#gid=554141278"", ""'Char Def. - Attributes'!C20:C2242""), 1,false)"),"PLANT_BUY")</f>
        <v>PLANT_BUY</v>
      </c>
      <c r="I11741" s="136"/>
      <c r="R11741" s="63" t="str">
        <f t="shared" si="60"/>
        <v>ZSI1_PAINT_FINISHPLANT_BUY</v>
      </c>
    </row>
    <row r="11742" ht="15.75" customHeight="1">
      <c r="B11742" s="63">
        <f t="shared" si="1"/>
        <v>17</v>
      </c>
      <c r="C11742" s="135" t="s">
        <v>501</v>
      </c>
      <c r="D11742" s="161" t="s">
        <v>74</v>
      </c>
      <c r="E11742" s="135">
        <f t="shared" si="62"/>
        <v>9</v>
      </c>
      <c r="F11742" s="134" t="s">
        <v>5015</v>
      </c>
      <c r="G11742" s="63" t="str">
        <f>VLOOKUP(C11742, 'Class Def. - General Data'!$C$20:$C$1000,1,false)</f>
        <v>ZSI1_PAINT_FINISH</v>
      </c>
      <c r="H11742" s="63" t="str">
        <f>IFERROR(__xludf.DUMMYFUNCTION("VLOOKUP(F11742, IMPORTRANGE(""https://docs.google.com/spreadsheets/d/1Lhp9OU0JdFf_VYSMzH5lBcEaU4o8teT1piV-SNzShjg/edit?gid=554141278#gid=554141278"", ""'Char Def. - Attributes'!C20:C2242""), 1,false)"),"BASE_UOM_PAINT_FINISH")</f>
        <v>BASE_UOM_PAINT_FINISH</v>
      </c>
      <c r="I11742" s="136"/>
      <c r="R11742" s="63" t="str">
        <f t="shared" si="60"/>
        <v>ZSI1_PAINT_FINISHBASE_UOM_PAINT_FINISH</v>
      </c>
    </row>
    <row r="11743" ht="15.75" customHeight="1">
      <c r="B11743" s="63">
        <f t="shared" si="1"/>
        <v>17</v>
      </c>
      <c r="C11743" s="135" t="s">
        <v>501</v>
      </c>
      <c r="D11743" s="161" t="s">
        <v>74</v>
      </c>
      <c r="E11743" s="135">
        <f t="shared" si="62"/>
        <v>10</v>
      </c>
      <c r="F11743" s="134" t="s">
        <v>5016</v>
      </c>
      <c r="G11743" s="63" t="str">
        <f>VLOOKUP(C11743, 'Class Def. - General Data'!$C$20:$C$1000,1,false)</f>
        <v>ZSI1_PAINT_FINISH</v>
      </c>
      <c r="H11743" s="63" t="str">
        <f>IFERROR(__xludf.DUMMYFUNCTION("VLOOKUP(F11743, IMPORTRANGE(""https://docs.google.com/spreadsheets/d/1Lhp9OU0JdFf_VYSMzH5lBcEaU4o8teT1piV-SNzShjg/edit?gid=554141278#gid=554141278"", ""'Char Def. - Attributes'!C20:C2242""), 1,false)"),"ORDER_UNIT_PAINT_FINISH")</f>
        <v>ORDER_UNIT_PAINT_FINISH</v>
      </c>
      <c r="I11743" s="136"/>
      <c r="R11743" s="63" t="str">
        <f t="shared" si="60"/>
        <v>ZSI1_PAINT_FINISHORDER_UNIT_PAINT_FINISH</v>
      </c>
    </row>
    <row r="11744" ht="15.75" customHeight="1">
      <c r="B11744" s="63">
        <f t="shared" si="1"/>
        <v>17</v>
      </c>
      <c r="C11744" s="135" t="s">
        <v>501</v>
      </c>
      <c r="D11744" s="161" t="s">
        <v>74</v>
      </c>
      <c r="E11744" s="135">
        <f t="shared" si="62"/>
        <v>11</v>
      </c>
      <c r="F11744" s="134" t="s">
        <v>4056</v>
      </c>
      <c r="G11744" s="63" t="str">
        <f>VLOOKUP(C11744, 'Class Def. - General Data'!$C$20:$C$1000,1,false)</f>
        <v>ZSI1_PAINT_FINISH</v>
      </c>
      <c r="H11744" s="63" t="str">
        <f>IFERROR(__xludf.DUMMYFUNCTION("VLOOKUP(F11744, IMPORTRANGE(""https://docs.google.com/spreadsheets/d/1Lhp9OU0JdFf_VYSMzH5lBcEaU4o8teT1piV-SNzShjg/edit?gid=554141278#gid=554141278"", ""'Char Def. - Attributes'!C20:C2242""), 1,false)"),"GROSS_WEIGHT_OPT")</f>
        <v>GROSS_WEIGHT_OPT</v>
      </c>
      <c r="I11744" s="136"/>
      <c r="R11744" s="63" t="str">
        <f t="shared" si="60"/>
        <v>ZSI1_PAINT_FINISHGROSS_WEIGHT_OPT</v>
      </c>
    </row>
    <row r="11745" ht="15.75" customHeight="1">
      <c r="B11745" s="63">
        <f t="shared" si="1"/>
        <v>17</v>
      </c>
      <c r="C11745" s="135" t="s">
        <v>501</v>
      </c>
      <c r="D11745" s="161" t="s">
        <v>74</v>
      </c>
      <c r="E11745" s="135">
        <f t="shared" si="62"/>
        <v>12</v>
      </c>
      <c r="F11745" s="134" t="s">
        <v>4057</v>
      </c>
      <c r="G11745" s="63" t="str">
        <f>VLOOKUP(C11745, 'Class Def. - General Data'!$C$20:$C$1000,1,false)</f>
        <v>ZSI1_PAINT_FINISH</v>
      </c>
      <c r="H11745" s="63" t="str">
        <f>IFERROR(__xludf.DUMMYFUNCTION("VLOOKUP(F11745, IMPORTRANGE(""https://docs.google.com/spreadsheets/d/1Lhp9OU0JdFf_VYSMzH5lBcEaU4o8teT1piV-SNzShjg/edit?gid=554141278#gid=554141278"", ""'Char Def. - Attributes'!C20:C2242""), 1,false)"),"NET_WEIGHT_OPT")</f>
        <v>NET_WEIGHT_OPT</v>
      </c>
      <c r="I11745" s="136"/>
      <c r="R11745" s="63" t="str">
        <f t="shared" si="60"/>
        <v>ZSI1_PAINT_FINISHNET_WEIGHT_OPT</v>
      </c>
    </row>
    <row r="11746" ht="15.75" customHeight="1">
      <c r="B11746" s="63">
        <f t="shared" si="1"/>
        <v>17</v>
      </c>
      <c r="C11746" s="135" t="s">
        <v>501</v>
      </c>
      <c r="D11746" s="161" t="s">
        <v>74</v>
      </c>
      <c r="E11746" s="135">
        <f t="shared" si="62"/>
        <v>13</v>
      </c>
      <c r="F11746" s="134" t="s">
        <v>4058</v>
      </c>
      <c r="G11746" s="63" t="str">
        <f>VLOOKUP(C11746, 'Class Def. - General Data'!$C$20:$C$1000,1,false)</f>
        <v>ZSI1_PAINT_FINISH</v>
      </c>
      <c r="H11746" s="63" t="str">
        <f>IFERROR(__xludf.DUMMYFUNCTION("VLOOKUP(F11746, IMPORTRANGE(""https://docs.google.com/spreadsheets/d/1Lhp9OU0JdFf_VYSMzH5lBcEaU4o8teT1piV-SNzShjg/edit?gid=554141278#gid=554141278"", ""'Char Def. - Attributes'!C20:C2242""), 1,false)"),"WEIGHT_UNIT_SI")</f>
        <v>WEIGHT_UNIT_SI</v>
      </c>
      <c r="I11746" s="136"/>
      <c r="R11746" s="63" t="str">
        <f t="shared" si="60"/>
        <v>ZSI1_PAINT_FINISHWEIGHT_UNIT_SI</v>
      </c>
    </row>
    <row r="11747" ht="15.75" customHeight="1">
      <c r="B11747" s="63">
        <f t="shared" si="1"/>
        <v>17</v>
      </c>
      <c r="C11747" s="135" t="s">
        <v>501</v>
      </c>
      <c r="D11747" s="161" t="s">
        <v>74</v>
      </c>
      <c r="E11747" s="135">
        <f t="shared" si="62"/>
        <v>14</v>
      </c>
      <c r="F11747" s="134" t="s">
        <v>3877</v>
      </c>
      <c r="G11747" s="63" t="str">
        <f>VLOOKUP(C11747, 'Class Def. - General Data'!$C$20:$C$1000,1,false)</f>
        <v>ZSI1_PAINT_FINISH</v>
      </c>
      <c r="H11747" s="63" t="str">
        <f>IFERROR(__xludf.DUMMYFUNCTION("VLOOKUP(F11747, IMPORTRANGE(""https://docs.google.com/spreadsheets/d/1Lhp9OU0JdFf_VYSMzH5lBcEaU4o8teT1piV-SNzShjg/edit?gid=554141278#gid=554141278"", ""'Char Def. - Attributes'!C20:C2242""), 1,false)"),"VOLUME_OPT")</f>
        <v>VOLUME_OPT</v>
      </c>
      <c r="I11747" s="136"/>
      <c r="R11747" s="63" t="str">
        <f t="shared" si="60"/>
        <v>ZSI1_PAINT_FINISHVOLUME_OPT</v>
      </c>
    </row>
    <row r="11748" ht="15.75" customHeight="1">
      <c r="B11748" s="63">
        <f t="shared" si="1"/>
        <v>17</v>
      </c>
      <c r="C11748" s="135" t="s">
        <v>501</v>
      </c>
      <c r="D11748" s="161" t="s">
        <v>74</v>
      </c>
      <c r="E11748" s="135">
        <f t="shared" si="62"/>
        <v>15</v>
      </c>
      <c r="F11748" s="134" t="s">
        <v>4059</v>
      </c>
      <c r="G11748" s="63" t="str">
        <f>VLOOKUP(C11748, 'Class Def. - General Data'!$C$20:$C$1000,1,false)</f>
        <v>ZSI1_PAINT_FINISH</v>
      </c>
      <c r="H11748" s="63" t="str">
        <f>IFERROR(__xludf.DUMMYFUNCTION("VLOOKUP(F11748, IMPORTRANGE(""https://docs.google.com/spreadsheets/d/1Lhp9OU0JdFf_VYSMzH5lBcEaU4o8teT1piV-SNzShjg/edit?gid=554141278#gid=554141278"", ""'Char Def. - Attributes'!C20:C2242""), 1,false)"),"VOLUME_UNIT_SI")</f>
        <v>VOLUME_UNIT_SI</v>
      </c>
      <c r="I11748" s="136"/>
      <c r="R11748" s="63" t="str">
        <f t="shared" si="60"/>
        <v>ZSI1_PAINT_FINISHVOLUME_UNIT_SI</v>
      </c>
    </row>
    <row r="11749" ht="15.75" customHeight="1">
      <c r="B11749" s="63">
        <f t="shared" si="1"/>
        <v>17</v>
      </c>
      <c r="C11749" s="135" t="s">
        <v>501</v>
      </c>
      <c r="D11749" s="161" t="s">
        <v>74</v>
      </c>
      <c r="E11749" s="135">
        <f t="shared" si="62"/>
        <v>16</v>
      </c>
      <c r="F11749" s="134" t="s">
        <v>3804</v>
      </c>
      <c r="G11749" s="63" t="str">
        <f>VLOOKUP(C11749, 'Class Def. - General Data'!$C$20:$C$1000,1,false)</f>
        <v>ZSI1_PAINT_FINISH</v>
      </c>
      <c r="H11749" s="63" t="str">
        <f>IFERROR(__xludf.DUMMYFUNCTION("VLOOKUP(F11749, IMPORTRANGE(""https://docs.google.com/spreadsheets/d/1Lhp9OU0JdFf_VYSMzH5lBcEaU4o8teT1piV-SNzShjg/edit?gid=554141278#gid=554141278"", ""'Char Def. - Attributes'!C20:C2242""), 1,false)"),"ALT_UOM1_SIPI")</f>
        <v>ALT_UOM1_SIPI</v>
      </c>
      <c r="I11749" s="136"/>
      <c r="R11749" s="63" t="str">
        <f t="shared" si="60"/>
        <v>ZSI1_PAINT_FINISHALT_UOM1_SIPI</v>
      </c>
    </row>
    <row r="11750" ht="15.75" customHeight="1">
      <c r="B11750" s="63">
        <f t="shared" si="1"/>
        <v>17</v>
      </c>
      <c r="C11750" s="135" t="s">
        <v>501</v>
      </c>
      <c r="D11750" s="161" t="s">
        <v>74</v>
      </c>
      <c r="E11750" s="135">
        <f t="shared" si="62"/>
        <v>17</v>
      </c>
      <c r="F11750" s="134" t="s">
        <v>3805</v>
      </c>
      <c r="G11750" s="63" t="str">
        <f>VLOOKUP(C11750, 'Class Def. - General Data'!$C$20:$C$1000,1,false)</f>
        <v>ZSI1_PAINT_FINISH</v>
      </c>
      <c r="H11750" s="63" t="str">
        <f>IFERROR(__xludf.DUMMYFUNCTION("VLOOKUP(F11750, IMPORTRANGE(""https://docs.google.com/spreadsheets/d/1Lhp9OU0JdFf_VYSMzH5lBcEaU4o8teT1piV-SNzShjg/edit?gid=554141278#gid=554141278"", ""'Char Def. - Attributes'!C20:C2242""), 1,false)"),"ALT_DENUM_UOM1")</f>
        <v>ALT_DENUM_UOM1</v>
      </c>
      <c r="I11750" s="136"/>
      <c r="R11750" s="63" t="str">
        <f t="shared" si="60"/>
        <v>ZSI1_PAINT_FINISHALT_DENUM_UOM1</v>
      </c>
    </row>
    <row r="11751" ht="15.75" customHeight="1">
      <c r="B11751" s="63">
        <f t="shared" si="1"/>
        <v>17</v>
      </c>
      <c r="C11751" s="135" t="s">
        <v>501</v>
      </c>
      <c r="D11751" s="161" t="s">
        <v>74</v>
      </c>
      <c r="E11751" s="135">
        <f t="shared" si="62"/>
        <v>18</v>
      </c>
      <c r="F11751" s="134" t="s">
        <v>3806</v>
      </c>
      <c r="G11751" s="63" t="str">
        <f>VLOOKUP(C11751, 'Class Def. - General Data'!$C$20:$C$1000,1,false)</f>
        <v>ZSI1_PAINT_FINISH</v>
      </c>
      <c r="H11751" s="63" t="str">
        <f>IFERROR(__xludf.DUMMYFUNCTION("VLOOKUP(F11751, IMPORTRANGE(""https://docs.google.com/spreadsheets/d/1Lhp9OU0JdFf_VYSMzH5lBcEaU4o8teT1piV-SNzShjg/edit?gid=554141278#gid=554141278"", ""'Char Def. - Attributes'!C20:C2242""), 1,false)"),"ALT_NUM_UOM1")</f>
        <v>ALT_NUM_UOM1</v>
      </c>
      <c r="I11751" s="136"/>
      <c r="R11751" s="63" t="str">
        <f t="shared" si="60"/>
        <v>ZSI1_PAINT_FINISHALT_NUM_UOM1</v>
      </c>
    </row>
    <row r="11752" ht="15.75" customHeight="1">
      <c r="B11752" s="63">
        <f t="shared" si="1"/>
        <v>17</v>
      </c>
      <c r="C11752" s="135" t="s">
        <v>501</v>
      </c>
      <c r="D11752" s="161" t="s">
        <v>74</v>
      </c>
      <c r="E11752" s="135">
        <f t="shared" si="62"/>
        <v>19</v>
      </c>
      <c r="F11752" s="134" t="s">
        <v>3807</v>
      </c>
      <c r="G11752" s="63" t="str">
        <f>VLOOKUP(C11752, 'Class Def. - General Data'!$C$20:$C$1000,1,false)</f>
        <v>ZSI1_PAINT_FINISH</v>
      </c>
      <c r="H11752" s="63" t="str">
        <f>IFERROR(__xludf.DUMMYFUNCTION("VLOOKUP(F11752, IMPORTRANGE(""https://docs.google.com/spreadsheets/d/1Lhp9OU0JdFf_VYSMzH5lBcEaU4o8teT1piV-SNzShjg/edit?gid=554141278#gid=554141278"", ""'Char Def. - Attributes'!C20:C2242""), 1,false)"),"ALT_UOM2_SIPI")</f>
        <v>ALT_UOM2_SIPI</v>
      </c>
      <c r="I11752" s="136"/>
      <c r="R11752" s="63" t="str">
        <f t="shared" si="60"/>
        <v>ZSI1_PAINT_FINISHALT_UOM2_SIPI</v>
      </c>
    </row>
    <row r="11753" ht="15.75" customHeight="1">
      <c r="B11753" s="63">
        <f t="shared" si="1"/>
        <v>17</v>
      </c>
      <c r="C11753" s="135" t="s">
        <v>501</v>
      </c>
      <c r="D11753" s="161" t="s">
        <v>74</v>
      </c>
      <c r="E11753" s="135">
        <f t="shared" si="62"/>
        <v>20</v>
      </c>
      <c r="F11753" s="134" t="s">
        <v>3808</v>
      </c>
      <c r="G11753" s="63" t="str">
        <f>VLOOKUP(C11753, 'Class Def. - General Data'!$C$20:$C$1000,1,false)</f>
        <v>ZSI1_PAINT_FINISH</v>
      </c>
      <c r="H11753" s="63" t="str">
        <f>IFERROR(__xludf.DUMMYFUNCTION("VLOOKUP(F11753, IMPORTRANGE(""https://docs.google.com/spreadsheets/d/1Lhp9OU0JdFf_VYSMzH5lBcEaU4o8teT1piV-SNzShjg/edit?gid=554141278#gid=554141278"", ""'Char Def. - Attributes'!C20:C2242""), 1,false)"),"ALT_DENUM_UOM2")</f>
        <v>ALT_DENUM_UOM2</v>
      </c>
      <c r="I11753" s="136"/>
      <c r="R11753" s="63" t="str">
        <f t="shared" si="60"/>
        <v>ZSI1_PAINT_FINISHALT_DENUM_UOM2</v>
      </c>
    </row>
    <row r="11754" ht="15.75" customHeight="1">
      <c r="B11754" s="63">
        <f t="shared" si="1"/>
        <v>17</v>
      </c>
      <c r="C11754" s="135" t="s">
        <v>501</v>
      </c>
      <c r="D11754" s="161" t="s">
        <v>74</v>
      </c>
      <c r="E11754" s="135">
        <f t="shared" si="62"/>
        <v>21</v>
      </c>
      <c r="F11754" s="134" t="s">
        <v>3809</v>
      </c>
      <c r="G11754" s="63" t="str">
        <f>VLOOKUP(C11754, 'Class Def. - General Data'!$C$20:$C$1000,1,false)</f>
        <v>ZSI1_PAINT_FINISH</v>
      </c>
      <c r="H11754" s="63" t="str">
        <f>IFERROR(__xludf.DUMMYFUNCTION("VLOOKUP(F11754, IMPORTRANGE(""https://docs.google.com/spreadsheets/d/1Lhp9OU0JdFf_VYSMzH5lBcEaU4o8teT1piV-SNzShjg/edit?gid=554141278#gid=554141278"", ""'Char Def. - Attributes'!C20:C2242""), 1,false)"),"ALT_NUM_UOM2")</f>
        <v>ALT_NUM_UOM2</v>
      </c>
      <c r="I11754" s="136"/>
      <c r="R11754" s="63" t="str">
        <f t="shared" si="60"/>
        <v>ZSI1_PAINT_FINISHALT_NUM_UOM2</v>
      </c>
    </row>
    <row r="11755" ht="15.75" customHeight="1">
      <c r="B11755" s="63">
        <f t="shared" si="1"/>
        <v>17</v>
      </c>
      <c r="C11755" s="135" t="s">
        <v>501</v>
      </c>
      <c r="D11755" s="161" t="s">
        <v>74</v>
      </c>
      <c r="E11755" s="135">
        <f t="shared" si="62"/>
        <v>22</v>
      </c>
      <c r="F11755" s="134" t="s">
        <v>3810</v>
      </c>
      <c r="G11755" s="63" t="str">
        <f>VLOOKUP(C11755, 'Class Def. - General Data'!$C$20:$C$1000,1,false)</f>
        <v>ZSI1_PAINT_FINISH</v>
      </c>
      <c r="H11755" s="63" t="str">
        <f>IFERROR(__xludf.DUMMYFUNCTION("VLOOKUP(F11755, IMPORTRANGE(""https://docs.google.com/spreadsheets/d/1Lhp9OU0JdFf_VYSMzH5lBcEaU4o8teT1piV-SNzShjg/edit?gid=554141278#gid=554141278"", ""'Char Def. - Attributes'!C20:C2242""), 1,false)"),"ALT_UOM3_SIPI")</f>
        <v>ALT_UOM3_SIPI</v>
      </c>
      <c r="I11755" s="136"/>
      <c r="R11755" s="63" t="str">
        <f t="shared" si="60"/>
        <v>ZSI1_PAINT_FINISHALT_UOM3_SIPI</v>
      </c>
    </row>
    <row r="11756" ht="15.75" customHeight="1">
      <c r="B11756" s="63">
        <f t="shared" si="1"/>
        <v>17</v>
      </c>
      <c r="C11756" s="135" t="s">
        <v>501</v>
      </c>
      <c r="D11756" s="161" t="s">
        <v>74</v>
      </c>
      <c r="E11756" s="135">
        <f t="shared" si="62"/>
        <v>23</v>
      </c>
      <c r="F11756" s="134" t="s">
        <v>3811</v>
      </c>
      <c r="G11756" s="63" t="str">
        <f>VLOOKUP(C11756, 'Class Def. - General Data'!$C$20:$C$1000,1,false)</f>
        <v>ZSI1_PAINT_FINISH</v>
      </c>
      <c r="H11756" s="63" t="str">
        <f>IFERROR(__xludf.DUMMYFUNCTION("VLOOKUP(F11756, IMPORTRANGE(""https://docs.google.com/spreadsheets/d/1Lhp9OU0JdFf_VYSMzH5lBcEaU4o8teT1piV-SNzShjg/edit?gid=554141278#gid=554141278"", ""'Char Def. - Attributes'!C20:C2242""), 1,false)"),"ALT_DENUM_UOM3")</f>
        <v>ALT_DENUM_UOM3</v>
      </c>
      <c r="I11756" s="136"/>
      <c r="R11756" s="63" t="str">
        <f t="shared" si="60"/>
        <v>ZSI1_PAINT_FINISHALT_DENUM_UOM3</v>
      </c>
    </row>
    <row r="11757" ht="15.75" customHeight="1">
      <c r="B11757" s="63">
        <f t="shared" si="1"/>
        <v>17</v>
      </c>
      <c r="C11757" s="135" t="s">
        <v>501</v>
      </c>
      <c r="D11757" s="161" t="s">
        <v>74</v>
      </c>
      <c r="E11757" s="135">
        <f t="shared" si="62"/>
        <v>24</v>
      </c>
      <c r="F11757" s="134" t="s">
        <v>3812</v>
      </c>
      <c r="G11757" s="63" t="str">
        <f>VLOOKUP(C11757, 'Class Def. - General Data'!$C$20:$C$1000,1,false)</f>
        <v>ZSI1_PAINT_FINISH</v>
      </c>
      <c r="H11757" s="63" t="str">
        <f>IFERROR(__xludf.DUMMYFUNCTION("VLOOKUP(F11757, IMPORTRANGE(""https://docs.google.com/spreadsheets/d/1Lhp9OU0JdFf_VYSMzH5lBcEaU4o8teT1piV-SNzShjg/edit?gid=554141278#gid=554141278"", ""'Char Def. - Attributes'!C20:C2242""), 1,false)"),"ALT_NUM_UOM3")</f>
        <v>ALT_NUM_UOM3</v>
      </c>
      <c r="I11757" s="136"/>
      <c r="R11757" s="63" t="str">
        <f t="shared" si="60"/>
        <v>ZSI1_PAINT_FINISHALT_NUM_UOM3</v>
      </c>
    </row>
    <row r="11758" ht="15.75" customHeight="1">
      <c r="B11758" s="63">
        <f t="shared" si="1"/>
        <v>17</v>
      </c>
      <c r="C11758" s="135" t="s">
        <v>501</v>
      </c>
      <c r="D11758" s="161" t="s">
        <v>74</v>
      </c>
      <c r="E11758" s="135">
        <f t="shared" si="62"/>
        <v>25</v>
      </c>
      <c r="F11758" s="134" t="s">
        <v>3813</v>
      </c>
      <c r="G11758" s="63" t="str">
        <f>VLOOKUP(C11758, 'Class Def. - General Data'!$C$20:$C$1000,1,false)</f>
        <v>ZSI1_PAINT_FINISH</v>
      </c>
      <c r="H11758" s="63" t="str">
        <f>IFERROR(__xludf.DUMMYFUNCTION("VLOOKUP(F11758, IMPORTRANGE(""https://docs.google.com/spreadsheets/d/1Lhp9OU0JdFf_VYSMzH5lBcEaU4o8teT1piV-SNzShjg/edit?gid=554141278#gid=554141278"", ""'Char Def. - Attributes'!C20:C2242""), 1,false)"),"ALT_UOM4_SIPI")</f>
        <v>ALT_UOM4_SIPI</v>
      </c>
      <c r="I11758" s="136"/>
      <c r="R11758" s="63" t="str">
        <f t="shared" si="60"/>
        <v>ZSI1_PAINT_FINISHALT_UOM4_SIPI</v>
      </c>
    </row>
    <row r="11759" ht="15.75" customHeight="1">
      <c r="B11759" s="63">
        <f t="shared" si="1"/>
        <v>17</v>
      </c>
      <c r="C11759" s="135" t="s">
        <v>501</v>
      </c>
      <c r="D11759" s="161" t="s">
        <v>74</v>
      </c>
      <c r="E11759" s="135">
        <f t="shared" si="62"/>
        <v>26</v>
      </c>
      <c r="F11759" s="134" t="s">
        <v>3814</v>
      </c>
      <c r="G11759" s="63" t="str">
        <f>VLOOKUP(C11759, 'Class Def. - General Data'!$C$20:$C$1000,1,false)</f>
        <v>ZSI1_PAINT_FINISH</v>
      </c>
      <c r="H11759" s="63" t="str">
        <f>IFERROR(__xludf.DUMMYFUNCTION("VLOOKUP(F11759, IMPORTRANGE(""https://docs.google.com/spreadsheets/d/1Lhp9OU0JdFf_VYSMzH5lBcEaU4o8teT1piV-SNzShjg/edit?gid=554141278#gid=554141278"", ""'Char Def. - Attributes'!C20:C2242""), 1,false)"),"ALT_DENUM_UOM4")</f>
        <v>ALT_DENUM_UOM4</v>
      </c>
      <c r="I11759" s="136"/>
      <c r="R11759" s="63" t="str">
        <f t="shared" si="60"/>
        <v>ZSI1_PAINT_FINISHALT_DENUM_UOM4</v>
      </c>
    </row>
    <row r="11760" ht="15.75" customHeight="1">
      <c r="B11760" s="63">
        <f t="shared" si="1"/>
        <v>17</v>
      </c>
      <c r="C11760" s="135" t="s">
        <v>501</v>
      </c>
      <c r="D11760" s="161" t="s">
        <v>74</v>
      </c>
      <c r="E11760" s="135">
        <f t="shared" si="62"/>
        <v>27</v>
      </c>
      <c r="F11760" s="134" t="s">
        <v>3815</v>
      </c>
      <c r="G11760" s="63" t="str">
        <f>VLOOKUP(C11760, 'Class Def. - General Data'!$C$20:$C$1000,1,false)</f>
        <v>ZSI1_PAINT_FINISH</v>
      </c>
      <c r="H11760" s="63" t="str">
        <f>IFERROR(__xludf.DUMMYFUNCTION("VLOOKUP(F11760, IMPORTRANGE(""https://docs.google.com/spreadsheets/d/1Lhp9OU0JdFf_VYSMzH5lBcEaU4o8teT1piV-SNzShjg/edit?gid=554141278#gid=554141278"", ""'Char Def. - Attributes'!C20:C2242""), 1,false)"),"ALT_NUM_UOM4")</f>
        <v>ALT_NUM_UOM4</v>
      </c>
      <c r="I11760" s="136"/>
      <c r="R11760" s="63" t="str">
        <f t="shared" si="60"/>
        <v>ZSI1_PAINT_FINISHALT_NUM_UOM4</v>
      </c>
    </row>
    <row r="11761" ht="15.75" customHeight="1">
      <c r="B11761" s="63">
        <f t="shared" si="1"/>
        <v>17</v>
      </c>
      <c r="C11761" s="135" t="s">
        <v>501</v>
      </c>
      <c r="D11761" s="161" t="s">
        <v>74</v>
      </c>
      <c r="E11761" s="135">
        <f t="shared" si="62"/>
        <v>28</v>
      </c>
      <c r="F11761" s="134" t="s">
        <v>3816</v>
      </c>
      <c r="G11761" s="63" t="str">
        <f>VLOOKUP(C11761, 'Class Def. - General Data'!$C$20:$C$1000,1,false)</f>
        <v>ZSI1_PAINT_FINISH</v>
      </c>
      <c r="H11761" s="63" t="str">
        <f>IFERROR(__xludf.DUMMYFUNCTION("VLOOKUP(F11761, IMPORTRANGE(""https://docs.google.com/spreadsheets/d/1Lhp9OU0JdFf_VYSMzH5lBcEaU4o8teT1piV-SNzShjg/edit?gid=554141278#gid=554141278"", ""'Char Def. - Attributes'!C20:C2242""), 1,false)"),"ALT_UOM5_SIPI")</f>
        <v>ALT_UOM5_SIPI</v>
      </c>
      <c r="I11761" s="136"/>
      <c r="R11761" s="63" t="str">
        <f t="shared" si="60"/>
        <v>ZSI1_PAINT_FINISHALT_UOM5_SIPI</v>
      </c>
    </row>
    <row r="11762" ht="15.75" customHeight="1">
      <c r="B11762" s="63">
        <f t="shared" si="1"/>
        <v>17</v>
      </c>
      <c r="C11762" s="135" t="s">
        <v>501</v>
      </c>
      <c r="D11762" s="161" t="s">
        <v>74</v>
      </c>
      <c r="E11762" s="135">
        <f t="shared" si="62"/>
        <v>29</v>
      </c>
      <c r="F11762" s="134" t="s">
        <v>3817</v>
      </c>
      <c r="G11762" s="63" t="str">
        <f>VLOOKUP(C11762, 'Class Def. - General Data'!$C$20:$C$1000,1,false)</f>
        <v>ZSI1_PAINT_FINISH</v>
      </c>
      <c r="H11762" s="63" t="str">
        <f>IFERROR(__xludf.DUMMYFUNCTION("VLOOKUP(F11762, IMPORTRANGE(""https://docs.google.com/spreadsheets/d/1Lhp9OU0JdFf_VYSMzH5lBcEaU4o8teT1piV-SNzShjg/edit?gid=554141278#gid=554141278"", ""'Char Def. - Attributes'!C20:C2242""), 1,false)"),"ALT_DENUM_UOM5")</f>
        <v>ALT_DENUM_UOM5</v>
      </c>
      <c r="I11762" s="136"/>
      <c r="R11762" s="63" t="str">
        <f t="shared" si="60"/>
        <v>ZSI1_PAINT_FINISHALT_DENUM_UOM5</v>
      </c>
    </row>
    <row r="11763" ht="15.75" customHeight="1">
      <c r="B11763" s="63">
        <f t="shared" si="1"/>
        <v>17</v>
      </c>
      <c r="C11763" s="135" t="s">
        <v>501</v>
      </c>
      <c r="D11763" s="161" t="s">
        <v>74</v>
      </c>
      <c r="E11763" s="135">
        <f t="shared" si="62"/>
        <v>30</v>
      </c>
      <c r="F11763" s="134" t="s">
        <v>3818</v>
      </c>
      <c r="G11763" s="63" t="str">
        <f>VLOOKUP(C11763, 'Class Def. - General Data'!$C$20:$C$1000,1,false)</f>
        <v>ZSI1_PAINT_FINISH</v>
      </c>
      <c r="H11763" s="63" t="str">
        <f>IFERROR(__xludf.DUMMYFUNCTION("VLOOKUP(F11763, IMPORTRANGE(""https://docs.google.com/spreadsheets/d/1Lhp9OU0JdFf_VYSMzH5lBcEaU4o8teT1piV-SNzShjg/edit?gid=554141278#gid=554141278"", ""'Char Def. - Attributes'!C20:C2242""), 1,false)"),"ALT_NUM_UOM5")</f>
        <v>ALT_NUM_UOM5</v>
      </c>
      <c r="I11763" s="136"/>
      <c r="R11763" s="63" t="str">
        <f t="shared" si="60"/>
        <v>ZSI1_PAINT_FINISHALT_NUM_UOM5</v>
      </c>
    </row>
    <row r="11764" ht="15.75" customHeight="1">
      <c r="B11764" s="63">
        <f t="shared" si="1"/>
        <v>12</v>
      </c>
      <c r="C11764" s="135" t="s">
        <v>433</v>
      </c>
      <c r="D11764" s="161" t="s">
        <v>74</v>
      </c>
      <c r="E11764" s="135">
        <f t="shared" si="62"/>
        <v>1</v>
      </c>
      <c r="F11764" s="134" t="s">
        <v>5017</v>
      </c>
      <c r="G11764" s="63" t="str">
        <f>VLOOKUP(C11764, 'Class Def. - General Data'!$C$20:$C$1000,1,false)</f>
        <v>ZSI1_PALLETS</v>
      </c>
      <c r="H11764" s="63" t="str">
        <f>IFERROR(__xludf.DUMMYFUNCTION("VLOOKUP(F11764, IMPORTRANGE(""https://docs.google.com/spreadsheets/d/1Lhp9OU0JdFf_VYSMzH5lBcEaU4o8teT1piV-SNzShjg/edit?gid=554141278#gid=554141278"", ""'Char Def. - Attributes'!C20:C2242""), 1,false)"),"ITEM_NAME_PALLETS")</f>
        <v>ITEM_NAME_PALLETS</v>
      </c>
      <c r="I11764" s="136"/>
      <c r="R11764" s="63" t="str">
        <f t="shared" si="60"/>
        <v>ZSI1_PALLETSITEM_NAME_PALLETS</v>
      </c>
    </row>
    <row r="11765" ht="15.75" customHeight="1">
      <c r="B11765" s="63">
        <f t="shared" si="1"/>
        <v>12</v>
      </c>
      <c r="C11765" s="135" t="s">
        <v>433</v>
      </c>
      <c r="D11765" s="161" t="s">
        <v>74</v>
      </c>
      <c r="E11765" s="135">
        <f t="shared" si="62"/>
        <v>2</v>
      </c>
      <c r="F11765" s="134" t="s">
        <v>5018</v>
      </c>
      <c r="G11765" s="63" t="str">
        <f>VLOOKUP(C11765, 'Class Def. - General Data'!$C$20:$C$1000,1,false)</f>
        <v>ZSI1_PALLETS</v>
      </c>
      <c r="H11765" s="63" t="str">
        <f>IFERROR(__xludf.DUMMYFUNCTION("VLOOKUP(F11765, IMPORTRANGE(""https://docs.google.com/spreadsheets/d/1Lhp9OU0JdFf_VYSMzH5lBcEaU4o8teT1piV-SNzShjg/edit?gid=554141278#gid=554141278"", ""'Char Def. - Attributes'!C20:C2242""), 1,false)"),"MATERIAL_PALLETS")</f>
        <v>MATERIAL_PALLETS</v>
      </c>
      <c r="I11765" s="136"/>
      <c r="R11765" s="63" t="str">
        <f t="shared" si="60"/>
        <v>ZSI1_PALLETSMATERIAL_PALLETS</v>
      </c>
    </row>
    <row r="11766" ht="15.75" customHeight="1">
      <c r="B11766" s="63">
        <f t="shared" si="1"/>
        <v>12</v>
      </c>
      <c r="C11766" s="135" t="s">
        <v>433</v>
      </c>
      <c r="D11766" s="161" t="s">
        <v>74</v>
      </c>
      <c r="E11766" s="135">
        <f t="shared" si="62"/>
        <v>3</v>
      </c>
      <c r="F11766" s="134" t="s">
        <v>5019</v>
      </c>
      <c r="G11766" s="63" t="str">
        <f>VLOOKUP(C11766, 'Class Def. - General Data'!$C$20:$C$1000,1,false)</f>
        <v>ZSI1_PALLETS</v>
      </c>
      <c r="H11766" s="63" t="str">
        <f>IFERROR(__xludf.DUMMYFUNCTION("VLOOKUP(F11766, IMPORTRANGE(""https://docs.google.com/spreadsheets/d/1Lhp9OU0JdFf_VYSMzH5lBcEaU4o8teT1piV-SNzShjg/edit?gid=554141278#gid=554141278"", ""'Char Def. - Attributes'!C20:C2242""), 1,false)"),"ITEM_DETAILED_TYPE_PALLETS")</f>
        <v>ITEM_DETAILED_TYPE_PALLETS</v>
      </c>
      <c r="I11766" s="136"/>
      <c r="R11766" s="63" t="str">
        <f t="shared" si="60"/>
        <v>ZSI1_PALLETSITEM_DETAILED_TYPE_PALLETS</v>
      </c>
    </row>
    <row r="11767" ht="15.75" customHeight="1">
      <c r="B11767" s="63">
        <f t="shared" si="1"/>
        <v>12</v>
      </c>
      <c r="C11767" s="135" t="s">
        <v>433</v>
      </c>
      <c r="D11767" s="161" t="s">
        <v>74</v>
      </c>
      <c r="E11767" s="135">
        <f t="shared" si="62"/>
        <v>4</v>
      </c>
      <c r="F11767" s="134" t="s">
        <v>5020</v>
      </c>
      <c r="G11767" s="63" t="str">
        <f>VLOOKUP(C11767, 'Class Def. - General Data'!$C$20:$C$1000,1,false)</f>
        <v>ZSI1_PALLETS</v>
      </c>
      <c r="H11767" s="63" t="str">
        <f>IFERROR(__xludf.DUMMYFUNCTION("VLOOKUP(F11767, IMPORTRANGE(""https://docs.google.com/spreadsheets/d/1Lhp9OU0JdFf_VYSMzH5lBcEaU4o8teT1piV-SNzShjg/edit?gid=554141278#gid=554141278"", ""'Char Def. - Attributes'!C20:C2242""), 1,false)"),"LENGTH_MM_PALLETS")</f>
        <v>LENGTH_MM_PALLETS</v>
      </c>
      <c r="I11767" s="136"/>
      <c r="R11767" s="63" t="str">
        <f t="shared" si="60"/>
        <v>ZSI1_PALLETSLENGTH_MM_PALLETS</v>
      </c>
    </row>
    <row r="11768" ht="15.75" customHeight="1">
      <c r="B11768" s="63">
        <f t="shared" si="1"/>
        <v>12</v>
      </c>
      <c r="C11768" s="135" t="s">
        <v>433</v>
      </c>
      <c r="D11768" s="161" t="s">
        <v>74</v>
      </c>
      <c r="E11768" s="135">
        <f t="shared" si="62"/>
        <v>5</v>
      </c>
      <c r="F11768" s="134" t="s">
        <v>5021</v>
      </c>
      <c r="G11768" s="63" t="str">
        <f>VLOOKUP(C11768, 'Class Def. - General Data'!$C$20:$C$1000,1,false)</f>
        <v>ZSI1_PALLETS</v>
      </c>
      <c r="H11768" s="63" t="str">
        <f>IFERROR(__xludf.DUMMYFUNCTION("VLOOKUP(F11768, IMPORTRANGE(""https://docs.google.com/spreadsheets/d/1Lhp9OU0JdFf_VYSMzH5lBcEaU4o8teT1piV-SNzShjg/edit?gid=554141278#gid=554141278"", ""'Char Def. - Attributes'!C20:C2242""), 1,false)"),"WIDTH_MM_PALLETS")</f>
        <v>WIDTH_MM_PALLETS</v>
      </c>
      <c r="I11768" s="136"/>
      <c r="R11768" s="63" t="str">
        <f t="shared" si="60"/>
        <v>ZSI1_PALLETSWIDTH_MM_PALLETS</v>
      </c>
    </row>
    <row r="11769" ht="15.75" customHeight="1">
      <c r="B11769" s="63">
        <f t="shared" si="1"/>
        <v>12</v>
      </c>
      <c r="C11769" s="135" t="s">
        <v>433</v>
      </c>
      <c r="D11769" s="161" t="s">
        <v>74</v>
      </c>
      <c r="E11769" s="135">
        <f t="shared" si="62"/>
        <v>6</v>
      </c>
      <c r="F11769" s="134" t="s">
        <v>5022</v>
      </c>
      <c r="G11769" s="63" t="str">
        <f>VLOOKUP(C11769, 'Class Def. - General Data'!$C$20:$C$1000,1,false)</f>
        <v>ZSI1_PALLETS</v>
      </c>
      <c r="H11769" s="63" t="str">
        <f>IFERROR(__xludf.DUMMYFUNCTION("VLOOKUP(F11769, IMPORTRANGE(""https://docs.google.com/spreadsheets/d/1Lhp9OU0JdFf_VYSMzH5lBcEaU4o8teT1piV-SNzShjg/edit?gid=554141278#gid=554141278"", ""'Char Def. - Attributes'!C20:C2242""), 1,false)"),"HEIGHT_MM_PALLETS")</f>
        <v>HEIGHT_MM_PALLETS</v>
      </c>
      <c r="I11769" s="136"/>
      <c r="R11769" s="63" t="str">
        <f t="shared" si="60"/>
        <v>ZSI1_PALLETSHEIGHT_MM_PALLETS</v>
      </c>
    </row>
    <row r="11770" ht="15.75" customHeight="1">
      <c r="B11770" s="63">
        <f t="shared" si="1"/>
        <v>12</v>
      </c>
      <c r="C11770" s="135" t="s">
        <v>433</v>
      </c>
      <c r="D11770" s="161" t="s">
        <v>74</v>
      </c>
      <c r="E11770" s="135">
        <f t="shared" si="62"/>
        <v>7</v>
      </c>
      <c r="F11770" s="134" t="s">
        <v>4062</v>
      </c>
      <c r="G11770" s="63" t="str">
        <f>VLOOKUP(C11770, 'Class Def. - General Data'!$C$20:$C$1000,1,false)</f>
        <v>ZSI1_PALLETS</v>
      </c>
      <c r="H11770" s="63" t="str">
        <f>IFERROR(__xludf.DUMMYFUNCTION("VLOOKUP(F11770, IMPORTRANGE(""https://docs.google.com/spreadsheets/d/1Lhp9OU0JdFf_VYSMzH5lBcEaU4o8teT1piV-SNzShjg/edit?gid=554141278#gid=554141278"", ""'Char Def. - Attributes'!C20:C2242""), 1,false)"),"#N/A")</f>
        <v>#N/A</v>
      </c>
      <c r="I11770" s="136"/>
      <c r="R11770" s="63" t="str">
        <f t="shared" si="60"/>
        <v>ZSI1_PALLETSADDTIONAL_SPECIFICATION</v>
      </c>
    </row>
    <row r="11771" ht="15.75" customHeight="1">
      <c r="B11771" s="63">
        <f t="shared" si="1"/>
        <v>12</v>
      </c>
      <c r="C11771" s="135" t="s">
        <v>433</v>
      </c>
      <c r="D11771" s="161" t="s">
        <v>74</v>
      </c>
      <c r="E11771" s="135">
        <f t="shared" si="62"/>
        <v>8</v>
      </c>
      <c r="F11771" s="134" t="s">
        <v>4053</v>
      </c>
      <c r="G11771" s="63" t="str">
        <f>VLOOKUP(C11771, 'Class Def. - General Data'!$C$20:$C$1000,1,false)</f>
        <v>ZSI1_PALLETS</v>
      </c>
      <c r="H11771" s="63" t="str">
        <f>IFERROR(__xludf.DUMMYFUNCTION("VLOOKUP(F11771, IMPORTRANGE(""https://docs.google.com/spreadsheets/d/1Lhp9OU0JdFf_VYSMzH5lBcEaU4o8teT1piV-SNzShjg/edit?gid=554141278#gid=554141278"", ""'Char Def. - Attributes'!C20:C2242""), 1,false)"),"MAINTENANCE_ORDER_TYPE")</f>
        <v>MAINTENANCE_ORDER_TYPE</v>
      </c>
      <c r="I11771" s="136"/>
      <c r="R11771" s="63" t="str">
        <f t="shared" si="60"/>
        <v>ZSI1_PALLETSMAINTENANCE_ORDER_TYPE</v>
      </c>
    </row>
    <row r="11772" ht="15.75" customHeight="1">
      <c r="B11772" s="63">
        <f t="shared" si="1"/>
        <v>12</v>
      </c>
      <c r="C11772" s="135" t="s">
        <v>433</v>
      </c>
      <c r="D11772" s="161" t="s">
        <v>74</v>
      </c>
      <c r="E11772" s="135">
        <f t="shared" si="62"/>
        <v>9</v>
      </c>
      <c r="F11772" s="134" t="s">
        <v>3865</v>
      </c>
      <c r="G11772" s="63" t="str">
        <f>VLOOKUP(C11772, 'Class Def. - General Data'!$C$20:$C$1000,1,false)</f>
        <v>ZSI1_PALLETS</v>
      </c>
      <c r="H11772" s="63" t="str">
        <f>IFERROR(__xludf.DUMMYFUNCTION("VLOOKUP(F11772, IMPORTRANGE(""https://docs.google.com/spreadsheets/d/1Lhp9OU0JdFf_VYSMzH5lBcEaU4o8teT1piV-SNzShjg/edit?gid=554141278#gid=554141278"", ""'Char Def. - Attributes'!C20:C2242""), 1,false)"),"PLANT_PROD_OPT")</f>
        <v>PLANT_PROD_OPT</v>
      </c>
      <c r="I11772" s="136"/>
      <c r="R11772" s="63" t="str">
        <f t="shared" si="60"/>
        <v>ZSI1_PALLETSPLANT_PROD_OPT</v>
      </c>
    </row>
    <row r="11773" ht="15.75" customHeight="1">
      <c r="B11773" s="63">
        <f t="shared" si="1"/>
        <v>12</v>
      </c>
      <c r="C11773" s="135" t="s">
        <v>433</v>
      </c>
      <c r="D11773" s="161" t="s">
        <v>74</v>
      </c>
      <c r="E11773" s="135">
        <f t="shared" si="62"/>
        <v>10</v>
      </c>
      <c r="F11773" s="134" t="s">
        <v>3585</v>
      </c>
      <c r="G11773" s="63" t="str">
        <f>VLOOKUP(C11773, 'Class Def. - General Data'!$C$20:$C$1000,1,false)</f>
        <v>ZSI1_PALLETS</v>
      </c>
      <c r="H11773" s="63" t="str">
        <f>IFERROR(__xludf.DUMMYFUNCTION("VLOOKUP(F11773, IMPORTRANGE(""https://docs.google.com/spreadsheets/d/1Lhp9OU0JdFf_VYSMzH5lBcEaU4o8teT1piV-SNzShjg/edit?gid=554141278#gid=554141278"", ""'Char Def. - Attributes'!C20:C2242""), 1,false)"),"HS_CODE")</f>
        <v>HS_CODE</v>
      </c>
      <c r="I11773" s="136"/>
      <c r="R11773" s="63" t="str">
        <f t="shared" si="60"/>
        <v>ZSI1_PALLETSHS_CODE</v>
      </c>
    </row>
    <row r="11774" ht="15.75" customHeight="1">
      <c r="B11774" s="63">
        <f t="shared" si="1"/>
        <v>12</v>
      </c>
      <c r="C11774" s="135" t="s">
        <v>433</v>
      </c>
      <c r="D11774" s="161" t="s">
        <v>74</v>
      </c>
      <c r="E11774" s="135">
        <f t="shared" si="62"/>
        <v>11</v>
      </c>
      <c r="F11774" s="134" t="s">
        <v>3911</v>
      </c>
      <c r="G11774" s="63" t="str">
        <f>VLOOKUP(C11774, 'Class Def. - General Data'!$C$20:$C$1000,1,false)</f>
        <v>ZSI1_PALLETS</v>
      </c>
      <c r="H11774" s="63" t="str">
        <f>IFERROR(__xludf.DUMMYFUNCTION("VLOOKUP(F11774, IMPORTRANGE(""https://docs.google.com/spreadsheets/d/1Lhp9OU0JdFf_VYSMzH5lBcEaU4o8teT1piV-SNzShjg/edit?gid=554141278#gid=554141278"", ""'Char Def. - Attributes'!C20:C2242""), 1,false)"),"PLANT_BUY_OPT")</f>
        <v>PLANT_BUY_OPT</v>
      </c>
      <c r="I11774" s="136"/>
      <c r="R11774" s="63" t="str">
        <f t="shared" si="60"/>
        <v>ZSI1_PALLETSPLANT_BUY_OPT</v>
      </c>
    </row>
    <row r="11775" ht="15.75" customHeight="1">
      <c r="B11775" s="63">
        <f t="shared" si="1"/>
        <v>12</v>
      </c>
      <c r="C11775" s="135" t="s">
        <v>433</v>
      </c>
      <c r="D11775" s="161" t="s">
        <v>74</v>
      </c>
      <c r="E11775" s="135">
        <f t="shared" si="62"/>
        <v>12</v>
      </c>
      <c r="F11775" s="134" t="s">
        <v>5023</v>
      </c>
      <c r="G11775" s="63" t="str">
        <f>VLOOKUP(C11775, 'Class Def. - General Data'!$C$20:$C$1000,1,false)</f>
        <v>ZSI1_PALLETS</v>
      </c>
      <c r="H11775" s="63" t="str">
        <f>IFERROR(__xludf.DUMMYFUNCTION("VLOOKUP(F11775, IMPORTRANGE(""https://docs.google.com/spreadsheets/d/1Lhp9OU0JdFf_VYSMzH5lBcEaU4o8teT1piV-SNzShjg/edit?gid=554141278#gid=554141278"", ""'Char Def. - Attributes'!C20:C2242""), 1,false)"),"BASE_UOM_PALLETS")</f>
        <v>BASE_UOM_PALLETS</v>
      </c>
      <c r="I11775" s="136"/>
      <c r="R11775" s="63" t="str">
        <f t="shared" si="60"/>
        <v>ZSI1_PALLETSBASE_UOM_PALLETS</v>
      </c>
    </row>
    <row r="11776" ht="15.75" customHeight="1">
      <c r="B11776" s="63">
        <f t="shared" si="1"/>
        <v>12</v>
      </c>
      <c r="C11776" s="135" t="s">
        <v>433</v>
      </c>
      <c r="D11776" s="161" t="s">
        <v>74</v>
      </c>
      <c r="E11776" s="135">
        <f t="shared" si="62"/>
        <v>13</v>
      </c>
      <c r="F11776" s="134" t="s">
        <v>5024</v>
      </c>
      <c r="G11776" s="63" t="str">
        <f>VLOOKUP(C11776, 'Class Def. - General Data'!$C$20:$C$1000,1,false)</f>
        <v>ZSI1_PALLETS</v>
      </c>
      <c r="H11776" s="63" t="str">
        <f>IFERROR(__xludf.DUMMYFUNCTION("VLOOKUP(F11776, IMPORTRANGE(""https://docs.google.com/spreadsheets/d/1Lhp9OU0JdFf_VYSMzH5lBcEaU4o8teT1piV-SNzShjg/edit?gid=554141278#gid=554141278"", ""'Char Def. - Attributes'!C20:C2242""), 1,false)"),"ORDER_UNIT_PALLETS")</f>
        <v>ORDER_UNIT_PALLETS</v>
      </c>
      <c r="I11776" s="136"/>
      <c r="R11776" s="63" t="str">
        <f t="shared" si="60"/>
        <v>ZSI1_PALLETSORDER_UNIT_PALLETS</v>
      </c>
    </row>
    <row r="11777" ht="15.75" customHeight="1">
      <c r="B11777" s="63">
        <f t="shared" si="1"/>
        <v>12</v>
      </c>
      <c r="C11777" s="135" t="s">
        <v>433</v>
      </c>
      <c r="D11777" s="161" t="s">
        <v>74</v>
      </c>
      <c r="E11777" s="135">
        <f t="shared" si="62"/>
        <v>14</v>
      </c>
      <c r="F11777" s="134" t="s">
        <v>4056</v>
      </c>
      <c r="G11777" s="63" t="str">
        <f>VLOOKUP(C11777, 'Class Def. - General Data'!$C$20:$C$1000,1,false)</f>
        <v>ZSI1_PALLETS</v>
      </c>
      <c r="H11777" s="63" t="str">
        <f>IFERROR(__xludf.DUMMYFUNCTION("VLOOKUP(F11777, IMPORTRANGE(""https://docs.google.com/spreadsheets/d/1Lhp9OU0JdFf_VYSMzH5lBcEaU4o8teT1piV-SNzShjg/edit?gid=554141278#gid=554141278"", ""'Char Def. - Attributes'!C20:C2242""), 1,false)"),"GROSS_WEIGHT_OPT")</f>
        <v>GROSS_WEIGHT_OPT</v>
      </c>
      <c r="I11777" s="136"/>
      <c r="R11777" s="63" t="str">
        <f t="shared" si="60"/>
        <v>ZSI1_PALLETSGROSS_WEIGHT_OPT</v>
      </c>
    </row>
    <row r="11778" ht="15.75" customHeight="1">
      <c r="B11778" s="63">
        <f t="shared" si="1"/>
        <v>12</v>
      </c>
      <c r="C11778" s="135" t="s">
        <v>433</v>
      </c>
      <c r="D11778" s="161" t="s">
        <v>74</v>
      </c>
      <c r="E11778" s="135">
        <f t="shared" si="62"/>
        <v>15</v>
      </c>
      <c r="F11778" s="134" t="s">
        <v>4057</v>
      </c>
      <c r="G11778" s="63" t="str">
        <f>VLOOKUP(C11778, 'Class Def. - General Data'!$C$20:$C$1000,1,false)</f>
        <v>ZSI1_PALLETS</v>
      </c>
      <c r="H11778" s="63" t="str">
        <f>IFERROR(__xludf.DUMMYFUNCTION("VLOOKUP(F11778, IMPORTRANGE(""https://docs.google.com/spreadsheets/d/1Lhp9OU0JdFf_VYSMzH5lBcEaU4o8teT1piV-SNzShjg/edit?gid=554141278#gid=554141278"", ""'Char Def. - Attributes'!C20:C2242""), 1,false)"),"NET_WEIGHT_OPT")</f>
        <v>NET_WEIGHT_OPT</v>
      </c>
      <c r="I11778" s="136"/>
      <c r="R11778" s="63" t="str">
        <f t="shared" si="60"/>
        <v>ZSI1_PALLETSNET_WEIGHT_OPT</v>
      </c>
    </row>
    <row r="11779" ht="15.75" customHeight="1">
      <c r="B11779" s="63">
        <f t="shared" si="1"/>
        <v>12</v>
      </c>
      <c r="C11779" s="135" t="s">
        <v>433</v>
      </c>
      <c r="D11779" s="161" t="s">
        <v>74</v>
      </c>
      <c r="E11779" s="135">
        <f t="shared" si="62"/>
        <v>16</v>
      </c>
      <c r="F11779" s="134" t="s">
        <v>4058</v>
      </c>
      <c r="G11779" s="63" t="str">
        <f>VLOOKUP(C11779, 'Class Def. - General Data'!$C$20:$C$1000,1,false)</f>
        <v>ZSI1_PALLETS</v>
      </c>
      <c r="H11779" s="63" t="str">
        <f>IFERROR(__xludf.DUMMYFUNCTION("VLOOKUP(F11779, IMPORTRANGE(""https://docs.google.com/spreadsheets/d/1Lhp9OU0JdFf_VYSMzH5lBcEaU4o8teT1piV-SNzShjg/edit?gid=554141278#gid=554141278"", ""'Char Def. - Attributes'!C20:C2242""), 1,false)"),"WEIGHT_UNIT_SI")</f>
        <v>WEIGHT_UNIT_SI</v>
      </c>
      <c r="I11779" s="136"/>
      <c r="R11779" s="63" t="str">
        <f t="shared" si="60"/>
        <v>ZSI1_PALLETSWEIGHT_UNIT_SI</v>
      </c>
    </row>
    <row r="11780" ht="15.75" customHeight="1">
      <c r="B11780" s="63">
        <f t="shared" si="1"/>
        <v>12</v>
      </c>
      <c r="C11780" s="135" t="s">
        <v>433</v>
      </c>
      <c r="D11780" s="161" t="s">
        <v>74</v>
      </c>
      <c r="E11780" s="135">
        <f t="shared" si="62"/>
        <v>17</v>
      </c>
      <c r="F11780" s="134" t="s">
        <v>3877</v>
      </c>
      <c r="G11780" s="63" t="str">
        <f>VLOOKUP(C11780, 'Class Def. - General Data'!$C$20:$C$1000,1,false)</f>
        <v>ZSI1_PALLETS</v>
      </c>
      <c r="H11780" s="63" t="str">
        <f>IFERROR(__xludf.DUMMYFUNCTION("VLOOKUP(F11780, IMPORTRANGE(""https://docs.google.com/spreadsheets/d/1Lhp9OU0JdFf_VYSMzH5lBcEaU4o8teT1piV-SNzShjg/edit?gid=554141278#gid=554141278"", ""'Char Def. - Attributes'!C20:C2242""), 1,false)"),"VOLUME_OPT")</f>
        <v>VOLUME_OPT</v>
      </c>
      <c r="I11780" s="136"/>
      <c r="R11780" s="63" t="str">
        <f t="shared" si="60"/>
        <v>ZSI1_PALLETSVOLUME_OPT</v>
      </c>
    </row>
    <row r="11781" ht="15.75" customHeight="1">
      <c r="B11781" s="63">
        <f t="shared" si="1"/>
        <v>12</v>
      </c>
      <c r="C11781" s="135" t="s">
        <v>433</v>
      </c>
      <c r="D11781" s="161" t="s">
        <v>74</v>
      </c>
      <c r="E11781" s="135">
        <f t="shared" si="62"/>
        <v>18</v>
      </c>
      <c r="F11781" s="134" t="s">
        <v>4059</v>
      </c>
      <c r="G11781" s="63" t="str">
        <f>VLOOKUP(C11781, 'Class Def. - General Data'!$C$20:$C$1000,1,false)</f>
        <v>ZSI1_PALLETS</v>
      </c>
      <c r="H11781" s="63" t="str">
        <f>IFERROR(__xludf.DUMMYFUNCTION("VLOOKUP(F11781, IMPORTRANGE(""https://docs.google.com/spreadsheets/d/1Lhp9OU0JdFf_VYSMzH5lBcEaU4o8teT1piV-SNzShjg/edit?gid=554141278#gid=554141278"", ""'Char Def. - Attributes'!C20:C2242""), 1,false)"),"VOLUME_UNIT_SI")</f>
        <v>VOLUME_UNIT_SI</v>
      </c>
      <c r="I11781" s="136"/>
      <c r="R11781" s="63" t="str">
        <f t="shared" si="60"/>
        <v>ZSI1_PALLETSVOLUME_UNIT_SI</v>
      </c>
    </row>
    <row r="11782" ht="15.75" customHeight="1">
      <c r="B11782" s="63">
        <f t="shared" si="1"/>
        <v>12</v>
      </c>
      <c r="C11782" s="135" t="s">
        <v>433</v>
      </c>
      <c r="D11782" s="161" t="s">
        <v>74</v>
      </c>
      <c r="E11782" s="135">
        <f t="shared" si="62"/>
        <v>19</v>
      </c>
      <c r="F11782" s="134" t="s">
        <v>3804</v>
      </c>
      <c r="G11782" s="63" t="str">
        <f>VLOOKUP(C11782, 'Class Def. - General Data'!$C$20:$C$1000,1,false)</f>
        <v>ZSI1_PALLETS</v>
      </c>
      <c r="H11782" s="63" t="str">
        <f>IFERROR(__xludf.DUMMYFUNCTION("VLOOKUP(F11782, IMPORTRANGE(""https://docs.google.com/spreadsheets/d/1Lhp9OU0JdFf_VYSMzH5lBcEaU4o8teT1piV-SNzShjg/edit?gid=554141278#gid=554141278"", ""'Char Def. - Attributes'!C20:C2242""), 1,false)"),"ALT_UOM1_SIPI")</f>
        <v>ALT_UOM1_SIPI</v>
      </c>
      <c r="I11782" s="136"/>
      <c r="R11782" s="63" t="str">
        <f t="shared" si="60"/>
        <v>ZSI1_PALLETSALT_UOM1_SIPI</v>
      </c>
    </row>
    <row r="11783" ht="15.75" customHeight="1">
      <c r="B11783" s="63">
        <f t="shared" si="1"/>
        <v>12</v>
      </c>
      <c r="C11783" s="135" t="s">
        <v>433</v>
      </c>
      <c r="D11783" s="161" t="s">
        <v>74</v>
      </c>
      <c r="E11783" s="135">
        <f t="shared" si="62"/>
        <v>20</v>
      </c>
      <c r="F11783" s="134" t="s">
        <v>3805</v>
      </c>
      <c r="G11783" s="63" t="str">
        <f>VLOOKUP(C11783, 'Class Def. - General Data'!$C$20:$C$1000,1,false)</f>
        <v>ZSI1_PALLETS</v>
      </c>
      <c r="H11783" s="63" t="str">
        <f>IFERROR(__xludf.DUMMYFUNCTION("VLOOKUP(F11783, IMPORTRANGE(""https://docs.google.com/spreadsheets/d/1Lhp9OU0JdFf_VYSMzH5lBcEaU4o8teT1piV-SNzShjg/edit?gid=554141278#gid=554141278"", ""'Char Def. - Attributes'!C20:C2242""), 1,false)"),"ALT_DENUM_UOM1")</f>
        <v>ALT_DENUM_UOM1</v>
      </c>
      <c r="I11783" s="136"/>
      <c r="R11783" s="63" t="str">
        <f t="shared" si="60"/>
        <v>ZSI1_PALLETSALT_DENUM_UOM1</v>
      </c>
    </row>
    <row r="11784" ht="15.75" customHeight="1">
      <c r="B11784" s="63">
        <f t="shared" si="1"/>
        <v>12</v>
      </c>
      <c r="C11784" s="135" t="s">
        <v>433</v>
      </c>
      <c r="D11784" s="161" t="s">
        <v>74</v>
      </c>
      <c r="E11784" s="135">
        <f t="shared" si="62"/>
        <v>21</v>
      </c>
      <c r="F11784" s="134" t="s">
        <v>3806</v>
      </c>
      <c r="G11784" s="63" t="str">
        <f>VLOOKUP(C11784, 'Class Def. - General Data'!$C$20:$C$1000,1,false)</f>
        <v>ZSI1_PALLETS</v>
      </c>
      <c r="H11784" s="63" t="str">
        <f>IFERROR(__xludf.DUMMYFUNCTION("VLOOKUP(F11784, IMPORTRANGE(""https://docs.google.com/spreadsheets/d/1Lhp9OU0JdFf_VYSMzH5lBcEaU4o8teT1piV-SNzShjg/edit?gid=554141278#gid=554141278"", ""'Char Def. - Attributes'!C20:C2242""), 1,false)"),"ALT_NUM_UOM1")</f>
        <v>ALT_NUM_UOM1</v>
      </c>
      <c r="I11784" s="136"/>
      <c r="R11784" s="63" t="str">
        <f t="shared" si="60"/>
        <v>ZSI1_PALLETSALT_NUM_UOM1</v>
      </c>
    </row>
    <row r="11785" ht="15.75" customHeight="1">
      <c r="B11785" s="63">
        <f t="shared" si="1"/>
        <v>12</v>
      </c>
      <c r="C11785" s="135" t="s">
        <v>433</v>
      </c>
      <c r="D11785" s="161" t="s">
        <v>74</v>
      </c>
      <c r="E11785" s="135">
        <f t="shared" si="62"/>
        <v>22</v>
      </c>
      <c r="F11785" s="134" t="s">
        <v>3807</v>
      </c>
      <c r="G11785" s="63" t="str">
        <f>VLOOKUP(C11785, 'Class Def. - General Data'!$C$20:$C$1000,1,false)</f>
        <v>ZSI1_PALLETS</v>
      </c>
      <c r="H11785" s="63" t="str">
        <f>IFERROR(__xludf.DUMMYFUNCTION("VLOOKUP(F11785, IMPORTRANGE(""https://docs.google.com/spreadsheets/d/1Lhp9OU0JdFf_VYSMzH5lBcEaU4o8teT1piV-SNzShjg/edit?gid=554141278#gid=554141278"", ""'Char Def. - Attributes'!C20:C2242""), 1,false)"),"ALT_UOM2_SIPI")</f>
        <v>ALT_UOM2_SIPI</v>
      </c>
      <c r="I11785" s="136"/>
      <c r="R11785" s="63" t="str">
        <f t="shared" si="60"/>
        <v>ZSI1_PALLETSALT_UOM2_SIPI</v>
      </c>
    </row>
    <row r="11786" ht="15.75" customHeight="1">
      <c r="B11786" s="63">
        <f t="shared" si="1"/>
        <v>12</v>
      </c>
      <c r="C11786" s="135" t="s">
        <v>433</v>
      </c>
      <c r="D11786" s="161" t="s">
        <v>74</v>
      </c>
      <c r="E11786" s="135">
        <f t="shared" si="62"/>
        <v>23</v>
      </c>
      <c r="F11786" s="134" t="s">
        <v>3808</v>
      </c>
      <c r="G11786" s="63" t="str">
        <f>VLOOKUP(C11786, 'Class Def. - General Data'!$C$20:$C$1000,1,false)</f>
        <v>ZSI1_PALLETS</v>
      </c>
      <c r="H11786" s="63" t="str">
        <f>IFERROR(__xludf.DUMMYFUNCTION("VLOOKUP(F11786, IMPORTRANGE(""https://docs.google.com/spreadsheets/d/1Lhp9OU0JdFf_VYSMzH5lBcEaU4o8teT1piV-SNzShjg/edit?gid=554141278#gid=554141278"", ""'Char Def. - Attributes'!C20:C2242""), 1,false)"),"ALT_DENUM_UOM2")</f>
        <v>ALT_DENUM_UOM2</v>
      </c>
      <c r="I11786" s="136"/>
      <c r="R11786" s="63" t="str">
        <f t="shared" si="60"/>
        <v>ZSI1_PALLETSALT_DENUM_UOM2</v>
      </c>
    </row>
    <row r="11787" ht="15.75" customHeight="1">
      <c r="B11787" s="63">
        <f t="shared" si="1"/>
        <v>12</v>
      </c>
      <c r="C11787" s="135" t="s">
        <v>433</v>
      </c>
      <c r="D11787" s="161" t="s">
        <v>74</v>
      </c>
      <c r="E11787" s="135">
        <f t="shared" si="62"/>
        <v>24</v>
      </c>
      <c r="F11787" s="134" t="s">
        <v>3809</v>
      </c>
      <c r="G11787" s="63" t="str">
        <f>VLOOKUP(C11787, 'Class Def. - General Data'!$C$20:$C$1000,1,false)</f>
        <v>ZSI1_PALLETS</v>
      </c>
      <c r="H11787" s="63" t="str">
        <f>IFERROR(__xludf.DUMMYFUNCTION("VLOOKUP(F11787, IMPORTRANGE(""https://docs.google.com/spreadsheets/d/1Lhp9OU0JdFf_VYSMzH5lBcEaU4o8teT1piV-SNzShjg/edit?gid=554141278#gid=554141278"", ""'Char Def. - Attributes'!C20:C2242""), 1,false)"),"ALT_NUM_UOM2")</f>
        <v>ALT_NUM_UOM2</v>
      </c>
      <c r="I11787" s="136"/>
      <c r="R11787" s="63" t="str">
        <f t="shared" si="60"/>
        <v>ZSI1_PALLETSALT_NUM_UOM2</v>
      </c>
    </row>
    <row r="11788" ht="15.75" customHeight="1">
      <c r="B11788" s="63">
        <f t="shared" si="1"/>
        <v>12</v>
      </c>
      <c r="C11788" s="135" t="s">
        <v>433</v>
      </c>
      <c r="D11788" s="161" t="s">
        <v>74</v>
      </c>
      <c r="E11788" s="135">
        <f t="shared" si="62"/>
        <v>25</v>
      </c>
      <c r="F11788" s="134" t="s">
        <v>3810</v>
      </c>
      <c r="G11788" s="63" t="str">
        <f>VLOOKUP(C11788, 'Class Def. - General Data'!$C$20:$C$1000,1,false)</f>
        <v>ZSI1_PALLETS</v>
      </c>
      <c r="H11788" s="63" t="str">
        <f>IFERROR(__xludf.DUMMYFUNCTION("VLOOKUP(F11788, IMPORTRANGE(""https://docs.google.com/spreadsheets/d/1Lhp9OU0JdFf_VYSMzH5lBcEaU4o8teT1piV-SNzShjg/edit?gid=554141278#gid=554141278"", ""'Char Def. - Attributes'!C20:C2242""), 1,false)"),"ALT_UOM3_SIPI")</f>
        <v>ALT_UOM3_SIPI</v>
      </c>
      <c r="I11788" s="136"/>
      <c r="R11788" s="63" t="str">
        <f t="shared" si="60"/>
        <v>ZSI1_PALLETSALT_UOM3_SIPI</v>
      </c>
    </row>
    <row r="11789" ht="15.75" customHeight="1">
      <c r="B11789" s="63">
        <f t="shared" si="1"/>
        <v>12</v>
      </c>
      <c r="C11789" s="135" t="s">
        <v>433</v>
      </c>
      <c r="D11789" s="161" t="s">
        <v>74</v>
      </c>
      <c r="E11789" s="135">
        <f t="shared" si="62"/>
        <v>26</v>
      </c>
      <c r="F11789" s="134" t="s">
        <v>3811</v>
      </c>
      <c r="G11789" s="63" t="str">
        <f>VLOOKUP(C11789, 'Class Def. - General Data'!$C$20:$C$1000,1,false)</f>
        <v>ZSI1_PALLETS</v>
      </c>
      <c r="H11789" s="63" t="str">
        <f>IFERROR(__xludf.DUMMYFUNCTION("VLOOKUP(F11789, IMPORTRANGE(""https://docs.google.com/spreadsheets/d/1Lhp9OU0JdFf_VYSMzH5lBcEaU4o8teT1piV-SNzShjg/edit?gid=554141278#gid=554141278"", ""'Char Def. - Attributes'!C20:C2242""), 1,false)"),"ALT_DENUM_UOM3")</f>
        <v>ALT_DENUM_UOM3</v>
      </c>
      <c r="I11789" s="136"/>
      <c r="R11789" s="63" t="str">
        <f t="shared" si="60"/>
        <v>ZSI1_PALLETSALT_DENUM_UOM3</v>
      </c>
    </row>
    <row r="11790" ht="15.75" customHeight="1">
      <c r="B11790" s="63">
        <f t="shared" si="1"/>
        <v>12</v>
      </c>
      <c r="C11790" s="135" t="s">
        <v>433</v>
      </c>
      <c r="D11790" s="161" t="s">
        <v>74</v>
      </c>
      <c r="E11790" s="135">
        <f t="shared" si="62"/>
        <v>27</v>
      </c>
      <c r="F11790" s="134" t="s">
        <v>3812</v>
      </c>
      <c r="G11790" s="63" t="str">
        <f>VLOOKUP(C11790, 'Class Def. - General Data'!$C$20:$C$1000,1,false)</f>
        <v>ZSI1_PALLETS</v>
      </c>
      <c r="H11790" s="63" t="str">
        <f>IFERROR(__xludf.DUMMYFUNCTION("VLOOKUP(F11790, IMPORTRANGE(""https://docs.google.com/spreadsheets/d/1Lhp9OU0JdFf_VYSMzH5lBcEaU4o8teT1piV-SNzShjg/edit?gid=554141278#gid=554141278"", ""'Char Def. - Attributes'!C20:C2242""), 1,false)"),"ALT_NUM_UOM3")</f>
        <v>ALT_NUM_UOM3</v>
      </c>
      <c r="I11790" s="136"/>
      <c r="R11790" s="63" t="str">
        <f t="shared" si="60"/>
        <v>ZSI1_PALLETSALT_NUM_UOM3</v>
      </c>
    </row>
    <row r="11791" ht="15.75" customHeight="1">
      <c r="B11791" s="63">
        <f t="shared" si="1"/>
        <v>12</v>
      </c>
      <c r="C11791" s="135" t="s">
        <v>433</v>
      </c>
      <c r="D11791" s="161" t="s">
        <v>74</v>
      </c>
      <c r="E11791" s="135">
        <f t="shared" si="62"/>
        <v>28</v>
      </c>
      <c r="F11791" s="134" t="s">
        <v>3813</v>
      </c>
      <c r="G11791" s="63" t="str">
        <f>VLOOKUP(C11791, 'Class Def. - General Data'!$C$20:$C$1000,1,false)</f>
        <v>ZSI1_PALLETS</v>
      </c>
      <c r="H11791" s="63" t="str">
        <f>IFERROR(__xludf.DUMMYFUNCTION("VLOOKUP(F11791, IMPORTRANGE(""https://docs.google.com/spreadsheets/d/1Lhp9OU0JdFf_VYSMzH5lBcEaU4o8teT1piV-SNzShjg/edit?gid=554141278#gid=554141278"", ""'Char Def. - Attributes'!C20:C2242""), 1,false)"),"ALT_UOM4_SIPI")</f>
        <v>ALT_UOM4_SIPI</v>
      </c>
      <c r="I11791" s="136"/>
      <c r="R11791" s="63" t="str">
        <f t="shared" si="60"/>
        <v>ZSI1_PALLETSALT_UOM4_SIPI</v>
      </c>
    </row>
    <row r="11792" ht="15.75" customHeight="1">
      <c r="B11792" s="63">
        <f t="shared" si="1"/>
        <v>12</v>
      </c>
      <c r="C11792" s="135" t="s">
        <v>433</v>
      </c>
      <c r="D11792" s="161" t="s">
        <v>74</v>
      </c>
      <c r="E11792" s="135">
        <f t="shared" si="62"/>
        <v>29</v>
      </c>
      <c r="F11792" s="134" t="s">
        <v>3814</v>
      </c>
      <c r="G11792" s="63" t="str">
        <f>VLOOKUP(C11792, 'Class Def. - General Data'!$C$20:$C$1000,1,false)</f>
        <v>ZSI1_PALLETS</v>
      </c>
      <c r="H11792" s="63" t="str">
        <f>IFERROR(__xludf.DUMMYFUNCTION("VLOOKUP(F11792, IMPORTRANGE(""https://docs.google.com/spreadsheets/d/1Lhp9OU0JdFf_VYSMzH5lBcEaU4o8teT1piV-SNzShjg/edit?gid=554141278#gid=554141278"", ""'Char Def. - Attributes'!C20:C2242""), 1,false)"),"ALT_DENUM_UOM4")</f>
        <v>ALT_DENUM_UOM4</v>
      </c>
      <c r="I11792" s="136"/>
      <c r="R11792" s="63" t="str">
        <f t="shared" si="60"/>
        <v>ZSI1_PALLETSALT_DENUM_UOM4</v>
      </c>
    </row>
    <row r="11793" ht="15.75" customHeight="1">
      <c r="B11793" s="63">
        <f t="shared" si="1"/>
        <v>12</v>
      </c>
      <c r="C11793" s="135" t="s">
        <v>433</v>
      </c>
      <c r="D11793" s="161" t="s">
        <v>74</v>
      </c>
      <c r="E11793" s="135">
        <f t="shared" si="62"/>
        <v>30</v>
      </c>
      <c r="F11793" s="134" t="s">
        <v>3815</v>
      </c>
      <c r="G11793" s="63" t="str">
        <f>VLOOKUP(C11793, 'Class Def. - General Data'!$C$20:$C$1000,1,false)</f>
        <v>ZSI1_PALLETS</v>
      </c>
      <c r="H11793" s="63" t="str">
        <f>IFERROR(__xludf.DUMMYFUNCTION("VLOOKUP(F11793, IMPORTRANGE(""https://docs.google.com/spreadsheets/d/1Lhp9OU0JdFf_VYSMzH5lBcEaU4o8teT1piV-SNzShjg/edit?gid=554141278#gid=554141278"", ""'Char Def. - Attributes'!C20:C2242""), 1,false)"),"ALT_NUM_UOM4")</f>
        <v>ALT_NUM_UOM4</v>
      </c>
      <c r="I11793" s="136"/>
      <c r="R11793" s="63" t="str">
        <f t="shared" si="60"/>
        <v>ZSI1_PALLETSALT_NUM_UOM4</v>
      </c>
    </row>
    <row r="11794" ht="15.75" customHeight="1">
      <c r="B11794" s="63">
        <f t="shared" si="1"/>
        <v>12</v>
      </c>
      <c r="C11794" s="135" t="s">
        <v>433</v>
      </c>
      <c r="D11794" s="161" t="s">
        <v>74</v>
      </c>
      <c r="E11794" s="135">
        <f t="shared" si="62"/>
        <v>31</v>
      </c>
      <c r="F11794" s="134" t="s">
        <v>3816</v>
      </c>
      <c r="G11794" s="63" t="str">
        <f>VLOOKUP(C11794, 'Class Def. - General Data'!$C$20:$C$1000,1,false)</f>
        <v>ZSI1_PALLETS</v>
      </c>
      <c r="H11794" s="63" t="str">
        <f>IFERROR(__xludf.DUMMYFUNCTION("VLOOKUP(F11794, IMPORTRANGE(""https://docs.google.com/spreadsheets/d/1Lhp9OU0JdFf_VYSMzH5lBcEaU4o8teT1piV-SNzShjg/edit?gid=554141278#gid=554141278"", ""'Char Def. - Attributes'!C20:C2242""), 1,false)"),"ALT_UOM5_SIPI")</f>
        <v>ALT_UOM5_SIPI</v>
      </c>
      <c r="I11794" s="136"/>
      <c r="R11794" s="63" t="str">
        <f t="shared" si="60"/>
        <v>ZSI1_PALLETSALT_UOM5_SIPI</v>
      </c>
    </row>
    <row r="11795" ht="15.75" customHeight="1">
      <c r="B11795" s="63">
        <f t="shared" si="1"/>
        <v>12</v>
      </c>
      <c r="C11795" s="135" t="s">
        <v>433</v>
      </c>
      <c r="D11795" s="161" t="s">
        <v>74</v>
      </c>
      <c r="E11795" s="135">
        <f t="shared" si="62"/>
        <v>32</v>
      </c>
      <c r="F11795" s="134" t="s">
        <v>3817</v>
      </c>
      <c r="G11795" s="63" t="str">
        <f>VLOOKUP(C11795, 'Class Def. - General Data'!$C$20:$C$1000,1,false)</f>
        <v>ZSI1_PALLETS</v>
      </c>
      <c r="H11795" s="63" t="str">
        <f>IFERROR(__xludf.DUMMYFUNCTION("VLOOKUP(F11795, IMPORTRANGE(""https://docs.google.com/spreadsheets/d/1Lhp9OU0JdFf_VYSMzH5lBcEaU4o8teT1piV-SNzShjg/edit?gid=554141278#gid=554141278"", ""'Char Def. - Attributes'!C20:C2242""), 1,false)"),"ALT_DENUM_UOM5")</f>
        <v>ALT_DENUM_UOM5</v>
      </c>
      <c r="I11795" s="136"/>
      <c r="R11795" s="63" t="str">
        <f t="shared" si="60"/>
        <v>ZSI1_PALLETSALT_DENUM_UOM5</v>
      </c>
    </row>
    <row r="11796" ht="15.75" customHeight="1">
      <c r="B11796" s="63">
        <f t="shared" si="1"/>
        <v>12</v>
      </c>
      <c r="C11796" s="135" t="s">
        <v>433</v>
      </c>
      <c r="D11796" s="161" t="s">
        <v>74</v>
      </c>
      <c r="E11796" s="135">
        <f t="shared" si="62"/>
        <v>33</v>
      </c>
      <c r="F11796" s="134" t="s">
        <v>3818</v>
      </c>
      <c r="G11796" s="63" t="str">
        <f>VLOOKUP(C11796, 'Class Def. - General Data'!$C$20:$C$1000,1,false)</f>
        <v>ZSI1_PALLETS</v>
      </c>
      <c r="H11796" s="63" t="str">
        <f>IFERROR(__xludf.DUMMYFUNCTION("VLOOKUP(F11796, IMPORTRANGE(""https://docs.google.com/spreadsheets/d/1Lhp9OU0JdFf_VYSMzH5lBcEaU4o8teT1piV-SNzShjg/edit?gid=554141278#gid=554141278"", ""'Char Def. - Attributes'!C20:C2242""), 1,false)"),"ALT_NUM_UOM5")</f>
        <v>ALT_NUM_UOM5</v>
      </c>
      <c r="I11796" s="136"/>
      <c r="R11796" s="63" t="str">
        <f t="shared" si="60"/>
        <v>ZSI1_PALLETSALT_NUM_UOM5</v>
      </c>
    </row>
    <row r="11797" ht="15.75" customHeight="1">
      <c r="B11797" s="63">
        <f t="shared" si="1"/>
        <v>14</v>
      </c>
      <c r="C11797" s="135" t="s">
        <v>503</v>
      </c>
      <c r="D11797" s="161" t="s">
        <v>74</v>
      </c>
      <c r="E11797" s="135">
        <f t="shared" si="62"/>
        <v>1</v>
      </c>
      <c r="F11797" s="134" t="s">
        <v>5025</v>
      </c>
      <c r="G11797" s="63" t="str">
        <f>VLOOKUP(C11797, 'Class Def. - General Data'!$C$20:$C$1000,1,false)</f>
        <v>ZSI1_PANEL_BOX</v>
      </c>
      <c r="H11797" s="63" t="str">
        <f>IFERROR(__xludf.DUMMYFUNCTION("VLOOKUP(F11797, IMPORTRANGE(""https://docs.google.com/spreadsheets/d/1Lhp9OU0JdFf_VYSMzH5lBcEaU4o8teT1piV-SNzShjg/edit?gid=554141278#gid=554141278"", ""'Char Def. - Attributes'!C20:C2242""), 1,false)"),"ITEM_NAME_PANEL_BOX")</f>
        <v>ITEM_NAME_PANEL_BOX</v>
      </c>
      <c r="I11797" s="136"/>
      <c r="R11797" s="63" t="str">
        <f t="shared" si="60"/>
        <v>ZSI1_PANEL_BOXITEM_NAME_PANEL_BOX</v>
      </c>
    </row>
    <row r="11798" ht="15.75" customHeight="1">
      <c r="B11798" s="63">
        <f t="shared" si="1"/>
        <v>14</v>
      </c>
      <c r="C11798" s="135" t="s">
        <v>503</v>
      </c>
      <c r="D11798" s="161" t="s">
        <v>74</v>
      </c>
      <c r="E11798" s="135">
        <f t="shared" si="62"/>
        <v>2</v>
      </c>
      <c r="F11798" s="134" t="s">
        <v>5026</v>
      </c>
      <c r="G11798" s="63" t="str">
        <f>VLOOKUP(C11798, 'Class Def. - General Data'!$C$20:$C$1000,1,false)</f>
        <v>ZSI1_PANEL_BOX</v>
      </c>
      <c r="H11798" s="63" t="str">
        <f>IFERROR(__xludf.DUMMYFUNCTION("VLOOKUP(F11798, IMPORTRANGE(""https://docs.google.com/spreadsheets/d/1Lhp9OU0JdFf_VYSMzH5lBcEaU4o8teT1piV-SNzShjg/edit?gid=554141278#gid=554141278"", ""'Char Def. - Attributes'!C20:C2242""), 1,false)"),"MATERIAL_PANEL_BOX")</f>
        <v>MATERIAL_PANEL_BOX</v>
      </c>
      <c r="I11798" s="136"/>
      <c r="R11798" s="63" t="str">
        <f t="shared" si="60"/>
        <v>ZSI1_PANEL_BOXMATERIAL_PANEL_BOX</v>
      </c>
    </row>
    <row r="11799" ht="15.75" customHeight="1">
      <c r="B11799" s="63">
        <f t="shared" si="1"/>
        <v>14</v>
      </c>
      <c r="C11799" s="135" t="s">
        <v>503</v>
      </c>
      <c r="D11799" s="161" t="s">
        <v>74</v>
      </c>
      <c r="E11799" s="135">
        <f t="shared" si="62"/>
        <v>3</v>
      </c>
      <c r="F11799" s="134" t="s">
        <v>5027</v>
      </c>
      <c r="G11799" s="63" t="str">
        <f>VLOOKUP(C11799, 'Class Def. - General Data'!$C$20:$C$1000,1,false)</f>
        <v>ZSI1_PANEL_BOX</v>
      </c>
      <c r="H11799" s="63" t="str">
        <f>IFERROR(__xludf.DUMMYFUNCTION("VLOOKUP(F11799, IMPORTRANGE(""https://docs.google.com/spreadsheets/d/1Lhp9OU0JdFf_VYSMzH5lBcEaU4o8teT1piV-SNzShjg/edit?gid=554141278#gid=554141278"", ""'Char Def. - Attributes'!C20:C2242""), 1,false)"),"HEIGHT_MM_PANEL_BOX")</f>
        <v>HEIGHT_MM_PANEL_BOX</v>
      </c>
      <c r="I11799" s="136"/>
      <c r="R11799" s="63" t="str">
        <f t="shared" si="60"/>
        <v>ZSI1_PANEL_BOXHEIGHT_MM_PANEL_BOX</v>
      </c>
    </row>
    <row r="11800" ht="15.75" customHeight="1">
      <c r="B11800" s="63">
        <f t="shared" si="1"/>
        <v>14</v>
      </c>
      <c r="C11800" s="135" t="s">
        <v>503</v>
      </c>
      <c r="D11800" s="161" t="s">
        <v>74</v>
      </c>
      <c r="E11800" s="135">
        <f t="shared" si="62"/>
        <v>4</v>
      </c>
      <c r="F11800" s="134" t="s">
        <v>5028</v>
      </c>
      <c r="G11800" s="63" t="str">
        <f>VLOOKUP(C11800, 'Class Def. - General Data'!$C$20:$C$1000,1,false)</f>
        <v>ZSI1_PANEL_BOX</v>
      </c>
      <c r="H11800" s="63" t="str">
        <f>IFERROR(__xludf.DUMMYFUNCTION("VLOOKUP(F11800, IMPORTRANGE(""https://docs.google.com/spreadsheets/d/1Lhp9OU0JdFf_VYSMzH5lBcEaU4o8teT1piV-SNzShjg/edit?gid=554141278#gid=554141278"", ""'Char Def. - Attributes'!C20:C2242""), 1,false)"),"WIDTH_MM_PANEL_BOX")</f>
        <v>WIDTH_MM_PANEL_BOX</v>
      </c>
      <c r="I11800" s="136"/>
      <c r="R11800" s="63" t="str">
        <f t="shared" si="60"/>
        <v>ZSI1_PANEL_BOXWIDTH_MM_PANEL_BOX</v>
      </c>
    </row>
    <row r="11801" ht="15.75" customHeight="1">
      <c r="B11801" s="63">
        <f t="shared" si="1"/>
        <v>14</v>
      </c>
      <c r="C11801" s="135" t="s">
        <v>503</v>
      </c>
      <c r="D11801" s="161" t="s">
        <v>74</v>
      </c>
      <c r="E11801" s="135">
        <f t="shared" si="62"/>
        <v>5</v>
      </c>
      <c r="F11801" s="134" t="s">
        <v>5029</v>
      </c>
      <c r="G11801" s="63" t="str">
        <f>VLOOKUP(C11801, 'Class Def. - General Data'!$C$20:$C$1000,1,false)</f>
        <v>ZSI1_PANEL_BOX</v>
      </c>
      <c r="H11801" s="63" t="str">
        <f>IFERROR(__xludf.DUMMYFUNCTION("VLOOKUP(F11801, IMPORTRANGE(""https://docs.google.com/spreadsheets/d/1Lhp9OU0JdFf_VYSMzH5lBcEaU4o8teT1piV-SNzShjg/edit?gid=554141278#gid=554141278"", ""'Char Def. - Attributes'!C20:C2242""), 1,false)"),"LENGTH_MM_PANEL_BOX")</f>
        <v>LENGTH_MM_PANEL_BOX</v>
      </c>
      <c r="I11801" s="136"/>
      <c r="R11801" s="63" t="str">
        <f t="shared" si="60"/>
        <v>ZSI1_PANEL_BOXLENGTH_MM_PANEL_BOX</v>
      </c>
    </row>
    <row r="11802" ht="15.75" customHeight="1">
      <c r="B11802" s="63">
        <f t="shared" si="1"/>
        <v>14</v>
      </c>
      <c r="C11802" s="135" t="s">
        <v>503</v>
      </c>
      <c r="D11802" s="161" t="s">
        <v>74</v>
      </c>
      <c r="E11802" s="135">
        <f t="shared" si="62"/>
        <v>6</v>
      </c>
      <c r="F11802" s="134" t="s">
        <v>4053</v>
      </c>
      <c r="G11802" s="63" t="str">
        <f>VLOOKUP(C11802, 'Class Def. - General Data'!$C$20:$C$1000,1,false)</f>
        <v>ZSI1_PANEL_BOX</v>
      </c>
      <c r="H11802" s="63" t="str">
        <f>IFERROR(__xludf.DUMMYFUNCTION("VLOOKUP(F11802, IMPORTRANGE(""https://docs.google.com/spreadsheets/d/1Lhp9OU0JdFf_VYSMzH5lBcEaU4o8teT1piV-SNzShjg/edit?gid=554141278#gid=554141278"", ""'Char Def. - Attributes'!C20:C2242""), 1,false)"),"MAINTENANCE_ORDER_TYPE")</f>
        <v>MAINTENANCE_ORDER_TYPE</v>
      </c>
      <c r="I11802" s="136"/>
      <c r="R11802" s="63" t="str">
        <f t="shared" si="60"/>
        <v>ZSI1_PANEL_BOXMAINTENANCE_ORDER_TYPE</v>
      </c>
    </row>
    <row r="11803" ht="15.75" customHeight="1">
      <c r="B11803" s="63">
        <f t="shared" si="1"/>
        <v>14</v>
      </c>
      <c r="C11803" s="135" t="s">
        <v>503</v>
      </c>
      <c r="D11803" s="161" t="s">
        <v>74</v>
      </c>
      <c r="E11803" s="135">
        <f t="shared" si="62"/>
        <v>7</v>
      </c>
      <c r="F11803" s="134" t="s">
        <v>3585</v>
      </c>
      <c r="G11803" s="63" t="str">
        <f>VLOOKUP(C11803, 'Class Def. - General Data'!$C$20:$C$1000,1,false)</f>
        <v>ZSI1_PANEL_BOX</v>
      </c>
      <c r="H11803" s="63" t="str">
        <f>IFERROR(__xludf.DUMMYFUNCTION("VLOOKUP(F11803, IMPORTRANGE(""https://docs.google.com/spreadsheets/d/1Lhp9OU0JdFf_VYSMzH5lBcEaU4o8teT1piV-SNzShjg/edit?gid=554141278#gid=554141278"", ""'Char Def. - Attributes'!C20:C2242""), 1,false)"),"HS_CODE")</f>
        <v>HS_CODE</v>
      </c>
      <c r="I11803" s="136"/>
      <c r="R11803" s="63" t="str">
        <f t="shared" si="60"/>
        <v>ZSI1_PANEL_BOXHS_CODE</v>
      </c>
    </row>
    <row r="11804" ht="15.75" customHeight="1">
      <c r="B11804" s="63">
        <f t="shared" si="1"/>
        <v>14</v>
      </c>
      <c r="C11804" s="135" t="s">
        <v>503</v>
      </c>
      <c r="D11804" s="161" t="s">
        <v>74</v>
      </c>
      <c r="E11804" s="135">
        <f t="shared" si="62"/>
        <v>8</v>
      </c>
      <c r="F11804" s="134" t="s">
        <v>3587</v>
      </c>
      <c r="G11804" s="63" t="str">
        <f>VLOOKUP(C11804, 'Class Def. - General Data'!$C$20:$C$1000,1,false)</f>
        <v>ZSI1_PANEL_BOX</v>
      </c>
      <c r="H11804" s="63" t="str">
        <f>IFERROR(__xludf.DUMMYFUNCTION("VLOOKUP(F11804, IMPORTRANGE(""https://docs.google.com/spreadsheets/d/1Lhp9OU0JdFf_VYSMzH5lBcEaU4o8teT1piV-SNzShjg/edit?gid=554141278#gid=554141278"", ""'Char Def. - Attributes'!C20:C2242""), 1,false)"),"PLANT_BUY")</f>
        <v>PLANT_BUY</v>
      </c>
      <c r="I11804" s="136"/>
      <c r="R11804" s="63" t="str">
        <f t="shared" si="60"/>
        <v>ZSI1_PANEL_BOXPLANT_BUY</v>
      </c>
    </row>
    <row r="11805" ht="15.75" customHeight="1">
      <c r="B11805" s="63">
        <f t="shared" si="1"/>
        <v>14</v>
      </c>
      <c r="C11805" s="135" t="s">
        <v>503</v>
      </c>
      <c r="D11805" s="161" t="s">
        <v>74</v>
      </c>
      <c r="E11805" s="135">
        <f t="shared" si="62"/>
        <v>9</v>
      </c>
      <c r="F11805" s="134" t="s">
        <v>5030</v>
      </c>
      <c r="G11805" s="63" t="str">
        <f>VLOOKUP(C11805, 'Class Def. - General Data'!$C$20:$C$1000,1,false)</f>
        <v>ZSI1_PANEL_BOX</v>
      </c>
      <c r="H11805" s="63" t="str">
        <f>IFERROR(__xludf.DUMMYFUNCTION("VLOOKUP(F11805, IMPORTRANGE(""https://docs.google.com/spreadsheets/d/1Lhp9OU0JdFf_VYSMzH5lBcEaU4o8teT1piV-SNzShjg/edit?gid=554141278#gid=554141278"", ""'Char Def. - Attributes'!C20:C2242""), 1,false)"),"BASE_UOM_PANEL_BOX")</f>
        <v>BASE_UOM_PANEL_BOX</v>
      </c>
      <c r="I11805" s="136"/>
      <c r="R11805" s="63" t="str">
        <f t="shared" si="60"/>
        <v>ZSI1_PANEL_BOXBASE_UOM_PANEL_BOX</v>
      </c>
    </row>
    <row r="11806" ht="15.75" customHeight="1">
      <c r="B11806" s="63">
        <f t="shared" si="1"/>
        <v>14</v>
      </c>
      <c r="C11806" s="135" t="s">
        <v>503</v>
      </c>
      <c r="D11806" s="161" t="s">
        <v>74</v>
      </c>
      <c r="E11806" s="135">
        <f t="shared" si="62"/>
        <v>10</v>
      </c>
      <c r="F11806" s="134" t="s">
        <v>5031</v>
      </c>
      <c r="G11806" s="63" t="str">
        <f>VLOOKUP(C11806, 'Class Def. - General Data'!$C$20:$C$1000,1,false)</f>
        <v>ZSI1_PANEL_BOX</v>
      </c>
      <c r="H11806" s="63" t="str">
        <f>IFERROR(__xludf.DUMMYFUNCTION("VLOOKUP(F11806, IMPORTRANGE(""https://docs.google.com/spreadsheets/d/1Lhp9OU0JdFf_VYSMzH5lBcEaU4o8teT1piV-SNzShjg/edit?gid=554141278#gid=554141278"", ""'Char Def. - Attributes'!C20:C2242""), 1,false)"),"ORDER_UNIT_PANEL_BOX")</f>
        <v>ORDER_UNIT_PANEL_BOX</v>
      </c>
      <c r="I11806" s="136"/>
      <c r="R11806" s="63" t="str">
        <f t="shared" si="60"/>
        <v>ZSI1_PANEL_BOXORDER_UNIT_PANEL_BOX</v>
      </c>
    </row>
    <row r="11807" ht="15.75" customHeight="1">
      <c r="B11807" s="63">
        <f t="shared" si="1"/>
        <v>14</v>
      </c>
      <c r="C11807" s="135" t="s">
        <v>503</v>
      </c>
      <c r="D11807" s="161" t="s">
        <v>74</v>
      </c>
      <c r="E11807" s="135">
        <f t="shared" si="62"/>
        <v>11</v>
      </c>
      <c r="F11807" s="134" t="s">
        <v>4056</v>
      </c>
      <c r="G11807" s="63" t="str">
        <f>VLOOKUP(C11807, 'Class Def. - General Data'!$C$20:$C$1000,1,false)</f>
        <v>ZSI1_PANEL_BOX</v>
      </c>
      <c r="H11807" s="63" t="str">
        <f>IFERROR(__xludf.DUMMYFUNCTION("VLOOKUP(F11807, IMPORTRANGE(""https://docs.google.com/spreadsheets/d/1Lhp9OU0JdFf_VYSMzH5lBcEaU4o8teT1piV-SNzShjg/edit?gid=554141278#gid=554141278"", ""'Char Def. - Attributes'!C20:C2242""), 1,false)"),"GROSS_WEIGHT_OPT")</f>
        <v>GROSS_WEIGHT_OPT</v>
      </c>
      <c r="I11807" s="136"/>
      <c r="R11807" s="63" t="str">
        <f t="shared" si="60"/>
        <v>ZSI1_PANEL_BOXGROSS_WEIGHT_OPT</v>
      </c>
    </row>
    <row r="11808" ht="15.75" customHeight="1">
      <c r="B11808" s="63">
        <f t="shared" si="1"/>
        <v>14</v>
      </c>
      <c r="C11808" s="135" t="s">
        <v>503</v>
      </c>
      <c r="D11808" s="161" t="s">
        <v>74</v>
      </c>
      <c r="E11808" s="135">
        <f t="shared" si="62"/>
        <v>12</v>
      </c>
      <c r="F11808" s="134" t="s">
        <v>4057</v>
      </c>
      <c r="G11808" s="63" t="str">
        <f>VLOOKUP(C11808, 'Class Def. - General Data'!$C$20:$C$1000,1,false)</f>
        <v>ZSI1_PANEL_BOX</v>
      </c>
      <c r="H11808" s="63" t="str">
        <f>IFERROR(__xludf.DUMMYFUNCTION("VLOOKUP(F11808, IMPORTRANGE(""https://docs.google.com/spreadsheets/d/1Lhp9OU0JdFf_VYSMzH5lBcEaU4o8teT1piV-SNzShjg/edit?gid=554141278#gid=554141278"", ""'Char Def. - Attributes'!C20:C2242""), 1,false)"),"NET_WEIGHT_OPT")</f>
        <v>NET_WEIGHT_OPT</v>
      </c>
      <c r="I11808" s="136"/>
      <c r="R11808" s="63" t="str">
        <f t="shared" si="60"/>
        <v>ZSI1_PANEL_BOXNET_WEIGHT_OPT</v>
      </c>
    </row>
    <row r="11809" ht="15.75" customHeight="1">
      <c r="B11809" s="63">
        <f t="shared" si="1"/>
        <v>14</v>
      </c>
      <c r="C11809" s="135" t="s">
        <v>503</v>
      </c>
      <c r="D11809" s="161" t="s">
        <v>74</v>
      </c>
      <c r="E11809" s="135">
        <f t="shared" si="62"/>
        <v>13</v>
      </c>
      <c r="F11809" s="134" t="s">
        <v>4058</v>
      </c>
      <c r="G11809" s="63" t="str">
        <f>VLOOKUP(C11809, 'Class Def. - General Data'!$C$20:$C$1000,1,false)</f>
        <v>ZSI1_PANEL_BOX</v>
      </c>
      <c r="H11809" s="63" t="str">
        <f>IFERROR(__xludf.DUMMYFUNCTION("VLOOKUP(F11809, IMPORTRANGE(""https://docs.google.com/spreadsheets/d/1Lhp9OU0JdFf_VYSMzH5lBcEaU4o8teT1piV-SNzShjg/edit?gid=554141278#gid=554141278"", ""'Char Def. - Attributes'!C20:C2242""), 1,false)"),"WEIGHT_UNIT_SI")</f>
        <v>WEIGHT_UNIT_SI</v>
      </c>
      <c r="I11809" s="136"/>
      <c r="R11809" s="63" t="str">
        <f t="shared" si="60"/>
        <v>ZSI1_PANEL_BOXWEIGHT_UNIT_SI</v>
      </c>
    </row>
    <row r="11810" ht="15.75" customHeight="1">
      <c r="B11810" s="63">
        <f t="shared" si="1"/>
        <v>14</v>
      </c>
      <c r="C11810" s="135" t="s">
        <v>503</v>
      </c>
      <c r="D11810" s="161" t="s">
        <v>74</v>
      </c>
      <c r="E11810" s="135">
        <f t="shared" si="62"/>
        <v>14</v>
      </c>
      <c r="F11810" s="134" t="s">
        <v>3877</v>
      </c>
      <c r="G11810" s="63" t="str">
        <f>VLOOKUP(C11810, 'Class Def. - General Data'!$C$20:$C$1000,1,false)</f>
        <v>ZSI1_PANEL_BOX</v>
      </c>
      <c r="H11810" s="63" t="str">
        <f>IFERROR(__xludf.DUMMYFUNCTION("VLOOKUP(F11810, IMPORTRANGE(""https://docs.google.com/spreadsheets/d/1Lhp9OU0JdFf_VYSMzH5lBcEaU4o8teT1piV-SNzShjg/edit?gid=554141278#gid=554141278"", ""'Char Def. - Attributes'!C20:C2242""), 1,false)"),"VOLUME_OPT")</f>
        <v>VOLUME_OPT</v>
      </c>
      <c r="I11810" s="136"/>
      <c r="R11810" s="63" t="str">
        <f t="shared" si="60"/>
        <v>ZSI1_PANEL_BOXVOLUME_OPT</v>
      </c>
    </row>
    <row r="11811" ht="15.75" customHeight="1">
      <c r="B11811" s="63">
        <f t="shared" si="1"/>
        <v>14</v>
      </c>
      <c r="C11811" s="135" t="s">
        <v>503</v>
      </c>
      <c r="D11811" s="161" t="s">
        <v>74</v>
      </c>
      <c r="E11811" s="135">
        <f t="shared" si="62"/>
        <v>15</v>
      </c>
      <c r="F11811" s="134" t="s">
        <v>4059</v>
      </c>
      <c r="G11811" s="63" t="str">
        <f>VLOOKUP(C11811, 'Class Def. - General Data'!$C$20:$C$1000,1,false)</f>
        <v>ZSI1_PANEL_BOX</v>
      </c>
      <c r="H11811" s="63" t="str">
        <f>IFERROR(__xludf.DUMMYFUNCTION("VLOOKUP(F11811, IMPORTRANGE(""https://docs.google.com/spreadsheets/d/1Lhp9OU0JdFf_VYSMzH5lBcEaU4o8teT1piV-SNzShjg/edit?gid=554141278#gid=554141278"", ""'Char Def. - Attributes'!C20:C2242""), 1,false)"),"VOLUME_UNIT_SI")</f>
        <v>VOLUME_UNIT_SI</v>
      </c>
      <c r="I11811" s="136"/>
      <c r="R11811" s="63" t="str">
        <f t="shared" si="60"/>
        <v>ZSI1_PANEL_BOXVOLUME_UNIT_SI</v>
      </c>
    </row>
    <row r="11812" ht="15.75" customHeight="1">
      <c r="B11812" s="63">
        <f t="shared" si="1"/>
        <v>14</v>
      </c>
      <c r="C11812" s="135" t="s">
        <v>503</v>
      </c>
      <c r="D11812" s="161" t="s">
        <v>74</v>
      </c>
      <c r="E11812" s="135">
        <f t="shared" si="62"/>
        <v>16</v>
      </c>
      <c r="F11812" s="134" t="s">
        <v>3804</v>
      </c>
      <c r="G11812" s="63" t="str">
        <f>VLOOKUP(C11812, 'Class Def. - General Data'!$C$20:$C$1000,1,false)</f>
        <v>ZSI1_PANEL_BOX</v>
      </c>
      <c r="H11812" s="63" t="str">
        <f>IFERROR(__xludf.DUMMYFUNCTION("VLOOKUP(F11812, IMPORTRANGE(""https://docs.google.com/spreadsheets/d/1Lhp9OU0JdFf_VYSMzH5lBcEaU4o8teT1piV-SNzShjg/edit?gid=554141278#gid=554141278"", ""'Char Def. - Attributes'!C20:C2242""), 1,false)"),"ALT_UOM1_SIPI")</f>
        <v>ALT_UOM1_SIPI</v>
      </c>
      <c r="I11812" s="136"/>
      <c r="R11812" s="63" t="str">
        <f t="shared" si="60"/>
        <v>ZSI1_PANEL_BOXALT_UOM1_SIPI</v>
      </c>
    </row>
    <row r="11813" ht="15.75" customHeight="1">
      <c r="B11813" s="63">
        <f t="shared" si="1"/>
        <v>14</v>
      </c>
      <c r="C11813" s="135" t="s">
        <v>503</v>
      </c>
      <c r="D11813" s="161" t="s">
        <v>74</v>
      </c>
      <c r="E11813" s="135">
        <f t="shared" si="62"/>
        <v>17</v>
      </c>
      <c r="F11813" s="134" t="s">
        <v>3805</v>
      </c>
      <c r="G11813" s="63" t="str">
        <f>VLOOKUP(C11813, 'Class Def. - General Data'!$C$20:$C$1000,1,false)</f>
        <v>ZSI1_PANEL_BOX</v>
      </c>
      <c r="H11813" s="63" t="str">
        <f>IFERROR(__xludf.DUMMYFUNCTION("VLOOKUP(F11813, IMPORTRANGE(""https://docs.google.com/spreadsheets/d/1Lhp9OU0JdFf_VYSMzH5lBcEaU4o8teT1piV-SNzShjg/edit?gid=554141278#gid=554141278"", ""'Char Def. - Attributes'!C20:C2242""), 1,false)"),"ALT_DENUM_UOM1")</f>
        <v>ALT_DENUM_UOM1</v>
      </c>
      <c r="I11813" s="136"/>
      <c r="R11813" s="63" t="str">
        <f t="shared" si="60"/>
        <v>ZSI1_PANEL_BOXALT_DENUM_UOM1</v>
      </c>
    </row>
    <row r="11814" ht="15.75" customHeight="1">
      <c r="B11814" s="63">
        <f t="shared" si="1"/>
        <v>14</v>
      </c>
      <c r="C11814" s="135" t="s">
        <v>503</v>
      </c>
      <c r="D11814" s="161" t="s">
        <v>74</v>
      </c>
      <c r="E11814" s="135">
        <f t="shared" si="62"/>
        <v>18</v>
      </c>
      <c r="F11814" s="134" t="s">
        <v>3806</v>
      </c>
      <c r="G11814" s="63" t="str">
        <f>VLOOKUP(C11814, 'Class Def. - General Data'!$C$20:$C$1000,1,false)</f>
        <v>ZSI1_PANEL_BOX</v>
      </c>
      <c r="H11814" s="63" t="str">
        <f>IFERROR(__xludf.DUMMYFUNCTION("VLOOKUP(F11814, IMPORTRANGE(""https://docs.google.com/spreadsheets/d/1Lhp9OU0JdFf_VYSMzH5lBcEaU4o8teT1piV-SNzShjg/edit?gid=554141278#gid=554141278"", ""'Char Def. - Attributes'!C20:C2242""), 1,false)"),"ALT_NUM_UOM1")</f>
        <v>ALT_NUM_UOM1</v>
      </c>
      <c r="I11814" s="136"/>
      <c r="R11814" s="63" t="str">
        <f t="shared" si="60"/>
        <v>ZSI1_PANEL_BOXALT_NUM_UOM1</v>
      </c>
    </row>
    <row r="11815" ht="15.75" customHeight="1">
      <c r="B11815" s="63">
        <f t="shared" si="1"/>
        <v>14</v>
      </c>
      <c r="C11815" s="135" t="s">
        <v>503</v>
      </c>
      <c r="D11815" s="161" t="s">
        <v>74</v>
      </c>
      <c r="E11815" s="135">
        <f t="shared" si="62"/>
        <v>19</v>
      </c>
      <c r="F11815" s="134" t="s">
        <v>3807</v>
      </c>
      <c r="G11815" s="63" t="str">
        <f>VLOOKUP(C11815, 'Class Def. - General Data'!$C$20:$C$1000,1,false)</f>
        <v>ZSI1_PANEL_BOX</v>
      </c>
      <c r="H11815" s="63" t="str">
        <f>IFERROR(__xludf.DUMMYFUNCTION("VLOOKUP(F11815, IMPORTRANGE(""https://docs.google.com/spreadsheets/d/1Lhp9OU0JdFf_VYSMzH5lBcEaU4o8teT1piV-SNzShjg/edit?gid=554141278#gid=554141278"", ""'Char Def. - Attributes'!C20:C2242""), 1,false)"),"ALT_UOM2_SIPI")</f>
        <v>ALT_UOM2_SIPI</v>
      </c>
      <c r="I11815" s="136"/>
      <c r="R11815" s="63" t="str">
        <f t="shared" si="60"/>
        <v>ZSI1_PANEL_BOXALT_UOM2_SIPI</v>
      </c>
    </row>
    <row r="11816" ht="15.75" customHeight="1">
      <c r="B11816" s="63">
        <f t="shared" si="1"/>
        <v>14</v>
      </c>
      <c r="C11816" s="135" t="s">
        <v>503</v>
      </c>
      <c r="D11816" s="161" t="s">
        <v>74</v>
      </c>
      <c r="E11816" s="135">
        <f t="shared" si="62"/>
        <v>20</v>
      </c>
      <c r="F11816" s="134" t="s">
        <v>3808</v>
      </c>
      <c r="G11816" s="63" t="str">
        <f>VLOOKUP(C11816, 'Class Def. - General Data'!$C$20:$C$1000,1,false)</f>
        <v>ZSI1_PANEL_BOX</v>
      </c>
      <c r="H11816" s="63" t="str">
        <f>IFERROR(__xludf.DUMMYFUNCTION("VLOOKUP(F11816, IMPORTRANGE(""https://docs.google.com/spreadsheets/d/1Lhp9OU0JdFf_VYSMzH5lBcEaU4o8teT1piV-SNzShjg/edit?gid=554141278#gid=554141278"", ""'Char Def. - Attributes'!C20:C2242""), 1,false)"),"ALT_DENUM_UOM2")</f>
        <v>ALT_DENUM_UOM2</v>
      </c>
      <c r="I11816" s="136"/>
      <c r="R11816" s="63" t="str">
        <f t="shared" si="60"/>
        <v>ZSI1_PANEL_BOXALT_DENUM_UOM2</v>
      </c>
    </row>
    <row r="11817" ht="15.75" customHeight="1">
      <c r="B11817" s="63">
        <f t="shared" si="1"/>
        <v>14</v>
      </c>
      <c r="C11817" s="135" t="s">
        <v>503</v>
      </c>
      <c r="D11817" s="161" t="s">
        <v>74</v>
      </c>
      <c r="E11817" s="135">
        <f t="shared" si="62"/>
        <v>21</v>
      </c>
      <c r="F11817" s="134" t="s">
        <v>3809</v>
      </c>
      <c r="G11817" s="63" t="str">
        <f>VLOOKUP(C11817, 'Class Def. - General Data'!$C$20:$C$1000,1,false)</f>
        <v>ZSI1_PANEL_BOX</v>
      </c>
      <c r="H11817" s="63" t="str">
        <f>IFERROR(__xludf.DUMMYFUNCTION("VLOOKUP(F11817, IMPORTRANGE(""https://docs.google.com/spreadsheets/d/1Lhp9OU0JdFf_VYSMzH5lBcEaU4o8teT1piV-SNzShjg/edit?gid=554141278#gid=554141278"", ""'Char Def. - Attributes'!C20:C2242""), 1,false)"),"ALT_NUM_UOM2")</f>
        <v>ALT_NUM_UOM2</v>
      </c>
      <c r="I11817" s="136"/>
      <c r="R11817" s="63" t="str">
        <f t="shared" si="60"/>
        <v>ZSI1_PANEL_BOXALT_NUM_UOM2</v>
      </c>
    </row>
    <row r="11818" ht="15.75" customHeight="1">
      <c r="B11818" s="63">
        <f t="shared" si="1"/>
        <v>14</v>
      </c>
      <c r="C11818" s="135" t="s">
        <v>503</v>
      </c>
      <c r="D11818" s="161" t="s">
        <v>74</v>
      </c>
      <c r="E11818" s="135">
        <f t="shared" si="62"/>
        <v>22</v>
      </c>
      <c r="F11818" s="134" t="s">
        <v>3810</v>
      </c>
      <c r="G11818" s="63" t="str">
        <f>VLOOKUP(C11818, 'Class Def. - General Data'!$C$20:$C$1000,1,false)</f>
        <v>ZSI1_PANEL_BOX</v>
      </c>
      <c r="H11818" s="63" t="str">
        <f>IFERROR(__xludf.DUMMYFUNCTION("VLOOKUP(F11818, IMPORTRANGE(""https://docs.google.com/spreadsheets/d/1Lhp9OU0JdFf_VYSMzH5lBcEaU4o8teT1piV-SNzShjg/edit?gid=554141278#gid=554141278"", ""'Char Def. - Attributes'!C20:C2242""), 1,false)"),"ALT_UOM3_SIPI")</f>
        <v>ALT_UOM3_SIPI</v>
      </c>
      <c r="I11818" s="136"/>
      <c r="R11818" s="63" t="str">
        <f t="shared" si="60"/>
        <v>ZSI1_PANEL_BOXALT_UOM3_SIPI</v>
      </c>
    </row>
    <row r="11819" ht="15.75" customHeight="1">
      <c r="B11819" s="63">
        <f t="shared" si="1"/>
        <v>14</v>
      </c>
      <c r="C11819" s="135" t="s">
        <v>503</v>
      </c>
      <c r="D11819" s="161" t="s">
        <v>74</v>
      </c>
      <c r="E11819" s="135">
        <f t="shared" si="62"/>
        <v>23</v>
      </c>
      <c r="F11819" s="134" t="s">
        <v>3811</v>
      </c>
      <c r="G11819" s="63" t="str">
        <f>VLOOKUP(C11819, 'Class Def. - General Data'!$C$20:$C$1000,1,false)</f>
        <v>ZSI1_PANEL_BOX</v>
      </c>
      <c r="H11819" s="63" t="str">
        <f>IFERROR(__xludf.DUMMYFUNCTION("VLOOKUP(F11819, IMPORTRANGE(""https://docs.google.com/spreadsheets/d/1Lhp9OU0JdFf_VYSMzH5lBcEaU4o8teT1piV-SNzShjg/edit?gid=554141278#gid=554141278"", ""'Char Def. - Attributes'!C20:C2242""), 1,false)"),"ALT_DENUM_UOM3")</f>
        <v>ALT_DENUM_UOM3</v>
      </c>
      <c r="I11819" s="136"/>
      <c r="R11819" s="63" t="str">
        <f t="shared" si="60"/>
        <v>ZSI1_PANEL_BOXALT_DENUM_UOM3</v>
      </c>
    </row>
    <row r="11820" ht="15.75" customHeight="1">
      <c r="B11820" s="63">
        <f t="shared" si="1"/>
        <v>14</v>
      </c>
      <c r="C11820" s="135" t="s">
        <v>503</v>
      </c>
      <c r="D11820" s="161" t="s">
        <v>74</v>
      </c>
      <c r="E11820" s="135">
        <f t="shared" si="62"/>
        <v>24</v>
      </c>
      <c r="F11820" s="134" t="s">
        <v>3812</v>
      </c>
      <c r="G11820" s="63" t="str">
        <f>VLOOKUP(C11820, 'Class Def. - General Data'!$C$20:$C$1000,1,false)</f>
        <v>ZSI1_PANEL_BOX</v>
      </c>
      <c r="H11820" s="63" t="str">
        <f>IFERROR(__xludf.DUMMYFUNCTION("VLOOKUP(F11820, IMPORTRANGE(""https://docs.google.com/spreadsheets/d/1Lhp9OU0JdFf_VYSMzH5lBcEaU4o8teT1piV-SNzShjg/edit?gid=554141278#gid=554141278"", ""'Char Def. - Attributes'!C20:C2242""), 1,false)"),"ALT_NUM_UOM3")</f>
        <v>ALT_NUM_UOM3</v>
      </c>
      <c r="I11820" s="136"/>
      <c r="R11820" s="63" t="str">
        <f t="shared" si="60"/>
        <v>ZSI1_PANEL_BOXALT_NUM_UOM3</v>
      </c>
    </row>
    <row r="11821" ht="15.75" customHeight="1">
      <c r="B11821" s="63">
        <f t="shared" si="1"/>
        <v>14</v>
      </c>
      <c r="C11821" s="135" t="s">
        <v>503</v>
      </c>
      <c r="D11821" s="161" t="s">
        <v>74</v>
      </c>
      <c r="E11821" s="135">
        <f t="shared" si="62"/>
        <v>25</v>
      </c>
      <c r="F11821" s="134" t="s">
        <v>3813</v>
      </c>
      <c r="G11821" s="63" t="str">
        <f>VLOOKUP(C11821, 'Class Def. - General Data'!$C$20:$C$1000,1,false)</f>
        <v>ZSI1_PANEL_BOX</v>
      </c>
      <c r="H11821" s="63" t="str">
        <f>IFERROR(__xludf.DUMMYFUNCTION("VLOOKUP(F11821, IMPORTRANGE(""https://docs.google.com/spreadsheets/d/1Lhp9OU0JdFf_VYSMzH5lBcEaU4o8teT1piV-SNzShjg/edit?gid=554141278#gid=554141278"", ""'Char Def. - Attributes'!C20:C2242""), 1,false)"),"ALT_UOM4_SIPI")</f>
        <v>ALT_UOM4_SIPI</v>
      </c>
      <c r="I11821" s="136"/>
      <c r="R11821" s="63" t="str">
        <f t="shared" si="60"/>
        <v>ZSI1_PANEL_BOXALT_UOM4_SIPI</v>
      </c>
    </row>
    <row r="11822" ht="15.75" customHeight="1">
      <c r="B11822" s="63">
        <f t="shared" si="1"/>
        <v>14</v>
      </c>
      <c r="C11822" s="135" t="s">
        <v>503</v>
      </c>
      <c r="D11822" s="161" t="s">
        <v>74</v>
      </c>
      <c r="E11822" s="135">
        <f t="shared" si="62"/>
        <v>26</v>
      </c>
      <c r="F11822" s="134" t="s">
        <v>3814</v>
      </c>
      <c r="G11822" s="63" t="str">
        <f>VLOOKUP(C11822, 'Class Def. - General Data'!$C$20:$C$1000,1,false)</f>
        <v>ZSI1_PANEL_BOX</v>
      </c>
      <c r="H11822" s="63" t="str">
        <f>IFERROR(__xludf.DUMMYFUNCTION("VLOOKUP(F11822, IMPORTRANGE(""https://docs.google.com/spreadsheets/d/1Lhp9OU0JdFf_VYSMzH5lBcEaU4o8teT1piV-SNzShjg/edit?gid=554141278#gid=554141278"", ""'Char Def. - Attributes'!C20:C2242""), 1,false)"),"ALT_DENUM_UOM4")</f>
        <v>ALT_DENUM_UOM4</v>
      </c>
      <c r="I11822" s="136"/>
      <c r="R11822" s="63" t="str">
        <f t="shared" si="60"/>
        <v>ZSI1_PANEL_BOXALT_DENUM_UOM4</v>
      </c>
    </row>
    <row r="11823" ht="15.75" customHeight="1">
      <c r="B11823" s="63">
        <f t="shared" si="1"/>
        <v>14</v>
      </c>
      <c r="C11823" s="135" t="s">
        <v>503</v>
      </c>
      <c r="D11823" s="161" t="s">
        <v>74</v>
      </c>
      <c r="E11823" s="135">
        <f t="shared" si="62"/>
        <v>27</v>
      </c>
      <c r="F11823" s="134" t="s">
        <v>3815</v>
      </c>
      <c r="G11823" s="63" t="str">
        <f>VLOOKUP(C11823, 'Class Def. - General Data'!$C$20:$C$1000,1,false)</f>
        <v>ZSI1_PANEL_BOX</v>
      </c>
      <c r="H11823" s="63" t="str">
        <f>IFERROR(__xludf.DUMMYFUNCTION("VLOOKUP(F11823, IMPORTRANGE(""https://docs.google.com/spreadsheets/d/1Lhp9OU0JdFf_VYSMzH5lBcEaU4o8teT1piV-SNzShjg/edit?gid=554141278#gid=554141278"", ""'Char Def. - Attributes'!C20:C2242""), 1,false)"),"ALT_NUM_UOM4")</f>
        <v>ALT_NUM_UOM4</v>
      </c>
      <c r="I11823" s="136"/>
      <c r="R11823" s="63" t="str">
        <f t="shared" si="60"/>
        <v>ZSI1_PANEL_BOXALT_NUM_UOM4</v>
      </c>
    </row>
    <row r="11824" ht="15.75" customHeight="1">
      <c r="B11824" s="63">
        <f t="shared" si="1"/>
        <v>14</v>
      </c>
      <c r="C11824" s="135" t="s">
        <v>503</v>
      </c>
      <c r="D11824" s="161" t="s">
        <v>74</v>
      </c>
      <c r="E11824" s="135">
        <f t="shared" si="62"/>
        <v>28</v>
      </c>
      <c r="F11824" s="134" t="s">
        <v>3816</v>
      </c>
      <c r="G11824" s="63" t="str">
        <f>VLOOKUP(C11824, 'Class Def. - General Data'!$C$20:$C$1000,1,false)</f>
        <v>ZSI1_PANEL_BOX</v>
      </c>
      <c r="H11824" s="63" t="str">
        <f>IFERROR(__xludf.DUMMYFUNCTION("VLOOKUP(F11824, IMPORTRANGE(""https://docs.google.com/spreadsheets/d/1Lhp9OU0JdFf_VYSMzH5lBcEaU4o8teT1piV-SNzShjg/edit?gid=554141278#gid=554141278"", ""'Char Def. - Attributes'!C20:C2242""), 1,false)"),"ALT_UOM5_SIPI")</f>
        <v>ALT_UOM5_SIPI</v>
      </c>
      <c r="I11824" s="136"/>
      <c r="R11824" s="63" t="str">
        <f t="shared" si="60"/>
        <v>ZSI1_PANEL_BOXALT_UOM5_SIPI</v>
      </c>
    </row>
    <row r="11825" ht="15.75" customHeight="1">
      <c r="B11825" s="63">
        <f t="shared" si="1"/>
        <v>14</v>
      </c>
      <c r="C11825" s="135" t="s">
        <v>503</v>
      </c>
      <c r="D11825" s="161" t="s">
        <v>74</v>
      </c>
      <c r="E11825" s="135">
        <f t="shared" si="62"/>
        <v>29</v>
      </c>
      <c r="F11825" s="134" t="s">
        <v>3817</v>
      </c>
      <c r="G11825" s="63" t="str">
        <f>VLOOKUP(C11825, 'Class Def. - General Data'!$C$20:$C$1000,1,false)</f>
        <v>ZSI1_PANEL_BOX</v>
      </c>
      <c r="H11825" s="63" t="str">
        <f>IFERROR(__xludf.DUMMYFUNCTION("VLOOKUP(F11825, IMPORTRANGE(""https://docs.google.com/spreadsheets/d/1Lhp9OU0JdFf_VYSMzH5lBcEaU4o8teT1piV-SNzShjg/edit?gid=554141278#gid=554141278"", ""'Char Def. - Attributes'!C20:C2242""), 1,false)"),"ALT_DENUM_UOM5")</f>
        <v>ALT_DENUM_UOM5</v>
      </c>
      <c r="I11825" s="136"/>
      <c r="R11825" s="63" t="str">
        <f t="shared" si="60"/>
        <v>ZSI1_PANEL_BOXALT_DENUM_UOM5</v>
      </c>
    </row>
    <row r="11826" ht="15.75" customHeight="1">
      <c r="B11826" s="63">
        <f t="shared" si="1"/>
        <v>14</v>
      </c>
      <c r="C11826" s="135" t="s">
        <v>503</v>
      </c>
      <c r="D11826" s="161" t="s">
        <v>74</v>
      </c>
      <c r="E11826" s="135">
        <f t="shared" si="62"/>
        <v>30</v>
      </c>
      <c r="F11826" s="134" t="s">
        <v>3818</v>
      </c>
      <c r="G11826" s="63" t="str">
        <f>VLOOKUP(C11826, 'Class Def. - General Data'!$C$20:$C$1000,1,false)</f>
        <v>ZSI1_PANEL_BOX</v>
      </c>
      <c r="H11826" s="63" t="str">
        <f>IFERROR(__xludf.DUMMYFUNCTION("VLOOKUP(F11826, IMPORTRANGE(""https://docs.google.com/spreadsheets/d/1Lhp9OU0JdFf_VYSMzH5lBcEaU4o8teT1piV-SNzShjg/edit?gid=554141278#gid=554141278"", ""'Char Def. - Attributes'!C20:C2242""), 1,false)"),"ALT_NUM_UOM5")</f>
        <v>ALT_NUM_UOM5</v>
      </c>
      <c r="I11826" s="136"/>
      <c r="R11826" s="63" t="str">
        <f t="shared" si="60"/>
        <v>ZSI1_PANEL_BOXALT_NUM_UOM5</v>
      </c>
    </row>
    <row r="11827" ht="15.75" customHeight="1">
      <c r="B11827" s="63">
        <f t="shared" si="1"/>
        <v>17</v>
      </c>
      <c r="C11827" s="135" t="s">
        <v>434</v>
      </c>
      <c r="D11827" s="161" t="s">
        <v>74</v>
      </c>
      <c r="E11827" s="135">
        <f t="shared" si="62"/>
        <v>1</v>
      </c>
      <c r="F11827" s="134" t="s">
        <v>5032</v>
      </c>
      <c r="G11827" s="63" t="str">
        <f>VLOOKUP(C11827, 'Class Def. - General Data'!$C$20:$C$1000,1,false)</f>
        <v>ZSI1_PAPER_CUTTER</v>
      </c>
      <c r="H11827" s="63" t="str">
        <f>IFERROR(__xludf.DUMMYFUNCTION("VLOOKUP(F11827, IMPORTRANGE(""https://docs.google.com/spreadsheets/d/1Lhp9OU0JdFf_VYSMzH5lBcEaU4o8teT1piV-SNzShjg/edit?gid=554141278#gid=554141278"", ""'Char Def. - Attributes'!C20:C2242""), 1,false)"),"ITEM_NAME_PAPER_CUTTER")</f>
        <v>ITEM_NAME_PAPER_CUTTER</v>
      </c>
      <c r="I11827" s="136"/>
      <c r="R11827" s="63" t="str">
        <f t="shared" si="60"/>
        <v>ZSI1_PAPER_CUTTERITEM_NAME_PAPER_CUTTER</v>
      </c>
    </row>
    <row r="11828" ht="15.75" customHeight="1">
      <c r="B11828" s="63">
        <f t="shared" si="1"/>
        <v>17</v>
      </c>
      <c r="C11828" s="135" t="s">
        <v>434</v>
      </c>
      <c r="D11828" s="161" t="s">
        <v>74</v>
      </c>
      <c r="E11828" s="135">
        <f t="shared" si="62"/>
        <v>2</v>
      </c>
      <c r="F11828" s="134" t="s">
        <v>5033</v>
      </c>
      <c r="G11828" s="63" t="str">
        <f>VLOOKUP(C11828, 'Class Def. - General Data'!$C$20:$C$1000,1,false)</f>
        <v>ZSI1_PAPER_CUTTER</v>
      </c>
      <c r="H11828" s="63" t="str">
        <f>IFERROR(__xludf.DUMMYFUNCTION("VLOOKUP(F11828, IMPORTRANGE(""https://docs.google.com/spreadsheets/d/1Lhp9OU0JdFf_VYSMzH5lBcEaU4o8teT1piV-SNzShjg/edit?gid=554141278#gid=554141278"", ""'Char Def. - Attributes'!C20:C2242""), 1,false)"),"CUT_SIZE_PAPER_CUTTER")</f>
        <v>CUT_SIZE_PAPER_CUTTER</v>
      </c>
      <c r="I11828" s="136"/>
      <c r="R11828" s="63" t="str">
        <f t="shared" si="60"/>
        <v>ZSI1_PAPER_CUTTERCUT_SIZE_PAPER_CUTTER</v>
      </c>
    </row>
    <row r="11829" ht="15.75" customHeight="1">
      <c r="B11829" s="63">
        <f t="shared" si="1"/>
        <v>17</v>
      </c>
      <c r="C11829" s="135" t="s">
        <v>434</v>
      </c>
      <c r="D11829" s="161" t="s">
        <v>74</v>
      </c>
      <c r="E11829" s="135">
        <f t="shared" si="62"/>
        <v>3</v>
      </c>
      <c r="F11829" s="134" t="s">
        <v>5034</v>
      </c>
      <c r="G11829" s="63" t="str">
        <f>VLOOKUP(C11829, 'Class Def. - General Data'!$C$20:$C$1000,1,false)</f>
        <v>ZSI1_PAPER_CUTTER</v>
      </c>
      <c r="H11829" s="63" t="str">
        <f>IFERROR(__xludf.DUMMYFUNCTION("VLOOKUP(F11829, IMPORTRANGE(""https://docs.google.com/spreadsheets/d/1Lhp9OU0JdFf_VYSMzH5lBcEaU4o8teT1piV-SNzShjg/edit?gid=554141278#gid=554141278"", ""'Char Def. - Attributes'!C20:C2242""), 1,false)"),"SERIES_PAPER_CUTTER")</f>
        <v>SERIES_PAPER_CUTTER</v>
      </c>
      <c r="I11829" s="136"/>
      <c r="R11829" s="63" t="str">
        <f t="shared" si="60"/>
        <v>ZSI1_PAPER_CUTTERSERIES_PAPER_CUTTER</v>
      </c>
    </row>
    <row r="11830" ht="15.75" customHeight="1">
      <c r="B11830" s="63">
        <f t="shared" si="1"/>
        <v>17</v>
      </c>
      <c r="C11830" s="135" t="s">
        <v>434</v>
      </c>
      <c r="D11830" s="161" t="s">
        <v>74</v>
      </c>
      <c r="E11830" s="135">
        <f t="shared" si="62"/>
        <v>4</v>
      </c>
      <c r="F11830" s="134" t="s">
        <v>3782</v>
      </c>
      <c r="G11830" s="63" t="str">
        <f>VLOOKUP(C11830, 'Class Def. - General Data'!$C$20:$C$1000,1,false)</f>
        <v>ZSI1_PAPER_CUTTER</v>
      </c>
      <c r="H11830" s="63" t="str">
        <f>IFERROR(__xludf.DUMMYFUNCTION("VLOOKUP(F11830, IMPORTRANGE(""https://docs.google.com/spreadsheets/d/1Lhp9OU0JdFf_VYSMzH5lBcEaU4o8teT1piV-SNzShjg/edit?gid=554141278#gid=554141278"", ""'Char Def. - Attributes'!C20:C2242""), 1,false)"),"BRAND_EXTERNAL")</f>
        <v>BRAND_EXTERNAL</v>
      </c>
      <c r="I11830" s="136"/>
      <c r="R11830" s="63" t="str">
        <f t="shared" si="60"/>
        <v>ZSI1_PAPER_CUTTERBRAND_EXTERNAL</v>
      </c>
    </row>
    <row r="11831" ht="15.75" customHeight="1">
      <c r="B11831" s="63">
        <f t="shared" si="1"/>
        <v>17</v>
      </c>
      <c r="C11831" s="135" t="s">
        <v>434</v>
      </c>
      <c r="D11831" s="161" t="s">
        <v>74</v>
      </c>
      <c r="E11831" s="135">
        <f t="shared" si="62"/>
        <v>5</v>
      </c>
      <c r="F11831" s="134" t="s">
        <v>4053</v>
      </c>
      <c r="G11831" s="63" t="str">
        <f>VLOOKUP(C11831, 'Class Def. - General Data'!$C$20:$C$1000,1,false)</f>
        <v>ZSI1_PAPER_CUTTER</v>
      </c>
      <c r="H11831" s="63" t="str">
        <f>IFERROR(__xludf.DUMMYFUNCTION("VLOOKUP(F11831, IMPORTRANGE(""https://docs.google.com/spreadsheets/d/1Lhp9OU0JdFf_VYSMzH5lBcEaU4o8teT1piV-SNzShjg/edit?gid=554141278#gid=554141278"", ""'Char Def. - Attributes'!C20:C2242""), 1,false)"),"MAINTENANCE_ORDER_TYPE")</f>
        <v>MAINTENANCE_ORDER_TYPE</v>
      </c>
      <c r="I11831" s="136"/>
      <c r="R11831" s="63" t="str">
        <f t="shared" si="60"/>
        <v>ZSI1_PAPER_CUTTERMAINTENANCE_ORDER_TYPE</v>
      </c>
    </row>
    <row r="11832" ht="15.75" customHeight="1">
      <c r="B11832" s="63">
        <f t="shared" si="1"/>
        <v>17</v>
      </c>
      <c r="C11832" s="135" t="s">
        <v>434</v>
      </c>
      <c r="D11832" s="161" t="s">
        <v>74</v>
      </c>
      <c r="E11832" s="135">
        <f t="shared" si="62"/>
        <v>6</v>
      </c>
      <c r="F11832" s="134" t="s">
        <v>3585</v>
      </c>
      <c r="G11832" s="63" t="str">
        <f>VLOOKUP(C11832, 'Class Def. - General Data'!$C$20:$C$1000,1,false)</f>
        <v>ZSI1_PAPER_CUTTER</v>
      </c>
      <c r="H11832" s="63" t="str">
        <f>IFERROR(__xludf.DUMMYFUNCTION("VLOOKUP(F11832, IMPORTRANGE(""https://docs.google.com/spreadsheets/d/1Lhp9OU0JdFf_VYSMzH5lBcEaU4o8teT1piV-SNzShjg/edit?gid=554141278#gid=554141278"", ""'Char Def. - Attributes'!C20:C2242""), 1,false)"),"HS_CODE")</f>
        <v>HS_CODE</v>
      </c>
      <c r="I11832" s="136"/>
      <c r="R11832" s="63" t="str">
        <f t="shared" si="60"/>
        <v>ZSI1_PAPER_CUTTERHS_CODE</v>
      </c>
    </row>
    <row r="11833" ht="15.75" customHeight="1">
      <c r="B11833" s="63">
        <f t="shared" si="1"/>
        <v>17</v>
      </c>
      <c r="C11833" s="135" t="s">
        <v>434</v>
      </c>
      <c r="D11833" s="161" t="s">
        <v>74</v>
      </c>
      <c r="E11833" s="135">
        <f t="shared" si="62"/>
        <v>7</v>
      </c>
      <c r="F11833" s="134" t="s">
        <v>3587</v>
      </c>
      <c r="G11833" s="63" t="str">
        <f>VLOOKUP(C11833, 'Class Def. - General Data'!$C$20:$C$1000,1,false)</f>
        <v>ZSI1_PAPER_CUTTER</v>
      </c>
      <c r="H11833" s="63" t="str">
        <f>IFERROR(__xludf.DUMMYFUNCTION("VLOOKUP(F11833, IMPORTRANGE(""https://docs.google.com/spreadsheets/d/1Lhp9OU0JdFf_VYSMzH5lBcEaU4o8teT1piV-SNzShjg/edit?gid=554141278#gid=554141278"", ""'Char Def. - Attributes'!C20:C2242""), 1,false)"),"PLANT_BUY")</f>
        <v>PLANT_BUY</v>
      </c>
      <c r="I11833" s="136"/>
      <c r="R11833" s="63" t="str">
        <f t="shared" si="60"/>
        <v>ZSI1_PAPER_CUTTERPLANT_BUY</v>
      </c>
    </row>
    <row r="11834" ht="15.75" customHeight="1">
      <c r="B11834" s="63">
        <f t="shared" si="1"/>
        <v>17</v>
      </c>
      <c r="C11834" s="135" t="s">
        <v>434</v>
      </c>
      <c r="D11834" s="161" t="s">
        <v>74</v>
      </c>
      <c r="E11834" s="135">
        <f t="shared" si="62"/>
        <v>8</v>
      </c>
      <c r="F11834" s="134" t="s">
        <v>5035</v>
      </c>
      <c r="G11834" s="63" t="str">
        <f>VLOOKUP(C11834, 'Class Def. - General Data'!$C$20:$C$1000,1,false)</f>
        <v>ZSI1_PAPER_CUTTER</v>
      </c>
      <c r="H11834" s="63" t="str">
        <f>IFERROR(__xludf.DUMMYFUNCTION("VLOOKUP(F11834, IMPORTRANGE(""https://docs.google.com/spreadsheets/d/1Lhp9OU0JdFf_VYSMzH5lBcEaU4o8teT1piV-SNzShjg/edit?gid=554141278#gid=554141278"", ""'Char Def. - Attributes'!C20:C2242""), 1,false)"),"BASE_UOM_PAPER_CUTTER")</f>
        <v>BASE_UOM_PAPER_CUTTER</v>
      </c>
      <c r="I11834" s="136"/>
      <c r="R11834" s="63" t="str">
        <f t="shared" si="60"/>
        <v>ZSI1_PAPER_CUTTERBASE_UOM_PAPER_CUTTER</v>
      </c>
    </row>
    <row r="11835" ht="15.75" customHeight="1">
      <c r="B11835" s="63">
        <f t="shared" si="1"/>
        <v>17</v>
      </c>
      <c r="C11835" s="135" t="s">
        <v>434</v>
      </c>
      <c r="D11835" s="161" t="s">
        <v>74</v>
      </c>
      <c r="E11835" s="135">
        <f t="shared" si="62"/>
        <v>9</v>
      </c>
      <c r="F11835" s="134" t="s">
        <v>5036</v>
      </c>
      <c r="G11835" s="63" t="str">
        <f>VLOOKUP(C11835, 'Class Def. - General Data'!$C$20:$C$1000,1,false)</f>
        <v>ZSI1_PAPER_CUTTER</v>
      </c>
      <c r="H11835" s="63" t="str">
        <f>IFERROR(__xludf.DUMMYFUNCTION("VLOOKUP(F11835, IMPORTRANGE(""https://docs.google.com/spreadsheets/d/1Lhp9OU0JdFf_VYSMzH5lBcEaU4o8teT1piV-SNzShjg/edit?gid=554141278#gid=554141278"", ""'Char Def. - Attributes'!C20:C2242""), 1,false)"),"ORDER_UNIT_PAPER_CUTTER")</f>
        <v>ORDER_UNIT_PAPER_CUTTER</v>
      </c>
      <c r="I11835" s="136"/>
      <c r="R11835" s="63" t="str">
        <f t="shared" si="60"/>
        <v>ZSI1_PAPER_CUTTERORDER_UNIT_PAPER_CUTTER</v>
      </c>
    </row>
    <row r="11836" ht="15.75" customHeight="1">
      <c r="B11836" s="63">
        <f t="shared" si="1"/>
        <v>17</v>
      </c>
      <c r="C11836" s="135" t="s">
        <v>434</v>
      </c>
      <c r="D11836" s="161" t="s">
        <v>74</v>
      </c>
      <c r="E11836" s="135">
        <f t="shared" si="62"/>
        <v>10</v>
      </c>
      <c r="F11836" s="134" t="s">
        <v>4056</v>
      </c>
      <c r="G11836" s="63" t="str">
        <f>VLOOKUP(C11836, 'Class Def. - General Data'!$C$20:$C$1000,1,false)</f>
        <v>ZSI1_PAPER_CUTTER</v>
      </c>
      <c r="H11836" s="63" t="str">
        <f>IFERROR(__xludf.DUMMYFUNCTION("VLOOKUP(F11836, IMPORTRANGE(""https://docs.google.com/spreadsheets/d/1Lhp9OU0JdFf_VYSMzH5lBcEaU4o8teT1piV-SNzShjg/edit?gid=554141278#gid=554141278"", ""'Char Def. - Attributes'!C20:C2242""), 1,false)"),"GROSS_WEIGHT_OPT")</f>
        <v>GROSS_WEIGHT_OPT</v>
      </c>
      <c r="I11836" s="136"/>
      <c r="R11836" s="63" t="str">
        <f t="shared" si="60"/>
        <v>ZSI1_PAPER_CUTTERGROSS_WEIGHT_OPT</v>
      </c>
    </row>
    <row r="11837" ht="15.75" customHeight="1">
      <c r="B11837" s="63">
        <f t="shared" si="1"/>
        <v>17</v>
      </c>
      <c r="C11837" s="135" t="s">
        <v>434</v>
      </c>
      <c r="D11837" s="161" t="s">
        <v>74</v>
      </c>
      <c r="E11837" s="135">
        <f t="shared" si="62"/>
        <v>11</v>
      </c>
      <c r="F11837" s="134" t="s">
        <v>4057</v>
      </c>
      <c r="G11837" s="63" t="str">
        <f>VLOOKUP(C11837, 'Class Def. - General Data'!$C$20:$C$1000,1,false)</f>
        <v>ZSI1_PAPER_CUTTER</v>
      </c>
      <c r="H11837" s="63" t="str">
        <f>IFERROR(__xludf.DUMMYFUNCTION("VLOOKUP(F11837, IMPORTRANGE(""https://docs.google.com/spreadsheets/d/1Lhp9OU0JdFf_VYSMzH5lBcEaU4o8teT1piV-SNzShjg/edit?gid=554141278#gid=554141278"", ""'Char Def. - Attributes'!C20:C2242""), 1,false)"),"NET_WEIGHT_OPT")</f>
        <v>NET_WEIGHT_OPT</v>
      </c>
      <c r="I11837" s="136"/>
      <c r="R11837" s="63" t="str">
        <f t="shared" si="60"/>
        <v>ZSI1_PAPER_CUTTERNET_WEIGHT_OPT</v>
      </c>
    </row>
    <row r="11838" ht="15.75" customHeight="1">
      <c r="B11838" s="63">
        <f t="shared" si="1"/>
        <v>17</v>
      </c>
      <c r="C11838" s="135" t="s">
        <v>434</v>
      </c>
      <c r="D11838" s="161" t="s">
        <v>74</v>
      </c>
      <c r="E11838" s="135">
        <f t="shared" si="62"/>
        <v>12</v>
      </c>
      <c r="F11838" s="134" t="s">
        <v>4058</v>
      </c>
      <c r="G11838" s="63" t="str">
        <f>VLOOKUP(C11838, 'Class Def. - General Data'!$C$20:$C$1000,1,false)</f>
        <v>ZSI1_PAPER_CUTTER</v>
      </c>
      <c r="H11838" s="63" t="str">
        <f>IFERROR(__xludf.DUMMYFUNCTION("VLOOKUP(F11838, IMPORTRANGE(""https://docs.google.com/spreadsheets/d/1Lhp9OU0JdFf_VYSMzH5lBcEaU4o8teT1piV-SNzShjg/edit?gid=554141278#gid=554141278"", ""'Char Def. - Attributes'!C20:C2242""), 1,false)"),"WEIGHT_UNIT_SI")</f>
        <v>WEIGHT_UNIT_SI</v>
      </c>
      <c r="I11838" s="136"/>
      <c r="R11838" s="63" t="str">
        <f t="shared" si="60"/>
        <v>ZSI1_PAPER_CUTTERWEIGHT_UNIT_SI</v>
      </c>
    </row>
    <row r="11839" ht="15.75" customHeight="1">
      <c r="B11839" s="63">
        <f t="shared" si="1"/>
        <v>17</v>
      </c>
      <c r="C11839" s="135" t="s">
        <v>434</v>
      </c>
      <c r="D11839" s="161" t="s">
        <v>74</v>
      </c>
      <c r="E11839" s="135">
        <f t="shared" si="62"/>
        <v>13</v>
      </c>
      <c r="F11839" s="134" t="s">
        <v>3877</v>
      </c>
      <c r="G11839" s="63" t="str">
        <f>VLOOKUP(C11839, 'Class Def. - General Data'!$C$20:$C$1000,1,false)</f>
        <v>ZSI1_PAPER_CUTTER</v>
      </c>
      <c r="H11839" s="63" t="str">
        <f>IFERROR(__xludf.DUMMYFUNCTION("VLOOKUP(F11839, IMPORTRANGE(""https://docs.google.com/spreadsheets/d/1Lhp9OU0JdFf_VYSMzH5lBcEaU4o8teT1piV-SNzShjg/edit?gid=554141278#gid=554141278"", ""'Char Def. - Attributes'!C20:C2242""), 1,false)"),"VOLUME_OPT")</f>
        <v>VOLUME_OPT</v>
      </c>
      <c r="I11839" s="136"/>
      <c r="R11839" s="63" t="str">
        <f t="shared" si="60"/>
        <v>ZSI1_PAPER_CUTTERVOLUME_OPT</v>
      </c>
    </row>
    <row r="11840" ht="15.75" customHeight="1">
      <c r="B11840" s="63">
        <f t="shared" si="1"/>
        <v>17</v>
      </c>
      <c r="C11840" s="135" t="s">
        <v>434</v>
      </c>
      <c r="D11840" s="161" t="s">
        <v>74</v>
      </c>
      <c r="E11840" s="135">
        <f t="shared" si="62"/>
        <v>14</v>
      </c>
      <c r="F11840" s="134" t="s">
        <v>4059</v>
      </c>
      <c r="G11840" s="63" t="str">
        <f>VLOOKUP(C11840, 'Class Def. - General Data'!$C$20:$C$1000,1,false)</f>
        <v>ZSI1_PAPER_CUTTER</v>
      </c>
      <c r="H11840" s="63" t="str">
        <f>IFERROR(__xludf.DUMMYFUNCTION("VLOOKUP(F11840, IMPORTRANGE(""https://docs.google.com/spreadsheets/d/1Lhp9OU0JdFf_VYSMzH5lBcEaU4o8teT1piV-SNzShjg/edit?gid=554141278#gid=554141278"", ""'Char Def. - Attributes'!C20:C2242""), 1,false)"),"VOLUME_UNIT_SI")</f>
        <v>VOLUME_UNIT_SI</v>
      </c>
      <c r="I11840" s="136"/>
      <c r="R11840" s="63" t="str">
        <f t="shared" si="60"/>
        <v>ZSI1_PAPER_CUTTERVOLUME_UNIT_SI</v>
      </c>
    </row>
    <row r="11841" ht="15.75" customHeight="1">
      <c r="B11841" s="63">
        <f t="shared" si="1"/>
        <v>17</v>
      </c>
      <c r="C11841" s="135" t="s">
        <v>434</v>
      </c>
      <c r="D11841" s="161" t="s">
        <v>74</v>
      </c>
      <c r="E11841" s="135">
        <f t="shared" si="62"/>
        <v>15</v>
      </c>
      <c r="F11841" s="134" t="s">
        <v>3804</v>
      </c>
      <c r="G11841" s="63" t="str">
        <f>VLOOKUP(C11841, 'Class Def. - General Data'!$C$20:$C$1000,1,false)</f>
        <v>ZSI1_PAPER_CUTTER</v>
      </c>
      <c r="H11841" s="63" t="str">
        <f>IFERROR(__xludf.DUMMYFUNCTION("VLOOKUP(F11841, IMPORTRANGE(""https://docs.google.com/spreadsheets/d/1Lhp9OU0JdFf_VYSMzH5lBcEaU4o8teT1piV-SNzShjg/edit?gid=554141278#gid=554141278"", ""'Char Def. - Attributes'!C20:C2242""), 1,false)"),"ALT_UOM1_SIPI")</f>
        <v>ALT_UOM1_SIPI</v>
      </c>
      <c r="I11841" s="136"/>
      <c r="R11841" s="63" t="str">
        <f t="shared" si="60"/>
        <v>ZSI1_PAPER_CUTTERALT_UOM1_SIPI</v>
      </c>
    </row>
    <row r="11842" ht="15.75" customHeight="1">
      <c r="B11842" s="63">
        <f t="shared" si="1"/>
        <v>17</v>
      </c>
      <c r="C11842" s="135" t="s">
        <v>434</v>
      </c>
      <c r="D11842" s="161" t="s">
        <v>74</v>
      </c>
      <c r="E11842" s="135">
        <f t="shared" si="62"/>
        <v>16</v>
      </c>
      <c r="F11842" s="134" t="s">
        <v>3805</v>
      </c>
      <c r="G11842" s="63" t="str">
        <f>VLOOKUP(C11842, 'Class Def. - General Data'!$C$20:$C$1000,1,false)</f>
        <v>ZSI1_PAPER_CUTTER</v>
      </c>
      <c r="H11842" s="63" t="str">
        <f>IFERROR(__xludf.DUMMYFUNCTION("VLOOKUP(F11842, IMPORTRANGE(""https://docs.google.com/spreadsheets/d/1Lhp9OU0JdFf_VYSMzH5lBcEaU4o8teT1piV-SNzShjg/edit?gid=554141278#gid=554141278"", ""'Char Def. - Attributes'!C20:C2242""), 1,false)"),"ALT_DENUM_UOM1")</f>
        <v>ALT_DENUM_UOM1</v>
      </c>
      <c r="I11842" s="136"/>
      <c r="R11842" s="63" t="str">
        <f t="shared" si="60"/>
        <v>ZSI1_PAPER_CUTTERALT_DENUM_UOM1</v>
      </c>
    </row>
    <row r="11843" ht="15.75" customHeight="1">
      <c r="B11843" s="63">
        <f t="shared" si="1"/>
        <v>17</v>
      </c>
      <c r="C11843" s="135" t="s">
        <v>434</v>
      </c>
      <c r="D11843" s="161" t="s">
        <v>74</v>
      </c>
      <c r="E11843" s="135">
        <f t="shared" si="62"/>
        <v>17</v>
      </c>
      <c r="F11843" s="134" t="s">
        <v>3806</v>
      </c>
      <c r="G11843" s="63" t="str">
        <f>VLOOKUP(C11843, 'Class Def. - General Data'!$C$20:$C$1000,1,false)</f>
        <v>ZSI1_PAPER_CUTTER</v>
      </c>
      <c r="H11843" s="63" t="str">
        <f>IFERROR(__xludf.DUMMYFUNCTION("VLOOKUP(F11843, IMPORTRANGE(""https://docs.google.com/spreadsheets/d/1Lhp9OU0JdFf_VYSMzH5lBcEaU4o8teT1piV-SNzShjg/edit?gid=554141278#gid=554141278"", ""'Char Def. - Attributes'!C20:C2242""), 1,false)"),"ALT_NUM_UOM1")</f>
        <v>ALT_NUM_UOM1</v>
      </c>
      <c r="I11843" s="136"/>
      <c r="R11843" s="63" t="str">
        <f t="shared" si="60"/>
        <v>ZSI1_PAPER_CUTTERALT_NUM_UOM1</v>
      </c>
    </row>
    <row r="11844" ht="15.75" customHeight="1">
      <c r="B11844" s="63">
        <f t="shared" si="1"/>
        <v>17</v>
      </c>
      <c r="C11844" s="135" t="s">
        <v>434</v>
      </c>
      <c r="D11844" s="161" t="s">
        <v>74</v>
      </c>
      <c r="E11844" s="135">
        <f t="shared" si="62"/>
        <v>18</v>
      </c>
      <c r="F11844" s="134" t="s">
        <v>3807</v>
      </c>
      <c r="G11844" s="63" t="str">
        <f>VLOOKUP(C11844, 'Class Def. - General Data'!$C$20:$C$1000,1,false)</f>
        <v>ZSI1_PAPER_CUTTER</v>
      </c>
      <c r="H11844" s="63" t="str">
        <f>IFERROR(__xludf.DUMMYFUNCTION("VLOOKUP(F11844, IMPORTRANGE(""https://docs.google.com/spreadsheets/d/1Lhp9OU0JdFf_VYSMzH5lBcEaU4o8teT1piV-SNzShjg/edit?gid=554141278#gid=554141278"", ""'Char Def. - Attributes'!C20:C2242""), 1,false)"),"ALT_UOM2_SIPI")</f>
        <v>ALT_UOM2_SIPI</v>
      </c>
      <c r="I11844" s="136"/>
      <c r="R11844" s="63" t="str">
        <f t="shared" si="60"/>
        <v>ZSI1_PAPER_CUTTERALT_UOM2_SIPI</v>
      </c>
    </row>
    <row r="11845" ht="15.75" customHeight="1">
      <c r="B11845" s="63">
        <f t="shared" si="1"/>
        <v>17</v>
      </c>
      <c r="C11845" s="135" t="s">
        <v>434</v>
      </c>
      <c r="D11845" s="161" t="s">
        <v>74</v>
      </c>
      <c r="E11845" s="135">
        <f t="shared" si="62"/>
        <v>19</v>
      </c>
      <c r="F11845" s="134" t="s">
        <v>3808</v>
      </c>
      <c r="G11845" s="63" t="str">
        <f>VLOOKUP(C11845, 'Class Def. - General Data'!$C$20:$C$1000,1,false)</f>
        <v>ZSI1_PAPER_CUTTER</v>
      </c>
      <c r="H11845" s="63" t="str">
        <f>IFERROR(__xludf.DUMMYFUNCTION("VLOOKUP(F11845, IMPORTRANGE(""https://docs.google.com/spreadsheets/d/1Lhp9OU0JdFf_VYSMzH5lBcEaU4o8teT1piV-SNzShjg/edit?gid=554141278#gid=554141278"", ""'Char Def. - Attributes'!C20:C2242""), 1,false)"),"ALT_DENUM_UOM2")</f>
        <v>ALT_DENUM_UOM2</v>
      </c>
      <c r="I11845" s="136"/>
      <c r="R11845" s="63" t="str">
        <f t="shared" si="60"/>
        <v>ZSI1_PAPER_CUTTERALT_DENUM_UOM2</v>
      </c>
    </row>
    <row r="11846" ht="15.75" customHeight="1">
      <c r="B11846" s="63">
        <f t="shared" si="1"/>
        <v>17</v>
      </c>
      <c r="C11846" s="135" t="s">
        <v>434</v>
      </c>
      <c r="D11846" s="161" t="s">
        <v>74</v>
      </c>
      <c r="E11846" s="135">
        <f t="shared" si="62"/>
        <v>20</v>
      </c>
      <c r="F11846" s="134" t="s">
        <v>3809</v>
      </c>
      <c r="G11846" s="63" t="str">
        <f>VLOOKUP(C11846, 'Class Def. - General Data'!$C$20:$C$1000,1,false)</f>
        <v>ZSI1_PAPER_CUTTER</v>
      </c>
      <c r="H11846" s="63" t="str">
        <f>IFERROR(__xludf.DUMMYFUNCTION("VLOOKUP(F11846, IMPORTRANGE(""https://docs.google.com/spreadsheets/d/1Lhp9OU0JdFf_VYSMzH5lBcEaU4o8teT1piV-SNzShjg/edit?gid=554141278#gid=554141278"", ""'Char Def. - Attributes'!C20:C2242""), 1,false)"),"ALT_NUM_UOM2")</f>
        <v>ALT_NUM_UOM2</v>
      </c>
      <c r="I11846" s="136"/>
      <c r="R11846" s="63" t="str">
        <f t="shared" si="60"/>
        <v>ZSI1_PAPER_CUTTERALT_NUM_UOM2</v>
      </c>
    </row>
    <row r="11847" ht="15.75" customHeight="1">
      <c r="B11847" s="63">
        <f t="shared" si="1"/>
        <v>17</v>
      </c>
      <c r="C11847" s="135" t="s">
        <v>434</v>
      </c>
      <c r="D11847" s="161" t="s">
        <v>74</v>
      </c>
      <c r="E11847" s="135">
        <f t="shared" si="62"/>
        <v>21</v>
      </c>
      <c r="F11847" s="134" t="s">
        <v>3810</v>
      </c>
      <c r="G11847" s="63" t="str">
        <f>VLOOKUP(C11847, 'Class Def. - General Data'!$C$20:$C$1000,1,false)</f>
        <v>ZSI1_PAPER_CUTTER</v>
      </c>
      <c r="H11847" s="63" t="str">
        <f>IFERROR(__xludf.DUMMYFUNCTION("VLOOKUP(F11847, IMPORTRANGE(""https://docs.google.com/spreadsheets/d/1Lhp9OU0JdFf_VYSMzH5lBcEaU4o8teT1piV-SNzShjg/edit?gid=554141278#gid=554141278"", ""'Char Def. - Attributes'!C20:C2242""), 1,false)"),"ALT_UOM3_SIPI")</f>
        <v>ALT_UOM3_SIPI</v>
      </c>
      <c r="I11847" s="136"/>
      <c r="R11847" s="63" t="str">
        <f t="shared" si="60"/>
        <v>ZSI1_PAPER_CUTTERALT_UOM3_SIPI</v>
      </c>
    </row>
    <row r="11848" ht="15.75" customHeight="1">
      <c r="B11848" s="63">
        <f t="shared" si="1"/>
        <v>17</v>
      </c>
      <c r="C11848" s="135" t="s">
        <v>434</v>
      </c>
      <c r="D11848" s="161" t="s">
        <v>74</v>
      </c>
      <c r="E11848" s="135">
        <f t="shared" si="62"/>
        <v>22</v>
      </c>
      <c r="F11848" s="134" t="s">
        <v>3811</v>
      </c>
      <c r="G11848" s="63" t="str">
        <f>VLOOKUP(C11848, 'Class Def. - General Data'!$C$20:$C$1000,1,false)</f>
        <v>ZSI1_PAPER_CUTTER</v>
      </c>
      <c r="H11848" s="63" t="str">
        <f>IFERROR(__xludf.DUMMYFUNCTION("VLOOKUP(F11848, IMPORTRANGE(""https://docs.google.com/spreadsheets/d/1Lhp9OU0JdFf_VYSMzH5lBcEaU4o8teT1piV-SNzShjg/edit?gid=554141278#gid=554141278"", ""'Char Def. - Attributes'!C20:C2242""), 1,false)"),"ALT_DENUM_UOM3")</f>
        <v>ALT_DENUM_UOM3</v>
      </c>
      <c r="I11848" s="136"/>
      <c r="R11848" s="63" t="str">
        <f t="shared" si="60"/>
        <v>ZSI1_PAPER_CUTTERALT_DENUM_UOM3</v>
      </c>
    </row>
    <row r="11849" ht="15.75" customHeight="1">
      <c r="B11849" s="63">
        <f t="shared" si="1"/>
        <v>17</v>
      </c>
      <c r="C11849" s="135" t="s">
        <v>434</v>
      </c>
      <c r="D11849" s="161" t="s">
        <v>74</v>
      </c>
      <c r="E11849" s="135">
        <f t="shared" si="62"/>
        <v>23</v>
      </c>
      <c r="F11849" s="134" t="s">
        <v>3812</v>
      </c>
      <c r="G11849" s="63" t="str">
        <f>VLOOKUP(C11849, 'Class Def. - General Data'!$C$20:$C$1000,1,false)</f>
        <v>ZSI1_PAPER_CUTTER</v>
      </c>
      <c r="H11849" s="63" t="str">
        <f>IFERROR(__xludf.DUMMYFUNCTION("VLOOKUP(F11849, IMPORTRANGE(""https://docs.google.com/spreadsheets/d/1Lhp9OU0JdFf_VYSMzH5lBcEaU4o8teT1piV-SNzShjg/edit?gid=554141278#gid=554141278"", ""'Char Def. - Attributes'!C20:C2242""), 1,false)"),"ALT_NUM_UOM3")</f>
        <v>ALT_NUM_UOM3</v>
      </c>
      <c r="I11849" s="136"/>
      <c r="R11849" s="63" t="str">
        <f t="shared" si="60"/>
        <v>ZSI1_PAPER_CUTTERALT_NUM_UOM3</v>
      </c>
    </row>
    <row r="11850" ht="15.75" customHeight="1">
      <c r="B11850" s="63">
        <f t="shared" si="1"/>
        <v>17</v>
      </c>
      <c r="C11850" s="135" t="s">
        <v>434</v>
      </c>
      <c r="D11850" s="161" t="s">
        <v>74</v>
      </c>
      <c r="E11850" s="135">
        <f t="shared" si="62"/>
        <v>24</v>
      </c>
      <c r="F11850" s="134" t="s">
        <v>3813</v>
      </c>
      <c r="G11850" s="63" t="str">
        <f>VLOOKUP(C11850, 'Class Def. - General Data'!$C$20:$C$1000,1,false)</f>
        <v>ZSI1_PAPER_CUTTER</v>
      </c>
      <c r="H11850" s="63" t="str">
        <f>IFERROR(__xludf.DUMMYFUNCTION("VLOOKUP(F11850, IMPORTRANGE(""https://docs.google.com/spreadsheets/d/1Lhp9OU0JdFf_VYSMzH5lBcEaU4o8teT1piV-SNzShjg/edit?gid=554141278#gid=554141278"", ""'Char Def. - Attributes'!C20:C2242""), 1,false)"),"ALT_UOM4_SIPI")</f>
        <v>ALT_UOM4_SIPI</v>
      </c>
      <c r="I11850" s="136"/>
      <c r="R11850" s="63" t="str">
        <f t="shared" si="60"/>
        <v>ZSI1_PAPER_CUTTERALT_UOM4_SIPI</v>
      </c>
    </row>
    <row r="11851" ht="15.75" customHeight="1">
      <c r="B11851" s="63">
        <f t="shared" si="1"/>
        <v>17</v>
      </c>
      <c r="C11851" s="135" t="s">
        <v>434</v>
      </c>
      <c r="D11851" s="161" t="s">
        <v>74</v>
      </c>
      <c r="E11851" s="135">
        <f t="shared" si="62"/>
        <v>25</v>
      </c>
      <c r="F11851" s="134" t="s">
        <v>3814</v>
      </c>
      <c r="G11851" s="63" t="str">
        <f>VLOOKUP(C11851, 'Class Def. - General Data'!$C$20:$C$1000,1,false)</f>
        <v>ZSI1_PAPER_CUTTER</v>
      </c>
      <c r="H11851" s="63" t="str">
        <f>IFERROR(__xludf.DUMMYFUNCTION("VLOOKUP(F11851, IMPORTRANGE(""https://docs.google.com/spreadsheets/d/1Lhp9OU0JdFf_VYSMzH5lBcEaU4o8teT1piV-SNzShjg/edit?gid=554141278#gid=554141278"", ""'Char Def. - Attributes'!C20:C2242""), 1,false)"),"ALT_DENUM_UOM4")</f>
        <v>ALT_DENUM_UOM4</v>
      </c>
      <c r="I11851" s="136"/>
      <c r="R11851" s="63" t="str">
        <f t="shared" si="60"/>
        <v>ZSI1_PAPER_CUTTERALT_DENUM_UOM4</v>
      </c>
    </row>
    <row r="11852" ht="15.75" customHeight="1">
      <c r="B11852" s="63">
        <f t="shared" si="1"/>
        <v>17</v>
      </c>
      <c r="C11852" s="135" t="s">
        <v>434</v>
      </c>
      <c r="D11852" s="161" t="s">
        <v>74</v>
      </c>
      <c r="E11852" s="135">
        <f t="shared" si="62"/>
        <v>26</v>
      </c>
      <c r="F11852" s="134" t="s">
        <v>3815</v>
      </c>
      <c r="G11852" s="63" t="str">
        <f>VLOOKUP(C11852, 'Class Def. - General Data'!$C$20:$C$1000,1,false)</f>
        <v>ZSI1_PAPER_CUTTER</v>
      </c>
      <c r="H11852" s="63" t="str">
        <f>IFERROR(__xludf.DUMMYFUNCTION("VLOOKUP(F11852, IMPORTRANGE(""https://docs.google.com/spreadsheets/d/1Lhp9OU0JdFf_VYSMzH5lBcEaU4o8teT1piV-SNzShjg/edit?gid=554141278#gid=554141278"", ""'Char Def. - Attributes'!C20:C2242""), 1,false)"),"ALT_NUM_UOM4")</f>
        <v>ALT_NUM_UOM4</v>
      </c>
      <c r="I11852" s="136"/>
      <c r="R11852" s="63" t="str">
        <f t="shared" si="60"/>
        <v>ZSI1_PAPER_CUTTERALT_NUM_UOM4</v>
      </c>
    </row>
    <row r="11853" ht="15.75" customHeight="1">
      <c r="B11853" s="63">
        <f t="shared" si="1"/>
        <v>17</v>
      </c>
      <c r="C11853" s="135" t="s">
        <v>434</v>
      </c>
      <c r="D11853" s="161" t="s">
        <v>74</v>
      </c>
      <c r="E11853" s="135">
        <f t="shared" si="62"/>
        <v>27</v>
      </c>
      <c r="F11853" s="134" t="s">
        <v>3816</v>
      </c>
      <c r="G11853" s="63" t="str">
        <f>VLOOKUP(C11853, 'Class Def. - General Data'!$C$20:$C$1000,1,false)</f>
        <v>ZSI1_PAPER_CUTTER</v>
      </c>
      <c r="H11853" s="63" t="str">
        <f>IFERROR(__xludf.DUMMYFUNCTION("VLOOKUP(F11853, IMPORTRANGE(""https://docs.google.com/spreadsheets/d/1Lhp9OU0JdFf_VYSMzH5lBcEaU4o8teT1piV-SNzShjg/edit?gid=554141278#gid=554141278"", ""'Char Def. - Attributes'!C20:C2242""), 1,false)"),"ALT_UOM5_SIPI")</f>
        <v>ALT_UOM5_SIPI</v>
      </c>
      <c r="I11853" s="136"/>
      <c r="R11853" s="63" t="str">
        <f t="shared" si="60"/>
        <v>ZSI1_PAPER_CUTTERALT_UOM5_SIPI</v>
      </c>
    </row>
    <row r="11854" ht="15.75" customHeight="1">
      <c r="B11854" s="63">
        <f t="shared" si="1"/>
        <v>17</v>
      </c>
      <c r="C11854" s="135" t="s">
        <v>434</v>
      </c>
      <c r="D11854" s="161" t="s">
        <v>74</v>
      </c>
      <c r="E11854" s="135">
        <f t="shared" si="62"/>
        <v>28</v>
      </c>
      <c r="F11854" s="134" t="s">
        <v>3817</v>
      </c>
      <c r="G11854" s="63" t="str">
        <f>VLOOKUP(C11854, 'Class Def. - General Data'!$C$20:$C$1000,1,false)</f>
        <v>ZSI1_PAPER_CUTTER</v>
      </c>
      <c r="H11854" s="63" t="str">
        <f>IFERROR(__xludf.DUMMYFUNCTION("VLOOKUP(F11854, IMPORTRANGE(""https://docs.google.com/spreadsheets/d/1Lhp9OU0JdFf_VYSMzH5lBcEaU4o8teT1piV-SNzShjg/edit?gid=554141278#gid=554141278"", ""'Char Def. - Attributes'!C20:C2242""), 1,false)"),"ALT_DENUM_UOM5")</f>
        <v>ALT_DENUM_UOM5</v>
      </c>
      <c r="I11854" s="136"/>
      <c r="R11854" s="63" t="str">
        <f t="shared" si="60"/>
        <v>ZSI1_PAPER_CUTTERALT_DENUM_UOM5</v>
      </c>
    </row>
    <row r="11855" ht="15.75" customHeight="1">
      <c r="B11855" s="63">
        <f t="shared" si="1"/>
        <v>17</v>
      </c>
      <c r="C11855" s="135" t="s">
        <v>434</v>
      </c>
      <c r="D11855" s="161" t="s">
        <v>74</v>
      </c>
      <c r="E11855" s="135">
        <f t="shared" si="62"/>
        <v>29</v>
      </c>
      <c r="F11855" s="134" t="s">
        <v>3818</v>
      </c>
      <c r="G11855" s="63" t="str">
        <f>VLOOKUP(C11855, 'Class Def. - General Data'!$C$20:$C$1000,1,false)</f>
        <v>ZSI1_PAPER_CUTTER</v>
      </c>
      <c r="H11855" s="63" t="str">
        <f>IFERROR(__xludf.DUMMYFUNCTION("VLOOKUP(F11855, IMPORTRANGE(""https://docs.google.com/spreadsheets/d/1Lhp9OU0JdFf_VYSMzH5lBcEaU4o8teT1piV-SNzShjg/edit?gid=554141278#gid=554141278"", ""'Char Def. - Attributes'!C20:C2242""), 1,false)"),"ALT_NUM_UOM5")</f>
        <v>ALT_NUM_UOM5</v>
      </c>
      <c r="I11855" s="136"/>
      <c r="R11855" s="63" t="str">
        <f t="shared" si="60"/>
        <v>ZSI1_PAPER_CUTTERALT_NUM_UOM5</v>
      </c>
    </row>
    <row r="11856" ht="15.75" customHeight="1">
      <c r="B11856" s="63">
        <f t="shared" si="1"/>
        <v>17</v>
      </c>
      <c r="C11856" s="135" t="s">
        <v>520</v>
      </c>
      <c r="D11856" s="161" t="s">
        <v>74</v>
      </c>
      <c r="E11856" s="135">
        <f t="shared" si="62"/>
        <v>1</v>
      </c>
      <c r="F11856" s="134" t="s">
        <v>5037</v>
      </c>
      <c r="G11856" s="63" t="str">
        <f>VLOOKUP(C11856, 'Class Def. - General Data'!$C$20:$C$1000,1,false)</f>
        <v>ZSI1_PART_MOLDING</v>
      </c>
      <c r="H11856" s="63" t="str">
        <f>IFERROR(__xludf.DUMMYFUNCTION("VLOOKUP(F11856, IMPORTRANGE(""https://docs.google.com/spreadsheets/d/1Lhp9OU0JdFf_VYSMzH5lBcEaU4o8teT1piV-SNzShjg/edit?gid=554141278#gid=554141278"", ""'Char Def. - Attributes'!C20:C2242""), 1,false)"),"PART_NAME_PART_MOLDING")</f>
        <v>PART_NAME_PART_MOLDING</v>
      </c>
      <c r="I11856" s="136"/>
      <c r="R11856" s="63" t="str">
        <f t="shared" si="60"/>
        <v>ZSI1_PART_MOLDINGPART_NAME_PART_MOLDING</v>
      </c>
    </row>
    <row r="11857" ht="15.75" customHeight="1">
      <c r="B11857" s="63">
        <f t="shared" si="1"/>
        <v>17</v>
      </c>
      <c r="C11857" s="135" t="s">
        <v>520</v>
      </c>
      <c r="D11857" s="161" t="s">
        <v>74</v>
      </c>
      <c r="E11857" s="135">
        <f t="shared" si="62"/>
        <v>2</v>
      </c>
      <c r="F11857" s="134" t="s">
        <v>5038</v>
      </c>
      <c r="G11857" s="63" t="str">
        <f>VLOOKUP(C11857, 'Class Def. - General Data'!$C$20:$C$1000,1,false)</f>
        <v>ZSI1_PART_MOLDING</v>
      </c>
      <c r="H11857" s="63" t="str">
        <f>IFERROR(__xludf.DUMMYFUNCTION("VLOOKUP(F11857, IMPORTRANGE(""https://docs.google.com/spreadsheets/d/1Lhp9OU0JdFf_VYSMzH5lBcEaU4o8teT1piV-SNzShjg/edit?gid=554141278#gid=554141278"", ""'Char Def. - Attributes'!C20:C2242""), 1,false)"),"MOLD_ID_MOLDING")</f>
        <v>MOLD_ID_MOLDING</v>
      </c>
      <c r="I11857" s="136"/>
      <c r="R11857" s="63" t="str">
        <f t="shared" si="60"/>
        <v>ZSI1_PART_MOLDINGMOLD_ID_MOLDING</v>
      </c>
    </row>
    <row r="11858" ht="15.75" customHeight="1">
      <c r="B11858" s="63">
        <f t="shared" si="1"/>
        <v>17</v>
      </c>
      <c r="C11858" s="135" t="s">
        <v>520</v>
      </c>
      <c r="D11858" s="161" t="s">
        <v>74</v>
      </c>
      <c r="E11858" s="135">
        <f t="shared" si="62"/>
        <v>3</v>
      </c>
      <c r="F11858" s="134" t="s">
        <v>4062</v>
      </c>
      <c r="G11858" s="63" t="str">
        <f>VLOOKUP(C11858, 'Class Def. - General Data'!$C$20:$C$1000,1,false)</f>
        <v>ZSI1_PART_MOLDING</v>
      </c>
      <c r="H11858" s="63" t="str">
        <f>IFERROR(__xludf.DUMMYFUNCTION("VLOOKUP(F11858, IMPORTRANGE(""https://docs.google.com/spreadsheets/d/1Lhp9OU0JdFf_VYSMzH5lBcEaU4o8teT1piV-SNzShjg/edit?gid=554141278#gid=554141278"", ""'Char Def. - Attributes'!C20:C2242""), 1,false)"),"#N/A")</f>
        <v>#N/A</v>
      </c>
      <c r="I11858" s="136"/>
      <c r="R11858" s="63" t="str">
        <f t="shared" si="60"/>
        <v>ZSI1_PART_MOLDINGADDTIONAL_SPECIFICATION</v>
      </c>
    </row>
    <row r="11859" ht="15.75" customHeight="1">
      <c r="B11859" s="63">
        <f t="shared" si="1"/>
        <v>17</v>
      </c>
      <c r="C11859" s="135" t="s">
        <v>520</v>
      </c>
      <c r="D11859" s="161" t="s">
        <v>74</v>
      </c>
      <c r="E11859" s="135">
        <f t="shared" si="62"/>
        <v>4</v>
      </c>
      <c r="F11859" s="134" t="s">
        <v>4053</v>
      </c>
      <c r="G11859" s="63" t="str">
        <f>VLOOKUP(C11859, 'Class Def. - General Data'!$C$20:$C$1000,1,false)</f>
        <v>ZSI1_PART_MOLDING</v>
      </c>
      <c r="H11859" s="63" t="str">
        <f>IFERROR(__xludf.DUMMYFUNCTION("VLOOKUP(F11859, IMPORTRANGE(""https://docs.google.com/spreadsheets/d/1Lhp9OU0JdFf_VYSMzH5lBcEaU4o8teT1piV-SNzShjg/edit?gid=554141278#gid=554141278"", ""'Char Def. - Attributes'!C20:C2242""), 1,false)"),"MAINTENANCE_ORDER_TYPE")</f>
        <v>MAINTENANCE_ORDER_TYPE</v>
      </c>
      <c r="I11859" s="136"/>
      <c r="R11859" s="63" t="str">
        <f t="shared" si="60"/>
        <v>ZSI1_PART_MOLDINGMAINTENANCE_ORDER_TYPE</v>
      </c>
    </row>
    <row r="11860" ht="15.75" customHeight="1">
      <c r="B11860" s="63">
        <f t="shared" si="1"/>
        <v>17</v>
      </c>
      <c r="C11860" s="135" t="s">
        <v>520</v>
      </c>
      <c r="D11860" s="161" t="s">
        <v>74</v>
      </c>
      <c r="E11860" s="135">
        <f t="shared" si="62"/>
        <v>5</v>
      </c>
      <c r="F11860" s="134" t="s">
        <v>3585</v>
      </c>
      <c r="G11860" s="63" t="str">
        <f>VLOOKUP(C11860, 'Class Def. - General Data'!$C$20:$C$1000,1,false)</f>
        <v>ZSI1_PART_MOLDING</v>
      </c>
      <c r="H11860" s="63" t="str">
        <f>IFERROR(__xludf.DUMMYFUNCTION("VLOOKUP(F11860, IMPORTRANGE(""https://docs.google.com/spreadsheets/d/1Lhp9OU0JdFf_VYSMzH5lBcEaU4o8teT1piV-SNzShjg/edit?gid=554141278#gid=554141278"", ""'Char Def. - Attributes'!C20:C2242""), 1,false)"),"HS_CODE")</f>
        <v>HS_CODE</v>
      </c>
      <c r="I11860" s="136"/>
      <c r="R11860" s="63" t="str">
        <f t="shared" si="60"/>
        <v>ZSI1_PART_MOLDINGHS_CODE</v>
      </c>
    </row>
    <row r="11861" ht="15.75" customHeight="1">
      <c r="B11861" s="63">
        <f t="shared" si="1"/>
        <v>17</v>
      </c>
      <c r="C11861" s="135" t="s">
        <v>520</v>
      </c>
      <c r="D11861" s="161" t="s">
        <v>74</v>
      </c>
      <c r="E11861" s="135">
        <f t="shared" si="62"/>
        <v>6</v>
      </c>
      <c r="F11861" s="134" t="s">
        <v>3587</v>
      </c>
      <c r="G11861" s="63" t="str">
        <f>VLOOKUP(C11861, 'Class Def. - General Data'!$C$20:$C$1000,1,false)</f>
        <v>ZSI1_PART_MOLDING</v>
      </c>
      <c r="H11861" s="63" t="str">
        <f>IFERROR(__xludf.DUMMYFUNCTION("VLOOKUP(F11861, IMPORTRANGE(""https://docs.google.com/spreadsheets/d/1Lhp9OU0JdFf_VYSMzH5lBcEaU4o8teT1piV-SNzShjg/edit?gid=554141278#gid=554141278"", ""'Char Def. - Attributes'!C20:C2242""), 1,false)"),"PLANT_BUY")</f>
        <v>PLANT_BUY</v>
      </c>
      <c r="I11861" s="136"/>
      <c r="R11861" s="63" t="str">
        <f t="shared" si="60"/>
        <v>ZSI1_PART_MOLDINGPLANT_BUY</v>
      </c>
    </row>
    <row r="11862" ht="15.75" customHeight="1">
      <c r="B11862" s="63">
        <f t="shared" si="1"/>
        <v>17</v>
      </c>
      <c r="C11862" s="135" t="s">
        <v>520</v>
      </c>
      <c r="D11862" s="161" t="s">
        <v>74</v>
      </c>
      <c r="E11862" s="135">
        <f t="shared" si="62"/>
        <v>7</v>
      </c>
      <c r="F11862" s="134" t="s">
        <v>5039</v>
      </c>
      <c r="G11862" s="63" t="str">
        <f>VLOOKUP(C11862, 'Class Def. - General Data'!$C$20:$C$1000,1,false)</f>
        <v>ZSI1_PART_MOLDING</v>
      </c>
      <c r="H11862" s="63" t="str">
        <f>IFERROR(__xludf.DUMMYFUNCTION("VLOOKUP(F11862, IMPORTRANGE(""https://docs.google.com/spreadsheets/d/1Lhp9OU0JdFf_VYSMzH5lBcEaU4o8teT1piV-SNzShjg/edit?gid=554141278#gid=554141278"", ""'Char Def. - Attributes'!C20:C2242""), 1,false)"),"BASE_UOM_PART_MOLDING")</f>
        <v>BASE_UOM_PART_MOLDING</v>
      </c>
      <c r="I11862" s="136"/>
      <c r="R11862" s="63" t="str">
        <f t="shared" si="60"/>
        <v>ZSI1_PART_MOLDINGBASE_UOM_PART_MOLDING</v>
      </c>
    </row>
    <row r="11863" ht="15.75" customHeight="1">
      <c r="B11863" s="63">
        <f t="shared" si="1"/>
        <v>17</v>
      </c>
      <c r="C11863" s="135" t="s">
        <v>520</v>
      </c>
      <c r="D11863" s="161" t="s">
        <v>74</v>
      </c>
      <c r="E11863" s="135">
        <f t="shared" si="62"/>
        <v>8</v>
      </c>
      <c r="F11863" s="134" t="s">
        <v>5040</v>
      </c>
      <c r="G11863" s="63" t="str">
        <f>VLOOKUP(C11863, 'Class Def. - General Data'!$C$20:$C$1000,1,false)</f>
        <v>ZSI1_PART_MOLDING</v>
      </c>
      <c r="H11863" s="63" t="str">
        <f>IFERROR(__xludf.DUMMYFUNCTION("VLOOKUP(F11863, IMPORTRANGE(""https://docs.google.com/spreadsheets/d/1Lhp9OU0JdFf_VYSMzH5lBcEaU4o8teT1piV-SNzShjg/edit?gid=554141278#gid=554141278"", ""'Char Def. - Attributes'!C20:C2242""), 1,false)"),"ORDER_UNIT_PART_MOLDING")</f>
        <v>ORDER_UNIT_PART_MOLDING</v>
      </c>
      <c r="I11863" s="136"/>
      <c r="R11863" s="63" t="str">
        <f t="shared" si="60"/>
        <v>ZSI1_PART_MOLDINGORDER_UNIT_PART_MOLDING</v>
      </c>
    </row>
    <row r="11864" ht="15.75" customHeight="1">
      <c r="B11864" s="63">
        <f t="shared" si="1"/>
        <v>17</v>
      </c>
      <c r="C11864" s="135" t="s">
        <v>520</v>
      </c>
      <c r="D11864" s="161" t="s">
        <v>74</v>
      </c>
      <c r="E11864" s="135">
        <f t="shared" si="62"/>
        <v>9</v>
      </c>
      <c r="F11864" s="134" t="s">
        <v>4056</v>
      </c>
      <c r="G11864" s="63" t="str">
        <f>VLOOKUP(C11864, 'Class Def. - General Data'!$C$20:$C$1000,1,false)</f>
        <v>ZSI1_PART_MOLDING</v>
      </c>
      <c r="H11864" s="63" t="str">
        <f>IFERROR(__xludf.DUMMYFUNCTION("VLOOKUP(F11864, IMPORTRANGE(""https://docs.google.com/spreadsheets/d/1Lhp9OU0JdFf_VYSMzH5lBcEaU4o8teT1piV-SNzShjg/edit?gid=554141278#gid=554141278"", ""'Char Def. - Attributes'!C20:C2242""), 1,false)"),"GROSS_WEIGHT_OPT")</f>
        <v>GROSS_WEIGHT_OPT</v>
      </c>
      <c r="I11864" s="136"/>
      <c r="R11864" s="63" t="str">
        <f t="shared" si="60"/>
        <v>ZSI1_PART_MOLDINGGROSS_WEIGHT_OPT</v>
      </c>
    </row>
    <row r="11865" ht="15.75" customHeight="1">
      <c r="B11865" s="63">
        <f t="shared" si="1"/>
        <v>17</v>
      </c>
      <c r="C11865" s="135" t="s">
        <v>520</v>
      </c>
      <c r="D11865" s="161" t="s">
        <v>74</v>
      </c>
      <c r="E11865" s="135">
        <f t="shared" si="62"/>
        <v>10</v>
      </c>
      <c r="F11865" s="134" t="s">
        <v>4057</v>
      </c>
      <c r="G11865" s="63" t="str">
        <f>VLOOKUP(C11865, 'Class Def. - General Data'!$C$20:$C$1000,1,false)</f>
        <v>ZSI1_PART_MOLDING</v>
      </c>
      <c r="H11865" s="63" t="str">
        <f>IFERROR(__xludf.DUMMYFUNCTION("VLOOKUP(F11865, IMPORTRANGE(""https://docs.google.com/spreadsheets/d/1Lhp9OU0JdFf_VYSMzH5lBcEaU4o8teT1piV-SNzShjg/edit?gid=554141278#gid=554141278"", ""'Char Def. - Attributes'!C20:C2242""), 1,false)"),"NET_WEIGHT_OPT")</f>
        <v>NET_WEIGHT_OPT</v>
      </c>
      <c r="I11865" s="136"/>
      <c r="R11865" s="63" t="str">
        <f t="shared" si="60"/>
        <v>ZSI1_PART_MOLDINGNET_WEIGHT_OPT</v>
      </c>
    </row>
    <row r="11866" ht="15.75" customHeight="1">
      <c r="B11866" s="63">
        <f t="shared" si="1"/>
        <v>17</v>
      </c>
      <c r="C11866" s="135" t="s">
        <v>520</v>
      </c>
      <c r="D11866" s="161" t="s">
        <v>74</v>
      </c>
      <c r="E11866" s="135">
        <f t="shared" si="62"/>
        <v>11</v>
      </c>
      <c r="F11866" s="134" t="s">
        <v>4058</v>
      </c>
      <c r="G11866" s="63" t="str">
        <f>VLOOKUP(C11866, 'Class Def. - General Data'!$C$20:$C$1000,1,false)</f>
        <v>ZSI1_PART_MOLDING</v>
      </c>
      <c r="H11866" s="63" t="str">
        <f>IFERROR(__xludf.DUMMYFUNCTION("VLOOKUP(F11866, IMPORTRANGE(""https://docs.google.com/spreadsheets/d/1Lhp9OU0JdFf_VYSMzH5lBcEaU4o8teT1piV-SNzShjg/edit?gid=554141278#gid=554141278"", ""'Char Def. - Attributes'!C20:C2242""), 1,false)"),"WEIGHT_UNIT_SI")</f>
        <v>WEIGHT_UNIT_SI</v>
      </c>
      <c r="I11866" s="136"/>
      <c r="R11866" s="63" t="str">
        <f t="shared" si="60"/>
        <v>ZSI1_PART_MOLDINGWEIGHT_UNIT_SI</v>
      </c>
    </row>
    <row r="11867" ht="15.75" customHeight="1">
      <c r="B11867" s="63">
        <f t="shared" si="1"/>
        <v>17</v>
      </c>
      <c r="C11867" s="135" t="s">
        <v>520</v>
      </c>
      <c r="D11867" s="161" t="s">
        <v>74</v>
      </c>
      <c r="E11867" s="135">
        <f t="shared" si="62"/>
        <v>12</v>
      </c>
      <c r="F11867" s="134" t="s">
        <v>3877</v>
      </c>
      <c r="G11867" s="63" t="str">
        <f>VLOOKUP(C11867, 'Class Def. - General Data'!$C$20:$C$1000,1,false)</f>
        <v>ZSI1_PART_MOLDING</v>
      </c>
      <c r="H11867" s="63" t="str">
        <f>IFERROR(__xludf.DUMMYFUNCTION("VLOOKUP(F11867, IMPORTRANGE(""https://docs.google.com/spreadsheets/d/1Lhp9OU0JdFf_VYSMzH5lBcEaU4o8teT1piV-SNzShjg/edit?gid=554141278#gid=554141278"", ""'Char Def. - Attributes'!C20:C2242""), 1,false)"),"VOLUME_OPT")</f>
        <v>VOLUME_OPT</v>
      </c>
      <c r="I11867" s="136"/>
      <c r="R11867" s="63" t="str">
        <f t="shared" si="60"/>
        <v>ZSI1_PART_MOLDINGVOLUME_OPT</v>
      </c>
    </row>
    <row r="11868" ht="15.75" customHeight="1">
      <c r="B11868" s="63">
        <f t="shared" si="1"/>
        <v>17</v>
      </c>
      <c r="C11868" s="135" t="s">
        <v>520</v>
      </c>
      <c r="D11868" s="161" t="s">
        <v>74</v>
      </c>
      <c r="E11868" s="135">
        <f t="shared" si="62"/>
        <v>13</v>
      </c>
      <c r="F11868" s="134" t="s">
        <v>4059</v>
      </c>
      <c r="G11868" s="63" t="str">
        <f>VLOOKUP(C11868, 'Class Def. - General Data'!$C$20:$C$1000,1,false)</f>
        <v>ZSI1_PART_MOLDING</v>
      </c>
      <c r="H11868" s="63" t="str">
        <f>IFERROR(__xludf.DUMMYFUNCTION("VLOOKUP(F11868, IMPORTRANGE(""https://docs.google.com/spreadsheets/d/1Lhp9OU0JdFf_VYSMzH5lBcEaU4o8teT1piV-SNzShjg/edit?gid=554141278#gid=554141278"", ""'Char Def. - Attributes'!C20:C2242""), 1,false)"),"VOLUME_UNIT_SI")</f>
        <v>VOLUME_UNIT_SI</v>
      </c>
      <c r="I11868" s="136"/>
      <c r="R11868" s="63" t="str">
        <f t="shared" si="60"/>
        <v>ZSI1_PART_MOLDINGVOLUME_UNIT_SI</v>
      </c>
    </row>
    <row r="11869" ht="15.75" customHeight="1">
      <c r="B11869" s="63">
        <f t="shared" si="1"/>
        <v>17</v>
      </c>
      <c r="C11869" s="135" t="s">
        <v>520</v>
      </c>
      <c r="D11869" s="161" t="s">
        <v>74</v>
      </c>
      <c r="E11869" s="135">
        <f t="shared" si="62"/>
        <v>14</v>
      </c>
      <c r="F11869" s="134" t="s">
        <v>3804</v>
      </c>
      <c r="G11869" s="63" t="str">
        <f>VLOOKUP(C11869, 'Class Def. - General Data'!$C$20:$C$1000,1,false)</f>
        <v>ZSI1_PART_MOLDING</v>
      </c>
      <c r="H11869" s="63" t="str">
        <f>IFERROR(__xludf.DUMMYFUNCTION("VLOOKUP(F11869, IMPORTRANGE(""https://docs.google.com/spreadsheets/d/1Lhp9OU0JdFf_VYSMzH5lBcEaU4o8teT1piV-SNzShjg/edit?gid=554141278#gid=554141278"", ""'Char Def. - Attributes'!C20:C2242""), 1,false)"),"ALT_UOM1_SIPI")</f>
        <v>ALT_UOM1_SIPI</v>
      </c>
      <c r="I11869" s="136"/>
      <c r="R11869" s="63" t="str">
        <f t="shared" si="60"/>
        <v>ZSI1_PART_MOLDINGALT_UOM1_SIPI</v>
      </c>
    </row>
    <row r="11870" ht="15.75" customHeight="1">
      <c r="B11870" s="63">
        <f t="shared" si="1"/>
        <v>17</v>
      </c>
      <c r="C11870" s="135" t="s">
        <v>520</v>
      </c>
      <c r="D11870" s="161" t="s">
        <v>74</v>
      </c>
      <c r="E11870" s="135">
        <f t="shared" si="62"/>
        <v>15</v>
      </c>
      <c r="F11870" s="134" t="s">
        <v>3805</v>
      </c>
      <c r="G11870" s="63" t="str">
        <f>VLOOKUP(C11870, 'Class Def. - General Data'!$C$20:$C$1000,1,false)</f>
        <v>ZSI1_PART_MOLDING</v>
      </c>
      <c r="H11870" s="63" t="str">
        <f>IFERROR(__xludf.DUMMYFUNCTION("VLOOKUP(F11870, IMPORTRANGE(""https://docs.google.com/spreadsheets/d/1Lhp9OU0JdFf_VYSMzH5lBcEaU4o8teT1piV-SNzShjg/edit?gid=554141278#gid=554141278"", ""'Char Def. - Attributes'!C20:C2242""), 1,false)"),"ALT_DENUM_UOM1")</f>
        <v>ALT_DENUM_UOM1</v>
      </c>
      <c r="I11870" s="136"/>
      <c r="R11870" s="63" t="str">
        <f t="shared" si="60"/>
        <v>ZSI1_PART_MOLDINGALT_DENUM_UOM1</v>
      </c>
    </row>
    <row r="11871" ht="15.75" customHeight="1">
      <c r="B11871" s="63">
        <f t="shared" si="1"/>
        <v>17</v>
      </c>
      <c r="C11871" s="135" t="s">
        <v>520</v>
      </c>
      <c r="D11871" s="161" t="s">
        <v>74</v>
      </c>
      <c r="E11871" s="135">
        <f t="shared" si="62"/>
        <v>16</v>
      </c>
      <c r="F11871" s="134" t="s">
        <v>3806</v>
      </c>
      <c r="G11871" s="63" t="str">
        <f>VLOOKUP(C11871, 'Class Def. - General Data'!$C$20:$C$1000,1,false)</f>
        <v>ZSI1_PART_MOLDING</v>
      </c>
      <c r="H11871" s="63" t="str">
        <f>IFERROR(__xludf.DUMMYFUNCTION("VLOOKUP(F11871, IMPORTRANGE(""https://docs.google.com/spreadsheets/d/1Lhp9OU0JdFf_VYSMzH5lBcEaU4o8teT1piV-SNzShjg/edit?gid=554141278#gid=554141278"", ""'Char Def. - Attributes'!C20:C2242""), 1,false)"),"ALT_NUM_UOM1")</f>
        <v>ALT_NUM_UOM1</v>
      </c>
      <c r="I11871" s="136"/>
      <c r="R11871" s="63" t="str">
        <f t="shared" si="60"/>
        <v>ZSI1_PART_MOLDINGALT_NUM_UOM1</v>
      </c>
    </row>
    <row r="11872" ht="15.75" customHeight="1">
      <c r="B11872" s="63">
        <f t="shared" si="1"/>
        <v>17</v>
      </c>
      <c r="C11872" s="135" t="s">
        <v>520</v>
      </c>
      <c r="D11872" s="161" t="s">
        <v>74</v>
      </c>
      <c r="E11872" s="135">
        <f t="shared" si="62"/>
        <v>17</v>
      </c>
      <c r="F11872" s="134" t="s">
        <v>3807</v>
      </c>
      <c r="G11872" s="63" t="str">
        <f>VLOOKUP(C11872, 'Class Def. - General Data'!$C$20:$C$1000,1,false)</f>
        <v>ZSI1_PART_MOLDING</v>
      </c>
      <c r="H11872" s="63" t="str">
        <f>IFERROR(__xludf.DUMMYFUNCTION("VLOOKUP(F11872, IMPORTRANGE(""https://docs.google.com/spreadsheets/d/1Lhp9OU0JdFf_VYSMzH5lBcEaU4o8teT1piV-SNzShjg/edit?gid=554141278#gid=554141278"", ""'Char Def. - Attributes'!C20:C2242""), 1,false)"),"ALT_UOM2_SIPI")</f>
        <v>ALT_UOM2_SIPI</v>
      </c>
      <c r="I11872" s="136"/>
      <c r="R11872" s="63" t="str">
        <f t="shared" si="60"/>
        <v>ZSI1_PART_MOLDINGALT_UOM2_SIPI</v>
      </c>
    </row>
    <row r="11873" ht="15.75" customHeight="1">
      <c r="B11873" s="63">
        <f t="shared" si="1"/>
        <v>17</v>
      </c>
      <c r="C11873" s="135" t="s">
        <v>520</v>
      </c>
      <c r="D11873" s="161" t="s">
        <v>74</v>
      </c>
      <c r="E11873" s="135">
        <f t="shared" si="62"/>
        <v>18</v>
      </c>
      <c r="F11873" s="134" t="s">
        <v>3808</v>
      </c>
      <c r="G11873" s="63" t="str">
        <f>VLOOKUP(C11873, 'Class Def. - General Data'!$C$20:$C$1000,1,false)</f>
        <v>ZSI1_PART_MOLDING</v>
      </c>
      <c r="H11873" s="63" t="str">
        <f>IFERROR(__xludf.DUMMYFUNCTION("VLOOKUP(F11873, IMPORTRANGE(""https://docs.google.com/spreadsheets/d/1Lhp9OU0JdFf_VYSMzH5lBcEaU4o8teT1piV-SNzShjg/edit?gid=554141278#gid=554141278"", ""'Char Def. - Attributes'!C20:C2242""), 1,false)"),"ALT_DENUM_UOM2")</f>
        <v>ALT_DENUM_UOM2</v>
      </c>
      <c r="I11873" s="136"/>
      <c r="R11873" s="63" t="str">
        <f t="shared" si="60"/>
        <v>ZSI1_PART_MOLDINGALT_DENUM_UOM2</v>
      </c>
    </row>
    <row r="11874" ht="15.75" customHeight="1">
      <c r="B11874" s="63">
        <f t="shared" si="1"/>
        <v>17</v>
      </c>
      <c r="C11874" s="135" t="s">
        <v>520</v>
      </c>
      <c r="D11874" s="161" t="s">
        <v>74</v>
      </c>
      <c r="E11874" s="135">
        <f t="shared" si="62"/>
        <v>19</v>
      </c>
      <c r="F11874" s="134" t="s">
        <v>3809</v>
      </c>
      <c r="G11874" s="63" t="str">
        <f>VLOOKUP(C11874, 'Class Def. - General Data'!$C$20:$C$1000,1,false)</f>
        <v>ZSI1_PART_MOLDING</v>
      </c>
      <c r="H11874" s="63" t="str">
        <f>IFERROR(__xludf.DUMMYFUNCTION("VLOOKUP(F11874, IMPORTRANGE(""https://docs.google.com/spreadsheets/d/1Lhp9OU0JdFf_VYSMzH5lBcEaU4o8teT1piV-SNzShjg/edit?gid=554141278#gid=554141278"", ""'Char Def. - Attributes'!C20:C2242""), 1,false)"),"ALT_NUM_UOM2")</f>
        <v>ALT_NUM_UOM2</v>
      </c>
      <c r="I11874" s="136"/>
      <c r="R11874" s="63" t="str">
        <f t="shared" si="60"/>
        <v>ZSI1_PART_MOLDINGALT_NUM_UOM2</v>
      </c>
    </row>
    <row r="11875" ht="15.75" customHeight="1">
      <c r="B11875" s="63">
        <f t="shared" si="1"/>
        <v>17</v>
      </c>
      <c r="C11875" s="135" t="s">
        <v>520</v>
      </c>
      <c r="D11875" s="161" t="s">
        <v>74</v>
      </c>
      <c r="E11875" s="135">
        <f t="shared" si="62"/>
        <v>20</v>
      </c>
      <c r="F11875" s="134" t="s">
        <v>3810</v>
      </c>
      <c r="G11875" s="63" t="str">
        <f>VLOOKUP(C11875, 'Class Def. - General Data'!$C$20:$C$1000,1,false)</f>
        <v>ZSI1_PART_MOLDING</v>
      </c>
      <c r="H11875" s="63" t="str">
        <f>IFERROR(__xludf.DUMMYFUNCTION("VLOOKUP(F11875, IMPORTRANGE(""https://docs.google.com/spreadsheets/d/1Lhp9OU0JdFf_VYSMzH5lBcEaU4o8teT1piV-SNzShjg/edit?gid=554141278#gid=554141278"", ""'Char Def. - Attributes'!C20:C2242""), 1,false)"),"ALT_UOM3_SIPI")</f>
        <v>ALT_UOM3_SIPI</v>
      </c>
      <c r="I11875" s="136"/>
      <c r="R11875" s="63" t="str">
        <f t="shared" si="60"/>
        <v>ZSI1_PART_MOLDINGALT_UOM3_SIPI</v>
      </c>
    </row>
    <row r="11876" ht="15.75" customHeight="1">
      <c r="B11876" s="63">
        <f t="shared" si="1"/>
        <v>17</v>
      </c>
      <c r="C11876" s="135" t="s">
        <v>520</v>
      </c>
      <c r="D11876" s="161" t="s">
        <v>74</v>
      </c>
      <c r="E11876" s="135">
        <f t="shared" si="62"/>
        <v>21</v>
      </c>
      <c r="F11876" s="134" t="s">
        <v>3811</v>
      </c>
      <c r="G11876" s="63" t="str">
        <f>VLOOKUP(C11876, 'Class Def. - General Data'!$C$20:$C$1000,1,false)</f>
        <v>ZSI1_PART_MOLDING</v>
      </c>
      <c r="H11876" s="63" t="str">
        <f>IFERROR(__xludf.DUMMYFUNCTION("VLOOKUP(F11876, IMPORTRANGE(""https://docs.google.com/spreadsheets/d/1Lhp9OU0JdFf_VYSMzH5lBcEaU4o8teT1piV-SNzShjg/edit?gid=554141278#gid=554141278"", ""'Char Def. - Attributes'!C20:C2242""), 1,false)"),"ALT_DENUM_UOM3")</f>
        <v>ALT_DENUM_UOM3</v>
      </c>
      <c r="I11876" s="136"/>
      <c r="R11876" s="63" t="str">
        <f t="shared" si="60"/>
        <v>ZSI1_PART_MOLDINGALT_DENUM_UOM3</v>
      </c>
    </row>
    <row r="11877" ht="15.75" customHeight="1">
      <c r="B11877" s="63">
        <f t="shared" si="1"/>
        <v>17</v>
      </c>
      <c r="C11877" s="135" t="s">
        <v>520</v>
      </c>
      <c r="D11877" s="161" t="s">
        <v>74</v>
      </c>
      <c r="E11877" s="135">
        <f t="shared" si="62"/>
        <v>22</v>
      </c>
      <c r="F11877" s="134" t="s">
        <v>3812</v>
      </c>
      <c r="G11877" s="63" t="str">
        <f>VLOOKUP(C11877, 'Class Def. - General Data'!$C$20:$C$1000,1,false)</f>
        <v>ZSI1_PART_MOLDING</v>
      </c>
      <c r="H11877" s="63" t="str">
        <f>IFERROR(__xludf.DUMMYFUNCTION("VLOOKUP(F11877, IMPORTRANGE(""https://docs.google.com/spreadsheets/d/1Lhp9OU0JdFf_VYSMzH5lBcEaU4o8teT1piV-SNzShjg/edit?gid=554141278#gid=554141278"", ""'Char Def. - Attributes'!C20:C2242""), 1,false)"),"ALT_NUM_UOM3")</f>
        <v>ALT_NUM_UOM3</v>
      </c>
      <c r="I11877" s="136"/>
      <c r="R11877" s="63" t="str">
        <f t="shared" si="60"/>
        <v>ZSI1_PART_MOLDINGALT_NUM_UOM3</v>
      </c>
    </row>
    <row r="11878" ht="15.75" customHeight="1">
      <c r="B11878" s="63">
        <f t="shared" si="1"/>
        <v>17</v>
      </c>
      <c r="C11878" s="135" t="s">
        <v>520</v>
      </c>
      <c r="D11878" s="161" t="s">
        <v>74</v>
      </c>
      <c r="E11878" s="135">
        <f t="shared" si="62"/>
        <v>23</v>
      </c>
      <c r="F11878" s="134" t="s">
        <v>3813</v>
      </c>
      <c r="G11878" s="63" t="str">
        <f>VLOOKUP(C11878, 'Class Def. - General Data'!$C$20:$C$1000,1,false)</f>
        <v>ZSI1_PART_MOLDING</v>
      </c>
      <c r="H11878" s="63" t="str">
        <f>IFERROR(__xludf.DUMMYFUNCTION("VLOOKUP(F11878, IMPORTRANGE(""https://docs.google.com/spreadsheets/d/1Lhp9OU0JdFf_VYSMzH5lBcEaU4o8teT1piV-SNzShjg/edit?gid=554141278#gid=554141278"", ""'Char Def. - Attributes'!C20:C2242""), 1,false)"),"ALT_UOM4_SIPI")</f>
        <v>ALT_UOM4_SIPI</v>
      </c>
      <c r="I11878" s="136"/>
      <c r="R11878" s="63" t="str">
        <f t="shared" si="60"/>
        <v>ZSI1_PART_MOLDINGALT_UOM4_SIPI</v>
      </c>
    </row>
    <row r="11879" ht="15.75" customHeight="1">
      <c r="B11879" s="63">
        <f t="shared" si="1"/>
        <v>17</v>
      </c>
      <c r="C11879" s="135" t="s">
        <v>520</v>
      </c>
      <c r="D11879" s="161" t="s">
        <v>74</v>
      </c>
      <c r="E11879" s="135">
        <f t="shared" si="62"/>
        <v>24</v>
      </c>
      <c r="F11879" s="134" t="s">
        <v>3814</v>
      </c>
      <c r="G11879" s="63" t="str">
        <f>VLOOKUP(C11879, 'Class Def. - General Data'!$C$20:$C$1000,1,false)</f>
        <v>ZSI1_PART_MOLDING</v>
      </c>
      <c r="H11879" s="63" t="str">
        <f>IFERROR(__xludf.DUMMYFUNCTION("VLOOKUP(F11879, IMPORTRANGE(""https://docs.google.com/spreadsheets/d/1Lhp9OU0JdFf_VYSMzH5lBcEaU4o8teT1piV-SNzShjg/edit?gid=554141278#gid=554141278"", ""'Char Def. - Attributes'!C20:C2242""), 1,false)"),"ALT_DENUM_UOM4")</f>
        <v>ALT_DENUM_UOM4</v>
      </c>
      <c r="I11879" s="136"/>
      <c r="R11879" s="63" t="str">
        <f t="shared" si="60"/>
        <v>ZSI1_PART_MOLDINGALT_DENUM_UOM4</v>
      </c>
    </row>
    <row r="11880" ht="15.75" customHeight="1">
      <c r="B11880" s="63">
        <f t="shared" si="1"/>
        <v>17</v>
      </c>
      <c r="C11880" s="135" t="s">
        <v>520</v>
      </c>
      <c r="D11880" s="161" t="s">
        <v>74</v>
      </c>
      <c r="E11880" s="135">
        <f t="shared" si="62"/>
        <v>25</v>
      </c>
      <c r="F11880" s="134" t="s">
        <v>3815</v>
      </c>
      <c r="G11880" s="63" t="str">
        <f>VLOOKUP(C11880, 'Class Def. - General Data'!$C$20:$C$1000,1,false)</f>
        <v>ZSI1_PART_MOLDING</v>
      </c>
      <c r="H11880" s="63" t="str">
        <f>IFERROR(__xludf.DUMMYFUNCTION("VLOOKUP(F11880, IMPORTRANGE(""https://docs.google.com/spreadsheets/d/1Lhp9OU0JdFf_VYSMzH5lBcEaU4o8teT1piV-SNzShjg/edit?gid=554141278#gid=554141278"", ""'Char Def. - Attributes'!C20:C2242""), 1,false)"),"ALT_NUM_UOM4")</f>
        <v>ALT_NUM_UOM4</v>
      </c>
      <c r="I11880" s="136"/>
      <c r="R11880" s="63" t="str">
        <f t="shared" si="60"/>
        <v>ZSI1_PART_MOLDINGALT_NUM_UOM4</v>
      </c>
    </row>
    <row r="11881" ht="15.75" customHeight="1">
      <c r="B11881" s="63">
        <f t="shared" si="1"/>
        <v>17</v>
      </c>
      <c r="C11881" s="135" t="s">
        <v>520</v>
      </c>
      <c r="D11881" s="161" t="s">
        <v>74</v>
      </c>
      <c r="E11881" s="135">
        <f t="shared" si="62"/>
        <v>26</v>
      </c>
      <c r="F11881" s="134" t="s">
        <v>3816</v>
      </c>
      <c r="G11881" s="63" t="str">
        <f>VLOOKUP(C11881, 'Class Def. - General Data'!$C$20:$C$1000,1,false)</f>
        <v>ZSI1_PART_MOLDING</v>
      </c>
      <c r="H11881" s="63" t="str">
        <f>IFERROR(__xludf.DUMMYFUNCTION("VLOOKUP(F11881, IMPORTRANGE(""https://docs.google.com/spreadsheets/d/1Lhp9OU0JdFf_VYSMzH5lBcEaU4o8teT1piV-SNzShjg/edit?gid=554141278#gid=554141278"", ""'Char Def. - Attributes'!C20:C2242""), 1,false)"),"ALT_UOM5_SIPI")</f>
        <v>ALT_UOM5_SIPI</v>
      </c>
      <c r="I11881" s="136"/>
      <c r="R11881" s="63" t="str">
        <f t="shared" si="60"/>
        <v>ZSI1_PART_MOLDINGALT_UOM5_SIPI</v>
      </c>
    </row>
    <row r="11882" ht="15.75" customHeight="1">
      <c r="B11882" s="63">
        <f t="shared" si="1"/>
        <v>17</v>
      </c>
      <c r="C11882" s="135" t="s">
        <v>520</v>
      </c>
      <c r="D11882" s="161" t="s">
        <v>74</v>
      </c>
      <c r="E11882" s="135">
        <f t="shared" si="62"/>
        <v>27</v>
      </c>
      <c r="F11882" s="134" t="s">
        <v>3817</v>
      </c>
      <c r="G11882" s="63" t="str">
        <f>VLOOKUP(C11882, 'Class Def. - General Data'!$C$20:$C$1000,1,false)</f>
        <v>ZSI1_PART_MOLDING</v>
      </c>
      <c r="H11882" s="63" t="str">
        <f>IFERROR(__xludf.DUMMYFUNCTION("VLOOKUP(F11882, IMPORTRANGE(""https://docs.google.com/spreadsheets/d/1Lhp9OU0JdFf_VYSMzH5lBcEaU4o8teT1piV-SNzShjg/edit?gid=554141278#gid=554141278"", ""'Char Def. - Attributes'!C20:C2242""), 1,false)"),"ALT_DENUM_UOM5")</f>
        <v>ALT_DENUM_UOM5</v>
      </c>
      <c r="I11882" s="136"/>
      <c r="R11882" s="63" t="str">
        <f t="shared" si="60"/>
        <v>ZSI1_PART_MOLDINGALT_DENUM_UOM5</v>
      </c>
    </row>
    <row r="11883" ht="15.75" customHeight="1">
      <c r="B11883" s="63">
        <f t="shared" si="1"/>
        <v>17</v>
      </c>
      <c r="C11883" s="135" t="s">
        <v>520</v>
      </c>
      <c r="D11883" s="161" t="s">
        <v>74</v>
      </c>
      <c r="E11883" s="135">
        <f t="shared" si="62"/>
        <v>28</v>
      </c>
      <c r="F11883" s="134" t="s">
        <v>3818</v>
      </c>
      <c r="G11883" s="63" t="str">
        <f>VLOOKUP(C11883, 'Class Def. - General Data'!$C$20:$C$1000,1,false)</f>
        <v>ZSI1_PART_MOLDING</v>
      </c>
      <c r="H11883" s="63" t="str">
        <f>IFERROR(__xludf.DUMMYFUNCTION("VLOOKUP(F11883, IMPORTRANGE(""https://docs.google.com/spreadsheets/d/1Lhp9OU0JdFf_VYSMzH5lBcEaU4o8teT1piV-SNzShjg/edit?gid=554141278#gid=554141278"", ""'Char Def. - Attributes'!C20:C2242""), 1,false)"),"ALT_NUM_UOM5")</f>
        <v>ALT_NUM_UOM5</v>
      </c>
      <c r="I11883" s="136"/>
      <c r="R11883" s="63" t="str">
        <f t="shared" si="60"/>
        <v>ZSI1_PART_MOLDINGALT_NUM_UOM5</v>
      </c>
    </row>
    <row r="11884" ht="15.75" customHeight="1">
      <c r="B11884" s="63">
        <f t="shared" si="1"/>
        <v>18</v>
      </c>
      <c r="C11884" s="135" t="s">
        <v>435</v>
      </c>
      <c r="D11884" s="161" t="s">
        <v>74</v>
      </c>
      <c r="E11884" s="135">
        <f t="shared" si="62"/>
        <v>1</v>
      </c>
      <c r="F11884" s="134" t="s">
        <v>5041</v>
      </c>
      <c r="G11884" s="63" t="str">
        <f>VLOOKUP(C11884, 'Class Def. - General Data'!$C$20:$C$1000,1,false)</f>
        <v>ZSI1_PERM_STRCTURE</v>
      </c>
      <c r="H11884" s="63" t="str">
        <f>IFERROR(__xludf.DUMMYFUNCTION("VLOOKUP(F11884, IMPORTRANGE(""https://docs.google.com/spreadsheets/d/1Lhp9OU0JdFf_VYSMzH5lBcEaU4o8teT1piV-SNzShjg/edit?gid=554141278#gid=554141278"", ""'Char Def. - Attributes'!C20:C2242""), 1,false)"),"ITEM_NAME_PERM_STRCTURE")</f>
        <v>ITEM_NAME_PERM_STRCTURE</v>
      </c>
      <c r="I11884" s="136"/>
      <c r="R11884" s="63" t="str">
        <f t="shared" si="60"/>
        <v>ZSI1_PERM_STRCTUREITEM_NAME_PERM_STRCTURE</v>
      </c>
    </row>
    <row r="11885" ht="15.75" customHeight="1">
      <c r="B11885" s="63">
        <f t="shared" si="1"/>
        <v>18</v>
      </c>
      <c r="C11885" s="135" t="s">
        <v>435</v>
      </c>
      <c r="D11885" s="161" t="s">
        <v>74</v>
      </c>
      <c r="E11885" s="135">
        <f t="shared" si="62"/>
        <v>2</v>
      </c>
      <c r="F11885" s="134" t="s">
        <v>5042</v>
      </c>
      <c r="G11885" s="63" t="str">
        <f>VLOOKUP(C11885, 'Class Def. - General Data'!$C$20:$C$1000,1,false)</f>
        <v>ZSI1_PERM_STRCTURE</v>
      </c>
      <c r="H11885" s="63" t="str">
        <f>IFERROR(__xludf.DUMMYFUNCTION("VLOOKUP(F11885, IMPORTRANGE(""https://docs.google.com/spreadsheets/d/1Lhp9OU0JdFf_VYSMzH5lBcEaU4o8teT1piV-SNzShjg/edit?gid=554141278#gid=554141278"", ""'Char Def. - Attributes'!C20:C2242""), 1,false)"),"DIMENSION_PERM_STRCTURE")</f>
        <v>DIMENSION_PERM_STRCTURE</v>
      </c>
      <c r="I11885" s="136"/>
      <c r="R11885" s="63" t="str">
        <f t="shared" si="60"/>
        <v>ZSI1_PERM_STRCTUREDIMENSION_PERM_STRCTURE</v>
      </c>
    </row>
    <row r="11886" ht="15.75" customHeight="1">
      <c r="B11886" s="63">
        <f t="shared" si="1"/>
        <v>18</v>
      </c>
      <c r="C11886" s="135" t="s">
        <v>435</v>
      </c>
      <c r="D11886" s="161" t="s">
        <v>74</v>
      </c>
      <c r="E11886" s="135">
        <f t="shared" si="62"/>
        <v>3</v>
      </c>
      <c r="F11886" s="134" t="s">
        <v>5043</v>
      </c>
      <c r="G11886" s="63" t="str">
        <f>VLOOKUP(C11886, 'Class Def. - General Data'!$C$20:$C$1000,1,false)</f>
        <v>ZSI1_PERM_STRCTURE</v>
      </c>
      <c r="H11886" s="63" t="str">
        <f>IFERROR(__xludf.DUMMYFUNCTION("VLOOKUP(F11886, IMPORTRANGE(""https://docs.google.com/spreadsheets/d/1Lhp9OU0JdFf_VYSMzH5lBcEaU4o8teT1piV-SNzShjg/edit?gid=554141278#gid=554141278"", ""'Char Def. - Attributes'!C20:C2242""), 1,false)"),"HEIGHT_MM_PERM_STRCTURE")</f>
        <v>HEIGHT_MM_PERM_STRCTURE</v>
      </c>
      <c r="I11886" s="136"/>
      <c r="R11886" s="63" t="str">
        <f t="shared" si="60"/>
        <v>ZSI1_PERM_STRCTUREHEIGHT_MM_PERM_STRCTURE</v>
      </c>
    </row>
    <row r="11887" ht="15.75" customHeight="1">
      <c r="B11887" s="63">
        <f t="shared" si="1"/>
        <v>18</v>
      </c>
      <c r="C11887" s="135" t="s">
        <v>435</v>
      </c>
      <c r="D11887" s="161" t="s">
        <v>74</v>
      </c>
      <c r="E11887" s="135">
        <f t="shared" si="62"/>
        <v>4</v>
      </c>
      <c r="F11887" s="134" t="s">
        <v>5044</v>
      </c>
      <c r="G11887" s="63" t="str">
        <f>VLOOKUP(C11887, 'Class Def. - General Data'!$C$20:$C$1000,1,false)</f>
        <v>ZSI1_PERM_STRCTURE</v>
      </c>
      <c r="H11887" s="63" t="str">
        <f>IFERROR(__xludf.DUMMYFUNCTION("VLOOKUP(F11887, IMPORTRANGE(""https://docs.google.com/spreadsheets/d/1Lhp9OU0JdFf_VYSMzH5lBcEaU4o8teT1piV-SNzShjg/edit?gid=554141278#gid=554141278"", ""'Char Def. - Attributes'!C20:C2242""), 1,false)"),"HEIGHT_INCH_PERM_STRCTURE")</f>
        <v>HEIGHT_INCH_PERM_STRCTURE</v>
      </c>
      <c r="I11887" s="136"/>
      <c r="R11887" s="63" t="str">
        <f t="shared" si="60"/>
        <v>ZSI1_PERM_STRCTUREHEIGHT_INCH_PERM_STRCTURE</v>
      </c>
    </row>
    <row r="11888" ht="15.75" customHeight="1">
      <c r="B11888" s="63">
        <f t="shared" si="1"/>
        <v>18</v>
      </c>
      <c r="C11888" s="135" t="s">
        <v>435</v>
      </c>
      <c r="D11888" s="161" t="s">
        <v>74</v>
      </c>
      <c r="E11888" s="135">
        <f t="shared" si="62"/>
        <v>5</v>
      </c>
      <c r="F11888" s="134" t="s">
        <v>5045</v>
      </c>
      <c r="G11888" s="63" t="str">
        <f>VLOOKUP(C11888, 'Class Def. - General Data'!$C$20:$C$1000,1,false)</f>
        <v>ZSI1_PERM_STRCTURE</v>
      </c>
      <c r="H11888" s="63" t="str">
        <f>IFERROR(__xludf.DUMMYFUNCTION("VLOOKUP(F11888, IMPORTRANGE(""https://docs.google.com/spreadsheets/d/1Lhp9OU0JdFf_VYSMzH5lBcEaU4o8teT1piV-SNzShjg/edit?gid=554141278#gid=554141278"", ""'Char Def. - Attributes'!C20:C2242""), 1,false)"),"WIDTH_MM_PERM_STRCTURE")</f>
        <v>WIDTH_MM_PERM_STRCTURE</v>
      </c>
      <c r="I11888" s="136"/>
      <c r="R11888" s="63" t="str">
        <f t="shared" si="60"/>
        <v>ZSI1_PERM_STRCTUREWIDTH_MM_PERM_STRCTURE</v>
      </c>
    </row>
    <row r="11889" ht="15.75" customHeight="1">
      <c r="B11889" s="63">
        <f t="shared" si="1"/>
        <v>18</v>
      </c>
      <c r="C11889" s="135" t="s">
        <v>435</v>
      </c>
      <c r="D11889" s="161" t="s">
        <v>74</v>
      </c>
      <c r="E11889" s="135">
        <f t="shared" si="62"/>
        <v>6</v>
      </c>
      <c r="F11889" s="134" t="s">
        <v>5046</v>
      </c>
      <c r="G11889" s="63" t="str">
        <f>VLOOKUP(C11889, 'Class Def. - General Data'!$C$20:$C$1000,1,false)</f>
        <v>ZSI1_PERM_STRCTURE</v>
      </c>
      <c r="H11889" s="63" t="str">
        <f>IFERROR(__xludf.DUMMYFUNCTION("VLOOKUP(F11889, IMPORTRANGE(""https://docs.google.com/spreadsheets/d/1Lhp9OU0JdFf_VYSMzH5lBcEaU4o8teT1piV-SNzShjg/edit?gid=554141278#gid=554141278"", ""'Char Def. - Attributes'!C20:C2242""), 1,false)"),"WIDTH_INCH_PERM_STRCTURE")</f>
        <v>WIDTH_INCH_PERM_STRCTURE</v>
      </c>
      <c r="I11889" s="136"/>
      <c r="R11889" s="63" t="str">
        <f t="shared" si="60"/>
        <v>ZSI1_PERM_STRCTUREWIDTH_INCH_PERM_STRCTURE</v>
      </c>
    </row>
    <row r="11890" ht="15.75" customHeight="1">
      <c r="B11890" s="63">
        <f t="shared" si="1"/>
        <v>18</v>
      </c>
      <c r="C11890" s="135" t="s">
        <v>435</v>
      </c>
      <c r="D11890" s="161" t="s">
        <v>74</v>
      </c>
      <c r="E11890" s="135">
        <f t="shared" si="62"/>
        <v>7</v>
      </c>
      <c r="F11890" s="134" t="s">
        <v>5047</v>
      </c>
      <c r="G11890" s="63" t="str">
        <f>VLOOKUP(C11890, 'Class Def. - General Data'!$C$20:$C$1000,1,false)</f>
        <v>ZSI1_PERM_STRCTURE</v>
      </c>
      <c r="H11890" s="63" t="str">
        <f>IFERROR(__xludf.DUMMYFUNCTION("VLOOKUP(F11890, IMPORTRANGE(""https://docs.google.com/spreadsheets/d/1Lhp9OU0JdFf_VYSMzH5lBcEaU4o8teT1piV-SNzShjg/edit?gid=554141278#gid=554141278"", ""'Char Def. - Attributes'!C20:C2242""), 1,false)"),"LENGTH_MM_PERM_STRCTURE")</f>
        <v>LENGTH_MM_PERM_STRCTURE</v>
      </c>
      <c r="I11890" s="136"/>
      <c r="R11890" s="63" t="str">
        <f t="shared" si="60"/>
        <v>ZSI1_PERM_STRCTURELENGTH_MM_PERM_STRCTURE</v>
      </c>
    </row>
    <row r="11891" ht="15.75" customHeight="1">
      <c r="B11891" s="63">
        <f t="shared" si="1"/>
        <v>18</v>
      </c>
      <c r="C11891" s="135" t="s">
        <v>435</v>
      </c>
      <c r="D11891" s="161" t="s">
        <v>74</v>
      </c>
      <c r="E11891" s="135">
        <f t="shared" si="62"/>
        <v>8</v>
      </c>
      <c r="F11891" s="134" t="s">
        <v>5048</v>
      </c>
      <c r="G11891" s="63" t="str">
        <f>VLOOKUP(C11891, 'Class Def. - General Data'!$C$20:$C$1000,1,false)</f>
        <v>ZSI1_PERM_STRCTURE</v>
      </c>
      <c r="H11891" s="63" t="str">
        <f>IFERROR(__xludf.DUMMYFUNCTION("VLOOKUP(F11891, IMPORTRANGE(""https://docs.google.com/spreadsheets/d/1Lhp9OU0JdFf_VYSMzH5lBcEaU4o8teT1piV-SNzShjg/edit?gid=554141278#gid=554141278"", ""'Char Def. - Attributes'!C20:C2242""), 1,false)"),"LENGTH_INCH_PERM_STRCTURE")</f>
        <v>LENGTH_INCH_PERM_STRCTURE</v>
      </c>
      <c r="I11891" s="136"/>
      <c r="R11891" s="63" t="str">
        <f t="shared" si="60"/>
        <v>ZSI1_PERM_STRCTURELENGTH_INCH_PERM_STRCTURE</v>
      </c>
    </row>
    <row r="11892" ht="15.75" customHeight="1">
      <c r="B11892" s="63">
        <f t="shared" si="1"/>
        <v>18</v>
      </c>
      <c r="C11892" s="135" t="s">
        <v>435</v>
      </c>
      <c r="D11892" s="161" t="s">
        <v>74</v>
      </c>
      <c r="E11892" s="135">
        <f t="shared" si="62"/>
        <v>9</v>
      </c>
      <c r="F11892" s="134" t="s">
        <v>4053</v>
      </c>
      <c r="G11892" s="63" t="str">
        <f>VLOOKUP(C11892, 'Class Def. - General Data'!$C$20:$C$1000,1,false)</f>
        <v>ZSI1_PERM_STRCTURE</v>
      </c>
      <c r="H11892" s="63" t="str">
        <f>IFERROR(__xludf.DUMMYFUNCTION("VLOOKUP(F11892, IMPORTRANGE(""https://docs.google.com/spreadsheets/d/1Lhp9OU0JdFf_VYSMzH5lBcEaU4o8teT1piV-SNzShjg/edit?gid=554141278#gid=554141278"", ""'Char Def. - Attributes'!C20:C2242""), 1,false)"),"MAINTENANCE_ORDER_TYPE")</f>
        <v>MAINTENANCE_ORDER_TYPE</v>
      </c>
      <c r="I11892" s="136"/>
      <c r="R11892" s="63" t="str">
        <f t="shared" si="60"/>
        <v>ZSI1_PERM_STRCTUREMAINTENANCE_ORDER_TYPE</v>
      </c>
    </row>
    <row r="11893" ht="15.75" customHeight="1">
      <c r="B11893" s="63">
        <f t="shared" si="1"/>
        <v>18</v>
      </c>
      <c r="C11893" s="135" t="s">
        <v>435</v>
      </c>
      <c r="D11893" s="161" t="s">
        <v>74</v>
      </c>
      <c r="E11893" s="135">
        <f t="shared" si="62"/>
        <v>10</v>
      </c>
      <c r="F11893" s="134" t="s">
        <v>3585</v>
      </c>
      <c r="G11893" s="63" t="str">
        <f>VLOOKUP(C11893, 'Class Def. - General Data'!$C$20:$C$1000,1,false)</f>
        <v>ZSI1_PERM_STRCTURE</v>
      </c>
      <c r="H11893" s="63" t="str">
        <f>IFERROR(__xludf.DUMMYFUNCTION("VLOOKUP(F11893, IMPORTRANGE(""https://docs.google.com/spreadsheets/d/1Lhp9OU0JdFf_VYSMzH5lBcEaU4o8teT1piV-SNzShjg/edit?gid=554141278#gid=554141278"", ""'Char Def. - Attributes'!C20:C2242""), 1,false)"),"HS_CODE")</f>
        <v>HS_CODE</v>
      </c>
      <c r="I11893" s="136"/>
      <c r="R11893" s="63" t="str">
        <f t="shared" si="60"/>
        <v>ZSI1_PERM_STRCTUREHS_CODE</v>
      </c>
    </row>
    <row r="11894" ht="15.75" customHeight="1">
      <c r="B11894" s="63">
        <f t="shared" si="1"/>
        <v>18</v>
      </c>
      <c r="C11894" s="135" t="s">
        <v>435</v>
      </c>
      <c r="D11894" s="161" t="s">
        <v>74</v>
      </c>
      <c r="E11894" s="135">
        <f t="shared" si="62"/>
        <v>11</v>
      </c>
      <c r="F11894" s="134" t="s">
        <v>3587</v>
      </c>
      <c r="G11894" s="63" t="str">
        <f>VLOOKUP(C11894, 'Class Def. - General Data'!$C$20:$C$1000,1,false)</f>
        <v>ZSI1_PERM_STRCTURE</v>
      </c>
      <c r="H11894" s="63" t="str">
        <f>IFERROR(__xludf.DUMMYFUNCTION("VLOOKUP(F11894, IMPORTRANGE(""https://docs.google.com/spreadsheets/d/1Lhp9OU0JdFf_VYSMzH5lBcEaU4o8teT1piV-SNzShjg/edit?gid=554141278#gid=554141278"", ""'Char Def. - Attributes'!C20:C2242""), 1,false)"),"PLANT_BUY")</f>
        <v>PLANT_BUY</v>
      </c>
      <c r="I11894" s="136"/>
      <c r="R11894" s="63" t="str">
        <f t="shared" si="60"/>
        <v>ZSI1_PERM_STRCTUREPLANT_BUY</v>
      </c>
    </row>
    <row r="11895" ht="15.75" customHeight="1">
      <c r="B11895" s="63">
        <f t="shared" si="1"/>
        <v>18</v>
      </c>
      <c r="C11895" s="135" t="s">
        <v>435</v>
      </c>
      <c r="D11895" s="161" t="s">
        <v>74</v>
      </c>
      <c r="E11895" s="135">
        <f t="shared" si="62"/>
        <v>12</v>
      </c>
      <c r="F11895" s="134" t="s">
        <v>5049</v>
      </c>
      <c r="G11895" s="63" t="str">
        <f>VLOOKUP(C11895, 'Class Def. - General Data'!$C$20:$C$1000,1,false)</f>
        <v>ZSI1_PERM_STRCTURE</v>
      </c>
      <c r="H11895" s="63" t="str">
        <f>IFERROR(__xludf.DUMMYFUNCTION("VLOOKUP(F11895, IMPORTRANGE(""https://docs.google.com/spreadsheets/d/1Lhp9OU0JdFf_VYSMzH5lBcEaU4o8teT1piV-SNzShjg/edit?gid=554141278#gid=554141278"", ""'Char Def. - Attributes'!C20:C2242""), 1,false)"),"BASE_UOM_PERM_STRCTURE")</f>
        <v>BASE_UOM_PERM_STRCTURE</v>
      </c>
      <c r="I11895" s="136"/>
      <c r="R11895" s="63" t="str">
        <f t="shared" si="60"/>
        <v>ZSI1_PERM_STRCTUREBASE_UOM_PERM_STRCTURE</v>
      </c>
    </row>
    <row r="11896" ht="15.75" customHeight="1">
      <c r="B11896" s="63">
        <f t="shared" si="1"/>
        <v>18</v>
      </c>
      <c r="C11896" s="135" t="s">
        <v>435</v>
      </c>
      <c r="D11896" s="161" t="s">
        <v>74</v>
      </c>
      <c r="E11896" s="135">
        <f t="shared" si="62"/>
        <v>13</v>
      </c>
      <c r="F11896" s="134" t="s">
        <v>5050</v>
      </c>
      <c r="G11896" s="63" t="str">
        <f>VLOOKUP(C11896, 'Class Def. - General Data'!$C$20:$C$1000,1,false)</f>
        <v>ZSI1_PERM_STRCTURE</v>
      </c>
      <c r="H11896" s="63" t="str">
        <f>IFERROR(__xludf.DUMMYFUNCTION("VLOOKUP(F11896, IMPORTRANGE(""https://docs.google.com/spreadsheets/d/1Lhp9OU0JdFf_VYSMzH5lBcEaU4o8teT1piV-SNzShjg/edit?gid=554141278#gid=554141278"", ""'Char Def. - Attributes'!C20:C2242""), 1,false)"),"ORDER_UNIT_PERM_STRCTURE")</f>
        <v>ORDER_UNIT_PERM_STRCTURE</v>
      </c>
      <c r="I11896" s="136"/>
      <c r="R11896" s="63" t="str">
        <f t="shared" si="60"/>
        <v>ZSI1_PERM_STRCTUREORDER_UNIT_PERM_STRCTURE</v>
      </c>
    </row>
    <row r="11897" ht="15.75" customHeight="1">
      <c r="B11897" s="63">
        <f t="shared" si="1"/>
        <v>18</v>
      </c>
      <c r="C11897" s="135" t="s">
        <v>435</v>
      </c>
      <c r="D11897" s="161" t="s">
        <v>74</v>
      </c>
      <c r="E11897" s="135">
        <f t="shared" si="62"/>
        <v>14</v>
      </c>
      <c r="F11897" s="134" t="s">
        <v>4056</v>
      </c>
      <c r="G11897" s="63" t="str">
        <f>VLOOKUP(C11897, 'Class Def. - General Data'!$C$20:$C$1000,1,false)</f>
        <v>ZSI1_PERM_STRCTURE</v>
      </c>
      <c r="H11897" s="63" t="str">
        <f>IFERROR(__xludf.DUMMYFUNCTION("VLOOKUP(F11897, IMPORTRANGE(""https://docs.google.com/spreadsheets/d/1Lhp9OU0JdFf_VYSMzH5lBcEaU4o8teT1piV-SNzShjg/edit?gid=554141278#gid=554141278"", ""'Char Def. - Attributes'!C20:C2242""), 1,false)"),"GROSS_WEIGHT_OPT")</f>
        <v>GROSS_WEIGHT_OPT</v>
      </c>
      <c r="I11897" s="136"/>
      <c r="R11897" s="63" t="str">
        <f t="shared" si="60"/>
        <v>ZSI1_PERM_STRCTUREGROSS_WEIGHT_OPT</v>
      </c>
    </row>
    <row r="11898" ht="15.75" customHeight="1">
      <c r="B11898" s="63">
        <f t="shared" si="1"/>
        <v>18</v>
      </c>
      <c r="C11898" s="135" t="s">
        <v>435</v>
      </c>
      <c r="D11898" s="161" t="s">
        <v>74</v>
      </c>
      <c r="E11898" s="135">
        <f t="shared" si="62"/>
        <v>15</v>
      </c>
      <c r="F11898" s="134" t="s">
        <v>4057</v>
      </c>
      <c r="G11898" s="63" t="str">
        <f>VLOOKUP(C11898, 'Class Def. - General Data'!$C$20:$C$1000,1,false)</f>
        <v>ZSI1_PERM_STRCTURE</v>
      </c>
      <c r="H11898" s="63" t="str">
        <f>IFERROR(__xludf.DUMMYFUNCTION("VLOOKUP(F11898, IMPORTRANGE(""https://docs.google.com/spreadsheets/d/1Lhp9OU0JdFf_VYSMzH5lBcEaU4o8teT1piV-SNzShjg/edit?gid=554141278#gid=554141278"", ""'Char Def. - Attributes'!C20:C2242""), 1,false)"),"NET_WEIGHT_OPT")</f>
        <v>NET_WEIGHT_OPT</v>
      </c>
      <c r="I11898" s="136"/>
      <c r="R11898" s="63" t="str">
        <f t="shared" si="60"/>
        <v>ZSI1_PERM_STRCTURENET_WEIGHT_OPT</v>
      </c>
    </row>
    <row r="11899" ht="15.75" customHeight="1">
      <c r="B11899" s="63">
        <f t="shared" si="1"/>
        <v>18</v>
      </c>
      <c r="C11899" s="135" t="s">
        <v>435</v>
      </c>
      <c r="D11899" s="161" t="s">
        <v>74</v>
      </c>
      <c r="E11899" s="135">
        <f t="shared" si="62"/>
        <v>16</v>
      </c>
      <c r="F11899" s="134" t="s">
        <v>4058</v>
      </c>
      <c r="G11899" s="63" t="str">
        <f>VLOOKUP(C11899, 'Class Def. - General Data'!$C$20:$C$1000,1,false)</f>
        <v>ZSI1_PERM_STRCTURE</v>
      </c>
      <c r="H11899" s="63" t="str">
        <f>IFERROR(__xludf.DUMMYFUNCTION("VLOOKUP(F11899, IMPORTRANGE(""https://docs.google.com/spreadsheets/d/1Lhp9OU0JdFf_VYSMzH5lBcEaU4o8teT1piV-SNzShjg/edit?gid=554141278#gid=554141278"", ""'Char Def. - Attributes'!C20:C2242""), 1,false)"),"WEIGHT_UNIT_SI")</f>
        <v>WEIGHT_UNIT_SI</v>
      </c>
      <c r="I11899" s="136"/>
      <c r="R11899" s="63" t="str">
        <f t="shared" si="60"/>
        <v>ZSI1_PERM_STRCTUREWEIGHT_UNIT_SI</v>
      </c>
    </row>
    <row r="11900" ht="15.75" customHeight="1">
      <c r="B11900" s="63">
        <f t="shared" si="1"/>
        <v>18</v>
      </c>
      <c r="C11900" s="135" t="s">
        <v>435</v>
      </c>
      <c r="D11900" s="161" t="s">
        <v>74</v>
      </c>
      <c r="E11900" s="135">
        <f t="shared" si="62"/>
        <v>17</v>
      </c>
      <c r="F11900" s="134" t="s">
        <v>3877</v>
      </c>
      <c r="G11900" s="63" t="str">
        <f>VLOOKUP(C11900, 'Class Def. - General Data'!$C$20:$C$1000,1,false)</f>
        <v>ZSI1_PERM_STRCTURE</v>
      </c>
      <c r="H11900" s="63" t="str">
        <f>IFERROR(__xludf.DUMMYFUNCTION("VLOOKUP(F11900, IMPORTRANGE(""https://docs.google.com/spreadsheets/d/1Lhp9OU0JdFf_VYSMzH5lBcEaU4o8teT1piV-SNzShjg/edit?gid=554141278#gid=554141278"", ""'Char Def. - Attributes'!C20:C2242""), 1,false)"),"VOLUME_OPT")</f>
        <v>VOLUME_OPT</v>
      </c>
      <c r="I11900" s="136"/>
      <c r="R11900" s="63" t="str">
        <f t="shared" si="60"/>
        <v>ZSI1_PERM_STRCTUREVOLUME_OPT</v>
      </c>
    </row>
    <row r="11901" ht="15.75" customHeight="1">
      <c r="B11901" s="63">
        <f t="shared" si="1"/>
        <v>18</v>
      </c>
      <c r="C11901" s="135" t="s">
        <v>435</v>
      </c>
      <c r="D11901" s="161" t="s">
        <v>74</v>
      </c>
      <c r="E11901" s="135">
        <f t="shared" si="62"/>
        <v>18</v>
      </c>
      <c r="F11901" s="134" t="s">
        <v>4059</v>
      </c>
      <c r="G11901" s="63" t="str">
        <f>VLOOKUP(C11901, 'Class Def. - General Data'!$C$20:$C$1000,1,false)</f>
        <v>ZSI1_PERM_STRCTURE</v>
      </c>
      <c r="H11901" s="63" t="str">
        <f>IFERROR(__xludf.DUMMYFUNCTION("VLOOKUP(F11901, IMPORTRANGE(""https://docs.google.com/spreadsheets/d/1Lhp9OU0JdFf_VYSMzH5lBcEaU4o8teT1piV-SNzShjg/edit?gid=554141278#gid=554141278"", ""'Char Def. - Attributes'!C20:C2242""), 1,false)"),"VOLUME_UNIT_SI")</f>
        <v>VOLUME_UNIT_SI</v>
      </c>
      <c r="I11901" s="136"/>
      <c r="R11901" s="63" t="str">
        <f t="shared" si="60"/>
        <v>ZSI1_PERM_STRCTUREVOLUME_UNIT_SI</v>
      </c>
    </row>
    <row r="11902" ht="15.75" customHeight="1">
      <c r="B11902" s="63">
        <f t="shared" si="1"/>
        <v>18</v>
      </c>
      <c r="C11902" s="135" t="s">
        <v>435</v>
      </c>
      <c r="D11902" s="161" t="s">
        <v>74</v>
      </c>
      <c r="E11902" s="135">
        <f t="shared" si="62"/>
        <v>19</v>
      </c>
      <c r="F11902" s="134" t="s">
        <v>3804</v>
      </c>
      <c r="G11902" s="63" t="str">
        <f>VLOOKUP(C11902, 'Class Def. - General Data'!$C$20:$C$1000,1,false)</f>
        <v>ZSI1_PERM_STRCTURE</v>
      </c>
      <c r="H11902" s="63" t="str">
        <f>IFERROR(__xludf.DUMMYFUNCTION("VLOOKUP(F11902, IMPORTRANGE(""https://docs.google.com/spreadsheets/d/1Lhp9OU0JdFf_VYSMzH5lBcEaU4o8teT1piV-SNzShjg/edit?gid=554141278#gid=554141278"", ""'Char Def. - Attributes'!C20:C2242""), 1,false)"),"ALT_UOM1_SIPI")</f>
        <v>ALT_UOM1_SIPI</v>
      </c>
      <c r="I11902" s="136"/>
      <c r="R11902" s="63" t="str">
        <f t="shared" si="60"/>
        <v>ZSI1_PERM_STRCTUREALT_UOM1_SIPI</v>
      </c>
    </row>
    <row r="11903" ht="15.75" customHeight="1">
      <c r="B11903" s="63">
        <f t="shared" si="1"/>
        <v>18</v>
      </c>
      <c r="C11903" s="135" t="s">
        <v>435</v>
      </c>
      <c r="D11903" s="161" t="s">
        <v>74</v>
      </c>
      <c r="E11903" s="135">
        <f t="shared" si="62"/>
        <v>20</v>
      </c>
      <c r="F11903" s="134" t="s">
        <v>3805</v>
      </c>
      <c r="G11903" s="63" t="str">
        <f>VLOOKUP(C11903, 'Class Def. - General Data'!$C$20:$C$1000,1,false)</f>
        <v>ZSI1_PERM_STRCTURE</v>
      </c>
      <c r="H11903" s="63" t="str">
        <f>IFERROR(__xludf.DUMMYFUNCTION("VLOOKUP(F11903, IMPORTRANGE(""https://docs.google.com/spreadsheets/d/1Lhp9OU0JdFf_VYSMzH5lBcEaU4o8teT1piV-SNzShjg/edit?gid=554141278#gid=554141278"", ""'Char Def. - Attributes'!C20:C2242""), 1,false)"),"ALT_DENUM_UOM1")</f>
        <v>ALT_DENUM_UOM1</v>
      </c>
      <c r="I11903" s="136"/>
      <c r="R11903" s="63" t="str">
        <f t="shared" si="60"/>
        <v>ZSI1_PERM_STRCTUREALT_DENUM_UOM1</v>
      </c>
    </row>
    <row r="11904" ht="15.75" customHeight="1">
      <c r="B11904" s="63">
        <f t="shared" si="1"/>
        <v>18</v>
      </c>
      <c r="C11904" s="135" t="s">
        <v>435</v>
      </c>
      <c r="D11904" s="161" t="s">
        <v>74</v>
      </c>
      <c r="E11904" s="135">
        <f t="shared" si="62"/>
        <v>21</v>
      </c>
      <c r="F11904" s="134" t="s">
        <v>3806</v>
      </c>
      <c r="G11904" s="63" t="str">
        <f>VLOOKUP(C11904, 'Class Def. - General Data'!$C$20:$C$1000,1,false)</f>
        <v>ZSI1_PERM_STRCTURE</v>
      </c>
      <c r="H11904" s="63" t="str">
        <f>IFERROR(__xludf.DUMMYFUNCTION("VLOOKUP(F11904, IMPORTRANGE(""https://docs.google.com/spreadsheets/d/1Lhp9OU0JdFf_VYSMzH5lBcEaU4o8teT1piV-SNzShjg/edit?gid=554141278#gid=554141278"", ""'Char Def. - Attributes'!C20:C2242""), 1,false)"),"ALT_NUM_UOM1")</f>
        <v>ALT_NUM_UOM1</v>
      </c>
      <c r="I11904" s="136"/>
      <c r="R11904" s="63" t="str">
        <f t="shared" si="60"/>
        <v>ZSI1_PERM_STRCTUREALT_NUM_UOM1</v>
      </c>
    </row>
    <row r="11905" ht="15.75" customHeight="1">
      <c r="B11905" s="63">
        <f t="shared" si="1"/>
        <v>18</v>
      </c>
      <c r="C11905" s="135" t="s">
        <v>435</v>
      </c>
      <c r="D11905" s="161" t="s">
        <v>74</v>
      </c>
      <c r="E11905" s="135">
        <f t="shared" si="62"/>
        <v>22</v>
      </c>
      <c r="F11905" s="134" t="s">
        <v>3807</v>
      </c>
      <c r="G11905" s="63" t="str">
        <f>VLOOKUP(C11905, 'Class Def. - General Data'!$C$20:$C$1000,1,false)</f>
        <v>ZSI1_PERM_STRCTURE</v>
      </c>
      <c r="H11905" s="63" t="str">
        <f>IFERROR(__xludf.DUMMYFUNCTION("VLOOKUP(F11905, IMPORTRANGE(""https://docs.google.com/spreadsheets/d/1Lhp9OU0JdFf_VYSMzH5lBcEaU4o8teT1piV-SNzShjg/edit?gid=554141278#gid=554141278"", ""'Char Def. - Attributes'!C20:C2242""), 1,false)"),"ALT_UOM2_SIPI")</f>
        <v>ALT_UOM2_SIPI</v>
      </c>
      <c r="I11905" s="136"/>
      <c r="R11905" s="63" t="str">
        <f t="shared" si="60"/>
        <v>ZSI1_PERM_STRCTUREALT_UOM2_SIPI</v>
      </c>
    </row>
    <row r="11906" ht="15.75" customHeight="1">
      <c r="B11906" s="63">
        <f t="shared" si="1"/>
        <v>18</v>
      </c>
      <c r="C11906" s="135" t="s">
        <v>435</v>
      </c>
      <c r="D11906" s="161" t="s">
        <v>74</v>
      </c>
      <c r="E11906" s="135">
        <f t="shared" si="62"/>
        <v>23</v>
      </c>
      <c r="F11906" s="134" t="s">
        <v>3808</v>
      </c>
      <c r="G11906" s="63" t="str">
        <f>VLOOKUP(C11906, 'Class Def. - General Data'!$C$20:$C$1000,1,false)</f>
        <v>ZSI1_PERM_STRCTURE</v>
      </c>
      <c r="H11906" s="63" t="str">
        <f>IFERROR(__xludf.DUMMYFUNCTION("VLOOKUP(F11906, IMPORTRANGE(""https://docs.google.com/spreadsheets/d/1Lhp9OU0JdFf_VYSMzH5lBcEaU4o8teT1piV-SNzShjg/edit?gid=554141278#gid=554141278"", ""'Char Def. - Attributes'!C20:C2242""), 1,false)"),"ALT_DENUM_UOM2")</f>
        <v>ALT_DENUM_UOM2</v>
      </c>
      <c r="I11906" s="136"/>
      <c r="R11906" s="63" t="str">
        <f t="shared" si="60"/>
        <v>ZSI1_PERM_STRCTUREALT_DENUM_UOM2</v>
      </c>
    </row>
    <row r="11907" ht="15.75" customHeight="1">
      <c r="B11907" s="63">
        <f t="shared" si="1"/>
        <v>18</v>
      </c>
      <c r="C11907" s="135" t="s">
        <v>435</v>
      </c>
      <c r="D11907" s="161" t="s">
        <v>74</v>
      </c>
      <c r="E11907" s="135">
        <f t="shared" si="62"/>
        <v>24</v>
      </c>
      <c r="F11907" s="134" t="s">
        <v>3809</v>
      </c>
      <c r="G11907" s="63" t="str">
        <f>VLOOKUP(C11907, 'Class Def. - General Data'!$C$20:$C$1000,1,false)</f>
        <v>ZSI1_PERM_STRCTURE</v>
      </c>
      <c r="H11907" s="63" t="str">
        <f>IFERROR(__xludf.DUMMYFUNCTION("VLOOKUP(F11907, IMPORTRANGE(""https://docs.google.com/spreadsheets/d/1Lhp9OU0JdFf_VYSMzH5lBcEaU4o8teT1piV-SNzShjg/edit?gid=554141278#gid=554141278"", ""'Char Def. - Attributes'!C20:C2242""), 1,false)"),"ALT_NUM_UOM2")</f>
        <v>ALT_NUM_UOM2</v>
      </c>
      <c r="I11907" s="136"/>
      <c r="R11907" s="63" t="str">
        <f t="shared" si="60"/>
        <v>ZSI1_PERM_STRCTUREALT_NUM_UOM2</v>
      </c>
    </row>
    <row r="11908" ht="15.75" customHeight="1">
      <c r="B11908" s="63">
        <f t="shared" si="1"/>
        <v>18</v>
      </c>
      <c r="C11908" s="135" t="s">
        <v>435</v>
      </c>
      <c r="D11908" s="161" t="s">
        <v>74</v>
      </c>
      <c r="E11908" s="135">
        <f t="shared" si="62"/>
        <v>25</v>
      </c>
      <c r="F11908" s="134" t="s">
        <v>3810</v>
      </c>
      <c r="G11908" s="63" t="str">
        <f>VLOOKUP(C11908, 'Class Def. - General Data'!$C$20:$C$1000,1,false)</f>
        <v>ZSI1_PERM_STRCTURE</v>
      </c>
      <c r="H11908" s="63" t="str">
        <f>IFERROR(__xludf.DUMMYFUNCTION("VLOOKUP(F11908, IMPORTRANGE(""https://docs.google.com/spreadsheets/d/1Lhp9OU0JdFf_VYSMzH5lBcEaU4o8teT1piV-SNzShjg/edit?gid=554141278#gid=554141278"", ""'Char Def. - Attributes'!C20:C2242""), 1,false)"),"ALT_UOM3_SIPI")</f>
        <v>ALT_UOM3_SIPI</v>
      </c>
      <c r="I11908" s="136"/>
      <c r="R11908" s="63" t="str">
        <f t="shared" si="60"/>
        <v>ZSI1_PERM_STRCTUREALT_UOM3_SIPI</v>
      </c>
    </row>
    <row r="11909" ht="15.75" customHeight="1">
      <c r="B11909" s="63">
        <f t="shared" si="1"/>
        <v>18</v>
      </c>
      <c r="C11909" s="135" t="s">
        <v>435</v>
      </c>
      <c r="D11909" s="161" t="s">
        <v>74</v>
      </c>
      <c r="E11909" s="135">
        <f t="shared" si="62"/>
        <v>26</v>
      </c>
      <c r="F11909" s="134" t="s">
        <v>3811</v>
      </c>
      <c r="G11909" s="63" t="str">
        <f>VLOOKUP(C11909, 'Class Def. - General Data'!$C$20:$C$1000,1,false)</f>
        <v>ZSI1_PERM_STRCTURE</v>
      </c>
      <c r="H11909" s="63" t="str">
        <f>IFERROR(__xludf.DUMMYFUNCTION("VLOOKUP(F11909, IMPORTRANGE(""https://docs.google.com/spreadsheets/d/1Lhp9OU0JdFf_VYSMzH5lBcEaU4o8teT1piV-SNzShjg/edit?gid=554141278#gid=554141278"", ""'Char Def. - Attributes'!C20:C2242""), 1,false)"),"ALT_DENUM_UOM3")</f>
        <v>ALT_DENUM_UOM3</v>
      </c>
      <c r="I11909" s="136"/>
      <c r="R11909" s="63" t="str">
        <f t="shared" si="60"/>
        <v>ZSI1_PERM_STRCTUREALT_DENUM_UOM3</v>
      </c>
    </row>
    <row r="11910" ht="15.75" customHeight="1">
      <c r="B11910" s="63">
        <f t="shared" si="1"/>
        <v>18</v>
      </c>
      <c r="C11910" s="135" t="s">
        <v>435</v>
      </c>
      <c r="D11910" s="161" t="s">
        <v>74</v>
      </c>
      <c r="E11910" s="135">
        <f t="shared" si="62"/>
        <v>27</v>
      </c>
      <c r="F11910" s="134" t="s">
        <v>3812</v>
      </c>
      <c r="G11910" s="63" t="str">
        <f>VLOOKUP(C11910, 'Class Def. - General Data'!$C$20:$C$1000,1,false)</f>
        <v>ZSI1_PERM_STRCTURE</v>
      </c>
      <c r="H11910" s="63" t="str">
        <f>IFERROR(__xludf.DUMMYFUNCTION("VLOOKUP(F11910, IMPORTRANGE(""https://docs.google.com/spreadsheets/d/1Lhp9OU0JdFf_VYSMzH5lBcEaU4o8teT1piV-SNzShjg/edit?gid=554141278#gid=554141278"", ""'Char Def. - Attributes'!C20:C2242""), 1,false)"),"ALT_NUM_UOM3")</f>
        <v>ALT_NUM_UOM3</v>
      </c>
      <c r="I11910" s="136"/>
      <c r="R11910" s="63" t="str">
        <f t="shared" si="60"/>
        <v>ZSI1_PERM_STRCTUREALT_NUM_UOM3</v>
      </c>
    </row>
    <row r="11911" ht="15.75" customHeight="1">
      <c r="B11911" s="63">
        <f t="shared" si="1"/>
        <v>18</v>
      </c>
      <c r="C11911" s="135" t="s">
        <v>435</v>
      </c>
      <c r="D11911" s="161" t="s">
        <v>74</v>
      </c>
      <c r="E11911" s="135">
        <f t="shared" si="62"/>
        <v>28</v>
      </c>
      <c r="F11911" s="134" t="s">
        <v>3813</v>
      </c>
      <c r="G11911" s="63" t="str">
        <f>VLOOKUP(C11911, 'Class Def. - General Data'!$C$20:$C$1000,1,false)</f>
        <v>ZSI1_PERM_STRCTURE</v>
      </c>
      <c r="H11911" s="63" t="str">
        <f>IFERROR(__xludf.DUMMYFUNCTION("VLOOKUP(F11911, IMPORTRANGE(""https://docs.google.com/spreadsheets/d/1Lhp9OU0JdFf_VYSMzH5lBcEaU4o8teT1piV-SNzShjg/edit?gid=554141278#gid=554141278"", ""'Char Def. - Attributes'!C20:C2242""), 1,false)"),"ALT_UOM4_SIPI")</f>
        <v>ALT_UOM4_SIPI</v>
      </c>
      <c r="I11911" s="136"/>
      <c r="R11911" s="63" t="str">
        <f t="shared" si="60"/>
        <v>ZSI1_PERM_STRCTUREALT_UOM4_SIPI</v>
      </c>
    </row>
    <row r="11912" ht="15.75" customHeight="1">
      <c r="B11912" s="63">
        <f t="shared" si="1"/>
        <v>18</v>
      </c>
      <c r="C11912" s="135" t="s">
        <v>435</v>
      </c>
      <c r="D11912" s="161" t="s">
        <v>74</v>
      </c>
      <c r="E11912" s="135">
        <f t="shared" si="62"/>
        <v>29</v>
      </c>
      <c r="F11912" s="134" t="s">
        <v>3814</v>
      </c>
      <c r="G11912" s="63" t="str">
        <f>VLOOKUP(C11912, 'Class Def. - General Data'!$C$20:$C$1000,1,false)</f>
        <v>ZSI1_PERM_STRCTURE</v>
      </c>
      <c r="H11912" s="63" t="str">
        <f>IFERROR(__xludf.DUMMYFUNCTION("VLOOKUP(F11912, IMPORTRANGE(""https://docs.google.com/spreadsheets/d/1Lhp9OU0JdFf_VYSMzH5lBcEaU4o8teT1piV-SNzShjg/edit?gid=554141278#gid=554141278"", ""'Char Def. - Attributes'!C20:C2242""), 1,false)"),"ALT_DENUM_UOM4")</f>
        <v>ALT_DENUM_UOM4</v>
      </c>
      <c r="I11912" s="136"/>
      <c r="R11912" s="63" t="str">
        <f t="shared" si="60"/>
        <v>ZSI1_PERM_STRCTUREALT_DENUM_UOM4</v>
      </c>
    </row>
    <row r="11913" ht="15.75" customHeight="1">
      <c r="B11913" s="63">
        <f t="shared" si="1"/>
        <v>18</v>
      </c>
      <c r="C11913" s="135" t="s">
        <v>435</v>
      </c>
      <c r="D11913" s="161" t="s">
        <v>74</v>
      </c>
      <c r="E11913" s="135">
        <f t="shared" si="62"/>
        <v>30</v>
      </c>
      <c r="F11913" s="134" t="s">
        <v>3815</v>
      </c>
      <c r="G11913" s="63" t="str">
        <f>VLOOKUP(C11913, 'Class Def. - General Data'!$C$20:$C$1000,1,false)</f>
        <v>ZSI1_PERM_STRCTURE</v>
      </c>
      <c r="H11913" s="63" t="str">
        <f>IFERROR(__xludf.DUMMYFUNCTION("VLOOKUP(F11913, IMPORTRANGE(""https://docs.google.com/spreadsheets/d/1Lhp9OU0JdFf_VYSMzH5lBcEaU4o8teT1piV-SNzShjg/edit?gid=554141278#gid=554141278"", ""'Char Def. - Attributes'!C20:C2242""), 1,false)"),"ALT_NUM_UOM4")</f>
        <v>ALT_NUM_UOM4</v>
      </c>
      <c r="I11913" s="136"/>
      <c r="R11913" s="63" t="str">
        <f t="shared" si="60"/>
        <v>ZSI1_PERM_STRCTUREALT_NUM_UOM4</v>
      </c>
    </row>
    <row r="11914" ht="15.75" customHeight="1">
      <c r="B11914" s="63">
        <f t="shared" si="1"/>
        <v>18</v>
      </c>
      <c r="C11914" s="135" t="s">
        <v>435</v>
      </c>
      <c r="D11914" s="161" t="s">
        <v>74</v>
      </c>
      <c r="E11914" s="135">
        <f t="shared" si="62"/>
        <v>31</v>
      </c>
      <c r="F11914" s="134" t="s">
        <v>3816</v>
      </c>
      <c r="G11914" s="63" t="str">
        <f>VLOOKUP(C11914, 'Class Def. - General Data'!$C$20:$C$1000,1,false)</f>
        <v>ZSI1_PERM_STRCTURE</v>
      </c>
      <c r="H11914" s="63" t="str">
        <f>IFERROR(__xludf.DUMMYFUNCTION("VLOOKUP(F11914, IMPORTRANGE(""https://docs.google.com/spreadsheets/d/1Lhp9OU0JdFf_VYSMzH5lBcEaU4o8teT1piV-SNzShjg/edit?gid=554141278#gid=554141278"", ""'Char Def. - Attributes'!C20:C2242""), 1,false)"),"ALT_UOM5_SIPI")</f>
        <v>ALT_UOM5_SIPI</v>
      </c>
      <c r="I11914" s="136"/>
      <c r="R11914" s="63" t="str">
        <f t="shared" si="60"/>
        <v>ZSI1_PERM_STRCTUREALT_UOM5_SIPI</v>
      </c>
    </row>
    <row r="11915" ht="15.75" customHeight="1">
      <c r="B11915" s="63">
        <f t="shared" si="1"/>
        <v>18</v>
      </c>
      <c r="C11915" s="135" t="s">
        <v>435</v>
      </c>
      <c r="D11915" s="161" t="s">
        <v>74</v>
      </c>
      <c r="E11915" s="135">
        <f t="shared" si="62"/>
        <v>32</v>
      </c>
      <c r="F11915" s="134" t="s">
        <v>3817</v>
      </c>
      <c r="G11915" s="63" t="str">
        <f>VLOOKUP(C11915, 'Class Def. - General Data'!$C$20:$C$1000,1,false)</f>
        <v>ZSI1_PERM_STRCTURE</v>
      </c>
      <c r="H11915" s="63" t="str">
        <f>IFERROR(__xludf.DUMMYFUNCTION("VLOOKUP(F11915, IMPORTRANGE(""https://docs.google.com/spreadsheets/d/1Lhp9OU0JdFf_VYSMzH5lBcEaU4o8teT1piV-SNzShjg/edit?gid=554141278#gid=554141278"", ""'Char Def. - Attributes'!C20:C2242""), 1,false)"),"ALT_DENUM_UOM5")</f>
        <v>ALT_DENUM_UOM5</v>
      </c>
      <c r="I11915" s="136"/>
      <c r="R11915" s="63" t="str">
        <f t="shared" si="60"/>
        <v>ZSI1_PERM_STRCTUREALT_DENUM_UOM5</v>
      </c>
    </row>
    <row r="11916" ht="15.75" customHeight="1">
      <c r="B11916" s="63">
        <f t="shared" si="1"/>
        <v>18</v>
      </c>
      <c r="C11916" s="135" t="s">
        <v>435</v>
      </c>
      <c r="D11916" s="161" t="s">
        <v>74</v>
      </c>
      <c r="E11916" s="135">
        <f t="shared" si="62"/>
        <v>33</v>
      </c>
      <c r="F11916" s="134" t="s">
        <v>3818</v>
      </c>
      <c r="G11916" s="63" t="str">
        <f>VLOOKUP(C11916, 'Class Def. - General Data'!$C$20:$C$1000,1,false)</f>
        <v>ZSI1_PERM_STRCTURE</v>
      </c>
      <c r="H11916" s="63" t="str">
        <f>IFERROR(__xludf.DUMMYFUNCTION("VLOOKUP(F11916, IMPORTRANGE(""https://docs.google.com/spreadsheets/d/1Lhp9OU0JdFf_VYSMzH5lBcEaU4o8teT1piV-SNzShjg/edit?gid=554141278#gid=554141278"", ""'Char Def. - Attributes'!C20:C2242""), 1,false)"),"ALT_NUM_UOM5")</f>
        <v>ALT_NUM_UOM5</v>
      </c>
      <c r="I11916" s="136"/>
      <c r="R11916" s="63" t="str">
        <f t="shared" si="60"/>
        <v>ZSI1_PERM_STRCTUREALT_NUM_UOM5</v>
      </c>
    </row>
    <row r="11917" ht="15.75" customHeight="1">
      <c r="B11917" s="63">
        <f t="shared" si="1"/>
        <v>18</v>
      </c>
      <c r="C11917" s="135" t="s">
        <v>436</v>
      </c>
      <c r="D11917" s="161" t="s">
        <v>74</v>
      </c>
      <c r="E11917" s="135">
        <f t="shared" si="62"/>
        <v>1</v>
      </c>
      <c r="F11917" s="134" t="s">
        <v>5051</v>
      </c>
      <c r="G11917" s="63" t="str">
        <f>VLOOKUP(C11917, 'Class Def. - General Data'!$C$20:$C$1000,1,false)</f>
        <v>ZSI1_PERSONAL_SAFE</v>
      </c>
      <c r="H11917" s="63" t="str">
        <f>IFERROR(__xludf.DUMMYFUNCTION("VLOOKUP(F11917, IMPORTRANGE(""https://docs.google.com/spreadsheets/d/1Lhp9OU0JdFf_VYSMzH5lBcEaU4o8teT1piV-SNzShjg/edit?gid=554141278#gid=554141278"", ""'Char Def. - Attributes'!C20:C2242""), 1,false)"),"ITEM_NAME_PERSONAL_SAFE")</f>
        <v>ITEM_NAME_PERSONAL_SAFE</v>
      </c>
      <c r="I11917" s="136"/>
      <c r="R11917" s="63" t="str">
        <f t="shared" si="60"/>
        <v>ZSI1_PERSONAL_SAFEITEM_NAME_PERSONAL_SAFE</v>
      </c>
    </row>
    <row r="11918" ht="15.75" customHeight="1">
      <c r="B11918" s="63">
        <f t="shared" si="1"/>
        <v>18</v>
      </c>
      <c r="C11918" s="135" t="s">
        <v>436</v>
      </c>
      <c r="D11918" s="161" t="s">
        <v>74</v>
      </c>
      <c r="E11918" s="135">
        <f t="shared" si="62"/>
        <v>2</v>
      </c>
      <c r="F11918" s="134" t="s">
        <v>4541</v>
      </c>
      <c r="G11918" s="63" t="str">
        <f>VLOOKUP(C11918, 'Class Def. - General Data'!$C$20:$C$1000,1,false)</f>
        <v>ZSI1_PERSONAL_SAFE</v>
      </c>
      <c r="H11918" s="63" t="str">
        <f>IFERROR(__xludf.DUMMYFUNCTION("VLOOKUP(F11918, IMPORTRANGE(""https://docs.google.com/spreadsheets/d/1Lhp9OU0JdFf_VYSMzH5lBcEaU4o8teT1piV-SNzShjg/edit?gid=554141278#gid=554141278"", ""'Char Def. - Attributes'!C20:C2242""), 1,false)"),"PERLU_BRAND")</f>
        <v>PERLU_BRAND</v>
      </c>
      <c r="I11918" s="136"/>
      <c r="R11918" s="63" t="str">
        <f t="shared" si="60"/>
        <v>ZSI1_PERSONAL_SAFEPERLU_BRAND</v>
      </c>
    </row>
    <row r="11919" ht="15.75" customHeight="1">
      <c r="B11919" s="63">
        <f t="shared" si="1"/>
        <v>18</v>
      </c>
      <c r="C11919" s="135" t="s">
        <v>436</v>
      </c>
      <c r="D11919" s="161" t="s">
        <v>74</v>
      </c>
      <c r="E11919" s="135">
        <f t="shared" si="62"/>
        <v>3</v>
      </c>
      <c r="F11919" s="134" t="s">
        <v>5052</v>
      </c>
      <c r="G11919" s="63" t="str">
        <f>VLOOKUP(C11919, 'Class Def. - General Data'!$C$20:$C$1000,1,false)</f>
        <v>ZSI1_PERSONAL_SAFE</v>
      </c>
      <c r="H11919" s="63" t="str">
        <f>IFERROR(__xludf.DUMMYFUNCTION("VLOOKUP(F11919, IMPORTRANGE(""https://docs.google.com/spreadsheets/d/1Lhp9OU0JdFf_VYSMzH5lBcEaU4o8teT1piV-SNzShjg/edit?gid=554141278#gid=554141278"", ""'Char Def. - Attributes'!C20:C2242""), 1,false)"),"DESIGN_PERSONAL_SAFE")</f>
        <v>DESIGN_PERSONAL_SAFE</v>
      </c>
      <c r="I11919" s="136"/>
      <c r="R11919" s="63" t="str">
        <f t="shared" si="60"/>
        <v>ZSI1_PERSONAL_SAFEDESIGN_PERSONAL_SAFE</v>
      </c>
    </row>
    <row r="11920" ht="15.75" customHeight="1">
      <c r="B11920" s="63">
        <f t="shared" si="1"/>
        <v>18</v>
      </c>
      <c r="C11920" s="135" t="s">
        <v>436</v>
      </c>
      <c r="D11920" s="161" t="s">
        <v>74</v>
      </c>
      <c r="E11920" s="135">
        <f t="shared" si="62"/>
        <v>4</v>
      </c>
      <c r="F11920" s="134" t="s">
        <v>5053</v>
      </c>
      <c r="G11920" s="63" t="str">
        <f>VLOOKUP(C11920, 'Class Def. - General Data'!$C$20:$C$1000,1,false)</f>
        <v>ZSI1_PERSONAL_SAFE</v>
      </c>
      <c r="H11920" s="63" t="str">
        <f>IFERROR(__xludf.DUMMYFUNCTION("VLOOKUP(F11920, IMPORTRANGE(""https://docs.google.com/spreadsheets/d/1Lhp9OU0JdFf_VYSMzH5lBcEaU4o8teT1piV-SNzShjg/edit?gid=554141278#gid=554141278"", ""'Char Def. - Attributes'!C20:C2242""), 1,false)"),"SIZE_PERSONAL_SAFE")</f>
        <v>SIZE_PERSONAL_SAFE</v>
      </c>
      <c r="I11920" s="136"/>
      <c r="R11920" s="63" t="str">
        <f t="shared" si="60"/>
        <v>ZSI1_PERSONAL_SAFESIZE_PERSONAL_SAFE</v>
      </c>
    </row>
    <row r="11921" ht="15.75" customHeight="1">
      <c r="B11921" s="63">
        <f t="shared" si="1"/>
        <v>18</v>
      </c>
      <c r="C11921" s="135" t="s">
        <v>436</v>
      </c>
      <c r="D11921" s="161" t="s">
        <v>74</v>
      </c>
      <c r="E11921" s="135">
        <f t="shared" si="62"/>
        <v>5</v>
      </c>
      <c r="F11921" s="134" t="s">
        <v>3779</v>
      </c>
      <c r="G11921" s="63" t="str">
        <f>VLOOKUP(C11921, 'Class Def. - General Data'!$C$20:$C$1000,1,false)</f>
        <v>ZSI1_PERSONAL_SAFE</v>
      </c>
      <c r="H11921" s="63" t="str">
        <f>IFERROR(__xludf.DUMMYFUNCTION("VLOOKUP(F11921, IMPORTRANGE(""https://docs.google.com/spreadsheets/d/1Lhp9OU0JdFf_VYSMzH5lBcEaU4o8teT1piV-SNzShjg/edit?gid=554141278#gid=554141278"", ""'Char Def. - Attributes'!C20:C2242""), 1,false)"),"EMBOSSED_BRAND_WINGS")</f>
        <v>EMBOSSED_BRAND_WINGS</v>
      </c>
      <c r="I11921" s="136"/>
      <c r="R11921" s="63" t="str">
        <f t="shared" si="60"/>
        <v>ZSI1_PERSONAL_SAFEEMBOSSED_BRAND_WINGS</v>
      </c>
    </row>
    <row r="11922" ht="15.75" customHeight="1">
      <c r="B11922" s="63">
        <f t="shared" si="1"/>
        <v>18</v>
      </c>
      <c r="C11922" s="135" t="s">
        <v>436</v>
      </c>
      <c r="D11922" s="161" t="s">
        <v>74</v>
      </c>
      <c r="E11922" s="135">
        <f t="shared" si="62"/>
        <v>6</v>
      </c>
      <c r="F11922" s="134" t="s">
        <v>3780</v>
      </c>
      <c r="G11922" s="63" t="str">
        <f>VLOOKUP(C11922, 'Class Def. - General Data'!$C$20:$C$1000,1,false)</f>
        <v>ZSI1_PERSONAL_SAFE</v>
      </c>
      <c r="H11922" s="63" t="str">
        <f>IFERROR(__xludf.DUMMYFUNCTION("VLOOKUP(F11922, IMPORTRANGE(""https://docs.google.com/spreadsheets/d/1Lhp9OU0JdFf_VYSMzH5lBcEaU4o8teT1piV-SNzShjg/edit?gid=554141278#gid=554141278"", ""'Char Def. - Attributes'!C20:C2242""), 1,false)"),"BRAND_WINGS_SIPI")</f>
        <v>BRAND_WINGS_SIPI</v>
      </c>
      <c r="I11922" s="136"/>
      <c r="R11922" s="63" t="str">
        <f t="shared" si="60"/>
        <v>ZSI1_PERSONAL_SAFEBRAND_WINGS_SIPI</v>
      </c>
    </row>
    <row r="11923" ht="15.75" customHeight="1">
      <c r="B11923" s="63">
        <f t="shared" si="1"/>
        <v>18</v>
      </c>
      <c r="C11923" s="135" t="s">
        <v>436</v>
      </c>
      <c r="D11923" s="161" t="s">
        <v>74</v>
      </c>
      <c r="E11923" s="135">
        <f t="shared" si="62"/>
        <v>7</v>
      </c>
      <c r="F11923" s="134" t="s">
        <v>3778</v>
      </c>
      <c r="G11923" s="63" t="str">
        <f>VLOOKUP(C11923, 'Class Def. - General Data'!$C$20:$C$1000,1,false)</f>
        <v>ZSI1_PERSONAL_SAFE</v>
      </c>
      <c r="H11923" s="63" t="str">
        <f>IFERROR(__xludf.DUMMYFUNCTION("VLOOKUP(F11923, IMPORTRANGE(""https://docs.google.com/spreadsheets/d/1Lhp9OU0JdFf_VYSMzH5lBcEaU4o8teT1piV-SNzShjg/edit?gid=554141278#gid=554141278"", ""'Char Def. - Attributes'!C20:C2242""), 1,false)"),"SPECIAL_ACTIVITY")</f>
        <v>SPECIAL_ACTIVITY</v>
      </c>
      <c r="I11923" s="136"/>
      <c r="R11923" s="63" t="str">
        <f t="shared" si="60"/>
        <v>ZSI1_PERSONAL_SAFESPECIAL_ACTIVITY</v>
      </c>
    </row>
    <row r="11924" ht="15.75" customHeight="1">
      <c r="B11924" s="63">
        <f t="shared" si="1"/>
        <v>18</v>
      </c>
      <c r="C11924" s="135" t="s">
        <v>436</v>
      </c>
      <c r="D11924" s="161" t="s">
        <v>74</v>
      </c>
      <c r="E11924" s="135">
        <f t="shared" si="62"/>
        <v>8</v>
      </c>
      <c r="F11924" s="134" t="s">
        <v>3585</v>
      </c>
      <c r="G11924" s="63" t="str">
        <f>VLOOKUP(C11924, 'Class Def. - General Data'!$C$20:$C$1000,1,false)</f>
        <v>ZSI1_PERSONAL_SAFE</v>
      </c>
      <c r="H11924" s="63" t="str">
        <f>IFERROR(__xludf.DUMMYFUNCTION("VLOOKUP(F11924, IMPORTRANGE(""https://docs.google.com/spreadsheets/d/1Lhp9OU0JdFf_VYSMzH5lBcEaU4o8teT1piV-SNzShjg/edit?gid=554141278#gid=554141278"", ""'Char Def. - Attributes'!C20:C2242""), 1,false)"),"HS_CODE")</f>
        <v>HS_CODE</v>
      </c>
      <c r="I11924" s="136"/>
      <c r="R11924" s="63" t="str">
        <f t="shared" si="60"/>
        <v>ZSI1_PERSONAL_SAFEHS_CODE</v>
      </c>
    </row>
    <row r="11925" ht="15.75" customHeight="1">
      <c r="B11925" s="63">
        <f t="shared" si="1"/>
        <v>18</v>
      </c>
      <c r="C11925" s="135" t="s">
        <v>436</v>
      </c>
      <c r="D11925" s="161" t="s">
        <v>74</v>
      </c>
      <c r="E11925" s="135">
        <f t="shared" si="62"/>
        <v>9</v>
      </c>
      <c r="F11925" s="134" t="s">
        <v>3587</v>
      </c>
      <c r="G11925" s="63" t="str">
        <f>VLOOKUP(C11925, 'Class Def. - General Data'!$C$20:$C$1000,1,false)</f>
        <v>ZSI1_PERSONAL_SAFE</v>
      </c>
      <c r="H11925" s="63" t="str">
        <f>IFERROR(__xludf.DUMMYFUNCTION("VLOOKUP(F11925, IMPORTRANGE(""https://docs.google.com/spreadsheets/d/1Lhp9OU0JdFf_VYSMzH5lBcEaU4o8teT1piV-SNzShjg/edit?gid=554141278#gid=554141278"", ""'Char Def. - Attributes'!C20:C2242""), 1,false)"),"PLANT_BUY")</f>
        <v>PLANT_BUY</v>
      </c>
      <c r="I11925" s="136"/>
      <c r="R11925" s="63" t="str">
        <f t="shared" si="60"/>
        <v>ZSI1_PERSONAL_SAFEPLANT_BUY</v>
      </c>
    </row>
    <row r="11926" ht="15.75" customHeight="1">
      <c r="B11926" s="63">
        <f t="shared" si="1"/>
        <v>18</v>
      </c>
      <c r="C11926" s="135" t="s">
        <v>436</v>
      </c>
      <c r="D11926" s="161" t="s">
        <v>74</v>
      </c>
      <c r="E11926" s="135">
        <f t="shared" si="62"/>
        <v>10</v>
      </c>
      <c r="F11926" s="134" t="s">
        <v>5054</v>
      </c>
      <c r="G11926" s="63" t="str">
        <f>VLOOKUP(C11926, 'Class Def. - General Data'!$C$20:$C$1000,1,false)</f>
        <v>ZSI1_PERSONAL_SAFE</v>
      </c>
      <c r="H11926" s="63" t="str">
        <f>IFERROR(__xludf.DUMMYFUNCTION("VLOOKUP(F11926, IMPORTRANGE(""https://docs.google.com/spreadsheets/d/1Lhp9OU0JdFf_VYSMzH5lBcEaU4o8teT1piV-SNzShjg/edit?gid=554141278#gid=554141278"", ""'Char Def. - Attributes'!C20:C2242""), 1,false)"),"BASE_UOM_PERSONAL_SAFE")</f>
        <v>BASE_UOM_PERSONAL_SAFE</v>
      </c>
      <c r="I11926" s="136"/>
      <c r="R11926" s="63" t="str">
        <f t="shared" si="60"/>
        <v>ZSI1_PERSONAL_SAFEBASE_UOM_PERSONAL_SAFE</v>
      </c>
    </row>
    <row r="11927" ht="15.75" customHeight="1">
      <c r="B11927" s="63">
        <f t="shared" si="1"/>
        <v>18</v>
      </c>
      <c r="C11927" s="135" t="s">
        <v>436</v>
      </c>
      <c r="D11927" s="161" t="s">
        <v>74</v>
      </c>
      <c r="E11927" s="135">
        <f t="shared" si="62"/>
        <v>11</v>
      </c>
      <c r="F11927" s="134" t="s">
        <v>5055</v>
      </c>
      <c r="G11927" s="63" t="str">
        <f>VLOOKUP(C11927, 'Class Def. - General Data'!$C$20:$C$1000,1,false)</f>
        <v>ZSI1_PERSONAL_SAFE</v>
      </c>
      <c r="H11927" s="63" t="str">
        <f>IFERROR(__xludf.DUMMYFUNCTION("VLOOKUP(F11927, IMPORTRANGE(""https://docs.google.com/spreadsheets/d/1Lhp9OU0JdFf_VYSMzH5lBcEaU4o8teT1piV-SNzShjg/edit?gid=554141278#gid=554141278"", ""'Char Def. - Attributes'!C20:C2242""), 1,false)"),"ORDER_UNIT_PERSONAL_SAFE")</f>
        <v>ORDER_UNIT_PERSONAL_SAFE</v>
      </c>
      <c r="I11927" s="136"/>
      <c r="R11927" s="63" t="str">
        <f t="shared" si="60"/>
        <v>ZSI1_PERSONAL_SAFEORDER_UNIT_PERSONAL_SAFE</v>
      </c>
    </row>
    <row r="11928" ht="15.75" customHeight="1">
      <c r="B11928" s="63">
        <f t="shared" si="1"/>
        <v>18</v>
      </c>
      <c r="C11928" s="135" t="s">
        <v>436</v>
      </c>
      <c r="D11928" s="161" t="s">
        <v>74</v>
      </c>
      <c r="E11928" s="135">
        <f t="shared" si="62"/>
        <v>12</v>
      </c>
      <c r="F11928" s="134" t="s">
        <v>4056</v>
      </c>
      <c r="G11928" s="63" t="str">
        <f>VLOOKUP(C11928, 'Class Def. - General Data'!$C$20:$C$1000,1,false)</f>
        <v>ZSI1_PERSONAL_SAFE</v>
      </c>
      <c r="H11928" s="63" t="str">
        <f>IFERROR(__xludf.DUMMYFUNCTION("VLOOKUP(F11928, IMPORTRANGE(""https://docs.google.com/spreadsheets/d/1Lhp9OU0JdFf_VYSMzH5lBcEaU4o8teT1piV-SNzShjg/edit?gid=554141278#gid=554141278"", ""'Char Def. - Attributes'!C20:C2242""), 1,false)"),"GROSS_WEIGHT_OPT")</f>
        <v>GROSS_WEIGHT_OPT</v>
      </c>
      <c r="I11928" s="136"/>
      <c r="R11928" s="63" t="str">
        <f t="shared" si="60"/>
        <v>ZSI1_PERSONAL_SAFEGROSS_WEIGHT_OPT</v>
      </c>
    </row>
    <row r="11929" ht="15.75" customHeight="1">
      <c r="B11929" s="63">
        <f t="shared" si="1"/>
        <v>18</v>
      </c>
      <c r="C11929" s="135" t="s">
        <v>436</v>
      </c>
      <c r="D11929" s="161" t="s">
        <v>74</v>
      </c>
      <c r="E11929" s="135">
        <f t="shared" si="62"/>
        <v>13</v>
      </c>
      <c r="F11929" s="134" t="s">
        <v>4057</v>
      </c>
      <c r="G11929" s="63" t="str">
        <f>VLOOKUP(C11929, 'Class Def. - General Data'!$C$20:$C$1000,1,false)</f>
        <v>ZSI1_PERSONAL_SAFE</v>
      </c>
      <c r="H11929" s="63" t="str">
        <f>IFERROR(__xludf.DUMMYFUNCTION("VLOOKUP(F11929, IMPORTRANGE(""https://docs.google.com/spreadsheets/d/1Lhp9OU0JdFf_VYSMzH5lBcEaU4o8teT1piV-SNzShjg/edit?gid=554141278#gid=554141278"", ""'Char Def. - Attributes'!C20:C2242""), 1,false)"),"NET_WEIGHT_OPT")</f>
        <v>NET_WEIGHT_OPT</v>
      </c>
      <c r="I11929" s="136"/>
      <c r="R11929" s="63" t="str">
        <f t="shared" si="60"/>
        <v>ZSI1_PERSONAL_SAFENET_WEIGHT_OPT</v>
      </c>
    </row>
    <row r="11930" ht="15.75" customHeight="1">
      <c r="B11930" s="63">
        <f t="shared" si="1"/>
        <v>18</v>
      </c>
      <c r="C11930" s="135" t="s">
        <v>436</v>
      </c>
      <c r="D11930" s="161" t="s">
        <v>74</v>
      </c>
      <c r="E11930" s="135">
        <f t="shared" si="62"/>
        <v>14</v>
      </c>
      <c r="F11930" s="134" t="s">
        <v>4058</v>
      </c>
      <c r="G11930" s="63" t="str">
        <f>VLOOKUP(C11930, 'Class Def. - General Data'!$C$20:$C$1000,1,false)</f>
        <v>ZSI1_PERSONAL_SAFE</v>
      </c>
      <c r="H11930" s="63" t="str">
        <f>IFERROR(__xludf.DUMMYFUNCTION("VLOOKUP(F11930, IMPORTRANGE(""https://docs.google.com/spreadsheets/d/1Lhp9OU0JdFf_VYSMzH5lBcEaU4o8teT1piV-SNzShjg/edit?gid=554141278#gid=554141278"", ""'Char Def. - Attributes'!C20:C2242""), 1,false)"),"WEIGHT_UNIT_SI")</f>
        <v>WEIGHT_UNIT_SI</v>
      </c>
      <c r="I11930" s="136"/>
      <c r="R11930" s="63" t="str">
        <f t="shared" si="60"/>
        <v>ZSI1_PERSONAL_SAFEWEIGHT_UNIT_SI</v>
      </c>
    </row>
    <row r="11931" ht="15.75" customHeight="1">
      <c r="B11931" s="63">
        <f t="shared" si="1"/>
        <v>18</v>
      </c>
      <c r="C11931" s="135" t="s">
        <v>436</v>
      </c>
      <c r="D11931" s="161" t="s">
        <v>74</v>
      </c>
      <c r="E11931" s="135">
        <f t="shared" si="62"/>
        <v>15</v>
      </c>
      <c r="F11931" s="134" t="s">
        <v>3877</v>
      </c>
      <c r="G11931" s="63" t="str">
        <f>VLOOKUP(C11931, 'Class Def. - General Data'!$C$20:$C$1000,1,false)</f>
        <v>ZSI1_PERSONAL_SAFE</v>
      </c>
      <c r="H11931" s="63" t="str">
        <f>IFERROR(__xludf.DUMMYFUNCTION("VLOOKUP(F11931, IMPORTRANGE(""https://docs.google.com/spreadsheets/d/1Lhp9OU0JdFf_VYSMzH5lBcEaU4o8teT1piV-SNzShjg/edit?gid=554141278#gid=554141278"", ""'Char Def. - Attributes'!C20:C2242""), 1,false)"),"VOLUME_OPT")</f>
        <v>VOLUME_OPT</v>
      </c>
      <c r="I11931" s="136"/>
      <c r="R11931" s="63" t="str">
        <f t="shared" si="60"/>
        <v>ZSI1_PERSONAL_SAFEVOLUME_OPT</v>
      </c>
    </row>
    <row r="11932" ht="15.75" customHeight="1">
      <c r="B11932" s="63">
        <f t="shared" si="1"/>
        <v>18</v>
      </c>
      <c r="C11932" s="135" t="s">
        <v>436</v>
      </c>
      <c r="D11932" s="161" t="s">
        <v>74</v>
      </c>
      <c r="E11932" s="135">
        <f t="shared" si="62"/>
        <v>16</v>
      </c>
      <c r="F11932" s="134" t="s">
        <v>4059</v>
      </c>
      <c r="G11932" s="63" t="str">
        <f>VLOOKUP(C11932, 'Class Def. - General Data'!$C$20:$C$1000,1,false)</f>
        <v>ZSI1_PERSONAL_SAFE</v>
      </c>
      <c r="H11932" s="63" t="str">
        <f>IFERROR(__xludf.DUMMYFUNCTION("VLOOKUP(F11932, IMPORTRANGE(""https://docs.google.com/spreadsheets/d/1Lhp9OU0JdFf_VYSMzH5lBcEaU4o8teT1piV-SNzShjg/edit?gid=554141278#gid=554141278"", ""'Char Def. - Attributes'!C20:C2242""), 1,false)"),"VOLUME_UNIT_SI")</f>
        <v>VOLUME_UNIT_SI</v>
      </c>
      <c r="I11932" s="136"/>
      <c r="R11932" s="63" t="str">
        <f t="shared" si="60"/>
        <v>ZSI1_PERSONAL_SAFEVOLUME_UNIT_SI</v>
      </c>
    </row>
    <row r="11933" ht="15.75" customHeight="1">
      <c r="B11933" s="63">
        <f t="shared" si="1"/>
        <v>18</v>
      </c>
      <c r="C11933" s="135" t="s">
        <v>436</v>
      </c>
      <c r="D11933" s="161" t="s">
        <v>74</v>
      </c>
      <c r="E11933" s="135">
        <f t="shared" si="62"/>
        <v>17</v>
      </c>
      <c r="F11933" s="134" t="s">
        <v>3804</v>
      </c>
      <c r="G11933" s="63" t="str">
        <f>VLOOKUP(C11933, 'Class Def. - General Data'!$C$20:$C$1000,1,false)</f>
        <v>ZSI1_PERSONAL_SAFE</v>
      </c>
      <c r="H11933" s="63" t="str">
        <f>IFERROR(__xludf.DUMMYFUNCTION("VLOOKUP(F11933, IMPORTRANGE(""https://docs.google.com/spreadsheets/d/1Lhp9OU0JdFf_VYSMzH5lBcEaU4o8teT1piV-SNzShjg/edit?gid=554141278#gid=554141278"", ""'Char Def. - Attributes'!C20:C2242""), 1,false)"),"ALT_UOM1_SIPI")</f>
        <v>ALT_UOM1_SIPI</v>
      </c>
      <c r="I11933" s="136"/>
      <c r="R11933" s="63" t="str">
        <f t="shared" si="60"/>
        <v>ZSI1_PERSONAL_SAFEALT_UOM1_SIPI</v>
      </c>
    </row>
    <row r="11934" ht="15.75" customHeight="1">
      <c r="B11934" s="63">
        <f t="shared" si="1"/>
        <v>18</v>
      </c>
      <c r="C11934" s="135" t="s">
        <v>436</v>
      </c>
      <c r="D11934" s="161" t="s">
        <v>74</v>
      </c>
      <c r="E11934" s="135">
        <f t="shared" si="62"/>
        <v>18</v>
      </c>
      <c r="F11934" s="134" t="s">
        <v>3805</v>
      </c>
      <c r="G11934" s="63" t="str">
        <f>VLOOKUP(C11934, 'Class Def. - General Data'!$C$20:$C$1000,1,false)</f>
        <v>ZSI1_PERSONAL_SAFE</v>
      </c>
      <c r="H11934" s="63" t="str">
        <f>IFERROR(__xludf.DUMMYFUNCTION("VLOOKUP(F11934, IMPORTRANGE(""https://docs.google.com/spreadsheets/d/1Lhp9OU0JdFf_VYSMzH5lBcEaU4o8teT1piV-SNzShjg/edit?gid=554141278#gid=554141278"", ""'Char Def. - Attributes'!C20:C2242""), 1,false)"),"ALT_DENUM_UOM1")</f>
        <v>ALT_DENUM_UOM1</v>
      </c>
      <c r="I11934" s="136"/>
      <c r="R11934" s="63" t="str">
        <f t="shared" si="60"/>
        <v>ZSI1_PERSONAL_SAFEALT_DENUM_UOM1</v>
      </c>
    </row>
    <row r="11935" ht="15.75" customHeight="1">
      <c r="B11935" s="63">
        <f t="shared" si="1"/>
        <v>18</v>
      </c>
      <c r="C11935" s="135" t="s">
        <v>436</v>
      </c>
      <c r="D11935" s="161" t="s">
        <v>74</v>
      </c>
      <c r="E11935" s="135">
        <f t="shared" si="62"/>
        <v>19</v>
      </c>
      <c r="F11935" s="134" t="s">
        <v>3806</v>
      </c>
      <c r="G11935" s="63" t="str">
        <f>VLOOKUP(C11935, 'Class Def. - General Data'!$C$20:$C$1000,1,false)</f>
        <v>ZSI1_PERSONAL_SAFE</v>
      </c>
      <c r="H11935" s="63" t="str">
        <f>IFERROR(__xludf.DUMMYFUNCTION("VLOOKUP(F11935, IMPORTRANGE(""https://docs.google.com/spreadsheets/d/1Lhp9OU0JdFf_VYSMzH5lBcEaU4o8teT1piV-SNzShjg/edit?gid=554141278#gid=554141278"", ""'Char Def. - Attributes'!C20:C2242""), 1,false)"),"ALT_NUM_UOM1")</f>
        <v>ALT_NUM_UOM1</v>
      </c>
      <c r="I11935" s="136"/>
      <c r="R11935" s="63" t="str">
        <f t="shared" si="60"/>
        <v>ZSI1_PERSONAL_SAFEALT_NUM_UOM1</v>
      </c>
    </row>
    <row r="11936" ht="15.75" customHeight="1">
      <c r="B11936" s="63">
        <f t="shared" si="1"/>
        <v>18</v>
      </c>
      <c r="C11936" s="135" t="s">
        <v>436</v>
      </c>
      <c r="D11936" s="161" t="s">
        <v>74</v>
      </c>
      <c r="E11936" s="135">
        <f t="shared" si="62"/>
        <v>20</v>
      </c>
      <c r="F11936" s="134" t="s">
        <v>3807</v>
      </c>
      <c r="G11936" s="63" t="str">
        <f>VLOOKUP(C11936, 'Class Def. - General Data'!$C$20:$C$1000,1,false)</f>
        <v>ZSI1_PERSONAL_SAFE</v>
      </c>
      <c r="H11936" s="63" t="str">
        <f>IFERROR(__xludf.DUMMYFUNCTION("VLOOKUP(F11936, IMPORTRANGE(""https://docs.google.com/spreadsheets/d/1Lhp9OU0JdFf_VYSMzH5lBcEaU4o8teT1piV-SNzShjg/edit?gid=554141278#gid=554141278"", ""'Char Def. - Attributes'!C20:C2242""), 1,false)"),"ALT_UOM2_SIPI")</f>
        <v>ALT_UOM2_SIPI</v>
      </c>
      <c r="I11936" s="136"/>
      <c r="R11936" s="63" t="str">
        <f t="shared" si="60"/>
        <v>ZSI1_PERSONAL_SAFEALT_UOM2_SIPI</v>
      </c>
    </row>
    <row r="11937" ht="15.75" customHeight="1">
      <c r="B11937" s="63">
        <f t="shared" si="1"/>
        <v>18</v>
      </c>
      <c r="C11937" s="135" t="s">
        <v>436</v>
      </c>
      <c r="D11937" s="161" t="s">
        <v>74</v>
      </c>
      <c r="E11937" s="135">
        <f t="shared" si="62"/>
        <v>21</v>
      </c>
      <c r="F11937" s="134" t="s">
        <v>3808</v>
      </c>
      <c r="G11937" s="63" t="str">
        <f>VLOOKUP(C11937, 'Class Def. - General Data'!$C$20:$C$1000,1,false)</f>
        <v>ZSI1_PERSONAL_SAFE</v>
      </c>
      <c r="H11937" s="63" t="str">
        <f>IFERROR(__xludf.DUMMYFUNCTION("VLOOKUP(F11937, IMPORTRANGE(""https://docs.google.com/spreadsheets/d/1Lhp9OU0JdFf_VYSMzH5lBcEaU4o8teT1piV-SNzShjg/edit?gid=554141278#gid=554141278"", ""'Char Def. - Attributes'!C20:C2242""), 1,false)"),"ALT_DENUM_UOM2")</f>
        <v>ALT_DENUM_UOM2</v>
      </c>
      <c r="I11937" s="136"/>
      <c r="R11937" s="63" t="str">
        <f t="shared" si="60"/>
        <v>ZSI1_PERSONAL_SAFEALT_DENUM_UOM2</v>
      </c>
    </row>
    <row r="11938" ht="15.75" customHeight="1">
      <c r="B11938" s="63">
        <f t="shared" si="1"/>
        <v>18</v>
      </c>
      <c r="C11938" s="135" t="s">
        <v>436</v>
      </c>
      <c r="D11938" s="161" t="s">
        <v>74</v>
      </c>
      <c r="E11938" s="135">
        <f t="shared" si="62"/>
        <v>22</v>
      </c>
      <c r="F11938" s="134" t="s">
        <v>3809</v>
      </c>
      <c r="G11938" s="63" t="str">
        <f>VLOOKUP(C11938, 'Class Def. - General Data'!$C$20:$C$1000,1,false)</f>
        <v>ZSI1_PERSONAL_SAFE</v>
      </c>
      <c r="H11938" s="63" t="str">
        <f>IFERROR(__xludf.DUMMYFUNCTION("VLOOKUP(F11938, IMPORTRANGE(""https://docs.google.com/spreadsheets/d/1Lhp9OU0JdFf_VYSMzH5lBcEaU4o8teT1piV-SNzShjg/edit?gid=554141278#gid=554141278"", ""'Char Def. - Attributes'!C20:C2242""), 1,false)"),"ALT_NUM_UOM2")</f>
        <v>ALT_NUM_UOM2</v>
      </c>
      <c r="I11938" s="136"/>
      <c r="R11938" s="63" t="str">
        <f t="shared" si="60"/>
        <v>ZSI1_PERSONAL_SAFEALT_NUM_UOM2</v>
      </c>
    </row>
    <row r="11939" ht="15.75" customHeight="1">
      <c r="B11939" s="63">
        <f t="shared" si="1"/>
        <v>18</v>
      </c>
      <c r="C11939" s="135" t="s">
        <v>436</v>
      </c>
      <c r="D11939" s="161" t="s">
        <v>74</v>
      </c>
      <c r="E11939" s="135">
        <f t="shared" si="62"/>
        <v>23</v>
      </c>
      <c r="F11939" s="134" t="s">
        <v>3810</v>
      </c>
      <c r="G11939" s="63" t="str">
        <f>VLOOKUP(C11939, 'Class Def. - General Data'!$C$20:$C$1000,1,false)</f>
        <v>ZSI1_PERSONAL_SAFE</v>
      </c>
      <c r="H11939" s="63" t="str">
        <f>IFERROR(__xludf.DUMMYFUNCTION("VLOOKUP(F11939, IMPORTRANGE(""https://docs.google.com/spreadsheets/d/1Lhp9OU0JdFf_VYSMzH5lBcEaU4o8teT1piV-SNzShjg/edit?gid=554141278#gid=554141278"", ""'Char Def. - Attributes'!C20:C2242""), 1,false)"),"ALT_UOM3_SIPI")</f>
        <v>ALT_UOM3_SIPI</v>
      </c>
      <c r="I11939" s="136"/>
      <c r="R11939" s="63" t="str">
        <f t="shared" si="60"/>
        <v>ZSI1_PERSONAL_SAFEALT_UOM3_SIPI</v>
      </c>
    </row>
    <row r="11940" ht="15.75" customHeight="1">
      <c r="B11940" s="63">
        <f t="shared" si="1"/>
        <v>18</v>
      </c>
      <c r="C11940" s="135" t="s">
        <v>436</v>
      </c>
      <c r="D11940" s="161" t="s">
        <v>74</v>
      </c>
      <c r="E11940" s="135">
        <f t="shared" si="62"/>
        <v>24</v>
      </c>
      <c r="F11940" s="134" t="s">
        <v>3811</v>
      </c>
      <c r="G11940" s="63" t="str">
        <f>VLOOKUP(C11940, 'Class Def. - General Data'!$C$20:$C$1000,1,false)</f>
        <v>ZSI1_PERSONAL_SAFE</v>
      </c>
      <c r="H11940" s="63" t="str">
        <f>IFERROR(__xludf.DUMMYFUNCTION("VLOOKUP(F11940, IMPORTRANGE(""https://docs.google.com/spreadsheets/d/1Lhp9OU0JdFf_VYSMzH5lBcEaU4o8teT1piV-SNzShjg/edit?gid=554141278#gid=554141278"", ""'Char Def. - Attributes'!C20:C2242""), 1,false)"),"ALT_DENUM_UOM3")</f>
        <v>ALT_DENUM_UOM3</v>
      </c>
      <c r="I11940" s="136"/>
      <c r="R11940" s="63" t="str">
        <f t="shared" si="60"/>
        <v>ZSI1_PERSONAL_SAFEALT_DENUM_UOM3</v>
      </c>
    </row>
    <row r="11941" ht="15.75" customHeight="1">
      <c r="B11941" s="63">
        <f t="shared" si="1"/>
        <v>18</v>
      </c>
      <c r="C11941" s="135" t="s">
        <v>436</v>
      </c>
      <c r="D11941" s="161" t="s">
        <v>74</v>
      </c>
      <c r="E11941" s="135">
        <f t="shared" si="62"/>
        <v>25</v>
      </c>
      <c r="F11941" s="134" t="s">
        <v>3812</v>
      </c>
      <c r="G11941" s="63" t="str">
        <f>VLOOKUP(C11941, 'Class Def. - General Data'!$C$20:$C$1000,1,false)</f>
        <v>ZSI1_PERSONAL_SAFE</v>
      </c>
      <c r="H11941" s="63" t="str">
        <f>IFERROR(__xludf.DUMMYFUNCTION("VLOOKUP(F11941, IMPORTRANGE(""https://docs.google.com/spreadsheets/d/1Lhp9OU0JdFf_VYSMzH5lBcEaU4o8teT1piV-SNzShjg/edit?gid=554141278#gid=554141278"", ""'Char Def. - Attributes'!C20:C2242""), 1,false)"),"ALT_NUM_UOM3")</f>
        <v>ALT_NUM_UOM3</v>
      </c>
      <c r="I11941" s="136"/>
      <c r="R11941" s="63" t="str">
        <f t="shared" si="60"/>
        <v>ZSI1_PERSONAL_SAFEALT_NUM_UOM3</v>
      </c>
    </row>
    <row r="11942" ht="15.75" customHeight="1">
      <c r="B11942" s="63">
        <f t="shared" si="1"/>
        <v>18</v>
      </c>
      <c r="C11942" s="135" t="s">
        <v>436</v>
      </c>
      <c r="D11942" s="161" t="s">
        <v>74</v>
      </c>
      <c r="E11942" s="135">
        <f t="shared" si="62"/>
        <v>26</v>
      </c>
      <c r="F11942" s="134" t="s">
        <v>3813</v>
      </c>
      <c r="G11942" s="63" t="str">
        <f>VLOOKUP(C11942, 'Class Def. - General Data'!$C$20:$C$1000,1,false)</f>
        <v>ZSI1_PERSONAL_SAFE</v>
      </c>
      <c r="H11942" s="63" t="str">
        <f>IFERROR(__xludf.DUMMYFUNCTION("VLOOKUP(F11942, IMPORTRANGE(""https://docs.google.com/spreadsheets/d/1Lhp9OU0JdFf_VYSMzH5lBcEaU4o8teT1piV-SNzShjg/edit?gid=554141278#gid=554141278"", ""'Char Def. - Attributes'!C20:C2242""), 1,false)"),"ALT_UOM4_SIPI")</f>
        <v>ALT_UOM4_SIPI</v>
      </c>
      <c r="I11942" s="136"/>
      <c r="R11942" s="63" t="str">
        <f t="shared" si="60"/>
        <v>ZSI1_PERSONAL_SAFEALT_UOM4_SIPI</v>
      </c>
    </row>
    <row r="11943" ht="15.75" customHeight="1">
      <c r="B11943" s="63">
        <f t="shared" si="1"/>
        <v>18</v>
      </c>
      <c r="C11943" s="135" t="s">
        <v>436</v>
      </c>
      <c r="D11943" s="161" t="s">
        <v>74</v>
      </c>
      <c r="E11943" s="135">
        <f t="shared" si="62"/>
        <v>27</v>
      </c>
      <c r="F11943" s="134" t="s">
        <v>3814</v>
      </c>
      <c r="G11943" s="63" t="str">
        <f>VLOOKUP(C11943, 'Class Def. - General Data'!$C$20:$C$1000,1,false)</f>
        <v>ZSI1_PERSONAL_SAFE</v>
      </c>
      <c r="H11943" s="63" t="str">
        <f>IFERROR(__xludf.DUMMYFUNCTION("VLOOKUP(F11943, IMPORTRANGE(""https://docs.google.com/spreadsheets/d/1Lhp9OU0JdFf_VYSMzH5lBcEaU4o8teT1piV-SNzShjg/edit?gid=554141278#gid=554141278"", ""'Char Def. - Attributes'!C20:C2242""), 1,false)"),"ALT_DENUM_UOM4")</f>
        <v>ALT_DENUM_UOM4</v>
      </c>
      <c r="I11943" s="136"/>
      <c r="R11943" s="63" t="str">
        <f t="shared" si="60"/>
        <v>ZSI1_PERSONAL_SAFEALT_DENUM_UOM4</v>
      </c>
    </row>
    <row r="11944" ht="15.75" customHeight="1">
      <c r="B11944" s="63">
        <f t="shared" si="1"/>
        <v>18</v>
      </c>
      <c r="C11944" s="135" t="s">
        <v>436</v>
      </c>
      <c r="D11944" s="161" t="s">
        <v>74</v>
      </c>
      <c r="E11944" s="135">
        <f t="shared" si="62"/>
        <v>28</v>
      </c>
      <c r="F11944" s="134" t="s">
        <v>3815</v>
      </c>
      <c r="G11944" s="63" t="str">
        <f>VLOOKUP(C11944, 'Class Def. - General Data'!$C$20:$C$1000,1,false)</f>
        <v>ZSI1_PERSONAL_SAFE</v>
      </c>
      <c r="H11944" s="63" t="str">
        <f>IFERROR(__xludf.DUMMYFUNCTION("VLOOKUP(F11944, IMPORTRANGE(""https://docs.google.com/spreadsheets/d/1Lhp9OU0JdFf_VYSMzH5lBcEaU4o8teT1piV-SNzShjg/edit?gid=554141278#gid=554141278"", ""'Char Def. - Attributes'!C20:C2242""), 1,false)"),"ALT_NUM_UOM4")</f>
        <v>ALT_NUM_UOM4</v>
      </c>
      <c r="I11944" s="136"/>
      <c r="R11944" s="63" t="str">
        <f t="shared" si="60"/>
        <v>ZSI1_PERSONAL_SAFEALT_NUM_UOM4</v>
      </c>
    </row>
    <row r="11945" ht="15.75" customHeight="1">
      <c r="B11945" s="63">
        <f t="shared" si="1"/>
        <v>18</v>
      </c>
      <c r="C11945" s="135" t="s">
        <v>436</v>
      </c>
      <c r="D11945" s="161" t="s">
        <v>74</v>
      </c>
      <c r="E11945" s="135">
        <f t="shared" si="62"/>
        <v>29</v>
      </c>
      <c r="F11945" s="134" t="s">
        <v>3816</v>
      </c>
      <c r="G11945" s="63" t="str">
        <f>VLOOKUP(C11945, 'Class Def. - General Data'!$C$20:$C$1000,1,false)</f>
        <v>ZSI1_PERSONAL_SAFE</v>
      </c>
      <c r="H11945" s="63" t="str">
        <f>IFERROR(__xludf.DUMMYFUNCTION("VLOOKUP(F11945, IMPORTRANGE(""https://docs.google.com/spreadsheets/d/1Lhp9OU0JdFf_VYSMzH5lBcEaU4o8teT1piV-SNzShjg/edit?gid=554141278#gid=554141278"", ""'Char Def. - Attributes'!C20:C2242""), 1,false)"),"ALT_UOM5_SIPI")</f>
        <v>ALT_UOM5_SIPI</v>
      </c>
      <c r="I11945" s="136"/>
      <c r="R11945" s="63" t="str">
        <f t="shared" si="60"/>
        <v>ZSI1_PERSONAL_SAFEALT_UOM5_SIPI</v>
      </c>
    </row>
    <row r="11946" ht="15.75" customHeight="1">
      <c r="B11946" s="63">
        <f t="shared" si="1"/>
        <v>18</v>
      </c>
      <c r="C11946" s="135" t="s">
        <v>436</v>
      </c>
      <c r="D11946" s="161" t="s">
        <v>74</v>
      </c>
      <c r="E11946" s="135">
        <f t="shared" si="62"/>
        <v>30</v>
      </c>
      <c r="F11946" s="134" t="s">
        <v>3817</v>
      </c>
      <c r="G11946" s="63" t="str">
        <f>VLOOKUP(C11946, 'Class Def. - General Data'!$C$20:$C$1000,1,false)</f>
        <v>ZSI1_PERSONAL_SAFE</v>
      </c>
      <c r="H11946" s="63" t="str">
        <f>IFERROR(__xludf.DUMMYFUNCTION("VLOOKUP(F11946, IMPORTRANGE(""https://docs.google.com/spreadsheets/d/1Lhp9OU0JdFf_VYSMzH5lBcEaU4o8teT1piV-SNzShjg/edit?gid=554141278#gid=554141278"", ""'Char Def. - Attributes'!C20:C2242""), 1,false)"),"ALT_DENUM_UOM5")</f>
        <v>ALT_DENUM_UOM5</v>
      </c>
      <c r="I11946" s="136"/>
      <c r="R11946" s="63" t="str">
        <f t="shared" si="60"/>
        <v>ZSI1_PERSONAL_SAFEALT_DENUM_UOM5</v>
      </c>
    </row>
    <row r="11947" ht="15.75" customHeight="1">
      <c r="B11947" s="63">
        <f t="shared" si="1"/>
        <v>18</v>
      </c>
      <c r="C11947" s="135" t="s">
        <v>436</v>
      </c>
      <c r="D11947" s="161" t="s">
        <v>74</v>
      </c>
      <c r="E11947" s="135">
        <f t="shared" si="62"/>
        <v>31</v>
      </c>
      <c r="F11947" s="134" t="s">
        <v>3818</v>
      </c>
      <c r="G11947" s="63" t="str">
        <f>VLOOKUP(C11947, 'Class Def. - General Data'!$C$20:$C$1000,1,false)</f>
        <v>ZSI1_PERSONAL_SAFE</v>
      </c>
      <c r="H11947" s="63" t="str">
        <f>IFERROR(__xludf.DUMMYFUNCTION("VLOOKUP(F11947, IMPORTRANGE(""https://docs.google.com/spreadsheets/d/1Lhp9OU0JdFf_VYSMzH5lBcEaU4o8teT1piV-SNzShjg/edit?gid=554141278#gid=554141278"", ""'Char Def. - Attributes'!C20:C2242""), 1,false)"),"ALT_NUM_UOM5")</f>
        <v>ALT_NUM_UOM5</v>
      </c>
      <c r="I11947" s="136"/>
      <c r="R11947" s="63" t="str">
        <f t="shared" si="60"/>
        <v>ZSI1_PERSONAL_SAFEALT_NUM_UOM5</v>
      </c>
    </row>
    <row r="11948" ht="15.75" customHeight="1">
      <c r="B11948" s="63">
        <f t="shared" si="1"/>
        <v>17</v>
      </c>
      <c r="C11948" s="135" t="s">
        <v>437</v>
      </c>
      <c r="D11948" s="161" t="s">
        <v>74</v>
      </c>
      <c r="E11948" s="135">
        <f t="shared" si="62"/>
        <v>1</v>
      </c>
      <c r="F11948" s="134" t="s">
        <v>5056</v>
      </c>
      <c r="G11948" s="63" t="str">
        <f>VLOOKUP(C11948, 'Class Def. - General Data'!$C$20:$C$1000,1,false)</f>
        <v>ZSI1_PEST_CONTROL</v>
      </c>
      <c r="H11948" s="63" t="str">
        <f>IFERROR(__xludf.DUMMYFUNCTION("VLOOKUP(F11948, IMPORTRANGE(""https://docs.google.com/spreadsheets/d/1Lhp9OU0JdFf_VYSMzH5lBcEaU4o8teT1piV-SNzShjg/edit?gid=554141278#gid=554141278"", ""'Char Def. - Attributes'!C20:C2242""), 1,false)"),"ITEM_NAME_PEST_CONTROL")</f>
        <v>ITEM_NAME_PEST_CONTROL</v>
      </c>
      <c r="I11948" s="136"/>
      <c r="R11948" s="63" t="str">
        <f t="shared" si="60"/>
        <v>ZSI1_PEST_CONTROLITEM_NAME_PEST_CONTROL</v>
      </c>
    </row>
    <row r="11949" ht="15.75" customHeight="1">
      <c r="B11949" s="63">
        <f t="shared" si="1"/>
        <v>17</v>
      </c>
      <c r="C11949" s="135" t="s">
        <v>437</v>
      </c>
      <c r="D11949" s="161" t="s">
        <v>74</v>
      </c>
      <c r="E11949" s="135">
        <f t="shared" si="62"/>
        <v>2</v>
      </c>
      <c r="F11949" s="134" t="s">
        <v>5057</v>
      </c>
      <c r="G11949" s="63" t="str">
        <f>VLOOKUP(C11949, 'Class Def. - General Data'!$C$20:$C$1000,1,false)</f>
        <v>ZSI1_PEST_CONTROL</v>
      </c>
      <c r="H11949" s="63" t="str">
        <f>IFERROR(__xludf.DUMMYFUNCTION("VLOOKUP(F11949, IMPORTRANGE(""https://docs.google.com/spreadsheets/d/1Lhp9OU0JdFf_VYSMzH5lBcEaU4o8teT1piV-SNzShjg/edit?gid=554141278#gid=554141278"", ""'Char Def. - Attributes'!C20:C2242""), 1,false)"),"SERIES_PEST_CONTROL")</f>
        <v>SERIES_PEST_CONTROL</v>
      </c>
      <c r="I11949" s="136"/>
      <c r="R11949" s="63" t="str">
        <f t="shared" si="60"/>
        <v>ZSI1_PEST_CONTROLSERIES_PEST_CONTROL</v>
      </c>
    </row>
    <row r="11950" ht="15.75" customHeight="1">
      <c r="B11950" s="63">
        <f t="shared" si="1"/>
        <v>17</v>
      </c>
      <c r="C11950" s="135" t="s">
        <v>437</v>
      </c>
      <c r="D11950" s="161" t="s">
        <v>74</v>
      </c>
      <c r="E11950" s="135">
        <f t="shared" si="62"/>
        <v>3</v>
      </c>
      <c r="F11950" s="134" t="s">
        <v>5058</v>
      </c>
      <c r="G11950" s="63" t="str">
        <f>VLOOKUP(C11950, 'Class Def. - General Data'!$C$20:$C$1000,1,false)</f>
        <v>ZSI1_PEST_CONTROL</v>
      </c>
      <c r="H11950" s="63" t="str">
        <f>IFERROR(__xludf.DUMMYFUNCTION("VLOOKUP(F11950, IMPORTRANGE(""https://docs.google.com/spreadsheets/d/1Lhp9OU0JdFf_VYSMzH5lBcEaU4o8teT1piV-SNzShjg/edit?gid=554141278#gid=554141278"", ""'Char Def. - Attributes'!C20:C2242""), 1,false)"),"DIMENSION_PEST_CONTROL")</f>
        <v>DIMENSION_PEST_CONTROL</v>
      </c>
      <c r="I11950" s="136"/>
      <c r="R11950" s="63" t="str">
        <f t="shared" si="60"/>
        <v>ZSI1_PEST_CONTROLDIMENSION_PEST_CONTROL</v>
      </c>
    </row>
    <row r="11951" ht="15.75" customHeight="1">
      <c r="B11951" s="63">
        <f t="shared" si="1"/>
        <v>17</v>
      </c>
      <c r="C11951" s="135" t="s">
        <v>437</v>
      </c>
      <c r="D11951" s="161" t="s">
        <v>74</v>
      </c>
      <c r="E11951" s="135">
        <f t="shared" si="62"/>
        <v>4</v>
      </c>
      <c r="F11951" s="134" t="s">
        <v>5059</v>
      </c>
      <c r="G11951" s="63" t="str">
        <f>VLOOKUP(C11951, 'Class Def. - General Data'!$C$20:$C$1000,1,false)</f>
        <v>ZSI1_PEST_CONTROL</v>
      </c>
      <c r="H11951" s="63" t="str">
        <f>IFERROR(__xludf.DUMMYFUNCTION("VLOOKUP(F11951, IMPORTRANGE(""https://docs.google.com/spreadsheets/d/1Lhp9OU0JdFf_VYSMzH5lBcEaU4o8teT1piV-SNzShjg/edit?gid=554141278#gid=554141278"", ""'Char Def. - Attributes'!C20:C2242""), 1,false)"),"SIZE_KG_PEST_CONTROL")</f>
        <v>SIZE_KG_PEST_CONTROL</v>
      </c>
      <c r="I11951" s="136"/>
      <c r="R11951" s="63" t="str">
        <f t="shared" si="60"/>
        <v>ZSI1_PEST_CONTROLSIZE_KG_PEST_CONTROL</v>
      </c>
    </row>
    <row r="11952" ht="15.75" customHeight="1">
      <c r="B11952" s="63">
        <f t="shared" si="1"/>
        <v>17</v>
      </c>
      <c r="C11952" s="135" t="s">
        <v>437</v>
      </c>
      <c r="D11952" s="161" t="s">
        <v>74</v>
      </c>
      <c r="E11952" s="135">
        <f t="shared" si="62"/>
        <v>5</v>
      </c>
      <c r="F11952" s="134" t="s">
        <v>5060</v>
      </c>
      <c r="G11952" s="63" t="str">
        <f>VLOOKUP(C11952, 'Class Def. - General Data'!$C$20:$C$1000,1,false)</f>
        <v>ZSI1_PEST_CONTROL</v>
      </c>
      <c r="H11952" s="63" t="str">
        <f>IFERROR(__xludf.DUMMYFUNCTION("VLOOKUP(F11952, IMPORTRANGE(""https://docs.google.com/spreadsheets/d/1Lhp9OU0JdFf_VYSMzH5lBcEaU4o8teT1piV-SNzShjg/edit?gid=554141278#gid=554141278"", ""'Char Def. - Attributes'!C20:C2242""), 1,false)"),"SIZE_L_PEST_CONTROL")</f>
        <v>SIZE_L_PEST_CONTROL</v>
      </c>
      <c r="I11952" s="136"/>
      <c r="R11952" s="63" t="str">
        <f t="shared" si="60"/>
        <v>ZSI1_PEST_CONTROLSIZE_L_PEST_CONTROL</v>
      </c>
    </row>
    <row r="11953" ht="15.75" customHeight="1">
      <c r="B11953" s="63">
        <f t="shared" si="1"/>
        <v>17</v>
      </c>
      <c r="C11953" s="135" t="s">
        <v>437</v>
      </c>
      <c r="D11953" s="161" t="s">
        <v>74</v>
      </c>
      <c r="E11953" s="135">
        <f t="shared" si="62"/>
        <v>6</v>
      </c>
      <c r="F11953" s="134" t="s">
        <v>5061</v>
      </c>
      <c r="G11953" s="63" t="str">
        <f>VLOOKUP(C11953, 'Class Def. - General Data'!$C$20:$C$1000,1,false)</f>
        <v>ZSI1_PEST_CONTROL</v>
      </c>
      <c r="H11953" s="63" t="str">
        <f>IFERROR(__xludf.DUMMYFUNCTION("VLOOKUP(F11953, IMPORTRANGE(""https://docs.google.com/spreadsheets/d/1Lhp9OU0JdFf_VYSMzH5lBcEaU4o8teT1piV-SNzShjg/edit?gid=554141278#gid=554141278"", ""'Char Def. - Attributes'!C20:C2242""), 1,false)"),"SIZE_ML_PEST_CONTROL")</f>
        <v>SIZE_ML_PEST_CONTROL</v>
      </c>
      <c r="I11953" s="136"/>
      <c r="R11953" s="63" t="str">
        <f t="shared" si="60"/>
        <v>ZSI1_PEST_CONTROLSIZE_ML_PEST_CONTROL</v>
      </c>
    </row>
    <row r="11954" ht="15.75" customHeight="1">
      <c r="B11954" s="63">
        <f t="shared" si="1"/>
        <v>17</v>
      </c>
      <c r="C11954" s="135" t="s">
        <v>437</v>
      </c>
      <c r="D11954" s="161" t="s">
        <v>74</v>
      </c>
      <c r="E11954" s="135">
        <f t="shared" si="62"/>
        <v>7</v>
      </c>
      <c r="F11954" s="134" t="s">
        <v>5062</v>
      </c>
      <c r="G11954" s="63" t="str">
        <f>VLOOKUP(C11954, 'Class Def. - General Data'!$C$20:$C$1000,1,false)</f>
        <v>ZSI1_PEST_CONTROL</v>
      </c>
      <c r="H11954" s="63" t="str">
        <f>IFERROR(__xludf.DUMMYFUNCTION("VLOOKUP(F11954, IMPORTRANGE(""https://docs.google.com/spreadsheets/d/1Lhp9OU0JdFf_VYSMzH5lBcEaU4o8teT1piV-SNzShjg/edit?gid=554141278#gid=554141278"", ""'Char Def. - Attributes'!C20:C2242""), 1,false)"),"SIZE_G_PEST_CONTROL")</f>
        <v>SIZE_G_PEST_CONTROL</v>
      </c>
      <c r="I11954" s="136"/>
      <c r="R11954" s="63" t="str">
        <f t="shared" si="60"/>
        <v>ZSI1_PEST_CONTROLSIZE_G_PEST_CONTROL</v>
      </c>
    </row>
    <row r="11955" ht="15.75" customHeight="1">
      <c r="B11955" s="63">
        <f t="shared" si="1"/>
        <v>17</v>
      </c>
      <c r="C11955" s="135" t="s">
        <v>437</v>
      </c>
      <c r="D11955" s="161" t="s">
        <v>74</v>
      </c>
      <c r="E11955" s="135">
        <f t="shared" si="62"/>
        <v>8</v>
      </c>
      <c r="F11955" s="134" t="s">
        <v>3585</v>
      </c>
      <c r="G11955" s="63" t="str">
        <f>VLOOKUP(C11955, 'Class Def. - General Data'!$C$20:$C$1000,1,false)</f>
        <v>ZSI1_PEST_CONTROL</v>
      </c>
      <c r="H11955" s="63" t="str">
        <f>IFERROR(__xludf.DUMMYFUNCTION("VLOOKUP(F11955, IMPORTRANGE(""https://docs.google.com/spreadsheets/d/1Lhp9OU0JdFf_VYSMzH5lBcEaU4o8teT1piV-SNzShjg/edit?gid=554141278#gid=554141278"", ""'Char Def. - Attributes'!C20:C2242""), 1,false)"),"HS_CODE")</f>
        <v>HS_CODE</v>
      </c>
      <c r="I11955" s="136"/>
      <c r="R11955" s="63" t="str">
        <f t="shared" si="60"/>
        <v>ZSI1_PEST_CONTROLHS_CODE</v>
      </c>
    </row>
    <row r="11956" ht="15.75" customHeight="1">
      <c r="B11956" s="63">
        <f t="shared" si="1"/>
        <v>17</v>
      </c>
      <c r="C11956" s="135" t="s">
        <v>437</v>
      </c>
      <c r="D11956" s="161" t="s">
        <v>74</v>
      </c>
      <c r="E11956" s="135">
        <f t="shared" si="62"/>
        <v>9</v>
      </c>
      <c r="F11956" s="134" t="s">
        <v>3587</v>
      </c>
      <c r="G11956" s="63" t="str">
        <f>VLOOKUP(C11956, 'Class Def. - General Data'!$C$20:$C$1000,1,false)</f>
        <v>ZSI1_PEST_CONTROL</v>
      </c>
      <c r="H11956" s="63" t="str">
        <f>IFERROR(__xludf.DUMMYFUNCTION("VLOOKUP(F11956, IMPORTRANGE(""https://docs.google.com/spreadsheets/d/1Lhp9OU0JdFf_VYSMzH5lBcEaU4o8teT1piV-SNzShjg/edit?gid=554141278#gid=554141278"", ""'Char Def. - Attributes'!C20:C2242""), 1,false)"),"PLANT_BUY")</f>
        <v>PLANT_BUY</v>
      </c>
      <c r="I11956" s="136"/>
      <c r="R11956" s="63" t="str">
        <f t="shared" si="60"/>
        <v>ZSI1_PEST_CONTROLPLANT_BUY</v>
      </c>
    </row>
    <row r="11957" ht="15.75" customHeight="1">
      <c r="B11957" s="63">
        <f t="shared" si="1"/>
        <v>17</v>
      </c>
      <c r="C11957" s="135" t="s">
        <v>437</v>
      </c>
      <c r="D11957" s="161" t="s">
        <v>74</v>
      </c>
      <c r="E11957" s="135">
        <f t="shared" si="62"/>
        <v>10</v>
      </c>
      <c r="F11957" s="134" t="s">
        <v>5063</v>
      </c>
      <c r="G11957" s="63" t="str">
        <f>VLOOKUP(C11957, 'Class Def. - General Data'!$C$20:$C$1000,1,false)</f>
        <v>ZSI1_PEST_CONTROL</v>
      </c>
      <c r="H11957" s="63" t="str">
        <f>IFERROR(__xludf.DUMMYFUNCTION("VLOOKUP(F11957, IMPORTRANGE(""https://docs.google.com/spreadsheets/d/1Lhp9OU0JdFf_VYSMzH5lBcEaU4o8teT1piV-SNzShjg/edit?gid=554141278#gid=554141278"", ""'Char Def. - Attributes'!C20:C2242""), 1,false)"),"BASE_UOM_PEST_CONTROL")</f>
        <v>BASE_UOM_PEST_CONTROL</v>
      </c>
      <c r="I11957" s="136"/>
      <c r="R11957" s="63" t="str">
        <f t="shared" si="60"/>
        <v>ZSI1_PEST_CONTROLBASE_UOM_PEST_CONTROL</v>
      </c>
    </row>
    <row r="11958" ht="15.75" customHeight="1">
      <c r="B11958" s="63">
        <f t="shared" si="1"/>
        <v>17</v>
      </c>
      <c r="C11958" s="135" t="s">
        <v>437</v>
      </c>
      <c r="D11958" s="161" t="s">
        <v>74</v>
      </c>
      <c r="E11958" s="135">
        <f t="shared" si="62"/>
        <v>11</v>
      </c>
      <c r="F11958" s="134" t="s">
        <v>5064</v>
      </c>
      <c r="G11958" s="63" t="str">
        <f>VLOOKUP(C11958, 'Class Def. - General Data'!$C$20:$C$1000,1,false)</f>
        <v>ZSI1_PEST_CONTROL</v>
      </c>
      <c r="H11958" s="63" t="str">
        <f>IFERROR(__xludf.DUMMYFUNCTION("VLOOKUP(F11958, IMPORTRANGE(""https://docs.google.com/spreadsheets/d/1Lhp9OU0JdFf_VYSMzH5lBcEaU4o8teT1piV-SNzShjg/edit?gid=554141278#gid=554141278"", ""'Char Def. - Attributes'!C20:C2242""), 1,false)"),"ORDER_UNIT_PEST_CONTROL")</f>
        <v>ORDER_UNIT_PEST_CONTROL</v>
      </c>
      <c r="I11958" s="136"/>
      <c r="R11958" s="63" t="str">
        <f t="shared" si="60"/>
        <v>ZSI1_PEST_CONTROLORDER_UNIT_PEST_CONTROL</v>
      </c>
    </row>
    <row r="11959" ht="15.75" customHeight="1">
      <c r="B11959" s="63">
        <f t="shared" si="1"/>
        <v>17</v>
      </c>
      <c r="C11959" s="135" t="s">
        <v>437</v>
      </c>
      <c r="D11959" s="161" t="s">
        <v>74</v>
      </c>
      <c r="E11959" s="135">
        <f t="shared" si="62"/>
        <v>12</v>
      </c>
      <c r="F11959" s="134" t="s">
        <v>4056</v>
      </c>
      <c r="G11959" s="63" t="str">
        <f>VLOOKUP(C11959, 'Class Def. - General Data'!$C$20:$C$1000,1,false)</f>
        <v>ZSI1_PEST_CONTROL</v>
      </c>
      <c r="H11959" s="63" t="str">
        <f>IFERROR(__xludf.DUMMYFUNCTION("VLOOKUP(F11959, IMPORTRANGE(""https://docs.google.com/spreadsheets/d/1Lhp9OU0JdFf_VYSMzH5lBcEaU4o8teT1piV-SNzShjg/edit?gid=554141278#gid=554141278"", ""'Char Def. - Attributes'!C20:C2242""), 1,false)"),"GROSS_WEIGHT_OPT")</f>
        <v>GROSS_WEIGHT_OPT</v>
      </c>
      <c r="I11959" s="136"/>
      <c r="R11959" s="63" t="str">
        <f t="shared" si="60"/>
        <v>ZSI1_PEST_CONTROLGROSS_WEIGHT_OPT</v>
      </c>
    </row>
    <row r="11960" ht="15.75" customHeight="1">
      <c r="B11960" s="63">
        <f t="shared" si="1"/>
        <v>17</v>
      </c>
      <c r="C11960" s="135" t="s">
        <v>437</v>
      </c>
      <c r="D11960" s="161" t="s">
        <v>74</v>
      </c>
      <c r="E11960" s="135">
        <f t="shared" si="62"/>
        <v>13</v>
      </c>
      <c r="F11960" s="134" t="s">
        <v>4057</v>
      </c>
      <c r="G11960" s="63" t="str">
        <f>VLOOKUP(C11960, 'Class Def. - General Data'!$C$20:$C$1000,1,false)</f>
        <v>ZSI1_PEST_CONTROL</v>
      </c>
      <c r="H11960" s="63" t="str">
        <f>IFERROR(__xludf.DUMMYFUNCTION("VLOOKUP(F11960, IMPORTRANGE(""https://docs.google.com/spreadsheets/d/1Lhp9OU0JdFf_VYSMzH5lBcEaU4o8teT1piV-SNzShjg/edit?gid=554141278#gid=554141278"", ""'Char Def. - Attributes'!C20:C2242""), 1,false)"),"NET_WEIGHT_OPT")</f>
        <v>NET_WEIGHT_OPT</v>
      </c>
      <c r="I11960" s="136"/>
      <c r="R11960" s="63" t="str">
        <f t="shared" si="60"/>
        <v>ZSI1_PEST_CONTROLNET_WEIGHT_OPT</v>
      </c>
    </row>
    <row r="11961" ht="15.75" customHeight="1">
      <c r="B11961" s="63">
        <f t="shared" si="1"/>
        <v>17</v>
      </c>
      <c r="C11961" s="135" t="s">
        <v>437</v>
      </c>
      <c r="D11961" s="161" t="s">
        <v>74</v>
      </c>
      <c r="E11961" s="135">
        <f t="shared" si="62"/>
        <v>14</v>
      </c>
      <c r="F11961" s="134" t="s">
        <v>4058</v>
      </c>
      <c r="G11961" s="63" t="str">
        <f>VLOOKUP(C11961, 'Class Def. - General Data'!$C$20:$C$1000,1,false)</f>
        <v>ZSI1_PEST_CONTROL</v>
      </c>
      <c r="H11961" s="63" t="str">
        <f>IFERROR(__xludf.DUMMYFUNCTION("VLOOKUP(F11961, IMPORTRANGE(""https://docs.google.com/spreadsheets/d/1Lhp9OU0JdFf_VYSMzH5lBcEaU4o8teT1piV-SNzShjg/edit?gid=554141278#gid=554141278"", ""'Char Def. - Attributes'!C20:C2242""), 1,false)"),"WEIGHT_UNIT_SI")</f>
        <v>WEIGHT_UNIT_SI</v>
      </c>
      <c r="I11961" s="136"/>
      <c r="R11961" s="63" t="str">
        <f t="shared" si="60"/>
        <v>ZSI1_PEST_CONTROLWEIGHT_UNIT_SI</v>
      </c>
    </row>
    <row r="11962" ht="15.75" customHeight="1">
      <c r="B11962" s="63">
        <f t="shared" si="1"/>
        <v>17</v>
      </c>
      <c r="C11962" s="135" t="s">
        <v>437</v>
      </c>
      <c r="D11962" s="161" t="s">
        <v>74</v>
      </c>
      <c r="E11962" s="135">
        <f t="shared" si="62"/>
        <v>15</v>
      </c>
      <c r="F11962" s="134" t="s">
        <v>3877</v>
      </c>
      <c r="G11962" s="63" t="str">
        <f>VLOOKUP(C11962, 'Class Def. - General Data'!$C$20:$C$1000,1,false)</f>
        <v>ZSI1_PEST_CONTROL</v>
      </c>
      <c r="H11962" s="63" t="str">
        <f>IFERROR(__xludf.DUMMYFUNCTION("VLOOKUP(F11962, IMPORTRANGE(""https://docs.google.com/spreadsheets/d/1Lhp9OU0JdFf_VYSMzH5lBcEaU4o8teT1piV-SNzShjg/edit?gid=554141278#gid=554141278"", ""'Char Def. - Attributes'!C20:C2242""), 1,false)"),"VOLUME_OPT")</f>
        <v>VOLUME_OPT</v>
      </c>
      <c r="I11962" s="136"/>
      <c r="R11962" s="63" t="str">
        <f t="shared" si="60"/>
        <v>ZSI1_PEST_CONTROLVOLUME_OPT</v>
      </c>
    </row>
    <row r="11963" ht="15.75" customHeight="1">
      <c r="B11963" s="63">
        <f t="shared" si="1"/>
        <v>17</v>
      </c>
      <c r="C11963" s="135" t="s">
        <v>437</v>
      </c>
      <c r="D11963" s="161" t="s">
        <v>74</v>
      </c>
      <c r="E11963" s="135">
        <f t="shared" si="62"/>
        <v>16</v>
      </c>
      <c r="F11963" s="134" t="s">
        <v>4059</v>
      </c>
      <c r="G11963" s="63" t="str">
        <f>VLOOKUP(C11963, 'Class Def. - General Data'!$C$20:$C$1000,1,false)</f>
        <v>ZSI1_PEST_CONTROL</v>
      </c>
      <c r="H11963" s="63" t="str">
        <f>IFERROR(__xludf.DUMMYFUNCTION("VLOOKUP(F11963, IMPORTRANGE(""https://docs.google.com/spreadsheets/d/1Lhp9OU0JdFf_VYSMzH5lBcEaU4o8teT1piV-SNzShjg/edit?gid=554141278#gid=554141278"", ""'Char Def. - Attributes'!C20:C2242""), 1,false)"),"VOLUME_UNIT_SI")</f>
        <v>VOLUME_UNIT_SI</v>
      </c>
      <c r="I11963" s="136"/>
      <c r="R11963" s="63" t="str">
        <f t="shared" si="60"/>
        <v>ZSI1_PEST_CONTROLVOLUME_UNIT_SI</v>
      </c>
    </row>
    <row r="11964" ht="15.75" customHeight="1">
      <c r="B11964" s="63">
        <f t="shared" si="1"/>
        <v>17</v>
      </c>
      <c r="C11964" s="135" t="s">
        <v>437</v>
      </c>
      <c r="D11964" s="161" t="s">
        <v>74</v>
      </c>
      <c r="E11964" s="135">
        <f t="shared" si="62"/>
        <v>17</v>
      </c>
      <c r="F11964" s="134" t="s">
        <v>3804</v>
      </c>
      <c r="G11964" s="63" t="str">
        <f>VLOOKUP(C11964, 'Class Def. - General Data'!$C$20:$C$1000,1,false)</f>
        <v>ZSI1_PEST_CONTROL</v>
      </c>
      <c r="H11964" s="63" t="str">
        <f>IFERROR(__xludf.DUMMYFUNCTION("VLOOKUP(F11964, IMPORTRANGE(""https://docs.google.com/spreadsheets/d/1Lhp9OU0JdFf_VYSMzH5lBcEaU4o8teT1piV-SNzShjg/edit?gid=554141278#gid=554141278"", ""'Char Def. - Attributes'!C20:C2242""), 1,false)"),"ALT_UOM1_SIPI")</f>
        <v>ALT_UOM1_SIPI</v>
      </c>
      <c r="I11964" s="136"/>
      <c r="R11964" s="63" t="str">
        <f t="shared" si="60"/>
        <v>ZSI1_PEST_CONTROLALT_UOM1_SIPI</v>
      </c>
    </row>
    <row r="11965" ht="15.75" customHeight="1">
      <c r="B11965" s="63">
        <f t="shared" si="1"/>
        <v>17</v>
      </c>
      <c r="C11965" s="135" t="s">
        <v>437</v>
      </c>
      <c r="D11965" s="161" t="s">
        <v>74</v>
      </c>
      <c r="E11965" s="135">
        <f t="shared" si="62"/>
        <v>18</v>
      </c>
      <c r="F11965" s="134" t="s">
        <v>3805</v>
      </c>
      <c r="G11965" s="63" t="str">
        <f>VLOOKUP(C11965, 'Class Def. - General Data'!$C$20:$C$1000,1,false)</f>
        <v>ZSI1_PEST_CONTROL</v>
      </c>
      <c r="H11965" s="63" t="str">
        <f>IFERROR(__xludf.DUMMYFUNCTION("VLOOKUP(F11965, IMPORTRANGE(""https://docs.google.com/spreadsheets/d/1Lhp9OU0JdFf_VYSMzH5lBcEaU4o8teT1piV-SNzShjg/edit?gid=554141278#gid=554141278"", ""'Char Def. - Attributes'!C20:C2242""), 1,false)"),"ALT_DENUM_UOM1")</f>
        <v>ALT_DENUM_UOM1</v>
      </c>
      <c r="I11965" s="136"/>
      <c r="R11965" s="63" t="str">
        <f t="shared" si="60"/>
        <v>ZSI1_PEST_CONTROLALT_DENUM_UOM1</v>
      </c>
    </row>
    <row r="11966" ht="15.75" customHeight="1">
      <c r="B11966" s="63">
        <f t="shared" si="1"/>
        <v>17</v>
      </c>
      <c r="C11966" s="135" t="s">
        <v>437</v>
      </c>
      <c r="D11966" s="161" t="s">
        <v>74</v>
      </c>
      <c r="E11966" s="135">
        <f t="shared" si="62"/>
        <v>19</v>
      </c>
      <c r="F11966" s="134" t="s">
        <v>3806</v>
      </c>
      <c r="G11966" s="63" t="str">
        <f>VLOOKUP(C11966, 'Class Def. - General Data'!$C$20:$C$1000,1,false)</f>
        <v>ZSI1_PEST_CONTROL</v>
      </c>
      <c r="H11966" s="63" t="str">
        <f>IFERROR(__xludf.DUMMYFUNCTION("VLOOKUP(F11966, IMPORTRANGE(""https://docs.google.com/spreadsheets/d/1Lhp9OU0JdFf_VYSMzH5lBcEaU4o8teT1piV-SNzShjg/edit?gid=554141278#gid=554141278"", ""'Char Def. - Attributes'!C20:C2242""), 1,false)"),"ALT_NUM_UOM1")</f>
        <v>ALT_NUM_UOM1</v>
      </c>
      <c r="I11966" s="136"/>
      <c r="R11966" s="63" t="str">
        <f t="shared" si="60"/>
        <v>ZSI1_PEST_CONTROLALT_NUM_UOM1</v>
      </c>
    </row>
    <row r="11967" ht="15.75" customHeight="1">
      <c r="B11967" s="63">
        <f t="shared" si="1"/>
        <v>17</v>
      </c>
      <c r="C11967" s="135" t="s">
        <v>437</v>
      </c>
      <c r="D11967" s="161" t="s">
        <v>74</v>
      </c>
      <c r="E11967" s="135">
        <f t="shared" si="62"/>
        <v>20</v>
      </c>
      <c r="F11967" s="134" t="s">
        <v>3807</v>
      </c>
      <c r="G11967" s="63" t="str">
        <f>VLOOKUP(C11967, 'Class Def. - General Data'!$C$20:$C$1000,1,false)</f>
        <v>ZSI1_PEST_CONTROL</v>
      </c>
      <c r="H11967" s="63" t="str">
        <f>IFERROR(__xludf.DUMMYFUNCTION("VLOOKUP(F11967, IMPORTRANGE(""https://docs.google.com/spreadsheets/d/1Lhp9OU0JdFf_VYSMzH5lBcEaU4o8teT1piV-SNzShjg/edit?gid=554141278#gid=554141278"", ""'Char Def. - Attributes'!C20:C2242""), 1,false)"),"ALT_UOM2_SIPI")</f>
        <v>ALT_UOM2_SIPI</v>
      </c>
      <c r="I11967" s="136"/>
      <c r="R11967" s="63" t="str">
        <f t="shared" si="60"/>
        <v>ZSI1_PEST_CONTROLALT_UOM2_SIPI</v>
      </c>
    </row>
    <row r="11968" ht="15.75" customHeight="1">
      <c r="B11968" s="63">
        <f t="shared" si="1"/>
        <v>17</v>
      </c>
      <c r="C11968" s="135" t="s">
        <v>437</v>
      </c>
      <c r="D11968" s="161" t="s">
        <v>74</v>
      </c>
      <c r="E11968" s="135">
        <f t="shared" si="62"/>
        <v>21</v>
      </c>
      <c r="F11968" s="134" t="s">
        <v>3808</v>
      </c>
      <c r="G11968" s="63" t="str">
        <f>VLOOKUP(C11968, 'Class Def. - General Data'!$C$20:$C$1000,1,false)</f>
        <v>ZSI1_PEST_CONTROL</v>
      </c>
      <c r="H11968" s="63" t="str">
        <f>IFERROR(__xludf.DUMMYFUNCTION("VLOOKUP(F11968, IMPORTRANGE(""https://docs.google.com/spreadsheets/d/1Lhp9OU0JdFf_VYSMzH5lBcEaU4o8teT1piV-SNzShjg/edit?gid=554141278#gid=554141278"", ""'Char Def. - Attributes'!C20:C2242""), 1,false)"),"ALT_DENUM_UOM2")</f>
        <v>ALT_DENUM_UOM2</v>
      </c>
      <c r="I11968" s="136"/>
      <c r="R11968" s="63" t="str">
        <f t="shared" si="60"/>
        <v>ZSI1_PEST_CONTROLALT_DENUM_UOM2</v>
      </c>
    </row>
    <row r="11969" ht="15.75" customHeight="1">
      <c r="B11969" s="63">
        <f t="shared" si="1"/>
        <v>17</v>
      </c>
      <c r="C11969" s="135" t="s">
        <v>437</v>
      </c>
      <c r="D11969" s="161" t="s">
        <v>74</v>
      </c>
      <c r="E11969" s="135">
        <f t="shared" si="62"/>
        <v>22</v>
      </c>
      <c r="F11969" s="134" t="s">
        <v>3809</v>
      </c>
      <c r="G11969" s="63" t="str">
        <f>VLOOKUP(C11969, 'Class Def. - General Data'!$C$20:$C$1000,1,false)</f>
        <v>ZSI1_PEST_CONTROL</v>
      </c>
      <c r="H11969" s="63" t="str">
        <f>IFERROR(__xludf.DUMMYFUNCTION("VLOOKUP(F11969, IMPORTRANGE(""https://docs.google.com/spreadsheets/d/1Lhp9OU0JdFf_VYSMzH5lBcEaU4o8teT1piV-SNzShjg/edit?gid=554141278#gid=554141278"", ""'Char Def. - Attributes'!C20:C2242""), 1,false)"),"ALT_NUM_UOM2")</f>
        <v>ALT_NUM_UOM2</v>
      </c>
      <c r="I11969" s="136"/>
      <c r="R11969" s="63" t="str">
        <f t="shared" si="60"/>
        <v>ZSI1_PEST_CONTROLALT_NUM_UOM2</v>
      </c>
    </row>
    <row r="11970" ht="15.75" customHeight="1">
      <c r="B11970" s="63">
        <f t="shared" si="1"/>
        <v>17</v>
      </c>
      <c r="C11970" s="135" t="s">
        <v>437</v>
      </c>
      <c r="D11970" s="161" t="s">
        <v>74</v>
      </c>
      <c r="E11970" s="135">
        <f t="shared" si="62"/>
        <v>23</v>
      </c>
      <c r="F11970" s="134" t="s">
        <v>3810</v>
      </c>
      <c r="G11970" s="63" t="str">
        <f>VLOOKUP(C11970, 'Class Def. - General Data'!$C$20:$C$1000,1,false)</f>
        <v>ZSI1_PEST_CONTROL</v>
      </c>
      <c r="H11970" s="63" t="str">
        <f>IFERROR(__xludf.DUMMYFUNCTION("VLOOKUP(F11970, IMPORTRANGE(""https://docs.google.com/spreadsheets/d/1Lhp9OU0JdFf_VYSMzH5lBcEaU4o8teT1piV-SNzShjg/edit?gid=554141278#gid=554141278"", ""'Char Def. - Attributes'!C20:C2242""), 1,false)"),"ALT_UOM3_SIPI")</f>
        <v>ALT_UOM3_SIPI</v>
      </c>
      <c r="I11970" s="136"/>
      <c r="R11970" s="63" t="str">
        <f t="shared" si="60"/>
        <v>ZSI1_PEST_CONTROLALT_UOM3_SIPI</v>
      </c>
    </row>
    <row r="11971" ht="15.75" customHeight="1">
      <c r="B11971" s="63">
        <f t="shared" si="1"/>
        <v>17</v>
      </c>
      <c r="C11971" s="135" t="s">
        <v>437</v>
      </c>
      <c r="D11971" s="161" t="s">
        <v>74</v>
      </c>
      <c r="E11971" s="135">
        <f t="shared" si="62"/>
        <v>24</v>
      </c>
      <c r="F11971" s="134" t="s">
        <v>3811</v>
      </c>
      <c r="G11971" s="63" t="str">
        <f>VLOOKUP(C11971, 'Class Def. - General Data'!$C$20:$C$1000,1,false)</f>
        <v>ZSI1_PEST_CONTROL</v>
      </c>
      <c r="H11971" s="63" t="str">
        <f>IFERROR(__xludf.DUMMYFUNCTION("VLOOKUP(F11971, IMPORTRANGE(""https://docs.google.com/spreadsheets/d/1Lhp9OU0JdFf_VYSMzH5lBcEaU4o8teT1piV-SNzShjg/edit?gid=554141278#gid=554141278"", ""'Char Def. - Attributes'!C20:C2242""), 1,false)"),"ALT_DENUM_UOM3")</f>
        <v>ALT_DENUM_UOM3</v>
      </c>
      <c r="I11971" s="136"/>
      <c r="R11971" s="63" t="str">
        <f t="shared" si="60"/>
        <v>ZSI1_PEST_CONTROLALT_DENUM_UOM3</v>
      </c>
    </row>
    <row r="11972" ht="15.75" customHeight="1">
      <c r="B11972" s="63">
        <f t="shared" si="1"/>
        <v>17</v>
      </c>
      <c r="C11972" s="135" t="s">
        <v>437</v>
      </c>
      <c r="D11972" s="161" t="s">
        <v>74</v>
      </c>
      <c r="E11972" s="135">
        <f t="shared" si="62"/>
        <v>25</v>
      </c>
      <c r="F11972" s="134" t="s">
        <v>3812</v>
      </c>
      <c r="G11972" s="63" t="str">
        <f>VLOOKUP(C11972, 'Class Def. - General Data'!$C$20:$C$1000,1,false)</f>
        <v>ZSI1_PEST_CONTROL</v>
      </c>
      <c r="H11972" s="63" t="str">
        <f>IFERROR(__xludf.DUMMYFUNCTION("VLOOKUP(F11972, IMPORTRANGE(""https://docs.google.com/spreadsheets/d/1Lhp9OU0JdFf_VYSMzH5lBcEaU4o8teT1piV-SNzShjg/edit?gid=554141278#gid=554141278"", ""'Char Def. - Attributes'!C20:C2242""), 1,false)"),"ALT_NUM_UOM3")</f>
        <v>ALT_NUM_UOM3</v>
      </c>
      <c r="I11972" s="136"/>
      <c r="R11972" s="63" t="str">
        <f t="shared" si="60"/>
        <v>ZSI1_PEST_CONTROLALT_NUM_UOM3</v>
      </c>
    </row>
    <row r="11973" ht="15.75" customHeight="1">
      <c r="B11973" s="63">
        <f t="shared" si="1"/>
        <v>17</v>
      </c>
      <c r="C11973" s="135" t="s">
        <v>437</v>
      </c>
      <c r="D11973" s="161" t="s">
        <v>74</v>
      </c>
      <c r="E11973" s="135">
        <f t="shared" si="62"/>
        <v>26</v>
      </c>
      <c r="F11973" s="134" t="s">
        <v>3813</v>
      </c>
      <c r="G11973" s="63" t="str">
        <f>VLOOKUP(C11973, 'Class Def. - General Data'!$C$20:$C$1000,1,false)</f>
        <v>ZSI1_PEST_CONTROL</v>
      </c>
      <c r="H11973" s="63" t="str">
        <f>IFERROR(__xludf.DUMMYFUNCTION("VLOOKUP(F11973, IMPORTRANGE(""https://docs.google.com/spreadsheets/d/1Lhp9OU0JdFf_VYSMzH5lBcEaU4o8teT1piV-SNzShjg/edit?gid=554141278#gid=554141278"", ""'Char Def. - Attributes'!C20:C2242""), 1,false)"),"ALT_UOM4_SIPI")</f>
        <v>ALT_UOM4_SIPI</v>
      </c>
      <c r="I11973" s="136"/>
      <c r="R11973" s="63" t="str">
        <f t="shared" si="60"/>
        <v>ZSI1_PEST_CONTROLALT_UOM4_SIPI</v>
      </c>
    </row>
    <row r="11974" ht="15.75" customHeight="1">
      <c r="B11974" s="63">
        <f t="shared" si="1"/>
        <v>17</v>
      </c>
      <c r="C11974" s="135" t="s">
        <v>437</v>
      </c>
      <c r="D11974" s="161" t="s">
        <v>74</v>
      </c>
      <c r="E11974" s="135">
        <f t="shared" si="62"/>
        <v>27</v>
      </c>
      <c r="F11974" s="134" t="s">
        <v>3814</v>
      </c>
      <c r="G11974" s="63" t="str">
        <f>VLOOKUP(C11974, 'Class Def. - General Data'!$C$20:$C$1000,1,false)</f>
        <v>ZSI1_PEST_CONTROL</v>
      </c>
      <c r="H11974" s="63" t="str">
        <f>IFERROR(__xludf.DUMMYFUNCTION("VLOOKUP(F11974, IMPORTRANGE(""https://docs.google.com/spreadsheets/d/1Lhp9OU0JdFf_VYSMzH5lBcEaU4o8teT1piV-SNzShjg/edit?gid=554141278#gid=554141278"", ""'Char Def. - Attributes'!C20:C2242""), 1,false)"),"ALT_DENUM_UOM4")</f>
        <v>ALT_DENUM_UOM4</v>
      </c>
      <c r="I11974" s="136"/>
      <c r="R11974" s="63" t="str">
        <f t="shared" si="60"/>
        <v>ZSI1_PEST_CONTROLALT_DENUM_UOM4</v>
      </c>
    </row>
    <row r="11975" ht="15.75" customHeight="1">
      <c r="B11975" s="63">
        <f t="shared" si="1"/>
        <v>17</v>
      </c>
      <c r="C11975" s="135" t="s">
        <v>437</v>
      </c>
      <c r="D11975" s="161" t="s">
        <v>74</v>
      </c>
      <c r="E11975" s="135">
        <f t="shared" si="62"/>
        <v>28</v>
      </c>
      <c r="F11975" s="134" t="s">
        <v>3815</v>
      </c>
      <c r="G11975" s="63" t="str">
        <f>VLOOKUP(C11975, 'Class Def. - General Data'!$C$20:$C$1000,1,false)</f>
        <v>ZSI1_PEST_CONTROL</v>
      </c>
      <c r="H11975" s="63" t="str">
        <f>IFERROR(__xludf.DUMMYFUNCTION("VLOOKUP(F11975, IMPORTRANGE(""https://docs.google.com/spreadsheets/d/1Lhp9OU0JdFf_VYSMzH5lBcEaU4o8teT1piV-SNzShjg/edit?gid=554141278#gid=554141278"", ""'Char Def. - Attributes'!C20:C2242""), 1,false)"),"ALT_NUM_UOM4")</f>
        <v>ALT_NUM_UOM4</v>
      </c>
      <c r="I11975" s="136"/>
      <c r="R11975" s="63" t="str">
        <f t="shared" si="60"/>
        <v>ZSI1_PEST_CONTROLALT_NUM_UOM4</v>
      </c>
    </row>
    <row r="11976" ht="15.75" customHeight="1">
      <c r="B11976" s="63">
        <f t="shared" si="1"/>
        <v>17</v>
      </c>
      <c r="C11976" s="135" t="s">
        <v>437</v>
      </c>
      <c r="D11976" s="161" t="s">
        <v>74</v>
      </c>
      <c r="E11976" s="135">
        <f t="shared" si="62"/>
        <v>29</v>
      </c>
      <c r="F11976" s="134" t="s">
        <v>3816</v>
      </c>
      <c r="G11976" s="63" t="str">
        <f>VLOOKUP(C11976, 'Class Def. - General Data'!$C$20:$C$1000,1,false)</f>
        <v>ZSI1_PEST_CONTROL</v>
      </c>
      <c r="H11976" s="63" t="str">
        <f>IFERROR(__xludf.DUMMYFUNCTION("VLOOKUP(F11976, IMPORTRANGE(""https://docs.google.com/spreadsheets/d/1Lhp9OU0JdFf_VYSMzH5lBcEaU4o8teT1piV-SNzShjg/edit?gid=554141278#gid=554141278"", ""'Char Def. - Attributes'!C20:C2242""), 1,false)"),"ALT_UOM5_SIPI")</f>
        <v>ALT_UOM5_SIPI</v>
      </c>
      <c r="I11976" s="136"/>
      <c r="R11976" s="63" t="str">
        <f t="shared" si="60"/>
        <v>ZSI1_PEST_CONTROLALT_UOM5_SIPI</v>
      </c>
    </row>
    <row r="11977" ht="15.75" customHeight="1">
      <c r="B11977" s="63">
        <f t="shared" si="1"/>
        <v>17</v>
      </c>
      <c r="C11977" s="135" t="s">
        <v>437</v>
      </c>
      <c r="D11977" s="161" t="s">
        <v>74</v>
      </c>
      <c r="E11977" s="135">
        <f t="shared" si="62"/>
        <v>30</v>
      </c>
      <c r="F11977" s="134" t="s">
        <v>3817</v>
      </c>
      <c r="G11977" s="63" t="str">
        <f>VLOOKUP(C11977, 'Class Def. - General Data'!$C$20:$C$1000,1,false)</f>
        <v>ZSI1_PEST_CONTROL</v>
      </c>
      <c r="H11977" s="63" t="str">
        <f>IFERROR(__xludf.DUMMYFUNCTION("VLOOKUP(F11977, IMPORTRANGE(""https://docs.google.com/spreadsheets/d/1Lhp9OU0JdFf_VYSMzH5lBcEaU4o8teT1piV-SNzShjg/edit?gid=554141278#gid=554141278"", ""'Char Def. - Attributes'!C20:C2242""), 1,false)"),"ALT_DENUM_UOM5")</f>
        <v>ALT_DENUM_UOM5</v>
      </c>
      <c r="I11977" s="136"/>
      <c r="R11977" s="63" t="str">
        <f t="shared" si="60"/>
        <v>ZSI1_PEST_CONTROLALT_DENUM_UOM5</v>
      </c>
    </row>
    <row r="11978" ht="15.75" customHeight="1">
      <c r="B11978" s="63">
        <f t="shared" si="1"/>
        <v>17</v>
      </c>
      <c r="C11978" s="135" t="s">
        <v>437</v>
      </c>
      <c r="D11978" s="161" t="s">
        <v>74</v>
      </c>
      <c r="E11978" s="135">
        <f t="shared" si="62"/>
        <v>31</v>
      </c>
      <c r="F11978" s="134" t="s">
        <v>3818</v>
      </c>
      <c r="G11978" s="63" t="str">
        <f>VLOOKUP(C11978, 'Class Def. - General Data'!$C$20:$C$1000,1,false)</f>
        <v>ZSI1_PEST_CONTROL</v>
      </c>
      <c r="H11978" s="63" t="str">
        <f>IFERROR(__xludf.DUMMYFUNCTION("VLOOKUP(F11978, IMPORTRANGE(""https://docs.google.com/spreadsheets/d/1Lhp9OU0JdFf_VYSMzH5lBcEaU4o8teT1piV-SNzShjg/edit?gid=554141278#gid=554141278"", ""'Char Def. - Attributes'!C20:C2242""), 1,false)"),"ALT_NUM_UOM5")</f>
        <v>ALT_NUM_UOM5</v>
      </c>
      <c r="I11978" s="136"/>
      <c r="R11978" s="63" t="str">
        <f t="shared" si="60"/>
        <v>ZSI1_PEST_CONTROLALT_NUM_UOM5</v>
      </c>
    </row>
    <row r="11979" ht="15.75" customHeight="1">
      <c r="B11979" s="63">
        <f t="shared" si="1"/>
        <v>17</v>
      </c>
      <c r="C11979" s="135" t="s">
        <v>438</v>
      </c>
      <c r="D11979" s="161" t="s">
        <v>74</v>
      </c>
      <c r="E11979" s="135">
        <f t="shared" si="62"/>
        <v>1</v>
      </c>
      <c r="F11979" s="134" t="s">
        <v>5065</v>
      </c>
      <c r="G11979" s="63" t="str">
        <f>VLOOKUP(C11979, 'Class Def. - General Data'!$C$20:$C$1000,1,false)</f>
        <v>ZSI1_PHARMA_DRUGS</v>
      </c>
      <c r="H11979" s="63" t="str">
        <f>IFERROR(__xludf.DUMMYFUNCTION("VLOOKUP(F11979, IMPORTRANGE(""https://docs.google.com/spreadsheets/d/1Lhp9OU0JdFf_VYSMzH5lBcEaU4o8teT1piV-SNzShjg/edit?gid=554141278#gid=554141278"", ""'Char Def. - Attributes'!C20:C2242""), 1,false)"),"ITEM_NAME_PHARMA_DRUGS")</f>
        <v>ITEM_NAME_PHARMA_DRUGS</v>
      </c>
      <c r="I11979" s="136"/>
      <c r="R11979" s="63" t="str">
        <f t="shared" si="60"/>
        <v>ZSI1_PHARMA_DRUGSITEM_NAME_PHARMA_DRUGS</v>
      </c>
    </row>
    <row r="11980" ht="15.75" customHeight="1">
      <c r="B11980" s="63">
        <f t="shared" si="1"/>
        <v>17</v>
      </c>
      <c r="C11980" s="135" t="s">
        <v>438</v>
      </c>
      <c r="D11980" s="161" t="s">
        <v>74</v>
      </c>
      <c r="E11980" s="135">
        <f t="shared" si="62"/>
        <v>2</v>
      </c>
      <c r="F11980" s="134" t="s">
        <v>3782</v>
      </c>
      <c r="G11980" s="63" t="str">
        <f>VLOOKUP(C11980, 'Class Def. - General Data'!$C$20:$C$1000,1,false)</f>
        <v>ZSI1_PHARMA_DRUGS</v>
      </c>
      <c r="H11980" s="63" t="str">
        <f>IFERROR(__xludf.DUMMYFUNCTION("VLOOKUP(F11980, IMPORTRANGE(""https://docs.google.com/spreadsheets/d/1Lhp9OU0JdFf_VYSMzH5lBcEaU4o8teT1piV-SNzShjg/edit?gid=554141278#gid=554141278"", ""'Char Def. - Attributes'!C20:C2242""), 1,false)"),"BRAND_EXTERNAL")</f>
        <v>BRAND_EXTERNAL</v>
      </c>
      <c r="I11980" s="136"/>
      <c r="R11980" s="63" t="str">
        <f t="shared" si="60"/>
        <v>ZSI1_PHARMA_DRUGSBRAND_EXTERNAL</v>
      </c>
    </row>
    <row r="11981" ht="15.75" customHeight="1">
      <c r="B11981" s="63">
        <f t="shared" si="1"/>
        <v>17</v>
      </c>
      <c r="C11981" s="135" t="s">
        <v>438</v>
      </c>
      <c r="D11981" s="161" t="s">
        <v>74</v>
      </c>
      <c r="E11981" s="135">
        <f t="shared" si="62"/>
        <v>3</v>
      </c>
      <c r="F11981" s="134" t="s">
        <v>5066</v>
      </c>
      <c r="G11981" s="63" t="str">
        <f>VLOOKUP(C11981, 'Class Def. - General Data'!$C$20:$C$1000,1,false)</f>
        <v>ZSI1_PHARMA_DRUGS</v>
      </c>
      <c r="H11981" s="63" t="str">
        <f>IFERROR(__xludf.DUMMYFUNCTION("VLOOKUP(F11981, IMPORTRANGE(""https://docs.google.com/spreadsheets/d/1Lhp9OU0JdFf_VYSMzH5lBcEaU4o8teT1piV-SNzShjg/edit?gid=554141278#gid=554141278"", ""'Char Def. - Attributes'!C20:C2242""), 1,false)"),"VARIANT_PHARMA_DRUGS")</f>
        <v>VARIANT_PHARMA_DRUGS</v>
      </c>
      <c r="I11981" s="136"/>
      <c r="R11981" s="63" t="str">
        <f t="shared" si="60"/>
        <v>ZSI1_PHARMA_DRUGSVARIANT_PHARMA_DRUGS</v>
      </c>
    </row>
    <row r="11982" ht="15.75" customHeight="1">
      <c r="B11982" s="63">
        <f t="shared" si="1"/>
        <v>17</v>
      </c>
      <c r="C11982" s="135" t="s">
        <v>438</v>
      </c>
      <c r="D11982" s="161" t="s">
        <v>74</v>
      </c>
      <c r="E11982" s="135">
        <f t="shared" si="62"/>
        <v>4</v>
      </c>
      <c r="F11982" s="134" t="s">
        <v>3585</v>
      </c>
      <c r="G11982" s="63" t="str">
        <f>VLOOKUP(C11982, 'Class Def. - General Data'!$C$20:$C$1000,1,false)</f>
        <v>ZSI1_PHARMA_DRUGS</v>
      </c>
      <c r="H11982" s="63" t="str">
        <f>IFERROR(__xludf.DUMMYFUNCTION("VLOOKUP(F11982, IMPORTRANGE(""https://docs.google.com/spreadsheets/d/1Lhp9OU0JdFf_VYSMzH5lBcEaU4o8teT1piV-SNzShjg/edit?gid=554141278#gid=554141278"", ""'Char Def. - Attributes'!C20:C2242""), 1,false)"),"HS_CODE")</f>
        <v>HS_CODE</v>
      </c>
      <c r="I11982" s="136"/>
      <c r="R11982" s="63" t="str">
        <f t="shared" si="60"/>
        <v>ZSI1_PHARMA_DRUGSHS_CODE</v>
      </c>
    </row>
    <row r="11983" ht="15.75" customHeight="1">
      <c r="B11983" s="63">
        <f t="shared" si="1"/>
        <v>17</v>
      </c>
      <c r="C11983" s="135" t="s">
        <v>438</v>
      </c>
      <c r="D11983" s="161" t="s">
        <v>74</v>
      </c>
      <c r="E11983" s="135">
        <f t="shared" si="62"/>
        <v>5</v>
      </c>
      <c r="F11983" s="134" t="s">
        <v>3587</v>
      </c>
      <c r="G11983" s="63" t="str">
        <f>VLOOKUP(C11983, 'Class Def. - General Data'!$C$20:$C$1000,1,false)</f>
        <v>ZSI1_PHARMA_DRUGS</v>
      </c>
      <c r="H11983" s="63" t="str">
        <f>IFERROR(__xludf.DUMMYFUNCTION("VLOOKUP(F11983, IMPORTRANGE(""https://docs.google.com/spreadsheets/d/1Lhp9OU0JdFf_VYSMzH5lBcEaU4o8teT1piV-SNzShjg/edit?gid=554141278#gid=554141278"", ""'Char Def. - Attributes'!C20:C2242""), 1,false)"),"PLANT_BUY")</f>
        <v>PLANT_BUY</v>
      </c>
      <c r="I11983" s="136"/>
      <c r="R11983" s="63" t="str">
        <f t="shared" si="60"/>
        <v>ZSI1_PHARMA_DRUGSPLANT_BUY</v>
      </c>
    </row>
    <row r="11984" ht="15.75" customHeight="1">
      <c r="B11984" s="63">
        <f t="shared" si="1"/>
        <v>17</v>
      </c>
      <c r="C11984" s="135" t="s">
        <v>438</v>
      </c>
      <c r="D11984" s="161" t="s">
        <v>74</v>
      </c>
      <c r="E11984" s="135">
        <f t="shared" si="62"/>
        <v>6</v>
      </c>
      <c r="F11984" s="134" t="s">
        <v>5067</v>
      </c>
      <c r="G11984" s="63" t="str">
        <f>VLOOKUP(C11984, 'Class Def. - General Data'!$C$20:$C$1000,1,false)</f>
        <v>ZSI1_PHARMA_DRUGS</v>
      </c>
      <c r="H11984" s="63" t="str">
        <f>IFERROR(__xludf.DUMMYFUNCTION("VLOOKUP(F11984, IMPORTRANGE(""https://docs.google.com/spreadsheets/d/1Lhp9OU0JdFf_VYSMzH5lBcEaU4o8teT1piV-SNzShjg/edit?gid=554141278#gid=554141278"", ""'Char Def. - Attributes'!C20:C2242""), 1,false)"),"BASE_UOM_PHARMA_DRUGS")</f>
        <v>BASE_UOM_PHARMA_DRUGS</v>
      </c>
      <c r="I11984" s="136"/>
      <c r="R11984" s="63" t="str">
        <f t="shared" si="60"/>
        <v>ZSI1_PHARMA_DRUGSBASE_UOM_PHARMA_DRUGS</v>
      </c>
    </row>
    <row r="11985" ht="15.75" customHeight="1">
      <c r="B11985" s="63">
        <f t="shared" si="1"/>
        <v>17</v>
      </c>
      <c r="C11985" s="135" t="s">
        <v>438</v>
      </c>
      <c r="D11985" s="161" t="s">
        <v>74</v>
      </c>
      <c r="E11985" s="135">
        <f t="shared" si="62"/>
        <v>7</v>
      </c>
      <c r="F11985" s="134" t="s">
        <v>5068</v>
      </c>
      <c r="G11985" s="63" t="str">
        <f>VLOOKUP(C11985, 'Class Def. - General Data'!$C$20:$C$1000,1,false)</f>
        <v>ZSI1_PHARMA_DRUGS</v>
      </c>
      <c r="H11985" s="63" t="str">
        <f>IFERROR(__xludf.DUMMYFUNCTION("VLOOKUP(F11985, IMPORTRANGE(""https://docs.google.com/spreadsheets/d/1Lhp9OU0JdFf_VYSMzH5lBcEaU4o8teT1piV-SNzShjg/edit?gid=554141278#gid=554141278"", ""'Char Def. - Attributes'!C20:C2242""), 1,false)"),"ORDER_UNIT_PHARMA_DRUGS")</f>
        <v>ORDER_UNIT_PHARMA_DRUGS</v>
      </c>
      <c r="I11985" s="136"/>
      <c r="R11985" s="63" t="str">
        <f t="shared" si="60"/>
        <v>ZSI1_PHARMA_DRUGSORDER_UNIT_PHARMA_DRUGS</v>
      </c>
    </row>
    <row r="11986" ht="15.75" customHeight="1">
      <c r="B11986" s="63">
        <f t="shared" si="1"/>
        <v>17</v>
      </c>
      <c r="C11986" s="135" t="s">
        <v>438</v>
      </c>
      <c r="D11986" s="161" t="s">
        <v>74</v>
      </c>
      <c r="E11986" s="135">
        <f t="shared" si="62"/>
        <v>8</v>
      </c>
      <c r="F11986" s="134" t="s">
        <v>4056</v>
      </c>
      <c r="G11986" s="63" t="str">
        <f>VLOOKUP(C11986, 'Class Def. - General Data'!$C$20:$C$1000,1,false)</f>
        <v>ZSI1_PHARMA_DRUGS</v>
      </c>
      <c r="H11986" s="63" t="str">
        <f>IFERROR(__xludf.DUMMYFUNCTION("VLOOKUP(F11986, IMPORTRANGE(""https://docs.google.com/spreadsheets/d/1Lhp9OU0JdFf_VYSMzH5lBcEaU4o8teT1piV-SNzShjg/edit?gid=554141278#gid=554141278"", ""'Char Def. - Attributes'!C20:C2242""), 1,false)"),"GROSS_WEIGHT_OPT")</f>
        <v>GROSS_WEIGHT_OPT</v>
      </c>
      <c r="I11986" s="136"/>
      <c r="R11986" s="63" t="str">
        <f t="shared" si="60"/>
        <v>ZSI1_PHARMA_DRUGSGROSS_WEIGHT_OPT</v>
      </c>
    </row>
    <row r="11987" ht="15.75" customHeight="1">
      <c r="B11987" s="63">
        <f t="shared" si="1"/>
        <v>17</v>
      </c>
      <c r="C11987" s="135" t="s">
        <v>438</v>
      </c>
      <c r="D11987" s="161" t="s">
        <v>74</v>
      </c>
      <c r="E11987" s="135">
        <f t="shared" si="62"/>
        <v>9</v>
      </c>
      <c r="F11987" s="134" t="s">
        <v>4057</v>
      </c>
      <c r="G11987" s="63" t="str">
        <f>VLOOKUP(C11987, 'Class Def. - General Data'!$C$20:$C$1000,1,false)</f>
        <v>ZSI1_PHARMA_DRUGS</v>
      </c>
      <c r="H11987" s="63" t="str">
        <f>IFERROR(__xludf.DUMMYFUNCTION("VLOOKUP(F11987, IMPORTRANGE(""https://docs.google.com/spreadsheets/d/1Lhp9OU0JdFf_VYSMzH5lBcEaU4o8teT1piV-SNzShjg/edit?gid=554141278#gid=554141278"", ""'Char Def. - Attributes'!C20:C2242""), 1,false)"),"NET_WEIGHT_OPT")</f>
        <v>NET_WEIGHT_OPT</v>
      </c>
      <c r="I11987" s="136"/>
      <c r="R11987" s="63" t="str">
        <f t="shared" si="60"/>
        <v>ZSI1_PHARMA_DRUGSNET_WEIGHT_OPT</v>
      </c>
    </row>
    <row r="11988" ht="15.75" customHeight="1">
      <c r="B11988" s="63">
        <f t="shared" si="1"/>
        <v>17</v>
      </c>
      <c r="C11988" s="135" t="s">
        <v>438</v>
      </c>
      <c r="D11988" s="161" t="s">
        <v>74</v>
      </c>
      <c r="E11988" s="135">
        <f t="shared" si="62"/>
        <v>10</v>
      </c>
      <c r="F11988" s="134" t="s">
        <v>4058</v>
      </c>
      <c r="G11988" s="63" t="str">
        <f>VLOOKUP(C11988, 'Class Def. - General Data'!$C$20:$C$1000,1,false)</f>
        <v>ZSI1_PHARMA_DRUGS</v>
      </c>
      <c r="H11988" s="63" t="str">
        <f>IFERROR(__xludf.DUMMYFUNCTION("VLOOKUP(F11988, IMPORTRANGE(""https://docs.google.com/spreadsheets/d/1Lhp9OU0JdFf_VYSMzH5lBcEaU4o8teT1piV-SNzShjg/edit?gid=554141278#gid=554141278"", ""'Char Def. - Attributes'!C20:C2242""), 1,false)"),"WEIGHT_UNIT_SI")</f>
        <v>WEIGHT_UNIT_SI</v>
      </c>
      <c r="I11988" s="136"/>
      <c r="R11988" s="63" t="str">
        <f t="shared" si="60"/>
        <v>ZSI1_PHARMA_DRUGSWEIGHT_UNIT_SI</v>
      </c>
    </row>
    <row r="11989" ht="15.75" customHeight="1">
      <c r="B11989" s="63">
        <f t="shared" si="1"/>
        <v>17</v>
      </c>
      <c r="C11989" s="135" t="s">
        <v>438</v>
      </c>
      <c r="D11989" s="161" t="s">
        <v>74</v>
      </c>
      <c r="E11989" s="135">
        <f t="shared" si="62"/>
        <v>11</v>
      </c>
      <c r="F11989" s="134" t="s">
        <v>3877</v>
      </c>
      <c r="G11989" s="63" t="str">
        <f>VLOOKUP(C11989, 'Class Def. - General Data'!$C$20:$C$1000,1,false)</f>
        <v>ZSI1_PHARMA_DRUGS</v>
      </c>
      <c r="H11989" s="63" t="str">
        <f>IFERROR(__xludf.DUMMYFUNCTION("VLOOKUP(F11989, IMPORTRANGE(""https://docs.google.com/spreadsheets/d/1Lhp9OU0JdFf_VYSMzH5lBcEaU4o8teT1piV-SNzShjg/edit?gid=554141278#gid=554141278"", ""'Char Def. - Attributes'!C20:C2242""), 1,false)"),"VOLUME_OPT")</f>
        <v>VOLUME_OPT</v>
      </c>
      <c r="I11989" s="136"/>
      <c r="R11989" s="63" t="str">
        <f t="shared" si="60"/>
        <v>ZSI1_PHARMA_DRUGSVOLUME_OPT</v>
      </c>
    </row>
    <row r="11990" ht="15.75" customHeight="1">
      <c r="B11990" s="63">
        <f t="shared" si="1"/>
        <v>17</v>
      </c>
      <c r="C11990" s="135" t="s">
        <v>438</v>
      </c>
      <c r="D11990" s="161" t="s">
        <v>74</v>
      </c>
      <c r="E11990" s="135">
        <f t="shared" si="62"/>
        <v>12</v>
      </c>
      <c r="F11990" s="134" t="s">
        <v>4059</v>
      </c>
      <c r="G11990" s="63" t="str">
        <f>VLOOKUP(C11990, 'Class Def. - General Data'!$C$20:$C$1000,1,false)</f>
        <v>ZSI1_PHARMA_DRUGS</v>
      </c>
      <c r="H11990" s="63" t="str">
        <f>IFERROR(__xludf.DUMMYFUNCTION("VLOOKUP(F11990, IMPORTRANGE(""https://docs.google.com/spreadsheets/d/1Lhp9OU0JdFf_VYSMzH5lBcEaU4o8teT1piV-SNzShjg/edit?gid=554141278#gid=554141278"", ""'Char Def. - Attributes'!C20:C2242""), 1,false)"),"VOLUME_UNIT_SI")</f>
        <v>VOLUME_UNIT_SI</v>
      </c>
      <c r="I11990" s="136"/>
      <c r="R11990" s="63" t="str">
        <f t="shared" si="60"/>
        <v>ZSI1_PHARMA_DRUGSVOLUME_UNIT_SI</v>
      </c>
    </row>
    <row r="11991" ht="15.75" customHeight="1">
      <c r="B11991" s="63">
        <f t="shared" si="1"/>
        <v>17</v>
      </c>
      <c r="C11991" s="135" t="s">
        <v>438</v>
      </c>
      <c r="D11991" s="161" t="s">
        <v>74</v>
      </c>
      <c r="E11991" s="135">
        <f t="shared" si="62"/>
        <v>13</v>
      </c>
      <c r="F11991" s="134" t="s">
        <v>3804</v>
      </c>
      <c r="G11991" s="63" t="str">
        <f>VLOOKUP(C11991, 'Class Def. - General Data'!$C$20:$C$1000,1,false)</f>
        <v>ZSI1_PHARMA_DRUGS</v>
      </c>
      <c r="H11991" s="63" t="str">
        <f>IFERROR(__xludf.DUMMYFUNCTION("VLOOKUP(F11991, IMPORTRANGE(""https://docs.google.com/spreadsheets/d/1Lhp9OU0JdFf_VYSMzH5lBcEaU4o8teT1piV-SNzShjg/edit?gid=554141278#gid=554141278"", ""'Char Def. - Attributes'!C20:C2242""), 1,false)"),"ALT_UOM1_SIPI")</f>
        <v>ALT_UOM1_SIPI</v>
      </c>
      <c r="I11991" s="136"/>
      <c r="R11991" s="63" t="str">
        <f t="shared" si="60"/>
        <v>ZSI1_PHARMA_DRUGSALT_UOM1_SIPI</v>
      </c>
    </row>
    <row r="11992" ht="15.75" customHeight="1">
      <c r="B11992" s="63">
        <f t="shared" si="1"/>
        <v>17</v>
      </c>
      <c r="C11992" s="135" t="s">
        <v>438</v>
      </c>
      <c r="D11992" s="161" t="s">
        <v>74</v>
      </c>
      <c r="E11992" s="135">
        <f t="shared" si="62"/>
        <v>14</v>
      </c>
      <c r="F11992" s="134" t="s">
        <v>3805</v>
      </c>
      <c r="G11992" s="63" t="str">
        <f>VLOOKUP(C11992, 'Class Def. - General Data'!$C$20:$C$1000,1,false)</f>
        <v>ZSI1_PHARMA_DRUGS</v>
      </c>
      <c r="H11992" s="63" t="str">
        <f>IFERROR(__xludf.DUMMYFUNCTION("VLOOKUP(F11992, IMPORTRANGE(""https://docs.google.com/spreadsheets/d/1Lhp9OU0JdFf_VYSMzH5lBcEaU4o8teT1piV-SNzShjg/edit?gid=554141278#gid=554141278"", ""'Char Def. - Attributes'!C20:C2242""), 1,false)"),"ALT_DENUM_UOM1")</f>
        <v>ALT_DENUM_UOM1</v>
      </c>
      <c r="I11992" s="136"/>
      <c r="R11992" s="63" t="str">
        <f t="shared" si="60"/>
        <v>ZSI1_PHARMA_DRUGSALT_DENUM_UOM1</v>
      </c>
    </row>
    <row r="11993" ht="15.75" customHeight="1">
      <c r="B11993" s="63">
        <f t="shared" si="1"/>
        <v>17</v>
      </c>
      <c r="C11993" s="135" t="s">
        <v>438</v>
      </c>
      <c r="D11993" s="161" t="s">
        <v>74</v>
      </c>
      <c r="E11993" s="135">
        <f t="shared" si="62"/>
        <v>15</v>
      </c>
      <c r="F11993" s="134" t="s">
        <v>3806</v>
      </c>
      <c r="G11993" s="63" t="str">
        <f>VLOOKUP(C11993, 'Class Def. - General Data'!$C$20:$C$1000,1,false)</f>
        <v>ZSI1_PHARMA_DRUGS</v>
      </c>
      <c r="H11993" s="63" t="str">
        <f>IFERROR(__xludf.DUMMYFUNCTION("VLOOKUP(F11993, IMPORTRANGE(""https://docs.google.com/spreadsheets/d/1Lhp9OU0JdFf_VYSMzH5lBcEaU4o8teT1piV-SNzShjg/edit?gid=554141278#gid=554141278"", ""'Char Def. - Attributes'!C20:C2242""), 1,false)"),"ALT_NUM_UOM1")</f>
        <v>ALT_NUM_UOM1</v>
      </c>
      <c r="I11993" s="136"/>
      <c r="R11993" s="63" t="str">
        <f t="shared" si="60"/>
        <v>ZSI1_PHARMA_DRUGSALT_NUM_UOM1</v>
      </c>
    </row>
    <row r="11994" ht="15.75" customHeight="1">
      <c r="B11994" s="63">
        <f t="shared" si="1"/>
        <v>17</v>
      </c>
      <c r="C11994" s="135" t="s">
        <v>438</v>
      </c>
      <c r="D11994" s="161" t="s">
        <v>74</v>
      </c>
      <c r="E11994" s="135">
        <f t="shared" si="62"/>
        <v>16</v>
      </c>
      <c r="F11994" s="134" t="s">
        <v>3807</v>
      </c>
      <c r="G11994" s="63" t="str">
        <f>VLOOKUP(C11994, 'Class Def. - General Data'!$C$20:$C$1000,1,false)</f>
        <v>ZSI1_PHARMA_DRUGS</v>
      </c>
      <c r="H11994" s="63" t="str">
        <f>IFERROR(__xludf.DUMMYFUNCTION("VLOOKUP(F11994, IMPORTRANGE(""https://docs.google.com/spreadsheets/d/1Lhp9OU0JdFf_VYSMzH5lBcEaU4o8teT1piV-SNzShjg/edit?gid=554141278#gid=554141278"", ""'Char Def. - Attributes'!C20:C2242""), 1,false)"),"ALT_UOM2_SIPI")</f>
        <v>ALT_UOM2_SIPI</v>
      </c>
      <c r="I11994" s="136"/>
      <c r="R11994" s="63" t="str">
        <f t="shared" si="60"/>
        <v>ZSI1_PHARMA_DRUGSALT_UOM2_SIPI</v>
      </c>
    </row>
    <row r="11995" ht="15.75" customHeight="1">
      <c r="B11995" s="63">
        <f t="shared" si="1"/>
        <v>17</v>
      </c>
      <c r="C11995" s="135" t="s">
        <v>438</v>
      </c>
      <c r="D11995" s="161" t="s">
        <v>74</v>
      </c>
      <c r="E11995" s="135">
        <f t="shared" si="62"/>
        <v>17</v>
      </c>
      <c r="F11995" s="134" t="s">
        <v>3808</v>
      </c>
      <c r="G11995" s="63" t="str">
        <f>VLOOKUP(C11995, 'Class Def. - General Data'!$C$20:$C$1000,1,false)</f>
        <v>ZSI1_PHARMA_DRUGS</v>
      </c>
      <c r="H11995" s="63" t="str">
        <f>IFERROR(__xludf.DUMMYFUNCTION("VLOOKUP(F11995, IMPORTRANGE(""https://docs.google.com/spreadsheets/d/1Lhp9OU0JdFf_VYSMzH5lBcEaU4o8teT1piV-SNzShjg/edit?gid=554141278#gid=554141278"", ""'Char Def. - Attributes'!C20:C2242""), 1,false)"),"ALT_DENUM_UOM2")</f>
        <v>ALT_DENUM_UOM2</v>
      </c>
      <c r="I11995" s="136"/>
      <c r="R11995" s="63" t="str">
        <f t="shared" si="60"/>
        <v>ZSI1_PHARMA_DRUGSALT_DENUM_UOM2</v>
      </c>
    </row>
    <row r="11996" ht="15.75" customHeight="1">
      <c r="B11996" s="63">
        <f t="shared" si="1"/>
        <v>17</v>
      </c>
      <c r="C11996" s="135" t="s">
        <v>438</v>
      </c>
      <c r="D11996" s="161" t="s">
        <v>74</v>
      </c>
      <c r="E11996" s="135">
        <f t="shared" si="62"/>
        <v>18</v>
      </c>
      <c r="F11996" s="134" t="s">
        <v>3809</v>
      </c>
      <c r="G11996" s="63" t="str">
        <f>VLOOKUP(C11996, 'Class Def. - General Data'!$C$20:$C$1000,1,false)</f>
        <v>ZSI1_PHARMA_DRUGS</v>
      </c>
      <c r="H11996" s="63" t="str">
        <f>IFERROR(__xludf.DUMMYFUNCTION("VLOOKUP(F11996, IMPORTRANGE(""https://docs.google.com/spreadsheets/d/1Lhp9OU0JdFf_VYSMzH5lBcEaU4o8teT1piV-SNzShjg/edit?gid=554141278#gid=554141278"", ""'Char Def. - Attributes'!C20:C2242""), 1,false)"),"ALT_NUM_UOM2")</f>
        <v>ALT_NUM_UOM2</v>
      </c>
      <c r="I11996" s="136"/>
      <c r="R11996" s="63" t="str">
        <f t="shared" si="60"/>
        <v>ZSI1_PHARMA_DRUGSALT_NUM_UOM2</v>
      </c>
    </row>
    <row r="11997" ht="15.75" customHeight="1">
      <c r="B11997" s="63">
        <f t="shared" si="1"/>
        <v>17</v>
      </c>
      <c r="C11997" s="135" t="s">
        <v>438</v>
      </c>
      <c r="D11997" s="161" t="s">
        <v>74</v>
      </c>
      <c r="E11997" s="135">
        <f t="shared" si="62"/>
        <v>19</v>
      </c>
      <c r="F11997" s="134" t="s">
        <v>3810</v>
      </c>
      <c r="G11997" s="63" t="str">
        <f>VLOOKUP(C11997, 'Class Def. - General Data'!$C$20:$C$1000,1,false)</f>
        <v>ZSI1_PHARMA_DRUGS</v>
      </c>
      <c r="H11997" s="63" t="str">
        <f>IFERROR(__xludf.DUMMYFUNCTION("VLOOKUP(F11997, IMPORTRANGE(""https://docs.google.com/spreadsheets/d/1Lhp9OU0JdFf_VYSMzH5lBcEaU4o8teT1piV-SNzShjg/edit?gid=554141278#gid=554141278"", ""'Char Def. - Attributes'!C20:C2242""), 1,false)"),"ALT_UOM3_SIPI")</f>
        <v>ALT_UOM3_SIPI</v>
      </c>
      <c r="I11997" s="136"/>
      <c r="R11997" s="63" t="str">
        <f t="shared" si="60"/>
        <v>ZSI1_PHARMA_DRUGSALT_UOM3_SIPI</v>
      </c>
    </row>
    <row r="11998" ht="15.75" customHeight="1">
      <c r="B11998" s="63">
        <f t="shared" si="1"/>
        <v>17</v>
      </c>
      <c r="C11998" s="135" t="s">
        <v>438</v>
      </c>
      <c r="D11998" s="161" t="s">
        <v>74</v>
      </c>
      <c r="E11998" s="135">
        <f t="shared" si="62"/>
        <v>20</v>
      </c>
      <c r="F11998" s="134" t="s">
        <v>3811</v>
      </c>
      <c r="G11998" s="63" t="str">
        <f>VLOOKUP(C11998, 'Class Def. - General Data'!$C$20:$C$1000,1,false)</f>
        <v>ZSI1_PHARMA_DRUGS</v>
      </c>
      <c r="H11998" s="63" t="str">
        <f>IFERROR(__xludf.DUMMYFUNCTION("VLOOKUP(F11998, IMPORTRANGE(""https://docs.google.com/spreadsheets/d/1Lhp9OU0JdFf_VYSMzH5lBcEaU4o8teT1piV-SNzShjg/edit?gid=554141278#gid=554141278"", ""'Char Def. - Attributes'!C20:C2242""), 1,false)"),"ALT_DENUM_UOM3")</f>
        <v>ALT_DENUM_UOM3</v>
      </c>
      <c r="I11998" s="136"/>
      <c r="R11998" s="63" t="str">
        <f t="shared" si="60"/>
        <v>ZSI1_PHARMA_DRUGSALT_DENUM_UOM3</v>
      </c>
    </row>
    <row r="11999" ht="15.75" customHeight="1">
      <c r="B11999" s="63">
        <f t="shared" si="1"/>
        <v>17</v>
      </c>
      <c r="C11999" s="135" t="s">
        <v>438</v>
      </c>
      <c r="D11999" s="161" t="s">
        <v>74</v>
      </c>
      <c r="E11999" s="135">
        <f t="shared" si="62"/>
        <v>21</v>
      </c>
      <c r="F11999" s="134" t="s">
        <v>3812</v>
      </c>
      <c r="G11999" s="63" t="str">
        <f>VLOOKUP(C11999, 'Class Def. - General Data'!$C$20:$C$1000,1,false)</f>
        <v>ZSI1_PHARMA_DRUGS</v>
      </c>
      <c r="H11999" s="63" t="str">
        <f>IFERROR(__xludf.DUMMYFUNCTION("VLOOKUP(F11999, IMPORTRANGE(""https://docs.google.com/spreadsheets/d/1Lhp9OU0JdFf_VYSMzH5lBcEaU4o8teT1piV-SNzShjg/edit?gid=554141278#gid=554141278"", ""'Char Def. - Attributes'!C20:C2242""), 1,false)"),"ALT_NUM_UOM3")</f>
        <v>ALT_NUM_UOM3</v>
      </c>
      <c r="I11999" s="136"/>
      <c r="R11999" s="63" t="str">
        <f t="shared" si="60"/>
        <v>ZSI1_PHARMA_DRUGSALT_NUM_UOM3</v>
      </c>
    </row>
    <row r="12000" ht="15.75" customHeight="1">
      <c r="B12000" s="63">
        <f t="shared" si="1"/>
        <v>17</v>
      </c>
      <c r="C12000" s="135" t="s">
        <v>438</v>
      </c>
      <c r="D12000" s="161" t="s">
        <v>74</v>
      </c>
      <c r="E12000" s="135">
        <f t="shared" si="62"/>
        <v>22</v>
      </c>
      <c r="F12000" s="134" t="s">
        <v>3813</v>
      </c>
      <c r="G12000" s="63" t="str">
        <f>VLOOKUP(C12000, 'Class Def. - General Data'!$C$20:$C$1000,1,false)</f>
        <v>ZSI1_PHARMA_DRUGS</v>
      </c>
      <c r="H12000" s="63" t="str">
        <f>IFERROR(__xludf.DUMMYFUNCTION("VLOOKUP(F12000, IMPORTRANGE(""https://docs.google.com/spreadsheets/d/1Lhp9OU0JdFf_VYSMzH5lBcEaU4o8teT1piV-SNzShjg/edit?gid=554141278#gid=554141278"", ""'Char Def. - Attributes'!C20:C2242""), 1,false)"),"ALT_UOM4_SIPI")</f>
        <v>ALT_UOM4_SIPI</v>
      </c>
      <c r="I12000" s="136"/>
      <c r="R12000" s="63" t="str">
        <f t="shared" si="60"/>
        <v>ZSI1_PHARMA_DRUGSALT_UOM4_SIPI</v>
      </c>
    </row>
    <row r="12001" ht="15.75" customHeight="1">
      <c r="B12001" s="63">
        <f t="shared" si="1"/>
        <v>17</v>
      </c>
      <c r="C12001" s="135" t="s">
        <v>438</v>
      </c>
      <c r="D12001" s="161" t="s">
        <v>74</v>
      </c>
      <c r="E12001" s="135">
        <f t="shared" si="62"/>
        <v>23</v>
      </c>
      <c r="F12001" s="134" t="s">
        <v>3814</v>
      </c>
      <c r="G12001" s="63" t="str">
        <f>VLOOKUP(C12001, 'Class Def. - General Data'!$C$20:$C$1000,1,false)</f>
        <v>ZSI1_PHARMA_DRUGS</v>
      </c>
      <c r="H12001" s="63" t="str">
        <f>IFERROR(__xludf.DUMMYFUNCTION("VLOOKUP(F12001, IMPORTRANGE(""https://docs.google.com/spreadsheets/d/1Lhp9OU0JdFf_VYSMzH5lBcEaU4o8teT1piV-SNzShjg/edit?gid=554141278#gid=554141278"", ""'Char Def. - Attributes'!C20:C2242""), 1,false)"),"ALT_DENUM_UOM4")</f>
        <v>ALT_DENUM_UOM4</v>
      </c>
      <c r="I12001" s="136"/>
      <c r="R12001" s="63" t="str">
        <f t="shared" si="60"/>
        <v>ZSI1_PHARMA_DRUGSALT_DENUM_UOM4</v>
      </c>
    </row>
    <row r="12002" ht="15.75" customHeight="1">
      <c r="B12002" s="63">
        <f t="shared" si="1"/>
        <v>17</v>
      </c>
      <c r="C12002" s="135" t="s">
        <v>438</v>
      </c>
      <c r="D12002" s="161" t="s">
        <v>74</v>
      </c>
      <c r="E12002" s="135">
        <f t="shared" si="62"/>
        <v>24</v>
      </c>
      <c r="F12002" s="134" t="s">
        <v>3815</v>
      </c>
      <c r="G12002" s="63" t="str">
        <f>VLOOKUP(C12002, 'Class Def. - General Data'!$C$20:$C$1000,1,false)</f>
        <v>ZSI1_PHARMA_DRUGS</v>
      </c>
      <c r="H12002" s="63" t="str">
        <f>IFERROR(__xludf.DUMMYFUNCTION("VLOOKUP(F12002, IMPORTRANGE(""https://docs.google.com/spreadsheets/d/1Lhp9OU0JdFf_VYSMzH5lBcEaU4o8teT1piV-SNzShjg/edit?gid=554141278#gid=554141278"", ""'Char Def. - Attributes'!C20:C2242""), 1,false)"),"ALT_NUM_UOM4")</f>
        <v>ALT_NUM_UOM4</v>
      </c>
      <c r="I12002" s="136"/>
      <c r="R12002" s="63" t="str">
        <f t="shared" si="60"/>
        <v>ZSI1_PHARMA_DRUGSALT_NUM_UOM4</v>
      </c>
    </row>
    <row r="12003" ht="15.75" customHeight="1">
      <c r="B12003" s="63">
        <f t="shared" si="1"/>
        <v>17</v>
      </c>
      <c r="C12003" s="135" t="s">
        <v>438</v>
      </c>
      <c r="D12003" s="161" t="s">
        <v>74</v>
      </c>
      <c r="E12003" s="135">
        <f t="shared" si="62"/>
        <v>25</v>
      </c>
      <c r="F12003" s="134" t="s">
        <v>3816</v>
      </c>
      <c r="G12003" s="63" t="str">
        <f>VLOOKUP(C12003, 'Class Def. - General Data'!$C$20:$C$1000,1,false)</f>
        <v>ZSI1_PHARMA_DRUGS</v>
      </c>
      <c r="H12003" s="63" t="str">
        <f>IFERROR(__xludf.DUMMYFUNCTION("VLOOKUP(F12003, IMPORTRANGE(""https://docs.google.com/spreadsheets/d/1Lhp9OU0JdFf_VYSMzH5lBcEaU4o8teT1piV-SNzShjg/edit?gid=554141278#gid=554141278"", ""'Char Def. - Attributes'!C20:C2242""), 1,false)"),"ALT_UOM5_SIPI")</f>
        <v>ALT_UOM5_SIPI</v>
      </c>
      <c r="I12003" s="136"/>
      <c r="R12003" s="63" t="str">
        <f t="shared" si="60"/>
        <v>ZSI1_PHARMA_DRUGSALT_UOM5_SIPI</v>
      </c>
    </row>
    <row r="12004" ht="15.75" customHeight="1">
      <c r="B12004" s="63">
        <f t="shared" si="1"/>
        <v>17</v>
      </c>
      <c r="C12004" s="135" t="s">
        <v>438</v>
      </c>
      <c r="D12004" s="161" t="s">
        <v>74</v>
      </c>
      <c r="E12004" s="135">
        <f t="shared" si="62"/>
        <v>26</v>
      </c>
      <c r="F12004" s="134" t="s">
        <v>3817</v>
      </c>
      <c r="G12004" s="63" t="str">
        <f>VLOOKUP(C12004, 'Class Def. - General Data'!$C$20:$C$1000,1,false)</f>
        <v>ZSI1_PHARMA_DRUGS</v>
      </c>
      <c r="H12004" s="63" t="str">
        <f>IFERROR(__xludf.DUMMYFUNCTION("VLOOKUP(F12004, IMPORTRANGE(""https://docs.google.com/spreadsheets/d/1Lhp9OU0JdFf_VYSMzH5lBcEaU4o8teT1piV-SNzShjg/edit?gid=554141278#gid=554141278"", ""'Char Def. - Attributes'!C20:C2242""), 1,false)"),"ALT_DENUM_UOM5")</f>
        <v>ALT_DENUM_UOM5</v>
      </c>
      <c r="I12004" s="136"/>
      <c r="R12004" s="63" t="str">
        <f t="shared" si="60"/>
        <v>ZSI1_PHARMA_DRUGSALT_DENUM_UOM5</v>
      </c>
    </row>
    <row r="12005" ht="15.75" customHeight="1">
      <c r="B12005" s="63">
        <f t="shared" si="1"/>
        <v>17</v>
      </c>
      <c r="C12005" s="135" t="s">
        <v>438</v>
      </c>
      <c r="D12005" s="161" t="s">
        <v>74</v>
      </c>
      <c r="E12005" s="135">
        <f t="shared" si="62"/>
        <v>27</v>
      </c>
      <c r="F12005" s="134" t="s">
        <v>3818</v>
      </c>
      <c r="G12005" s="63" t="str">
        <f>VLOOKUP(C12005, 'Class Def. - General Data'!$C$20:$C$1000,1,false)</f>
        <v>ZSI1_PHARMA_DRUGS</v>
      </c>
      <c r="H12005" s="63" t="str">
        <f>IFERROR(__xludf.DUMMYFUNCTION("VLOOKUP(F12005, IMPORTRANGE(""https://docs.google.com/spreadsheets/d/1Lhp9OU0JdFf_VYSMzH5lBcEaU4o8teT1piV-SNzShjg/edit?gid=554141278#gid=554141278"", ""'Char Def. - Attributes'!C20:C2242""), 1,false)"),"ALT_NUM_UOM5")</f>
        <v>ALT_NUM_UOM5</v>
      </c>
      <c r="I12005" s="136"/>
      <c r="R12005" s="63" t="str">
        <f t="shared" si="60"/>
        <v>ZSI1_PHARMA_DRUGSALT_NUM_UOM5</v>
      </c>
    </row>
    <row r="12006" ht="15.75" customHeight="1">
      <c r="B12006" s="63">
        <f t="shared" si="1"/>
        <v>17</v>
      </c>
      <c r="C12006" s="135" t="s">
        <v>439</v>
      </c>
      <c r="D12006" s="161" t="s">
        <v>74</v>
      </c>
      <c r="E12006" s="135">
        <f t="shared" si="62"/>
        <v>1</v>
      </c>
      <c r="F12006" s="134" t="s">
        <v>5069</v>
      </c>
      <c r="G12006" s="63" t="str">
        <f>VLOOKUP(C12006, 'Class Def. - General Data'!$C$20:$C$1000,1,false)</f>
        <v>ZSI1_PHONE_SYSTEM</v>
      </c>
      <c r="H12006" s="63" t="str">
        <f>IFERROR(__xludf.DUMMYFUNCTION("VLOOKUP(F12006, IMPORTRANGE(""https://docs.google.com/spreadsheets/d/1Lhp9OU0JdFf_VYSMzH5lBcEaU4o8teT1piV-SNzShjg/edit?gid=554141278#gid=554141278"", ""'Char Def. - Attributes'!C20:C2242""), 1,false)"),"ITEM_NAME_PHONE_SYSTEM")</f>
        <v>ITEM_NAME_PHONE_SYSTEM</v>
      </c>
      <c r="I12006" s="136"/>
      <c r="R12006" s="63" t="str">
        <f t="shared" si="60"/>
        <v>ZSI1_PHONE_SYSTEMITEM_NAME_PHONE_SYSTEM</v>
      </c>
    </row>
    <row r="12007" ht="15.75" customHeight="1">
      <c r="B12007" s="63">
        <f t="shared" si="1"/>
        <v>17</v>
      </c>
      <c r="C12007" s="135" t="s">
        <v>439</v>
      </c>
      <c r="D12007" s="161" t="s">
        <v>74</v>
      </c>
      <c r="E12007" s="135">
        <f t="shared" si="62"/>
        <v>2</v>
      </c>
      <c r="F12007" s="134" t="s">
        <v>5070</v>
      </c>
      <c r="G12007" s="63" t="str">
        <f>VLOOKUP(C12007, 'Class Def. - General Data'!$C$20:$C$1000,1,false)</f>
        <v>ZSI1_PHONE_SYSTEM</v>
      </c>
      <c r="H12007" s="63" t="str">
        <f>IFERROR(__xludf.DUMMYFUNCTION("VLOOKUP(F12007, IMPORTRANGE(""https://docs.google.com/spreadsheets/d/1Lhp9OU0JdFf_VYSMzH5lBcEaU4o8teT1piV-SNzShjg/edit?gid=554141278#gid=554141278"", ""'Char Def. - Attributes'!C20:C2242""), 1,false)"),"MFR_NO_PHONE_SYSTEM")</f>
        <v>MFR_NO_PHONE_SYSTEM</v>
      </c>
      <c r="I12007" s="136"/>
      <c r="R12007" s="63" t="str">
        <f t="shared" si="60"/>
        <v>ZSI1_PHONE_SYSTEMMFR_NO_PHONE_SYSTEM</v>
      </c>
    </row>
    <row r="12008" ht="15.75" customHeight="1">
      <c r="B12008" s="63">
        <f t="shared" si="1"/>
        <v>17</v>
      </c>
      <c r="C12008" s="135" t="s">
        <v>439</v>
      </c>
      <c r="D12008" s="161" t="s">
        <v>74</v>
      </c>
      <c r="E12008" s="135">
        <f t="shared" si="62"/>
        <v>3</v>
      </c>
      <c r="F12008" s="134" t="s">
        <v>3782</v>
      </c>
      <c r="G12008" s="63" t="str">
        <f>VLOOKUP(C12008, 'Class Def. - General Data'!$C$20:$C$1000,1,false)</f>
        <v>ZSI1_PHONE_SYSTEM</v>
      </c>
      <c r="H12008" s="63" t="str">
        <f>IFERROR(__xludf.DUMMYFUNCTION("VLOOKUP(F12008, IMPORTRANGE(""https://docs.google.com/spreadsheets/d/1Lhp9OU0JdFf_VYSMzH5lBcEaU4o8teT1piV-SNzShjg/edit?gid=554141278#gid=554141278"", ""'Char Def. - Attributes'!C20:C2242""), 1,false)"),"BRAND_EXTERNAL")</f>
        <v>BRAND_EXTERNAL</v>
      </c>
      <c r="I12008" s="136"/>
      <c r="R12008" s="63" t="str">
        <f t="shared" si="60"/>
        <v>ZSI1_PHONE_SYSTEMBRAND_EXTERNAL</v>
      </c>
    </row>
    <row r="12009" ht="15.75" customHeight="1">
      <c r="B12009" s="63">
        <f t="shared" si="1"/>
        <v>17</v>
      </c>
      <c r="C12009" s="135" t="s">
        <v>439</v>
      </c>
      <c r="D12009" s="161" t="s">
        <v>74</v>
      </c>
      <c r="E12009" s="135">
        <f t="shared" si="62"/>
        <v>4</v>
      </c>
      <c r="F12009" s="134" t="s">
        <v>5071</v>
      </c>
      <c r="G12009" s="63" t="str">
        <f>VLOOKUP(C12009, 'Class Def. - General Data'!$C$20:$C$1000,1,false)</f>
        <v>ZSI1_PHONE_SYSTEM</v>
      </c>
      <c r="H12009" s="63" t="str">
        <f>IFERROR(__xludf.DUMMYFUNCTION("VLOOKUP(F12009, IMPORTRANGE(""https://docs.google.com/spreadsheets/d/1Lhp9OU0JdFf_VYSMzH5lBcEaU4o8teT1piV-SNzShjg/edit?gid=554141278#gid=554141278"", ""'Char Def. - Attributes'!C20:C2242""), 1,false)"),"NO_OF_EXTENSION_PHONE_SYSTEM")</f>
        <v>NO_OF_EXTENSION_PHONE_SYSTEM</v>
      </c>
      <c r="I12009" s="136"/>
      <c r="R12009" s="63" t="str">
        <f t="shared" si="60"/>
        <v>ZSI1_PHONE_SYSTEMNO_OF_EXTENSION_PHONE_SYSTEM</v>
      </c>
    </row>
    <row r="12010" ht="15.75" customHeight="1">
      <c r="B12010" s="63">
        <f t="shared" si="1"/>
        <v>17</v>
      </c>
      <c r="C12010" s="135" t="s">
        <v>439</v>
      </c>
      <c r="D12010" s="161" t="s">
        <v>74</v>
      </c>
      <c r="E12010" s="135">
        <f t="shared" si="62"/>
        <v>5</v>
      </c>
      <c r="F12010" s="134" t="s">
        <v>5072</v>
      </c>
      <c r="G12010" s="63" t="str">
        <f>VLOOKUP(C12010, 'Class Def. - General Data'!$C$20:$C$1000,1,false)</f>
        <v>ZSI1_PHONE_SYSTEM</v>
      </c>
      <c r="H12010" s="63" t="str">
        <f>IFERROR(__xludf.DUMMYFUNCTION("VLOOKUP(F12010, IMPORTRANGE(""https://docs.google.com/spreadsheets/d/1Lhp9OU0JdFf_VYSMzH5lBcEaU4o8teT1piV-SNzShjg/edit?gid=554141278#gid=554141278"", ""'Char Def. - Attributes'!C20:C2242""), 1,false)"),"NO_OF_COLINE_PHONE_SYSTEM")</f>
        <v>NO_OF_COLINE_PHONE_SYSTEM</v>
      </c>
      <c r="I12010" s="136"/>
      <c r="R12010" s="63" t="str">
        <f t="shared" si="60"/>
        <v>ZSI1_PHONE_SYSTEMNO_OF_COLINE_PHONE_SYSTEM</v>
      </c>
    </row>
    <row r="12011" ht="15.75" customHeight="1">
      <c r="B12011" s="63">
        <f t="shared" si="1"/>
        <v>17</v>
      </c>
      <c r="C12011" s="135" t="s">
        <v>439</v>
      </c>
      <c r="D12011" s="161" t="s">
        <v>74</v>
      </c>
      <c r="E12011" s="135">
        <f t="shared" si="62"/>
        <v>6</v>
      </c>
      <c r="F12011" s="134" t="s">
        <v>3585</v>
      </c>
      <c r="G12011" s="63" t="str">
        <f>VLOOKUP(C12011, 'Class Def. - General Data'!$C$20:$C$1000,1,false)</f>
        <v>ZSI1_PHONE_SYSTEM</v>
      </c>
      <c r="H12011" s="63" t="str">
        <f>IFERROR(__xludf.DUMMYFUNCTION("VLOOKUP(F12011, IMPORTRANGE(""https://docs.google.com/spreadsheets/d/1Lhp9OU0JdFf_VYSMzH5lBcEaU4o8teT1piV-SNzShjg/edit?gid=554141278#gid=554141278"", ""'Char Def. - Attributes'!C20:C2242""), 1,false)"),"HS_CODE")</f>
        <v>HS_CODE</v>
      </c>
      <c r="I12011" s="136"/>
      <c r="R12011" s="63" t="str">
        <f t="shared" si="60"/>
        <v>ZSI1_PHONE_SYSTEMHS_CODE</v>
      </c>
    </row>
    <row r="12012" ht="15.75" customHeight="1">
      <c r="B12012" s="63">
        <f t="shared" si="1"/>
        <v>17</v>
      </c>
      <c r="C12012" s="135" t="s">
        <v>439</v>
      </c>
      <c r="D12012" s="161" t="s">
        <v>74</v>
      </c>
      <c r="E12012" s="135">
        <f t="shared" si="62"/>
        <v>7</v>
      </c>
      <c r="F12012" s="134" t="s">
        <v>3587</v>
      </c>
      <c r="G12012" s="63" t="str">
        <f>VLOOKUP(C12012, 'Class Def. - General Data'!$C$20:$C$1000,1,false)</f>
        <v>ZSI1_PHONE_SYSTEM</v>
      </c>
      <c r="H12012" s="63" t="str">
        <f>IFERROR(__xludf.DUMMYFUNCTION("VLOOKUP(F12012, IMPORTRANGE(""https://docs.google.com/spreadsheets/d/1Lhp9OU0JdFf_VYSMzH5lBcEaU4o8teT1piV-SNzShjg/edit?gid=554141278#gid=554141278"", ""'Char Def. - Attributes'!C20:C2242""), 1,false)"),"PLANT_BUY")</f>
        <v>PLANT_BUY</v>
      </c>
      <c r="I12012" s="136"/>
      <c r="R12012" s="63" t="str">
        <f t="shared" si="60"/>
        <v>ZSI1_PHONE_SYSTEMPLANT_BUY</v>
      </c>
    </row>
    <row r="12013" ht="15.75" customHeight="1">
      <c r="B12013" s="63">
        <f t="shared" si="1"/>
        <v>17</v>
      </c>
      <c r="C12013" s="135" t="s">
        <v>439</v>
      </c>
      <c r="D12013" s="161" t="s">
        <v>74</v>
      </c>
      <c r="E12013" s="135">
        <f t="shared" si="62"/>
        <v>8</v>
      </c>
      <c r="F12013" s="134" t="s">
        <v>5073</v>
      </c>
      <c r="G12013" s="63" t="str">
        <f>VLOOKUP(C12013, 'Class Def. - General Data'!$C$20:$C$1000,1,false)</f>
        <v>ZSI1_PHONE_SYSTEM</v>
      </c>
      <c r="H12013" s="63" t="str">
        <f>IFERROR(__xludf.DUMMYFUNCTION("VLOOKUP(F12013, IMPORTRANGE(""https://docs.google.com/spreadsheets/d/1Lhp9OU0JdFf_VYSMzH5lBcEaU4o8teT1piV-SNzShjg/edit?gid=554141278#gid=554141278"", ""'Char Def. - Attributes'!C20:C2242""), 1,false)"),"BASE_UOM_PHONE_SYSTEM")</f>
        <v>BASE_UOM_PHONE_SYSTEM</v>
      </c>
      <c r="I12013" s="136"/>
      <c r="R12013" s="63" t="str">
        <f t="shared" si="60"/>
        <v>ZSI1_PHONE_SYSTEMBASE_UOM_PHONE_SYSTEM</v>
      </c>
    </row>
    <row r="12014" ht="15.75" customHeight="1">
      <c r="B12014" s="63">
        <f t="shared" si="1"/>
        <v>17</v>
      </c>
      <c r="C12014" s="135" t="s">
        <v>439</v>
      </c>
      <c r="D12014" s="161" t="s">
        <v>74</v>
      </c>
      <c r="E12014" s="135">
        <f t="shared" si="62"/>
        <v>9</v>
      </c>
      <c r="F12014" s="134" t="s">
        <v>5074</v>
      </c>
      <c r="G12014" s="63" t="str">
        <f>VLOOKUP(C12014, 'Class Def. - General Data'!$C$20:$C$1000,1,false)</f>
        <v>ZSI1_PHONE_SYSTEM</v>
      </c>
      <c r="H12014" s="63" t="str">
        <f>IFERROR(__xludf.DUMMYFUNCTION("VLOOKUP(F12014, IMPORTRANGE(""https://docs.google.com/spreadsheets/d/1Lhp9OU0JdFf_VYSMzH5lBcEaU4o8teT1piV-SNzShjg/edit?gid=554141278#gid=554141278"", ""'Char Def. - Attributes'!C20:C2242""), 1,false)"),"ORDER_UNIT_PHONE_SYSTEM")</f>
        <v>ORDER_UNIT_PHONE_SYSTEM</v>
      </c>
      <c r="I12014" s="136"/>
      <c r="R12014" s="63" t="str">
        <f t="shared" si="60"/>
        <v>ZSI1_PHONE_SYSTEMORDER_UNIT_PHONE_SYSTEM</v>
      </c>
    </row>
    <row r="12015" ht="15.75" customHeight="1">
      <c r="B12015" s="63">
        <f t="shared" si="1"/>
        <v>17</v>
      </c>
      <c r="C12015" s="135" t="s">
        <v>439</v>
      </c>
      <c r="D12015" s="161" t="s">
        <v>74</v>
      </c>
      <c r="E12015" s="135">
        <f t="shared" si="62"/>
        <v>10</v>
      </c>
      <c r="F12015" s="134" t="s">
        <v>4056</v>
      </c>
      <c r="G12015" s="63" t="str">
        <f>VLOOKUP(C12015, 'Class Def. - General Data'!$C$20:$C$1000,1,false)</f>
        <v>ZSI1_PHONE_SYSTEM</v>
      </c>
      <c r="H12015" s="63" t="str">
        <f>IFERROR(__xludf.DUMMYFUNCTION("VLOOKUP(F12015, IMPORTRANGE(""https://docs.google.com/spreadsheets/d/1Lhp9OU0JdFf_VYSMzH5lBcEaU4o8teT1piV-SNzShjg/edit?gid=554141278#gid=554141278"", ""'Char Def. - Attributes'!C20:C2242""), 1,false)"),"GROSS_WEIGHT_OPT")</f>
        <v>GROSS_WEIGHT_OPT</v>
      </c>
      <c r="I12015" s="136"/>
      <c r="R12015" s="63" t="str">
        <f t="shared" si="60"/>
        <v>ZSI1_PHONE_SYSTEMGROSS_WEIGHT_OPT</v>
      </c>
    </row>
    <row r="12016" ht="15.75" customHeight="1">
      <c r="B12016" s="63">
        <f t="shared" si="1"/>
        <v>17</v>
      </c>
      <c r="C12016" s="135" t="s">
        <v>439</v>
      </c>
      <c r="D12016" s="161" t="s">
        <v>74</v>
      </c>
      <c r="E12016" s="135">
        <f t="shared" si="62"/>
        <v>11</v>
      </c>
      <c r="F12016" s="134" t="s">
        <v>4057</v>
      </c>
      <c r="G12016" s="63" t="str">
        <f>VLOOKUP(C12016, 'Class Def. - General Data'!$C$20:$C$1000,1,false)</f>
        <v>ZSI1_PHONE_SYSTEM</v>
      </c>
      <c r="H12016" s="63" t="str">
        <f>IFERROR(__xludf.DUMMYFUNCTION("VLOOKUP(F12016, IMPORTRANGE(""https://docs.google.com/spreadsheets/d/1Lhp9OU0JdFf_VYSMzH5lBcEaU4o8teT1piV-SNzShjg/edit?gid=554141278#gid=554141278"", ""'Char Def. - Attributes'!C20:C2242""), 1,false)"),"NET_WEIGHT_OPT")</f>
        <v>NET_WEIGHT_OPT</v>
      </c>
      <c r="I12016" s="136"/>
      <c r="R12016" s="63" t="str">
        <f t="shared" si="60"/>
        <v>ZSI1_PHONE_SYSTEMNET_WEIGHT_OPT</v>
      </c>
    </row>
    <row r="12017" ht="15.75" customHeight="1">
      <c r="B12017" s="63">
        <f t="shared" si="1"/>
        <v>17</v>
      </c>
      <c r="C12017" s="135" t="s">
        <v>439</v>
      </c>
      <c r="D12017" s="161" t="s">
        <v>74</v>
      </c>
      <c r="E12017" s="135">
        <f t="shared" si="62"/>
        <v>12</v>
      </c>
      <c r="F12017" s="134" t="s">
        <v>4058</v>
      </c>
      <c r="G12017" s="63" t="str">
        <f>VLOOKUP(C12017, 'Class Def. - General Data'!$C$20:$C$1000,1,false)</f>
        <v>ZSI1_PHONE_SYSTEM</v>
      </c>
      <c r="H12017" s="63" t="str">
        <f>IFERROR(__xludf.DUMMYFUNCTION("VLOOKUP(F12017, IMPORTRANGE(""https://docs.google.com/spreadsheets/d/1Lhp9OU0JdFf_VYSMzH5lBcEaU4o8teT1piV-SNzShjg/edit?gid=554141278#gid=554141278"", ""'Char Def. - Attributes'!C20:C2242""), 1,false)"),"WEIGHT_UNIT_SI")</f>
        <v>WEIGHT_UNIT_SI</v>
      </c>
      <c r="I12017" s="136"/>
      <c r="R12017" s="63" t="str">
        <f t="shared" si="60"/>
        <v>ZSI1_PHONE_SYSTEMWEIGHT_UNIT_SI</v>
      </c>
    </row>
    <row r="12018" ht="15.75" customHeight="1">
      <c r="B12018" s="63">
        <f t="shared" si="1"/>
        <v>17</v>
      </c>
      <c r="C12018" s="135" t="s">
        <v>439</v>
      </c>
      <c r="D12018" s="161" t="s">
        <v>74</v>
      </c>
      <c r="E12018" s="135">
        <f t="shared" si="62"/>
        <v>13</v>
      </c>
      <c r="F12018" s="134" t="s">
        <v>3877</v>
      </c>
      <c r="G12018" s="63" t="str">
        <f>VLOOKUP(C12018, 'Class Def. - General Data'!$C$20:$C$1000,1,false)</f>
        <v>ZSI1_PHONE_SYSTEM</v>
      </c>
      <c r="H12018" s="63" t="str">
        <f>IFERROR(__xludf.DUMMYFUNCTION("VLOOKUP(F12018, IMPORTRANGE(""https://docs.google.com/spreadsheets/d/1Lhp9OU0JdFf_VYSMzH5lBcEaU4o8teT1piV-SNzShjg/edit?gid=554141278#gid=554141278"", ""'Char Def. - Attributes'!C20:C2242""), 1,false)"),"VOLUME_OPT")</f>
        <v>VOLUME_OPT</v>
      </c>
      <c r="I12018" s="136"/>
      <c r="R12018" s="63" t="str">
        <f t="shared" si="60"/>
        <v>ZSI1_PHONE_SYSTEMVOLUME_OPT</v>
      </c>
    </row>
    <row r="12019" ht="15.75" customHeight="1">
      <c r="B12019" s="63">
        <f t="shared" si="1"/>
        <v>17</v>
      </c>
      <c r="C12019" s="135" t="s">
        <v>439</v>
      </c>
      <c r="D12019" s="161" t="s">
        <v>74</v>
      </c>
      <c r="E12019" s="135">
        <f t="shared" si="62"/>
        <v>14</v>
      </c>
      <c r="F12019" s="134" t="s">
        <v>4059</v>
      </c>
      <c r="G12019" s="63" t="str">
        <f>VLOOKUP(C12019, 'Class Def. - General Data'!$C$20:$C$1000,1,false)</f>
        <v>ZSI1_PHONE_SYSTEM</v>
      </c>
      <c r="H12019" s="63" t="str">
        <f>IFERROR(__xludf.DUMMYFUNCTION("VLOOKUP(F12019, IMPORTRANGE(""https://docs.google.com/spreadsheets/d/1Lhp9OU0JdFf_VYSMzH5lBcEaU4o8teT1piV-SNzShjg/edit?gid=554141278#gid=554141278"", ""'Char Def. - Attributes'!C20:C2242""), 1,false)"),"VOLUME_UNIT_SI")</f>
        <v>VOLUME_UNIT_SI</v>
      </c>
      <c r="I12019" s="136"/>
      <c r="R12019" s="63" t="str">
        <f t="shared" si="60"/>
        <v>ZSI1_PHONE_SYSTEMVOLUME_UNIT_SI</v>
      </c>
    </row>
    <row r="12020" ht="15.75" customHeight="1">
      <c r="B12020" s="63">
        <f t="shared" si="1"/>
        <v>17</v>
      </c>
      <c r="C12020" s="135" t="s">
        <v>439</v>
      </c>
      <c r="D12020" s="161" t="s">
        <v>74</v>
      </c>
      <c r="E12020" s="135">
        <f t="shared" si="62"/>
        <v>15</v>
      </c>
      <c r="F12020" s="134" t="s">
        <v>3804</v>
      </c>
      <c r="G12020" s="63" t="str">
        <f>VLOOKUP(C12020, 'Class Def. - General Data'!$C$20:$C$1000,1,false)</f>
        <v>ZSI1_PHONE_SYSTEM</v>
      </c>
      <c r="H12020" s="63" t="str">
        <f>IFERROR(__xludf.DUMMYFUNCTION("VLOOKUP(F12020, IMPORTRANGE(""https://docs.google.com/spreadsheets/d/1Lhp9OU0JdFf_VYSMzH5lBcEaU4o8teT1piV-SNzShjg/edit?gid=554141278#gid=554141278"", ""'Char Def. - Attributes'!C20:C2242""), 1,false)"),"ALT_UOM1_SIPI")</f>
        <v>ALT_UOM1_SIPI</v>
      </c>
      <c r="I12020" s="136"/>
      <c r="R12020" s="63" t="str">
        <f t="shared" si="60"/>
        <v>ZSI1_PHONE_SYSTEMALT_UOM1_SIPI</v>
      </c>
    </row>
    <row r="12021" ht="15.75" customHeight="1">
      <c r="B12021" s="63">
        <f t="shared" si="1"/>
        <v>17</v>
      </c>
      <c r="C12021" s="135" t="s">
        <v>439</v>
      </c>
      <c r="D12021" s="161" t="s">
        <v>74</v>
      </c>
      <c r="E12021" s="135">
        <f t="shared" si="62"/>
        <v>16</v>
      </c>
      <c r="F12021" s="134" t="s">
        <v>3805</v>
      </c>
      <c r="G12021" s="63" t="str">
        <f>VLOOKUP(C12021, 'Class Def. - General Data'!$C$20:$C$1000,1,false)</f>
        <v>ZSI1_PHONE_SYSTEM</v>
      </c>
      <c r="H12021" s="63" t="str">
        <f>IFERROR(__xludf.DUMMYFUNCTION("VLOOKUP(F12021, IMPORTRANGE(""https://docs.google.com/spreadsheets/d/1Lhp9OU0JdFf_VYSMzH5lBcEaU4o8teT1piV-SNzShjg/edit?gid=554141278#gid=554141278"", ""'Char Def. - Attributes'!C20:C2242""), 1,false)"),"ALT_DENUM_UOM1")</f>
        <v>ALT_DENUM_UOM1</v>
      </c>
      <c r="I12021" s="136"/>
      <c r="R12021" s="63" t="str">
        <f t="shared" si="60"/>
        <v>ZSI1_PHONE_SYSTEMALT_DENUM_UOM1</v>
      </c>
    </row>
    <row r="12022" ht="15.75" customHeight="1">
      <c r="B12022" s="63">
        <f t="shared" si="1"/>
        <v>17</v>
      </c>
      <c r="C12022" s="135" t="s">
        <v>439</v>
      </c>
      <c r="D12022" s="161" t="s">
        <v>74</v>
      </c>
      <c r="E12022" s="135">
        <f t="shared" si="62"/>
        <v>17</v>
      </c>
      <c r="F12022" s="134" t="s">
        <v>3806</v>
      </c>
      <c r="G12022" s="63" t="str">
        <f>VLOOKUP(C12022, 'Class Def. - General Data'!$C$20:$C$1000,1,false)</f>
        <v>ZSI1_PHONE_SYSTEM</v>
      </c>
      <c r="H12022" s="63" t="str">
        <f>IFERROR(__xludf.DUMMYFUNCTION("VLOOKUP(F12022, IMPORTRANGE(""https://docs.google.com/spreadsheets/d/1Lhp9OU0JdFf_VYSMzH5lBcEaU4o8teT1piV-SNzShjg/edit?gid=554141278#gid=554141278"", ""'Char Def. - Attributes'!C20:C2242""), 1,false)"),"ALT_NUM_UOM1")</f>
        <v>ALT_NUM_UOM1</v>
      </c>
      <c r="I12022" s="136"/>
      <c r="R12022" s="63" t="str">
        <f t="shared" si="60"/>
        <v>ZSI1_PHONE_SYSTEMALT_NUM_UOM1</v>
      </c>
    </row>
    <row r="12023" ht="15.75" customHeight="1">
      <c r="B12023" s="63">
        <f t="shared" si="1"/>
        <v>17</v>
      </c>
      <c r="C12023" s="135" t="s">
        <v>439</v>
      </c>
      <c r="D12023" s="161" t="s">
        <v>74</v>
      </c>
      <c r="E12023" s="135">
        <f t="shared" si="62"/>
        <v>18</v>
      </c>
      <c r="F12023" s="134" t="s">
        <v>3807</v>
      </c>
      <c r="G12023" s="63" t="str">
        <f>VLOOKUP(C12023, 'Class Def. - General Data'!$C$20:$C$1000,1,false)</f>
        <v>ZSI1_PHONE_SYSTEM</v>
      </c>
      <c r="H12023" s="63" t="str">
        <f>IFERROR(__xludf.DUMMYFUNCTION("VLOOKUP(F12023, IMPORTRANGE(""https://docs.google.com/spreadsheets/d/1Lhp9OU0JdFf_VYSMzH5lBcEaU4o8teT1piV-SNzShjg/edit?gid=554141278#gid=554141278"", ""'Char Def. - Attributes'!C20:C2242""), 1,false)"),"ALT_UOM2_SIPI")</f>
        <v>ALT_UOM2_SIPI</v>
      </c>
      <c r="I12023" s="136"/>
      <c r="R12023" s="63" t="str">
        <f t="shared" si="60"/>
        <v>ZSI1_PHONE_SYSTEMALT_UOM2_SIPI</v>
      </c>
    </row>
    <row r="12024" ht="15.75" customHeight="1">
      <c r="B12024" s="63">
        <f t="shared" si="1"/>
        <v>17</v>
      </c>
      <c r="C12024" s="135" t="s">
        <v>439</v>
      </c>
      <c r="D12024" s="161" t="s">
        <v>74</v>
      </c>
      <c r="E12024" s="135">
        <f t="shared" si="62"/>
        <v>19</v>
      </c>
      <c r="F12024" s="134" t="s">
        <v>3808</v>
      </c>
      <c r="G12024" s="63" t="str">
        <f>VLOOKUP(C12024, 'Class Def. - General Data'!$C$20:$C$1000,1,false)</f>
        <v>ZSI1_PHONE_SYSTEM</v>
      </c>
      <c r="H12024" s="63" t="str">
        <f>IFERROR(__xludf.DUMMYFUNCTION("VLOOKUP(F12024, IMPORTRANGE(""https://docs.google.com/spreadsheets/d/1Lhp9OU0JdFf_VYSMzH5lBcEaU4o8teT1piV-SNzShjg/edit?gid=554141278#gid=554141278"", ""'Char Def. - Attributes'!C20:C2242""), 1,false)"),"ALT_DENUM_UOM2")</f>
        <v>ALT_DENUM_UOM2</v>
      </c>
      <c r="I12024" s="136"/>
      <c r="R12024" s="63" t="str">
        <f t="shared" si="60"/>
        <v>ZSI1_PHONE_SYSTEMALT_DENUM_UOM2</v>
      </c>
    </row>
    <row r="12025" ht="15.75" customHeight="1">
      <c r="B12025" s="63">
        <f t="shared" si="1"/>
        <v>17</v>
      </c>
      <c r="C12025" s="135" t="s">
        <v>439</v>
      </c>
      <c r="D12025" s="161" t="s">
        <v>74</v>
      </c>
      <c r="E12025" s="135">
        <f t="shared" si="62"/>
        <v>20</v>
      </c>
      <c r="F12025" s="134" t="s">
        <v>3809</v>
      </c>
      <c r="G12025" s="63" t="str">
        <f>VLOOKUP(C12025, 'Class Def. - General Data'!$C$20:$C$1000,1,false)</f>
        <v>ZSI1_PHONE_SYSTEM</v>
      </c>
      <c r="H12025" s="63" t="str">
        <f>IFERROR(__xludf.DUMMYFUNCTION("VLOOKUP(F12025, IMPORTRANGE(""https://docs.google.com/spreadsheets/d/1Lhp9OU0JdFf_VYSMzH5lBcEaU4o8teT1piV-SNzShjg/edit?gid=554141278#gid=554141278"", ""'Char Def. - Attributes'!C20:C2242""), 1,false)"),"ALT_NUM_UOM2")</f>
        <v>ALT_NUM_UOM2</v>
      </c>
      <c r="I12025" s="136"/>
      <c r="R12025" s="63" t="str">
        <f t="shared" si="60"/>
        <v>ZSI1_PHONE_SYSTEMALT_NUM_UOM2</v>
      </c>
    </row>
    <row r="12026" ht="15.75" customHeight="1">
      <c r="B12026" s="63">
        <f t="shared" si="1"/>
        <v>17</v>
      </c>
      <c r="C12026" s="135" t="s">
        <v>439</v>
      </c>
      <c r="D12026" s="161" t="s">
        <v>74</v>
      </c>
      <c r="E12026" s="135">
        <f t="shared" si="62"/>
        <v>21</v>
      </c>
      <c r="F12026" s="134" t="s">
        <v>3810</v>
      </c>
      <c r="G12026" s="63" t="str">
        <f>VLOOKUP(C12026, 'Class Def. - General Data'!$C$20:$C$1000,1,false)</f>
        <v>ZSI1_PHONE_SYSTEM</v>
      </c>
      <c r="H12026" s="63" t="str">
        <f>IFERROR(__xludf.DUMMYFUNCTION("VLOOKUP(F12026, IMPORTRANGE(""https://docs.google.com/spreadsheets/d/1Lhp9OU0JdFf_VYSMzH5lBcEaU4o8teT1piV-SNzShjg/edit?gid=554141278#gid=554141278"", ""'Char Def. - Attributes'!C20:C2242""), 1,false)"),"ALT_UOM3_SIPI")</f>
        <v>ALT_UOM3_SIPI</v>
      </c>
      <c r="I12026" s="136"/>
      <c r="R12026" s="63" t="str">
        <f t="shared" si="60"/>
        <v>ZSI1_PHONE_SYSTEMALT_UOM3_SIPI</v>
      </c>
    </row>
    <row r="12027" ht="15.75" customHeight="1">
      <c r="B12027" s="63">
        <f t="shared" si="1"/>
        <v>17</v>
      </c>
      <c r="C12027" s="135" t="s">
        <v>439</v>
      </c>
      <c r="D12027" s="161" t="s">
        <v>74</v>
      </c>
      <c r="E12027" s="135">
        <f t="shared" si="62"/>
        <v>22</v>
      </c>
      <c r="F12027" s="134" t="s">
        <v>3811</v>
      </c>
      <c r="G12027" s="63" t="str">
        <f>VLOOKUP(C12027, 'Class Def. - General Data'!$C$20:$C$1000,1,false)</f>
        <v>ZSI1_PHONE_SYSTEM</v>
      </c>
      <c r="H12027" s="63" t="str">
        <f>IFERROR(__xludf.DUMMYFUNCTION("VLOOKUP(F12027, IMPORTRANGE(""https://docs.google.com/spreadsheets/d/1Lhp9OU0JdFf_VYSMzH5lBcEaU4o8teT1piV-SNzShjg/edit?gid=554141278#gid=554141278"", ""'Char Def. - Attributes'!C20:C2242""), 1,false)"),"ALT_DENUM_UOM3")</f>
        <v>ALT_DENUM_UOM3</v>
      </c>
      <c r="I12027" s="136"/>
      <c r="R12027" s="63" t="str">
        <f t="shared" si="60"/>
        <v>ZSI1_PHONE_SYSTEMALT_DENUM_UOM3</v>
      </c>
    </row>
    <row r="12028" ht="15.75" customHeight="1">
      <c r="B12028" s="63">
        <f t="shared" si="1"/>
        <v>17</v>
      </c>
      <c r="C12028" s="135" t="s">
        <v>439</v>
      </c>
      <c r="D12028" s="161" t="s">
        <v>74</v>
      </c>
      <c r="E12028" s="135">
        <f t="shared" si="62"/>
        <v>23</v>
      </c>
      <c r="F12028" s="134" t="s">
        <v>3812</v>
      </c>
      <c r="G12028" s="63" t="str">
        <f>VLOOKUP(C12028, 'Class Def. - General Data'!$C$20:$C$1000,1,false)</f>
        <v>ZSI1_PHONE_SYSTEM</v>
      </c>
      <c r="H12028" s="63" t="str">
        <f>IFERROR(__xludf.DUMMYFUNCTION("VLOOKUP(F12028, IMPORTRANGE(""https://docs.google.com/spreadsheets/d/1Lhp9OU0JdFf_VYSMzH5lBcEaU4o8teT1piV-SNzShjg/edit?gid=554141278#gid=554141278"", ""'Char Def. - Attributes'!C20:C2242""), 1,false)"),"ALT_NUM_UOM3")</f>
        <v>ALT_NUM_UOM3</v>
      </c>
      <c r="I12028" s="136"/>
      <c r="R12028" s="63" t="str">
        <f t="shared" si="60"/>
        <v>ZSI1_PHONE_SYSTEMALT_NUM_UOM3</v>
      </c>
    </row>
    <row r="12029" ht="15.75" customHeight="1">
      <c r="B12029" s="63">
        <f t="shared" si="1"/>
        <v>17</v>
      </c>
      <c r="C12029" s="135" t="s">
        <v>439</v>
      </c>
      <c r="D12029" s="161" t="s">
        <v>74</v>
      </c>
      <c r="E12029" s="135">
        <f t="shared" si="62"/>
        <v>24</v>
      </c>
      <c r="F12029" s="134" t="s">
        <v>3813</v>
      </c>
      <c r="G12029" s="63" t="str">
        <f>VLOOKUP(C12029, 'Class Def. - General Data'!$C$20:$C$1000,1,false)</f>
        <v>ZSI1_PHONE_SYSTEM</v>
      </c>
      <c r="H12029" s="63" t="str">
        <f>IFERROR(__xludf.DUMMYFUNCTION("VLOOKUP(F12029, IMPORTRANGE(""https://docs.google.com/spreadsheets/d/1Lhp9OU0JdFf_VYSMzH5lBcEaU4o8teT1piV-SNzShjg/edit?gid=554141278#gid=554141278"", ""'Char Def. - Attributes'!C20:C2242""), 1,false)"),"ALT_UOM4_SIPI")</f>
        <v>ALT_UOM4_SIPI</v>
      </c>
      <c r="I12029" s="136"/>
      <c r="R12029" s="63" t="str">
        <f t="shared" si="60"/>
        <v>ZSI1_PHONE_SYSTEMALT_UOM4_SIPI</v>
      </c>
    </row>
    <row r="12030" ht="15.75" customHeight="1">
      <c r="B12030" s="63">
        <f t="shared" si="1"/>
        <v>17</v>
      </c>
      <c r="C12030" s="135" t="s">
        <v>439</v>
      </c>
      <c r="D12030" s="161" t="s">
        <v>74</v>
      </c>
      <c r="E12030" s="135">
        <f t="shared" si="62"/>
        <v>25</v>
      </c>
      <c r="F12030" s="134" t="s">
        <v>3814</v>
      </c>
      <c r="G12030" s="63" t="str">
        <f>VLOOKUP(C12030, 'Class Def. - General Data'!$C$20:$C$1000,1,false)</f>
        <v>ZSI1_PHONE_SYSTEM</v>
      </c>
      <c r="H12030" s="63" t="str">
        <f>IFERROR(__xludf.DUMMYFUNCTION("VLOOKUP(F12030, IMPORTRANGE(""https://docs.google.com/spreadsheets/d/1Lhp9OU0JdFf_VYSMzH5lBcEaU4o8teT1piV-SNzShjg/edit?gid=554141278#gid=554141278"", ""'Char Def. - Attributes'!C20:C2242""), 1,false)"),"ALT_DENUM_UOM4")</f>
        <v>ALT_DENUM_UOM4</v>
      </c>
      <c r="I12030" s="136"/>
      <c r="R12030" s="63" t="str">
        <f t="shared" si="60"/>
        <v>ZSI1_PHONE_SYSTEMALT_DENUM_UOM4</v>
      </c>
    </row>
    <row r="12031" ht="15.75" customHeight="1">
      <c r="B12031" s="63">
        <f t="shared" si="1"/>
        <v>17</v>
      </c>
      <c r="C12031" s="135" t="s">
        <v>439</v>
      </c>
      <c r="D12031" s="161" t="s">
        <v>74</v>
      </c>
      <c r="E12031" s="135">
        <f t="shared" si="62"/>
        <v>26</v>
      </c>
      <c r="F12031" s="134" t="s">
        <v>3815</v>
      </c>
      <c r="G12031" s="63" t="str">
        <f>VLOOKUP(C12031, 'Class Def. - General Data'!$C$20:$C$1000,1,false)</f>
        <v>ZSI1_PHONE_SYSTEM</v>
      </c>
      <c r="H12031" s="63" t="str">
        <f>IFERROR(__xludf.DUMMYFUNCTION("VLOOKUP(F12031, IMPORTRANGE(""https://docs.google.com/spreadsheets/d/1Lhp9OU0JdFf_VYSMzH5lBcEaU4o8teT1piV-SNzShjg/edit?gid=554141278#gid=554141278"", ""'Char Def. - Attributes'!C20:C2242""), 1,false)"),"ALT_NUM_UOM4")</f>
        <v>ALT_NUM_UOM4</v>
      </c>
      <c r="I12031" s="136"/>
      <c r="R12031" s="63" t="str">
        <f t="shared" si="60"/>
        <v>ZSI1_PHONE_SYSTEMALT_NUM_UOM4</v>
      </c>
    </row>
    <row r="12032" ht="15.75" customHeight="1">
      <c r="B12032" s="63">
        <f t="shared" si="1"/>
        <v>17</v>
      </c>
      <c r="C12032" s="135" t="s">
        <v>439</v>
      </c>
      <c r="D12032" s="161" t="s">
        <v>74</v>
      </c>
      <c r="E12032" s="135">
        <f t="shared" si="62"/>
        <v>27</v>
      </c>
      <c r="F12032" s="134" t="s">
        <v>3816</v>
      </c>
      <c r="G12032" s="63" t="str">
        <f>VLOOKUP(C12032, 'Class Def. - General Data'!$C$20:$C$1000,1,false)</f>
        <v>ZSI1_PHONE_SYSTEM</v>
      </c>
      <c r="H12032" s="63" t="str">
        <f>IFERROR(__xludf.DUMMYFUNCTION("VLOOKUP(F12032, IMPORTRANGE(""https://docs.google.com/spreadsheets/d/1Lhp9OU0JdFf_VYSMzH5lBcEaU4o8teT1piV-SNzShjg/edit?gid=554141278#gid=554141278"", ""'Char Def. - Attributes'!C20:C2242""), 1,false)"),"ALT_UOM5_SIPI")</f>
        <v>ALT_UOM5_SIPI</v>
      </c>
      <c r="I12032" s="136"/>
      <c r="R12032" s="63" t="str">
        <f t="shared" si="60"/>
        <v>ZSI1_PHONE_SYSTEMALT_UOM5_SIPI</v>
      </c>
    </row>
    <row r="12033" ht="15.75" customHeight="1">
      <c r="B12033" s="63">
        <f t="shared" si="1"/>
        <v>17</v>
      </c>
      <c r="C12033" s="135" t="s">
        <v>439</v>
      </c>
      <c r="D12033" s="161" t="s">
        <v>74</v>
      </c>
      <c r="E12033" s="135">
        <f t="shared" si="62"/>
        <v>28</v>
      </c>
      <c r="F12033" s="134" t="s">
        <v>3817</v>
      </c>
      <c r="G12033" s="63" t="str">
        <f>VLOOKUP(C12033, 'Class Def. - General Data'!$C$20:$C$1000,1,false)</f>
        <v>ZSI1_PHONE_SYSTEM</v>
      </c>
      <c r="H12033" s="63" t="str">
        <f>IFERROR(__xludf.DUMMYFUNCTION("VLOOKUP(F12033, IMPORTRANGE(""https://docs.google.com/spreadsheets/d/1Lhp9OU0JdFf_VYSMzH5lBcEaU4o8teT1piV-SNzShjg/edit?gid=554141278#gid=554141278"", ""'Char Def. - Attributes'!C20:C2242""), 1,false)"),"ALT_DENUM_UOM5")</f>
        <v>ALT_DENUM_UOM5</v>
      </c>
      <c r="I12033" s="136"/>
      <c r="R12033" s="63" t="str">
        <f t="shared" si="60"/>
        <v>ZSI1_PHONE_SYSTEMALT_DENUM_UOM5</v>
      </c>
    </row>
    <row r="12034" ht="15.75" customHeight="1">
      <c r="B12034" s="63">
        <f t="shared" si="1"/>
        <v>17</v>
      </c>
      <c r="C12034" s="135" t="s">
        <v>439</v>
      </c>
      <c r="D12034" s="161" t="s">
        <v>74</v>
      </c>
      <c r="E12034" s="135">
        <f t="shared" si="62"/>
        <v>29</v>
      </c>
      <c r="F12034" s="134" t="s">
        <v>3818</v>
      </c>
      <c r="G12034" s="63" t="str">
        <f>VLOOKUP(C12034, 'Class Def. - General Data'!$C$20:$C$1000,1,false)</f>
        <v>ZSI1_PHONE_SYSTEM</v>
      </c>
      <c r="H12034" s="63" t="str">
        <f>IFERROR(__xludf.DUMMYFUNCTION("VLOOKUP(F12034, IMPORTRANGE(""https://docs.google.com/spreadsheets/d/1Lhp9OU0JdFf_VYSMzH5lBcEaU4o8teT1piV-SNzShjg/edit?gid=554141278#gid=554141278"", ""'Char Def. - Attributes'!C20:C2242""), 1,false)"),"ALT_NUM_UOM5")</f>
        <v>ALT_NUM_UOM5</v>
      </c>
      <c r="I12034" s="136"/>
      <c r="R12034" s="63" t="str">
        <f t="shared" si="60"/>
        <v>ZSI1_PHONE_SYSTEMALT_NUM_UOM5</v>
      </c>
    </row>
    <row r="12035" ht="15.75" customHeight="1">
      <c r="B12035" s="63">
        <f t="shared" si="1"/>
        <v>14</v>
      </c>
      <c r="C12035" s="75" t="s">
        <v>5075</v>
      </c>
      <c r="D12035" s="161" t="s">
        <v>74</v>
      </c>
      <c r="E12035" s="135">
        <f t="shared" si="62"/>
        <v>1</v>
      </c>
      <c r="F12035" s="135" t="s">
        <v>5076</v>
      </c>
      <c r="G12035" s="63" t="str">
        <f>VLOOKUP(C12035, 'Class Def. - General Data'!$C$20:$C$1000,1,false)</f>
        <v>#N/A</v>
      </c>
      <c r="H12035" s="63" t="str">
        <f>IFERROR(__xludf.DUMMYFUNCTION("VLOOKUP(F12035, IMPORTRANGE(""https://docs.google.com/spreadsheets/d/1Lhp9OU0JdFf_VYSMzH5lBcEaU4o8teT1piV-SNzShjg/edit?gid=554141278#gid=554141278"", ""'Char Def. - Attributes'!C20:C2242""), 1,false)"),"#N/A")</f>
        <v>#N/A</v>
      </c>
      <c r="I12035" s="136"/>
      <c r="R12035" s="63" t="str">
        <f t="shared" si="60"/>
        <v>ZSI1_PHOTO_EQPITEM_NAME_PHOTO_EQP</v>
      </c>
    </row>
    <row r="12036" ht="15.75" customHeight="1">
      <c r="B12036" s="63">
        <f t="shared" si="1"/>
        <v>14</v>
      </c>
      <c r="C12036" s="75" t="s">
        <v>5075</v>
      </c>
      <c r="D12036" s="161" t="s">
        <v>74</v>
      </c>
      <c r="E12036" s="135">
        <f t="shared" si="62"/>
        <v>2</v>
      </c>
      <c r="F12036" s="135" t="s">
        <v>3778</v>
      </c>
      <c r="G12036" s="63" t="str">
        <f>VLOOKUP(C12036, 'Class Def. - General Data'!$C$20:$C$1000,1,false)</f>
        <v>#N/A</v>
      </c>
      <c r="H12036" s="63" t="str">
        <f>IFERROR(__xludf.DUMMYFUNCTION("VLOOKUP(F12036, IMPORTRANGE(""https://docs.google.com/spreadsheets/d/1Lhp9OU0JdFf_VYSMzH5lBcEaU4o8teT1piV-SNzShjg/edit?gid=554141278#gid=554141278"", ""'Char Def. - Attributes'!C20:C2242""), 1,false)"),"SPECIAL_ACTIVITY")</f>
        <v>SPECIAL_ACTIVITY</v>
      </c>
      <c r="I12036" s="136"/>
      <c r="R12036" s="63" t="str">
        <f t="shared" si="60"/>
        <v>ZSI1_PHOTO_EQPSPECIAL_ACTIVITY</v>
      </c>
    </row>
    <row r="12037" ht="15.75" customHeight="1">
      <c r="B12037" s="63">
        <f t="shared" si="1"/>
        <v>14</v>
      </c>
      <c r="C12037" s="75" t="s">
        <v>5075</v>
      </c>
      <c r="D12037" s="161" t="s">
        <v>74</v>
      </c>
      <c r="E12037" s="135">
        <f t="shared" si="62"/>
        <v>3</v>
      </c>
      <c r="F12037" s="134" t="s">
        <v>3779</v>
      </c>
      <c r="G12037" s="63" t="str">
        <f>VLOOKUP(C12037, 'Class Def. - General Data'!$C$20:$C$1000,1,false)</f>
        <v>#N/A</v>
      </c>
      <c r="H12037" s="63" t="str">
        <f>IFERROR(__xludf.DUMMYFUNCTION("VLOOKUP(F12037, IMPORTRANGE(""https://docs.google.com/spreadsheets/d/1Lhp9OU0JdFf_VYSMzH5lBcEaU4o8teT1piV-SNzShjg/edit?gid=554141278#gid=554141278"", ""'Char Def. - Attributes'!C20:C2242""), 1,false)"),"EMBOSSED_BRAND_WINGS")</f>
        <v>EMBOSSED_BRAND_WINGS</v>
      </c>
      <c r="I12037" s="136"/>
      <c r="R12037" s="63" t="str">
        <f t="shared" si="60"/>
        <v>ZSI1_PHOTO_EQPEMBOSSED_BRAND_WINGS</v>
      </c>
    </row>
    <row r="12038" ht="15.75" customHeight="1">
      <c r="B12038" s="63">
        <f t="shared" si="1"/>
        <v>14</v>
      </c>
      <c r="C12038" s="75" t="s">
        <v>5075</v>
      </c>
      <c r="D12038" s="161" t="s">
        <v>74</v>
      </c>
      <c r="E12038" s="135">
        <f t="shared" si="62"/>
        <v>4</v>
      </c>
      <c r="F12038" s="134" t="s">
        <v>3780</v>
      </c>
      <c r="G12038" s="63" t="str">
        <f>VLOOKUP(C12038, 'Class Def. - General Data'!$C$20:$C$1000,1,false)</f>
        <v>#N/A</v>
      </c>
      <c r="H12038" s="63" t="str">
        <f>IFERROR(__xludf.DUMMYFUNCTION("VLOOKUP(F12038, IMPORTRANGE(""https://docs.google.com/spreadsheets/d/1Lhp9OU0JdFf_VYSMzH5lBcEaU4o8teT1piV-SNzShjg/edit?gid=554141278#gid=554141278"", ""'Char Def. - Attributes'!C20:C2242""), 1,false)"),"BRAND_WINGS_SIPI")</f>
        <v>BRAND_WINGS_SIPI</v>
      </c>
      <c r="I12038" s="136"/>
      <c r="R12038" s="63" t="str">
        <f t="shared" si="60"/>
        <v>ZSI1_PHOTO_EQPBRAND_WINGS_SIPI</v>
      </c>
    </row>
    <row r="12039" ht="15.75" customHeight="1">
      <c r="B12039" s="63">
        <f t="shared" si="1"/>
        <v>14</v>
      </c>
      <c r="C12039" s="75" t="s">
        <v>5075</v>
      </c>
      <c r="D12039" s="161" t="s">
        <v>74</v>
      </c>
      <c r="E12039" s="135">
        <f t="shared" si="62"/>
        <v>5</v>
      </c>
      <c r="F12039" s="134" t="s">
        <v>4313</v>
      </c>
      <c r="G12039" s="63" t="str">
        <f>VLOOKUP(C12039, 'Class Def. - General Data'!$C$20:$C$1000,1,false)</f>
        <v>#N/A</v>
      </c>
      <c r="H12039" s="63" t="str">
        <f>IFERROR(__xludf.DUMMYFUNCTION("VLOOKUP(F12039, IMPORTRANGE(""https://docs.google.com/spreadsheets/d/1Lhp9OU0JdFf_VYSMzH5lBcEaU4o8teT1piV-SNzShjg/edit?gid=554141278#gid=554141278"", ""'Char Def. - Attributes'!C20:C2242""), 1,false)"),"TYPE_COMPUTER_EQP")</f>
        <v>TYPE_COMPUTER_EQP</v>
      </c>
      <c r="I12039" s="136"/>
      <c r="R12039" s="63" t="str">
        <f t="shared" si="60"/>
        <v>ZSI1_PHOTO_EQPTYPE_COMPUTER_EQP</v>
      </c>
    </row>
    <row r="12040" ht="15.75" customHeight="1">
      <c r="B12040" s="63">
        <f t="shared" si="1"/>
        <v>14</v>
      </c>
      <c r="C12040" s="75" t="s">
        <v>5075</v>
      </c>
      <c r="D12040" s="161" t="s">
        <v>74</v>
      </c>
      <c r="E12040" s="135">
        <f t="shared" si="62"/>
        <v>6</v>
      </c>
      <c r="F12040" s="134" t="s">
        <v>3782</v>
      </c>
      <c r="G12040" s="63" t="str">
        <f>VLOOKUP(C12040, 'Class Def. - General Data'!$C$20:$C$1000,1,false)</f>
        <v>#N/A</v>
      </c>
      <c r="H12040" s="63" t="str">
        <f>IFERROR(__xludf.DUMMYFUNCTION("VLOOKUP(F12040, IMPORTRANGE(""https://docs.google.com/spreadsheets/d/1Lhp9OU0JdFf_VYSMzH5lBcEaU4o8teT1piV-SNzShjg/edit?gid=554141278#gid=554141278"", ""'Char Def. - Attributes'!C20:C2242""), 1,false)"),"BRAND_EXTERNAL")</f>
        <v>BRAND_EXTERNAL</v>
      </c>
      <c r="I12040" s="136"/>
      <c r="R12040" s="63" t="str">
        <f t="shared" si="60"/>
        <v>ZSI1_PHOTO_EQPBRAND_EXTERNAL</v>
      </c>
    </row>
    <row r="12041" ht="15.75" customHeight="1">
      <c r="B12041" s="63">
        <f t="shared" si="1"/>
        <v>14</v>
      </c>
      <c r="C12041" s="75" t="s">
        <v>5075</v>
      </c>
      <c r="D12041" s="161" t="s">
        <v>74</v>
      </c>
      <c r="E12041" s="135">
        <f t="shared" si="62"/>
        <v>7</v>
      </c>
      <c r="F12041" s="134" t="s">
        <v>3585</v>
      </c>
      <c r="G12041" s="63" t="str">
        <f>VLOOKUP(C12041, 'Class Def. - General Data'!$C$20:$C$1000,1,false)</f>
        <v>#N/A</v>
      </c>
      <c r="H12041" s="63" t="str">
        <f>IFERROR(__xludf.DUMMYFUNCTION("VLOOKUP(F12041, IMPORTRANGE(""https://docs.google.com/spreadsheets/d/1Lhp9OU0JdFf_VYSMzH5lBcEaU4o8teT1piV-SNzShjg/edit?gid=554141278#gid=554141278"", ""'Char Def. - Attributes'!C20:C2242""), 1,false)"),"HS_CODE")</f>
        <v>HS_CODE</v>
      </c>
      <c r="I12041" s="136"/>
      <c r="R12041" s="63" t="str">
        <f t="shared" si="60"/>
        <v>ZSI1_PHOTO_EQPHS_CODE</v>
      </c>
    </row>
    <row r="12042" ht="15.75" customHeight="1">
      <c r="B12042" s="63">
        <f t="shared" si="1"/>
        <v>14</v>
      </c>
      <c r="C12042" s="75" t="s">
        <v>5075</v>
      </c>
      <c r="D12042" s="161" t="s">
        <v>74</v>
      </c>
      <c r="E12042" s="135">
        <f t="shared" si="62"/>
        <v>8</v>
      </c>
      <c r="F12042" s="134" t="s">
        <v>3587</v>
      </c>
      <c r="G12042" s="63" t="str">
        <f>VLOOKUP(C12042, 'Class Def. - General Data'!$C$20:$C$1000,1,false)</f>
        <v>#N/A</v>
      </c>
      <c r="H12042" s="63" t="str">
        <f>IFERROR(__xludf.DUMMYFUNCTION("VLOOKUP(F12042, IMPORTRANGE(""https://docs.google.com/spreadsheets/d/1Lhp9OU0JdFf_VYSMzH5lBcEaU4o8teT1piV-SNzShjg/edit?gid=554141278#gid=554141278"", ""'Char Def. - Attributes'!C20:C2242""), 1,false)"),"PLANT_BUY")</f>
        <v>PLANT_BUY</v>
      </c>
      <c r="I12042" s="136"/>
      <c r="R12042" s="63" t="str">
        <f t="shared" si="60"/>
        <v>ZSI1_PHOTO_EQPPLANT_BUY</v>
      </c>
    </row>
    <row r="12043" ht="15.75" customHeight="1">
      <c r="B12043" s="63">
        <f t="shared" si="1"/>
        <v>14</v>
      </c>
      <c r="C12043" s="75" t="s">
        <v>5075</v>
      </c>
      <c r="D12043" s="161" t="s">
        <v>74</v>
      </c>
      <c r="E12043" s="135">
        <f t="shared" si="62"/>
        <v>9</v>
      </c>
      <c r="F12043" s="134" t="s">
        <v>4315</v>
      </c>
      <c r="G12043" s="63" t="str">
        <f>VLOOKUP(C12043, 'Class Def. - General Data'!$C$20:$C$1000,1,false)</f>
        <v>#N/A</v>
      </c>
      <c r="H12043" s="63" t="str">
        <f>IFERROR(__xludf.DUMMYFUNCTION("VLOOKUP(F12043, IMPORTRANGE(""https://docs.google.com/spreadsheets/d/1Lhp9OU0JdFf_VYSMzH5lBcEaU4o8teT1piV-SNzShjg/edit?gid=554141278#gid=554141278"", ""'Char Def. - Attributes'!C20:C2242""), 1,false)"),"BASE_UOM_COMPUTER_EQP")</f>
        <v>BASE_UOM_COMPUTER_EQP</v>
      </c>
      <c r="I12043" s="136"/>
      <c r="R12043" s="63" t="str">
        <f t="shared" si="60"/>
        <v>ZSI1_PHOTO_EQPBASE_UOM_COMPUTER_EQP</v>
      </c>
    </row>
    <row r="12044" ht="15.75" customHeight="1">
      <c r="B12044" s="63">
        <f t="shared" si="1"/>
        <v>14</v>
      </c>
      <c r="C12044" s="75" t="s">
        <v>5075</v>
      </c>
      <c r="D12044" s="161" t="s">
        <v>74</v>
      </c>
      <c r="E12044" s="135">
        <f t="shared" si="62"/>
        <v>10</v>
      </c>
      <c r="F12044" s="134" t="s">
        <v>4316</v>
      </c>
      <c r="G12044" s="63" t="str">
        <f>VLOOKUP(C12044, 'Class Def. - General Data'!$C$20:$C$1000,1,false)</f>
        <v>#N/A</v>
      </c>
      <c r="H12044" s="63" t="str">
        <f>IFERROR(__xludf.DUMMYFUNCTION("VLOOKUP(F12044, IMPORTRANGE(""https://docs.google.com/spreadsheets/d/1Lhp9OU0JdFf_VYSMzH5lBcEaU4o8teT1piV-SNzShjg/edit?gid=554141278#gid=554141278"", ""'Char Def. - Attributes'!C20:C2242""), 1,false)"),"ORDER_UNIT_COMPUTER_EQP")</f>
        <v>ORDER_UNIT_COMPUTER_EQP</v>
      </c>
      <c r="I12044" s="136"/>
      <c r="R12044" s="63" t="str">
        <f t="shared" si="60"/>
        <v>ZSI1_PHOTO_EQPORDER_UNIT_COMPUTER_EQP</v>
      </c>
    </row>
    <row r="12045" ht="15.75" customHeight="1">
      <c r="B12045" s="63">
        <f t="shared" si="1"/>
        <v>14</v>
      </c>
      <c r="C12045" s="75" t="s">
        <v>5075</v>
      </c>
      <c r="D12045" s="161" t="s">
        <v>74</v>
      </c>
      <c r="E12045" s="135">
        <f t="shared" si="62"/>
        <v>11</v>
      </c>
      <c r="F12045" s="134" t="s">
        <v>4056</v>
      </c>
      <c r="G12045" s="63" t="str">
        <f>VLOOKUP(C12045, 'Class Def. - General Data'!$C$20:$C$1000,1,false)</f>
        <v>#N/A</v>
      </c>
      <c r="H12045" s="63" t="str">
        <f>IFERROR(__xludf.DUMMYFUNCTION("VLOOKUP(F12045, IMPORTRANGE(""https://docs.google.com/spreadsheets/d/1Lhp9OU0JdFf_VYSMzH5lBcEaU4o8teT1piV-SNzShjg/edit?gid=554141278#gid=554141278"", ""'Char Def. - Attributes'!C20:C2242""), 1,false)"),"GROSS_WEIGHT_OPT")</f>
        <v>GROSS_WEIGHT_OPT</v>
      </c>
      <c r="I12045" s="136"/>
      <c r="R12045" s="63" t="str">
        <f t="shared" si="60"/>
        <v>ZSI1_PHOTO_EQPGROSS_WEIGHT_OPT</v>
      </c>
    </row>
    <row r="12046" ht="15.75" customHeight="1">
      <c r="B12046" s="63">
        <f t="shared" si="1"/>
        <v>14</v>
      </c>
      <c r="C12046" s="75" t="s">
        <v>5075</v>
      </c>
      <c r="D12046" s="161" t="s">
        <v>74</v>
      </c>
      <c r="E12046" s="135">
        <f t="shared" si="62"/>
        <v>12</v>
      </c>
      <c r="F12046" s="134" t="s">
        <v>4057</v>
      </c>
      <c r="G12046" s="63" t="str">
        <f>VLOOKUP(C12046, 'Class Def. - General Data'!$C$20:$C$1000,1,false)</f>
        <v>#N/A</v>
      </c>
      <c r="H12046" s="63" t="str">
        <f>IFERROR(__xludf.DUMMYFUNCTION("VLOOKUP(F12046, IMPORTRANGE(""https://docs.google.com/spreadsheets/d/1Lhp9OU0JdFf_VYSMzH5lBcEaU4o8teT1piV-SNzShjg/edit?gid=554141278#gid=554141278"", ""'Char Def. - Attributes'!C20:C2242""), 1,false)"),"NET_WEIGHT_OPT")</f>
        <v>NET_WEIGHT_OPT</v>
      </c>
      <c r="I12046" s="136"/>
      <c r="R12046" s="63" t="str">
        <f t="shared" si="60"/>
        <v>ZSI1_PHOTO_EQPNET_WEIGHT_OPT</v>
      </c>
    </row>
    <row r="12047" ht="15.75" customHeight="1">
      <c r="B12047" s="63">
        <f t="shared" si="1"/>
        <v>14</v>
      </c>
      <c r="C12047" s="75" t="s">
        <v>5075</v>
      </c>
      <c r="D12047" s="161" t="s">
        <v>74</v>
      </c>
      <c r="E12047" s="135">
        <f t="shared" si="62"/>
        <v>13</v>
      </c>
      <c r="F12047" s="134" t="s">
        <v>4058</v>
      </c>
      <c r="G12047" s="63" t="str">
        <f>VLOOKUP(C12047, 'Class Def. - General Data'!$C$20:$C$1000,1,false)</f>
        <v>#N/A</v>
      </c>
      <c r="H12047" s="63" t="str">
        <f>IFERROR(__xludf.DUMMYFUNCTION("VLOOKUP(F12047, IMPORTRANGE(""https://docs.google.com/spreadsheets/d/1Lhp9OU0JdFf_VYSMzH5lBcEaU4o8teT1piV-SNzShjg/edit?gid=554141278#gid=554141278"", ""'Char Def. - Attributes'!C20:C2242""), 1,false)"),"WEIGHT_UNIT_SI")</f>
        <v>WEIGHT_UNIT_SI</v>
      </c>
      <c r="I12047" s="136"/>
      <c r="R12047" s="63" t="str">
        <f t="shared" si="60"/>
        <v>ZSI1_PHOTO_EQPWEIGHT_UNIT_SI</v>
      </c>
    </row>
    <row r="12048" ht="15.75" customHeight="1">
      <c r="B12048" s="63">
        <f t="shared" si="1"/>
        <v>14</v>
      </c>
      <c r="C12048" s="75" t="s">
        <v>5075</v>
      </c>
      <c r="D12048" s="161" t="s">
        <v>74</v>
      </c>
      <c r="E12048" s="135">
        <f t="shared" si="62"/>
        <v>14</v>
      </c>
      <c r="F12048" s="134" t="s">
        <v>3877</v>
      </c>
      <c r="G12048" s="63" t="str">
        <f>VLOOKUP(C12048, 'Class Def. - General Data'!$C$20:$C$1000,1,false)</f>
        <v>#N/A</v>
      </c>
      <c r="H12048" s="63" t="str">
        <f>IFERROR(__xludf.DUMMYFUNCTION("VLOOKUP(F12048, IMPORTRANGE(""https://docs.google.com/spreadsheets/d/1Lhp9OU0JdFf_VYSMzH5lBcEaU4o8teT1piV-SNzShjg/edit?gid=554141278#gid=554141278"", ""'Char Def. - Attributes'!C20:C2242""), 1,false)"),"VOLUME_OPT")</f>
        <v>VOLUME_OPT</v>
      </c>
      <c r="I12048" s="136"/>
      <c r="R12048" s="63" t="str">
        <f t="shared" si="60"/>
        <v>ZSI1_PHOTO_EQPVOLUME_OPT</v>
      </c>
    </row>
    <row r="12049" ht="15.75" customHeight="1">
      <c r="B12049" s="63">
        <f t="shared" si="1"/>
        <v>14</v>
      </c>
      <c r="C12049" s="75" t="s">
        <v>5075</v>
      </c>
      <c r="D12049" s="161" t="s">
        <v>74</v>
      </c>
      <c r="E12049" s="135">
        <f t="shared" si="62"/>
        <v>15</v>
      </c>
      <c r="F12049" s="134" t="s">
        <v>4059</v>
      </c>
      <c r="G12049" s="63" t="str">
        <f>VLOOKUP(C12049, 'Class Def. - General Data'!$C$20:$C$1000,1,false)</f>
        <v>#N/A</v>
      </c>
      <c r="H12049" s="63" t="str">
        <f>IFERROR(__xludf.DUMMYFUNCTION("VLOOKUP(F12049, IMPORTRANGE(""https://docs.google.com/spreadsheets/d/1Lhp9OU0JdFf_VYSMzH5lBcEaU4o8teT1piV-SNzShjg/edit?gid=554141278#gid=554141278"", ""'Char Def. - Attributes'!C20:C2242""), 1,false)"),"VOLUME_UNIT_SI")</f>
        <v>VOLUME_UNIT_SI</v>
      </c>
      <c r="I12049" s="136"/>
      <c r="R12049" s="63" t="str">
        <f t="shared" si="60"/>
        <v>ZSI1_PHOTO_EQPVOLUME_UNIT_SI</v>
      </c>
    </row>
    <row r="12050" ht="15.75" customHeight="1">
      <c r="B12050" s="63">
        <f t="shared" si="1"/>
        <v>14</v>
      </c>
      <c r="C12050" s="75" t="s">
        <v>5075</v>
      </c>
      <c r="D12050" s="161" t="s">
        <v>74</v>
      </c>
      <c r="E12050" s="135">
        <f t="shared" si="62"/>
        <v>16</v>
      </c>
      <c r="F12050" s="134" t="s">
        <v>3804</v>
      </c>
      <c r="G12050" s="63" t="str">
        <f>VLOOKUP(C12050, 'Class Def. - General Data'!$C$20:$C$1000,1,false)</f>
        <v>#N/A</v>
      </c>
      <c r="H12050" s="63" t="str">
        <f>IFERROR(__xludf.DUMMYFUNCTION("VLOOKUP(F12050, IMPORTRANGE(""https://docs.google.com/spreadsheets/d/1Lhp9OU0JdFf_VYSMzH5lBcEaU4o8teT1piV-SNzShjg/edit?gid=554141278#gid=554141278"", ""'Char Def. - Attributes'!C20:C2242""), 1,false)"),"ALT_UOM1_SIPI")</f>
        <v>ALT_UOM1_SIPI</v>
      </c>
      <c r="I12050" s="136"/>
      <c r="R12050" s="63" t="str">
        <f t="shared" si="60"/>
        <v>ZSI1_PHOTO_EQPALT_UOM1_SIPI</v>
      </c>
    </row>
    <row r="12051" ht="15.75" customHeight="1">
      <c r="B12051" s="63">
        <f t="shared" si="1"/>
        <v>14</v>
      </c>
      <c r="C12051" s="75" t="s">
        <v>5075</v>
      </c>
      <c r="D12051" s="161" t="s">
        <v>74</v>
      </c>
      <c r="E12051" s="135">
        <f t="shared" si="62"/>
        <v>17</v>
      </c>
      <c r="F12051" s="134" t="s">
        <v>3805</v>
      </c>
      <c r="G12051" s="63" t="str">
        <f>VLOOKUP(C12051, 'Class Def. - General Data'!$C$20:$C$1000,1,false)</f>
        <v>#N/A</v>
      </c>
      <c r="H12051" s="63" t="str">
        <f>IFERROR(__xludf.DUMMYFUNCTION("VLOOKUP(F12051, IMPORTRANGE(""https://docs.google.com/spreadsheets/d/1Lhp9OU0JdFf_VYSMzH5lBcEaU4o8teT1piV-SNzShjg/edit?gid=554141278#gid=554141278"", ""'Char Def. - Attributes'!C20:C2242""), 1,false)"),"ALT_DENUM_UOM1")</f>
        <v>ALT_DENUM_UOM1</v>
      </c>
      <c r="I12051" s="136"/>
      <c r="R12051" s="63" t="str">
        <f t="shared" si="60"/>
        <v>ZSI1_PHOTO_EQPALT_DENUM_UOM1</v>
      </c>
    </row>
    <row r="12052" ht="15.75" customHeight="1">
      <c r="B12052" s="63">
        <f t="shared" si="1"/>
        <v>14</v>
      </c>
      <c r="C12052" s="75" t="s">
        <v>5075</v>
      </c>
      <c r="D12052" s="161" t="s">
        <v>74</v>
      </c>
      <c r="E12052" s="135">
        <f t="shared" si="62"/>
        <v>18</v>
      </c>
      <c r="F12052" s="134" t="s">
        <v>3806</v>
      </c>
      <c r="G12052" s="63" t="str">
        <f>VLOOKUP(C12052, 'Class Def. - General Data'!$C$20:$C$1000,1,false)</f>
        <v>#N/A</v>
      </c>
      <c r="H12052" s="63" t="str">
        <f>IFERROR(__xludf.DUMMYFUNCTION("VLOOKUP(F12052, IMPORTRANGE(""https://docs.google.com/spreadsheets/d/1Lhp9OU0JdFf_VYSMzH5lBcEaU4o8teT1piV-SNzShjg/edit?gid=554141278#gid=554141278"", ""'Char Def. - Attributes'!C20:C2242""), 1,false)"),"ALT_NUM_UOM1")</f>
        <v>ALT_NUM_UOM1</v>
      </c>
      <c r="I12052" s="136"/>
      <c r="R12052" s="63" t="str">
        <f t="shared" si="60"/>
        <v>ZSI1_PHOTO_EQPALT_NUM_UOM1</v>
      </c>
    </row>
    <row r="12053" ht="15.75" customHeight="1">
      <c r="B12053" s="63">
        <f t="shared" si="1"/>
        <v>14</v>
      </c>
      <c r="C12053" s="75" t="s">
        <v>5075</v>
      </c>
      <c r="D12053" s="161" t="s">
        <v>74</v>
      </c>
      <c r="E12053" s="135">
        <f t="shared" si="62"/>
        <v>19</v>
      </c>
      <c r="F12053" s="134" t="s">
        <v>3807</v>
      </c>
      <c r="G12053" s="63" t="str">
        <f>VLOOKUP(C12053, 'Class Def. - General Data'!$C$20:$C$1000,1,false)</f>
        <v>#N/A</v>
      </c>
      <c r="H12053" s="63" t="str">
        <f>IFERROR(__xludf.DUMMYFUNCTION("VLOOKUP(F12053, IMPORTRANGE(""https://docs.google.com/spreadsheets/d/1Lhp9OU0JdFf_VYSMzH5lBcEaU4o8teT1piV-SNzShjg/edit?gid=554141278#gid=554141278"", ""'Char Def. - Attributes'!C20:C2242""), 1,false)"),"ALT_UOM2_SIPI")</f>
        <v>ALT_UOM2_SIPI</v>
      </c>
      <c r="I12053" s="136"/>
      <c r="R12053" s="63" t="str">
        <f t="shared" si="60"/>
        <v>ZSI1_PHOTO_EQPALT_UOM2_SIPI</v>
      </c>
    </row>
    <row r="12054" ht="15.75" customHeight="1">
      <c r="B12054" s="63">
        <f t="shared" si="1"/>
        <v>14</v>
      </c>
      <c r="C12054" s="75" t="s">
        <v>5075</v>
      </c>
      <c r="D12054" s="161" t="s">
        <v>74</v>
      </c>
      <c r="E12054" s="135">
        <f t="shared" si="62"/>
        <v>20</v>
      </c>
      <c r="F12054" s="134" t="s">
        <v>3808</v>
      </c>
      <c r="G12054" s="63" t="str">
        <f>VLOOKUP(C12054, 'Class Def. - General Data'!$C$20:$C$1000,1,false)</f>
        <v>#N/A</v>
      </c>
      <c r="H12054" s="63" t="str">
        <f>IFERROR(__xludf.DUMMYFUNCTION("VLOOKUP(F12054, IMPORTRANGE(""https://docs.google.com/spreadsheets/d/1Lhp9OU0JdFf_VYSMzH5lBcEaU4o8teT1piV-SNzShjg/edit?gid=554141278#gid=554141278"", ""'Char Def. - Attributes'!C20:C2242""), 1,false)"),"ALT_DENUM_UOM2")</f>
        <v>ALT_DENUM_UOM2</v>
      </c>
      <c r="I12054" s="136"/>
      <c r="R12054" s="63" t="str">
        <f t="shared" si="60"/>
        <v>ZSI1_PHOTO_EQPALT_DENUM_UOM2</v>
      </c>
    </row>
    <row r="12055" ht="15.75" customHeight="1">
      <c r="B12055" s="63">
        <f t="shared" si="1"/>
        <v>14</v>
      </c>
      <c r="C12055" s="75" t="s">
        <v>5075</v>
      </c>
      <c r="D12055" s="161" t="s">
        <v>74</v>
      </c>
      <c r="E12055" s="135">
        <f t="shared" si="62"/>
        <v>21</v>
      </c>
      <c r="F12055" s="134" t="s">
        <v>3809</v>
      </c>
      <c r="G12055" s="63" t="str">
        <f>VLOOKUP(C12055, 'Class Def. - General Data'!$C$20:$C$1000,1,false)</f>
        <v>#N/A</v>
      </c>
      <c r="H12055" s="63" t="str">
        <f>IFERROR(__xludf.DUMMYFUNCTION("VLOOKUP(F12055, IMPORTRANGE(""https://docs.google.com/spreadsheets/d/1Lhp9OU0JdFf_VYSMzH5lBcEaU4o8teT1piV-SNzShjg/edit?gid=554141278#gid=554141278"", ""'Char Def. - Attributes'!C20:C2242""), 1,false)"),"ALT_NUM_UOM2")</f>
        <v>ALT_NUM_UOM2</v>
      </c>
      <c r="I12055" s="136"/>
      <c r="R12055" s="63" t="str">
        <f t="shared" si="60"/>
        <v>ZSI1_PHOTO_EQPALT_NUM_UOM2</v>
      </c>
    </row>
    <row r="12056" ht="15.75" customHeight="1">
      <c r="B12056" s="63">
        <f t="shared" si="1"/>
        <v>14</v>
      </c>
      <c r="C12056" s="75" t="s">
        <v>5075</v>
      </c>
      <c r="D12056" s="161" t="s">
        <v>74</v>
      </c>
      <c r="E12056" s="135">
        <f t="shared" si="62"/>
        <v>22</v>
      </c>
      <c r="F12056" s="134" t="s">
        <v>3810</v>
      </c>
      <c r="G12056" s="63" t="str">
        <f>VLOOKUP(C12056, 'Class Def. - General Data'!$C$20:$C$1000,1,false)</f>
        <v>#N/A</v>
      </c>
      <c r="H12056" s="63" t="str">
        <f>IFERROR(__xludf.DUMMYFUNCTION("VLOOKUP(F12056, IMPORTRANGE(""https://docs.google.com/spreadsheets/d/1Lhp9OU0JdFf_VYSMzH5lBcEaU4o8teT1piV-SNzShjg/edit?gid=554141278#gid=554141278"", ""'Char Def. - Attributes'!C20:C2242""), 1,false)"),"ALT_UOM3_SIPI")</f>
        <v>ALT_UOM3_SIPI</v>
      </c>
      <c r="I12056" s="136"/>
      <c r="R12056" s="63" t="str">
        <f t="shared" si="60"/>
        <v>ZSI1_PHOTO_EQPALT_UOM3_SIPI</v>
      </c>
    </row>
    <row r="12057" ht="15.75" customHeight="1">
      <c r="B12057" s="63">
        <f t="shared" si="1"/>
        <v>14</v>
      </c>
      <c r="C12057" s="75" t="s">
        <v>5075</v>
      </c>
      <c r="D12057" s="161" t="s">
        <v>74</v>
      </c>
      <c r="E12057" s="135">
        <f t="shared" si="62"/>
        <v>23</v>
      </c>
      <c r="F12057" s="134" t="s">
        <v>3811</v>
      </c>
      <c r="G12057" s="63" t="str">
        <f>VLOOKUP(C12057, 'Class Def. - General Data'!$C$20:$C$1000,1,false)</f>
        <v>#N/A</v>
      </c>
      <c r="H12057" s="63" t="str">
        <f>IFERROR(__xludf.DUMMYFUNCTION("VLOOKUP(F12057, IMPORTRANGE(""https://docs.google.com/spreadsheets/d/1Lhp9OU0JdFf_VYSMzH5lBcEaU4o8teT1piV-SNzShjg/edit?gid=554141278#gid=554141278"", ""'Char Def. - Attributes'!C20:C2242""), 1,false)"),"ALT_DENUM_UOM3")</f>
        <v>ALT_DENUM_UOM3</v>
      </c>
      <c r="I12057" s="136"/>
      <c r="R12057" s="63" t="str">
        <f t="shared" si="60"/>
        <v>ZSI1_PHOTO_EQPALT_DENUM_UOM3</v>
      </c>
    </row>
    <row r="12058" ht="15.75" customHeight="1">
      <c r="B12058" s="63">
        <f t="shared" si="1"/>
        <v>14</v>
      </c>
      <c r="C12058" s="75" t="s">
        <v>5075</v>
      </c>
      <c r="D12058" s="161" t="s">
        <v>74</v>
      </c>
      <c r="E12058" s="135">
        <f t="shared" si="62"/>
        <v>24</v>
      </c>
      <c r="F12058" s="134" t="s">
        <v>3812</v>
      </c>
      <c r="G12058" s="63" t="str">
        <f>VLOOKUP(C12058, 'Class Def. - General Data'!$C$20:$C$1000,1,false)</f>
        <v>#N/A</v>
      </c>
      <c r="H12058" s="63" t="str">
        <f>IFERROR(__xludf.DUMMYFUNCTION("VLOOKUP(F12058, IMPORTRANGE(""https://docs.google.com/spreadsheets/d/1Lhp9OU0JdFf_VYSMzH5lBcEaU4o8teT1piV-SNzShjg/edit?gid=554141278#gid=554141278"", ""'Char Def. - Attributes'!C20:C2242""), 1,false)"),"ALT_NUM_UOM3")</f>
        <v>ALT_NUM_UOM3</v>
      </c>
      <c r="I12058" s="136"/>
      <c r="R12058" s="63" t="str">
        <f t="shared" si="60"/>
        <v>ZSI1_PHOTO_EQPALT_NUM_UOM3</v>
      </c>
    </row>
    <row r="12059" ht="15.75" customHeight="1">
      <c r="B12059" s="63">
        <f t="shared" si="1"/>
        <v>14</v>
      </c>
      <c r="C12059" s="75" t="s">
        <v>5075</v>
      </c>
      <c r="D12059" s="161" t="s">
        <v>74</v>
      </c>
      <c r="E12059" s="135">
        <f t="shared" si="62"/>
        <v>25</v>
      </c>
      <c r="F12059" s="134" t="s">
        <v>3813</v>
      </c>
      <c r="G12059" s="63" t="str">
        <f>VLOOKUP(C12059, 'Class Def. - General Data'!$C$20:$C$1000,1,false)</f>
        <v>#N/A</v>
      </c>
      <c r="H12059" s="63" t="str">
        <f>IFERROR(__xludf.DUMMYFUNCTION("VLOOKUP(F12059, IMPORTRANGE(""https://docs.google.com/spreadsheets/d/1Lhp9OU0JdFf_VYSMzH5lBcEaU4o8teT1piV-SNzShjg/edit?gid=554141278#gid=554141278"", ""'Char Def. - Attributes'!C20:C2242""), 1,false)"),"ALT_UOM4_SIPI")</f>
        <v>ALT_UOM4_SIPI</v>
      </c>
      <c r="I12059" s="136"/>
      <c r="R12059" s="63" t="str">
        <f t="shared" si="60"/>
        <v>ZSI1_PHOTO_EQPALT_UOM4_SIPI</v>
      </c>
    </row>
    <row r="12060" ht="15.75" customHeight="1">
      <c r="B12060" s="63">
        <f t="shared" si="1"/>
        <v>14</v>
      </c>
      <c r="C12060" s="75" t="s">
        <v>5075</v>
      </c>
      <c r="D12060" s="161" t="s">
        <v>74</v>
      </c>
      <c r="E12060" s="135">
        <f t="shared" si="62"/>
        <v>26</v>
      </c>
      <c r="F12060" s="134" t="s">
        <v>3814</v>
      </c>
      <c r="G12060" s="63" t="str">
        <f>VLOOKUP(C12060, 'Class Def. - General Data'!$C$20:$C$1000,1,false)</f>
        <v>#N/A</v>
      </c>
      <c r="H12060" s="63" t="str">
        <f>IFERROR(__xludf.DUMMYFUNCTION("VLOOKUP(F12060, IMPORTRANGE(""https://docs.google.com/spreadsheets/d/1Lhp9OU0JdFf_VYSMzH5lBcEaU4o8teT1piV-SNzShjg/edit?gid=554141278#gid=554141278"", ""'Char Def. - Attributes'!C20:C2242""), 1,false)"),"ALT_DENUM_UOM4")</f>
        <v>ALT_DENUM_UOM4</v>
      </c>
      <c r="I12060" s="136"/>
      <c r="R12060" s="63" t="str">
        <f t="shared" si="60"/>
        <v>ZSI1_PHOTO_EQPALT_DENUM_UOM4</v>
      </c>
    </row>
    <row r="12061" ht="15.75" customHeight="1">
      <c r="B12061" s="63">
        <f t="shared" si="1"/>
        <v>14</v>
      </c>
      <c r="C12061" s="75" t="s">
        <v>5075</v>
      </c>
      <c r="D12061" s="161" t="s">
        <v>74</v>
      </c>
      <c r="E12061" s="135">
        <f t="shared" si="62"/>
        <v>27</v>
      </c>
      <c r="F12061" s="134" t="s">
        <v>3815</v>
      </c>
      <c r="G12061" s="63" t="str">
        <f>VLOOKUP(C12061, 'Class Def. - General Data'!$C$20:$C$1000,1,false)</f>
        <v>#N/A</v>
      </c>
      <c r="H12061" s="63" t="str">
        <f>IFERROR(__xludf.DUMMYFUNCTION("VLOOKUP(F12061, IMPORTRANGE(""https://docs.google.com/spreadsheets/d/1Lhp9OU0JdFf_VYSMzH5lBcEaU4o8teT1piV-SNzShjg/edit?gid=554141278#gid=554141278"", ""'Char Def. - Attributes'!C20:C2242""), 1,false)"),"ALT_NUM_UOM4")</f>
        <v>ALT_NUM_UOM4</v>
      </c>
      <c r="I12061" s="136"/>
      <c r="R12061" s="63" t="str">
        <f t="shared" si="60"/>
        <v>ZSI1_PHOTO_EQPALT_NUM_UOM4</v>
      </c>
    </row>
    <row r="12062" ht="15.75" customHeight="1">
      <c r="B12062" s="63">
        <f t="shared" si="1"/>
        <v>14</v>
      </c>
      <c r="C12062" s="75" t="s">
        <v>5075</v>
      </c>
      <c r="D12062" s="161" t="s">
        <v>74</v>
      </c>
      <c r="E12062" s="135">
        <f t="shared" si="62"/>
        <v>28</v>
      </c>
      <c r="F12062" s="134" t="s">
        <v>3816</v>
      </c>
      <c r="G12062" s="63" t="str">
        <f>VLOOKUP(C12062, 'Class Def. - General Data'!$C$20:$C$1000,1,false)</f>
        <v>#N/A</v>
      </c>
      <c r="H12062" s="63" t="str">
        <f>IFERROR(__xludf.DUMMYFUNCTION("VLOOKUP(F12062, IMPORTRANGE(""https://docs.google.com/spreadsheets/d/1Lhp9OU0JdFf_VYSMzH5lBcEaU4o8teT1piV-SNzShjg/edit?gid=554141278#gid=554141278"", ""'Char Def. - Attributes'!C20:C2242""), 1,false)"),"ALT_UOM5_SIPI")</f>
        <v>ALT_UOM5_SIPI</v>
      </c>
      <c r="I12062" s="136"/>
      <c r="R12062" s="63" t="str">
        <f t="shared" si="60"/>
        <v>ZSI1_PHOTO_EQPALT_UOM5_SIPI</v>
      </c>
    </row>
    <row r="12063" ht="15.75" customHeight="1">
      <c r="B12063" s="63">
        <f t="shared" si="1"/>
        <v>14</v>
      </c>
      <c r="C12063" s="75" t="s">
        <v>5075</v>
      </c>
      <c r="D12063" s="161" t="s">
        <v>74</v>
      </c>
      <c r="E12063" s="135">
        <f t="shared" si="62"/>
        <v>29</v>
      </c>
      <c r="F12063" s="134" t="s">
        <v>3817</v>
      </c>
      <c r="G12063" s="63" t="str">
        <f>VLOOKUP(C12063, 'Class Def. - General Data'!$C$20:$C$1000,1,false)</f>
        <v>#N/A</v>
      </c>
      <c r="H12063" s="63" t="str">
        <f>IFERROR(__xludf.DUMMYFUNCTION("VLOOKUP(F12063, IMPORTRANGE(""https://docs.google.com/spreadsheets/d/1Lhp9OU0JdFf_VYSMzH5lBcEaU4o8teT1piV-SNzShjg/edit?gid=554141278#gid=554141278"", ""'Char Def. - Attributes'!C20:C2242""), 1,false)"),"ALT_DENUM_UOM5")</f>
        <v>ALT_DENUM_UOM5</v>
      </c>
      <c r="I12063" s="136"/>
      <c r="R12063" s="63" t="str">
        <f t="shared" si="60"/>
        <v>ZSI1_PHOTO_EQPALT_DENUM_UOM5</v>
      </c>
    </row>
    <row r="12064" ht="15.75" customHeight="1">
      <c r="B12064" s="63">
        <f t="shared" si="1"/>
        <v>14</v>
      </c>
      <c r="C12064" s="75" t="s">
        <v>5075</v>
      </c>
      <c r="D12064" s="161" t="s">
        <v>74</v>
      </c>
      <c r="E12064" s="135">
        <f t="shared" si="62"/>
        <v>30</v>
      </c>
      <c r="F12064" s="134" t="s">
        <v>3818</v>
      </c>
      <c r="G12064" s="63" t="str">
        <f>VLOOKUP(C12064, 'Class Def. - General Data'!$C$20:$C$1000,1,false)</f>
        <v>#N/A</v>
      </c>
      <c r="H12064" s="63" t="str">
        <f>IFERROR(__xludf.DUMMYFUNCTION("VLOOKUP(F12064, IMPORTRANGE(""https://docs.google.com/spreadsheets/d/1Lhp9OU0JdFf_VYSMzH5lBcEaU4o8teT1piV-SNzShjg/edit?gid=554141278#gid=554141278"", ""'Char Def. - Attributes'!C20:C2242""), 1,false)"),"ALT_NUM_UOM5")</f>
        <v>ALT_NUM_UOM5</v>
      </c>
      <c r="I12064" s="136"/>
      <c r="R12064" s="63" t="str">
        <f t="shared" si="60"/>
        <v>ZSI1_PHOTO_EQPALT_NUM_UOM5</v>
      </c>
    </row>
    <row r="12065" ht="15.75" customHeight="1">
      <c r="B12065" s="63">
        <f t="shared" si="1"/>
        <v>9</v>
      </c>
      <c r="C12065" s="135" t="s">
        <v>504</v>
      </c>
      <c r="D12065" s="161" t="s">
        <v>74</v>
      </c>
      <c r="E12065" s="135">
        <f t="shared" si="62"/>
        <v>1</v>
      </c>
      <c r="F12065" s="134" t="s">
        <v>5077</v>
      </c>
      <c r="G12065" s="63" t="str">
        <f>VLOOKUP(C12065, 'Class Def. - General Data'!$C$20:$C$1000,1,false)</f>
        <v>ZSI1_PIPE</v>
      </c>
      <c r="H12065" s="63" t="str">
        <f>IFERROR(__xludf.DUMMYFUNCTION("VLOOKUP(F12065, IMPORTRANGE(""https://docs.google.com/spreadsheets/d/1Lhp9OU0JdFf_VYSMzH5lBcEaU4o8teT1piV-SNzShjg/edit?gid=554141278#gid=554141278"", ""'Char Def. - Attributes'!C20:C2242""), 1,false)"),"ITEM_NAME_PIPE")</f>
        <v>ITEM_NAME_PIPE</v>
      </c>
      <c r="I12065" s="136"/>
      <c r="R12065" s="63" t="str">
        <f t="shared" si="60"/>
        <v>ZSI1_PIPEITEM_NAME_PIPE</v>
      </c>
    </row>
    <row r="12066" ht="15.75" customHeight="1">
      <c r="B12066" s="63">
        <f t="shared" si="1"/>
        <v>9</v>
      </c>
      <c r="C12066" s="135" t="s">
        <v>504</v>
      </c>
      <c r="D12066" s="161" t="s">
        <v>74</v>
      </c>
      <c r="E12066" s="135">
        <f t="shared" si="62"/>
        <v>2</v>
      </c>
      <c r="F12066" s="134" t="s">
        <v>5078</v>
      </c>
      <c r="G12066" s="63" t="str">
        <f>VLOOKUP(C12066, 'Class Def. - General Data'!$C$20:$C$1000,1,false)</f>
        <v>ZSI1_PIPE</v>
      </c>
      <c r="H12066" s="63" t="str">
        <f>IFERROR(__xludf.DUMMYFUNCTION("VLOOKUP(F12066, IMPORTRANGE(""https://docs.google.com/spreadsheets/d/1Lhp9OU0JdFf_VYSMzH5lBcEaU4o8teT1piV-SNzShjg/edit?gid=554141278#gid=554141278"", ""'Char Def. - Attributes'!C20:C2242""), 1,false)"),"TYPE_PIPE")</f>
        <v>TYPE_PIPE</v>
      </c>
      <c r="I12066" s="136"/>
      <c r="R12066" s="63" t="str">
        <f t="shared" si="60"/>
        <v>ZSI1_PIPETYPE_PIPE</v>
      </c>
    </row>
    <row r="12067" ht="15.75" customHeight="1">
      <c r="B12067" s="63">
        <f t="shared" si="1"/>
        <v>9</v>
      </c>
      <c r="C12067" s="135" t="s">
        <v>504</v>
      </c>
      <c r="D12067" s="161" t="s">
        <v>74</v>
      </c>
      <c r="E12067" s="135">
        <f t="shared" si="62"/>
        <v>3</v>
      </c>
      <c r="F12067" s="134" t="s">
        <v>5079</v>
      </c>
      <c r="G12067" s="63" t="str">
        <f>VLOOKUP(C12067, 'Class Def. - General Data'!$C$20:$C$1000,1,false)</f>
        <v>ZSI1_PIPE</v>
      </c>
      <c r="H12067" s="63" t="str">
        <f>IFERROR(__xludf.DUMMYFUNCTION("VLOOKUP(F12067, IMPORTRANGE(""https://docs.google.com/spreadsheets/d/1Lhp9OU0JdFf_VYSMzH5lBcEaU4o8teT1piV-SNzShjg/edit?gid=554141278#gid=554141278"", ""'Char Def. - Attributes'!C20:C2242""), 1,false)"),"DIMENSION_PIPE")</f>
        <v>DIMENSION_PIPE</v>
      </c>
      <c r="I12067" s="136"/>
      <c r="R12067" s="63" t="str">
        <f t="shared" si="60"/>
        <v>ZSI1_PIPEDIMENSION_PIPE</v>
      </c>
    </row>
    <row r="12068" ht="15.75" customHeight="1">
      <c r="B12068" s="63">
        <f t="shared" si="1"/>
        <v>9</v>
      </c>
      <c r="C12068" s="135" t="s">
        <v>504</v>
      </c>
      <c r="D12068" s="161" t="s">
        <v>74</v>
      </c>
      <c r="E12068" s="135">
        <f t="shared" si="62"/>
        <v>4</v>
      </c>
      <c r="F12068" s="134" t="s">
        <v>5080</v>
      </c>
      <c r="G12068" s="63" t="str">
        <f>VLOOKUP(C12068, 'Class Def. - General Data'!$C$20:$C$1000,1,false)</f>
        <v>ZSI1_PIPE</v>
      </c>
      <c r="H12068" s="63" t="str">
        <f>IFERROR(__xludf.DUMMYFUNCTION("VLOOKUP(F12068, IMPORTRANGE(""https://docs.google.com/spreadsheets/d/1Lhp9OU0JdFf_VYSMzH5lBcEaU4o8teT1piV-SNzShjg/edit?gid=554141278#gid=554141278"", ""'Char Def. - Attributes'!C20:C2242""), 1,false)"),"SIZE_IN_PIPE")</f>
        <v>SIZE_IN_PIPE</v>
      </c>
      <c r="I12068" s="136"/>
      <c r="R12068" s="63" t="str">
        <f t="shared" si="60"/>
        <v>ZSI1_PIPESIZE_IN_PIPE</v>
      </c>
    </row>
    <row r="12069" ht="15.75" customHeight="1">
      <c r="B12069" s="63">
        <f t="shared" si="1"/>
        <v>9</v>
      </c>
      <c r="C12069" s="135" t="s">
        <v>504</v>
      </c>
      <c r="D12069" s="161" t="s">
        <v>74</v>
      </c>
      <c r="E12069" s="135">
        <f t="shared" si="62"/>
        <v>5</v>
      </c>
      <c r="F12069" s="134" t="s">
        <v>5081</v>
      </c>
      <c r="G12069" s="63" t="str">
        <f>VLOOKUP(C12069, 'Class Def. - General Data'!$C$20:$C$1000,1,false)</f>
        <v>ZSI1_PIPE</v>
      </c>
      <c r="H12069" s="63" t="str">
        <f>IFERROR(__xludf.DUMMYFUNCTION("VLOOKUP(F12069, IMPORTRANGE(""https://docs.google.com/spreadsheets/d/1Lhp9OU0JdFf_VYSMzH5lBcEaU4o8teT1piV-SNzShjg/edit?gid=554141278#gid=554141278"", ""'Char Def. - Attributes'!C20:C2242""), 1,false)"),"SIZE_MM_PIPE")</f>
        <v>SIZE_MM_PIPE</v>
      </c>
      <c r="I12069" s="136"/>
      <c r="R12069" s="63" t="str">
        <f t="shared" si="60"/>
        <v>ZSI1_PIPESIZE_MM_PIPE</v>
      </c>
    </row>
    <row r="12070" ht="15.75" customHeight="1">
      <c r="B12070" s="63">
        <f t="shared" si="1"/>
        <v>9</v>
      </c>
      <c r="C12070" s="135" t="s">
        <v>504</v>
      </c>
      <c r="D12070" s="161" t="s">
        <v>74</v>
      </c>
      <c r="E12070" s="135">
        <f t="shared" si="62"/>
        <v>6</v>
      </c>
      <c r="F12070" s="134" t="s">
        <v>5082</v>
      </c>
      <c r="G12070" s="63" t="str">
        <f>VLOOKUP(C12070, 'Class Def. - General Data'!$C$20:$C$1000,1,false)</f>
        <v>ZSI1_PIPE</v>
      </c>
      <c r="H12070" s="63" t="str">
        <f>IFERROR(__xludf.DUMMYFUNCTION("VLOOKUP(F12070, IMPORTRANGE(""https://docs.google.com/spreadsheets/d/1Lhp9OU0JdFf_VYSMzH5lBcEaU4o8teT1piV-SNzShjg/edit?gid=554141278#gid=554141278"", ""'Char Def. - Attributes'!C20:C2242""), 1,false)"),"LENGTH_IN_PIPE")</f>
        <v>LENGTH_IN_PIPE</v>
      </c>
      <c r="I12070" s="136"/>
      <c r="R12070" s="63" t="str">
        <f t="shared" si="60"/>
        <v>ZSI1_PIPELENGTH_IN_PIPE</v>
      </c>
    </row>
    <row r="12071" ht="15.75" customHeight="1">
      <c r="B12071" s="63">
        <f t="shared" si="1"/>
        <v>9</v>
      </c>
      <c r="C12071" s="135" t="s">
        <v>504</v>
      </c>
      <c r="D12071" s="161" t="s">
        <v>74</v>
      </c>
      <c r="E12071" s="135">
        <f t="shared" si="62"/>
        <v>7</v>
      </c>
      <c r="F12071" s="134" t="s">
        <v>5083</v>
      </c>
      <c r="G12071" s="63" t="str">
        <f>VLOOKUP(C12071, 'Class Def. - General Data'!$C$20:$C$1000,1,false)</f>
        <v>ZSI1_PIPE</v>
      </c>
      <c r="H12071" s="63" t="str">
        <f>IFERROR(__xludf.DUMMYFUNCTION("VLOOKUP(F12071, IMPORTRANGE(""https://docs.google.com/spreadsheets/d/1Lhp9OU0JdFf_VYSMzH5lBcEaU4o8teT1piV-SNzShjg/edit?gid=554141278#gid=554141278"", ""'Char Def. - Attributes'!C20:C2242""), 1,false)"),"LENGTH_MM_PIPE")</f>
        <v>LENGTH_MM_PIPE</v>
      </c>
      <c r="I12071" s="136"/>
      <c r="R12071" s="63" t="str">
        <f t="shared" si="60"/>
        <v>ZSI1_PIPELENGTH_MM_PIPE</v>
      </c>
    </row>
    <row r="12072" ht="15.75" customHeight="1">
      <c r="B12072" s="63">
        <f t="shared" si="1"/>
        <v>9</v>
      </c>
      <c r="C12072" s="135" t="s">
        <v>504</v>
      </c>
      <c r="D12072" s="161" t="s">
        <v>74</v>
      </c>
      <c r="E12072" s="135">
        <f t="shared" si="62"/>
        <v>8</v>
      </c>
      <c r="F12072" s="134" t="s">
        <v>5084</v>
      </c>
      <c r="G12072" s="63" t="str">
        <f>VLOOKUP(C12072, 'Class Def. - General Data'!$C$20:$C$1000,1,false)</f>
        <v>ZSI1_PIPE</v>
      </c>
      <c r="H12072" s="63" t="str">
        <f>IFERROR(__xludf.DUMMYFUNCTION("VLOOKUP(F12072, IMPORTRANGE(""https://docs.google.com/spreadsheets/d/1Lhp9OU0JdFf_VYSMzH5lBcEaU4o8teT1piV-SNzShjg/edit?gid=554141278#gid=554141278"", ""'Char Def. - Attributes'!C20:C2242""), 1,false)"),"ENDS_PIPE")</f>
        <v>ENDS_PIPE</v>
      </c>
      <c r="I12072" s="136"/>
      <c r="R12072" s="63" t="str">
        <f t="shared" si="60"/>
        <v>ZSI1_PIPEENDS_PIPE</v>
      </c>
    </row>
    <row r="12073" ht="15.75" customHeight="1">
      <c r="B12073" s="63">
        <f t="shared" si="1"/>
        <v>9</v>
      </c>
      <c r="C12073" s="135" t="s">
        <v>504</v>
      </c>
      <c r="D12073" s="161" t="s">
        <v>74</v>
      </c>
      <c r="E12073" s="135">
        <f t="shared" si="62"/>
        <v>9</v>
      </c>
      <c r="F12073" s="134" t="s">
        <v>5085</v>
      </c>
      <c r="G12073" s="63" t="str">
        <f>VLOOKUP(C12073, 'Class Def. - General Data'!$C$20:$C$1000,1,false)</f>
        <v>ZSI1_PIPE</v>
      </c>
      <c r="H12073" s="63" t="str">
        <f>IFERROR(__xludf.DUMMYFUNCTION("VLOOKUP(F12073, IMPORTRANGE(""https://docs.google.com/spreadsheets/d/1Lhp9OU0JdFf_VYSMzH5lBcEaU4o8teT1piV-SNzShjg/edit?gid=554141278#gid=554141278"", ""'Char Def. - Attributes'!C20:C2242""), 1,false)"),"STRUCTURE_PIPE")</f>
        <v>STRUCTURE_PIPE</v>
      </c>
      <c r="I12073" s="136"/>
      <c r="R12073" s="63" t="str">
        <f t="shared" si="60"/>
        <v>ZSI1_PIPESTRUCTURE_PIPE</v>
      </c>
    </row>
    <row r="12074" ht="15.75" customHeight="1">
      <c r="B12074" s="63">
        <f t="shared" si="1"/>
        <v>9</v>
      </c>
      <c r="C12074" s="135" t="s">
        <v>504</v>
      </c>
      <c r="D12074" s="161" t="s">
        <v>74</v>
      </c>
      <c r="E12074" s="135">
        <f t="shared" si="62"/>
        <v>10</v>
      </c>
      <c r="F12074" s="134" t="s">
        <v>5086</v>
      </c>
      <c r="G12074" s="63" t="str">
        <f>VLOOKUP(C12074, 'Class Def. - General Data'!$C$20:$C$1000,1,false)</f>
        <v>ZSI1_PIPE</v>
      </c>
      <c r="H12074" s="63" t="str">
        <f>IFERROR(__xludf.DUMMYFUNCTION("VLOOKUP(F12074, IMPORTRANGE(""https://docs.google.com/spreadsheets/d/1Lhp9OU0JdFf_VYSMzH5lBcEaU4o8teT1piV-SNzShjg/edit?gid=554141278#gid=554141278"", ""'Char Def. - Attributes'!C20:C2242""), 1,false)"),"DESIGN_RATING_SCH_PIPE")</f>
        <v>DESIGN_RATING_SCH_PIPE</v>
      </c>
      <c r="I12074" s="136"/>
      <c r="R12074" s="63" t="str">
        <f t="shared" si="60"/>
        <v>ZSI1_PIPEDESIGN_RATING_SCH_PIPE</v>
      </c>
    </row>
    <row r="12075" ht="15.75" customHeight="1">
      <c r="B12075" s="63">
        <f t="shared" si="1"/>
        <v>9</v>
      </c>
      <c r="C12075" s="135" t="s">
        <v>504</v>
      </c>
      <c r="D12075" s="161" t="s">
        <v>74</v>
      </c>
      <c r="E12075" s="135">
        <f t="shared" si="62"/>
        <v>11</v>
      </c>
      <c r="F12075" s="134" t="s">
        <v>5087</v>
      </c>
      <c r="G12075" s="63" t="str">
        <f>VLOOKUP(C12075, 'Class Def. - General Data'!$C$20:$C$1000,1,false)</f>
        <v>ZSI1_PIPE</v>
      </c>
      <c r="H12075" s="63" t="str">
        <f>IFERROR(__xludf.DUMMYFUNCTION("VLOOKUP(F12075, IMPORTRANGE(""https://docs.google.com/spreadsheets/d/1Lhp9OU0JdFf_VYSMzH5lBcEaU4o8teT1piV-SNzShjg/edit?gid=554141278#gid=554141278"", ""'Char Def. - Attributes'!C20:C2242""), 1,false)"),"DESIGN_RATING_PN_PIPE")</f>
        <v>DESIGN_RATING_PN_PIPE</v>
      </c>
      <c r="I12075" s="136"/>
      <c r="R12075" s="63" t="str">
        <f t="shared" si="60"/>
        <v>ZSI1_PIPEDESIGN_RATING_PN_PIPE</v>
      </c>
    </row>
    <row r="12076" ht="15.75" customHeight="1">
      <c r="B12076" s="63">
        <f t="shared" si="1"/>
        <v>9</v>
      </c>
      <c r="C12076" s="135" t="s">
        <v>504</v>
      </c>
      <c r="D12076" s="161" t="s">
        <v>74</v>
      </c>
      <c r="E12076" s="135">
        <f t="shared" si="62"/>
        <v>12</v>
      </c>
      <c r="F12076" s="134" t="s">
        <v>5088</v>
      </c>
      <c r="G12076" s="63" t="str">
        <f>VLOOKUP(C12076, 'Class Def. - General Data'!$C$20:$C$1000,1,false)</f>
        <v>ZSI1_PIPE</v>
      </c>
      <c r="H12076" s="63" t="str">
        <f>IFERROR(__xludf.DUMMYFUNCTION("VLOOKUP(F12076, IMPORTRANGE(""https://docs.google.com/spreadsheets/d/1Lhp9OU0JdFf_VYSMzH5lBcEaU4o8teT1piV-SNzShjg/edit?gid=554141278#gid=554141278"", ""'Char Def. - Attributes'!C20:C2242""), 1,false)"),"MATERIAL_PIPE")</f>
        <v>MATERIAL_PIPE</v>
      </c>
      <c r="I12076" s="136"/>
      <c r="R12076" s="63" t="str">
        <f t="shared" si="60"/>
        <v>ZSI1_PIPEMATERIAL_PIPE</v>
      </c>
    </row>
    <row r="12077" ht="15.75" customHeight="1">
      <c r="B12077" s="63">
        <f t="shared" si="1"/>
        <v>9</v>
      </c>
      <c r="C12077" s="135" t="s">
        <v>504</v>
      </c>
      <c r="D12077" s="161" t="s">
        <v>74</v>
      </c>
      <c r="E12077" s="135">
        <f t="shared" si="62"/>
        <v>13</v>
      </c>
      <c r="F12077" s="134" t="s">
        <v>3782</v>
      </c>
      <c r="G12077" s="63" t="str">
        <f>VLOOKUP(C12077, 'Class Def. - General Data'!$C$20:$C$1000,1,false)</f>
        <v>ZSI1_PIPE</v>
      </c>
      <c r="H12077" s="63" t="str">
        <f>IFERROR(__xludf.DUMMYFUNCTION("VLOOKUP(F12077, IMPORTRANGE(""https://docs.google.com/spreadsheets/d/1Lhp9OU0JdFf_VYSMzH5lBcEaU4o8teT1piV-SNzShjg/edit?gid=554141278#gid=554141278"", ""'Char Def. - Attributes'!C20:C2242""), 1,false)"),"BRAND_EXTERNAL")</f>
        <v>BRAND_EXTERNAL</v>
      </c>
      <c r="I12077" s="136"/>
      <c r="R12077" s="63" t="str">
        <f t="shared" si="60"/>
        <v>ZSI1_PIPEBRAND_EXTERNAL</v>
      </c>
    </row>
    <row r="12078" ht="15.75" customHeight="1">
      <c r="B12078" s="63">
        <f t="shared" si="1"/>
        <v>9</v>
      </c>
      <c r="C12078" s="135" t="s">
        <v>504</v>
      </c>
      <c r="D12078" s="161" t="s">
        <v>74</v>
      </c>
      <c r="E12078" s="135">
        <f t="shared" si="62"/>
        <v>14</v>
      </c>
      <c r="F12078" s="134" t="s">
        <v>4053</v>
      </c>
      <c r="G12078" s="63" t="str">
        <f>VLOOKUP(C12078, 'Class Def. - General Data'!$C$20:$C$1000,1,false)</f>
        <v>ZSI1_PIPE</v>
      </c>
      <c r="H12078" s="63" t="str">
        <f>IFERROR(__xludf.DUMMYFUNCTION("VLOOKUP(F12078, IMPORTRANGE(""https://docs.google.com/spreadsheets/d/1Lhp9OU0JdFf_VYSMzH5lBcEaU4o8teT1piV-SNzShjg/edit?gid=554141278#gid=554141278"", ""'Char Def. - Attributes'!C20:C2242""), 1,false)"),"MAINTENANCE_ORDER_TYPE")</f>
        <v>MAINTENANCE_ORDER_TYPE</v>
      </c>
      <c r="I12078" s="136"/>
      <c r="R12078" s="63" t="str">
        <f t="shared" si="60"/>
        <v>ZSI1_PIPEMAINTENANCE_ORDER_TYPE</v>
      </c>
    </row>
    <row r="12079" ht="15.75" customHeight="1">
      <c r="B12079" s="63">
        <f t="shared" si="1"/>
        <v>9</v>
      </c>
      <c r="C12079" s="135" t="s">
        <v>504</v>
      </c>
      <c r="D12079" s="161" t="s">
        <v>74</v>
      </c>
      <c r="E12079" s="135">
        <f t="shared" si="62"/>
        <v>15</v>
      </c>
      <c r="F12079" s="134" t="s">
        <v>3585</v>
      </c>
      <c r="G12079" s="63" t="str">
        <f>VLOOKUP(C12079, 'Class Def. - General Data'!$C$20:$C$1000,1,false)</f>
        <v>ZSI1_PIPE</v>
      </c>
      <c r="H12079" s="63" t="str">
        <f>IFERROR(__xludf.DUMMYFUNCTION("VLOOKUP(F12079, IMPORTRANGE(""https://docs.google.com/spreadsheets/d/1Lhp9OU0JdFf_VYSMzH5lBcEaU4o8teT1piV-SNzShjg/edit?gid=554141278#gid=554141278"", ""'Char Def. - Attributes'!C20:C2242""), 1,false)"),"HS_CODE")</f>
        <v>HS_CODE</v>
      </c>
      <c r="I12079" s="136"/>
      <c r="R12079" s="63" t="str">
        <f t="shared" si="60"/>
        <v>ZSI1_PIPEHS_CODE</v>
      </c>
    </row>
    <row r="12080" ht="15.75" customHeight="1">
      <c r="B12080" s="63">
        <f t="shared" si="1"/>
        <v>9</v>
      </c>
      <c r="C12080" s="135" t="s">
        <v>504</v>
      </c>
      <c r="D12080" s="161" t="s">
        <v>74</v>
      </c>
      <c r="E12080" s="135">
        <f t="shared" si="62"/>
        <v>16</v>
      </c>
      <c r="F12080" s="134" t="s">
        <v>3587</v>
      </c>
      <c r="G12080" s="63" t="str">
        <f>VLOOKUP(C12080, 'Class Def. - General Data'!$C$20:$C$1000,1,false)</f>
        <v>ZSI1_PIPE</v>
      </c>
      <c r="H12080" s="63" t="str">
        <f>IFERROR(__xludf.DUMMYFUNCTION("VLOOKUP(F12080, IMPORTRANGE(""https://docs.google.com/spreadsheets/d/1Lhp9OU0JdFf_VYSMzH5lBcEaU4o8teT1piV-SNzShjg/edit?gid=554141278#gid=554141278"", ""'Char Def. - Attributes'!C20:C2242""), 1,false)"),"PLANT_BUY")</f>
        <v>PLANT_BUY</v>
      </c>
      <c r="I12080" s="136"/>
      <c r="R12080" s="63" t="str">
        <f t="shared" si="60"/>
        <v>ZSI1_PIPEPLANT_BUY</v>
      </c>
    </row>
    <row r="12081" ht="15.75" customHeight="1">
      <c r="B12081" s="63">
        <f t="shared" si="1"/>
        <v>9</v>
      </c>
      <c r="C12081" s="135" t="s">
        <v>504</v>
      </c>
      <c r="D12081" s="161" t="s">
        <v>74</v>
      </c>
      <c r="E12081" s="135">
        <f t="shared" si="62"/>
        <v>17</v>
      </c>
      <c r="F12081" s="134" t="s">
        <v>5089</v>
      </c>
      <c r="G12081" s="63" t="str">
        <f>VLOOKUP(C12081, 'Class Def. - General Data'!$C$20:$C$1000,1,false)</f>
        <v>ZSI1_PIPE</v>
      </c>
      <c r="H12081" s="63" t="str">
        <f>IFERROR(__xludf.DUMMYFUNCTION("VLOOKUP(F12081, IMPORTRANGE(""https://docs.google.com/spreadsheets/d/1Lhp9OU0JdFf_VYSMzH5lBcEaU4o8teT1piV-SNzShjg/edit?gid=554141278#gid=554141278"", ""'Char Def. - Attributes'!C20:C2242""), 1,false)"),"BASE_UOM_PIPE")</f>
        <v>BASE_UOM_PIPE</v>
      </c>
      <c r="I12081" s="136"/>
      <c r="R12081" s="63" t="str">
        <f t="shared" si="60"/>
        <v>ZSI1_PIPEBASE_UOM_PIPE</v>
      </c>
    </row>
    <row r="12082" ht="15.75" customHeight="1">
      <c r="B12082" s="63">
        <f t="shared" si="1"/>
        <v>9</v>
      </c>
      <c r="C12082" s="135" t="s">
        <v>504</v>
      </c>
      <c r="D12082" s="161" t="s">
        <v>74</v>
      </c>
      <c r="E12082" s="135">
        <f t="shared" si="62"/>
        <v>18</v>
      </c>
      <c r="F12082" s="134" t="s">
        <v>5090</v>
      </c>
      <c r="G12082" s="63" t="str">
        <f>VLOOKUP(C12082, 'Class Def. - General Data'!$C$20:$C$1000,1,false)</f>
        <v>ZSI1_PIPE</v>
      </c>
      <c r="H12082" s="63" t="str">
        <f>IFERROR(__xludf.DUMMYFUNCTION("VLOOKUP(F12082, IMPORTRANGE(""https://docs.google.com/spreadsheets/d/1Lhp9OU0JdFf_VYSMzH5lBcEaU4o8teT1piV-SNzShjg/edit?gid=554141278#gid=554141278"", ""'Char Def. - Attributes'!C20:C2242""), 1,false)"),"ORDER_UNIT_PIPE")</f>
        <v>ORDER_UNIT_PIPE</v>
      </c>
      <c r="I12082" s="136"/>
      <c r="R12082" s="63" t="str">
        <f t="shared" si="60"/>
        <v>ZSI1_PIPEORDER_UNIT_PIPE</v>
      </c>
    </row>
    <row r="12083" ht="15.75" customHeight="1">
      <c r="B12083" s="63">
        <f t="shared" si="1"/>
        <v>9</v>
      </c>
      <c r="C12083" s="135" t="s">
        <v>504</v>
      </c>
      <c r="D12083" s="161" t="s">
        <v>74</v>
      </c>
      <c r="E12083" s="135">
        <f t="shared" si="62"/>
        <v>19</v>
      </c>
      <c r="F12083" s="134" t="s">
        <v>4056</v>
      </c>
      <c r="G12083" s="63" t="str">
        <f>VLOOKUP(C12083, 'Class Def. - General Data'!$C$20:$C$1000,1,false)</f>
        <v>ZSI1_PIPE</v>
      </c>
      <c r="H12083" s="63" t="str">
        <f>IFERROR(__xludf.DUMMYFUNCTION("VLOOKUP(F12083, IMPORTRANGE(""https://docs.google.com/spreadsheets/d/1Lhp9OU0JdFf_VYSMzH5lBcEaU4o8teT1piV-SNzShjg/edit?gid=554141278#gid=554141278"", ""'Char Def. - Attributes'!C20:C2242""), 1,false)"),"GROSS_WEIGHT_OPT")</f>
        <v>GROSS_WEIGHT_OPT</v>
      </c>
      <c r="I12083" s="136"/>
      <c r="R12083" s="63" t="str">
        <f t="shared" si="60"/>
        <v>ZSI1_PIPEGROSS_WEIGHT_OPT</v>
      </c>
    </row>
    <row r="12084" ht="15.75" customHeight="1">
      <c r="B12084" s="63">
        <f t="shared" si="1"/>
        <v>9</v>
      </c>
      <c r="C12084" s="135" t="s">
        <v>504</v>
      </c>
      <c r="D12084" s="161" t="s">
        <v>74</v>
      </c>
      <c r="E12084" s="135">
        <f t="shared" si="62"/>
        <v>20</v>
      </c>
      <c r="F12084" s="134" t="s">
        <v>4057</v>
      </c>
      <c r="G12084" s="63" t="str">
        <f>VLOOKUP(C12084, 'Class Def. - General Data'!$C$20:$C$1000,1,false)</f>
        <v>ZSI1_PIPE</v>
      </c>
      <c r="H12084" s="63" t="str">
        <f>IFERROR(__xludf.DUMMYFUNCTION("VLOOKUP(F12084, IMPORTRANGE(""https://docs.google.com/spreadsheets/d/1Lhp9OU0JdFf_VYSMzH5lBcEaU4o8teT1piV-SNzShjg/edit?gid=554141278#gid=554141278"", ""'Char Def. - Attributes'!C20:C2242""), 1,false)"),"NET_WEIGHT_OPT")</f>
        <v>NET_WEIGHT_OPT</v>
      </c>
      <c r="I12084" s="136"/>
      <c r="R12084" s="63" t="str">
        <f t="shared" si="60"/>
        <v>ZSI1_PIPENET_WEIGHT_OPT</v>
      </c>
    </row>
    <row r="12085" ht="15.75" customHeight="1">
      <c r="B12085" s="63">
        <f t="shared" si="1"/>
        <v>9</v>
      </c>
      <c r="C12085" s="135" t="s">
        <v>504</v>
      </c>
      <c r="D12085" s="161" t="s">
        <v>74</v>
      </c>
      <c r="E12085" s="135">
        <f t="shared" si="62"/>
        <v>21</v>
      </c>
      <c r="F12085" s="134" t="s">
        <v>4058</v>
      </c>
      <c r="G12085" s="63" t="str">
        <f>VLOOKUP(C12085, 'Class Def. - General Data'!$C$20:$C$1000,1,false)</f>
        <v>ZSI1_PIPE</v>
      </c>
      <c r="H12085" s="63" t="str">
        <f>IFERROR(__xludf.DUMMYFUNCTION("VLOOKUP(F12085, IMPORTRANGE(""https://docs.google.com/spreadsheets/d/1Lhp9OU0JdFf_VYSMzH5lBcEaU4o8teT1piV-SNzShjg/edit?gid=554141278#gid=554141278"", ""'Char Def. - Attributes'!C20:C2242""), 1,false)"),"WEIGHT_UNIT_SI")</f>
        <v>WEIGHT_UNIT_SI</v>
      </c>
      <c r="I12085" s="136"/>
      <c r="R12085" s="63" t="str">
        <f t="shared" si="60"/>
        <v>ZSI1_PIPEWEIGHT_UNIT_SI</v>
      </c>
    </row>
    <row r="12086" ht="15.75" customHeight="1">
      <c r="B12086" s="63">
        <f t="shared" si="1"/>
        <v>9</v>
      </c>
      <c r="C12086" s="135" t="s">
        <v>504</v>
      </c>
      <c r="D12086" s="161" t="s">
        <v>74</v>
      </c>
      <c r="E12086" s="135">
        <f t="shared" si="62"/>
        <v>22</v>
      </c>
      <c r="F12086" s="134" t="s">
        <v>3877</v>
      </c>
      <c r="G12086" s="63" t="str">
        <f>VLOOKUP(C12086, 'Class Def. - General Data'!$C$20:$C$1000,1,false)</f>
        <v>ZSI1_PIPE</v>
      </c>
      <c r="H12086" s="63" t="str">
        <f>IFERROR(__xludf.DUMMYFUNCTION("VLOOKUP(F12086, IMPORTRANGE(""https://docs.google.com/spreadsheets/d/1Lhp9OU0JdFf_VYSMzH5lBcEaU4o8teT1piV-SNzShjg/edit?gid=554141278#gid=554141278"", ""'Char Def. - Attributes'!C20:C2242""), 1,false)"),"VOLUME_OPT")</f>
        <v>VOLUME_OPT</v>
      </c>
      <c r="I12086" s="136"/>
      <c r="R12086" s="63" t="str">
        <f t="shared" si="60"/>
        <v>ZSI1_PIPEVOLUME_OPT</v>
      </c>
    </row>
    <row r="12087" ht="15.75" customHeight="1">
      <c r="B12087" s="63">
        <f t="shared" si="1"/>
        <v>9</v>
      </c>
      <c r="C12087" s="135" t="s">
        <v>504</v>
      </c>
      <c r="D12087" s="161" t="s">
        <v>74</v>
      </c>
      <c r="E12087" s="135">
        <f t="shared" si="62"/>
        <v>23</v>
      </c>
      <c r="F12087" s="134" t="s">
        <v>4059</v>
      </c>
      <c r="G12087" s="63" t="str">
        <f>VLOOKUP(C12087, 'Class Def. - General Data'!$C$20:$C$1000,1,false)</f>
        <v>ZSI1_PIPE</v>
      </c>
      <c r="H12087" s="63" t="str">
        <f>IFERROR(__xludf.DUMMYFUNCTION("VLOOKUP(F12087, IMPORTRANGE(""https://docs.google.com/spreadsheets/d/1Lhp9OU0JdFf_VYSMzH5lBcEaU4o8teT1piV-SNzShjg/edit?gid=554141278#gid=554141278"", ""'Char Def. - Attributes'!C20:C2242""), 1,false)"),"VOLUME_UNIT_SI")</f>
        <v>VOLUME_UNIT_SI</v>
      </c>
      <c r="I12087" s="136"/>
      <c r="R12087" s="63" t="str">
        <f t="shared" si="60"/>
        <v>ZSI1_PIPEVOLUME_UNIT_SI</v>
      </c>
    </row>
    <row r="12088" ht="15.75" customHeight="1">
      <c r="B12088" s="63">
        <f t="shared" si="1"/>
        <v>9</v>
      </c>
      <c r="C12088" s="135" t="s">
        <v>504</v>
      </c>
      <c r="D12088" s="161" t="s">
        <v>74</v>
      </c>
      <c r="E12088" s="135">
        <f t="shared" si="62"/>
        <v>24</v>
      </c>
      <c r="F12088" s="134" t="s">
        <v>3804</v>
      </c>
      <c r="G12088" s="63" t="str">
        <f>VLOOKUP(C12088, 'Class Def. - General Data'!$C$20:$C$1000,1,false)</f>
        <v>ZSI1_PIPE</v>
      </c>
      <c r="H12088" s="63" t="str">
        <f>IFERROR(__xludf.DUMMYFUNCTION("VLOOKUP(F12088, IMPORTRANGE(""https://docs.google.com/spreadsheets/d/1Lhp9OU0JdFf_VYSMzH5lBcEaU4o8teT1piV-SNzShjg/edit?gid=554141278#gid=554141278"", ""'Char Def. - Attributes'!C20:C2242""), 1,false)"),"ALT_UOM1_SIPI")</f>
        <v>ALT_UOM1_SIPI</v>
      </c>
      <c r="I12088" s="136"/>
      <c r="R12088" s="63" t="str">
        <f t="shared" si="60"/>
        <v>ZSI1_PIPEALT_UOM1_SIPI</v>
      </c>
    </row>
    <row r="12089" ht="15.75" customHeight="1">
      <c r="B12089" s="63">
        <f t="shared" si="1"/>
        <v>9</v>
      </c>
      <c r="C12089" s="135" t="s">
        <v>504</v>
      </c>
      <c r="D12089" s="161" t="s">
        <v>74</v>
      </c>
      <c r="E12089" s="135">
        <f t="shared" si="62"/>
        <v>25</v>
      </c>
      <c r="F12089" s="134" t="s">
        <v>3805</v>
      </c>
      <c r="G12089" s="63" t="str">
        <f>VLOOKUP(C12089, 'Class Def. - General Data'!$C$20:$C$1000,1,false)</f>
        <v>ZSI1_PIPE</v>
      </c>
      <c r="H12089" s="63" t="str">
        <f>IFERROR(__xludf.DUMMYFUNCTION("VLOOKUP(F12089, IMPORTRANGE(""https://docs.google.com/spreadsheets/d/1Lhp9OU0JdFf_VYSMzH5lBcEaU4o8teT1piV-SNzShjg/edit?gid=554141278#gid=554141278"", ""'Char Def. - Attributes'!C20:C2242""), 1,false)"),"ALT_DENUM_UOM1")</f>
        <v>ALT_DENUM_UOM1</v>
      </c>
      <c r="I12089" s="136"/>
      <c r="R12089" s="63" t="str">
        <f t="shared" si="60"/>
        <v>ZSI1_PIPEALT_DENUM_UOM1</v>
      </c>
    </row>
    <row r="12090" ht="15.75" customHeight="1">
      <c r="B12090" s="63">
        <f t="shared" si="1"/>
        <v>9</v>
      </c>
      <c r="C12090" s="135" t="s">
        <v>504</v>
      </c>
      <c r="D12090" s="161" t="s">
        <v>74</v>
      </c>
      <c r="E12090" s="135">
        <f t="shared" si="62"/>
        <v>26</v>
      </c>
      <c r="F12090" s="134" t="s">
        <v>3806</v>
      </c>
      <c r="G12090" s="63" t="str">
        <f>VLOOKUP(C12090, 'Class Def. - General Data'!$C$20:$C$1000,1,false)</f>
        <v>ZSI1_PIPE</v>
      </c>
      <c r="H12090" s="63" t="str">
        <f>IFERROR(__xludf.DUMMYFUNCTION("VLOOKUP(F12090, IMPORTRANGE(""https://docs.google.com/spreadsheets/d/1Lhp9OU0JdFf_VYSMzH5lBcEaU4o8teT1piV-SNzShjg/edit?gid=554141278#gid=554141278"", ""'Char Def. - Attributes'!C20:C2242""), 1,false)"),"ALT_NUM_UOM1")</f>
        <v>ALT_NUM_UOM1</v>
      </c>
      <c r="I12090" s="136"/>
      <c r="R12090" s="63" t="str">
        <f t="shared" si="60"/>
        <v>ZSI1_PIPEALT_NUM_UOM1</v>
      </c>
    </row>
    <row r="12091" ht="15.75" customHeight="1">
      <c r="B12091" s="63">
        <f t="shared" si="1"/>
        <v>9</v>
      </c>
      <c r="C12091" s="135" t="s">
        <v>504</v>
      </c>
      <c r="D12091" s="161" t="s">
        <v>74</v>
      </c>
      <c r="E12091" s="135">
        <f t="shared" si="62"/>
        <v>27</v>
      </c>
      <c r="F12091" s="134" t="s">
        <v>3807</v>
      </c>
      <c r="G12091" s="63" t="str">
        <f>VLOOKUP(C12091, 'Class Def. - General Data'!$C$20:$C$1000,1,false)</f>
        <v>ZSI1_PIPE</v>
      </c>
      <c r="H12091" s="63" t="str">
        <f>IFERROR(__xludf.DUMMYFUNCTION("VLOOKUP(F12091, IMPORTRANGE(""https://docs.google.com/spreadsheets/d/1Lhp9OU0JdFf_VYSMzH5lBcEaU4o8teT1piV-SNzShjg/edit?gid=554141278#gid=554141278"", ""'Char Def. - Attributes'!C20:C2242""), 1,false)"),"ALT_UOM2_SIPI")</f>
        <v>ALT_UOM2_SIPI</v>
      </c>
      <c r="I12091" s="136"/>
      <c r="R12091" s="63" t="str">
        <f t="shared" si="60"/>
        <v>ZSI1_PIPEALT_UOM2_SIPI</v>
      </c>
    </row>
    <row r="12092" ht="15.75" customHeight="1">
      <c r="B12092" s="63">
        <f t="shared" si="1"/>
        <v>9</v>
      </c>
      <c r="C12092" s="135" t="s">
        <v>504</v>
      </c>
      <c r="D12092" s="161" t="s">
        <v>74</v>
      </c>
      <c r="E12092" s="135">
        <f t="shared" si="62"/>
        <v>28</v>
      </c>
      <c r="F12092" s="134" t="s">
        <v>3808</v>
      </c>
      <c r="G12092" s="63" t="str">
        <f>VLOOKUP(C12092, 'Class Def. - General Data'!$C$20:$C$1000,1,false)</f>
        <v>ZSI1_PIPE</v>
      </c>
      <c r="H12092" s="63" t="str">
        <f>IFERROR(__xludf.DUMMYFUNCTION("VLOOKUP(F12092, IMPORTRANGE(""https://docs.google.com/spreadsheets/d/1Lhp9OU0JdFf_VYSMzH5lBcEaU4o8teT1piV-SNzShjg/edit?gid=554141278#gid=554141278"", ""'Char Def. - Attributes'!C20:C2242""), 1,false)"),"ALT_DENUM_UOM2")</f>
        <v>ALT_DENUM_UOM2</v>
      </c>
      <c r="I12092" s="136"/>
      <c r="R12092" s="63" t="str">
        <f t="shared" si="60"/>
        <v>ZSI1_PIPEALT_DENUM_UOM2</v>
      </c>
    </row>
    <row r="12093" ht="15.75" customHeight="1">
      <c r="B12093" s="63">
        <f t="shared" si="1"/>
        <v>9</v>
      </c>
      <c r="C12093" s="135" t="s">
        <v>504</v>
      </c>
      <c r="D12093" s="161" t="s">
        <v>74</v>
      </c>
      <c r="E12093" s="135">
        <f t="shared" si="62"/>
        <v>29</v>
      </c>
      <c r="F12093" s="134" t="s">
        <v>3809</v>
      </c>
      <c r="G12093" s="63" t="str">
        <f>VLOOKUP(C12093, 'Class Def. - General Data'!$C$20:$C$1000,1,false)</f>
        <v>ZSI1_PIPE</v>
      </c>
      <c r="H12093" s="63" t="str">
        <f>IFERROR(__xludf.DUMMYFUNCTION("VLOOKUP(F12093, IMPORTRANGE(""https://docs.google.com/spreadsheets/d/1Lhp9OU0JdFf_VYSMzH5lBcEaU4o8teT1piV-SNzShjg/edit?gid=554141278#gid=554141278"", ""'Char Def. - Attributes'!C20:C2242""), 1,false)"),"ALT_NUM_UOM2")</f>
        <v>ALT_NUM_UOM2</v>
      </c>
      <c r="I12093" s="136"/>
      <c r="R12093" s="63" t="str">
        <f t="shared" si="60"/>
        <v>ZSI1_PIPEALT_NUM_UOM2</v>
      </c>
    </row>
    <row r="12094" ht="15.75" customHeight="1">
      <c r="B12094" s="63">
        <f t="shared" si="1"/>
        <v>9</v>
      </c>
      <c r="C12094" s="135" t="s">
        <v>504</v>
      </c>
      <c r="D12094" s="161" t="s">
        <v>74</v>
      </c>
      <c r="E12094" s="135">
        <f t="shared" si="62"/>
        <v>30</v>
      </c>
      <c r="F12094" s="134" t="s">
        <v>3810</v>
      </c>
      <c r="G12094" s="63" t="str">
        <f>VLOOKUP(C12094, 'Class Def. - General Data'!$C$20:$C$1000,1,false)</f>
        <v>ZSI1_PIPE</v>
      </c>
      <c r="H12094" s="63" t="str">
        <f>IFERROR(__xludf.DUMMYFUNCTION("VLOOKUP(F12094, IMPORTRANGE(""https://docs.google.com/spreadsheets/d/1Lhp9OU0JdFf_VYSMzH5lBcEaU4o8teT1piV-SNzShjg/edit?gid=554141278#gid=554141278"", ""'Char Def. - Attributes'!C20:C2242""), 1,false)"),"ALT_UOM3_SIPI")</f>
        <v>ALT_UOM3_SIPI</v>
      </c>
      <c r="I12094" s="136"/>
      <c r="R12094" s="63" t="str">
        <f t="shared" si="60"/>
        <v>ZSI1_PIPEALT_UOM3_SIPI</v>
      </c>
    </row>
    <row r="12095" ht="15.75" customHeight="1">
      <c r="B12095" s="63">
        <f t="shared" si="1"/>
        <v>9</v>
      </c>
      <c r="C12095" s="135" t="s">
        <v>504</v>
      </c>
      <c r="D12095" s="161" t="s">
        <v>74</v>
      </c>
      <c r="E12095" s="135">
        <f t="shared" si="62"/>
        <v>31</v>
      </c>
      <c r="F12095" s="134" t="s">
        <v>3811</v>
      </c>
      <c r="G12095" s="63" t="str">
        <f>VLOOKUP(C12095, 'Class Def. - General Data'!$C$20:$C$1000,1,false)</f>
        <v>ZSI1_PIPE</v>
      </c>
      <c r="H12095" s="63" t="str">
        <f>IFERROR(__xludf.DUMMYFUNCTION("VLOOKUP(F12095, IMPORTRANGE(""https://docs.google.com/spreadsheets/d/1Lhp9OU0JdFf_VYSMzH5lBcEaU4o8teT1piV-SNzShjg/edit?gid=554141278#gid=554141278"", ""'Char Def. - Attributes'!C20:C2242""), 1,false)"),"ALT_DENUM_UOM3")</f>
        <v>ALT_DENUM_UOM3</v>
      </c>
      <c r="I12095" s="136"/>
      <c r="R12095" s="63" t="str">
        <f t="shared" si="60"/>
        <v>ZSI1_PIPEALT_DENUM_UOM3</v>
      </c>
    </row>
    <row r="12096" ht="15.75" customHeight="1">
      <c r="B12096" s="63">
        <f t="shared" si="1"/>
        <v>9</v>
      </c>
      <c r="C12096" s="135" t="s">
        <v>504</v>
      </c>
      <c r="D12096" s="161" t="s">
        <v>74</v>
      </c>
      <c r="E12096" s="135">
        <f t="shared" si="62"/>
        <v>32</v>
      </c>
      <c r="F12096" s="134" t="s">
        <v>3812</v>
      </c>
      <c r="G12096" s="63" t="str">
        <f>VLOOKUP(C12096, 'Class Def. - General Data'!$C$20:$C$1000,1,false)</f>
        <v>ZSI1_PIPE</v>
      </c>
      <c r="H12096" s="63" t="str">
        <f>IFERROR(__xludf.DUMMYFUNCTION("VLOOKUP(F12096, IMPORTRANGE(""https://docs.google.com/spreadsheets/d/1Lhp9OU0JdFf_VYSMzH5lBcEaU4o8teT1piV-SNzShjg/edit?gid=554141278#gid=554141278"", ""'Char Def. - Attributes'!C20:C2242""), 1,false)"),"ALT_NUM_UOM3")</f>
        <v>ALT_NUM_UOM3</v>
      </c>
      <c r="I12096" s="136"/>
      <c r="R12096" s="63" t="str">
        <f t="shared" si="60"/>
        <v>ZSI1_PIPEALT_NUM_UOM3</v>
      </c>
    </row>
    <row r="12097" ht="15.75" customHeight="1">
      <c r="B12097" s="63">
        <f t="shared" si="1"/>
        <v>9</v>
      </c>
      <c r="C12097" s="135" t="s">
        <v>504</v>
      </c>
      <c r="D12097" s="161" t="s">
        <v>74</v>
      </c>
      <c r="E12097" s="135">
        <f t="shared" si="62"/>
        <v>33</v>
      </c>
      <c r="F12097" s="134" t="s">
        <v>3813</v>
      </c>
      <c r="G12097" s="63" t="str">
        <f>VLOOKUP(C12097, 'Class Def. - General Data'!$C$20:$C$1000,1,false)</f>
        <v>ZSI1_PIPE</v>
      </c>
      <c r="H12097" s="63" t="str">
        <f>IFERROR(__xludf.DUMMYFUNCTION("VLOOKUP(F12097, IMPORTRANGE(""https://docs.google.com/spreadsheets/d/1Lhp9OU0JdFf_VYSMzH5lBcEaU4o8teT1piV-SNzShjg/edit?gid=554141278#gid=554141278"", ""'Char Def. - Attributes'!C20:C2242""), 1,false)"),"ALT_UOM4_SIPI")</f>
        <v>ALT_UOM4_SIPI</v>
      </c>
      <c r="I12097" s="136"/>
      <c r="R12097" s="63" t="str">
        <f t="shared" si="60"/>
        <v>ZSI1_PIPEALT_UOM4_SIPI</v>
      </c>
    </row>
    <row r="12098" ht="15.75" customHeight="1">
      <c r="B12098" s="63">
        <f t="shared" si="1"/>
        <v>9</v>
      </c>
      <c r="C12098" s="135" t="s">
        <v>504</v>
      </c>
      <c r="D12098" s="161" t="s">
        <v>74</v>
      </c>
      <c r="E12098" s="135">
        <f t="shared" si="62"/>
        <v>34</v>
      </c>
      <c r="F12098" s="134" t="s">
        <v>3814</v>
      </c>
      <c r="G12098" s="63" t="str">
        <f>VLOOKUP(C12098, 'Class Def. - General Data'!$C$20:$C$1000,1,false)</f>
        <v>ZSI1_PIPE</v>
      </c>
      <c r="H12098" s="63" t="str">
        <f>IFERROR(__xludf.DUMMYFUNCTION("VLOOKUP(F12098, IMPORTRANGE(""https://docs.google.com/spreadsheets/d/1Lhp9OU0JdFf_VYSMzH5lBcEaU4o8teT1piV-SNzShjg/edit?gid=554141278#gid=554141278"", ""'Char Def. - Attributes'!C20:C2242""), 1,false)"),"ALT_DENUM_UOM4")</f>
        <v>ALT_DENUM_UOM4</v>
      </c>
      <c r="I12098" s="136"/>
      <c r="R12098" s="63" t="str">
        <f t="shared" si="60"/>
        <v>ZSI1_PIPEALT_DENUM_UOM4</v>
      </c>
    </row>
    <row r="12099" ht="15.75" customHeight="1">
      <c r="B12099" s="63">
        <f t="shared" si="1"/>
        <v>9</v>
      </c>
      <c r="C12099" s="135" t="s">
        <v>504</v>
      </c>
      <c r="D12099" s="161" t="s">
        <v>74</v>
      </c>
      <c r="E12099" s="135">
        <f t="shared" si="62"/>
        <v>35</v>
      </c>
      <c r="F12099" s="134" t="s">
        <v>3815</v>
      </c>
      <c r="G12099" s="63" t="str">
        <f>VLOOKUP(C12099, 'Class Def. - General Data'!$C$20:$C$1000,1,false)</f>
        <v>ZSI1_PIPE</v>
      </c>
      <c r="H12099" s="63" t="str">
        <f>IFERROR(__xludf.DUMMYFUNCTION("VLOOKUP(F12099, IMPORTRANGE(""https://docs.google.com/spreadsheets/d/1Lhp9OU0JdFf_VYSMzH5lBcEaU4o8teT1piV-SNzShjg/edit?gid=554141278#gid=554141278"", ""'Char Def. - Attributes'!C20:C2242""), 1,false)"),"ALT_NUM_UOM4")</f>
        <v>ALT_NUM_UOM4</v>
      </c>
      <c r="I12099" s="136"/>
      <c r="R12099" s="63" t="str">
        <f t="shared" si="60"/>
        <v>ZSI1_PIPEALT_NUM_UOM4</v>
      </c>
    </row>
    <row r="12100" ht="15.75" customHeight="1">
      <c r="B12100" s="63">
        <f t="shared" si="1"/>
        <v>9</v>
      </c>
      <c r="C12100" s="135" t="s">
        <v>504</v>
      </c>
      <c r="D12100" s="161" t="s">
        <v>74</v>
      </c>
      <c r="E12100" s="135">
        <f t="shared" si="62"/>
        <v>36</v>
      </c>
      <c r="F12100" s="134" t="s">
        <v>3816</v>
      </c>
      <c r="G12100" s="63" t="str">
        <f>VLOOKUP(C12100, 'Class Def. - General Data'!$C$20:$C$1000,1,false)</f>
        <v>ZSI1_PIPE</v>
      </c>
      <c r="H12100" s="63" t="str">
        <f>IFERROR(__xludf.DUMMYFUNCTION("VLOOKUP(F12100, IMPORTRANGE(""https://docs.google.com/spreadsheets/d/1Lhp9OU0JdFf_VYSMzH5lBcEaU4o8teT1piV-SNzShjg/edit?gid=554141278#gid=554141278"", ""'Char Def. - Attributes'!C20:C2242""), 1,false)"),"ALT_UOM5_SIPI")</f>
        <v>ALT_UOM5_SIPI</v>
      </c>
      <c r="I12100" s="136"/>
      <c r="R12100" s="63" t="str">
        <f t="shared" si="60"/>
        <v>ZSI1_PIPEALT_UOM5_SIPI</v>
      </c>
    </row>
    <row r="12101" ht="15.75" customHeight="1">
      <c r="B12101" s="63">
        <f t="shared" si="1"/>
        <v>9</v>
      </c>
      <c r="C12101" s="135" t="s">
        <v>504</v>
      </c>
      <c r="D12101" s="161" t="s">
        <v>74</v>
      </c>
      <c r="E12101" s="135">
        <f t="shared" si="62"/>
        <v>37</v>
      </c>
      <c r="F12101" s="134" t="s">
        <v>3817</v>
      </c>
      <c r="G12101" s="63" t="str">
        <f>VLOOKUP(C12101, 'Class Def. - General Data'!$C$20:$C$1000,1,false)</f>
        <v>ZSI1_PIPE</v>
      </c>
      <c r="H12101" s="63" t="str">
        <f>IFERROR(__xludf.DUMMYFUNCTION("VLOOKUP(F12101, IMPORTRANGE(""https://docs.google.com/spreadsheets/d/1Lhp9OU0JdFf_VYSMzH5lBcEaU4o8teT1piV-SNzShjg/edit?gid=554141278#gid=554141278"", ""'Char Def. - Attributes'!C20:C2242""), 1,false)"),"ALT_DENUM_UOM5")</f>
        <v>ALT_DENUM_UOM5</v>
      </c>
      <c r="I12101" s="136"/>
      <c r="R12101" s="63" t="str">
        <f t="shared" si="60"/>
        <v>ZSI1_PIPEALT_DENUM_UOM5</v>
      </c>
    </row>
    <row r="12102" ht="15.75" customHeight="1">
      <c r="B12102" s="63">
        <f t="shared" si="1"/>
        <v>9</v>
      </c>
      <c r="C12102" s="135" t="s">
        <v>504</v>
      </c>
      <c r="D12102" s="161" t="s">
        <v>74</v>
      </c>
      <c r="E12102" s="135">
        <f t="shared" si="62"/>
        <v>38</v>
      </c>
      <c r="F12102" s="134" t="s">
        <v>3818</v>
      </c>
      <c r="G12102" s="63" t="str">
        <f>VLOOKUP(C12102, 'Class Def. - General Data'!$C$20:$C$1000,1,false)</f>
        <v>ZSI1_PIPE</v>
      </c>
      <c r="H12102" s="63" t="str">
        <f>IFERROR(__xludf.DUMMYFUNCTION("VLOOKUP(F12102, IMPORTRANGE(""https://docs.google.com/spreadsheets/d/1Lhp9OU0JdFf_VYSMzH5lBcEaU4o8teT1piV-SNzShjg/edit?gid=554141278#gid=554141278"", ""'Char Def. - Attributes'!C20:C2242""), 1,false)"),"ALT_NUM_UOM5")</f>
        <v>ALT_NUM_UOM5</v>
      </c>
      <c r="I12102" s="136"/>
      <c r="R12102" s="63" t="str">
        <f t="shared" si="60"/>
        <v>ZSI1_PIPEALT_NUM_UOM5</v>
      </c>
    </row>
    <row r="12103" ht="15.75" customHeight="1">
      <c r="B12103" s="63">
        <f t="shared" si="1"/>
        <v>14</v>
      </c>
      <c r="C12103" s="135" t="s">
        <v>440</v>
      </c>
      <c r="D12103" s="161" t="s">
        <v>74</v>
      </c>
      <c r="E12103" s="135">
        <f t="shared" si="62"/>
        <v>1</v>
      </c>
      <c r="F12103" s="134" t="s">
        <v>5091</v>
      </c>
      <c r="G12103" s="63" t="str">
        <f>VLOOKUP(C12103, 'Class Def. - General Data'!$C$20:$C$1000,1,false)</f>
        <v>ZSI1_PIPE_CAPS</v>
      </c>
      <c r="H12103" s="63" t="str">
        <f>IFERROR(__xludf.DUMMYFUNCTION("VLOOKUP(F12103, IMPORTRANGE(""https://docs.google.com/spreadsheets/d/1Lhp9OU0JdFf_VYSMzH5lBcEaU4o8teT1piV-SNzShjg/edit?gid=554141278#gid=554141278"", ""'Char Def. - Attributes'!C20:C2242""), 1,false)"),"ITEM_NAME_PIPE_CAPS")</f>
        <v>ITEM_NAME_PIPE_CAPS</v>
      </c>
      <c r="I12103" s="136"/>
      <c r="R12103" s="63" t="str">
        <f t="shared" si="60"/>
        <v>ZSI1_PIPE_CAPSITEM_NAME_PIPE_CAPS</v>
      </c>
    </row>
    <row r="12104" ht="15.75" customHeight="1">
      <c r="B12104" s="63">
        <f t="shared" si="1"/>
        <v>14</v>
      </c>
      <c r="C12104" s="135" t="s">
        <v>440</v>
      </c>
      <c r="D12104" s="161" t="s">
        <v>74</v>
      </c>
      <c r="E12104" s="135">
        <f t="shared" si="62"/>
        <v>2</v>
      </c>
      <c r="F12104" s="134" t="s">
        <v>5092</v>
      </c>
      <c r="G12104" s="63" t="str">
        <f>VLOOKUP(C12104, 'Class Def. - General Data'!$C$20:$C$1000,1,false)</f>
        <v>ZSI1_PIPE_CAPS</v>
      </c>
      <c r="H12104" s="63" t="str">
        <f>IFERROR(__xludf.DUMMYFUNCTION("VLOOKUP(F12104, IMPORTRANGE(""https://docs.google.com/spreadsheets/d/1Lhp9OU0JdFf_VYSMzH5lBcEaU4o8teT1piV-SNzShjg/edit?gid=554141278#gid=554141278"", ""'Char Def. - Attributes'!C20:C2242""), 1,false)"),"MATERIAL_PIPE_CAPS")</f>
        <v>MATERIAL_PIPE_CAPS</v>
      </c>
      <c r="I12104" s="136"/>
      <c r="R12104" s="63" t="str">
        <f t="shared" si="60"/>
        <v>ZSI1_PIPE_CAPSMATERIAL_PIPE_CAPS</v>
      </c>
    </row>
    <row r="12105" ht="15.75" customHeight="1">
      <c r="B12105" s="63">
        <f t="shared" si="1"/>
        <v>14</v>
      </c>
      <c r="C12105" s="135" t="s">
        <v>440</v>
      </c>
      <c r="D12105" s="161" t="s">
        <v>74</v>
      </c>
      <c r="E12105" s="135">
        <f t="shared" si="62"/>
        <v>3</v>
      </c>
      <c r="F12105" s="134" t="s">
        <v>5093</v>
      </c>
      <c r="G12105" s="63" t="str">
        <f>VLOOKUP(C12105, 'Class Def. - General Data'!$C$20:$C$1000,1,false)</f>
        <v>ZSI1_PIPE_CAPS</v>
      </c>
      <c r="H12105" s="63" t="str">
        <f>IFERROR(__xludf.DUMMYFUNCTION("VLOOKUP(F12105, IMPORTRANGE(""https://docs.google.com/spreadsheets/d/1Lhp9OU0JdFf_VYSMzH5lBcEaU4o8teT1piV-SNzShjg/edit?gid=554141278#gid=554141278"", ""'Char Def. - Attributes'!C20:C2242""), 1,false)"),"SIZE_DIMENSION_PIPE_CAPS")</f>
        <v>SIZE_DIMENSION_PIPE_CAPS</v>
      </c>
      <c r="I12105" s="136"/>
      <c r="R12105" s="63" t="str">
        <f t="shared" si="60"/>
        <v>ZSI1_PIPE_CAPSSIZE_DIMENSION_PIPE_CAPS</v>
      </c>
    </row>
    <row r="12106" ht="15.75" customHeight="1">
      <c r="B12106" s="63">
        <f t="shared" si="1"/>
        <v>14</v>
      </c>
      <c r="C12106" s="135" t="s">
        <v>440</v>
      </c>
      <c r="D12106" s="161" t="s">
        <v>74</v>
      </c>
      <c r="E12106" s="135">
        <f t="shared" si="62"/>
        <v>4</v>
      </c>
      <c r="F12106" s="134" t="s">
        <v>5094</v>
      </c>
      <c r="G12106" s="63" t="str">
        <f>VLOOKUP(C12106, 'Class Def. - General Data'!$C$20:$C$1000,1,false)</f>
        <v>ZSI1_PIPE_CAPS</v>
      </c>
      <c r="H12106" s="63" t="str">
        <f>IFERROR(__xludf.DUMMYFUNCTION("VLOOKUP(F12106, IMPORTRANGE(""https://docs.google.com/spreadsheets/d/1Lhp9OU0JdFf_VYSMzH5lBcEaU4o8teT1piV-SNzShjg/edit?gid=554141278#gid=554141278"", ""'Char Def. - Attributes'!C20:C2242""), 1,false)"),"SIZE_MM_PIPE_CAPS")</f>
        <v>SIZE_MM_PIPE_CAPS</v>
      </c>
      <c r="I12106" s="136"/>
      <c r="R12106" s="63" t="str">
        <f t="shared" si="60"/>
        <v>ZSI1_PIPE_CAPSSIZE_MM_PIPE_CAPS</v>
      </c>
    </row>
    <row r="12107" ht="15.75" customHeight="1">
      <c r="B12107" s="63">
        <f t="shared" si="1"/>
        <v>14</v>
      </c>
      <c r="C12107" s="135" t="s">
        <v>440</v>
      </c>
      <c r="D12107" s="161" t="s">
        <v>74</v>
      </c>
      <c r="E12107" s="135">
        <f t="shared" si="62"/>
        <v>5</v>
      </c>
      <c r="F12107" s="134" t="s">
        <v>5095</v>
      </c>
      <c r="G12107" s="63" t="str">
        <f>VLOOKUP(C12107, 'Class Def. - General Data'!$C$20:$C$1000,1,false)</f>
        <v>ZSI1_PIPE_CAPS</v>
      </c>
      <c r="H12107" s="63" t="str">
        <f>IFERROR(__xludf.DUMMYFUNCTION("VLOOKUP(F12107, IMPORTRANGE(""https://docs.google.com/spreadsheets/d/1Lhp9OU0JdFf_VYSMzH5lBcEaU4o8teT1piV-SNzShjg/edit?gid=554141278#gid=554141278"", ""'Char Def. - Attributes'!C20:C2242""), 1,false)"),"SIZE_INCH_PIPE_CAPS")</f>
        <v>SIZE_INCH_PIPE_CAPS</v>
      </c>
      <c r="I12107" s="136"/>
      <c r="R12107" s="63" t="str">
        <f t="shared" si="60"/>
        <v>ZSI1_PIPE_CAPSSIZE_INCH_PIPE_CAPS</v>
      </c>
    </row>
    <row r="12108" ht="15.75" customHeight="1">
      <c r="B12108" s="63">
        <f t="shared" si="1"/>
        <v>14</v>
      </c>
      <c r="C12108" s="135" t="s">
        <v>440</v>
      </c>
      <c r="D12108" s="161" t="s">
        <v>74</v>
      </c>
      <c r="E12108" s="135">
        <f t="shared" si="62"/>
        <v>6</v>
      </c>
      <c r="F12108" s="134" t="s">
        <v>4053</v>
      </c>
      <c r="G12108" s="63" t="str">
        <f>VLOOKUP(C12108, 'Class Def. - General Data'!$C$20:$C$1000,1,false)</f>
        <v>ZSI1_PIPE_CAPS</v>
      </c>
      <c r="H12108" s="63" t="str">
        <f>IFERROR(__xludf.DUMMYFUNCTION("VLOOKUP(F12108, IMPORTRANGE(""https://docs.google.com/spreadsheets/d/1Lhp9OU0JdFf_VYSMzH5lBcEaU4o8teT1piV-SNzShjg/edit?gid=554141278#gid=554141278"", ""'Char Def. - Attributes'!C20:C2242""), 1,false)"),"MAINTENANCE_ORDER_TYPE")</f>
        <v>MAINTENANCE_ORDER_TYPE</v>
      </c>
      <c r="I12108" s="136"/>
      <c r="R12108" s="63" t="str">
        <f t="shared" si="60"/>
        <v>ZSI1_PIPE_CAPSMAINTENANCE_ORDER_TYPE</v>
      </c>
    </row>
    <row r="12109" ht="15.75" customHeight="1">
      <c r="B12109" s="63">
        <f t="shared" si="1"/>
        <v>14</v>
      </c>
      <c r="C12109" s="135" t="s">
        <v>440</v>
      </c>
      <c r="D12109" s="161" t="s">
        <v>74</v>
      </c>
      <c r="E12109" s="135">
        <f t="shared" si="62"/>
        <v>7</v>
      </c>
      <c r="F12109" s="134" t="s">
        <v>3585</v>
      </c>
      <c r="G12109" s="63" t="str">
        <f>VLOOKUP(C12109, 'Class Def. - General Data'!$C$20:$C$1000,1,false)</f>
        <v>ZSI1_PIPE_CAPS</v>
      </c>
      <c r="H12109" s="63" t="str">
        <f>IFERROR(__xludf.DUMMYFUNCTION("VLOOKUP(F12109, IMPORTRANGE(""https://docs.google.com/spreadsheets/d/1Lhp9OU0JdFf_VYSMzH5lBcEaU4o8teT1piV-SNzShjg/edit?gid=554141278#gid=554141278"", ""'Char Def. - Attributes'!C20:C2242""), 1,false)"),"HS_CODE")</f>
        <v>HS_CODE</v>
      </c>
      <c r="I12109" s="136"/>
      <c r="R12109" s="63" t="str">
        <f t="shared" si="60"/>
        <v>ZSI1_PIPE_CAPSHS_CODE</v>
      </c>
    </row>
    <row r="12110" ht="15.75" customHeight="1">
      <c r="B12110" s="63">
        <f t="shared" si="1"/>
        <v>14</v>
      </c>
      <c r="C12110" s="135" t="s">
        <v>440</v>
      </c>
      <c r="D12110" s="161" t="s">
        <v>74</v>
      </c>
      <c r="E12110" s="135">
        <f t="shared" si="62"/>
        <v>8</v>
      </c>
      <c r="F12110" s="134" t="s">
        <v>3587</v>
      </c>
      <c r="G12110" s="63" t="str">
        <f>VLOOKUP(C12110, 'Class Def. - General Data'!$C$20:$C$1000,1,false)</f>
        <v>ZSI1_PIPE_CAPS</v>
      </c>
      <c r="H12110" s="63" t="str">
        <f>IFERROR(__xludf.DUMMYFUNCTION("VLOOKUP(F12110, IMPORTRANGE(""https://docs.google.com/spreadsheets/d/1Lhp9OU0JdFf_VYSMzH5lBcEaU4o8teT1piV-SNzShjg/edit?gid=554141278#gid=554141278"", ""'Char Def. - Attributes'!C20:C2242""), 1,false)"),"PLANT_BUY")</f>
        <v>PLANT_BUY</v>
      </c>
      <c r="I12110" s="136"/>
      <c r="R12110" s="63" t="str">
        <f t="shared" si="60"/>
        <v>ZSI1_PIPE_CAPSPLANT_BUY</v>
      </c>
    </row>
    <row r="12111" ht="15.75" customHeight="1">
      <c r="B12111" s="63">
        <f t="shared" si="1"/>
        <v>14</v>
      </c>
      <c r="C12111" s="135" t="s">
        <v>440</v>
      </c>
      <c r="D12111" s="161" t="s">
        <v>74</v>
      </c>
      <c r="E12111" s="135">
        <f t="shared" si="62"/>
        <v>9</v>
      </c>
      <c r="F12111" s="134" t="s">
        <v>5096</v>
      </c>
      <c r="G12111" s="63" t="str">
        <f>VLOOKUP(C12111, 'Class Def. - General Data'!$C$20:$C$1000,1,false)</f>
        <v>ZSI1_PIPE_CAPS</v>
      </c>
      <c r="H12111" s="63" t="str">
        <f>IFERROR(__xludf.DUMMYFUNCTION("VLOOKUP(F12111, IMPORTRANGE(""https://docs.google.com/spreadsheets/d/1Lhp9OU0JdFf_VYSMzH5lBcEaU4o8teT1piV-SNzShjg/edit?gid=554141278#gid=554141278"", ""'Char Def. - Attributes'!C20:C2242""), 1,false)"),"BASE_UOM_PIPE_CAPS")</f>
        <v>BASE_UOM_PIPE_CAPS</v>
      </c>
      <c r="I12111" s="136"/>
      <c r="R12111" s="63" t="str">
        <f t="shared" si="60"/>
        <v>ZSI1_PIPE_CAPSBASE_UOM_PIPE_CAPS</v>
      </c>
    </row>
    <row r="12112" ht="15.75" customHeight="1">
      <c r="B12112" s="63">
        <f t="shared" si="1"/>
        <v>14</v>
      </c>
      <c r="C12112" s="135" t="s">
        <v>440</v>
      </c>
      <c r="D12112" s="161" t="s">
        <v>74</v>
      </c>
      <c r="E12112" s="135">
        <f t="shared" si="62"/>
        <v>10</v>
      </c>
      <c r="F12112" s="134" t="s">
        <v>5097</v>
      </c>
      <c r="G12112" s="63" t="str">
        <f>VLOOKUP(C12112, 'Class Def. - General Data'!$C$20:$C$1000,1,false)</f>
        <v>ZSI1_PIPE_CAPS</v>
      </c>
      <c r="H12112" s="63" t="str">
        <f>IFERROR(__xludf.DUMMYFUNCTION("VLOOKUP(F12112, IMPORTRANGE(""https://docs.google.com/spreadsheets/d/1Lhp9OU0JdFf_VYSMzH5lBcEaU4o8teT1piV-SNzShjg/edit?gid=554141278#gid=554141278"", ""'Char Def. - Attributes'!C20:C2242""), 1,false)"),"ORDER_UNIT_PIPE_CAPS")</f>
        <v>ORDER_UNIT_PIPE_CAPS</v>
      </c>
      <c r="I12112" s="136"/>
      <c r="R12112" s="63" t="str">
        <f t="shared" si="60"/>
        <v>ZSI1_PIPE_CAPSORDER_UNIT_PIPE_CAPS</v>
      </c>
    </row>
    <row r="12113" ht="15.75" customHeight="1">
      <c r="B12113" s="63">
        <f t="shared" si="1"/>
        <v>14</v>
      </c>
      <c r="C12113" s="135" t="s">
        <v>440</v>
      </c>
      <c r="D12113" s="161" t="s">
        <v>74</v>
      </c>
      <c r="E12113" s="135">
        <f t="shared" si="62"/>
        <v>11</v>
      </c>
      <c r="F12113" s="134" t="s">
        <v>4056</v>
      </c>
      <c r="G12113" s="63" t="str">
        <f>VLOOKUP(C12113, 'Class Def. - General Data'!$C$20:$C$1000,1,false)</f>
        <v>ZSI1_PIPE_CAPS</v>
      </c>
      <c r="H12113" s="63" t="str">
        <f>IFERROR(__xludf.DUMMYFUNCTION("VLOOKUP(F12113, IMPORTRANGE(""https://docs.google.com/spreadsheets/d/1Lhp9OU0JdFf_VYSMzH5lBcEaU4o8teT1piV-SNzShjg/edit?gid=554141278#gid=554141278"", ""'Char Def. - Attributes'!C20:C2242""), 1,false)"),"GROSS_WEIGHT_OPT")</f>
        <v>GROSS_WEIGHT_OPT</v>
      </c>
      <c r="I12113" s="136"/>
      <c r="R12113" s="63" t="str">
        <f t="shared" si="60"/>
        <v>ZSI1_PIPE_CAPSGROSS_WEIGHT_OPT</v>
      </c>
    </row>
    <row r="12114" ht="15.75" customHeight="1">
      <c r="B12114" s="63">
        <f t="shared" si="1"/>
        <v>14</v>
      </c>
      <c r="C12114" s="135" t="s">
        <v>440</v>
      </c>
      <c r="D12114" s="161" t="s">
        <v>74</v>
      </c>
      <c r="E12114" s="135">
        <f t="shared" si="62"/>
        <v>12</v>
      </c>
      <c r="F12114" s="134" t="s">
        <v>4057</v>
      </c>
      <c r="G12114" s="63" t="str">
        <f>VLOOKUP(C12114, 'Class Def. - General Data'!$C$20:$C$1000,1,false)</f>
        <v>ZSI1_PIPE_CAPS</v>
      </c>
      <c r="H12114" s="63" t="str">
        <f>IFERROR(__xludf.DUMMYFUNCTION("VLOOKUP(F12114, IMPORTRANGE(""https://docs.google.com/spreadsheets/d/1Lhp9OU0JdFf_VYSMzH5lBcEaU4o8teT1piV-SNzShjg/edit?gid=554141278#gid=554141278"", ""'Char Def. - Attributes'!C20:C2242""), 1,false)"),"NET_WEIGHT_OPT")</f>
        <v>NET_WEIGHT_OPT</v>
      </c>
      <c r="I12114" s="136"/>
      <c r="R12114" s="63" t="str">
        <f t="shared" si="60"/>
        <v>ZSI1_PIPE_CAPSNET_WEIGHT_OPT</v>
      </c>
    </row>
    <row r="12115" ht="15.75" customHeight="1">
      <c r="B12115" s="63">
        <f t="shared" si="1"/>
        <v>14</v>
      </c>
      <c r="C12115" s="135" t="s">
        <v>440</v>
      </c>
      <c r="D12115" s="161" t="s">
        <v>74</v>
      </c>
      <c r="E12115" s="135">
        <f t="shared" si="62"/>
        <v>13</v>
      </c>
      <c r="F12115" s="134" t="s">
        <v>4058</v>
      </c>
      <c r="G12115" s="63" t="str">
        <f>VLOOKUP(C12115, 'Class Def. - General Data'!$C$20:$C$1000,1,false)</f>
        <v>ZSI1_PIPE_CAPS</v>
      </c>
      <c r="H12115" s="63" t="str">
        <f>IFERROR(__xludf.DUMMYFUNCTION("VLOOKUP(F12115, IMPORTRANGE(""https://docs.google.com/spreadsheets/d/1Lhp9OU0JdFf_VYSMzH5lBcEaU4o8teT1piV-SNzShjg/edit?gid=554141278#gid=554141278"", ""'Char Def. - Attributes'!C20:C2242""), 1,false)"),"WEIGHT_UNIT_SI")</f>
        <v>WEIGHT_UNIT_SI</v>
      </c>
      <c r="I12115" s="136"/>
      <c r="R12115" s="63" t="str">
        <f t="shared" si="60"/>
        <v>ZSI1_PIPE_CAPSWEIGHT_UNIT_SI</v>
      </c>
    </row>
    <row r="12116" ht="15.75" customHeight="1">
      <c r="B12116" s="63">
        <f t="shared" si="1"/>
        <v>14</v>
      </c>
      <c r="C12116" s="135" t="s">
        <v>440</v>
      </c>
      <c r="D12116" s="161" t="s">
        <v>74</v>
      </c>
      <c r="E12116" s="135">
        <f t="shared" si="62"/>
        <v>14</v>
      </c>
      <c r="F12116" s="134" t="s">
        <v>3877</v>
      </c>
      <c r="G12116" s="63" t="str">
        <f>VLOOKUP(C12116, 'Class Def. - General Data'!$C$20:$C$1000,1,false)</f>
        <v>ZSI1_PIPE_CAPS</v>
      </c>
      <c r="H12116" s="63" t="str">
        <f>IFERROR(__xludf.DUMMYFUNCTION("VLOOKUP(F12116, IMPORTRANGE(""https://docs.google.com/spreadsheets/d/1Lhp9OU0JdFf_VYSMzH5lBcEaU4o8teT1piV-SNzShjg/edit?gid=554141278#gid=554141278"", ""'Char Def. - Attributes'!C20:C2242""), 1,false)"),"VOLUME_OPT")</f>
        <v>VOLUME_OPT</v>
      </c>
      <c r="I12116" s="136"/>
      <c r="R12116" s="63" t="str">
        <f t="shared" si="60"/>
        <v>ZSI1_PIPE_CAPSVOLUME_OPT</v>
      </c>
    </row>
    <row r="12117" ht="15.75" customHeight="1">
      <c r="B12117" s="63">
        <f t="shared" si="1"/>
        <v>14</v>
      </c>
      <c r="C12117" s="135" t="s">
        <v>440</v>
      </c>
      <c r="D12117" s="161" t="s">
        <v>74</v>
      </c>
      <c r="E12117" s="135">
        <f t="shared" si="62"/>
        <v>15</v>
      </c>
      <c r="F12117" s="134" t="s">
        <v>4059</v>
      </c>
      <c r="G12117" s="63" t="str">
        <f>VLOOKUP(C12117, 'Class Def. - General Data'!$C$20:$C$1000,1,false)</f>
        <v>ZSI1_PIPE_CAPS</v>
      </c>
      <c r="H12117" s="63" t="str">
        <f>IFERROR(__xludf.DUMMYFUNCTION("VLOOKUP(F12117, IMPORTRANGE(""https://docs.google.com/spreadsheets/d/1Lhp9OU0JdFf_VYSMzH5lBcEaU4o8teT1piV-SNzShjg/edit?gid=554141278#gid=554141278"", ""'Char Def. - Attributes'!C20:C2242""), 1,false)"),"VOLUME_UNIT_SI")</f>
        <v>VOLUME_UNIT_SI</v>
      </c>
      <c r="I12117" s="136"/>
      <c r="R12117" s="63" t="str">
        <f t="shared" si="60"/>
        <v>ZSI1_PIPE_CAPSVOLUME_UNIT_SI</v>
      </c>
    </row>
    <row r="12118" ht="15.75" customHeight="1">
      <c r="B12118" s="63">
        <f t="shared" si="1"/>
        <v>14</v>
      </c>
      <c r="C12118" s="135" t="s">
        <v>440</v>
      </c>
      <c r="D12118" s="161" t="s">
        <v>74</v>
      </c>
      <c r="E12118" s="135">
        <f t="shared" si="62"/>
        <v>16</v>
      </c>
      <c r="F12118" s="134" t="s">
        <v>3804</v>
      </c>
      <c r="G12118" s="63" t="str">
        <f>VLOOKUP(C12118, 'Class Def. - General Data'!$C$20:$C$1000,1,false)</f>
        <v>ZSI1_PIPE_CAPS</v>
      </c>
      <c r="H12118" s="63" t="str">
        <f>IFERROR(__xludf.DUMMYFUNCTION("VLOOKUP(F12118, IMPORTRANGE(""https://docs.google.com/spreadsheets/d/1Lhp9OU0JdFf_VYSMzH5lBcEaU4o8teT1piV-SNzShjg/edit?gid=554141278#gid=554141278"", ""'Char Def. - Attributes'!C20:C2242""), 1,false)"),"ALT_UOM1_SIPI")</f>
        <v>ALT_UOM1_SIPI</v>
      </c>
      <c r="I12118" s="136"/>
      <c r="R12118" s="63" t="str">
        <f t="shared" si="60"/>
        <v>ZSI1_PIPE_CAPSALT_UOM1_SIPI</v>
      </c>
    </row>
    <row r="12119" ht="15.75" customHeight="1">
      <c r="B12119" s="63">
        <f t="shared" si="1"/>
        <v>14</v>
      </c>
      <c r="C12119" s="135" t="s">
        <v>440</v>
      </c>
      <c r="D12119" s="161" t="s">
        <v>74</v>
      </c>
      <c r="E12119" s="135">
        <f t="shared" si="62"/>
        <v>17</v>
      </c>
      <c r="F12119" s="134" t="s">
        <v>3805</v>
      </c>
      <c r="G12119" s="63" t="str">
        <f>VLOOKUP(C12119, 'Class Def. - General Data'!$C$20:$C$1000,1,false)</f>
        <v>ZSI1_PIPE_CAPS</v>
      </c>
      <c r="H12119" s="63" t="str">
        <f>IFERROR(__xludf.DUMMYFUNCTION("VLOOKUP(F12119, IMPORTRANGE(""https://docs.google.com/spreadsheets/d/1Lhp9OU0JdFf_VYSMzH5lBcEaU4o8teT1piV-SNzShjg/edit?gid=554141278#gid=554141278"", ""'Char Def. - Attributes'!C20:C2242""), 1,false)"),"ALT_DENUM_UOM1")</f>
        <v>ALT_DENUM_UOM1</v>
      </c>
      <c r="I12119" s="136"/>
      <c r="R12119" s="63" t="str">
        <f t="shared" si="60"/>
        <v>ZSI1_PIPE_CAPSALT_DENUM_UOM1</v>
      </c>
    </row>
    <row r="12120" ht="15.75" customHeight="1">
      <c r="B12120" s="63">
        <f t="shared" si="1"/>
        <v>14</v>
      </c>
      <c r="C12120" s="135" t="s">
        <v>440</v>
      </c>
      <c r="D12120" s="161" t="s">
        <v>74</v>
      </c>
      <c r="E12120" s="135">
        <f t="shared" si="62"/>
        <v>18</v>
      </c>
      <c r="F12120" s="134" t="s">
        <v>3806</v>
      </c>
      <c r="G12120" s="63" t="str">
        <f>VLOOKUP(C12120, 'Class Def. - General Data'!$C$20:$C$1000,1,false)</f>
        <v>ZSI1_PIPE_CAPS</v>
      </c>
      <c r="H12120" s="63" t="str">
        <f>IFERROR(__xludf.DUMMYFUNCTION("VLOOKUP(F12120, IMPORTRANGE(""https://docs.google.com/spreadsheets/d/1Lhp9OU0JdFf_VYSMzH5lBcEaU4o8teT1piV-SNzShjg/edit?gid=554141278#gid=554141278"", ""'Char Def. - Attributes'!C20:C2242""), 1,false)"),"ALT_NUM_UOM1")</f>
        <v>ALT_NUM_UOM1</v>
      </c>
      <c r="I12120" s="136"/>
      <c r="R12120" s="63" t="str">
        <f t="shared" si="60"/>
        <v>ZSI1_PIPE_CAPSALT_NUM_UOM1</v>
      </c>
    </row>
    <row r="12121" ht="15.75" customHeight="1">
      <c r="B12121" s="63">
        <f t="shared" si="1"/>
        <v>14</v>
      </c>
      <c r="C12121" s="135" t="s">
        <v>440</v>
      </c>
      <c r="D12121" s="161" t="s">
        <v>74</v>
      </c>
      <c r="E12121" s="135">
        <f t="shared" si="62"/>
        <v>19</v>
      </c>
      <c r="F12121" s="134" t="s">
        <v>3807</v>
      </c>
      <c r="G12121" s="63" t="str">
        <f>VLOOKUP(C12121, 'Class Def. - General Data'!$C$20:$C$1000,1,false)</f>
        <v>ZSI1_PIPE_CAPS</v>
      </c>
      <c r="H12121" s="63" t="str">
        <f>IFERROR(__xludf.DUMMYFUNCTION("VLOOKUP(F12121, IMPORTRANGE(""https://docs.google.com/spreadsheets/d/1Lhp9OU0JdFf_VYSMzH5lBcEaU4o8teT1piV-SNzShjg/edit?gid=554141278#gid=554141278"", ""'Char Def. - Attributes'!C20:C2242""), 1,false)"),"ALT_UOM2_SIPI")</f>
        <v>ALT_UOM2_SIPI</v>
      </c>
      <c r="I12121" s="136"/>
      <c r="R12121" s="63" t="str">
        <f t="shared" si="60"/>
        <v>ZSI1_PIPE_CAPSALT_UOM2_SIPI</v>
      </c>
    </row>
    <row r="12122" ht="15.75" customHeight="1">
      <c r="B12122" s="63">
        <f t="shared" si="1"/>
        <v>14</v>
      </c>
      <c r="C12122" s="135" t="s">
        <v>440</v>
      </c>
      <c r="D12122" s="161" t="s">
        <v>74</v>
      </c>
      <c r="E12122" s="135">
        <f t="shared" si="62"/>
        <v>20</v>
      </c>
      <c r="F12122" s="134" t="s">
        <v>3808</v>
      </c>
      <c r="G12122" s="63" t="str">
        <f>VLOOKUP(C12122, 'Class Def. - General Data'!$C$20:$C$1000,1,false)</f>
        <v>ZSI1_PIPE_CAPS</v>
      </c>
      <c r="H12122" s="63" t="str">
        <f>IFERROR(__xludf.DUMMYFUNCTION("VLOOKUP(F12122, IMPORTRANGE(""https://docs.google.com/spreadsheets/d/1Lhp9OU0JdFf_VYSMzH5lBcEaU4o8teT1piV-SNzShjg/edit?gid=554141278#gid=554141278"", ""'Char Def. - Attributes'!C20:C2242""), 1,false)"),"ALT_DENUM_UOM2")</f>
        <v>ALT_DENUM_UOM2</v>
      </c>
      <c r="I12122" s="136"/>
      <c r="R12122" s="63" t="str">
        <f t="shared" si="60"/>
        <v>ZSI1_PIPE_CAPSALT_DENUM_UOM2</v>
      </c>
    </row>
    <row r="12123" ht="15.75" customHeight="1">
      <c r="B12123" s="63">
        <f t="shared" si="1"/>
        <v>14</v>
      </c>
      <c r="C12123" s="135" t="s">
        <v>440</v>
      </c>
      <c r="D12123" s="161" t="s">
        <v>74</v>
      </c>
      <c r="E12123" s="135">
        <f t="shared" si="62"/>
        <v>21</v>
      </c>
      <c r="F12123" s="134" t="s">
        <v>3809</v>
      </c>
      <c r="G12123" s="63" t="str">
        <f>VLOOKUP(C12123, 'Class Def. - General Data'!$C$20:$C$1000,1,false)</f>
        <v>ZSI1_PIPE_CAPS</v>
      </c>
      <c r="H12123" s="63" t="str">
        <f>IFERROR(__xludf.DUMMYFUNCTION("VLOOKUP(F12123, IMPORTRANGE(""https://docs.google.com/spreadsheets/d/1Lhp9OU0JdFf_VYSMzH5lBcEaU4o8teT1piV-SNzShjg/edit?gid=554141278#gid=554141278"", ""'Char Def. - Attributes'!C20:C2242""), 1,false)"),"ALT_NUM_UOM2")</f>
        <v>ALT_NUM_UOM2</v>
      </c>
      <c r="I12123" s="136"/>
      <c r="R12123" s="63" t="str">
        <f t="shared" si="60"/>
        <v>ZSI1_PIPE_CAPSALT_NUM_UOM2</v>
      </c>
    </row>
    <row r="12124" ht="15.75" customHeight="1">
      <c r="B12124" s="63">
        <f t="shared" si="1"/>
        <v>14</v>
      </c>
      <c r="C12124" s="135" t="s">
        <v>440</v>
      </c>
      <c r="D12124" s="161" t="s">
        <v>74</v>
      </c>
      <c r="E12124" s="135">
        <f t="shared" si="62"/>
        <v>22</v>
      </c>
      <c r="F12124" s="134" t="s">
        <v>3810</v>
      </c>
      <c r="G12124" s="63" t="str">
        <f>VLOOKUP(C12124, 'Class Def. - General Data'!$C$20:$C$1000,1,false)</f>
        <v>ZSI1_PIPE_CAPS</v>
      </c>
      <c r="H12124" s="63" t="str">
        <f>IFERROR(__xludf.DUMMYFUNCTION("VLOOKUP(F12124, IMPORTRANGE(""https://docs.google.com/spreadsheets/d/1Lhp9OU0JdFf_VYSMzH5lBcEaU4o8teT1piV-SNzShjg/edit?gid=554141278#gid=554141278"", ""'Char Def. - Attributes'!C20:C2242""), 1,false)"),"ALT_UOM3_SIPI")</f>
        <v>ALT_UOM3_SIPI</v>
      </c>
      <c r="I12124" s="136"/>
      <c r="R12124" s="63" t="str">
        <f t="shared" si="60"/>
        <v>ZSI1_PIPE_CAPSALT_UOM3_SIPI</v>
      </c>
    </row>
    <row r="12125" ht="15.75" customHeight="1">
      <c r="B12125" s="63">
        <f t="shared" si="1"/>
        <v>14</v>
      </c>
      <c r="C12125" s="135" t="s">
        <v>440</v>
      </c>
      <c r="D12125" s="161" t="s">
        <v>74</v>
      </c>
      <c r="E12125" s="135">
        <f t="shared" si="62"/>
        <v>23</v>
      </c>
      <c r="F12125" s="134" t="s">
        <v>3811</v>
      </c>
      <c r="G12125" s="63" t="str">
        <f>VLOOKUP(C12125, 'Class Def. - General Data'!$C$20:$C$1000,1,false)</f>
        <v>ZSI1_PIPE_CAPS</v>
      </c>
      <c r="H12125" s="63" t="str">
        <f>IFERROR(__xludf.DUMMYFUNCTION("VLOOKUP(F12125, IMPORTRANGE(""https://docs.google.com/spreadsheets/d/1Lhp9OU0JdFf_VYSMzH5lBcEaU4o8teT1piV-SNzShjg/edit?gid=554141278#gid=554141278"", ""'Char Def. - Attributes'!C20:C2242""), 1,false)"),"ALT_DENUM_UOM3")</f>
        <v>ALT_DENUM_UOM3</v>
      </c>
      <c r="I12125" s="136"/>
      <c r="R12125" s="63" t="str">
        <f t="shared" si="60"/>
        <v>ZSI1_PIPE_CAPSALT_DENUM_UOM3</v>
      </c>
    </row>
    <row r="12126" ht="15.75" customHeight="1">
      <c r="B12126" s="63">
        <f t="shared" si="1"/>
        <v>14</v>
      </c>
      <c r="C12126" s="135" t="s">
        <v>440</v>
      </c>
      <c r="D12126" s="161" t="s">
        <v>74</v>
      </c>
      <c r="E12126" s="135">
        <f t="shared" si="62"/>
        <v>24</v>
      </c>
      <c r="F12126" s="134" t="s">
        <v>3812</v>
      </c>
      <c r="G12126" s="63" t="str">
        <f>VLOOKUP(C12126, 'Class Def. - General Data'!$C$20:$C$1000,1,false)</f>
        <v>ZSI1_PIPE_CAPS</v>
      </c>
      <c r="H12126" s="63" t="str">
        <f>IFERROR(__xludf.DUMMYFUNCTION("VLOOKUP(F12126, IMPORTRANGE(""https://docs.google.com/spreadsheets/d/1Lhp9OU0JdFf_VYSMzH5lBcEaU4o8teT1piV-SNzShjg/edit?gid=554141278#gid=554141278"", ""'Char Def. - Attributes'!C20:C2242""), 1,false)"),"ALT_NUM_UOM3")</f>
        <v>ALT_NUM_UOM3</v>
      </c>
      <c r="I12126" s="136"/>
      <c r="R12126" s="63" t="str">
        <f t="shared" si="60"/>
        <v>ZSI1_PIPE_CAPSALT_NUM_UOM3</v>
      </c>
    </row>
    <row r="12127" ht="15.75" customHeight="1">
      <c r="B12127" s="63">
        <f t="shared" si="1"/>
        <v>14</v>
      </c>
      <c r="C12127" s="135" t="s">
        <v>440</v>
      </c>
      <c r="D12127" s="161" t="s">
        <v>74</v>
      </c>
      <c r="E12127" s="135">
        <f t="shared" si="62"/>
        <v>25</v>
      </c>
      <c r="F12127" s="134" t="s">
        <v>3813</v>
      </c>
      <c r="G12127" s="63" t="str">
        <f>VLOOKUP(C12127, 'Class Def. - General Data'!$C$20:$C$1000,1,false)</f>
        <v>ZSI1_PIPE_CAPS</v>
      </c>
      <c r="H12127" s="63" t="str">
        <f>IFERROR(__xludf.DUMMYFUNCTION("VLOOKUP(F12127, IMPORTRANGE(""https://docs.google.com/spreadsheets/d/1Lhp9OU0JdFf_VYSMzH5lBcEaU4o8teT1piV-SNzShjg/edit?gid=554141278#gid=554141278"", ""'Char Def. - Attributes'!C20:C2242""), 1,false)"),"ALT_UOM4_SIPI")</f>
        <v>ALT_UOM4_SIPI</v>
      </c>
      <c r="I12127" s="136"/>
      <c r="R12127" s="63" t="str">
        <f t="shared" si="60"/>
        <v>ZSI1_PIPE_CAPSALT_UOM4_SIPI</v>
      </c>
    </row>
    <row r="12128" ht="15.75" customHeight="1">
      <c r="B12128" s="63">
        <f t="shared" si="1"/>
        <v>14</v>
      </c>
      <c r="C12128" s="135" t="s">
        <v>440</v>
      </c>
      <c r="D12128" s="161" t="s">
        <v>74</v>
      </c>
      <c r="E12128" s="135">
        <f t="shared" si="62"/>
        <v>26</v>
      </c>
      <c r="F12128" s="134" t="s">
        <v>3814</v>
      </c>
      <c r="G12128" s="63" t="str">
        <f>VLOOKUP(C12128, 'Class Def. - General Data'!$C$20:$C$1000,1,false)</f>
        <v>ZSI1_PIPE_CAPS</v>
      </c>
      <c r="H12128" s="63" t="str">
        <f>IFERROR(__xludf.DUMMYFUNCTION("VLOOKUP(F12128, IMPORTRANGE(""https://docs.google.com/spreadsheets/d/1Lhp9OU0JdFf_VYSMzH5lBcEaU4o8teT1piV-SNzShjg/edit?gid=554141278#gid=554141278"", ""'Char Def. - Attributes'!C20:C2242""), 1,false)"),"ALT_DENUM_UOM4")</f>
        <v>ALT_DENUM_UOM4</v>
      </c>
      <c r="I12128" s="136"/>
      <c r="R12128" s="63" t="str">
        <f t="shared" si="60"/>
        <v>ZSI1_PIPE_CAPSALT_DENUM_UOM4</v>
      </c>
    </row>
    <row r="12129" ht="15.75" customHeight="1">
      <c r="B12129" s="63">
        <f t="shared" si="1"/>
        <v>14</v>
      </c>
      <c r="C12129" s="135" t="s">
        <v>440</v>
      </c>
      <c r="D12129" s="161" t="s">
        <v>74</v>
      </c>
      <c r="E12129" s="135">
        <f t="shared" si="62"/>
        <v>27</v>
      </c>
      <c r="F12129" s="134" t="s">
        <v>3815</v>
      </c>
      <c r="G12129" s="63" t="str">
        <f>VLOOKUP(C12129, 'Class Def. - General Data'!$C$20:$C$1000,1,false)</f>
        <v>ZSI1_PIPE_CAPS</v>
      </c>
      <c r="H12129" s="63" t="str">
        <f>IFERROR(__xludf.DUMMYFUNCTION("VLOOKUP(F12129, IMPORTRANGE(""https://docs.google.com/spreadsheets/d/1Lhp9OU0JdFf_VYSMzH5lBcEaU4o8teT1piV-SNzShjg/edit?gid=554141278#gid=554141278"", ""'Char Def. - Attributes'!C20:C2242""), 1,false)"),"ALT_NUM_UOM4")</f>
        <v>ALT_NUM_UOM4</v>
      </c>
      <c r="I12129" s="136"/>
      <c r="R12129" s="63" t="str">
        <f t="shared" si="60"/>
        <v>ZSI1_PIPE_CAPSALT_NUM_UOM4</v>
      </c>
    </row>
    <row r="12130" ht="15.75" customHeight="1">
      <c r="B12130" s="63">
        <f t="shared" si="1"/>
        <v>14</v>
      </c>
      <c r="C12130" s="135" t="s">
        <v>440</v>
      </c>
      <c r="D12130" s="161" t="s">
        <v>74</v>
      </c>
      <c r="E12130" s="135">
        <f t="shared" si="62"/>
        <v>28</v>
      </c>
      <c r="F12130" s="134" t="s">
        <v>3816</v>
      </c>
      <c r="G12130" s="63" t="str">
        <f>VLOOKUP(C12130, 'Class Def. - General Data'!$C$20:$C$1000,1,false)</f>
        <v>ZSI1_PIPE_CAPS</v>
      </c>
      <c r="H12130" s="63" t="str">
        <f>IFERROR(__xludf.DUMMYFUNCTION("VLOOKUP(F12130, IMPORTRANGE(""https://docs.google.com/spreadsheets/d/1Lhp9OU0JdFf_VYSMzH5lBcEaU4o8teT1piV-SNzShjg/edit?gid=554141278#gid=554141278"", ""'Char Def. - Attributes'!C20:C2242""), 1,false)"),"ALT_UOM5_SIPI")</f>
        <v>ALT_UOM5_SIPI</v>
      </c>
      <c r="I12130" s="136"/>
      <c r="R12130" s="63" t="str">
        <f t="shared" si="60"/>
        <v>ZSI1_PIPE_CAPSALT_UOM5_SIPI</v>
      </c>
    </row>
    <row r="12131" ht="15.75" customHeight="1">
      <c r="B12131" s="63">
        <f t="shared" si="1"/>
        <v>14</v>
      </c>
      <c r="C12131" s="135" t="s">
        <v>440</v>
      </c>
      <c r="D12131" s="161" t="s">
        <v>74</v>
      </c>
      <c r="E12131" s="135">
        <f t="shared" si="62"/>
        <v>29</v>
      </c>
      <c r="F12131" s="134" t="s">
        <v>3817</v>
      </c>
      <c r="G12131" s="63" t="str">
        <f>VLOOKUP(C12131, 'Class Def. - General Data'!$C$20:$C$1000,1,false)</f>
        <v>ZSI1_PIPE_CAPS</v>
      </c>
      <c r="H12131" s="63" t="str">
        <f>IFERROR(__xludf.DUMMYFUNCTION("VLOOKUP(F12131, IMPORTRANGE(""https://docs.google.com/spreadsheets/d/1Lhp9OU0JdFf_VYSMzH5lBcEaU4o8teT1piV-SNzShjg/edit?gid=554141278#gid=554141278"", ""'Char Def. - Attributes'!C20:C2242""), 1,false)"),"ALT_DENUM_UOM5")</f>
        <v>ALT_DENUM_UOM5</v>
      </c>
      <c r="I12131" s="136"/>
      <c r="R12131" s="63" t="str">
        <f t="shared" si="60"/>
        <v>ZSI1_PIPE_CAPSALT_DENUM_UOM5</v>
      </c>
    </row>
    <row r="12132" ht="15.75" customHeight="1">
      <c r="B12132" s="63">
        <f t="shared" si="1"/>
        <v>14</v>
      </c>
      <c r="C12132" s="135" t="s">
        <v>440</v>
      </c>
      <c r="D12132" s="161" t="s">
        <v>74</v>
      </c>
      <c r="E12132" s="135">
        <f t="shared" si="62"/>
        <v>30</v>
      </c>
      <c r="F12132" s="134" t="s">
        <v>3818</v>
      </c>
      <c r="G12132" s="63" t="str">
        <f>VLOOKUP(C12132, 'Class Def. - General Data'!$C$20:$C$1000,1,false)</f>
        <v>ZSI1_PIPE_CAPS</v>
      </c>
      <c r="H12132" s="63" t="str">
        <f>IFERROR(__xludf.DUMMYFUNCTION("VLOOKUP(F12132, IMPORTRANGE(""https://docs.google.com/spreadsheets/d/1Lhp9OU0JdFf_VYSMzH5lBcEaU4o8teT1piV-SNzShjg/edit?gid=554141278#gid=554141278"", ""'Char Def. - Attributes'!C20:C2242""), 1,false)"),"ALT_NUM_UOM5")</f>
        <v>ALT_NUM_UOM5</v>
      </c>
      <c r="I12132" s="136"/>
      <c r="R12132" s="63" t="str">
        <f t="shared" si="60"/>
        <v>ZSI1_PIPE_CAPSALT_NUM_UOM5</v>
      </c>
    </row>
    <row r="12133" ht="15.75" customHeight="1">
      <c r="B12133" s="63">
        <f t="shared" si="1"/>
        <v>17</v>
      </c>
      <c r="C12133" s="135" t="s">
        <v>441</v>
      </c>
      <c r="D12133" s="161" t="s">
        <v>74</v>
      </c>
      <c r="E12133" s="135">
        <f t="shared" si="62"/>
        <v>1</v>
      </c>
      <c r="F12133" s="134" t="s">
        <v>5098</v>
      </c>
      <c r="G12133" s="63" t="str">
        <f>VLOOKUP(C12133, 'Class Def. - General Data'!$C$20:$C$1000,1,false)</f>
        <v>ZSI1_PIPE_CONNECT</v>
      </c>
      <c r="H12133" s="63" t="str">
        <f>IFERROR(__xludf.DUMMYFUNCTION("VLOOKUP(F12133, IMPORTRANGE(""https://docs.google.com/spreadsheets/d/1Lhp9OU0JdFf_VYSMzH5lBcEaU4o8teT1piV-SNzShjg/edit?gid=554141278#gid=554141278"", ""'Char Def. - Attributes'!C20:C2242""), 1,false)"),"ITEM_NAME_PIPE_CONNECT")</f>
        <v>ITEM_NAME_PIPE_CONNECT</v>
      </c>
      <c r="I12133" s="136"/>
      <c r="R12133" s="63" t="str">
        <f t="shared" si="60"/>
        <v>ZSI1_PIPE_CONNECTITEM_NAME_PIPE_CONNECT</v>
      </c>
    </row>
    <row r="12134" ht="15.75" customHeight="1">
      <c r="B12134" s="63">
        <f t="shared" si="1"/>
        <v>17</v>
      </c>
      <c r="C12134" s="135" t="s">
        <v>441</v>
      </c>
      <c r="D12134" s="161" t="s">
        <v>74</v>
      </c>
      <c r="E12134" s="135">
        <f t="shared" si="62"/>
        <v>2</v>
      </c>
      <c r="F12134" s="134" t="s">
        <v>5099</v>
      </c>
      <c r="G12134" s="63" t="str">
        <f>VLOOKUP(C12134, 'Class Def. - General Data'!$C$20:$C$1000,1,false)</f>
        <v>ZSI1_PIPE_CONNECT</v>
      </c>
      <c r="H12134" s="63" t="str">
        <f>IFERROR(__xludf.DUMMYFUNCTION("VLOOKUP(F12134, IMPORTRANGE(""https://docs.google.com/spreadsheets/d/1Lhp9OU0JdFf_VYSMzH5lBcEaU4o8teT1piV-SNzShjg/edit?gid=554141278#gid=554141278"", ""'Char Def. - Attributes'!C20:C2242""), 1,false)"),"DIMENSION_PIPE_CONNECT")</f>
        <v>DIMENSION_PIPE_CONNECT</v>
      </c>
      <c r="I12134" s="136"/>
      <c r="R12134" s="63" t="str">
        <f t="shared" si="60"/>
        <v>ZSI1_PIPE_CONNECTDIMENSION_PIPE_CONNECT</v>
      </c>
    </row>
    <row r="12135" ht="15.75" customHeight="1">
      <c r="B12135" s="63">
        <f t="shared" si="1"/>
        <v>17</v>
      </c>
      <c r="C12135" s="135" t="s">
        <v>441</v>
      </c>
      <c r="D12135" s="161" t="s">
        <v>74</v>
      </c>
      <c r="E12135" s="135">
        <f t="shared" si="62"/>
        <v>3</v>
      </c>
      <c r="F12135" s="134" t="s">
        <v>5100</v>
      </c>
      <c r="G12135" s="63" t="str">
        <f>VLOOKUP(C12135, 'Class Def. - General Data'!$C$20:$C$1000,1,false)</f>
        <v>ZSI1_PIPE_CONNECT</v>
      </c>
      <c r="H12135" s="63" t="str">
        <f>IFERROR(__xludf.DUMMYFUNCTION("VLOOKUP(F12135, IMPORTRANGE(""https://docs.google.com/spreadsheets/d/1Lhp9OU0JdFf_VYSMzH5lBcEaU4o8teT1piV-SNzShjg/edit?gid=554141278#gid=554141278"", ""'Char Def. - Attributes'!C20:C2242""), 1,false)"),"#N/A")</f>
        <v>#N/A</v>
      </c>
      <c r="I12135" s="136"/>
      <c r="R12135" s="63" t="str">
        <f t="shared" si="60"/>
        <v>ZSI1_PIPE_CONNECTPIPE_SIZE_DIAMETER_PIPE_CONN</v>
      </c>
    </row>
    <row r="12136" ht="15.75" customHeight="1">
      <c r="B12136" s="63">
        <f t="shared" si="1"/>
        <v>17</v>
      </c>
      <c r="C12136" s="135" t="s">
        <v>441</v>
      </c>
      <c r="D12136" s="161" t="s">
        <v>74</v>
      </c>
      <c r="E12136" s="135">
        <f t="shared" si="62"/>
        <v>4</v>
      </c>
      <c r="F12136" s="134" t="s">
        <v>5101</v>
      </c>
      <c r="G12136" s="63" t="str">
        <f>VLOOKUP(C12136, 'Class Def. - General Data'!$C$20:$C$1000,1,false)</f>
        <v>ZSI1_PIPE_CONNECT</v>
      </c>
      <c r="H12136" s="63" t="str">
        <f>IFERROR(__xludf.DUMMYFUNCTION("VLOOKUP(F12136, IMPORTRANGE(""https://docs.google.com/spreadsheets/d/1Lhp9OU0JdFf_VYSMzH5lBcEaU4o8teT1piV-SNzShjg/edit?gid=554141278#gid=554141278"", ""'Char Def. - Attributes'!C20:C2242""), 1,false)"),"#N/A")</f>
        <v>#N/A</v>
      </c>
      <c r="I12136" s="136"/>
      <c r="R12136" s="63" t="str">
        <f t="shared" si="60"/>
        <v>ZSI1_PIPE_CONNECTEXT_THREAD_DIAMETER_PIPE_CONN</v>
      </c>
    </row>
    <row r="12137" ht="15.75" customHeight="1">
      <c r="B12137" s="63">
        <f t="shared" si="1"/>
        <v>17</v>
      </c>
      <c r="C12137" s="135" t="s">
        <v>441</v>
      </c>
      <c r="D12137" s="161" t="s">
        <v>74</v>
      </c>
      <c r="E12137" s="135">
        <f t="shared" si="62"/>
        <v>5</v>
      </c>
      <c r="F12137" s="134" t="s">
        <v>5102</v>
      </c>
      <c r="G12137" s="63" t="str">
        <f>VLOOKUP(C12137, 'Class Def. - General Data'!$C$20:$C$1000,1,false)</f>
        <v>ZSI1_PIPE_CONNECT</v>
      </c>
      <c r="H12137" s="63" t="str">
        <f>IFERROR(__xludf.DUMMYFUNCTION("VLOOKUP(F12137, IMPORTRANGE(""https://docs.google.com/spreadsheets/d/1Lhp9OU0JdFf_VYSMzH5lBcEaU4o8teT1piV-SNzShjg/edit?gid=554141278#gid=554141278"", ""'Char Def. - Attributes'!C20:C2242""), 1,false)"),"THREADED_TYPE_PIPE_CONNECT")</f>
        <v>THREADED_TYPE_PIPE_CONNECT</v>
      </c>
      <c r="I12137" s="136"/>
      <c r="R12137" s="63" t="str">
        <f t="shared" si="60"/>
        <v>ZSI1_PIPE_CONNECTTHREADED_TYPE_PIPE_CONNECT</v>
      </c>
    </row>
    <row r="12138" ht="15.75" customHeight="1">
      <c r="B12138" s="63">
        <f t="shared" si="1"/>
        <v>17</v>
      </c>
      <c r="C12138" s="135" t="s">
        <v>441</v>
      </c>
      <c r="D12138" s="161" t="s">
        <v>74</v>
      </c>
      <c r="E12138" s="135">
        <f t="shared" si="62"/>
        <v>6</v>
      </c>
      <c r="F12138" s="134" t="s">
        <v>5103</v>
      </c>
      <c r="G12138" s="63" t="str">
        <f>VLOOKUP(C12138, 'Class Def. - General Data'!$C$20:$C$1000,1,false)</f>
        <v>ZSI1_PIPE_CONNECT</v>
      </c>
      <c r="H12138" s="63" t="str">
        <f>IFERROR(__xludf.DUMMYFUNCTION("VLOOKUP(F12138, IMPORTRANGE(""https://docs.google.com/spreadsheets/d/1Lhp9OU0JdFf_VYSMzH5lBcEaU4o8teT1piV-SNzShjg/edit?gid=554141278#gid=554141278"", ""'Char Def. - Attributes'!C20:C2242""), 1,false)"),"#N/A")</f>
        <v>#N/A</v>
      </c>
      <c r="I12138" s="136"/>
      <c r="R12138" s="63" t="str">
        <f t="shared" si="60"/>
        <v>ZSI1_PIPE_CONNECTEND_CONNECTION_PIPE_CONNECT</v>
      </c>
    </row>
    <row r="12139" ht="15.75" customHeight="1">
      <c r="B12139" s="63">
        <f t="shared" si="1"/>
        <v>17</v>
      </c>
      <c r="C12139" s="135" t="s">
        <v>441</v>
      </c>
      <c r="D12139" s="161" t="s">
        <v>74</v>
      </c>
      <c r="E12139" s="135">
        <f t="shared" si="62"/>
        <v>7</v>
      </c>
      <c r="F12139" s="134" t="s">
        <v>5104</v>
      </c>
      <c r="G12139" s="63" t="str">
        <f>VLOOKUP(C12139, 'Class Def. - General Data'!$C$20:$C$1000,1,false)</f>
        <v>ZSI1_PIPE_CONNECT</v>
      </c>
      <c r="H12139" s="63" t="str">
        <f>IFERROR(__xludf.DUMMYFUNCTION("VLOOKUP(F12139, IMPORTRANGE(""https://docs.google.com/spreadsheets/d/1Lhp9OU0JdFf_VYSMzH5lBcEaU4o8teT1piV-SNzShjg/edit?gid=554141278#gid=554141278"", ""'Char Def. - Attributes'!C20:C2242""), 1,false)"),"#N/A")</f>
        <v>#N/A</v>
      </c>
      <c r="I12139" s="136"/>
      <c r="R12139" s="63" t="str">
        <f t="shared" si="60"/>
        <v>ZSI1_PIPE_CONNECTRATING_PIPE_CONNECT</v>
      </c>
    </row>
    <row r="12140" ht="15.75" customHeight="1">
      <c r="B12140" s="63">
        <f t="shared" si="1"/>
        <v>17</v>
      </c>
      <c r="C12140" s="135" t="s">
        <v>441</v>
      </c>
      <c r="D12140" s="161" t="s">
        <v>74</v>
      </c>
      <c r="E12140" s="135">
        <f t="shared" si="62"/>
        <v>8</v>
      </c>
      <c r="F12140" s="134" t="s">
        <v>5105</v>
      </c>
      <c r="G12140" s="63" t="str">
        <f>VLOOKUP(C12140, 'Class Def. - General Data'!$C$20:$C$1000,1,false)</f>
        <v>ZSI1_PIPE_CONNECT</v>
      </c>
      <c r="H12140" s="63" t="str">
        <f>IFERROR(__xludf.DUMMYFUNCTION("VLOOKUP(F12140, IMPORTRANGE(""https://docs.google.com/spreadsheets/d/1Lhp9OU0JdFf_VYSMzH5lBcEaU4o8teT1piV-SNzShjg/edit?gid=554141278#gid=554141278"", ""'Char Def. - Attributes'!C20:C2242""), 1,false)"),"MATERIAL_PIPE_CONNECT")</f>
        <v>MATERIAL_PIPE_CONNECT</v>
      </c>
      <c r="I12140" s="136"/>
      <c r="R12140" s="63" t="str">
        <f t="shared" si="60"/>
        <v>ZSI1_PIPE_CONNECTMATERIAL_PIPE_CONNECT</v>
      </c>
    </row>
    <row r="12141" ht="15.75" customHeight="1">
      <c r="B12141" s="63">
        <f t="shared" si="1"/>
        <v>17</v>
      </c>
      <c r="C12141" s="135" t="s">
        <v>441</v>
      </c>
      <c r="D12141" s="161" t="s">
        <v>74</v>
      </c>
      <c r="E12141" s="135">
        <f t="shared" si="62"/>
        <v>9</v>
      </c>
      <c r="F12141" s="134" t="s">
        <v>5106</v>
      </c>
      <c r="G12141" s="63" t="str">
        <f>VLOOKUP(C12141, 'Class Def. - General Data'!$C$20:$C$1000,1,false)</f>
        <v>ZSI1_PIPE_CONNECT</v>
      </c>
      <c r="H12141" s="63" t="str">
        <f>IFERROR(__xludf.DUMMYFUNCTION("VLOOKUP(F12141, IMPORTRANGE(""https://docs.google.com/spreadsheets/d/1Lhp9OU0JdFf_VYSMzH5lBcEaU4o8teT1piV-SNzShjg/edit?gid=554141278#gid=554141278"", ""'Char Def. - Attributes'!C20:C2242""), 1,false)"),"#N/A")</f>
        <v>#N/A</v>
      </c>
      <c r="I12141" s="136"/>
      <c r="R12141" s="63" t="str">
        <f t="shared" si="60"/>
        <v>ZSI1_PIPE_CONNECTFINISHING_PIPE_CONNECT</v>
      </c>
    </row>
    <row r="12142" ht="15.75" customHeight="1">
      <c r="B12142" s="63">
        <f t="shared" si="1"/>
        <v>17</v>
      </c>
      <c r="C12142" s="135" t="s">
        <v>441</v>
      </c>
      <c r="D12142" s="161" t="s">
        <v>74</v>
      </c>
      <c r="E12142" s="135">
        <f t="shared" si="62"/>
        <v>10</v>
      </c>
      <c r="F12142" s="134" t="s">
        <v>3585</v>
      </c>
      <c r="G12142" s="63" t="str">
        <f>VLOOKUP(C12142, 'Class Def. - General Data'!$C$20:$C$1000,1,false)</f>
        <v>ZSI1_PIPE_CONNECT</v>
      </c>
      <c r="H12142" s="63" t="str">
        <f>IFERROR(__xludf.DUMMYFUNCTION("VLOOKUP(F12142, IMPORTRANGE(""https://docs.google.com/spreadsheets/d/1Lhp9OU0JdFf_VYSMzH5lBcEaU4o8teT1piV-SNzShjg/edit?gid=554141278#gid=554141278"", ""'Char Def. - Attributes'!C20:C2242""), 1,false)"),"HS_CODE")</f>
        <v>HS_CODE</v>
      </c>
      <c r="I12142" s="136"/>
      <c r="R12142" s="63" t="str">
        <f t="shared" si="60"/>
        <v>ZSI1_PIPE_CONNECTHS_CODE</v>
      </c>
    </row>
    <row r="12143" ht="15.75" customHeight="1">
      <c r="B12143" s="63">
        <f t="shared" si="1"/>
        <v>17</v>
      </c>
      <c r="C12143" s="135" t="s">
        <v>441</v>
      </c>
      <c r="D12143" s="161" t="s">
        <v>74</v>
      </c>
      <c r="E12143" s="135">
        <f t="shared" si="62"/>
        <v>11</v>
      </c>
      <c r="F12143" s="134" t="s">
        <v>3587</v>
      </c>
      <c r="G12143" s="63" t="str">
        <f>VLOOKUP(C12143, 'Class Def. - General Data'!$C$20:$C$1000,1,false)</f>
        <v>ZSI1_PIPE_CONNECT</v>
      </c>
      <c r="H12143" s="63" t="str">
        <f>IFERROR(__xludf.DUMMYFUNCTION("VLOOKUP(F12143, IMPORTRANGE(""https://docs.google.com/spreadsheets/d/1Lhp9OU0JdFf_VYSMzH5lBcEaU4o8teT1piV-SNzShjg/edit?gid=554141278#gid=554141278"", ""'Char Def. - Attributes'!C20:C2242""), 1,false)"),"PLANT_BUY")</f>
        <v>PLANT_BUY</v>
      </c>
      <c r="I12143" s="136"/>
      <c r="R12143" s="63" t="str">
        <f t="shared" si="60"/>
        <v>ZSI1_PIPE_CONNECTPLANT_BUY</v>
      </c>
    </row>
    <row r="12144" ht="15.75" customHeight="1">
      <c r="B12144" s="63">
        <f t="shared" si="1"/>
        <v>17</v>
      </c>
      <c r="C12144" s="135" t="s">
        <v>441</v>
      </c>
      <c r="D12144" s="161" t="s">
        <v>74</v>
      </c>
      <c r="E12144" s="135">
        <f t="shared" si="62"/>
        <v>12</v>
      </c>
      <c r="F12144" s="134" t="s">
        <v>5107</v>
      </c>
      <c r="G12144" s="63" t="str">
        <f>VLOOKUP(C12144, 'Class Def. - General Data'!$C$20:$C$1000,1,false)</f>
        <v>ZSI1_PIPE_CONNECT</v>
      </c>
      <c r="H12144" s="63" t="str">
        <f>IFERROR(__xludf.DUMMYFUNCTION("VLOOKUP(F12144, IMPORTRANGE(""https://docs.google.com/spreadsheets/d/1Lhp9OU0JdFf_VYSMzH5lBcEaU4o8teT1piV-SNzShjg/edit?gid=554141278#gid=554141278"", ""'Char Def. - Attributes'!C20:C2242""), 1,false)"),"BASE_UOM_PIPE_CONNECT")</f>
        <v>BASE_UOM_PIPE_CONNECT</v>
      </c>
      <c r="I12144" s="136"/>
      <c r="R12144" s="63" t="str">
        <f t="shared" si="60"/>
        <v>ZSI1_PIPE_CONNECTBASE_UOM_PIPE_CONNECT</v>
      </c>
    </row>
    <row r="12145" ht="15.75" customHeight="1">
      <c r="B12145" s="63">
        <f t="shared" si="1"/>
        <v>17</v>
      </c>
      <c r="C12145" s="135" t="s">
        <v>441</v>
      </c>
      <c r="D12145" s="161" t="s">
        <v>74</v>
      </c>
      <c r="E12145" s="135">
        <f t="shared" si="62"/>
        <v>13</v>
      </c>
      <c r="F12145" s="134" t="s">
        <v>5108</v>
      </c>
      <c r="G12145" s="63" t="str">
        <f>VLOOKUP(C12145, 'Class Def. - General Data'!$C$20:$C$1000,1,false)</f>
        <v>ZSI1_PIPE_CONNECT</v>
      </c>
      <c r="H12145" s="63" t="str">
        <f>IFERROR(__xludf.DUMMYFUNCTION("VLOOKUP(F12145, IMPORTRANGE(""https://docs.google.com/spreadsheets/d/1Lhp9OU0JdFf_VYSMzH5lBcEaU4o8teT1piV-SNzShjg/edit?gid=554141278#gid=554141278"", ""'Char Def. - Attributes'!C20:C2242""), 1,false)"),"ORDER_UNIT_PIPE_CONNECT")</f>
        <v>ORDER_UNIT_PIPE_CONNECT</v>
      </c>
      <c r="I12145" s="136"/>
      <c r="R12145" s="63" t="str">
        <f t="shared" si="60"/>
        <v>ZSI1_PIPE_CONNECTORDER_UNIT_PIPE_CONNECT</v>
      </c>
    </row>
    <row r="12146" ht="15.75" customHeight="1">
      <c r="B12146" s="63">
        <f t="shared" si="1"/>
        <v>17</v>
      </c>
      <c r="C12146" s="135" t="s">
        <v>441</v>
      </c>
      <c r="D12146" s="161" t="s">
        <v>74</v>
      </c>
      <c r="E12146" s="135">
        <f t="shared" si="62"/>
        <v>14</v>
      </c>
      <c r="F12146" s="134" t="s">
        <v>4056</v>
      </c>
      <c r="G12146" s="63" t="str">
        <f>VLOOKUP(C12146, 'Class Def. - General Data'!$C$20:$C$1000,1,false)</f>
        <v>ZSI1_PIPE_CONNECT</v>
      </c>
      <c r="H12146" s="63" t="str">
        <f>IFERROR(__xludf.DUMMYFUNCTION("VLOOKUP(F12146, IMPORTRANGE(""https://docs.google.com/spreadsheets/d/1Lhp9OU0JdFf_VYSMzH5lBcEaU4o8teT1piV-SNzShjg/edit?gid=554141278#gid=554141278"", ""'Char Def. - Attributes'!C20:C2242""), 1,false)"),"GROSS_WEIGHT_OPT")</f>
        <v>GROSS_WEIGHT_OPT</v>
      </c>
      <c r="I12146" s="136"/>
      <c r="R12146" s="63" t="str">
        <f t="shared" si="60"/>
        <v>ZSI1_PIPE_CONNECTGROSS_WEIGHT_OPT</v>
      </c>
    </row>
    <row r="12147" ht="15.75" customHeight="1">
      <c r="B12147" s="63">
        <f t="shared" si="1"/>
        <v>17</v>
      </c>
      <c r="C12147" s="135" t="s">
        <v>441</v>
      </c>
      <c r="D12147" s="161" t="s">
        <v>74</v>
      </c>
      <c r="E12147" s="135">
        <f t="shared" si="62"/>
        <v>15</v>
      </c>
      <c r="F12147" s="134" t="s">
        <v>4057</v>
      </c>
      <c r="G12147" s="63" t="str">
        <f>VLOOKUP(C12147, 'Class Def. - General Data'!$C$20:$C$1000,1,false)</f>
        <v>ZSI1_PIPE_CONNECT</v>
      </c>
      <c r="H12147" s="63" t="str">
        <f>IFERROR(__xludf.DUMMYFUNCTION("VLOOKUP(F12147, IMPORTRANGE(""https://docs.google.com/spreadsheets/d/1Lhp9OU0JdFf_VYSMzH5lBcEaU4o8teT1piV-SNzShjg/edit?gid=554141278#gid=554141278"", ""'Char Def. - Attributes'!C20:C2242""), 1,false)"),"NET_WEIGHT_OPT")</f>
        <v>NET_WEIGHT_OPT</v>
      </c>
      <c r="I12147" s="136"/>
      <c r="R12147" s="63" t="str">
        <f t="shared" si="60"/>
        <v>ZSI1_PIPE_CONNECTNET_WEIGHT_OPT</v>
      </c>
    </row>
    <row r="12148" ht="15.75" customHeight="1">
      <c r="B12148" s="63">
        <f t="shared" si="1"/>
        <v>17</v>
      </c>
      <c r="C12148" s="135" t="s">
        <v>441</v>
      </c>
      <c r="D12148" s="161" t="s">
        <v>74</v>
      </c>
      <c r="E12148" s="135">
        <f t="shared" si="62"/>
        <v>16</v>
      </c>
      <c r="F12148" s="134" t="s">
        <v>4058</v>
      </c>
      <c r="G12148" s="63" t="str">
        <f>VLOOKUP(C12148, 'Class Def. - General Data'!$C$20:$C$1000,1,false)</f>
        <v>ZSI1_PIPE_CONNECT</v>
      </c>
      <c r="H12148" s="63" t="str">
        <f>IFERROR(__xludf.DUMMYFUNCTION("VLOOKUP(F12148, IMPORTRANGE(""https://docs.google.com/spreadsheets/d/1Lhp9OU0JdFf_VYSMzH5lBcEaU4o8teT1piV-SNzShjg/edit?gid=554141278#gid=554141278"", ""'Char Def. - Attributes'!C20:C2242""), 1,false)"),"WEIGHT_UNIT_SI")</f>
        <v>WEIGHT_UNIT_SI</v>
      </c>
      <c r="I12148" s="136"/>
      <c r="R12148" s="63" t="str">
        <f t="shared" si="60"/>
        <v>ZSI1_PIPE_CONNECTWEIGHT_UNIT_SI</v>
      </c>
    </row>
    <row r="12149" ht="15.75" customHeight="1">
      <c r="B12149" s="63">
        <f t="shared" si="1"/>
        <v>17</v>
      </c>
      <c r="C12149" s="135" t="s">
        <v>441</v>
      </c>
      <c r="D12149" s="161" t="s">
        <v>74</v>
      </c>
      <c r="E12149" s="135">
        <f t="shared" si="62"/>
        <v>17</v>
      </c>
      <c r="F12149" s="134" t="s">
        <v>3877</v>
      </c>
      <c r="G12149" s="63" t="str">
        <f>VLOOKUP(C12149, 'Class Def. - General Data'!$C$20:$C$1000,1,false)</f>
        <v>ZSI1_PIPE_CONNECT</v>
      </c>
      <c r="H12149" s="63" t="str">
        <f>IFERROR(__xludf.DUMMYFUNCTION("VLOOKUP(F12149, IMPORTRANGE(""https://docs.google.com/spreadsheets/d/1Lhp9OU0JdFf_VYSMzH5lBcEaU4o8teT1piV-SNzShjg/edit?gid=554141278#gid=554141278"", ""'Char Def. - Attributes'!C20:C2242""), 1,false)"),"VOLUME_OPT")</f>
        <v>VOLUME_OPT</v>
      </c>
      <c r="I12149" s="136"/>
      <c r="R12149" s="63" t="str">
        <f t="shared" si="60"/>
        <v>ZSI1_PIPE_CONNECTVOLUME_OPT</v>
      </c>
    </row>
    <row r="12150" ht="15.75" customHeight="1">
      <c r="B12150" s="63">
        <f t="shared" si="1"/>
        <v>17</v>
      </c>
      <c r="C12150" s="135" t="s">
        <v>441</v>
      </c>
      <c r="D12150" s="161" t="s">
        <v>74</v>
      </c>
      <c r="E12150" s="135">
        <f t="shared" si="62"/>
        <v>18</v>
      </c>
      <c r="F12150" s="134" t="s">
        <v>4059</v>
      </c>
      <c r="G12150" s="63" t="str">
        <f>VLOOKUP(C12150, 'Class Def. - General Data'!$C$20:$C$1000,1,false)</f>
        <v>ZSI1_PIPE_CONNECT</v>
      </c>
      <c r="H12150" s="63" t="str">
        <f>IFERROR(__xludf.DUMMYFUNCTION("VLOOKUP(F12150, IMPORTRANGE(""https://docs.google.com/spreadsheets/d/1Lhp9OU0JdFf_VYSMzH5lBcEaU4o8teT1piV-SNzShjg/edit?gid=554141278#gid=554141278"", ""'Char Def. - Attributes'!C20:C2242""), 1,false)"),"VOLUME_UNIT_SI")</f>
        <v>VOLUME_UNIT_SI</v>
      </c>
      <c r="I12150" s="136"/>
      <c r="R12150" s="63" t="str">
        <f t="shared" si="60"/>
        <v>ZSI1_PIPE_CONNECTVOLUME_UNIT_SI</v>
      </c>
    </row>
    <row r="12151" ht="15.75" customHeight="1">
      <c r="B12151" s="63">
        <f t="shared" si="1"/>
        <v>17</v>
      </c>
      <c r="C12151" s="135" t="s">
        <v>441</v>
      </c>
      <c r="D12151" s="161" t="s">
        <v>74</v>
      </c>
      <c r="E12151" s="135">
        <f t="shared" si="62"/>
        <v>19</v>
      </c>
      <c r="F12151" s="134" t="s">
        <v>3804</v>
      </c>
      <c r="G12151" s="63" t="str">
        <f>VLOOKUP(C12151, 'Class Def. - General Data'!$C$20:$C$1000,1,false)</f>
        <v>ZSI1_PIPE_CONNECT</v>
      </c>
      <c r="H12151" s="63" t="str">
        <f>IFERROR(__xludf.DUMMYFUNCTION("VLOOKUP(F12151, IMPORTRANGE(""https://docs.google.com/spreadsheets/d/1Lhp9OU0JdFf_VYSMzH5lBcEaU4o8teT1piV-SNzShjg/edit?gid=554141278#gid=554141278"", ""'Char Def. - Attributes'!C20:C2242""), 1,false)"),"ALT_UOM1_SIPI")</f>
        <v>ALT_UOM1_SIPI</v>
      </c>
      <c r="I12151" s="136"/>
      <c r="R12151" s="63" t="str">
        <f t="shared" si="60"/>
        <v>ZSI1_PIPE_CONNECTALT_UOM1_SIPI</v>
      </c>
    </row>
    <row r="12152" ht="15.75" customHeight="1">
      <c r="B12152" s="63">
        <f t="shared" si="1"/>
        <v>17</v>
      </c>
      <c r="C12152" s="135" t="s">
        <v>441</v>
      </c>
      <c r="D12152" s="161" t="s">
        <v>74</v>
      </c>
      <c r="E12152" s="135">
        <f t="shared" si="62"/>
        <v>20</v>
      </c>
      <c r="F12152" s="134" t="s">
        <v>3805</v>
      </c>
      <c r="G12152" s="63" t="str">
        <f>VLOOKUP(C12152, 'Class Def. - General Data'!$C$20:$C$1000,1,false)</f>
        <v>ZSI1_PIPE_CONNECT</v>
      </c>
      <c r="H12152" s="63" t="str">
        <f>IFERROR(__xludf.DUMMYFUNCTION("VLOOKUP(F12152, IMPORTRANGE(""https://docs.google.com/spreadsheets/d/1Lhp9OU0JdFf_VYSMzH5lBcEaU4o8teT1piV-SNzShjg/edit?gid=554141278#gid=554141278"", ""'Char Def. - Attributes'!C20:C2242""), 1,false)"),"ALT_DENUM_UOM1")</f>
        <v>ALT_DENUM_UOM1</v>
      </c>
      <c r="I12152" s="136"/>
      <c r="R12152" s="63" t="str">
        <f t="shared" si="60"/>
        <v>ZSI1_PIPE_CONNECTALT_DENUM_UOM1</v>
      </c>
    </row>
    <row r="12153" ht="15.75" customHeight="1">
      <c r="B12153" s="63">
        <f t="shared" si="1"/>
        <v>17</v>
      </c>
      <c r="C12153" s="135" t="s">
        <v>441</v>
      </c>
      <c r="D12153" s="161" t="s">
        <v>74</v>
      </c>
      <c r="E12153" s="135">
        <f t="shared" si="62"/>
        <v>21</v>
      </c>
      <c r="F12153" s="134" t="s">
        <v>3806</v>
      </c>
      <c r="G12153" s="63" t="str">
        <f>VLOOKUP(C12153, 'Class Def. - General Data'!$C$20:$C$1000,1,false)</f>
        <v>ZSI1_PIPE_CONNECT</v>
      </c>
      <c r="H12153" s="63" t="str">
        <f>IFERROR(__xludf.DUMMYFUNCTION("VLOOKUP(F12153, IMPORTRANGE(""https://docs.google.com/spreadsheets/d/1Lhp9OU0JdFf_VYSMzH5lBcEaU4o8teT1piV-SNzShjg/edit?gid=554141278#gid=554141278"", ""'Char Def. - Attributes'!C20:C2242""), 1,false)"),"ALT_NUM_UOM1")</f>
        <v>ALT_NUM_UOM1</v>
      </c>
      <c r="I12153" s="136"/>
      <c r="R12153" s="63" t="str">
        <f t="shared" si="60"/>
        <v>ZSI1_PIPE_CONNECTALT_NUM_UOM1</v>
      </c>
    </row>
    <row r="12154" ht="15.75" customHeight="1">
      <c r="B12154" s="63">
        <f t="shared" si="1"/>
        <v>17</v>
      </c>
      <c r="C12154" s="135" t="s">
        <v>441</v>
      </c>
      <c r="D12154" s="161" t="s">
        <v>74</v>
      </c>
      <c r="E12154" s="135">
        <f t="shared" si="62"/>
        <v>22</v>
      </c>
      <c r="F12154" s="134" t="s">
        <v>3807</v>
      </c>
      <c r="G12154" s="63" t="str">
        <f>VLOOKUP(C12154, 'Class Def. - General Data'!$C$20:$C$1000,1,false)</f>
        <v>ZSI1_PIPE_CONNECT</v>
      </c>
      <c r="H12154" s="63" t="str">
        <f>IFERROR(__xludf.DUMMYFUNCTION("VLOOKUP(F12154, IMPORTRANGE(""https://docs.google.com/spreadsheets/d/1Lhp9OU0JdFf_VYSMzH5lBcEaU4o8teT1piV-SNzShjg/edit?gid=554141278#gid=554141278"", ""'Char Def. - Attributes'!C20:C2242""), 1,false)"),"ALT_UOM2_SIPI")</f>
        <v>ALT_UOM2_SIPI</v>
      </c>
      <c r="I12154" s="136"/>
      <c r="R12154" s="63" t="str">
        <f t="shared" si="60"/>
        <v>ZSI1_PIPE_CONNECTALT_UOM2_SIPI</v>
      </c>
    </row>
    <row r="12155" ht="15.75" customHeight="1">
      <c r="B12155" s="63">
        <f t="shared" si="1"/>
        <v>17</v>
      </c>
      <c r="C12155" s="135" t="s">
        <v>441</v>
      </c>
      <c r="D12155" s="161" t="s">
        <v>74</v>
      </c>
      <c r="E12155" s="135">
        <f t="shared" si="62"/>
        <v>23</v>
      </c>
      <c r="F12155" s="134" t="s">
        <v>3808</v>
      </c>
      <c r="G12155" s="63" t="str">
        <f>VLOOKUP(C12155, 'Class Def. - General Data'!$C$20:$C$1000,1,false)</f>
        <v>ZSI1_PIPE_CONNECT</v>
      </c>
      <c r="H12155" s="63" t="str">
        <f>IFERROR(__xludf.DUMMYFUNCTION("VLOOKUP(F12155, IMPORTRANGE(""https://docs.google.com/spreadsheets/d/1Lhp9OU0JdFf_VYSMzH5lBcEaU4o8teT1piV-SNzShjg/edit?gid=554141278#gid=554141278"", ""'Char Def. - Attributes'!C20:C2242""), 1,false)"),"ALT_DENUM_UOM2")</f>
        <v>ALT_DENUM_UOM2</v>
      </c>
      <c r="I12155" s="136"/>
      <c r="R12155" s="63" t="str">
        <f t="shared" si="60"/>
        <v>ZSI1_PIPE_CONNECTALT_DENUM_UOM2</v>
      </c>
    </row>
    <row r="12156" ht="15.75" customHeight="1">
      <c r="B12156" s="63">
        <f t="shared" si="1"/>
        <v>17</v>
      </c>
      <c r="C12156" s="135" t="s">
        <v>441</v>
      </c>
      <c r="D12156" s="161" t="s">
        <v>74</v>
      </c>
      <c r="E12156" s="135">
        <f t="shared" si="62"/>
        <v>24</v>
      </c>
      <c r="F12156" s="134" t="s">
        <v>3809</v>
      </c>
      <c r="G12156" s="63" t="str">
        <f>VLOOKUP(C12156, 'Class Def. - General Data'!$C$20:$C$1000,1,false)</f>
        <v>ZSI1_PIPE_CONNECT</v>
      </c>
      <c r="H12156" s="63" t="str">
        <f>IFERROR(__xludf.DUMMYFUNCTION("VLOOKUP(F12156, IMPORTRANGE(""https://docs.google.com/spreadsheets/d/1Lhp9OU0JdFf_VYSMzH5lBcEaU4o8teT1piV-SNzShjg/edit?gid=554141278#gid=554141278"", ""'Char Def. - Attributes'!C20:C2242""), 1,false)"),"ALT_NUM_UOM2")</f>
        <v>ALT_NUM_UOM2</v>
      </c>
      <c r="I12156" s="136"/>
      <c r="R12156" s="63" t="str">
        <f t="shared" si="60"/>
        <v>ZSI1_PIPE_CONNECTALT_NUM_UOM2</v>
      </c>
    </row>
    <row r="12157" ht="15.75" customHeight="1">
      <c r="B12157" s="63">
        <f t="shared" si="1"/>
        <v>17</v>
      </c>
      <c r="C12157" s="135" t="s">
        <v>441</v>
      </c>
      <c r="D12157" s="161" t="s">
        <v>74</v>
      </c>
      <c r="E12157" s="135">
        <f t="shared" si="62"/>
        <v>25</v>
      </c>
      <c r="F12157" s="134" t="s">
        <v>3810</v>
      </c>
      <c r="G12157" s="63" t="str">
        <f>VLOOKUP(C12157, 'Class Def. - General Data'!$C$20:$C$1000,1,false)</f>
        <v>ZSI1_PIPE_CONNECT</v>
      </c>
      <c r="H12157" s="63" t="str">
        <f>IFERROR(__xludf.DUMMYFUNCTION("VLOOKUP(F12157, IMPORTRANGE(""https://docs.google.com/spreadsheets/d/1Lhp9OU0JdFf_VYSMzH5lBcEaU4o8teT1piV-SNzShjg/edit?gid=554141278#gid=554141278"", ""'Char Def. - Attributes'!C20:C2242""), 1,false)"),"ALT_UOM3_SIPI")</f>
        <v>ALT_UOM3_SIPI</v>
      </c>
      <c r="I12157" s="136"/>
      <c r="R12157" s="63" t="str">
        <f t="shared" si="60"/>
        <v>ZSI1_PIPE_CONNECTALT_UOM3_SIPI</v>
      </c>
    </row>
    <row r="12158" ht="15.75" customHeight="1">
      <c r="B12158" s="63">
        <f t="shared" si="1"/>
        <v>17</v>
      </c>
      <c r="C12158" s="135" t="s">
        <v>441</v>
      </c>
      <c r="D12158" s="161" t="s">
        <v>74</v>
      </c>
      <c r="E12158" s="135">
        <f t="shared" si="62"/>
        <v>26</v>
      </c>
      <c r="F12158" s="134" t="s">
        <v>3811</v>
      </c>
      <c r="G12158" s="63" t="str">
        <f>VLOOKUP(C12158, 'Class Def. - General Data'!$C$20:$C$1000,1,false)</f>
        <v>ZSI1_PIPE_CONNECT</v>
      </c>
      <c r="H12158" s="63" t="str">
        <f>IFERROR(__xludf.DUMMYFUNCTION("VLOOKUP(F12158, IMPORTRANGE(""https://docs.google.com/spreadsheets/d/1Lhp9OU0JdFf_VYSMzH5lBcEaU4o8teT1piV-SNzShjg/edit?gid=554141278#gid=554141278"", ""'Char Def. - Attributes'!C20:C2242""), 1,false)"),"ALT_DENUM_UOM3")</f>
        <v>ALT_DENUM_UOM3</v>
      </c>
      <c r="I12158" s="136"/>
      <c r="R12158" s="63" t="str">
        <f t="shared" si="60"/>
        <v>ZSI1_PIPE_CONNECTALT_DENUM_UOM3</v>
      </c>
    </row>
    <row r="12159" ht="15.75" customHeight="1">
      <c r="B12159" s="63">
        <f t="shared" si="1"/>
        <v>17</v>
      </c>
      <c r="C12159" s="135" t="s">
        <v>441</v>
      </c>
      <c r="D12159" s="161" t="s">
        <v>74</v>
      </c>
      <c r="E12159" s="135">
        <f t="shared" si="62"/>
        <v>27</v>
      </c>
      <c r="F12159" s="134" t="s">
        <v>3812</v>
      </c>
      <c r="G12159" s="63" t="str">
        <f>VLOOKUP(C12159, 'Class Def. - General Data'!$C$20:$C$1000,1,false)</f>
        <v>ZSI1_PIPE_CONNECT</v>
      </c>
      <c r="H12159" s="63" t="str">
        <f>IFERROR(__xludf.DUMMYFUNCTION("VLOOKUP(F12159, IMPORTRANGE(""https://docs.google.com/spreadsheets/d/1Lhp9OU0JdFf_VYSMzH5lBcEaU4o8teT1piV-SNzShjg/edit?gid=554141278#gid=554141278"", ""'Char Def. - Attributes'!C20:C2242""), 1,false)"),"ALT_NUM_UOM3")</f>
        <v>ALT_NUM_UOM3</v>
      </c>
      <c r="I12159" s="136"/>
      <c r="R12159" s="63" t="str">
        <f t="shared" si="60"/>
        <v>ZSI1_PIPE_CONNECTALT_NUM_UOM3</v>
      </c>
    </row>
    <row r="12160" ht="15.75" customHeight="1">
      <c r="B12160" s="63">
        <f t="shared" si="1"/>
        <v>17</v>
      </c>
      <c r="C12160" s="135" t="s">
        <v>441</v>
      </c>
      <c r="D12160" s="161" t="s">
        <v>74</v>
      </c>
      <c r="E12160" s="135">
        <f t="shared" si="62"/>
        <v>28</v>
      </c>
      <c r="F12160" s="134" t="s">
        <v>3813</v>
      </c>
      <c r="G12160" s="63" t="str">
        <f>VLOOKUP(C12160, 'Class Def. - General Data'!$C$20:$C$1000,1,false)</f>
        <v>ZSI1_PIPE_CONNECT</v>
      </c>
      <c r="H12160" s="63" t="str">
        <f>IFERROR(__xludf.DUMMYFUNCTION("VLOOKUP(F12160, IMPORTRANGE(""https://docs.google.com/spreadsheets/d/1Lhp9OU0JdFf_VYSMzH5lBcEaU4o8teT1piV-SNzShjg/edit?gid=554141278#gid=554141278"", ""'Char Def. - Attributes'!C20:C2242""), 1,false)"),"ALT_UOM4_SIPI")</f>
        <v>ALT_UOM4_SIPI</v>
      </c>
      <c r="I12160" s="136"/>
      <c r="R12160" s="63" t="str">
        <f t="shared" si="60"/>
        <v>ZSI1_PIPE_CONNECTALT_UOM4_SIPI</v>
      </c>
    </row>
    <row r="12161" ht="15.75" customHeight="1">
      <c r="B12161" s="63">
        <f t="shared" si="1"/>
        <v>17</v>
      </c>
      <c r="C12161" s="135" t="s">
        <v>441</v>
      </c>
      <c r="D12161" s="161" t="s">
        <v>74</v>
      </c>
      <c r="E12161" s="135">
        <f t="shared" si="62"/>
        <v>29</v>
      </c>
      <c r="F12161" s="134" t="s">
        <v>3814</v>
      </c>
      <c r="G12161" s="63" t="str">
        <f>VLOOKUP(C12161, 'Class Def. - General Data'!$C$20:$C$1000,1,false)</f>
        <v>ZSI1_PIPE_CONNECT</v>
      </c>
      <c r="H12161" s="63" t="str">
        <f>IFERROR(__xludf.DUMMYFUNCTION("VLOOKUP(F12161, IMPORTRANGE(""https://docs.google.com/spreadsheets/d/1Lhp9OU0JdFf_VYSMzH5lBcEaU4o8teT1piV-SNzShjg/edit?gid=554141278#gid=554141278"", ""'Char Def. - Attributes'!C20:C2242""), 1,false)"),"ALT_DENUM_UOM4")</f>
        <v>ALT_DENUM_UOM4</v>
      </c>
      <c r="I12161" s="136"/>
      <c r="R12161" s="63" t="str">
        <f t="shared" si="60"/>
        <v>ZSI1_PIPE_CONNECTALT_DENUM_UOM4</v>
      </c>
    </row>
    <row r="12162" ht="15.75" customHeight="1">
      <c r="B12162" s="63">
        <f t="shared" si="1"/>
        <v>17</v>
      </c>
      <c r="C12162" s="135" t="s">
        <v>441</v>
      </c>
      <c r="D12162" s="161" t="s">
        <v>74</v>
      </c>
      <c r="E12162" s="135">
        <f t="shared" si="62"/>
        <v>30</v>
      </c>
      <c r="F12162" s="134" t="s">
        <v>3815</v>
      </c>
      <c r="G12162" s="63" t="str">
        <f>VLOOKUP(C12162, 'Class Def. - General Data'!$C$20:$C$1000,1,false)</f>
        <v>ZSI1_PIPE_CONNECT</v>
      </c>
      <c r="H12162" s="63" t="str">
        <f>IFERROR(__xludf.DUMMYFUNCTION("VLOOKUP(F12162, IMPORTRANGE(""https://docs.google.com/spreadsheets/d/1Lhp9OU0JdFf_VYSMzH5lBcEaU4o8teT1piV-SNzShjg/edit?gid=554141278#gid=554141278"", ""'Char Def. - Attributes'!C20:C2242""), 1,false)"),"ALT_NUM_UOM4")</f>
        <v>ALT_NUM_UOM4</v>
      </c>
      <c r="I12162" s="136"/>
      <c r="R12162" s="63" t="str">
        <f t="shared" si="60"/>
        <v>ZSI1_PIPE_CONNECTALT_NUM_UOM4</v>
      </c>
    </row>
    <row r="12163" ht="15.75" customHeight="1">
      <c r="B12163" s="63">
        <f t="shared" si="1"/>
        <v>17</v>
      </c>
      <c r="C12163" s="135" t="s">
        <v>441</v>
      </c>
      <c r="D12163" s="161" t="s">
        <v>74</v>
      </c>
      <c r="E12163" s="135">
        <f t="shared" si="62"/>
        <v>31</v>
      </c>
      <c r="F12163" s="134" t="s">
        <v>3816</v>
      </c>
      <c r="G12163" s="63" t="str">
        <f>VLOOKUP(C12163, 'Class Def. - General Data'!$C$20:$C$1000,1,false)</f>
        <v>ZSI1_PIPE_CONNECT</v>
      </c>
      <c r="H12163" s="63" t="str">
        <f>IFERROR(__xludf.DUMMYFUNCTION("VLOOKUP(F12163, IMPORTRANGE(""https://docs.google.com/spreadsheets/d/1Lhp9OU0JdFf_VYSMzH5lBcEaU4o8teT1piV-SNzShjg/edit?gid=554141278#gid=554141278"", ""'Char Def. - Attributes'!C20:C2242""), 1,false)"),"ALT_UOM5_SIPI")</f>
        <v>ALT_UOM5_SIPI</v>
      </c>
      <c r="I12163" s="136"/>
      <c r="R12163" s="63" t="str">
        <f t="shared" si="60"/>
        <v>ZSI1_PIPE_CONNECTALT_UOM5_SIPI</v>
      </c>
    </row>
    <row r="12164" ht="15.75" customHeight="1">
      <c r="B12164" s="63">
        <f t="shared" si="1"/>
        <v>17</v>
      </c>
      <c r="C12164" s="135" t="s">
        <v>441</v>
      </c>
      <c r="D12164" s="161" t="s">
        <v>74</v>
      </c>
      <c r="E12164" s="135">
        <f t="shared" si="62"/>
        <v>32</v>
      </c>
      <c r="F12164" s="134" t="s">
        <v>3817</v>
      </c>
      <c r="G12164" s="63" t="str">
        <f>VLOOKUP(C12164, 'Class Def. - General Data'!$C$20:$C$1000,1,false)</f>
        <v>ZSI1_PIPE_CONNECT</v>
      </c>
      <c r="H12164" s="63" t="str">
        <f>IFERROR(__xludf.DUMMYFUNCTION("VLOOKUP(F12164, IMPORTRANGE(""https://docs.google.com/spreadsheets/d/1Lhp9OU0JdFf_VYSMzH5lBcEaU4o8teT1piV-SNzShjg/edit?gid=554141278#gid=554141278"", ""'Char Def. - Attributes'!C20:C2242""), 1,false)"),"ALT_DENUM_UOM5")</f>
        <v>ALT_DENUM_UOM5</v>
      </c>
      <c r="I12164" s="136"/>
      <c r="R12164" s="63" t="str">
        <f t="shared" si="60"/>
        <v>ZSI1_PIPE_CONNECTALT_DENUM_UOM5</v>
      </c>
    </row>
    <row r="12165" ht="15.75" customHeight="1">
      <c r="B12165" s="63">
        <f t="shared" si="1"/>
        <v>17</v>
      </c>
      <c r="C12165" s="135" t="s">
        <v>441</v>
      </c>
      <c r="D12165" s="161" t="s">
        <v>74</v>
      </c>
      <c r="E12165" s="135">
        <f t="shared" si="62"/>
        <v>33</v>
      </c>
      <c r="F12165" s="134" t="s">
        <v>3818</v>
      </c>
      <c r="G12165" s="63" t="str">
        <f>VLOOKUP(C12165, 'Class Def. - General Data'!$C$20:$C$1000,1,false)</f>
        <v>ZSI1_PIPE_CONNECT</v>
      </c>
      <c r="H12165" s="63" t="str">
        <f>IFERROR(__xludf.DUMMYFUNCTION("VLOOKUP(F12165, IMPORTRANGE(""https://docs.google.com/spreadsheets/d/1Lhp9OU0JdFf_VYSMzH5lBcEaU4o8teT1piV-SNzShjg/edit?gid=554141278#gid=554141278"", ""'Char Def. - Attributes'!C20:C2242""), 1,false)"),"ALT_NUM_UOM5")</f>
        <v>ALT_NUM_UOM5</v>
      </c>
      <c r="I12165" s="136"/>
      <c r="R12165" s="63" t="str">
        <f t="shared" si="60"/>
        <v>ZSI1_PIPE_CONNECTALT_NUM_UOM5</v>
      </c>
    </row>
    <row r="12166" ht="15.75" customHeight="1">
      <c r="B12166" s="63">
        <f t="shared" si="1"/>
        <v>18</v>
      </c>
      <c r="C12166" s="135" t="s">
        <v>545</v>
      </c>
      <c r="D12166" s="161" t="s">
        <v>74</v>
      </c>
      <c r="E12166" s="135">
        <f t="shared" si="62"/>
        <v>1</v>
      </c>
      <c r="F12166" s="134" t="s">
        <v>5109</v>
      </c>
      <c r="G12166" s="63" t="str">
        <f>VLOOKUP(C12166, 'Class Def. - General Data'!$C$20:$C$1000,1,false)</f>
        <v>ZSI1_PIPE_COUPLING</v>
      </c>
      <c r="H12166" s="63" t="str">
        <f>IFERROR(__xludf.DUMMYFUNCTION("VLOOKUP(F12166, IMPORTRANGE(""https://docs.google.com/spreadsheets/d/1Lhp9OU0JdFf_VYSMzH5lBcEaU4o8teT1piV-SNzShjg/edit?gid=554141278#gid=554141278"", ""'Char Def. - Attributes'!C20:C2242""), 1,false)"),"ITEM_NAME_PIPE_COUPLING")</f>
        <v>ITEM_NAME_PIPE_COUPLING</v>
      </c>
      <c r="I12166" s="136"/>
      <c r="R12166" s="63" t="str">
        <f t="shared" si="60"/>
        <v>ZSI1_PIPE_COUPLINGITEM_NAME_PIPE_COUPLING</v>
      </c>
    </row>
    <row r="12167" ht="15.75" customHeight="1">
      <c r="B12167" s="63">
        <f t="shared" si="1"/>
        <v>18</v>
      </c>
      <c r="C12167" s="135" t="s">
        <v>545</v>
      </c>
      <c r="D12167" s="161" t="s">
        <v>74</v>
      </c>
      <c r="E12167" s="135">
        <f t="shared" si="62"/>
        <v>2</v>
      </c>
      <c r="F12167" s="134" t="s">
        <v>5110</v>
      </c>
      <c r="G12167" s="63" t="str">
        <f>VLOOKUP(C12167, 'Class Def. - General Data'!$C$20:$C$1000,1,false)</f>
        <v>ZSI1_PIPE_COUPLING</v>
      </c>
      <c r="H12167" s="63" t="str">
        <f>IFERROR(__xludf.DUMMYFUNCTION("VLOOKUP(F12167, IMPORTRANGE(""https://docs.google.com/spreadsheets/d/1Lhp9OU0JdFf_VYSMzH5lBcEaU4o8teT1piV-SNzShjg/edit?gid=554141278#gid=554141278"", ""'Char Def. - Attributes'!C20:C2242""), 1,false)"),"TYPE_PIPE_COUPLING")</f>
        <v>TYPE_PIPE_COUPLING</v>
      </c>
      <c r="I12167" s="136"/>
      <c r="R12167" s="63" t="str">
        <f t="shared" si="60"/>
        <v>ZSI1_PIPE_COUPLINGTYPE_PIPE_COUPLING</v>
      </c>
    </row>
    <row r="12168" ht="15.75" customHeight="1">
      <c r="B12168" s="63">
        <f t="shared" si="1"/>
        <v>18</v>
      </c>
      <c r="C12168" s="135" t="s">
        <v>545</v>
      </c>
      <c r="D12168" s="161" t="s">
        <v>74</v>
      </c>
      <c r="E12168" s="135">
        <f t="shared" si="62"/>
        <v>3</v>
      </c>
      <c r="F12168" s="134" t="s">
        <v>5111</v>
      </c>
      <c r="G12168" s="63" t="str">
        <f>VLOOKUP(C12168, 'Class Def. - General Data'!$C$20:$C$1000,1,false)</f>
        <v>ZSI1_PIPE_COUPLING</v>
      </c>
      <c r="H12168" s="63" t="str">
        <f>IFERROR(__xludf.DUMMYFUNCTION("VLOOKUP(F12168, IMPORTRANGE(""https://docs.google.com/spreadsheets/d/1Lhp9OU0JdFf_VYSMzH5lBcEaU4o8teT1piV-SNzShjg/edit?gid=554141278#gid=554141278"", ""'Char Def. - Attributes'!C20:C2242""), 1,false)"),"DIMENSION_PIPE_COUPLING")</f>
        <v>DIMENSION_PIPE_COUPLING</v>
      </c>
      <c r="I12168" s="136"/>
      <c r="R12168" s="63" t="str">
        <f t="shared" si="60"/>
        <v>ZSI1_PIPE_COUPLINGDIMENSION_PIPE_COUPLING</v>
      </c>
    </row>
    <row r="12169" ht="15.75" customHeight="1">
      <c r="B12169" s="63">
        <f t="shared" si="1"/>
        <v>18</v>
      </c>
      <c r="C12169" s="135" t="s">
        <v>545</v>
      </c>
      <c r="D12169" s="161" t="s">
        <v>74</v>
      </c>
      <c r="E12169" s="135">
        <f t="shared" si="62"/>
        <v>4</v>
      </c>
      <c r="F12169" s="134" t="s">
        <v>5112</v>
      </c>
      <c r="G12169" s="63" t="str">
        <f>VLOOKUP(C12169, 'Class Def. - General Data'!$C$20:$C$1000,1,false)</f>
        <v>ZSI1_PIPE_COUPLING</v>
      </c>
      <c r="H12169" s="63" t="str">
        <f>IFERROR(__xludf.DUMMYFUNCTION("VLOOKUP(F12169, IMPORTRANGE(""https://docs.google.com/spreadsheets/d/1Lhp9OU0JdFf_VYSMzH5lBcEaU4o8teT1piV-SNzShjg/edit?gid=554141278#gid=554141278"", ""'Char Def. - Attributes'!C20:C2242""), 1,false)"),"DIAMETER_PIPE_COUPLING")</f>
        <v>DIAMETER_PIPE_COUPLING</v>
      </c>
      <c r="I12169" s="136"/>
      <c r="R12169" s="63" t="str">
        <f t="shared" si="60"/>
        <v>ZSI1_PIPE_COUPLINGDIAMETER_PIPE_COUPLING</v>
      </c>
    </row>
    <row r="12170" ht="15.75" customHeight="1">
      <c r="B12170" s="63">
        <f t="shared" si="1"/>
        <v>18</v>
      </c>
      <c r="C12170" s="135" t="s">
        <v>545</v>
      </c>
      <c r="D12170" s="161" t="s">
        <v>74</v>
      </c>
      <c r="E12170" s="135">
        <f t="shared" si="62"/>
        <v>5</v>
      </c>
      <c r="F12170" s="134" t="s">
        <v>5113</v>
      </c>
      <c r="G12170" s="63" t="str">
        <f>VLOOKUP(C12170, 'Class Def. - General Data'!$C$20:$C$1000,1,false)</f>
        <v>ZSI1_PIPE_COUPLING</v>
      </c>
      <c r="H12170" s="63" t="str">
        <f>IFERROR(__xludf.DUMMYFUNCTION("VLOOKUP(F12170, IMPORTRANGE(""https://docs.google.com/spreadsheets/d/1Lhp9OU0JdFf_VYSMzH5lBcEaU4o8teT1piV-SNzShjg/edit?gid=554141278#gid=554141278"", ""'Char Def. - Attributes'!C20:C2242""), 1,false)"),"PRESSURE_PN_PIPE_COUPLING")</f>
        <v>PRESSURE_PN_PIPE_COUPLING</v>
      </c>
      <c r="I12170" s="136"/>
      <c r="R12170" s="63" t="str">
        <f t="shared" si="60"/>
        <v>ZSI1_PIPE_COUPLINGPRESSURE_PN_PIPE_COUPLING</v>
      </c>
    </row>
    <row r="12171" ht="15.75" customHeight="1">
      <c r="B12171" s="63">
        <f t="shared" si="1"/>
        <v>18</v>
      </c>
      <c r="C12171" s="135" t="s">
        <v>545</v>
      </c>
      <c r="D12171" s="161" t="s">
        <v>74</v>
      </c>
      <c r="E12171" s="135">
        <f t="shared" si="62"/>
        <v>6</v>
      </c>
      <c r="F12171" s="134" t="s">
        <v>5114</v>
      </c>
      <c r="G12171" s="63" t="str">
        <f>VLOOKUP(C12171, 'Class Def. - General Data'!$C$20:$C$1000,1,false)</f>
        <v>ZSI1_PIPE_COUPLING</v>
      </c>
      <c r="H12171" s="63" t="str">
        <f>IFERROR(__xludf.DUMMYFUNCTION("VLOOKUP(F12171, IMPORTRANGE(""https://docs.google.com/spreadsheets/d/1Lhp9OU0JdFf_VYSMzH5lBcEaU4o8teT1piV-SNzShjg/edit?gid=554141278#gid=554141278"", ""'Char Def. - Attributes'!C20:C2242""), 1,false)"),"SCHEDULE_PIPE_COUPLING")</f>
        <v>SCHEDULE_PIPE_COUPLING</v>
      </c>
      <c r="I12171" s="136"/>
      <c r="R12171" s="63" t="str">
        <f t="shared" si="60"/>
        <v>ZSI1_PIPE_COUPLINGSCHEDULE_PIPE_COUPLING</v>
      </c>
    </row>
    <row r="12172" ht="15.75" customHeight="1">
      <c r="B12172" s="63">
        <f t="shared" si="1"/>
        <v>18</v>
      </c>
      <c r="C12172" s="135" t="s">
        <v>545</v>
      </c>
      <c r="D12172" s="161" t="s">
        <v>74</v>
      </c>
      <c r="E12172" s="135">
        <f t="shared" si="62"/>
        <v>7</v>
      </c>
      <c r="F12172" s="134" t="s">
        <v>5115</v>
      </c>
      <c r="G12172" s="63" t="str">
        <f>VLOOKUP(C12172, 'Class Def. - General Data'!$C$20:$C$1000,1,false)</f>
        <v>ZSI1_PIPE_COUPLING</v>
      </c>
      <c r="H12172" s="63" t="str">
        <f>IFERROR(__xludf.DUMMYFUNCTION("VLOOKUP(F12172, IMPORTRANGE(""https://docs.google.com/spreadsheets/d/1Lhp9OU0JdFf_VYSMzH5lBcEaU4o8teT1piV-SNzShjg/edit?gid=554141278#gid=554141278"", ""'Char Def. - Attributes'!C20:C2242""), 1,false)"),"PRESSURE_KPSI_PIPE_COUPLING")</f>
        <v>PRESSURE_KPSI_PIPE_COUPLING</v>
      </c>
      <c r="I12172" s="136"/>
      <c r="R12172" s="63" t="str">
        <f t="shared" si="60"/>
        <v>ZSI1_PIPE_COUPLINGPRESSURE_KPSI_PIPE_COUPLING</v>
      </c>
    </row>
    <row r="12173" ht="15.75" customHeight="1">
      <c r="B12173" s="63">
        <f t="shared" si="1"/>
        <v>18</v>
      </c>
      <c r="C12173" s="135" t="s">
        <v>545</v>
      </c>
      <c r="D12173" s="161" t="s">
        <v>74</v>
      </c>
      <c r="E12173" s="135">
        <f t="shared" si="62"/>
        <v>8</v>
      </c>
      <c r="F12173" s="134" t="s">
        <v>5116</v>
      </c>
      <c r="G12173" s="63" t="str">
        <f>VLOOKUP(C12173, 'Class Def. - General Data'!$C$20:$C$1000,1,false)</f>
        <v>ZSI1_PIPE_COUPLING</v>
      </c>
      <c r="H12173" s="63" t="str">
        <f>IFERROR(__xludf.DUMMYFUNCTION("VLOOKUP(F12173, IMPORTRANGE(""https://docs.google.com/spreadsheets/d/1Lhp9OU0JdFf_VYSMzH5lBcEaU4o8teT1piV-SNzShjg/edit?gid=554141278#gid=554141278"", ""'Char Def. - Attributes'!C20:C2242""), 1,false)"),"END_CONNECT_PIPE_COUPLING")</f>
        <v>END_CONNECT_PIPE_COUPLING</v>
      </c>
      <c r="I12173" s="136"/>
      <c r="R12173" s="63" t="str">
        <f t="shared" si="60"/>
        <v>ZSI1_PIPE_COUPLINGEND_CONNECT_PIPE_COUPLING</v>
      </c>
    </row>
    <row r="12174" ht="15.75" customHeight="1">
      <c r="B12174" s="63">
        <f t="shared" si="1"/>
        <v>18</v>
      </c>
      <c r="C12174" s="135" t="s">
        <v>545</v>
      </c>
      <c r="D12174" s="161" t="s">
        <v>74</v>
      </c>
      <c r="E12174" s="135">
        <f t="shared" si="62"/>
        <v>9</v>
      </c>
      <c r="F12174" s="134" t="s">
        <v>5117</v>
      </c>
      <c r="G12174" s="63" t="str">
        <f>VLOOKUP(C12174, 'Class Def. - General Data'!$C$20:$C$1000,1,false)</f>
        <v>ZSI1_PIPE_COUPLING</v>
      </c>
      <c r="H12174" s="63" t="str">
        <f>IFERROR(__xludf.DUMMYFUNCTION("VLOOKUP(F12174, IMPORTRANGE(""https://docs.google.com/spreadsheets/d/1Lhp9OU0JdFf_VYSMzH5lBcEaU4o8teT1piV-SNzShjg/edit?gid=554141278#gid=554141278"", ""'Char Def. - Attributes'!C20:C2242""), 1,false)"),"MATERIAL_PIPE_COUPLING")</f>
        <v>MATERIAL_PIPE_COUPLING</v>
      </c>
      <c r="I12174" s="136"/>
      <c r="R12174" s="63" t="str">
        <f t="shared" si="60"/>
        <v>ZSI1_PIPE_COUPLINGMATERIAL_PIPE_COUPLING</v>
      </c>
    </row>
    <row r="12175" ht="15.75" customHeight="1">
      <c r="B12175" s="63">
        <f t="shared" si="1"/>
        <v>18</v>
      </c>
      <c r="C12175" s="135" t="s">
        <v>545</v>
      </c>
      <c r="D12175" s="161" t="s">
        <v>74</v>
      </c>
      <c r="E12175" s="135">
        <f t="shared" si="62"/>
        <v>10</v>
      </c>
      <c r="F12175" s="134" t="s">
        <v>3585</v>
      </c>
      <c r="G12175" s="63" t="str">
        <f>VLOOKUP(C12175, 'Class Def. - General Data'!$C$20:$C$1000,1,false)</f>
        <v>ZSI1_PIPE_COUPLING</v>
      </c>
      <c r="H12175" s="63" t="str">
        <f>IFERROR(__xludf.DUMMYFUNCTION("VLOOKUP(F12175, IMPORTRANGE(""https://docs.google.com/spreadsheets/d/1Lhp9OU0JdFf_VYSMzH5lBcEaU4o8teT1piV-SNzShjg/edit?gid=554141278#gid=554141278"", ""'Char Def. - Attributes'!C20:C2242""), 1,false)"),"HS_CODE")</f>
        <v>HS_CODE</v>
      </c>
      <c r="I12175" s="136"/>
      <c r="R12175" s="63" t="str">
        <f t="shared" si="60"/>
        <v>ZSI1_PIPE_COUPLINGHS_CODE</v>
      </c>
    </row>
    <row r="12176" ht="15.75" customHeight="1">
      <c r="B12176" s="63">
        <f t="shared" si="1"/>
        <v>18</v>
      </c>
      <c r="C12176" s="135" t="s">
        <v>545</v>
      </c>
      <c r="D12176" s="161" t="s">
        <v>74</v>
      </c>
      <c r="E12176" s="135">
        <f t="shared" si="62"/>
        <v>11</v>
      </c>
      <c r="F12176" s="134" t="s">
        <v>3587</v>
      </c>
      <c r="G12176" s="63" t="str">
        <f>VLOOKUP(C12176, 'Class Def. - General Data'!$C$20:$C$1000,1,false)</f>
        <v>ZSI1_PIPE_COUPLING</v>
      </c>
      <c r="H12176" s="63" t="str">
        <f>IFERROR(__xludf.DUMMYFUNCTION("VLOOKUP(F12176, IMPORTRANGE(""https://docs.google.com/spreadsheets/d/1Lhp9OU0JdFf_VYSMzH5lBcEaU4o8teT1piV-SNzShjg/edit?gid=554141278#gid=554141278"", ""'Char Def. - Attributes'!C20:C2242""), 1,false)"),"PLANT_BUY")</f>
        <v>PLANT_BUY</v>
      </c>
      <c r="I12176" s="136"/>
      <c r="R12176" s="63" t="str">
        <f t="shared" si="60"/>
        <v>ZSI1_PIPE_COUPLINGPLANT_BUY</v>
      </c>
    </row>
    <row r="12177" ht="15.75" customHeight="1">
      <c r="B12177" s="63">
        <f t="shared" si="1"/>
        <v>18</v>
      </c>
      <c r="C12177" s="135" t="s">
        <v>545</v>
      </c>
      <c r="D12177" s="161" t="s">
        <v>74</v>
      </c>
      <c r="E12177" s="135">
        <f t="shared" si="62"/>
        <v>12</v>
      </c>
      <c r="F12177" s="134" t="s">
        <v>5118</v>
      </c>
      <c r="G12177" s="63" t="str">
        <f>VLOOKUP(C12177, 'Class Def. - General Data'!$C$20:$C$1000,1,false)</f>
        <v>ZSI1_PIPE_COUPLING</v>
      </c>
      <c r="H12177" s="63" t="str">
        <f>IFERROR(__xludf.DUMMYFUNCTION("VLOOKUP(F12177, IMPORTRANGE(""https://docs.google.com/spreadsheets/d/1Lhp9OU0JdFf_VYSMzH5lBcEaU4o8teT1piV-SNzShjg/edit?gid=554141278#gid=554141278"", ""'Char Def. - Attributes'!C20:C2242""), 1,false)"),"BASE_UOM_PIPE_COUPLING")</f>
        <v>BASE_UOM_PIPE_COUPLING</v>
      </c>
      <c r="I12177" s="136"/>
      <c r="R12177" s="63" t="str">
        <f t="shared" si="60"/>
        <v>ZSI1_PIPE_COUPLINGBASE_UOM_PIPE_COUPLING</v>
      </c>
    </row>
    <row r="12178" ht="15.75" customHeight="1">
      <c r="B12178" s="63">
        <f t="shared" si="1"/>
        <v>18</v>
      </c>
      <c r="C12178" s="135" t="s">
        <v>545</v>
      </c>
      <c r="D12178" s="161" t="s">
        <v>74</v>
      </c>
      <c r="E12178" s="135">
        <f t="shared" si="62"/>
        <v>13</v>
      </c>
      <c r="F12178" s="134" t="s">
        <v>5119</v>
      </c>
      <c r="G12178" s="63" t="str">
        <f>VLOOKUP(C12178, 'Class Def. - General Data'!$C$20:$C$1000,1,false)</f>
        <v>ZSI1_PIPE_COUPLING</v>
      </c>
      <c r="H12178" s="63" t="str">
        <f>IFERROR(__xludf.DUMMYFUNCTION("VLOOKUP(F12178, IMPORTRANGE(""https://docs.google.com/spreadsheets/d/1Lhp9OU0JdFf_VYSMzH5lBcEaU4o8teT1piV-SNzShjg/edit?gid=554141278#gid=554141278"", ""'Char Def. - Attributes'!C20:C2242""), 1,false)"),"ORDER_UNIT_PIPE_COUPLING")</f>
        <v>ORDER_UNIT_PIPE_COUPLING</v>
      </c>
      <c r="I12178" s="136"/>
      <c r="R12178" s="63" t="str">
        <f t="shared" si="60"/>
        <v>ZSI1_PIPE_COUPLINGORDER_UNIT_PIPE_COUPLING</v>
      </c>
    </row>
    <row r="12179" ht="15.75" customHeight="1">
      <c r="B12179" s="63">
        <f t="shared" si="1"/>
        <v>18</v>
      </c>
      <c r="C12179" s="135" t="s">
        <v>545</v>
      </c>
      <c r="D12179" s="161" t="s">
        <v>74</v>
      </c>
      <c r="E12179" s="135">
        <f t="shared" si="62"/>
        <v>14</v>
      </c>
      <c r="F12179" s="134" t="s">
        <v>4056</v>
      </c>
      <c r="G12179" s="63" t="str">
        <f>VLOOKUP(C12179, 'Class Def. - General Data'!$C$20:$C$1000,1,false)</f>
        <v>ZSI1_PIPE_COUPLING</v>
      </c>
      <c r="H12179" s="63" t="str">
        <f>IFERROR(__xludf.DUMMYFUNCTION("VLOOKUP(F12179, IMPORTRANGE(""https://docs.google.com/spreadsheets/d/1Lhp9OU0JdFf_VYSMzH5lBcEaU4o8teT1piV-SNzShjg/edit?gid=554141278#gid=554141278"", ""'Char Def. - Attributes'!C20:C2242""), 1,false)"),"GROSS_WEIGHT_OPT")</f>
        <v>GROSS_WEIGHT_OPT</v>
      </c>
      <c r="I12179" s="136"/>
      <c r="R12179" s="63" t="str">
        <f t="shared" si="60"/>
        <v>ZSI1_PIPE_COUPLINGGROSS_WEIGHT_OPT</v>
      </c>
    </row>
    <row r="12180" ht="15.75" customHeight="1">
      <c r="B12180" s="63">
        <f t="shared" si="1"/>
        <v>18</v>
      </c>
      <c r="C12180" s="135" t="s">
        <v>545</v>
      </c>
      <c r="D12180" s="161" t="s">
        <v>74</v>
      </c>
      <c r="E12180" s="135">
        <f t="shared" si="62"/>
        <v>15</v>
      </c>
      <c r="F12180" s="134" t="s">
        <v>4057</v>
      </c>
      <c r="G12180" s="63" t="str">
        <f>VLOOKUP(C12180, 'Class Def. - General Data'!$C$20:$C$1000,1,false)</f>
        <v>ZSI1_PIPE_COUPLING</v>
      </c>
      <c r="H12180" s="63" t="str">
        <f>IFERROR(__xludf.DUMMYFUNCTION("VLOOKUP(F12180, IMPORTRANGE(""https://docs.google.com/spreadsheets/d/1Lhp9OU0JdFf_VYSMzH5lBcEaU4o8teT1piV-SNzShjg/edit?gid=554141278#gid=554141278"", ""'Char Def. - Attributes'!C20:C2242""), 1,false)"),"NET_WEIGHT_OPT")</f>
        <v>NET_WEIGHT_OPT</v>
      </c>
      <c r="I12180" s="136"/>
      <c r="R12180" s="63" t="str">
        <f t="shared" si="60"/>
        <v>ZSI1_PIPE_COUPLINGNET_WEIGHT_OPT</v>
      </c>
    </row>
    <row r="12181" ht="15.75" customHeight="1">
      <c r="B12181" s="63">
        <f t="shared" si="1"/>
        <v>18</v>
      </c>
      <c r="C12181" s="135" t="s">
        <v>545</v>
      </c>
      <c r="D12181" s="161" t="s">
        <v>74</v>
      </c>
      <c r="E12181" s="135">
        <f t="shared" si="62"/>
        <v>16</v>
      </c>
      <c r="F12181" s="134" t="s">
        <v>4058</v>
      </c>
      <c r="G12181" s="63" t="str">
        <f>VLOOKUP(C12181, 'Class Def. - General Data'!$C$20:$C$1000,1,false)</f>
        <v>ZSI1_PIPE_COUPLING</v>
      </c>
      <c r="H12181" s="63" t="str">
        <f>IFERROR(__xludf.DUMMYFUNCTION("VLOOKUP(F12181, IMPORTRANGE(""https://docs.google.com/spreadsheets/d/1Lhp9OU0JdFf_VYSMzH5lBcEaU4o8teT1piV-SNzShjg/edit?gid=554141278#gid=554141278"", ""'Char Def. - Attributes'!C20:C2242""), 1,false)"),"WEIGHT_UNIT_SI")</f>
        <v>WEIGHT_UNIT_SI</v>
      </c>
      <c r="I12181" s="136"/>
      <c r="R12181" s="63" t="str">
        <f t="shared" si="60"/>
        <v>ZSI1_PIPE_COUPLINGWEIGHT_UNIT_SI</v>
      </c>
    </row>
    <row r="12182" ht="15.75" customHeight="1">
      <c r="B12182" s="63">
        <f t="shared" si="1"/>
        <v>18</v>
      </c>
      <c r="C12182" s="135" t="s">
        <v>545</v>
      </c>
      <c r="D12182" s="161" t="s">
        <v>74</v>
      </c>
      <c r="E12182" s="135">
        <f t="shared" si="62"/>
        <v>17</v>
      </c>
      <c r="F12182" s="134" t="s">
        <v>3877</v>
      </c>
      <c r="G12182" s="63" t="str">
        <f>VLOOKUP(C12182, 'Class Def. - General Data'!$C$20:$C$1000,1,false)</f>
        <v>ZSI1_PIPE_COUPLING</v>
      </c>
      <c r="H12182" s="63" t="str">
        <f>IFERROR(__xludf.DUMMYFUNCTION("VLOOKUP(F12182, IMPORTRANGE(""https://docs.google.com/spreadsheets/d/1Lhp9OU0JdFf_VYSMzH5lBcEaU4o8teT1piV-SNzShjg/edit?gid=554141278#gid=554141278"", ""'Char Def. - Attributes'!C20:C2242""), 1,false)"),"VOLUME_OPT")</f>
        <v>VOLUME_OPT</v>
      </c>
      <c r="I12182" s="136"/>
      <c r="R12182" s="63" t="str">
        <f t="shared" si="60"/>
        <v>ZSI1_PIPE_COUPLINGVOLUME_OPT</v>
      </c>
    </row>
    <row r="12183" ht="15.75" customHeight="1">
      <c r="B12183" s="63">
        <f t="shared" si="1"/>
        <v>18</v>
      </c>
      <c r="C12183" s="135" t="s">
        <v>545</v>
      </c>
      <c r="D12183" s="161" t="s">
        <v>74</v>
      </c>
      <c r="E12183" s="135">
        <f t="shared" si="62"/>
        <v>18</v>
      </c>
      <c r="F12183" s="134" t="s">
        <v>4059</v>
      </c>
      <c r="G12183" s="63" t="str">
        <f>VLOOKUP(C12183, 'Class Def. - General Data'!$C$20:$C$1000,1,false)</f>
        <v>ZSI1_PIPE_COUPLING</v>
      </c>
      <c r="H12183" s="63" t="str">
        <f>IFERROR(__xludf.DUMMYFUNCTION("VLOOKUP(F12183, IMPORTRANGE(""https://docs.google.com/spreadsheets/d/1Lhp9OU0JdFf_VYSMzH5lBcEaU4o8teT1piV-SNzShjg/edit?gid=554141278#gid=554141278"", ""'Char Def. - Attributes'!C20:C2242""), 1,false)"),"VOLUME_UNIT_SI")</f>
        <v>VOLUME_UNIT_SI</v>
      </c>
      <c r="I12183" s="136"/>
      <c r="R12183" s="63" t="str">
        <f t="shared" si="60"/>
        <v>ZSI1_PIPE_COUPLINGVOLUME_UNIT_SI</v>
      </c>
    </row>
    <row r="12184" ht="15.75" customHeight="1">
      <c r="B12184" s="63">
        <f t="shared" si="1"/>
        <v>18</v>
      </c>
      <c r="C12184" s="135" t="s">
        <v>545</v>
      </c>
      <c r="D12184" s="161" t="s">
        <v>74</v>
      </c>
      <c r="E12184" s="135">
        <f t="shared" si="62"/>
        <v>19</v>
      </c>
      <c r="F12184" s="134" t="s">
        <v>3804</v>
      </c>
      <c r="G12184" s="63" t="str">
        <f>VLOOKUP(C12184, 'Class Def. - General Data'!$C$20:$C$1000,1,false)</f>
        <v>ZSI1_PIPE_COUPLING</v>
      </c>
      <c r="H12184" s="63" t="str">
        <f>IFERROR(__xludf.DUMMYFUNCTION("VLOOKUP(F12184, IMPORTRANGE(""https://docs.google.com/spreadsheets/d/1Lhp9OU0JdFf_VYSMzH5lBcEaU4o8teT1piV-SNzShjg/edit?gid=554141278#gid=554141278"", ""'Char Def. - Attributes'!C20:C2242""), 1,false)"),"ALT_UOM1_SIPI")</f>
        <v>ALT_UOM1_SIPI</v>
      </c>
      <c r="I12184" s="136"/>
      <c r="R12184" s="63" t="str">
        <f t="shared" si="60"/>
        <v>ZSI1_PIPE_COUPLINGALT_UOM1_SIPI</v>
      </c>
    </row>
    <row r="12185" ht="15.75" customHeight="1">
      <c r="B12185" s="63">
        <f t="shared" si="1"/>
        <v>18</v>
      </c>
      <c r="C12185" s="135" t="s">
        <v>545</v>
      </c>
      <c r="D12185" s="161" t="s">
        <v>74</v>
      </c>
      <c r="E12185" s="135">
        <f t="shared" si="62"/>
        <v>20</v>
      </c>
      <c r="F12185" s="134" t="s">
        <v>3805</v>
      </c>
      <c r="G12185" s="63" t="str">
        <f>VLOOKUP(C12185, 'Class Def. - General Data'!$C$20:$C$1000,1,false)</f>
        <v>ZSI1_PIPE_COUPLING</v>
      </c>
      <c r="H12185" s="63" t="str">
        <f>IFERROR(__xludf.DUMMYFUNCTION("VLOOKUP(F12185, IMPORTRANGE(""https://docs.google.com/spreadsheets/d/1Lhp9OU0JdFf_VYSMzH5lBcEaU4o8teT1piV-SNzShjg/edit?gid=554141278#gid=554141278"", ""'Char Def. - Attributes'!C20:C2242""), 1,false)"),"ALT_DENUM_UOM1")</f>
        <v>ALT_DENUM_UOM1</v>
      </c>
      <c r="I12185" s="136"/>
      <c r="R12185" s="63" t="str">
        <f t="shared" si="60"/>
        <v>ZSI1_PIPE_COUPLINGALT_DENUM_UOM1</v>
      </c>
    </row>
    <row r="12186" ht="15.75" customHeight="1">
      <c r="B12186" s="63">
        <f t="shared" si="1"/>
        <v>18</v>
      </c>
      <c r="C12186" s="135" t="s">
        <v>545</v>
      </c>
      <c r="D12186" s="161" t="s">
        <v>74</v>
      </c>
      <c r="E12186" s="135">
        <f t="shared" si="62"/>
        <v>21</v>
      </c>
      <c r="F12186" s="134" t="s">
        <v>3806</v>
      </c>
      <c r="G12186" s="63" t="str">
        <f>VLOOKUP(C12186, 'Class Def. - General Data'!$C$20:$C$1000,1,false)</f>
        <v>ZSI1_PIPE_COUPLING</v>
      </c>
      <c r="H12186" s="63" t="str">
        <f>IFERROR(__xludf.DUMMYFUNCTION("VLOOKUP(F12186, IMPORTRANGE(""https://docs.google.com/spreadsheets/d/1Lhp9OU0JdFf_VYSMzH5lBcEaU4o8teT1piV-SNzShjg/edit?gid=554141278#gid=554141278"", ""'Char Def. - Attributes'!C20:C2242""), 1,false)"),"ALT_NUM_UOM1")</f>
        <v>ALT_NUM_UOM1</v>
      </c>
      <c r="I12186" s="136"/>
      <c r="R12186" s="63" t="str">
        <f t="shared" si="60"/>
        <v>ZSI1_PIPE_COUPLINGALT_NUM_UOM1</v>
      </c>
    </row>
    <row r="12187" ht="15.75" customHeight="1">
      <c r="B12187" s="63">
        <f t="shared" si="1"/>
        <v>18</v>
      </c>
      <c r="C12187" s="135" t="s">
        <v>545</v>
      </c>
      <c r="D12187" s="161" t="s">
        <v>74</v>
      </c>
      <c r="E12187" s="135">
        <f t="shared" si="62"/>
        <v>22</v>
      </c>
      <c r="F12187" s="134" t="s">
        <v>3807</v>
      </c>
      <c r="G12187" s="63" t="str">
        <f>VLOOKUP(C12187, 'Class Def. - General Data'!$C$20:$C$1000,1,false)</f>
        <v>ZSI1_PIPE_COUPLING</v>
      </c>
      <c r="H12187" s="63" t="str">
        <f>IFERROR(__xludf.DUMMYFUNCTION("VLOOKUP(F12187, IMPORTRANGE(""https://docs.google.com/spreadsheets/d/1Lhp9OU0JdFf_VYSMzH5lBcEaU4o8teT1piV-SNzShjg/edit?gid=554141278#gid=554141278"", ""'Char Def. - Attributes'!C20:C2242""), 1,false)"),"ALT_UOM2_SIPI")</f>
        <v>ALT_UOM2_SIPI</v>
      </c>
      <c r="I12187" s="136"/>
      <c r="R12187" s="63" t="str">
        <f t="shared" si="60"/>
        <v>ZSI1_PIPE_COUPLINGALT_UOM2_SIPI</v>
      </c>
    </row>
    <row r="12188" ht="15.75" customHeight="1">
      <c r="B12188" s="63">
        <f t="shared" si="1"/>
        <v>18</v>
      </c>
      <c r="C12188" s="135" t="s">
        <v>545</v>
      </c>
      <c r="D12188" s="161" t="s">
        <v>74</v>
      </c>
      <c r="E12188" s="135">
        <f t="shared" si="62"/>
        <v>23</v>
      </c>
      <c r="F12188" s="134" t="s">
        <v>3808</v>
      </c>
      <c r="G12188" s="63" t="str">
        <f>VLOOKUP(C12188, 'Class Def. - General Data'!$C$20:$C$1000,1,false)</f>
        <v>ZSI1_PIPE_COUPLING</v>
      </c>
      <c r="H12188" s="63" t="str">
        <f>IFERROR(__xludf.DUMMYFUNCTION("VLOOKUP(F12188, IMPORTRANGE(""https://docs.google.com/spreadsheets/d/1Lhp9OU0JdFf_VYSMzH5lBcEaU4o8teT1piV-SNzShjg/edit?gid=554141278#gid=554141278"", ""'Char Def. - Attributes'!C20:C2242""), 1,false)"),"ALT_DENUM_UOM2")</f>
        <v>ALT_DENUM_UOM2</v>
      </c>
      <c r="I12188" s="136"/>
      <c r="R12188" s="63" t="str">
        <f t="shared" si="60"/>
        <v>ZSI1_PIPE_COUPLINGALT_DENUM_UOM2</v>
      </c>
    </row>
    <row r="12189" ht="15.75" customHeight="1">
      <c r="B12189" s="63">
        <f t="shared" si="1"/>
        <v>18</v>
      </c>
      <c r="C12189" s="135" t="s">
        <v>545</v>
      </c>
      <c r="D12189" s="161" t="s">
        <v>74</v>
      </c>
      <c r="E12189" s="135">
        <f t="shared" si="62"/>
        <v>24</v>
      </c>
      <c r="F12189" s="134" t="s">
        <v>3809</v>
      </c>
      <c r="G12189" s="63" t="str">
        <f>VLOOKUP(C12189, 'Class Def. - General Data'!$C$20:$C$1000,1,false)</f>
        <v>ZSI1_PIPE_COUPLING</v>
      </c>
      <c r="H12189" s="63" t="str">
        <f>IFERROR(__xludf.DUMMYFUNCTION("VLOOKUP(F12189, IMPORTRANGE(""https://docs.google.com/spreadsheets/d/1Lhp9OU0JdFf_VYSMzH5lBcEaU4o8teT1piV-SNzShjg/edit?gid=554141278#gid=554141278"", ""'Char Def. - Attributes'!C20:C2242""), 1,false)"),"ALT_NUM_UOM2")</f>
        <v>ALT_NUM_UOM2</v>
      </c>
      <c r="I12189" s="136"/>
      <c r="R12189" s="63" t="str">
        <f t="shared" si="60"/>
        <v>ZSI1_PIPE_COUPLINGALT_NUM_UOM2</v>
      </c>
    </row>
    <row r="12190" ht="15.75" customHeight="1">
      <c r="B12190" s="63">
        <f t="shared" si="1"/>
        <v>18</v>
      </c>
      <c r="C12190" s="135" t="s">
        <v>545</v>
      </c>
      <c r="D12190" s="161" t="s">
        <v>74</v>
      </c>
      <c r="E12190" s="135">
        <f t="shared" si="62"/>
        <v>25</v>
      </c>
      <c r="F12190" s="134" t="s">
        <v>3810</v>
      </c>
      <c r="G12190" s="63" t="str">
        <f>VLOOKUP(C12190, 'Class Def. - General Data'!$C$20:$C$1000,1,false)</f>
        <v>ZSI1_PIPE_COUPLING</v>
      </c>
      <c r="H12190" s="63" t="str">
        <f>IFERROR(__xludf.DUMMYFUNCTION("VLOOKUP(F12190, IMPORTRANGE(""https://docs.google.com/spreadsheets/d/1Lhp9OU0JdFf_VYSMzH5lBcEaU4o8teT1piV-SNzShjg/edit?gid=554141278#gid=554141278"", ""'Char Def. - Attributes'!C20:C2242""), 1,false)"),"ALT_UOM3_SIPI")</f>
        <v>ALT_UOM3_SIPI</v>
      </c>
      <c r="I12190" s="136"/>
      <c r="R12190" s="63" t="str">
        <f t="shared" si="60"/>
        <v>ZSI1_PIPE_COUPLINGALT_UOM3_SIPI</v>
      </c>
    </row>
    <row r="12191" ht="15.75" customHeight="1">
      <c r="B12191" s="63">
        <f t="shared" si="1"/>
        <v>18</v>
      </c>
      <c r="C12191" s="135" t="s">
        <v>545</v>
      </c>
      <c r="D12191" s="161" t="s">
        <v>74</v>
      </c>
      <c r="E12191" s="135">
        <f t="shared" si="62"/>
        <v>26</v>
      </c>
      <c r="F12191" s="134" t="s">
        <v>3811</v>
      </c>
      <c r="G12191" s="63" t="str">
        <f>VLOOKUP(C12191, 'Class Def. - General Data'!$C$20:$C$1000,1,false)</f>
        <v>ZSI1_PIPE_COUPLING</v>
      </c>
      <c r="H12191" s="63" t="str">
        <f>IFERROR(__xludf.DUMMYFUNCTION("VLOOKUP(F12191, IMPORTRANGE(""https://docs.google.com/spreadsheets/d/1Lhp9OU0JdFf_VYSMzH5lBcEaU4o8teT1piV-SNzShjg/edit?gid=554141278#gid=554141278"", ""'Char Def. - Attributes'!C20:C2242""), 1,false)"),"ALT_DENUM_UOM3")</f>
        <v>ALT_DENUM_UOM3</v>
      </c>
      <c r="I12191" s="136"/>
      <c r="R12191" s="63" t="str">
        <f t="shared" si="60"/>
        <v>ZSI1_PIPE_COUPLINGALT_DENUM_UOM3</v>
      </c>
    </row>
    <row r="12192" ht="15.75" customHeight="1">
      <c r="B12192" s="63">
        <f t="shared" si="1"/>
        <v>18</v>
      </c>
      <c r="C12192" s="135" t="s">
        <v>545</v>
      </c>
      <c r="D12192" s="161" t="s">
        <v>74</v>
      </c>
      <c r="E12192" s="135">
        <f t="shared" si="62"/>
        <v>27</v>
      </c>
      <c r="F12192" s="134" t="s">
        <v>3812</v>
      </c>
      <c r="G12192" s="63" t="str">
        <f>VLOOKUP(C12192, 'Class Def. - General Data'!$C$20:$C$1000,1,false)</f>
        <v>ZSI1_PIPE_COUPLING</v>
      </c>
      <c r="H12192" s="63" t="str">
        <f>IFERROR(__xludf.DUMMYFUNCTION("VLOOKUP(F12192, IMPORTRANGE(""https://docs.google.com/spreadsheets/d/1Lhp9OU0JdFf_VYSMzH5lBcEaU4o8teT1piV-SNzShjg/edit?gid=554141278#gid=554141278"", ""'Char Def. - Attributes'!C20:C2242""), 1,false)"),"ALT_NUM_UOM3")</f>
        <v>ALT_NUM_UOM3</v>
      </c>
      <c r="I12192" s="136"/>
      <c r="R12192" s="63" t="str">
        <f t="shared" si="60"/>
        <v>ZSI1_PIPE_COUPLINGALT_NUM_UOM3</v>
      </c>
    </row>
    <row r="12193" ht="15.75" customHeight="1">
      <c r="B12193" s="63">
        <f t="shared" si="1"/>
        <v>18</v>
      </c>
      <c r="C12193" s="135" t="s">
        <v>545</v>
      </c>
      <c r="D12193" s="161" t="s">
        <v>74</v>
      </c>
      <c r="E12193" s="135">
        <f t="shared" si="62"/>
        <v>28</v>
      </c>
      <c r="F12193" s="134" t="s">
        <v>3813</v>
      </c>
      <c r="G12193" s="63" t="str">
        <f>VLOOKUP(C12193, 'Class Def. - General Data'!$C$20:$C$1000,1,false)</f>
        <v>ZSI1_PIPE_COUPLING</v>
      </c>
      <c r="H12193" s="63" t="str">
        <f>IFERROR(__xludf.DUMMYFUNCTION("VLOOKUP(F12193, IMPORTRANGE(""https://docs.google.com/spreadsheets/d/1Lhp9OU0JdFf_VYSMzH5lBcEaU4o8teT1piV-SNzShjg/edit?gid=554141278#gid=554141278"", ""'Char Def. - Attributes'!C20:C2242""), 1,false)"),"ALT_UOM4_SIPI")</f>
        <v>ALT_UOM4_SIPI</v>
      </c>
      <c r="I12193" s="136"/>
      <c r="R12193" s="63" t="str">
        <f t="shared" si="60"/>
        <v>ZSI1_PIPE_COUPLINGALT_UOM4_SIPI</v>
      </c>
    </row>
    <row r="12194" ht="15.75" customHeight="1">
      <c r="B12194" s="63">
        <f t="shared" si="1"/>
        <v>18</v>
      </c>
      <c r="C12194" s="135" t="s">
        <v>545</v>
      </c>
      <c r="D12194" s="161" t="s">
        <v>74</v>
      </c>
      <c r="E12194" s="135">
        <f t="shared" si="62"/>
        <v>29</v>
      </c>
      <c r="F12194" s="134" t="s">
        <v>3814</v>
      </c>
      <c r="G12194" s="63" t="str">
        <f>VLOOKUP(C12194, 'Class Def. - General Data'!$C$20:$C$1000,1,false)</f>
        <v>ZSI1_PIPE_COUPLING</v>
      </c>
      <c r="H12194" s="63" t="str">
        <f>IFERROR(__xludf.DUMMYFUNCTION("VLOOKUP(F12194, IMPORTRANGE(""https://docs.google.com/spreadsheets/d/1Lhp9OU0JdFf_VYSMzH5lBcEaU4o8teT1piV-SNzShjg/edit?gid=554141278#gid=554141278"", ""'Char Def. - Attributes'!C20:C2242""), 1,false)"),"ALT_DENUM_UOM4")</f>
        <v>ALT_DENUM_UOM4</v>
      </c>
      <c r="I12194" s="136"/>
      <c r="R12194" s="63" t="str">
        <f t="shared" si="60"/>
        <v>ZSI1_PIPE_COUPLINGALT_DENUM_UOM4</v>
      </c>
    </row>
    <row r="12195" ht="15.75" customHeight="1">
      <c r="B12195" s="63">
        <f t="shared" si="1"/>
        <v>18</v>
      </c>
      <c r="C12195" s="135" t="s">
        <v>545</v>
      </c>
      <c r="D12195" s="161" t="s">
        <v>74</v>
      </c>
      <c r="E12195" s="135">
        <f t="shared" si="62"/>
        <v>30</v>
      </c>
      <c r="F12195" s="134" t="s">
        <v>3815</v>
      </c>
      <c r="G12195" s="63" t="str">
        <f>VLOOKUP(C12195, 'Class Def. - General Data'!$C$20:$C$1000,1,false)</f>
        <v>ZSI1_PIPE_COUPLING</v>
      </c>
      <c r="H12195" s="63" t="str">
        <f>IFERROR(__xludf.DUMMYFUNCTION("VLOOKUP(F12195, IMPORTRANGE(""https://docs.google.com/spreadsheets/d/1Lhp9OU0JdFf_VYSMzH5lBcEaU4o8teT1piV-SNzShjg/edit?gid=554141278#gid=554141278"", ""'Char Def. - Attributes'!C20:C2242""), 1,false)"),"ALT_NUM_UOM4")</f>
        <v>ALT_NUM_UOM4</v>
      </c>
      <c r="I12195" s="136"/>
      <c r="R12195" s="63" t="str">
        <f t="shared" si="60"/>
        <v>ZSI1_PIPE_COUPLINGALT_NUM_UOM4</v>
      </c>
    </row>
    <row r="12196" ht="15.75" customHeight="1">
      <c r="B12196" s="63">
        <f t="shared" si="1"/>
        <v>18</v>
      </c>
      <c r="C12196" s="135" t="s">
        <v>545</v>
      </c>
      <c r="D12196" s="161" t="s">
        <v>74</v>
      </c>
      <c r="E12196" s="135">
        <f t="shared" si="62"/>
        <v>31</v>
      </c>
      <c r="F12196" s="134" t="s">
        <v>3816</v>
      </c>
      <c r="G12196" s="63" t="str">
        <f>VLOOKUP(C12196, 'Class Def. - General Data'!$C$20:$C$1000,1,false)</f>
        <v>ZSI1_PIPE_COUPLING</v>
      </c>
      <c r="H12196" s="63" t="str">
        <f>IFERROR(__xludf.DUMMYFUNCTION("VLOOKUP(F12196, IMPORTRANGE(""https://docs.google.com/spreadsheets/d/1Lhp9OU0JdFf_VYSMzH5lBcEaU4o8teT1piV-SNzShjg/edit?gid=554141278#gid=554141278"", ""'Char Def. - Attributes'!C20:C2242""), 1,false)"),"ALT_UOM5_SIPI")</f>
        <v>ALT_UOM5_SIPI</v>
      </c>
      <c r="I12196" s="136"/>
      <c r="R12196" s="63" t="str">
        <f t="shared" si="60"/>
        <v>ZSI1_PIPE_COUPLINGALT_UOM5_SIPI</v>
      </c>
    </row>
    <row r="12197" ht="15.75" customHeight="1">
      <c r="B12197" s="63">
        <f t="shared" si="1"/>
        <v>18</v>
      </c>
      <c r="C12197" s="135" t="s">
        <v>545</v>
      </c>
      <c r="D12197" s="161" t="s">
        <v>74</v>
      </c>
      <c r="E12197" s="135">
        <f t="shared" si="62"/>
        <v>32</v>
      </c>
      <c r="F12197" s="134" t="s">
        <v>3817</v>
      </c>
      <c r="G12197" s="63" t="str">
        <f>VLOOKUP(C12197, 'Class Def. - General Data'!$C$20:$C$1000,1,false)</f>
        <v>ZSI1_PIPE_COUPLING</v>
      </c>
      <c r="H12197" s="63" t="str">
        <f>IFERROR(__xludf.DUMMYFUNCTION("VLOOKUP(F12197, IMPORTRANGE(""https://docs.google.com/spreadsheets/d/1Lhp9OU0JdFf_VYSMzH5lBcEaU4o8teT1piV-SNzShjg/edit?gid=554141278#gid=554141278"", ""'Char Def. - Attributes'!C20:C2242""), 1,false)"),"ALT_DENUM_UOM5")</f>
        <v>ALT_DENUM_UOM5</v>
      </c>
      <c r="I12197" s="136"/>
      <c r="R12197" s="63" t="str">
        <f t="shared" si="60"/>
        <v>ZSI1_PIPE_COUPLINGALT_DENUM_UOM5</v>
      </c>
    </row>
    <row r="12198" ht="15.75" customHeight="1">
      <c r="B12198" s="63">
        <f t="shared" si="1"/>
        <v>18</v>
      </c>
      <c r="C12198" s="135" t="s">
        <v>545</v>
      </c>
      <c r="D12198" s="161" t="s">
        <v>74</v>
      </c>
      <c r="E12198" s="135">
        <f t="shared" si="62"/>
        <v>33</v>
      </c>
      <c r="F12198" s="134" t="s">
        <v>3818</v>
      </c>
      <c r="G12198" s="63" t="str">
        <f>VLOOKUP(C12198, 'Class Def. - General Data'!$C$20:$C$1000,1,false)</f>
        <v>ZSI1_PIPE_COUPLING</v>
      </c>
      <c r="H12198" s="63" t="str">
        <f>IFERROR(__xludf.DUMMYFUNCTION("VLOOKUP(F12198, IMPORTRANGE(""https://docs.google.com/spreadsheets/d/1Lhp9OU0JdFf_VYSMzH5lBcEaU4o8teT1piV-SNzShjg/edit?gid=554141278#gid=554141278"", ""'Char Def. - Attributes'!C20:C2242""), 1,false)"),"ALT_NUM_UOM5")</f>
        <v>ALT_NUM_UOM5</v>
      </c>
      <c r="I12198" s="136"/>
      <c r="R12198" s="63" t="str">
        <f t="shared" si="60"/>
        <v>ZSI1_PIPE_COUPLINGALT_NUM_UOM5</v>
      </c>
    </row>
    <row r="12199" ht="15.75" customHeight="1">
      <c r="B12199" s="63">
        <f t="shared" si="1"/>
        <v>15</v>
      </c>
      <c r="C12199" s="135" t="s">
        <v>442</v>
      </c>
      <c r="D12199" s="161" t="s">
        <v>74</v>
      </c>
      <c r="E12199" s="135">
        <f t="shared" si="62"/>
        <v>1</v>
      </c>
      <c r="F12199" s="134" t="s">
        <v>5120</v>
      </c>
      <c r="G12199" s="63" t="str">
        <f>VLOOKUP(C12199, 'Class Def. - General Data'!$C$20:$C$1000,1,false)</f>
        <v>ZSI1_PIPE_ELBOW</v>
      </c>
      <c r="H12199" s="63" t="str">
        <f>IFERROR(__xludf.DUMMYFUNCTION("VLOOKUP(F12199, IMPORTRANGE(""https://docs.google.com/spreadsheets/d/1Lhp9OU0JdFf_VYSMzH5lBcEaU4o8teT1piV-SNzShjg/edit?gid=554141278#gid=554141278"", ""'Char Def. - Attributes'!C20:C2242""), 1,false)"),"ITEM_NAME_PIPE_ELBOW")</f>
        <v>ITEM_NAME_PIPE_ELBOW</v>
      </c>
      <c r="I12199" s="136"/>
      <c r="R12199" s="63" t="str">
        <f t="shared" si="60"/>
        <v>ZSI1_PIPE_ELBOWITEM_NAME_PIPE_ELBOW</v>
      </c>
    </row>
    <row r="12200" ht="15.75" customHeight="1">
      <c r="B12200" s="63">
        <f t="shared" si="1"/>
        <v>15</v>
      </c>
      <c r="C12200" s="135" t="s">
        <v>442</v>
      </c>
      <c r="D12200" s="161" t="s">
        <v>74</v>
      </c>
      <c r="E12200" s="135">
        <f t="shared" si="62"/>
        <v>2</v>
      </c>
      <c r="F12200" s="134" t="s">
        <v>5121</v>
      </c>
      <c r="G12200" s="63" t="str">
        <f>VLOOKUP(C12200, 'Class Def. - General Data'!$C$20:$C$1000,1,false)</f>
        <v>ZSI1_PIPE_ELBOW</v>
      </c>
      <c r="H12200" s="63" t="str">
        <f>IFERROR(__xludf.DUMMYFUNCTION("VLOOKUP(F12200, IMPORTRANGE(""https://docs.google.com/spreadsheets/d/1Lhp9OU0JdFf_VYSMzH5lBcEaU4o8teT1piV-SNzShjg/edit?gid=554141278#gid=554141278"", ""'Char Def. - Attributes'!C20:C2242""), 1,false)"),"DIMENSION_PIPE_ELBOW")</f>
        <v>DIMENSION_PIPE_ELBOW</v>
      </c>
      <c r="I12200" s="136"/>
      <c r="R12200" s="63" t="str">
        <f t="shared" si="60"/>
        <v>ZSI1_PIPE_ELBOWDIMENSION_PIPE_ELBOW</v>
      </c>
    </row>
    <row r="12201" ht="15.75" customHeight="1">
      <c r="B12201" s="63">
        <f t="shared" si="1"/>
        <v>15</v>
      </c>
      <c r="C12201" s="135" t="s">
        <v>442</v>
      </c>
      <c r="D12201" s="161" t="s">
        <v>74</v>
      </c>
      <c r="E12201" s="135">
        <f t="shared" si="62"/>
        <v>3</v>
      </c>
      <c r="F12201" s="134" t="s">
        <v>5122</v>
      </c>
      <c r="G12201" s="63" t="str">
        <f>VLOOKUP(C12201, 'Class Def. - General Data'!$C$20:$C$1000,1,false)</f>
        <v>ZSI1_PIPE_ELBOW</v>
      </c>
      <c r="H12201" s="63" t="str">
        <f>IFERROR(__xludf.DUMMYFUNCTION("VLOOKUP(F12201, IMPORTRANGE(""https://docs.google.com/spreadsheets/d/1Lhp9OU0JdFf_VYSMzH5lBcEaU4o8teT1piV-SNzShjg/edit?gid=554141278#gid=554141278"", ""'Char Def. - Attributes'!C20:C2242""), 1,false)"),"SIZE_MM_PIPE_ELBOW")</f>
        <v>SIZE_MM_PIPE_ELBOW</v>
      </c>
      <c r="I12201" s="136"/>
      <c r="R12201" s="63" t="str">
        <f t="shared" si="60"/>
        <v>ZSI1_PIPE_ELBOWSIZE_MM_PIPE_ELBOW</v>
      </c>
    </row>
    <row r="12202" ht="15.75" customHeight="1">
      <c r="B12202" s="63">
        <f t="shared" si="1"/>
        <v>15</v>
      </c>
      <c r="C12202" s="135" t="s">
        <v>442</v>
      </c>
      <c r="D12202" s="161" t="s">
        <v>74</v>
      </c>
      <c r="E12202" s="135">
        <f t="shared" si="62"/>
        <v>4</v>
      </c>
      <c r="F12202" s="134" t="s">
        <v>5123</v>
      </c>
      <c r="G12202" s="63" t="str">
        <f>VLOOKUP(C12202, 'Class Def. - General Data'!$C$20:$C$1000,1,false)</f>
        <v>ZSI1_PIPE_ELBOW</v>
      </c>
      <c r="H12202" s="63" t="str">
        <f>IFERROR(__xludf.DUMMYFUNCTION("VLOOKUP(F12202, IMPORTRANGE(""https://docs.google.com/spreadsheets/d/1Lhp9OU0JdFf_VYSMzH5lBcEaU4o8teT1piV-SNzShjg/edit?gid=554141278#gid=554141278"", ""'Char Def. - Attributes'!C20:C2242""), 1,false)"),"SIZE_INCH_PIPE_ELBOW")</f>
        <v>SIZE_INCH_PIPE_ELBOW</v>
      </c>
      <c r="I12202" s="136"/>
      <c r="R12202" s="63" t="str">
        <f t="shared" si="60"/>
        <v>ZSI1_PIPE_ELBOWSIZE_INCH_PIPE_ELBOW</v>
      </c>
    </row>
    <row r="12203" ht="15.75" customHeight="1">
      <c r="B12203" s="63">
        <f t="shared" si="1"/>
        <v>15</v>
      </c>
      <c r="C12203" s="135" t="s">
        <v>442</v>
      </c>
      <c r="D12203" s="161" t="s">
        <v>74</v>
      </c>
      <c r="E12203" s="135">
        <f t="shared" si="62"/>
        <v>5</v>
      </c>
      <c r="F12203" s="134" t="s">
        <v>5124</v>
      </c>
      <c r="G12203" s="63" t="str">
        <f>VLOOKUP(C12203, 'Class Def. - General Data'!$C$20:$C$1000,1,false)</f>
        <v>ZSI1_PIPE_ELBOW</v>
      </c>
      <c r="H12203" s="63" t="str">
        <f>IFERROR(__xludf.DUMMYFUNCTION("VLOOKUP(F12203, IMPORTRANGE(""https://docs.google.com/spreadsheets/d/1Lhp9OU0JdFf_VYSMzH5lBcEaU4o8teT1piV-SNzShjg/edit?gid=554141278#gid=554141278"", ""'Char Def. - Attributes'!C20:C2242""), 1,false)"),"CONNECTION_PIPE_ELBOW")</f>
        <v>CONNECTION_PIPE_ELBOW</v>
      </c>
      <c r="I12203" s="136"/>
      <c r="R12203" s="63" t="str">
        <f t="shared" si="60"/>
        <v>ZSI1_PIPE_ELBOWCONNECTION_PIPE_ELBOW</v>
      </c>
    </row>
    <row r="12204" ht="15.75" customHeight="1">
      <c r="B12204" s="63">
        <f t="shared" si="1"/>
        <v>15</v>
      </c>
      <c r="C12204" s="135" t="s">
        <v>442</v>
      </c>
      <c r="D12204" s="161" t="s">
        <v>74</v>
      </c>
      <c r="E12204" s="135">
        <f t="shared" si="62"/>
        <v>6</v>
      </c>
      <c r="F12204" s="134" t="s">
        <v>5125</v>
      </c>
      <c r="G12204" s="63" t="str">
        <f>VLOOKUP(C12204, 'Class Def. - General Data'!$C$20:$C$1000,1,false)</f>
        <v>ZSI1_PIPE_ELBOW</v>
      </c>
      <c r="H12204" s="63" t="str">
        <f>IFERROR(__xludf.DUMMYFUNCTION("VLOOKUP(F12204, IMPORTRANGE(""https://docs.google.com/spreadsheets/d/1Lhp9OU0JdFf_VYSMzH5lBcEaU4o8teT1piV-SNzShjg/edit?gid=554141278#gid=554141278"", ""'Char Def. - Attributes'!C20:C2242""), 1,false)"),"DEGREE_PIPE_ELBOW")</f>
        <v>DEGREE_PIPE_ELBOW</v>
      </c>
      <c r="I12204" s="136"/>
      <c r="R12204" s="63" t="str">
        <f t="shared" si="60"/>
        <v>ZSI1_PIPE_ELBOWDEGREE_PIPE_ELBOW</v>
      </c>
    </row>
    <row r="12205" ht="15.75" customHeight="1">
      <c r="B12205" s="63">
        <f t="shared" si="1"/>
        <v>15</v>
      </c>
      <c r="C12205" s="135" t="s">
        <v>442</v>
      </c>
      <c r="D12205" s="161" t="s">
        <v>74</v>
      </c>
      <c r="E12205" s="135">
        <f t="shared" si="62"/>
        <v>7</v>
      </c>
      <c r="F12205" s="134" t="s">
        <v>5126</v>
      </c>
      <c r="G12205" s="63" t="str">
        <f>VLOOKUP(C12205, 'Class Def. - General Data'!$C$20:$C$1000,1,false)</f>
        <v>ZSI1_PIPE_ELBOW</v>
      </c>
      <c r="H12205" s="63" t="str">
        <f>IFERROR(__xludf.DUMMYFUNCTION("VLOOKUP(F12205, IMPORTRANGE(""https://docs.google.com/spreadsheets/d/1Lhp9OU0JdFf_VYSMzH5lBcEaU4o8teT1piV-SNzShjg/edit?gid=554141278#gid=554141278"", ""'Char Def. - Attributes'!C20:C2242""), 1,false)"),"RADIUS_PIPE_ELBOW")</f>
        <v>RADIUS_PIPE_ELBOW</v>
      </c>
      <c r="I12205" s="136"/>
      <c r="R12205" s="63" t="str">
        <f t="shared" si="60"/>
        <v>ZSI1_PIPE_ELBOWRADIUS_PIPE_ELBOW</v>
      </c>
    </row>
    <row r="12206" ht="15.75" customHeight="1">
      <c r="B12206" s="63">
        <f t="shared" si="1"/>
        <v>15</v>
      </c>
      <c r="C12206" s="135" t="s">
        <v>442</v>
      </c>
      <c r="D12206" s="161" t="s">
        <v>74</v>
      </c>
      <c r="E12206" s="135">
        <f t="shared" si="62"/>
        <v>8</v>
      </c>
      <c r="F12206" s="134" t="s">
        <v>5127</v>
      </c>
      <c r="G12206" s="63" t="str">
        <f>VLOOKUP(C12206, 'Class Def. - General Data'!$C$20:$C$1000,1,false)</f>
        <v>ZSI1_PIPE_ELBOW</v>
      </c>
      <c r="H12206" s="63" t="str">
        <f>IFERROR(__xludf.DUMMYFUNCTION("VLOOKUP(F12206, IMPORTRANGE(""https://docs.google.com/spreadsheets/d/1Lhp9OU0JdFf_VYSMzH5lBcEaU4o8teT1piV-SNzShjg/edit?gid=554141278#gid=554141278"", ""'Char Def. - Attributes'!C20:C2242""), 1,false)"),"RATING_PIPE_ELBOW")</f>
        <v>RATING_PIPE_ELBOW</v>
      </c>
      <c r="I12206" s="136"/>
      <c r="R12206" s="63" t="str">
        <f t="shared" si="60"/>
        <v>ZSI1_PIPE_ELBOWRATING_PIPE_ELBOW</v>
      </c>
    </row>
    <row r="12207" ht="15.75" customHeight="1">
      <c r="B12207" s="63">
        <f t="shared" si="1"/>
        <v>15</v>
      </c>
      <c r="C12207" s="135" t="s">
        <v>442</v>
      </c>
      <c r="D12207" s="161" t="s">
        <v>74</v>
      </c>
      <c r="E12207" s="135">
        <f t="shared" si="62"/>
        <v>9</v>
      </c>
      <c r="F12207" s="134" t="s">
        <v>5128</v>
      </c>
      <c r="G12207" s="63" t="str">
        <f>VLOOKUP(C12207, 'Class Def. - General Data'!$C$20:$C$1000,1,false)</f>
        <v>ZSI1_PIPE_ELBOW</v>
      </c>
      <c r="H12207" s="63" t="str">
        <f>IFERROR(__xludf.DUMMYFUNCTION("VLOOKUP(F12207, IMPORTRANGE(""https://docs.google.com/spreadsheets/d/1Lhp9OU0JdFf_VYSMzH5lBcEaU4o8teT1piV-SNzShjg/edit?gid=554141278#gid=554141278"", ""'Char Def. - Attributes'!C20:C2242""), 1,false)"),"MATERIAL_PIPE_ELBOW")</f>
        <v>MATERIAL_PIPE_ELBOW</v>
      </c>
      <c r="I12207" s="136"/>
      <c r="R12207" s="63" t="str">
        <f t="shared" si="60"/>
        <v>ZSI1_PIPE_ELBOWMATERIAL_PIPE_ELBOW</v>
      </c>
    </row>
    <row r="12208" ht="15.75" customHeight="1">
      <c r="B12208" s="63">
        <f t="shared" si="1"/>
        <v>15</v>
      </c>
      <c r="C12208" s="135" t="s">
        <v>442</v>
      </c>
      <c r="D12208" s="161" t="s">
        <v>74</v>
      </c>
      <c r="E12208" s="135">
        <f t="shared" si="62"/>
        <v>10</v>
      </c>
      <c r="F12208" s="134" t="s">
        <v>5129</v>
      </c>
      <c r="G12208" s="63" t="str">
        <f>VLOOKUP(C12208, 'Class Def. - General Data'!$C$20:$C$1000,1,false)</f>
        <v>ZSI1_PIPE_ELBOW</v>
      </c>
      <c r="H12208" s="63" t="str">
        <f>IFERROR(__xludf.DUMMYFUNCTION("VLOOKUP(F12208, IMPORTRANGE(""https://docs.google.com/spreadsheets/d/1Lhp9OU0JdFf_VYSMzH5lBcEaU4o8teT1piV-SNzShjg/edit?gid=554141278#gid=554141278"", ""'Char Def. - Attributes'!C20:C2242""), 1,false)"),"FINISHING_PIPE_ELBOW")</f>
        <v>FINISHING_PIPE_ELBOW</v>
      </c>
      <c r="I12208" s="136"/>
      <c r="R12208" s="63" t="str">
        <f t="shared" si="60"/>
        <v>ZSI1_PIPE_ELBOWFINISHING_PIPE_ELBOW</v>
      </c>
    </row>
    <row r="12209" ht="15.75" customHeight="1">
      <c r="B12209" s="63">
        <f t="shared" si="1"/>
        <v>15</v>
      </c>
      <c r="C12209" s="135" t="s">
        <v>442</v>
      </c>
      <c r="D12209" s="161" t="s">
        <v>74</v>
      </c>
      <c r="E12209" s="135">
        <f t="shared" si="62"/>
        <v>11</v>
      </c>
      <c r="F12209" s="134" t="s">
        <v>5130</v>
      </c>
      <c r="G12209" s="63" t="str">
        <f>VLOOKUP(C12209, 'Class Def. - General Data'!$C$20:$C$1000,1,false)</f>
        <v>ZSI1_PIPE_ELBOW</v>
      </c>
      <c r="H12209" s="63" t="str">
        <f>IFERROR(__xludf.DUMMYFUNCTION("VLOOKUP(F12209, IMPORTRANGE(""https://docs.google.com/spreadsheets/d/1Lhp9OU0JdFf_VYSMzH5lBcEaU4o8teT1piV-SNzShjg/edit?gid=554141278#gid=554141278"", ""'Char Def. - Attributes'!C20:C2242""), 1,false)"),"STRUCTURE_PIPE_ELBOW")</f>
        <v>STRUCTURE_PIPE_ELBOW</v>
      </c>
      <c r="I12209" s="136"/>
      <c r="R12209" s="63" t="str">
        <f t="shared" si="60"/>
        <v>ZSI1_PIPE_ELBOWSTRUCTURE_PIPE_ELBOW</v>
      </c>
    </row>
    <row r="12210" ht="15.75" customHeight="1">
      <c r="B12210" s="63">
        <f t="shared" si="1"/>
        <v>15</v>
      </c>
      <c r="C12210" s="135" t="s">
        <v>442</v>
      </c>
      <c r="D12210" s="161" t="s">
        <v>74</v>
      </c>
      <c r="E12210" s="135">
        <f t="shared" si="62"/>
        <v>12</v>
      </c>
      <c r="F12210" s="134" t="s">
        <v>4053</v>
      </c>
      <c r="G12210" s="63" t="str">
        <f>VLOOKUP(C12210, 'Class Def. - General Data'!$C$20:$C$1000,1,false)</f>
        <v>ZSI1_PIPE_ELBOW</v>
      </c>
      <c r="H12210" s="63" t="str">
        <f>IFERROR(__xludf.DUMMYFUNCTION("VLOOKUP(F12210, IMPORTRANGE(""https://docs.google.com/spreadsheets/d/1Lhp9OU0JdFf_VYSMzH5lBcEaU4o8teT1piV-SNzShjg/edit?gid=554141278#gid=554141278"", ""'Char Def. - Attributes'!C20:C2242""), 1,false)"),"MAINTENANCE_ORDER_TYPE")</f>
        <v>MAINTENANCE_ORDER_TYPE</v>
      </c>
      <c r="I12210" s="136"/>
      <c r="R12210" s="63" t="str">
        <f t="shared" si="60"/>
        <v>ZSI1_PIPE_ELBOWMAINTENANCE_ORDER_TYPE</v>
      </c>
    </row>
    <row r="12211" ht="15.75" customHeight="1">
      <c r="B12211" s="63">
        <f t="shared" si="1"/>
        <v>15</v>
      </c>
      <c r="C12211" s="135" t="s">
        <v>442</v>
      </c>
      <c r="D12211" s="161" t="s">
        <v>74</v>
      </c>
      <c r="E12211" s="135">
        <f t="shared" si="62"/>
        <v>13</v>
      </c>
      <c r="F12211" s="134" t="s">
        <v>3585</v>
      </c>
      <c r="G12211" s="63" t="str">
        <f>VLOOKUP(C12211, 'Class Def. - General Data'!$C$20:$C$1000,1,false)</f>
        <v>ZSI1_PIPE_ELBOW</v>
      </c>
      <c r="H12211" s="63" t="str">
        <f>IFERROR(__xludf.DUMMYFUNCTION("VLOOKUP(F12211, IMPORTRANGE(""https://docs.google.com/spreadsheets/d/1Lhp9OU0JdFf_VYSMzH5lBcEaU4o8teT1piV-SNzShjg/edit?gid=554141278#gid=554141278"", ""'Char Def. - Attributes'!C20:C2242""), 1,false)"),"HS_CODE")</f>
        <v>HS_CODE</v>
      </c>
      <c r="I12211" s="136"/>
      <c r="R12211" s="63" t="str">
        <f t="shared" si="60"/>
        <v>ZSI1_PIPE_ELBOWHS_CODE</v>
      </c>
    </row>
    <row r="12212" ht="15.75" customHeight="1">
      <c r="B12212" s="63">
        <f t="shared" si="1"/>
        <v>15</v>
      </c>
      <c r="C12212" s="135" t="s">
        <v>442</v>
      </c>
      <c r="D12212" s="161" t="s">
        <v>74</v>
      </c>
      <c r="E12212" s="135">
        <f t="shared" si="62"/>
        <v>14</v>
      </c>
      <c r="F12212" s="134" t="s">
        <v>3587</v>
      </c>
      <c r="G12212" s="63" t="str">
        <f>VLOOKUP(C12212, 'Class Def. - General Data'!$C$20:$C$1000,1,false)</f>
        <v>ZSI1_PIPE_ELBOW</v>
      </c>
      <c r="H12212" s="63" t="str">
        <f>IFERROR(__xludf.DUMMYFUNCTION("VLOOKUP(F12212, IMPORTRANGE(""https://docs.google.com/spreadsheets/d/1Lhp9OU0JdFf_VYSMzH5lBcEaU4o8teT1piV-SNzShjg/edit?gid=554141278#gid=554141278"", ""'Char Def. - Attributes'!C20:C2242""), 1,false)"),"PLANT_BUY")</f>
        <v>PLANT_BUY</v>
      </c>
      <c r="I12212" s="136"/>
      <c r="R12212" s="63" t="str">
        <f t="shared" si="60"/>
        <v>ZSI1_PIPE_ELBOWPLANT_BUY</v>
      </c>
    </row>
    <row r="12213" ht="15.75" customHeight="1">
      <c r="B12213" s="63">
        <f t="shared" si="1"/>
        <v>15</v>
      </c>
      <c r="C12213" s="135" t="s">
        <v>442</v>
      </c>
      <c r="D12213" s="161" t="s">
        <v>74</v>
      </c>
      <c r="E12213" s="135">
        <f t="shared" si="62"/>
        <v>15</v>
      </c>
      <c r="F12213" s="134" t="s">
        <v>5131</v>
      </c>
      <c r="G12213" s="63" t="str">
        <f>VLOOKUP(C12213, 'Class Def. - General Data'!$C$20:$C$1000,1,false)</f>
        <v>ZSI1_PIPE_ELBOW</v>
      </c>
      <c r="H12213" s="63" t="str">
        <f>IFERROR(__xludf.DUMMYFUNCTION("VLOOKUP(F12213, IMPORTRANGE(""https://docs.google.com/spreadsheets/d/1Lhp9OU0JdFf_VYSMzH5lBcEaU4o8teT1piV-SNzShjg/edit?gid=554141278#gid=554141278"", ""'Char Def. - Attributes'!C20:C2242""), 1,false)"),"BASE_UOM_PIPE_ELBOW")</f>
        <v>BASE_UOM_PIPE_ELBOW</v>
      </c>
      <c r="I12213" s="136"/>
      <c r="R12213" s="63" t="str">
        <f t="shared" si="60"/>
        <v>ZSI1_PIPE_ELBOWBASE_UOM_PIPE_ELBOW</v>
      </c>
    </row>
    <row r="12214" ht="15.75" customHeight="1">
      <c r="B12214" s="63">
        <f t="shared" si="1"/>
        <v>15</v>
      </c>
      <c r="C12214" s="135" t="s">
        <v>442</v>
      </c>
      <c r="D12214" s="161" t="s">
        <v>74</v>
      </c>
      <c r="E12214" s="135">
        <f t="shared" si="62"/>
        <v>16</v>
      </c>
      <c r="F12214" s="134" t="s">
        <v>5132</v>
      </c>
      <c r="G12214" s="63" t="str">
        <f>VLOOKUP(C12214, 'Class Def. - General Data'!$C$20:$C$1000,1,false)</f>
        <v>ZSI1_PIPE_ELBOW</v>
      </c>
      <c r="H12214" s="63" t="str">
        <f>IFERROR(__xludf.DUMMYFUNCTION("VLOOKUP(F12214, IMPORTRANGE(""https://docs.google.com/spreadsheets/d/1Lhp9OU0JdFf_VYSMzH5lBcEaU4o8teT1piV-SNzShjg/edit?gid=554141278#gid=554141278"", ""'Char Def. - Attributes'!C20:C2242""), 1,false)"),"ORDER_UNIT_PIPE_ELBOW")</f>
        <v>ORDER_UNIT_PIPE_ELBOW</v>
      </c>
      <c r="I12214" s="136"/>
      <c r="R12214" s="63" t="str">
        <f t="shared" si="60"/>
        <v>ZSI1_PIPE_ELBOWORDER_UNIT_PIPE_ELBOW</v>
      </c>
    </row>
    <row r="12215" ht="15.75" customHeight="1">
      <c r="B12215" s="63">
        <f t="shared" si="1"/>
        <v>15</v>
      </c>
      <c r="C12215" s="135" t="s">
        <v>442</v>
      </c>
      <c r="D12215" s="161" t="s">
        <v>74</v>
      </c>
      <c r="E12215" s="135">
        <f t="shared" si="62"/>
        <v>17</v>
      </c>
      <c r="F12215" s="134" t="s">
        <v>4056</v>
      </c>
      <c r="G12215" s="63" t="str">
        <f>VLOOKUP(C12215, 'Class Def. - General Data'!$C$20:$C$1000,1,false)</f>
        <v>ZSI1_PIPE_ELBOW</v>
      </c>
      <c r="H12215" s="63" t="str">
        <f>IFERROR(__xludf.DUMMYFUNCTION("VLOOKUP(F12215, IMPORTRANGE(""https://docs.google.com/spreadsheets/d/1Lhp9OU0JdFf_VYSMzH5lBcEaU4o8teT1piV-SNzShjg/edit?gid=554141278#gid=554141278"", ""'Char Def. - Attributes'!C20:C2242""), 1,false)"),"GROSS_WEIGHT_OPT")</f>
        <v>GROSS_WEIGHT_OPT</v>
      </c>
      <c r="I12215" s="136"/>
      <c r="R12215" s="63" t="str">
        <f t="shared" si="60"/>
        <v>ZSI1_PIPE_ELBOWGROSS_WEIGHT_OPT</v>
      </c>
    </row>
    <row r="12216" ht="15.75" customHeight="1">
      <c r="B12216" s="63">
        <f t="shared" si="1"/>
        <v>15</v>
      </c>
      <c r="C12216" s="135" t="s">
        <v>442</v>
      </c>
      <c r="D12216" s="161" t="s">
        <v>74</v>
      </c>
      <c r="E12216" s="135">
        <f t="shared" si="62"/>
        <v>18</v>
      </c>
      <c r="F12216" s="134" t="s">
        <v>4057</v>
      </c>
      <c r="G12216" s="63" t="str">
        <f>VLOOKUP(C12216, 'Class Def. - General Data'!$C$20:$C$1000,1,false)</f>
        <v>ZSI1_PIPE_ELBOW</v>
      </c>
      <c r="H12216" s="63" t="str">
        <f>IFERROR(__xludf.DUMMYFUNCTION("VLOOKUP(F12216, IMPORTRANGE(""https://docs.google.com/spreadsheets/d/1Lhp9OU0JdFf_VYSMzH5lBcEaU4o8teT1piV-SNzShjg/edit?gid=554141278#gid=554141278"", ""'Char Def. - Attributes'!C20:C2242""), 1,false)"),"NET_WEIGHT_OPT")</f>
        <v>NET_WEIGHT_OPT</v>
      </c>
      <c r="I12216" s="136"/>
      <c r="R12216" s="63" t="str">
        <f t="shared" si="60"/>
        <v>ZSI1_PIPE_ELBOWNET_WEIGHT_OPT</v>
      </c>
    </row>
    <row r="12217" ht="15.75" customHeight="1">
      <c r="B12217" s="63">
        <f t="shared" si="1"/>
        <v>15</v>
      </c>
      <c r="C12217" s="135" t="s">
        <v>442</v>
      </c>
      <c r="D12217" s="161" t="s">
        <v>74</v>
      </c>
      <c r="E12217" s="135">
        <f t="shared" si="62"/>
        <v>19</v>
      </c>
      <c r="F12217" s="134" t="s">
        <v>4058</v>
      </c>
      <c r="G12217" s="63" t="str">
        <f>VLOOKUP(C12217, 'Class Def. - General Data'!$C$20:$C$1000,1,false)</f>
        <v>ZSI1_PIPE_ELBOW</v>
      </c>
      <c r="H12217" s="63" t="str">
        <f>IFERROR(__xludf.DUMMYFUNCTION("VLOOKUP(F12217, IMPORTRANGE(""https://docs.google.com/spreadsheets/d/1Lhp9OU0JdFf_VYSMzH5lBcEaU4o8teT1piV-SNzShjg/edit?gid=554141278#gid=554141278"", ""'Char Def. - Attributes'!C20:C2242""), 1,false)"),"WEIGHT_UNIT_SI")</f>
        <v>WEIGHT_UNIT_SI</v>
      </c>
      <c r="I12217" s="136"/>
      <c r="R12217" s="63" t="str">
        <f t="shared" si="60"/>
        <v>ZSI1_PIPE_ELBOWWEIGHT_UNIT_SI</v>
      </c>
    </row>
    <row r="12218" ht="15.75" customHeight="1">
      <c r="B12218" s="63">
        <f t="shared" si="1"/>
        <v>15</v>
      </c>
      <c r="C12218" s="135" t="s">
        <v>442</v>
      </c>
      <c r="D12218" s="161" t="s">
        <v>74</v>
      </c>
      <c r="E12218" s="135">
        <f t="shared" si="62"/>
        <v>20</v>
      </c>
      <c r="F12218" s="134" t="s">
        <v>3877</v>
      </c>
      <c r="G12218" s="63" t="str">
        <f>VLOOKUP(C12218, 'Class Def. - General Data'!$C$20:$C$1000,1,false)</f>
        <v>ZSI1_PIPE_ELBOW</v>
      </c>
      <c r="H12218" s="63" t="str">
        <f>IFERROR(__xludf.DUMMYFUNCTION("VLOOKUP(F12218, IMPORTRANGE(""https://docs.google.com/spreadsheets/d/1Lhp9OU0JdFf_VYSMzH5lBcEaU4o8teT1piV-SNzShjg/edit?gid=554141278#gid=554141278"", ""'Char Def. - Attributes'!C20:C2242""), 1,false)"),"VOLUME_OPT")</f>
        <v>VOLUME_OPT</v>
      </c>
      <c r="I12218" s="136"/>
      <c r="R12218" s="63" t="str">
        <f t="shared" si="60"/>
        <v>ZSI1_PIPE_ELBOWVOLUME_OPT</v>
      </c>
    </row>
    <row r="12219" ht="15.75" customHeight="1">
      <c r="B12219" s="63">
        <f t="shared" si="1"/>
        <v>15</v>
      </c>
      <c r="C12219" s="135" t="s">
        <v>442</v>
      </c>
      <c r="D12219" s="161" t="s">
        <v>74</v>
      </c>
      <c r="E12219" s="135">
        <f t="shared" si="62"/>
        <v>21</v>
      </c>
      <c r="F12219" s="134" t="s">
        <v>4059</v>
      </c>
      <c r="G12219" s="63" t="str">
        <f>VLOOKUP(C12219, 'Class Def. - General Data'!$C$20:$C$1000,1,false)</f>
        <v>ZSI1_PIPE_ELBOW</v>
      </c>
      <c r="H12219" s="63" t="str">
        <f>IFERROR(__xludf.DUMMYFUNCTION("VLOOKUP(F12219, IMPORTRANGE(""https://docs.google.com/spreadsheets/d/1Lhp9OU0JdFf_VYSMzH5lBcEaU4o8teT1piV-SNzShjg/edit?gid=554141278#gid=554141278"", ""'Char Def. - Attributes'!C20:C2242""), 1,false)"),"VOLUME_UNIT_SI")</f>
        <v>VOLUME_UNIT_SI</v>
      </c>
      <c r="I12219" s="136"/>
      <c r="R12219" s="63" t="str">
        <f t="shared" si="60"/>
        <v>ZSI1_PIPE_ELBOWVOLUME_UNIT_SI</v>
      </c>
    </row>
    <row r="12220" ht="15.75" customHeight="1">
      <c r="B12220" s="63">
        <f t="shared" si="1"/>
        <v>15</v>
      </c>
      <c r="C12220" s="135" t="s">
        <v>442</v>
      </c>
      <c r="D12220" s="161" t="s">
        <v>74</v>
      </c>
      <c r="E12220" s="135">
        <f t="shared" si="62"/>
        <v>22</v>
      </c>
      <c r="F12220" s="134" t="s">
        <v>3804</v>
      </c>
      <c r="G12220" s="63" t="str">
        <f>VLOOKUP(C12220, 'Class Def. - General Data'!$C$20:$C$1000,1,false)</f>
        <v>ZSI1_PIPE_ELBOW</v>
      </c>
      <c r="H12220" s="63" t="str">
        <f>IFERROR(__xludf.DUMMYFUNCTION("VLOOKUP(F12220, IMPORTRANGE(""https://docs.google.com/spreadsheets/d/1Lhp9OU0JdFf_VYSMzH5lBcEaU4o8teT1piV-SNzShjg/edit?gid=554141278#gid=554141278"", ""'Char Def. - Attributes'!C20:C2242""), 1,false)"),"ALT_UOM1_SIPI")</f>
        <v>ALT_UOM1_SIPI</v>
      </c>
      <c r="I12220" s="136"/>
      <c r="R12220" s="63" t="str">
        <f t="shared" si="60"/>
        <v>ZSI1_PIPE_ELBOWALT_UOM1_SIPI</v>
      </c>
    </row>
    <row r="12221" ht="15.75" customHeight="1">
      <c r="B12221" s="63">
        <f t="shared" si="1"/>
        <v>15</v>
      </c>
      <c r="C12221" s="135" t="s">
        <v>442</v>
      </c>
      <c r="D12221" s="161" t="s">
        <v>74</v>
      </c>
      <c r="E12221" s="135">
        <f t="shared" si="62"/>
        <v>23</v>
      </c>
      <c r="F12221" s="134" t="s">
        <v>3805</v>
      </c>
      <c r="G12221" s="63" t="str">
        <f>VLOOKUP(C12221, 'Class Def. - General Data'!$C$20:$C$1000,1,false)</f>
        <v>ZSI1_PIPE_ELBOW</v>
      </c>
      <c r="H12221" s="63" t="str">
        <f>IFERROR(__xludf.DUMMYFUNCTION("VLOOKUP(F12221, IMPORTRANGE(""https://docs.google.com/spreadsheets/d/1Lhp9OU0JdFf_VYSMzH5lBcEaU4o8teT1piV-SNzShjg/edit?gid=554141278#gid=554141278"", ""'Char Def. - Attributes'!C20:C2242""), 1,false)"),"ALT_DENUM_UOM1")</f>
        <v>ALT_DENUM_UOM1</v>
      </c>
      <c r="I12221" s="136"/>
      <c r="R12221" s="63" t="str">
        <f t="shared" si="60"/>
        <v>ZSI1_PIPE_ELBOWALT_DENUM_UOM1</v>
      </c>
    </row>
    <row r="12222" ht="15.75" customHeight="1">
      <c r="B12222" s="63">
        <f t="shared" si="1"/>
        <v>15</v>
      </c>
      <c r="C12222" s="135" t="s">
        <v>442</v>
      </c>
      <c r="D12222" s="161" t="s">
        <v>74</v>
      </c>
      <c r="E12222" s="135">
        <f t="shared" si="62"/>
        <v>24</v>
      </c>
      <c r="F12222" s="134" t="s">
        <v>3806</v>
      </c>
      <c r="G12222" s="63" t="str">
        <f>VLOOKUP(C12222, 'Class Def. - General Data'!$C$20:$C$1000,1,false)</f>
        <v>ZSI1_PIPE_ELBOW</v>
      </c>
      <c r="H12222" s="63" t="str">
        <f>IFERROR(__xludf.DUMMYFUNCTION("VLOOKUP(F12222, IMPORTRANGE(""https://docs.google.com/spreadsheets/d/1Lhp9OU0JdFf_VYSMzH5lBcEaU4o8teT1piV-SNzShjg/edit?gid=554141278#gid=554141278"", ""'Char Def. - Attributes'!C20:C2242""), 1,false)"),"ALT_NUM_UOM1")</f>
        <v>ALT_NUM_UOM1</v>
      </c>
      <c r="I12222" s="136"/>
      <c r="R12222" s="63" t="str">
        <f t="shared" si="60"/>
        <v>ZSI1_PIPE_ELBOWALT_NUM_UOM1</v>
      </c>
    </row>
    <row r="12223" ht="15.75" customHeight="1">
      <c r="B12223" s="63">
        <f t="shared" si="1"/>
        <v>15</v>
      </c>
      <c r="C12223" s="135" t="s">
        <v>442</v>
      </c>
      <c r="D12223" s="161" t="s">
        <v>74</v>
      </c>
      <c r="E12223" s="135">
        <f t="shared" si="62"/>
        <v>25</v>
      </c>
      <c r="F12223" s="134" t="s">
        <v>3807</v>
      </c>
      <c r="G12223" s="63" t="str">
        <f>VLOOKUP(C12223, 'Class Def. - General Data'!$C$20:$C$1000,1,false)</f>
        <v>ZSI1_PIPE_ELBOW</v>
      </c>
      <c r="H12223" s="63" t="str">
        <f>IFERROR(__xludf.DUMMYFUNCTION("VLOOKUP(F12223, IMPORTRANGE(""https://docs.google.com/spreadsheets/d/1Lhp9OU0JdFf_VYSMzH5lBcEaU4o8teT1piV-SNzShjg/edit?gid=554141278#gid=554141278"", ""'Char Def. - Attributes'!C20:C2242""), 1,false)"),"ALT_UOM2_SIPI")</f>
        <v>ALT_UOM2_SIPI</v>
      </c>
      <c r="I12223" s="136"/>
      <c r="R12223" s="63" t="str">
        <f t="shared" si="60"/>
        <v>ZSI1_PIPE_ELBOWALT_UOM2_SIPI</v>
      </c>
    </row>
    <row r="12224" ht="15.75" customHeight="1">
      <c r="B12224" s="63">
        <f t="shared" si="1"/>
        <v>15</v>
      </c>
      <c r="C12224" s="135" t="s">
        <v>442</v>
      </c>
      <c r="D12224" s="161" t="s">
        <v>74</v>
      </c>
      <c r="E12224" s="135">
        <f t="shared" si="62"/>
        <v>26</v>
      </c>
      <c r="F12224" s="134" t="s">
        <v>3808</v>
      </c>
      <c r="G12224" s="63" t="str">
        <f>VLOOKUP(C12224, 'Class Def. - General Data'!$C$20:$C$1000,1,false)</f>
        <v>ZSI1_PIPE_ELBOW</v>
      </c>
      <c r="H12224" s="63" t="str">
        <f>IFERROR(__xludf.DUMMYFUNCTION("VLOOKUP(F12224, IMPORTRANGE(""https://docs.google.com/spreadsheets/d/1Lhp9OU0JdFf_VYSMzH5lBcEaU4o8teT1piV-SNzShjg/edit?gid=554141278#gid=554141278"", ""'Char Def. - Attributes'!C20:C2242""), 1,false)"),"ALT_DENUM_UOM2")</f>
        <v>ALT_DENUM_UOM2</v>
      </c>
      <c r="I12224" s="136"/>
      <c r="R12224" s="63" t="str">
        <f t="shared" si="60"/>
        <v>ZSI1_PIPE_ELBOWALT_DENUM_UOM2</v>
      </c>
    </row>
    <row r="12225" ht="15.75" customHeight="1">
      <c r="B12225" s="63">
        <f t="shared" si="1"/>
        <v>15</v>
      </c>
      <c r="C12225" s="135" t="s">
        <v>442</v>
      </c>
      <c r="D12225" s="161" t="s">
        <v>74</v>
      </c>
      <c r="E12225" s="135">
        <f t="shared" si="62"/>
        <v>27</v>
      </c>
      <c r="F12225" s="134" t="s">
        <v>3809</v>
      </c>
      <c r="G12225" s="63" t="str">
        <f>VLOOKUP(C12225, 'Class Def. - General Data'!$C$20:$C$1000,1,false)</f>
        <v>ZSI1_PIPE_ELBOW</v>
      </c>
      <c r="H12225" s="63" t="str">
        <f>IFERROR(__xludf.DUMMYFUNCTION("VLOOKUP(F12225, IMPORTRANGE(""https://docs.google.com/spreadsheets/d/1Lhp9OU0JdFf_VYSMzH5lBcEaU4o8teT1piV-SNzShjg/edit?gid=554141278#gid=554141278"", ""'Char Def. - Attributes'!C20:C2242""), 1,false)"),"ALT_NUM_UOM2")</f>
        <v>ALT_NUM_UOM2</v>
      </c>
      <c r="I12225" s="136"/>
      <c r="R12225" s="63" t="str">
        <f t="shared" si="60"/>
        <v>ZSI1_PIPE_ELBOWALT_NUM_UOM2</v>
      </c>
    </row>
    <row r="12226" ht="15.75" customHeight="1">
      <c r="B12226" s="63">
        <f t="shared" si="1"/>
        <v>15</v>
      </c>
      <c r="C12226" s="135" t="s">
        <v>442</v>
      </c>
      <c r="D12226" s="161" t="s">
        <v>74</v>
      </c>
      <c r="E12226" s="135">
        <f t="shared" si="62"/>
        <v>28</v>
      </c>
      <c r="F12226" s="134" t="s">
        <v>3810</v>
      </c>
      <c r="G12226" s="63" t="str">
        <f>VLOOKUP(C12226, 'Class Def. - General Data'!$C$20:$C$1000,1,false)</f>
        <v>ZSI1_PIPE_ELBOW</v>
      </c>
      <c r="H12226" s="63" t="str">
        <f>IFERROR(__xludf.DUMMYFUNCTION("VLOOKUP(F12226, IMPORTRANGE(""https://docs.google.com/spreadsheets/d/1Lhp9OU0JdFf_VYSMzH5lBcEaU4o8teT1piV-SNzShjg/edit?gid=554141278#gid=554141278"", ""'Char Def. - Attributes'!C20:C2242""), 1,false)"),"ALT_UOM3_SIPI")</f>
        <v>ALT_UOM3_SIPI</v>
      </c>
      <c r="I12226" s="136"/>
      <c r="R12226" s="63" t="str">
        <f t="shared" si="60"/>
        <v>ZSI1_PIPE_ELBOWALT_UOM3_SIPI</v>
      </c>
    </row>
    <row r="12227" ht="15.75" customHeight="1">
      <c r="B12227" s="63">
        <f t="shared" si="1"/>
        <v>15</v>
      </c>
      <c r="C12227" s="135" t="s">
        <v>442</v>
      </c>
      <c r="D12227" s="161" t="s">
        <v>74</v>
      </c>
      <c r="E12227" s="135">
        <f t="shared" si="62"/>
        <v>29</v>
      </c>
      <c r="F12227" s="134" t="s">
        <v>3811</v>
      </c>
      <c r="G12227" s="63" t="str">
        <f>VLOOKUP(C12227, 'Class Def. - General Data'!$C$20:$C$1000,1,false)</f>
        <v>ZSI1_PIPE_ELBOW</v>
      </c>
      <c r="H12227" s="63" t="str">
        <f>IFERROR(__xludf.DUMMYFUNCTION("VLOOKUP(F12227, IMPORTRANGE(""https://docs.google.com/spreadsheets/d/1Lhp9OU0JdFf_VYSMzH5lBcEaU4o8teT1piV-SNzShjg/edit?gid=554141278#gid=554141278"", ""'Char Def. - Attributes'!C20:C2242""), 1,false)"),"ALT_DENUM_UOM3")</f>
        <v>ALT_DENUM_UOM3</v>
      </c>
      <c r="I12227" s="136"/>
      <c r="R12227" s="63" t="str">
        <f t="shared" si="60"/>
        <v>ZSI1_PIPE_ELBOWALT_DENUM_UOM3</v>
      </c>
    </row>
    <row r="12228" ht="15.75" customHeight="1">
      <c r="B12228" s="63">
        <f t="shared" si="1"/>
        <v>15</v>
      </c>
      <c r="C12228" s="135" t="s">
        <v>442</v>
      </c>
      <c r="D12228" s="161" t="s">
        <v>74</v>
      </c>
      <c r="E12228" s="135">
        <f t="shared" si="62"/>
        <v>30</v>
      </c>
      <c r="F12228" s="134" t="s">
        <v>3812</v>
      </c>
      <c r="G12228" s="63" t="str">
        <f>VLOOKUP(C12228, 'Class Def. - General Data'!$C$20:$C$1000,1,false)</f>
        <v>ZSI1_PIPE_ELBOW</v>
      </c>
      <c r="H12228" s="63" t="str">
        <f>IFERROR(__xludf.DUMMYFUNCTION("VLOOKUP(F12228, IMPORTRANGE(""https://docs.google.com/spreadsheets/d/1Lhp9OU0JdFf_VYSMzH5lBcEaU4o8teT1piV-SNzShjg/edit?gid=554141278#gid=554141278"", ""'Char Def. - Attributes'!C20:C2242""), 1,false)"),"ALT_NUM_UOM3")</f>
        <v>ALT_NUM_UOM3</v>
      </c>
      <c r="I12228" s="136"/>
      <c r="R12228" s="63" t="str">
        <f t="shared" si="60"/>
        <v>ZSI1_PIPE_ELBOWALT_NUM_UOM3</v>
      </c>
    </row>
    <row r="12229" ht="15.75" customHeight="1">
      <c r="B12229" s="63">
        <f t="shared" si="1"/>
        <v>15</v>
      </c>
      <c r="C12229" s="135" t="s">
        <v>442</v>
      </c>
      <c r="D12229" s="161" t="s">
        <v>74</v>
      </c>
      <c r="E12229" s="135">
        <f t="shared" si="62"/>
        <v>31</v>
      </c>
      <c r="F12229" s="134" t="s">
        <v>3813</v>
      </c>
      <c r="G12229" s="63" t="str">
        <f>VLOOKUP(C12229, 'Class Def. - General Data'!$C$20:$C$1000,1,false)</f>
        <v>ZSI1_PIPE_ELBOW</v>
      </c>
      <c r="H12229" s="63" t="str">
        <f>IFERROR(__xludf.DUMMYFUNCTION("VLOOKUP(F12229, IMPORTRANGE(""https://docs.google.com/spreadsheets/d/1Lhp9OU0JdFf_VYSMzH5lBcEaU4o8teT1piV-SNzShjg/edit?gid=554141278#gid=554141278"", ""'Char Def. - Attributes'!C20:C2242""), 1,false)"),"ALT_UOM4_SIPI")</f>
        <v>ALT_UOM4_SIPI</v>
      </c>
      <c r="I12229" s="136"/>
      <c r="R12229" s="63" t="str">
        <f t="shared" si="60"/>
        <v>ZSI1_PIPE_ELBOWALT_UOM4_SIPI</v>
      </c>
    </row>
    <row r="12230" ht="15.75" customHeight="1">
      <c r="B12230" s="63">
        <f t="shared" si="1"/>
        <v>15</v>
      </c>
      <c r="C12230" s="135" t="s">
        <v>442</v>
      </c>
      <c r="D12230" s="161" t="s">
        <v>74</v>
      </c>
      <c r="E12230" s="135">
        <f t="shared" si="62"/>
        <v>32</v>
      </c>
      <c r="F12230" s="134" t="s">
        <v>3814</v>
      </c>
      <c r="G12230" s="63" t="str">
        <f>VLOOKUP(C12230, 'Class Def. - General Data'!$C$20:$C$1000,1,false)</f>
        <v>ZSI1_PIPE_ELBOW</v>
      </c>
      <c r="H12230" s="63" t="str">
        <f>IFERROR(__xludf.DUMMYFUNCTION("VLOOKUP(F12230, IMPORTRANGE(""https://docs.google.com/spreadsheets/d/1Lhp9OU0JdFf_VYSMzH5lBcEaU4o8teT1piV-SNzShjg/edit?gid=554141278#gid=554141278"", ""'Char Def. - Attributes'!C20:C2242""), 1,false)"),"ALT_DENUM_UOM4")</f>
        <v>ALT_DENUM_UOM4</v>
      </c>
      <c r="I12230" s="136"/>
      <c r="R12230" s="63" t="str">
        <f t="shared" si="60"/>
        <v>ZSI1_PIPE_ELBOWALT_DENUM_UOM4</v>
      </c>
    </row>
    <row r="12231" ht="15.75" customHeight="1">
      <c r="B12231" s="63">
        <f t="shared" si="1"/>
        <v>15</v>
      </c>
      <c r="C12231" s="135" t="s">
        <v>442</v>
      </c>
      <c r="D12231" s="161" t="s">
        <v>74</v>
      </c>
      <c r="E12231" s="135">
        <f t="shared" si="62"/>
        <v>33</v>
      </c>
      <c r="F12231" s="134" t="s">
        <v>3815</v>
      </c>
      <c r="G12231" s="63" t="str">
        <f>VLOOKUP(C12231, 'Class Def. - General Data'!$C$20:$C$1000,1,false)</f>
        <v>ZSI1_PIPE_ELBOW</v>
      </c>
      <c r="H12231" s="63" t="str">
        <f>IFERROR(__xludf.DUMMYFUNCTION("VLOOKUP(F12231, IMPORTRANGE(""https://docs.google.com/spreadsheets/d/1Lhp9OU0JdFf_VYSMzH5lBcEaU4o8teT1piV-SNzShjg/edit?gid=554141278#gid=554141278"", ""'Char Def. - Attributes'!C20:C2242""), 1,false)"),"ALT_NUM_UOM4")</f>
        <v>ALT_NUM_UOM4</v>
      </c>
      <c r="I12231" s="136"/>
      <c r="R12231" s="63" t="str">
        <f t="shared" si="60"/>
        <v>ZSI1_PIPE_ELBOWALT_NUM_UOM4</v>
      </c>
    </row>
    <row r="12232" ht="15.75" customHeight="1">
      <c r="B12232" s="63">
        <f t="shared" si="1"/>
        <v>15</v>
      </c>
      <c r="C12232" s="135" t="s">
        <v>442</v>
      </c>
      <c r="D12232" s="161" t="s">
        <v>74</v>
      </c>
      <c r="E12232" s="135">
        <f t="shared" si="62"/>
        <v>34</v>
      </c>
      <c r="F12232" s="134" t="s">
        <v>3816</v>
      </c>
      <c r="G12232" s="63" t="str">
        <f>VLOOKUP(C12232, 'Class Def. - General Data'!$C$20:$C$1000,1,false)</f>
        <v>ZSI1_PIPE_ELBOW</v>
      </c>
      <c r="H12232" s="63" t="str">
        <f>IFERROR(__xludf.DUMMYFUNCTION("VLOOKUP(F12232, IMPORTRANGE(""https://docs.google.com/spreadsheets/d/1Lhp9OU0JdFf_VYSMzH5lBcEaU4o8teT1piV-SNzShjg/edit?gid=554141278#gid=554141278"", ""'Char Def. - Attributes'!C20:C2242""), 1,false)"),"ALT_UOM5_SIPI")</f>
        <v>ALT_UOM5_SIPI</v>
      </c>
      <c r="I12232" s="136"/>
      <c r="R12232" s="63" t="str">
        <f t="shared" si="60"/>
        <v>ZSI1_PIPE_ELBOWALT_UOM5_SIPI</v>
      </c>
    </row>
    <row r="12233" ht="15.75" customHeight="1">
      <c r="B12233" s="63">
        <f t="shared" si="1"/>
        <v>15</v>
      </c>
      <c r="C12233" s="135" t="s">
        <v>442</v>
      </c>
      <c r="D12233" s="161" t="s">
        <v>74</v>
      </c>
      <c r="E12233" s="135">
        <f t="shared" si="62"/>
        <v>35</v>
      </c>
      <c r="F12233" s="134" t="s">
        <v>3817</v>
      </c>
      <c r="G12233" s="63" t="str">
        <f>VLOOKUP(C12233, 'Class Def. - General Data'!$C$20:$C$1000,1,false)</f>
        <v>ZSI1_PIPE_ELBOW</v>
      </c>
      <c r="H12233" s="63" t="str">
        <f>IFERROR(__xludf.DUMMYFUNCTION("VLOOKUP(F12233, IMPORTRANGE(""https://docs.google.com/spreadsheets/d/1Lhp9OU0JdFf_VYSMzH5lBcEaU4o8teT1piV-SNzShjg/edit?gid=554141278#gid=554141278"", ""'Char Def. - Attributes'!C20:C2242""), 1,false)"),"ALT_DENUM_UOM5")</f>
        <v>ALT_DENUM_UOM5</v>
      </c>
      <c r="I12233" s="136"/>
      <c r="R12233" s="63" t="str">
        <f t="shared" si="60"/>
        <v>ZSI1_PIPE_ELBOWALT_DENUM_UOM5</v>
      </c>
    </row>
    <row r="12234" ht="15.75" customHeight="1">
      <c r="B12234" s="63">
        <f t="shared" si="1"/>
        <v>15</v>
      </c>
      <c r="C12234" s="135" t="s">
        <v>442</v>
      </c>
      <c r="D12234" s="161" t="s">
        <v>74</v>
      </c>
      <c r="E12234" s="135">
        <f t="shared" si="62"/>
        <v>36</v>
      </c>
      <c r="F12234" s="134" t="s">
        <v>3818</v>
      </c>
      <c r="G12234" s="63" t="str">
        <f>VLOOKUP(C12234, 'Class Def. - General Data'!$C$20:$C$1000,1,false)</f>
        <v>ZSI1_PIPE_ELBOW</v>
      </c>
      <c r="H12234" s="63" t="str">
        <f>IFERROR(__xludf.DUMMYFUNCTION("VLOOKUP(F12234, IMPORTRANGE(""https://docs.google.com/spreadsheets/d/1Lhp9OU0JdFf_VYSMzH5lBcEaU4o8teT1piV-SNzShjg/edit?gid=554141278#gid=554141278"", ""'Char Def. - Attributes'!C20:C2242""), 1,false)"),"ALT_NUM_UOM5")</f>
        <v>ALT_NUM_UOM5</v>
      </c>
      <c r="I12234" s="136"/>
      <c r="R12234" s="63" t="str">
        <f t="shared" si="60"/>
        <v>ZSI1_PIPE_ELBOWALT_NUM_UOM5</v>
      </c>
    </row>
    <row r="12235" ht="15.75" customHeight="1">
      <c r="B12235" s="63">
        <f t="shared" si="1"/>
        <v>18</v>
      </c>
      <c r="C12235" s="135" t="s">
        <v>5133</v>
      </c>
      <c r="D12235" s="161" t="s">
        <v>74</v>
      </c>
      <c r="E12235" s="135">
        <f t="shared" si="62"/>
        <v>1</v>
      </c>
      <c r="F12235" s="134" t="s">
        <v>5134</v>
      </c>
      <c r="G12235" s="63" t="str">
        <f>VLOOKUP(C12235, 'Class Def. - General Data'!$C$20:$C$1000,1,false)</f>
        <v>#N/A</v>
      </c>
      <c r="H12235" s="63" t="str">
        <f>IFERROR(__xludf.DUMMYFUNCTION("VLOOKUP(F12235, IMPORTRANGE(""https://docs.google.com/spreadsheets/d/1Lhp9OU0JdFf_VYSMzH5lBcEaU4o8teT1piV-SNzShjg/edit?gid=554141278#gid=554141278"", ""'Char Def. - Attributes'!C20:C2242""), 1,false)"),"ITEM_NAME_EXP_JOINT")</f>
        <v>ITEM_NAME_EXP_JOINT</v>
      </c>
      <c r="I12235" s="136"/>
      <c r="R12235" s="63" t="str">
        <f t="shared" si="60"/>
        <v>ZSI1_PIPE_EXPJOINTITEM_NAME_EXP_JOINT</v>
      </c>
    </row>
    <row r="12236" ht="15.75" customHeight="1">
      <c r="B12236" s="63">
        <f t="shared" si="1"/>
        <v>18</v>
      </c>
      <c r="C12236" s="135" t="s">
        <v>5133</v>
      </c>
      <c r="D12236" s="161" t="s">
        <v>74</v>
      </c>
      <c r="E12236" s="135">
        <f t="shared" si="62"/>
        <v>2</v>
      </c>
      <c r="F12236" s="134" t="s">
        <v>5135</v>
      </c>
      <c r="G12236" s="63" t="str">
        <f>VLOOKUP(C12236, 'Class Def. - General Data'!$C$20:$C$1000,1,false)</f>
        <v>#N/A</v>
      </c>
      <c r="H12236" s="63" t="str">
        <f>IFERROR(__xludf.DUMMYFUNCTION("VLOOKUP(F12236, IMPORTRANGE(""https://docs.google.com/spreadsheets/d/1Lhp9OU0JdFf_VYSMzH5lBcEaU4o8teT1piV-SNzShjg/edit?gid=554141278#gid=554141278"", ""'Char Def. - Attributes'!C20:C2242""), 1,false)"),"DIMENSION_DIAMETER_EXP_JOINT")</f>
        <v>DIMENSION_DIAMETER_EXP_JOINT</v>
      </c>
      <c r="I12236" s="136"/>
      <c r="R12236" s="63" t="str">
        <f t="shared" si="60"/>
        <v>ZSI1_PIPE_EXPJOINTDIMENSION_DIAMETER_EXP_JOINT</v>
      </c>
    </row>
    <row r="12237" ht="15.75" customHeight="1">
      <c r="B12237" s="63">
        <f t="shared" si="1"/>
        <v>18</v>
      </c>
      <c r="C12237" s="135" t="s">
        <v>5133</v>
      </c>
      <c r="D12237" s="161" t="s">
        <v>74</v>
      </c>
      <c r="E12237" s="135">
        <f t="shared" si="62"/>
        <v>3</v>
      </c>
      <c r="F12237" s="134" t="s">
        <v>5136</v>
      </c>
      <c r="G12237" s="63" t="str">
        <f>VLOOKUP(C12237, 'Class Def. - General Data'!$C$20:$C$1000,1,false)</f>
        <v>#N/A</v>
      </c>
      <c r="H12237" s="63" t="str">
        <f>IFERROR(__xludf.DUMMYFUNCTION("VLOOKUP(F12237, IMPORTRANGE(""https://docs.google.com/spreadsheets/d/1Lhp9OU0JdFf_VYSMzH5lBcEaU4o8teT1piV-SNzShjg/edit?gid=554141278#gid=554141278"", ""'Char Def. - Attributes'!C20:C2242""), 1,false)"),"DIAMETER_EXP_JOINT")</f>
        <v>DIAMETER_EXP_JOINT</v>
      </c>
      <c r="I12237" s="136"/>
      <c r="R12237" s="63" t="str">
        <f t="shared" si="60"/>
        <v>ZSI1_PIPE_EXPJOINTDIAMETER_EXP_JOINT</v>
      </c>
    </row>
    <row r="12238" ht="15.75" customHeight="1">
      <c r="B12238" s="63">
        <f t="shared" si="1"/>
        <v>18</v>
      </c>
      <c r="C12238" s="135" t="s">
        <v>5133</v>
      </c>
      <c r="D12238" s="161" t="s">
        <v>74</v>
      </c>
      <c r="E12238" s="135">
        <f t="shared" si="62"/>
        <v>4</v>
      </c>
      <c r="F12238" s="134" t="s">
        <v>5137</v>
      </c>
      <c r="G12238" s="63" t="str">
        <f>VLOOKUP(C12238, 'Class Def. - General Data'!$C$20:$C$1000,1,false)</f>
        <v>#N/A</v>
      </c>
      <c r="H12238" s="63" t="str">
        <f>IFERROR(__xludf.DUMMYFUNCTION("VLOOKUP(F12238, IMPORTRANGE(""https://docs.google.com/spreadsheets/d/1Lhp9OU0JdFf_VYSMzH5lBcEaU4o8teT1piV-SNzShjg/edit?gid=554141278#gid=554141278"", ""'Char Def. - Attributes'!C20:C2242""), 1,false)"),"PRESS_RATING_KPSI_EXP_JOINT")</f>
        <v>PRESS_RATING_KPSI_EXP_JOINT</v>
      </c>
      <c r="I12238" s="136"/>
      <c r="R12238" s="63" t="str">
        <f t="shared" si="60"/>
        <v>ZSI1_PIPE_EXPJOINTPRESS_RATING_KPSI_EXP_JOINT</v>
      </c>
    </row>
    <row r="12239" ht="15.75" customHeight="1">
      <c r="B12239" s="63">
        <f t="shared" si="1"/>
        <v>18</v>
      </c>
      <c r="C12239" s="135" t="s">
        <v>5133</v>
      </c>
      <c r="D12239" s="161" t="s">
        <v>74</v>
      </c>
      <c r="E12239" s="135">
        <f t="shared" si="62"/>
        <v>5</v>
      </c>
      <c r="F12239" s="134" t="s">
        <v>5138</v>
      </c>
      <c r="G12239" s="63" t="str">
        <f>VLOOKUP(C12239, 'Class Def. - General Data'!$C$20:$C$1000,1,false)</f>
        <v>#N/A</v>
      </c>
      <c r="H12239" s="63" t="str">
        <f>IFERROR(__xludf.DUMMYFUNCTION("VLOOKUP(F12239, IMPORTRANGE(""https://docs.google.com/spreadsheets/d/1Lhp9OU0JdFf_VYSMzH5lBcEaU4o8teT1piV-SNzShjg/edit?gid=554141278#gid=554141278"", ""'Char Def. - Attributes'!C20:C2242""), 1,false)"),"PRESSURE_RATIN_PN_EXP_JOINT")</f>
        <v>PRESSURE_RATIN_PN_EXP_JOINT</v>
      </c>
      <c r="I12239" s="136"/>
      <c r="R12239" s="63" t="str">
        <f t="shared" si="60"/>
        <v>ZSI1_PIPE_EXPJOINTPRESSURE_RATIN_PN_EXP_JOINT</v>
      </c>
    </row>
    <row r="12240" ht="15.75" customHeight="1">
      <c r="B12240" s="63">
        <f t="shared" si="1"/>
        <v>18</v>
      </c>
      <c r="C12240" s="135" t="s">
        <v>5133</v>
      </c>
      <c r="D12240" s="161" t="s">
        <v>74</v>
      </c>
      <c r="E12240" s="135">
        <f t="shared" si="62"/>
        <v>6</v>
      </c>
      <c r="F12240" s="134" t="s">
        <v>5139</v>
      </c>
      <c r="G12240" s="63" t="str">
        <f>VLOOKUP(C12240, 'Class Def. - General Data'!$C$20:$C$1000,1,false)</f>
        <v>#N/A</v>
      </c>
      <c r="H12240" s="63" t="str">
        <f>IFERROR(__xludf.DUMMYFUNCTION("VLOOKUP(F12240, IMPORTRANGE(""https://docs.google.com/spreadsheets/d/1Lhp9OU0JdFf_VYSMzH5lBcEaU4o8teT1piV-SNzShjg/edit?gid=554141278#gid=554141278"", ""'Char Def. - Attributes'!C20:C2242""), 1,false)"),"LENGTH_MM_EXP_JOINT")</f>
        <v>LENGTH_MM_EXP_JOINT</v>
      </c>
      <c r="I12240" s="136"/>
      <c r="R12240" s="63" t="str">
        <f t="shared" si="60"/>
        <v>ZSI1_PIPE_EXPJOINTLENGTH_MM_EXP_JOINT</v>
      </c>
    </row>
    <row r="12241" ht="15.75" customHeight="1">
      <c r="B12241" s="63">
        <f t="shared" si="1"/>
        <v>18</v>
      </c>
      <c r="C12241" s="135" t="s">
        <v>5133</v>
      </c>
      <c r="D12241" s="161" t="s">
        <v>74</v>
      </c>
      <c r="E12241" s="135">
        <f t="shared" si="62"/>
        <v>7</v>
      </c>
      <c r="F12241" s="134" t="s">
        <v>5140</v>
      </c>
      <c r="G12241" s="63" t="str">
        <f>VLOOKUP(C12241, 'Class Def. - General Data'!$C$20:$C$1000,1,false)</f>
        <v>#N/A</v>
      </c>
      <c r="H12241" s="63" t="str">
        <f>IFERROR(__xludf.DUMMYFUNCTION("VLOOKUP(F12241, IMPORTRANGE(""https://docs.google.com/spreadsheets/d/1Lhp9OU0JdFf_VYSMzH5lBcEaU4o8teT1piV-SNzShjg/edit?gid=554141278#gid=554141278"", ""'Char Def. - Attributes'!C20:C2242""), 1,false)"),"MATERIAL_EXP_JOINT")</f>
        <v>MATERIAL_EXP_JOINT</v>
      </c>
      <c r="I12241" s="136"/>
      <c r="R12241" s="63" t="str">
        <f t="shared" si="60"/>
        <v>ZSI1_PIPE_EXPJOINTMATERIAL_EXP_JOINT</v>
      </c>
    </row>
    <row r="12242" ht="15.75" customHeight="1">
      <c r="B12242" s="63">
        <f t="shared" si="1"/>
        <v>18</v>
      </c>
      <c r="C12242" s="135" t="s">
        <v>5133</v>
      </c>
      <c r="D12242" s="161" t="s">
        <v>74</v>
      </c>
      <c r="E12242" s="135">
        <f t="shared" si="62"/>
        <v>8</v>
      </c>
      <c r="F12242" s="134" t="s">
        <v>3585</v>
      </c>
      <c r="G12242" s="63" t="str">
        <f>VLOOKUP(C12242, 'Class Def. - General Data'!$C$20:$C$1000,1,false)</f>
        <v>#N/A</v>
      </c>
      <c r="H12242" s="63" t="str">
        <f>IFERROR(__xludf.DUMMYFUNCTION("VLOOKUP(F12242, IMPORTRANGE(""https://docs.google.com/spreadsheets/d/1Lhp9OU0JdFf_VYSMzH5lBcEaU4o8teT1piV-SNzShjg/edit?gid=554141278#gid=554141278"", ""'Char Def. - Attributes'!C20:C2242""), 1,false)"),"HS_CODE")</f>
        <v>HS_CODE</v>
      </c>
      <c r="I12242" s="136"/>
      <c r="R12242" s="63" t="str">
        <f t="shared" si="60"/>
        <v>ZSI1_PIPE_EXPJOINTHS_CODE</v>
      </c>
    </row>
    <row r="12243" ht="15.75" customHeight="1">
      <c r="B12243" s="63">
        <f t="shared" si="1"/>
        <v>18</v>
      </c>
      <c r="C12243" s="135" t="s">
        <v>5133</v>
      </c>
      <c r="D12243" s="161" t="s">
        <v>74</v>
      </c>
      <c r="E12243" s="135">
        <f t="shared" si="62"/>
        <v>9</v>
      </c>
      <c r="F12243" s="134" t="s">
        <v>3587</v>
      </c>
      <c r="G12243" s="63" t="str">
        <f>VLOOKUP(C12243, 'Class Def. - General Data'!$C$20:$C$1000,1,false)</f>
        <v>#N/A</v>
      </c>
      <c r="H12243" s="63" t="str">
        <f>IFERROR(__xludf.DUMMYFUNCTION("VLOOKUP(F12243, IMPORTRANGE(""https://docs.google.com/spreadsheets/d/1Lhp9OU0JdFf_VYSMzH5lBcEaU4o8teT1piV-SNzShjg/edit?gid=554141278#gid=554141278"", ""'Char Def. - Attributes'!C20:C2242""), 1,false)"),"PLANT_BUY")</f>
        <v>PLANT_BUY</v>
      </c>
      <c r="I12243" s="136"/>
      <c r="R12243" s="63" t="str">
        <f t="shared" si="60"/>
        <v>ZSI1_PIPE_EXPJOINTPLANT_BUY</v>
      </c>
    </row>
    <row r="12244" ht="15.75" customHeight="1">
      <c r="B12244" s="63">
        <f t="shared" si="1"/>
        <v>18</v>
      </c>
      <c r="C12244" s="135" t="s">
        <v>5133</v>
      </c>
      <c r="D12244" s="161" t="s">
        <v>74</v>
      </c>
      <c r="E12244" s="135">
        <f t="shared" si="62"/>
        <v>10</v>
      </c>
      <c r="F12244" s="134" t="s">
        <v>5141</v>
      </c>
      <c r="G12244" s="63" t="str">
        <f>VLOOKUP(C12244, 'Class Def. - General Data'!$C$20:$C$1000,1,false)</f>
        <v>#N/A</v>
      </c>
      <c r="H12244" s="63" t="str">
        <f>IFERROR(__xludf.DUMMYFUNCTION("VLOOKUP(F12244, IMPORTRANGE(""https://docs.google.com/spreadsheets/d/1Lhp9OU0JdFf_VYSMzH5lBcEaU4o8teT1piV-SNzShjg/edit?gid=554141278#gid=554141278"", ""'Char Def. - Attributes'!C20:C2242""), 1,false)"),"BASE_UOM_EXP_JOINT")</f>
        <v>BASE_UOM_EXP_JOINT</v>
      </c>
      <c r="I12244" s="136"/>
      <c r="R12244" s="63" t="str">
        <f t="shared" si="60"/>
        <v>ZSI1_PIPE_EXPJOINTBASE_UOM_EXP_JOINT</v>
      </c>
    </row>
    <row r="12245" ht="15.75" customHeight="1">
      <c r="B12245" s="63">
        <f t="shared" si="1"/>
        <v>18</v>
      </c>
      <c r="C12245" s="135" t="s">
        <v>5133</v>
      </c>
      <c r="D12245" s="161" t="s">
        <v>74</v>
      </c>
      <c r="E12245" s="135">
        <f t="shared" si="62"/>
        <v>11</v>
      </c>
      <c r="F12245" s="134" t="s">
        <v>5142</v>
      </c>
      <c r="G12245" s="63" t="str">
        <f>VLOOKUP(C12245, 'Class Def. - General Data'!$C$20:$C$1000,1,false)</f>
        <v>#N/A</v>
      </c>
      <c r="H12245" s="63" t="str">
        <f>IFERROR(__xludf.DUMMYFUNCTION("VLOOKUP(F12245, IMPORTRANGE(""https://docs.google.com/spreadsheets/d/1Lhp9OU0JdFf_VYSMzH5lBcEaU4o8teT1piV-SNzShjg/edit?gid=554141278#gid=554141278"", ""'Char Def. - Attributes'!C20:C2242""), 1,false)"),"ORDER_UNIT_EXP_JOINT")</f>
        <v>ORDER_UNIT_EXP_JOINT</v>
      </c>
      <c r="I12245" s="136"/>
      <c r="R12245" s="63" t="str">
        <f t="shared" si="60"/>
        <v>ZSI1_PIPE_EXPJOINTORDER_UNIT_EXP_JOINT</v>
      </c>
    </row>
    <row r="12246" ht="15.75" customHeight="1">
      <c r="B12246" s="63">
        <f t="shared" si="1"/>
        <v>18</v>
      </c>
      <c r="C12246" s="135" t="s">
        <v>5133</v>
      </c>
      <c r="D12246" s="161" t="s">
        <v>74</v>
      </c>
      <c r="E12246" s="135">
        <f t="shared" si="62"/>
        <v>12</v>
      </c>
      <c r="F12246" s="134" t="s">
        <v>4056</v>
      </c>
      <c r="G12246" s="63" t="str">
        <f>VLOOKUP(C12246, 'Class Def. - General Data'!$C$20:$C$1000,1,false)</f>
        <v>#N/A</v>
      </c>
      <c r="H12246" s="63" t="str">
        <f>IFERROR(__xludf.DUMMYFUNCTION("VLOOKUP(F12246, IMPORTRANGE(""https://docs.google.com/spreadsheets/d/1Lhp9OU0JdFf_VYSMzH5lBcEaU4o8teT1piV-SNzShjg/edit?gid=554141278#gid=554141278"", ""'Char Def. - Attributes'!C20:C2242""), 1,false)"),"GROSS_WEIGHT_OPT")</f>
        <v>GROSS_WEIGHT_OPT</v>
      </c>
      <c r="I12246" s="136"/>
      <c r="R12246" s="63" t="str">
        <f t="shared" si="60"/>
        <v>ZSI1_PIPE_EXPJOINTGROSS_WEIGHT_OPT</v>
      </c>
    </row>
    <row r="12247" ht="15.75" customHeight="1">
      <c r="B12247" s="63">
        <f t="shared" si="1"/>
        <v>18</v>
      </c>
      <c r="C12247" s="135" t="s">
        <v>5133</v>
      </c>
      <c r="D12247" s="161" t="s">
        <v>74</v>
      </c>
      <c r="E12247" s="135">
        <f t="shared" si="62"/>
        <v>13</v>
      </c>
      <c r="F12247" s="134" t="s">
        <v>4057</v>
      </c>
      <c r="G12247" s="63" t="str">
        <f>VLOOKUP(C12247, 'Class Def. - General Data'!$C$20:$C$1000,1,false)</f>
        <v>#N/A</v>
      </c>
      <c r="H12247" s="63" t="str">
        <f>IFERROR(__xludf.DUMMYFUNCTION("VLOOKUP(F12247, IMPORTRANGE(""https://docs.google.com/spreadsheets/d/1Lhp9OU0JdFf_VYSMzH5lBcEaU4o8teT1piV-SNzShjg/edit?gid=554141278#gid=554141278"", ""'Char Def. - Attributes'!C20:C2242""), 1,false)"),"NET_WEIGHT_OPT")</f>
        <v>NET_WEIGHT_OPT</v>
      </c>
      <c r="I12247" s="136"/>
      <c r="R12247" s="63" t="str">
        <f t="shared" si="60"/>
        <v>ZSI1_PIPE_EXPJOINTNET_WEIGHT_OPT</v>
      </c>
    </row>
    <row r="12248" ht="15.75" customHeight="1">
      <c r="B12248" s="63">
        <f t="shared" si="1"/>
        <v>18</v>
      </c>
      <c r="C12248" s="135" t="s">
        <v>5133</v>
      </c>
      <c r="D12248" s="161" t="s">
        <v>74</v>
      </c>
      <c r="E12248" s="135">
        <f t="shared" si="62"/>
        <v>14</v>
      </c>
      <c r="F12248" s="134" t="s">
        <v>4058</v>
      </c>
      <c r="G12248" s="63" t="str">
        <f>VLOOKUP(C12248, 'Class Def. - General Data'!$C$20:$C$1000,1,false)</f>
        <v>#N/A</v>
      </c>
      <c r="H12248" s="63" t="str">
        <f>IFERROR(__xludf.DUMMYFUNCTION("VLOOKUP(F12248, IMPORTRANGE(""https://docs.google.com/spreadsheets/d/1Lhp9OU0JdFf_VYSMzH5lBcEaU4o8teT1piV-SNzShjg/edit?gid=554141278#gid=554141278"", ""'Char Def. - Attributes'!C20:C2242""), 1,false)"),"WEIGHT_UNIT_SI")</f>
        <v>WEIGHT_UNIT_SI</v>
      </c>
      <c r="I12248" s="136"/>
      <c r="R12248" s="63" t="str">
        <f t="shared" si="60"/>
        <v>ZSI1_PIPE_EXPJOINTWEIGHT_UNIT_SI</v>
      </c>
    </row>
    <row r="12249" ht="15.75" customHeight="1">
      <c r="B12249" s="63">
        <f t="shared" si="1"/>
        <v>18</v>
      </c>
      <c r="C12249" s="135" t="s">
        <v>5133</v>
      </c>
      <c r="D12249" s="161" t="s">
        <v>74</v>
      </c>
      <c r="E12249" s="135">
        <f t="shared" si="62"/>
        <v>15</v>
      </c>
      <c r="F12249" s="134" t="s">
        <v>3877</v>
      </c>
      <c r="G12249" s="63" t="str">
        <f>VLOOKUP(C12249, 'Class Def. - General Data'!$C$20:$C$1000,1,false)</f>
        <v>#N/A</v>
      </c>
      <c r="H12249" s="63" t="str">
        <f>IFERROR(__xludf.DUMMYFUNCTION("VLOOKUP(F12249, IMPORTRANGE(""https://docs.google.com/spreadsheets/d/1Lhp9OU0JdFf_VYSMzH5lBcEaU4o8teT1piV-SNzShjg/edit?gid=554141278#gid=554141278"", ""'Char Def. - Attributes'!C20:C2242""), 1,false)"),"VOLUME_OPT")</f>
        <v>VOLUME_OPT</v>
      </c>
      <c r="I12249" s="136"/>
      <c r="R12249" s="63" t="str">
        <f t="shared" si="60"/>
        <v>ZSI1_PIPE_EXPJOINTVOLUME_OPT</v>
      </c>
    </row>
    <row r="12250" ht="15.75" customHeight="1">
      <c r="B12250" s="63">
        <f t="shared" si="1"/>
        <v>18</v>
      </c>
      <c r="C12250" s="135" t="s">
        <v>5133</v>
      </c>
      <c r="D12250" s="161" t="s">
        <v>74</v>
      </c>
      <c r="E12250" s="135">
        <f t="shared" si="62"/>
        <v>16</v>
      </c>
      <c r="F12250" s="134" t="s">
        <v>4059</v>
      </c>
      <c r="G12250" s="63" t="str">
        <f>VLOOKUP(C12250, 'Class Def. - General Data'!$C$20:$C$1000,1,false)</f>
        <v>#N/A</v>
      </c>
      <c r="H12250" s="63" t="str">
        <f>IFERROR(__xludf.DUMMYFUNCTION("VLOOKUP(F12250, IMPORTRANGE(""https://docs.google.com/spreadsheets/d/1Lhp9OU0JdFf_VYSMzH5lBcEaU4o8teT1piV-SNzShjg/edit?gid=554141278#gid=554141278"", ""'Char Def. - Attributes'!C20:C2242""), 1,false)"),"VOLUME_UNIT_SI")</f>
        <v>VOLUME_UNIT_SI</v>
      </c>
      <c r="I12250" s="136"/>
      <c r="R12250" s="63" t="str">
        <f t="shared" si="60"/>
        <v>ZSI1_PIPE_EXPJOINTVOLUME_UNIT_SI</v>
      </c>
    </row>
    <row r="12251" ht="15.75" customHeight="1">
      <c r="B12251" s="63">
        <f t="shared" si="1"/>
        <v>18</v>
      </c>
      <c r="C12251" s="135" t="s">
        <v>5133</v>
      </c>
      <c r="D12251" s="161" t="s">
        <v>74</v>
      </c>
      <c r="E12251" s="135">
        <f t="shared" si="62"/>
        <v>17</v>
      </c>
      <c r="F12251" s="134" t="s">
        <v>3804</v>
      </c>
      <c r="G12251" s="63" t="str">
        <f>VLOOKUP(C12251, 'Class Def. - General Data'!$C$20:$C$1000,1,false)</f>
        <v>#N/A</v>
      </c>
      <c r="H12251" s="63" t="str">
        <f>IFERROR(__xludf.DUMMYFUNCTION("VLOOKUP(F12251, IMPORTRANGE(""https://docs.google.com/spreadsheets/d/1Lhp9OU0JdFf_VYSMzH5lBcEaU4o8teT1piV-SNzShjg/edit?gid=554141278#gid=554141278"", ""'Char Def. - Attributes'!C20:C2242""), 1,false)"),"ALT_UOM1_SIPI")</f>
        <v>ALT_UOM1_SIPI</v>
      </c>
      <c r="I12251" s="136"/>
      <c r="R12251" s="63" t="str">
        <f t="shared" si="60"/>
        <v>ZSI1_PIPE_EXPJOINTALT_UOM1_SIPI</v>
      </c>
    </row>
    <row r="12252" ht="15.75" customHeight="1">
      <c r="B12252" s="63">
        <f t="shared" si="1"/>
        <v>18</v>
      </c>
      <c r="C12252" s="135" t="s">
        <v>5133</v>
      </c>
      <c r="D12252" s="161" t="s">
        <v>74</v>
      </c>
      <c r="E12252" s="135">
        <f t="shared" si="62"/>
        <v>18</v>
      </c>
      <c r="F12252" s="134" t="s">
        <v>3805</v>
      </c>
      <c r="G12252" s="63" t="str">
        <f>VLOOKUP(C12252, 'Class Def. - General Data'!$C$20:$C$1000,1,false)</f>
        <v>#N/A</v>
      </c>
      <c r="H12252" s="63" t="str">
        <f>IFERROR(__xludf.DUMMYFUNCTION("VLOOKUP(F12252, IMPORTRANGE(""https://docs.google.com/spreadsheets/d/1Lhp9OU0JdFf_VYSMzH5lBcEaU4o8teT1piV-SNzShjg/edit?gid=554141278#gid=554141278"", ""'Char Def. - Attributes'!C20:C2242""), 1,false)"),"ALT_DENUM_UOM1")</f>
        <v>ALT_DENUM_UOM1</v>
      </c>
      <c r="I12252" s="136"/>
      <c r="R12252" s="63" t="str">
        <f t="shared" si="60"/>
        <v>ZSI1_PIPE_EXPJOINTALT_DENUM_UOM1</v>
      </c>
    </row>
    <row r="12253" ht="15.75" customHeight="1">
      <c r="B12253" s="63">
        <f t="shared" si="1"/>
        <v>18</v>
      </c>
      <c r="C12253" s="135" t="s">
        <v>5133</v>
      </c>
      <c r="D12253" s="161" t="s">
        <v>74</v>
      </c>
      <c r="E12253" s="135">
        <f t="shared" si="62"/>
        <v>19</v>
      </c>
      <c r="F12253" s="134" t="s">
        <v>3806</v>
      </c>
      <c r="G12253" s="63" t="str">
        <f>VLOOKUP(C12253, 'Class Def. - General Data'!$C$20:$C$1000,1,false)</f>
        <v>#N/A</v>
      </c>
      <c r="H12253" s="63" t="str">
        <f>IFERROR(__xludf.DUMMYFUNCTION("VLOOKUP(F12253, IMPORTRANGE(""https://docs.google.com/spreadsheets/d/1Lhp9OU0JdFf_VYSMzH5lBcEaU4o8teT1piV-SNzShjg/edit?gid=554141278#gid=554141278"", ""'Char Def. - Attributes'!C20:C2242""), 1,false)"),"ALT_NUM_UOM1")</f>
        <v>ALT_NUM_UOM1</v>
      </c>
      <c r="I12253" s="136"/>
      <c r="R12253" s="63" t="str">
        <f t="shared" si="60"/>
        <v>ZSI1_PIPE_EXPJOINTALT_NUM_UOM1</v>
      </c>
    </row>
    <row r="12254" ht="15.75" customHeight="1">
      <c r="B12254" s="63">
        <f t="shared" si="1"/>
        <v>18</v>
      </c>
      <c r="C12254" s="135" t="s">
        <v>5133</v>
      </c>
      <c r="D12254" s="161" t="s">
        <v>74</v>
      </c>
      <c r="E12254" s="135">
        <f t="shared" si="62"/>
        <v>20</v>
      </c>
      <c r="F12254" s="134" t="s">
        <v>3807</v>
      </c>
      <c r="G12254" s="63" t="str">
        <f>VLOOKUP(C12254, 'Class Def. - General Data'!$C$20:$C$1000,1,false)</f>
        <v>#N/A</v>
      </c>
      <c r="H12254" s="63" t="str">
        <f>IFERROR(__xludf.DUMMYFUNCTION("VLOOKUP(F12254, IMPORTRANGE(""https://docs.google.com/spreadsheets/d/1Lhp9OU0JdFf_VYSMzH5lBcEaU4o8teT1piV-SNzShjg/edit?gid=554141278#gid=554141278"", ""'Char Def. - Attributes'!C20:C2242""), 1,false)"),"ALT_UOM2_SIPI")</f>
        <v>ALT_UOM2_SIPI</v>
      </c>
      <c r="I12254" s="136"/>
      <c r="R12254" s="63" t="str">
        <f t="shared" si="60"/>
        <v>ZSI1_PIPE_EXPJOINTALT_UOM2_SIPI</v>
      </c>
    </row>
    <row r="12255" ht="15.75" customHeight="1">
      <c r="B12255" s="63">
        <f t="shared" si="1"/>
        <v>18</v>
      </c>
      <c r="C12255" s="135" t="s">
        <v>5133</v>
      </c>
      <c r="D12255" s="161" t="s">
        <v>74</v>
      </c>
      <c r="E12255" s="135">
        <f t="shared" si="62"/>
        <v>21</v>
      </c>
      <c r="F12255" s="134" t="s">
        <v>3808</v>
      </c>
      <c r="G12255" s="63" t="str">
        <f>VLOOKUP(C12255, 'Class Def. - General Data'!$C$20:$C$1000,1,false)</f>
        <v>#N/A</v>
      </c>
      <c r="H12255" s="63" t="str">
        <f>IFERROR(__xludf.DUMMYFUNCTION("VLOOKUP(F12255, IMPORTRANGE(""https://docs.google.com/spreadsheets/d/1Lhp9OU0JdFf_VYSMzH5lBcEaU4o8teT1piV-SNzShjg/edit?gid=554141278#gid=554141278"", ""'Char Def. - Attributes'!C20:C2242""), 1,false)"),"ALT_DENUM_UOM2")</f>
        <v>ALT_DENUM_UOM2</v>
      </c>
      <c r="I12255" s="136"/>
      <c r="R12255" s="63" t="str">
        <f t="shared" si="60"/>
        <v>ZSI1_PIPE_EXPJOINTALT_DENUM_UOM2</v>
      </c>
    </row>
    <row r="12256" ht="15.75" customHeight="1">
      <c r="B12256" s="63">
        <f t="shared" si="1"/>
        <v>18</v>
      </c>
      <c r="C12256" s="135" t="s">
        <v>5133</v>
      </c>
      <c r="D12256" s="161" t="s">
        <v>74</v>
      </c>
      <c r="E12256" s="135">
        <f t="shared" si="62"/>
        <v>22</v>
      </c>
      <c r="F12256" s="134" t="s">
        <v>3809</v>
      </c>
      <c r="G12256" s="63" t="str">
        <f>VLOOKUP(C12256, 'Class Def. - General Data'!$C$20:$C$1000,1,false)</f>
        <v>#N/A</v>
      </c>
      <c r="H12256" s="63" t="str">
        <f>IFERROR(__xludf.DUMMYFUNCTION("VLOOKUP(F12256, IMPORTRANGE(""https://docs.google.com/spreadsheets/d/1Lhp9OU0JdFf_VYSMzH5lBcEaU4o8teT1piV-SNzShjg/edit?gid=554141278#gid=554141278"", ""'Char Def. - Attributes'!C20:C2242""), 1,false)"),"ALT_NUM_UOM2")</f>
        <v>ALT_NUM_UOM2</v>
      </c>
      <c r="I12256" s="136"/>
      <c r="R12256" s="63" t="str">
        <f t="shared" si="60"/>
        <v>ZSI1_PIPE_EXPJOINTALT_NUM_UOM2</v>
      </c>
    </row>
    <row r="12257" ht="15.75" customHeight="1">
      <c r="B12257" s="63">
        <f t="shared" si="1"/>
        <v>18</v>
      </c>
      <c r="C12257" s="135" t="s">
        <v>5133</v>
      </c>
      <c r="D12257" s="161" t="s">
        <v>74</v>
      </c>
      <c r="E12257" s="135">
        <f t="shared" si="62"/>
        <v>23</v>
      </c>
      <c r="F12257" s="134" t="s">
        <v>3810</v>
      </c>
      <c r="G12257" s="63" t="str">
        <f>VLOOKUP(C12257, 'Class Def. - General Data'!$C$20:$C$1000,1,false)</f>
        <v>#N/A</v>
      </c>
      <c r="H12257" s="63" t="str">
        <f>IFERROR(__xludf.DUMMYFUNCTION("VLOOKUP(F12257, IMPORTRANGE(""https://docs.google.com/spreadsheets/d/1Lhp9OU0JdFf_VYSMzH5lBcEaU4o8teT1piV-SNzShjg/edit?gid=554141278#gid=554141278"", ""'Char Def. - Attributes'!C20:C2242""), 1,false)"),"ALT_UOM3_SIPI")</f>
        <v>ALT_UOM3_SIPI</v>
      </c>
      <c r="I12257" s="136"/>
      <c r="R12257" s="63" t="str">
        <f t="shared" si="60"/>
        <v>ZSI1_PIPE_EXPJOINTALT_UOM3_SIPI</v>
      </c>
    </row>
    <row r="12258" ht="15.75" customHeight="1">
      <c r="B12258" s="63">
        <f t="shared" si="1"/>
        <v>18</v>
      </c>
      <c r="C12258" s="135" t="s">
        <v>5133</v>
      </c>
      <c r="D12258" s="161" t="s">
        <v>74</v>
      </c>
      <c r="E12258" s="135">
        <f t="shared" si="62"/>
        <v>24</v>
      </c>
      <c r="F12258" s="134" t="s">
        <v>3811</v>
      </c>
      <c r="G12258" s="63" t="str">
        <f>VLOOKUP(C12258, 'Class Def. - General Data'!$C$20:$C$1000,1,false)</f>
        <v>#N/A</v>
      </c>
      <c r="H12258" s="63" t="str">
        <f>IFERROR(__xludf.DUMMYFUNCTION("VLOOKUP(F12258, IMPORTRANGE(""https://docs.google.com/spreadsheets/d/1Lhp9OU0JdFf_VYSMzH5lBcEaU4o8teT1piV-SNzShjg/edit?gid=554141278#gid=554141278"", ""'Char Def. - Attributes'!C20:C2242""), 1,false)"),"ALT_DENUM_UOM3")</f>
        <v>ALT_DENUM_UOM3</v>
      </c>
      <c r="I12258" s="136"/>
      <c r="R12258" s="63" t="str">
        <f t="shared" si="60"/>
        <v>ZSI1_PIPE_EXPJOINTALT_DENUM_UOM3</v>
      </c>
    </row>
    <row r="12259" ht="15.75" customHeight="1">
      <c r="B12259" s="63">
        <f t="shared" si="1"/>
        <v>18</v>
      </c>
      <c r="C12259" s="135" t="s">
        <v>5133</v>
      </c>
      <c r="D12259" s="161" t="s">
        <v>74</v>
      </c>
      <c r="E12259" s="135">
        <f t="shared" si="62"/>
        <v>25</v>
      </c>
      <c r="F12259" s="134" t="s">
        <v>3812</v>
      </c>
      <c r="G12259" s="63" t="str">
        <f>VLOOKUP(C12259, 'Class Def. - General Data'!$C$20:$C$1000,1,false)</f>
        <v>#N/A</v>
      </c>
      <c r="H12259" s="63" t="str">
        <f>IFERROR(__xludf.DUMMYFUNCTION("VLOOKUP(F12259, IMPORTRANGE(""https://docs.google.com/spreadsheets/d/1Lhp9OU0JdFf_VYSMzH5lBcEaU4o8teT1piV-SNzShjg/edit?gid=554141278#gid=554141278"", ""'Char Def. - Attributes'!C20:C2242""), 1,false)"),"ALT_NUM_UOM3")</f>
        <v>ALT_NUM_UOM3</v>
      </c>
      <c r="I12259" s="136"/>
      <c r="R12259" s="63" t="str">
        <f t="shared" si="60"/>
        <v>ZSI1_PIPE_EXPJOINTALT_NUM_UOM3</v>
      </c>
    </row>
    <row r="12260" ht="15.75" customHeight="1">
      <c r="B12260" s="63">
        <f t="shared" si="1"/>
        <v>18</v>
      </c>
      <c r="C12260" s="135" t="s">
        <v>5133</v>
      </c>
      <c r="D12260" s="161" t="s">
        <v>74</v>
      </c>
      <c r="E12260" s="135">
        <f t="shared" si="62"/>
        <v>26</v>
      </c>
      <c r="F12260" s="134" t="s">
        <v>3813</v>
      </c>
      <c r="G12260" s="63" t="str">
        <f>VLOOKUP(C12260, 'Class Def. - General Data'!$C$20:$C$1000,1,false)</f>
        <v>#N/A</v>
      </c>
      <c r="H12260" s="63" t="str">
        <f>IFERROR(__xludf.DUMMYFUNCTION("VLOOKUP(F12260, IMPORTRANGE(""https://docs.google.com/spreadsheets/d/1Lhp9OU0JdFf_VYSMzH5lBcEaU4o8teT1piV-SNzShjg/edit?gid=554141278#gid=554141278"", ""'Char Def. - Attributes'!C20:C2242""), 1,false)"),"ALT_UOM4_SIPI")</f>
        <v>ALT_UOM4_SIPI</v>
      </c>
      <c r="I12260" s="136"/>
      <c r="R12260" s="63" t="str">
        <f t="shared" si="60"/>
        <v>ZSI1_PIPE_EXPJOINTALT_UOM4_SIPI</v>
      </c>
    </row>
    <row r="12261" ht="15.75" customHeight="1">
      <c r="B12261" s="63">
        <f t="shared" si="1"/>
        <v>18</v>
      </c>
      <c r="C12261" s="135" t="s">
        <v>5133</v>
      </c>
      <c r="D12261" s="161" t="s">
        <v>74</v>
      </c>
      <c r="E12261" s="135">
        <f t="shared" si="62"/>
        <v>27</v>
      </c>
      <c r="F12261" s="134" t="s">
        <v>3814</v>
      </c>
      <c r="G12261" s="63" t="str">
        <f>VLOOKUP(C12261, 'Class Def. - General Data'!$C$20:$C$1000,1,false)</f>
        <v>#N/A</v>
      </c>
      <c r="H12261" s="63" t="str">
        <f>IFERROR(__xludf.DUMMYFUNCTION("VLOOKUP(F12261, IMPORTRANGE(""https://docs.google.com/spreadsheets/d/1Lhp9OU0JdFf_VYSMzH5lBcEaU4o8teT1piV-SNzShjg/edit?gid=554141278#gid=554141278"", ""'Char Def. - Attributes'!C20:C2242""), 1,false)"),"ALT_DENUM_UOM4")</f>
        <v>ALT_DENUM_UOM4</v>
      </c>
      <c r="I12261" s="136"/>
      <c r="R12261" s="63" t="str">
        <f t="shared" si="60"/>
        <v>ZSI1_PIPE_EXPJOINTALT_DENUM_UOM4</v>
      </c>
    </row>
    <row r="12262" ht="15.75" customHeight="1">
      <c r="B12262" s="63">
        <f t="shared" si="1"/>
        <v>18</v>
      </c>
      <c r="C12262" s="135" t="s">
        <v>5133</v>
      </c>
      <c r="D12262" s="161" t="s">
        <v>74</v>
      </c>
      <c r="E12262" s="135">
        <f t="shared" si="62"/>
        <v>28</v>
      </c>
      <c r="F12262" s="134" t="s">
        <v>3815</v>
      </c>
      <c r="G12262" s="63" t="str">
        <f>VLOOKUP(C12262, 'Class Def. - General Data'!$C$20:$C$1000,1,false)</f>
        <v>#N/A</v>
      </c>
      <c r="H12262" s="63" t="str">
        <f>IFERROR(__xludf.DUMMYFUNCTION("VLOOKUP(F12262, IMPORTRANGE(""https://docs.google.com/spreadsheets/d/1Lhp9OU0JdFf_VYSMzH5lBcEaU4o8teT1piV-SNzShjg/edit?gid=554141278#gid=554141278"", ""'Char Def. - Attributes'!C20:C2242""), 1,false)"),"ALT_NUM_UOM4")</f>
        <v>ALT_NUM_UOM4</v>
      </c>
      <c r="I12262" s="136"/>
      <c r="R12262" s="63" t="str">
        <f t="shared" si="60"/>
        <v>ZSI1_PIPE_EXPJOINTALT_NUM_UOM4</v>
      </c>
    </row>
    <row r="12263" ht="15.75" customHeight="1">
      <c r="B12263" s="63">
        <f t="shared" si="1"/>
        <v>18</v>
      </c>
      <c r="C12263" s="135" t="s">
        <v>5133</v>
      </c>
      <c r="D12263" s="161" t="s">
        <v>74</v>
      </c>
      <c r="E12263" s="135">
        <f t="shared" si="62"/>
        <v>29</v>
      </c>
      <c r="F12263" s="134" t="s">
        <v>3816</v>
      </c>
      <c r="G12263" s="63" t="str">
        <f>VLOOKUP(C12263, 'Class Def. - General Data'!$C$20:$C$1000,1,false)</f>
        <v>#N/A</v>
      </c>
      <c r="H12263" s="63" t="str">
        <f>IFERROR(__xludf.DUMMYFUNCTION("VLOOKUP(F12263, IMPORTRANGE(""https://docs.google.com/spreadsheets/d/1Lhp9OU0JdFf_VYSMzH5lBcEaU4o8teT1piV-SNzShjg/edit?gid=554141278#gid=554141278"", ""'Char Def. - Attributes'!C20:C2242""), 1,false)"),"ALT_UOM5_SIPI")</f>
        <v>ALT_UOM5_SIPI</v>
      </c>
      <c r="I12263" s="136"/>
      <c r="R12263" s="63" t="str">
        <f t="shared" si="60"/>
        <v>ZSI1_PIPE_EXPJOINTALT_UOM5_SIPI</v>
      </c>
    </row>
    <row r="12264" ht="15.75" customHeight="1">
      <c r="B12264" s="63">
        <f t="shared" si="1"/>
        <v>18</v>
      </c>
      <c r="C12264" s="135" t="s">
        <v>5133</v>
      </c>
      <c r="D12264" s="161" t="s">
        <v>74</v>
      </c>
      <c r="E12264" s="135">
        <f t="shared" si="62"/>
        <v>30</v>
      </c>
      <c r="F12264" s="134" t="s">
        <v>3817</v>
      </c>
      <c r="G12264" s="63" t="str">
        <f>VLOOKUP(C12264, 'Class Def. - General Data'!$C$20:$C$1000,1,false)</f>
        <v>#N/A</v>
      </c>
      <c r="H12264" s="63" t="str">
        <f>IFERROR(__xludf.DUMMYFUNCTION("VLOOKUP(F12264, IMPORTRANGE(""https://docs.google.com/spreadsheets/d/1Lhp9OU0JdFf_VYSMzH5lBcEaU4o8teT1piV-SNzShjg/edit?gid=554141278#gid=554141278"", ""'Char Def. - Attributes'!C20:C2242""), 1,false)"),"ALT_DENUM_UOM5")</f>
        <v>ALT_DENUM_UOM5</v>
      </c>
      <c r="I12264" s="136"/>
      <c r="R12264" s="63" t="str">
        <f t="shared" si="60"/>
        <v>ZSI1_PIPE_EXPJOINTALT_DENUM_UOM5</v>
      </c>
    </row>
    <row r="12265" ht="15.75" customHeight="1">
      <c r="B12265" s="63">
        <f t="shared" si="1"/>
        <v>18</v>
      </c>
      <c r="C12265" s="135" t="s">
        <v>5133</v>
      </c>
      <c r="D12265" s="161" t="s">
        <v>74</v>
      </c>
      <c r="E12265" s="135">
        <f t="shared" si="62"/>
        <v>31</v>
      </c>
      <c r="F12265" s="134" t="s">
        <v>3818</v>
      </c>
      <c r="G12265" s="63" t="str">
        <f>VLOOKUP(C12265, 'Class Def. - General Data'!$C$20:$C$1000,1,false)</f>
        <v>#N/A</v>
      </c>
      <c r="H12265" s="63" t="str">
        <f>IFERROR(__xludf.DUMMYFUNCTION("VLOOKUP(F12265, IMPORTRANGE(""https://docs.google.com/spreadsheets/d/1Lhp9OU0JdFf_VYSMzH5lBcEaU4o8teT1piV-SNzShjg/edit?gid=554141278#gid=554141278"", ""'Char Def. - Attributes'!C20:C2242""), 1,false)"),"ALT_NUM_UOM5")</f>
        <v>ALT_NUM_UOM5</v>
      </c>
      <c r="I12265" s="136"/>
      <c r="R12265" s="63" t="str">
        <f t="shared" si="60"/>
        <v>ZSI1_PIPE_EXPJOINTALT_NUM_UOM5</v>
      </c>
    </row>
    <row r="12266" ht="15.75" customHeight="1">
      <c r="B12266" s="63">
        <f t="shared" si="1"/>
        <v>16</v>
      </c>
      <c r="C12266" s="135" t="s">
        <v>443</v>
      </c>
      <c r="D12266" s="161" t="s">
        <v>74</v>
      </c>
      <c r="E12266" s="135">
        <f t="shared" si="62"/>
        <v>1</v>
      </c>
      <c r="F12266" s="134" t="s">
        <v>5143</v>
      </c>
      <c r="G12266" s="63" t="str">
        <f>VLOOKUP(C12266, 'Class Def. - General Data'!$C$20:$C$1000,1,false)</f>
        <v>ZSI1_PIPE_FLANGE</v>
      </c>
      <c r="H12266" s="63" t="str">
        <f>IFERROR(__xludf.DUMMYFUNCTION("VLOOKUP(F12266, IMPORTRANGE(""https://docs.google.com/spreadsheets/d/1Lhp9OU0JdFf_VYSMzH5lBcEaU4o8teT1piV-SNzShjg/edit?gid=554141278#gid=554141278"", ""'Char Def. - Attributes'!C20:C2242""), 1,false)"),"ITEM_NAME_PIPE_FLANGE")</f>
        <v>ITEM_NAME_PIPE_FLANGE</v>
      </c>
      <c r="I12266" s="136"/>
      <c r="R12266" s="63" t="str">
        <f t="shared" si="60"/>
        <v>ZSI1_PIPE_FLANGEITEM_NAME_PIPE_FLANGE</v>
      </c>
    </row>
    <row r="12267" ht="15.75" customHeight="1">
      <c r="B12267" s="63">
        <f t="shared" si="1"/>
        <v>16</v>
      </c>
      <c r="C12267" s="135" t="s">
        <v>443</v>
      </c>
      <c r="D12267" s="161" t="s">
        <v>74</v>
      </c>
      <c r="E12267" s="135">
        <f t="shared" si="62"/>
        <v>2</v>
      </c>
      <c r="F12267" s="134" t="s">
        <v>5144</v>
      </c>
      <c r="G12267" s="63" t="str">
        <f>VLOOKUP(C12267, 'Class Def. - General Data'!$C$20:$C$1000,1,false)</f>
        <v>ZSI1_PIPE_FLANGE</v>
      </c>
      <c r="H12267" s="63" t="str">
        <f>IFERROR(__xludf.DUMMYFUNCTION("VLOOKUP(F12267, IMPORTRANGE(""https://docs.google.com/spreadsheets/d/1Lhp9OU0JdFf_VYSMzH5lBcEaU4o8teT1piV-SNzShjg/edit?gid=554141278#gid=554141278"", ""'Char Def. - Attributes'!C20:C2242""), 1,false)"),"TYPE_PIPE_FLANGE")</f>
        <v>TYPE_PIPE_FLANGE</v>
      </c>
      <c r="I12267" s="136"/>
      <c r="R12267" s="63" t="str">
        <f t="shared" si="60"/>
        <v>ZSI1_PIPE_FLANGETYPE_PIPE_FLANGE</v>
      </c>
    </row>
    <row r="12268" ht="15.75" customHeight="1">
      <c r="B12268" s="63">
        <f t="shared" si="1"/>
        <v>16</v>
      </c>
      <c r="C12268" s="135" t="s">
        <v>443</v>
      </c>
      <c r="D12268" s="161" t="s">
        <v>74</v>
      </c>
      <c r="E12268" s="135">
        <f t="shared" si="62"/>
        <v>3</v>
      </c>
      <c r="F12268" s="134" t="s">
        <v>5145</v>
      </c>
      <c r="G12268" s="63" t="str">
        <f>VLOOKUP(C12268, 'Class Def. - General Data'!$C$20:$C$1000,1,false)</f>
        <v>ZSI1_PIPE_FLANGE</v>
      </c>
      <c r="H12268" s="63" t="str">
        <f>IFERROR(__xludf.DUMMYFUNCTION("VLOOKUP(F12268, IMPORTRANGE(""https://docs.google.com/spreadsheets/d/1Lhp9OU0JdFf_VYSMzH5lBcEaU4o8teT1piV-SNzShjg/edit?gid=554141278#gid=554141278"", ""'Char Def. - Attributes'!C20:C2242""), 1,false)"),"DIMENSION_PIPE_FLANGE")</f>
        <v>DIMENSION_PIPE_FLANGE</v>
      </c>
      <c r="I12268" s="136"/>
      <c r="R12268" s="63" t="str">
        <f t="shared" si="60"/>
        <v>ZSI1_PIPE_FLANGEDIMENSION_PIPE_FLANGE</v>
      </c>
    </row>
    <row r="12269" ht="15.75" customHeight="1">
      <c r="B12269" s="63">
        <f t="shared" si="1"/>
        <v>16</v>
      </c>
      <c r="C12269" s="135" t="s">
        <v>443</v>
      </c>
      <c r="D12269" s="161" t="s">
        <v>74</v>
      </c>
      <c r="E12269" s="135">
        <f t="shared" si="62"/>
        <v>4</v>
      </c>
      <c r="F12269" s="134" t="s">
        <v>5146</v>
      </c>
      <c r="G12269" s="63" t="str">
        <f>VLOOKUP(C12269, 'Class Def. - General Data'!$C$20:$C$1000,1,false)</f>
        <v>ZSI1_PIPE_FLANGE</v>
      </c>
      <c r="H12269" s="63" t="str">
        <f>IFERROR(__xludf.DUMMYFUNCTION("VLOOKUP(F12269, IMPORTRANGE(""https://docs.google.com/spreadsheets/d/1Lhp9OU0JdFf_VYSMzH5lBcEaU4o8teT1piV-SNzShjg/edit?gid=554141278#gid=554141278"", ""'Char Def. - Attributes'!C20:C2242""), 1,false)"),"SIZE_MM_PIPE_FLANGE")</f>
        <v>SIZE_MM_PIPE_FLANGE</v>
      </c>
      <c r="I12269" s="136"/>
      <c r="R12269" s="63" t="str">
        <f t="shared" si="60"/>
        <v>ZSI1_PIPE_FLANGESIZE_MM_PIPE_FLANGE</v>
      </c>
    </row>
    <row r="12270" ht="15.75" customHeight="1">
      <c r="B12270" s="63">
        <f t="shared" si="1"/>
        <v>16</v>
      </c>
      <c r="C12270" s="135" t="s">
        <v>443</v>
      </c>
      <c r="D12270" s="161" t="s">
        <v>74</v>
      </c>
      <c r="E12270" s="135">
        <f t="shared" si="62"/>
        <v>5</v>
      </c>
      <c r="F12270" s="134" t="s">
        <v>5147</v>
      </c>
      <c r="G12270" s="63" t="str">
        <f>VLOOKUP(C12270, 'Class Def. - General Data'!$C$20:$C$1000,1,false)</f>
        <v>ZSI1_PIPE_FLANGE</v>
      </c>
      <c r="H12270" s="63" t="str">
        <f>IFERROR(__xludf.DUMMYFUNCTION("VLOOKUP(F12270, IMPORTRANGE(""https://docs.google.com/spreadsheets/d/1Lhp9OU0JdFf_VYSMzH5lBcEaU4o8teT1piV-SNzShjg/edit?gid=554141278#gid=554141278"", ""'Char Def. - Attributes'!C20:C2242""), 1,false)"),"SIZE_INCH_PIPE_FLANGE")</f>
        <v>SIZE_INCH_PIPE_FLANGE</v>
      </c>
      <c r="I12270" s="136"/>
      <c r="R12270" s="63" t="str">
        <f t="shared" si="60"/>
        <v>ZSI1_PIPE_FLANGESIZE_INCH_PIPE_FLANGE</v>
      </c>
    </row>
    <row r="12271" ht="15.75" customHeight="1">
      <c r="B12271" s="63">
        <f t="shared" si="1"/>
        <v>16</v>
      </c>
      <c r="C12271" s="135" t="s">
        <v>443</v>
      </c>
      <c r="D12271" s="161" t="s">
        <v>74</v>
      </c>
      <c r="E12271" s="135">
        <f t="shared" si="62"/>
        <v>6</v>
      </c>
      <c r="F12271" s="134" t="s">
        <v>5148</v>
      </c>
      <c r="G12271" s="63" t="str">
        <f>VLOOKUP(C12271, 'Class Def. - General Data'!$C$20:$C$1000,1,false)</f>
        <v>ZSI1_PIPE_FLANGE</v>
      </c>
      <c r="H12271" s="63" t="str">
        <f>IFERROR(__xludf.DUMMYFUNCTION("VLOOKUP(F12271, IMPORTRANGE(""https://docs.google.com/spreadsheets/d/1Lhp9OU0JdFf_VYSMzH5lBcEaU4o8teT1piV-SNzShjg/edit?gid=554141278#gid=554141278"", ""'Char Def. - Attributes'!C20:C2242""), 1,false)"),"RATING_PIPE_FLANGE")</f>
        <v>RATING_PIPE_FLANGE</v>
      </c>
      <c r="I12271" s="136"/>
      <c r="R12271" s="63" t="str">
        <f t="shared" si="60"/>
        <v>ZSI1_PIPE_FLANGERATING_PIPE_FLANGE</v>
      </c>
    </row>
    <row r="12272" ht="15.75" customHeight="1">
      <c r="B12272" s="63">
        <f t="shared" si="1"/>
        <v>16</v>
      </c>
      <c r="C12272" s="135" t="s">
        <v>443</v>
      </c>
      <c r="D12272" s="161" t="s">
        <v>74</v>
      </c>
      <c r="E12272" s="135">
        <f t="shared" si="62"/>
        <v>7</v>
      </c>
      <c r="F12272" s="134" t="s">
        <v>5149</v>
      </c>
      <c r="G12272" s="63" t="str">
        <f>VLOOKUP(C12272, 'Class Def. - General Data'!$C$20:$C$1000,1,false)</f>
        <v>ZSI1_PIPE_FLANGE</v>
      </c>
      <c r="H12272" s="63" t="str">
        <f>IFERROR(__xludf.DUMMYFUNCTION("VLOOKUP(F12272, IMPORTRANGE(""https://docs.google.com/spreadsheets/d/1Lhp9OU0JdFf_VYSMzH5lBcEaU4o8teT1piV-SNzShjg/edit?gid=554141278#gid=554141278"", ""'Char Def. - Attributes'!C20:C2242""), 1,false)"),"MATERIAL_PIPE_FLANGE")</f>
        <v>MATERIAL_PIPE_FLANGE</v>
      </c>
      <c r="I12272" s="136"/>
      <c r="R12272" s="63" t="str">
        <f t="shared" si="60"/>
        <v>ZSI1_PIPE_FLANGEMATERIAL_PIPE_FLANGE</v>
      </c>
    </row>
    <row r="12273" ht="15.75" customHeight="1">
      <c r="B12273" s="63">
        <f t="shared" si="1"/>
        <v>16</v>
      </c>
      <c r="C12273" s="135" t="s">
        <v>443</v>
      </c>
      <c r="D12273" s="161" t="s">
        <v>74</v>
      </c>
      <c r="E12273" s="135">
        <f t="shared" si="62"/>
        <v>8</v>
      </c>
      <c r="F12273" s="134" t="s">
        <v>5150</v>
      </c>
      <c r="G12273" s="63" t="str">
        <f>VLOOKUP(C12273, 'Class Def. - General Data'!$C$20:$C$1000,1,false)</f>
        <v>ZSI1_PIPE_FLANGE</v>
      </c>
      <c r="H12273" s="63" t="str">
        <f>IFERROR(__xludf.DUMMYFUNCTION("VLOOKUP(F12273, IMPORTRANGE(""https://docs.google.com/spreadsheets/d/1Lhp9OU0JdFf_VYSMzH5lBcEaU4o8teT1piV-SNzShjg/edit?gid=554141278#gid=554141278"", ""'Char Def. - Attributes'!C20:C2242""), 1,false)"),"FINISHING_PIPE_FLANGE")</f>
        <v>FINISHING_PIPE_FLANGE</v>
      </c>
      <c r="I12273" s="136"/>
      <c r="R12273" s="63" t="str">
        <f t="shared" si="60"/>
        <v>ZSI1_PIPE_FLANGEFINISHING_PIPE_FLANGE</v>
      </c>
    </row>
    <row r="12274" ht="15.75" customHeight="1">
      <c r="B12274" s="63">
        <f t="shared" si="1"/>
        <v>16</v>
      </c>
      <c r="C12274" s="135" t="s">
        <v>443</v>
      </c>
      <c r="D12274" s="161" t="s">
        <v>74</v>
      </c>
      <c r="E12274" s="135">
        <f t="shared" si="62"/>
        <v>9</v>
      </c>
      <c r="F12274" s="134" t="s">
        <v>3585</v>
      </c>
      <c r="G12274" s="63" t="str">
        <f>VLOOKUP(C12274, 'Class Def. - General Data'!$C$20:$C$1000,1,false)</f>
        <v>ZSI1_PIPE_FLANGE</v>
      </c>
      <c r="H12274" s="63" t="str">
        <f>IFERROR(__xludf.DUMMYFUNCTION("VLOOKUP(F12274, IMPORTRANGE(""https://docs.google.com/spreadsheets/d/1Lhp9OU0JdFf_VYSMzH5lBcEaU4o8teT1piV-SNzShjg/edit?gid=554141278#gid=554141278"", ""'Char Def. - Attributes'!C20:C2242""), 1,false)"),"HS_CODE")</f>
        <v>HS_CODE</v>
      </c>
      <c r="I12274" s="136"/>
      <c r="R12274" s="63" t="str">
        <f t="shared" si="60"/>
        <v>ZSI1_PIPE_FLANGEHS_CODE</v>
      </c>
    </row>
    <row r="12275" ht="15.75" customHeight="1">
      <c r="B12275" s="63">
        <f t="shared" si="1"/>
        <v>16</v>
      </c>
      <c r="C12275" s="135" t="s">
        <v>443</v>
      </c>
      <c r="D12275" s="161" t="s">
        <v>74</v>
      </c>
      <c r="E12275" s="135">
        <f t="shared" si="62"/>
        <v>10</v>
      </c>
      <c r="F12275" s="134" t="s">
        <v>3587</v>
      </c>
      <c r="G12275" s="63" t="str">
        <f>VLOOKUP(C12275, 'Class Def. - General Data'!$C$20:$C$1000,1,false)</f>
        <v>ZSI1_PIPE_FLANGE</v>
      </c>
      <c r="H12275" s="63" t="str">
        <f>IFERROR(__xludf.DUMMYFUNCTION("VLOOKUP(F12275, IMPORTRANGE(""https://docs.google.com/spreadsheets/d/1Lhp9OU0JdFf_VYSMzH5lBcEaU4o8teT1piV-SNzShjg/edit?gid=554141278#gid=554141278"", ""'Char Def. - Attributes'!C20:C2242""), 1,false)"),"PLANT_BUY")</f>
        <v>PLANT_BUY</v>
      </c>
      <c r="I12275" s="136"/>
      <c r="R12275" s="63" t="str">
        <f t="shared" si="60"/>
        <v>ZSI1_PIPE_FLANGEPLANT_BUY</v>
      </c>
    </row>
    <row r="12276" ht="15.75" customHeight="1">
      <c r="B12276" s="63">
        <f t="shared" si="1"/>
        <v>16</v>
      </c>
      <c r="C12276" s="135" t="s">
        <v>443</v>
      </c>
      <c r="D12276" s="161" t="s">
        <v>74</v>
      </c>
      <c r="E12276" s="135">
        <f t="shared" si="62"/>
        <v>11</v>
      </c>
      <c r="F12276" s="134" t="s">
        <v>5151</v>
      </c>
      <c r="G12276" s="63" t="str">
        <f>VLOOKUP(C12276, 'Class Def. - General Data'!$C$20:$C$1000,1,false)</f>
        <v>ZSI1_PIPE_FLANGE</v>
      </c>
      <c r="H12276" s="63" t="str">
        <f>IFERROR(__xludf.DUMMYFUNCTION("VLOOKUP(F12276, IMPORTRANGE(""https://docs.google.com/spreadsheets/d/1Lhp9OU0JdFf_VYSMzH5lBcEaU4o8teT1piV-SNzShjg/edit?gid=554141278#gid=554141278"", ""'Char Def. - Attributes'!C20:C2242""), 1,false)"),"BASE_UOM_PIPE_FLANGE")</f>
        <v>BASE_UOM_PIPE_FLANGE</v>
      </c>
      <c r="I12276" s="136"/>
      <c r="R12276" s="63" t="str">
        <f t="shared" si="60"/>
        <v>ZSI1_PIPE_FLANGEBASE_UOM_PIPE_FLANGE</v>
      </c>
    </row>
    <row r="12277" ht="15.75" customHeight="1">
      <c r="B12277" s="63">
        <f t="shared" si="1"/>
        <v>16</v>
      </c>
      <c r="C12277" s="135" t="s">
        <v>443</v>
      </c>
      <c r="D12277" s="161" t="s">
        <v>74</v>
      </c>
      <c r="E12277" s="135">
        <f t="shared" si="62"/>
        <v>12</v>
      </c>
      <c r="F12277" s="134" t="s">
        <v>5152</v>
      </c>
      <c r="G12277" s="63" t="str">
        <f>VLOOKUP(C12277, 'Class Def. - General Data'!$C$20:$C$1000,1,false)</f>
        <v>ZSI1_PIPE_FLANGE</v>
      </c>
      <c r="H12277" s="63" t="str">
        <f>IFERROR(__xludf.DUMMYFUNCTION("VLOOKUP(F12277, IMPORTRANGE(""https://docs.google.com/spreadsheets/d/1Lhp9OU0JdFf_VYSMzH5lBcEaU4o8teT1piV-SNzShjg/edit?gid=554141278#gid=554141278"", ""'Char Def. - Attributes'!C20:C2242""), 1,false)"),"ORDER_UNIT_PIPE_FLANGE")</f>
        <v>ORDER_UNIT_PIPE_FLANGE</v>
      </c>
      <c r="I12277" s="136"/>
      <c r="R12277" s="63" t="str">
        <f t="shared" si="60"/>
        <v>ZSI1_PIPE_FLANGEORDER_UNIT_PIPE_FLANGE</v>
      </c>
    </row>
    <row r="12278" ht="15.75" customHeight="1">
      <c r="B12278" s="63">
        <f t="shared" si="1"/>
        <v>16</v>
      </c>
      <c r="C12278" s="135" t="s">
        <v>443</v>
      </c>
      <c r="D12278" s="161" t="s">
        <v>74</v>
      </c>
      <c r="E12278" s="135">
        <f t="shared" si="62"/>
        <v>13</v>
      </c>
      <c r="F12278" s="134" t="s">
        <v>4056</v>
      </c>
      <c r="G12278" s="63" t="str">
        <f>VLOOKUP(C12278, 'Class Def. - General Data'!$C$20:$C$1000,1,false)</f>
        <v>ZSI1_PIPE_FLANGE</v>
      </c>
      <c r="H12278" s="63" t="str">
        <f>IFERROR(__xludf.DUMMYFUNCTION("VLOOKUP(F12278, IMPORTRANGE(""https://docs.google.com/spreadsheets/d/1Lhp9OU0JdFf_VYSMzH5lBcEaU4o8teT1piV-SNzShjg/edit?gid=554141278#gid=554141278"", ""'Char Def. - Attributes'!C20:C2242""), 1,false)"),"GROSS_WEIGHT_OPT")</f>
        <v>GROSS_WEIGHT_OPT</v>
      </c>
      <c r="I12278" s="136"/>
      <c r="R12278" s="63" t="str">
        <f t="shared" si="60"/>
        <v>ZSI1_PIPE_FLANGEGROSS_WEIGHT_OPT</v>
      </c>
    </row>
    <row r="12279" ht="15.75" customHeight="1">
      <c r="B12279" s="63">
        <f t="shared" si="1"/>
        <v>16</v>
      </c>
      <c r="C12279" s="135" t="s">
        <v>443</v>
      </c>
      <c r="D12279" s="161" t="s">
        <v>74</v>
      </c>
      <c r="E12279" s="135">
        <f t="shared" si="62"/>
        <v>14</v>
      </c>
      <c r="F12279" s="134" t="s">
        <v>4057</v>
      </c>
      <c r="G12279" s="63" t="str">
        <f>VLOOKUP(C12279, 'Class Def. - General Data'!$C$20:$C$1000,1,false)</f>
        <v>ZSI1_PIPE_FLANGE</v>
      </c>
      <c r="H12279" s="63" t="str">
        <f>IFERROR(__xludf.DUMMYFUNCTION("VLOOKUP(F12279, IMPORTRANGE(""https://docs.google.com/spreadsheets/d/1Lhp9OU0JdFf_VYSMzH5lBcEaU4o8teT1piV-SNzShjg/edit?gid=554141278#gid=554141278"", ""'Char Def. - Attributes'!C20:C2242""), 1,false)"),"NET_WEIGHT_OPT")</f>
        <v>NET_WEIGHT_OPT</v>
      </c>
      <c r="I12279" s="136"/>
      <c r="R12279" s="63" t="str">
        <f t="shared" si="60"/>
        <v>ZSI1_PIPE_FLANGENET_WEIGHT_OPT</v>
      </c>
    </row>
    <row r="12280" ht="15.75" customHeight="1">
      <c r="B12280" s="63">
        <f t="shared" si="1"/>
        <v>16</v>
      </c>
      <c r="C12280" s="135" t="s">
        <v>443</v>
      </c>
      <c r="D12280" s="161" t="s">
        <v>74</v>
      </c>
      <c r="E12280" s="135">
        <f t="shared" si="62"/>
        <v>15</v>
      </c>
      <c r="F12280" s="134" t="s">
        <v>4058</v>
      </c>
      <c r="G12280" s="63" t="str">
        <f>VLOOKUP(C12280, 'Class Def. - General Data'!$C$20:$C$1000,1,false)</f>
        <v>ZSI1_PIPE_FLANGE</v>
      </c>
      <c r="H12280" s="63" t="str">
        <f>IFERROR(__xludf.DUMMYFUNCTION("VLOOKUP(F12280, IMPORTRANGE(""https://docs.google.com/spreadsheets/d/1Lhp9OU0JdFf_VYSMzH5lBcEaU4o8teT1piV-SNzShjg/edit?gid=554141278#gid=554141278"", ""'Char Def. - Attributes'!C20:C2242""), 1,false)"),"WEIGHT_UNIT_SI")</f>
        <v>WEIGHT_UNIT_SI</v>
      </c>
      <c r="I12280" s="136"/>
      <c r="R12280" s="63" t="str">
        <f t="shared" si="60"/>
        <v>ZSI1_PIPE_FLANGEWEIGHT_UNIT_SI</v>
      </c>
    </row>
    <row r="12281" ht="15.75" customHeight="1">
      <c r="B12281" s="63">
        <f t="shared" si="1"/>
        <v>16</v>
      </c>
      <c r="C12281" s="135" t="s">
        <v>443</v>
      </c>
      <c r="D12281" s="161" t="s">
        <v>74</v>
      </c>
      <c r="E12281" s="135">
        <f t="shared" si="62"/>
        <v>16</v>
      </c>
      <c r="F12281" s="134" t="s">
        <v>3877</v>
      </c>
      <c r="G12281" s="63" t="str">
        <f>VLOOKUP(C12281, 'Class Def. - General Data'!$C$20:$C$1000,1,false)</f>
        <v>ZSI1_PIPE_FLANGE</v>
      </c>
      <c r="H12281" s="63" t="str">
        <f>IFERROR(__xludf.DUMMYFUNCTION("VLOOKUP(F12281, IMPORTRANGE(""https://docs.google.com/spreadsheets/d/1Lhp9OU0JdFf_VYSMzH5lBcEaU4o8teT1piV-SNzShjg/edit?gid=554141278#gid=554141278"", ""'Char Def. - Attributes'!C20:C2242""), 1,false)"),"VOLUME_OPT")</f>
        <v>VOLUME_OPT</v>
      </c>
      <c r="I12281" s="136"/>
      <c r="R12281" s="63" t="str">
        <f t="shared" si="60"/>
        <v>ZSI1_PIPE_FLANGEVOLUME_OPT</v>
      </c>
    </row>
    <row r="12282" ht="15.75" customHeight="1">
      <c r="B12282" s="63">
        <f t="shared" si="1"/>
        <v>16</v>
      </c>
      <c r="C12282" s="135" t="s">
        <v>443</v>
      </c>
      <c r="D12282" s="161" t="s">
        <v>74</v>
      </c>
      <c r="E12282" s="135">
        <f t="shared" si="62"/>
        <v>17</v>
      </c>
      <c r="F12282" s="134" t="s">
        <v>4059</v>
      </c>
      <c r="G12282" s="63" t="str">
        <f>VLOOKUP(C12282, 'Class Def. - General Data'!$C$20:$C$1000,1,false)</f>
        <v>ZSI1_PIPE_FLANGE</v>
      </c>
      <c r="H12282" s="63" t="str">
        <f>IFERROR(__xludf.DUMMYFUNCTION("VLOOKUP(F12282, IMPORTRANGE(""https://docs.google.com/spreadsheets/d/1Lhp9OU0JdFf_VYSMzH5lBcEaU4o8teT1piV-SNzShjg/edit?gid=554141278#gid=554141278"", ""'Char Def. - Attributes'!C20:C2242""), 1,false)"),"VOLUME_UNIT_SI")</f>
        <v>VOLUME_UNIT_SI</v>
      </c>
      <c r="I12282" s="136"/>
      <c r="R12282" s="63" t="str">
        <f t="shared" si="60"/>
        <v>ZSI1_PIPE_FLANGEVOLUME_UNIT_SI</v>
      </c>
    </row>
    <row r="12283" ht="15.75" customHeight="1">
      <c r="B12283" s="63">
        <f t="shared" si="1"/>
        <v>16</v>
      </c>
      <c r="C12283" s="135" t="s">
        <v>443</v>
      </c>
      <c r="D12283" s="161" t="s">
        <v>74</v>
      </c>
      <c r="E12283" s="135">
        <f t="shared" si="62"/>
        <v>18</v>
      </c>
      <c r="F12283" s="134" t="s">
        <v>3804</v>
      </c>
      <c r="G12283" s="63" t="str">
        <f>VLOOKUP(C12283, 'Class Def. - General Data'!$C$20:$C$1000,1,false)</f>
        <v>ZSI1_PIPE_FLANGE</v>
      </c>
      <c r="H12283" s="63" t="str">
        <f>IFERROR(__xludf.DUMMYFUNCTION("VLOOKUP(F12283, IMPORTRANGE(""https://docs.google.com/spreadsheets/d/1Lhp9OU0JdFf_VYSMzH5lBcEaU4o8teT1piV-SNzShjg/edit?gid=554141278#gid=554141278"", ""'Char Def. - Attributes'!C20:C2242""), 1,false)"),"ALT_UOM1_SIPI")</f>
        <v>ALT_UOM1_SIPI</v>
      </c>
      <c r="I12283" s="136"/>
      <c r="R12283" s="63" t="str">
        <f t="shared" si="60"/>
        <v>ZSI1_PIPE_FLANGEALT_UOM1_SIPI</v>
      </c>
    </row>
    <row r="12284" ht="15.75" customHeight="1">
      <c r="B12284" s="63">
        <f t="shared" si="1"/>
        <v>16</v>
      </c>
      <c r="C12284" s="135" t="s">
        <v>443</v>
      </c>
      <c r="D12284" s="161" t="s">
        <v>74</v>
      </c>
      <c r="E12284" s="135">
        <f t="shared" si="62"/>
        <v>19</v>
      </c>
      <c r="F12284" s="134" t="s">
        <v>3805</v>
      </c>
      <c r="G12284" s="63" t="str">
        <f>VLOOKUP(C12284, 'Class Def. - General Data'!$C$20:$C$1000,1,false)</f>
        <v>ZSI1_PIPE_FLANGE</v>
      </c>
      <c r="H12284" s="63" t="str">
        <f>IFERROR(__xludf.DUMMYFUNCTION("VLOOKUP(F12284, IMPORTRANGE(""https://docs.google.com/spreadsheets/d/1Lhp9OU0JdFf_VYSMzH5lBcEaU4o8teT1piV-SNzShjg/edit?gid=554141278#gid=554141278"", ""'Char Def. - Attributes'!C20:C2242""), 1,false)"),"ALT_DENUM_UOM1")</f>
        <v>ALT_DENUM_UOM1</v>
      </c>
      <c r="I12284" s="136"/>
      <c r="R12284" s="63" t="str">
        <f t="shared" si="60"/>
        <v>ZSI1_PIPE_FLANGEALT_DENUM_UOM1</v>
      </c>
    </row>
    <row r="12285" ht="15.75" customHeight="1">
      <c r="B12285" s="63">
        <f t="shared" si="1"/>
        <v>16</v>
      </c>
      <c r="C12285" s="135" t="s">
        <v>443</v>
      </c>
      <c r="D12285" s="161" t="s">
        <v>74</v>
      </c>
      <c r="E12285" s="135">
        <f t="shared" si="62"/>
        <v>20</v>
      </c>
      <c r="F12285" s="134" t="s">
        <v>3806</v>
      </c>
      <c r="G12285" s="63" t="str">
        <f>VLOOKUP(C12285, 'Class Def. - General Data'!$C$20:$C$1000,1,false)</f>
        <v>ZSI1_PIPE_FLANGE</v>
      </c>
      <c r="H12285" s="63" t="str">
        <f>IFERROR(__xludf.DUMMYFUNCTION("VLOOKUP(F12285, IMPORTRANGE(""https://docs.google.com/spreadsheets/d/1Lhp9OU0JdFf_VYSMzH5lBcEaU4o8teT1piV-SNzShjg/edit?gid=554141278#gid=554141278"", ""'Char Def. - Attributes'!C20:C2242""), 1,false)"),"ALT_NUM_UOM1")</f>
        <v>ALT_NUM_UOM1</v>
      </c>
      <c r="I12285" s="136"/>
      <c r="R12285" s="63" t="str">
        <f t="shared" si="60"/>
        <v>ZSI1_PIPE_FLANGEALT_NUM_UOM1</v>
      </c>
    </row>
    <row r="12286" ht="15.75" customHeight="1">
      <c r="B12286" s="63">
        <f t="shared" si="1"/>
        <v>16</v>
      </c>
      <c r="C12286" s="135" t="s">
        <v>443</v>
      </c>
      <c r="D12286" s="161" t="s">
        <v>74</v>
      </c>
      <c r="E12286" s="135">
        <f t="shared" si="62"/>
        <v>21</v>
      </c>
      <c r="F12286" s="134" t="s">
        <v>3807</v>
      </c>
      <c r="G12286" s="63" t="str">
        <f>VLOOKUP(C12286, 'Class Def. - General Data'!$C$20:$C$1000,1,false)</f>
        <v>ZSI1_PIPE_FLANGE</v>
      </c>
      <c r="H12286" s="63" t="str">
        <f>IFERROR(__xludf.DUMMYFUNCTION("VLOOKUP(F12286, IMPORTRANGE(""https://docs.google.com/spreadsheets/d/1Lhp9OU0JdFf_VYSMzH5lBcEaU4o8teT1piV-SNzShjg/edit?gid=554141278#gid=554141278"", ""'Char Def. - Attributes'!C20:C2242""), 1,false)"),"ALT_UOM2_SIPI")</f>
        <v>ALT_UOM2_SIPI</v>
      </c>
      <c r="I12286" s="136"/>
      <c r="R12286" s="63" t="str">
        <f t="shared" si="60"/>
        <v>ZSI1_PIPE_FLANGEALT_UOM2_SIPI</v>
      </c>
    </row>
    <row r="12287" ht="15.75" customHeight="1">
      <c r="B12287" s="63">
        <f t="shared" si="1"/>
        <v>16</v>
      </c>
      <c r="C12287" s="135" t="s">
        <v>443</v>
      </c>
      <c r="D12287" s="161" t="s">
        <v>74</v>
      </c>
      <c r="E12287" s="135">
        <f t="shared" si="62"/>
        <v>22</v>
      </c>
      <c r="F12287" s="134" t="s">
        <v>3808</v>
      </c>
      <c r="G12287" s="63" t="str">
        <f>VLOOKUP(C12287, 'Class Def. - General Data'!$C$20:$C$1000,1,false)</f>
        <v>ZSI1_PIPE_FLANGE</v>
      </c>
      <c r="H12287" s="63" t="str">
        <f>IFERROR(__xludf.DUMMYFUNCTION("VLOOKUP(F12287, IMPORTRANGE(""https://docs.google.com/spreadsheets/d/1Lhp9OU0JdFf_VYSMzH5lBcEaU4o8teT1piV-SNzShjg/edit?gid=554141278#gid=554141278"", ""'Char Def. - Attributes'!C20:C2242""), 1,false)"),"ALT_DENUM_UOM2")</f>
        <v>ALT_DENUM_UOM2</v>
      </c>
      <c r="I12287" s="136"/>
      <c r="R12287" s="63" t="str">
        <f t="shared" si="60"/>
        <v>ZSI1_PIPE_FLANGEALT_DENUM_UOM2</v>
      </c>
    </row>
    <row r="12288" ht="15.75" customHeight="1">
      <c r="B12288" s="63">
        <f t="shared" si="1"/>
        <v>16</v>
      </c>
      <c r="C12288" s="135" t="s">
        <v>443</v>
      </c>
      <c r="D12288" s="161" t="s">
        <v>74</v>
      </c>
      <c r="E12288" s="135">
        <f t="shared" si="62"/>
        <v>23</v>
      </c>
      <c r="F12288" s="134" t="s">
        <v>3809</v>
      </c>
      <c r="G12288" s="63" t="str">
        <f>VLOOKUP(C12288, 'Class Def. - General Data'!$C$20:$C$1000,1,false)</f>
        <v>ZSI1_PIPE_FLANGE</v>
      </c>
      <c r="H12288" s="63" t="str">
        <f>IFERROR(__xludf.DUMMYFUNCTION("VLOOKUP(F12288, IMPORTRANGE(""https://docs.google.com/spreadsheets/d/1Lhp9OU0JdFf_VYSMzH5lBcEaU4o8teT1piV-SNzShjg/edit?gid=554141278#gid=554141278"", ""'Char Def. - Attributes'!C20:C2242""), 1,false)"),"ALT_NUM_UOM2")</f>
        <v>ALT_NUM_UOM2</v>
      </c>
      <c r="I12288" s="136"/>
      <c r="R12288" s="63" t="str">
        <f t="shared" si="60"/>
        <v>ZSI1_PIPE_FLANGEALT_NUM_UOM2</v>
      </c>
    </row>
    <row r="12289" ht="15.75" customHeight="1">
      <c r="B12289" s="63">
        <f t="shared" si="1"/>
        <v>16</v>
      </c>
      <c r="C12289" s="135" t="s">
        <v>443</v>
      </c>
      <c r="D12289" s="161" t="s">
        <v>74</v>
      </c>
      <c r="E12289" s="135">
        <f t="shared" si="62"/>
        <v>24</v>
      </c>
      <c r="F12289" s="134" t="s">
        <v>3810</v>
      </c>
      <c r="G12289" s="63" t="str">
        <f>VLOOKUP(C12289, 'Class Def. - General Data'!$C$20:$C$1000,1,false)</f>
        <v>ZSI1_PIPE_FLANGE</v>
      </c>
      <c r="H12289" s="63" t="str">
        <f>IFERROR(__xludf.DUMMYFUNCTION("VLOOKUP(F12289, IMPORTRANGE(""https://docs.google.com/spreadsheets/d/1Lhp9OU0JdFf_VYSMzH5lBcEaU4o8teT1piV-SNzShjg/edit?gid=554141278#gid=554141278"", ""'Char Def. - Attributes'!C20:C2242""), 1,false)"),"ALT_UOM3_SIPI")</f>
        <v>ALT_UOM3_SIPI</v>
      </c>
      <c r="I12289" s="136"/>
      <c r="R12289" s="63" t="str">
        <f t="shared" si="60"/>
        <v>ZSI1_PIPE_FLANGEALT_UOM3_SIPI</v>
      </c>
    </row>
    <row r="12290" ht="15.75" customHeight="1">
      <c r="B12290" s="63">
        <f t="shared" si="1"/>
        <v>16</v>
      </c>
      <c r="C12290" s="135" t="s">
        <v>443</v>
      </c>
      <c r="D12290" s="161" t="s">
        <v>74</v>
      </c>
      <c r="E12290" s="135">
        <f t="shared" si="62"/>
        <v>25</v>
      </c>
      <c r="F12290" s="134" t="s">
        <v>3811</v>
      </c>
      <c r="G12290" s="63" t="str">
        <f>VLOOKUP(C12290, 'Class Def. - General Data'!$C$20:$C$1000,1,false)</f>
        <v>ZSI1_PIPE_FLANGE</v>
      </c>
      <c r="H12290" s="63" t="str">
        <f>IFERROR(__xludf.DUMMYFUNCTION("VLOOKUP(F12290, IMPORTRANGE(""https://docs.google.com/spreadsheets/d/1Lhp9OU0JdFf_VYSMzH5lBcEaU4o8teT1piV-SNzShjg/edit?gid=554141278#gid=554141278"", ""'Char Def. - Attributes'!C20:C2242""), 1,false)"),"ALT_DENUM_UOM3")</f>
        <v>ALT_DENUM_UOM3</v>
      </c>
      <c r="I12290" s="136"/>
      <c r="R12290" s="63" t="str">
        <f t="shared" si="60"/>
        <v>ZSI1_PIPE_FLANGEALT_DENUM_UOM3</v>
      </c>
    </row>
    <row r="12291" ht="15.75" customHeight="1">
      <c r="B12291" s="63">
        <f t="shared" si="1"/>
        <v>16</v>
      </c>
      <c r="C12291" s="135" t="s">
        <v>443</v>
      </c>
      <c r="D12291" s="161" t="s">
        <v>74</v>
      </c>
      <c r="E12291" s="135">
        <f t="shared" si="62"/>
        <v>26</v>
      </c>
      <c r="F12291" s="134" t="s">
        <v>3812</v>
      </c>
      <c r="G12291" s="63" t="str">
        <f>VLOOKUP(C12291, 'Class Def. - General Data'!$C$20:$C$1000,1,false)</f>
        <v>ZSI1_PIPE_FLANGE</v>
      </c>
      <c r="H12291" s="63" t="str">
        <f>IFERROR(__xludf.DUMMYFUNCTION("VLOOKUP(F12291, IMPORTRANGE(""https://docs.google.com/spreadsheets/d/1Lhp9OU0JdFf_VYSMzH5lBcEaU4o8teT1piV-SNzShjg/edit?gid=554141278#gid=554141278"", ""'Char Def. - Attributes'!C20:C2242""), 1,false)"),"ALT_NUM_UOM3")</f>
        <v>ALT_NUM_UOM3</v>
      </c>
      <c r="I12291" s="136"/>
      <c r="R12291" s="63" t="str">
        <f t="shared" si="60"/>
        <v>ZSI1_PIPE_FLANGEALT_NUM_UOM3</v>
      </c>
    </row>
    <row r="12292" ht="15.75" customHeight="1">
      <c r="B12292" s="63">
        <f t="shared" si="1"/>
        <v>16</v>
      </c>
      <c r="C12292" s="135" t="s">
        <v>443</v>
      </c>
      <c r="D12292" s="161" t="s">
        <v>74</v>
      </c>
      <c r="E12292" s="135">
        <f t="shared" si="62"/>
        <v>27</v>
      </c>
      <c r="F12292" s="134" t="s">
        <v>3813</v>
      </c>
      <c r="G12292" s="63" t="str">
        <f>VLOOKUP(C12292, 'Class Def. - General Data'!$C$20:$C$1000,1,false)</f>
        <v>ZSI1_PIPE_FLANGE</v>
      </c>
      <c r="H12292" s="63" t="str">
        <f>IFERROR(__xludf.DUMMYFUNCTION("VLOOKUP(F12292, IMPORTRANGE(""https://docs.google.com/spreadsheets/d/1Lhp9OU0JdFf_VYSMzH5lBcEaU4o8teT1piV-SNzShjg/edit?gid=554141278#gid=554141278"", ""'Char Def. - Attributes'!C20:C2242""), 1,false)"),"ALT_UOM4_SIPI")</f>
        <v>ALT_UOM4_SIPI</v>
      </c>
      <c r="I12292" s="136"/>
      <c r="R12292" s="63" t="str">
        <f t="shared" si="60"/>
        <v>ZSI1_PIPE_FLANGEALT_UOM4_SIPI</v>
      </c>
    </row>
    <row r="12293" ht="15.75" customHeight="1">
      <c r="B12293" s="63">
        <f t="shared" si="1"/>
        <v>16</v>
      </c>
      <c r="C12293" s="135" t="s">
        <v>443</v>
      </c>
      <c r="D12293" s="161" t="s">
        <v>74</v>
      </c>
      <c r="E12293" s="135">
        <f t="shared" si="62"/>
        <v>28</v>
      </c>
      <c r="F12293" s="134" t="s">
        <v>3814</v>
      </c>
      <c r="G12293" s="63" t="str">
        <f>VLOOKUP(C12293, 'Class Def. - General Data'!$C$20:$C$1000,1,false)</f>
        <v>ZSI1_PIPE_FLANGE</v>
      </c>
      <c r="H12293" s="63" t="str">
        <f>IFERROR(__xludf.DUMMYFUNCTION("VLOOKUP(F12293, IMPORTRANGE(""https://docs.google.com/spreadsheets/d/1Lhp9OU0JdFf_VYSMzH5lBcEaU4o8teT1piV-SNzShjg/edit?gid=554141278#gid=554141278"", ""'Char Def. - Attributes'!C20:C2242""), 1,false)"),"ALT_DENUM_UOM4")</f>
        <v>ALT_DENUM_UOM4</v>
      </c>
      <c r="I12293" s="136"/>
      <c r="R12293" s="63" t="str">
        <f t="shared" si="60"/>
        <v>ZSI1_PIPE_FLANGEALT_DENUM_UOM4</v>
      </c>
    </row>
    <row r="12294" ht="15.75" customHeight="1">
      <c r="B12294" s="63">
        <f t="shared" si="1"/>
        <v>16</v>
      </c>
      <c r="C12294" s="135" t="s">
        <v>443</v>
      </c>
      <c r="D12294" s="161" t="s">
        <v>74</v>
      </c>
      <c r="E12294" s="135">
        <f t="shared" si="62"/>
        <v>29</v>
      </c>
      <c r="F12294" s="134" t="s">
        <v>3815</v>
      </c>
      <c r="G12294" s="63" t="str">
        <f>VLOOKUP(C12294, 'Class Def. - General Data'!$C$20:$C$1000,1,false)</f>
        <v>ZSI1_PIPE_FLANGE</v>
      </c>
      <c r="H12294" s="63" t="str">
        <f>IFERROR(__xludf.DUMMYFUNCTION("VLOOKUP(F12294, IMPORTRANGE(""https://docs.google.com/spreadsheets/d/1Lhp9OU0JdFf_VYSMzH5lBcEaU4o8teT1piV-SNzShjg/edit?gid=554141278#gid=554141278"", ""'Char Def. - Attributes'!C20:C2242""), 1,false)"),"ALT_NUM_UOM4")</f>
        <v>ALT_NUM_UOM4</v>
      </c>
      <c r="I12294" s="136"/>
      <c r="R12294" s="63" t="str">
        <f t="shared" si="60"/>
        <v>ZSI1_PIPE_FLANGEALT_NUM_UOM4</v>
      </c>
    </row>
    <row r="12295" ht="15.75" customHeight="1">
      <c r="B12295" s="63">
        <f t="shared" si="1"/>
        <v>16</v>
      </c>
      <c r="C12295" s="135" t="s">
        <v>443</v>
      </c>
      <c r="D12295" s="161" t="s">
        <v>74</v>
      </c>
      <c r="E12295" s="135">
        <f t="shared" si="62"/>
        <v>30</v>
      </c>
      <c r="F12295" s="134" t="s">
        <v>3816</v>
      </c>
      <c r="G12295" s="63" t="str">
        <f>VLOOKUP(C12295, 'Class Def. - General Data'!$C$20:$C$1000,1,false)</f>
        <v>ZSI1_PIPE_FLANGE</v>
      </c>
      <c r="H12295" s="63" t="str">
        <f>IFERROR(__xludf.DUMMYFUNCTION("VLOOKUP(F12295, IMPORTRANGE(""https://docs.google.com/spreadsheets/d/1Lhp9OU0JdFf_VYSMzH5lBcEaU4o8teT1piV-SNzShjg/edit?gid=554141278#gid=554141278"", ""'Char Def. - Attributes'!C20:C2242""), 1,false)"),"ALT_UOM5_SIPI")</f>
        <v>ALT_UOM5_SIPI</v>
      </c>
      <c r="I12295" s="136"/>
      <c r="R12295" s="63" t="str">
        <f t="shared" si="60"/>
        <v>ZSI1_PIPE_FLANGEALT_UOM5_SIPI</v>
      </c>
    </row>
    <row r="12296" ht="15.75" customHeight="1">
      <c r="B12296" s="63">
        <f t="shared" si="1"/>
        <v>16</v>
      </c>
      <c r="C12296" s="135" t="s">
        <v>443</v>
      </c>
      <c r="D12296" s="161" t="s">
        <v>74</v>
      </c>
      <c r="E12296" s="135">
        <f t="shared" si="62"/>
        <v>31</v>
      </c>
      <c r="F12296" s="134" t="s">
        <v>3817</v>
      </c>
      <c r="G12296" s="63" t="str">
        <f>VLOOKUP(C12296, 'Class Def. - General Data'!$C$20:$C$1000,1,false)</f>
        <v>ZSI1_PIPE_FLANGE</v>
      </c>
      <c r="H12296" s="63" t="str">
        <f>IFERROR(__xludf.DUMMYFUNCTION("VLOOKUP(F12296, IMPORTRANGE(""https://docs.google.com/spreadsheets/d/1Lhp9OU0JdFf_VYSMzH5lBcEaU4o8teT1piV-SNzShjg/edit?gid=554141278#gid=554141278"", ""'Char Def. - Attributes'!C20:C2242""), 1,false)"),"ALT_DENUM_UOM5")</f>
        <v>ALT_DENUM_UOM5</v>
      </c>
      <c r="I12296" s="136"/>
      <c r="R12296" s="63" t="str">
        <f t="shared" si="60"/>
        <v>ZSI1_PIPE_FLANGEALT_DENUM_UOM5</v>
      </c>
    </row>
    <row r="12297" ht="15.75" customHeight="1">
      <c r="B12297" s="63">
        <f t="shared" si="1"/>
        <v>16</v>
      </c>
      <c r="C12297" s="135" t="s">
        <v>443</v>
      </c>
      <c r="D12297" s="161" t="s">
        <v>74</v>
      </c>
      <c r="E12297" s="135">
        <f t="shared" si="62"/>
        <v>32</v>
      </c>
      <c r="F12297" s="134" t="s">
        <v>3818</v>
      </c>
      <c r="G12297" s="63" t="str">
        <f>VLOOKUP(C12297, 'Class Def. - General Data'!$C$20:$C$1000,1,false)</f>
        <v>ZSI1_PIPE_FLANGE</v>
      </c>
      <c r="H12297" s="63" t="str">
        <f>IFERROR(__xludf.DUMMYFUNCTION("VLOOKUP(F12297, IMPORTRANGE(""https://docs.google.com/spreadsheets/d/1Lhp9OU0JdFf_VYSMzH5lBcEaU4o8teT1piV-SNzShjg/edit?gid=554141278#gid=554141278"", ""'Char Def. - Attributes'!C20:C2242""), 1,false)"),"ALT_NUM_UOM5")</f>
        <v>ALT_NUM_UOM5</v>
      </c>
      <c r="I12297" s="136"/>
      <c r="R12297" s="63" t="str">
        <f t="shared" si="60"/>
        <v>ZSI1_PIPE_FLANGEALT_NUM_UOM5</v>
      </c>
    </row>
    <row r="12298" ht="15.75" customHeight="1">
      <c r="B12298" s="63">
        <f t="shared" si="1"/>
        <v>16</v>
      </c>
      <c r="C12298" s="135" t="s">
        <v>345</v>
      </c>
      <c r="D12298" s="161" t="s">
        <v>74</v>
      </c>
      <c r="E12298" s="135">
        <f t="shared" si="62"/>
        <v>1</v>
      </c>
      <c r="F12298" s="134" t="s">
        <v>5153</v>
      </c>
      <c r="G12298" s="63" t="str">
        <f>VLOOKUP(C12298, 'Class Def. - General Data'!$C$20:$C$1000,1,false)</f>
        <v>ZSI1_PIPE_NIPPLE</v>
      </c>
      <c r="H12298" s="63" t="str">
        <f>IFERROR(__xludf.DUMMYFUNCTION("VLOOKUP(F12298, IMPORTRANGE(""https://docs.google.com/spreadsheets/d/1Lhp9OU0JdFf_VYSMzH5lBcEaU4o8teT1piV-SNzShjg/edit?gid=554141278#gid=554141278"", ""'Char Def. - Attributes'!C20:C2242""), 1,false)"),"ITEM_NAME_PIPE_NIPPLE")</f>
        <v>ITEM_NAME_PIPE_NIPPLE</v>
      </c>
      <c r="I12298" s="136"/>
      <c r="R12298" s="63" t="str">
        <f t="shared" si="60"/>
        <v>ZSI1_PIPE_NIPPLEITEM_NAME_PIPE_NIPPLE</v>
      </c>
    </row>
    <row r="12299" ht="15.75" customHeight="1">
      <c r="B12299" s="63">
        <f t="shared" si="1"/>
        <v>16</v>
      </c>
      <c r="C12299" s="135" t="s">
        <v>345</v>
      </c>
      <c r="D12299" s="161" t="s">
        <v>74</v>
      </c>
      <c r="E12299" s="135">
        <f t="shared" si="62"/>
        <v>2</v>
      </c>
      <c r="F12299" s="134" t="s">
        <v>5154</v>
      </c>
      <c r="G12299" s="63" t="str">
        <f>VLOOKUP(C12299, 'Class Def. - General Data'!$C$20:$C$1000,1,false)</f>
        <v>ZSI1_PIPE_NIPPLE</v>
      </c>
      <c r="H12299" s="63" t="str">
        <f>IFERROR(__xludf.DUMMYFUNCTION("VLOOKUP(F12299, IMPORTRANGE(""https://docs.google.com/spreadsheets/d/1Lhp9OU0JdFf_VYSMzH5lBcEaU4o8teT1piV-SNzShjg/edit?gid=554141278#gid=554141278"", ""'Char Def. - Attributes'!C20:C2242""), 1,false)"),"MATERIAL_PIPE_NIPPLE")</f>
        <v>MATERIAL_PIPE_NIPPLE</v>
      </c>
      <c r="I12299" s="136"/>
      <c r="R12299" s="63" t="str">
        <f t="shared" si="60"/>
        <v>ZSI1_PIPE_NIPPLEMATERIAL_PIPE_NIPPLE</v>
      </c>
    </row>
    <row r="12300" ht="15.75" customHeight="1">
      <c r="B12300" s="63">
        <f t="shared" si="1"/>
        <v>16</v>
      </c>
      <c r="C12300" s="135" t="s">
        <v>345</v>
      </c>
      <c r="D12300" s="161" t="s">
        <v>74</v>
      </c>
      <c r="E12300" s="135">
        <f t="shared" si="62"/>
        <v>3</v>
      </c>
      <c r="F12300" s="134" t="s">
        <v>5155</v>
      </c>
      <c r="G12300" s="63" t="str">
        <f>VLOOKUP(C12300, 'Class Def. - General Data'!$C$20:$C$1000,1,false)</f>
        <v>ZSI1_PIPE_NIPPLE</v>
      </c>
      <c r="H12300" s="63" t="str">
        <f>IFERROR(__xludf.DUMMYFUNCTION("VLOOKUP(F12300, IMPORTRANGE(""https://docs.google.com/spreadsheets/d/1Lhp9OU0JdFf_VYSMzH5lBcEaU4o8teT1piV-SNzShjg/edit?gid=554141278#gid=554141278"", ""'Char Def. - Attributes'!C20:C2242""), 1,false)"),"PITCH_DIMENSION_PIPE_NIPPLE")</f>
        <v>PITCH_DIMENSION_PIPE_NIPPLE</v>
      </c>
      <c r="I12300" s="136"/>
      <c r="R12300" s="63" t="str">
        <f t="shared" si="60"/>
        <v>ZSI1_PIPE_NIPPLEPITCH_DIMENSION_PIPE_NIPPLE</v>
      </c>
    </row>
    <row r="12301" ht="15.75" customHeight="1">
      <c r="B12301" s="63">
        <f t="shared" si="1"/>
        <v>16</v>
      </c>
      <c r="C12301" s="135" t="s">
        <v>345</v>
      </c>
      <c r="D12301" s="161" t="s">
        <v>74</v>
      </c>
      <c r="E12301" s="135">
        <f t="shared" si="62"/>
        <v>4</v>
      </c>
      <c r="F12301" s="134" t="s">
        <v>5156</v>
      </c>
      <c r="G12301" s="63" t="str">
        <f>VLOOKUP(C12301, 'Class Def. - General Data'!$C$20:$C$1000,1,false)</f>
        <v>ZSI1_PIPE_NIPPLE</v>
      </c>
      <c r="H12301" s="63" t="str">
        <f>IFERROR(__xludf.DUMMYFUNCTION("VLOOKUP(F12301, IMPORTRANGE(""https://docs.google.com/spreadsheets/d/1Lhp9OU0JdFf_VYSMzH5lBcEaU4o8teT1piV-SNzShjg/edit?gid=554141278#gid=554141278"", ""'Char Def. - Attributes'!C20:C2242""), 1,false)"),"PITCH_SIZE_MM_PIPE_NIPPLE")</f>
        <v>PITCH_SIZE_MM_PIPE_NIPPLE</v>
      </c>
      <c r="I12301" s="136"/>
      <c r="R12301" s="63" t="str">
        <f t="shared" si="60"/>
        <v>ZSI1_PIPE_NIPPLEPITCH_SIZE_MM_PIPE_NIPPLE</v>
      </c>
    </row>
    <row r="12302" ht="15.75" customHeight="1">
      <c r="B12302" s="63">
        <f t="shared" si="1"/>
        <v>16</v>
      </c>
      <c r="C12302" s="135" t="s">
        <v>345</v>
      </c>
      <c r="D12302" s="161" t="s">
        <v>74</v>
      </c>
      <c r="E12302" s="135">
        <f t="shared" si="62"/>
        <v>5</v>
      </c>
      <c r="F12302" s="134" t="s">
        <v>5157</v>
      </c>
      <c r="G12302" s="63" t="str">
        <f>VLOOKUP(C12302, 'Class Def. - General Data'!$C$20:$C$1000,1,false)</f>
        <v>ZSI1_PIPE_NIPPLE</v>
      </c>
      <c r="H12302" s="63" t="str">
        <f>IFERROR(__xludf.DUMMYFUNCTION("VLOOKUP(F12302, IMPORTRANGE(""https://docs.google.com/spreadsheets/d/1Lhp9OU0JdFf_VYSMzH5lBcEaU4o8teT1piV-SNzShjg/edit?gid=554141278#gid=554141278"", ""'Char Def. - Attributes'!C20:C2242""), 1,false)"),"PITCH_SIZE_INCH_PIPE_NIPPLE")</f>
        <v>PITCH_SIZE_INCH_PIPE_NIPPLE</v>
      </c>
      <c r="I12302" s="136"/>
      <c r="R12302" s="63" t="str">
        <f t="shared" si="60"/>
        <v>ZSI1_PIPE_NIPPLEPITCH_SIZE_INCH_PIPE_NIPPLE</v>
      </c>
    </row>
    <row r="12303" ht="15.75" customHeight="1">
      <c r="B12303" s="63">
        <f t="shared" si="1"/>
        <v>16</v>
      </c>
      <c r="C12303" s="135" t="s">
        <v>345</v>
      </c>
      <c r="D12303" s="161" t="s">
        <v>74</v>
      </c>
      <c r="E12303" s="135">
        <f t="shared" si="62"/>
        <v>6</v>
      </c>
      <c r="F12303" s="134" t="s">
        <v>3585</v>
      </c>
      <c r="G12303" s="63" t="str">
        <f>VLOOKUP(C12303, 'Class Def. - General Data'!$C$20:$C$1000,1,false)</f>
        <v>ZSI1_PIPE_NIPPLE</v>
      </c>
      <c r="H12303" s="63" t="str">
        <f>IFERROR(__xludf.DUMMYFUNCTION("VLOOKUP(F12303, IMPORTRANGE(""https://docs.google.com/spreadsheets/d/1Lhp9OU0JdFf_VYSMzH5lBcEaU4o8teT1piV-SNzShjg/edit?gid=554141278#gid=554141278"", ""'Char Def. - Attributes'!C20:C2242""), 1,false)"),"HS_CODE")</f>
        <v>HS_CODE</v>
      </c>
      <c r="I12303" s="136"/>
      <c r="R12303" s="63" t="str">
        <f t="shared" si="60"/>
        <v>ZSI1_PIPE_NIPPLEHS_CODE</v>
      </c>
    </row>
    <row r="12304" ht="15.75" customHeight="1">
      <c r="B12304" s="63">
        <f t="shared" si="1"/>
        <v>16</v>
      </c>
      <c r="C12304" s="135" t="s">
        <v>345</v>
      </c>
      <c r="D12304" s="161" t="s">
        <v>74</v>
      </c>
      <c r="E12304" s="135">
        <f t="shared" si="62"/>
        <v>7</v>
      </c>
      <c r="F12304" s="134" t="s">
        <v>3587</v>
      </c>
      <c r="G12304" s="63" t="str">
        <f>VLOOKUP(C12304, 'Class Def. - General Data'!$C$20:$C$1000,1,false)</f>
        <v>ZSI1_PIPE_NIPPLE</v>
      </c>
      <c r="H12304" s="63" t="str">
        <f>IFERROR(__xludf.DUMMYFUNCTION("VLOOKUP(F12304, IMPORTRANGE(""https://docs.google.com/spreadsheets/d/1Lhp9OU0JdFf_VYSMzH5lBcEaU4o8teT1piV-SNzShjg/edit?gid=554141278#gid=554141278"", ""'Char Def. - Attributes'!C20:C2242""), 1,false)"),"PLANT_BUY")</f>
        <v>PLANT_BUY</v>
      </c>
      <c r="I12304" s="136"/>
      <c r="R12304" s="63" t="str">
        <f t="shared" si="60"/>
        <v>ZSI1_PIPE_NIPPLEPLANT_BUY</v>
      </c>
    </row>
    <row r="12305" ht="15.75" customHeight="1">
      <c r="B12305" s="63">
        <f t="shared" si="1"/>
        <v>16</v>
      </c>
      <c r="C12305" s="135" t="s">
        <v>345</v>
      </c>
      <c r="D12305" s="161" t="s">
        <v>74</v>
      </c>
      <c r="E12305" s="135">
        <f t="shared" si="62"/>
        <v>8</v>
      </c>
      <c r="F12305" s="134" t="s">
        <v>5158</v>
      </c>
      <c r="G12305" s="63" t="str">
        <f>VLOOKUP(C12305, 'Class Def. - General Data'!$C$20:$C$1000,1,false)</f>
        <v>ZSI1_PIPE_NIPPLE</v>
      </c>
      <c r="H12305" s="63" t="str">
        <f>IFERROR(__xludf.DUMMYFUNCTION("VLOOKUP(F12305, IMPORTRANGE(""https://docs.google.com/spreadsheets/d/1Lhp9OU0JdFf_VYSMzH5lBcEaU4o8teT1piV-SNzShjg/edit?gid=554141278#gid=554141278"", ""'Char Def. - Attributes'!C20:C2242""), 1,false)"),"BASE_UOM_PIPE_NIPPLE")</f>
        <v>BASE_UOM_PIPE_NIPPLE</v>
      </c>
      <c r="I12305" s="136"/>
      <c r="R12305" s="63" t="str">
        <f t="shared" si="60"/>
        <v>ZSI1_PIPE_NIPPLEBASE_UOM_PIPE_NIPPLE</v>
      </c>
    </row>
    <row r="12306" ht="15.75" customHeight="1">
      <c r="B12306" s="63">
        <f t="shared" si="1"/>
        <v>16</v>
      </c>
      <c r="C12306" s="135" t="s">
        <v>345</v>
      </c>
      <c r="D12306" s="161" t="s">
        <v>74</v>
      </c>
      <c r="E12306" s="135">
        <f t="shared" si="62"/>
        <v>9</v>
      </c>
      <c r="F12306" s="134" t="s">
        <v>5159</v>
      </c>
      <c r="G12306" s="63" t="str">
        <f>VLOOKUP(C12306, 'Class Def. - General Data'!$C$20:$C$1000,1,false)</f>
        <v>ZSI1_PIPE_NIPPLE</v>
      </c>
      <c r="H12306" s="63" t="str">
        <f>IFERROR(__xludf.DUMMYFUNCTION("VLOOKUP(F12306, IMPORTRANGE(""https://docs.google.com/spreadsheets/d/1Lhp9OU0JdFf_VYSMzH5lBcEaU4o8teT1piV-SNzShjg/edit?gid=554141278#gid=554141278"", ""'Char Def. - Attributes'!C20:C2242""), 1,false)"),"ORDER_UNIT_PIPE_NIPPLE")</f>
        <v>ORDER_UNIT_PIPE_NIPPLE</v>
      </c>
      <c r="I12306" s="136"/>
      <c r="R12306" s="63" t="str">
        <f t="shared" si="60"/>
        <v>ZSI1_PIPE_NIPPLEORDER_UNIT_PIPE_NIPPLE</v>
      </c>
    </row>
    <row r="12307" ht="15.75" customHeight="1">
      <c r="B12307" s="63">
        <f t="shared" si="1"/>
        <v>16</v>
      </c>
      <c r="C12307" s="135" t="s">
        <v>345</v>
      </c>
      <c r="D12307" s="161" t="s">
        <v>74</v>
      </c>
      <c r="E12307" s="135">
        <f t="shared" si="62"/>
        <v>10</v>
      </c>
      <c r="F12307" s="134" t="s">
        <v>4056</v>
      </c>
      <c r="G12307" s="63" t="str">
        <f>VLOOKUP(C12307, 'Class Def. - General Data'!$C$20:$C$1000,1,false)</f>
        <v>ZSI1_PIPE_NIPPLE</v>
      </c>
      <c r="H12307" s="63" t="str">
        <f>IFERROR(__xludf.DUMMYFUNCTION("VLOOKUP(F12307, IMPORTRANGE(""https://docs.google.com/spreadsheets/d/1Lhp9OU0JdFf_VYSMzH5lBcEaU4o8teT1piV-SNzShjg/edit?gid=554141278#gid=554141278"", ""'Char Def. - Attributes'!C20:C2242""), 1,false)"),"GROSS_WEIGHT_OPT")</f>
        <v>GROSS_WEIGHT_OPT</v>
      </c>
      <c r="I12307" s="136"/>
      <c r="R12307" s="63" t="str">
        <f t="shared" si="60"/>
        <v>ZSI1_PIPE_NIPPLEGROSS_WEIGHT_OPT</v>
      </c>
    </row>
    <row r="12308" ht="15.75" customHeight="1">
      <c r="B12308" s="63">
        <f t="shared" si="1"/>
        <v>16</v>
      </c>
      <c r="C12308" s="135" t="s">
        <v>345</v>
      </c>
      <c r="D12308" s="161" t="s">
        <v>74</v>
      </c>
      <c r="E12308" s="135">
        <f t="shared" si="62"/>
        <v>11</v>
      </c>
      <c r="F12308" s="134" t="s">
        <v>4057</v>
      </c>
      <c r="G12308" s="63" t="str">
        <f>VLOOKUP(C12308, 'Class Def. - General Data'!$C$20:$C$1000,1,false)</f>
        <v>ZSI1_PIPE_NIPPLE</v>
      </c>
      <c r="H12308" s="63" t="str">
        <f>IFERROR(__xludf.DUMMYFUNCTION("VLOOKUP(F12308, IMPORTRANGE(""https://docs.google.com/spreadsheets/d/1Lhp9OU0JdFf_VYSMzH5lBcEaU4o8teT1piV-SNzShjg/edit?gid=554141278#gid=554141278"", ""'Char Def. - Attributes'!C20:C2242""), 1,false)"),"NET_WEIGHT_OPT")</f>
        <v>NET_WEIGHT_OPT</v>
      </c>
      <c r="I12308" s="136"/>
      <c r="R12308" s="63" t="str">
        <f t="shared" si="60"/>
        <v>ZSI1_PIPE_NIPPLENET_WEIGHT_OPT</v>
      </c>
    </row>
    <row r="12309" ht="15.75" customHeight="1">
      <c r="B12309" s="63">
        <f t="shared" si="1"/>
        <v>16</v>
      </c>
      <c r="C12309" s="135" t="s">
        <v>345</v>
      </c>
      <c r="D12309" s="161" t="s">
        <v>74</v>
      </c>
      <c r="E12309" s="135">
        <f t="shared" si="62"/>
        <v>12</v>
      </c>
      <c r="F12309" s="134" t="s">
        <v>4058</v>
      </c>
      <c r="G12309" s="63" t="str">
        <f>VLOOKUP(C12309, 'Class Def. - General Data'!$C$20:$C$1000,1,false)</f>
        <v>ZSI1_PIPE_NIPPLE</v>
      </c>
      <c r="H12309" s="63" t="str">
        <f>IFERROR(__xludf.DUMMYFUNCTION("VLOOKUP(F12309, IMPORTRANGE(""https://docs.google.com/spreadsheets/d/1Lhp9OU0JdFf_VYSMzH5lBcEaU4o8teT1piV-SNzShjg/edit?gid=554141278#gid=554141278"", ""'Char Def. - Attributes'!C20:C2242""), 1,false)"),"WEIGHT_UNIT_SI")</f>
        <v>WEIGHT_UNIT_SI</v>
      </c>
      <c r="I12309" s="136"/>
      <c r="R12309" s="63" t="str">
        <f t="shared" si="60"/>
        <v>ZSI1_PIPE_NIPPLEWEIGHT_UNIT_SI</v>
      </c>
    </row>
    <row r="12310" ht="15.75" customHeight="1">
      <c r="B12310" s="63">
        <f t="shared" si="1"/>
        <v>16</v>
      </c>
      <c r="C12310" s="135" t="s">
        <v>345</v>
      </c>
      <c r="D12310" s="161" t="s">
        <v>74</v>
      </c>
      <c r="E12310" s="135">
        <f t="shared" si="62"/>
        <v>13</v>
      </c>
      <c r="F12310" s="134" t="s">
        <v>3877</v>
      </c>
      <c r="G12310" s="63" t="str">
        <f>VLOOKUP(C12310, 'Class Def. - General Data'!$C$20:$C$1000,1,false)</f>
        <v>ZSI1_PIPE_NIPPLE</v>
      </c>
      <c r="H12310" s="63" t="str">
        <f>IFERROR(__xludf.DUMMYFUNCTION("VLOOKUP(F12310, IMPORTRANGE(""https://docs.google.com/spreadsheets/d/1Lhp9OU0JdFf_VYSMzH5lBcEaU4o8teT1piV-SNzShjg/edit?gid=554141278#gid=554141278"", ""'Char Def. - Attributes'!C20:C2242""), 1,false)"),"VOLUME_OPT")</f>
        <v>VOLUME_OPT</v>
      </c>
      <c r="I12310" s="136"/>
      <c r="R12310" s="63" t="str">
        <f t="shared" si="60"/>
        <v>ZSI1_PIPE_NIPPLEVOLUME_OPT</v>
      </c>
    </row>
    <row r="12311" ht="15.75" customHeight="1">
      <c r="B12311" s="63">
        <f t="shared" si="1"/>
        <v>16</v>
      </c>
      <c r="C12311" s="135" t="s">
        <v>345</v>
      </c>
      <c r="D12311" s="161" t="s">
        <v>74</v>
      </c>
      <c r="E12311" s="135">
        <f t="shared" si="62"/>
        <v>14</v>
      </c>
      <c r="F12311" s="134" t="s">
        <v>4059</v>
      </c>
      <c r="G12311" s="63" t="str">
        <f>VLOOKUP(C12311, 'Class Def. - General Data'!$C$20:$C$1000,1,false)</f>
        <v>ZSI1_PIPE_NIPPLE</v>
      </c>
      <c r="H12311" s="63" t="str">
        <f>IFERROR(__xludf.DUMMYFUNCTION("VLOOKUP(F12311, IMPORTRANGE(""https://docs.google.com/spreadsheets/d/1Lhp9OU0JdFf_VYSMzH5lBcEaU4o8teT1piV-SNzShjg/edit?gid=554141278#gid=554141278"", ""'Char Def. - Attributes'!C20:C2242""), 1,false)"),"VOLUME_UNIT_SI")</f>
        <v>VOLUME_UNIT_SI</v>
      </c>
      <c r="I12311" s="136"/>
      <c r="R12311" s="63" t="str">
        <f t="shared" si="60"/>
        <v>ZSI1_PIPE_NIPPLEVOLUME_UNIT_SI</v>
      </c>
    </row>
    <row r="12312" ht="15.75" customHeight="1">
      <c r="B12312" s="63">
        <f t="shared" si="1"/>
        <v>16</v>
      </c>
      <c r="C12312" s="135" t="s">
        <v>345</v>
      </c>
      <c r="D12312" s="161" t="s">
        <v>74</v>
      </c>
      <c r="E12312" s="135">
        <f t="shared" si="62"/>
        <v>15</v>
      </c>
      <c r="F12312" s="134" t="s">
        <v>3804</v>
      </c>
      <c r="G12312" s="63" t="str">
        <f>VLOOKUP(C12312, 'Class Def. - General Data'!$C$20:$C$1000,1,false)</f>
        <v>ZSI1_PIPE_NIPPLE</v>
      </c>
      <c r="H12312" s="63" t="str">
        <f>IFERROR(__xludf.DUMMYFUNCTION("VLOOKUP(F12312, IMPORTRANGE(""https://docs.google.com/spreadsheets/d/1Lhp9OU0JdFf_VYSMzH5lBcEaU4o8teT1piV-SNzShjg/edit?gid=554141278#gid=554141278"", ""'Char Def. - Attributes'!C20:C2242""), 1,false)"),"ALT_UOM1_SIPI")</f>
        <v>ALT_UOM1_SIPI</v>
      </c>
      <c r="I12312" s="136"/>
      <c r="R12312" s="63" t="str">
        <f t="shared" si="60"/>
        <v>ZSI1_PIPE_NIPPLEALT_UOM1_SIPI</v>
      </c>
    </row>
    <row r="12313" ht="15.75" customHeight="1">
      <c r="B12313" s="63">
        <f t="shared" si="1"/>
        <v>16</v>
      </c>
      <c r="C12313" s="135" t="s">
        <v>345</v>
      </c>
      <c r="D12313" s="161" t="s">
        <v>74</v>
      </c>
      <c r="E12313" s="135">
        <f t="shared" si="62"/>
        <v>16</v>
      </c>
      <c r="F12313" s="134" t="s">
        <v>3805</v>
      </c>
      <c r="G12313" s="63" t="str">
        <f>VLOOKUP(C12313, 'Class Def. - General Data'!$C$20:$C$1000,1,false)</f>
        <v>ZSI1_PIPE_NIPPLE</v>
      </c>
      <c r="H12313" s="63" t="str">
        <f>IFERROR(__xludf.DUMMYFUNCTION("VLOOKUP(F12313, IMPORTRANGE(""https://docs.google.com/spreadsheets/d/1Lhp9OU0JdFf_VYSMzH5lBcEaU4o8teT1piV-SNzShjg/edit?gid=554141278#gid=554141278"", ""'Char Def. - Attributes'!C20:C2242""), 1,false)"),"ALT_DENUM_UOM1")</f>
        <v>ALT_DENUM_UOM1</v>
      </c>
      <c r="I12313" s="136"/>
      <c r="R12313" s="63" t="str">
        <f t="shared" si="60"/>
        <v>ZSI1_PIPE_NIPPLEALT_DENUM_UOM1</v>
      </c>
    </row>
    <row r="12314" ht="15.75" customHeight="1">
      <c r="B12314" s="63">
        <f t="shared" si="1"/>
        <v>16</v>
      </c>
      <c r="C12314" s="135" t="s">
        <v>345</v>
      </c>
      <c r="D12314" s="161" t="s">
        <v>74</v>
      </c>
      <c r="E12314" s="135">
        <f t="shared" si="62"/>
        <v>17</v>
      </c>
      <c r="F12314" s="134" t="s">
        <v>3806</v>
      </c>
      <c r="G12314" s="63" t="str">
        <f>VLOOKUP(C12314, 'Class Def. - General Data'!$C$20:$C$1000,1,false)</f>
        <v>ZSI1_PIPE_NIPPLE</v>
      </c>
      <c r="H12314" s="63" t="str">
        <f>IFERROR(__xludf.DUMMYFUNCTION("VLOOKUP(F12314, IMPORTRANGE(""https://docs.google.com/spreadsheets/d/1Lhp9OU0JdFf_VYSMzH5lBcEaU4o8teT1piV-SNzShjg/edit?gid=554141278#gid=554141278"", ""'Char Def. - Attributes'!C20:C2242""), 1,false)"),"ALT_NUM_UOM1")</f>
        <v>ALT_NUM_UOM1</v>
      </c>
      <c r="I12314" s="136"/>
      <c r="R12314" s="63" t="str">
        <f t="shared" si="60"/>
        <v>ZSI1_PIPE_NIPPLEALT_NUM_UOM1</v>
      </c>
    </row>
    <row r="12315" ht="15.75" customHeight="1">
      <c r="B12315" s="63">
        <f t="shared" si="1"/>
        <v>16</v>
      </c>
      <c r="C12315" s="135" t="s">
        <v>345</v>
      </c>
      <c r="D12315" s="161" t="s">
        <v>74</v>
      </c>
      <c r="E12315" s="135">
        <f t="shared" si="62"/>
        <v>18</v>
      </c>
      <c r="F12315" s="134" t="s">
        <v>3807</v>
      </c>
      <c r="G12315" s="63" t="str">
        <f>VLOOKUP(C12315, 'Class Def. - General Data'!$C$20:$C$1000,1,false)</f>
        <v>ZSI1_PIPE_NIPPLE</v>
      </c>
      <c r="H12315" s="63" t="str">
        <f>IFERROR(__xludf.DUMMYFUNCTION("VLOOKUP(F12315, IMPORTRANGE(""https://docs.google.com/spreadsheets/d/1Lhp9OU0JdFf_VYSMzH5lBcEaU4o8teT1piV-SNzShjg/edit?gid=554141278#gid=554141278"", ""'Char Def. - Attributes'!C20:C2242""), 1,false)"),"ALT_UOM2_SIPI")</f>
        <v>ALT_UOM2_SIPI</v>
      </c>
      <c r="I12315" s="136"/>
      <c r="R12315" s="63" t="str">
        <f t="shared" si="60"/>
        <v>ZSI1_PIPE_NIPPLEALT_UOM2_SIPI</v>
      </c>
    </row>
    <row r="12316" ht="15.75" customHeight="1">
      <c r="B12316" s="63">
        <f t="shared" si="1"/>
        <v>16</v>
      </c>
      <c r="C12316" s="135" t="s">
        <v>345</v>
      </c>
      <c r="D12316" s="161" t="s">
        <v>74</v>
      </c>
      <c r="E12316" s="135">
        <f t="shared" si="62"/>
        <v>19</v>
      </c>
      <c r="F12316" s="134" t="s">
        <v>3808</v>
      </c>
      <c r="G12316" s="63" t="str">
        <f>VLOOKUP(C12316, 'Class Def. - General Data'!$C$20:$C$1000,1,false)</f>
        <v>ZSI1_PIPE_NIPPLE</v>
      </c>
      <c r="H12316" s="63" t="str">
        <f>IFERROR(__xludf.DUMMYFUNCTION("VLOOKUP(F12316, IMPORTRANGE(""https://docs.google.com/spreadsheets/d/1Lhp9OU0JdFf_VYSMzH5lBcEaU4o8teT1piV-SNzShjg/edit?gid=554141278#gid=554141278"", ""'Char Def. - Attributes'!C20:C2242""), 1,false)"),"ALT_DENUM_UOM2")</f>
        <v>ALT_DENUM_UOM2</v>
      </c>
      <c r="I12316" s="136"/>
      <c r="R12316" s="63" t="str">
        <f t="shared" si="60"/>
        <v>ZSI1_PIPE_NIPPLEALT_DENUM_UOM2</v>
      </c>
    </row>
    <row r="12317" ht="15.75" customHeight="1">
      <c r="B12317" s="63">
        <f t="shared" si="1"/>
        <v>16</v>
      </c>
      <c r="C12317" s="135" t="s">
        <v>345</v>
      </c>
      <c r="D12317" s="161" t="s">
        <v>74</v>
      </c>
      <c r="E12317" s="135">
        <f t="shared" si="62"/>
        <v>20</v>
      </c>
      <c r="F12317" s="134" t="s">
        <v>3809</v>
      </c>
      <c r="G12317" s="63" t="str">
        <f>VLOOKUP(C12317, 'Class Def. - General Data'!$C$20:$C$1000,1,false)</f>
        <v>ZSI1_PIPE_NIPPLE</v>
      </c>
      <c r="H12317" s="63" t="str">
        <f>IFERROR(__xludf.DUMMYFUNCTION("VLOOKUP(F12317, IMPORTRANGE(""https://docs.google.com/spreadsheets/d/1Lhp9OU0JdFf_VYSMzH5lBcEaU4o8teT1piV-SNzShjg/edit?gid=554141278#gid=554141278"", ""'Char Def. - Attributes'!C20:C2242""), 1,false)"),"ALT_NUM_UOM2")</f>
        <v>ALT_NUM_UOM2</v>
      </c>
      <c r="I12317" s="136"/>
      <c r="R12317" s="63" t="str">
        <f t="shared" si="60"/>
        <v>ZSI1_PIPE_NIPPLEALT_NUM_UOM2</v>
      </c>
    </row>
    <row r="12318" ht="15.75" customHeight="1">
      <c r="B12318" s="63">
        <f t="shared" si="1"/>
        <v>16</v>
      </c>
      <c r="C12318" s="135" t="s">
        <v>345</v>
      </c>
      <c r="D12318" s="161" t="s">
        <v>74</v>
      </c>
      <c r="E12318" s="135">
        <f t="shared" si="62"/>
        <v>21</v>
      </c>
      <c r="F12318" s="134" t="s">
        <v>3810</v>
      </c>
      <c r="G12318" s="63" t="str">
        <f>VLOOKUP(C12318, 'Class Def. - General Data'!$C$20:$C$1000,1,false)</f>
        <v>ZSI1_PIPE_NIPPLE</v>
      </c>
      <c r="H12318" s="63" t="str">
        <f>IFERROR(__xludf.DUMMYFUNCTION("VLOOKUP(F12318, IMPORTRANGE(""https://docs.google.com/spreadsheets/d/1Lhp9OU0JdFf_VYSMzH5lBcEaU4o8teT1piV-SNzShjg/edit?gid=554141278#gid=554141278"", ""'Char Def. - Attributes'!C20:C2242""), 1,false)"),"ALT_UOM3_SIPI")</f>
        <v>ALT_UOM3_SIPI</v>
      </c>
      <c r="I12318" s="136"/>
      <c r="R12318" s="63" t="str">
        <f t="shared" si="60"/>
        <v>ZSI1_PIPE_NIPPLEALT_UOM3_SIPI</v>
      </c>
    </row>
    <row r="12319" ht="15.75" customHeight="1">
      <c r="B12319" s="63">
        <f t="shared" si="1"/>
        <v>16</v>
      </c>
      <c r="C12319" s="135" t="s">
        <v>345</v>
      </c>
      <c r="D12319" s="161" t="s">
        <v>74</v>
      </c>
      <c r="E12319" s="135">
        <f t="shared" si="62"/>
        <v>22</v>
      </c>
      <c r="F12319" s="134" t="s">
        <v>3811</v>
      </c>
      <c r="G12319" s="63" t="str">
        <f>VLOOKUP(C12319, 'Class Def. - General Data'!$C$20:$C$1000,1,false)</f>
        <v>ZSI1_PIPE_NIPPLE</v>
      </c>
      <c r="H12319" s="63" t="str">
        <f>IFERROR(__xludf.DUMMYFUNCTION("VLOOKUP(F12319, IMPORTRANGE(""https://docs.google.com/spreadsheets/d/1Lhp9OU0JdFf_VYSMzH5lBcEaU4o8teT1piV-SNzShjg/edit?gid=554141278#gid=554141278"", ""'Char Def. - Attributes'!C20:C2242""), 1,false)"),"ALT_DENUM_UOM3")</f>
        <v>ALT_DENUM_UOM3</v>
      </c>
      <c r="I12319" s="136"/>
      <c r="R12319" s="63" t="str">
        <f t="shared" si="60"/>
        <v>ZSI1_PIPE_NIPPLEALT_DENUM_UOM3</v>
      </c>
    </row>
    <row r="12320" ht="15.75" customHeight="1">
      <c r="B12320" s="63">
        <f t="shared" si="1"/>
        <v>16</v>
      </c>
      <c r="C12320" s="135" t="s">
        <v>345</v>
      </c>
      <c r="D12320" s="161" t="s">
        <v>74</v>
      </c>
      <c r="E12320" s="135">
        <f t="shared" si="62"/>
        <v>23</v>
      </c>
      <c r="F12320" s="134" t="s">
        <v>3812</v>
      </c>
      <c r="G12320" s="63" t="str">
        <f>VLOOKUP(C12320, 'Class Def. - General Data'!$C$20:$C$1000,1,false)</f>
        <v>ZSI1_PIPE_NIPPLE</v>
      </c>
      <c r="H12320" s="63" t="str">
        <f>IFERROR(__xludf.DUMMYFUNCTION("VLOOKUP(F12320, IMPORTRANGE(""https://docs.google.com/spreadsheets/d/1Lhp9OU0JdFf_VYSMzH5lBcEaU4o8teT1piV-SNzShjg/edit?gid=554141278#gid=554141278"", ""'Char Def. - Attributes'!C20:C2242""), 1,false)"),"ALT_NUM_UOM3")</f>
        <v>ALT_NUM_UOM3</v>
      </c>
      <c r="I12320" s="136"/>
      <c r="R12320" s="63" t="str">
        <f t="shared" si="60"/>
        <v>ZSI1_PIPE_NIPPLEALT_NUM_UOM3</v>
      </c>
    </row>
    <row r="12321" ht="15.75" customHeight="1">
      <c r="B12321" s="63">
        <f t="shared" si="1"/>
        <v>16</v>
      </c>
      <c r="C12321" s="135" t="s">
        <v>345</v>
      </c>
      <c r="D12321" s="161" t="s">
        <v>74</v>
      </c>
      <c r="E12321" s="135">
        <f t="shared" si="62"/>
        <v>24</v>
      </c>
      <c r="F12321" s="134" t="s">
        <v>3813</v>
      </c>
      <c r="G12321" s="63" t="str">
        <f>VLOOKUP(C12321, 'Class Def. - General Data'!$C$20:$C$1000,1,false)</f>
        <v>ZSI1_PIPE_NIPPLE</v>
      </c>
      <c r="H12321" s="63" t="str">
        <f>IFERROR(__xludf.DUMMYFUNCTION("VLOOKUP(F12321, IMPORTRANGE(""https://docs.google.com/spreadsheets/d/1Lhp9OU0JdFf_VYSMzH5lBcEaU4o8teT1piV-SNzShjg/edit?gid=554141278#gid=554141278"", ""'Char Def. - Attributes'!C20:C2242""), 1,false)"),"ALT_UOM4_SIPI")</f>
        <v>ALT_UOM4_SIPI</v>
      </c>
      <c r="I12321" s="136"/>
      <c r="R12321" s="63" t="str">
        <f t="shared" si="60"/>
        <v>ZSI1_PIPE_NIPPLEALT_UOM4_SIPI</v>
      </c>
    </row>
    <row r="12322" ht="15.75" customHeight="1">
      <c r="B12322" s="63">
        <f t="shared" si="1"/>
        <v>16</v>
      </c>
      <c r="C12322" s="135" t="s">
        <v>345</v>
      </c>
      <c r="D12322" s="161" t="s">
        <v>74</v>
      </c>
      <c r="E12322" s="135">
        <f t="shared" si="62"/>
        <v>25</v>
      </c>
      <c r="F12322" s="134" t="s">
        <v>3814</v>
      </c>
      <c r="G12322" s="63" t="str">
        <f>VLOOKUP(C12322, 'Class Def. - General Data'!$C$20:$C$1000,1,false)</f>
        <v>ZSI1_PIPE_NIPPLE</v>
      </c>
      <c r="H12322" s="63" t="str">
        <f>IFERROR(__xludf.DUMMYFUNCTION("VLOOKUP(F12322, IMPORTRANGE(""https://docs.google.com/spreadsheets/d/1Lhp9OU0JdFf_VYSMzH5lBcEaU4o8teT1piV-SNzShjg/edit?gid=554141278#gid=554141278"", ""'Char Def. - Attributes'!C20:C2242""), 1,false)"),"ALT_DENUM_UOM4")</f>
        <v>ALT_DENUM_UOM4</v>
      </c>
      <c r="I12322" s="136"/>
      <c r="R12322" s="63" t="str">
        <f t="shared" si="60"/>
        <v>ZSI1_PIPE_NIPPLEALT_DENUM_UOM4</v>
      </c>
    </row>
    <row r="12323" ht="15.75" customHeight="1">
      <c r="B12323" s="63">
        <f t="shared" si="1"/>
        <v>16</v>
      </c>
      <c r="C12323" s="135" t="s">
        <v>345</v>
      </c>
      <c r="D12323" s="161" t="s">
        <v>74</v>
      </c>
      <c r="E12323" s="135">
        <f t="shared" si="62"/>
        <v>26</v>
      </c>
      <c r="F12323" s="134" t="s">
        <v>3815</v>
      </c>
      <c r="G12323" s="63" t="str">
        <f>VLOOKUP(C12323, 'Class Def. - General Data'!$C$20:$C$1000,1,false)</f>
        <v>ZSI1_PIPE_NIPPLE</v>
      </c>
      <c r="H12323" s="63" t="str">
        <f>IFERROR(__xludf.DUMMYFUNCTION("VLOOKUP(F12323, IMPORTRANGE(""https://docs.google.com/spreadsheets/d/1Lhp9OU0JdFf_VYSMzH5lBcEaU4o8teT1piV-SNzShjg/edit?gid=554141278#gid=554141278"", ""'Char Def. - Attributes'!C20:C2242""), 1,false)"),"ALT_NUM_UOM4")</f>
        <v>ALT_NUM_UOM4</v>
      </c>
      <c r="I12323" s="136"/>
      <c r="R12323" s="63" t="str">
        <f t="shared" si="60"/>
        <v>ZSI1_PIPE_NIPPLEALT_NUM_UOM4</v>
      </c>
    </row>
    <row r="12324" ht="15.75" customHeight="1">
      <c r="B12324" s="63">
        <f t="shared" si="1"/>
        <v>16</v>
      </c>
      <c r="C12324" s="135" t="s">
        <v>345</v>
      </c>
      <c r="D12324" s="161" t="s">
        <v>74</v>
      </c>
      <c r="E12324" s="135">
        <f t="shared" si="62"/>
        <v>27</v>
      </c>
      <c r="F12324" s="134" t="s">
        <v>3816</v>
      </c>
      <c r="G12324" s="63" t="str">
        <f>VLOOKUP(C12324, 'Class Def. - General Data'!$C$20:$C$1000,1,false)</f>
        <v>ZSI1_PIPE_NIPPLE</v>
      </c>
      <c r="H12324" s="63" t="str">
        <f>IFERROR(__xludf.DUMMYFUNCTION("VLOOKUP(F12324, IMPORTRANGE(""https://docs.google.com/spreadsheets/d/1Lhp9OU0JdFf_VYSMzH5lBcEaU4o8teT1piV-SNzShjg/edit?gid=554141278#gid=554141278"", ""'Char Def. - Attributes'!C20:C2242""), 1,false)"),"ALT_UOM5_SIPI")</f>
        <v>ALT_UOM5_SIPI</v>
      </c>
      <c r="I12324" s="136"/>
      <c r="R12324" s="63" t="str">
        <f t="shared" si="60"/>
        <v>ZSI1_PIPE_NIPPLEALT_UOM5_SIPI</v>
      </c>
    </row>
    <row r="12325" ht="15.75" customHeight="1">
      <c r="B12325" s="63">
        <f t="shared" si="1"/>
        <v>16</v>
      </c>
      <c r="C12325" s="135" t="s">
        <v>345</v>
      </c>
      <c r="D12325" s="161" t="s">
        <v>74</v>
      </c>
      <c r="E12325" s="135">
        <f t="shared" si="62"/>
        <v>28</v>
      </c>
      <c r="F12325" s="134" t="s">
        <v>3817</v>
      </c>
      <c r="G12325" s="63" t="str">
        <f>VLOOKUP(C12325, 'Class Def. - General Data'!$C$20:$C$1000,1,false)</f>
        <v>ZSI1_PIPE_NIPPLE</v>
      </c>
      <c r="H12325" s="63" t="str">
        <f>IFERROR(__xludf.DUMMYFUNCTION("VLOOKUP(F12325, IMPORTRANGE(""https://docs.google.com/spreadsheets/d/1Lhp9OU0JdFf_VYSMzH5lBcEaU4o8teT1piV-SNzShjg/edit?gid=554141278#gid=554141278"", ""'Char Def. - Attributes'!C20:C2242""), 1,false)"),"ALT_DENUM_UOM5")</f>
        <v>ALT_DENUM_UOM5</v>
      </c>
      <c r="I12325" s="136"/>
      <c r="R12325" s="63" t="str">
        <f t="shared" si="60"/>
        <v>ZSI1_PIPE_NIPPLEALT_DENUM_UOM5</v>
      </c>
    </row>
    <row r="12326" ht="15.75" customHeight="1">
      <c r="B12326" s="63">
        <f t="shared" si="1"/>
        <v>16</v>
      </c>
      <c r="C12326" s="135" t="s">
        <v>345</v>
      </c>
      <c r="D12326" s="161" t="s">
        <v>74</v>
      </c>
      <c r="E12326" s="135">
        <f t="shared" si="62"/>
        <v>29</v>
      </c>
      <c r="F12326" s="134" t="s">
        <v>3818</v>
      </c>
      <c r="G12326" s="63" t="str">
        <f>VLOOKUP(C12326, 'Class Def. - General Data'!$C$20:$C$1000,1,false)</f>
        <v>ZSI1_PIPE_NIPPLE</v>
      </c>
      <c r="H12326" s="63" t="str">
        <f>IFERROR(__xludf.DUMMYFUNCTION("VLOOKUP(F12326, IMPORTRANGE(""https://docs.google.com/spreadsheets/d/1Lhp9OU0JdFf_VYSMzH5lBcEaU4o8teT1piV-SNzShjg/edit?gid=554141278#gid=554141278"", ""'Char Def. - Attributes'!C20:C2242""), 1,false)"),"ALT_NUM_UOM5")</f>
        <v>ALT_NUM_UOM5</v>
      </c>
      <c r="I12326" s="136"/>
      <c r="R12326" s="63" t="str">
        <f t="shared" si="60"/>
        <v>ZSI1_PIPE_NIPPLEALT_NUM_UOM5</v>
      </c>
    </row>
    <row r="12327" ht="15.75" customHeight="1">
      <c r="B12327" s="63">
        <f t="shared" si="1"/>
        <v>17</v>
      </c>
      <c r="C12327" s="135" t="s">
        <v>444</v>
      </c>
      <c r="D12327" s="161" t="s">
        <v>74</v>
      </c>
      <c r="E12327" s="135">
        <f t="shared" si="62"/>
        <v>1</v>
      </c>
      <c r="F12327" s="134" t="s">
        <v>5160</v>
      </c>
      <c r="G12327" s="63" t="str">
        <f>VLOOKUP(C12327, 'Class Def. - General Data'!$C$20:$C$1000,1,false)</f>
        <v>ZSI1_PIPE_REDUCER</v>
      </c>
      <c r="H12327" s="63" t="str">
        <f>IFERROR(__xludf.DUMMYFUNCTION("VLOOKUP(F12327, IMPORTRANGE(""https://docs.google.com/spreadsheets/d/1Lhp9OU0JdFf_VYSMzH5lBcEaU4o8teT1piV-SNzShjg/edit?gid=554141278#gid=554141278"", ""'Char Def. - Attributes'!C20:C2242""), 1,false)"),"ITEM_NAME_PIPE_REDUCER")</f>
        <v>ITEM_NAME_PIPE_REDUCER</v>
      </c>
      <c r="I12327" s="136"/>
      <c r="R12327" s="63" t="str">
        <f t="shared" si="60"/>
        <v>ZSI1_PIPE_REDUCERITEM_NAME_PIPE_REDUCER</v>
      </c>
    </row>
    <row r="12328" ht="15.75" customHeight="1">
      <c r="B12328" s="63">
        <f t="shared" si="1"/>
        <v>17</v>
      </c>
      <c r="C12328" s="135" t="s">
        <v>444</v>
      </c>
      <c r="D12328" s="161" t="s">
        <v>74</v>
      </c>
      <c r="E12328" s="135">
        <f t="shared" si="62"/>
        <v>2</v>
      </c>
      <c r="F12328" s="134" t="s">
        <v>5161</v>
      </c>
      <c r="G12328" s="63" t="str">
        <f>VLOOKUP(C12328, 'Class Def. - General Data'!$C$20:$C$1000,1,false)</f>
        <v>ZSI1_PIPE_REDUCER</v>
      </c>
      <c r="H12328" s="63" t="str">
        <f>IFERROR(__xludf.DUMMYFUNCTION("VLOOKUP(F12328, IMPORTRANGE(""https://docs.google.com/spreadsheets/d/1Lhp9OU0JdFf_VYSMzH5lBcEaU4o8teT1piV-SNzShjg/edit?gid=554141278#gid=554141278"", ""'Char Def. - Attributes'!C20:C2242""), 1,false)"),"MATERIAL_PIPE_REDUCER")</f>
        <v>MATERIAL_PIPE_REDUCER</v>
      </c>
      <c r="I12328" s="136"/>
      <c r="R12328" s="63" t="str">
        <f t="shared" si="60"/>
        <v>ZSI1_PIPE_REDUCERMATERIAL_PIPE_REDUCER</v>
      </c>
    </row>
    <row r="12329" ht="15.75" customHeight="1">
      <c r="B12329" s="63">
        <f t="shared" si="1"/>
        <v>17</v>
      </c>
      <c r="C12329" s="135" t="s">
        <v>444</v>
      </c>
      <c r="D12329" s="161" t="s">
        <v>74</v>
      </c>
      <c r="E12329" s="135">
        <f t="shared" si="62"/>
        <v>3</v>
      </c>
      <c r="F12329" s="134" t="s">
        <v>5162</v>
      </c>
      <c r="G12329" s="63" t="str">
        <f>VLOOKUP(C12329, 'Class Def. - General Data'!$C$20:$C$1000,1,false)</f>
        <v>ZSI1_PIPE_REDUCER</v>
      </c>
      <c r="H12329" s="63" t="str">
        <f>IFERROR(__xludf.DUMMYFUNCTION("VLOOKUP(F12329, IMPORTRANGE(""https://docs.google.com/spreadsheets/d/1Lhp9OU0JdFf_VYSMzH5lBcEaU4o8teT1piV-SNzShjg/edit?gid=554141278#gid=554141278"", ""'Char Def. - Attributes'!C20:C2242""), 1,false)"),"DIMENSION_TYPE_PIPE_REDUCER")</f>
        <v>DIMENSION_TYPE_PIPE_REDUCER</v>
      </c>
      <c r="I12329" s="136"/>
      <c r="R12329" s="63" t="str">
        <f t="shared" si="60"/>
        <v>ZSI1_PIPE_REDUCERDIMENSION_TYPE_PIPE_REDUCER</v>
      </c>
    </row>
    <row r="12330" ht="15.75" customHeight="1">
      <c r="B12330" s="63">
        <f t="shared" si="1"/>
        <v>17</v>
      </c>
      <c r="C12330" s="135" t="s">
        <v>444</v>
      </c>
      <c r="D12330" s="161" t="s">
        <v>74</v>
      </c>
      <c r="E12330" s="135">
        <f t="shared" si="62"/>
        <v>4</v>
      </c>
      <c r="F12330" s="134" t="s">
        <v>5163</v>
      </c>
      <c r="G12330" s="63" t="str">
        <f>VLOOKUP(C12330, 'Class Def. - General Data'!$C$20:$C$1000,1,false)</f>
        <v>ZSI1_PIPE_REDUCER</v>
      </c>
      <c r="H12330" s="63" t="str">
        <f>IFERROR(__xludf.DUMMYFUNCTION("VLOOKUP(F12330, IMPORTRANGE(""https://docs.google.com/spreadsheets/d/1Lhp9OU0JdFf_VYSMzH5lBcEaU4o8teT1piV-SNzShjg/edit?gid=554141278#gid=554141278"", ""'Char Def. - Attributes'!C20:C2242""), 1,false)"),"DIAMETER_1_IN_PIPE_REDUCER")</f>
        <v>DIAMETER_1_IN_PIPE_REDUCER</v>
      </c>
      <c r="I12330" s="136"/>
      <c r="R12330" s="63" t="str">
        <f t="shared" si="60"/>
        <v>ZSI1_PIPE_REDUCERDIAMETER_1_IN_PIPE_REDUCER</v>
      </c>
    </row>
    <row r="12331" ht="15.75" customHeight="1">
      <c r="B12331" s="63">
        <f t="shared" si="1"/>
        <v>17</v>
      </c>
      <c r="C12331" s="135" t="s">
        <v>444</v>
      </c>
      <c r="D12331" s="161" t="s">
        <v>74</v>
      </c>
      <c r="E12331" s="135">
        <f t="shared" si="62"/>
        <v>5</v>
      </c>
      <c r="F12331" s="134" t="s">
        <v>5164</v>
      </c>
      <c r="G12331" s="63" t="str">
        <f>VLOOKUP(C12331, 'Class Def. - General Data'!$C$20:$C$1000,1,false)</f>
        <v>ZSI1_PIPE_REDUCER</v>
      </c>
      <c r="H12331" s="63" t="str">
        <f>IFERROR(__xludf.DUMMYFUNCTION("VLOOKUP(F12331, IMPORTRANGE(""https://docs.google.com/spreadsheets/d/1Lhp9OU0JdFf_VYSMzH5lBcEaU4o8teT1piV-SNzShjg/edit?gid=554141278#gid=554141278"", ""'Char Def. - Attributes'!C20:C2242""), 1,false)"),"DIAMETER_2_IN_PIPE_REDUCER")</f>
        <v>DIAMETER_2_IN_PIPE_REDUCER</v>
      </c>
      <c r="I12331" s="136"/>
      <c r="R12331" s="63" t="str">
        <f t="shared" si="60"/>
        <v>ZSI1_PIPE_REDUCERDIAMETER_2_IN_PIPE_REDUCER</v>
      </c>
    </row>
    <row r="12332" ht="15.75" customHeight="1">
      <c r="B12332" s="63">
        <f t="shared" si="1"/>
        <v>17</v>
      </c>
      <c r="C12332" s="135" t="s">
        <v>444</v>
      </c>
      <c r="D12332" s="161" t="s">
        <v>74</v>
      </c>
      <c r="E12332" s="135">
        <f t="shared" si="62"/>
        <v>6</v>
      </c>
      <c r="F12332" s="134" t="s">
        <v>5165</v>
      </c>
      <c r="G12332" s="63" t="str">
        <f>VLOOKUP(C12332, 'Class Def. - General Data'!$C$20:$C$1000,1,false)</f>
        <v>ZSI1_PIPE_REDUCER</v>
      </c>
      <c r="H12332" s="63" t="str">
        <f>IFERROR(__xludf.DUMMYFUNCTION("VLOOKUP(F12332, IMPORTRANGE(""https://docs.google.com/spreadsheets/d/1Lhp9OU0JdFf_VYSMzH5lBcEaU4o8teT1piV-SNzShjg/edit?gid=554141278#gid=554141278"", ""'Char Def. - Attributes'!C20:C2242""), 1,false)"),"DIAMETER_1_MM_PIPE_REDUCER")</f>
        <v>DIAMETER_1_MM_PIPE_REDUCER</v>
      </c>
      <c r="I12332" s="136"/>
      <c r="R12332" s="63" t="str">
        <f t="shared" si="60"/>
        <v>ZSI1_PIPE_REDUCERDIAMETER_1_MM_PIPE_REDUCER</v>
      </c>
    </row>
    <row r="12333" ht="15.75" customHeight="1">
      <c r="B12333" s="63">
        <f t="shared" si="1"/>
        <v>17</v>
      </c>
      <c r="C12333" s="135" t="s">
        <v>444</v>
      </c>
      <c r="D12333" s="161" t="s">
        <v>74</v>
      </c>
      <c r="E12333" s="135">
        <f t="shared" si="62"/>
        <v>7</v>
      </c>
      <c r="F12333" s="134" t="s">
        <v>5166</v>
      </c>
      <c r="G12333" s="63" t="str">
        <f>VLOOKUP(C12333, 'Class Def. - General Data'!$C$20:$C$1000,1,false)</f>
        <v>ZSI1_PIPE_REDUCER</v>
      </c>
      <c r="H12333" s="63" t="str">
        <f>IFERROR(__xludf.DUMMYFUNCTION("VLOOKUP(F12333, IMPORTRANGE(""https://docs.google.com/spreadsheets/d/1Lhp9OU0JdFf_VYSMzH5lBcEaU4o8teT1piV-SNzShjg/edit?gid=554141278#gid=554141278"", ""'Char Def. - Attributes'!C20:C2242""), 1,false)"),"DIAMETER_2_MM_PIPE_REDUCER")</f>
        <v>DIAMETER_2_MM_PIPE_REDUCER</v>
      </c>
      <c r="I12333" s="136"/>
      <c r="R12333" s="63" t="str">
        <f t="shared" si="60"/>
        <v>ZSI1_PIPE_REDUCERDIAMETER_2_MM_PIPE_REDUCER</v>
      </c>
    </row>
    <row r="12334" ht="15.75" customHeight="1">
      <c r="B12334" s="63">
        <f t="shared" si="1"/>
        <v>17</v>
      </c>
      <c r="C12334" s="135" t="s">
        <v>444</v>
      </c>
      <c r="D12334" s="161" t="s">
        <v>74</v>
      </c>
      <c r="E12334" s="135">
        <f t="shared" si="62"/>
        <v>8</v>
      </c>
      <c r="F12334" s="134" t="s">
        <v>5167</v>
      </c>
      <c r="G12334" s="63" t="str">
        <f>VLOOKUP(C12334, 'Class Def. - General Data'!$C$20:$C$1000,1,false)</f>
        <v>ZSI1_PIPE_REDUCER</v>
      </c>
      <c r="H12334" s="63" t="str">
        <f>IFERROR(__xludf.DUMMYFUNCTION("VLOOKUP(F12334, IMPORTRANGE(""https://docs.google.com/spreadsheets/d/1Lhp9OU0JdFf_VYSMzH5lBcEaU4o8teT1piV-SNzShjg/edit?gid=554141278#gid=554141278"", ""'Char Def. - Attributes'!C20:C2242""), 1,false)"),"PRESSURE_K_PSI_PIPE_REDUCER")</f>
        <v>PRESSURE_K_PSI_PIPE_REDUCER</v>
      </c>
      <c r="I12334" s="136"/>
      <c r="R12334" s="63" t="str">
        <f t="shared" si="60"/>
        <v>ZSI1_PIPE_REDUCERPRESSURE_K_PSI_PIPE_REDUCER</v>
      </c>
    </row>
    <row r="12335" ht="15.75" customHeight="1">
      <c r="B12335" s="63">
        <f t="shared" si="1"/>
        <v>17</v>
      </c>
      <c r="C12335" s="135" t="s">
        <v>444</v>
      </c>
      <c r="D12335" s="161" t="s">
        <v>74</v>
      </c>
      <c r="E12335" s="135">
        <f t="shared" si="62"/>
        <v>9</v>
      </c>
      <c r="F12335" s="134" t="s">
        <v>5168</v>
      </c>
      <c r="G12335" s="63" t="str">
        <f>VLOOKUP(C12335, 'Class Def. - General Data'!$C$20:$C$1000,1,false)</f>
        <v>ZSI1_PIPE_REDUCER</v>
      </c>
      <c r="H12335" s="63" t="str">
        <f>IFERROR(__xludf.DUMMYFUNCTION("VLOOKUP(F12335, IMPORTRANGE(""https://docs.google.com/spreadsheets/d/1Lhp9OU0JdFf_VYSMzH5lBcEaU4o8teT1piV-SNzShjg/edit?gid=554141278#gid=554141278"", ""'Char Def. - Attributes'!C20:C2242""), 1,false)"),"PRESSURE_PN_PIPE_REDUCER")</f>
        <v>PRESSURE_PN_PIPE_REDUCER</v>
      </c>
      <c r="I12335" s="136"/>
      <c r="R12335" s="63" t="str">
        <f t="shared" si="60"/>
        <v>ZSI1_PIPE_REDUCERPRESSURE_PN_PIPE_REDUCER</v>
      </c>
    </row>
    <row r="12336" ht="15.75" customHeight="1">
      <c r="B12336" s="63">
        <f t="shared" si="1"/>
        <v>17</v>
      </c>
      <c r="C12336" s="135" t="s">
        <v>444</v>
      </c>
      <c r="D12336" s="161" t="s">
        <v>74</v>
      </c>
      <c r="E12336" s="135">
        <f t="shared" si="62"/>
        <v>10</v>
      </c>
      <c r="F12336" s="134" t="s">
        <v>5169</v>
      </c>
      <c r="G12336" s="63" t="str">
        <f>VLOOKUP(C12336, 'Class Def. - General Data'!$C$20:$C$1000,1,false)</f>
        <v>ZSI1_PIPE_REDUCER</v>
      </c>
      <c r="H12336" s="63" t="str">
        <f>IFERROR(__xludf.DUMMYFUNCTION("VLOOKUP(F12336, IMPORTRANGE(""https://docs.google.com/spreadsheets/d/1Lhp9OU0JdFf_VYSMzH5lBcEaU4o8teT1piV-SNzShjg/edit?gid=554141278#gid=554141278"", ""'Char Def. - Attributes'!C20:C2242""), 1,false)"),"END_CONNECTION_PIPE_REDUCER")</f>
        <v>END_CONNECTION_PIPE_REDUCER</v>
      </c>
      <c r="I12336" s="136"/>
      <c r="R12336" s="63" t="str">
        <f t="shared" si="60"/>
        <v>ZSI1_PIPE_REDUCEREND_CONNECTION_PIPE_REDUCER</v>
      </c>
    </row>
    <row r="12337" ht="15.75" customHeight="1">
      <c r="B12337" s="63">
        <f t="shared" si="1"/>
        <v>17</v>
      </c>
      <c r="C12337" s="135" t="s">
        <v>444</v>
      </c>
      <c r="D12337" s="161" t="s">
        <v>74</v>
      </c>
      <c r="E12337" s="135">
        <f t="shared" si="62"/>
        <v>11</v>
      </c>
      <c r="F12337" s="134" t="s">
        <v>5170</v>
      </c>
      <c r="G12337" s="63" t="str">
        <f>VLOOKUP(C12337, 'Class Def. - General Data'!$C$20:$C$1000,1,false)</f>
        <v>ZSI1_PIPE_REDUCER</v>
      </c>
      <c r="H12337" s="63" t="str">
        <f>IFERROR(__xludf.DUMMYFUNCTION("VLOOKUP(F12337, IMPORTRANGE(""https://docs.google.com/spreadsheets/d/1Lhp9OU0JdFf_VYSMzH5lBcEaU4o8teT1piV-SNzShjg/edit?gid=554141278#gid=554141278"", ""'Char Def. - Attributes'!C20:C2242""), 1,false)"),"#N/A")</f>
        <v>#N/A</v>
      </c>
      <c r="I12337" s="136"/>
      <c r="R12337" s="63" t="str">
        <f t="shared" si="60"/>
        <v>ZSI1_PIPE_REDUCERFINISHING_PIPE_REDUCER</v>
      </c>
    </row>
    <row r="12338" ht="15.75" customHeight="1">
      <c r="B12338" s="63">
        <f t="shared" si="1"/>
        <v>17</v>
      </c>
      <c r="C12338" s="135" t="s">
        <v>444</v>
      </c>
      <c r="D12338" s="161" t="s">
        <v>74</v>
      </c>
      <c r="E12338" s="135">
        <f t="shared" si="62"/>
        <v>12</v>
      </c>
      <c r="F12338" s="134" t="s">
        <v>4053</v>
      </c>
      <c r="G12338" s="63" t="str">
        <f>VLOOKUP(C12338, 'Class Def. - General Data'!$C$20:$C$1000,1,false)</f>
        <v>ZSI1_PIPE_REDUCER</v>
      </c>
      <c r="H12338" s="63" t="str">
        <f>IFERROR(__xludf.DUMMYFUNCTION("VLOOKUP(F12338, IMPORTRANGE(""https://docs.google.com/spreadsheets/d/1Lhp9OU0JdFf_VYSMzH5lBcEaU4o8teT1piV-SNzShjg/edit?gid=554141278#gid=554141278"", ""'Char Def. - Attributes'!C20:C2242""), 1,false)"),"MAINTENANCE_ORDER_TYPE")</f>
        <v>MAINTENANCE_ORDER_TYPE</v>
      </c>
      <c r="I12338" s="136"/>
      <c r="R12338" s="63" t="str">
        <f t="shared" si="60"/>
        <v>ZSI1_PIPE_REDUCERMAINTENANCE_ORDER_TYPE</v>
      </c>
    </row>
    <row r="12339" ht="15.75" customHeight="1">
      <c r="B12339" s="63">
        <f t="shared" si="1"/>
        <v>17</v>
      </c>
      <c r="C12339" s="135" t="s">
        <v>444</v>
      </c>
      <c r="D12339" s="161" t="s">
        <v>74</v>
      </c>
      <c r="E12339" s="135">
        <f t="shared" si="62"/>
        <v>13</v>
      </c>
      <c r="F12339" s="134" t="s">
        <v>3585</v>
      </c>
      <c r="G12339" s="63" t="str">
        <f>VLOOKUP(C12339, 'Class Def. - General Data'!$C$20:$C$1000,1,false)</f>
        <v>ZSI1_PIPE_REDUCER</v>
      </c>
      <c r="H12339" s="63" t="str">
        <f>IFERROR(__xludf.DUMMYFUNCTION("VLOOKUP(F12339, IMPORTRANGE(""https://docs.google.com/spreadsheets/d/1Lhp9OU0JdFf_VYSMzH5lBcEaU4o8teT1piV-SNzShjg/edit?gid=554141278#gid=554141278"", ""'Char Def. - Attributes'!C20:C2242""), 1,false)"),"HS_CODE")</f>
        <v>HS_CODE</v>
      </c>
      <c r="I12339" s="136"/>
      <c r="R12339" s="63" t="str">
        <f t="shared" si="60"/>
        <v>ZSI1_PIPE_REDUCERHS_CODE</v>
      </c>
    </row>
    <row r="12340" ht="15.75" customHeight="1">
      <c r="B12340" s="63">
        <f t="shared" si="1"/>
        <v>17</v>
      </c>
      <c r="C12340" s="135" t="s">
        <v>444</v>
      </c>
      <c r="D12340" s="161" t="s">
        <v>74</v>
      </c>
      <c r="E12340" s="135">
        <f t="shared" si="62"/>
        <v>14</v>
      </c>
      <c r="F12340" s="134" t="s">
        <v>3587</v>
      </c>
      <c r="G12340" s="63" t="str">
        <f>VLOOKUP(C12340, 'Class Def. - General Data'!$C$20:$C$1000,1,false)</f>
        <v>ZSI1_PIPE_REDUCER</v>
      </c>
      <c r="H12340" s="63" t="str">
        <f>IFERROR(__xludf.DUMMYFUNCTION("VLOOKUP(F12340, IMPORTRANGE(""https://docs.google.com/spreadsheets/d/1Lhp9OU0JdFf_VYSMzH5lBcEaU4o8teT1piV-SNzShjg/edit?gid=554141278#gid=554141278"", ""'Char Def. - Attributes'!C20:C2242""), 1,false)"),"PLANT_BUY")</f>
        <v>PLANT_BUY</v>
      </c>
      <c r="I12340" s="136"/>
      <c r="R12340" s="63" t="str">
        <f t="shared" si="60"/>
        <v>ZSI1_PIPE_REDUCERPLANT_BUY</v>
      </c>
    </row>
    <row r="12341" ht="15.75" customHeight="1">
      <c r="B12341" s="63">
        <f t="shared" si="1"/>
        <v>17</v>
      </c>
      <c r="C12341" s="135" t="s">
        <v>444</v>
      </c>
      <c r="D12341" s="161" t="s">
        <v>74</v>
      </c>
      <c r="E12341" s="135">
        <f t="shared" si="62"/>
        <v>15</v>
      </c>
      <c r="F12341" s="134" t="s">
        <v>5171</v>
      </c>
      <c r="G12341" s="63" t="str">
        <f>VLOOKUP(C12341, 'Class Def. - General Data'!$C$20:$C$1000,1,false)</f>
        <v>ZSI1_PIPE_REDUCER</v>
      </c>
      <c r="H12341" s="63" t="str">
        <f>IFERROR(__xludf.DUMMYFUNCTION("VLOOKUP(F12341, IMPORTRANGE(""https://docs.google.com/spreadsheets/d/1Lhp9OU0JdFf_VYSMzH5lBcEaU4o8teT1piV-SNzShjg/edit?gid=554141278#gid=554141278"", ""'Char Def. - Attributes'!C20:C2242""), 1,false)"),"BASE_UOM_PIPE_REDUCER")</f>
        <v>BASE_UOM_PIPE_REDUCER</v>
      </c>
      <c r="I12341" s="136"/>
      <c r="R12341" s="63" t="str">
        <f t="shared" si="60"/>
        <v>ZSI1_PIPE_REDUCERBASE_UOM_PIPE_REDUCER</v>
      </c>
    </row>
    <row r="12342" ht="15.75" customHeight="1">
      <c r="B12342" s="63">
        <f t="shared" si="1"/>
        <v>17</v>
      </c>
      <c r="C12342" s="135" t="s">
        <v>444</v>
      </c>
      <c r="D12342" s="161" t="s">
        <v>74</v>
      </c>
      <c r="E12342" s="135">
        <f t="shared" si="62"/>
        <v>16</v>
      </c>
      <c r="F12342" s="134" t="s">
        <v>5172</v>
      </c>
      <c r="G12342" s="63" t="str">
        <f>VLOOKUP(C12342, 'Class Def. - General Data'!$C$20:$C$1000,1,false)</f>
        <v>ZSI1_PIPE_REDUCER</v>
      </c>
      <c r="H12342" s="63" t="str">
        <f>IFERROR(__xludf.DUMMYFUNCTION("VLOOKUP(F12342, IMPORTRANGE(""https://docs.google.com/spreadsheets/d/1Lhp9OU0JdFf_VYSMzH5lBcEaU4o8teT1piV-SNzShjg/edit?gid=554141278#gid=554141278"", ""'Char Def. - Attributes'!C20:C2242""), 1,false)"),"ORDER_UNIT_PIPE_REDUCER")</f>
        <v>ORDER_UNIT_PIPE_REDUCER</v>
      </c>
      <c r="I12342" s="136"/>
      <c r="R12342" s="63" t="str">
        <f t="shared" si="60"/>
        <v>ZSI1_PIPE_REDUCERORDER_UNIT_PIPE_REDUCER</v>
      </c>
    </row>
    <row r="12343" ht="15.75" customHeight="1">
      <c r="B12343" s="63">
        <f t="shared" si="1"/>
        <v>17</v>
      </c>
      <c r="C12343" s="135" t="s">
        <v>444</v>
      </c>
      <c r="D12343" s="161" t="s">
        <v>74</v>
      </c>
      <c r="E12343" s="135">
        <f t="shared" si="62"/>
        <v>17</v>
      </c>
      <c r="F12343" s="134" t="s">
        <v>4056</v>
      </c>
      <c r="G12343" s="63" t="str">
        <f>VLOOKUP(C12343, 'Class Def. - General Data'!$C$20:$C$1000,1,false)</f>
        <v>ZSI1_PIPE_REDUCER</v>
      </c>
      <c r="H12343" s="63" t="str">
        <f>IFERROR(__xludf.DUMMYFUNCTION("VLOOKUP(F12343, IMPORTRANGE(""https://docs.google.com/spreadsheets/d/1Lhp9OU0JdFf_VYSMzH5lBcEaU4o8teT1piV-SNzShjg/edit?gid=554141278#gid=554141278"", ""'Char Def. - Attributes'!C20:C2242""), 1,false)"),"GROSS_WEIGHT_OPT")</f>
        <v>GROSS_WEIGHT_OPT</v>
      </c>
      <c r="I12343" s="136"/>
      <c r="R12343" s="63" t="str">
        <f t="shared" si="60"/>
        <v>ZSI1_PIPE_REDUCERGROSS_WEIGHT_OPT</v>
      </c>
    </row>
    <row r="12344" ht="15.75" customHeight="1">
      <c r="B12344" s="63">
        <f t="shared" si="1"/>
        <v>17</v>
      </c>
      <c r="C12344" s="135" t="s">
        <v>444</v>
      </c>
      <c r="D12344" s="161" t="s">
        <v>74</v>
      </c>
      <c r="E12344" s="135">
        <f t="shared" si="62"/>
        <v>18</v>
      </c>
      <c r="F12344" s="134" t="s">
        <v>4057</v>
      </c>
      <c r="G12344" s="63" t="str">
        <f>VLOOKUP(C12344, 'Class Def. - General Data'!$C$20:$C$1000,1,false)</f>
        <v>ZSI1_PIPE_REDUCER</v>
      </c>
      <c r="H12344" s="63" t="str">
        <f>IFERROR(__xludf.DUMMYFUNCTION("VLOOKUP(F12344, IMPORTRANGE(""https://docs.google.com/spreadsheets/d/1Lhp9OU0JdFf_VYSMzH5lBcEaU4o8teT1piV-SNzShjg/edit?gid=554141278#gid=554141278"", ""'Char Def. - Attributes'!C20:C2242""), 1,false)"),"NET_WEIGHT_OPT")</f>
        <v>NET_WEIGHT_OPT</v>
      </c>
      <c r="I12344" s="136"/>
      <c r="R12344" s="63" t="str">
        <f t="shared" si="60"/>
        <v>ZSI1_PIPE_REDUCERNET_WEIGHT_OPT</v>
      </c>
    </row>
    <row r="12345" ht="15.75" customHeight="1">
      <c r="B12345" s="63">
        <f t="shared" si="1"/>
        <v>17</v>
      </c>
      <c r="C12345" s="135" t="s">
        <v>444</v>
      </c>
      <c r="D12345" s="161" t="s">
        <v>74</v>
      </c>
      <c r="E12345" s="135">
        <f t="shared" si="62"/>
        <v>19</v>
      </c>
      <c r="F12345" s="134" t="s">
        <v>4058</v>
      </c>
      <c r="G12345" s="63" t="str">
        <f>VLOOKUP(C12345, 'Class Def. - General Data'!$C$20:$C$1000,1,false)</f>
        <v>ZSI1_PIPE_REDUCER</v>
      </c>
      <c r="H12345" s="63" t="str">
        <f>IFERROR(__xludf.DUMMYFUNCTION("VLOOKUP(F12345, IMPORTRANGE(""https://docs.google.com/spreadsheets/d/1Lhp9OU0JdFf_VYSMzH5lBcEaU4o8teT1piV-SNzShjg/edit?gid=554141278#gid=554141278"", ""'Char Def. - Attributes'!C20:C2242""), 1,false)"),"WEIGHT_UNIT_SI")</f>
        <v>WEIGHT_UNIT_SI</v>
      </c>
      <c r="I12345" s="136"/>
      <c r="R12345" s="63" t="str">
        <f t="shared" si="60"/>
        <v>ZSI1_PIPE_REDUCERWEIGHT_UNIT_SI</v>
      </c>
    </row>
    <row r="12346" ht="15.75" customHeight="1">
      <c r="B12346" s="63">
        <f t="shared" si="1"/>
        <v>17</v>
      </c>
      <c r="C12346" s="135" t="s">
        <v>444</v>
      </c>
      <c r="D12346" s="161" t="s">
        <v>74</v>
      </c>
      <c r="E12346" s="135">
        <f t="shared" si="62"/>
        <v>20</v>
      </c>
      <c r="F12346" s="134" t="s">
        <v>3877</v>
      </c>
      <c r="G12346" s="63" t="str">
        <f>VLOOKUP(C12346, 'Class Def. - General Data'!$C$20:$C$1000,1,false)</f>
        <v>ZSI1_PIPE_REDUCER</v>
      </c>
      <c r="H12346" s="63" t="str">
        <f>IFERROR(__xludf.DUMMYFUNCTION("VLOOKUP(F12346, IMPORTRANGE(""https://docs.google.com/spreadsheets/d/1Lhp9OU0JdFf_VYSMzH5lBcEaU4o8teT1piV-SNzShjg/edit?gid=554141278#gid=554141278"", ""'Char Def. - Attributes'!C20:C2242""), 1,false)"),"VOLUME_OPT")</f>
        <v>VOLUME_OPT</v>
      </c>
      <c r="I12346" s="136"/>
      <c r="R12346" s="63" t="str">
        <f t="shared" si="60"/>
        <v>ZSI1_PIPE_REDUCERVOLUME_OPT</v>
      </c>
    </row>
    <row r="12347" ht="15.75" customHeight="1">
      <c r="B12347" s="63">
        <f t="shared" si="1"/>
        <v>17</v>
      </c>
      <c r="C12347" s="135" t="s">
        <v>444</v>
      </c>
      <c r="D12347" s="161" t="s">
        <v>74</v>
      </c>
      <c r="E12347" s="135">
        <f t="shared" si="62"/>
        <v>21</v>
      </c>
      <c r="F12347" s="134" t="s">
        <v>4059</v>
      </c>
      <c r="G12347" s="63" t="str">
        <f>VLOOKUP(C12347, 'Class Def. - General Data'!$C$20:$C$1000,1,false)</f>
        <v>ZSI1_PIPE_REDUCER</v>
      </c>
      <c r="H12347" s="63" t="str">
        <f>IFERROR(__xludf.DUMMYFUNCTION("VLOOKUP(F12347, IMPORTRANGE(""https://docs.google.com/spreadsheets/d/1Lhp9OU0JdFf_VYSMzH5lBcEaU4o8teT1piV-SNzShjg/edit?gid=554141278#gid=554141278"", ""'Char Def. - Attributes'!C20:C2242""), 1,false)"),"VOLUME_UNIT_SI")</f>
        <v>VOLUME_UNIT_SI</v>
      </c>
      <c r="I12347" s="136"/>
      <c r="R12347" s="63" t="str">
        <f t="shared" si="60"/>
        <v>ZSI1_PIPE_REDUCERVOLUME_UNIT_SI</v>
      </c>
    </row>
    <row r="12348" ht="15.75" customHeight="1">
      <c r="B12348" s="63">
        <f t="shared" si="1"/>
        <v>17</v>
      </c>
      <c r="C12348" s="135" t="s">
        <v>444</v>
      </c>
      <c r="D12348" s="161" t="s">
        <v>74</v>
      </c>
      <c r="E12348" s="135">
        <f t="shared" si="62"/>
        <v>22</v>
      </c>
      <c r="F12348" s="134" t="s">
        <v>3804</v>
      </c>
      <c r="G12348" s="63" t="str">
        <f>VLOOKUP(C12348, 'Class Def. - General Data'!$C$20:$C$1000,1,false)</f>
        <v>ZSI1_PIPE_REDUCER</v>
      </c>
      <c r="H12348" s="63" t="str">
        <f>IFERROR(__xludf.DUMMYFUNCTION("VLOOKUP(F12348, IMPORTRANGE(""https://docs.google.com/spreadsheets/d/1Lhp9OU0JdFf_VYSMzH5lBcEaU4o8teT1piV-SNzShjg/edit?gid=554141278#gid=554141278"", ""'Char Def. - Attributes'!C20:C2242""), 1,false)"),"ALT_UOM1_SIPI")</f>
        <v>ALT_UOM1_SIPI</v>
      </c>
      <c r="I12348" s="136"/>
      <c r="R12348" s="63" t="str">
        <f t="shared" si="60"/>
        <v>ZSI1_PIPE_REDUCERALT_UOM1_SIPI</v>
      </c>
    </row>
    <row r="12349" ht="15.75" customHeight="1">
      <c r="B12349" s="63">
        <f t="shared" si="1"/>
        <v>17</v>
      </c>
      <c r="C12349" s="135" t="s">
        <v>444</v>
      </c>
      <c r="D12349" s="161" t="s">
        <v>74</v>
      </c>
      <c r="E12349" s="135">
        <f t="shared" si="62"/>
        <v>23</v>
      </c>
      <c r="F12349" s="134" t="s">
        <v>3805</v>
      </c>
      <c r="G12349" s="63" t="str">
        <f>VLOOKUP(C12349, 'Class Def. - General Data'!$C$20:$C$1000,1,false)</f>
        <v>ZSI1_PIPE_REDUCER</v>
      </c>
      <c r="H12349" s="63" t="str">
        <f>IFERROR(__xludf.DUMMYFUNCTION("VLOOKUP(F12349, IMPORTRANGE(""https://docs.google.com/spreadsheets/d/1Lhp9OU0JdFf_VYSMzH5lBcEaU4o8teT1piV-SNzShjg/edit?gid=554141278#gid=554141278"", ""'Char Def. - Attributes'!C20:C2242""), 1,false)"),"ALT_DENUM_UOM1")</f>
        <v>ALT_DENUM_UOM1</v>
      </c>
      <c r="I12349" s="136"/>
      <c r="R12349" s="63" t="str">
        <f t="shared" si="60"/>
        <v>ZSI1_PIPE_REDUCERALT_DENUM_UOM1</v>
      </c>
    </row>
    <row r="12350" ht="15.75" customHeight="1">
      <c r="B12350" s="63">
        <f t="shared" si="1"/>
        <v>17</v>
      </c>
      <c r="C12350" s="135" t="s">
        <v>444</v>
      </c>
      <c r="D12350" s="161" t="s">
        <v>74</v>
      </c>
      <c r="E12350" s="135">
        <f t="shared" si="62"/>
        <v>24</v>
      </c>
      <c r="F12350" s="134" t="s">
        <v>3806</v>
      </c>
      <c r="G12350" s="63" t="str">
        <f>VLOOKUP(C12350, 'Class Def. - General Data'!$C$20:$C$1000,1,false)</f>
        <v>ZSI1_PIPE_REDUCER</v>
      </c>
      <c r="H12350" s="63" t="str">
        <f>IFERROR(__xludf.DUMMYFUNCTION("VLOOKUP(F12350, IMPORTRANGE(""https://docs.google.com/spreadsheets/d/1Lhp9OU0JdFf_VYSMzH5lBcEaU4o8teT1piV-SNzShjg/edit?gid=554141278#gid=554141278"", ""'Char Def. - Attributes'!C20:C2242""), 1,false)"),"ALT_NUM_UOM1")</f>
        <v>ALT_NUM_UOM1</v>
      </c>
      <c r="I12350" s="136"/>
      <c r="R12350" s="63" t="str">
        <f t="shared" si="60"/>
        <v>ZSI1_PIPE_REDUCERALT_NUM_UOM1</v>
      </c>
    </row>
    <row r="12351" ht="15.75" customHeight="1">
      <c r="B12351" s="63">
        <f t="shared" si="1"/>
        <v>17</v>
      </c>
      <c r="C12351" s="135" t="s">
        <v>444</v>
      </c>
      <c r="D12351" s="161" t="s">
        <v>74</v>
      </c>
      <c r="E12351" s="135">
        <f t="shared" si="62"/>
        <v>25</v>
      </c>
      <c r="F12351" s="134" t="s">
        <v>3807</v>
      </c>
      <c r="G12351" s="63" t="str">
        <f>VLOOKUP(C12351, 'Class Def. - General Data'!$C$20:$C$1000,1,false)</f>
        <v>ZSI1_PIPE_REDUCER</v>
      </c>
      <c r="H12351" s="63" t="str">
        <f>IFERROR(__xludf.DUMMYFUNCTION("VLOOKUP(F12351, IMPORTRANGE(""https://docs.google.com/spreadsheets/d/1Lhp9OU0JdFf_VYSMzH5lBcEaU4o8teT1piV-SNzShjg/edit?gid=554141278#gid=554141278"", ""'Char Def. - Attributes'!C20:C2242""), 1,false)"),"ALT_UOM2_SIPI")</f>
        <v>ALT_UOM2_SIPI</v>
      </c>
      <c r="I12351" s="136"/>
      <c r="R12351" s="63" t="str">
        <f t="shared" si="60"/>
        <v>ZSI1_PIPE_REDUCERALT_UOM2_SIPI</v>
      </c>
    </row>
    <row r="12352" ht="15.75" customHeight="1">
      <c r="B12352" s="63">
        <f t="shared" si="1"/>
        <v>17</v>
      </c>
      <c r="C12352" s="135" t="s">
        <v>444</v>
      </c>
      <c r="D12352" s="161" t="s">
        <v>74</v>
      </c>
      <c r="E12352" s="135">
        <f t="shared" si="62"/>
        <v>26</v>
      </c>
      <c r="F12352" s="134" t="s">
        <v>3808</v>
      </c>
      <c r="G12352" s="63" t="str">
        <f>VLOOKUP(C12352, 'Class Def. - General Data'!$C$20:$C$1000,1,false)</f>
        <v>ZSI1_PIPE_REDUCER</v>
      </c>
      <c r="H12352" s="63" t="str">
        <f>IFERROR(__xludf.DUMMYFUNCTION("VLOOKUP(F12352, IMPORTRANGE(""https://docs.google.com/spreadsheets/d/1Lhp9OU0JdFf_VYSMzH5lBcEaU4o8teT1piV-SNzShjg/edit?gid=554141278#gid=554141278"", ""'Char Def. - Attributes'!C20:C2242""), 1,false)"),"ALT_DENUM_UOM2")</f>
        <v>ALT_DENUM_UOM2</v>
      </c>
      <c r="I12352" s="136"/>
      <c r="R12352" s="63" t="str">
        <f t="shared" si="60"/>
        <v>ZSI1_PIPE_REDUCERALT_DENUM_UOM2</v>
      </c>
    </row>
    <row r="12353" ht="15.75" customHeight="1">
      <c r="B12353" s="63">
        <f t="shared" si="1"/>
        <v>17</v>
      </c>
      <c r="C12353" s="135" t="s">
        <v>444</v>
      </c>
      <c r="D12353" s="161" t="s">
        <v>74</v>
      </c>
      <c r="E12353" s="135">
        <f t="shared" si="62"/>
        <v>27</v>
      </c>
      <c r="F12353" s="134" t="s">
        <v>3809</v>
      </c>
      <c r="G12353" s="63" t="str">
        <f>VLOOKUP(C12353, 'Class Def. - General Data'!$C$20:$C$1000,1,false)</f>
        <v>ZSI1_PIPE_REDUCER</v>
      </c>
      <c r="H12353" s="63" t="str">
        <f>IFERROR(__xludf.DUMMYFUNCTION("VLOOKUP(F12353, IMPORTRANGE(""https://docs.google.com/spreadsheets/d/1Lhp9OU0JdFf_VYSMzH5lBcEaU4o8teT1piV-SNzShjg/edit?gid=554141278#gid=554141278"", ""'Char Def. - Attributes'!C20:C2242""), 1,false)"),"ALT_NUM_UOM2")</f>
        <v>ALT_NUM_UOM2</v>
      </c>
      <c r="I12353" s="136"/>
      <c r="R12353" s="63" t="str">
        <f t="shared" si="60"/>
        <v>ZSI1_PIPE_REDUCERALT_NUM_UOM2</v>
      </c>
    </row>
    <row r="12354" ht="15.75" customHeight="1">
      <c r="B12354" s="63">
        <f t="shared" si="1"/>
        <v>17</v>
      </c>
      <c r="C12354" s="135" t="s">
        <v>444</v>
      </c>
      <c r="D12354" s="161" t="s">
        <v>74</v>
      </c>
      <c r="E12354" s="135">
        <f t="shared" si="62"/>
        <v>28</v>
      </c>
      <c r="F12354" s="134" t="s">
        <v>3810</v>
      </c>
      <c r="G12354" s="63" t="str">
        <f>VLOOKUP(C12354, 'Class Def. - General Data'!$C$20:$C$1000,1,false)</f>
        <v>ZSI1_PIPE_REDUCER</v>
      </c>
      <c r="H12354" s="63" t="str">
        <f>IFERROR(__xludf.DUMMYFUNCTION("VLOOKUP(F12354, IMPORTRANGE(""https://docs.google.com/spreadsheets/d/1Lhp9OU0JdFf_VYSMzH5lBcEaU4o8teT1piV-SNzShjg/edit?gid=554141278#gid=554141278"", ""'Char Def. - Attributes'!C20:C2242""), 1,false)"),"ALT_UOM3_SIPI")</f>
        <v>ALT_UOM3_SIPI</v>
      </c>
      <c r="I12354" s="136"/>
      <c r="R12354" s="63" t="str">
        <f t="shared" si="60"/>
        <v>ZSI1_PIPE_REDUCERALT_UOM3_SIPI</v>
      </c>
    </row>
    <row r="12355" ht="15.75" customHeight="1">
      <c r="B12355" s="63">
        <f t="shared" si="1"/>
        <v>17</v>
      </c>
      <c r="C12355" s="135" t="s">
        <v>444</v>
      </c>
      <c r="D12355" s="161" t="s">
        <v>74</v>
      </c>
      <c r="E12355" s="135">
        <f t="shared" si="62"/>
        <v>29</v>
      </c>
      <c r="F12355" s="134" t="s">
        <v>3811</v>
      </c>
      <c r="G12355" s="63" t="str">
        <f>VLOOKUP(C12355, 'Class Def. - General Data'!$C$20:$C$1000,1,false)</f>
        <v>ZSI1_PIPE_REDUCER</v>
      </c>
      <c r="H12355" s="63" t="str">
        <f>IFERROR(__xludf.DUMMYFUNCTION("VLOOKUP(F12355, IMPORTRANGE(""https://docs.google.com/spreadsheets/d/1Lhp9OU0JdFf_VYSMzH5lBcEaU4o8teT1piV-SNzShjg/edit?gid=554141278#gid=554141278"", ""'Char Def. - Attributes'!C20:C2242""), 1,false)"),"ALT_DENUM_UOM3")</f>
        <v>ALT_DENUM_UOM3</v>
      </c>
      <c r="I12355" s="136"/>
      <c r="R12355" s="63" t="str">
        <f t="shared" si="60"/>
        <v>ZSI1_PIPE_REDUCERALT_DENUM_UOM3</v>
      </c>
    </row>
    <row r="12356" ht="15.75" customHeight="1">
      <c r="B12356" s="63">
        <f t="shared" si="1"/>
        <v>17</v>
      </c>
      <c r="C12356" s="135" t="s">
        <v>444</v>
      </c>
      <c r="D12356" s="161" t="s">
        <v>74</v>
      </c>
      <c r="E12356" s="135">
        <f t="shared" si="62"/>
        <v>30</v>
      </c>
      <c r="F12356" s="134" t="s">
        <v>3812</v>
      </c>
      <c r="G12356" s="63" t="str">
        <f>VLOOKUP(C12356, 'Class Def. - General Data'!$C$20:$C$1000,1,false)</f>
        <v>ZSI1_PIPE_REDUCER</v>
      </c>
      <c r="H12356" s="63" t="str">
        <f>IFERROR(__xludf.DUMMYFUNCTION("VLOOKUP(F12356, IMPORTRANGE(""https://docs.google.com/spreadsheets/d/1Lhp9OU0JdFf_VYSMzH5lBcEaU4o8teT1piV-SNzShjg/edit?gid=554141278#gid=554141278"", ""'Char Def. - Attributes'!C20:C2242""), 1,false)"),"ALT_NUM_UOM3")</f>
        <v>ALT_NUM_UOM3</v>
      </c>
      <c r="I12356" s="136"/>
      <c r="R12356" s="63" t="str">
        <f t="shared" si="60"/>
        <v>ZSI1_PIPE_REDUCERALT_NUM_UOM3</v>
      </c>
    </row>
    <row r="12357" ht="15.75" customHeight="1">
      <c r="B12357" s="63">
        <f t="shared" si="1"/>
        <v>17</v>
      </c>
      <c r="C12357" s="135" t="s">
        <v>444</v>
      </c>
      <c r="D12357" s="161" t="s">
        <v>74</v>
      </c>
      <c r="E12357" s="135">
        <f t="shared" si="62"/>
        <v>31</v>
      </c>
      <c r="F12357" s="134" t="s">
        <v>3813</v>
      </c>
      <c r="G12357" s="63" t="str">
        <f>VLOOKUP(C12357, 'Class Def. - General Data'!$C$20:$C$1000,1,false)</f>
        <v>ZSI1_PIPE_REDUCER</v>
      </c>
      <c r="H12357" s="63" t="str">
        <f>IFERROR(__xludf.DUMMYFUNCTION("VLOOKUP(F12357, IMPORTRANGE(""https://docs.google.com/spreadsheets/d/1Lhp9OU0JdFf_VYSMzH5lBcEaU4o8teT1piV-SNzShjg/edit?gid=554141278#gid=554141278"", ""'Char Def. - Attributes'!C20:C2242""), 1,false)"),"ALT_UOM4_SIPI")</f>
        <v>ALT_UOM4_SIPI</v>
      </c>
      <c r="I12357" s="136"/>
      <c r="R12357" s="63" t="str">
        <f t="shared" si="60"/>
        <v>ZSI1_PIPE_REDUCERALT_UOM4_SIPI</v>
      </c>
    </row>
    <row r="12358" ht="15.75" customHeight="1">
      <c r="B12358" s="63">
        <f t="shared" si="1"/>
        <v>17</v>
      </c>
      <c r="C12358" s="135" t="s">
        <v>444</v>
      </c>
      <c r="D12358" s="161" t="s">
        <v>74</v>
      </c>
      <c r="E12358" s="135">
        <f t="shared" si="62"/>
        <v>32</v>
      </c>
      <c r="F12358" s="134" t="s">
        <v>3814</v>
      </c>
      <c r="G12358" s="63" t="str">
        <f>VLOOKUP(C12358, 'Class Def. - General Data'!$C$20:$C$1000,1,false)</f>
        <v>ZSI1_PIPE_REDUCER</v>
      </c>
      <c r="H12358" s="63" t="str">
        <f>IFERROR(__xludf.DUMMYFUNCTION("VLOOKUP(F12358, IMPORTRANGE(""https://docs.google.com/spreadsheets/d/1Lhp9OU0JdFf_VYSMzH5lBcEaU4o8teT1piV-SNzShjg/edit?gid=554141278#gid=554141278"", ""'Char Def. - Attributes'!C20:C2242""), 1,false)"),"ALT_DENUM_UOM4")</f>
        <v>ALT_DENUM_UOM4</v>
      </c>
      <c r="I12358" s="136"/>
      <c r="R12358" s="63" t="str">
        <f t="shared" si="60"/>
        <v>ZSI1_PIPE_REDUCERALT_DENUM_UOM4</v>
      </c>
    </row>
    <row r="12359" ht="15.75" customHeight="1">
      <c r="B12359" s="63">
        <f t="shared" si="1"/>
        <v>17</v>
      </c>
      <c r="C12359" s="135" t="s">
        <v>444</v>
      </c>
      <c r="D12359" s="161" t="s">
        <v>74</v>
      </c>
      <c r="E12359" s="135">
        <f t="shared" si="62"/>
        <v>33</v>
      </c>
      <c r="F12359" s="134" t="s">
        <v>3815</v>
      </c>
      <c r="G12359" s="63" t="str">
        <f>VLOOKUP(C12359, 'Class Def. - General Data'!$C$20:$C$1000,1,false)</f>
        <v>ZSI1_PIPE_REDUCER</v>
      </c>
      <c r="H12359" s="63" t="str">
        <f>IFERROR(__xludf.DUMMYFUNCTION("VLOOKUP(F12359, IMPORTRANGE(""https://docs.google.com/spreadsheets/d/1Lhp9OU0JdFf_VYSMzH5lBcEaU4o8teT1piV-SNzShjg/edit?gid=554141278#gid=554141278"", ""'Char Def. - Attributes'!C20:C2242""), 1,false)"),"ALT_NUM_UOM4")</f>
        <v>ALT_NUM_UOM4</v>
      </c>
      <c r="I12359" s="136"/>
      <c r="R12359" s="63" t="str">
        <f t="shared" si="60"/>
        <v>ZSI1_PIPE_REDUCERALT_NUM_UOM4</v>
      </c>
    </row>
    <row r="12360" ht="15.75" customHeight="1">
      <c r="B12360" s="63">
        <f t="shared" si="1"/>
        <v>17</v>
      </c>
      <c r="C12360" s="135" t="s">
        <v>444</v>
      </c>
      <c r="D12360" s="161" t="s">
        <v>74</v>
      </c>
      <c r="E12360" s="135">
        <f t="shared" si="62"/>
        <v>34</v>
      </c>
      <c r="F12360" s="134" t="s">
        <v>3816</v>
      </c>
      <c r="G12360" s="63" t="str">
        <f>VLOOKUP(C12360, 'Class Def. - General Data'!$C$20:$C$1000,1,false)</f>
        <v>ZSI1_PIPE_REDUCER</v>
      </c>
      <c r="H12360" s="63" t="str">
        <f>IFERROR(__xludf.DUMMYFUNCTION("VLOOKUP(F12360, IMPORTRANGE(""https://docs.google.com/spreadsheets/d/1Lhp9OU0JdFf_VYSMzH5lBcEaU4o8teT1piV-SNzShjg/edit?gid=554141278#gid=554141278"", ""'Char Def. - Attributes'!C20:C2242""), 1,false)"),"ALT_UOM5_SIPI")</f>
        <v>ALT_UOM5_SIPI</v>
      </c>
      <c r="I12360" s="136"/>
      <c r="R12360" s="63" t="str">
        <f t="shared" si="60"/>
        <v>ZSI1_PIPE_REDUCERALT_UOM5_SIPI</v>
      </c>
    </row>
    <row r="12361" ht="15.75" customHeight="1">
      <c r="B12361" s="63">
        <f t="shared" si="1"/>
        <v>17</v>
      </c>
      <c r="C12361" s="135" t="s">
        <v>444</v>
      </c>
      <c r="D12361" s="161" t="s">
        <v>74</v>
      </c>
      <c r="E12361" s="135">
        <f t="shared" si="62"/>
        <v>35</v>
      </c>
      <c r="F12361" s="134" t="s">
        <v>3817</v>
      </c>
      <c r="G12361" s="63" t="str">
        <f>VLOOKUP(C12361, 'Class Def. - General Data'!$C$20:$C$1000,1,false)</f>
        <v>ZSI1_PIPE_REDUCER</v>
      </c>
      <c r="H12361" s="63" t="str">
        <f>IFERROR(__xludf.DUMMYFUNCTION("VLOOKUP(F12361, IMPORTRANGE(""https://docs.google.com/spreadsheets/d/1Lhp9OU0JdFf_VYSMzH5lBcEaU4o8teT1piV-SNzShjg/edit?gid=554141278#gid=554141278"", ""'Char Def. - Attributes'!C20:C2242""), 1,false)"),"ALT_DENUM_UOM5")</f>
        <v>ALT_DENUM_UOM5</v>
      </c>
      <c r="I12361" s="136"/>
      <c r="R12361" s="63" t="str">
        <f t="shared" si="60"/>
        <v>ZSI1_PIPE_REDUCERALT_DENUM_UOM5</v>
      </c>
    </row>
    <row r="12362" ht="15.75" customHeight="1">
      <c r="B12362" s="63">
        <f t="shared" si="1"/>
        <v>17</v>
      </c>
      <c r="C12362" s="135" t="s">
        <v>444</v>
      </c>
      <c r="D12362" s="161" t="s">
        <v>74</v>
      </c>
      <c r="E12362" s="135">
        <f t="shared" si="62"/>
        <v>36</v>
      </c>
      <c r="F12362" s="134" t="s">
        <v>3818</v>
      </c>
      <c r="G12362" s="63" t="str">
        <f>VLOOKUP(C12362, 'Class Def. - General Data'!$C$20:$C$1000,1,false)</f>
        <v>ZSI1_PIPE_REDUCER</v>
      </c>
      <c r="H12362" s="63" t="str">
        <f>IFERROR(__xludf.DUMMYFUNCTION("VLOOKUP(F12362, IMPORTRANGE(""https://docs.google.com/spreadsheets/d/1Lhp9OU0JdFf_VYSMzH5lBcEaU4o8teT1piV-SNzShjg/edit?gid=554141278#gid=554141278"", ""'Char Def. - Attributes'!C20:C2242""), 1,false)"),"ALT_NUM_UOM5")</f>
        <v>ALT_NUM_UOM5</v>
      </c>
      <c r="I12362" s="136"/>
      <c r="R12362" s="63" t="str">
        <f t="shared" si="60"/>
        <v>ZSI1_PIPE_REDUCERALT_NUM_UOM5</v>
      </c>
    </row>
    <row r="12363" ht="15.75" customHeight="1">
      <c r="B12363" s="63">
        <f t="shared" si="1"/>
        <v>18</v>
      </c>
      <c r="C12363" s="135" t="s">
        <v>445</v>
      </c>
      <c r="D12363" s="161" t="s">
        <v>74</v>
      </c>
      <c r="E12363" s="135">
        <f t="shared" si="62"/>
        <v>1</v>
      </c>
      <c r="F12363" s="134" t="s">
        <v>5173</v>
      </c>
      <c r="G12363" s="63" t="str">
        <f>VLOOKUP(C12363, 'Class Def. - General Data'!$C$20:$C$1000,1,false)</f>
        <v>ZSI1_PIPE_STRAINER</v>
      </c>
      <c r="H12363" s="63" t="str">
        <f>IFERROR(__xludf.DUMMYFUNCTION("VLOOKUP(F12363, IMPORTRANGE(""https://docs.google.com/spreadsheets/d/1Lhp9OU0JdFf_VYSMzH5lBcEaU4o8teT1piV-SNzShjg/edit?gid=554141278#gid=554141278"", ""'Char Def. - Attributes'!C20:C2242""), 1,false)"),"ITEM_NAME_PIPE_STRAINER")</f>
        <v>ITEM_NAME_PIPE_STRAINER</v>
      </c>
      <c r="I12363" s="136"/>
      <c r="R12363" s="63" t="str">
        <f t="shared" si="60"/>
        <v>ZSI1_PIPE_STRAINERITEM_NAME_PIPE_STRAINER</v>
      </c>
    </row>
    <row r="12364" ht="15.75" customHeight="1">
      <c r="B12364" s="63">
        <f t="shared" si="1"/>
        <v>18</v>
      </c>
      <c r="C12364" s="135" t="s">
        <v>445</v>
      </c>
      <c r="D12364" s="161" t="s">
        <v>74</v>
      </c>
      <c r="E12364" s="135">
        <f t="shared" si="62"/>
        <v>2</v>
      </c>
      <c r="F12364" s="134" t="s">
        <v>5174</v>
      </c>
      <c r="G12364" s="63" t="str">
        <f>VLOOKUP(C12364, 'Class Def. - General Data'!$C$20:$C$1000,1,false)</f>
        <v>ZSI1_PIPE_STRAINER</v>
      </c>
      <c r="H12364" s="63" t="str">
        <f>IFERROR(__xludf.DUMMYFUNCTION("VLOOKUP(F12364, IMPORTRANGE(""https://docs.google.com/spreadsheets/d/1Lhp9OU0JdFf_VYSMzH5lBcEaU4o8teT1piV-SNzShjg/edit?gid=554141278#gid=554141278"", ""'Char Def. - Attributes'!C20:C2242""), 1,false)"),"SIZE_DIMENSION_PIPE_STRAINER")</f>
        <v>SIZE_DIMENSION_PIPE_STRAINER</v>
      </c>
      <c r="I12364" s="136"/>
      <c r="R12364" s="63" t="str">
        <f t="shared" si="60"/>
        <v>ZSI1_PIPE_STRAINERSIZE_DIMENSION_PIPE_STRAINER</v>
      </c>
    </row>
    <row r="12365" ht="15.75" customHeight="1">
      <c r="B12365" s="63">
        <f t="shared" si="1"/>
        <v>18</v>
      </c>
      <c r="C12365" s="135" t="s">
        <v>445</v>
      </c>
      <c r="D12365" s="161" t="s">
        <v>74</v>
      </c>
      <c r="E12365" s="135">
        <f t="shared" si="62"/>
        <v>3</v>
      </c>
      <c r="F12365" s="134" t="s">
        <v>5175</v>
      </c>
      <c r="G12365" s="63" t="str">
        <f>VLOOKUP(C12365, 'Class Def. - General Data'!$C$20:$C$1000,1,false)</f>
        <v>ZSI1_PIPE_STRAINER</v>
      </c>
      <c r="H12365" s="63" t="str">
        <f>IFERROR(__xludf.DUMMYFUNCTION("VLOOKUP(F12365, IMPORTRANGE(""https://docs.google.com/spreadsheets/d/1Lhp9OU0JdFf_VYSMzH5lBcEaU4o8teT1piV-SNzShjg/edit?gid=554141278#gid=554141278"", ""'Char Def. - Attributes'!C20:C2242""), 1,false)"),"SIZE_MM_PIPE_STRAINER")</f>
        <v>SIZE_MM_PIPE_STRAINER</v>
      </c>
      <c r="I12365" s="136"/>
      <c r="R12365" s="63" t="str">
        <f t="shared" si="60"/>
        <v>ZSI1_PIPE_STRAINERSIZE_MM_PIPE_STRAINER</v>
      </c>
    </row>
    <row r="12366" ht="15.75" customHeight="1">
      <c r="B12366" s="63">
        <f t="shared" si="1"/>
        <v>18</v>
      </c>
      <c r="C12366" s="135" t="s">
        <v>445</v>
      </c>
      <c r="D12366" s="161" t="s">
        <v>74</v>
      </c>
      <c r="E12366" s="135">
        <f t="shared" si="62"/>
        <v>4</v>
      </c>
      <c r="F12366" s="134" t="s">
        <v>5176</v>
      </c>
      <c r="G12366" s="63" t="str">
        <f>VLOOKUP(C12366, 'Class Def. - General Data'!$C$20:$C$1000,1,false)</f>
        <v>ZSI1_PIPE_STRAINER</v>
      </c>
      <c r="H12366" s="63" t="str">
        <f>IFERROR(__xludf.DUMMYFUNCTION("VLOOKUP(F12366, IMPORTRANGE(""https://docs.google.com/spreadsheets/d/1Lhp9OU0JdFf_VYSMzH5lBcEaU4o8teT1piV-SNzShjg/edit?gid=554141278#gid=554141278"", ""'Char Def. - Attributes'!C20:C2242""), 1,false)"),"SIZE_INCH_PIPE_STRAINER")</f>
        <v>SIZE_INCH_PIPE_STRAINER</v>
      </c>
      <c r="I12366" s="136"/>
      <c r="R12366" s="63" t="str">
        <f t="shared" si="60"/>
        <v>ZSI1_PIPE_STRAINERSIZE_INCH_PIPE_STRAINER</v>
      </c>
    </row>
    <row r="12367" ht="15.75" customHeight="1">
      <c r="B12367" s="63">
        <f t="shared" si="1"/>
        <v>18</v>
      </c>
      <c r="C12367" s="135" t="s">
        <v>445</v>
      </c>
      <c r="D12367" s="161" t="s">
        <v>74</v>
      </c>
      <c r="E12367" s="135">
        <f t="shared" si="62"/>
        <v>5</v>
      </c>
      <c r="F12367" s="134" t="s">
        <v>5177</v>
      </c>
      <c r="G12367" s="63" t="str">
        <f>VLOOKUP(C12367, 'Class Def. - General Data'!$C$20:$C$1000,1,false)</f>
        <v>ZSI1_PIPE_STRAINER</v>
      </c>
      <c r="H12367" s="63" t="str">
        <f>IFERROR(__xludf.DUMMYFUNCTION("VLOOKUP(F12367, IMPORTRANGE(""https://docs.google.com/spreadsheets/d/1Lhp9OU0JdFf_VYSMzH5lBcEaU4o8teT1piV-SNzShjg/edit?gid=554141278#gid=554141278"", ""'Char Def. - Attributes'!C20:C2242""), 1,false)"),"MATERIAL_PIPE_STRAINER")</f>
        <v>MATERIAL_PIPE_STRAINER</v>
      </c>
      <c r="I12367" s="136"/>
      <c r="R12367" s="63" t="str">
        <f t="shared" si="60"/>
        <v>ZSI1_PIPE_STRAINERMATERIAL_PIPE_STRAINER</v>
      </c>
    </row>
    <row r="12368" ht="15.75" customHeight="1">
      <c r="B12368" s="63">
        <f t="shared" si="1"/>
        <v>18</v>
      </c>
      <c r="C12368" s="135" t="s">
        <v>445</v>
      </c>
      <c r="D12368" s="161" t="s">
        <v>74</v>
      </c>
      <c r="E12368" s="135">
        <f t="shared" si="62"/>
        <v>6</v>
      </c>
      <c r="F12368" s="134" t="s">
        <v>5178</v>
      </c>
      <c r="G12368" s="63" t="str">
        <f>VLOOKUP(C12368, 'Class Def. - General Data'!$C$20:$C$1000,1,false)</f>
        <v>ZSI1_PIPE_STRAINER</v>
      </c>
      <c r="H12368" s="63" t="str">
        <f>IFERROR(__xludf.DUMMYFUNCTION("VLOOKUP(F12368, IMPORTRANGE(""https://docs.google.com/spreadsheets/d/1Lhp9OU0JdFf_VYSMzH5lBcEaU4o8teT1piV-SNzShjg/edit?gid=554141278#gid=554141278"", ""'Char Def. - Attributes'!C20:C2242""), 1,false)"),"FINISHING_PIPE_STRAINER")</f>
        <v>FINISHING_PIPE_STRAINER</v>
      </c>
      <c r="I12368" s="136"/>
      <c r="R12368" s="63" t="str">
        <f t="shared" si="60"/>
        <v>ZSI1_PIPE_STRAINERFINISHING_PIPE_STRAINER</v>
      </c>
    </row>
    <row r="12369" ht="15.75" customHeight="1">
      <c r="B12369" s="63">
        <f t="shared" si="1"/>
        <v>18</v>
      </c>
      <c r="C12369" s="135" t="s">
        <v>445</v>
      </c>
      <c r="D12369" s="161" t="s">
        <v>74</v>
      </c>
      <c r="E12369" s="135">
        <f t="shared" si="62"/>
        <v>7</v>
      </c>
      <c r="F12369" s="134" t="s">
        <v>5179</v>
      </c>
      <c r="G12369" s="63" t="str">
        <f>VLOOKUP(C12369, 'Class Def. - General Data'!$C$20:$C$1000,1,false)</f>
        <v>ZSI1_PIPE_STRAINER</v>
      </c>
      <c r="H12369" s="63" t="str">
        <f>IFERROR(__xludf.DUMMYFUNCTION("VLOOKUP(F12369, IMPORTRANGE(""https://docs.google.com/spreadsheets/d/1Lhp9OU0JdFf_VYSMzH5lBcEaU4o8teT1piV-SNzShjg/edit?gid=554141278#gid=554141278"", ""'Char Def. - Attributes'!C20:C2242""), 1,false)"),"CONNECTION_TYPE_PIPE_STRAINER")</f>
        <v>CONNECTION_TYPE_PIPE_STRAINER</v>
      </c>
      <c r="I12369" s="136"/>
      <c r="R12369" s="63" t="str">
        <f t="shared" si="60"/>
        <v>ZSI1_PIPE_STRAINERCONNECTION_TYPE_PIPE_STRAINER</v>
      </c>
    </row>
    <row r="12370" ht="15.75" customHeight="1">
      <c r="B12370" s="63">
        <f t="shared" si="1"/>
        <v>18</v>
      </c>
      <c r="C12370" s="135" t="s">
        <v>445</v>
      </c>
      <c r="D12370" s="161" t="s">
        <v>74</v>
      </c>
      <c r="E12370" s="135">
        <f t="shared" si="62"/>
        <v>8</v>
      </c>
      <c r="F12370" s="134" t="s">
        <v>4053</v>
      </c>
      <c r="G12370" s="63" t="str">
        <f>VLOOKUP(C12370, 'Class Def. - General Data'!$C$20:$C$1000,1,false)</f>
        <v>ZSI1_PIPE_STRAINER</v>
      </c>
      <c r="H12370" s="63" t="str">
        <f>IFERROR(__xludf.DUMMYFUNCTION("VLOOKUP(F12370, IMPORTRANGE(""https://docs.google.com/spreadsheets/d/1Lhp9OU0JdFf_VYSMzH5lBcEaU4o8teT1piV-SNzShjg/edit?gid=554141278#gid=554141278"", ""'Char Def. - Attributes'!C20:C2242""), 1,false)"),"MAINTENANCE_ORDER_TYPE")</f>
        <v>MAINTENANCE_ORDER_TYPE</v>
      </c>
      <c r="I12370" s="136"/>
      <c r="R12370" s="63" t="str">
        <f t="shared" si="60"/>
        <v>ZSI1_PIPE_STRAINERMAINTENANCE_ORDER_TYPE</v>
      </c>
    </row>
    <row r="12371" ht="15.75" customHeight="1">
      <c r="B12371" s="63">
        <f t="shared" si="1"/>
        <v>18</v>
      </c>
      <c r="C12371" s="135" t="s">
        <v>445</v>
      </c>
      <c r="D12371" s="161" t="s">
        <v>74</v>
      </c>
      <c r="E12371" s="135">
        <f t="shared" si="62"/>
        <v>9</v>
      </c>
      <c r="F12371" s="134" t="s">
        <v>3585</v>
      </c>
      <c r="G12371" s="63" t="str">
        <f>VLOOKUP(C12371, 'Class Def. - General Data'!$C$20:$C$1000,1,false)</f>
        <v>ZSI1_PIPE_STRAINER</v>
      </c>
      <c r="H12371" s="63" t="str">
        <f>IFERROR(__xludf.DUMMYFUNCTION("VLOOKUP(F12371, IMPORTRANGE(""https://docs.google.com/spreadsheets/d/1Lhp9OU0JdFf_VYSMzH5lBcEaU4o8teT1piV-SNzShjg/edit?gid=554141278#gid=554141278"", ""'Char Def. - Attributes'!C20:C2242""), 1,false)"),"HS_CODE")</f>
        <v>HS_CODE</v>
      </c>
      <c r="I12371" s="136"/>
      <c r="R12371" s="63" t="str">
        <f t="shared" si="60"/>
        <v>ZSI1_PIPE_STRAINERHS_CODE</v>
      </c>
    </row>
    <row r="12372" ht="15.75" customHeight="1">
      <c r="B12372" s="63">
        <f t="shared" si="1"/>
        <v>18</v>
      </c>
      <c r="C12372" s="135" t="s">
        <v>445</v>
      </c>
      <c r="D12372" s="161" t="s">
        <v>74</v>
      </c>
      <c r="E12372" s="135">
        <f t="shared" si="62"/>
        <v>10</v>
      </c>
      <c r="F12372" s="134" t="s">
        <v>3587</v>
      </c>
      <c r="G12372" s="63" t="str">
        <f>VLOOKUP(C12372, 'Class Def. - General Data'!$C$20:$C$1000,1,false)</f>
        <v>ZSI1_PIPE_STRAINER</v>
      </c>
      <c r="H12372" s="63" t="str">
        <f>IFERROR(__xludf.DUMMYFUNCTION("VLOOKUP(F12372, IMPORTRANGE(""https://docs.google.com/spreadsheets/d/1Lhp9OU0JdFf_VYSMzH5lBcEaU4o8teT1piV-SNzShjg/edit?gid=554141278#gid=554141278"", ""'Char Def. - Attributes'!C20:C2242""), 1,false)"),"PLANT_BUY")</f>
        <v>PLANT_BUY</v>
      </c>
      <c r="I12372" s="136"/>
      <c r="R12372" s="63" t="str">
        <f t="shared" si="60"/>
        <v>ZSI1_PIPE_STRAINERPLANT_BUY</v>
      </c>
    </row>
    <row r="12373" ht="15.75" customHeight="1">
      <c r="B12373" s="63">
        <f t="shared" si="1"/>
        <v>18</v>
      </c>
      <c r="C12373" s="135" t="s">
        <v>445</v>
      </c>
      <c r="D12373" s="161" t="s">
        <v>74</v>
      </c>
      <c r="E12373" s="135">
        <f t="shared" si="62"/>
        <v>11</v>
      </c>
      <c r="F12373" s="134" t="s">
        <v>5180</v>
      </c>
      <c r="G12373" s="63" t="str">
        <f>VLOOKUP(C12373, 'Class Def. - General Data'!$C$20:$C$1000,1,false)</f>
        <v>ZSI1_PIPE_STRAINER</v>
      </c>
      <c r="H12373" s="63" t="str">
        <f>IFERROR(__xludf.DUMMYFUNCTION("VLOOKUP(F12373, IMPORTRANGE(""https://docs.google.com/spreadsheets/d/1Lhp9OU0JdFf_VYSMzH5lBcEaU4o8teT1piV-SNzShjg/edit?gid=554141278#gid=554141278"", ""'Char Def. - Attributes'!C20:C2242""), 1,false)"),"BASE_UOM_PIPE_STRAINER")</f>
        <v>BASE_UOM_PIPE_STRAINER</v>
      </c>
      <c r="I12373" s="136"/>
      <c r="R12373" s="63" t="str">
        <f t="shared" si="60"/>
        <v>ZSI1_PIPE_STRAINERBASE_UOM_PIPE_STRAINER</v>
      </c>
    </row>
    <row r="12374" ht="15.75" customHeight="1">
      <c r="B12374" s="63">
        <f t="shared" si="1"/>
        <v>18</v>
      </c>
      <c r="C12374" s="135" t="s">
        <v>445</v>
      </c>
      <c r="D12374" s="161" t="s">
        <v>74</v>
      </c>
      <c r="E12374" s="135">
        <f t="shared" si="62"/>
        <v>12</v>
      </c>
      <c r="F12374" s="134" t="s">
        <v>5181</v>
      </c>
      <c r="G12374" s="63" t="str">
        <f>VLOOKUP(C12374, 'Class Def. - General Data'!$C$20:$C$1000,1,false)</f>
        <v>ZSI1_PIPE_STRAINER</v>
      </c>
      <c r="H12374" s="63" t="str">
        <f>IFERROR(__xludf.DUMMYFUNCTION("VLOOKUP(F12374, IMPORTRANGE(""https://docs.google.com/spreadsheets/d/1Lhp9OU0JdFf_VYSMzH5lBcEaU4o8teT1piV-SNzShjg/edit?gid=554141278#gid=554141278"", ""'Char Def. - Attributes'!C20:C2242""), 1,false)"),"ORDER_UNIT_PIPE_STRAINER")</f>
        <v>ORDER_UNIT_PIPE_STRAINER</v>
      </c>
      <c r="I12374" s="136"/>
      <c r="R12374" s="63" t="str">
        <f t="shared" si="60"/>
        <v>ZSI1_PIPE_STRAINERORDER_UNIT_PIPE_STRAINER</v>
      </c>
    </row>
    <row r="12375" ht="15.75" customHeight="1">
      <c r="B12375" s="63">
        <f t="shared" si="1"/>
        <v>18</v>
      </c>
      <c r="C12375" s="135" t="s">
        <v>445</v>
      </c>
      <c r="D12375" s="161" t="s">
        <v>74</v>
      </c>
      <c r="E12375" s="135">
        <f t="shared" si="62"/>
        <v>13</v>
      </c>
      <c r="F12375" s="134" t="s">
        <v>4056</v>
      </c>
      <c r="G12375" s="63" t="str">
        <f>VLOOKUP(C12375, 'Class Def. - General Data'!$C$20:$C$1000,1,false)</f>
        <v>ZSI1_PIPE_STRAINER</v>
      </c>
      <c r="H12375" s="63" t="str">
        <f>IFERROR(__xludf.DUMMYFUNCTION("VLOOKUP(F12375, IMPORTRANGE(""https://docs.google.com/spreadsheets/d/1Lhp9OU0JdFf_VYSMzH5lBcEaU4o8teT1piV-SNzShjg/edit?gid=554141278#gid=554141278"", ""'Char Def. - Attributes'!C20:C2242""), 1,false)"),"GROSS_WEIGHT_OPT")</f>
        <v>GROSS_WEIGHT_OPT</v>
      </c>
      <c r="I12375" s="136"/>
      <c r="R12375" s="63" t="str">
        <f t="shared" si="60"/>
        <v>ZSI1_PIPE_STRAINERGROSS_WEIGHT_OPT</v>
      </c>
    </row>
    <row r="12376" ht="15.75" customHeight="1">
      <c r="B12376" s="63">
        <f t="shared" si="1"/>
        <v>18</v>
      </c>
      <c r="C12376" s="135" t="s">
        <v>445</v>
      </c>
      <c r="D12376" s="161" t="s">
        <v>74</v>
      </c>
      <c r="E12376" s="135">
        <f t="shared" si="62"/>
        <v>14</v>
      </c>
      <c r="F12376" s="134" t="s">
        <v>4057</v>
      </c>
      <c r="G12376" s="63" t="str">
        <f>VLOOKUP(C12376, 'Class Def. - General Data'!$C$20:$C$1000,1,false)</f>
        <v>ZSI1_PIPE_STRAINER</v>
      </c>
      <c r="H12376" s="63" t="str">
        <f>IFERROR(__xludf.DUMMYFUNCTION("VLOOKUP(F12376, IMPORTRANGE(""https://docs.google.com/spreadsheets/d/1Lhp9OU0JdFf_VYSMzH5lBcEaU4o8teT1piV-SNzShjg/edit?gid=554141278#gid=554141278"", ""'Char Def. - Attributes'!C20:C2242""), 1,false)"),"NET_WEIGHT_OPT")</f>
        <v>NET_WEIGHT_OPT</v>
      </c>
      <c r="I12376" s="136"/>
      <c r="R12376" s="63" t="str">
        <f t="shared" si="60"/>
        <v>ZSI1_PIPE_STRAINERNET_WEIGHT_OPT</v>
      </c>
    </row>
    <row r="12377" ht="15.75" customHeight="1">
      <c r="B12377" s="63">
        <f t="shared" si="1"/>
        <v>18</v>
      </c>
      <c r="C12377" s="135" t="s">
        <v>445</v>
      </c>
      <c r="D12377" s="161" t="s">
        <v>74</v>
      </c>
      <c r="E12377" s="135">
        <f t="shared" si="62"/>
        <v>15</v>
      </c>
      <c r="F12377" s="134" t="s">
        <v>4058</v>
      </c>
      <c r="G12377" s="63" t="str">
        <f>VLOOKUP(C12377, 'Class Def. - General Data'!$C$20:$C$1000,1,false)</f>
        <v>ZSI1_PIPE_STRAINER</v>
      </c>
      <c r="H12377" s="63" t="str">
        <f>IFERROR(__xludf.DUMMYFUNCTION("VLOOKUP(F12377, IMPORTRANGE(""https://docs.google.com/spreadsheets/d/1Lhp9OU0JdFf_VYSMzH5lBcEaU4o8teT1piV-SNzShjg/edit?gid=554141278#gid=554141278"", ""'Char Def. - Attributes'!C20:C2242""), 1,false)"),"WEIGHT_UNIT_SI")</f>
        <v>WEIGHT_UNIT_SI</v>
      </c>
      <c r="I12377" s="136"/>
      <c r="R12377" s="63" t="str">
        <f t="shared" si="60"/>
        <v>ZSI1_PIPE_STRAINERWEIGHT_UNIT_SI</v>
      </c>
    </row>
    <row r="12378" ht="15.75" customHeight="1">
      <c r="B12378" s="63">
        <f t="shared" si="1"/>
        <v>18</v>
      </c>
      <c r="C12378" s="135" t="s">
        <v>445</v>
      </c>
      <c r="D12378" s="161" t="s">
        <v>74</v>
      </c>
      <c r="E12378" s="135">
        <f t="shared" si="62"/>
        <v>16</v>
      </c>
      <c r="F12378" s="134" t="s">
        <v>3877</v>
      </c>
      <c r="G12378" s="63" t="str">
        <f>VLOOKUP(C12378, 'Class Def. - General Data'!$C$20:$C$1000,1,false)</f>
        <v>ZSI1_PIPE_STRAINER</v>
      </c>
      <c r="H12378" s="63" t="str">
        <f>IFERROR(__xludf.DUMMYFUNCTION("VLOOKUP(F12378, IMPORTRANGE(""https://docs.google.com/spreadsheets/d/1Lhp9OU0JdFf_VYSMzH5lBcEaU4o8teT1piV-SNzShjg/edit?gid=554141278#gid=554141278"", ""'Char Def. - Attributes'!C20:C2242""), 1,false)"),"VOLUME_OPT")</f>
        <v>VOLUME_OPT</v>
      </c>
      <c r="I12378" s="136"/>
      <c r="R12378" s="63" t="str">
        <f t="shared" si="60"/>
        <v>ZSI1_PIPE_STRAINERVOLUME_OPT</v>
      </c>
    </row>
    <row r="12379" ht="15.75" customHeight="1">
      <c r="B12379" s="63">
        <f t="shared" si="1"/>
        <v>18</v>
      </c>
      <c r="C12379" s="135" t="s">
        <v>445</v>
      </c>
      <c r="D12379" s="161" t="s">
        <v>74</v>
      </c>
      <c r="E12379" s="135">
        <f t="shared" si="62"/>
        <v>17</v>
      </c>
      <c r="F12379" s="134" t="s">
        <v>4059</v>
      </c>
      <c r="G12379" s="63" t="str">
        <f>VLOOKUP(C12379, 'Class Def. - General Data'!$C$20:$C$1000,1,false)</f>
        <v>ZSI1_PIPE_STRAINER</v>
      </c>
      <c r="H12379" s="63" t="str">
        <f>IFERROR(__xludf.DUMMYFUNCTION("VLOOKUP(F12379, IMPORTRANGE(""https://docs.google.com/spreadsheets/d/1Lhp9OU0JdFf_VYSMzH5lBcEaU4o8teT1piV-SNzShjg/edit?gid=554141278#gid=554141278"", ""'Char Def. - Attributes'!C20:C2242""), 1,false)"),"VOLUME_UNIT_SI")</f>
        <v>VOLUME_UNIT_SI</v>
      </c>
      <c r="I12379" s="136"/>
      <c r="R12379" s="63" t="str">
        <f t="shared" si="60"/>
        <v>ZSI1_PIPE_STRAINERVOLUME_UNIT_SI</v>
      </c>
    </row>
    <row r="12380" ht="15.75" customHeight="1">
      <c r="B12380" s="63">
        <f t="shared" si="1"/>
        <v>18</v>
      </c>
      <c r="C12380" s="135" t="s">
        <v>445</v>
      </c>
      <c r="D12380" s="161" t="s">
        <v>74</v>
      </c>
      <c r="E12380" s="135">
        <f t="shared" si="62"/>
        <v>18</v>
      </c>
      <c r="F12380" s="134" t="s">
        <v>3804</v>
      </c>
      <c r="G12380" s="63" t="str">
        <f>VLOOKUP(C12380, 'Class Def. - General Data'!$C$20:$C$1000,1,false)</f>
        <v>ZSI1_PIPE_STRAINER</v>
      </c>
      <c r="H12380" s="63" t="str">
        <f>IFERROR(__xludf.DUMMYFUNCTION("VLOOKUP(F12380, IMPORTRANGE(""https://docs.google.com/spreadsheets/d/1Lhp9OU0JdFf_VYSMzH5lBcEaU4o8teT1piV-SNzShjg/edit?gid=554141278#gid=554141278"", ""'Char Def. - Attributes'!C20:C2242""), 1,false)"),"ALT_UOM1_SIPI")</f>
        <v>ALT_UOM1_SIPI</v>
      </c>
      <c r="I12380" s="136"/>
      <c r="R12380" s="63" t="str">
        <f t="shared" si="60"/>
        <v>ZSI1_PIPE_STRAINERALT_UOM1_SIPI</v>
      </c>
    </row>
    <row r="12381" ht="15.75" customHeight="1">
      <c r="B12381" s="63">
        <f t="shared" si="1"/>
        <v>18</v>
      </c>
      <c r="C12381" s="135" t="s">
        <v>445</v>
      </c>
      <c r="D12381" s="161" t="s">
        <v>74</v>
      </c>
      <c r="E12381" s="135">
        <f t="shared" si="62"/>
        <v>19</v>
      </c>
      <c r="F12381" s="134" t="s">
        <v>3805</v>
      </c>
      <c r="G12381" s="63" t="str">
        <f>VLOOKUP(C12381, 'Class Def. - General Data'!$C$20:$C$1000,1,false)</f>
        <v>ZSI1_PIPE_STRAINER</v>
      </c>
      <c r="H12381" s="63" t="str">
        <f>IFERROR(__xludf.DUMMYFUNCTION("VLOOKUP(F12381, IMPORTRANGE(""https://docs.google.com/spreadsheets/d/1Lhp9OU0JdFf_VYSMzH5lBcEaU4o8teT1piV-SNzShjg/edit?gid=554141278#gid=554141278"", ""'Char Def. - Attributes'!C20:C2242""), 1,false)"),"ALT_DENUM_UOM1")</f>
        <v>ALT_DENUM_UOM1</v>
      </c>
      <c r="I12381" s="136"/>
      <c r="R12381" s="63" t="str">
        <f t="shared" si="60"/>
        <v>ZSI1_PIPE_STRAINERALT_DENUM_UOM1</v>
      </c>
    </row>
    <row r="12382" ht="15.75" customHeight="1">
      <c r="B12382" s="63">
        <f t="shared" si="1"/>
        <v>18</v>
      </c>
      <c r="C12382" s="135" t="s">
        <v>445</v>
      </c>
      <c r="D12382" s="161" t="s">
        <v>74</v>
      </c>
      <c r="E12382" s="135">
        <f t="shared" si="62"/>
        <v>20</v>
      </c>
      <c r="F12382" s="134" t="s">
        <v>3806</v>
      </c>
      <c r="G12382" s="63" t="str">
        <f>VLOOKUP(C12382, 'Class Def. - General Data'!$C$20:$C$1000,1,false)</f>
        <v>ZSI1_PIPE_STRAINER</v>
      </c>
      <c r="H12382" s="63" t="str">
        <f>IFERROR(__xludf.DUMMYFUNCTION("VLOOKUP(F12382, IMPORTRANGE(""https://docs.google.com/spreadsheets/d/1Lhp9OU0JdFf_VYSMzH5lBcEaU4o8teT1piV-SNzShjg/edit?gid=554141278#gid=554141278"", ""'Char Def. - Attributes'!C20:C2242""), 1,false)"),"ALT_NUM_UOM1")</f>
        <v>ALT_NUM_UOM1</v>
      </c>
      <c r="I12382" s="136"/>
      <c r="R12382" s="63" t="str">
        <f t="shared" si="60"/>
        <v>ZSI1_PIPE_STRAINERALT_NUM_UOM1</v>
      </c>
    </row>
    <row r="12383" ht="15.75" customHeight="1">
      <c r="B12383" s="63">
        <f t="shared" si="1"/>
        <v>18</v>
      </c>
      <c r="C12383" s="135" t="s">
        <v>445</v>
      </c>
      <c r="D12383" s="161" t="s">
        <v>74</v>
      </c>
      <c r="E12383" s="135">
        <f t="shared" si="62"/>
        <v>21</v>
      </c>
      <c r="F12383" s="134" t="s">
        <v>3807</v>
      </c>
      <c r="G12383" s="63" t="str">
        <f>VLOOKUP(C12383, 'Class Def. - General Data'!$C$20:$C$1000,1,false)</f>
        <v>ZSI1_PIPE_STRAINER</v>
      </c>
      <c r="H12383" s="63" t="str">
        <f>IFERROR(__xludf.DUMMYFUNCTION("VLOOKUP(F12383, IMPORTRANGE(""https://docs.google.com/spreadsheets/d/1Lhp9OU0JdFf_VYSMzH5lBcEaU4o8teT1piV-SNzShjg/edit?gid=554141278#gid=554141278"", ""'Char Def. - Attributes'!C20:C2242""), 1,false)"),"ALT_UOM2_SIPI")</f>
        <v>ALT_UOM2_SIPI</v>
      </c>
      <c r="I12383" s="136"/>
      <c r="R12383" s="63" t="str">
        <f t="shared" si="60"/>
        <v>ZSI1_PIPE_STRAINERALT_UOM2_SIPI</v>
      </c>
    </row>
    <row r="12384" ht="15.75" customHeight="1">
      <c r="B12384" s="63">
        <f t="shared" si="1"/>
        <v>18</v>
      </c>
      <c r="C12384" s="135" t="s">
        <v>445</v>
      </c>
      <c r="D12384" s="161" t="s">
        <v>74</v>
      </c>
      <c r="E12384" s="135">
        <f t="shared" si="62"/>
        <v>22</v>
      </c>
      <c r="F12384" s="134" t="s">
        <v>3808</v>
      </c>
      <c r="G12384" s="63" t="str">
        <f>VLOOKUP(C12384, 'Class Def. - General Data'!$C$20:$C$1000,1,false)</f>
        <v>ZSI1_PIPE_STRAINER</v>
      </c>
      <c r="H12384" s="63" t="str">
        <f>IFERROR(__xludf.DUMMYFUNCTION("VLOOKUP(F12384, IMPORTRANGE(""https://docs.google.com/spreadsheets/d/1Lhp9OU0JdFf_VYSMzH5lBcEaU4o8teT1piV-SNzShjg/edit?gid=554141278#gid=554141278"", ""'Char Def. - Attributes'!C20:C2242""), 1,false)"),"ALT_DENUM_UOM2")</f>
        <v>ALT_DENUM_UOM2</v>
      </c>
      <c r="I12384" s="136"/>
      <c r="R12384" s="63" t="str">
        <f t="shared" si="60"/>
        <v>ZSI1_PIPE_STRAINERALT_DENUM_UOM2</v>
      </c>
    </row>
    <row r="12385" ht="15.75" customHeight="1">
      <c r="B12385" s="63">
        <f t="shared" si="1"/>
        <v>18</v>
      </c>
      <c r="C12385" s="135" t="s">
        <v>445</v>
      </c>
      <c r="D12385" s="161" t="s">
        <v>74</v>
      </c>
      <c r="E12385" s="135">
        <f t="shared" si="62"/>
        <v>23</v>
      </c>
      <c r="F12385" s="134" t="s">
        <v>3809</v>
      </c>
      <c r="G12385" s="63" t="str">
        <f>VLOOKUP(C12385, 'Class Def. - General Data'!$C$20:$C$1000,1,false)</f>
        <v>ZSI1_PIPE_STRAINER</v>
      </c>
      <c r="H12385" s="63" t="str">
        <f>IFERROR(__xludf.DUMMYFUNCTION("VLOOKUP(F12385, IMPORTRANGE(""https://docs.google.com/spreadsheets/d/1Lhp9OU0JdFf_VYSMzH5lBcEaU4o8teT1piV-SNzShjg/edit?gid=554141278#gid=554141278"", ""'Char Def. - Attributes'!C20:C2242""), 1,false)"),"ALT_NUM_UOM2")</f>
        <v>ALT_NUM_UOM2</v>
      </c>
      <c r="I12385" s="136"/>
      <c r="R12385" s="63" t="str">
        <f t="shared" si="60"/>
        <v>ZSI1_PIPE_STRAINERALT_NUM_UOM2</v>
      </c>
    </row>
    <row r="12386" ht="15.75" customHeight="1">
      <c r="B12386" s="63">
        <f t="shared" si="1"/>
        <v>18</v>
      </c>
      <c r="C12386" s="135" t="s">
        <v>445</v>
      </c>
      <c r="D12386" s="161" t="s">
        <v>74</v>
      </c>
      <c r="E12386" s="135">
        <f t="shared" si="62"/>
        <v>24</v>
      </c>
      <c r="F12386" s="134" t="s">
        <v>3810</v>
      </c>
      <c r="G12386" s="63" t="str">
        <f>VLOOKUP(C12386, 'Class Def. - General Data'!$C$20:$C$1000,1,false)</f>
        <v>ZSI1_PIPE_STRAINER</v>
      </c>
      <c r="H12386" s="63" t="str">
        <f>IFERROR(__xludf.DUMMYFUNCTION("VLOOKUP(F12386, IMPORTRANGE(""https://docs.google.com/spreadsheets/d/1Lhp9OU0JdFf_VYSMzH5lBcEaU4o8teT1piV-SNzShjg/edit?gid=554141278#gid=554141278"", ""'Char Def. - Attributes'!C20:C2242""), 1,false)"),"ALT_UOM3_SIPI")</f>
        <v>ALT_UOM3_SIPI</v>
      </c>
      <c r="I12386" s="136"/>
      <c r="R12386" s="63" t="str">
        <f t="shared" si="60"/>
        <v>ZSI1_PIPE_STRAINERALT_UOM3_SIPI</v>
      </c>
    </row>
    <row r="12387" ht="15.75" customHeight="1">
      <c r="B12387" s="63">
        <f t="shared" si="1"/>
        <v>18</v>
      </c>
      <c r="C12387" s="135" t="s">
        <v>445</v>
      </c>
      <c r="D12387" s="161" t="s">
        <v>74</v>
      </c>
      <c r="E12387" s="135">
        <f t="shared" si="62"/>
        <v>25</v>
      </c>
      <c r="F12387" s="134" t="s">
        <v>3811</v>
      </c>
      <c r="G12387" s="63" t="str">
        <f>VLOOKUP(C12387, 'Class Def. - General Data'!$C$20:$C$1000,1,false)</f>
        <v>ZSI1_PIPE_STRAINER</v>
      </c>
      <c r="H12387" s="63" t="str">
        <f>IFERROR(__xludf.DUMMYFUNCTION("VLOOKUP(F12387, IMPORTRANGE(""https://docs.google.com/spreadsheets/d/1Lhp9OU0JdFf_VYSMzH5lBcEaU4o8teT1piV-SNzShjg/edit?gid=554141278#gid=554141278"", ""'Char Def. - Attributes'!C20:C2242""), 1,false)"),"ALT_DENUM_UOM3")</f>
        <v>ALT_DENUM_UOM3</v>
      </c>
      <c r="I12387" s="136"/>
      <c r="R12387" s="63" t="str">
        <f t="shared" si="60"/>
        <v>ZSI1_PIPE_STRAINERALT_DENUM_UOM3</v>
      </c>
    </row>
    <row r="12388" ht="15.75" customHeight="1">
      <c r="B12388" s="63">
        <f t="shared" si="1"/>
        <v>18</v>
      </c>
      <c r="C12388" s="135" t="s">
        <v>445</v>
      </c>
      <c r="D12388" s="161" t="s">
        <v>74</v>
      </c>
      <c r="E12388" s="135">
        <f t="shared" si="62"/>
        <v>26</v>
      </c>
      <c r="F12388" s="134" t="s">
        <v>3812</v>
      </c>
      <c r="G12388" s="63" t="str">
        <f>VLOOKUP(C12388, 'Class Def. - General Data'!$C$20:$C$1000,1,false)</f>
        <v>ZSI1_PIPE_STRAINER</v>
      </c>
      <c r="H12388" s="63" t="str">
        <f>IFERROR(__xludf.DUMMYFUNCTION("VLOOKUP(F12388, IMPORTRANGE(""https://docs.google.com/spreadsheets/d/1Lhp9OU0JdFf_VYSMzH5lBcEaU4o8teT1piV-SNzShjg/edit?gid=554141278#gid=554141278"", ""'Char Def. - Attributes'!C20:C2242""), 1,false)"),"ALT_NUM_UOM3")</f>
        <v>ALT_NUM_UOM3</v>
      </c>
      <c r="I12388" s="136"/>
      <c r="R12388" s="63" t="str">
        <f t="shared" si="60"/>
        <v>ZSI1_PIPE_STRAINERALT_NUM_UOM3</v>
      </c>
    </row>
    <row r="12389" ht="15.75" customHeight="1">
      <c r="B12389" s="63">
        <f t="shared" si="1"/>
        <v>18</v>
      </c>
      <c r="C12389" s="135" t="s">
        <v>445</v>
      </c>
      <c r="D12389" s="161" t="s">
        <v>74</v>
      </c>
      <c r="E12389" s="135">
        <f t="shared" si="62"/>
        <v>27</v>
      </c>
      <c r="F12389" s="134" t="s">
        <v>3813</v>
      </c>
      <c r="G12389" s="63" t="str">
        <f>VLOOKUP(C12389, 'Class Def. - General Data'!$C$20:$C$1000,1,false)</f>
        <v>ZSI1_PIPE_STRAINER</v>
      </c>
      <c r="H12389" s="63" t="str">
        <f>IFERROR(__xludf.DUMMYFUNCTION("VLOOKUP(F12389, IMPORTRANGE(""https://docs.google.com/spreadsheets/d/1Lhp9OU0JdFf_VYSMzH5lBcEaU4o8teT1piV-SNzShjg/edit?gid=554141278#gid=554141278"", ""'Char Def. - Attributes'!C20:C2242""), 1,false)"),"ALT_UOM4_SIPI")</f>
        <v>ALT_UOM4_SIPI</v>
      </c>
      <c r="I12389" s="136"/>
      <c r="R12389" s="63" t="str">
        <f t="shared" si="60"/>
        <v>ZSI1_PIPE_STRAINERALT_UOM4_SIPI</v>
      </c>
    </row>
    <row r="12390" ht="15.75" customHeight="1">
      <c r="B12390" s="63">
        <f t="shared" si="1"/>
        <v>18</v>
      </c>
      <c r="C12390" s="135" t="s">
        <v>445</v>
      </c>
      <c r="D12390" s="161" t="s">
        <v>74</v>
      </c>
      <c r="E12390" s="135">
        <f t="shared" si="62"/>
        <v>28</v>
      </c>
      <c r="F12390" s="134" t="s">
        <v>3814</v>
      </c>
      <c r="G12390" s="63" t="str">
        <f>VLOOKUP(C12390, 'Class Def. - General Data'!$C$20:$C$1000,1,false)</f>
        <v>ZSI1_PIPE_STRAINER</v>
      </c>
      <c r="H12390" s="63" t="str">
        <f>IFERROR(__xludf.DUMMYFUNCTION("VLOOKUP(F12390, IMPORTRANGE(""https://docs.google.com/spreadsheets/d/1Lhp9OU0JdFf_VYSMzH5lBcEaU4o8teT1piV-SNzShjg/edit?gid=554141278#gid=554141278"", ""'Char Def. - Attributes'!C20:C2242""), 1,false)"),"ALT_DENUM_UOM4")</f>
        <v>ALT_DENUM_UOM4</v>
      </c>
      <c r="I12390" s="136"/>
      <c r="R12390" s="63" t="str">
        <f t="shared" si="60"/>
        <v>ZSI1_PIPE_STRAINERALT_DENUM_UOM4</v>
      </c>
    </row>
    <row r="12391" ht="15.75" customHeight="1">
      <c r="B12391" s="63">
        <f t="shared" si="1"/>
        <v>18</v>
      </c>
      <c r="C12391" s="135" t="s">
        <v>445</v>
      </c>
      <c r="D12391" s="161" t="s">
        <v>74</v>
      </c>
      <c r="E12391" s="135">
        <f t="shared" si="62"/>
        <v>29</v>
      </c>
      <c r="F12391" s="134" t="s">
        <v>3815</v>
      </c>
      <c r="G12391" s="63" t="str">
        <f>VLOOKUP(C12391, 'Class Def. - General Data'!$C$20:$C$1000,1,false)</f>
        <v>ZSI1_PIPE_STRAINER</v>
      </c>
      <c r="H12391" s="63" t="str">
        <f>IFERROR(__xludf.DUMMYFUNCTION("VLOOKUP(F12391, IMPORTRANGE(""https://docs.google.com/spreadsheets/d/1Lhp9OU0JdFf_VYSMzH5lBcEaU4o8teT1piV-SNzShjg/edit?gid=554141278#gid=554141278"", ""'Char Def. - Attributes'!C20:C2242""), 1,false)"),"ALT_NUM_UOM4")</f>
        <v>ALT_NUM_UOM4</v>
      </c>
      <c r="I12391" s="136"/>
      <c r="R12391" s="63" t="str">
        <f t="shared" si="60"/>
        <v>ZSI1_PIPE_STRAINERALT_NUM_UOM4</v>
      </c>
    </row>
    <row r="12392" ht="15.75" customHeight="1">
      <c r="B12392" s="63">
        <f t="shared" si="1"/>
        <v>18</v>
      </c>
      <c r="C12392" s="135" t="s">
        <v>445</v>
      </c>
      <c r="D12392" s="161" t="s">
        <v>74</v>
      </c>
      <c r="E12392" s="135">
        <f t="shared" si="62"/>
        <v>30</v>
      </c>
      <c r="F12392" s="134" t="s">
        <v>3816</v>
      </c>
      <c r="G12392" s="63" t="str">
        <f>VLOOKUP(C12392, 'Class Def. - General Data'!$C$20:$C$1000,1,false)</f>
        <v>ZSI1_PIPE_STRAINER</v>
      </c>
      <c r="H12392" s="63" t="str">
        <f>IFERROR(__xludf.DUMMYFUNCTION("VLOOKUP(F12392, IMPORTRANGE(""https://docs.google.com/spreadsheets/d/1Lhp9OU0JdFf_VYSMzH5lBcEaU4o8teT1piV-SNzShjg/edit?gid=554141278#gid=554141278"", ""'Char Def. - Attributes'!C20:C2242""), 1,false)"),"ALT_UOM5_SIPI")</f>
        <v>ALT_UOM5_SIPI</v>
      </c>
      <c r="I12392" s="136"/>
      <c r="R12392" s="63" t="str">
        <f t="shared" si="60"/>
        <v>ZSI1_PIPE_STRAINERALT_UOM5_SIPI</v>
      </c>
    </row>
    <row r="12393" ht="15.75" customHeight="1">
      <c r="B12393" s="63">
        <f t="shared" si="1"/>
        <v>18</v>
      </c>
      <c r="C12393" s="135" t="s">
        <v>445</v>
      </c>
      <c r="D12393" s="161" t="s">
        <v>74</v>
      </c>
      <c r="E12393" s="135">
        <f t="shared" si="62"/>
        <v>31</v>
      </c>
      <c r="F12393" s="134" t="s">
        <v>3817</v>
      </c>
      <c r="G12393" s="63" t="str">
        <f>VLOOKUP(C12393, 'Class Def. - General Data'!$C$20:$C$1000,1,false)</f>
        <v>ZSI1_PIPE_STRAINER</v>
      </c>
      <c r="H12393" s="63" t="str">
        <f>IFERROR(__xludf.DUMMYFUNCTION("VLOOKUP(F12393, IMPORTRANGE(""https://docs.google.com/spreadsheets/d/1Lhp9OU0JdFf_VYSMzH5lBcEaU4o8teT1piV-SNzShjg/edit?gid=554141278#gid=554141278"", ""'Char Def. - Attributes'!C20:C2242""), 1,false)"),"ALT_DENUM_UOM5")</f>
        <v>ALT_DENUM_UOM5</v>
      </c>
      <c r="I12393" s="136"/>
      <c r="R12393" s="63" t="str">
        <f t="shared" si="60"/>
        <v>ZSI1_PIPE_STRAINERALT_DENUM_UOM5</v>
      </c>
    </row>
    <row r="12394" ht="15.75" customHeight="1">
      <c r="B12394" s="63">
        <f t="shared" si="1"/>
        <v>18</v>
      </c>
      <c r="C12394" s="135" t="s">
        <v>445</v>
      </c>
      <c r="D12394" s="161" t="s">
        <v>74</v>
      </c>
      <c r="E12394" s="135">
        <f t="shared" si="62"/>
        <v>32</v>
      </c>
      <c r="F12394" s="134" t="s">
        <v>3818</v>
      </c>
      <c r="G12394" s="63" t="str">
        <f>VLOOKUP(C12394, 'Class Def. - General Data'!$C$20:$C$1000,1,false)</f>
        <v>ZSI1_PIPE_STRAINER</v>
      </c>
      <c r="H12394" s="63" t="str">
        <f>IFERROR(__xludf.DUMMYFUNCTION("VLOOKUP(F12394, IMPORTRANGE(""https://docs.google.com/spreadsheets/d/1Lhp9OU0JdFf_VYSMzH5lBcEaU4o8teT1piV-SNzShjg/edit?gid=554141278#gid=554141278"", ""'Char Def. - Attributes'!C20:C2242""), 1,false)"),"ALT_NUM_UOM5")</f>
        <v>ALT_NUM_UOM5</v>
      </c>
      <c r="I12394" s="136"/>
      <c r="R12394" s="63" t="str">
        <f t="shared" si="60"/>
        <v>ZSI1_PIPE_STRAINERALT_NUM_UOM5</v>
      </c>
    </row>
    <row r="12395" ht="15.75" customHeight="1">
      <c r="B12395" s="63">
        <f t="shared" si="1"/>
        <v>13</v>
      </c>
      <c r="C12395" s="135" t="s">
        <v>446</v>
      </c>
      <c r="D12395" s="161" t="s">
        <v>74</v>
      </c>
      <c r="E12395" s="135">
        <f t="shared" si="62"/>
        <v>1</v>
      </c>
      <c r="F12395" s="134" t="s">
        <v>5182</v>
      </c>
      <c r="G12395" s="63" t="str">
        <f>VLOOKUP(C12395, 'Class Def. - General Data'!$C$20:$C$1000,1,false)</f>
        <v>ZSI1_PIPE_TEE</v>
      </c>
      <c r="H12395" s="63" t="str">
        <f>IFERROR(__xludf.DUMMYFUNCTION("VLOOKUP(F12395, IMPORTRANGE(""https://docs.google.com/spreadsheets/d/1Lhp9OU0JdFf_VYSMzH5lBcEaU4o8teT1piV-SNzShjg/edit?gid=554141278#gid=554141278"", ""'Char Def. - Attributes'!C20:C2242""), 1,false)"),"ITEM_NAME_PIPE_TEE")</f>
        <v>ITEM_NAME_PIPE_TEE</v>
      </c>
      <c r="I12395" s="136"/>
      <c r="R12395" s="63" t="str">
        <f t="shared" si="60"/>
        <v>ZSI1_PIPE_TEEITEM_NAME_PIPE_TEE</v>
      </c>
    </row>
    <row r="12396" ht="15.75" customHeight="1">
      <c r="B12396" s="63">
        <f t="shared" si="1"/>
        <v>13</v>
      </c>
      <c r="C12396" s="135" t="s">
        <v>446</v>
      </c>
      <c r="D12396" s="161" t="s">
        <v>74</v>
      </c>
      <c r="E12396" s="135">
        <f t="shared" si="62"/>
        <v>2</v>
      </c>
      <c r="F12396" s="134" t="s">
        <v>5183</v>
      </c>
      <c r="G12396" s="63" t="str">
        <f>VLOOKUP(C12396, 'Class Def. - General Data'!$C$20:$C$1000,1,false)</f>
        <v>ZSI1_PIPE_TEE</v>
      </c>
      <c r="H12396" s="63" t="str">
        <f>IFERROR(__xludf.DUMMYFUNCTION("VLOOKUP(F12396, IMPORTRANGE(""https://docs.google.com/spreadsheets/d/1Lhp9OU0JdFf_VYSMzH5lBcEaU4o8teT1piV-SNzShjg/edit?gid=554141278#gid=554141278"", ""'Char Def. - Attributes'!C20:C2242""), 1,false)"),"DIMENSION_PIPE_TEE")</f>
        <v>DIMENSION_PIPE_TEE</v>
      </c>
      <c r="I12396" s="136"/>
      <c r="R12396" s="63" t="str">
        <f t="shared" si="60"/>
        <v>ZSI1_PIPE_TEEDIMENSION_PIPE_TEE</v>
      </c>
    </row>
    <row r="12397" ht="15.75" customHeight="1">
      <c r="B12397" s="63">
        <f t="shared" si="1"/>
        <v>13</v>
      </c>
      <c r="C12397" s="135" t="s">
        <v>446</v>
      </c>
      <c r="D12397" s="161" t="s">
        <v>74</v>
      </c>
      <c r="E12397" s="135">
        <f t="shared" si="62"/>
        <v>3</v>
      </c>
      <c r="F12397" s="134" t="s">
        <v>5184</v>
      </c>
      <c r="G12397" s="63" t="str">
        <f>VLOOKUP(C12397, 'Class Def. - General Data'!$C$20:$C$1000,1,false)</f>
        <v>ZSI1_PIPE_TEE</v>
      </c>
      <c r="H12397" s="63" t="str">
        <f>IFERROR(__xludf.DUMMYFUNCTION("VLOOKUP(F12397, IMPORTRANGE(""https://docs.google.com/spreadsheets/d/1Lhp9OU0JdFf_VYSMzH5lBcEaU4o8teT1piV-SNzShjg/edit?gid=554141278#gid=554141278"", ""'Char Def. - Attributes'!C20:C2242""), 1,false)"),"SIZE_MM_PIPE_TEE")</f>
        <v>SIZE_MM_PIPE_TEE</v>
      </c>
      <c r="I12397" s="136"/>
      <c r="R12397" s="63" t="str">
        <f t="shared" si="60"/>
        <v>ZSI1_PIPE_TEESIZE_MM_PIPE_TEE</v>
      </c>
    </row>
    <row r="12398" ht="15.75" customHeight="1">
      <c r="B12398" s="63">
        <f t="shared" si="1"/>
        <v>13</v>
      </c>
      <c r="C12398" s="135" t="s">
        <v>446</v>
      </c>
      <c r="D12398" s="161" t="s">
        <v>74</v>
      </c>
      <c r="E12398" s="135">
        <f t="shared" si="62"/>
        <v>4</v>
      </c>
      <c r="F12398" s="134" t="s">
        <v>5185</v>
      </c>
      <c r="G12398" s="63" t="str">
        <f>VLOOKUP(C12398, 'Class Def. - General Data'!$C$20:$C$1000,1,false)</f>
        <v>ZSI1_PIPE_TEE</v>
      </c>
      <c r="H12398" s="63" t="str">
        <f>IFERROR(__xludf.DUMMYFUNCTION("VLOOKUP(F12398, IMPORTRANGE(""https://docs.google.com/spreadsheets/d/1Lhp9OU0JdFf_VYSMzH5lBcEaU4o8teT1piV-SNzShjg/edit?gid=554141278#gid=554141278"", ""'Char Def. - Attributes'!C20:C2242""), 1,false)"),"SIZE_INCH_PIPE_TEE")</f>
        <v>SIZE_INCH_PIPE_TEE</v>
      </c>
      <c r="I12398" s="136"/>
      <c r="R12398" s="63" t="str">
        <f t="shared" si="60"/>
        <v>ZSI1_PIPE_TEESIZE_INCH_PIPE_TEE</v>
      </c>
    </row>
    <row r="12399" ht="15.75" customHeight="1">
      <c r="B12399" s="63">
        <f t="shared" si="1"/>
        <v>13</v>
      </c>
      <c r="C12399" s="135" t="s">
        <v>446</v>
      </c>
      <c r="D12399" s="161" t="s">
        <v>74</v>
      </c>
      <c r="E12399" s="135">
        <f t="shared" si="62"/>
        <v>5</v>
      </c>
      <c r="F12399" s="134" t="s">
        <v>5186</v>
      </c>
      <c r="G12399" s="63" t="str">
        <f>VLOOKUP(C12399, 'Class Def. - General Data'!$C$20:$C$1000,1,false)</f>
        <v>ZSI1_PIPE_TEE</v>
      </c>
      <c r="H12399" s="63" t="str">
        <f>IFERROR(__xludf.DUMMYFUNCTION("VLOOKUP(F12399, IMPORTRANGE(""https://docs.google.com/spreadsheets/d/1Lhp9OU0JdFf_VYSMzH5lBcEaU4o8teT1piV-SNzShjg/edit?gid=554141278#gid=554141278"", ""'Char Def. - Attributes'!C20:C2242""), 1,false)"),"CONNECTION_PIPE_TEE")</f>
        <v>CONNECTION_PIPE_TEE</v>
      </c>
      <c r="I12399" s="136"/>
      <c r="R12399" s="63" t="str">
        <f t="shared" si="60"/>
        <v>ZSI1_PIPE_TEECONNECTION_PIPE_TEE</v>
      </c>
    </row>
    <row r="12400" ht="15.75" customHeight="1">
      <c r="B12400" s="63">
        <f t="shared" si="1"/>
        <v>13</v>
      </c>
      <c r="C12400" s="135" t="s">
        <v>446</v>
      </c>
      <c r="D12400" s="161" t="s">
        <v>74</v>
      </c>
      <c r="E12400" s="135">
        <f t="shared" si="62"/>
        <v>6</v>
      </c>
      <c r="F12400" s="134" t="s">
        <v>5187</v>
      </c>
      <c r="G12400" s="63" t="str">
        <f>VLOOKUP(C12400, 'Class Def. - General Data'!$C$20:$C$1000,1,false)</f>
        <v>ZSI1_PIPE_TEE</v>
      </c>
      <c r="H12400" s="63" t="str">
        <f>IFERROR(__xludf.DUMMYFUNCTION("VLOOKUP(F12400, IMPORTRANGE(""https://docs.google.com/spreadsheets/d/1Lhp9OU0JdFf_VYSMzH5lBcEaU4o8teT1piV-SNzShjg/edit?gid=554141278#gid=554141278"", ""'Char Def. - Attributes'!C20:C2242""), 1,false)"),"RATING_PIPE_TEE")</f>
        <v>RATING_PIPE_TEE</v>
      </c>
      <c r="I12400" s="136"/>
      <c r="R12400" s="63" t="str">
        <f t="shared" si="60"/>
        <v>ZSI1_PIPE_TEERATING_PIPE_TEE</v>
      </c>
    </row>
    <row r="12401" ht="15.75" customHeight="1">
      <c r="B12401" s="63">
        <f t="shared" si="1"/>
        <v>13</v>
      </c>
      <c r="C12401" s="135" t="s">
        <v>446</v>
      </c>
      <c r="D12401" s="161" t="s">
        <v>74</v>
      </c>
      <c r="E12401" s="135">
        <f t="shared" si="62"/>
        <v>7</v>
      </c>
      <c r="F12401" s="134" t="s">
        <v>5188</v>
      </c>
      <c r="G12401" s="63" t="str">
        <f>VLOOKUP(C12401, 'Class Def. - General Data'!$C$20:$C$1000,1,false)</f>
        <v>ZSI1_PIPE_TEE</v>
      </c>
      <c r="H12401" s="63" t="str">
        <f>IFERROR(__xludf.DUMMYFUNCTION("VLOOKUP(F12401, IMPORTRANGE(""https://docs.google.com/spreadsheets/d/1Lhp9OU0JdFf_VYSMzH5lBcEaU4o8teT1piV-SNzShjg/edit?gid=554141278#gid=554141278"", ""'Char Def. - Attributes'!C20:C2242""), 1,false)"),"MATERIAL_PIPE_TEE")</f>
        <v>MATERIAL_PIPE_TEE</v>
      </c>
      <c r="I12401" s="136"/>
      <c r="R12401" s="63" t="str">
        <f t="shared" si="60"/>
        <v>ZSI1_PIPE_TEEMATERIAL_PIPE_TEE</v>
      </c>
    </row>
    <row r="12402" ht="15.75" customHeight="1">
      <c r="B12402" s="63">
        <f t="shared" si="1"/>
        <v>13</v>
      </c>
      <c r="C12402" s="135" t="s">
        <v>446</v>
      </c>
      <c r="D12402" s="161" t="s">
        <v>74</v>
      </c>
      <c r="E12402" s="135">
        <f t="shared" si="62"/>
        <v>8</v>
      </c>
      <c r="F12402" s="134" t="s">
        <v>5189</v>
      </c>
      <c r="G12402" s="63" t="str">
        <f>VLOOKUP(C12402, 'Class Def. - General Data'!$C$20:$C$1000,1,false)</f>
        <v>ZSI1_PIPE_TEE</v>
      </c>
      <c r="H12402" s="63" t="str">
        <f>IFERROR(__xludf.DUMMYFUNCTION("VLOOKUP(F12402, IMPORTRANGE(""https://docs.google.com/spreadsheets/d/1Lhp9OU0JdFf_VYSMzH5lBcEaU4o8teT1piV-SNzShjg/edit?gid=554141278#gid=554141278"", ""'Char Def. - Attributes'!C20:C2242""), 1,false)"),"FINISHING_PIPE_TEE")</f>
        <v>FINISHING_PIPE_TEE</v>
      </c>
      <c r="I12402" s="136"/>
      <c r="R12402" s="63" t="str">
        <f t="shared" si="60"/>
        <v>ZSI1_PIPE_TEEFINISHING_PIPE_TEE</v>
      </c>
    </row>
    <row r="12403" ht="15.75" customHeight="1">
      <c r="B12403" s="63">
        <f t="shared" si="1"/>
        <v>13</v>
      </c>
      <c r="C12403" s="135" t="s">
        <v>446</v>
      </c>
      <c r="D12403" s="161" t="s">
        <v>74</v>
      </c>
      <c r="E12403" s="135">
        <f t="shared" si="62"/>
        <v>9</v>
      </c>
      <c r="F12403" s="134" t="s">
        <v>3585</v>
      </c>
      <c r="G12403" s="63" t="str">
        <f>VLOOKUP(C12403, 'Class Def. - General Data'!$C$20:$C$1000,1,false)</f>
        <v>ZSI1_PIPE_TEE</v>
      </c>
      <c r="H12403" s="63" t="str">
        <f>IFERROR(__xludf.DUMMYFUNCTION("VLOOKUP(F12403, IMPORTRANGE(""https://docs.google.com/spreadsheets/d/1Lhp9OU0JdFf_VYSMzH5lBcEaU4o8teT1piV-SNzShjg/edit?gid=554141278#gid=554141278"", ""'Char Def. - Attributes'!C20:C2242""), 1,false)"),"HS_CODE")</f>
        <v>HS_CODE</v>
      </c>
      <c r="I12403" s="136"/>
      <c r="R12403" s="63" t="str">
        <f t="shared" si="60"/>
        <v>ZSI1_PIPE_TEEHS_CODE</v>
      </c>
    </row>
    <row r="12404" ht="15.75" customHeight="1">
      <c r="B12404" s="63">
        <f t="shared" si="1"/>
        <v>13</v>
      </c>
      <c r="C12404" s="135" t="s">
        <v>446</v>
      </c>
      <c r="D12404" s="161" t="s">
        <v>74</v>
      </c>
      <c r="E12404" s="135">
        <f t="shared" si="62"/>
        <v>10</v>
      </c>
      <c r="F12404" s="134" t="s">
        <v>3587</v>
      </c>
      <c r="G12404" s="63" t="str">
        <f>VLOOKUP(C12404, 'Class Def. - General Data'!$C$20:$C$1000,1,false)</f>
        <v>ZSI1_PIPE_TEE</v>
      </c>
      <c r="H12404" s="63" t="str">
        <f>IFERROR(__xludf.DUMMYFUNCTION("VLOOKUP(F12404, IMPORTRANGE(""https://docs.google.com/spreadsheets/d/1Lhp9OU0JdFf_VYSMzH5lBcEaU4o8teT1piV-SNzShjg/edit?gid=554141278#gid=554141278"", ""'Char Def. - Attributes'!C20:C2242""), 1,false)"),"PLANT_BUY")</f>
        <v>PLANT_BUY</v>
      </c>
      <c r="I12404" s="136"/>
      <c r="R12404" s="63" t="str">
        <f t="shared" si="60"/>
        <v>ZSI1_PIPE_TEEPLANT_BUY</v>
      </c>
    </row>
    <row r="12405" ht="15.75" customHeight="1">
      <c r="B12405" s="63">
        <f t="shared" si="1"/>
        <v>13</v>
      </c>
      <c r="C12405" s="135" t="s">
        <v>446</v>
      </c>
      <c r="D12405" s="161" t="s">
        <v>74</v>
      </c>
      <c r="E12405" s="135">
        <f t="shared" si="62"/>
        <v>11</v>
      </c>
      <c r="F12405" s="134" t="s">
        <v>5190</v>
      </c>
      <c r="G12405" s="63" t="str">
        <f>VLOOKUP(C12405, 'Class Def. - General Data'!$C$20:$C$1000,1,false)</f>
        <v>ZSI1_PIPE_TEE</v>
      </c>
      <c r="H12405" s="63" t="str">
        <f>IFERROR(__xludf.DUMMYFUNCTION("VLOOKUP(F12405, IMPORTRANGE(""https://docs.google.com/spreadsheets/d/1Lhp9OU0JdFf_VYSMzH5lBcEaU4o8teT1piV-SNzShjg/edit?gid=554141278#gid=554141278"", ""'Char Def. - Attributes'!C20:C2242""), 1,false)"),"BASE_UOM_PIPE_TEE")</f>
        <v>BASE_UOM_PIPE_TEE</v>
      </c>
      <c r="I12405" s="136"/>
      <c r="R12405" s="63" t="str">
        <f t="shared" si="60"/>
        <v>ZSI1_PIPE_TEEBASE_UOM_PIPE_TEE</v>
      </c>
    </row>
    <row r="12406" ht="15.75" customHeight="1">
      <c r="B12406" s="63">
        <f t="shared" si="1"/>
        <v>13</v>
      </c>
      <c r="C12406" s="135" t="s">
        <v>446</v>
      </c>
      <c r="D12406" s="161" t="s">
        <v>74</v>
      </c>
      <c r="E12406" s="135">
        <f t="shared" si="62"/>
        <v>12</v>
      </c>
      <c r="F12406" s="134" t="s">
        <v>5191</v>
      </c>
      <c r="G12406" s="63" t="str">
        <f>VLOOKUP(C12406, 'Class Def. - General Data'!$C$20:$C$1000,1,false)</f>
        <v>ZSI1_PIPE_TEE</v>
      </c>
      <c r="H12406" s="63" t="str">
        <f>IFERROR(__xludf.DUMMYFUNCTION("VLOOKUP(F12406, IMPORTRANGE(""https://docs.google.com/spreadsheets/d/1Lhp9OU0JdFf_VYSMzH5lBcEaU4o8teT1piV-SNzShjg/edit?gid=554141278#gid=554141278"", ""'Char Def. - Attributes'!C20:C2242""), 1,false)"),"ORDER_UNIT_PIPE_TEE")</f>
        <v>ORDER_UNIT_PIPE_TEE</v>
      </c>
      <c r="I12406" s="136"/>
      <c r="R12406" s="63" t="str">
        <f t="shared" si="60"/>
        <v>ZSI1_PIPE_TEEORDER_UNIT_PIPE_TEE</v>
      </c>
    </row>
    <row r="12407" ht="15.75" customHeight="1">
      <c r="B12407" s="63">
        <f t="shared" si="1"/>
        <v>13</v>
      </c>
      <c r="C12407" s="135" t="s">
        <v>446</v>
      </c>
      <c r="D12407" s="161" t="s">
        <v>74</v>
      </c>
      <c r="E12407" s="135">
        <f t="shared" si="62"/>
        <v>13</v>
      </c>
      <c r="F12407" s="134" t="s">
        <v>4056</v>
      </c>
      <c r="G12407" s="63" t="str">
        <f>VLOOKUP(C12407, 'Class Def. - General Data'!$C$20:$C$1000,1,false)</f>
        <v>ZSI1_PIPE_TEE</v>
      </c>
      <c r="H12407" s="63" t="str">
        <f>IFERROR(__xludf.DUMMYFUNCTION("VLOOKUP(F12407, IMPORTRANGE(""https://docs.google.com/spreadsheets/d/1Lhp9OU0JdFf_VYSMzH5lBcEaU4o8teT1piV-SNzShjg/edit?gid=554141278#gid=554141278"", ""'Char Def. - Attributes'!C20:C2242""), 1,false)"),"GROSS_WEIGHT_OPT")</f>
        <v>GROSS_WEIGHT_OPT</v>
      </c>
      <c r="I12407" s="136"/>
      <c r="R12407" s="63" t="str">
        <f t="shared" si="60"/>
        <v>ZSI1_PIPE_TEEGROSS_WEIGHT_OPT</v>
      </c>
    </row>
    <row r="12408" ht="15.75" customHeight="1">
      <c r="B12408" s="63">
        <f t="shared" si="1"/>
        <v>13</v>
      </c>
      <c r="C12408" s="135" t="s">
        <v>446</v>
      </c>
      <c r="D12408" s="161" t="s">
        <v>74</v>
      </c>
      <c r="E12408" s="135">
        <f t="shared" si="62"/>
        <v>14</v>
      </c>
      <c r="F12408" s="134" t="s">
        <v>4057</v>
      </c>
      <c r="G12408" s="63" t="str">
        <f>VLOOKUP(C12408, 'Class Def. - General Data'!$C$20:$C$1000,1,false)</f>
        <v>ZSI1_PIPE_TEE</v>
      </c>
      <c r="H12408" s="63" t="str">
        <f>IFERROR(__xludf.DUMMYFUNCTION("VLOOKUP(F12408, IMPORTRANGE(""https://docs.google.com/spreadsheets/d/1Lhp9OU0JdFf_VYSMzH5lBcEaU4o8teT1piV-SNzShjg/edit?gid=554141278#gid=554141278"", ""'Char Def. - Attributes'!C20:C2242""), 1,false)"),"NET_WEIGHT_OPT")</f>
        <v>NET_WEIGHT_OPT</v>
      </c>
      <c r="I12408" s="136"/>
      <c r="R12408" s="63" t="str">
        <f t="shared" si="60"/>
        <v>ZSI1_PIPE_TEENET_WEIGHT_OPT</v>
      </c>
    </row>
    <row r="12409" ht="15.75" customHeight="1">
      <c r="B12409" s="63">
        <f t="shared" si="1"/>
        <v>13</v>
      </c>
      <c r="C12409" s="135" t="s">
        <v>446</v>
      </c>
      <c r="D12409" s="161" t="s">
        <v>74</v>
      </c>
      <c r="E12409" s="135">
        <f t="shared" si="62"/>
        <v>15</v>
      </c>
      <c r="F12409" s="134" t="s">
        <v>4058</v>
      </c>
      <c r="G12409" s="63" t="str">
        <f>VLOOKUP(C12409, 'Class Def. - General Data'!$C$20:$C$1000,1,false)</f>
        <v>ZSI1_PIPE_TEE</v>
      </c>
      <c r="H12409" s="63" t="str">
        <f>IFERROR(__xludf.DUMMYFUNCTION("VLOOKUP(F12409, IMPORTRANGE(""https://docs.google.com/spreadsheets/d/1Lhp9OU0JdFf_VYSMzH5lBcEaU4o8teT1piV-SNzShjg/edit?gid=554141278#gid=554141278"", ""'Char Def. - Attributes'!C20:C2242""), 1,false)"),"WEIGHT_UNIT_SI")</f>
        <v>WEIGHT_UNIT_SI</v>
      </c>
      <c r="I12409" s="136"/>
      <c r="R12409" s="63" t="str">
        <f t="shared" si="60"/>
        <v>ZSI1_PIPE_TEEWEIGHT_UNIT_SI</v>
      </c>
    </row>
    <row r="12410" ht="15.75" customHeight="1">
      <c r="B12410" s="63">
        <f t="shared" si="1"/>
        <v>13</v>
      </c>
      <c r="C12410" s="135" t="s">
        <v>446</v>
      </c>
      <c r="D12410" s="161" t="s">
        <v>74</v>
      </c>
      <c r="E12410" s="135">
        <f t="shared" si="62"/>
        <v>16</v>
      </c>
      <c r="F12410" s="134" t="s">
        <v>3877</v>
      </c>
      <c r="G12410" s="63" t="str">
        <f>VLOOKUP(C12410, 'Class Def. - General Data'!$C$20:$C$1000,1,false)</f>
        <v>ZSI1_PIPE_TEE</v>
      </c>
      <c r="H12410" s="63" t="str">
        <f>IFERROR(__xludf.DUMMYFUNCTION("VLOOKUP(F12410, IMPORTRANGE(""https://docs.google.com/spreadsheets/d/1Lhp9OU0JdFf_VYSMzH5lBcEaU4o8teT1piV-SNzShjg/edit?gid=554141278#gid=554141278"", ""'Char Def. - Attributes'!C20:C2242""), 1,false)"),"VOLUME_OPT")</f>
        <v>VOLUME_OPT</v>
      </c>
      <c r="I12410" s="136"/>
      <c r="R12410" s="63" t="str">
        <f t="shared" si="60"/>
        <v>ZSI1_PIPE_TEEVOLUME_OPT</v>
      </c>
    </row>
    <row r="12411" ht="15.75" customHeight="1">
      <c r="B12411" s="63">
        <f t="shared" si="1"/>
        <v>13</v>
      </c>
      <c r="C12411" s="135" t="s">
        <v>446</v>
      </c>
      <c r="D12411" s="161" t="s">
        <v>74</v>
      </c>
      <c r="E12411" s="135">
        <f t="shared" si="62"/>
        <v>17</v>
      </c>
      <c r="F12411" s="134" t="s">
        <v>4059</v>
      </c>
      <c r="G12411" s="63" t="str">
        <f>VLOOKUP(C12411, 'Class Def. - General Data'!$C$20:$C$1000,1,false)</f>
        <v>ZSI1_PIPE_TEE</v>
      </c>
      <c r="H12411" s="63" t="str">
        <f>IFERROR(__xludf.DUMMYFUNCTION("VLOOKUP(F12411, IMPORTRANGE(""https://docs.google.com/spreadsheets/d/1Lhp9OU0JdFf_VYSMzH5lBcEaU4o8teT1piV-SNzShjg/edit?gid=554141278#gid=554141278"", ""'Char Def. - Attributes'!C20:C2242""), 1,false)"),"VOLUME_UNIT_SI")</f>
        <v>VOLUME_UNIT_SI</v>
      </c>
      <c r="I12411" s="136"/>
      <c r="R12411" s="63" t="str">
        <f t="shared" si="60"/>
        <v>ZSI1_PIPE_TEEVOLUME_UNIT_SI</v>
      </c>
    </row>
    <row r="12412" ht="15.75" customHeight="1">
      <c r="B12412" s="63">
        <f t="shared" si="1"/>
        <v>13</v>
      </c>
      <c r="C12412" s="135" t="s">
        <v>446</v>
      </c>
      <c r="D12412" s="161" t="s">
        <v>74</v>
      </c>
      <c r="E12412" s="135">
        <f t="shared" si="62"/>
        <v>18</v>
      </c>
      <c r="F12412" s="134" t="s">
        <v>3804</v>
      </c>
      <c r="G12412" s="63" t="str">
        <f>VLOOKUP(C12412, 'Class Def. - General Data'!$C$20:$C$1000,1,false)</f>
        <v>ZSI1_PIPE_TEE</v>
      </c>
      <c r="H12412" s="63" t="str">
        <f>IFERROR(__xludf.DUMMYFUNCTION("VLOOKUP(F12412, IMPORTRANGE(""https://docs.google.com/spreadsheets/d/1Lhp9OU0JdFf_VYSMzH5lBcEaU4o8teT1piV-SNzShjg/edit?gid=554141278#gid=554141278"", ""'Char Def. - Attributes'!C20:C2242""), 1,false)"),"ALT_UOM1_SIPI")</f>
        <v>ALT_UOM1_SIPI</v>
      </c>
      <c r="I12412" s="136"/>
      <c r="R12412" s="63" t="str">
        <f t="shared" si="60"/>
        <v>ZSI1_PIPE_TEEALT_UOM1_SIPI</v>
      </c>
    </row>
    <row r="12413" ht="15.75" customHeight="1">
      <c r="B12413" s="63">
        <f t="shared" si="1"/>
        <v>13</v>
      </c>
      <c r="C12413" s="135" t="s">
        <v>446</v>
      </c>
      <c r="D12413" s="161" t="s">
        <v>74</v>
      </c>
      <c r="E12413" s="135">
        <f t="shared" si="62"/>
        <v>19</v>
      </c>
      <c r="F12413" s="134" t="s">
        <v>3805</v>
      </c>
      <c r="G12413" s="63" t="str">
        <f>VLOOKUP(C12413, 'Class Def. - General Data'!$C$20:$C$1000,1,false)</f>
        <v>ZSI1_PIPE_TEE</v>
      </c>
      <c r="H12413" s="63" t="str">
        <f>IFERROR(__xludf.DUMMYFUNCTION("VLOOKUP(F12413, IMPORTRANGE(""https://docs.google.com/spreadsheets/d/1Lhp9OU0JdFf_VYSMzH5lBcEaU4o8teT1piV-SNzShjg/edit?gid=554141278#gid=554141278"", ""'Char Def. - Attributes'!C20:C2242""), 1,false)"),"ALT_DENUM_UOM1")</f>
        <v>ALT_DENUM_UOM1</v>
      </c>
      <c r="I12413" s="136"/>
      <c r="R12413" s="63" t="str">
        <f t="shared" si="60"/>
        <v>ZSI1_PIPE_TEEALT_DENUM_UOM1</v>
      </c>
    </row>
    <row r="12414" ht="15.75" customHeight="1">
      <c r="B12414" s="63">
        <f t="shared" si="1"/>
        <v>13</v>
      </c>
      <c r="C12414" s="135" t="s">
        <v>446</v>
      </c>
      <c r="D12414" s="161" t="s">
        <v>74</v>
      </c>
      <c r="E12414" s="135">
        <f t="shared" si="62"/>
        <v>20</v>
      </c>
      <c r="F12414" s="134" t="s">
        <v>3806</v>
      </c>
      <c r="G12414" s="63" t="str">
        <f>VLOOKUP(C12414, 'Class Def. - General Data'!$C$20:$C$1000,1,false)</f>
        <v>ZSI1_PIPE_TEE</v>
      </c>
      <c r="H12414" s="63" t="str">
        <f>IFERROR(__xludf.DUMMYFUNCTION("VLOOKUP(F12414, IMPORTRANGE(""https://docs.google.com/spreadsheets/d/1Lhp9OU0JdFf_VYSMzH5lBcEaU4o8teT1piV-SNzShjg/edit?gid=554141278#gid=554141278"", ""'Char Def. - Attributes'!C20:C2242""), 1,false)"),"ALT_NUM_UOM1")</f>
        <v>ALT_NUM_UOM1</v>
      </c>
      <c r="I12414" s="136"/>
      <c r="R12414" s="63" t="str">
        <f t="shared" si="60"/>
        <v>ZSI1_PIPE_TEEALT_NUM_UOM1</v>
      </c>
    </row>
    <row r="12415" ht="15.75" customHeight="1">
      <c r="B12415" s="63">
        <f t="shared" si="1"/>
        <v>13</v>
      </c>
      <c r="C12415" s="135" t="s">
        <v>446</v>
      </c>
      <c r="D12415" s="161" t="s">
        <v>74</v>
      </c>
      <c r="E12415" s="135">
        <f t="shared" si="62"/>
        <v>21</v>
      </c>
      <c r="F12415" s="134" t="s">
        <v>3807</v>
      </c>
      <c r="G12415" s="63" t="str">
        <f>VLOOKUP(C12415, 'Class Def. - General Data'!$C$20:$C$1000,1,false)</f>
        <v>ZSI1_PIPE_TEE</v>
      </c>
      <c r="H12415" s="63" t="str">
        <f>IFERROR(__xludf.DUMMYFUNCTION("VLOOKUP(F12415, IMPORTRANGE(""https://docs.google.com/spreadsheets/d/1Lhp9OU0JdFf_VYSMzH5lBcEaU4o8teT1piV-SNzShjg/edit?gid=554141278#gid=554141278"", ""'Char Def. - Attributes'!C20:C2242""), 1,false)"),"ALT_UOM2_SIPI")</f>
        <v>ALT_UOM2_SIPI</v>
      </c>
      <c r="I12415" s="136"/>
      <c r="R12415" s="63" t="str">
        <f t="shared" si="60"/>
        <v>ZSI1_PIPE_TEEALT_UOM2_SIPI</v>
      </c>
    </row>
    <row r="12416" ht="15.75" customHeight="1">
      <c r="B12416" s="63">
        <f t="shared" si="1"/>
        <v>13</v>
      </c>
      <c r="C12416" s="135" t="s">
        <v>446</v>
      </c>
      <c r="D12416" s="161" t="s">
        <v>74</v>
      </c>
      <c r="E12416" s="135">
        <f t="shared" si="62"/>
        <v>22</v>
      </c>
      <c r="F12416" s="134" t="s">
        <v>3808</v>
      </c>
      <c r="G12416" s="63" t="str">
        <f>VLOOKUP(C12416, 'Class Def. - General Data'!$C$20:$C$1000,1,false)</f>
        <v>ZSI1_PIPE_TEE</v>
      </c>
      <c r="H12416" s="63" t="str">
        <f>IFERROR(__xludf.DUMMYFUNCTION("VLOOKUP(F12416, IMPORTRANGE(""https://docs.google.com/spreadsheets/d/1Lhp9OU0JdFf_VYSMzH5lBcEaU4o8teT1piV-SNzShjg/edit?gid=554141278#gid=554141278"", ""'Char Def. - Attributes'!C20:C2242""), 1,false)"),"ALT_DENUM_UOM2")</f>
        <v>ALT_DENUM_UOM2</v>
      </c>
      <c r="I12416" s="136"/>
      <c r="R12416" s="63" t="str">
        <f t="shared" si="60"/>
        <v>ZSI1_PIPE_TEEALT_DENUM_UOM2</v>
      </c>
    </row>
    <row r="12417" ht="15.75" customHeight="1">
      <c r="B12417" s="63">
        <f t="shared" si="1"/>
        <v>13</v>
      </c>
      <c r="C12417" s="135" t="s">
        <v>446</v>
      </c>
      <c r="D12417" s="161" t="s">
        <v>74</v>
      </c>
      <c r="E12417" s="135">
        <f t="shared" si="62"/>
        <v>23</v>
      </c>
      <c r="F12417" s="134" t="s">
        <v>3809</v>
      </c>
      <c r="G12417" s="63" t="str">
        <f>VLOOKUP(C12417, 'Class Def. - General Data'!$C$20:$C$1000,1,false)</f>
        <v>ZSI1_PIPE_TEE</v>
      </c>
      <c r="H12417" s="63" t="str">
        <f>IFERROR(__xludf.DUMMYFUNCTION("VLOOKUP(F12417, IMPORTRANGE(""https://docs.google.com/spreadsheets/d/1Lhp9OU0JdFf_VYSMzH5lBcEaU4o8teT1piV-SNzShjg/edit?gid=554141278#gid=554141278"", ""'Char Def. - Attributes'!C20:C2242""), 1,false)"),"ALT_NUM_UOM2")</f>
        <v>ALT_NUM_UOM2</v>
      </c>
      <c r="I12417" s="136"/>
      <c r="R12417" s="63" t="str">
        <f t="shared" si="60"/>
        <v>ZSI1_PIPE_TEEALT_NUM_UOM2</v>
      </c>
    </row>
    <row r="12418" ht="15.75" customHeight="1">
      <c r="B12418" s="63">
        <f t="shared" si="1"/>
        <v>13</v>
      </c>
      <c r="C12418" s="135" t="s">
        <v>446</v>
      </c>
      <c r="D12418" s="161" t="s">
        <v>74</v>
      </c>
      <c r="E12418" s="135">
        <f t="shared" si="62"/>
        <v>24</v>
      </c>
      <c r="F12418" s="134" t="s">
        <v>3810</v>
      </c>
      <c r="G12418" s="63" t="str">
        <f>VLOOKUP(C12418, 'Class Def. - General Data'!$C$20:$C$1000,1,false)</f>
        <v>ZSI1_PIPE_TEE</v>
      </c>
      <c r="H12418" s="63" t="str">
        <f>IFERROR(__xludf.DUMMYFUNCTION("VLOOKUP(F12418, IMPORTRANGE(""https://docs.google.com/spreadsheets/d/1Lhp9OU0JdFf_VYSMzH5lBcEaU4o8teT1piV-SNzShjg/edit?gid=554141278#gid=554141278"", ""'Char Def. - Attributes'!C20:C2242""), 1,false)"),"ALT_UOM3_SIPI")</f>
        <v>ALT_UOM3_SIPI</v>
      </c>
      <c r="I12418" s="136"/>
      <c r="R12418" s="63" t="str">
        <f t="shared" si="60"/>
        <v>ZSI1_PIPE_TEEALT_UOM3_SIPI</v>
      </c>
    </row>
    <row r="12419" ht="15.75" customHeight="1">
      <c r="B12419" s="63">
        <f t="shared" si="1"/>
        <v>13</v>
      </c>
      <c r="C12419" s="135" t="s">
        <v>446</v>
      </c>
      <c r="D12419" s="161" t="s">
        <v>74</v>
      </c>
      <c r="E12419" s="135">
        <f t="shared" si="62"/>
        <v>25</v>
      </c>
      <c r="F12419" s="134" t="s">
        <v>3811</v>
      </c>
      <c r="G12419" s="63" t="str">
        <f>VLOOKUP(C12419, 'Class Def. - General Data'!$C$20:$C$1000,1,false)</f>
        <v>ZSI1_PIPE_TEE</v>
      </c>
      <c r="H12419" s="63" t="str">
        <f>IFERROR(__xludf.DUMMYFUNCTION("VLOOKUP(F12419, IMPORTRANGE(""https://docs.google.com/spreadsheets/d/1Lhp9OU0JdFf_VYSMzH5lBcEaU4o8teT1piV-SNzShjg/edit?gid=554141278#gid=554141278"", ""'Char Def. - Attributes'!C20:C2242""), 1,false)"),"ALT_DENUM_UOM3")</f>
        <v>ALT_DENUM_UOM3</v>
      </c>
      <c r="I12419" s="136"/>
      <c r="R12419" s="63" t="str">
        <f t="shared" si="60"/>
        <v>ZSI1_PIPE_TEEALT_DENUM_UOM3</v>
      </c>
    </row>
    <row r="12420" ht="15.75" customHeight="1">
      <c r="B12420" s="63">
        <f t="shared" si="1"/>
        <v>13</v>
      </c>
      <c r="C12420" s="135" t="s">
        <v>446</v>
      </c>
      <c r="D12420" s="161" t="s">
        <v>74</v>
      </c>
      <c r="E12420" s="135">
        <f t="shared" si="62"/>
        <v>26</v>
      </c>
      <c r="F12420" s="134" t="s">
        <v>3812</v>
      </c>
      <c r="G12420" s="63" t="str">
        <f>VLOOKUP(C12420, 'Class Def. - General Data'!$C$20:$C$1000,1,false)</f>
        <v>ZSI1_PIPE_TEE</v>
      </c>
      <c r="H12420" s="63" t="str">
        <f>IFERROR(__xludf.DUMMYFUNCTION("VLOOKUP(F12420, IMPORTRANGE(""https://docs.google.com/spreadsheets/d/1Lhp9OU0JdFf_VYSMzH5lBcEaU4o8teT1piV-SNzShjg/edit?gid=554141278#gid=554141278"", ""'Char Def. - Attributes'!C20:C2242""), 1,false)"),"ALT_NUM_UOM3")</f>
        <v>ALT_NUM_UOM3</v>
      </c>
      <c r="I12420" s="136"/>
      <c r="R12420" s="63" t="str">
        <f t="shared" si="60"/>
        <v>ZSI1_PIPE_TEEALT_NUM_UOM3</v>
      </c>
    </row>
    <row r="12421" ht="15.75" customHeight="1">
      <c r="B12421" s="63">
        <f t="shared" si="1"/>
        <v>13</v>
      </c>
      <c r="C12421" s="135" t="s">
        <v>446</v>
      </c>
      <c r="D12421" s="161" t="s">
        <v>74</v>
      </c>
      <c r="E12421" s="135">
        <f t="shared" si="62"/>
        <v>27</v>
      </c>
      <c r="F12421" s="134" t="s">
        <v>3813</v>
      </c>
      <c r="G12421" s="63" t="str">
        <f>VLOOKUP(C12421, 'Class Def. - General Data'!$C$20:$C$1000,1,false)</f>
        <v>ZSI1_PIPE_TEE</v>
      </c>
      <c r="H12421" s="63" t="str">
        <f>IFERROR(__xludf.DUMMYFUNCTION("VLOOKUP(F12421, IMPORTRANGE(""https://docs.google.com/spreadsheets/d/1Lhp9OU0JdFf_VYSMzH5lBcEaU4o8teT1piV-SNzShjg/edit?gid=554141278#gid=554141278"", ""'Char Def. - Attributes'!C20:C2242""), 1,false)"),"ALT_UOM4_SIPI")</f>
        <v>ALT_UOM4_SIPI</v>
      </c>
      <c r="I12421" s="136"/>
      <c r="R12421" s="63" t="str">
        <f t="shared" si="60"/>
        <v>ZSI1_PIPE_TEEALT_UOM4_SIPI</v>
      </c>
    </row>
    <row r="12422" ht="15.75" customHeight="1">
      <c r="B12422" s="63">
        <f t="shared" si="1"/>
        <v>13</v>
      </c>
      <c r="C12422" s="135" t="s">
        <v>446</v>
      </c>
      <c r="D12422" s="161" t="s">
        <v>74</v>
      </c>
      <c r="E12422" s="135">
        <f t="shared" si="62"/>
        <v>28</v>
      </c>
      <c r="F12422" s="134" t="s">
        <v>3814</v>
      </c>
      <c r="G12422" s="63" t="str">
        <f>VLOOKUP(C12422, 'Class Def. - General Data'!$C$20:$C$1000,1,false)</f>
        <v>ZSI1_PIPE_TEE</v>
      </c>
      <c r="H12422" s="63" t="str">
        <f>IFERROR(__xludf.DUMMYFUNCTION("VLOOKUP(F12422, IMPORTRANGE(""https://docs.google.com/spreadsheets/d/1Lhp9OU0JdFf_VYSMzH5lBcEaU4o8teT1piV-SNzShjg/edit?gid=554141278#gid=554141278"", ""'Char Def. - Attributes'!C20:C2242""), 1,false)"),"ALT_DENUM_UOM4")</f>
        <v>ALT_DENUM_UOM4</v>
      </c>
      <c r="I12422" s="136"/>
      <c r="R12422" s="63" t="str">
        <f t="shared" si="60"/>
        <v>ZSI1_PIPE_TEEALT_DENUM_UOM4</v>
      </c>
    </row>
    <row r="12423" ht="15.75" customHeight="1">
      <c r="B12423" s="63">
        <f t="shared" si="1"/>
        <v>13</v>
      </c>
      <c r="C12423" s="135" t="s">
        <v>446</v>
      </c>
      <c r="D12423" s="161" t="s">
        <v>74</v>
      </c>
      <c r="E12423" s="135">
        <f t="shared" si="62"/>
        <v>29</v>
      </c>
      <c r="F12423" s="134" t="s">
        <v>3815</v>
      </c>
      <c r="G12423" s="63" t="str">
        <f>VLOOKUP(C12423, 'Class Def. - General Data'!$C$20:$C$1000,1,false)</f>
        <v>ZSI1_PIPE_TEE</v>
      </c>
      <c r="H12423" s="63" t="str">
        <f>IFERROR(__xludf.DUMMYFUNCTION("VLOOKUP(F12423, IMPORTRANGE(""https://docs.google.com/spreadsheets/d/1Lhp9OU0JdFf_VYSMzH5lBcEaU4o8teT1piV-SNzShjg/edit?gid=554141278#gid=554141278"", ""'Char Def. - Attributes'!C20:C2242""), 1,false)"),"ALT_NUM_UOM4")</f>
        <v>ALT_NUM_UOM4</v>
      </c>
      <c r="I12423" s="136"/>
      <c r="R12423" s="63" t="str">
        <f t="shared" si="60"/>
        <v>ZSI1_PIPE_TEEALT_NUM_UOM4</v>
      </c>
    </row>
    <row r="12424" ht="15.75" customHeight="1">
      <c r="B12424" s="63">
        <f t="shared" si="1"/>
        <v>13</v>
      </c>
      <c r="C12424" s="135" t="s">
        <v>446</v>
      </c>
      <c r="D12424" s="161" t="s">
        <v>74</v>
      </c>
      <c r="E12424" s="135">
        <f t="shared" si="62"/>
        <v>30</v>
      </c>
      <c r="F12424" s="134" t="s">
        <v>3816</v>
      </c>
      <c r="G12424" s="63" t="str">
        <f>VLOOKUP(C12424, 'Class Def. - General Data'!$C$20:$C$1000,1,false)</f>
        <v>ZSI1_PIPE_TEE</v>
      </c>
      <c r="H12424" s="63" t="str">
        <f>IFERROR(__xludf.DUMMYFUNCTION("VLOOKUP(F12424, IMPORTRANGE(""https://docs.google.com/spreadsheets/d/1Lhp9OU0JdFf_VYSMzH5lBcEaU4o8teT1piV-SNzShjg/edit?gid=554141278#gid=554141278"", ""'Char Def. - Attributes'!C20:C2242""), 1,false)"),"ALT_UOM5_SIPI")</f>
        <v>ALT_UOM5_SIPI</v>
      </c>
      <c r="I12424" s="136"/>
      <c r="R12424" s="63" t="str">
        <f t="shared" si="60"/>
        <v>ZSI1_PIPE_TEEALT_UOM5_SIPI</v>
      </c>
    </row>
    <row r="12425" ht="15.75" customHeight="1">
      <c r="B12425" s="63">
        <f t="shared" si="1"/>
        <v>13</v>
      </c>
      <c r="C12425" s="135" t="s">
        <v>446</v>
      </c>
      <c r="D12425" s="161" t="s">
        <v>74</v>
      </c>
      <c r="E12425" s="135">
        <f t="shared" si="62"/>
        <v>31</v>
      </c>
      <c r="F12425" s="134" t="s">
        <v>3817</v>
      </c>
      <c r="G12425" s="63" t="str">
        <f>VLOOKUP(C12425, 'Class Def. - General Data'!$C$20:$C$1000,1,false)</f>
        <v>ZSI1_PIPE_TEE</v>
      </c>
      <c r="H12425" s="63" t="str">
        <f>IFERROR(__xludf.DUMMYFUNCTION("VLOOKUP(F12425, IMPORTRANGE(""https://docs.google.com/spreadsheets/d/1Lhp9OU0JdFf_VYSMzH5lBcEaU4o8teT1piV-SNzShjg/edit?gid=554141278#gid=554141278"", ""'Char Def. - Attributes'!C20:C2242""), 1,false)"),"ALT_DENUM_UOM5")</f>
        <v>ALT_DENUM_UOM5</v>
      </c>
      <c r="I12425" s="136"/>
      <c r="R12425" s="63" t="str">
        <f t="shared" si="60"/>
        <v>ZSI1_PIPE_TEEALT_DENUM_UOM5</v>
      </c>
    </row>
    <row r="12426" ht="15.75" customHeight="1">
      <c r="B12426" s="63">
        <f t="shared" si="1"/>
        <v>13</v>
      </c>
      <c r="C12426" s="135" t="s">
        <v>446</v>
      </c>
      <c r="D12426" s="161" t="s">
        <v>74</v>
      </c>
      <c r="E12426" s="135">
        <f t="shared" si="62"/>
        <v>32</v>
      </c>
      <c r="F12426" s="134" t="s">
        <v>3818</v>
      </c>
      <c r="G12426" s="63" t="str">
        <f>VLOOKUP(C12426, 'Class Def. - General Data'!$C$20:$C$1000,1,false)</f>
        <v>ZSI1_PIPE_TEE</v>
      </c>
      <c r="H12426" s="63" t="str">
        <f>IFERROR(__xludf.DUMMYFUNCTION("VLOOKUP(F12426, IMPORTRANGE(""https://docs.google.com/spreadsheets/d/1Lhp9OU0JdFf_VYSMzH5lBcEaU4o8teT1piV-SNzShjg/edit?gid=554141278#gid=554141278"", ""'Char Def. - Attributes'!C20:C2242""), 1,false)"),"ALT_NUM_UOM5")</f>
        <v>ALT_NUM_UOM5</v>
      </c>
      <c r="I12426" s="136"/>
      <c r="R12426" s="63" t="str">
        <f t="shared" si="60"/>
        <v>ZSI1_PIPE_TEEALT_NUM_UOM5</v>
      </c>
    </row>
    <row r="12427" ht="15.75" customHeight="1">
      <c r="B12427" s="63">
        <f t="shared" si="1"/>
        <v>13</v>
      </c>
      <c r="C12427" s="135" t="s">
        <v>546</v>
      </c>
      <c r="D12427" s="161" t="s">
        <v>74</v>
      </c>
      <c r="E12427" s="135">
        <f t="shared" si="62"/>
        <v>1</v>
      </c>
      <c r="F12427" s="134" t="s">
        <v>5192</v>
      </c>
      <c r="G12427" s="63" t="str">
        <f>VLOOKUP(C12427, 'Class Def. - General Data'!$C$20:$C$1000,1,false)</f>
        <v>ZSI1_PIPE_WYE</v>
      </c>
      <c r="H12427" s="63" t="str">
        <f>IFERROR(__xludf.DUMMYFUNCTION("VLOOKUP(F12427, IMPORTRANGE(""https://docs.google.com/spreadsheets/d/1Lhp9OU0JdFf_VYSMzH5lBcEaU4o8teT1piV-SNzShjg/edit?gid=554141278#gid=554141278"", ""'Char Def. - Attributes'!C20:C2242""), 1,false)"),"ITEM_NAME_PIPE_WYE")</f>
        <v>ITEM_NAME_PIPE_WYE</v>
      </c>
      <c r="I12427" s="136"/>
      <c r="R12427" s="63" t="str">
        <f t="shared" si="60"/>
        <v>ZSI1_PIPE_WYEITEM_NAME_PIPE_WYE</v>
      </c>
    </row>
    <row r="12428" ht="15.75" customHeight="1">
      <c r="B12428" s="63">
        <f t="shared" si="1"/>
        <v>13</v>
      </c>
      <c r="C12428" s="135" t="s">
        <v>546</v>
      </c>
      <c r="D12428" s="161" t="s">
        <v>74</v>
      </c>
      <c r="E12428" s="135">
        <f t="shared" si="62"/>
        <v>2</v>
      </c>
      <c r="F12428" s="134" t="s">
        <v>5193</v>
      </c>
      <c r="G12428" s="63" t="str">
        <f>VLOOKUP(C12428, 'Class Def. - General Data'!$C$20:$C$1000,1,false)</f>
        <v>ZSI1_PIPE_WYE</v>
      </c>
      <c r="H12428" s="63" t="str">
        <f>IFERROR(__xludf.DUMMYFUNCTION("VLOOKUP(F12428, IMPORTRANGE(""https://docs.google.com/spreadsheets/d/1Lhp9OU0JdFf_VYSMzH5lBcEaU4o8teT1piV-SNzShjg/edit?gid=554141278#gid=554141278"", ""'Char Def. - Attributes'!C20:C2242""), 1,false)"),"DIMENSION_PIPE_WYE")</f>
        <v>DIMENSION_PIPE_WYE</v>
      </c>
      <c r="I12428" s="136"/>
      <c r="R12428" s="63" t="str">
        <f t="shared" si="60"/>
        <v>ZSI1_PIPE_WYEDIMENSION_PIPE_WYE</v>
      </c>
    </row>
    <row r="12429" ht="15.75" customHeight="1">
      <c r="B12429" s="63">
        <f t="shared" si="1"/>
        <v>13</v>
      </c>
      <c r="C12429" s="135" t="s">
        <v>546</v>
      </c>
      <c r="D12429" s="161" t="s">
        <v>74</v>
      </c>
      <c r="E12429" s="135">
        <f t="shared" si="62"/>
        <v>3</v>
      </c>
      <c r="F12429" s="134" t="s">
        <v>5194</v>
      </c>
      <c r="G12429" s="63" t="str">
        <f>VLOOKUP(C12429, 'Class Def. - General Data'!$C$20:$C$1000,1,false)</f>
        <v>ZSI1_PIPE_WYE</v>
      </c>
      <c r="H12429" s="63" t="str">
        <f>IFERROR(__xludf.DUMMYFUNCTION("VLOOKUP(F12429, IMPORTRANGE(""https://docs.google.com/spreadsheets/d/1Lhp9OU0JdFf_VYSMzH5lBcEaU4o8teT1piV-SNzShjg/edit?gid=554141278#gid=554141278"", ""'Char Def. - Attributes'!C20:C2242""), 1,false)"),"DIAMETER_PIPE_WYE")</f>
        <v>DIAMETER_PIPE_WYE</v>
      </c>
      <c r="I12429" s="136"/>
      <c r="R12429" s="63" t="str">
        <f t="shared" si="60"/>
        <v>ZSI1_PIPE_WYEDIAMETER_PIPE_WYE</v>
      </c>
    </row>
    <row r="12430" ht="15.75" customHeight="1">
      <c r="B12430" s="63">
        <f t="shared" si="1"/>
        <v>13</v>
      </c>
      <c r="C12430" s="135" t="s">
        <v>546</v>
      </c>
      <c r="D12430" s="161" t="s">
        <v>74</v>
      </c>
      <c r="E12430" s="135">
        <f t="shared" si="62"/>
        <v>4</v>
      </c>
      <c r="F12430" s="134" t="s">
        <v>5195</v>
      </c>
      <c r="G12430" s="63" t="str">
        <f>VLOOKUP(C12430, 'Class Def. - General Data'!$C$20:$C$1000,1,false)</f>
        <v>ZSI1_PIPE_WYE</v>
      </c>
      <c r="H12430" s="63" t="str">
        <f>IFERROR(__xludf.DUMMYFUNCTION("VLOOKUP(F12430, IMPORTRANGE(""https://docs.google.com/spreadsheets/d/1Lhp9OU0JdFf_VYSMzH5lBcEaU4o8teT1piV-SNzShjg/edit?gid=554141278#gid=554141278"", ""'Char Def. - Attributes'!C20:C2242""), 1,false)"),"PRESSURE_RATING_PN_PIPE_WYE")</f>
        <v>PRESSURE_RATING_PN_PIPE_WYE</v>
      </c>
      <c r="I12430" s="136"/>
      <c r="R12430" s="63" t="str">
        <f t="shared" si="60"/>
        <v>ZSI1_PIPE_WYEPRESSURE_RATING_PN_PIPE_WYE</v>
      </c>
    </row>
    <row r="12431" ht="15.75" customHeight="1">
      <c r="B12431" s="63">
        <f t="shared" si="1"/>
        <v>13</v>
      </c>
      <c r="C12431" s="135" t="s">
        <v>546</v>
      </c>
      <c r="D12431" s="161" t="s">
        <v>74</v>
      </c>
      <c r="E12431" s="135">
        <f t="shared" si="62"/>
        <v>5</v>
      </c>
      <c r="F12431" s="134" t="s">
        <v>5196</v>
      </c>
      <c r="G12431" s="63" t="str">
        <f>VLOOKUP(C12431, 'Class Def. - General Data'!$C$20:$C$1000,1,false)</f>
        <v>ZSI1_PIPE_WYE</v>
      </c>
      <c r="H12431" s="63" t="str">
        <f>IFERROR(__xludf.DUMMYFUNCTION("VLOOKUP(F12431, IMPORTRANGE(""https://docs.google.com/spreadsheets/d/1Lhp9OU0JdFf_VYSMzH5lBcEaU4o8teT1piV-SNzShjg/edit?gid=554141278#gid=554141278"", ""'Char Def. - Attributes'!C20:C2242""), 1,false)"),"PRESSURE_SCH_KPSI_PIPE_WYE")</f>
        <v>PRESSURE_SCH_KPSI_PIPE_WYE</v>
      </c>
      <c r="I12431" s="136"/>
      <c r="R12431" s="63" t="str">
        <f t="shared" si="60"/>
        <v>ZSI1_PIPE_WYEPRESSURE_SCH_KPSI_PIPE_WYE</v>
      </c>
    </row>
    <row r="12432" ht="15.75" customHeight="1">
      <c r="B12432" s="63">
        <f t="shared" si="1"/>
        <v>13</v>
      </c>
      <c r="C12432" s="135" t="s">
        <v>546</v>
      </c>
      <c r="D12432" s="161" t="s">
        <v>74</v>
      </c>
      <c r="E12432" s="135">
        <f t="shared" si="62"/>
        <v>6</v>
      </c>
      <c r="F12432" s="134" t="s">
        <v>5197</v>
      </c>
      <c r="G12432" s="63" t="str">
        <f>VLOOKUP(C12432, 'Class Def. - General Data'!$C$20:$C$1000,1,false)</f>
        <v>ZSI1_PIPE_WYE</v>
      </c>
      <c r="H12432" s="63" t="str">
        <f>IFERROR(__xludf.DUMMYFUNCTION("VLOOKUP(F12432, IMPORTRANGE(""https://docs.google.com/spreadsheets/d/1Lhp9OU0JdFf_VYSMzH5lBcEaU4o8teT1piV-SNzShjg/edit?gid=554141278#gid=554141278"", ""'Char Def. - Attributes'!C20:C2242""), 1,false)"),"BRANCH_LENGTH_PIPE_WYE")</f>
        <v>BRANCH_LENGTH_PIPE_WYE</v>
      </c>
      <c r="I12432" s="136"/>
      <c r="R12432" s="63" t="str">
        <f t="shared" si="60"/>
        <v>ZSI1_PIPE_WYEBRANCH_LENGTH_PIPE_WYE</v>
      </c>
    </row>
    <row r="12433" ht="15.75" customHeight="1">
      <c r="B12433" s="63">
        <f t="shared" si="1"/>
        <v>13</v>
      </c>
      <c r="C12433" s="135" t="s">
        <v>546</v>
      </c>
      <c r="D12433" s="161" t="s">
        <v>74</v>
      </c>
      <c r="E12433" s="135">
        <f t="shared" si="62"/>
        <v>7</v>
      </c>
      <c r="F12433" s="134" t="s">
        <v>5198</v>
      </c>
      <c r="G12433" s="63" t="str">
        <f>VLOOKUP(C12433, 'Class Def. - General Data'!$C$20:$C$1000,1,false)</f>
        <v>ZSI1_PIPE_WYE</v>
      </c>
      <c r="H12433" s="63" t="str">
        <f>IFERROR(__xludf.DUMMYFUNCTION("VLOOKUP(F12433, IMPORTRANGE(""https://docs.google.com/spreadsheets/d/1Lhp9OU0JdFf_VYSMzH5lBcEaU4o8teT1piV-SNzShjg/edit?gid=554141278#gid=554141278"", ""'Char Def. - Attributes'!C20:C2242""), 1,false)"),"OVERALL_LENGTH_PIPE_WYE")</f>
        <v>OVERALL_LENGTH_PIPE_WYE</v>
      </c>
      <c r="I12433" s="136"/>
      <c r="R12433" s="63" t="str">
        <f t="shared" si="60"/>
        <v>ZSI1_PIPE_WYEOVERALL_LENGTH_PIPE_WYE</v>
      </c>
    </row>
    <row r="12434" ht="15.75" customHeight="1">
      <c r="B12434" s="63">
        <f t="shared" si="1"/>
        <v>13</v>
      </c>
      <c r="C12434" s="135" t="s">
        <v>546</v>
      </c>
      <c r="D12434" s="161" t="s">
        <v>74</v>
      </c>
      <c r="E12434" s="135">
        <f t="shared" si="62"/>
        <v>8</v>
      </c>
      <c r="F12434" s="134" t="s">
        <v>5199</v>
      </c>
      <c r="G12434" s="63" t="str">
        <f>VLOOKUP(C12434, 'Class Def. - General Data'!$C$20:$C$1000,1,false)</f>
        <v>ZSI1_PIPE_WYE</v>
      </c>
      <c r="H12434" s="63" t="str">
        <f>IFERROR(__xludf.DUMMYFUNCTION("VLOOKUP(F12434, IMPORTRANGE(""https://docs.google.com/spreadsheets/d/1Lhp9OU0JdFf_VYSMzH5lBcEaU4o8teT1piV-SNzShjg/edit?gid=554141278#gid=554141278"", ""'Char Def. - Attributes'!C20:C2242""), 1,false)"),"END_CONNECT_PIPE_WYE")</f>
        <v>END_CONNECT_PIPE_WYE</v>
      </c>
      <c r="I12434" s="136"/>
      <c r="R12434" s="63" t="str">
        <f t="shared" si="60"/>
        <v>ZSI1_PIPE_WYEEND_CONNECT_PIPE_WYE</v>
      </c>
    </row>
    <row r="12435" ht="15.75" customHeight="1">
      <c r="B12435" s="63">
        <f t="shared" si="1"/>
        <v>13</v>
      </c>
      <c r="C12435" s="135" t="s">
        <v>546</v>
      </c>
      <c r="D12435" s="161" t="s">
        <v>74</v>
      </c>
      <c r="E12435" s="135">
        <f t="shared" si="62"/>
        <v>9</v>
      </c>
      <c r="F12435" s="134" t="s">
        <v>5200</v>
      </c>
      <c r="G12435" s="63" t="str">
        <f>VLOOKUP(C12435, 'Class Def. - General Data'!$C$20:$C$1000,1,false)</f>
        <v>ZSI1_PIPE_WYE</v>
      </c>
      <c r="H12435" s="63" t="str">
        <f>IFERROR(__xludf.DUMMYFUNCTION("VLOOKUP(F12435, IMPORTRANGE(""https://docs.google.com/spreadsheets/d/1Lhp9OU0JdFf_VYSMzH5lBcEaU4o8teT1piV-SNzShjg/edit?gid=554141278#gid=554141278"", ""'Char Def. - Attributes'!C20:C2242""), 1,false)"),"MATERIAL_PIPE_WYE")</f>
        <v>MATERIAL_PIPE_WYE</v>
      </c>
      <c r="I12435" s="136"/>
      <c r="R12435" s="63" t="str">
        <f t="shared" si="60"/>
        <v>ZSI1_PIPE_WYEMATERIAL_PIPE_WYE</v>
      </c>
    </row>
    <row r="12436" ht="15.75" customHeight="1">
      <c r="B12436" s="63">
        <f t="shared" si="1"/>
        <v>13</v>
      </c>
      <c r="C12436" s="135" t="s">
        <v>546</v>
      </c>
      <c r="D12436" s="161" t="s">
        <v>74</v>
      </c>
      <c r="E12436" s="135">
        <f t="shared" si="62"/>
        <v>10</v>
      </c>
      <c r="F12436" s="134" t="s">
        <v>3585</v>
      </c>
      <c r="G12436" s="63" t="str">
        <f>VLOOKUP(C12436, 'Class Def. - General Data'!$C$20:$C$1000,1,false)</f>
        <v>ZSI1_PIPE_WYE</v>
      </c>
      <c r="H12436" s="63" t="str">
        <f>IFERROR(__xludf.DUMMYFUNCTION("VLOOKUP(F12436, IMPORTRANGE(""https://docs.google.com/spreadsheets/d/1Lhp9OU0JdFf_VYSMzH5lBcEaU4o8teT1piV-SNzShjg/edit?gid=554141278#gid=554141278"", ""'Char Def. - Attributes'!C20:C2242""), 1,false)"),"HS_CODE")</f>
        <v>HS_CODE</v>
      </c>
      <c r="I12436" s="136"/>
      <c r="R12436" s="63" t="str">
        <f t="shared" si="60"/>
        <v>ZSI1_PIPE_WYEHS_CODE</v>
      </c>
    </row>
    <row r="12437" ht="15.75" customHeight="1">
      <c r="B12437" s="63">
        <f t="shared" si="1"/>
        <v>13</v>
      </c>
      <c r="C12437" s="135" t="s">
        <v>546</v>
      </c>
      <c r="D12437" s="161" t="s">
        <v>74</v>
      </c>
      <c r="E12437" s="135">
        <f t="shared" si="62"/>
        <v>11</v>
      </c>
      <c r="F12437" s="134" t="s">
        <v>3587</v>
      </c>
      <c r="G12437" s="63" t="str">
        <f>VLOOKUP(C12437, 'Class Def. - General Data'!$C$20:$C$1000,1,false)</f>
        <v>ZSI1_PIPE_WYE</v>
      </c>
      <c r="H12437" s="63" t="str">
        <f>IFERROR(__xludf.DUMMYFUNCTION("VLOOKUP(F12437, IMPORTRANGE(""https://docs.google.com/spreadsheets/d/1Lhp9OU0JdFf_VYSMzH5lBcEaU4o8teT1piV-SNzShjg/edit?gid=554141278#gid=554141278"", ""'Char Def. - Attributes'!C20:C2242""), 1,false)"),"PLANT_BUY")</f>
        <v>PLANT_BUY</v>
      </c>
      <c r="I12437" s="136"/>
      <c r="R12437" s="63" t="str">
        <f t="shared" si="60"/>
        <v>ZSI1_PIPE_WYEPLANT_BUY</v>
      </c>
    </row>
    <row r="12438" ht="15.75" customHeight="1">
      <c r="B12438" s="63">
        <f t="shared" si="1"/>
        <v>13</v>
      </c>
      <c r="C12438" s="135" t="s">
        <v>546</v>
      </c>
      <c r="D12438" s="161" t="s">
        <v>74</v>
      </c>
      <c r="E12438" s="135">
        <f t="shared" si="62"/>
        <v>12</v>
      </c>
      <c r="F12438" s="134" t="s">
        <v>5201</v>
      </c>
      <c r="G12438" s="63" t="str">
        <f>VLOOKUP(C12438, 'Class Def. - General Data'!$C$20:$C$1000,1,false)</f>
        <v>ZSI1_PIPE_WYE</v>
      </c>
      <c r="H12438" s="63" t="str">
        <f>IFERROR(__xludf.DUMMYFUNCTION("VLOOKUP(F12438, IMPORTRANGE(""https://docs.google.com/spreadsheets/d/1Lhp9OU0JdFf_VYSMzH5lBcEaU4o8teT1piV-SNzShjg/edit?gid=554141278#gid=554141278"", ""'Char Def. - Attributes'!C20:C2242""), 1,false)"),"BASE_UOM_PIPE_WYE")</f>
        <v>BASE_UOM_PIPE_WYE</v>
      </c>
      <c r="I12438" s="136"/>
      <c r="R12438" s="63" t="str">
        <f t="shared" si="60"/>
        <v>ZSI1_PIPE_WYEBASE_UOM_PIPE_WYE</v>
      </c>
    </row>
    <row r="12439" ht="15.75" customHeight="1">
      <c r="B12439" s="63">
        <f t="shared" si="1"/>
        <v>13</v>
      </c>
      <c r="C12439" s="135" t="s">
        <v>546</v>
      </c>
      <c r="D12439" s="161" t="s">
        <v>74</v>
      </c>
      <c r="E12439" s="135">
        <f t="shared" si="62"/>
        <v>13</v>
      </c>
      <c r="F12439" s="134" t="s">
        <v>5202</v>
      </c>
      <c r="G12439" s="63" t="str">
        <f>VLOOKUP(C12439, 'Class Def. - General Data'!$C$20:$C$1000,1,false)</f>
        <v>ZSI1_PIPE_WYE</v>
      </c>
      <c r="H12439" s="63" t="str">
        <f>IFERROR(__xludf.DUMMYFUNCTION("VLOOKUP(F12439, IMPORTRANGE(""https://docs.google.com/spreadsheets/d/1Lhp9OU0JdFf_VYSMzH5lBcEaU4o8teT1piV-SNzShjg/edit?gid=554141278#gid=554141278"", ""'Char Def. - Attributes'!C20:C2242""), 1,false)"),"ORDER_UNIT_PIPE_WYE")</f>
        <v>ORDER_UNIT_PIPE_WYE</v>
      </c>
      <c r="I12439" s="136"/>
      <c r="R12439" s="63" t="str">
        <f t="shared" si="60"/>
        <v>ZSI1_PIPE_WYEORDER_UNIT_PIPE_WYE</v>
      </c>
    </row>
    <row r="12440" ht="15.75" customHeight="1">
      <c r="B12440" s="63">
        <f t="shared" si="1"/>
        <v>13</v>
      </c>
      <c r="C12440" s="135" t="s">
        <v>546</v>
      </c>
      <c r="D12440" s="161" t="s">
        <v>74</v>
      </c>
      <c r="E12440" s="135">
        <f t="shared" si="62"/>
        <v>14</v>
      </c>
      <c r="F12440" s="134" t="s">
        <v>4056</v>
      </c>
      <c r="G12440" s="63" t="str">
        <f>VLOOKUP(C12440, 'Class Def. - General Data'!$C$20:$C$1000,1,false)</f>
        <v>ZSI1_PIPE_WYE</v>
      </c>
      <c r="H12440" s="63" t="str">
        <f>IFERROR(__xludf.DUMMYFUNCTION("VLOOKUP(F12440, IMPORTRANGE(""https://docs.google.com/spreadsheets/d/1Lhp9OU0JdFf_VYSMzH5lBcEaU4o8teT1piV-SNzShjg/edit?gid=554141278#gid=554141278"", ""'Char Def. - Attributes'!C20:C2242""), 1,false)"),"GROSS_WEIGHT_OPT")</f>
        <v>GROSS_WEIGHT_OPT</v>
      </c>
      <c r="I12440" s="136"/>
      <c r="R12440" s="63" t="str">
        <f t="shared" si="60"/>
        <v>ZSI1_PIPE_WYEGROSS_WEIGHT_OPT</v>
      </c>
    </row>
    <row r="12441" ht="15.75" customHeight="1">
      <c r="B12441" s="63">
        <f t="shared" si="1"/>
        <v>13</v>
      </c>
      <c r="C12441" s="135" t="s">
        <v>546</v>
      </c>
      <c r="D12441" s="161" t="s">
        <v>74</v>
      </c>
      <c r="E12441" s="135">
        <f t="shared" si="62"/>
        <v>15</v>
      </c>
      <c r="F12441" s="134" t="s">
        <v>4057</v>
      </c>
      <c r="G12441" s="63" t="str">
        <f>VLOOKUP(C12441, 'Class Def. - General Data'!$C$20:$C$1000,1,false)</f>
        <v>ZSI1_PIPE_WYE</v>
      </c>
      <c r="H12441" s="63" t="str">
        <f>IFERROR(__xludf.DUMMYFUNCTION("VLOOKUP(F12441, IMPORTRANGE(""https://docs.google.com/spreadsheets/d/1Lhp9OU0JdFf_VYSMzH5lBcEaU4o8teT1piV-SNzShjg/edit?gid=554141278#gid=554141278"", ""'Char Def. - Attributes'!C20:C2242""), 1,false)"),"NET_WEIGHT_OPT")</f>
        <v>NET_WEIGHT_OPT</v>
      </c>
      <c r="I12441" s="136"/>
      <c r="R12441" s="63" t="str">
        <f t="shared" si="60"/>
        <v>ZSI1_PIPE_WYENET_WEIGHT_OPT</v>
      </c>
    </row>
    <row r="12442" ht="15.75" customHeight="1">
      <c r="B12442" s="63">
        <f t="shared" si="1"/>
        <v>13</v>
      </c>
      <c r="C12442" s="135" t="s">
        <v>546</v>
      </c>
      <c r="D12442" s="161" t="s">
        <v>74</v>
      </c>
      <c r="E12442" s="135">
        <f t="shared" si="62"/>
        <v>16</v>
      </c>
      <c r="F12442" s="134" t="s">
        <v>4058</v>
      </c>
      <c r="G12442" s="63" t="str">
        <f>VLOOKUP(C12442, 'Class Def. - General Data'!$C$20:$C$1000,1,false)</f>
        <v>ZSI1_PIPE_WYE</v>
      </c>
      <c r="H12442" s="63" t="str">
        <f>IFERROR(__xludf.DUMMYFUNCTION("VLOOKUP(F12442, IMPORTRANGE(""https://docs.google.com/spreadsheets/d/1Lhp9OU0JdFf_VYSMzH5lBcEaU4o8teT1piV-SNzShjg/edit?gid=554141278#gid=554141278"", ""'Char Def. - Attributes'!C20:C2242""), 1,false)"),"WEIGHT_UNIT_SI")</f>
        <v>WEIGHT_UNIT_SI</v>
      </c>
      <c r="I12442" s="136"/>
      <c r="R12442" s="63" t="str">
        <f t="shared" si="60"/>
        <v>ZSI1_PIPE_WYEWEIGHT_UNIT_SI</v>
      </c>
    </row>
    <row r="12443" ht="15.75" customHeight="1">
      <c r="B12443" s="63">
        <f t="shared" si="1"/>
        <v>13</v>
      </c>
      <c r="C12443" s="135" t="s">
        <v>546</v>
      </c>
      <c r="D12443" s="161" t="s">
        <v>74</v>
      </c>
      <c r="E12443" s="135">
        <f t="shared" si="62"/>
        <v>17</v>
      </c>
      <c r="F12443" s="134" t="s">
        <v>3877</v>
      </c>
      <c r="G12443" s="63" t="str">
        <f>VLOOKUP(C12443, 'Class Def. - General Data'!$C$20:$C$1000,1,false)</f>
        <v>ZSI1_PIPE_WYE</v>
      </c>
      <c r="H12443" s="63" t="str">
        <f>IFERROR(__xludf.DUMMYFUNCTION("VLOOKUP(F12443, IMPORTRANGE(""https://docs.google.com/spreadsheets/d/1Lhp9OU0JdFf_VYSMzH5lBcEaU4o8teT1piV-SNzShjg/edit?gid=554141278#gid=554141278"", ""'Char Def. - Attributes'!C20:C2242""), 1,false)"),"VOLUME_OPT")</f>
        <v>VOLUME_OPT</v>
      </c>
      <c r="I12443" s="136"/>
      <c r="R12443" s="63" t="str">
        <f t="shared" si="60"/>
        <v>ZSI1_PIPE_WYEVOLUME_OPT</v>
      </c>
    </row>
    <row r="12444" ht="15.75" customHeight="1">
      <c r="B12444" s="63">
        <f t="shared" si="1"/>
        <v>13</v>
      </c>
      <c r="C12444" s="135" t="s">
        <v>546</v>
      </c>
      <c r="D12444" s="161" t="s">
        <v>74</v>
      </c>
      <c r="E12444" s="135">
        <f t="shared" si="62"/>
        <v>18</v>
      </c>
      <c r="F12444" s="134" t="s">
        <v>4059</v>
      </c>
      <c r="G12444" s="63" t="str">
        <f>VLOOKUP(C12444, 'Class Def. - General Data'!$C$20:$C$1000,1,false)</f>
        <v>ZSI1_PIPE_WYE</v>
      </c>
      <c r="H12444" s="63" t="str">
        <f>IFERROR(__xludf.DUMMYFUNCTION("VLOOKUP(F12444, IMPORTRANGE(""https://docs.google.com/spreadsheets/d/1Lhp9OU0JdFf_VYSMzH5lBcEaU4o8teT1piV-SNzShjg/edit?gid=554141278#gid=554141278"", ""'Char Def. - Attributes'!C20:C2242""), 1,false)"),"VOLUME_UNIT_SI")</f>
        <v>VOLUME_UNIT_SI</v>
      </c>
      <c r="I12444" s="136"/>
      <c r="R12444" s="63" t="str">
        <f t="shared" si="60"/>
        <v>ZSI1_PIPE_WYEVOLUME_UNIT_SI</v>
      </c>
    </row>
    <row r="12445" ht="15.75" customHeight="1">
      <c r="B12445" s="63">
        <f t="shared" si="1"/>
        <v>13</v>
      </c>
      <c r="C12445" s="135" t="s">
        <v>546</v>
      </c>
      <c r="D12445" s="161" t="s">
        <v>74</v>
      </c>
      <c r="E12445" s="135">
        <f t="shared" si="62"/>
        <v>19</v>
      </c>
      <c r="F12445" s="134" t="s">
        <v>3804</v>
      </c>
      <c r="G12445" s="63" t="str">
        <f>VLOOKUP(C12445, 'Class Def. - General Data'!$C$20:$C$1000,1,false)</f>
        <v>ZSI1_PIPE_WYE</v>
      </c>
      <c r="H12445" s="63" t="str">
        <f>IFERROR(__xludf.DUMMYFUNCTION("VLOOKUP(F12445, IMPORTRANGE(""https://docs.google.com/spreadsheets/d/1Lhp9OU0JdFf_VYSMzH5lBcEaU4o8teT1piV-SNzShjg/edit?gid=554141278#gid=554141278"", ""'Char Def. - Attributes'!C20:C2242""), 1,false)"),"ALT_UOM1_SIPI")</f>
        <v>ALT_UOM1_SIPI</v>
      </c>
      <c r="I12445" s="136"/>
      <c r="R12445" s="63" t="str">
        <f t="shared" si="60"/>
        <v>ZSI1_PIPE_WYEALT_UOM1_SIPI</v>
      </c>
    </row>
    <row r="12446" ht="15.75" customHeight="1">
      <c r="B12446" s="63">
        <f t="shared" si="1"/>
        <v>13</v>
      </c>
      <c r="C12446" s="135" t="s">
        <v>546</v>
      </c>
      <c r="D12446" s="161" t="s">
        <v>74</v>
      </c>
      <c r="E12446" s="135">
        <f t="shared" si="62"/>
        <v>20</v>
      </c>
      <c r="F12446" s="134" t="s">
        <v>3805</v>
      </c>
      <c r="G12446" s="63" t="str">
        <f>VLOOKUP(C12446, 'Class Def. - General Data'!$C$20:$C$1000,1,false)</f>
        <v>ZSI1_PIPE_WYE</v>
      </c>
      <c r="H12446" s="63" t="str">
        <f>IFERROR(__xludf.DUMMYFUNCTION("VLOOKUP(F12446, IMPORTRANGE(""https://docs.google.com/spreadsheets/d/1Lhp9OU0JdFf_VYSMzH5lBcEaU4o8teT1piV-SNzShjg/edit?gid=554141278#gid=554141278"", ""'Char Def. - Attributes'!C20:C2242""), 1,false)"),"ALT_DENUM_UOM1")</f>
        <v>ALT_DENUM_UOM1</v>
      </c>
      <c r="I12446" s="136"/>
      <c r="R12446" s="63" t="str">
        <f t="shared" si="60"/>
        <v>ZSI1_PIPE_WYEALT_DENUM_UOM1</v>
      </c>
    </row>
    <row r="12447" ht="15.75" customHeight="1">
      <c r="B12447" s="63">
        <f t="shared" si="1"/>
        <v>13</v>
      </c>
      <c r="C12447" s="135" t="s">
        <v>546</v>
      </c>
      <c r="D12447" s="161" t="s">
        <v>74</v>
      </c>
      <c r="E12447" s="135">
        <f t="shared" si="62"/>
        <v>21</v>
      </c>
      <c r="F12447" s="134" t="s">
        <v>3806</v>
      </c>
      <c r="G12447" s="63" t="str">
        <f>VLOOKUP(C12447, 'Class Def. - General Data'!$C$20:$C$1000,1,false)</f>
        <v>ZSI1_PIPE_WYE</v>
      </c>
      <c r="H12447" s="63" t="str">
        <f>IFERROR(__xludf.DUMMYFUNCTION("VLOOKUP(F12447, IMPORTRANGE(""https://docs.google.com/spreadsheets/d/1Lhp9OU0JdFf_VYSMzH5lBcEaU4o8teT1piV-SNzShjg/edit?gid=554141278#gid=554141278"", ""'Char Def. - Attributes'!C20:C2242""), 1,false)"),"ALT_NUM_UOM1")</f>
        <v>ALT_NUM_UOM1</v>
      </c>
      <c r="I12447" s="136"/>
      <c r="R12447" s="63" t="str">
        <f t="shared" si="60"/>
        <v>ZSI1_PIPE_WYEALT_NUM_UOM1</v>
      </c>
    </row>
    <row r="12448" ht="15.75" customHeight="1">
      <c r="B12448" s="63">
        <f t="shared" si="1"/>
        <v>13</v>
      </c>
      <c r="C12448" s="135" t="s">
        <v>546</v>
      </c>
      <c r="D12448" s="161" t="s">
        <v>74</v>
      </c>
      <c r="E12448" s="135">
        <f t="shared" si="62"/>
        <v>22</v>
      </c>
      <c r="F12448" s="134" t="s">
        <v>3807</v>
      </c>
      <c r="G12448" s="63" t="str">
        <f>VLOOKUP(C12448, 'Class Def. - General Data'!$C$20:$C$1000,1,false)</f>
        <v>ZSI1_PIPE_WYE</v>
      </c>
      <c r="H12448" s="63" t="str">
        <f>IFERROR(__xludf.DUMMYFUNCTION("VLOOKUP(F12448, IMPORTRANGE(""https://docs.google.com/spreadsheets/d/1Lhp9OU0JdFf_VYSMzH5lBcEaU4o8teT1piV-SNzShjg/edit?gid=554141278#gid=554141278"", ""'Char Def. - Attributes'!C20:C2242""), 1,false)"),"ALT_UOM2_SIPI")</f>
        <v>ALT_UOM2_SIPI</v>
      </c>
      <c r="I12448" s="136"/>
      <c r="R12448" s="63" t="str">
        <f t="shared" si="60"/>
        <v>ZSI1_PIPE_WYEALT_UOM2_SIPI</v>
      </c>
    </row>
    <row r="12449" ht="15.75" customHeight="1">
      <c r="B12449" s="63">
        <f t="shared" si="1"/>
        <v>13</v>
      </c>
      <c r="C12449" s="135" t="s">
        <v>546</v>
      </c>
      <c r="D12449" s="161" t="s">
        <v>74</v>
      </c>
      <c r="E12449" s="135">
        <f t="shared" si="62"/>
        <v>23</v>
      </c>
      <c r="F12449" s="134" t="s">
        <v>3808</v>
      </c>
      <c r="G12449" s="63" t="str">
        <f>VLOOKUP(C12449, 'Class Def. - General Data'!$C$20:$C$1000,1,false)</f>
        <v>ZSI1_PIPE_WYE</v>
      </c>
      <c r="H12449" s="63" t="str">
        <f>IFERROR(__xludf.DUMMYFUNCTION("VLOOKUP(F12449, IMPORTRANGE(""https://docs.google.com/spreadsheets/d/1Lhp9OU0JdFf_VYSMzH5lBcEaU4o8teT1piV-SNzShjg/edit?gid=554141278#gid=554141278"", ""'Char Def. - Attributes'!C20:C2242""), 1,false)"),"ALT_DENUM_UOM2")</f>
        <v>ALT_DENUM_UOM2</v>
      </c>
      <c r="I12449" s="136"/>
      <c r="R12449" s="63" t="str">
        <f t="shared" si="60"/>
        <v>ZSI1_PIPE_WYEALT_DENUM_UOM2</v>
      </c>
    </row>
    <row r="12450" ht="15.75" customHeight="1">
      <c r="B12450" s="63">
        <f t="shared" si="1"/>
        <v>13</v>
      </c>
      <c r="C12450" s="135" t="s">
        <v>546</v>
      </c>
      <c r="D12450" s="161" t="s">
        <v>74</v>
      </c>
      <c r="E12450" s="135">
        <f t="shared" si="62"/>
        <v>24</v>
      </c>
      <c r="F12450" s="134" t="s">
        <v>3809</v>
      </c>
      <c r="G12450" s="63" t="str">
        <f>VLOOKUP(C12450, 'Class Def. - General Data'!$C$20:$C$1000,1,false)</f>
        <v>ZSI1_PIPE_WYE</v>
      </c>
      <c r="H12450" s="63" t="str">
        <f>IFERROR(__xludf.DUMMYFUNCTION("VLOOKUP(F12450, IMPORTRANGE(""https://docs.google.com/spreadsheets/d/1Lhp9OU0JdFf_VYSMzH5lBcEaU4o8teT1piV-SNzShjg/edit?gid=554141278#gid=554141278"", ""'Char Def. - Attributes'!C20:C2242""), 1,false)"),"ALT_NUM_UOM2")</f>
        <v>ALT_NUM_UOM2</v>
      </c>
      <c r="I12450" s="136"/>
      <c r="R12450" s="63" t="str">
        <f t="shared" si="60"/>
        <v>ZSI1_PIPE_WYEALT_NUM_UOM2</v>
      </c>
    </row>
    <row r="12451" ht="15.75" customHeight="1">
      <c r="B12451" s="63">
        <f t="shared" si="1"/>
        <v>13</v>
      </c>
      <c r="C12451" s="135" t="s">
        <v>546</v>
      </c>
      <c r="D12451" s="161" t="s">
        <v>74</v>
      </c>
      <c r="E12451" s="135">
        <f t="shared" si="62"/>
        <v>25</v>
      </c>
      <c r="F12451" s="134" t="s">
        <v>3810</v>
      </c>
      <c r="G12451" s="63" t="str">
        <f>VLOOKUP(C12451, 'Class Def. - General Data'!$C$20:$C$1000,1,false)</f>
        <v>ZSI1_PIPE_WYE</v>
      </c>
      <c r="H12451" s="63" t="str">
        <f>IFERROR(__xludf.DUMMYFUNCTION("VLOOKUP(F12451, IMPORTRANGE(""https://docs.google.com/spreadsheets/d/1Lhp9OU0JdFf_VYSMzH5lBcEaU4o8teT1piV-SNzShjg/edit?gid=554141278#gid=554141278"", ""'Char Def. - Attributes'!C20:C2242""), 1,false)"),"ALT_UOM3_SIPI")</f>
        <v>ALT_UOM3_SIPI</v>
      </c>
      <c r="I12451" s="136"/>
      <c r="R12451" s="63" t="str">
        <f t="shared" si="60"/>
        <v>ZSI1_PIPE_WYEALT_UOM3_SIPI</v>
      </c>
    </row>
    <row r="12452" ht="15.75" customHeight="1">
      <c r="B12452" s="63">
        <f t="shared" si="1"/>
        <v>13</v>
      </c>
      <c r="C12452" s="135" t="s">
        <v>546</v>
      </c>
      <c r="D12452" s="161" t="s">
        <v>74</v>
      </c>
      <c r="E12452" s="135">
        <f t="shared" si="62"/>
        <v>26</v>
      </c>
      <c r="F12452" s="134" t="s">
        <v>3811</v>
      </c>
      <c r="G12452" s="63" t="str">
        <f>VLOOKUP(C12452, 'Class Def. - General Data'!$C$20:$C$1000,1,false)</f>
        <v>ZSI1_PIPE_WYE</v>
      </c>
      <c r="H12452" s="63" t="str">
        <f>IFERROR(__xludf.DUMMYFUNCTION("VLOOKUP(F12452, IMPORTRANGE(""https://docs.google.com/spreadsheets/d/1Lhp9OU0JdFf_VYSMzH5lBcEaU4o8teT1piV-SNzShjg/edit?gid=554141278#gid=554141278"", ""'Char Def. - Attributes'!C20:C2242""), 1,false)"),"ALT_DENUM_UOM3")</f>
        <v>ALT_DENUM_UOM3</v>
      </c>
      <c r="I12452" s="136"/>
      <c r="R12452" s="63" t="str">
        <f t="shared" si="60"/>
        <v>ZSI1_PIPE_WYEALT_DENUM_UOM3</v>
      </c>
    </row>
    <row r="12453" ht="15.75" customHeight="1">
      <c r="B12453" s="63">
        <f t="shared" si="1"/>
        <v>13</v>
      </c>
      <c r="C12453" s="135" t="s">
        <v>546</v>
      </c>
      <c r="D12453" s="161" t="s">
        <v>74</v>
      </c>
      <c r="E12453" s="135">
        <f t="shared" si="62"/>
        <v>27</v>
      </c>
      <c r="F12453" s="134" t="s">
        <v>3812</v>
      </c>
      <c r="G12453" s="63" t="str">
        <f>VLOOKUP(C12453, 'Class Def. - General Data'!$C$20:$C$1000,1,false)</f>
        <v>ZSI1_PIPE_WYE</v>
      </c>
      <c r="H12453" s="63" t="str">
        <f>IFERROR(__xludf.DUMMYFUNCTION("VLOOKUP(F12453, IMPORTRANGE(""https://docs.google.com/spreadsheets/d/1Lhp9OU0JdFf_VYSMzH5lBcEaU4o8teT1piV-SNzShjg/edit?gid=554141278#gid=554141278"", ""'Char Def. - Attributes'!C20:C2242""), 1,false)"),"ALT_NUM_UOM3")</f>
        <v>ALT_NUM_UOM3</v>
      </c>
      <c r="I12453" s="136"/>
      <c r="R12453" s="63" t="str">
        <f t="shared" si="60"/>
        <v>ZSI1_PIPE_WYEALT_NUM_UOM3</v>
      </c>
    </row>
    <row r="12454" ht="15.75" customHeight="1">
      <c r="B12454" s="63">
        <f t="shared" si="1"/>
        <v>13</v>
      </c>
      <c r="C12454" s="135" t="s">
        <v>546</v>
      </c>
      <c r="D12454" s="161" t="s">
        <v>74</v>
      </c>
      <c r="E12454" s="135">
        <f t="shared" si="62"/>
        <v>28</v>
      </c>
      <c r="F12454" s="134" t="s">
        <v>3813</v>
      </c>
      <c r="G12454" s="63" t="str">
        <f>VLOOKUP(C12454, 'Class Def. - General Data'!$C$20:$C$1000,1,false)</f>
        <v>ZSI1_PIPE_WYE</v>
      </c>
      <c r="H12454" s="63" t="str">
        <f>IFERROR(__xludf.DUMMYFUNCTION("VLOOKUP(F12454, IMPORTRANGE(""https://docs.google.com/spreadsheets/d/1Lhp9OU0JdFf_VYSMzH5lBcEaU4o8teT1piV-SNzShjg/edit?gid=554141278#gid=554141278"", ""'Char Def. - Attributes'!C20:C2242""), 1,false)"),"ALT_UOM4_SIPI")</f>
        <v>ALT_UOM4_SIPI</v>
      </c>
      <c r="I12454" s="136"/>
      <c r="R12454" s="63" t="str">
        <f t="shared" si="60"/>
        <v>ZSI1_PIPE_WYEALT_UOM4_SIPI</v>
      </c>
    </row>
    <row r="12455" ht="15.75" customHeight="1">
      <c r="B12455" s="63">
        <f t="shared" si="1"/>
        <v>13</v>
      </c>
      <c r="C12455" s="135" t="s">
        <v>546</v>
      </c>
      <c r="D12455" s="161" t="s">
        <v>74</v>
      </c>
      <c r="E12455" s="135">
        <f t="shared" si="62"/>
        <v>29</v>
      </c>
      <c r="F12455" s="134" t="s">
        <v>3814</v>
      </c>
      <c r="G12455" s="63" t="str">
        <f>VLOOKUP(C12455, 'Class Def. - General Data'!$C$20:$C$1000,1,false)</f>
        <v>ZSI1_PIPE_WYE</v>
      </c>
      <c r="H12455" s="63" t="str">
        <f>IFERROR(__xludf.DUMMYFUNCTION("VLOOKUP(F12455, IMPORTRANGE(""https://docs.google.com/spreadsheets/d/1Lhp9OU0JdFf_VYSMzH5lBcEaU4o8teT1piV-SNzShjg/edit?gid=554141278#gid=554141278"", ""'Char Def. - Attributes'!C20:C2242""), 1,false)"),"ALT_DENUM_UOM4")</f>
        <v>ALT_DENUM_UOM4</v>
      </c>
      <c r="I12455" s="136"/>
      <c r="R12455" s="63" t="str">
        <f t="shared" si="60"/>
        <v>ZSI1_PIPE_WYEALT_DENUM_UOM4</v>
      </c>
    </row>
    <row r="12456" ht="15.75" customHeight="1">
      <c r="B12456" s="63">
        <f t="shared" si="1"/>
        <v>13</v>
      </c>
      <c r="C12456" s="135" t="s">
        <v>546</v>
      </c>
      <c r="D12456" s="161" t="s">
        <v>74</v>
      </c>
      <c r="E12456" s="135">
        <f t="shared" si="62"/>
        <v>30</v>
      </c>
      <c r="F12456" s="134" t="s">
        <v>3815</v>
      </c>
      <c r="G12456" s="63" t="str">
        <f>VLOOKUP(C12456, 'Class Def. - General Data'!$C$20:$C$1000,1,false)</f>
        <v>ZSI1_PIPE_WYE</v>
      </c>
      <c r="H12456" s="63" t="str">
        <f>IFERROR(__xludf.DUMMYFUNCTION("VLOOKUP(F12456, IMPORTRANGE(""https://docs.google.com/spreadsheets/d/1Lhp9OU0JdFf_VYSMzH5lBcEaU4o8teT1piV-SNzShjg/edit?gid=554141278#gid=554141278"", ""'Char Def. - Attributes'!C20:C2242""), 1,false)"),"ALT_NUM_UOM4")</f>
        <v>ALT_NUM_UOM4</v>
      </c>
      <c r="I12456" s="136"/>
      <c r="R12456" s="63" t="str">
        <f t="shared" si="60"/>
        <v>ZSI1_PIPE_WYEALT_NUM_UOM4</v>
      </c>
    </row>
    <row r="12457" ht="15.75" customHeight="1">
      <c r="B12457" s="63">
        <f t="shared" si="1"/>
        <v>13</v>
      </c>
      <c r="C12457" s="135" t="s">
        <v>546</v>
      </c>
      <c r="D12457" s="161" t="s">
        <v>74</v>
      </c>
      <c r="E12457" s="135">
        <f t="shared" si="62"/>
        <v>31</v>
      </c>
      <c r="F12457" s="134" t="s">
        <v>3816</v>
      </c>
      <c r="G12457" s="63" t="str">
        <f>VLOOKUP(C12457, 'Class Def. - General Data'!$C$20:$C$1000,1,false)</f>
        <v>ZSI1_PIPE_WYE</v>
      </c>
      <c r="H12457" s="63" t="str">
        <f>IFERROR(__xludf.DUMMYFUNCTION("VLOOKUP(F12457, IMPORTRANGE(""https://docs.google.com/spreadsheets/d/1Lhp9OU0JdFf_VYSMzH5lBcEaU4o8teT1piV-SNzShjg/edit?gid=554141278#gid=554141278"", ""'Char Def. - Attributes'!C20:C2242""), 1,false)"),"ALT_UOM5_SIPI")</f>
        <v>ALT_UOM5_SIPI</v>
      </c>
      <c r="I12457" s="136"/>
      <c r="R12457" s="63" t="str">
        <f t="shared" si="60"/>
        <v>ZSI1_PIPE_WYEALT_UOM5_SIPI</v>
      </c>
    </row>
    <row r="12458" ht="15.75" customHeight="1">
      <c r="B12458" s="63">
        <f t="shared" si="1"/>
        <v>13</v>
      </c>
      <c r="C12458" s="135" t="s">
        <v>546</v>
      </c>
      <c r="D12458" s="161" t="s">
        <v>74</v>
      </c>
      <c r="E12458" s="135">
        <f t="shared" si="62"/>
        <v>32</v>
      </c>
      <c r="F12458" s="134" t="s">
        <v>3817</v>
      </c>
      <c r="G12458" s="63" t="str">
        <f>VLOOKUP(C12458, 'Class Def. - General Data'!$C$20:$C$1000,1,false)</f>
        <v>ZSI1_PIPE_WYE</v>
      </c>
      <c r="H12458" s="63" t="str">
        <f>IFERROR(__xludf.DUMMYFUNCTION("VLOOKUP(F12458, IMPORTRANGE(""https://docs.google.com/spreadsheets/d/1Lhp9OU0JdFf_VYSMzH5lBcEaU4o8teT1piV-SNzShjg/edit?gid=554141278#gid=554141278"", ""'Char Def. - Attributes'!C20:C2242""), 1,false)"),"ALT_DENUM_UOM5")</f>
        <v>ALT_DENUM_UOM5</v>
      </c>
      <c r="I12458" s="136"/>
      <c r="R12458" s="63" t="str">
        <f t="shared" si="60"/>
        <v>ZSI1_PIPE_WYEALT_DENUM_UOM5</v>
      </c>
    </row>
    <row r="12459" ht="15.75" customHeight="1">
      <c r="B12459" s="63">
        <f t="shared" si="1"/>
        <v>13</v>
      </c>
      <c r="C12459" s="135" t="s">
        <v>546</v>
      </c>
      <c r="D12459" s="161" t="s">
        <v>74</v>
      </c>
      <c r="E12459" s="135">
        <f t="shared" si="62"/>
        <v>33</v>
      </c>
      <c r="F12459" s="134" t="s">
        <v>3818</v>
      </c>
      <c r="G12459" s="63" t="str">
        <f>VLOOKUP(C12459, 'Class Def. - General Data'!$C$20:$C$1000,1,false)</f>
        <v>ZSI1_PIPE_WYE</v>
      </c>
      <c r="H12459" s="63" t="str">
        <f>IFERROR(__xludf.DUMMYFUNCTION("VLOOKUP(F12459, IMPORTRANGE(""https://docs.google.com/spreadsheets/d/1Lhp9OU0JdFf_VYSMzH5lBcEaU4o8teT1piV-SNzShjg/edit?gid=554141278#gid=554141278"", ""'Char Def. - Attributes'!C20:C2242""), 1,false)"),"ALT_NUM_UOM5")</f>
        <v>ALT_NUM_UOM5</v>
      </c>
      <c r="I12459" s="136"/>
      <c r="R12459" s="63" t="str">
        <f t="shared" si="60"/>
        <v>ZSI1_PIPE_WYEALT_NUM_UOM5</v>
      </c>
    </row>
    <row r="12460" ht="15.75" customHeight="1">
      <c r="B12460" s="63">
        <f t="shared" si="1"/>
        <v>16</v>
      </c>
      <c r="C12460" s="135" t="s">
        <v>447</v>
      </c>
      <c r="D12460" s="161" t="s">
        <v>74</v>
      </c>
      <c r="E12460" s="135">
        <f t="shared" si="62"/>
        <v>1</v>
      </c>
      <c r="F12460" s="134" t="s">
        <v>5203</v>
      </c>
      <c r="G12460" s="63" t="str">
        <f>VLOOKUP(C12460, 'Class Def. - General Data'!$C$20:$C$1000,1,false)</f>
        <v>ZSI1_PLAIN_PLATE</v>
      </c>
      <c r="H12460" s="63" t="str">
        <f>IFERROR(__xludf.DUMMYFUNCTION("VLOOKUP(F12460, IMPORTRANGE(""https://docs.google.com/spreadsheets/d/1Lhp9OU0JdFf_VYSMzH5lBcEaU4o8teT1piV-SNzShjg/edit?gid=554141278#gid=554141278"", ""'Char Def. - Attributes'!C20:C2242""), 1,false)"),"ITEM_NAME_PLAIN_PLATE")</f>
        <v>ITEM_NAME_PLAIN_PLATE</v>
      </c>
      <c r="I12460" s="136"/>
      <c r="R12460" s="63" t="str">
        <f t="shared" si="60"/>
        <v>ZSI1_PLAIN_PLATEITEM_NAME_PLAIN_PLATE</v>
      </c>
    </row>
    <row r="12461" ht="15.75" customHeight="1">
      <c r="B12461" s="63">
        <f t="shared" si="1"/>
        <v>16</v>
      </c>
      <c r="C12461" s="135" t="s">
        <v>447</v>
      </c>
      <c r="D12461" s="161" t="s">
        <v>74</v>
      </c>
      <c r="E12461" s="135">
        <f t="shared" si="62"/>
        <v>2</v>
      </c>
      <c r="F12461" s="134" t="s">
        <v>5204</v>
      </c>
      <c r="G12461" s="63" t="str">
        <f>VLOOKUP(C12461, 'Class Def. - General Data'!$C$20:$C$1000,1,false)</f>
        <v>ZSI1_PLAIN_PLATE</v>
      </c>
      <c r="H12461" s="63" t="str">
        <f>IFERROR(__xludf.DUMMYFUNCTION("VLOOKUP(F12461, IMPORTRANGE(""https://docs.google.com/spreadsheets/d/1Lhp9OU0JdFf_VYSMzH5lBcEaU4o8teT1piV-SNzShjg/edit?gid=554141278#gid=554141278"", ""'Char Def. - Attributes'!C20:C2242""), 1,false)"),"PLATE_SURFACE_DSGN_PLAIN_PLATE")</f>
        <v>PLATE_SURFACE_DSGN_PLAIN_PLATE</v>
      </c>
      <c r="I12461" s="136"/>
      <c r="R12461" s="63" t="str">
        <f t="shared" si="60"/>
        <v>ZSI1_PLAIN_PLATEPLATE_SURFACE_DSGN_PLAIN_PLATE</v>
      </c>
    </row>
    <row r="12462" ht="15.75" customHeight="1">
      <c r="B12462" s="63">
        <f t="shared" si="1"/>
        <v>16</v>
      </c>
      <c r="C12462" s="135" t="s">
        <v>447</v>
      </c>
      <c r="D12462" s="161" t="s">
        <v>74</v>
      </c>
      <c r="E12462" s="135">
        <f t="shared" si="62"/>
        <v>3</v>
      </c>
      <c r="F12462" s="134" t="s">
        <v>5205</v>
      </c>
      <c r="G12462" s="63" t="str">
        <f>VLOOKUP(C12462, 'Class Def. - General Data'!$C$20:$C$1000,1,false)</f>
        <v>ZSI1_PLAIN_PLATE</v>
      </c>
      <c r="H12462" s="63" t="str">
        <f>IFERROR(__xludf.DUMMYFUNCTION("VLOOKUP(F12462, IMPORTRANGE(""https://docs.google.com/spreadsheets/d/1Lhp9OU0JdFf_VYSMzH5lBcEaU4o8teT1piV-SNzShjg/edit?gid=554141278#gid=554141278"", ""'Char Def. - Attributes'!C20:C2242""), 1,false)"),"PLATE_THICKNESS_MM_PLAIN_PLATE")</f>
        <v>PLATE_THICKNESS_MM_PLAIN_PLATE</v>
      </c>
      <c r="I12462" s="136"/>
      <c r="R12462" s="63" t="str">
        <f t="shared" si="60"/>
        <v>ZSI1_PLAIN_PLATEPLATE_THICKNESS_MM_PLAIN_PLATE</v>
      </c>
    </row>
    <row r="12463" ht="15.75" customHeight="1">
      <c r="B12463" s="63">
        <f t="shared" si="1"/>
        <v>16</v>
      </c>
      <c r="C12463" s="135" t="s">
        <v>447</v>
      </c>
      <c r="D12463" s="161" t="s">
        <v>74</v>
      </c>
      <c r="E12463" s="135">
        <f t="shared" si="62"/>
        <v>4</v>
      </c>
      <c r="F12463" s="134" t="s">
        <v>5206</v>
      </c>
      <c r="G12463" s="63" t="str">
        <f>VLOOKUP(C12463, 'Class Def. - General Data'!$C$20:$C$1000,1,false)</f>
        <v>ZSI1_PLAIN_PLATE</v>
      </c>
      <c r="H12463" s="63" t="str">
        <f>IFERROR(__xludf.DUMMYFUNCTION("VLOOKUP(F12463, IMPORTRANGE(""https://docs.google.com/spreadsheets/d/1Lhp9OU0JdFf_VYSMzH5lBcEaU4o8teT1piV-SNzShjg/edit?gid=554141278#gid=554141278"", ""'Char Def. - Attributes'!C20:C2242""), 1,false)"),"PLATE_WIDTH_FT_PLAIN_PLATE")</f>
        <v>PLATE_WIDTH_FT_PLAIN_PLATE</v>
      </c>
      <c r="I12463" s="136"/>
      <c r="R12463" s="63" t="str">
        <f t="shared" si="60"/>
        <v>ZSI1_PLAIN_PLATEPLATE_WIDTH_FT_PLAIN_PLATE</v>
      </c>
    </row>
    <row r="12464" ht="15.75" customHeight="1">
      <c r="B12464" s="63">
        <f t="shared" si="1"/>
        <v>16</v>
      </c>
      <c r="C12464" s="135" t="s">
        <v>447</v>
      </c>
      <c r="D12464" s="161" t="s">
        <v>74</v>
      </c>
      <c r="E12464" s="135">
        <f t="shared" si="62"/>
        <v>5</v>
      </c>
      <c r="F12464" s="134" t="s">
        <v>5207</v>
      </c>
      <c r="G12464" s="63" t="str">
        <f>VLOOKUP(C12464, 'Class Def. - General Data'!$C$20:$C$1000,1,false)</f>
        <v>ZSI1_PLAIN_PLATE</v>
      </c>
      <c r="H12464" s="63" t="str">
        <f>IFERROR(__xludf.DUMMYFUNCTION("VLOOKUP(F12464, IMPORTRANGE(""https://docs.google.com/spreadsheets/d/1Lhp9OU0JdFf_VYSMzH5lBcEaU4o8teT1piV-SNzShjg/edit?gid=554141278#gid=554141278"", ""'Char Def. - Attributes'!C20:C2242""), 1,false)"),"PLATE_LENGTH_FT_PLAIN_PLATE")</f>
        <v>PLATE_LENGTH_FT_PLAIN_PLATE</v>
      </c>
      <c r="I12464" s="136"/>
      <c r="R12464" s="63" t="str">
        <f t="shared" si="60"/>
        <v>ZSI1_PLAIN_PLATEPLATE_LENGTH_FT_PLAIN_PLATE</v>
      </c>
    </row>
    <row r="12465" ht="15.75" customHeight="1">
      <c r="B12465" s="63">
        <f t="shared" si="1"/>
        <v>16</v>
      </c>
      <c r="C12465" s="135" t="s">
        <v>447</v>
      </c>
      <c r="D12465" s="161" t="s">
        <v>74</v>
      </c>
      <c r="E12465" s="135">
        <f t="shared" si="62"/>
        <v>6</v>
      </c>
      <c r="F12465" s="134" t="s">
        <v>5208</v>
      </c>
      <c r="G12465" s="63" t="str">
        <f>VLOOKUP(C12465, 'Class Def. - General Data'!$C$20:$C$1000,1,false)</f>
        <v>ZSI1_PLAIN_PLATE</v>
      </c>
      <c r="H12465" s="63" t="str">
        <f>IFERROR(__xludf.DUMMYFUNCTION("VLOOKUP(F12465, IMPORTRANGE(""https://docs.google.com/spreadsheets/d/1Lhp9OU0JdFf_VYSMzH5lBcEaU4o8teT1piV-SNzShjg/edit?gid=554141278#gid=554141278"", ""'Char Def. - Attributes'!C20:C2242""), 1,false)"),"PLATE_MATERIAL_PLAIN_PLATE")</f>
        <v>PLATE_MATERIAL_PLAIN_PLATE</v>
      </c>
      <c r="I12465" s="136"/>
      <c r="R12465" s="63" t="str">
        <f t="shared" si="60"/>
        <v>ZSI1_PLAIN_PLATEPLATE_MATERIAL_PLAIN_PLATE</v>
      </c>
    </row>
    <row r="12466" ht="15.75" customHeight="1">
      <c r="B12466" s="63">
        <f t="shared" si="1"/>
        <v>16</v>
      </c>
      <c r="C12466" s="135" t="s">
        <v>447</v>
      </c>
      <c r="D12466" s="161" t="s">
        <v>74</v>
      </c>
      <c r="E12466" s="135">
        <f t="shared" si="62"/>
        <v>7</v>
      </c>
      <c r="F12466" s="134" t="s">
        <v>4053</v>
      </c>
      <c r="G12466" s="63" t="str">
        <f>VLOOKUP(C12466, 'Class Def. - General Data'!$C$20:$C$1000,1,false)</f>
        <v>ZSI1_PLAIN_PLATE</v>
      </c>
      <c r="H12466" s="63" t="str">
        <f>IFERROR(__xludf.DUMMYFUNCTION("VLOOKUP(F12466, IMPORTRANGE(""https://docs.google.com/spreadsheets/d/1Lhp9OU0JdFf_VYSMzH5lBcEaU4o8teT1piV-SNzShjg/edit?gid=554141278#gid=554141278"", ""'Char Def. - Attributes'!C20:C2242""), 1,false)"),"MAINTENANCE_ORDER_TYPE")</f>
        <v>MAINTENANCE_ORDER_TYPE</v>
      </c>
      <c r="I12466" s="136"/>
      <c r="R12466" s="63" t="str">
        <f t="shared" si="60"/>
        <v>ZSI1_PLAIN_PLATEMAINTENANCE_ORDER_TYPE</v>
      </c>
    </row>
    <row r="12467" ht="15.75" customHeight="1">
      <c r="B12467" s="63">
        <f t="shared" si="1"/>
        <v>16</v>
      </c>
      <c r="C12467" s="135" t="s">
        <v>447</v>
      </c>
      <c r="D12467" s="161" t="s">
        <v>74</v>
      </c>
      <c r="E12467" s="135">
        <f t="shared" si="62"/>
        <v>8</v>
      </c>
      <c r="F12467" s="134" t="s">
        <v>3585</v>
      </c>
      <c r="G12467" s="63" t="str">
        <f>VLOOKUP(C12467, 'Class Def. - General Data'!$C$20:$C$1000,1,false)</f>
        <v>ZSI1_PLAIN_PLATE</v>
      </c>
      <c r="H12467" s="63" t="str">
        <f>IFERROR(__xludf.DUMMYFUNCTION("VLOOKUP(F12467, IMPORTRANGE(""https://docs.google.com/spreadsheets/d/1Lhp9OU0JdFf_VYSMzH5lBcEaU4o8teT1piV-SNzShjg/edit?gid=554141278#gid=554141278"", ""'Char Def. - Attributes'!C20:C2242""), 1,false)"),"HS_CODE")</f>
        <v>HS_CODE</v>
      </c>
      <c r="I12467" s="136"/>
      <c r="R12467" s="63" t="str">
        <f t="shared" si="60"/>
        <v>ZSI1_PLAIN_PLATEHS_CODE</v>
      </c>
    </row>
    <row r="12468" ht="15.75" customHeight="1">
      <c r="B12468" s="63">
        <f t="shared" si="1"/>
        <v>16</v>
      </c>
      <c r="C12468" s="135" t="s">
        <v>447</v>
      </c>
      <c r="D12468" s="161" t="s">
        <v>74</v>
      </c>
      <c r="E12468" s="135">
        <f t="shared" si="62"/>
        <v>9</v>
      </c>
      <c r="F12468" s="134" t="s">
        <v>3587</v>
      </c>
      <c r="G12468" s="63" t="str">
        <f>VLOOKUP(C12468, 'Class Def. - General Data'!$C$20:$C$1000,1,false)</f>
        <v>ZSI1_PLAIN_PLATE</v>
      </c>
      <c r="H12468" s="63" t="str">
        <f>IFERROR(__xludf.DUMMYFUNCTION("VLOOKUP(F12468, IMPORTRANGE(""https://docs.google.com/spreadsheets/d/1Lhp9OU0JdFf_VYSMzH5lBcEaU4o8teT1piV-SNzShjg/edit?gid=554141278#gid=554141278"", ""'Char Def. - Attributes'!C20:C2242""), 1,false)"),"PLANT_BUY")</f>
        <v>PLANT_BUY</v>
      </c>
      <c r="I12468" s="136"/>
      <c r="R12468" s="63" t="str">
        <f t="shared" si="60"/>
        <v>ZSI1_PLAIN_PLATEPLANT_BUY</v>
      </c>
    </row>
    <row r="12469" ht="15.75" customHeight="1">
      <c r="B12469" s="63">
        <f t="shared" si="1"/>
        <v>16</v>
      </c>
      <c r="C12469" s="135" t="s">
        <v>447</v>
      </c>
      <c r="D12469" s="161" t="s">
        <v>74</v>
      </c>
      <c r="E12469" s="135">
        <f t="shared" si="62"/>
        <v>10</v>
      </c>
      <c r="F12469" s="134" t="s">
        <v>5209</v>
      </c>
      <c r="G12469" s="63" t="str">
        <f>VLOOKUP(C12469, 'Class Def. - General Data'!$C$20:$C$1000,1,false)</f>
        <v>ZSI1_PLAIN_PLATE</v>
      </c>
      <c r="H12469" s="63" t="str">
        <f>IFERROR(__xludf.DUMMYFUNCTION("VLOOKUP(F12469, IMPORTRANGE(""https://docs.google.com/spreadsheets/d/1Lhp9OU0JdFf_VYSMzH5lBcEaU4o8teT1piV-SNzShjg/edit?gid=554141278#gid=554141278"", ""'Char Def. - Attributes'!C20:C2242""), 1,false)"),"BASE_UOM_PLAIN_PLATE")</f>
        <v>BASE_UOM_PLAIN_PLATE</v>
      </c>
      <c r="I12469" s="136"/>
      <c r="R12469" s="63" t="str">
        <f t="shared" si="60"/>
        <v>ZSI1_PLAIN_PLATEBASE_UOM_PLAIN_PLATE</v>
      </c>
    </row>
    <row r="12470" ht="15.75" customHeight="1">
      <c r="B12470" s="63">
        <f t="shared" si="1"/>
        <v>16</v>
      </c>
      <c r="C12470" s="135" t="s">
        <v>447</v>
      </c>
      <c r="D12470" s="161" t="s">
        <v>74</v>
      </c>
      <c r="E12470" s="135">
        <f t="shared" si="62"/>
        <v>11</v>
      </c>
      <c r="F12470" s="134" t="s">
        <v>5210</v>
      </c>
      <c r="G12470" s="63" t="str">
        <f>VLOOKUP(C12470, 'Class Def. - General Data'!$C$20:$C$1000,1,false)</f>
        <v>ZSI1_PLAIN_PLATE</v>
      </c>
      <c r="H12470" s="63" t="str">
        <f>IFERROR(__xludf.DUMMYFUNCTION("VLOOKUP(F12470, IMPORTRANGE(""https://docs.google.com/spreadsheets/d/1Lhp9OU0JdFf_VYSMzH5lBcEaU4o8teT1piV-SNzShjg/edit?gid=554141278#gid=554141278"", ""'Char Def. - Attributes'!C20:C2242""), 1,false)"),"ORDER_UNIT_PLAIN_PLATE")</f>
        <v>ORDER_UNIT_PLAIN_PLATE</v>
      </c>
      <c r="I12470" s="136"/>
      <c r="R12470" s="63" t="str">
        <f t="shared" si="60"/>
        <v>ZSI1_PLAIN_PLATEORDER_UNIT_PLAIN_PLATE</v>
      </c>
    </row>
    <row r="12471" ht="15.75" customHeight="1">
      <c r="B12471" s="63">
        <f t="shared" si="1"/>
        <v>16</v>
      </c>
      <c r="C12471" s="135" t="s">
        <v>447</v>
      </c>
      <c r="D12471" s="161" t="s">
        <v>74</v>
      </c>
      <c r="E12471" s="135">
        <f t="shared" si="62"/>
        <v>12</v>
      </c>
      <c r="F12471" s="134" t="s">
        <v>4056</v>
      </c>
      <c r="G12471" s="63" t="str">
        <f>VLOOKUP(C12471, 'Class Def. - General Data'!$C$20:$C$1000,1,false)</f>
        <v>ZSI1_PLAIN_PLATE</v>
      </c>
      <c r="H12471" s="63" t="str">
        <f>IFERROR(__xludf.DUMMYFUNCTION("VLOOKUP(F12471, IMPORTRANGE(""https://docs.google.com/spreadsheets/d/1Lhp9OU0JdFf_VYSMzH5lBcEaU4o8teT1piV-SNzShjg/edit?gid=554141278#gid=554141278"", ""'Char Def. - Attributes'!C20:C2242""), 1,false)"),"GROSS_WEIGHT_OPT")</f>
        <v>GROSS_WEIGHT_OPT</v>
      </c>
      <c r="I12471" s="136"/>
      <c r="R12471" s="63" t="str">
        <f t="shared" si="60"/>
        <v>ZSI1_PLAIN_PLATEGROSS_WEIGHT_OPT</v>
      </c>
    </row>
    <row r="12472" ht="15.75" customHeight="1">
      <c r="B12472" s="63">
        <f t="shared" si="1"/>
        <v>16</v>
      </c>
      <c r="C12472" s="135" t="s">
        <v>447</v>
      </c>
      <c r="D12472" s="161" t="s">
        <v>74</v>
      </c>
      <c r="E12472" s="135">
        <f t="shared" si="62"/>
        <v>13</v>
      </c>
      <c r="F12472" s="134" t="s">
        <v>4057</v>
      </c>
      <c r="G12472" s="63" t="str">
        <f>VLOOKUP(C12472, 'Class Def. - General Data'!$C$20:$C$1000,1,false)</f>
        <v>ZSI1_PLAIN_PLATE</v>
      </c>
      <c r="H12472" s="63" t="str">
        <f>IFERROR(__xludf.DUMMYFUNCTION("VLOOKUP(F12472, IMPORTRANGE(""https://docs.google.com/spreadsheets/d/1Lhp9OU0JdFf_VYSMzH5lBcEaU4o8teT1piV-SNzShjg/edit?gid=554141278#gid=554141278"", ""'Char Def. - Attributes'!C20:C2242""), 1,false)"),"NET_WEIGHT_OPT")</f>
        <v>NET_WEIGHT_OPT</v>
      </c>
      <c r="I12472" s="136"/>
      <c r="R12472" s="63" t="str">
        <f t="shared" si="60"/>
        <v>ZSI1_PLAIN_PLATENET_WEIGHT_OPT</v>
      </c>
    </row>
    <row r="12473" ht="15.75" customHeight="1">
      <c r="B12473" s="63">
        <f t="shared" si="1"/>
        <v>16</v>
      </c>
      <c r="C12473" s="135" t="s">
        <v>447</v>
      </c>
      <c r="D12473" s="161" t="s">
        <v>74</v>
      </c>
      <c r="E12473" s="135">
        <f t="shared" si="62"/>
        <v>14</v>
      </c>
      <c r="F12473" s="134" t="s">
        <v>4058</v>
      </c>
      <c r="G12473" s="63" t="str">
        <f>VLOOKUP(C12473, 'Class Def. - General Data'!$C$20:$C$1000,1,false)</f>
        <v>ZSI1_PLAIN_PLATE</v>
      </c>
      <c r="H12473" s="63" t="str">
        <f>IFERROR(__xludf.DUMMYFUNCTION("VLOOKUP(F12473, IMPORTRANGE(""https://docs.google.com/spreadsheets/d/1Lhp9OU0JdFf_VYSMzH5lBcEaU4o8teT1piV-SNzShjg/edit?gid=554141278#gid=554141278"", ""'Char Def. - Attributes'!C20:C2242""), 1,false)"),"WEIGHT_UNIT_SI")</f>
        <v>WEIGHT_UNIT_SI</v>
      </c>
      <c r="I12473" s="136"/>
      <c r="R12473" s="63" t="str">
        <f t="shared" si="60"/>
        <v>ZSI1_PLAIN_PLATEWEIGHT_UNIT_SI</v>
      </c>
    </row>
    <row r="12474" ht="15.75" customHeight="1">
      <c r="B12474" s="63">
        <f t="shared" si="1"/>
        <v>16</v>
      </c>
      <c r="C12474" s="135" t="s">
        <v>447</v>
      </c>
      <c r="D12474" s="161" t="s">
        <v>74</v>
      </c>
      <c r="E12474" s="135">
        <f t="shared" si="62"/>
        <v>15</v>
      </c>
      <c r="F12474" s="134" t="s">
        <v>3877</v>
      </c>
      <c r="G12474" s="63" t="str">
        <f>VLOOKUP(C12474, 'Class Def. - General Data'!$C$20:$C$1000,1,false)</f>
        <v>ZSI1_PLAIN_PLATE</v>
      </c>
      <c r="H12474" s="63" t="str">
        <f>IFERROR(__xludf.DUMMYFUNCTION("VLOOKUP(F12474, IMPORTRANGE(""https://docs.google.com/spreadsheets/d/1Lhp9OU0JdFf_VYSMzH5lBcEaU4o8teT1piV-SNzShjg/edit?gid=554141278#gid=554141278"", ""'Char Def. - Attributes'!C20:C2242""), 1,false)"),"VOLUME_OPT")</f>
        <v>VOLUME_OPT</v>
      </c>
      <c r="I12474" s="136"/>
      <c r="R12474" s="63" t="str">
        <f t="shared" si="60"/>
        <v>ZSI1_PLAIN_PLATEVOLUME_OPT</v>
      </c>
    </row>
    <row r="12475" ht="15.75" customHeight="1">
      <c r="B12475" s="63">
        <f t="shared" si="1"/>
        <v>16</v>
      </c>
      <c r="C12475" s="135" t="s">
        <v>447</v>
      </c>
      <c r="D12475" s="161" t="s">
        <v>74</v>
      </c>
      <c r="E12475" s="135">
        <f t="shared" si="62"/>
        <v>16</v>
      </c>
      <c r="F12475" s="134" t="s">
        <v>4059</v>
      </c>
      <c r="G12475" s="63" t="str">
        <f>VLOOKUP(C12475, 'Class Def. - General Data'!$C$20:$C$1000,1,false)</f>
        <v>ZSI1_PLAIN_PLATE</v>
      </c>
      <c r="H12475" s="63" t="str">
        <f>IFERROR(__xludf.DUMMYFUNCTION("VLOOKUP(F12475, IMPORTRANGE(""https://docs.google.com/spreadsheets/d/1Lhp9OU0JdFf_VYSMzH5lBcEaU4o8teT1piV-SNzShjg/edit?gid=554141278#gid=554141278"", ""'Char Def. - Attributes'!C20:C2242""), 1,false)"),"VOLUME_UNIT_SI")</f>
        <v>VOLUME_UNIT_SI</v>
      </c>
      <c r="I12475" s="136"/>
      <c r="R12475" s="63" t="str">
        <f t="shared" si="60"/>
        <v>ZSI1_PLAIN_PLATEVOLUME_UNIT_SI</v>
      </c>
    </row>
    <row r="12476" ht="15.75" customHeight="1">
      <c r="B12476" s="63">
        <f t="shared" si="1"/>
        <v>16</v>
      </c>
      <c r="C12476" s="135" t="s">
        <v>447</v>
      </c>
      <c r="D12476" s="161" t="s">
        <v>74</v>
      </c>
      <c r="E12476" s="135">
        <f t="shared" si="62"/>
        <v>17</v>
      </c>
      <c r="F12476" s="134" t="s">
        <v>3804</v>
      </c>
      <c r="G12476" s="63" t="str">
        <f>VLOOKUP(C12476, 'Class Def. - General Data'!$C$20:$C$1000,1,false)</f>
        <v>ZSI1_PLAIN_PLATE</v>
      </c>
      <c r="H12476" s="63" t="str">
        <f>IFERROR(__xludf.DUMMYFUNCTION("VLOOKUP(F12476, IMPORTRANGE(""https://docs.google.com/spreadsheets/d/1Lhp9OU0JdFf_VYSMzH5lBcEaU4o8teT1piV-SNzShjg/edit?gid=554141278#gid=554141278"", ""'Char Def. - Attributes'!C20:C2242""), 1,false)"),"ALT_UOM1_SIPI")</f>
        <v>ALT_UOM1_SIPI</v>
      </c>
      <c r="I12476" s="136"/>
      <c r="R12476" s="63" t="str">
        <f t="shared" si="60"/>
        <v>ZSI1_PLAIN_PLATEALT_UOM1_SIPI</v>
      </c>
    </row>
    <row r="12477" ht="15.75" customHeight="1">
      <c r="B12477" s="63">
        <f t="shared" si="1"/>
        <v>16</v>
      </c>
      <c r="C12477" s="135" t="s">
        <v>447</v>
      </c>
      <c r="D12477" s="161" t="s">
        <v>74</v>
      </c>
      <c r="E12477" s="135">
        <f t="shared" si="62"/>
        <v>18</v>
      </c>
      <c r="F12477" s="134" t="s">
        <v>3805</v>
      </c>
      <c r="G12477" s="63" t="str">
        <f>VLOOKUP(C12477, 'Class Def. - General Data'!$C$20:$C$1000,1,false)</f>
        <v>ZSI1_PLAIN_PLATE</v>
      </c>
      <c r="H12477" s="63" t="str">
        <f>IFERROR(__xludf.DUMMYFUNCTION("VLOOKUP(F12477, IMPORTRANGE(""https://docs.google.com/spreadsheets/d/1Lhp9OU0JdFf_VYSMzH5lBcEaU4o8teT1piV-SNzShjg/edit?gid=554141278#gid=554141278"", ""'Char Def. - Attributes'!C20:C2242""), 1,false)"),"ALT_DENUM_UOM1")</f>
        <v>ALT_DENUM_UOM1</v>
      </c>
      <c r="I12477" s="136"/>
      <c r="R12477" s="63" t="str">
        <f t="shared" si="60"/>
        <v>ZSI1_PLAIN_PLATEALT_DENUM_UOM1</v>
      </c>
    </row>
    <row r="12478" ht="15.75" customHeight="1">
      <c r="B12478" s="63">
        <f t="shared" si="1"/>
        <v>16</v>
      </c>
      <c r="C12478" s="135" t="s">
        <v>447</v>
      </c>
      <c r="D12478" s="161" t="s">
        <v>74</v>
      </c>
      <c r="E12478" s="135">
        <f t="shared" si="62"/>
        <v>19</v>
      </c>
      <c r="F12478" s="134" t="s">
        <v>3806</v>
      </c>
      <c r="G12478" s="63" t="str">
        <f>VLOOKUP(C12478, 'Class Def. - General Data'!$C$20:$C$1000,1,false)</f>
        <v>ZSI1_PLAIN_PLATE</v>
      </c>
      <c r="H12478" s="63" t="str">
        <f>IFERROR(__xludf.DUMMYFUNCTION("VLOOKUP(F12478, IMPORTRANGE(""https://docs.google.com/spreadsheets/d/1Lhp9OU0JdFf_VYSMzH5lBcEaU4o8teT1piV-SNzShjg/edit?gid=554141278#gid=554141278"", ""'Char Def. - Attributes'!C20:C2242""), 1,false)"),"ALT_NUM_UOM1")</f>
        <v>ALT_NUM_UOM1</v>
      </c>
      <c r="I12478" s="136"/>
      <c r="R12478" s="63" t="str">
        <f t="shared" si="60"/>
        <v>ZSI1_PLAIN_PLATEALT_NUM_UOM1</v>
      </c>
    </row>
    <row r="12479" ht="15.75" customHeight="1">
      <c r="B12479" s="63">
        <f t="shared" si="1"/>
        <v>16</v>
      </c>
      <c r="C12479" s="135" t="s">
        <v>447</v>
      </c>
      <c r="D12479" s="161" t="s">
        <v>74</v>
      </c>
      <c r="E12479" s="135">
        <f t="shared" si="62"/>
        <v>20</v>
      </c>
      <c r="F12479" s="134" t="s">
        <v>3807</v>
      </c>
      <c r="G12479" s="63" t="str">
        <f>VLOOKUP(C12479, 'Class Def. - General Data'!$C$20:$C$1000,1,false)</f>
        <v>ZSI1_PLAIN_PLATE</v>
      </c>
      <c r="H12479" s="63" t="str">
        <f>IFERROR(__xludf.DUMMYFUNCTION("VLOOKUP(F12479, IMPORTRANGE(""https://docs.google.com/spreadsheets/d/1Lhp9OU0JdFf_VYSMzH5lBcEaU4o8teT1piV-SNzShjg/edit?gid=554141278#gid=554141278"", ""'Char Def. - Attributes'!C20:C2242""), 1,false)"),"ALT_UOM2_SIPI")</f>
        <v>ALT_UOM2_SIPI</v>
      </c>
      <c r="I12479" s="136"/>
      <c r="R12479" s="63" t="str">
        <f t="shared" si="60"/>
        <v>ZSI1_PLAIN_PLATEALT_UOM2_SIPI</v>
      </c>
    </row>
    <row r="12480" ht="15.75" customHeight="1">
      <c r="B12480" s="63">
        <f t="shared" si="1"/>
        <v>16</v>
      </c>
      <c r="C12480" s="135" t="s">
        <v>447</v>
      </c>
      <c r="D12480" s="161" t="s">
        <v>74</v>
      </c>
      <c r="E12480" s="135">
        <f t="shared" si="62"/>
        <v>21</v>
      </c>
      <c r="F12480" s="134" t="s">
        <v>3808</v>
      </c>
      <c r="G12480" s="63" t="str">
        <f>VLOOKUP(C12480, 'Class Def. - General Data'!$C$20:$C$1000,1,false)</f>
        <v>ZSI1_PLAIN_PLATE</v>
      </c>
      <c r="H12480" s="63" t="str">
        <f>IFERROR(__xludf.DUMMYFUNCTION("VLOOKUP(F12480, IMPORTRANGE(""https://docs.google.com/spreadsheets/d/1Lhp9OU0JdFf_VYSMzH5lBcEaU4o8teT1piV-SNzShjg/edit?gid=554141278#gid=554141278"", ""'Char Def. - Attributes'!C20:C2242""), 1,false)"),"ALT_DENUM_UOM2")</f>
        <v>ALT_DENUM_UOM2</v>
      </c>
      <c r="I12480" s="136"/>
      <c r="R12480" s="63" t="str">
        <f t="shared" si="60"/>
        <v>ZSI1_PLAIN_PLATEALT_DENUM_UOM2</v>
      </c>
    </row>
    <row r="12481" ht="15.75" customHeight="1">
      <c r="B12481" s="63">
        <f t="shared" si="1"/>
        <v>16</v>
      </c>
      <c r="C12481" s="135" t="s">
        <v>447</v>
      </c>
      <c r="D12481" s="161" t="s">
        <v>74</v>
      </c>
      <c r="E12481" s="135">
        <f t="shared" si="62"/>
        <v>22</v>
      </c>
      <c r="F12481" s="134" t="s">
        <v>3809</v>
      </c>
      <c r="G12481" s="63" t="str">
        <f>VLOOKUP(C12481, 'Class Def. - General Data'!$C$20:$C$1000,1,false)</f>
        <v>ZSI1_PLAIN_PLATE</v>
      </c>
      <c r="H12481" s="63" t="str">
        <f>IFERROR(__xludf.DUMMYFUNCTION("VLOOKUP(F12481, IMPORTRANGE(""https://docs.google.com/spreadsheets/d/1Lhp9OU0JdFf_VYSMzH5lBcEaU4o8teT1piV-SNzShjg/edit?gid=554141278#gid=554141278"", ""'Char Def. - Attributes'!C20:C2242""), 1,false)"),"ALT_NUM_UOM2")</f>
        <v>ALT_NUM_UOM2</v>
      </c>
      <c r="I12481" s="136"/>
      <c r="R12481" s="63" t="str">
        <f t="shared" si="60"/>
        <v>ZSI1_PLAIN_PLATEALT_NUM_UOM2</v>
      </c>
    </row>
    <row r="12482" ht="15.75" customHeight="1">
      <c r="B12482" s="63">
        <f t="shared" si="1"/>
        <v>16</v>
      </c>
      <c r="C12482" s="135" t="s">
        <v>447</v>
      </c>
      <c r="D12482" s="161" t="s">
        <v>74</v>
      </c>
      <c r="E12482" s="135">
        <f t="shared" si="62"/>
        <v>23</v>
      </c>
      <c r="F12482" s="134" t="s">
        <v>3810</v>
      </c>
      <c r="G12482" s="63" t="str">
        <f>VLOOKUP(C12482, 'Class Def. - General Data'!$C$20:$C$1000,1,false)</f>
        <v>ZSI1_PLAIN_PLATE</v>
      </c>
      <c r="H12482" s="63" t="str">
        <f>IFERROR(__xludf.DUMMYFUNCTION("VLOOKUP(F12482, IMPORTRANGE(""https://docs.google.com/spreadsheets/d/1Lhp9OU0JdFf_VYSMzH5lBcEaU4o8teT1piV-SNzShjg/edit?gid=554141278#gid=554141278"", ""'Char Def. - Attributes'!C20:C2242""), 1,false)"),"ALT_UOM3_SIPI")</f>
        <v>ALT_UOM3_SIPI</v>
      </c>
      <c r="I12482" s="136"/>
      <c r="R12482" s="63" t="str">
        <f t="shared" si="60"/>
        <v>ZSI1_PLAIN_PLATEALT_UOM3_SIPI</v>
      </c>
    </row>
    <row r="12483" ht="15.75" customHeight="1">
      <c r="B12483" s="63">
        <f t="shared" si="1"/>
        <v>16</v>
      </c>
      <c r="C12483" s="135" t="s">
        <v>447</v>
      </c>
      <c r="D12483" s="161" t="s">
        <v>74</v>
      </c>
      <c r="E12483" s="135">
        <f t="shared" si="62"/>
        <v>24</v>
      </c>
      <c r="F12483" s="134" t="s">
        <v>3811</v>
      </c>
      <c r="G12483" s="63" t="str">
        <f>VLOOKUP(C12483, 'Class Def. - General Data'!$C$20:$C$1000,1,false)</f>
        <v>ZSI1_PLAIN_PLATE</v>
      </c>
      <c r="H12483" s="63" t="str">
        <f>IFERROR(__xludf.DUMMYFUNCTION("VLOOKUP(F12483, IMPORTRANGE(""https://docs.google.com/spreadsheets/d/1Lhp9OU0JdFf_VYSMzH5lBcEaU4o8teT1piV-SNzShjg/edit?gid=554141278#gid=554141278"", ""'Char Def. - Attributes'!C20:C2242""), 1,false)"),"ALT_DENUM_UOM3")</f>
        <v>ALT_DENUM_UOM3</v>
      </c>
      <c r="I12483" s="136"/>
      <c r="R12483" s="63" t="str">
        <f t="shared" si="60"/>
        <v>ZSI1_PLAIN_PLATEALT_DENUM_UOM3</v>
      </c>
    </row>
    <row r="12484" ht="15.75" customHeight="1">
      <c r="B12484" s="63">
        <f t="shared" si="1"/>
        <v>16</v>
      </c>
      <c r="C12484" s="135" t="s">
        <v>447</v>
      </c>
      <c r="D12484" s="161" t="s">
        <v>74</v>
      </c>
      <c r="E12484" s="135">
        <f t="shared" si="62"/>
        <v>25</v>
      </c>
      <c r="F12484" s="134" t="s">
        <v>3812</v>
      </c>
      <c r="G12484" s="63" t="str">
        <f>VLOOKUP(C12484, 'Class Def. - General Data'!$C$20:$C$1000,1,false)</f>
        <v>ZSI1_PLAIN_PLATE</v>
      </c>
      <c r="H12484" s="63" t="str">
        <f>IFERROR(__xludf.DUMMYFUNCTION("VLOOKUP(F12484, IMPORTRANGE(""https://docs.google.com/spreadsheets/d/1Lhp9OU0JdFf_VYSMzH5lBcEaU4o8teT1piV-SNzShjg/edit?gid=554141278#gid=554141278"", ""'Char Def. - Attributes'!C20:C2242""), 1,false)"),"ALT_NUM_UOM3")</f>
        <v>ALT_NUM_UOM3</v>
      </c>
      <c r="I12484" s="136"/>
      <c r="R12484" s="63" t="str">
        <f t="shared" si="60"/>
        <v>ZSI1_PLAIN_PLATEALT_NUM_UOM3</v>
      </c>
    </row>
    <row r="12485" ht="15.75" customHeight="1">
      <c r="B12485" s="63">
        <f t="shared" si="1"/>
        <v>16</v>
      </c>
      <c r="C12485" s="135" t="s">
        <v>447</v>
      </c>
      <c r="D12485" s="161" t="s">
        <v>74</v>
      </c>
      <c r="E12485" s="135">
        <f t="shared" si="62"/>
        <v>26</v>
      </c>
      <c r="F12485" s="134" t="s">
        <v>3813</v>
      </c>
      <c r="G12485" s="63" t="str">
        <f>VLOOKUP(C12485, 'Class Def. - General Data'!$C$20:$C$1000,1,false)</f>
        <v>ZSI1_PLAIN_PLATE</v>
      </c>
      <c r="H12485" s="63" t="str">
        <f>IFERROR(__xludf.DUMMYFUNCTION("VLOOKUP(F12485, IMPORTRANGE(""https://docs.google.com/spreadsheets/d/1Lhp9OU0JdFf_VYSMzH5lBcEaU4o8teT1piV-SNzShjg/edit?gid=554141278#gid=554141278"", ""'Char Def. - Attributes'!C20:C2242""), 1,false)"),"ALT_UOM4_SIPI")</f>
        <v>ALT_UOM4_SIPI</v>
      </c>
      <c r="I12485" s="136"/>
      <c r="R12485" s="63" t="str">
        <f t="shared" si="60"/>
        <v>ZSI1_PLAIN_PLATEALT_UOM4_SIPI</v>
      </c>
    </row>
    <row r="12486" ht="15.75" customHeight="1">
      <c r="B12486" s="63">
        <f t="shared" si="1"/>
        <v>16</v>
      </c>
      <c r="C12486" s="135" t="s">
        <v>447</v>
      </c>
      <c r="D12486" s="161" t="s">
        <v>74</v>
      </c>
      <c r="E12486" s="135">
        <f t="shared" si="62"/>
        <v>27</v>
      </c>
      <c r="F12486" s="134" t="s">
        <v>3814</v>
      </c>
      <c r="G12486" s="63" t="str">
        <f>VLOOKUP(C12486, 'Class Def. - General Data'!$C$20:$C$1000,1,false)</f>
        <v>ZSI1_PLAIN_PLATE</v>
      </c>
      <c r="H12486" s="63" t="str">
        <f>IFERROR(__xludf.DUMMYFUNCTION("VLOOKUP(F12486, IMPORTRANGE(""https://docs.google.com/spreadsheets/d/1Lhp9OU0JdFf_VYSMzH5lBcEaU4o8teT1piV-SNzShjg/edit?gid=554141278#gid=554141278"", ""'Char Def. - Attributes'!C20:C2242""), 1,false)"),"ALT_DENUM_UOM4")</f>
        <v>ALT_DENUM_UOM4</v>
      </c>
      <c r="I12486" s="136"/>
      <c r="R12486" s="63" t="str">
        <f t="shared" si="60"/>
        <v>ZSI1_PLAIN_PLATEALT_DENUM_UOM4</v>
      </c>
    </row>
    <row r="12487" ht="15.75" customHeight="1">
      <c r="B12487" s="63">
        <f t="shared" si="1"/>
        <v>16</v>
      </c>
      <c r="C12487" s="135" t="s">
        <v>447</v>
      </c>
      <c r="D12487" s="161" t="s">
        <v>74</v>
      </c>
      <c r="E12487" s="135">
        <f t="shared" si="62"/>
        <v>28</v>
      </c>
      <c r="F12487" s="134" t="s">
        <v>3815</v>
      </c>
      <c r="G12487" s="63" t="str">
        <f>VLOOKUP(C12487, 'Class Def. - General Data'!$C$20:$C$1000,1,false)</f>
        <v>ZSI1_PLAIN_PLATE</v>
      </c>
      <c r="H12487" s="63" t="str">
        <f>IFERROR(__xludf.DUMMYFUNCTION("VLOOKUP(F12487, IMPORTRANGE(""https://docs.google.com/spreadsheets/d/1Lhp9OU0JdFf_VYSMzH5lBcEaU4o8teT1piV-SNzShjg/edit?gid=554141278#gid=554141278"", ""'Char Def. - Attributes'!C20:C2242""), 1,false)"),"ALT_NUM_UOM4")</f>
        <v>ALT_NUM_UOM4</v>
      </c>
      <c r="I12487" s="136"/>
      <c r="R12487" s="63" t="str">
        <f t="shared" si="60"/>
        <v>ZSI1_PLAIN_PLATEALT_NUM_UOM4</v>
      </c>
    </row>
    <row r="12488" ht="15.75" customHeight="1">
      <c r="B12488" s="63">
        <f t="shared" si="1"/>
        <v>16</v>
      </c>
      <c r="C12488" s="135" t="s">
        <v>447</v>
      </c>
      <c r="D12488" s="161" t="s">
        <v>74</v>
      </c>
      <c r="E12488" s="135">
        <f t="shared" si="62"/>
        <v>29</v>
      </c>
      <c r="F12488" s="134" t="s">
        <v>3816</v>
      </c>
      <c r="G12488" s="63" t="str">
        <f>VLOOKUP(C12488, 'Class Def. - General Data'!$C$20:$C$1000,1,false)</f>
        <v>ZSI1_PLAIN_PLATE</v>
      </c>
      <c r="H12488" s="63" t="str">
        <f>IFERROR(__xludf.DUMMYFUNCTION("VLOOKUP(F12488, IMPORTRANGE(""https://docs.google.com/spreadsheets/d/1Lhp9OU0JdFf_VYSMzH5lBcEaU4o8teT1piV-SNzShjg/edit?gid=554141278#gid=554141278"", ""'Char Def. - Attributes'!C20:C2242""), 1,false)"),"ALT_UOM5_SIPI")</f>
        <v>ALT_UOM5_SIPI</v>
      </c>
      <c r="I12488" s="136"/>
      <c r="R12488" s="63" t="str">
        <f t="shared" si="60"/>
        <v>ZSI1_PLAIN_PLATEALT_UOM5_SIPI</v>
      </c>
    </row>
    <row r="12489" ht="15.75" customHeight="1">
      <c r="B12489" s="63">
        <f t="shared" si="1"/>
        <v>16</v>
      </c>
      <c r="C12489" s="135" t="s">
        <v>447</v>
      </c>
      <c r="D12489" s="161" t="s">
        <v>74</v>
      </c>
      <c r="E12489" s="135">
        <f t="shared" si="62"/>
        <v>30</v>
      </c>
      <c r="F12489" s="134" t="s">
        <v>3817</v>
      </c>
      <c r="G12489" s="63" t="str">
        <f>VLOOKUP(C12489, 'Class Def. - General Data'!$C$20:$C$1000,1,false)</f>
        <v>ZSI1_PLAIN_PLATE</v>
      </c>
      <c r="H12489" s="63" t="str">
        <f>IFERROR(__xludf.DUMMYFUNCTION("VLOOKUP(F12489, IMPORTRANGE(""https://docs.google.com/spreadsheets/d/1Lhp9OU0JdFf_VYSMzH5lBcEaU4o8teT1piV-SNzShjg/edit?gid=554141278#gid=554141278"", ""'Char Def. - Attributes'!C20:C2242""), 1,false)"),"ALT_DENUM_UOM5")</f>
        <v>ALT_DENUM_UOM5</v>
      </c>
      <c r="I12489" s="136"/>
      <c r="R12489" s="63" t="str">
        <f t="shared" si="60"/>
        <v>ZSI1_PLAIN_PLATEALT_DENUM_UOM5</v>
      </c>
    </row>
    <row r="12490" ht="15.75" customHeight="1">
      <c r="B12490" s="63">
        <f t="shared" si="1"/>
        <v>16</v>
      </c>
      <c r="C12490" s="135" t="s">
        <v>447</v>
      </c>
      <c r="D12490" s="161" t="s">
        <v>74</v>
      </c>
      <c r="E12490" s="135">
        <f t="shared" si="62"/>
        <v>31</v>
      </c>
      <c r="F12490" s="134" t="s">
        <v>3818</v>
      </c>
      <c r="G12490" s="63" t="str">
        <f>VLOOKUP(C12490, 'Class Def. - General Data'!$C$20:$C$1000,1,false)</f>
        <v>ZSI1_PLAIN_PLATE</v>
      </c>
      <c r="H12490" s="63" t="str">
        <f>IFERROR(__xludf.DUMMYFUNCTION("VLOOKUP(F12490, IMPORTRANGE(""https://docs.google.com/spreadsheets/d/1Lhp9OU0JdFf_VYSMzH5lBcEaU4o8teT1piV-SNzShjg/edit?gid=554141278#gid=554141278"", ""'Char Def. - Attributes'!C20:C2242""), 1,false)"),"ALT_NUM_UOM5")</f>
        <v>ALT_NUM_UOM5</v>
      </c>
      <c r="I12490" s="136"/>
      <c r="R12490" s="63" t="str">
        <f t="shared" si="60"/>
        <v>ZSI1_PLAIN_PLATEALT_NUM_UOM5</v>
      </c>
    </row>
    <row r="12491" ht="15.75" customHeight="1">
      <c r="B12491" s="63">
        <f t="shared" si="1"/>
        <v>10</v>
      </c>
      <c r="C12491" s="135" t="s">
        <v>448</v>
      </c>
      <c r="D12491" s="161" t="s">
        <v>74</v>
      </c>
      <c r="E12491" s="135">
        <f t="shared" si="62"/>
        <v>1</v>
      </c>
      <c r="F12491" s="134" t="s">
        <v>5211</v>
      </c>
      <c r="G12491" s="63" t="str">
        <f>VLOOKUP(C12491, 'Class Def. - General Data'!$C$20:$C$1000,1,false)</f>
        <v>ZSI1_PLANT</v>
      </c>
      <c r="H12491" s="63" t="str">
        <f>IFERROR(__xludf.DUMMYFUNCTION("VLOOKUP(F12491, IMPORTRANGE(""https://docs.google.com/spreadsheets/d/1Lhp9OU0JdFf_VYSMzH5lBcEaU4o8teT1piV-SNzShjg/edit?gid=554141278#gid=554141278"", ""'Char Def. - Attributes'!C20:C2242""), 1,false)"),"ITEM_NAME_PLANT")</f>
        <v>ITEM_NAME_PLANT</v>
      </c>
      <c r="I12491" s="136"/>
      <c r="R12491" s="63" t="str">
        <f t="shared" si="60"/>
        <v>ZSI1_PLANTITEM_NAME_PLANT</v>
      </c>
    </row>
    <row r="12492" ht="15.75" customHeight="1">
      <c r="B12492" s="63">
        <f t="shared" si="1"/>
        <v>10</v>
      </c>
      <c r="C12492" s="135" t="s">
        <v>448</v>
      </c>
      <c r="D12492" s="161" t="s">
        <v>74</v>
      </c>
      <c r="E12492" s="135">
        <f t="shared" si="62"/>
        <v>2</v>
      </c>
      <c r="F12492" s="134" t="s">
        <v>5212</v>
      </c>
      <c r="G12492" s="63" t="str">
        <f>VLOOKUP(C12492, 'Class Def. - General Data'!$C$20:$C$1000,1,false)</f>
        <v>ZSI1_PLANT</v>
      </c>
      <c r="H12492" s="63" t="str">
        <f>IFERROR(__xludf.DUMMYFUNCTION("VLOOKUP(F12492, IMPORTRANGE(""https://docs.google.com/spreadsheets/d/1Lhp9OU0JdFf_VYSMzH5lBcEaU4o8teT1piV-SNzShjg/edit?gid=554141278#gid=554141278"", ""'Char Def. - Attributes'!C20:C2242""), 1,false)"),"SPECIES_PLANT")</f>
        <v>SPECIES_PLANT</v>
      </c>
      <c r="I12492" s="136"/>
      <c r="R12492" s="63" t="str">
        <f t="shared" si="60"/>
        <v>ZSI1_PLANTSPECIES_PLANT</v>
      </c>
    </row>
    <row r="12493" ht="15.75" customHeight="1">
      <c r="B12493" s="63">
        <f t="shared" si="1"/>
        <v>10</v>
      </c>
      <c r="C12493" s="135" t="s">
        <v>448</v>
      </c>
      <c r="D12493" s="161" t="s">
        <v>74</v>
      </c>
      <c r="E12493" s="135">
        <f t="shared" si="62"/>
        <v>3</v>
      </c>
      <c r="F12493" s="134" t="s">
        <v>5213</v>
      </c>
      <c r="G12493" s="63" t="str">
        <f>VLOOKUP(C12493, 'Class Def. - General Data'!$C$20:$C$1000,1,false)</f>
        <v>ZSI1_PLANT</v>
      </c>
      <c r="H12493" s="63" t="str">
        <f>IFERROR(__xludf.DUMMYFUNCTION("VLOOKUP(F12493, IMPORTRANGE(""https://docs.google.com/spreadsheets/d/1Lhp9OU0JdFf_VYSMzH5lBcEaU4o8teT1piV-SNzShjg/edit?gid=554141278#gid=554141278"", ""'Char Def. - Attributes'!C20:C2242""), 1,false)"),"SPEC_PLANT")</f>
        <v>SPEC_PLANT</v>
      </c>
      <c r="I12493" s="136"/>
      <c r="R12493" s="63" t="str">
        <f t="shared" si="60"/>
        <v>ZSI1_PLANTSPEC_PLANT</v>
      </c>
    </row>
    <row r="12494" ht="15.75" customHeight="1">
      <c r="B12494" s="63">
        <f t="shared" si="1"/>
        <v>10</v>
      </c>
      <c r="C12494" s="135" t="s">
        <v>448</v>
      </c>
      <c r="D12494" s="161" t="s">
        <v>74</v>
      </c>
      <c r="E12494" s="135">
        <f t="shared" si="62"/>
        <v>4</v>
      </c>
      <c r="F12494" s="134" t="s">
        <v>5214</v>
      </c>
      <c r="G12494" s="63" t="str">
        <f>VLOOKUP(C12494, 'Class Def. - General Data'!$C$20:$C$1000,1,false)</f>
        <v>ZSI1_PLANT</v>
      </c>
      <c r="H12494" s="63" t="str">
        <f>IFERROR(__xludf.DUMMYFUNCTION("VLOOKUP(F12494, IMPORTRANGE(""https://docs.google.com/spreadsheets/d/1Lhp9OU0JdFf_VYSMzH5lBcEaU4o8teT1piV-SNzShjg/edit?gid=554141278#gid=554141278"", ""'Char Def. - Attributes'!C20:C2242""), 1,false)"),"ADDITIONAL_INFO_PLANT")</f>
        <v>ADDITIONAL_INFO_PLANT</v>
      </c>
      <c r="I12494" s="136"/>
      <c r="R12494" s="63" t="str">
        <f t="shared" si="60"/>
        <v>ZSI1_PLANTADDITIONAL_INFO_PLANT</v>
      </c>
    </row>
    <row r="12495" ht="15.75" customHeight="1">
      <c r="B12495" s="63">
        <f t="shared" si="1"/>
        <v>10</v>
      </c>
      <c r="C12495" s="135" t="s">
        <v>448</v>
      </c>
      <c r="D12495" s="161" t="s">
        <v>74</v>
      </c>
      <c r="E12495" s="135">
        <f t="shared" si="62"/>
        <v>5</v>
      </c>
      <c r="F12495" s="134" t="s">
        <v>3585</v>
      </c>
      <c r="G12495" s="63" t="str">
        <f>VLOOKUP(C12495, 'Class Def. - General Data'!$C$20:$C$1000,1,false)</f>
        <v>ZSI1_PLANT</v>
      </c>
      <c r="H12495" s="63" t="str">
        <f>IFERROR(__xludf.DUMMYFUNCTION("VLOOKUP(F12495, IMPORTRANGE(""https://docs.google.com/spreadsheets/d/1Lhp9OU0JdFf_VYSMzH5lBcEaU4o8teT1piV-SNzShjg/edit?gid=554141278#gid=554141278"", ""'Char Def. - Attributes'!C20:C2242""), 1,false)"),"HS_CODE")</f>
        <v>HS_CODE</v>
      </c>
      <c r="I12495" s="136"/>
      <c r="R12495" s="63" t="str">
        <f t="shared" si="60"/>
        <v>ZSI1_PLANTHS_CODE</v>
      </c>
    </row>
    <row r="12496" ht="15.75" customHeight="1">
      <c r="B12496" s="63">
        <f t="shared" si="1"/>
        <v>10</v>
      </c>
      <c r="C12496" s="135" t="s">
        <v>448</v>
      </c>
      <c r="D12496" s="161" t="s">
        <v>74</v>
      </c>
      <c r="E12496" s="135">
        <f t="shared" si="62"/>
        <v>6</v>
      </c>
      <c r="F12496" s="134" t="s">
        <v>3587</v>
      </c>
      <c r="G12496" s="63" t="str">
        <f>VLOOKUP(C12496, 'Class Def. - General Data'!$C$20:$C$1000,1,false)</f>
        <v>ZSI1_PLANT</v>
      </c>
      <c r="H12496" s="63" t="str">
        <f>IFERROR(__xludf.DUMMYFUNCTION("VLOOKUP(F12496, IMPORTRANGE(""https://docs.google.com/spreadsheets/d/1Lhp9OU0JdFf_VYSMzH5lBcEaU4o8teT1piV-SNzShjg/edit?gid=554141278#gid=554141278"", ""'Char Def. - Attributes'!C20:C2242""), 1,false)"),"PLANT_BUY")</f>
        <v>PLANT_BUY</v>
      </c>
      <c r="I12496" s="136"/>
      <c r="R12496" s="63" t="str">
        <f t="shared" si="60"/>
        <v>ZSI1_PLANTPLANT_BUY</v>
      </c>
    </row>
    <row r="12497" ht="15.75" customHeight="1">
      <c r="B12497" s="63">
        <f t="shared" si="1"/>
        <v>10</v>
      </c>
      <c r="C12497" s="135" t="s">
        <v>448</v>
      </c>
      <c r="D12497" s="161" t="s">
        <v>74</v>
      </c>
      <c r="E12497" s="135">
        <f t="shared" si="62"/>
        <v>7</v>
      </c>
      <c r="F12497" s="134" t="s">
        <v>5215</v>
      </c>
      <c r="G12497" s="63" t="str">
        <f>VLOOKUP(C12497, 'Class Def. - General Data'!$C$20:$C$1000,1,false)</f>
        <v>ZSI1_PLANT</v>
      </c>
      <c r="H12497" s="63" t="str">
        <f>IFERROR(__xludf.DUMMYFUNCTION("VLOOKUP(F12497, IMPORTRANGE(""https://docs.google.com/spreadsheets/d/1Lhp9OU0JdFf_VYSMzH5lBcEaU4o8teT1piV-SNzShjg/edit?gid=554141278#gid=554141278"", ""'Char Def. - Attributes'!C20:C2242""), 1,false)"),"BASE_UOM_PLANT")</f>
        <v>BASE_UOM_PLANT</v>
      </c>
      <c r="I12497" s="136"/>
      <c r="R12497" s="63" t="str">
        <f t="shared" si="60"/>
        <v>ZSI1_PLANTBASE_UOM_PLANT</v>
      </c>
    </row>
    <row r="12498" ht="15.75" customHeight="1">
      <c r="B12498" s="63">
        <f t="shared" si="1"/>
        <v>10</v>
      </c>
      <c r="C12498" s="135" t="s">
        <v>448</v>
      </c>
      <c r="D12498" s="161" t="s">
        <v>74</v>
      </c>
      <c r="E12498" s="135">
        <f t="shared" si="62"/>
        <v>8</v>
      </c>
      <c r="F12498" s="134" t="s">
        <v>5216</v>
      </c>
      <c r="G12498" s="63" t="str">
        <f>VLOOKUP(C12498, 'Class Def. - General Data'!$C$20:$C$1000,1,false)</f>
        <v>ZSI1_PLANT</v>
      </c>
      <c r="H12498" s="63" t="str">
        <f>IFERROR(__xludf.DUMMYFUNCTION("VLOOKUP(F12498, IMPORTRANGE(""https://docs.google.com/spreadsheets/d/1Lhp9OU0JdFf_VYSMzH5lBcEaU4o8teT1piV-SNzShjg/edit?gid=554141278#gid=554141278"", ""'Char Def. - Attributes'!C20:C2242""), 1,false)"),"ORDER_UNIT_PLANT")</f>
        <v>ORDER_UNIT_PLANT</v>
      </c>
      <c r="I12498" s="136"/>
      <c r="R12498" s="63" t="str">
        <f t="shared" si="60"/>
        <v>ZSI1_PLANTORDER_UNIT_PLANT</v>
      </c>
    </row>
    <row r="12499" ht="15.75" customHeight="1">
      <c r="B12499" s="63">
        <f t="shared" si="1"/>
        <v>10</v>
      </c>
      <c r="C12499" s="135" t="s">
        <v>448</v>
      </c>
      <c r="D12499" s="161" t="s">
        <v>74</v>
      </c>
      <c r="E12499" s="135">
        <f t="shared" si="62"/>
        <v>9</v>
      </c>
      <c r="F12499" s="134" t="s">
        <v>4056</v>
      </c>
      <c r="G12499" s="63" t="str">
        <f>VLOOKUP(C12499, 'Class Def. - General Data'!$C$20:$C$1000,1,false)</f>
        <v>ZSI1_PLANT</v>
      </c>
      <c r="H12499" s="63" t="str">
        <f>IFERROR(__xludf.DUMMYFUNCTION("VLOOKUP(F12499, IMPORTRANGE(""https://docs.google.com/spreadsheets/d/1Lhp9OU0JdFf_VYSMzH5lBcEaU4o8teT1piV-SNzShjg/edit?gid=554141278#gid=554141278"", ""'Char Def. - Attributes'!C20:C2242""), 1,false)"),"GROSS_WEIGHT_OPT")</f>
        <v>GROSS_WEIGHT_OPT</v>
      </c>
      <c r="I12499" s="136"/>
      <c r="R12499" s="63" t="str">
        <f t="shared" si="60"/>
        <v>ZSI1_PLANTGROSS_WEIGHT_OPT</v>
      </c>
    </row>
    <row r="12500" ht="15.75" customHeight="1">
      <c r="B12500" s="63">
        <f t="shared" si="1"/>
        <v>10</v>
      </c>
      <c r="C12500" s="135" t="s">
        <v>448</v>
      </c>
      <c r="D12500" s="161" t="s">
        <v>74</v>
      </c>
      <c r="E12500" s="135">
        <f t="shared" si="62"/>
        <v>10</v>
      </c>
      <c r="F12500" s="134" t="s">
        <v>4057</v>
      </c>
      <c r="G12500" s="63" t="str">
        <f>VLOOKUP(C12500, 'Class Def. - General Data'!$C$20:$C$1000,1,false)</f>
        <v>ZSI1_PLANT</v>
      </c>
      <c r="H12500" s="63" t="str">
        <f>IFERROR(__xludf.DUMMYFUNCTION("VLOOKUP(F12500, IMPORTRANGE(""https://docs.google.com/spreadsheets/d/1Lhp9OU0JdFf_VYSMzH5lBcEaU4o8teT1piV-SNzShjg/edit?gid=554141278#gid=554141278"", ""'Char Def. - Attributes'!C20:C2242""), 1,false)"),"NET_WEIGHT_OPT")</f>
        <v>NET_WEIGHT_OPT</v>
      </c>
      <c r="I12500" s="136"/>
      <c r="R12500" s="63" t="str">
        <f t="shared" si="60"/>
        <v>ZSI1_PLANTNET_WEIGHT_OPT</v>
      </c>
    </row>
    <row r="12501" ht="15.75" customHeight="1">
      <c r="B12501" s="63">
        <f t="shared" si="1"/>
        <v>10</v>
      </c>
      <c r="C12501" s="135" t="s">
        <v>448</v>
      </c>
      <c r="D12501" s="161" t="s">
        <v>74</v>
      </c>
      <c r="E12501" s="135">
        <f t="shared" si="62"/>
        <v>11</v>
      </c>
      <c r="F12501" s="134" t="s">
        <v>4058</v>
      </c>
      <c r="G12501" s="63" t="str">
        <f>VLOOKUP(C12501, 'Class Def. - General Data'!$C$20:$C$1000,1,false)</f>
        <v>ZSI1_PLANT</v>
      </c>
      <c r="H12501" s="63" t="str">
        <f>IFERROR(__xludf.DUMMYFUNCTION("VLOOKUP(F12501, IMPORTRANGE(""https://docs.google.com/spreadsheets/d/1Lhp9OU0JdFf_VYSMzH5lBcEaU4o8teT1piV-SNzShjg/edit?gid=554141278#gid=554141278"", ""'Char Def. - Attributes'!C20:C2242""), 1,false)"),"WEIGHT_UNIT_SI")</f>
        <v>WEIGHT_UNIT_SI</v>
      </c>
      <c r="I12501" s="136"/>
      <c r="R12501" s="63" t="str">
        <f t="shared" si="60"/>
        <v>ZSI1_PLANTWEIGHT_UNIT_SI</v>
      </c>
    </row>
    <row r="12502" ht="15.75" customHeight="1">
      <c r="B12502" s="63">
        <f t="shared" si="1"/>
        <v>10</v>
      </c>
      <c r="C12502" s="135" t="s">
        <v>448</v>
      </c>
      <c r="D12502" s="161" t="s">
        <v>74</v>
      </c>
      <c r="E12502" s="135">
        <f t="shared" si="62"/>
        <v>12</v>
      </c>
      <c r="F12502" s="134" t="s">
        <v>3877</v>
      </c>
      <c r="G12502" s="63" t="str">
        <f>VLOOKUP(C12502, 'Class Def. - General Data'!$C$20:$C$1000,1,false)</f>
        <v>ZSI1_PLANT</v>
      </c>
      <c r="H12502" s="63" t="str">
        <f>IFERROR(__xludf.DUMMYFUNCTION("VLOOKUP(F12502, IMPORTRANGE(""https://docs.google.com/spreadsheets/d/1Lhp9OU0JdFf_VYSMzH5lBcEaU4o8teT1piV-SNzShjg/edit?gid=554141278#gid=554141278"", ""'Char Def. - Attributes'!C20:C2242""), 1,false)"),"VOLUME_OPT")</f>
        <v>VOLUME_OPT</v>
      </c>
      <c r="I12502" s="136"/>
      <c r="R12502" s="63" t="str">
        <f t="shared" si="60"/>
        <v>ZSI1_PLANTVOLUME_OPT</v>
      </c>
    </row>
    <row r="12503" ht="15.75" customHeight="1">
      <c r="B12503" s="63">
        <f t="shared" si="1"/>
        <v>10</v>
      </c>
      <c r="C12503" s="135" t="s">
        <v>448</v>
      </c>
      <c r="D12503" s="161" t="s">
        <v>74</v>
      </c>
      <c r="E12503" s="135">
        <f t="shared" si="62"/>
        <v>13</v>
      </c>
      <c r="F12503" s="134" t="s">
        <v>4059</v>
      </c>
      <c r="G12503" s="63" t="str">
        <f>VLOOKUP(C12503, 'Class Def. - General Data'!$C$20:$C$1000,1,false)</f>
        <v>ZSI1_PLANT</v>
      </c>
      <c r="H12503" s="63" t="str">
        <f>IFERROR(__xludf.DUMMYFUNCTION("VLOOKUP(F12503, IMPORTRANGE(""https://docs.google.com/spreadsheets/d/1Lhp9OU0JdFf_VYSMzH5lBcEaU4o8teT1piV-SNzShjg/edit?gid=554141278#gid=554141278"", ""'Char Def. - Attributes'!C20:C2242""), 1,false)"),"VOLUME_UNIT_SI")</f>
        <v>VOLUME_UNIT_SI</v>
      </c>
      <c r="I12503" s="136"/>
      <c r="R12503" s="63" t="str">
        <f t="shared" si="60"/>
        <v>ZSI1_PLANTVOLUME_UNIT_SI</v>
      </c>
    </row>
    <row r="12504" ht="15.75" customHeight="1">
      <c r="B12504" s="63">
        <f t="shared" si="1"/>
        <v>10</v>
      </c>
      <c r="C12504" s="135" t="s">
        <v>448</v>
      </c>
      <c r="D12504" s="161" t="s">
        <v>74</v>
      </c>
      <c r="E12504" s="135">
        <f t="shared" si="62"/>
        <v>14</v>
      </c>
      <c r="F12504" s="134" t="s">
        <v>3804</v>
      </c>
      <c r="G12504" s="63" t="str">
        <f>VLOOKUP(C12504, 'Class Def. - General Data'!$C$20:$C$1000,1,false)</f>
        <v>ZSI1_PLANT</v>
      </c>
      <c r="H12504" s="63" t="str">
        <f>IFERROR(__xludf.DUMMYFUNCTION("VLOOKUP(F12504, IMPORTRANGE(""https://docs.google.com/spreadsheets/d/1Lhp9OU0JdFf_VYSMzH5lBcEaU4o8teT1piV-SNzShjg/edit?gid=554141278#gid=554141278"", ""'Char Def. - Attributes'!C20:C2242""), 1,false)"),"ALT_UOM1_SIPI")</f>
        <v>ALT_UOM1_SIPI</v>
      </c>
      <c r="I12504" s="136"/>
      <c r="R12504" s="63" t="str">
        <f t="shared" si="60"/>
        <v>ZSI1_PLANTALT_UOM1_SIPI</v>
      </c>
    </row>
    <row r="12505" ht="15.75" customHeight="1">
      <c r="B12505" s="63">
        <f t="shared" si="1"/>
        <v>10</v>
      </c>
      <c r="C12505" s="135" t="s">
        <v>448</v>
      </c>
      <c r="D12505" s="161" t="s">
        <v>74</v>
      </c>
      <c r="E12505" s="135">
        <f t="shared" si="62"/>
        <v>15</v>
      </c>
      <c r="F12505" s="134" t="s">
        <v>3805</v>
      </c>
      <c r="G12505" s="63" t="str">
        <f>VLOOKUP(C12505, 'Class Def. - General Data'!$C$20:$C$1000,1,false)</f>
        <v>ZSI1_PLANT</v>
      </c>
      <c r="H12505" s="63" t="str">
        <f>IFERROR(__xludf.DUMMYFUNCTION("VLOOKUP(F12505, IMPORTRANGE(""https://docs.google.com/spreadsheets/d/1Lhp9OU0JdFf_VYSMzH5lBcEaU4o8teT1piV-SNzShjg/edit?gid=554141278#gid=554141278"", ""'Char Def. - Attributes'!C20:C2242""), 1,false)"),"ALT_DENUM_UOM1")</f>
        <v>ALT_DENUM_UOM1</v>
      </c>
      <c r="I12505" s="136"/>
      <c r="R12505" s="63" t="str">
        <f t="shared" si="60"/>
        <v>ZSI1_PLANTALT_DENUM_UOM1</v>
      </c>
    </row>
    <row r="12506" ht="15.75" customHeight="1">
      <c r="B12506" s="63">
        <f t="shared" si="1"/>
        <v>10</v>
      </c>
      <c r="C12506" s="135" t="s">
        <v>448</v>
      </c>
      <c r="D12506" s="161" t="s">
        <v>74</v>
      </c>
      <c r="E12506" s="135">
        <f t="shared" si="62"/>
        <v>16</v>
      </c>
      <c r="F12506" s="134" t="s">
        <v>3806</v>
      </c>
      <c r="G12506" s="63" t="str">
        <f>VLOOKUP(C12506, 'Class Def. - General Data'!$C$20:$C$1000,1,false)</f>
        <v>ZSI1_PLANT</v>
      </c>
      <c r="H12506" s="63" t="str">
        <f>IFERROR(__xludf.DUMMYFUNCTION("VLOOKUP(F12506, IMPORTRANGE(""https://docs.google.com/spreadsheets/d/1Lhp9OU0JdFf_VYSMzH5lBcEaU4o8teT1piV-SNzShjg/edit?gid=554141278#gid=554141278"", ""'Char Def. - Attributes'!C20:C2242""), 1,false)"),"ALT_NUM_UOM1")</f>
        <v>ALT_NUM_UOM1</v>
      </c>
      <c r="I12506" s="136"/>
      <c r="R12506" s="63" t="str">
        <f t="shared" si="60"/>
        <v>ZSI1_PLANTALT_NUM_UOM1</v>
      </c>
    </row>
    <row r="12507" ht="15.75" customHeight="1">
      <c r="B12507" s="63">
        <f t="shared" si="1"/>
        <v>10</v>
      </c>
      <c r="C12507" s="135" t="s">
        <v>448</v>
      </c>
      <c r="D12507" s="161" t="s">
        <v>74</v>
      </c>
      <c r="E12507" s="135">
        <f t="shared" si="62"/>
        <v>17</v>
      </c>
      <c r="F12507" s="134" t="s">
        <v>3807</v>
      </c>
      <c r="G12507" s="63" t="str">
        <f>VLOOKUP(C12507, 'Class Def. - General Data'!$C$20:$C$1000,1,false)</f>
        <v>ZSI1_PLANT</v>
      </c>
      <c r="H12507" s="63" t="str">
        <f>IFERROR(__xludf.DUMMYFUNCTION("VLOOKUP(F12507, IMPORTRANGE(""https://docs.google.com/spreadsheets/d/1Lhp9OU0JdFf_VYSMzH5lBcEaU4o8teT1piV-SNzShjg/edit?gid=554141278#gid=554141278"", ""'Char Def. - Attributes'!C20:C2242""), 1,false)"),"ALT_UOM2_SIPI")</f>
        <v>ALT_UOM2_SIPI</v>
      </c>
      <c r="I12507" s="136"/>
      <c r="R12507" s="63" t="str">
        <f t="shared" si="60"/>
        <v>ZSI1_PLANTALT_UOM2_SIPI</v>
      </c>
    </row>
    <row r="12508" ht="15.75" customHeight="1">
      <c r="B12508" s="63">
        <f t="shared" si="1"/>
        <v>10</v>
      </c>
      <c r="C12508" s="135" t="s">
        <v>448</v>
      </c>
      <c r="D12508" s="161" t="s">
        <v>74</v>
      </c>
      <c r="E12508" s="135">
        <f t="shared" si="62"/>
        <v>18</v>
      </c>
      <c r="F12508" s="134" t="s">
        <v>3808</v>
      </c>
      <c r="G12508" s="63" t="str">
        <f>VLOOKUP(C12508, 'Class Def. - General Data'!$C$20:$C$1000,1,false)</f>
        <v>ZSI1_PLANT</v>
      </c>
      <c r="H12508" s="63" t="str">
        <f>IFERROR(__xludf.DUMMYFUNCTION("VLOOKUP(F12508, IMPORTRANGE(""https://docs.google.com/spreadsheets/d/1Lhp9OU0JdFf_VYSMzH5lBcEaU4o8teT1piV-SNzShjg/edit?gid=554141278#gid=554141278"", ""'Char Def. - Attributes'!C20:C2242""), 1,false)"),"ALT_DENUM_UOM2")</f>
        <v>ALT_DENUM_UOM2</v>
      </c>
      <c r="I12508" s="136"/>
      <c r="R12508" s="63" t="str">
        <f t="shared" si="60"/>
        <v>ZSI1_PLANTALT_DENUM_UOM2</v>
      </c>
    </row>
    <row r="12509" ht="15.75" customHeight="1">
      <c r="B12509" s="63">
        <f t="shared" si="1"/>
        <v>10</v>
      </c>
      <c r="C12509" s="135" t="s">
        <v>448</v>
      </c>
      <c r="D12509" s="161" t="s">
        <v>74</v>
      </c>
      <c r="E12509" s="135">
        <f t="shared" si="62"/>
        <v>19</v>
      </c>
      <c r="F12509" s="134" t="s">
        <v>3809</v>
      </c>
      <c r="G12509" s="63" t="str">
        <f>VLOOKUP(C12509, 'Class Def. - General Data'!$C$20:$C$1000,1,false)</f>
        <v>ZSI1_PLANT</v>
      </c>
      <c r="H12509" s="63" t="str">
        <f>IFERROR(__xludf.DUMMYFUNCTION("VLOOKUP(F12509, IMPORTRANGE(""https://docs.google.com/spreadsheets/d/1Lhp9OU0JdFf_VYSMzH5lBcEaU4o8teT1piV-SNzShjg/edit?gid=554141278#gid=554141278"", ""'Char Def. - Attributes'!C20:C2242""), 1,false)"),"ALT_NUM_UOM2")</f>
        <v>ALT_NUM_UOM2</v>
      </c>
      <c r="I12509" s="136"/>
      <c r="R12509" s="63" t="str">
        <f t="shared" si="60"/>
        <v>ZSI1_PLANTALT_NUM_UOM2</v>
      </c>
    </row>
    <row r="12510" ht="15.75" customHeight="1">
      <c r="B12510" s="63">
        <f t="shared" si="1"/>
        <v>10</v>
      </c>
      <c r="C12510" s="135" t="s">
        <v>448</v>
      </c>
      <c r="D12510" s="161" t="s">
        <v>74</v>
      </c>
      <c r="E12510" s="135">
        <f t="shared" si="62"/>
        <v>20</v>
      </c>
      <c r="F12510" s="134" t="s">
        <v>3810</v>
      </c>
      <c r="G12510" s="63" t="str">
        <f>VLOOKUP(C12510, 'Class Def. - General Data'!$C$20:$C$1000,1,false)</f>
        <v>ZSI1_PLANT</v>
      </c>
      <c r="H12510" s="63" t="str">
        <f>IFERROR(__xludf.DUMMYFUNCTION("VLOOKUP(F12510, IMPORTRANGE(""https://docs.google.com/spreadsheets/d/1Lhp9OU0JdFf_VYSMzH5lBcEaU4o8teT1piV-SNzShjg/edit?gid=554141278#gid=554141278"", ""'Char Def. - Attributes'!C20:C2242""), 1,false)"),"ALT_UOM3_SIPI")</f>
        <v>ALT_UOM3_SIPI</v>
      </c>
      <c r="I12510" s="136"/>
      <c r="R12510" s="63" t="str">
        <f t="shared" si="60"/>
        <v>ZSI1_PLANTALT_UOM3_SIPI</v>
      </c>
    </row>
    <row r="12511" ht="15.75" customHeight="1">
      <c r="B12511" s="63">
        <f t="shared" si="1"/>
        <v>10</v>
      </c>
      <c r="C12511" s="135" t="s">
        <v>448</v>
      </c>
      <c r="D12511" s="161" t="s">
        <v>74</v>
      </c>
      <c r="E12511" s="135">
        <f t="shared" si="62"/>
        <v>21</v>
      </c>
      <c r="F12511" s="134" t="s">
        <v>3811</v>
      </c>
      <c r="G12511" s="63" t="str">
        <f>VLOOKUP(C12511, 'Class Def. - General Data'!$C$20:$C$1000,1,false)</f>
        <v>ZSI1_PLANT</v>
      </c>
      <c r="H12511" s="63" t="str">
        <f>IFERROR(__xludf.DUMMYFUNCTION("VLOOKUP(F12511, IMPORTRANGE(""https://docs.google.com/spreadsheets/d/1Lhp9OU0JdFf_VYSMzH5lBcEaU4o8teT1piV-SNzShjg/edit?gid=554141278#gid=554141278"", ""'Char Def. - Attributes'!C20:C2242""), 1,false)"),"ALT_DENUM_UOM3")</f>
        <v>ALT_DENUM_UOM3</v>
      </c>
      <c r="I12511" s="136"/>
      <c r="R12511" s="63" t="str">
        <f t="shared" si="60"/>
        <v>ZSI1_PLANTALT_DENUM_UOM3</v>
      </c>
    </row>
    <row r="12512" ht="15.75" customHeight="1">
      <c r="B12512" s="63">
        <f t="shared" si="1"/>
        <v>10</v>
      </c>
      <c r="C12512" s="135" t="s">
        <v>448</v>
      </c>
      <c r="D12512" s="161" t="s">
        <v>74</v>
      </c>
      <c r="E12512" s="135">
        <f t="shared" si="62"/>
        <v>22</v>
      </c>
      <c r="F12512" s="134" t="s">
        <v>3812</v>
      </c>
      <c r="G12512" s="63" t="str">
        <f>VLOOKUP(C12512, 'Class Def. - General Data'!$C$20:$C$1000,1,false)</f>
        <v>ZSI1_PLANT</v>
      </c>
      <c r="H12512" s="63" t="str">
        <f>IFERROR(__xludf.DUMMYFUNCTION("VLOOKUP(F12512, IMPORTRANGE(""https://docs.google.com/spreadsheets/d/1Lhp9OU0JdFf_VYSMzH5lBcEaU4o8teT1piV-SNzShjg/edit?gid=554141278#gid=554141278"", ""'Char Def. - Attributes'!C20:C2242""), 1,false)"),"ALT_NUM_UOM3")</f>
        <v>ALT_NUM_UOM3</v>
      </c>
      <c r="I12512" s="136"/>
      <c r="R12512" s="63" t="str">
        <f t="shared" si="60"/>
        <v>ZSI1_PLANTALT_NUM_UOM3</v>
      </c>
    </row>
    <row r="12513" ht="15.75" customHeight="1">
      <c r="B12513" s="63">
        <f t="shared" si="1"/>
        <v>10</v>
      </c>
      <c r="C12513" s="135" t="s">
        <v>448</v>
      </c>
      <c r="D12513" s="161" t="s">
        <v>74</v>
      </c>
      <c r="E12513" s="135">
        <f t="shared" si="62"/>
        <v>23</v>
      </c>
      <c r="F12513" s="134" t="s">
        <v>3813</v>
      </c>
      <c r="G12513" s="63" t="str">
        <f>VLOOKUP(C12513, 'Class Def. - General Data'!$C$20:$C$1000,1,false)</f>
        <v>ZSI1_PLANT</v>
      </c>
      <c r="H12513" s="63" t="str">
        <f>IFERROR(__xludf.DUMMYFUNCTION("VLOOKUP(F12513, IMPORTRANGE(""https://docs.google.com/spreadsheets/d/1Lhp9OU0JdFf_VYSMzH5lBcEaU4o8teT1piV-SNzShjg/edit?gid=554141278#gid=554141278"", ""'Char Def. - Attributes'!C20:C2242""), 1,false)"),"ALT_UOM4_SIPI")</f>
        <v>ALT_UOM4_SIPI</v>
      </c>
      <c r="I12513" s="136"/>
      <c r="R12513" s="63" t="str">
        <f t="shared" si="60"/>
        <v>ZSI1_PLANTALT_UOM4_SIPI</v>
      </c>
    </row>
    <row r="12514" ht="15.75" customHeight="1">
      <c r="B12514" s="63">
        <f t="shared" si="1"/>
        <v>10</v>
      </c>
      <c r="C12514" s="135" t="s">
        <v>448</v>
      </c>
      <c r="D12514" s="161" t="s">
        <v>74</v>
      </c>
      <c r="E12514" s="135">
        <f t="shared" si="62"/>
        <v>24</v>
      </c>
      <c r="F12514" s="134" t="s">
        <v>3814</v>
      </c>
      <c r="G12514" s="63" t="str">
        <f>VLOOKUP(C12514, 'Class Def. - General Data'!$C$20:$C$1000,1,false)</f>
        <v>ZSI1_PLANT</v>
      </c>
      <c r="H12514" s="63" t="str">
        <f>IFERROR(__xludf.DUMMYFUNCTION("VLOOKUP(F12514, IMPORTRANGE(""https://docs.google.com/spreadsheets/d/1Lhp9OU0JdFf_VYSMzH5lBcEaU4o8teT1piV-SNzShjg/edit?gid=554141278#gid=554141278"", ""'Char Def. - Attributes'!C20:C2242""), 1,false)"),"ALT_DENUM_UOM4")</f>
        <v>ALT_DENUM_UOM4</v>
      </c>
      <c r="I12514" s="136"/>
      <c r="R12514" s="63" t="str">
        <f t="shared" si="60"/>
        <v>ZSI1_PLANTALT_DENUM_UOM4</v>
      </c>
    </row>
    <row r="12515" ht="15.75" customHeight="1">
      <c r="B12515" s="63">
        <f t="shared" si="1"/>
        <v>10</v>
      </c>
      <c r="C12515" s="135" t="s">
        <v>448</v>
      </c>
      <c r="D12515" s="161" t="s">
        <v>74</v>
      </c>
      <c r="E12515" s="135">
        <f t="shared" si="62"/>
        <v>25</v>
      </c>
      <c r="F12515" s="134" t="s">
        <v>3815</v>
      </c>
      <c r="G12515" s="63" t="str">
        <f>VLOOKUP(C12515, 'Class Def. - General Data'!$C$20:$C$1000,1,false)</f>
        <v>ZSI1_PLANT</v>
      </c>
      <c r="H12515" s="63" t="str">
        <f>IFERROR(__xludf.DUMMYFUNCTION("VLOOKUP(F12515, IMPORTRANGE(""https://docs.google.com/spreadsheets/d/1Lhp9OU0JdFf_VYSMzH5lBcEaU4o8teT1piV-SNzShjg/edit?gid=554141278#gid=554141278"", ""'Char Def. - Attributes'!C20:C2242""), 1,false)"),"ALT_NUM_UOM4")</f>
        <v>ALT_NUM_UOM4</v>
      </c>
      <c r="I12515" s="136"/>
      <c r="R12515" s="63" t="str">
        <f t="shared" si="60"/>
        <v>ZSI1_PLANTALT_NUM_UOM4</v>
      </c>
    </row>
    <row r="12516" ht="15.75" customHeight="1">
      <c r="B12516" s="63">
        <f t="shared" si="1"/>
        <v>10</v>
      </c>
      <c r="C12516" s="135" t="s">
        <v>448</v>
      </c>
      <c r="D12516" s="161" t="s">
        <v>74</v>
      </c>
      <c r="E12516" s="135">
        <f t="shared" si="62"/>
        <v>26</v>
      </c>
      <c r="F12516" s="134" t="s">
        <v>3816</v>
      </c>
      <c r="G12516" s="63" t="str">
        <f>VLOOKUP(C12516, 'Class Def. - General Data'!$C$20:$C$1000,1,false)</f>
        <v>ZSI1_PLANT</v>
      </c>
      <c r="H12516" s="63" t="str">
        <f>IFERROR(__xludf.DUMMYFUNCTION("VLOOKUP(F12516, IMPORTRANGE(""https://docs.google.com/spreadsheets/d/1Lhp9OU0JdFf_VYSMzH5lBcEaU4o8teT1piV-SNzShjg/edit?gid=554141278#gid=554141278"", ""'Char Def. - Attributes'!C20:C2242""), 1,false)"),"ALT_UOM5_SIPI")</f>
        <v>ALT_UOM5_SIPI</v>
      </c>
      <c r="I12516" s="136"/>
      <c r="R12516" s="63" t="str">
        <f t="shared" si="60"/>
        <v>ZSI1_PLANTALT_UOM5_SIPI</v>
      </c>
    </row>
    <row r="12517" ht="15.75" customHeight="1">
      <c r="B12517" s="63">
        <f t="shared" si="1"/>
        <v>10</v>
      </c>
      <c r="C12517" s="135" t="s">
        <v>448</v>
      </c>
      <c r="D12517" s="161" t="s">
        <v>74</v>
      </c>
      <c r="E12517" s="135">
        <f t="shared" si="62"/>
        <v>27</v>
      </c>
      <c r="F12517" s="134" t="s">
        <v>3817</v>
      </c>
      <c r="G12517" s="63" t="str">
        <f>VLOOKUP(C12517, 'Class Def. - General Data'!$C$20:$C$1000,1,false)</f>
        <v>ZSI1_PLANT</v>
      </c>
      <c r="H12517" s="63" t="str">
        <f>IFERROR(__xludf.DUMMYFUNCTION("VLOOKUP(F12517, IMPORTRANGE(""https://docs.google.com/spreadsheets/d/1Lhp9OU0JdFf_VYSMzH5lBcEaU4o8teT1piV-SNzShjg/edit?gid=554141278#gid=554141278"", ""'Char Def. - Attributes'!C20:C2242""), 1,false)"),"ALT_DENUM_UOM5")</f>
        <v>ALT_DENUM_UOM5</v>
      </c>
      <c r="I12517" s="136"/>
      <c r="R12517" s="63" t="str">
        <f t="shared" si="60"/>
        <v>ZSI1_PLANTALT_DENUM_UOM5</v>
      </c>
    </row>
    <row r="12518" ht="15.75" customHeight="1">
      <c r="B12518" s="63">
        <f t="shared" si="1"/>
        <v>10</v>
      </c>
      <c r="C12518" s="135" t="s">
        <v>448</v>
      </c>
      <c r="D12518" s="161" t="s">
        <v>74</v>
      </c>
      <c r="E12518" s="135">
        <f t="shared" si="62"/>
        <v>28</v>
      </c>
      <c r="F12518" s="134" t="s">
        <v>3818</v>
      </c>
      <c r="G12518" s="63" t="str">
        <f>VLOOKUP(C12518, 'Class Def. - General Data'!$C$20:$C$1000,1,false)</f>
        <v>ZSI1_PLANT</v>
      </c>
      <c r="H12518" s="63" t="str">
        <f>IFERROR(__xludf.DUMMYFUNCTION("VLOOKUP(F12518, IMPORTRANGE(""https://docs.google.com/spreadsheets/d/1Lhp9OU0JdFf_VYSMzH5lBcEaU4o8teT1piV-SNzShjg/edit?gid=554141278#gid=554141278"", ""'Char Def. - Attributes'!C20:C2242""), 1,false)"),"ALT_NUM_UOM5")</f>
        <v>ALT_NUM_UOM5</v>
      </c>
      <c r="I12518" s="136"/>
      <c r="R12518" s="63" t="str">
        <f t="shared" si="60"/>
        <v>ZSI1_PLANTALT_NUM_UOM5</v>
      </c>
    </row>
    <row r="12519" ht="15.75" customHeight="1">
      <c r="B12519" s="63">
        <f t="shared" si="1"/>
        <v>15</v>
      </c>
      <c r="C12519" s="135" t="s">
        <v>324</v>
      </c>
      <c r="D12519" s="161" t="s">
        <v>74</v>
      </c>
      <c r="E12519" s="135">
        <f t="shared" si="62"/>
        <v>1</v>
      </c>
      <c r="F12519" s="134" t="s">
        <v>5217</v>
      </c>
      <c r="G12519" s="63" t="str">
        <f>VLOOKUP(C12519, 'Class Def. - General Data'!$C$20:$C$1000,1,false)</f>
        <v>ZSI1_PLASTIC_MC</v>
      </c>
      <c r="H12519" s="63" t="str">
        <f>IFERROR(__xludf.DUMMYFUNCTION("VLOOKUP(F12519, IMPORTRANGE(""https://docs.google.com/spreadsheets/d/1Lhp9OU0JdFf_VYSMzH5lBcEaU4o8teT1piV-SNzShjg/edit?gid=554141278#gid=554141278"", ""'Char Def. - Attributes'!C20:C2242""), 1,false)"),"ITEM_NAME_PLASTIC_MC")</f>
        <v>ITEM_NAME_PLASTIC_MC</v>
      </c>
      <c r="I12519" s="136"/>
      <c r="R12519" s="63" t="str">
        <f t="shared" si="60"/>
        <v>ZSI1_PLASTIC_MCITEM_NAME_PLASTIC_MC</v>
      </c>
    </row>
    <row r="12520" ht="15.75" customHeight="1">
      <c r="B12520" s="63">
        <f t="shared" si="1"/>
        <v>15</v>
      </c>
      <c r="C12520" s="135" t="s">
        <v>324</v>
      </c>
      <c r="D12520" s="161" t="s">
        <v>74</v>
      </c>
      <c r="E12520" s="135">
        <f t="shared" si="62"/>
        <v>2</v>
      </c>
      <c r="F12520" s="134" t="s">
        <v>5218</v>
      </c>
      <c r="G12520" s="63" t="str">
        <f>VLOOKUP(C12520, 'Class Def. - General Data'!$C$20:$C$1000,1,false)</f>
        <v>ZSI1_PLASTIC_MC</v>
      </c>
      <c r="H12520" s="63" t="str">
        <f>IFERROR(__xludf.DUMMYFUNCTION("VLOOKUP(F12520, IMPORTRANGE(""https://docs.google.com/spreadsheets/d/1Lhp9OU0JdFf_VYSMzH5lBcEaU4o8teT1piV-SNzShjg/edit?gid=554141278#gid=554141278"", ""'Char Def. - Attributes'!C20:C2242""), 1,false)"),"MFR_NO_PLASTIC_MC")</f>
        <v>MFR_NO_PLASTIC_MC</v>
      </c>
      <c r="I12520" s="136"/>
      <c r="R12520" s="63" t="str">
        <f t="shared" si="60"/>
        <v>ZSI1_PLASTIC_MCMFR_NO_PLASTIC_MC</v>
      </c>
    </row>
    <row r="12521" ht="15.75" customHeight="1">
      <c r="B12521" s="63">
        <f t="shared" si="1"/>
        <v>15</v>
      </c>
      <c r="C12521" s="135" t="s">
        <v>324</v>
      </c>
      <c r="D12521" s="161" t="s">
        <v>74</v>
      </c>
      <c r="E12521" s="135">
        <f t="shared" si="62"/>
        <v>3</v>
      </c>
      <c r="F12521" s="134" t="s">
        <v>3782</v>
      </c>
      <c r="G12521" s="63" t="str">
        <f>VLOOKUP(C12521, 'Class Def. - General Data'!$C$20:$C$1000,1,false)</f>
        <v>ZSI1_PLASTIC_MC</v>
      </c>
      <c r="H12521" s="63" t="str">
        <f>IFERROR(__xludf.DUMMYFUNCTION("VLOOKUP(F12521, IMPORTRANGE(""https://docs.google.com/spreadsheets/d/1Lhp9OU0JdFf_VYSMzH5lBcEaU4o8teT1piV-SNzShjg/edit?gid=554141278#gid=554141278"", ""'Char Def. - Attributes'!C20:C2242""), 1,false)"),"BRAND_EXTERNAL")</f>
        <v>BRAND_EXTERNAL</v>
      </c>
      <c r="I12521" s="136"/>
      <c r="R12521" s="63" t="str">
        <f t="shared" si="60"/>
        <v>ZSI1_PLASTIC_MCBRAND_EXTERNAL</v>
      </c>
    </row>
    <row r="12522" ht="15.75" customHeight="1">
      <c r="B12522" s="63">
        <f t="shared" si="1"/>
        <v>15</v>
      </c>
      <c r="C12522" s="135" t="s">
        <v>324</v>
      </c>
      <c r="D12522" s="161" t="s">
        <v>74</v>
      </c>
      <c r="E12522" s="135">
        <f t="shared" si="62"/>
        <v>4</v>
      </c>
      <c r="F12522" s="134" t="s">
        <v>4062</v>
      </c>
      <c r="G12522" s="63" t="str">
        <f>VLOOKUP(C12522, 'Class Def. - General Data'!$C$20:$C$1000,1,false)</f>
        <v>ZSI1_PLASTIC_MC</v>
      </c>
      <c r="H12522" s="63" t="str">
        <f>IFERROR(__xludf.DUMMYFUNCTION("VLOOKUP(F12522, IMPORTRANGE(""https://docs.google.com/spreadsheets/d/1Lhp9OU0JdFf_VYSMzH5lBcEaU4o8teT1piV-SNzShjg/edit?gid=554141278#gid=554141278"", ""'Char Def. - Attributes'!C20:C2242""), 1,false)"),"#N/A")</f>
        <v>#N/A</v>
      </c>
      <c r="I12522" s="136"/>
      <c r="R12522" s="63" t="str">
        <f t="shared" si="60"/>
        <v>ZSI1_PLASTIC_MCADDTIONAL_SPECIFICATION</v>
      </c>
    </row>
    <row r="12523" ht="15.75" customHeight="1">
      <c r="B12523" s="63">
        <f t="shared" si="1"/>
        <v>15</v>
      </c>
      <c r="C12523" s="135" t="s">
        <v>324</v>
      </c>
      <c r="D12523" s="161" t="s">
        <v>74</v>
      </c>
      <c r="E12523" s="135">
        <f t="shared" si="62"/>
        <v>5</v>
      </c>
      <c r="F12523" s="134" t="s">
        <v>4053</v>
      </c>
      <c r="G12523" s="63" t="str">
        <f>VLOOKUP(C12523, 'Class Def. - General Data'!$C$20:$C$1000,1,false)</f>
        <v>ZSI1_PLASTIC_MC</v>
      </c>
      <c r="H12523" s="63" t="str">
        <f>IFERROR(__xludf.DUMMYFUNCTION("VLOOKUP(F12523, IMPORTRANGE(""https://docs.google.com/spreadsheets/d/1Lhp9OU0JdFf_VYSMzH5lBcEaU4o8teT1piV-SNzShjg/edit?gid=554141278#gid=554141278"", ""'Char Def. - Attributes'!C20:C2242""), 1,false)"),"MAINTENANCE_ORDER_TYPE")</f>
        <v>MAINTENANCE_ORDER_TYPE</v>
      </c>
      <c r="I12523" s="136"/>
      <c r="R12523" s="63" t="str">
        <f t="shared" si="60"/>
        <v>ZSI1_PLASTIC_MCMAINTENANCE_ORDER_TYPE</v>
      </c>
    </row>
    <row r="12524" ht="15.75" customHeight="1">
      <c r="B12524" s="63">
        <f t="shared" si="1"/>
        <v>15</v>
      </c>
      <c r="C12524" s="135" t="s">
        <v>324</v>
      </c>
      <c r="D12524" s="161" t="s">
        <v>74</v>
      </c>
      <c r="E12524" s="135">
        <f t="shared" si="62"/>
        <v>6</v>
      </c>
      <c r="F12524" s="134" t="s">
        <v>3585</v>
      </c>
      <c r="G12524" s="63" t="str">
        <f>VLOOKUP(C12524, 'Class Def. - General Data'!$C$20:$C$1000,1,false)</f>
        <v>ZSI1_PLASTIC_MC</v>
      </c>
      <c r="H12524" s="63" t="str">
        <f>IFERROR(__xludf.DUMMYFUNCTION("VLOOKUP(F12524, IMPORTRANGE(""https://docs.google.com/spreadsheets/d/1Lhp9OU0JdFf_VYSMzH5lBcEaU4o8teT1piV-SNzShjg/edit?gid=554141278#gid=554141278"", ""'Char Def. - Attributes'!C20:C2242""), 1,false)"),"HS_CODE")</f>
        <v>HS_CODE</v>
      </c>
      <c r="I12524" s="136"/>
      <c r="R12524" s="63" t="str">
        <f t="shared" si="60"/>
        <v>ZSI1_PLASTIC_MCHS_CODE</v>
      </c>
    </row>
    <row r="12525" ht="15.75" customHeight="1">
      <c r="B12525" s="63">
        <f t="shared" si="1"/>
        <v>15</v>
      </c>
      <c r="C12525" s="135" t="s">
        <v>324</v>
      </c>
      <c r="D12525" s="161" t="s">
        <v>74</v>
      </c>
      <c r="E12525" s="135">
        <f t="shared" si="62"/>
        <v>7</v>
      </c>
      <c r="F12525" s="134" t="s">
        <v>3587</v>
      </c>
      <c r="G12525" s="63" t="str">
        <f>VLOOKUP(C12525, 'Class Def. - General Data'!$C$20:$C$1000,1,false)</f>
        <v>ZSI1_PLASTIC_MC</v>
      </c>
      <c r="H12525" s="63" t="str">
        <f>IFERROR(__xludf.DUMMYFUNCTION("VLOOKUP(F12525, IMPORTRANGE(""https://docs.google.com/spreadsheets/d/1Lhp9OU0JdFf_VYSMzH5lBcEaU4o8teT1piV-SNzShjg/edit?gid=554141278#gid=554141278"", ""'Char Def. - Attributes'!C20:C2242""), 1,false)"),"PLANT_BUY")</f>
        <v>PLANT_BUY</v>
      </c>
      <c r="I12525" s="136"/>
      <c r="R12525" s="63" t="str">
        <f t="shared" si="60"/>
        <v>ZSI1_PLASTIC_MCPLANT_BUY</v>
      </c>
    </row>
    <row r="12526" ht="15.75" customHeight="1">
      <c r="B12526" s="63">
        <f t="shared" si="1"/>
        <v>15</v>
      </c>
      <c r="C12526" s="135" t="s">
        <v>324</v>
      </c>
      <c r="D12526" s="161" t="s">
        <v>74</v>
      </c>
      <c r="E12526" s="135">
        <f t="shared" si="62"/>
        <v>8</v>
      </c>
      <c r="F12526" s="134" t="s">
        <v>5219</v>
      </c>
      <c r="G12526" s="63" t="str">
        <f>VLOOKUP(C12526, 'Class Def. - General Data'!$C$20:$C$1000,1,false)</f>
        <v>ZSI1_PLASTIC_MC</v>
      </c>
      <c r="H12526" s="63" t="str">
        <f>IFERROR(__xludf.DUMMYFUNCTION("VLOOKUP(F12526, IMPORTRANGE(""https://docs.google.com/spreadsheets/d/1Lhp9OU0JdFf_VYSMzH5lBcEaU4o8teT1piV-SNzShjg/edit?gid=554141278#gid=554141278"", ""'Char Def. - Attributes'!C20:C2242""), 1,false)"),"BASE_UOM_PLASTIC_MC")</f>
        <v>BASE_UOM_PLASTIC_MC</v>
      </c>
      <c r="I12526" s="136"/>
      <c r="R12526" s="63" t="str">
        <f t="shared" si="60"/>
        <v>ZSI1_PLASTIC_MCBASE_UOM_PLASTIC_MC</v>
      </c>
    </row>
    <row r="12527" ht="15.75" customHeight="1">
      <c r="B12527" s="63">
        <f t="shared" si="1"/>
        <v>15</v>
      </c>
      <c r="C12527" s="135" t="s">
        <v>324</v>
      </c>
      <c r="D12527" s="161" t="s">
        <v>74</v>
      </c>
      <c r="E12527" s="135">
        <f t="shared" si="62"/>
        <v>9</v>
      </c>
      <c r="F12527" s="134" t="s">
        <v>5220</v>
      </c>
      <c r="G12527" s="63" t="str">
        <f>VLOOKUP(C12527, 'Class Def. - General Data'!$C$20:$C$1000,1,false)</f>
        <v>ZSI1_PLASTIC_MC</v>
      </c>
      <c r="H12527" s="63" t="str">
        <f>IFERROR(__xludf.DUMMYFUNCTION("VLOOKUP(F12527, IMPORTRANGE(""https://docs.google.com/spreadsheets/d/1Lhp9OU0JdFf_VYSMzH5lBcEaU4o8teT1piV-SNzShjg/edit?gid=554141278#gid=554141278"", ""'Char Def. - Attributes'!C20:C2242""), 1,false)"),"ORDER_UNIT_PLASTIC_MC")</f>
        <v>ORDER_UNIT_PLASTIC_MC</v>
      </c>
      <c r="I12527" s="136"/>
      <c r="R12527" s="63" t="str">
        <f t="shared" si="60"/>
        <v>ZSI1_PLASTIC_MCORDER_UNIT_PLASTIC_MC</v>
      </c>
    </row>
    <row r="12528" ht="15.75" customHeight="1">
      <c r="B12528" s="63">
        <f t="shared" si="1"/>
        <v>15</v>
      </c>
      <c r="C12528" s="135" t="s">
        <v>324</v>
      </c>
      <c r="D12528" s="161" t="s">
        <v>74</v>
      </c>
      <c r="E12528" s="135">
        <f t="shared" si="62"/>
        <v>10</v>
      </c>
      <c r="F12528" s="134" t="s">
        <v>4056</v>
      </c>
      <c r="G12528" s="63" t="str">
        <f>VLOOKUP(C12528, 'Class Def. - General Data'!$C$20:$C$1000,1,false)</f>
        <v>ZSI1_PLASTIC_MC</v>
      </c>
      <c r="H12528" s="63" t="str">
        <f>IFERROR(__xludf.DUMMYFUNCTION("VLOOKUP(F12528, IMPORTRANGE(""https://docs.google.com/spreadsheets/d/1Lhp9OU0JdFf_VYSMzH5lBcEaU4o8teT1piV-SNzShjg/edit?gid=554141278#gid=554141278"", ""'Char Def. - Attributes'!C20:C2242""), 1,false)"),"GROSS_WEIGHT_OPT")</f>
        <v>GROSS_WEIGHT_OPT</v>
      </c>
      <c r="I12528" s="136"/>
      <c r="R12528" s="63" t="str">
        <f t="shared" si="60"/>
        <v>ZSI1_PLASTIC_MCGROSS_WEIGHT_OPT</v>
      </c>
    </row>
    <row r="12529" ht="15.75" customHeight="1">
      <c r="B12529" s="63">
        <f t="shared" si="1"/>
        <v>15</v>
      </c>
      <c r="C12529" s="135" t="s">
        <v>324</v>
      </c>
      <c r="D12529" s="161" t="s">
        <v>74</v>
      </c>
      <c r="E12529" s="135">
        <f t="shared" si="62"/>
        <v>11</v>
      </c>
      <c r="F12529" s="134" t="s">
        <v>4057</v>
      </c>
      <c r="G12529" s="63" t="str">
        <f>VLOOKUP(C12529, 'Class Def. - General Data'!$C$20:$C$1000,1,false)</f>
        <v>ZSI1_PLASTIC_MC</v>
      </c>
      <c r="H12529" s="63" t="str">
        <f>IFERROR(__xludf.DUMMYFUNCTION("VLOOKUP(F12529, IMPORTRANGE(""https://docs.google.com/spreadsheets/d/1Lhp9OU0JdFf_VYSMzH5lBcEaU4o8teT1piV-SNzShjg/edit?gid=554141278#gid=554141278"", ""'Char Def. - Attributes'!C20:C2242""), 1,false)"),"NET_WEIGHT_OPT")</f>
        <v>NET_WEIGHT_OPT</v>
      </c>
      <c r="I12529" s="136"/>
      <c r="R12529" s="63" t="str">
        <f t="shared" si="60"/>
        <v>ZSI1_PLASTIC_MCNET_WEIGHT_OPT</v>
      </c>
    </row>
    <row r="12530" ht="15.75" customHeight="1">
      <c r="B12530" s="63">
        <f t="shared" si="1"/>
        <v>15</v>
      </c>
      <c r="C12530" s="135" t="s">
        <v>324</v>
      </c>
      <c r="D12530" s="161" t="s">
        <v>74</v>
      </c>
      <c r="E12530" s="135">
        <f t="shared" si="62"/>
        <v>12</v>
      </c>
      <c r="F12530" s="134" t="s">
        <v>4058</v>
      </c>
      <c r="G12530" s="63" t="str">
        <f>VLOOKUP(C12530, 'Class Def. - General Data'!$C$20:$C$1000,1,false)</f>
        <v>ZSI1_PLASTIC_MC</v>
      </c>
      <c r="H12530" s="63" t="str">
        <f>IFERROR(__xludf.DUMMYFUNCTION("VLOOKUP(F12530, IMPORTRANGE(""https://docs.google.com/spreadsheets/d/1Lhp9OU0JdFf_VYSMzH5lBcEaU4o8teT1piV-SNzShjg/edit?gid=554141278#gid=554141278"", ""'Char Def. - Attributes'!C20:C2242""), 1,false)"),"WEIGHT_UNIT_SI")</f>
        <v>WEIGHT_UNIT_SI</v>
      </c>
      <c r="I12530" s="136"/>
      <c r="R12530" s="63" t="str">
        <f t="shared" si="60"/>
        <v>ZSI1_PLASTIC_MCWEIGHT_UNIT_SI</v>
      </c>
    </row>
    <row r="12531" ht="15.75" customHeight="1">
      <c r="B12531" s="63">
        <f t="shared" si="1"/>
        <v>15</v>
      </c>
      <c r="C12531" s="135" t="s">
        <v>324</v>
      </c>
      <c r="D12531" s="161" t="s">
        <v>74</v>
      </c>
      <c r="E12531" s="135">
        <f t="shared" si="62"/>
        <v>13</v>
      </c>
      <c r="F12531" s="134" t="s">
        <v>3877</v>
      </c>
      <c r="G12531" s="63" t="str">
        <f>VLOOKUP(C12531, 'Class Def. - General Data'!$C$20:$C$1000,1,false)</f>
        <v>ZSI1_PLASTIC_MC</v>
      </c>
      <c r="H12531" s="63" t="str">
        <f>IFERROR(__xludf.DUMMYFUNCTION("VLOOKUP(F12531, IMPORTRANGE(""https://docs.google.com/spreadsheets/d/1Lhp9OU0JdFf_VYSMzH5lBcEaU4o8teT1piV-SNzShjg/edit?gid=554141278#gid=554141278"", ""'Char Def. - Attributes'!C20:C2242""), 1,false)"),"VOLUME_OPT")</f>
        <v>VOLUME_OPT</v>
      </c>
      <c r="I12531" s="136"/>
      <c r="R12531" s="63" t="str">
        <f t="shared" si="60"/>
        <v>ZSI1_PLASTIC_MCVOLUME_OPT</v>
      </c>
    </row>
    <row r="12532" ht="15.75" customHeight="1">
      <c r="B12532" s="63">
        <f t="shared" si="1"/>
        <v>15</v>
      </c>
      <c r="C12532" s="135" t="s">
        <v>324</v>
      </c>
      <c r="D12532" s="161" t="s">
        <v>74</v>
      </c>
      <c r="E12532" s="135">
        <f t="shared" si="62"/>
        <v>14</v>
      </c>
      <c r="F12532" s="134" t="s">
        <v>4059</v>
      </c>
      <c r="G12532" s="63" t="str">
        <f>VLOOKUP(C12532, 'Class Def. - General Data'!$C$20:$C$1000,1,false)</f>
        <v>ZSI1_PLASTIC_MC</v>
      </c>
      <c r="H12532" s="63" t="str">
        <f>IFERROR(__xludf.DUMMYFUNCTION("VLOOKUP(F12532, IMPORTRANGE(""https://docs.google.com/spreadsheets/d/1Lhp9OU0JdFf_VYSMzH5lBcEaU4o8teT1piV-SNzShjg/edit?gid=554141278#gid=554141278"", ""'Char Def. - Attributes'!C20:C2242""), 1,false)"),"VOLUME_UNIT_SI")</f>
        <v>VOLUME_UNIT_SI</v>
      </c>
      <c r="I12532" s="136"/>
      <c r="R12532" s="63" t="str">
        <f t="shared" si="60"/>
        <v>ZSI1_PLASTIC_MCVOLUME_UNIT_SI</v>
      </c>
    </row>
    <row r="12533" ht="15.75" customHeight="1">
      <c r="B12533" s="63">
        <f t="shared" si="1"/>
        <v>15</v>
      </c>
      <c r="C12533" s="135" t="s">
        <v>324</v>
      </c>
      <c r="D12533" s="161" t="s">
        <v>74</v>
      </c>
      <c r="E12533" s="135">
        <f t="shared" si="62"/>
        <v>15</v>
      </c>
      <c r="F12533" s="134" t="s">
        <v>3804</v>
      </c>
      <c r="G12533" s="63" t="str">
        <f>VLOOKUP(C12533, 'Class Def. - General Data'!$C$20:$C$1000,1,false)</f>
        <v>ZSI1_PLASTIC_MC</v>
      </c>
      <c r="H12533" s="63" t="str">
        <f>IFERROR(__xludf.DUMMYFUNCTION("VLOOKUP(F12533, IMPORTRANGE(""https://docs.google.com/spreadsheets/d/1Lhp9OU0JdFf_VYSMzH5lBcEaU4o8teT1piV-SNzShjg/edit?gid=554141278#gid=554141278"", ""'Char Def. - Attributes'!C20:C2242""), 1,false)"),"ALT_UOM1_SIPI")</f>
        <v>ALT_UOM1_SIPI</v>
      </c>
      <c r="I12533" s="136"/>
      <c r="R12533" s="63" t="str">
        <f t="shared" si="60"/>
        <v>ZSI1_PLASTIC_MCALT_UOM1_SIPI</v>
      </c>
    </row>
    <row r="12534" ht="15.75" customHeight="1">
      <c r="B12534" s="63">
        <f t="shared" si="1"/>
        <v>15</v>
      </c>
      <c r="C12534" s="135" t="s">
        <v>324</v>
      </c>
      <c r="D12534" s="161" t="s">
        <v>74</v>
      </c>
      <c r="E12534" s="135">
        <f t="shared" si="62"/>
        <v>16</v>
      </c>
      <c r="F12534" s="134" t="s">
        <v>3805</v>
      </c>
      <c r="G12534" s="63" t="str">
        <f>VLOOKUP(C12534, 'Class Def. - General Data'!$C$20:$C$1000,1,false)</f>
        <v>ZSI1_PLASTIC_MC</v>
      </c>
      <c r="H12534" s="63" t="str">
        <f>IFERROR(__xludf.DUMMYFUNCTION("VLOOKUP(F12534, IMPORTRANGE(""https://docs.google.com/spreadsheets/d/1Lhp9OU0JdFf_VYSMzH5lBcEaU4o8teT1piV-SNzShjg/edit?gid=554141278#gid=554141278"", ""'Char Def. - Attributes'!C20:C2242""), 1,false)"),"ALT_DENUM_UOM1")</f>
        <v>ALT_DENUM_UOM1</v>
      </c>
      <c r="I12534" s="136"/>
      <c r="R12534" s="63" t="str">
        <f t="shared" si="60"/>
        <v>ZSI1_PLASTIC_MCALT_DENUM_UOM1</v>
      </c>
    </row>
    <row r="12535" ht="15.75" customHeight="1">
      <c r="B12535" s="63">
        <f t="shared" si="1"/>
        <v>15</v>
      </c>
      <c r="C12535" s="135" t="s">
        <v>324</v>
      </c>
      <c r="D12535" s="161" t="s">
        <v>74</v>
      </c>
      <c r="E12535" s="135">
        <f t="shared" si="62"/>
        <v>17</v>
      </c>
      <c r="F12535" s="134" t="s">
        <v>3806</v>
      </c>
      <c r="G12535" s="63" t="str">
        <f>VLOOKUP(C12535, 'Class Def. - General Data'!$C$20:$C$1000,1,false)</f>
        <v>ZSI1_PLASTIC_MC</v>
      </c>
      <c r="H12535" s="63" t="str">
        <f>IFERROR(__xludf.DUMMYFUNCTION("VLOOKUP(F12535, IMPORTRANGE(""https://docs.google.com/spreadsheets/d/1Lhp9OU0JdFf_VYSMzH5lBcEaU4o8teT1piV-SNzShjg/edit?gid=554141278#gid=554141278"", ""'Char Def. - Attributes'!C20:C2242""), 1,false)"),"ALT_NUM_UOM1")</f>
        <v>ALT_NUM_UOM1</v>
      </c>
      <c r="I12535" s="136"/>
      <c r="R12535" s="63" t="str">
        <f t="shared" si="60"/>
        <v>ZSI1_PLASTIC_MCALT_NUM_UOM1</v>
      </c>
    </row>
    <row r="12536" ht="15.75" customHeight="1">
      <c r="B12536" s="63">
        <f t="shared" si="1"/>
        <v>15</v>
      </c>
      <c r="C12536" s="135" t="s">
        <v>324</v>
      </c>
      <c r="D12536" s="161" t="s">
        <v>74</v>
      </c>
      <c r="E12536" s="135">
        <f t="shared" si="62"/>
        <v>18</v>
      </c>
      <c r="F12536" s="134" t="s">
        <v>3807</v>
      </c>
      <c r="G12536" s="63" t="str">
        <f>VLOOKUP(C12536, 'Class Def. - General Data'!$C$20:$C$1000,1,false)</f>
        <v>ZSI1_PLASTIC_MC</v>
      </c>
      <c r="H12536" s="63" t="str">
        <f>IFERROR(__xludf.DUMMYFUNCTION("VLOOKUP(F12536, IMPORTRANGE(""https://docs.google.com/spreadsheets/d/1Lhp9OU0JdFf_VYSMzH5lBcEaU4o8teT1piV-SNzShjg/edit?gid=554141278#gid=554141278"", ""'Char Def. - Attributes'!C20:C2242""), 1,false)"),"ALT_UOM2_SIPI")</f>
        <v>ALT_UOM2_SIPI</v>
      </c>
      <c r="I12536" s="136"/>
      <c r="R12536" s="63" t="str">
        <f t="shared" si="60"/>
        <v>ZSI1_PLASTIC_MCALT_UOM2_SIPI</v>
      </c>
    </row>
    <row r="12537" ht="15.75" customHeight="1">
      <c r="B12537" s="63">
        <f t="shared" si="1"/>
        <v>15</v>
      </c>
      <c r="C12537" s="135" t="s">
        <v>324</v>
      </c>
      <c r="D12537" s="161" t="s">
        <v>74</v>
      </c>
      <c r="E12537" s="135">
        <f t="shared" si="62"/>
        <v>19</v>
      </c>
      <c r="F12537" s="134" t="s">
        <v>3808</v>
      </c>
      <c r="G12537" s="63" t="str">
        <f>VLOOKUP(C12537, 'Class Def. - General Data'!$C$20:$C$1000,1,false)</f>
        <v>ZSI1_PLASTIC_MC</v>
      </c>
      <c r="H12537" s="63" t="str">
        <f>IFERROR(__xludf.DUMMYFUNCTION("VLOOKUP(F12537, IMPORTRANGE(""https://docs.google.com/spreadsheets/d/1Lhp9OU0JdFf_VYSMzH5lBcEaU4o8teT1piV-SNzShjg/edit?gid=554141278#gid=554141278"", ""'Char Def. - Attributes'!C20:C2242""), 1,false)"),"ALT_DENUM_UOM2")</f>
        <v>ALT_DENUM_UOM2</v>
      </c>
      <c r="I12537" s="136"/>
      <c r="R12537" s="63" t="str">
        <f t="shared" si="60"/>
        <v>ZSI1_PLASTIC_MCALT_DENUM_UOM2</v>
      </c>
    </row>
    <row r="12538" ht="15.75" customHeight="1">
      <c r="B12538" s="63">
        <f t="shared" si="1"/>
        <v>15</v>
      </c>
      <c r="C12538" s="135" t="s">
        <v>324</v>
      </c>
      <c r="D12538" s="161" t="s">
        <v>74</v>
      </c>
      <c r="E12538" s="135">
        <f t="shared" si="62"/>
        <v>20</v>
      </c>
      <c r="F12538" s="134" t="s">
        <v>3809</v>
      </c>
      <c r="G12538" s="63" t="str">
        <f>VLOOKUP(C12538, 'Class Def. - General Data'!$C$20:$C$1000,1,false)</f>
        <v>ZSI1_PLASTIC_MC</v>
      </c>
      <c r="H12538" s="63" t="str">
        <f>IFERROR(__xludf.DUMMYFUNCTION("VLOOKUP(F12538, IMPORTRANGE(""https://docs.google.com/spreadsheets/d/1Lhp9OU0JdFf_VYSMzH5lBcEaU4o8teT1piV-SNzShjg/edit?gid=554141278#gid=554141278"", ""'Char Def. - Attributes'!C20:C2242""), 1,false)"),"ALT_NUM_UOM2")</f>
        <v>ALT_NUM_UOM2</v>
      </c>
      <c r="I12538" s="136"/>
      <c r="R12538" s="63" t="str">
        <f t="shared" si="60"/>
        <v>ZSI1_PLASTIC_MCALT_NUM_UOM2</v>
      </c>
    </row>
    <row r="12539" ht="15.75" customHeight="1">
      <c r="B12539" s="63">
        <f t="shared" si="1"/>
        <v>15</v>
      </c>
      <c r="C12539" s="135" t="s">
        <v>324</v>
      </c>
      <c r="D12539" s="161" t="s">
        <v>74</v>
      </c>
      <c r="E12539" s="135">
        <f t="shared" si="62"/>
        <v>21</v>
      </c>
      <c r="F12539" s="134" t="s">
        <v>3810</v>
      </c>
      <c r="G12539" s="63" t="str">
        <f>VLOOKUP(C12539, 'Class Def. - General Data'!$C$20:$C$1000,1,false)</f>
        <v>ZSI1_PLASTIC_MC</v>
      </c>
      <c r="H12539" s="63" t="str">
        <f>IFERROR(__xludf.DUMMYFUNCTION("VLOOKUP(F12539, IMPORTRANGE(""https://docs.google.com/spreadsheets/d/1Lhp9OU0JdFf_VYSMzH5lBcEaU4o8teT1piV-SNzShjg/edit?gid=554141278#gid=554141278"", ""'Char Def. - Attributes'!C20:C2242""), 1,false)"),"ALT_UOM3_SIPI")</f>
        <v>ALT_UOM3_SIPI</v>
      </c>
      <c r="I12539" s="136"/>
      <c r="R12539" s="63" t="str">
        <f t="shared" si="60"/>
        <v>ZSI1_PLASTIC_MCALT_UOM3_SIPI</v>
      </c>
    </row>
    <row r="12540" ht="15.75" customHeight="1">
      <c r="B12540" s="63">
        <f t="shared" si="1"/>
        <v>15</v>
      </c>
      <c r="C12540" s="135" t="s">
        <v>324</v>
      </c>
      <c r="D12540" s="161" t="s">
        <v>74</v>
      </c>
      <c r="E12540" s="135">
        <f t="shared" si="62"/>
        <v>22</v>
      </c>
      <c r="F12540" s="134" t="s">
        <v>3811</v>
      </c>
      <c r="G12540" s="63" t="str">
        <f>VLOOKUP(C12540, 'Class Def. - General Data'!$C$20:$C$1000,1,false)</f>
        <v>ZSI1_PLASTIC_MC</v>
      </c>
      <c r="H12540" s="63" t="str">
        <f>IFERROR(__xludf.DUMMYFUNCTION("VLOOKUP(F12540, IMPORTRANGE(""https://docs.google.com/spreadsheets/d/1Lhp9OU0JdFf_VYSMzH5lBcEaU4o8teT1piV-SNzShjg/edit?gid=554141278#gid=554141278"", ""'Char Def. - Attributes'!C20:C2242""), 1,false)"),"ALT_DENUM_UOM3")</f>
        <v>ALT_DENUM_UOM3</v>
      </c>
      <c r="I12540" s="136"/>
      <c r="R12540" s="63" t="str">
        <f t="shared" si="60"/>
        <v>ZSI1_PLASTIC_MCALT_DENUM_UOM3</v>
      </c>
    </row>
    <row r="12541" ht="15.75" customHeight="1">
      <c r="B12541" s="63">
        <f t="shared" si="1"/>
        <v>15</v>
      </c>
      <c r="C12541" s="135" t="s">
        <v>324</v>
      </c>
      <c r="D12541" s="161" t="s">
        <v>74</v>
      </c>
      <c r="E12541" s="135">
        <f t="shared" si="62"/>
        <v>23</v>
      </c>
      <c r="F12541" s="134" t="s">
        <v>3812</v>
      </c>
      <c r="G12541" s="63" t="str">
        <f>VLOOKUP(C12541, 'Class Def. - General Data'!$C$20:$C$1000,1,false)</f>
        <v>ZSI1_PLASTIC_MC</v>
      </c>
      <c r="H12541" s="63" t="str">
        <f>IFERROR(__xludf.DUMMYFUNCTION("VLOOKUP(F12541, IMPORTRANGE(""https://docs.google.com/spreadsheets/d/1Lhp9OU0JdFf_VYSMzH5lBcEaU4o8teT1piV-SNzShjg/edit?gid=554141278#gid=554141278"", ""'Char Def. - Attributes'!C20:C2242""), 1,false)"),"ALT_NUM_UOM3")</f>
        <v>ALT_NUM_UOM3</v>
      </c>
      <c r="I12541" s="136"/>
      <c r="R12541" s="63" t="str">
        <f t="shared" si="60"/>
        <v>ZSI1_PLASTIC_MCALT_NUM_UOM3</v>
      </c>
    </row>
    <row r="12542" ht="15.75" customHeight="1">
      <c r="B12542" s="63">
        <f t="shared" si="1"/>
        <v>15</v>
      </c>
      <c r="C12542" s="135" t="s">
        <v>324</v>
      </c>
      <c r="D12542" s="161" t="s">
        <v>74</v>
      </c>
      <c r="E12542" s="135">
        <f t="shared" si="62"/>
        <v>24</v>
      </c>
      <c r="F12542" s="134" t="s">
        <v>3813</v>
      </c>
      <c r="G12542" s="63" t="str">
        <f>VLOOKUP(C12542, 'Class Def. - General Data'!$C$20:$C$1000,1,false)</f>
        <v>ZSI1_PLASTIC_MC</v>
      </c>
      <c r="H12542" s="63" t="str">
        <f>IFERROR(__xludf.DUMMYFUNCTION("VLOOKUP(F12542, IMPORTRANGE(""https://docs.google.com/spreadsheets/d/1Lhp9OU0JdFf_VYSMzH5lBcEaU4o8teT1piV-SNzShjg/edit?gid=554141278#gid=554141278"", ""'Char Def. - Attributes'!C20:C2242""), 1,false)"),"ALT_UOM4_SIPI")</f>
        <v>ALT_UOM4_SIPI</v>
      </c>
      <c r="I12542" s="136"/>
      <c r="R12542" s="63" t="str">
        <f t="shared" si="60"/>
        <v>ZSI1_PLASTIC_MCALT_UOM4_SIPI</v>
      </c>
    </row>
    <row r="12543" ht="15.75" customHeight="1">
      <c r="B12543" s="63">
        <f t="shared" si="1"/>
        <v>15</v>
      </c>
      <c r="C12543" s="135" t="s">
        <v>324</v>
      </c>
      <c r="D12543" s="161" t="s">
        <v>74</v>
      </c>
      <c r="E12543" s="135">
        <f t="shared" si="62"/>
        <v>25</v>
      </c>
      <c r="F12543" s="134" t="s">
        <v>3814</v>
      </c>
      <c r="G12543" s="63" t="str">
        <f>VLOOKUP(C12543, 'Class Def. - General Data'!$C$20:$C$1000,1,false)</f>
        <v>ZSI1_PLASTIC_MC</v>
      </c>
      <c r="H12543" s="63" t="str">
        <f>IFERROR(__xludf.DUMMYFUNCTION("VLOOKUP(F12543, IMPORTRANGE(""https://docs.google.com/spreadsheets/d/1Lhp9OU0JdFf_VYSMzH5lBcEaU4o8teT1piV-SNzShjg/edit?gid=554141278#gid=554141278"", ""'Char Def. - Attributes'!C20:C2242""), 1,false)"),"ALT_DENUM_UOM4")</f>
        <v>ALT_DENUM_UOM4</v>
      </c>
      <c r="I12543" s="136"/>
      <c r="R12543" s="63" t="str">
        <f t="shared" si="60"/>
        <v>ZSI1_PLASTIC_MCALT_DENUM_UOM4</v>
      </c>
    </row>
    <row r="12544" ht="15.75" customHeight="1">
      <c r="B12544" s="63">
        <f t="shared" si="1"/>
        <v>15</v>
      </c>
      <c r="C12544" s="135" t="s">
        <v>324</v>
      </c>
      <c r="D12544" s="161" t="s">
        <v>74</v>
      </c>
      <c r="E12544" s="135">
        <f t="shared" si="62"/>
        <v>26</v>
      </c>
      <c r="F12544" s="134" t="s">
        <v>3815</v>
      </c>
      <c r="G12544" s="63" t="str">
        <f>VLOOKUP(C12544, 'Class Def. - General Data'!$C$20:$C$1000,1,false)</f>
        <v>ZSI1_PLASTIC_MC</v>
      </c>
      <c r="H12544" s="63" t="str">
        <f>IFERROR(__xludf.DUMMYFUNCTION("VLOOKUP(F12544, IMPORTRANGE(""https://docs.google.com/spreadsheets/d/1Lhp9OU0JdFf_VYSMzH5lBcEaU4o8teT1piV-SNzShjg/edit?gid=554141278#gid=554141278"", ""'Char Def. - Attributes'!C20:C2242""), 1,false)"),"ALT_NUM_UOM4")</f>
        <v>ALT_NUM_UOM4</v>
      </c>
      <c r="I12544" s="136"/>
      <c r="R12544" s="63" t="str">
        <f t="shared" si="60"/>
        <v>ZSI1_PLASTIC_MCALT_NUM_UOM4</v>
      </c>
    </row>
    <row r="12545" ht="15.75" customHeight="1">
      <c r="B12545" s="63">
        <f t="shared" si="1"/>
        <v>15</v>
      </c>
      <c r="C12545" s="135" t="s">
        <v>324</v>
      </c>
      <c r="D12545" s="161" t="s">
        <v>74</v>
      </c>
      <c r="E12545" s="135">
        <f t="shared" si="62"/>
        <v>27</v>
      </c>
      <c r="F12545" s="134" t="s">
        <v>3816</v>
      </c>
      <c r="G12545" s="63" t="str">
        <f>VLOOKUP(C12545, 'Class Def. - General Data'!$C$20:$C$1000,1,false)</f>
        <v>ZSI1_PLASTIC_MC</v>
      </c>
      <c r="H12545" s="63" t="str">
        <f>IFERROR(__xludf.DUMMYFUNCTION("VLOOKUP(F12545, IMPORTRANGE(""https://docs.google.com/spreadsheets/d/1Lhp9OU0JdFf_VYSMzH5lBcEaU4o8teT1piV-SNzShjg/edit?gid=554141278#gid=554141278"", ""'Char Def. - Attributes'!C20:C2242""), 1,false)"),"ALT_UOM5_SIPI")</f>
        <v>ALT_UOM5_SIPI</v>
      </c>
      <c r="I12545" s="136"/>
      <c r="R12545" s="63" t="str">
        <f t="shared" si="60"/>
        <v>ZSI1_PLASTIC_MCALT_UOM5_SIPI</v>
      </c>
    </row>
    <row r="12546" ht="15.75" customHeight="1">
      <c r="B12546" s="63">
        <f t="shared" si="1"/>
        <v>15</v>
      </c>
      <c r="C12546" s="135" t="s">
        <v>324</v>
      </c>
      <c r="D12546" s="161" t="s">
        <v>74</v>
      </c>
      <c r="E12546" s="135">
        <f t="shared" si="62"/>
        <v>28</v>
      </c>
      <c r="F12546" s="134" t="s">
        <v>3817</v>
      </c>
      <c r="G12546" s="63" t="str">
        <f>VLOOKUP(C12546, 'Class Def. - General Data'!$C$20:$C$1000,1,false)</f>
        <v>ZSI1_PLASTIC_MC</v>
      </c>
      <c r="H12546" s="63" t="str">
        <f>IFERROR(__xludf.DUMMYFUNCTION("VLOOKUP(F12546, IMPORTRANGE(""https://docs.google.com/spreadsheets/d/1Lhp9OU0JdFf_VYSMzH5lBcEaU4o8teT1piV-SNzShjg/edit?gid=554141278#gid=554141278"", ""'Char Def. - Attributes'!C20:C2242""), 1,false)"),"ALT_DENUM_UOM5")</f>
        <v>ALT_DENUM_UOM5</v>
      </c>
      <c r="I12546" s="136"/>
      <c r="R12546" s="63" t="str">
        <f t="shared" si="60"/>
        <v>ZSI1_PLASTIC_MCALT_DENUM_UOM5</v>
      </c>
    </row>
    <row r="12547" ht="15.75" customHeight="1">
      <c r="B12547" s="63">
        <f t="shared" si="1"/>
        <v>15</v>
      </c>
      <c r="C12547" s="135" t="s">
        <v>324</v>
      </c>
      <c r="D12547" s="161" t="s">
        <v>74</v>
      </c>
      <c r="E12547" s="135">
        <f t="shared" si="62"/>
        <v>29</v>
      </c>
      <c r="F12547" s="134" t="s">
        <v>3818</v>
      </c>
      <c r="G12547" s="63" t="str">
        <f>VLOOKUP(C12547, 'Class Def. - General Data'!$C$20:$C$1000,1,false)</f>
        <v>ZSI1_PLASTIC_MC</v>
      </c>
      <c r="H12547" s="63" t="str">
        <f>IFERROR(__xludf.DUMMYFUNCTION("VLOOKUP(F12547, IMPORTRANGE(""https://docs.google.com/spreadsheets/d/1Lhp9OU0JdFf_VYSMzH5lBcEaU4o8teT1piV-SNzShjg/edit?gid=554141278#gid=554141278"", ""'Char Def. - Attributes'!C20:C2242""), 1,false)"),"ALT_NUM_UOM5")</f>
        <v>ALT_NUM_UOM5</v>
      </c>
      <c r="I12547" s="136"/>
      <c r="R12547" s="63" t="str">
        <f t="shared" si="60"/>
        <v>ZSI1_PLASTIC_MCALT_NUM_UOM5</v>
      </c>
    </row>
    <row r="12548" ht="15.75" customHeight="1">
      <c r="B12548" s="63">
        <f t="shared" si="1"/>
        <v>8</v>
      </c>
      <c r="C12548" s="135" t="s">
        <v>305</v>
      </c>
      <c r="D12548" s="161" t="s">
        <v>74</v>
      </c>
      <c r="E12548" s="135">
        <f t="shared" si="62"/>
        <v>1</v>
      </c>
      <c r="F12548" s="134" t="s">
        <v>5221</v>
      </c>
      <c r="G12548" s="63" t="str">
        <f>VLOOKUP(C12548, 'Class Def. - General Data'!$C$20:$C$1000,1,false)</f>
        <v>ZSI1_PLC</v>
      </c>
      <c r="H12548" s="63" t="str">
        <f>IFERROR(__xludf.DUMMYFUNCTION("VLOOKUP(F12548, IMPORTRANGE(""https://docs.google.com/spreadsheets/d/1Lhp9OU0JdFf_VYSMzH5lBcEaU4o8teT1piV-SNzShjg/edit?gid=554141278#gid=554141278"", ""'Char Def. - Attributes'!C20:C2242""), 1,false)"),"ITEM_NAME_PLC")</f>
        <v>ITEM_NAME_PLC</v>
      </c>
      <c r="I12548" s="136"/>
      <c r="R12548" s="63" t="str">
        <f t="shared" si="60"/>
        <v>ZSI1_PLCITEM_NAME_PLC</v>
      </c>
    </row>
    <row r="12549" ht="15.75" customHeight="1">
      <c r="B12549" s="63">
        <f t="shared" si="1"/>
        <v>8</v>
      </c>
      <c r="C12549" s="135" t="s">
        <v>305</v>
      </c>
      <c r="D12549" s="161" t="s">
        <v>74</v>
      </c>
      <c r="E12549" s="135">
        <f t="shared" si="62"/>
        <v>2</v>
      </c>
      <c r="F12549" s="134" t="s">
        <v>5222</v>
      </c>
      <c r="G12549" s="63" t="str">
        <f>VLOOKUP(C12549, 'Class Def. - General Data'!$C$20:$C$1000,1,false)</f>
        <v>ZSI1_PLC</v>
      </c>
      <c r="H12549" s="63" t="str">
        <f>IFERROR(__xludf.DUMMYFUNCTION("VLOOKUP(F12549, IMPORTRANGE(""https://docs.google.com/spreadsheets/d/1Lhp9OU0JdFf_VYSMzH5lBcEaU4o8teT1piV-SNzShjg/edit?gid=554141278#gid=554141278"", ""'Char Def. - Attributes'!C20:C2242""), 1,false)"),"MFR_NO_PLC")</f>
        <v>MFR_NO_PLC</v>
      </c>
      <c r="I12549" s="136"/>
      <c r="R12549" s="63" t="str">
        <f t="shared" si="60"/>
        <v>ZSI1_PLCMFR_NO_PLC</v>
      </c>
    </row>
    <row r="12550" ht="15.75" customHeight="1">
      <c r="B12550" s="63">
        <f t="shared" si="1"/>
        <v>8</v>
      </c>
      <c r="C12550" s="135" t="s">
        <v>305</v>
      </c>
      <c r="D12550" s="161" t="s">
        <v>74</v>
      </c>
      <c r="E12550" s="135">
        <f t="shared" si="62"/>
        <v>3</v>
      </c>
      <c r="F12550" s="134" t="s">
        <v>3782</v>
      </c>
      <c r="G12550" s="63" t="str">
        <f>VLOOKUP(C12550, 'Class Def. - General Data'!$C$20:$C$1000,1,false)</f>
        <v>ZSI1_PLC</v>
      </c>
      <c r="H12550" s="63" t="str">
        <f>IFERROR(__xludf.DUMMYFUNCTION("VLOOKUP(F12550, IMPORTRANGE(""https://docs.google.com/spreadsheets/d/1Lhp9OU0JdFf_VYSMzH5lBcEaU4o8teT1piV-SNzShjg/edit?gid=554141278#gid=554141278"", ""'Char Def. - Attributes'!C20:C2242""), 1,false)"),"BRAND_EXTERNAL")</f>
        <v>BRAND_EXTERNAL</v>
      </c>
      <c r="I12550" s="136"/>
      <c r="R12550" s="63" t="str">
        <f t="shared" si="60"/>
        <v>ZSI1_PLCBRAND_EXTERNAL</v>
      </c>
    </row>
    <row r="12551" ht="15.75" customHeight="1">
      <c r="B12551" s="63">
        <f t="shared" si="1"/>
        <v>8</v>
      </c>
      <c r="C12551" s="135" t="s">
        <v>305</v>
      </c>
      <c r="D12551" s="161" t="s">
        <v>74</v>
      </c>
      <c r="E12551" s="135">
        <f t="shared" si="62"/>
        <v>4</v>
      </c>
      <c r="F12551" s="134" t="s">
        <v>4062</v>
      </c>
      <c r="G12551" s="63" t="str">
        <f>VLOOKUP(C12551, 'Class Def. - General Data'!$C$20:$C$1000,1,false)</f>
        <v>ZSI1_PLC</v>
      </c>
      <c r="H12551" s="63" t="str">
        <f>IFERROR(__xludf.DUMMYFUNCTION("VLOOKUP(F12551, IMPORTRANGE(""https://docs.google.com/spreadsheets/d/1Lhp9OU0JdFf_VYSMzH5lBcEaU4o8teT1piV-SNzShjg/edit?gid=554141278#gid=554141278"", ""'Char Def. - Attributes'!C20:C2242""), 1,false)"),"#N/A")</f>
        <v>#N/A</v>
      </c>
      <c r="I12551" s="136"/>
      <c r="R12551" s="63" t="str">
        <f t="shared" si="60"/>
        <v>ZSI1_PLCADDTIONAL_SPECIFICATION</v>
      </c>
    </row>
    <row r="12552" ht="15.75" customHeight="1">
      <c r="B12552" s="63">
        <f t="shared" si="1"/>
        <v>8</v>
      </c>
      <c r="C12552" s="135" t="s">
        <v>305</v>
      </c>
      <c r="D12552" s="161" t="s">
        <v>74</v>
      </c>
      <c r="E12552" s="135">
        <f t="shared" si="62"/>
        <v>5</v>
      </c>
      <c r="F12552" s="134" t="s">
        <v>4053</v>
      </c>
      <c r="G12552" s="63" t="str">
        <f>VLOOKUP(C12552, 'Class Def. - General Data'!$C$20:$C$1000,1,false)</f>
        <v>ZSI1_PLC</v>
      </c>
      <c r="H12552" s="63" t="str">
        <f>IFERROR(__xludf.DUMMYFUNCTION("VLOOKUP(F12552, IMPORTRANGE(""https://docs.google.com/spreadsheets/d/1Lhp9OU0JdFf_VYSMzH5lBcEaU4o8teT1piV-SNzShjg/edit?gid=554141278#gid=554141278"", ""'Char Def. - Attributes'!C20:C2242""), 1,false)"),"MAINTENANCE_ORDER_TYPE")</f>
        <v>MAINTENANCE_ORDER_TYPE</v>
      </c>
      <c r="I12552" s="136"/>
      <c r="R12552" s="63" t="str">
        <f t="shared" si="60"/>
        <v>ZSI1_PLCMAINTENANCE_ORDER_TYPE</v>
      </c>
    </row>
    <row r="12553" ht="15.75" customHeight="1">
      <c r="B12553" s="63">
        <f t="shared" si="1"/>
        <v>8</v>
      </c>
      <c r="C12553" s="135" t="s">
        <v>305</v>
      </c>
      <c r="D12553" s="161" t="s">
        <v>74</v>
      </c>
      <c r="E12553" s="135">
        <f t="shared" si="62"/>
        <v>6</v>
      </c>
      <c r="F12553" s="134" t="s">
        <v>3585</v>
      </c>
      <c r="G12553" s="63" t="str">
        <f>VLOOKUP(C12553, 'Class Def. - General Data'!$C$20:$C$1000,1,false)</f>
        <v>ZSI1_PLC</v>
      </c>
      <c r="H12553" s="63" t="str">
        <f>IFERROR(__xludf.DUMMYFUNCTION("VLOOKUP(F12553, IMPORTRANGE(""https://docs.google.com/spreadsheets/d/1Lhp9OU0JdFf_VYSMzH5lBcEaU4o8teT1piV-SNzShjg/edit?gid=554141278#gid=554141278"", ""'Char Def. - Attributes'!C20:C2242""), 1,false)"),"HS_CODE")</f>
        <v>HS_CODE</v>
      </c>
      <c r="I12553" s="136"/>
      <c r="R12553" s="63" t="str">
        <f t="shared" si="60"/>
        <v>ZSI1_PLCHS_CODE</v>
      </c>
    </row>
    <row r="12554" ht="15.75" customHeight="1">
      <c r="B12554" s="63">
        <f t="shared" si="1"/>
        <v>8</v>
      </c>
      <c r="C12554" s="135" t="s">
        <v>305</v>
      </c>
      <c r="D12554" s="161" t="s">
        <v>74</v>
      </c>
      <c r="E12554" s="135">
        <f t="shared" si="62"/>
        <v>7</v>
      </c>
      <c r="F12554" s="134" t="s">
        <v>3587</v>
      </c>
      <c r="G12554" s="63" t="str">
        <f>VLOOKUP(C12554, 'Class Def. - General Data'!$C$20:$C$1000,1,false)</f>
        <v>ZSI1_PLC</v>
      </c>
      <c r="H12554" s="63" t="str">
        <f>IFERROR(__xludf.DUMMYFUNCTION("VLOOKUP(F12554, IMPORTRANGE(""https://docs.google.com/spreadsheets/d/1Lhp9OU0JdFf_VYSMzH5lBcEaU4o8teT1piV-SNzShjg/edit?gid=554141278#gid=554141278"", ""'Char Def. - Attributes'!C20:C2242""), 1,false)"),"PLANT_BUY")</f>
        <v>PLANT_BUY</v>
      </c>
      <c r="I12554" s="136"/>
      <c r="R12554" s="63" t="str">
        <f t="shared" si="60"/>
        <v>ZSI1_PLCPLANT_BUY</v>
      </c>
    </row>
    <row r="12555" ht="15.75" customHeight="1">
      <c r="B12555" s="63">
        <f t="shared" si="1"/>
        <v>8</v>
      </c>
      <c r="C12555" s="135" t="s">
        <v>305</v>
      </c>
      <c r="D12555" s="161" t="s">
        <v>74</v>
      </c>
      <c r="E12555" s="135">
        <f t="shared" si="62"/>
        <v>8</v>
      </c>
      <c r="F12555" s="134" t="s">
        <v>5223</v>
      </c>
      <c r="G12555" s="63" t="str">
        <f>VLOOKUP(C12555, 'Class Def. - General Data'!$C$20:$C$1000,1,false)</f>
        <v>ZSI1_PLC</v>
      </c>
      <c r="H12555" s="63" t="str">
        <f>IFERROR(__xludf.DUMMYFUNCTION("VLOOKUP(F12555, IMPORTRANGE(""https://docs.google.com/spreadsheets/d/1Lhp9OU0JdFf_VYSMzH5lBcEaU4o8teT1piV-SNzShjg/edit?gid=554141278#gid=554141278"", ""'Char Def. - Attributes'!C20:C2242""), 1,false)"),"BASE_UOM_PLC")</f>
        <v>BASE_UOM_PLC</v>
      </c>
      <c r="I12555" s="136"/>
      <c r="R12555" s="63" t="str">
        <f t="shared" si="60"/>
        <v>ZSI1_PLCBASE_UOM_PLC</v>
      </c>
    </row>
    <row r="12556" ht="15.75" customHeight="1">
      <c r="B12556" s="63">
        <f t="shared" si="1"/>
        <v>8</v>
      </c>
      <c r="C12556" s="135" t="s">
        <v>305</v>
      </c>
      <c r="D12556" s="161" t="s">
        <v>74</v>
      </c>
      <c r="E12556" s="135">
        <f t="shared" si="62"/>
        <v>9</v>
      </c>
      <c r="F12556" s="134" t="s">
        <v>5224</v>
      </c>
      <c r="G12556" s="63" t="str">
        <f>VLOOKUP(C12556, 'Class Def. - General Data'!$C$20:$C$1000,1,false)</f>
        <v>ZSI1_PLC</v>
      </c>
      <c r="H12556" s="63" t="str">
        <f>IFERROR(__xludf.DUMMYFUNCTION("VLOOKUP(F12556, IMPORTRANGE(""https://docs.google.com/spreadsheets/d/1Lhp9OU0JdFf_VYSMzH5lBcEaU4o8teT1piV-SNzShjg/edit?gid=554141278#gid=554141278"", ""'Char Def. - Attributes'!C20:C2242""), 1,false)"),"ORDER_UNIT_PLC")</f>
        <v>ORDER_UNIT_PLC</v>
      </c>
      <c r="I12556" s="136"/>
      <c r="R12556" s="63" t="str">
        <f t="shared" si="60"/>
        <v>ZSI1_PLCORDER_UNIT_PLC</v>
      </c>
    </row>
    <row r="12557" ht="15.75" customHeight="1">
      <c r="B12557" s="63">
        <f t="shared" si="1"/>
        <v>8</v>
      </c>
      <c r="C12557" s="135" t="s">
        <v>305</v>
      </c>
      <c r="D12557" s="161" t="s">
        <v>74</v>
      </c>
      <c r="E12557" s="135">
        <f t="shared" si="62"/>
        <v>10</v>
      </c>
      <c r="F12557" s="134" t="s">
        <v>4056</v>
      </c>
      <c r="G12557" s="63" t="str">
        <f>VLOOKUP(C12557, 'Class Def. - General Data'!$C$20:$C$1000,1,false)</f>
        <v>ZSI1_PLC</v>
      </c>
      <c r="H12557" s="63" t="str">
        <f>IFERROR(__xludf.DUMMYFUNCTION("VLOOKUP(F12557, IMPORTRANGE(""https://docs.google.com/spreadsheets/d/1Lhp9OU0JdFf_VYSMzH5lBcEaU4o8teT1piV-SNzShjg/edit?gid=554141278#gid=554141278"", ""'Char Def. - Attributes'!C20:C2242""), 1,false)"),"GROSS_WEIGHT_OPT")</f>
        <v>GROSS_WEIGHT_OPT</v>
      </c>
      <c r="I12557" s="136"/>
      <c r="R12557" s="63" t="str">
        <f t="shared" si="60"/>
        <v>ZSI1_PLCGROSS_WEIGHT_OPT</v>
      </c>
    </row>
    <row r="12558" ht="15.75" customHeight="1">
      <c r="B12558" s="63">
        <f t="shared" si="1"/>
        <v>8</v>
      </c>
      <c r="C12558" s="135" t="s">
        <v>305</v>
      </c>
      <c r="D12558" s="161" t="s">
        <v>74</v>
      </c>
      <c r="E12558" s="135">
        <f t="shared" si="62"/>
        <v>11</v>
      </c>
      <c r="F12558" s="134" t="s">
        <v>4057</v>
      </c>
      <c r="G12558" s="63" t="str">
        <f>VLOOKUP(C12558, 'Class Def. - General Data'!$C$20:$C$1000,1,false)</f>
        <v>ZSI1_PLC</v>
      </c>
      <c r="H12558" s="63" t="str">
        <f>IFERROR(__xludf.DUMMYFUNCTION("VLOOKUP(F12558, IMPORTRANGE(""https://docs.google.com/spreadsheets/d/1Lhp9OU0JdFf_VYSMzH5lBcEaU4o8teT1piV-SNzShjg/edit?gid=554141278#gid=554141278"", ""'Char Def. - Attributes'!C20:C2242""), 1,false)"),"NET_WEIGHT_OPT")</f>
        <v>NET_WEIGHT_OPT</v>
      </c>
      <c r="I12558" s="136"/>
      <c r="R12558" s="63" t="str">
        <f t="shared" si="60"/>
        <v>ZSI1_PLCNET_WEIGHT_OPT</v>
      </c>
    </row>
    <row r="12559" ht="15.75" customHeight="1">
      <c r="B12559" s="63">
        <f t="shared" si="1"/>
        <v>8</v>
      </c>
      <c r="C12559" s="135" t="s">
        <v>305</v>
      </c>
      <c r="D12559" s="161" t="s">
        <v>74</v>
      </c>
      <c r="E12559" s="135">
        <f t="shared" si="62"/>
        <v>12</v>
      </c>
      <c r="F12559" s="134" t="s">
        <v>4058</v>
      </c>
      <c r="G12559" s="63" t="str">
        <f>VLOOKUP(C12559, 'Class Def. - General Data'!$C$20:$C$1000,1,false)</f>
        <v>ZSI1_PLC</v>
      </c>
      <c r="H12559" s="63" t="str">
        <f>IFERROR(__xludf.DUMMYFUNCTION("VLOOKUP(F12559, IMPORTRANGE(""https://docs.google.com/spreadsheets/d/1Lhp9OU0JdFf_VYSMzH5lBcEaU4o8teT1piV-SNzShjg/edit?gid=554141278#gid=554141278"", ""'Char Def. - Attributes'!C20:C2242""), 1,false)"),"WEIGHT_UNIT_SI")</f>
        <v>WEIGHT_UNIT_SI</v>
      </c>
      <c r="I12559" s="136"/>
      <c r="R12559" s="63" t="str">
        <f t="shared" si="60"/>
        <v>ZSI1_PLCWEIGHT_UNIT_SI</v>
      </c>
    </row>
    <row r="12560" ht="15.75" customHeight="1">
      <c r="B12560" s="63">
        <f t="shared" si="1"/>
        <v>8</v>
      </c>
      <c r="C12560" s="135" t="s">
        <v>305</v>
      </c>
      <c r="D12560" s="161" t="s">
        <v>74</v>
      </c>
      <c r="E12560" s="135">
        <f t="shared" si="62"/>
        <v>13</v>
      </c>
      <c r="F12560" s="134" t="s">
        <v>3877</v>
      </c>
      <c r="G12560" s="63" t="str">
        <f>VLOOKUP(C12560, 'Class Def. - General Data'!$C$20:$C$1000,1,false)</f>
        <v>ZSI1_PLC</v>
      </c>
      <c r="H12560" s="63" t="str">
        <f>IFERROR(__xludf.DUMMYFUNCTION("VLOOKUP(F12560, IMPORTRANGE(""https://docs.google.com/spreadsheets/d/1Lhp9OU0JdFf_VYSMzH5lBcEaU4o8teT1piV-SNzShjg/edit?gid=554141278#gid=554141278"", ""'Char Def. - Attributes'!C20:C2242""), 1,false)"),"VOLUME_OPT")</f>
        <v>VOLUME_OPT</v>
      </c>
      <c r="I12560" s="136"/>
      <c r="R12560" s="63" t="str">
        <f t="shared" si="60"/>
        <v>ZSI1_PLCVOLUME_OPT</v>
      </c>
    </row>
    <row r="12561" ht="15.75" customHeight="1">
      <c r="B12561" s="63">
        <f t="shared" si="1"/>
        <v>8</v>
      </c>
      <c r="C12561" s="135" t="s">
        <v>305</v>
      </c>
      <c r="D12561" s="161" t="s">
        <v>74</v>
      </c>
      <c r="E12561" s="135">
        <f t="shared" si="62"/>
        <v>14</v>
      </c>
      <c r="F12561" s="134" t="s">
        <v>4059</v>
      </c>
      <c r="G12561" s="63" t="str">
        <f>VLOOKUP(C12561, 'Class Def. - General Data'!$C$20:$C$1000,1,false)</f>
        <v>ZSI1_PLC</v>
      </c>
      <c r="H12561" s="63" t="str">
        <f>IFERROR(__xludf.DUMMYFUNCTION("VLOOKUP(F12561, IMPORTRANGE(""https://docs.google.com/spreadsheets/d/1Lhp9OU0JdFf_VYSMzH5lBcEaU4o8teT1piV-SNzShjg/edit?gid=554141278#gid=554141278"", ""'Char Def. - Attributes'!C20:C2242""), 1,false)"),"VOLUME_UNIT_SI")</f>
        <v>VOLUME_UNIT_SI</v>
      </c>
      <c r="I12561" s="136"/>
      <c r="R12561" s="63" t="str">
        <f t="shared" si="60"/>
        <v>ZSI1_PLCVOLUME_UNIT_SI</v>
      </c>
    </row>
    <row r="12562" ht="15.75" customHeight="1">
      <c r="B12562" s="63">
        <f t="shared" si="1"/>
        <v>8</v>
      </c>
      <c r="C12562" s="135" t="s">
        <v>305</v>
      </c>
      <c r="D12562" s="161" t="s">
        <v>74</v>
      </c>
      <c r="E12562" s="135">
        <f t="shared" si="62"/>
        <v>15</v>
      </c>
      <c r="F12562" s="134" t="s">
        <v>3804</v>
      </c>
      <c r="G12562" s="63" t="str">
        <f>VLOOKUP(C12562, 'Class Def. - General Data'!$C$20:$C$1000,1,false)</f>
        <v>ZSI1_PLC</v>
      </c>
      <c r="H12562" s="63" t="str">
        <f>IFERROR(__xludf.DUMMYFUNCTION("VLOOKUP(F12562, IMPORTRANGE(""https://docs.google.com/spreadsheets/d/1Lhp9OU0JdFf_VYSMzH5lBcEaU4o8teT1piV-SNzShjg/edit?gid=554141278#gid=554141278"", ""'Char Def. - Attributes'!C20:C2242""), 1,false)"),"ALT_UOM1_SIPI")</f>
        <v>ALT_UOM1_SIPI</v>
      </c>
      <c r="I12562" s="136"/>
      <c r="R12562" s="63" t="str">
        <f t="shared" si="60"/>
        <v>ZSI1_PLCALT_UOM1_SIPI</v>
      </c>
    </row>
    <row r="12563" ht="15.75" customHeight="1">
      <c r="B12563" s="63">
        <f t="shared" si="1"/>
        <v>8</v>
      </c>
      <c r="C12563" s="135" t="s">
        <v>305</v>
      </c>
      <c r="D12563" s="161" t="s">
        <v>74</v>
      </c>
      <c r="E12563" s="135">
        <f t="shared" si="62"/>
        <v>16</v>
      </c>
      <c r="F12563" s="134" t="s">
        <v>3805</v>
      </c>
      <c r="G12563" s="63" t="str">
        <f>VLOOKUP(C12563, 'Class Def. - General Data'!$C$20:$C$1000,1,false)</f>
        <v>ZSI1_PLC</v>
      </c>
      <c r="H12563" s="63" t="str">
        <f>IFERROR(__xludf.DUMMYFUNCTION("VLOOKUP(F12563, IMPORTRANGE(""https://docs.google.com/spreadsheets/d/1Lhp9OU0JdFf_VYSMzH5lBcEaU4o8teT1piV-SNzShjg/edit?gid=554141278#gid=554141278"", ""'Char Def. - Attributes'!C20:C2242""), 1,false)"),"ALT_DENUM_UOM1")</f>
        <v>ALT_DENUM_UOM1</v>
      </c>
      <c r="I12563" s="136"/>
      <c r="R12563" s="63" t="str">
        <f t="shared" si="60"/>
        <v>ZSI1_PLCALT_DENUM_UOM1</v>
      </c>
    </row>
    <row r="12564" ht="15.75" customHeight="1">
      <c r="B12564" s="63">
        <f t="shared" si="1"/>
        <v>8</v>
      </c>
      <c r="C12564" s="135" t="s">
        <v>305</v>
      </c>
      <c r="D12564" s="161" t="s">
        <v>74</v>
      </c>
      <c r="E12564" s="135">
        <f t="shared" si="62"/>
        <v>17</v>
      </c>
      <c r="F12564" s="134" t="s">
        <v>3806</v>
      </c>
      <c r="G12564" s="63" t="str">
        <f>VLOOKUP(C12564, 'Class Def. - General Data'!$C$20:$C$1000,1,false)</f>
        <v>ZSI1_PLC</v>
      </c>
      <c r="H12564" s="63" t="str">
        <f>IFERROR(__xludf.DUMMYFUNCTION("VLOOKUP(F12564, IMPORTRANGE(""https://docs.google.com/spreadsheets/d/1Lhp9OU0JdFf_VYSMzH5lBcEaU4o8teT1piV-SNzShjg/edit?gid=554141278#gid=554141278"", ""'Char Def. - Attributes'!C20:C2242""), 1,false)"),"ALT_NUM_UOM1")</f>
        <v>ALT_NUM_UOM1</v>
      </c>
      <c r="I12564" s="136"/>
      <c r="R12564" s="63" t="str">
        <f t="shared" si="60"/>
        <v>ZSI1_PLCALT_NUM_UOM1</v>
      </c>
    </row>
    <row r="12565" ht="15.75" customHeight="1">
      <c r="B12565" s="63">
        <f t="shared" si="1"/>
        <v>8</v>
      </c>
      <c r="C12565" s="135" t="s">
        <v>305</v>
      </c>
      <c r="D12565" s="161" t="s">
        <v>74</v>
      </c>
      <c r="E12565" s="135">
        <f t="shared" si="62"/>
        <v>18</v>
      </c>
      <c r="F12565" s="134" t="s">
        <v>3807</v>
      </c>
      <c r="G12565" s="63" t="str">
        <f>VLOOKUP(C12565, 'Class Def. - General Data'!$C$20:$C$1000,1,false)</f>
        <v>ZSI1_PLC</v>
      </c>
      <c r="H12565" s="63" t="str">
        <f>IFERROR(__xludf.DUMMYFUNCTION("VLOOKUP(F12565, IMPORTRANGE(""https://docs.google.com/spreadsheets/d/1Lhp9OU0JdFf_VYSMzH5lBcEaU4o8teT1piV-SNzShjg/edit?gid=554141278#gid=554141278"", ""'Char Def. - Attributes'!C20:C2242""), 1,false)"),"ALT_UOM2_SIPI")</f>
        <v>ALT_UOM2_SIPI</v>
      </c>
      <c r="I12565" s="136"/>
      <c r="R12565" s="63" t="str">
        <f t="shared" si="60"/>
        <v>ZSI1_PLCALT_UOM2_SIPI</v>
      </c>
    </row>
    <row r="12566" ht="15.75" customHeight="1">
      <c r="B12566" s="63">
        <f t="shared" si="1"/>
        <v>8</v>
      </c>
      <c r="C12566" s="135" t="s">
        <v>305</v>
      </c>
      <c r="D12566" s="161" t="s">
        <v>74</v>
      </c>
      <c r="E12566" s="135">
        <f t="shared" si="62"/>
        <v>19</v>
      </c>
      <c r="F12566" s="134" t="s">
        <v>3808</v>
      </c>
      <c r="G12566" s="63" t="str">
        <f>VLOOKUP(C12566, 'Class Def. - General Data'!$C$20:$C$1000,1,false)</f>
        <v>ZSI1_PLC</v>
      </c>
      <c r="H12566" s="63" t="str">
        <f>IFERROR(__xludf.DUMMYFUNCTION("VLOOKUP(F12566, IMPORTRANGE(""https://docs.google.com/spreadsheets/d/1Lhp9OU0JdFf_VYSMzH5lBcEaU4o8teT1piV-SNzShjg/edit?gid=554141278#gid=554141278"", ""'Char Def. - Attributes'!C20:C2242""), 1,false)"),"ALT_DENUM_UOM2")</f>
        <v>ALT_DENUM_UOM2</v>
      </c>
      <c r="I12566" s="136"/>
      <c r="R12566" s="63" t="str">
        <f t="shared" si="60"/>
        <v>ZSI1_PLCALT_DENUM_UOM2</v>
      </c>
    </row>
    <row r="12567" ht="15.75" customHeight="1">
      <c r="B12567" s="63">
        <f t="shared" si="1"/>
        <v>8</v>
      </c>
      <c r="C12567" s="135" t="s">
        <v>305</v>
      </c>
      <c r="D12567" s="161" t="s">
        <v>74</v>
      </c>
      <c r="E12567" s="135">
        <f t="shared" si="62"/>
        <v>20</v>
      </c>
      <c r="F12567" s="134" t="s">
        <v>3809</v>
      </c>
      <c r="G12567" s="63" t="str">
        <f>VLOOKUP(C12567, 'Class Def. - General Data'!$C$20:$C$1000,1,false)</f>
        <v>ZSI1_PLC</v>
      </c>
      <c r="H12567" s="63" t="str">
        <f>IFERROR(__xludf.DUMMYFUNCTION("VLOOKUP(F12567, IMPORTRANGE(""https://docs.google.com/spreadsheets/d/1Lhp9OU0JdFf_VYSMzH5lBcEaU4o8teT1piV-SNzShjg/edit?gid=554141278#gid=554141278"", ""'Char Def. - Attributes'!C20:C2242""), 1,false)"),"ALT_NUM_UOM2")</f>
        <v>ALT_NUM_UOM2</v>
      </c>
      <c r="I12567" s="136"/>
      <c r="R12567" s="63" t="str">
        <f t="shared" si="60"/>
        <v>ZSI1_PLCALT_NUM_UOM2</v>
      </c>
    </row>
    <row r="12568" ht="15.75" customHeight="1">
      <c r="B12568" s="63">
        <f t="shared" si="1"/>
        <v>8</v>
      </c>
      <c r="C12568" s="135" t="s">
        <v>305</v>
      </c>
      <c r="D12568" s="161" t="s">
        <v>74</v>
      </c>
      <c r="E12568" s="135">
        <f t="shared" si="62"/>
        <v>21</v>
      </c>
      <c r="F12568" s="134" t="s">
        <v>3810</v>
      </c>
      <c r="G12568" s="63" t="str">
        <f>VLOOKUP(C12568, 'Class Def. - General Data'!$C$20:$C$1000,1,false)</f>
        <v>ZSI1_PLC</v>
      </c>
      <c r="H12568" s="63" t="str">
        <f>IFERROR(__xludf.DUMMYFUNCTION("VLOOKUP(F12568, IMPORTRANGE(""https://docs.google.com/spreadsheets/d/1Lhp9OU0JdFf_VYSMzH5lBcEaU4o8teT1piV-SNzShjg/edit?gid=554141278#gid=554141278"", ""'Char Def. - Attributes'!C20:C2242""), 1,false)"),"ALT_UOM3_SIPI")</f>
        <v>ALT_UOM3_SIPI</v>
      </c>
      <c r="I12568" s="136"/>
      <c r="R12568" s="63" t="str">
        <f t="shared" si="60"/>
        <v>ZSI1_PLCALT_UOM3_SIPI</v>
      </c>
    </row>
    <row r="12569" ht="15.75" customHeight="1">
      <c r="B12569" s="63">
        <f t="shared" si="1"/>
        <v>8</v>
      </c>
      <c r="C12569" s="135" t="s">
        <v>305</v>
      </c>
      <c r="D12569" s="161" t="s">
        <v>74</v>
      </c>
      <c r="E12569" s="135">
        <f t="shared" si="62"/>
        <v>22</v>
      </c>
      <c r="F12569" s="134" t="s">
        <v>3811</v>
      </c>
      <c r="G12569" s="63" t="str">
        <f>VLOOKUP(C12569, 'Class Def. - General Data'!$C$20:$C$1000,1,false)</f>
        <v>ZSI1_PLC</v>
      </c>
      <c r="H12569" s="63" t="str">
        <f>IFERROR(__xludf.DUMMYFUNCTION("VLOOKUP(F12569, IMPORTRANGE(""https://docs.google.com/spreadsheets/d/1Lhp9OU0JdFf_VYSMzH5lBcEaU4o8teT1piV-SNzShjg/edit?gid=554141278#gid=554141278"", ""'Char Def. - Attributes'!C20:C2242""), 1,false)"),"ALT_DENUM_UOM3")</f>
        <v>ALT_DENUM_UOM3</v>
      </c>
      <c r="I12569" s="136"/>
      <c r="R12569" s="63" t="str">
        <f t="shared" si="60"/>
        <v>ZSI1_PLCALT_DENUM_UOM3</v>
      </c>
    </row>
    <row r="12570" ht="15.75" customHeight="1">
      <c r="B12570" s="63">
        <f t="shared" si="1"/>
        <v>8</v>
      </c>
      <c r="C12570" s="135" t="s">
        <v>305</v>
      </c>
      <c r="D12570" s="161" t="s">
        <v>74</v>
      </c>
      <c r="E12570" s="135">
        <f t="shared" si="62"/>
        <v>23</v>
      </c>
      <c r="F12570" s="134" t="s">
        <v>3812</v>
      </c>
      <c r="G12570" s="63" t="str">
        <f>VLOOKUP(C12570, 'Class Def. - General Data'!$C$20:$C$1000,1,false)</f>
        <v>ZSI1_PLC</v>
      </c>
      <c r="H12570" s="63" t="str">
        <f>IFERROR(__xludf.DUMMYFUNCTION("VLOOKUP(F12570, IMPORTRANGE(""https://docs.google.com/spreadsheets/d/1Lhp9OU0JdFf_VYSMzH5lBcEaU4o8teT1piV-SNzShjg/edit?gid=554141278#gid=554141278"", ""'Char Def. - Attributes'!C20:C2242""), 1,false)"),"ALT_NUM_UOM3")</f>
        <v>ALT_NUM_UOM3</v>
      </c>
      <c r="I12570" s="136"/>
      <c r="R12570" s="63" t="str">
        <f t="shared" si="60"/>
        <v>ZSI1_PLCALT_NUM_UOM3</v>
      </c>
    </row>
    <row r="12571" ht="15.75" customHeight="1">
      <c r="B12571" s="63">
        <f t="shared" si="1"/>
        <v>8</v>
      </c>
      <c r="C12571" s="135" t="s">
        <v>305</v>
      </c>
      <c r="D12571" s="161" t="s">
        <v>74</v>
      </c>
      <c r="E12571" s="135">
        <f t="shared" si="62"/>
        <v>24</v>
      </c>
      <c r="F12571" s="134" t="s">
        <v>3813</v>
      </c>
      <c r="G12571" s="63" t="str">
        <f>VLOOKUP(C12571, 'Class Def. - General Data'!$C$20:$C$1000,1,false)</f>
        <v>ZSI1_PLC</v>
      </c>
      <c r="H12571" s="63" t="str">
        <f>IFERROR(__xludf.DUMMYFUNCTION("VLOOKUP(F12571, IMPORTRANGE(""https://docs.google.com/spreadsheets/d/1Lhp9OU0JdFf_VYSMzH5lBcEaU4o8teT1piV-SNzShjg/edit?gid=554141278#gid=554141278"", ""'Char Def. - Attributes'!C20:C2242""), 1,false)"),"ALT_UOM4_SIPI")</f>
        <v>ALT_UOM4_SIPI</v>
      </c>
      <c r="I12571" s="136"/>
      <c r="R12571" s="63" t="str">
        <f t="shared" si="60"/>
        <v>ZSI1_PLCALT_UOM4_SIPI</v>
      </c>
    </row>
    <row r="12572" ht="15.75" customHeight="1">
      <c r="B12572" s="63">
        <f t="shared" si="1"/>
        <v>8</v>
      </c>
      <c r="C12572" s="135" t="s">
        <v>305</v>
      </c>
      <c r="D12572" s="161" t="s">
        <v>74</v>
      </c>
      <c r="E12572" s="135">
        <f t="shared" si="62"/>
        <v>25</v>
      </c>
      <c r="F12572" s="134" t="s">
        <v>3814</v>
      </c>
      <c r="G12572" s="63" t="str">
        <f>VLOOKUP(C12572, 'Class Def. - General Data'!$C$20:$C$1000,1,false)</f>
        <v>ZSI1_PLC</v>
      </c>
      <c r="H12572" s="63" t="str">
        <f>IFERROR(__xludf.DUMMYFUNCTION("VLOOKUP(F12572, IMPORTRANGE(""https://docs.google.com/spreadsheets/d/1Lhp9OU0JdFf_VYSMzH5lBcEaU4o8teT1piV-SNzShjg/edit?gid=554141278#gid=554141278"", ""'Char Def. - Attributes'!C20:C2242""), 1,false)"),"ALT_DENUM_UOM4")</f>
        <v>ALT_DENUM_UOM4</v>
      </c>
      <c r="I12572" s="136"/>
      <c r="R12572" s="63" t="str">
        <f t="shared" si="60"/>
        <v>ZSI1_PLCALT_DENUM_UOM4</v>
      </c>
    </row>
    <row r="12573" ht="15.75" customHeight="1">
      <c r="B12573" s="63">
        <f t="shared" si="1"/>
        <v>8</v>
      </c>
      <c r="C12573" s="135" t="s">
        <v>305</v>
      </c>
      <c r="D12573" s="161" t="s">
        <v>74</v>
      </c>
      <c r="E12573" s="135">
        <f t="shared" si="62"/>
        <v>26</v>
      </c>
      <c r="F12573" s="134" t="s">
        <v>3815</v>
      </c>
      <c r="G12573" s="63" t="str">
        <f>VLOOKUP(C12573, 'Class Def. - General Data'!$C$20:$C$1000,1,false)</f>
        <v>ZSI1_PLC</v>
      </c>
      <c r="H12573" s="63" t="str">
        <f>IFERROR(__xludf.DUMMYFUNCTION("VLOOKUP(F12573, IMPORTRANGE(""https://docs.google.com/spreadsheets/d/1Lhp9OU0JdFf_VYSMzH5lBcEaU4o8teT1piV-SNzShjg/edit?gid=554141278#gid=554141278"", ""'Char Def. - Attributes'!C20:C2242""), 1,false)"),"ALT_NUM_UOM4")</f>
        <v>ALT_NUM_UOM4</v>
      </c>
      <c r="I12573" s="136"/>
      <c r="R12573" s="63" t="str">
        <f t="shared" si="60"/>
        <v>ZSI1_PLCALT_NUM_UOM4</v>
      </c>
    </row>
    <row r="12574" ht="15.75" customHeight="1">
      <c r="B12574" s="63">
        <f t="shared" si="1"/>
        <v>8</v>
      </c>
      <c r="C12574" s="135" t="s">
        <v>305</v>
      </c>
      <c r="D12574" s="161" t="s">
        <v>74</v>
      </c>
      <c r="E12574" s="135">
        <f t="shared" si="62"/>
        <v>27</v>
      </c>
      <c r="F12574" s="134" t="s">
        <v>3816</v>
      </c>
      <c r="G12574" s="63" t="str">
        <f>VLOOKUP(C12574, 'Class Def. - General Data'!$C$20:$C$1000,1,false)</f>
        <v>ZSI1_PLC</v>
      </c>
      <c r="H12574" s="63" t="str">
        <f>IFERROR(__xludf.DUMMYFUNCTION("VLOOKUP(F12574, IMPORTRANGE(""https://docs.google.com/spreadsheets/d/1Lhp9OU0JdFf_VYSMzH5lBcEaU4o8teT1piV-SNzShjg/edit?gid=554141278#gid=554141278"", ""'Char Def. - Attributes'!C20:C2242""), 1,false)"),"ALT_UOM5_SIPI")</f>
        <v>ALT_UOM5_SIPI</v>
      </c>
      <c r="I12574" s="136"/>
      <c r="R12574" s="63" t="str">
        <f t="shared" si="60"/>
        <v>ZSI1_PLCALT_UOM5_SIPI</v>
      </c>
    </row>
    <row r="12575" ht="15.75" customHeight="1">
      <c r="B12575" s="63">
        <f t="shared" si="1"/>
        <v>8</v>
      </c>
      <c r="C12575" s="135" t="s">
        <v>305</v>
      </c>
      <c r="D12575" s="161" t="s">
        <v>74</v>
      </c>
      <c r="E12575" s="135">
        <f t="shared" si="62"/>
        <v>28</v>
      </c>
      <c r="F12575" s="134" t="s">
        <v>3817</v>
      </c>
      <c r="G12575" s="63" t="str">
        <f>VLOOKUP(C12575, 'Class Def. - General Data'!$C$20:$C$1000,1,false)</f>
        <v>ZSI1_PLC</v>
      </c>
      <c r="H12575" s="63" t="str">
        <f>IFERROR(__xludf.DUMMYFUNCTION("VLOOKUP(F12575, IMPORTRANGE(""https://docs.google.com/spreadsheets/d/1Lhp9OU0JdFf_VYSMzH5lBcEaU4o8teT1piV-SNzShjg/edit?gid=554141278#gid=554141278"", ""'Char Def. - Attributes'!C20:C2242""), 1,false)"),"ALT_DENUM_UOM5")</f>
        <v>ALT_DENUM_UOM5</v>
      </c>
      <c r="I12575" s="136"/>
      <c r="R12575" s="63" t="str">
        <f t="shared" si="60"/>
        <v>ZSI1_PLCALT_DENUM_UOM5</v>
      </c>
    </row>
    <row r="12576" ht="15.75" customHeight="1">
      <c r="B12576" s="63">
        <f t="shared" si="1"/>
        <v>8</v>
      </c>
      <c r="C12576" s="135" t="s">
        <v>305</v>
      </c>
      <c r="D12576" s="161" t="s">
        <v>74</v>
      </c>
      <c r="E12576" s="135">
        <f t="shared" si="62"/>
        <v>29</v>
      </c>
      <c r="F12576" s="134" t="s">
        <v>3818</v>
      </c>
      <c r="G12576" s="63" t="str">
        <f>VLOOKUP(C12576, 'Class Def. - General Data'!$C$20:$C$1000,1,false)</f>
        <v>ZSI1_PLC</v>
      </c>
      <c r="H12576" s="63" t="str">
        <f>IFERROR(__xludf.DUMMYFUNCTION("VLOOKUP(F12576, IMPORTRANGE(""https://docs.google.com/spreadsheets/d/1Lhp9OU0JdFf_VYSMzH5lBcEaU4o8teT1piV-SNzShjg/edit?gid=554141278#gid=554141278"", ""'Char Def. - Attributes'!C20:C2242""), 1,false)"),"ALT_NUM_UOM5")</f>
        <v>ALT_NUM_UOM5</v>
      </c>
      <c r="I12576" s="136"/>
      <c r="R12576" s="63" t="str">
        <f t="shared" si="60"/>
        <v>ZSI1_PLCALT_NUM_UOM5</v>
      </c>
    </row>
    <row r="12577" ht="15.75" customHeight="1">
      <c r="B12577" s="63">
        <f t="shared" si="1"/>
        <v>18</v>
      </c>
      <c r="C12577" s="135" t="s">
        <v>449</v>
      </c>
      <c r="D12577" s="161" t="s">
        <v>74</v>
      </c>
      <c r="E12577" s="135">
        <f t="shared" si="62"/>
        <v>1</v>
      </c>
      <c r="F12577" s="134" t="s">
        <v>5225</v>
      </c>
      <c r="G12577" s="63" t="str">
        <f>VLOOKUP(C12577, 'Class Def. - General Data'!$C$20:$C$1000,1,false)</f>
        <v>ZSI1_PLUMBING_FXTR</v>
      </c>
      <c r="H12577" s="63" t="str">
        <f>IFERROR(__xludf.DUMMYFUNCTION("VLOOKUP(F12577, IMPORTRANGE(""https://docs.google.com/spreadsheets/d/1Lhp9OU0JdFf_VYSMzH5lBcEaU4o8teT1piV-SNzShjg/edit?gid=554141278#gid=554141278"", ""'Char Def. - Attributes'!C20:C2242""), 1,false)"),"ITEM_NAME_PLUMBING_FXTR")</f>
        <v>ITEM_NAME_PLUMBING_FXTR</v>
      </c>
      <c r="I12577" s="136"/>
      <c r="R12577" s="63" t="str">
        <f t="shared" si="60"/>
        <v>ZSI1_PLUMBING_FXTRITEM_NAME_PLUMBING_FXTR</v>
      </c>
    </row>
    <row r="12578" ht="15.75" customHeight="1">
      <c r="B12578" s="63">
        <f t="shared" si="1"/>
        <v>18</v>
      </c>
      <c r="C12578" s="135" t="s">
        <v>449</v>
      </c>
      <c r="D12578" s="161" t="s">
        <v>74</v>
      </c>
      <c r="E12578" s="135">
        <f t="shared" si="62"/>
        <v>2</v>
      </c>
      <c r="F12578" s="134" t="s">
        <v>3781</v>
      </c>
      <c r="G12578" s="63" t="str">
        <f>VLOOKUP(C12578, 'Class Def. - General Data'!$C$20:$C$1000,1,false)</f>
        <v>ZSI1_PLUMBING_FXTR</v>
      </c>
      <c r="H12578" s="63" t="str">
        <f>IFERROR(__xludf.DUMMYFUNCTION("VLOOKUP(F12578, IMPORTRANGE(""https://docs.google.com/spreadsheets/d/1Lhp9OU0JdFf_VYSMzH5lBcEaU4o8teT1piV-SNzShjg/edit?gid=554141278#gid=554141278"", ""'Char Def. - Attributes'!C20:C2242""), 1,false)"),"EXTERNAL_BRAND")</f>
        <v>EXTERNAL_BRAND</v>
      </c>
      <c r="I12578" s="136"/>
      <c r="R12578" s="63" t="str">
        <f t="shared" si="60"/>
        <v>ZSI1_PLUMBING_FXTREXTERNAL_BRAND</v>
      </c>
    </row>
    <row r="12579" ht="15.75" customHeight="1">
      <c r="B12579" s="63">
        <f t="shared" si="1"/>
        <v>18</v>
      </c>
      <c r="C12579" s="135" t="s">
        <v>449</v>
      </c>
      <c r="D12579" s="161" t="s">
        <v>74</v>
      </c>
      <c r="E12579" s="135">
        <f t="shared" si="62"/>
        <v>3</v>
      </c>
      <c r="F12579" s="134" t="s">
        <v>5226</v>
      </c>
      <c r="G12579" s="63" t="str">
        <f>VLOOKUP(C12579, 'Class Def. - General Data'!$C$20:$C$1000,1,false)</f>
        <v>ZSI1_PLUMBING_FXTR</v>
      </c>
      <c r="H12579" s="63" t="str">
        <f>IFERROR(__xludf.DUMMYFUNCTION("VLOOKUP(F12579, IMPORTRANGE(""https://docs.google.com/spreadsheets/d/1Lhp9OU0JdFf_VYSMzH5lBcEaU4o8teT1piV-SNzShjg/edit?gid=554141278#gid=554141278"", ""'Char Def. - Attributes'!C20:C2242""), 1,false)"),"MFR_NO_PLUMBING_FXTR")</f>
        <v>MFR_NO_PLUMBING_FXTR</v>
      </c>
      <c r="I12579" s="136"/>
      <c r="R12579" s="63" t="str">
        <f t="shared" si="60"/>
        <v>ZSI1_PLUMBING_FXTRMFR_NO_PLUMBING_FXTR</v>
      </c>
    </row>
    <row r="12580" ht="15.75" customHeight="1">
      <c r="B12580" s="63">
        <f t="shared" si="1"/>
        <v>18</v>
      </c>
      <c r="C12580" s="135" t="s">
        <v>449</v>
      </c>
      <c r="D12580" s="161" t="s">
        <v>74</v>
      </c>
      <c r="E12580" s="135">
        <f t="shared" si="62"/>
        <v>4</v>
      </c>
      <c r="F12580" s="134" t="s">
        <v>3782</v>
      </c>
      <c r="G12580" s="63" t="str">
        <f>VLOOKUP(C12580, 'Class Def. - General Data'!$C$20:$C$1000,1,false)</f>
        <v>ZSI1_PLUMBING_FXTR</v>
      </c>
      <c r="H12580" s="63" t="str">
        <f>IFERROR(__xludf.DUMMYFUNCTION("VLOOKUP(F12580, IMPORTRANGE(""https://docs.google.com/spreadsheets/d/1Lhp9OU0JdFf_VYSMzH5lBcEaU4o8teT1piV-SNzShjg/edit?gid=554141278#gid=554141278"", ""'Char Def. - Attributes'!C20:C2242""), 1,false)"),"BRAND_EXTERNAL")</f>
        <v>BRAND_EXTERNAL</v>
      </c>
      <c r="I12580" s="136"/>
      <c r="R12580" s="63" t="str">
        <f t="shared" si="60"/>
        <v>ZSI1_PLUMBING_FXTRBRAND_EXTERNAL</v>
      </c>
    </row>
    <row r="12581" ht="15.75" customHeight="1">
      <c r="B12581" s="63">
        <f t="shared" si="1"/>
        <v>18</v>
      </c>
      <c r="C12581" s="135" t="s">
        <v>449</v>
      </c>
      <c r="D12581" s="161" t="s">
        <v>74</v>
      </c>
      <c r="E12581" s="135">
        <f t="shared" si="62"/>
        <v>5</v>
      </c>
      <c r="F12581" s="134" t="s">
        <v>4062</v>
      </c>
      <c r="G12581" s="63" t="str">
        <f>VLOOKUP(C12581, 'Class Def. - General Data'!$C$20:$C$1000,1,false)</f>
        <v>ZSI1_PLUMBING_FXTR</v>
      </c>
      <c r="H12581" s="63" t="str">
        <f>IFERROR(__xludf.DUMMYFUNCTION("VLOOKUP(F12581, IMPORTRANGE(""https://docs.google.com/spreadsheets/d/1Lhp9OU0JdFf_VYSMzH5lBcEaU4o8teT1piV-SNzShjg/edit?gid=554141278#gid=554141278"", ""'Char Def. - Attributes'!C20:C2242""), 1,false)"),"#N/A")</f>
        <v>#N/A</v>
      </c>
      <c r="I12581" s="136"/>
      <c r="R12581" s="63" t="str">
        <f t="shared" si="60"/>
        <v>ZSI1_PLUMBING_FXTRADDTIONAL_SPECIFICATION</v>
      </c>
    </row>
    <row r="12582" ht="15.75" customHeight="1">
      <c r="B12582" s="63">
        <f t="shared" si="1"/>
        <v>18</v>
      </c>
      <c r="C12582" s="135" t="s">
        <v>449</v>
      </c>
      <c r="D12582" s="161" t="s">
        <v>74</v>
      </c>
      <c r="E12582" s="135">
        <f t="shared" si="62"/>
        <v>6</v>
      </c>
      <c r="F12582" s="134" t="s">
        <v>3585</v>
      </c>
      <c r="G12582" s="63" t="str">
        <f>VLOOKUP(C12582, 'Class Def. - General Data'!$C$20:$C$1000,1,false)</f>
        <v>ZSI1_PLUMBING_FXTR</v>
      </c>
      <c r="H12582" s="63" t="str">
        <f>IFERROR(__xludf.DUMMYFUNCTION("VLOOKUP(F12582, IMPORTRANGE(""https://docs.google.com/spreadsheets/d/1Lhp9OU0JdFf_VYSMzH5lBcEaU4o8teT1piV-SNzShjg/edit?gid=554141278#gid=554141278"", ""'Char Def. - Attributes'!C20:C2242""), 1,false)"),"HS_CODE")</f>
        <v>HS_CODE</v>
      </c>
      <c r="I12582" s="136"/>
      <c r="R12582" s="63" t="str">
        <f t="shared" si="60"/>
        <v>ZSI1_PLUMBING_FXTRHS_CODE</v>
      </c>
    </row>
    <row r="12583" ht="15.75" customHeight="1">
      <c r="B12583" s="63">
        <f t="shared" si="1"/>
        <v>18</v>
      </c>
      <c r="C12583" s="135" t="s">
        <v>449</v>
      </c>
      <c r="D12583" s="161" t="s">
        <v>74</v>
      </c>
      <c r="E12583" s="135">
        <f t="shared" si="62"/>
        <v>7</v>
      </c>
      <c r="F12583" s="134" t="s">
        <v>3587</v>
      </c>
      <c r="G12583" s="63" t="str">
        <f>VLOOKUP(C12583, 'Class Def. - General Data'!$C$20:$C$1000,1,false)</f>
        <v>ZSI1_PLUMBING_FXTR</v>
      </c>
      <c r="H12583" s="63" t="str">
        <f>IFERROR(__xludf.DUMMYFUNCTION("VLOOKUP(F12583, IMPORTRANGE(""https://docs.google.com/spreadsheets/d/1Lhp9OU0JdFf_VYSMzH5lBcEaU4o8teT1piV-SNzShjg/edit?gid=554141278#gid=554141278"", ""'Char Def. - Attributes'!C20:C2242""), 1,false)"),"PLANT_BUY")</f>
        <v>PLANT_BUY</v>
      </c>
      <c r="I12583" s="136"/>
      <c r="R12583" s="63" t="str">
        <f t="shared" si="60"/>
        <v>ZSI1_PLUMBING_FXTRPLANT_BUY</v>
      </c>
    </row>
    <row r="12584" ht="15.75" customHeight="1">
      <c r="B12584" s="63">
        <f t="shared" si="1"/>
        <v>18</v>
      </c>
      <c r="C12584" s="135" t="s">
        <v>449</v>
      </c>
      <c r="D12584" s="161" t="s">
        <v>74</v>
      </c>
      <c r="E12584" s="135">
        <f t="shared" si="62"/>
        <v>8</v>
      </c>
      <c r="F12584" s="134" t="s">
        <v>5227</v>
      </c>
      <c r="G12584" s="63" t="str">
        <f>VLOOKUP(C12584, 'Class Def. - General Data'!$C$20:$C$1000,1,false)</f>
        <v>ZSI1_PLUMBING_FXTR</v>
      </c>
      <c r="H12584" s="63" t="str">
        <f>IFERROR(__xludf.DUMMYFUNCTION("VLOOKUP(F12584, IMPORTRANGE(""https://docs.google.com/spreadsheets/d/1Lhp9OU0JdFf_VYSMzH5lBcEaU4o8teT1piV-SNzShjg/edit?gid=554141278#gid=554141278"", ""'Char Def. - Attributes'!C20:C2242""), 1,false)"),"BASE_UOM_PLUMBING_FXTR")</f>
        <v>BASE_UOM_PLUMBING_FXTR</v>
      </c>
      <c r="I12584" s="136"/>
      <c r="R12584" s="63" t="str">
        <f t="shared" si="60"/>
        <v>ZSI1_PLUMBING_FXTRBASE_UOM_PLUMBING_FXTR</v>
      </c>
    </row>
    <row r="12585" ht="15.75" customHeight="1">
      <c r="B12585" s="63">
        <f t="shared" si="1"/>
        <v>18</v>
      </c>
      <c r="C12585" s="135" t="s">
        <v>449</v>
      </c>
      <c r="D12585" s="161" t="s">
        <v>74</v>
      </c>
      <c r="E12585" s="135">
        <f t="shared" si="62"/>
        <v>9</v>
      </c>
      <c r="F12585" s="134" t="s">
        <v>5228</v>
      </c>
      <c r="G12585" s="63" t="str">
        <f>VLOOKUP(C12585, 'Class Def. - General Data'!$C$20:$C$1000,1,false)</f>
        <v>ZSI1_PLUMBING_FXTR</v>
      </c>
      <c r="H12585" s="63" t="str">
        <f>IFERROR(__xludf.DUMMYFUNCTION("VLOOKUP(F12585, IMPORTRANGE(""https://docs.google.com/spreadsheets/d/1Lhp9OU0JdFf_VYSMzH5lBcEaU4o8teT1piV-SNzShjg/edit?gid=554141278#gid=554141278"", ""'Char Def. - Attributes'!C20:C2242""), 1,false)"),"ORDER_UNIT_PLUMBING_FXTR")</f>
        <v>ORDER_UNIT_PLUMBING_FXTR</v>
      </c>
      <c r="I12585" s="136"/>
      <c r="R12585" s="63" t="str">
        <f t="shared" si="60"/>
        <v>ZSI1_PLUMBING_FXTRORDER_UNIT_PLUMBING_FXTR</v>
      </c>
    </row>
    <row r="12586" ht="15.75" customHeight="1">
      <c r="B12586" s="63">
        <f t="shared" si="1"/>
        <v>18</v>
      </c>
      <c r="C12586" s="135" t="s">
        <v>449</v>
      </c>
      <c r="D12586" s="161" t="s">
        <v>74</v>
      </c>
      <c r="E12586" s="135">
        <f t="shared" si="62"/>
        <v>10</v>
      </c>
      <c r="F12586" s="134" t="s">
        <v>4056</v>
      </c>
      <c r="G12586" s="63" t="str">
        <f>VLOOKUP(C12586, 'Class Def. - General Data'!$C$20:$C$1000,1,false)</f>
        <v>ZSI1_PLUMBING_FXTR</v>
      </c>
      <c r="H12586" s="63" t="str">
        <f>IFERROR(__xludf.DUMMYFUNCTION("VLOOKUP(F12586, IMPORTRANGE(""https://docs.google.com/spreadsheets/d/1Lhp9OU0JdFf_VYSMzH5lBcEaU4o8teT1piV-SNzShjg/edit?gid=554141278#gid=554141278"", ""'Char Def. - Attributes'!C20:C2242""), 1,false)"),"GROSS_WEIGHT_OPT")</f>
        <v>GROSS_WEIGHT_OPT</v>
      </c>
      <c r="I12586" s="136"/>
      <c r="R12586" s="63" t="str">
        <f t="shared" si="60"/>
        <v>ZSI1_PLUMBING_FXTRGROSS_WEIGHT_OPT</v>
      </c>
    </row>
    <row r="12587" ht="15.75" customHeight="1">
      <c r="B12587" s="63">
        <f t="shared" si="1"/>
        <v>18</v>
      </c>
      <c r="C12587" s="135" t="s">
        <v>449</v>
      </c>
      <c r="D12587" s="161" t="s">
        <v>74</v>
      </c>
      <c r="E12587" s="135">
        <f t="shared" si="62"/>
        <v>11</v>
      </c>
      <c r="F12587" s="134" t="s">
        <v>4057</v>
      </c>
      <c r="G12587" s="63" t="str">
        <f>VLOOKUP(C12587, 'Class Def. - General Data'!$C$20:$C$1000,1,false)</f>
        <v>ZSI1_PLUMBING_FXTR</v>
      </c>
      <c r="H12587" s="63" t="str">
        <f>IFERROR(__xludf.DUMMYFUNCTION("VLOOKUP(F12587, IMPORTRANGE(""https://docs.google.com/spreadsheets/d/1Lhp9OU0JdFf_VYSMzH5lBcEaU4o8teT1piV-SNzShjg/edit?gid=554141278#gid=554141278"", ""'Char Def. - Attributes'!C20:C2242""), 1,false)"),"NET_WEIGHT_OPT")</f>
        <v>NET_WEIGHT_OPT</v>
      </c>
      <c r="I12587" s="136"/>
      <c r="R12587" s="63" t="str">
        <f t="shared" si="60"/>
        <v>ZSI1_PLUMBING_FXTRNET_WEIGHT_OPT</v>
      </c>
    </row>
    <row r="12588" ht="15.75" customHeight="1">
      <c r="B12588" s="63">
        <f t="shared" si="1"/>
        <v>18</v>
      </c>
      <c r="C12588" s="135" t="s">
        <v>449</v>
      </c>
      <c r="D12588" s="161" t="s">
        <v>74</v>
      </c>
      <c r="E12588" s="135">
        <f t="shared" si="62"/>
        <v>12</v>
      </c>
      <c r="F12588" s="134" t="s">
        <v>4058</v>
      </c>
      <c r="G12588" s="63" t="str">
        <f>VLOOKUP(C12588, 'Class Def. - General Data'!$C$20:$C$1000,1,false)</f>
        <v>ZSI1_PLUMBING_FXTR</v>
      </c>
      <c r="H12588" s="63" t="str">
        <f>IFERROR(__xludf.DUMMYFUNCTION("VLOOKUP(F12588, IMPORTRANGE(""https://docs.google.com/spreadsheets/d/1Lhp9OU0JdFf_VYSMzH5lBcEaU4o8teT1piV-SNzShjg/edit?gid=554141278#gid=554141278"", ""'Char Def. - Attributes'!C20:C2242""), 1,false)"),"WEIGHT_UNIT_SI")</f>
        <v>WEIGHT_UNIT_SI</v>
      </c>
      <c r="I12588" s="136"/>
      <c r="R12588" s="63" t="str">
        <f t="shared" si="60"/>
        <v>ZSI1_PLUMBING_FXTRWEIGHT_UNIT_SI</v>
      </c>
    </row>
    <row r="12589" ht="15.75" customHeight="1">
      <c r="B12589" s="63">
        <f t="shared" si="1"/>
        <v>18</v>
      </c>
      <c r="C12589" s="135" t="s">
        <v>449</v>
      </c>
      <c r="D12589" s="161" t="s">
        <v>74</v>
      </c>
      <c r="E12589" s="135">
        <f t="shared" si="62"/>
        <v>13</v>
      </c>
      <c r="F12589" s="134" t="s">
        <v>3877</v>
      </c>
      <c r="G12589" s="63" t="str">
        <f>VLOOKUP(C12589, 'Class Def. - General Data'!$C$20:$C$1000,1,false)</f>
        <v>ZSI1_PLUMBING_FXTR</v>
      </c>
      <c r="H12589" s="63" t="str">
        <f>IFERROR(__xludf.DUMMYFUNCTION("VLOOKUP(F12589, IMPORTRANGE(""https://docs.google.com/spreadsheets/d/1Lhp9OU0JdFf_VYSMzH5lBcEaU4o8teT1piV-SNzShjg/edit?gid=554141278#gid=554141278"", ""'Char Def. - Attributes'!C20:C2242""), 1,false)"),"VOLUME_OPT")</f>
        <v>VOLUME_OPT</v>
      </c>
      <c r="I12589" s="136"/>
      <c r="R12589" s="63" t="str">
        <f t="shared" si="60"/>
        <v>ZSI1_PLUMBING_FXTRVOLUME_OPT</v>
      </c>
    </row>
    <row r="12590" ht="15.75" customHeight="1">
      <c r="B12590" s="63">
        <f t="shared" si="1"/>
        <v>18</v>
      </c>
      <c r="C12590" s="135" t="s">
        <v>449</v>
      </c>
      <c r="D12590" s="161" t="s">
        <v>74</v>
      </c>
      <c r="E12590" s="135">
        <f t="shared" si="62"/>
        <v>14</v>
      </c>
      <c r="F12590" s="134" t="s">
        <v>4059</v>
      </c>
      <c r="G12590" s="63" t="str">
        <f>VLOOKUP(C12590, 'Class Def. - General Data'!$C$20:$C$1000,1,false)</f>
        <v>ZSI1_PLUMBING_FXTR</v>
      </c>
      <c r="H12590" s="63" t="str">
        <f>IFERROR(__xludf.DUMMYFUNCTION("VLOOKUP(F12590, IMPORTRANGE(""https://docs.google.com/spreadsheets/d/1Lhp9OU0JdFf_VYSMzH5lBcEaU4o8teT1piV-SNzShjg/edit?gid=554141278#gid=554141278"", ""'Char Def. - Attributes'!C20:C2242""), 1,false)"),"VOLUME_UNIT_SI")</f>
        <v>VOLUME_UNIT_SI</v>
      </c>
      <c r="I12590" s="136"/>
      <c r="R12590" s="63" t="str">
        <f t="shared" si="60"/>
        <v>ZSI1_PLUMBING_FXTRVOLUME_UNIT_SI</v>
      </c>
    </row>
    <row r="12591" ht="15.75" customHeight="1">
      <c r="B12591" s="63">
        <f t="shared" si="1"/>
        <v>18</v>
      </c>
      <c r="C12591" s="135" t="s">
        <v>449</v>
      </c>
      <c r="D12591" s="161" t="s">
        <v>74</v>
      </c>
      <c r="E12591" s="135">
        <f t="shared" si="62"/>
        <v>15</v>
      </c>
      <c r="F12591" s="134" t="s">
        <v>3804</v>
      </c>
      <c r="G12591" s="63" t="str">
        <f>VLOOKUP(C12591, 'Class Def. - General Data'!$C$20:$C$1000,1,false)</f>
        <v>ZSI1_PLUMBING_FXTR</v>
      </c>
      <c r="H12591" s="63" t="str">
        <f>IFERROR(__xludf.DUMMYFUNCTION("VLOOKUP(F12591, IMPORTRANGE(""https://docs.google.com/spreadsheets/d/1Lhp9OU0JdFf_VYSMzH5lBcEaU4o8teT1piV-SNzShjg/edit?gid=554141278#gid=554141278"", ""'Char Def. - Attributes'!C20:C2242""), 1,false)"),"ALT_UOM1_SIPI")</f>
        <v>ALT_UOM1_SIPI</v>
      </c>
      <c r="I12591" s="136"/>
      <c r="R12591" s="63" t="str">
        <f t="shared" si="60"/>
        <v>ZSI1_PLUMBING_FXTRALT_UOM1_SIPI</v>
      </c>
    </row>
    <row r="12592" ht="15.75" customHeight="1">
      <c r="B12592" s="63">
        <f t="shared" si="1"/>
        <v>18</v>
      </c>
      <c r="C12592" s="135" t="s">
        <v>449</v>
      </c>
      <c r="D12592" s="161" t="s">
        <v>74</v>
      </c>
      <c r="E12592" s="135">
        <f t="shared" si="62"/>
        <v>16</v>
      </c>
      <c r="F12592" s="134" t="s">
        <v>3805</v>
      </c>
      <c r="G12592" s="63" t="str">
        <f>VLOOKUP(C12592, 'Class Def. - General Data'!$C$20:$C$1000,1,false)</f>
        <v>ZSI1_PLUMBING_FXTR</v>
      </c>
      <c r="H12592" s="63" t="str">
        <f>IFERROR(__xludf.DUMMYFUNCTION("VLOOKUP(F12592, IMPORTRANGE(""https://docs.google.com/spreadsheets/d/1Lhp9OU0JdFf_VYSMzH5lBcEaU4o8teT1piV-SNzShjg/edit?gid=554141278#gid=554141278"", ""'Char Def. - Attributes'!C20:C2242""), 1,false)"),"ALT_DENUM_UOM1")</f>
        <v>ALT_DENUM_UOM1</v>
      </c>
      <c r="I12592" s="136"/>
      <c r="R12592" s="63" t="str">
        <f t="shared" si="60"/>
        <v>ZSI1_PLUMBING_FXTRALT_DENUM_UOM1</v>
      </c>
    </row>
    <row r="12593" ht="15.75" customHeight="1">
      <c r="B12593" s="63">
        <f t="shared" si="1"/>
        <v>18</v>
      </c>
      <c r="C12593" s="135" t="s">
        <v>449</v>
      </c>
      <c r="D12593" s="161" t="s">
        <v>74</v>
      </c>
      <c r="E12593" s="135">
        <f t="shared" si="62"/>
        <v>17</v>
      </c>
      <c r="F12593" s="134" t="s">
        <v>3806</v>
      </c>
      <c r="G12593" s="63" t="str">
        <f>VLOOKUP(C12593, 'Class Def. - General Data'!$C$20:$C$1000,1,false)</f>
        <v>ZSI1_PLUMBING_FXTR</v>
      </c>
      <c r="H12593" s="63" t="str">
        <f>IFERROR(__xludf.DUMMYFUNCTION("VLOOKUP(F12593, IMPORTRANGE(""https://docs.google.com/spreadsheets/d/1Lhp9OU0JdFf_VYSMzH5lBcEaU4o8teT1piV-SNzShjg/edit?gid=554141278#gid=554141278"", ""'Char Def. - Attributes'!C20:C2242""), 1,false)"),"ALT_NUM_UOM1")</f>
        <v>ALT_NUM_UOM1</v>
      </c>
      <c r="I12593" s="136"/>
      <c r="R12593" s="63" t="str">
        <f t="shared" si="60"/>
        <v>ZSI1_PLUMBING_FXTRALT_NUM_UOM1</v>
      </c>
    </row>
    <row r="12594" ht="15.75" customHeight="1">
      <c r="B12594" s="63">
        <f t="shared" si="1"/>
        <v>18</v>
      </c>
      <c r="C12594" s="135" t="s">
        <v>449</v>
      </c>
      <c r="D12594" s="161" t="s">
        <v>74</v>
      </c>
      <c r="E12594" s="135">
        <f t="shared" si="62"/>
        <v>18</v>
      </c>
      <c r="F12594" s="134" t="s">
        <v>3807</v>
      </c>
      <c r="G12594" s="63" t="str">
        <f>VLOOKUP(C12594, 'Class Def. - General Data'!$C$20:$C$1000,1,false)</f>
        <v>ZSI1_PLUMBING_FXTR</v>
      </c>
      <c r="H12594" s="63" t="str">
        <f>IFERROR(__xludf.DUMMYFUNCTION("VLOOKUP(F12594, IMPORTRANGE(""https://docs.google.com/spreadsheets/d/1Lhp9OU0JdFf_VYSMzH5lBcEaU4o8teT1piV-SNzShjg/edit?gid=554141278#gid=554141278"", ""'Char Def. - Attributes'!C20:C2242""), 1,false)"),"ALT_UOM2_SIPI")</f>
        <v>ALT_UOM2_SIPI</v>
      </c>
      <c r="I12594" s="136"/>
      <c r="R12594" s="63" t="str">
        <f t="shared" si="60"/>
        <v>ZSI1_PLUMBING_FXTRALT_UOM2_SIPI</v>
      </c>
    </row>
    <row r="12595" ht="15.75" customHeight="1">
      <c r="B12595" s="63">
        <f t="shared" si="1"/>
        <v>18</v>
      </c>
      <c r="C12595" s="135" t="s">
        <v>449</v>
      </c>
      <c r="D12595" s="161" t="s">
        <v>74</v>
      </c>
      <c r="E12595" s="135">
        <f t="shared" si="62"/>
        <v>19</v>
      </c>
      <c r="F12595" s="134" t="s">
        <v>3808</v>
      </c>
      <c r="G12595" s="63" t="str">
        <f>VLOOKUP(C12595, 'Class Def. - General Data'!$C$20:$C$1000,1,false)</f>
        <v>ZSI1_PLUMBING_FXTR</v>
      </c>
      <c r="H12595" s="63" t="str">
        <f>IFERROR(__xludf.DUMMYFUNCTION("VLOOKUP(F12595, IMPORTRANGE(""https://docs.google.com/spreadsheets/d/1Lhp9OU0JdFf_VYSMzH5lBcEaU4o8teT1piV-SNzShjg/edit?gid=554141278#gid=554141278"", ""'Char Def. - Attributes'!C20:C2242""), 1,false)"),"ALT_DENUM_UOM2")</f>
        <v>ALT_DENUM_UOM2</v>
      </c>
      <c r="I12595" s="136"/>
      <c r="R12595" s="63" t="str">
        <f t="shared" si="60"/>
        <v>ZSI1_PLUMBING_FXTRALT_DENUM_UOM2</v>
      </c>
    </row>
    <row r="12596" ht="15.75" customHeight="1">
      <c r="B12596" s="63">
        <f t="shared" si="1"/>
        <v>18</v>
      </c>
      <c r="C12596" s="135" t="s">
        <v>449</v>
      </c>
      <c r="D12596" s="161" t="s">
        <v>74</v>
      </c>
      <c r="E12596" s="135">
        <f t="shared" si="62"/>
        <v>20</v>
      </c>
      <c r="F12596" s="134" t="s">
        <v>3809</v>
      </c>
      <c r="G12596" s="63" t="str">
        <f>VLOOKUP(C12596, 'Class Def. - General Data'!$C$20:$C$1000,1,false)</f>
        <v>ZSI1_PLUMBING_FXTR</v>
      </c>
      <c r="H12596" s="63" t="str">
        <f>IFERROR(__xludf.DUMMYFUNCTION("VLOOKUP(F12596, IMPORTRANGE(""https://docs.google.com/spreadsheets/d/1Lhp9OU0JdFf_VYSMzH5lBcEaU4o8teT1piV-SNzShjg/edit?gid=554141278#gid=554141278"", ""'Char Def. - Attributes'!C20:C2242""), 1,false)"),"ALT_NUM_UOM2")</f>
        <v>ALT_NUM_UOM2</v>
      </c>
      <c r="I12596" s="136"/>
      <c r="R12596" s="63" t="str">
        <f t="shared" si="60"/>
        <v>ZSI1_PLUMBING_FXTRALT_NUM_UOM2</v>
      </c>
    </row>
    <row r="12597" ht="15.75" customHeight="1">
      <c r="B12597" s="63">
        <f t="shared" si="1"/>
        <v>18</v>
      </c>
      <c r="C12597" s="135" t="s">
        <v>449</v>
      </c>
      <c r="D12597" s="161" t="s">
        <v>74</v>
      </c>
      <c r="E12597" s="135">
        <f t="shared" si="62"/>
        <v>21</v>
      </c>
      <c r="F12597" s="134" t="s">
        <v>3810</v>
      </c>
      <c r="G12597" s="63" t="str">
        <f>VLOOKUP(C12597, 'Class Def. - General Data'!$C$20:$C$1000,1,false)</f>
        <v>ZSI1_PLUMBING_FXTR</v>
      </c>
      <c r="H12597" s="63" t="str">
        <f>IFERROR(__xludf.DUMMYFUNCTION("VLOOKUP(F12597, IMPORTRANGE(""https://docs.google.com/spreadsheets/d/1Lhp9OU0JdFf_VYSMzH5lBcEaU4o8teT1piV-SNzShjg/edit?gid=554141278#gid=554141278"", ""'Char Def. - Attributes'!C20:C2242""), 1,false)"),"ALT_UOM3_SIPI")</f>
        <v>ALT_UOM3_SIPI</v>
      </c>
      <c r="I12597" s="136"/>
      <c r="R12597" s="63" t="str">
        <f t="shared" si="60"/>
        <v>ZSI1_PLUMBING_FXTRALT_UOM3_SIPI</v>
      </c>
    </row>
    <row r="12598" ht="15.75" customHeight="1">
      <c r="B12598" s="63">
        <f t="shared" si="1"/>
        <v>18</v>
      </c>
      <c r="C12598" s="135" t="s">
        <v>449</v>
      </c>
      <c r="D12598" s="161" t="s">
        <v>74</v>
      </c>
      <c r="E12598" s="135">
        <f t="shared" si="62"/>
        <v>22</v>
      </c>
      <c r="F12598" s="134" t="s">
        <v>3811</v>
      </c>
      <c r="G12598" s="63" t="str">
        <f>VLOOKUP(C12598, 'Class Def. - General Data'!$C$20:$C$1000,1,false)</f>
        <v>ZSI1_PLUMBING_FXTR</v>
      </c>
      <c r="H12598" s="63" t="str">
        <f>IFERROR(__xludf.DUMMYFUNCTION("VLOOKUP(F12598, IMPORTRANGE(""https://docs.google.com/spreadsheets/d/1Lhp9OU0JdFf_VYSMzH5lBcEaU4o8teT1piV-SNzShjg/edit?gid=554141278#gid=554141278"", ""'Char Def. - Attributes'!C20:C2242""), 1,false)"),"ALT_DENUM_UOM3")</f>
        <v>ALT_DENUM_UOM3</v>
      </c>
      <c r="I12598" s="136"/>
      <c r="R12598" s="63" t="str">
        <f t="shared" si="60"/>
        <v>ZSI1_PLUMBING_FXTRALT_DENUM_UOM3</v>
      </c>
    </row>
    <row r="12599" ht="15.75" customHeight="1">
      <c r="B12599" s="63">
        <f t="shared" si="1"/>
        <v>18</v>
      </c>
      <c r="C12599" s="135" t="s">
        <v>449</v>
      </c>
      <c r="D12599" s="161" t="s">
        <v>74</v>
      </c>
      <c r="E12599" s="135">
        <f t="shared" si="62"/>
        <v>23</v>
      </c>
      <c r="F12599" s="134" t="s">
        <v>3812</v>
      </c>
      <c r="G12599" s="63" t="str">
        <f>VLOOKUP(C12599, 'Class Def. - General Data'!$C$20:$C$1000,1,false)</f>
        <v>ZSI1_PLUMBING_FXTR</v>
      </c>
      <c r="H12599" s="63" t="str">
        <f>IFERROR(__xludf.DUMMYFUNCTION("VLOOKUP(F12599, IMPORTRANGE(""https://docs.google.com/spreadsheets/d/1Lhp9OU0JdFf_VYSMzH5lBcEaU4o8teT1piV-SNzShjg/edit?gid=554141278#gid=554141278"", ""'Char Def. - Attributes'!C20:C2242""), 1,false)"),"ALT_NUM_UOM3")</f>
        <v>ALT_NUM_UOM3</v>
      </c>
      <c r="I12599" s="136"/>
      <c r="R12599" s="63" t="str">
        <f t="shared" si="60"/>
        <v>ZSI1_PLUMBING_FXTRALT_NUM_UOM3</v>
      </c>
    </row>
    <row r="12600" ht="15.75" customHeight="1">
      <c r="B12600" s="63">
        <f t="shared" si="1"/>
        <v>18</v>
      </c>
      <c r="C12600" s="135" t="s">
        <v>449</v>
      </c>
      <c r="D12600" s="161" t="s">
        <v>74</v>
      </c>
      <c r="E12600" s="135">
        <f t="shared" si="62"/>
        <v>24</v>
      </c>
      <c r="F12600" s="134" t="s">
        <v>3813</v>
      </c>
      <c r="G12600" s="63" t="str">
        <f>VLOOKUP(C12600, 'Class Def. - General Data'!$C$20:$C$1000,1,false)</f>
        <v>ZSI1_PLUMBING_FXTR</v>
      </c>
      <c r="H12600" s="63" t="str">
        <f>IFERROR(__xludf.DUMMYFUNCTION("VLOOKUP(F12600, IMPORTRANGE(""https://docs.google.com/spreadsheets/d/1Lhp9OU0JdFf_VYSMzH5lBcEaU4o8teT1piV-SNzShjg/edit?gid=554141278#gid=554141278"", ""'Char Def. - Attributes'!C20:C2242""), 1,false)"),"ALT_UOM4_SIPI")</f>
        <v>ALT_UOM4_SIPI</v>
      </c>
      <c r="I12600" s="136"/>
      <c r="R12600" s="63" t="str">
        <f t="shared" si="60"/>
        <v>ZSI1_PLUMBING_FXTRALT_UOM4_SIPI</v>
      </c>
    </row>
    <row r="12601" ht="15.75" customHeight="1">
      <c r="B12601" s="63">
        <f t="shared" si="1"/>
        <v>18</v>
      </c>
      <c r="C12601" s="135" t="s">
        <v>449</v>
      </c>
      <c r="D12601" s="161" t="s">
        <v>74</v>
      </c>
      <c r="E12601" s="135">
        <f t="shared" si="62"/>
        <v>25</v>
      </c>
      <c r="F12601" s="134" t="s">
        <v>3814</v>
      </c>
      <c r="G12601" s="63" t="str">
        <f>VLOOKUP(C12601, 'Class Def. - General Data'!$C$20:$C$1000,1,false)</f>
        <v>ZSI1_PLUMBING_FXTR</v>
      </c>
      <c r="H12601" s="63" t="str">
        <f>IFERROR(__xludf.DUMMYFUNCTION("VLOOKUP(F12601, IMPORTRANGE(""https://docs.google.com/spreadsheets/d/1Lhp9OU0JdFf_VYSMzH5lBcEaU4o8teT1piV-SNzShjg/edit?gid=554141278#gid=554141278"", ""'Char Def. - Attributes'!C20:C2242""), 1,false)"),"ALT_DENUM_UOM4")</f>
        <v>ALT_DENUM_UOM4</v>
      </c>
      <c r="I12601" s="136"/>
      <c r="R12601" s="63" t="str">
        <f t="shared" si="60"/>
        <v>ZSI1_PLUMBING_FXTRALT_DENUM_UOM4</v>
      </c>
    </row>
    <row r="12602" ht="15.75" customHeight="1">
      <c r="B12602" s="63">
        <f t="shared" si="1"/>
        <v>18</v>
      </c>
      <c r="C12602" s="135" t="s">
        <v>449</v>
      </c>
      <c r="D12602" s="161" t="s">
        <v>74</v>
      </c>
      <c r="E12602" s="135">
        <f t="shared" si="62"/>
        <v>26</v>
      </c>
      <c r="F12602" s="134" t="s">
        <v>3815</v>
      </c>
      <c r="G12602" s="63" t="str">
        <f>VLOOKUP(C12602, 'Class Def. - General Data'!$C$20:$C$1000,1,false)</f>
        <v>ZSI1_PLUMBING_FXTR</v>
      </c>
      <c r="H12602" s="63" t="str">
        <f>IFERROR(__xludf.DUMMYFUNCTION("VLOOKUP(F12602, IMPORTRANGE(""https://docs.google.com/spreadsheets/d/1Lhp9OU0JdFf_VYSMzH5lBcEaU4o8teT1piV-SNzShjg/edit?gid=554141278#gid=554141278"", ""'Char Def. - Attributes'!C20:C2242""), 1,false)"),"ALT_NUM_UOM4")</f>
        <v>ALT_NUM_UOM4</v>
      </c>
      <c r="I12602" s="136"/>
      <c r="R12602" s="63" t="str">
        <f t="shared" si="60"/>
        <v>ZSI1_PLUMBING_FXTRALT_NUM_UOM4</v>
      </c>
    </row>
    <row r="12603" ht="15.75" customHeight="1">
      <c r="B12603" s="63">
        <f t="shared" si="1"/>
        <v>18</v>
      </c>
      <c r="C12603" s="135" t="s">
        <v>449</v>
      </c>
      <c r="D12603" s="161" t="s">
        <v>74</v>
      </c>
      <c r="E12603" s="135">
        <f t="shared" si="62"/>
        <v>27</v>
      </c>
      <c r="F12603" s="134" t="s">
        <v>3816</v>
      </c>
      <c r="G12603" s="63" t="str">
        <f>VLOOKUP(C12603, 'Class Def. - General Data'!$C$20:$C$1000,1,false)</f>
        <v>ZSI1_PLUMBING_FXTR</v>
      </c>
      <c r="H12603" s="63" t="str">
        <f>IFERROR(__xludf.DUMMYFUNCTION("VLOOKUP(F12603, IMPORTRANGE(""https://docs.google.com/spreadsheets/d/1Lhp9OU0JdFf_VYSMzH5lBcEaU4o8teT1piV-SNzShjg/edit?gid=554141278#gid=554141278"", ""'Char Def. - Attributes'!C20:C2242""), 1,false)"),"ALT_UOM5_SIPI")</f>
        <v>ALT_UOM5_SIPI</v>
      </c>
      <c r="I12603" s="136"/>
      <c r="R12603" s="63" t="str">
        <f t="shared" si="60"/>
        <v>ZSI1_PLUMBING_FXTRALT_UOM5_SIPI</v>
      </c>
    </row>
    <row r="12604" ht="15.75" customHeight="1">
      <c r="B12604" s="63">
        <f t="shared" si="1"/>
        <v>18</v>
      </c>
      <c r="C12604" s="135" t="s">
        <v>449</v>
      </c>
      <c r="D12604" s="161" t="s">
        <v>74</v>
      </c>
      <c r="E12604" s="135">
        <f t="shared" si="62"/>
        <v>28</v>
      </c>
      <c r="F12604" s="134" t="s">
        <v>3817</v>
      </c>
      <c r="G12604" s="63" t="str">
        <f>VLOOKUP(C12604, 'Class Def. - General Data'!$C$20:$C$1000,1,false)</f>
        <v>ZSI1_PLUMBING_FXTR</v>
      </c>
      <c r="H12604" s="63" t="str">
        <f>IFERROR(__xludf.DUMMYFUNCTION("VLOOKUP(F12604, IMPORTRANGE(""https://docs.google.com/spreadsheets/d/1Lhp9OU0JdFf_VYSMzH5lBcEaU4o8teT1piV-SNzShjg/edit?gid=554141278#gid=554141278"", ""'Char Def. - Attributes'!C20:C2242""), 1,false)"),"ALT_DENUM_UOM5")</f>
        <v>ALT_DENUM_UOM5</v>
      </c>
      <c r="I12604" s="136"/>
      <c r="R12604" s="63" t="str">
        <f t="shared" si="60"/>
        <v>ZSI1_PLUMBING_FXTRALT_DENUM_UOM5</v>
      </c>
    </row>
    <row r="12605" ht="15.75" customHeight="1">
      <c r="B12605" s="63">
        <f t="shared" si="1"/>
        <v>18</v>
      </c>
      <c r="C12605" s="135" t="s">
        <v>449</v>
      </c>
      <c r="D12605" s="161" t="s">
        <v>74</v>
      </c>
      <c r="E12605" s="135">
        <f t="shared" si="62"/>
        <v>29</v>
      </c>
      <c r="F12605" s="134" t="s">
        <v>3818</v>
      </c>
      <c r="G12605" s="63" t="str">
        <f>VLOOKUP(C12605, 'Class Def. - General Data'!$C$20:$C$1000,1,false)</f>
        <v>ZSI1_PLUMBING_FXTR</v>
      </c>
      <c r="H12605" s="63" t="str">
        <f>IFERROR(__xludf.DUMMYFUNCTION("VLOOKUP(F12605, IMPORTRANGE(""https://docs.google.com/spreadsheets/d/1Lhp9OU0JdFf_VYSMzH5lBcEaU4o8teT1piV-SNzShjg/edit?gid=554141278#gid=554141278"", ""'Char Def. - Attributes'!C20:C2242""), 1,false)"),"ALT_NUM_UOM5")</f>
        <v>ALT_NUM_UOM5</v>
      </c>
      <c r="I12605" s="136"/>
      <c r="R12605" s="63" t="str">
        <f t="shared" si="60"/>
        <v>ZSI1_PLUMBING_FXTRALT_NUM_UOM5</v>
      </c>
    </row>
    <row r="12606" ht="15.75" customHeight="1">
      <c r="B12606" s="63">
        <f t="shared" si="1"/>
        <v>14</v>
      </c>
      <c r="C12606" s="135" t="s">
        <v>297</v>
      </c>
      <c r="D12606" s="161" t="s">
        <v>74</v>
      </c>
      <c r="E12606" s="135">
        <f t="shared" si="62"/>
        <v>1</v>
      </c>
      <c r="F12606" s="134" t="s">
        <v>5229</v>
      </c>
      <c r="G12606" s="63" t="str">
        <f>VLOOKUP(C12606, 'Class Def. - General Data'!$C$20:$C$1000,1,false)</f>
        <v>ZSI1_PNEU_CONN</v>
      </c>
      <c r="H12606" s="63" t="str">
        <f>IFERROR(__xludf.DUMMYFUNCTION("VLOOKUP(F12606, IMPORTRANGE(""https://docs.google.com/spreadsheets/d/1Lhp9OU0JdFf_VYSMzH5lBcEaU4o8teT1piV-SNzShjg/edit?gid=554141278#gid=554141278"", ""'Char Def. - Attributes'!C20:C2242""), 1,false)"),"ITEM_NAME_PNEU_CONN")</f>
        <v>ITEM_NAME_PNEU_CONN</v>
      </c>
      <c r="I12606" s="136"/>
      <c r="R12606" s="63" t="str">
        <f t="shared" si="60"/>
        <v>ZSI1_PNEU_CONNITEM_NAME_PNEU_CONN</v>
      </c>
    </row>
    <row r="12607" ht="15.75" customHeight="1">
      <c r="B12607" s="63">
        <f t="shared" si="1"/>
        <v>14</v>
      </c>
      <c r="C12607" s="135" t="s">
        <v>297</v>
      </c>
      <c r="D12607" s="161" t="s">
        <v>74</v>
      </c>
      <c r="E12607" s="135">
        <f t="shared" si="62"/>
        <v>2</v>
      </c>
      <c r="F12607" s="134" t="s">
        <v>5230</v>
      </c>
      <c r="G12607" s="63" t="str">
        <f>VLOOKUP(C12607, 'Class Def. - General Data'!$C$20:$C$1000,1,false)</f>
        <v>ZSI1_PNEU_CONN</v>
      </c>
      <c r="H12607" s="63" t="str">
        <f>IFERROR(__xludf.DUMMYFUNCTION("VLOOKUP(F12607, IMPORTRANGE(""https://docs.google.com/spreadsheets/d/1Lhp9OU0JdFf_VYSMzH5lBcEaU4o8teT1piV-SNzShjg/edit?gid=554141278#gid=554141278"", ""'Char Def. - Attributes'!C20:C2242""), 1,false)"),"MFR_NO_PNEU_CONN")</f>
        <v>MFR_NO_PNEU_CONN</v>
      </c>
      <c r="I12607" s="136"/>
      <c r="R12607" s="63" t="str">
        <f t="shared" si="60"/>
        <v>ZSI1_PNEU_CONNMFR_NO_PNEU_CONN</v>
      </c>
    </row>
    <row r="12608" ht="15.75" customHeight="1">
      <c r="B12608" s="63">
        <f t="shared" si="1"/>
        <v>14</v>
      </c>
      <c r="C12608" s="135" t="s">
        <v>297</v>
      </c>
      <c r="D12608" s="161" t="s">
        <v>74</v>
      </c>
      <c r="E12608" s="135">
        <f t="shared" si="62"/>
        <v>3</v>
      </c>
      <c r="F12608" s="134" t="s">
        <v>3782</v>
      </c>
      <c r="G12608" s="63" t="str">
        <f>VLOOKUP(C12608, 'Class Def. - General Data'!$C$20:$C$1000,1,false)</f>
        <v>ZSI1_PNEU_CONN</v>
      </c>
      <c r="H12608" s="63" t="str">
        <f>IFERROR(__xludf.DUMMYFUNCTION("VLOOKUP(F12608, IMPORTRANGE(""https://docs.google.com/spreadsheets/d/1Lhp9OU0JdFf_VYSMzH5lBcEaU4o8teT1piV-SNzShjg/edit?gid=554141278#gid=554141278"", ""'Char Def. - Attributes'!C20:C2242""), 1,false)"),"BRAND_EXTERNAL")</f>
        <v>BRAND_EXTERNAL</v>
      </c>
      <c r="I12608" s="136"/>
      <c r="R12608" s="63" t="str">
        <f t="shared" si="60"/>
        <v>ZSI1_PNEU_CONNBRAND_EXTERNAL</v>
      </c>
    </row>
    <row r="12609" ht="15.75" customHeight="1">
      <c r="B12609" s="63">
        <f t="shared" si="1"/>
        <v>14</v>
      </c>
      <c r="C12609" s="135" t="s">
        <v>297</v>
      </c>
      <c r="D12609" s="161" t="s">
        <v>74</v>
      </c>
      <c r="E12609" s="135">
        <f t="shared" si="62"/>
        <v>4</v>
      </c>
      <c r="F12609" s="134" t="s">
        <v>4062</v>
      </c>
      <c r="G12609" s="63" t="str">
        <f>VLOOKUP(C12609, 'Class Def. - General Data'!$C$20:$C$1000,1,false)</f>
        <v>ZSI1_PNEU_CONN</v>
      </c>
      <c r="H12609" s="63" t="str">
        <f>IFERROR(__xludf.DUMMYFUNCTION("VLOOKUP(F12609, IMPORTRANGE(""https://docs.google.com/spreadsheets/d/1Lhp9OU0JdFf_VYSMzH5lBcEaU4o8teT1piV-SNzShjg/edit?gid=554141278#gid=554141278"", ""'Char Def. - Attributes'!C20:C2242""), 1,false)"),"#N/A")</f>
        <v>#N/A</v>
      </c>
      <c r="I12609" s="136"/>
      <c r="R12609" s="63" t="str">
        <f t="shared" si="60"/>
        <v>ZSI1_PNEU_CONNADDTIONAL_SPECIFICATION</v>
      </c>
    </row>
    <row r="12610" ht="15.75" customHeight="1">
      <c r="B12610" s="63">
        <f t="shared" si="1"/>
        <v>14</v>
      </c>
      <c r="C12610" s="135" t="s">
        <v>297</v>
      </c>
      <c r="D12610" s="161" t="s">
        <v>74</v>
      </c>
      <c r="E12610" s="135">
        <f t="shared" si="62"/>
        <v>5</v>
      </c>
      <c r="F12610" s="134" t="s">
        <v>4053</v>
      </c>
      <c r="G12610" s="63" t="str">
        <f>VLOOKUP(C12610, 'Class Def. - General Data'!$C$20:$C$1000,1,false)</f>
        <v>ZSI1_PNEU_CONN</v>
      </c>
      <c r="H12610" s="63" t="str">
        <f>IFERROR(__xludf.DUMMYFUNCTION("VLOOKUP(F12610, IMPORTRANGE(""https://docs.google.com/spreadsheets/d/1Lhp9OU0JdFf_VYSMzH5lBcEaU4o8teT1piV-SNzShjg/edit?gid=554141278#gid=554141278"", ""'Char Def. - Attributes'!C20:C2242""), 1,false)"),"MAINTENANCE_ORDER_TYPE")</f>
        <v>MAINTENANCE_ORDER_TYPE</v>
      </c>
      <c r="I12610" s="136"/>
      <c r="R12610" s="63" t="str">
        <f t="shared" si="60"/>
        <v>ZSI1_PNEU_CONNMAINTENANCE_ORDER_TYPE</v>
      </c>
    </row>
    <row r="12611" ht="15.75" customHeight="1">
      <c r="B12611" s="63">
        <f t="shared" si="1"/>
        <v>14</v>
      </c>
      <c r="C12611" s="135" t="s">
        <v>297</v>
      </c>
      <c r="D12611" s="161" t="s">
        <v>74</v>
      </c>
      <c r="E12611" s="135">
        <f t="shared" si="62"/>
        <v>6</v>
      </c>
      <c r="F12611" s="134" t="s">
        <v>3585</v>
      </c>
      <c r="G12611" s="63" t="str">
        <f>VLOOKUP(C12611, 'Class Def. - General Data'!$C$20:$C$1000,1,false)</f>
        <v>ZSI1_PNEU_CONN</v>
      </c>
      <c r="H12611" s="63" t="str">
        <f>IFERROR(__xludf.DUMMYFUNCTION("VLOOKUP(F12611, IMPORTRANGE(""https://docs.google.com/spreadsheets/d/1Lhp9OU0JdFf_VYSMzH5lBcEaU4o8teT1piV-SNzShjg/edit?gid=554141278#gid=554141278"", ""'Char Def. - Attributes'!C20:C2242""), 1,false)"),"HS_CODE")</f>
        <v>HS_CODE</v>
      </c>
      <c r="I12611" s="136"/>
      <c r="R12611" s="63" t="str">
        <f t="shared" si="60"/>
        <v>ZSI1_PNEU_CONNHS_CODE</v>
      </c>
    </row>
    <row r="12612" ht="15.75" customHeight="1">
      <c r="B12612" s="63">
        <f t="shared" si="1"/>
        <v>14</v>
      </c>
      <c r="C12612" s="135" t="s">
        <v>297</v>
      </c>
      <c r="D12612" s="161" t="s">
        <v>74</v>
      </c>
      <c r="E12612" s="135">
        <f t="shared" si="62"/>
        <v>7</v>
      </c>
      <c r="F12612" s="134" t="s">
        <v>3587</v>
      </c>
      <c r="G12612" s="63" t="str">
        <f>VLOOKUP(C12612, 'Class Def. - General Data'!$C$20:$C$1000,1,false)</f>
        <v>ZSI1_PNEU_CONN</v>
      </c>
      <c r="H12612" s="63" t="str">
        <f>IFERROR(__xludf.DUMMYFUNCTION("VLOOKUP(F12612, IMPORTRANGE(""https://docs.google.com/spreadsheets/d/1Lhp9OU0JdFf_VYSMzH5lBcEaU4o8teT1piV-SNzShjg/edit?gid=554141278#gid=554141278"", ""'Char Def. - Attributes'!C20:C2242""), 1,false)"),"PLANT_BUY")</f>
        <v>PLANT_BUY</v>
      </c>
      <c r="I12612" s="136"/>
      <c r="R12612" s="63" t="str">
        <f t="shared" si="60"/>
        <v>ZSI1_PNEU_CONNPLANT_BUY</v>
      </c>
    </row>
    <row r="12613" ht="15.75" customHeight="1">
      <c r="B12613" s="63">
        <f t="shared" si="1"/>
        <v>14</v>
      </c>
      <c r="C12613" s="135" t="s">
        <v>297</v>
      </c>
      <c r="D12613" s="161" t="s">
        <v>74</v>
      </c>
      <c r="E12613" s="135">
        <f t="shared" si="62"/>
        <v>8</v>
      </c>
      <c r="F12613" s="134" t="s">
        <v>5231</v>
      </c>
      <c r="G12613" s="63" t="str">
        <f>VLOOKUP(C12613, 'Class Def. - General Data'!$C$20:$C$1000,1,false)</f>
        <v>ZSI1_PNEU_CONN</v>
      </c>
      <c r="H12613" s="63" t="str">
        <f>IFERROR(__xludf.DUMMYFUNCTION("VLOOKUP(F12613, IMPORTRANGE(""https://docs.google.com/spreadsheets/d/1Lhp9OU0JdFf_VYSMzH5lBcEaU4o8teT1piV-SNzShjg/edit?gid=554141278#gid=554141278"", ""'Char Def. - Attributes'!C20:C2242""), 1,false)"),"BASE_UOM_PNEU_CONN")</f>
        <v>BASE_UOM_PNEU_CONN</v>
      </c>
      <c r="I12613" s="136"/>
      <c r="R12613" s="63" t="str">
        <f t="shared" si="60"/>
        <v>ZSI1_PNEU_CONNBASE_UOM_PNEU_CONN</v>
      </c>
    </row>
    <row r="12614" ht="15.75" customHeight="1">
      <c r="B12614" s="63">
        <f t="shared" si="1"/>
        <v>14</v>
      </c>
      <c r="C12614" s="135" t="s">
        <v>297</v>
      </c>
      <c r="D12614" s="161" t="s">
        <v>74</v>
      </c>
      <c r="E12614" s="135">
        <f t="shared" si="62"/>
        <v>9</v>
      </c>
      <c r="F12614" s="134" t="s">
        <v>5232</v>
      </c>
      <c r="G12614" s="63" t="str">
        <f>VLOOKUP(C12614, 'Class Def. - General Data'!$C$20:$C$1000,1,false)</f>
        <v>ZSI1_PNEU_CONN</v>
      </c>
      <c r="H12614" s="63" t="str">
        <f>IFERROR(__xludf.DUMMYFUNCTION("VLOOKUP(F12614, IMPORTRANGE(""https://docs.google.com/spreadsheets/d/1Lhp9OU0JdFf_VYSMzH5lBcEaU4o8teT1piV-SNzShjg/edit?gid=554141278#gid=554141278"", ""'Char Def. - Attributes'!C20:C2242""), 1,false)"),"ORDER_UNIT_PNEU_CONN")</f>
        <v>ORDER_UNIT_PNEU_CONN</v>
      </c>
      <c r="I12614" s="136"/>
      <c r="R12614" s="63" t="str">
        <f t="shared" si="60"/>
        <v>ZSI1_PNEU_CONNORDER_UNIT_PNEU_CONN</v>
      </c>
    </row>
    <row r="12615" ht="15.75" customHeight="1">
      <c r="B12615" s="63">
        <f t="shared" si="1"/>
        <v>14</v>
      </c>
      <c r="C12615" s="135" t="s">
        <v>297</v>
      </c>
      <c r="D12615" s="161" t="s">
        <v>74</v>
      </c>
      <c r="E12615" s="135">
        <f t="shared" si="62"/>
        <v>10</v>
      </c>
      <c r="F12615" s="134" t="s">
        <v>4056</v>
      </c>
      <c r="G12615" s="63" t="str">
        <f>VLOOKUP(C12615, 'Class Def. - General Data'!$C$20:$C$1000,1,false)</f>
        <v>ZSI1_PNEU_CONN</v>
      </c>
      <c r="H12615" s="63" t="str">
        <f>IFERROR(__xludf.DUMMYFUNCTION("VLOOKUP(F12615, IMPORTRANGE(""https://docs.google.com/spreadsheets/d/1Lhp9OU0JdFf_VYSMzH5lBcEaU4o8teT1piV-SNzShjg/edit?gid=554141278#gid=554141278"", ""'Char Def. - Attributes'!C20:C2242""), 1,false)"),"GROSS_WEIGHT_OPT")</f>
        <v>GROSS_WEIGHT_OPT</v>
      </c>
      <c r="I12615" s="136"/>
      <c r="R12615" s="63" t="str">
        <f t="shared" si="60"/>
        <v>ZSI1_PNEU_CONNGROSS_WEIGHT_OPT</v>
      </c>
    </row>
    <row r="12616" ht="15.75" customHeight="1">
      <c r="B12616" s="63">
        <f t="shared" si="1"/>
        <v>14</v>
      </c>
      <c r="C12616" s="135" t="s">
        <v>297</v>
      </c>
      <c r="D12616" s="161" t="s">
        <v>74</v>
      </c>
      <c r="E12616" s="135">
        <f t="shared" si="62"/>
        <v>11</v>
      </c>
      <c r="F12616" s="134" t="s">
        <v>4057</v>
      </c>
      <c r="G12616" s="63" t="str">
        <f>VLOOKUP(C12616, 'Class Def. - General Data'!$C$20:$C$1000,1,false)</f>
        <v>ZSI1_PNEU_CONN</v>
      </c>
      <c r="H12616" s="63" t="str">
        <f>IFERROR(__xludf.DUMMYFUNCTION("VLOOKUP(F12616, IMPORTRANGE(""https://docs.google.com/spreadsheets/d/1Lhp9OU0JdFf_VYSMzH5lBcEaU4o8teT1piV-SNzShjg/edit?gid=554141278#gid=554141278"", ""'Char Def. - Attributes'!C20:C2242""), 1,false)"),"NET_WEIGHT_OPT")</f>
        <v>NET_WEIGHT_OPT</v>
      </c>
      <c r="I12616" s="136"/>
      <c r="R12616" s="63" t="str">
        <f t="shared" si="60"/>
        <v>ZSI1_PNEU_CONNNET_WEIGHT_OPT</v>
      </c>
    </row>
    <row r="12617" ht="15.75" customHeight="1">
      <c r="B12617" s="63">
        <f t="shared" si="1"/>
        <v>14</v>
      </c>
      <c r="C12617" s="135" t="s">
        <v>297</v>
      </c>
      <c r="D12617" s="161" t="s">
        <v>74</v>
      </c>
      <c r="E12617" s="135">
        <f t="shared" si="62"/>
        <v>12</v>
      </c>
      <c r="F12617" s="134" t="s">
        <v>4058</v>
      </c>
      <c r="G12617" s="63" t="str">
        <f>VLOOKUP(C12617, 'Class Def. - General Data'!$C$20:$C$1000,1,false)</f>
        <v>ZSI1_PNEU_CONN</v>
      </c>
      <c r="H12617" s="63" t="str">
        <f>IFERROR(__xludf.DUMMYFUNCTION("VLOOKUP(F12617, IMPORTRANGE(""https://docs.google.com/spreadsheets/d/1Lhp9OU0JdFf_VYSMzH5lBcEaU4o8teT1piV-SNzShjg/edit?gid=554141278#gid=554141278"", ""'Char Def. - Attributes'!C20:C2242""), 1,false)"),"WEIGHT_UNIT_SI")</f>
        <v>WEIGHT_UNIT_SI</v>
      </c>
      <c r="I12617" s="136"/>
      <c r="R12617" s="63" t="str">
        <f t="shared" si="60"/>
        <v>ZSI1_PNEU_CONNWEIGHT_UNIT_SI</v>
      </c>
    </row>
    <row r="12618" ht="15.75" customHeight="1">
      <c r="B12618" s="63">
        <f t="shared" si="1"/>
        <v>14</v>
      </c>
      <c r="C12618" s="135" t="s">
        <v>297</v>
      </c>
      <c r="D12618" s="161" t="s">
        <v>74</v>
      </c>
      <c r="E12618" s="135">
        <f t="shared" si="62"/>
        <v>13</v>
      </c>
      <c r="F12618" s="134" t="s">
        <v>3877</v>
      </c>
      <c r="G12618" s="63" t="str">
        <f>VLOOKUP(C12618, 'Class Def. - General Data'!$C$20:$C$1000,1,false)</f>
        <v>ZSI1_PNEU_CONN</v>
      </c>
      <c r="H12618" s="63" t="str">
        <f>IFERROR(__xludf.DUMMYFUNCTION("VLOOKUP(F12618, IMPORTRANGE(""https://docs.google.com/spreadsheets/d/1Lhp9OU0JdFf_VYSMzH5lBcEaU4o8teT1piV-SNzShjg/edit?gid=554141278#gid=554141278"", ""'Char Def. - Attributes'!C20:C2242""), 1,false)"),"VOLUME_OPT")</f>
        <v>VOLUME_OPT</v>
      </c>
      <c r="I12618" s="136"/>
      <c r="R12618" s="63" t="str">
        <f t="shared" si="60"/>
        <v>ZSI1_PNEU_CONNVOLUME_OPT</v>
      </c>
    </row>
    <row r="12619" ht="15.75" customHeight="1">
      <c r="B12619" s="63">
        <f t="shared" si="1"/>
        <v>14</v>
      </c>
      <c r="C12619" s="135" t="s">
        <v>297</v>
      </c>
      <c r="D12619" s="161" t="s">
        <v>74</v>
      </c>
      <c r="E12619" s="135">
        <f t="shared" si="62"/>
        <v>14</v>
      </c>
      <c r="F12619" s="134" t="s">
        <v>4059</v>
      </c>
      <c r="G12619" s="63" t="str">
        <f>VLOOKUP(C12619, 'Class Def. - General Data'!$C$20:$C$1000,1,false)</f>
        <v>ZSI1_PNEU_CONN</v>
      </c>
      <c r="H12619" s="63" t="str">
        <f>IFERROR(__xludf.DUMMYFUNCTION("VLOOKUP(F12619, IMPORTRANGE(""https://docs.google.com/spreadsheets/d/1Lhp9OU0JdFf_VYSMzH5lBcEaU4o8teT1piV-SNzShjg/edit?gid=554141278#gid=554141278"", ""'Char Def. - Attributes'!C20:C2242""), 1,false)"),"VOLUME_UNIT_SI")</f>
        <v>VOLUME_UNIT_SI</v>
      </c>
      <c r="I12619" s="136"/>
      <c r="R12619" s="63" t="str">
        <f t="shared" si="60"/>
        <v>ZSI1_PNEU_CONNVOLUME_UNIT_SI</v>
      </c>
    </row>
    <row r="12620" ht="15.75" customHeight="1">
      <c r="B12620" s="63">
        <f t="shared" si="1"/>
        <v>14</v>
      </c>
      <c r="C12620" s="135" t="s">
        <v>297</v>
      </c>
      <c r="D12620" s="161" t="s">
        <v>74</v>
      </c>
      <c r="E12620" s="135">
        <f t="shared" si="62"/>
        <v>15</v>
      </c>
      <c r="F12620" s="134" t="s">
        <v>3804</v>
      </c>
      <c r="G12620" s="63" t="str">
        <f>VLOOKUP(C12620, 'Class Def. - General Data'!$C$20:$C$1000,1,false)</f>
        <v>ZSI1_PNEU_CONN</v>
      </c>
      <c r="H12620" s="63" t="str">
        <f>IFERROR(__xludf.DUMMYFUNCTION("VLOOKUP(F12620, IMPORTRANGE(""https://docs.google.com/spreadsheets/d/1Lhp9OU0JdFf_VYSMzH5lBcEaU4o8teT1piV-SNzShjg/edit?gid=554141278#gid=554141278"", ""'Char Def. - Attributes'!C20:C2242""), 1,false)"),"ALT_UOM1_SIPI")</f>
        <v>ALT_UOM1_SIPI</v>
      </c>
      <c r="I12620" s="136"/>
      <c r="R12620" s="63" t="str">
        <f t="shared" si="60"/>
        <v>ZSI1_PNEU_CONNALT_UOM1_SIPI</v>
      </c>
    </row>
    <row r="12621" ht="15.75" customHeight="1">
      <c r="B12621" s="63">
        <f t="shared" si="1"/>
        <v>14</v>
      </c>
      <c r="C12621" s="135" t="s">
        <v>297</v>
      </c>
      <c r="D12621" s="161" t="s">
        <v>74</v>
      </c>
      <c r="E12621" s="135">
        <f t="shared" si="62"/>
        <v>16</v>
      </c>
      <c r="F12621" s="134" t="s">
        <v>3805</v>
      </c>
      <c r="G12621" s="63" t="str">
        <f>VLOOKUP(C12621, 'Class Def. - General Data'!$C$20:$C$1000,1,false)</f>
        <v>ZSI1_PNEU_CONN</v>
      </c>
      <c r="H12621" s="63" t="str">
        <f>IFERROR(__xludf.DUMMYFUNCTION("VLOOKUP(F12621, IMPORTRANGE(""https://docs.google.com/spreadsheets/d/1Lhp9OU0JdFf_VYSMzH5lBcEaU4o8teT1piV-SNzShjg/edit?gid=554141278#gid=554141278"", ""'Char Def. - Attributes'!C20:C2242""), 1,false)"),"ALT_DENUM_UOM1")</f>
        <v>ALT_DENUM_UOM1</v>
      </c>
      <c r="I12621" s="136"/>
      <c r="R12621" s="63" t="str">
        <f t="shared" si="60"/>
        <v>ZSI1_PNEU_CONNALT_DENUM_UOM1</v>
      </c>
    </row>
    <row r="12622" ht="15.75" customHeight="1">
      <c r="B12622" s="63">
        <f t="shared" si="1"/>
        <v>14</v>
      </c>
      <c r="C12622" s="135" t="s">
        <v>297</v>
      </c>
      <c r="D12622" s="161" t="s">
        <v>74</v>
      </c>
      <c r="E12622" s="135">
        <f t="shared" si="62"/>
        <v>17</v>
      </c>
      <c r="F12622" s="134" t="s">
        <v>3806</v>
      </c>
      <c r="G12622" s="63" t="str">
        <f>VLOOKUP(C12622, 'Class Def. - General Data'!$C$20:$C$1000,1,false)</f>
        <v>ZSI1_PNEU_CONN</v>
      </c>
      <c r="H12622" s="63" t="str">
        <f>IFERROR(__xludf.DUMMYFUNCTION("VLOOKUP(F12622, IMPORTRANGE(""https://docs.google.com/spreadsheets/d/1Lhp9OU0JdFf_VYSMzH5lBcEaU4o8teT1piV-SNzShjg/edit?gid=554141278#gid=554141278"", ""'Char Def. - Attributes'!C20:C2242""), 1,false)"),"ALT_NUM_UOM1")</f>
        <v>ALT_NUM_UOM1</v>
      </c>
      <c r="I12622" s="136"/>
      <c r="R12622" s="63" t="str">
        <f t="shared" si="60"/>
        <v>ZSI1_PNEU_CONNALT_NUM_UOM1</v>
      </c>
    </row>
    <row r="12623" ht="15.75" customHeight="1">
      <c r="B12623" s="63">
        <f t="shared" si="1"/>
        <v>14</v>
      </c>
      <c r="C12623" s="135" t="s">
        <v>297</v>
      </c>
      <c r="D12623" s="161" t="s">
        <v>74</v>
      </c>
      <c r="E12623" s="135">
        <f t="shared" si="62"/>
        <v>18</v>
      </c>
      <c r="F12623" s="134" t="s">
        <v>3807</v>
      </c>
      <c r="G12623" s="63" t="str">
        <f>VLOOKUP(C12623, 'Class Def. - General Data'!$C$20:$C$1000,1,false)</f>
        <v>ZSI1_PNEU_CONN</v>
      </c>
      <c r="H12623" s="63" t="str">
        <f>IFERROR(__xludf.DUMMYFUNCTION("VLOOKUP(F12623, IMPORTRANGE(""https://docs.google.com/spreadsheets/d/1Lhp9OU0JdFf_VYSMzH5lBcEaU4o8teT1piV-SNzShjg/edit?gid=554141278#gid=554141278"", ""'Char Def. - Attributes'!C20:C2242""), 1,false)"),"ALT_UOM2_SIPI")</f>
        <v>ALT_UOM2_SIPI</v>
      </c>
      <c r="I12623" s="136"/>
      <c r="R12623" s="63" t="str">
        <f t="shared" si="60"/>
        <v>ZSI1_PNEU_CONNALT_UOM2_SIPI</v>
      </c>
    </row>
    <row r="12624" ht="15.75" customHeight="1">
      <c r="B12624" s="63">
        <f t="shared" si="1"/>
        <v>14</v>
      </c>
      <c r="C12624" s="135" t="s">
        <v>297</v>
      </c>
      <c r="D12624" s="161" t="s">
        <v>74</v>
      </c>
      <c r="E12624" s="135">
        <f t="shared" si="62"/>
        <v>19</v>
      </c>
      <c r="F12624" s="134" t="s">
        <v>3808</v>
      </c>
      <c r="G12624" s="63" t="str">
        <f>VLOOKUP(C12624, 'Class Def. - General Data'!$C$20:$C$1000,1,false)</f>
        <v>ZSI1_PNEU_CONN</v>
      </c>
      <c r="H12624" s="63" t="str">
        <f>IFERROR(__xludf.DUMMYFUNCTION("VLOOKUP(F12624, IMPORTRANGE(""https://docs.google.com/spreadsheets/d/1Lhp9OU0JdFf_VYSMzH5lBcEaU4o8teT1piV-SNzShjg/edit?gid=554141278#gid=554141278"", ""'Char Def. - Attributes'!C20:C2242""), 1,false)"),"ALT_DENUM_UOM2")</f>
        <v>ALT_DENUM_UOM2</v>
      </c>
      <c r="I12624" s="136"/>
      <c r="R12624" s="63" t="str">
        <f t="shared" si="60"/>
        <v>ZSI1_PNEU_CONNALT_DENUM_UOM2</v>
      </c>
    </row>
    <row r="12625" ht="15.75" customHeight="1">
      <c r="B12625" s="63">
        <f t="shared" si="1"/>
        <v>14</v>
      </c>
      <c r="C12625" s="135" t="s">
        <v>297</v>
      </c>
      <c r="D12625" s="161" t="s">
        <v>74</v>
      </c>
      <c r="E12625" s="135">
        <f t="shared" si="62"/>
        <v>20</v>
      </c>
      <c r="F12625" s="134" t="s">
        <v>3809</v>
      </c>
      <c r="G12625" s="63" t="str">
        <f>VLOOKUP(C12625, 'Class Def. - General Data'!$C$20:$C$1000,1,false)</f>
        <v>ZSI1_PNEU_CONN</v>
      </c>
      <c r="H12625" s="63" t="str">
        <f>IFERROR(__xludf.DUMMYFUNCTION("VLOOKUP(F12625, IMPORTRANGE(""https://docs.google.com/spreadsheets/d/1Lhp9OU0JdFf_VYSMzH5lBcEaU4o8teT1piV-SNzShjg/edit?gid=554141278#gid=554141278"", ""'Char Def. - Attributes'!C20:C2242""), 1,false)"),"ALT_NUM_UOM2")</f>
        <v>ALT_NUM_UOM2</v>
      </c>
      <c r="I12625" s="136"/>
      <c r="R12625" s="63" t="str">
        <f t="shared" si="60"/>
        <v>ZSI1_PNEU_CONNALT_NUM_UOM2</v>
      </c>
    </row>
    <row r="12626" ht="15.75" customHeight="1">
      <c r="B12626" s="63">
        <f t="shared" si="1"/>
        <v>14</v>
      </c>
      <c r="C12626" s="135" t="s">
        <v>297</v>
      </c>
      <c r="D12626" s="161" t="s">
        <v>74</v>
      </c>
      <c r="E12626" s="135">
        <f t="shared" si="62"/>
        <v>21</v>
      </c>
      <c r="F12626" s="134" t="s">
        <v>3810</v>
      </c>
      <c r="G12626" s="63" t="str">
        <f>VLOOKUP(C12626, 'Class Def. - General Data'!$C$20:$C$1000,1,false)</f>
        <v>ZSI1_PNEU_CONN</v>
      </c>
      <c r="H12626" s="63" t="str">
        <f>IFERROR(__xludf.DUMMYFUNCTION("VLOOKUP(F12626, IMPORTRANGE(""https://docs.google.com/spreadsheets/d/1Lhp9OU0JdFf_VYSMzH5lBcEaU4o8teT1piV-SNzShjg/edit?gid=554141278#gid=554141278"", ""'Char Def. - Attributes'!C20:C2242""), 1,false)"),"ALT_UOM3_SIPI")</f>
        <v>ALT_UOM3_SIPI</v>
      </c>
      <c r="I12626" s="136"/>
      <c r="R12626" s="63" t="str">
        <f t="shared" si="60"/>
        <v>ZSI1_PNEU_CONNALT_UOM3_SIPI</v>
      </c>
    </row>
    <row r="12627" ht="15.75" customHeight="1">
      <c r="B12627" s="63">
        <f t="shared" si="1"/>
        <v>14</v>
      </c>
      <c r="C12627" s="135" t="s">
        <v>297</v>
      </c>
      <c r="D12627" s="161" t="s">
        <v>74</v>
      </c>
      <c r="E12627" s="135">
        <f t="shared" si="62"/>
        <v>22</v>
      </c>
      <c r="F12627" s="134" t="s">
        <v>3811</v>
      </c>
      <c r="G12627" s="63" t="str">
        <f>VLOOKUP(C12627, 'Class Def. - General Data'!$C$20:$C$1000,1,false)</f>
        <v>ZSI1_PNEU_CONN</v>
      </c>
      <c r="H12627" s="63" t="str">
        <f>IFERROR(__xludf.DUMMYFUNCTION("VLOOKUP(F12627, IMPORTRANGE(""https://docs.google.com/spreadsheets/d/1Lhp9OU0JdFf_VYSMzH5lBcEaU4o8teT1piV-SNzShjg/edit?gid=554141278#gid=554141278"", ""'Char Def. - Attributes'!C20:C2242""), 1,false)"),"ALT_DENUM_UOM3")</f>
        <v>ALT_DENUM_UOM3</v>
      </c>
      <c r="I12627" s="136"/>
      <c r="R12627" s="63" t="str">
        <f t="shared" si="60"/>
        <v>ZSI1_PNEU_CONNALT_DENUM_UOM3</v>
      </c>
    </row>
    <row r="12628" ht="15.75" customHeight="1">
      <c r="B12628" s="63">
        <f t="shared" si="1"/>
        <v>14</v>
      </c>
      <c r="C12628" s="135" t="s">
        <v>297</v>
      </c>
      <c r="D12628" s="161" t="s">
        <v>74</v>
      </c>
      <c r="E12628" s="135">
        <f t="shared" si="62"/>
        <v>23</v>
      </c>
      <c r="F12628" s="134" t="s">
        <v>3812</v>
      </c>
      <c r="G12628" s="63" t="str">
        <f>VLOOKUP(C12628, 'Class Def. - General Data'!$C$20:$C$1000,1,false)</f>
        <v>ZSI1_PNEU_CONN</v>
      </c>
      <c r="H12628" s="63" t="str">
        <f>IFERROR(__xludf.DUMMYFUNCTION("VLOOKUP(F12628, IMPORTRANGE(""https://docs.google.com/spreadsheets/d/1Lhp9OU0JdFf_VYSMzH5lBcEaU4o8teT1piV-SNzShjg/edit?gid=554141278#gid=554141278"", ""'Char Def. - Attributes'!C20:C2242""), 1,false)"),"ALT_NUM_UOM3")</f>
        <v>ALT_NUM_UOM3</v>
      </c>
      <c r="I12628" s="136"/>
      <c r="R12628" s="63" t="str">
        <f t="shared" si="60"/>
        <v>ZSI1_PNEU_CONNALT_NUM_UOM3</v>
      </c>
    </row>
    <row r="12629" ht="15.75" customHeight="1">
      <c r="B12629" s="63">
        <f t="shared" si="1"/>
        <v>14</v>
      </c>
      <c r="C12629" s="135" t="s">
        <v>297</v>
      </c>
      <c r="D12629" s="161" t="s">
        <v>74</v>
      </c>
      <c r="E12629" s="135">
        <f t="shared" si="62"/>
        <v>24</v>
      </c>
      <c r="F12629" s="134" t="s">
        <v>3813</v>
      </c>
      <c r="G12629" s="63" t="str">
        <f>VLOOKUP(C12629, 'Class Def. - General Data'!$C$20:$C$1000,1,false)</f>
        <v>ZSI1_PNEU_CONN</v>
      </c>
      <c r="H12629" s="63" t="str">
        <f>IFERROR(__xludf.DUMMYFUNCTION("VLOOKUP(F12629, IMPORTRANGE(""https://docs.google.com/spreadsheets/d/1Lhp9OU0JdFf_VYSMzH5lBcEaU4o8teT1piV-SNzShjg/edit?gid=554141278#gid=554141278"", ""'Char Def. - Attributes'!C20:C2242""), 1,false)"),"ALT_UOM4_SIPI")</f>
        <v>ALT_UOM4_SIPI</v>
      </c>
      <c r="I12629" s="136"/>
      <c r="R12629" s="63" t="str">
        <f t="shared" si="60"/>
        <v>ZSI1_PNEU_CONNALT_UOM4_SIPI</v>
      </c>
    </row>
    <row r="12630" ht="15.75" customHeight="1">
      <c r="B12630" s="63">
        <f t="shared" si="1"/>
        <v>14</v>
      </c>
      <c r="C12630" s="135" t="s">
        <v>297</v>
      </c>
      <c r="D12630" s="161" t="s">
        <v>74</v>
      </c>
      <c r="E12630" s="135">
        <f t="shared" si="62"/>
        <v>25</v>
      </c>
      <c r="F12630" s="134" t="s">
        <v>3814</v>
      </c>
      <c r="G12630" s="63" t="str">
        <f>VLOOKUP(C12630, 'Class Def. - General Data'!$C$20:$C$1000,1,false)</f>
        <v>ZSI1_PNEU_CONN</v>
      </c>
      <c r="H12630" s="63" t="str">
        <f>IFERROR(__xludf.DUMMYFUNCTION("VLOOKUP(F12630, IMPORTRANGE(""https://docs.google.com/spreadsheets/d/1Lhp9OU0JdFf_VYSMzH5lBcEaU4o8teT1piV-SNzShjg/edit?gid=554141278#gid=554141278"", ""'Char Def. - Attributes'!C20:C2242""), 1,false)"),"ALT_DENUM_UOM4")</f>
        <v>ALT_DENUM_UOM4</v>
      </c>
      <c r="I12630" s="136"/>
      <c r="R12630" s="63" t="str">
        <f t="shared" si="60"/>
        <v>ZSI1_PNEU_CONNALT_DENUM_UOM4</v>
      </c>
    </row>
    <row r="12631" ht="15.75" customHeight="1">
      <c r="B12631" s="63">
        <f t="shared" si="1"/>
        <v>14</v>
      </c>
      <c r="C12631" s="135" t="s">
        <v>297</v>
      </c>
      <c r="D12631" s="161" t="s">
        <v>74</v>
      </c>
      <c r="E12631" s="135">
        <f t="shared" si="62"/>
        <v>26</v>
      </c>
      <c r="F12631" s="134" t="s">
        <v>3815</v>
      </c>
      <c r="G12631" s="63" t="str">
        <f>VLOOKUP(C12631, 'Class Def. - General Data'!$C$20:$C$1000,1,false)</f>
        <v>ZSI1_PNEU_CONN</v>
      </c>
      <c r="H12631" s="63" t="str">
        <f>IFERROR(__xludf.DUMMYFUNCTION("VLOOKUP(F12631, IMPORTRANGE(""https://docs.google.com/spreadsheets/d/1Lhp9OU0JdFf_VYSMzH5lBcEaU4o8teT1piV-SNzShjg/edit?gid=554141278#gid=554141278"", ""'Char Def. - Attributes'!C20:C2242""), 1,false)"),"ALT_NUM_UOM4")</f>
        <v>ALT_NUM_UOM4</v>
      </c>
      <c r="I12631" s="136"/>
      <c r="R12631" s="63" t="str">
        <f t="shared" si="60"/>
        <v>ZSI1_PNEU_CONNALT_NUM_UOM4</v>
      </c>
    </row>
    <row r="12632" ht="15.75" customHeight="1">
      <c r="B12632" s="63">
        <f t="shared" si="1"/>
        <v>14</v>
      </c>
      <c r="C12632" s="135" t="s">
        <v>297</v>
      </c>
      <c r="D12632" s="161" t="s">
        <v>74</v>
      </c>
      <c r="E12632" s="135">
        <f t="shared" si="62"/>
        <v>27</v>
      </c>
      <c r="F12632" s="134" t="s">
        <v>3816</v>
      </c>
      <c r="G12632" s="63" t="str">
        <f>VLOOKUP(C12632, 'Class Def. - General Data'!$C$20:$C$1000,1,false)</f>
        <v>ZSI1_PNEU_CONN</v>
      </c>
      <c r="H12632" s="63" t="str">
        <f>IFERROR(__xludf.DUMMYFUNCTION("VLOOKUP(F12632, IMPORTRANGE(""https://docs.google.com/spreadsheets/d/1Lhp9OU0JdFf_VYSMzH5lBcEaU4o8teT1piV-SNzShjg/edit?gid=554141278#gid=554141278"", ""'Char Def. - Attributes'!C20:C2242""), 1,false)"),"ALT_UOM5_SIPI")</f>
        <v>ALT_UOM5_SIPI</v>
      </c>
      <c r="I12632" s="136"/>
      <c r="R12632" s="63" t="str">
        <f t="shared" si="60"/>
        <v>ZSI1_PNEU_CONNALT_UOM5_SIPI</v>
      </c>
    </row>
    <row r="12633" ht="15.75" customHeight="1">
      <c r="B12633" s="63">
        <f t="shared" si="1"/>
        <v>14</v>
      </c>
      <c r="C12633" s="135" t="s">
        <v>297</v>
      </c>
      <c r="D12633" s="161" t="s">
        <v>74</v>
      </c>
      <c r="E12633" s="135">
        <f t="shared" si="62"/>
        <v>28</v>
      </c>
      <c r="F12633" s="134" t="s">
        <v>3817</v>
      </c>
      <c r="G12633" s="63" t="str">
        <f>VLOOKUP(C12633, 'Class Def. - General Data'!$C$20:$C$1000,1,false)</f>
        <v>ZSI1_PNEU_CONN</v>
      </c>
      <c r="H12633" s="63" t="str">
        <f>IFERROR(__xludf.DUMMYFUNCTION("VLOOKUP(F12633, IMPORTRANGE(""https://docs.google.com/spreadsheets/d/1Lhp9OU0JdFf_VYSMzH5lBcEaU4o8teT1piV-SNzShjg/edit?gid=554141278#gid=554141278"", ""'Char Def. - Attributes'!C20:C2242""), 1,false)"),"ALT_DENUM_UOM5")</f>
        <v>ALT_DENUM_UOM5</v>
      </c>
      <c r="I12633" s="136"/>
      <c r="R12633" s="63" t="str">
        <f t="shared" si="60"/>
        <v>ZSI1_PNEU_CONNALT_DENUM_UOM5</v>
      </c>
    </row>
    <row r="12634" ht="15.75" customHeight="1">
      <c r="B12634" s="63">
        <f t="shared" si="1"/>
        <v>14</v>
      </c>
      <c r="C12634" s="135" t="s">
        <v>297</v>
      </c>
      <c r="D12634" s="161" t="s">
        <v>74</v>
      </c>
      <c r="E12634" s="135">
        <f t="shared" si="62"/>
        <v>29</v>
      </c>
      <c r="F12634" s="134" t="s">
        <v>3818</v>
      </c>
      <c r="G12634" s="63" t="str">
        <f>VLOOKUP(C12634, 'Class Def. - General Data'!$C$20:$C$1000,1,false)</f>
        <v>ZSI1_PNEU_CONN</v>
      </c>
      <c r="H12634" s="63" t="str">
        <f>IFERROR(__xludf.DUMMYFUNCTION("VLOOKUP(F12634, IMPORTRANGE(""https://docs.google.com/spreadsheets/d/1Lhp9OU0JdFf_VYSMzH5lBcEaU4o8teT1piV-SNzShjg/edit?gid=554141278#gid=554141278"", ""'Char Def. - Attributes'!C20:C2242""), 1,false)"),"ALT_NUM_UOM5")</f>
        <v>ALT_NUM_UOM5</v>
      </c>
      <c r="I12634" s="136"/>
      <c r="R12634" s="63" t="str">
        <f t="shared" si="60"/>
        <v>ZSI1_PNEU_CONNALT_NUM_UOM5</v>
      </c>
    </row>
    <row r="12635" ht="15.75" customHeight="1">
      <c r="B12635" s="63">
        <f t="shared" si="1"/>
        <v>18</v>
      </c>
      <c r="C12635" s="135" t="s">
        <v>317</v>
      </c>
      <c r="D12635" s="161" t="s">
        <v>74</v>
      </c>
      <c r="E12635" s="135">
        <f t="shared" si="62"/>
        <v>1</v>
      </c>
      <c r="F12635" s="134" t="s">
        <v>5233</v>
      </c>
      <c r="G12635" s="63" t="str">
        <f>VLOOKUP(C12635, 'Class Def. - General Data'!$C$20:$C$1000,1,false)</f>
        <v>ZSI1_PNEU_CYLINDER</v>
      </c>
      <c r="H12635" s="63" t="str">
        <f>IFERROR(__xludf.DUMMYFUNCTION("VLOOKUP(F12635, IMPORTRANGE(""https://docs.google.com/spreadsheets/d/1Lhp9OU0JdFf_VYSMzH5lBcEaU4o8teT1piV-SNzShjg/edit?gid=554141278#gid=554141278"", ""'Char Def. - Attributes'!C20:C2242""), 1,false)"),"ITEM_NAME_PNEU_CYLINDER")</f>
        <v>ITEM_NAME_PNEU_CYLINDER</v>
      </c>
      <c r="I12635" s="136"/>
      <c r="R12635" s="63" t="str">
        <f t="shared" si="60"/>
        <v>ZSI1_PNEU_CYLINDERITEM_NAME_PNEU_CYLINDER</v>
      </c>
    </row>
    <row r="12636" ht="15.75" customHeight="1">
      <c r="B12636" s="63">
        <f t="shared" si="1"/>
        <v>18</v>
      </c>
      <c r="C12636" s="135" t="s">
        <v>317</v>
      </c>
      <c r="D12636" s="161" t="s">
        <v>74</v>
      </c>
      <c r="E12636" s="135">
        <f t="shared" si="62"/>
        <v>2</v>
      </c>
      <c r="F12636" s="134" t="s">
        <v>5234</v>
      </c>
      <c r="G12636" s="63" t="str">
        <f>VLOOKUP(C12636, 'Class Def. - General Data'!$C$20:$C$1000,1,false)</f>
        <v>ZSI1_PNEU_CYLINDER</v>
      </c>
      <c r="H12636" s="63" t="str">
        <f>IFERROR(__xludf.DUMMYFUNCTION("VLOOKUP(F12636, IMPORTRANGE(""https://docs.google.com/spreadsheets/d/1Lhp9OU0JdFf_VYSMzH5lBcEaU4o8teT1piV-SNzShjg/edit?gid=554141278#gid=554141278"", ""'Char Def. - Attributes'!C20:C2242""), 1,false)"),"MFR_NO_PNEU_CYLINDER")</f>
        <v>MFR_NO_PNEU_CYLINDER</v>
      </c>
      <c r="I12636" s="136"/>
      <c r="R12636" s="63" t="str">
        <f t="shared" si="60"/>
        <v>ZSI1_PNEU_CYLINDERMFR_NO_PNEU_CYLINDER</v>
      </c>
    </row>
    <row r="12637" ht="15.75" customHeight="1">
      <c r="B12637" s="63">
        <f t="shared" si="1"/>
        <v>18</v>
      </c>
      <c r="C12637" s="135" t="s">
        <v>317</v>
      </c>
      <c r="D12637" s="161" t="s">
        <v>74</v>
      </c>
      <c r="E12637" s="135">
        <f t="shared" si="62"/>
        <v>3</v>
      </c>
      <c r="F12637" s="134" t="s">
        <v>3782</v>
      </c>
      <c r="G12637" s="63" t="str">
        <f>VLOOKUP(C12637, 'Class Def. - General Data'!$C$20:$C$1000,1,false)</f>
        <v>ZSI1_PNEU_CYLINDER</v>
      </c>
      <c r="H12637" s="63" t="str">
        <f>IFERROR(__xludf.DUMMYFUNCTION("VLOOKUP(F12637, IMPORTRANGE(""https://docs.google.com/spreadsheets/d/1Lhp9OU0JdFf_VYSMzH5lBcEaU4o8teT1piV-SNzShjg/edit?gid=554141278#gid=554141278"", ""'Char Def. - Attributes'!C20:C2242""), 1,false)"),"BRAND_EXTERNAL")</f>
        <v>BRAND_EXTERNAL</v>
      </c>
      <c r="I12637" s="136"/>
      <c r="R12637" s="63" t="str">
        <f t="shared" si="60"/>
        <v>ZSI1_PNEU_CYLINDERBRAND_EXTERNAL</v>
      </c>
    </row>
    <row r="12638" ht="15.75" customHeight="1">
      <c r="B12638" s="63">
        <f t="shared" si="1"/>
        <v>18</v>
      </c>
      <c r="C12638" s="135" t="s">
        <v>317</v>
      </c>
      <c r="D12638" s="161" t="s">
        <v>74</v>
      </c>
      <c r="E12638" s="135">
        <f t="shared" si="62"/>
        <v>4</v>
      </c>
      <c r="F12638" s="134" t="s">
        <v>4062</v>
      </c>
      <c r="G12638" s="63" t="str">
        <f>VLOOKUP(C12638, 'Class Def. - General Data'!$C$20:$C$1000,1,false)</f>
        <v>ZSI1_PNEU_CYLINDER</v>
      </c>
      <c r="H12638" s="63" t="str">
        <f>IFERROR(__xludf.DUMMYFUNCTION("VLOOKUP(F12638, IMPORTRANGE(""https://docs.google.com/spreadsheets/d/1Lhp9OU0JdFf_VYSMzH5lBcEaU4o8teT1piV-SNzShjg/edit?gid=554141278#gid=554141278"", ""'Char Def. - Attributes'!C20:C2242""), 1,false)"),"#N/A")</f>
        <v>#N/A</v>
      </c>
      <c r="I12638" s="136"/>
      <c r="R12638" s="63" t="str">
        <f t="shared" si="60"/>
        <v>ZSI1_PNEU_CYLINDERADDTIONAL_SPECIFICATION</v>
      </c>
    </row>
    <row r="12639" ht="15.75" customHeight="1">
      <c r="B12639" s="63">
        <f t="shared" si="1"/>
        <v>18</v>
      </c>
      <c r="C12639" s="135" t="s">
        <v>317</v>
      </c>
      <c r="D12639" s="161" t="s">
        <v>74</v>
      </c>
      <c r="E12639" s="135">
        <f t="shared" si="62"/>
        <v>5</v>
      </c>
      <c r="F12639" s="134" t="s">
        <v>4053</v>
      </c>
      <c r="G12639" s="63" t="str">
        <f>VLOOKUP(C12639, 'Class Def. - General Data'!$C$20:$C$1000,1,false)</f>
        <v>ZSI1_PNEU_CYLINDER</v>
      </c>
      <c r="H12639" s="63" t="str">
        <f>IFERROR(__xludf.DUMMYFUNCTION("VLOOKUP(F12639, IMPORTRANGE(""https://docs.google.com/spreadsheets/d/1Lhp9OU0JdFf_VYSMzH5lBcEaU4o8teT1piV-SNzShjg/edit?gid=554141278#gid=554141278"", ""'Char Def. - Attributes'!C20:C2242""), 1,false)"),"MAINTENANCE_ORDER_TYPE")</f>
        <v>MAINTENANCE_ORDER_TYPE</v>
      </c>
      <c r="I12639" s="136"/>
      <c r="R12639" s="63" t="str">
        <f t="shared" si="60"/>
        <v>ZSI1_PNEU_CYLINDERMAINTENANCE_ORDER_TYPE</v>
      </c>
    </row>
    <row r="12640" ht="15.75" customHeight="1">
      <c r="B12640" s="63">
        <f t="shared" si="1"/>
        <v>18</v>
      </c>
      <c r="C12640" s="135" t="s">
        <v>317</v>
      </c>
      <c r="D12640" s="161" t="s">
        <v>74</v>
      </c>
      <c r="E12640" s="135">
        <f t="shared" si="62"/>
        <v>6</v>
      </c>
      <c r="F12640" s="134" t="s">
        <v>3585</v>
      </c>
      <c r="G12640" s="63" t="str">
        <f>VLOOKUP(C12640, 'Class Def. - General Data'!$C$20:$C$1000,1,false)</f>
        <v>ZSI1_PNEU_CYLINDER</v>
      </c>
      <c r="H12640" s="63" t="str">
        <f>IFERROR(__xludf.DUMMYFUNCTION("VLOOKUP(F12640, IMPORTRANGE(""https://docs.google.com/spreadsheets/d/1Lhp9OU0JdFf_VYSMzH5lBcEaU4o8teT1piV-SNzShjg/edit?gid=554141278#gid=554141278"", ""'Char Def. - Attributes'!C20:C2242""), 1,false)"),"HS_CODE")</f>
        <v>HS_CODE</v>
      </c>
      <c r="I12640" s="136"/>
      <c r="R12640" s="63" t="str">
        <f t="shared" si="60"/>
        <v>ZSI1_PNEU_CYLINDERHS_CODE</v>
      </c>
    </row>
    <row r="12641" ht="15.75" customHeight="1">
      <c r="B12641" s="63">
        <f t="shared" si="1"/>
        <v>18</v>
      </c>
      <c r="C12641" s="135" t="s">
        <v>317</v>
      </c>
      <c r="D12641" s="161" t="s">
        <v>74</v>
      </c>
      <c r="E12641" s="135">
        <f t="shared" si="62"/>
        <v>7</v>
      </c>
      <c r="F12641" s="134" t="s">
        <v>3587</v>
      </c>
      <c r="G12641" s="63" t="str">
        <f>VLOOKUP(C12641, 'Class Def. - General Data'!$C$20:$C$1000,1,false)</f>
        <v>ZSI1_PNEU_CYLINDER</v>
      </c>
      <c r="H12641" s="63" t="str">
        <f>IFERROR(__xludf.DUMMYFUNCTION("VLOOKUP(F12641, IMPORTRANGE(""https://docs.google.com/spreadsheets/d/1Lhp9OU0JdFf_VYSMzH5lBcEaU4o8teT1piV-SNzShjg/edit?gid=554141278#gid=554141278"", ""'Char Def. - Attributes'!C20:C2242""), 1,false)"),"PLANT_BUY")</f>
        <v>PLANT_BUY</v>
      </c>
      <c r="I12641" s="136"/>
      <c r="R12641" s="63" t="str">
        <f t="shared" si="60"/>
        <v>ZSI1_PNEU_CYLINDERPLANT_BUY</v>
      </c>
    </row>
    <row r="12642" ht="15.75" customHeight="1">
      <c r="B12642" s="63">
        <f t="shared" si="1"/>
        <v>18</v>
      </c>
      <c r="C12642" s="135" t="s">
        <v>317</v>
      </c>
      <c r="D12642" s="161" t="s">
        <v>74</v>
      </c>
      <c r="E12642" s="135">
        <f t="shared" si="62"/>
        <v>8</v>
      </c>
      <c r="F12642" s="134" t="s">
        <v>5235</v>
      </c>
      <c r="G12642" s="63" t="str">
        <f>VLOOKUP(C12642, 'Class Def. - General Data'!$C$20:$C$1000,1,false)</f>
        <v>ZSI1_PNEU_CYLINDER</v>
      </c>
      <c r="H12642" s="63" t="str">
        <f>IFERROR(__xludf.DUMMYFUNCTION("VLOOKUP(F12642, IMPORTRANGE(""https://docs.google.com/spreadsheets/d/1Lhp9OU0JdFf_VYSMzH5lBcEaU4o8teT1piV-SNzShjg/edit?gid=554141278#gid=554141278"", ""'Char Def. - Attributes'!C20:C2242""), 1,false)"),"BASE_UOM_PNEU_CYLINDER")</f>
        <v>BASE_UOM_PNEU_CYLINDER</v>
      </c>
      <c r="I12642" s="136"/>
      <c r="R12642" s="63" t="str">
        <f t="shared" si="60"/>
        <v>ZSI1_PNEU_CYLINDERBASE_UOM_PNEU_CYLINDER</v>
      </c>
    </row>
    <row r="12643" ht="15.75" customHeight="1">
      <c r="B12643" s="63">
        <f t="shared" si="1"/>
        <v>18</v>
      </c>
      <c r="C12643" s="135" t="s">
        <v>317</v>
      </c>
      <c r="D12643" s="161" t="s">
        <v>74</v>
      </c>
      <c r="E12643" s="135">
        <f t="shared" si="62"/>
        <v>9</v>
      </c>
      <c r="F12643" s="134" t="s">
        <v>5236</v>
      </c>
      <c r="G12643" s="63" t="str">
        <f>VLOOKUP(C12643, 'Class Def. - General Data'!$C$20:$C$1000,1,false)</f>
        <v>ZSI1_PNEU_CYLINDER</v>
      </c>
      <c r="H12643" s="63" t="str">
        <f>IFERROR(__xludf.DUMMYFUNCTION("VLOOKUP(F12643, IMPORTRANGE(""https://docs.google.com/spreadsheets/d/1Lhp9OU0JdFf_VYSMzH5lBcEaU4o8teT1piV-SNzShjg/edit?gid=554141278#gid=554141278"", ""'Char Def. - Attributes'!C20:C2242""), 1,false)"),"ORDER_UNIT_PNEU_CYLINDER")</f>
        <v>ORDER_UNIT_PNEU_CYLINDER</v>
      </c>
      <c r="I12643" s="136"/>
      <c r="R12643" s="63" t="str">
        <f t="shared" si="60"/>
        <v>ZSI1_PNEU_CYLINDERORDER_UNIT_PNEU_CYLINDER</v>
      </c>
    </row>
    <row r="12644" ht="15.75" customHeight="1">
      <c r="B12644" s="63">
        <f t="shared" si="1"/>
        <v>18</v>
      </c>
      <c r="C12644" s="135" t="s">
        <v>317</v>
      </c>
      <c r="D12644" s="161" t="s">
        <v>74</v>
      </c>
      <c r="E12644" s="135">
        <f t="shared" si="62"/>
        <v>10</v>
      </c>
      <c r="F12644" s="134" t="s">
        <v>4056</v>
      </c>
      <c r="G12644" s="63" t="str">
        <f>VLOOKUP(C12644, 'Class Def. - General Data'!$C$20:$C$1000,1,false)</f>
        <v>ZSI1_PNEU_CYLINDER</v>
      </c>
      <c r="H12644" s="63" t="str">
        <f>IFERROR(__xludf.DUMMYFUNCTION("VLOOKUP(F12644, IMPORTRANGE(""https://docs.google.com/spreadsheets/d/1Lhp9OU0JdFf_VYSMzH5lBcEaU4o8teT1piV-SNzShjg/edit?gid=554141278#gid=554141278"", ""'Char Def. - Attributes'!C20:C2242""), 1,false)"),"GROSS_WEIGHT_OPT")</f>
        <v>GROSS_WEIGHT_OPT</v>
      </c>
      <c r="I12644" s="136"/>
      <c r="R12644" s="63" t="str">
        <f t="shared" si="60"/>
        <v>ZSI1_PNEU_CYLINDERGROSS_WEIGHT_OPT</v>
      </c>
    </row>
    <row r="12645" ht="15.75" customHeight="1">
      <c r="B12645" s="63">
        <f t="shared" si="1"/>
        <v>18</v>
      </c>
      <c r="C12645" s="135" t="s">
        <v>317</v>
      </c>
      <c r="D12645" s="161" t="s">
        <v>74</v>
      </c>
      <c r="E12645" s="135">
        <f t="shared" si="62"/>
        <v>11</v>
      </c>
      <c r="F12645" s="134" t="s">
        <v>4057</v>
      </c>
      <c r="G12645" s="63" t="str">
        <f>VLOOKUP(C12645, 'Class Def. - General Data'!$C$20:$C$1000,1,false)</f>
        <v>ZSI1_PNEU_CYLINDER</v>
      </c>
      <c r="H12645" s="63" t="str">
        <f>IFERROR(__xludf.DUMMYFUNCTION("VLOOKUP(F12645, IMPORTRANGE(""https://docs.google.com/spreadsheets/d/1Lhp9OU0JdFf_VYSMzH5lBcEaU4o8teT1piV-SNzShjg/edit?gid=554141278#gid=554141278"", ""'Char Def. - Attributes'!C20:C2242""), 1,false)"),"NET_WEIGHT_OPT")</f>
        <v>NET_WEIGHT_OPT</v>
      </c>
      <c r="I12645" s="136"/>
      <c r="R12645" s="63" t="str">
        <f t="shared" si="60"/>
        <v>ZSI1_PNEU_CYLINDERNET_WEIGHT_OPT</v>
      </c>
    </row>
    <row r="12646" ht="15.75" customHeight="1">
      <c r="B12646" s="63">
        <f t="shared" si="1"/>
        <v>18</v>
      </c>
      <c r="C12646" s="135" t="s">
        <v>317</v>
      </c>
      <c r="D12646" s="161" t="s">
        <v>74</v>
      </c>
      <c r="E12646" s="135">
        <f t="shared" si="62"/>
        <v>12</v>
      </c>
      <c r="F12646" s="134" t="s">
        <v>4058</v>
      </c>
      <c r="G12646" s="63" t="str">
        <f>VLOOKUP(C12646, 'Class Def. - General Data'!$C$20:$C$1000,1,false)</f>
        <v>ZSI1_PNEU_CYLINDER</v>
      </c>
      <c r="H12646" s="63" t="str">
        <f>IFERROR(__xludf.DUMMYFUNCTION("VLOOKUP(F12646, IMPORTRANGE(""https://docs.google.com/spreadsheets/d/1Lhp9OU0JdFf_VYSMzH5lBcEaU4o8teT1piV-SNzShjg/edit?gid=554141278#gid=554141278"", ""'Char Def. - Attributes'!C20:C2242""), 1,false)"),"WEIGHT_UNIT_SI")</f>
        <v>WEIGHT_UNIT_SI</v>
      </c>
      <c r="I12646" s="136"/>
      <c r="R12646" s="63" t="str">
        <f t="shared" si="60"/>
        <v>ZSI1_PNEU_CYLINDERWEIGHT_UNIT_SI</v>
      </c>
    </row>
    <row r="12647" ht="15.75" customHeight="1">
      <c r="B12647" s="63">
        <f t="shared" si="1"/>
        <v>18</v>
      </c>
      <c r="C12647" s="135" t="s">
        <v>317</v>
      </c>
      <c r="D12647" s="161" t="s">
        <v>74</v>
      </c>
      <c r="E12647" s="135">
        <f t="shared" si="62"/>
        <v>13</v>
      </c>
      <c r="F12647" s="134" t="s">
        <v>3877</v>
      </c>
      <c r="G12647" s="63" t="str">
        <f>VLOOKUP(C12647, 'Class Def. - General Data'!$C$20:$C$1000,1,false)</f>
        <v>ZSI1_PNEU_CYLINDER</v>
      </c>
      <c r="H12647" s="63" t="str">
        <f>IFERROR(__xludf.DUMMYFUNCTION("VLOOKUP(F12647, IMPORTRANGE(""https://docs.google.com/spreadsheets/d/1Lhp9OU0JdFf_VYSMzH5lBcEaU4o8teT1piV-SNzShjg/edit?gid=554141278#gid=554141278"", ""'Char Def. - Attributes'!C20:C2242""), 1,false)"),"VOLUME_OPT")</f>
        <v>VOLUME_OPT</v>
      </c>
      <c r="I12647" s="136"/>
      <c r="R12647" s="63" t="str">
        <f t="shared" si="60"/>
        <v>ZSI1_PNEU_CYLINDERVOLUME_OPT</v>
      </c>
    </row>
    <row r="12648" ht="15.75" customHeight="1">
      <c r="B12648" s="63">
        <f t="shared" si="1"/>
        <v>18</v>
      </c>
      <c r="C12648" s="135" t="s">
        <v>317</v>
      </c>
      <c r="D12648" s="161" t="s">
        <v>74</v>
      </c>
      <c r="E12648" s="135">
        <f t="shared" si="62"/>
        <v>14</v>
      </c>
      <c r="F12648" s="134" t="s">
        <v>4059</v>
      </c>
      <c r="G12648" s="63" t="str">
        <f>VLOOKUP(C12648, 'Class Def. - General Data'!$C$20:$C$1000,1,false)</f>
        <v>ZSI1_PNEU_CYLINDER</v>
      </c>
      <c r="H12648" s="63" t="str">
        <f>IFERROR(__xludf.DUMMYFUNCTION("VLOOKUP(F12648, IMPORTRANGE(""https://docs.google.com/spreadsheets/d/1Lhp9OU0JdFf_VYSMzH5lBcEaU4o8teT1piV-SNzShjg/edit?gid=554141278#gid=554141278"", ""'Char Def. - Attributes'!C20:C2242""), 1,false)"),"VOLUME_UNIT_SI")</f>
        <v>VOLUME_UNIT_SI</v>
      </c>
      <c r="I12648" s="136"/>
      <c r="R12648" s="63" t="str">
        <f t="shared" si="60"/>
        <v>ZSI1_PNEU_CYLINDERVOLUME_UNIT_SI</v>
      </c>
    </row>
    <row r="12649" ht="15.75" customHeight="1">
      <c r="B12649" s="63">
        <f t="shared" si="1"/>
        <v>18</v>
      </c>
      <c r="C12649" s="135" t="s">
        <v>317</v>
      </c>
      <c r="D12649" s="161" t="s">
        <v>74</v>
      </c>
      <c r="E12649" s="135">
        <f t="shared" si="62"/>
        <v>15</v>
      </c>
      <c r="F12649" s="134" t="s">
        <v>3804</v>
      </c>
      <c r="G12649" s="63" t="str">
        <f>VLOOKUP(C12649, 'Class Def. - General Data'!$C$20:$C$1000,1,false)</f>
        <v>ZSI1_PNEU_CYLINDER</v>
      </c>
      <c r="H12649" s="63" t="str">
        <f>IFERROR(__xludf.DUMMYFUNCTION("VLOOKUP(F12649, IMPORTRANGE(""https://docs.google.com/spreadsheets/d/1Lhp9OU0JdFf_VYSMzH5lBcEaU4o8teT1piV-SNzShjg/edit?gid=554141278#gid=554141278"", ""'Char Def. - Attributes'!C20:C2242""), 1,false)"),"ALT_UOM1_SIPI")</f>
        <v>ALT_UOM1_SIPI</v>
      </c>
      <c r="I12649" s="136"/>
      <c r="R12649" s="63" t="str">
        <f t="shared" si="60"/>
        <v>ZSI1_PNEU_CYLINDERALT_UOM1_SIPI</v>
      </c>
    </row>
    <row r="12650" ht="15.75" customHeight="1">
      <c r="B12650" s="63">
        <f t="shared" si="1"/>
        <v>18</v>
      </c>
      <c r="C12650" s="135" t="s">
        <v>317</v>
      </c>
      <c r="D12650" s="161" t="s">
        <v>74</v>
      </c>
      <c r="E12650" s="135">
        <f t="shared" si="62"/>
        <v>16</v>
      </c>
      <c r="F12650" s="134" t="s">
        <v>3805</v>
      </c>
      <c r="G12650" s="63" t="str">
        <f>VLOOKUP(C12650, 'Class Def. - General Data'!$C$20:$C$1000,1,false)</f>
        <v>ZSI1_PNEU_CYLINDER</v>
      </c>
      <c r="H12650" s="63" t="str">
        <f>IFERROR(__xludf.DUMMYFUNCTION("VLOOKUP(F12650, IMPORTRANGE(""https://docs.google.com/spreadsheets/d/1Lhp9OU0JdFf_VYSMzH5lBcEaU4o8teT1piV-SNzShjg/edit?gid=554141278#gid=554141278"", ""'Char Def. - Attributes'!C20:C2242""), 1,false)"),"ALT_DENUM_UOM1")</f>
        <v>ALT_DENUM_UOM1</v>
      </c>
      <c r="I12650" s="136"/>
      <c r="R12650" s="63" t="str">
        <f t="shared" si="60"/>
        <v>ZSI1_PNEU_CYLINDERALT_DENUM_UOM1</v>
      </c>
    </row>
    <row r="12651" ht="15.75" customHeight="1">
      <c r="B12651" s="63">
        <f t="shared" si="1"/>
        <v>18</v>
      </c>
      <c r="C12651" s="135" t="s">
        <v>317</v>
      </c>
      <c r="D12651" s="161" t="s">
        <v>74</v>
      </c>
      <c r="E12651" s="135">
        <f t="shared" si="62"/>
        <v>17</v>
      </c>
      <c r="F12651" s="134" t="s">
        <v>3806</v>
      </c>
      <c r="G12651" s="63" t="str">
        <f>VLOOKUP(C12651, 'Class Def. - General Data'!$C$20:$C$1000,1,false)</f>
        <v>ZSI1_PNEU_CYLINDER</v>
      </c>
      <c r="H12651" s="63" t="str">
        <f>IFERROR(__xludf.DUMMYFUNCTION("VLOOKUP(F12651, IMPORTRANGE(""https://docs.google.com/spreadsheets/d/1Lhp9OU0JdFf_VYSMzH5lBcEaU4o8teT1piV-SNzShjg/edit?gid=554141278#gid=554141278"", ""'Char Def. - Attributes'!C20:C2242""), 1,false)"),"ALT_NUM_UOM1")</f>
        <v>ALT_NUM_UOM1</v>
      </c>
      <c r="I12651" s="136"/>
      <c r="R12651" s="63" t="str">
        <f t="shared" si="60"/>
        <v>ZSI1_PNEU_CYLINDERALT_NUM_UOM1</v>
      </c>
    </row>
    <row r="12652" ht="15.75" customHeight="1">
      <c r="B12652" s="63">
        <f t="shared" si="1"/>
        <v>18</v>
      </c>
      <c r="C12652" s="135" t="s">
        <v>317</v>
      </c>
      <c r="D12652" s="161" t="s">
        <v>74</v>
      </c>
      <c r="E12652" s="135">
        <f t="shared" si="62"/>
        <v>18</v>
      </c>
      <c r="F12652" s="134" t="s">
        <v>3807</v>
      </c>
      <c r="G12652" s="63" t="str">
        <f>VLOOKUP(C12652, 'Class Def. - General Data'!$C$20:$C$1000,1,false)</f>
        <v>ZSI1_PNEU_CYLINDER</v>
      </c>
      <c r="H12652" s="63" t="str">
        <f>IFERROR(__xludf.DUMMYFUNCTION("VLOOKUP(F12652, IMPORTRANGE(""https://docs.google.com/spreadsheets/d/1Lhp9OU0JdFf_VYSMzH5lBcEaU4o8teT1piV-SNzShjg/edit?gid=554141278#gid=554141278"", ""'Char Def. - Attributes'!C20:C2242""), 1,false)"),"ALT_UOM2_SIPI")</f>
        <v>ALT_UOM2_SIPI</v>
      </c>
      <c r="I12652" s="136"/>
      <c r="R12652" s="63" t="str">
        <f t="shared" si="60"/>
        <v>ZSI1_PNEU_CYLINDERALT_UOM2_SIPI</v>
      </c>
    </row>
    <row r="12653" ht="15.75" customHeight="1">
      <c r="B12653" s="63">
        <f t="shared" si="1"/>
        <v>18</v>
      </c>
      <c r="C12653" s="135" t="s">
        <v>317</v>
      </c>
      <c r="D12653" s="161" t="s">
        <v>74</v>
      </c>
      <c r="E12653" s="135">
        <f t="shared" si="62"/>
        <v>19</v>
      </c>
      <c r="F12653" s="134" t="s">
        <v>3808</v>
      </c>
      <c r="G12653" s="63" t="str">
        <f>VLOOKUP(C12653, 'Class Def. - General Data'!$C$20:$C$1000,1,false)</f>
        <v>ZSI1_PNEU_CYLINDER</v>
      </c>
      <c r="H12653" s="63" t="str">
        <f>IFERROR(__xludf.DUMMYFUNCTION("VLOOKUP(F12653, IMPORTRANGE(""https://docs.google.com/spreadsheets/d/1Lhp9OU0JdFf_VYSMzH5lBcEaU4o8teT1piV-SNzShjg/edit?gid=554141278#gid=554141278"", ""'Char Def. - Attributes'!C20:C2242""), 1,false)"),"ALT_DENUM_UOM2")</f>
        <v>ALT_DENUM_UOM2</v>
      </c>
      <c r="I12653" s="136"/>
      <c r="R12653" s="63" t="str">
        <f t="shared" si="60"/>
        <v>ZSI1_PNEU_CYLINDERALT_DENUM_UOM2</v>
      </c>
    </row>
    <row r="12654" ht="15.75" customHeight="1">
      <c r="B12654" s="63">
        <f t="shared" si="1"/>
        <v>18</v>
      </c>
      <c r="C12654" s="135" t="s">
        <v>317</v>
      </c>
      <c r="D12654" s="161" t="s">
        <v>74</v>
      </c>
      <c r="E12654" s="135">
        <f t="shared" si="62"/>
        <v>20</v>
      </c>
      <c r="F12654" s="134" t="s">
        <v>3809</v>
      </c>
      <c r="G12654" s="63" t="str">
        <f>VLOOKUP(C12654, 'Class Def. - General Data'!$C$20:$C$1000,1,false)</f>
        <v>ZSI1_PNEU_CYLINDER</v>
      </c>
      <c r="H12654" s="63" t="str">
        <f>IFERROR(__xludf.DUMMYFUNCTION("VLOOKUP(F12654, IMPORTRANGE(""https://docs.google.com/spreadsheets/d/1Lhp9OU0JdFf_VYSMzH5lBcEaU4o8teT1piV-SNzShjg/edit?gid=554141278#gid=554141278"", ""'Char Def. - Attributes'!C20:C2242""), 1,false)"),"ALT_NUM_UOM2")</f>
        <v>ALT_NUM_UOM2</v>
      </c>
      <c r="I12654" s="136"/>
      <c r="R12654" s="63" t="str">
        <f t="shared" si="60"/>
        <v>ZSI1_PNEU_CYLINDERALT_NUM_UOM2</v>
      </c>
    </row>
    <row r="12655" ht="15.75" customHeight="1">
      <c r="B12655" s="63">
        <f t="shared" si="1"/>
        <v>18</v>
      </c>
      <c r="C12655" s="135" t="s">
        <v>317</v>
      </c>
      <c r="D12655" s="161" t="s">
        <v>74</v>
      </c>
      <c r="E12655" s="135">
        <f t="shared" si="62"/>
        <v>21</v>
      </c>
      <c r="F12655" s="134" t="s">
        <v>3810</v>
      </c>
      <c r="G12655" s="63" t="str">
        <f>VLOOKUP(C12655, 'Class Def. - General Data'!$C$20:$C$1000,1,false)</f>
        <v>ZSI1_PNEU_CYLINDER</v>
      </c>
      <c r="H12655" s="63" t="str">
        <f>IFERROR(__xludf.DUMMYFUNCTION("VLOOKUP(F12655, IMPORTRANGE(""https://docs.google.com/spreadsheets/d/1Lhp9OU0JdFf_VYSMzH5lBcEaU4o8teT1piV-SNzShjg/edit?gid=554141278#gid=554141278"", ""'Char Def. - Attributes'!C20:C2242""), 1,false)"),"ALT_UOM3_SIPI")</f>
        <v>ALT_UOM3_SIPI</v>
      </c>
      <c r="I12655" s="136"/>
      <c r="R12655" s="63" t="str">
        <f t="shared" si="60"/>
        <v>ZSI1_PNEU_CYLINDERALT_UOM3_SIPI</v>
      </c>
    </row>
    <row r="12656" ht="15.75" customHeight="1">
      <c r="B12656" s="63">
        <f t="shared" si="1"/>
        <v>18</v>
      </c>
      <c r="C12656" s="135" t="s">
        <v>317</v>
      </c>
      <c r="D12656" s="161" t="s">
        <v>74</v>
      </c>
      <c r="E12656" s="135">
        <f t="shared" si="62"/>
        <v>22</v>
      </c>
      <c r="F12656" s="134" t="s">
        <v>3811</v>
      </c>
      <c r="G12656" s="63" t="str">
        <f>VLOOKUP(C12656, 'Class Def. - General Data'!$C$20:$C$1000,1,false)</f>
        <v>ZSI1_PNEU_CYLINDER</v>
      </c>
      <c r="H12656" s="63" t="str">
        <f>IFERROR(__xludf.DUMMYFUNCTION("VLOOKUP(F12656, IMPORTRANGE(""https://docs.google.com/spreadsheets/d/1Lhp9OU0JdFf_VYSMzH5lBcEaU4o8teT1piV-SNzShjg/edit?gid=554141278#gid=554141278"", ""'Char Def. - Attributes'!C20:C2242""), 1,false)"),"ALT_DENUM_UOM3")</f>
        <v>ALT_DENUM_UOM3</v>
      </c>
      <c r="I12656" s="136"/>
      <c r="R12656" s="63" t="str">
        <f t="shared" si="60"/>
        <v>ZSI1_PNEU_CYLINDERALT_DENUM_UOM3</v>
      </c>
    </row>
    <row r="12657" ht="15.75" customHeight="1">
      <c r="B12657" s="63">
        <f t="shared" si="1"/>
        <v>18</v>
      </c>
      <c r="C12657" s="135" t="s">
        <v>317</v>
      </c>
      <c r="D12657" s="161" t="s">
        <v>74</v>
      </c>
      <c r="E12657" s="135">
        <f t="shared" si="62"/>
        <v>23</v>
      </c>
      <c r="F12657" s="134" t="s">
        <v>3812</v>
      </c>
      <c r="G12657" s="63" t="str">
        <f>VLOOKUP(C12657, 'Class Def. - General Data'!$C$20:$C$1000,1,false)</f>
        <v>ZSI1_PNEU_CYLINDER</v>
      </c>
      <c r="H12657" s="63" t="str">
        <f>IFERROR(__xludf.DUMMYFUNCTION("VLOOKUP(F12657, IMPORTRANGE(""https://docs.google.com/spreadsheets/d/1Lhp9OU0JdFf_VYSMzH5lBcEaU4o8teT1piV-SNzShjg/edit?gid=554141278#gid=554141278"", ""'Char Def. - Attributes'!C20:C2242""), 1,false)"),"ALT_NUM_UOM3")</f>
        <v>ALT_NUM_UOM3</v>
      </c>
      <c r="I12657" s="136"/>
      <c r="R12657" s="63" t="str">
        <f t="shared" si="60"/>
        <v>ZSI1_PNEU_CYLINDERALT_NUM_UOM3</v>
      </c>
    </row>
    <row r="12658" ht="15.75" customHeight="1">
      <c r="B12658" s="63">
        <f t="shared" si="1"/>
        <v>18</v>
      </c>
      <c r="C12658" s="135" t="s">
        <v>317</v>
      </c>
      <c r="D12658" s="161" t="s">
        <v>74</v>
      </c>
      <c r="E12658" s="135">
        <f t="shared" si="62"/>
        <v>24</v>
      </c>
      <c r="F12658" s="134" t="s">
        <v>3813</v>
      </c>
      <c r="G12658" s="63" t="str">
        <f>VLOOKUP(C12658, 'Class Def. - General Data'!$C$20:$C$1000,1,false)</f>
        <v>ZSI1_PNEU_CYLINDER</v>
      </c>
      <c r="H12658" s="63" t="str">
        <f>IFERROR(__xludf.DUMMYFUNCTION("VLOOKUP(F12658, IMPORTRANGE(""https://docs.google.com/spreadsheets/d/1Lhp9OU0JdFf_VYSMzH5lBcEaU4o8teT1piV-SNzShjg/edit?gid=554141278#gid=554141278"", ""'Char Def. - Attributes'!C20:C2242""), 1,false)"),"ALT_UOM4_SIPI")</f>
        <v>ALT_UOM4_SIPI</v>
      </c>
      <c r="I12658" s="136"/>
      <c r="R12658" s="63" t="str">
        <f t="shared" si="60"/>
        <v>ZSI1_PNEU_CYLINDERALT_UOM4_SIPI</v>
      </c>
    </row>
    <row r="12659" ht="15.75" customHeight="1">
      <c r="B12659" s="63">
        <f t="shared" si="1"/>
        <v>18</v>
      </c>
      <c r="C12659" s="135" t="s">
        <v>317</v>
      </c>
      <c r="D12659" s="161" t="s">
        <v>74</v>
      </c>
      <c r="E12659" s="135">
        <f t="shared" si="62"/>
        <v>25</v>
      </c>
      <c r="F12659" s="134" t="s">
        <v>3814</v>
      </c>
      <c r="G12659" s="63" t="str">
        <f>VLOOKUP(C12659, 'Class Def. - General Data'!$C$20:$C$1000,1,false)</f>
        <v>ZSI1_PNEU_CYLINDER</v>
      </c>
      <c r="H12659" s="63" t="str">
        <f>IFERROR(__xludf.DUMMYFUNCTION("VLOOKUP(F12659, IMPORTRANGE(""https://docs.google.com/spreadsheets/d/1Lhp9OU0JdFf_VYSMzH5lBcEaU4o8teT1piV-SNzShjg/edit?gid=554141278#gid=554141278"", ""'Char Def. - Attributes'!C20:C2242""), 1,false)"),"ALT_DENUM_UOM4")</f>
        <v>ALT_DENUM_UOM4</v>
      </c>
      <c r="I12659" s="136"/>
      <c r="R12659" s="63" t="str">
        <f t="shared" si="60"/>
        <v>ZSI1_PNEU_CYLINDERALT_DENUM_UOM4</v>
      </c>
    </row>
    <row r="12660" ht="15.75" customHeight="1">
      <c r="B12660" s="63">
        <f t="shared" si="1"/>
        <v>18</v>
      </c>
      <c r="C12660" s="135" t="s">
        <v>317</v>
      </c>
      <c r="D12660" s="161" t="s">
        <v>74</v>
      </c>
      <c r="E12660" s="135">
        <f t="shared" si="62"/>
        <v>26</v>
      </c>
      <c r="F12660" s="134" t="s">
        <v>3815</v>
      </c>
      <c r="G12660" s="63" t="str">
        <f>VLOOKUP(C12660, 'Class Def. - General Data'!$C$20:$C$1000,1,false)</f>
        <v>ZSI1_PNEU_CYLINDER</v>
      </c>
      <c r="H12660" s="63" t="str">
        <f>IFERROR(__xludf.DUMMYFUNCTION("VLOOKUP(F12660, IMPORTRANGE(""https://docs.google.com/spreadsheets/d/1Lhp9OU0JdFf_VYSMzH5lBcEaU4o8teT1piV-SNzShjg/edit?gid=554141278#gid=554141278"", ""'Char Def. - Attributes'!C20:C2242""), 1,false)"),"ALT_NUM_UOM4")</f>
        <v>ALT_NUM_UOM4</v>
      </c>
      <c r="I12660" s="136"/>
      <c r="R12660" s="63" t="str">
        <f t="shared" si="60"/>
        <v>ZSI1_PNEU_CYLINDERALT_NUM_UOM4</v>
      </c>
    </row>
    <row r="12661" ht="15.75" customHeight="1">
      <c r="B12661" s="63">
        <f t="shared" si="1"/>
        <v>18</v>
      </c>
      <c r="C12661" s="135" t="s">
        <v>317</v>
      </c>
      <c r="D12661" s="161" t="s">
        <v>74</v>
      </c>
      <c r="E12661" s="135">
        <f t="shared" si="62"/>
        <v>27</v>
      </c>
      <c r="F12661" s="134" t="s">
        <v>3816</v>
      </c>
      <c r="G12661" s="63" t="str">
        <f>VLOOKUP(C12661, 'Class Def. - General Data'!$C$20:$C$1000,1,false)</f>
        <v>ZSI1_PNEU_CYLINDER</v>
      </c>
      <c r="H12661" s="63" t="str">
        <f>IFERROR(__xludf.DUMMYFUNCTION("VLOOKUP(F12661, IMPORTRANGE(""https://docs.google.com/spreadsheets/d/1Lhp9OU0JdFf_VYSMzH5lBcEaU4o8teT1piV-SNzShjg/edit?gid=554141278#gid=554141278"", ""'Char Def. - Attributes'!C20:C2242""), 1,false)"),"ALT_UOM5_SIPI")</f>
        <v>ALT_UOM5_SIPI</v>
      </c>
      <c r="I12661" s="136"/>
      <c r="R12661" s="63" t="str">
        <f t="shared" si="60"/>
        <v>ZSI1_PNEU_CYLINDERALT_UOM5_SIPI</v>
      </c>
    </row>
    <row r="12662" ht="15.75" customHeight="1">
      <c r="B12662" s="63">
        <f t="shared" si="1"/>
        <v>18</v>
      </c>
      <c r="C12662" s="135" t="s">
        <v>317</v>
      </c>
      <c r="D12662" s="161" t="s">
        <v>74</v>
      </c>
      <c r="E12662" s="135">
        <f t="shared" si="62"/>
        <v>28</v>
      </c>
      <c r="F12662" s="134" t="s">
        <v>3817</v>
      </c>
      <c r="G12662" s="63" t="str">
        <f>VLOOKUP(C12662, 'Class Def. - General Data'!$C$20:$C$1000,1,false)</f>
        <v>ZSI1_PNEU_CYLINDER</v>
      </c>
      <c r="H12662" s="63" t="str">
        <f>IFERROR(__xludf.DUMMYFUNCTION("VLOOKUP(F12662, IMPORTRANGE(""https://docs.google.com/spreadsheets/d/1Lhp9OU0JdFf_VYSMzH5lBcEaU4o8teT1piV-SNzShjg/edit?gid=554141278#gid=554141278"", ""'Char Def. - Attributes'!C20:C2242""), 1,false)"),"ALT_DENUM_UOM5")</f>
        <v>ALT_DENUM_UOM5</v>
      </c>
      <c r="I12662" s="136"/>
      <c r="R12662" s="63" t="str">
        <f t="shared" si="60"/>
        <v>ZSI1_PNEU_CYLINDERALT_DENUM_UOM5</v>
      </c>
    </row>
    <row r="12663" ht="15.75" customHeight="1">
      <c r="B12663" s="63">
        <f t="shared" si="1"/>
        <v>18</v>
      </c>
      <c r="C12663" s="135" t="s">
        <v>317</v>
      </c>
      <c r="D12663" s="161" t="s">
        <v>74</v>
      </c>
      <c r="E12663" s="135">
        <f t="shared" si="62"/>
        <v>29</v>
      </c>
      <c r="F12663" s="134" t="s">
        <v>3818</v>
      </c>
      <c r="G12663" s="63" t="str">
        <f>VLOOKUP(C12663, 'Class Def. - General Data'!$C$20:$C$1000,1,false)</f>
        <v>ZSI1_PNEU_CYLINDER</v>
      </c>
      <c r="H12663" s="63" t="str">
        <f>IFERROR(__xludf.DUMMYFUNCTION("VLOOKUP(F12663, IMPORTRANGE(""https://docs.google.com/spreadsheets/d/1Lhp9OU0JdFf_VYSMzH5lBcEaU4o8teT1piV-SNzShjg/edit?gid=554141278#gid=554141278"", ""'Char Def. - Attributes'!C20:C2242""), 1,false)"),"ALT_NUM_UOM5")</f>
        <v>ALT_NUM_UOM5</v>
      </c>
      <c r="I12663" s="136"/>
      <c r="R12663" s="63" t="str">
        <f t="shared" si="60"/>
        <v>ZSI1_PNEU_CYLINDERALT_NUM_UOM5</v>
      </c>
    </row>
    <row r="12664" ht="15.75" customHeight="1">
      <c r="B12664" s="63">
        <f t="shared" si="1"/>
        <v>14</v>
      </c>
      <c r="C12664" s="135" t="s">
        <v>342</v>
      </c>
      <c r="D12664" s="161" t="s">
        <v>74</v>
      </c>
      <c r="E12664" s="135">
        <f t="shared" si="62"/>
        <v>1</v>
      </c>
      <c r="F12664" s="134" t="s">
        <v>5237</v>
      </c>
      <c r="G12664" s="63" t="str">
        <f>VLOOKUP(C12664, 'Class Def. - General Data'!$C$20:$C$1000,1,false)</f>
        <v>ZSI1_PNEU_HOSE</v>
      </c>
      <c r="H12664" s="63" t="str">
        <f>IFERROR(__xludf.DUMMYFUNCTION("VLOOKUP(F12664, IMPORTRANGE(""https://docs.google.com/spreadsheets/d/1Lhp9OU0JdFf_VYSMzH5lBcEaU4o8teT1piV-SNzShjg/edit?gid=554141278#gid=554141278"", ""'Char Def. - Attributes'!C20:C2242""), 1,false)"),"ITEM_NAME_PNEU_HOSE")</f>
        <v>ITEM_NAME_PNEU_HOSE</v>
      </c>
      <c r="I12664" s="136"/>
      <c r="R12664" s="63" t="str">
        <f t="shared" si="60"/>
        <v>ZSI1_PNEU_HOSEITEM_NAME_PNEU_HOSE</v>
      </c>
    </row>
    <row r="12665" ht="15.75" customHeight="1">
      <c r="B12665" s="63">
        <f t="shared" si="1"/>
        <v>14</v>
      </c>
      <c r="C12665" s="135" t="s">
        <v>342</v>
      </c>
      <c r="D12665" s="161" t="s">
        <v>74</v>
      </c>
      <c r="E12665" s="135">
        <f t="shared" si="62"/>
        <v>2</v>
      </c>
      <c r="F12665" s="134" t="s">
        <v>5238</v>
      </c>
      <c r="G12665" s="63" t="str">
        <f>VLOOKUP(C12665, 'Class Def. - General Data'!$C$20:$C$1000,1,false)</f>
        <v>ZSI1_PNEU_HOSE</v>
      </c>
      <c r="H12665" s="63" t="str">
        <f>IFERROR(__xludf.DUMMYFUNCTION("VLOOKUP(F12665, IMPORTRANGE(""https://docs.google.com/spreadsheets/d/1Lhp9OU0JdFf_VYSMzH5lBcEaU4o8teT1piV-SNzShjg/edit?gid=554141278#gid=554141278"", ""'Char Def. - Attributes'!C20:C2242""), 1,false)"),"#N/A")</f>
        <v>#N/A</v>
      </c>
      <c r="I12665" s="136"/>
      <c r="R12665" s="63" t="str">
        <f t="shared" si="60"/>
        <v>ZSI1_PNEU_HOSEMFR_NO_PNEU_HOSE</v>
      </c>
    </row>
    <row r="12666" ht="15.75" customHeight="1">
      <c r="B12666" s="63">
        <f t="shared" si="1"/>
        <v>14</v>
      </c>
      <c r="C12666" s="135" t="s">
        <v>342</v>
      </c>
      <c r="D12666" s="161" t="s">
        <v>74</v>
      </c>
      <c r="E12666" s="135">
        <f t="shared" si="62"/>
        <v>3</v>
      </c>
      <c r="F12666" s="134" t="s">
        <v>3782</v>
      </c>
      <c r="G12666" s="63" t="str">
        <f>VLOOKUP(C12666, 'Class Def. - General Data'!$C$20:$C$1000,1,false)</f>
        <v>ZSI1_PNEU_HOSE</v>
      </c>
      <c r="H12666" s="63" t="str">
        <f>IFERROR(__xludf.DUMMYFUNCTION("VLOOKUP(F12666, IMPORTRANGE(""https://docs.google.com/spreadsheets/d/1Lhp9OU0JdFf_VYSMzH5lBcEaU4o8teT1piV-SNzShjg/edit?gid=554141278#gid=554141278"", ""'Char Def. - Attributes'!C20:C2242""), 1,false)"),"BRAND_EXTERNAL")</f>
        <v>BRAND_EXTERNAL</v>
      </c>
      <c r="I12666" s="136"/>
      <c r="R12666" s="63" t="str">
        <f t="shared" si="60"/>
        <v>ZSI1_PNEU_HOSEBRAND_EXTERNAL</v>
      </c>
    </row>
    <row r="12667" ht="15.75" customHeight="1">
      <c r="B12667" s="63">
        <f t="shared" si="1"/>
        <v>14</v>
      </c>
      <c r="C12667" s="135" t="s">
        <v>342</v>
      </c>
      <c r="D12667" s="161" t="s">
        <v>74</v>
      </c>
      <c r="E12667" s="135">
        <f t="shared" si="62"/>
        <v>4</v>
      </c>
      <c r="F12667" s="134" t="s">
        <v>3585</v>
      </c>
      <c r="G12667" s="63" t="str">
        <f>VLOOKUP(C12667, 'Class Def. - General Data'!$C$20:$C$1000,1,false)</f>
        <v>ZSI1_PNEU_HOSE</v>
      </c>
      <c r="H12667" s="63" t="str">
        <f>IFERROR(__xludf.DUMMYFUNCTION("VLOOKUP(F12667, IMPORTRANGE(""https://docs.google.com/spreadsheets/d/1Lhp9OU0JdFf_VYSMzH5lBcEaU4o8teT1piV-SNzShjg/edit?gid=554141278#gid=554141278"", ""'Char Def. - Attributes'!C20:C2242""), 1,false)"),"HS_CODE")</f>
        <v>HS_CODE</v>
      </c>
      <c r="I12667" s="136"/>
      <c r="R12667" s="63" t="str">
        <f t="shared" si="60"/>
        <v>ZSI1_PNEU_HOSEHS_CODE</v>
      </c>
    </row>
    <row r="12668" ht="15.75" customHeight="1">
      <c r="B12668" s="63">
        <f t="shared" si="1"/>
        <v>14</v>
      </c>
      <c r="C12668" s="135" t="s">
        <v>342</v>
      </c>
      <c r="D12668" s="161" t="s">
        <v>74</v>
      </c>
      <c r="E12668" s="135">
        <f t="shared" si="62"/>
        <v>5</v>
      </c>
      <c r="F12668" s="134" t="s">
        <v>3587</v>
      </c>
      <c r="G12668" s="63" t="str">
        <f>VLOOKUP(C12668, 'Class Def. - General Data'!$C$20:$C$1000,1,false)</f>
        <v>ZSI1_PNEU_HOSE</v>
      </c>
      <c r="H12668" s="63" t="str">
        <f>IFERROR(__xludf.DUMMYFUNCTION("VLOOKUP(F12668, IMPORTRANGE(""https://docs.google.com/spreadsheets/d/1Lhp9OU0JdFf_VYSMzH5lBcEaU4o8teT1piV-SNzShjg/edit?gid=554141278#gid=554141278"", ""'Char Def. - Attributes'!C20:C2242""), 1,false)"),"PLANT_BUY")</f>
        <v>PLANT_BUY</v>
      </c>
      <c r="I12668" s="136"/>
      <c r="R12668" s="63" t="str">
        <f t="shared" si="60"/>
        <v>ZSI1_PNEU_HOSEPLANT_BUY</v>
      </c>
    </row>
    <row r="12669" ht="15.75" customHeight="1">
      <c r="B12669" s="63">
        <f t="shared" si="1"/>
        <v>14</v>
      </c>
      <c r="C12669" s="135" t="s">
        <v>342</v>
      </c>
      <c r="D12669" s="161" t="s">
        <v>74</v>
      </c>
      <c r="E12669" s="135">
        <f t="shared" si="62"/>
        <v>6</v>
      </c>
      <c r="F12669" s="134" t="s">
        <v>5239</v>
      </c>
      <c r="G12669" s="63" t="str">
        <f>VLOOKUP(C12669, 'Class Def. - General Data'!$C$20:$C$1000,1,false)</f>
        <v>ZSI1_PNEU_HOSE</v>
      </c>
      <c r="H12669" s="63" t="str">
        <f>IFERROR(__xludf.DUMMYFUNCTION("VLOOKUP(F12669, IMPORTRANGE(""https://docs.google.com/spreadsheets/d/1Lhp9OU0JdFf_VYSMzH5lBcEaU4o8teT1piV-SNzShjg/edit?gid=554141278#gid=554141278"", ""'Char Def. - Attributes'!C20:C2242""), 1,false)"),"BASE_UOM_PNEU_HOSE")</f>
        <v>BASE_UOM_PNEU_HOSE</v>
      </c>
      <c r="I12669" s="136"/>
      <c r="R12669" s="63" t="str">
        <f t="shared" si="60"/>
        <v>ZSI1_PNEU_HOSEBASE_UOM_PNEU_HOSE</v>
      </c>
    </row>
    <row r="12670" ht="15.75" customHeight="1">
      <c r="B12670" s="63">
        <f t="shared" si="1"/>
        <v>14</v>
      </c>
      <c r="C12670" s="135" t="s">
        <v>342</v>
      </c>
      <c r="D12670" s="161" t="s">
        <v>74</v>
      </c>
      <c r="E12670" s="135">
        <f t="shared" si="62"/>
        <v>7</v>
      </c>
      <c r="F12670" s="134" t="s">
        <v>5240</v>
      </c>
      <c r="G12670" s="63" t="str">
        <f>VLOOKUP(C12670, 'Class Def. - General Data'!$C$20:$C$1000,1,false)</f>
        <v>ZSI1_PNEU_HOSE</v>
      </c>
      <c r="H12670" s="63" t="str">
        <f>IFERROR(__xludf.DUMMYFUNCTION("VLOOKUP(F12670, IMPORTRANGE(""https://docs.google.com/spreadsheets/d/1Lhp9OU0JdFf_VYSMzH5lBcEaU4o8teT1piV-SNzShjg/edit?gid=554141278#gid=554141278"", ""'Char Def. - Attributes'!C20:C2242""), 1,false)"),"ORDER_UNIT_PNEU_HOSE")</f>
        <v>ORDER_UNIT_PNEU_HOSE</v>
      </c>
      <c r="I12670" s="136"/>
      <c r="R12670" s="63" t="str">
        <f t="shared" si="60"/>
        <v>ZSI1_PNEU_HOSEORDER_UNIT_PNEU_HOSE</v>
      </c>
    </row>
    <row r="12671" ht="15.75" customHeight="1">
      <c r="B12671" s="63">
        <f t="shared" si="1"/>
        <v>14</v>
      </c>
      <c r="C12671" s="135" t="s">
        <v>342</v>
      </c>
      <c r="D12671" s="161" t="s">
        <v>74</v>
      </c>
      <c r="E12671" s="135">
        <f t="shared" si="62"/>
        <v>8</v>
      </c>
      <c r="F12671" s="134" t="s">
        <v>4056</v>
      </c>
      <c r="G12671" s="63" t="str">
        <f>VLOOKUP(C12671, 'Class Def. - General Data'!$C$20:$C$1000,1,false)</f>
        <v>ZSI1_PNEU_HOSE</v>
      </c>
      <c r="H12671" s="63" t="str">
        <f>IFERROR(__xludf.DUMMYFUNCTION("VLOOKUP(F12671, IMPORTRANGE(""https://docs.google.com/spreadsheets/d/1Lhp9OU0JdFf_VYSMzH5lBcEaU4o8teT1piV-SNzShjg/edit?gid=554141278#gid=554141278"", ""'Char Def. - Attributes'!C20:C2242""), 1,false)"),"GROSS_WEIGHT_OPT")</f>
        <v>GROSS_WEIGHT_OPT</v>
      </c>
      <c r="I12671" s="136"/>
      <c r="R12671" s="63" t="str">
        <f t="shared" si="60"/>
        <v>ZSI1_PNEU_HOSEGROSS_WEIGHT_OPT</v>
      </c>
    </row>
    <row r="12672" ht="15.75" customHeight="1">
      <c r="B12672" s="63">
        <f t="shared" si="1"/>
        <v>14</v>
      </c>
      <c r="C12672" s="135" t="s">
        <v>342</v>
      </c>
      <c r="D12672" s="161" t="s">
        <v>74</v>
      </c>
      <c r="E12672" s="135">
        <f t="shared" si="62"/>
        <v>9</v>
      </c>
      <c r="F12672" s="134" t="s">
        <v>4057</v>
      </c>
      <c r="G12672" s="63" t="str">
        <f>VLOOKUP(C12672, 'Class Def. - General Data'!$C$20:$C$1000,1,false)</f>
        <v>ZSI1_PNEU_HOSE</v>
      </c>
      <c r="H12672" s="63" t="str">
        <f>IFERROR(__xludf.DUMMYFUNCTION("VLOOKUP(F12672, IMPORTRANGE(""https://docs.google.com/spreadsheets/d/1Lhp9OU0JdFf_VYSMzH5lBcEaU4o8teT1piV-SNzShjg/edit?gid=554141278#gid=554141278"", ""'Char Def. - Attributes'!C20:C2242""), 1,false)"),"NET_WEIGHT_OPT")</f>
        <v>NET_WEIGHT_OPT</v>
      </c>
      <c r="I12672" s="136"/>
      <c r="R12672" s="63" t="str">
        <f t="shared" si="60"/>
        <v>ZSI1_PNEU_HOSENET_WEIGHT_OPT</v>
      </c>
    </row>
    <row r="12673" ht="15.75" customHeight="1">
      <c r="B12673" s="63">
        <f t="shared" si="1"/>
        <v>14</v>
      </c>
      <c r="C12673" s="135" t="s">
        <v>342</v>
      </c>
      <c r="D12673" s="161" t="s">
        <v>74</v>
      </c>
      <c r="E12673" s="135">
        <f t="shared" si="62"/>
        <v>10</v>
      </c>
      <c r="F12673" s="134" t="s">
        <v>4058</v>
      </c>
      <c r="G12673" s="63" t="str">
        <f>VLOOKUP(C12673, 'Class Def. - General Data'!$C$20:$C$1000,1,false)</f>
        <v>ZSI1_PNEU_HOSE</v>
      </c>
      <c r="H12673" s="63" t="str">
        <f>IFERROR(__xludf.DUMMYFUNCTION("VLOOKUP(F12673, IMPORTRANGE(""https://docs.google.com/spreadsheets/d/1Lhp9OU0JdFf_VYSMzH5lBcEaU4o8teT1piV-SNzShjg/edit?gid=554141278#gid=554141278"", ""'Char Def. - Attributes'!C20:C2242""), 1,false)"),"WEIGHT_UNIT_SI")</f>
        <v>WEIGHT_UNIT_SI</v>
      </c>
      <c r="I12673" s="136"/>
      <c r="R12673" s="63" t="str">
        <f t="shared" si="60"/>
        <v>ZSI1_PNEU_HOSEWEIGHT_UNIT_SI</v>
      </c>
    </row>
    <row r="12674" ht="15.75" customHeight="1">
      <c r="B12674" s="63">
        <f t="shared" si="1"/>
        <v>14</v>
      </c>
      <c r="C12674" s="135" t="s">
        <v>342</v>
      </c>
      <c r="D12674" s="161" t="s">
        <v>74</v>
      </c>
      <c r="E12674" s="135">
        <f t="shared" si="62"/>
        <v>11</v>
      </c>
      <c r="F12674" s="134" t="s">
        <v>3877</v>
      </c>
      <c r="G12674" s="63" t="str">
        <f>VLOOKUP(C12674, 'Class Def. - General Data'!$C$20:$C$1000,1,false)</f>
        <v>ZSI1_PNEU_HOSE</v>
      </c>
      <c r="H12674" s="63" t="str">
        <f>IFERROR(__xludf.DUMMYFUNCTION("VLOOKUP(F12674, IMPORTRANGE(""https://docs.google.com/spreadsheets/d/1Lhp9OU0JdFf_VYSMzH5lBcEaU4o8teT1piV-SNzShjg/edit?gid=554141278#gid=554141278"", ""'Char Def. - Attributes'!C20:C2242""), 1,false)"),"VOLUME_OPT")</f>
        <v>VOLUME_OPT</v>
      </c>
      <c r="I12674" s="136"/>
      <c r="R12674" s="63" t="str">
        <f t="shared" si="60"/>
        <v>ZSI1_PNEU_HOSEVOLUME_OPT</v>
      </c>
    </row>
    <row r="12675" ht="15.75" customHeight="1">
      <c r="B12675" s="63">
        <f t="shared" si="1"/>
        <v>14</v>
      </c>
      <c r="C12675" s="135" t="s">
        <v>342</v>
      </c>
      <c r="D12675" s="161" t="s">
        <v>74</v>
      </c>
      <c r="E12675" s="135">
        <f t="shared" si="62"/>
        <v>12</v>
      </c>
      <c r="F12675" s="134" t="s">
        <v>4059</v>
      </c>
      <c r="G12675" s="63" t="str">
        <f>VLOOKUP(C12675, 'Class Def. - General Data'!$C$20:$C$1000,1,false)</f>
        <v>ZSI1_PNEU_HOSE</v>
      </c>
      <c r="H12675" s="63" t="str">
        <f>IFERROR(__xludf.DUMMYFUNCTION("VLOOKUP(F12675, IMPORTRANGE(""https://docs.google.com/spreadsheets/d/1Lhp9OU0JdFf_VYSMzH5lBcEaU4o8teT1piV-SNzShjg/edit?gid=554141278#gid=554141278"", ""'Char Def. - Attributes'!C20:C2242""), 1,false)"),"VOLUME_UNIT_SI")</f>
        <v>VOLUME_UNIT_SI</v>
      </c>
      <c r="I12675" s="136"/>
      <c r="R12675" s="63" t="str">
        <f t="shared" si="60"/>
        <v>ZSI1_PNEU_HOSEVOLUME_UNIT_SI</v>
      </c>
    </row>
    <row r="12676" ht="15.75" customHeight="1">
      <c r="B12676" s="63">
        <f t="shared" si="1"/>
        <v>14</v>
      </c>
      <c r="C12676" s="135" t="s">
        <v>342</v>
      </c>
      <c r="D12676" s="161" t="s">
        <v>74</v>
      </c>
      <c r="E12676" s="135">
        <f t="shared" si="62"/>
        <v>13</v>
      </c>
      <c r="F12676" s="134" t="s">
        <v>3804</v>
      </c>
      <c r="G12676" s="63" t="str">
        <f>VLOOKUP(C12676, 'Class Def. - General Data'!$C$20:$C$1000,1,false)</f>
        <v>ZSI1_PNEU_HOSE</v>
      </c>
      <c r="H12676" s="63" t="str">
        <f>IFERROR(__xludf.DUMMYFUNCTION("VLOOKUP(F12676, IMPORTRANGE(""https://docs.google.com/spreadsheets/d/1Lhp9OU0JdFf_VYSMzH5lBcEaU4o8teT1piV-SNzShjg/edit?gid=554141278#gid=554141278"", ""'Char Def. - Attributes'!C20:C2242""), 1,false)"),"ALT_UOM1_SIPI")</f>
        <v>ALT_UOM1_SIPI</v>
      </c>
      <c r="I12676" s="136"/>
      <c r="R12676" s="63" t="str">
        <f t="shared" si="60"/>
        <v>ZSI1_PNEU_HOSEALT_UOM1_SIPI</v>
      </c>
    </row>
    <row r="12677" ht="15.75" customHeight="1">
      <c r="B12677" s="63">
        <f t="shared" si="1"/>
        <v>14</v>
      </c>
      <c r="C12677" s="135" t="s">
        <v>342</v>
      </c>
      <c r="D12677" s="161" t="s">
        <v>74</v>
      </c>
      <c r="E12677" s="135">
        <f t="shared" si="62"/>
        <v>14</v>
      </c>
      <c r="F12677" s="134" t="s">
        <v>3805</v>
      </c>
      <c r="G12677" s="63" t="str">
        <f>VLOOKUP(C12677, 'Class Def. - General Data'!$C$20:$C$1000,1,false)</f>
        <v>ZSI1_PNEU_HOSE</v>
      </c>
      <c r="H12677" s="63" t="str">
        <f>IFERROR(__xludf.DUMMYFUNCTION("VLOOKUP(F12677, IMPORTRANGE(""https://docs.google.com/spreadsheets/d/1Lhp9OU0JdFf_VYSMzH5lBcEaU4o8teT1piV-SNzShjg/edit?gid=554141278#gid=554141278"", ""'Char Def. - Attributes'!C20:C2242""), 1,false)"),"ALT_DENUM_UOM1")</f>
        <v>ALT_DENUM_UOM1</v>
      </c>
      <c r="I12677" s="136"/>
      <c r="R12677" s="63" t="str">
        <f t="shared" si="60"/>
        <v>ZSI1_PNEU_HOSEALT_DENUM_UOM1</v>
      </c>
    </row>
    <row r="12678" ht="15.75" customHeight="1">
      <c r="B12678" s="63">
        <f t="shared" si="1"/>
        <v>14</v>
      </c>
      <c r="C12678" s="135" t="s">
        <v>342</v>
      </c>
      <c r="D12678" s="161" t="s">
        <v>74</v>
      </c>
      <c r="E12678" s="135">
        <f t="shared" si="62"/>
        <v>15</v>
      </c>
      <c r="F12678" s="134" t="s">
        <v>3806</v>
      </c>
      <c r="G12678" s="63" t="str">
        <f>VLOOKUP(C12678, 'Class Def. - General Data'!$C$20:$C$1000,1,false)</f>
        <v>ZSI1_PNEU_HOSE</v>
      </c>
      <c r="H12678" s="63" t="str">
        <f>IFERROR(__xludf.DUMMYFUNCTION("VLOOKUP(F12678, IMPORTRANGE(""https://docs.google.com/spreadsheets/d/1Lhp9OU0JdFf_VYSMzH5lBcEaU4o8teT1piV-SNzShjg/edit?gid=554141278#gid=554141278"", ""'Char Def. - Attributes'!C20:C2242""), 1,false)"),"ALT_NUM_UOM1")</f>
        <v>ALT_NUM_UOM1</v>
      </c>
      <c r="I12678" s="136"/>
      <c r="R12678" s="63" t="str">
        <f t="shared" si="60"/>
        <v>ZSI1_PNEU_HOSEALT_NUM_UOM1</v>
      </c>
    </row>
    <row r="12679" ht="15.75" customHeight="1">
      <c r="B12679" s="63">
        <f t="shared" si="1"/>
        <v>14</v>
      </c>
      <c r="C12679" s="135" t="s">
        <v>342</v>
      </c>
      <c r="D12679" s="161" t="s">
        <v>74</v>
      </c>
      <c r="E12679" s="135">
        <f t="shared" si="62"/>
        <v>16</v>
      </c>
      <c r="F12679" s="134" t="s">
        <v>3807</v>
      </c>
      <c r="G12679" s="63" t="str">
        <f>VLOOKUP(C12679, 'Class Def. - General Data'!$C$20:$C$1000,1,false)</f>
        <v>ZSI1_PNEU_HOSE</v>
      </c>
      <c r="H12679" s="63" t="str">
        <f>IFERROR(__xludf.DUMMYFUNCTION("VLOOKUP(F12679, IMPORTRANGE(""https://docs.google.com/spreadsheets/d/1Lhp9OU0JdFf_VYSMzH5lBcEaU4o8teT1piV-SNzShjg/edit?gid=554141278#gid=554141278"", ""'Char Def. - Attributes'!C20:C2242""), 1,false)"),"ALT_UOM2_SIPI")</f>
        <v>ALT_UOM2_SIPI</v>
      </c>
      <c r="I12679" s="136"/>
      <c r="R12679" s="63" t="str">
        <f t="shared" si="60"/>
        <v>ZSI1_PNEU_HOSEALT_UOM2_SIPI</v>
      </c>
    </row>
    <row r="12680" ht="15.75" customHeight="1">
      <c r="B12680" s="63">
        <f t="shared" si="1"/>
        <v>14</v>
      </c>
      <c r="C12680" s="135" t="s">
        <v>342</v>
      </c>
      <c r="D12680" s="161" t="s">
        <v>74</v>
      </c>
      <c r="E12680" s="135">
        <f t="shared" si="62"/>
        <v>17</v>
      </c>
      <c r="F12680" s="134" t="s">
        <v>3808</v>
      </c>
      <c r="G12680" s="63" t="str">
        <f>VLOOKUP(C12680, 'Class Def. - General Data'!$C$20:$C$1000,1,false)</f>
        <v>ZSI1_PNEU_HOSE</v>
      </c>
      <c r="H12680" s="63" t="str">
        <f>IFERROR(__xludf.DUMMYFUNCTION("VLOOKUP(F12680, IMPORTRANGE(""https://docs.google.com/spreadsheets/d/1Lhp9OU0JdFf_VYSMzH5lBcEaU4o8teT1piV-SNzShjg/edit?gid=554141278#gid=554141278"", ""'Char Def. - Attributes'!C20:C2242""), 1,false)"),"ALT_DENUM_UOM2")</f>
        <v>ALT_DENUM_UOM2</v>
      </c>
      <c r="I12680" s="136"/>
      <c r="R12680" s="63" t="str">
        <f t="shared" si="60"/>
        <v>ZSI1_PNEU_HOSEALT_DENUM_UOM2</v>
      </c>
    </row>
    <row r="12681" ht="15.75" customHeight="1">
      <c r="B12681" s="63">
        <f t="shared" si="1"/>
        <v>14</v>
      </c>
      <c r="C12681" s="135" t="s">
        <v>342</v>
      </c>
      <c r="D12681" s="161" t="s">
        <v>74</v>
      </c>
      <c r="E12681" s="135">
        <f t="shared" si="62"/>
        <v>18</v>
      </c>
      <c r="F12681" s="134" t="s">
        <v>3809</v>
      </c>
      <c r="G12681" s="63" t="str">
        <f>VLOOKUP(C12681, 'Class Def. - General Data'!$C$20:$C$1000,1,false)</f>
        <v>ZSI1_PNEU_HOSE</v>
      </c>
      <c r="H12681" s="63" t="str">
        <f>IFERROR(__xludf.DUMMYFUNCTION("VLOOKUP(F12681, IMPORTRANGE(""https://docs.google.com/spreadsheets/d/1Lhp9OU0JdFf_VYSMzH5lBcEaU4o8teT1piV-SNzShjg/edit?gid=554141278#gid=554141278"", ""'Char Def. - Attributes'!C20:C2242""), 1,false)"),"ALT_NUM_UOM2")</f>
        <v>ALT_NUM_UOM2</v>
      </c>
      <c r="I12681" s="136"/>
      <c r="R12681" s="63" t="str">
        <f t="shared" si="60"/>
        <v>ZSI1_PNEU_HOSEALT_NUM_UOM2</v>
      </c>
    </row>
    <row r="12682" ht="15.75" customHeight="1">
      <c r="B12682" s="63">
        <f t="shared" si="1"/>
        <v>14</v>
      </c>
      <c r="C12682" s="135" t="s">
        <v>342</v>
      </c>
      <c r="D12682" s="161" t="s">
        <v>74</v>
      </c>
      <c r="E12682" s="135">
        <f t="shared" si="62"/>
        <v>19</v>
      </c>
      <c r="F12682" s="134" t="s">
        <v>3810</v>
      </c>
      <c r="G12682" s="63" t="str">
        <f>VLOOKUP(C12682, 'Class Def. - General Data'!$C$20:$C$1000,1,false)</f>
        <v>ZSI1_PNEU_HOSE</v>
      </c>
      <c r="H12682" s="63" t="str">
        <f>IFERROR(__xludf.DUMMYFUNCTION("VLOOKUP(F12682, IMPORTRANGE(""https://docs.google.com/spreadsheets/d/1Lhp9OU0JdFf_VYSMzH5lBcEaU4o8teT1piV-SNzShjg/edit?gid=554141278#gid=554141278"", ""'Char Def. - Attributes'!C20:C2242""), 1,false)"),"ALT_UOM3_SIPI")</f>
        <v>ALT_UOM3_SIPI</v>
      </c>
      <c r="I12682" s="136"/>
      <c r="R12682" s="63" t="str">
        <f t="shared" si="60"/>
        <v>ZSI1_PNEU_HOSEALT_UOM3_SIPI</v>
      </c>
    </row>
    <row r="12683" ht="15.75" customHeight="1">
      <c r="B12683" s="63">
        <f t="shared" si="1"/>
        <v>14</v>
      </c>
      <c r="C12683" s="135" t="s">
        <v>342</v>
      </c>
      <c r="D12683" s="161" t="s">
        <v>74</v>
      </c>
      <c r="E12683" s="135">
        <f t="shared" si="62"/>
        <v>20</v>
      </c>
      <c r="F12683" s="134" t="s">
        <v>3811</v>
      </c>
      <c r="G12683" s="63" t="str">
        <f>VLOOKUP(C12683, 'Class Def. - General Data'!$C$20:$C$1000,1,false)</f>
        <v>ZSI1_PNEU_HOSE</v>
      </c>
      <c r="H12683" s="63" t="str">
        <f>IFERROR(__xludf.DUMMYFUNCTION("VLOOKUP(F12683, IMPORTRANGE(""https://docs.google.com/spreadsheets/d/1Lhp9OU0JdFf_VYSMzH5lBcEaU4o8teT1piV-SNzShjg/edit?gid=554141278#gid=554141278"", ""'Char Def. - Attributes'!C20:C2242""), 1,false)"),"ALT_DENUM_UOM3")</f>
        <v>ALT_DENUM_UOM3</v>
      </c>
      <c r="I12683" s="136"/>
      <c r="R12683" s="63" t="str">
        <f t="shared" si="60"/>
        <v>ZSI1_PNEU_HOSEALT_DENUM_UOM3</v>
      </c>
    </row>
    <row r="12684" ht="15.75" customHeight="1">
      <c r="B12684" s="63">
        <f t="shared" si="1"/>
        <v>14</v>
      </c>
      <c r="C12684" s="135" t="s">
        <v>342</v>
      </c>
      <c r="D12684" s="161" t="s">
        <v>74</v>
      </c>
      <c r="E12684" s="135">
        <f t="shared" si="62"/>
        <v>21</v>
      </c>
      <c r="F12684" s="134" t="s">
        <v>3812</v>
      </c>
      <c r="G12684" s="63" t="str">
        <f>VLOOKUP(C12684, 'Class Def. - General Data'!$C$20:$C$1000,1,false)</f>
        <v>ZSI1_PNEU_HOSE</v>
      </c>
      <c r="H12684" s="63" t="str">
        <f>IFERROR(__xludf.DUMMYFUNCTION("VLOOKUP(F12684, IMPORTRANGE(""https://docs.google.com/spreadsheets/d/1Lhp9OU0JdFf_VYSMzH5lBcEaU4o8teT1piV-SNzShjg/edit?gid=554141278#gid=554141278"", ""'Char Def. - Attributes'!C20:C2242""), 1,false)"),"ALT_NUM_UOM3")</f>
        <v>ALT_NUM_UOM3</v>
      </c>
      <c r="I12684" s="136"/>
      <c r="R12684" s="63" t="str">
        <f t="shared" si="60"/>
        <v>ZSI1_PNEU_HOSEALT_NUM_UOM3</v>
      </c>
    </row>
    <row r="12685" ht="15.75" customHeight="1">
      <c r="B12685" s="63">
        <f t="shared" si="1"/>
        <v>14</v>
      </c>
      <c r="C12685" s="135" t="s">
        <v>342</v>
      </c>
      <c r="D12685" s="161" t="s">
        <v>74</v>
      </c>
      <c r="E12685" s="135">
        <f t="shared" si="62"/>
        <v>22</v>
      </c>
      <c r="F12685" s="134" t="s">
        <v>3813</v>
      </c>
      <c r="G12685" s="63" t="str">
        <f>VLOOKUP(C12685, 'Class Def. - General Data'!$C$20:$C$1000,1,false)</f>
        <v>ZSI1_PNEU_HOSE</v>
      </c>
      <c r="H12685" s="63" t="str">
        <f>IFERROR(__xludf.DUMMYFUNCTION("VLOOKUP(F12685, IMPORTRANGE(""https://docs.google.com/spreadsheets/d/1Lhp9OU0JdFf_VYSMzH5lBcEaU4o8teT1piV-SNzShjg/edit?gid=554141278#gid=554141278"", ""'Char Def. - Attributes'!C20:C2242""), 1,false)"),"ALT_UOM4_SIPI")</f>
        <v>ALT_UOM4_SIPI</v>
      </c>
      <c r="I12685" s="136"/>
      <c r="R12685" s="63" t="str">
        <f t="shared" si="60"/>
        <v>ZSI1_PNEU_HOSEALT_UOM4_SIPI</v>
      </c>
    </row>
    <row r="12686" ht="15.75" customHeight="1">
      <c r="B12686" s="63">
        <f t="shared" si="1"/>
        <v>14</v>
      </c>
      <c r="C12686" s="135" t="s">
        <v>342</v>
      </c>
      <c r="D12686" s="161" t="s">
        <v>74</v>
      </c>
      <c r="E12686" s="135">
        <f t="shared" si="62"/>
        <v>23</v>
      </c>
      <c r="F12686" s="134" t="s">
        <v>3814</v>
      </c>
      <c r="G12686" s="63" t="str">
        <f>VLOOKUP(C12686, 'Class Def. - General Data'!$C$20:$C$1000,1,false)</f>
        <v>ZSI1_PNEU_HOSE</v>
      </c>
      <c r="H12686" s="63" t="str">
        <f>IFERROR(__xludf.DUMMYFUNCTION("VLOOKUP(F12686, IMPORTRANGE(""https://docs.google.com/spreadsheets/d/1Lhp9OU0JdFf_VYSMzH5lBcEaU4o8teT1piV-SNzShjg/edit?gid=554141278#gid=554141278"", ""'Char Def. - Attributes'!C20:C2242""), 1,false)"),"ALT_DENUM_UOM4")</f>
        <v>ALT_DENUM_UOM4</v>
      </c>
      <c r="I12686" s="136"/>
      <c r="R12686" s="63" t="str">
        <f t="shared" si="60"/>
        <v>ZSI1_PNEU_HOSEALT_DENUM_UOM4</v>
      </c>
    </row>
    <row r="12687" ht="15.75" customHeight="1">
      <c r="B12687" s="63">
        <f t="shared" si="1"/>
        <v>14</v>
      </c>
      <c r="C12687" s="135" t="s">
        <v>342</v>
      </c>
      <c r="D12687" s="161" t="s">
        <v>74</v>
      </c>
      <c r="E12687" s="135">
        <f t="shared" si="62"/>
        <v>24</v>
      </c>
      <c r="F12687" s="134" t="s">
        <v>3815</v>
      </c>
      <c r="G12687" s="63" t="str">
        <f>VLOOKUP(C12687, 'Class Def. - General Data'!$C$20:$C$1000,1,false)</f>
        <v>ZSI1_PNEU_HOSE</v>
      </c>
      <c r="H12687" s="63" t="str">
        <f>IFERROR(__xludf.DUMMYFUNCTION("VLOOKUP(F12687, IMPORTRANGE(""https://docs.google.com/spreadsheets/d/1Lhp9OU0JdFf_VYSMzH5lBcEaU4o8teT1piV-SNzShjg/edit?gid=554141278#gid=554141278"", ""'Char Def. - Attributes'!C20:C2242""), 1,false)"),"ALT_NUM_UOM4")</f>
        <v>ALT_NUM_UOM4</v>
      </c>
      <c r="I12687" s="136"/>
      <c r="R12687" s="63" t="str">
        <f t="shared" si="60"/>
        <v>ZSI1_PNEU_HOSEALT_NUM_UOM4</v>
      </c>
    </row>
    <row r="12688" ht="15.75" customHeight="1">
      <c r="B12688" s="63">
        <f t="shared" si="1"/>
        <v>14</v>
      </c>
      <c r="C12688" s="135" t="s">
        <v>342</v>
      </c>
      <c r="D12688" s="161" t="s">
        <v>74</v>
      </c>
      <c r="E12688" s="135">
        <f t="shared" si="62"/>
        <v>25</v>
      </c>
      <c r="F12688" s="134" t="s">
        <v>3816</v>
      </c>
      <c r="G12688" s="63" t="str">
        <f>VLOOKUP(C12688, 'Class Def. - General Data'!$C$20:$C$1000,1,false)</f>
        <v>ZSI1_PNEU_HOSE</v>
      </c>
      <c r="H12688" s="63" t="str">
        <f>IFERROR(__xludf.DUMMYFUNCTION("VLOOKUP(F12688, IMPORTRANGE(""https://docs.google.com/spreadsheets/d/1Lhp9OU0JdFf_VYSMzH5lBcEaU4o8teT1piV-SNzShjg/edit?gid=554141278#gid=554141278"", ""'Char Def. - Attributes'!C20:C2242""), 1,false)"),"ALT_UOM5_SIPI")</f>
        <v>ALT_UOM5_SIPI</v>
      </c>
      <c r="I12688" s="136"/>
      <c r="R12688" s="63" t="str">
        <f t="shared" si="60"/>
        <v>ZSI1_PNEU_HOSEALT_UOM5_SIPI</v>
      </c>
    </row>
    <row r="12689" ht="15.75" customHeight="1">
      <c r="B12689" s="63">
        <f t="shared" si="1"/>
        <v>14</v>
      </c>
      <c r="C12689" s="135" t="s">
        <v>342</v>
      </c>
      <c r="D12689" s="161" t="s">
        <v>74</v>
      </c>
      <c r="E12689" s="135">
        <f t="shared" si="62"/>
        <v>26</v>
      </c>
      <c r="F12689" s="134" t="s">
        <v>3817</v>
      </c>
      <c r="G12689" s="63" t="str">
        <f>VLOOKUP(C12689, 'Class Def. - General Data'!$C$20:$C$1000,1,false)</f>
        <v>ZSI1_PNEU_HOSE</v>
      </c>
      <c r="H12689" s="63" t="str">
        <f>IFERROR(__xludf.DUMMYFUNCTION("VLOOKUP(F12689, IMPORTRANGE(""https://docs.google.com/spreadsheets/d/1Lhp9OU0JdFf_VYSMzH5lBcEaU4o8teT1piV-SNzShjg/edit?gid=554141278#gid=554141278"", ""'Char Def. - Attributes'!C20:C2242""), 1,false)"),"ALT_DENUM_UOM5")</f>
        <v>ALT_DENUM_UOM5</v>
      </c>
      <c r="I12689" s="136"/>
      <c r="R12689" s="63" t="str">
        <f t="shared" si="60"/>
        <v>ZSI1_PNEU_HOSEALT_DENUM_UOM5</v>
      </c>
    </row>
    <row r="12690" ht="15.75" customHeight="1">
      <c r="B12690" s="63">
        <f t="shared" si="1"/>
        <v>14</v>
      </c>
      <c r="C12690" s="135" t="s">
        <v>342</v>
      </c>
      <c r="D12690" s="161" t="s">
        <v>74</v>
      </c>
      <c r="E12690" s="135">
        <f t="shared" si="62"/>
        <v>27</v>
      </c>
      <c r="F12690" s="134" t="s">
        <v>3818</v>
      </c>
      <c r="G12690" s="63" t="str">
        <f>VLOOKUP(C12690, 'Class Def. - General Data'!$C$20:$C$1000,1,false)</f>
        <v>ZSI1_PNEU_HOSE</v>
      </c>
      <c r="H12690" s="63" t="str">
        <f>IFERROR(__xludf.DUMMYFUNCTION("VLOOKUP(F12690, IMPORTRANGE(""https://docs.google.com/spreadsheets/d/1Lhp9OU0JdFf_VYSMzH5lBcEaU4o8teT1piV-SNzShjg/edit?gid=554141278#gid=554141278"", ""'Char Def. - Attributes'!C20:C2242""), 1,false)"),"ALT_NUM_UOM5")</f>
        <v>ALT_NUM_UOM5</v>
      </c>
      <c r="I12690" s="136"/>
      <c r="R12690" s="63" t="str">
        <f t="shared" si="60"/>
        <v>ZSI1_PNEU_HOSEALT_NUM_UOM5</v>
      </c>
    </row>
    <row r="12691" ht="15.75" customHeight="1">
      <c r="B12691" s="63">
        <f t="shared" si="1"/>
        <v>14</v>
      </c>
      <c r="C12691" s="135" t="s">
        <v>524</v>
      </c>
      <c r="D12691" s="161" t="s">
        <v>74</v>
      </c>
      <c r="E12691" s="135">
        <f t="shared" si="62"/>
        <v>1</v>
      </c>
      <c r="F12691" s="134" t="s">
        <v>5241</v>
      </c>
      <c r="G12691" s="63" t="str">
        <f>VLOOKUP(C12691, 'Class Def. - General Data'!$C$20:$C$1000,1,false)</f>
        <v>ZSI1_PNEU_TOOL</v>
      </c>
      <c r="H12691" s="63" t="str">
        <f>IFERROR(__xludf.DUMMYFUNCTION("VLOOKUP(F12691, IMPORTRANGE(""https://docs.google.com/spreadsheets/d/1Lhp9OU0JdFf_VYSMzH5lBcEaU4o8teT1piV-SNzShjg/edit?gid=554141278#gid=554141278"", ""'Char Def. - Attributes'!C20:C2242""), 1,false)"),"ITEM_NAME_PNEU_TOOL")</f>
        <v>ITEM_NAME_PNEU_TOOL</v>
      </c>
      <c r="I12691" s="136"/>
      <c r="R12691" s="63" t="str">
        <f t="shared" si="60"/>
        <v>ZSI1_PNEU_TOOLITEM_NAME_PNEU_TOOL</v>
      </c>
    </row>
    <row r="12692" ht="15.75" customHeight="1">
      <c r="B12692" s="63">
        <f t="shared" si="1"/>
        <v>14</v>
      </c>
      <c r="C12692" s="135" t="s">
        <v>524</v>
      </c>
      <c r="D12692" s="161" t="s">
        <v>74</v>
      </c>
      <c r="E12692" s="135">
        <f t="shared" si="62"/>
        <v>2</v>
      </c>
      <c r="F12692" s="134" t="s">
        <v>5242</v>
      </c>
      <c r="G12692" s="63" t="str">
        <f>VLOOKUP(C12692, 'Class Def. - General Data'!$C$20:$C$1000,1,false)</f>
        <v>ZSI1_PNEU_TOOL</v>
      </c>
      <c r="H12692" s="63" t="str">
        <f>IFERROR(__xludf.DUMMYFUNCTION("VLOOKUP(F12692, IMPORTRANGE(""https://docs.google.com/spreadsheets/d/1Lhp9OU0JdFf_VYSMzH5lBcEaU4o8teT1piV-SNzShjg/edit?gid=554141278#gid=554141278"", ""'Char Def. - Attributes'!C20:C2242""), 1,false)"),"MFR_NO_PNEU_TOOL")</f>
        <v>MFR_NO_PNEU_TOOL</v>
      </c>
      <c r="I12692" s="136"/>
      <c r="R12692" s="63" t="str">
        <f t="shared" si="60"/>
        <v>ZSI1_PNEU_TOOLMFR_NO_PNEU_TOOL</v>
      </c>
    </row>
    <row r="12693" ht="15.75" customHeight="1">
      <c r="B12693" s="63">
        <f t="shared" si="1"/>
        <v>14</v>
      </c>
      <c r="C12693" s="135" t="s">
        <v>524</v>
      </c>
      <c r="D12693" s="161" t="s">
        <v>74</v>
      </c>
      <c r="E12693" s="135">
        <f t="shared" si="62"/>
        <v>3</v>
      </c>
      <c r="F12693" s="134" t="s">
        <v>3782</v>
      </c>
      <c r="G12693" s="63" t="str">
        <f>VLOOKUP(C12693, 'Class Def. - General Data'!$C$20:$C$1000,1,false)</f>
        <v>ZSI1_PNEU_TOOL</v>
      </c>
      <c r="H12693" s="63" t="str">
        <f>IFERROR(__xludf.DUMMYFUNCTION("VLOOKUP(F12693, IMPORTRANGE(""https://docs.google.com/spreadsheets/d/1Lhp9OU0JdFf_VYSMzH5lBcEaU4o8teT1piV-SNzShjg/edit?gid=554141278#gid=554141278"", ""'Char Def. - Attributes'!C20:C2242""), 1,false)"),"BRAND_EXTERNAL")</f>
        <v>BRAND_EXTERNAL</v>
      </c>
      <c r="I12693" s="136"/>
      <c r="R12693" s="63" t="str">
        <f t="shared" si="60"/>
        <v>ZSI1_PNEU_TOOLBRAND_EXTERNAL</v>
      </c>
    </row>
    <row r="12694" ht="15.75" customHeight="1">
      <c r="B12694" s="63">
        <f t="shared" si="1"/>
        <v>14</v>
      </c>
      <c r="C12694" s="135" t="s">
        <v>524</v>
      </c>
      <c r="D12694" s="161" t="s">
        <v>74</v>
      </c>
      <c r="E12694" s="135">
        <f t="shared" si="62"/>
        <v>4</v>
      </c>
      <c r="F12694" s="134" t="s">
        <v>4062</v>
      </c>
      <c r="G12694" s="63" t="str">
        <f>VLOOKUP(C12694, 'Class Def. - General Data'!$C$20:$C$1000,1,false)</f>
        <v>ZSI1_PNEU_TOOL</v>
      </c>
      <c r="H12694" s="63" t="str">
        <f>IFERROR(__xludf.DUMMYFUNCTION("VLOOKUP(F12694, IMPORTRANGE(""https://docs.google.com/spreadsheets/d/1Lhp9OU0JdFf_VYSMzH5lBcEaU4o8teT1piV-SNzShjg/edit?gid=554141278#gid=554141278"", ""'Char Def. - Attributes'!C20:C2242""), 1,false)"),"#N/A")</f>
        <v>#N/A</v>
      </c>
      <c r="I12694" s="136"/>
      <c r="R12694" s="63" t="str">
        <f t="shared" si="60"/>
        <v>ZSI1_PNEU_TOOLADDTIONAL_SPECIFICATION</v>
      </c>
    </row>
    <row r="12695" ht="15.75" customHeight="1">
      <c r="B12695" s="63">
        <f t="shared" si="1"/>
        <v>14</v>
      </c>
      <c r="C12695" s="135" t="s">
        <v>524</v>
      </c>
      <c r="D12695" s="161" t="s">
        <v>74</v>
      </c>
      <c r="E12695" s="135">
        <f t="shared" si="62"/>
        <v>5</v>
      </c>
      <c r="F12695" s="134" t="s">
        <v>4053</v>
      </c>
      <c r="G12695" s="63" t="str">
        <f>VLOOKUP(C12695, 'Class Def. - General Data'!$C$20:$C$1000,1,false)</f>
        <v>ZSI1_PNEU_TOOL</v>
      </c>
      <c r="H12695" s="63" t="str">
        <f>IFERROR(__xludf.DUMMYFUNCTION("VLOOKUP(F12695, IMPORTRANGE(""https://docs.google.com/spreadsheets/d/1Lhp9OU0JdFf_VYSMzH5lBcEaU4o8teT1piV-SNzShjg/edit?gid=554141278#gid=554141278"", ""'Char Def. - Attributes'!C20:C2242""), 1,false)"),"MAINTENANCE_ORDER_TYPE")</f>
        <v>MAINTENANCE_ORDER_TYPE</v>
      </c>
      <c r="I12695" s="136"/>
      <c r="R12695" s="63" t="str">
        <f t="shared" si="60"/>
        <v>ZSI1_PNEU_TOOLMAINTENANCE_ORDER_TYPE</v>
      </c>
    </row>
    <row r="12696" ht="15.75" customHeight="1">
      <c r="B12696" s="63">
        <f t="shared" si="1"/>
        <v>14</v>
      </c>
      <c r="C12696" s="135" t="s">
        <v>524</v>
      </c>
      <c r="D12696" s="161" t="s">
        <v>74</v>
      </c>
      <c r="E12696" s="135">
        <f t="shared" si="62"/>
        <v>6</v>
      </c>
      <c r="F12696" s="134" t="s">
        <v>3585</v>
      </c>
      <c r="G12696" s="63" t="str">
        <f>VLOOKUP(C12696, 'Class Def. - General Data'!$C$20:$C$1000,1,false)</f>
        <v>ZSI1_PNEU_TOOL</v>
      </c>
      <c r="H12696" s="63" t="str">
        <f>IFERROR(__xludf.DUMMYFUNCTION("VLOOKUP(F12696, IMPORTRANGE(""https://docs.google.com/spreadsheets/d/1Lhp9OU0JdFf_VYSMzH5lBcEaU4o8teT1piV-SNzShjg/edit?gid=554141278#gid=554141278"", ""'Char Def. - Attributes'!C20:C2242""), 1,false)"),"HS_CODE")</f>
        <v>HS_CODE</v>
      </c>
      <c r="I12696" s="136"/>
      <c r="R12696" s="63" t="str">
        <f t="shared" si="60"/>
        <v>ZSI1_PNEU_TOOLHS_CODE</v>
      </c>
    </row>
    <row r="12697" ht="15.75" customHeight="1">
      <c r="B12697" s="63">
        <f t="shared" si="1"/>
        <v>14</v>
      </c>
      <c r="C12697" s="135" t="s">
        <v>524</v>
      </c>
      <c r="D12697" s="161" t="s">
        <v>74</v>
      </c>
      <c r="E12697" s="135">
        <f t="shared" si="62"/>
        <v>7</v>
      </c>
      <c r="F12697" s="134" t="s">
        <v>3587</v>
      </c>
      <c r="G12697" s="63" t="str">
        <f>VLOOKUP(C12697, 'Class Def. - General Data'!$C$20:$C$1000,1,false)</f>
        <v>ZSI1_PNEU_TOOL</v>
      </c>
      <c r="H12697" s="63" t="str">
        <f>IFERROR(__xludf.DUMMYFUNCTION("VLOOKUP(F12697, IMPORTRANGE(""https://docs.google.com/spreadsheets/d/1Lhp9OU0JdFf_VYSMzH5lBcEaU4o8teT1piV-SNzShjg/edit?gid=554141278#gid=554141278"", ""'Char Def. - Attributes'!C20:C2242""), 1,false)"),"PLANT_BUY")</f>
        <v>PLANT_BUY</v>
      </c>
      <c r="I12697" s="136"/>
      <c r="R12697" s="63" t="str">
        <f t="shared" si="60"/>
        <v>ZSI1_PNEU_TOOLPLANT_BUY</v>
      </c>
    </row>
    <row r="12698" ht="15.75" customHeight="1">
      <c r="B12698" s="63">
        <f t="shared" si="1"/>
        <v>14</v>
      </c>
      <c r="C12698" s="135" t="s">
        <v>524</v>
      </c>
      <c r="D12698" s="161" t="s">
        <v>74</v>
      </c>
      <c r="E12698" s="135">
        <f t="shared" si="62"/>
        <v>8</v>
      </c>
      <c r="F12698" s="134" t="s">
        <v>5243</v>
      </c>
      <c r="G12698" s="63" t="str">
        <f>VLOOKUP(C12698, 'Class Def. - General Data'!$C$20:$C$1000,1,false)</f>
        <v>ZSI1_PNEU_TOOL</v>
      </c>
      <c r="H12698" s="63" t="str">
        <f>IFERROR(__xludf.DUMMYFUNCTION("VLOOKUP(F12698, IMPORTRANGE(""https://docs.google.com/spreadsheets/d/1Lhp9OU0JdFf_VYSMzH5lBcEaU4o8teT1piV-SNzShjg/edit?gid=554141278#gid=554141278"", ""'Char Def. - Attributes'!C20:C2242""), 1,false)"),"BASE_UOM_PNEU_TOOL")</f>
        <v>BASE_UOM_PNEU_TOOL</v>
      </c>
      <c r="I12698" s="136"/>
      <c r="R12698" s="63" t="str">
        <f t="shared" si="60"/>
        <v>ZSI1_PNEU_TOOLBASE_UOM_PNEU_TOOL</v>
      </c>
    </row>
    <row r="12699" ht="15.75" customHeight="1">
      <c r="B12699" s="63">
        <f t="shared" si="1"/>
        <v>14</v>
      </c>
      <c r="C12699" s="135" t="s">
        <v>524</v>
      </c>
      <c r="D12699" s="161" t="s">
        <v>74</v>
      </c>
      <c r="E12699" s="135">
        <f t="shared" si="62"/>
        <v>9</v>
      </c>
      <c r="F12699" s="134" t="s">
        <v>5244</v>
      </c>
      <c r="G12699" s="63" t="str">
        <f>VLOOKUP(C12699, 'Class Def. - General Data'!$C$20:$C$1000,1,false)</f>
        <v>ZSI1_PNEU_TOOL</v>
      </c>
      <c r="H12699" s="63" t="str">
        <f>IFERROR(__xludf.DUMMYFUNCTION("VLOOKUP(F12699, IMPORTRANGE(""https://docs.google.com/spreadsheets/d/1Lhp9OU0JdFf_VYSMzH5lBcEaU4o8teT1piV-SNzShjg/edit?gid=554141278#gid=554141278"", ""'Char Def. - Attributes'!C20:C2242""), 1,false)"),"ORDER_UNIT_PNEU_TOOL")</f>
        <v>ORDER_UNIT_PNEU_TOOL</v>
      </c>
      <c r="I12699" s="136"/>
      <c r="R12699" s="63" t="str">
        <f t="shared" si="60"/>
        <v>ZSI1_PNEU_TOOLORDER_UNIT_PNEU_TOOL</v>
      </c>
    </row>
    <row r="12700" ht="15.75" customHeight="1">
      <c r="B12700" s="63">
        <f t="shared" si="1"/>
        <v>14</v>
      </c>
      <c r="C12700" s="135" t="s">
        <v>524</v>
      </c>
      <c r="D12700" s="161" t="s">
        <v>74</v>
      </c>
      <c r="E12700" s="135">
        <f t="shared" si="62"/>
        <v>10</v>
      </c>
      <c r="F12700" s="134" t="s">
        <v>4056</v>
      </c>
      <c r="G12700" s="63" t="str">
        <f>VLOOKUP(C12700, 'Class Def. - General Data'!$C$20:$C$1000,1,false)</f>
        <v>ZSI1_PNEU_TOOL</v>
      </c>
      <c r="H12700" s="63" t="str">
        <f>IFERROR(__xludf.DUMMYFUNCTION("VLOOKUP(F12700, IMPORTRANGE(""https://docs.google.com/spreadsheets/d/1Lhp9OU0JdFf_VYSMzH5lBcEaU4o8teT1piV-SNzShjg/edit?gid=554141278#gid=554141278"", ""'Char Def. - Attributes'!C20:C2242""), 1,false)"),"GROSS_WEIGHT_OPT")</f>
        <v>GROSS_WEIGHT_OPT</v>
      </c>
      <c r="I12700" s="136"/>
      <c r="R12700" s="63" t="str">
        <f t="shared" si="60"/>
        <v>ZSI1_PNEU_TOOLGROSS_WEIGHT_OPT</v>
      </c>
    </row>
    <row r="12701" ht="15.75" customHeight="1">
      <c r="B12701" s="63">
        <f t="shared" si="1"/>
        <v>14</v>
      </c>
      <c r="C12701" s="135" t="s">
        <v>524</v>
      </c>
      <c r="D12701" s="161" t="s">
        <v>74</v>
      </c>
      <c r="E12701" s="135">
        <f t="shared" si="62"/>
        <v>11</v>
      </c>
      <c r="F12701" s="134" t="s">
        <v>4057</v>
      </c>
      <c r="G12701" s="63" t="str">
        <f>VLOOKUP(C12701, 'Class Def. - General Data'!$C$20:$C$1000,1,false)</f>
        <v>ZSI1_PNEU_TOOL</v>
      </c>
      <c r="H12701" s="63" t="str">
        <f>IFERROR(__xludf.DUMMYFUNCTION("VLOOKUP(F12701, IMPORTRANGE(""https://docs.google.com/spreadsheets/d/1Lhp9OU0JdFf_VYSMzH5lBcEaU4o8teT1piV-SNzShjg/edit?gid=554141278#gid=554141278"", ""'Char Def. - Attributes'!C20:C2242""), 1,false)"),"NET_WEIGHT_OPT")</f>
        <v>NET_WEIGHT_OPT</v>
      </c>
      <c r="I12701" s="136"/>
      <c r="R12701" s="63" t="str">
        <f t="shared" si="60"/>
        <v>ZSI1_PNEU_TOOLNET_WEIGHT_OPT</v>
      </c>
    </row>
    <row r="12702" ht="15.75" customHeight="1">
      <c r="B12702" s="63">
        <f t="shared" si="1"/>
        <v>14</v>
      </c>
      <c r="C12702" s="135" t="s">
        <v>524</v>
      </c>
      <c r="D12702" s="161" t="s">
        <v>74</v>
      </c>
      <c r="E12702" s="135">
        <f t="shared" si="62"/>
        <v>12</v>
      </c>
      <c r="F12702" s="134" t="s">
        <v>4058</v>
      </c>
      <c r="G12702" s="63" t="str">
        <f>VLOOKUP(C12702, 'Class Def. - General Data'!$C$20:$C$1000,1,false)</f>
        <v>ZSI1_PNEU_TOOL</v>
      </c>
      <c r="H12702" s="63" t="str">
        <f>IFERROR(__xludf.DUMMYFUNCTION("VLOOKUP(F12702, IMPORTRANGE(""https://docs.google.com/spreadsheets/d/1Lhp9OU0JdFf_VYSMzH5lBcEaU4o8teT1piV-SNzShjg/edit?gid=554141278#gid=554141278"", ""'Char Def. - Attributes'!C20:C2242""), 1,false)"),"WEIGHT_UNIT_SI")</f>
        <v>WEIGHT_UNIT_SI</v>
      </c>
      <c r="I12702" s="136"/>
      <c r="R12702" s="63" t="str">
        <f t="shared" si="60"/>
        <v>ZSI1_PNEU_TOOLWEIGHT_UNIT_SI</v>
      </c>
    </row>
    <row r="12703" ht="15.75" customHeight="1">
      <c r="B12703" s="63">
        <f t="shared" si="1"/>
        <v>14</v>
      </c>
      <c r="C12703" s="135" t="s">
        <v>524</v>
      </c>
      <c r="D12703" s="161" t="s">
        <v>74</v>
      </c>
      <c r="E12703" s="135">
        <f t="shared" si="62"/>
        <v>13</v>
      </c>
      <c r="F12703" s="134" t="s">
        <v>3877</v>
      </c>
      <c r="G12703" s="63" t="str">
        <f>VLOOKUP(C12703, 'Class Def. - General Data'!$C$20:$C$1000,1,false)</f>
        <v>ZSI1_PNEU_TOOL</v>
      </c>
      <c r="H12703" s="63" t="str">
        <f>IFERROR(__xludf.DUMMYFUNCTION("VLOOKUP(F12703, IMPORTRANGE(""https://docs.google.com/spreadsheets/d/1Lhp9OU0JdFf_VYSMzH5lBcEaU4o8teT1piV-SNzShjg/edit?gid=554141278#gid=554141278"", ""'Char Def. - Attributes'!C20:C2242""), 1,false)"),"VOLUME_OPT")</f>
        <v>VOLUME_OPT</v>
      </c>
      <c r="I12703" s="136"/>
      <c r="R12703" s="63" t="str">
        <f t="shared" si="60"/>
        <v>ZSI1_PNEU_TOOLVOLUME_OPT</v>
      </c>
    </row>
    <row r="12704" ht="15.75" customHeight="1">
      <c r="B12704" s="63">
        <f t="shared" si="1"/>
        <v>14</v>
      </c>
      <c r="C12704" s="135" t="s">
        <v>524</v>
      </c>
      <c r="D12704" s="161" t="s">
        <v>74</v>
      </c>
      <c r="E12704" s="135">
        <f t="shared" si="62"/>
        <v>14</v>
      </c>
      <c r="F12704" s="134" t="s">
        <v>4059</v>
      </c>
      <c r="G12704" s="63" t="str">
        <f>VLOOKUP(C12704, 'Class Def. - General Data'!$C$20:$C$1000,1,false)</f>
        <v>ZSI1_PNEU_TOOL</v>
      </c>
      <c r="H12704" s="63" t="str">
        <f>IFERROR(__xludf.DUMMYFUNCTION("VLOOKUP(F12704, IMPORTRANGE(""https://docs.google.com/spreadsheets/d/1Lhp9OU0JdFf_VYSMzH5lBcEaU4o8teT1piV-SNzShjg/edit?gid=554141278#gid=554141278"", ""'Char Def. - Attributes'!C20:C2242""), 1,false)"),"VOLUME_UNIT_SI")</f>
        <v>VOLUME_UNIT_SI</v>
      </c>
      <c r="I12704" s="136"/>
      <c r="R12704" s="63" t="str">
        <f t="shared" si="60"/>
        <v>ZSI1_PNEU_TOOLVOLUME_UNIT_SI</v>
      </c>
    </row>
    <row r="12705" ht="15.75" customHeight="1">
      <c r="B12705" s="63">
        <f t="shared" si="1"/>
        <v>14</v>
      </c>
      <c r="C12705" s="135" t="s">
        <v>524</v>
      </c>
      <c r="D12705" s="161" t="s">
        <v>74</v>
      </c>
      <c r="E12705" s="135">
        <f t="shared" si="62"/>
        <v>15</v>
      </c>
      <c r="F12705" s="134" t="s">
        <v>3804</v>
      </c>
      <c r="G12705" s="63" t="str">
        <f>VLOOKUP(C12705, 'Class Def. - General Data'!$C$20:$C$1000,1,false)</f>
        <v>ZSI1_PNEU_TOOL</v>
      </c>
      <c r="H12705" s="63" t="str">
        <f>IFERROR(__xludf.DUMMYFUNCTION("VLOOKUP(F12705, IMPORTRANGE(""https://docs.google.com/spreadsheets/d/1Lhp9OU0JdFf_VYSMzH5lBcEaU4o8teT1piV-SNzShjg/edit?gid=554141278#gid=554141278"", ""'Char Def. - Attributes'!C20:C2242""), 1,false)"),"ALT_UOM1_SIPI")</f>
        <v>ALT_UOM1_SIPI</v>
      </c>
      <c r="I12705" s="136"/>
      <c r="R12705" s="63" t="str">
        <f t="shared" si="60"/>
        <v>ZSI1_PNEU_TOOLALT_UOM1_SIPI</v>
      </c>
    </row>
    <row r="12706" ht="15.75" customHeight="1">
      <c r="B12706" s="63">
        <f t="shared" si="1"/>
        <v>14</v>
      </c>
      <c r="C12706" s="135" t="s">
        <v>524</v>
      </c>
      <c r="D12706" s="161" t="s">
        <v>74</v>
      </c>
      <c r="E12706" s="135">
        <f t="shared" si="62"/>
        <v>16</v>
      </c>
      <c r="F12706" s="134" t="s">
        <v>3805</v>
      </c>
      <c r="G12706" s="63" t="str">
        <f>VLOOKUP(C12706, 'Class Def. - General Data'!$C$20:$C$1000,1,false)</f>
        <v>ZSI1_PNEU_TOOL</v>
      </c>
      <c r="H12706" s="63" t="str">
        <f>IFERROR(__xludf.DUMMYFUNCTION("VLOOKUP(F12706, IMPORTRANGE(""https://docs.google.com/spreadsheets/d/1Lhp9OU0JdFf_VYSMzH5lBcEaU4o8teT1piV-SNzShjg/edit?gid=554141278#gid=554141278"", ""'Char Def. - Attributes'!C20:C2242""), 1,false)"),"ALT_DENUM_UOM1")</f>
        <v>ALT_DENUM_UOM1</v>
      </c>
      <c r="I12706" s="136"/>
      <c r="R12706" s="63" t="str">
        <f t="shared" si="60"/>
        <v>ZSI1_PNEU_TOOLALT_DENUM_UOM1</v>
      </c>
    </row>
    <row r="12707" ht="15.75" customHeight="1">
      <c r="B12707" s="63">
        <f t="shared" si="1"/>
        <v>14</v>
      </c>
      <c r="C12707" s="135" t="s">
        <v>524</v>
      </c>
      <c r="D12707" s="161" t="s">
        <v>74</v>
      </c>
      <c r="E12707" s="135">
        <f t="shared" si="62"/>
        <v>17</v>
      </c>
      <c r="F12707" s="134" t="s">
        <v>3806</v>
      </c>
      <c r="G12707" s="63" t="str">
        <f>VLOOKUP(C12707, 'Class Def. - General Data'!$C$20:$C$1000,1,false)</f>
        <v>ZSI1_PNEU_TOOL</v>
      </c>
      <c r="H12707" s="63" t="str">
        <f>IFERROR(__xludf.DUMMYFUNCTION("VLOOKUP(F12707, IMPORTRANGE(""https://docs.google.com/spreadsheets/d/1Lhp9OU0JdFf_VYSMzH5lBcEaU4o8teT1piV-SNzShjg/edit?gid=554141278#gid=554141278"", ""'Char Def. - Attributes'!C20:C2242""), 1,false)"),"ALT_NUM_UOM1")</f>
        <v>ALT_NUM_UOM1</v>
      </c>
      <c r="I12707" s="136"/>
      <c r="R12707" s="63" t="str">
        <f t="shared" si="60"/>
        <v>ZSI1_PNEU_TOOLALT_NUM_UOM1</v>
      </c>
    </row>
    <row r="12708" ht="15.75" customHeight="1">
      <c r="B12708" s="63">
        <f t="shared" si="1"/>
        <v>14</v>
      </c>
      <c r="C12708" s="135" t="s">
        <v>524</v>
      </c>
      <c r="D12708" s="161" t="s">
        <v>74</v>
      </c>
      <c r="E12708" s="135">
        <f t="shared" si="62"/>
        <v>18</v>
      </c>
      <c r="F12708" s="134" t="s">
        <v>3807</v>
      </c>
      <c r="G12708" s="63" t="str">
        <f>VLOOKUP(C12708, 'Class Def. - General Data'!$C$20:$C$1000,1,false)</f>
        <v>ZSI1_PNEU_TOOL</v>
      </c>
      <c r="H12708" s="63" t="str">
        <f>IFERROR(__xludf.DUMMYFUNCTION("VLOOKUP(F12708, IMPORTRANGE(""https://docs.google.com/spreadsheets/d/1Lhp9OU0JdFf_VYSMzH5lBcEaU4o8teT1piV-SNzShjg/edit?gid=554141278#gid=554141278"", ""'Char Def. - Attributes'!C20:C2242""), 1,false)"),"ALT_UOM2_SIPI")</f>
        <v>ALT_UOM2_SIPI</v>
      </c>
      <c r="I12708" s="136"/>
      <c r="R12708" s="63" t="str">
        <f t="shared" si="60"/>
        <v>ZSI1_PNEU_TOOLALT_UOM2_SIPI</v>
      </c>
    </row>
    <row r="12709" ht="15.75" customHeight="1">
      <c r="B12709" s="63">
        <f t="shared" si="1"/>
        <v>14</v>
      </c>
      <c r="C12709" s="135" t="s">
        <v>524</v>
      </c>
      <c r="D12709" s="161" t="s">
        <v>74</v>
      </c>
      <c r="E12709" s="135">
        <f t="shared" si="62"/>
        <v>19</v>
      </c>
      <c r="F12709" s="134" t="s">
        <v>3808</v>
      </c>
      <c r="G12709" s="63" t="str">
        <f>VLOOKUP(C12709, 'Class Def. - General Data'!$C$20:$C$1000,1,false)</f>
        <v>ZSI1_PNEU_TOOL</v>
      </c>
      <c r="H12709" s="63" t="str">
        <f>IFERROR(__xludf.DUMMYFUNCTION("VLOOKUP(F12709, IMPORTRANGE(""https://docs.google.com/spreadsheets/d/1Lhp9OU0JdFf_VYSMzH5lBcEaU4o8teT1piV-SNzShjg/edit?gid=554141278#gid=554141278"", ""'Char Def. - Attributes'!C20:C2242""), 1,false)"),"ALT_DENUM_UOM2")</f>
        <v>ALT_DENUM_UOM2</v>
      </c>
      <c r="I12709" s="136"/>
      <c r="R12709" s="63" t="str">
        <f t="shared" si="60"/>
        <v>ZSI1_PNEU_TOOLALT_DENUM_UOM2</v>
      </c>
    </row>
    <row r="12710" ht="15.75" customHeight="1">
      <c r="B12710" s="63">
        <f t="shared" si="1"/>
        <v>14</v>
      </c>
      <c r="C12710" s="135" t="s">
        <v>524</v>
      </c>
      <c r="D12710" s="161" t="s">
        <v>74</v>
      </c>
      <c r="E12710" s="135">
        <f t="shared" si="62"/>
        <v>20</v>
      </c>
      <c r="F12710" s="134" t="s">
        <v>3809</v>
      </c>
      <c r="G12710" s="63" t="str">
        <f>VLOOKUP(C12710, 'Class Def. - General Data'!$C$20:$C$1000,1,false)</f>
        <v>ZSI1_PNEU_TOOL</v>
      </c>
      <c r="H12710" s="63" t="str">
        <f>IFERROR(__xludf.DUMMYFUNCTION("VLOOKUP(F12710, IMPORTRANGE(""https://docs.google.com/spreadsheets/d/1Lhp9OU0JdFf_VYSMzH5lBcEaU4o8teT1piV-SNzShjg/edit?gid=554141278#gid=554141278"", ""'Char Def. - Attributes'!C20:C2242""), 1,false)"),"ALT_NUM_UOM2")</f>
        <v>ALT_NUM_UOM2</v>
      </c>
      <c r="I12710" s="136"/>
      <c r="R12710" s="63" t="str">
        <f t="shared" si="60"/>
        <v>ZSI1_PNEU_TOOLALT_NUM_UOM2</v>
      </c>
    </row>
    <row r="12711" ht="15.75" customHeight="1">
      <c r="B12711" s="63">
        <f t="shared" si="1"/>
        <v>14</v>
      </c>
      <c r="C12711" s="135" t="s">
        <v>524</v>
      </c>
      <c r="D12711" s="161" t="s">
        <v>74</v>
      </c>
      <c r="E12711" s="135">
        <f t="shared" si="62"/>
        <v>21</v>
      </c>
      <c r="F12711" s="134" t="s">
        <v>3810</v>
      </c>
      <c r="G12711" s="63" t="str">
        <f>VLOOKUP(C12711, 'Class Def. - General Data'!$C$20:$C$1000,1,false)</f>
        <v>ZSI1_PNEU_TOOL</v>
      </c>
      <c r="H12711" s="63" t="str">
        <f>IFERROR(__xludf.DUMMYFUNCTION("VLOOKUP(F12711, IMPORTRANGE(""https://docs.google.com/spreadsheets/d/1Lhp9OU0JdFf_VYSMzH5lBcEaU4o8teT1piV-SNzShjg/edit?gid=554141278#gid=554141278"", ""'Char Def. - Attributes'!C20:C2242""), 1,false)"),"ALT_UOM3_SIPI")</f>
        <v>ALT_UOM3_SIPI</v>
      </c>
      <c r="I12711" s="136"/>
      <c r="R12711" s="63" t="str">
        <f t="shared" si="60"/>
        <v>ZSI1_PNEU_TOOLALT_UOM3_SIPI</v>
      </c>
    </row>
    <row r="12712" ht="15.75" customHeight="1">
      <c r="B12712" s="63">
        <f t="shared" si="1"/>
        <v>14</v>
      </c>
      <c r="C12712" s="135" t="s">
        <v>524</v>
      </c>
      <c r="D12712" s="161" t="s">
        <v>74</v>
      </c>
      <c r="E12712" s="135">
        <f t="shared" si="62"/>
        <v>22</v>
      </c>
      <c r="F12712" s="134" t="s">
        <v>3811</v>
      </c>
      <c r="G12712" s="63" t="str">
        <f>VLOOKUP(C12712, 'Class Def. - General Data'!$C$20:$C$1000,1,false)</f>
        <v>ZSI1_PNEU_TOOL</v>
      </c>
      <c r="H12712" s="63" t="str">
        <f>IFERROR(__xludf.DUMMYFUNCTION("VLOOKUP(F12712, IMPORTRANGE(""https://docs.google.com/spreadsheets/d/1Lhp9OU0JdFf_VYSMzH5lBcEaU4o8teT1piV-SNzShjg/edit?gid=554141278#gid=554141278"", ""'Char Def. - Attributes'!C20:C2242""), 1,false)"),"ALT_DENUM_UOM3")</f>
        <v>ALT_DENUM_UOM3</v>
      </c>
      <c r="I12712" s="136"/>
      <c r="R12712" s="63" t="str">
        <f t="shared" si="60"/>
        <v>ZSI1_PNEU_TOOLALT_DENUM_UOM3</v>
      </c>
    </row>
    <row r="12713" ht="15.75" customHeight="1">
      <c r="B12713" s="63">
        <f t="shared" si="1"/>
        <v>14</v>
      </c>
      <c r="C12713" s="135" t="s">
        <v>524</v>
      </c>
      <c r="D12713" s="161" t="s">
        <v>74</v>
      </c>
      <c r="E12713" s="135">
        <f t="shared" si="62"/>
        <v>23</v>
      </c>
      <c r="F12713" s="134" t="s">
        <v>3812</v>
      </c>
      <c r="G12713" s="63" t="str">
        <f>VLOOKUP(C12713, 'Class Def. - General Data'!$C$20:$C$1000,1,false)</f>
        <v>ZSI1_PNEU_TOOL</v>
      </c>
      <c r="H12713" s="63" t="str">
        <f>IFERROR(__xludf.DUMMYFUNCTION("VLOOKUP(F12713, IMPORTRANGE(""https://docs.google.com/spreadsheets/d/1Lhp9OU0JdFf_VYSMzH5lBcEaU4o8teT1piV-SNzShjg/edit?gid=554141278#gid=554141278"", ""'Char Def. - Attributes'!C20:C2242""), 1,false)"),"ALT_NUM_UOM3")</f>
        <v>ALT_NUM_UOM3</v>
      </c>
      <c r="I12713" s="136"/>
      <c r="R12713" s="63" t="str">
        <f t="shared" si="60"/>
        <v>ZSI1_PNEU_TOOLALT_NUM_UOM3</v>
      </c>
    </row>
    <row r="12714" ht="15.75" customHeight="1">
      <c r="B12714" s="63">
        <f t="shared" si="1"/>
        <v>14</v>
      </c>
      <c r="C12714" s="135" t="s">
        <v>524</v>
      </c>
      <c r="D12714" s="161" t="s">
        <v>74</v>
      </c>
      <c r="E12714" s="135">
        <f t="shared" si="62"/>
        <v>24</v>
      </c>
      <c r="F12714" s="134" t="s">
        <v>3813</v>
      </c>
      <c r="G12714" s="63" t="str">
        <f>VLOOKUP(C12714, 'Class Def. - General Data'!$C$20:$C$1000,1,false)</f>
        <v>ZSI1_PNEU_TOOL</v>
      </c>
      <c r="H12714" s="63" t="str">
        <f>IFERROR(__xludf.DUMMYFUNCTION("VLOOKUP(F12714, IMPORTRANGE(""https://docs.google.com/spreadsheets/d/1Lhp9OU0JdFf_VYSMzH5lBcEaU4o8teT1piV-SNzShjg/edit?gid=554141278#gid=554141278"", ""'Char Def. - Attributes'!C20:C2242""), 1,false)"),"ALT_UOM4_SIPI")</f>
        <v>ALT_UOM4_SIPI</v>
      </c>
      <c r="I12714" s="136"/>
      <c r="R12714" s="63" t="str">
        <f t="shared" si="60"/>
        <v>ZSI1_PNEU_TOOLALT_UOM4_SIPI</v>
      </c>
    </row>
    <row r="12715" ht="15.75" customHeight="1">
      <c r="B12715" s="63">
        <f t="shared" si="1"/>
        <v>14</v>
      </c>
      <c r="C12715" s="135" t="s">
        <v>524</v>
      </c>
      <c r="D12715" s="161" t="s">
        <v>74</v>
      </c>
      <c r="E12715" s="135">
        <f t="shared" si="62"/>
        <v>25</v>
      </c>
      <c r="F12715" s="134" t="s">
        <v>3814</v>
      </c>
      <c r="G12715" s="63" t="str">
        <f>VLOOKUP(C12715, 'Class Def. - General Data'!$C$20:$C$1000,1,false)</f>
        <v>ZSI1_PNEU_TOOL</v>
      </c>
      <c r="H12715" s="63" t="str">
        <f>IFERROR(__xludf.DUMMYFUNCTION("VLOOKUP(F12715, IMPORTRANGE(""https://docs.google.com/spreadsheets/d/1Lhp9OU0JdFf_VYSMzH5lBcEaU4o8teT1piV-SNzShjg/edit?gid=554141278#gid=554141278"", ""'Char Def. - Attributes'!C20:C2242""), 1,false)"),"ALT_DENUM_UOM4")</f>
        <v>ALT_DENUM_UOM4</v>
      </c>
      <c r="I12715" s="136"/>
      <c r="R12715" s="63" t="str">
        <f t="shared" si="60"/>
        <v>ZSI1_PNEU_TOOLALT_DENUM_UOM4</v>
      </c>
    </row>
    <row r="12716" ht="15.75" customHeight="1">
      <c r="B12716" s="63">
        <f t="shared" si="1"/>
        <v>14</v>
      </c>
      <c r="C12716" s="135" t="s">
        <v>524</v>
      </c>
      <c r="D12716" s="161" t="s">
        <v>74</v>
      </c>
      <c r="E12716" s="135">
        <f t="shared" si="62"/>
        <v>26</v>
      </c>
      <c r="F12716" s="134" t="s">
        <v>3815</v>
      </c>
      <c r="G12716" s="63" t="str">
        <f>VLOOKUP(C12716, 'Class Def. - General Data'!$C$20:$C$1000,1,false)</f>
        <v>ZSI1_PNEU_TOOL</v>
      </c>
      <c r="H12716" s="63" t="str">
        <f>IFERROR(__xludf.DUMMYFUNCTION("VLOOKUP(F12716, IMPORTRANGE(""https://docs.google.com/spreadsheets/d/1Lhp9OU0JdFf_VYSMzH5lBcEaU4o8teT1piV-SNzShjg/edit?gid=554141278#gid=554141278"", ""'Char Def. - Attributes'!C20:C2242""), 1,false)"),"ALT_NUM_UOM4")</f>
        <v>ALT_NUM_UOM4</v>
      </c>
      <c r="I12716" s="136"/>
      <c r="R12716" s="63" t="str">
        <f t="shared" si="60"/>
        <v>ZSI1_PNEU_TOOLALT_NUM_UOM4</v>
      </c>
    </row>
    <row r="12717" ht="15.75" customHeight="1">
      <c r="B12717" s="63">
        <f t="shared" si="1"/>
        <v>14</v>
      </c>
      <c r="C12717" s="135" t="s">
        <v>524</v>
      </c>
      <c r="D12717" s="161" t="s">
        <v>74</v>
      </c>
      <c r="E12717" s="135">
        <f t="shared" si="62"/>
        <v>27</v>
      </c>
      <c r="F12717" s="134" t="s">
        <v>3816</v>
      </c>
      <c r="G12717" s="63" t="str">
        <f>VLOOKUP(C12717, 'Class Def. - General Data'!$C$20:$C$1000,1,false)</f>
        <v>ZSI1_PNEU_TOOL</v>
      </c>
      <c r="H12717" s="63" t="str">
        <f>IFERROR(__xludf.DUMMYFUNCTION("VLOOKUP(F12717, IMPORTRANGE(""https://docs.google.com/spreadsheets/d/1Lhp9OU0JdFf_VYSMzH5lBcEaU4o8teT1piV-SNzShjg/edit?gid=554141278#gid=554141278"", ""'Char Def. - Attributes'!C20:C2242""), 1,false)"),"ALT_UOM5_SIPI")</f>
        <v>ALT_UOM5_SIPI</v>
      </c>
      <c r="I12717" s="136"/>
      <c r="R12717" s="63" t="str">
        <f t="shared" si="60"/>
        <v>ZSI1_PNEU_TOOLALT_UOM5_SIPI</v>
      </c>
    </row>
    <row r="12718" ht="15.75" customHeight="1">
      <c r="B12718" s="63">
        <f t="shared" si="1"/>
        <v>14</v>
      </c>
      <c r="C12718" s="135" t="s">
        <v>524</v>
      </c>
      <c r="D12718" s="161" t="s">
        <v>74</v>
      </c>
      <c r="E12718" s="135">
        <f t="shared" si="62"/>
        <v>28</v>
      </c>
      <c r="F12718" s="134" t="s">
        <v>3817</v>
      </c>
      <c r="G12718" s="63" t="str">
        <f>VLOOKUP(C12718, 'Class Def. - General Data'!$C$20:$C$1000,1,false)</f>
        <v>ZSI1_PNEU_TOOL</v>
      </c>
      <c r="H12718" s="63" t="str">
        <f>IFERROR(__xludf.DUMMYFUNCTION("VLOOKUP(F12718, IMPORTRANGE(""https://docs.google.com/spreadsheets/d/1Lhp9OU0JdFf_VYSMzH5lBcEaU4o8teT1piV-SNzShjg/edit?gid=554141278#gid=554141278"", ""'Char Def. - Attributes'!C20:C2242""), 1,false)"),"ALT_DENUM_UOM5")</f>
        <v>ALT_DENUM_UOM5</v>
      </c>
      <c r="I12718" s="136"/>
      <c r="R12718" s="63" t="str">
        <f t="shared" si="60"/>
        <v>ZSI1_PNEU_TOOLALT_DENUM_UOM5</v>
      </c>
    </row>
    <row r="12719" ht="15.75" customHeight="1">
      <c r="B12719" s="63">
        <f t="shared" si="1"/>
        <v>14</v>
      </c>
      <c r="C12719" s="135" t="s">
        <v>524</v>
      </c>
      <c r="D12719" s="161" t="s">
        <v>74</v>
      </c>
      <c r="E12719" s="135">
        <f t="shared" si="62"/>
        <v>29</v>
      </c>
      <c r="F12719" s="134" t="s">
        <v>3818</v>
      </c>
      <c r="G12719" s="63" t="str">
        <f>VLOOKUP(C12719, 'Class Def. - General Data'!$C$20:$C$1000,1,false)</f>
        <v>ZSI1_PNEU_TOOL</v>
      </c>
      <c r="H12719" s="63" t="str">
        <f>IFERROR(__xludf.DUMMYFUNCTION("VLOOKUP(F12719, IMPORTRANGE(""https://docs.google.com/spreadsheets/d/1Lhp9OU0JdFf_VYSMzH5lBcEaU4o8teT1piV-SNzShjg/edit?gid=554141278#gid=554141278"", ""'Char Def. - Attributes'!C20:C2242""), 1,false)"),"ALT_NUM_UOM5")</f>
        <v>ALT_NUM_UOM5</v>
      </c>
      <c r="I12719" s="136"/>
      <c r="R12719" s="63" t="str">
        <f t="shared" si="60"/>
        <v>ZSI1_PNEU_TOOLALT_NUM_UOM5</v>
      </c>
    </row>
    <row r="12720" ht="15.75" customHeight="1">
      <c r="B12720" s="63">
        <f t="shared" si="1"/>
        <v>16</v>
      </c>
      <c r="C12720" s="135" t="s">
        <v>340</v>
      </c>
      <c r="D12720" s="161" t="s">
        <v>74</v>
      </c>
      <c r="E12720" s="135">
        <f t="shared" si="62"/>
        <v>1</v>
      </c>
      <c r="F12720" s="134" t="s">
        <v>5245</v>
      </c>
      <c r="G12720" s="63" t="str">
        <f>VLOOKUP(C12720, 'Class Def. - General Data'!$C$20:$C$1000,1,false)</f>
        <v>ZSI1_POWER_CABLE</v>
      </c>
      <c r="H12720" s="63" t="str">
        <f>IFERROR(__xludf.DUMMYFUNCTION("VLOOKUP(F12720, IMPORTRANGE(""https://docs.google.com/spreadsheets/d/1Lhp9OU0JdFf_VYSMzH5lBcEaU4o8teT1piV-SNzShjg/edit?gid=554141278#gid=554141278"", ""'Char Def. - Attributes'!C20:C2242""), 1,false)"),"ITEM_NAME_POWER_CABLE")</f>
        <v>ITEM_NAME_POWER_CABLE</v>
      </c>
      <c r="I12720" s="136"/>
      <c r="R12720" s="63" t="str">
        <f t="shared" si="60"/>
        <v>ZSI1_POWER_CABLEITEM_NAME_POWER_CABLE</v>
      </c>
    </row>
    <row r="12721" ht="15.75" customHeight="1">
      <c r="B12721" s="63">
        <f t="shared" si="1"/>
        <v>16</v>
      </c>
      <c r="C12721" s="135" t="s">
        <v>340</v>
      </c>
      <c r="D12721" s="161" t="s">
        <v>74</v>
      </c>
      <c r="E12721" s="135">
        <f t="shared" si="62"/>
        <v>2</v>
      </c>
      <c r="F12721" s="134" t="s">
        <v>5246</v>
      </c>
      <c r="G12721" s="63" t="str">
        <f>VLOOKUP(C12721, 'Class Def. - General Data'!$C$20:$C$1000,1,false)</f>
        <v>ZSI1_POWER_CABLE</v>
      </c>
      <c r="H12721" s="63" t="str">
        <f>IFERROR(__xludf.DUMMYFUNCTION("VLOOKUP(F12721, IMPORTRANGE(""https://docs.google.com/spreadsheets/d/1Lhp9OU0JdFf_VYSMzH5lBcEaU4o8teT1piV-SNzShjg/edit?gid=554141278#gid=554141278"", ""'Char Def. - Attributes'!C20:C2242""), 1,false)"),"CABLE_DESIGNATION_POWER_CABLE")</f>
        <v>CABLE_DESIGNATION_POWER_CABLE</v>
      </c>
      <c r="I12721" s="136"/>
      <c r="R12721" s="63" t="str">
        <f t="shared" si="60"/>
        <v>ZSI1_POWER_CABLECABLE_DESIGNATION_POWER_CABLE</v>
      </c>
    </row>
    <row r="12722" ht="15.75" customHeight="1">
      <c r="B12722" s="63">
        <f t="shared" si="1"/>
        <v>16</v>
      </c>
      <c r="C12722" s="135" t="s">
        <v>340</v>
      </c>
      <c r="D12722" s="161" t="s">
        <v>74</v>
      </c>
      <c r="E12722" s="135">
        <f t="shared" si="62"/>
        <v>3</v>
      </c>
      <c r="F12722" s="134" t="s">
        <v>3782</v>
      </c>
      <c r="G12722" s="63" t="str">
        <f>VLOOKUP(C12722, 'Class Def. - General Data'!$C$20:$C$1000,1,false)</f>
        <v>ZSI1_POWER_CABLE</v>
      </c>
      <c r="H12722" s="63" t="str">
        <f>IFERROR(__xludf.DUMMYFUNCTION("VLOOKUP(F12722, IMPORTRANGE(""https://docs.google.com/spreadsheets/d/1Lhp9OU0JdFf_VYSMzH5lBcEaU4o8teT1piV-SNzShjg/edit?gid=554141278#gid=554141278"", ""'Char Def. - Attributes'!C20:C2242""), 1,false)"),"BRAND_EXTERNAL")</f>
        <v>BRAND_EXTERNAL</v>
      </c>
      <c r="I12722" s="136"/>
      <c r="R12722" s="63" t="str">
        <f t="shared" si="60"/>
        <v>ZSI1_POWER_CABLEBRAND_EXTERNAL</v>
      </c>
    </row>
    <row r="12723" ht="15.75" customHeight="1">
      <c r="B12723" s="63">
        <f t="shared" si="1"/>
        <v>16</v>
      </c>
      <c r="C12723" s="135" t="s">
        <v>340</v>
      </c>
      <c r="D12723" s="161" t="s">
        <v>74</v>
      </c>
      <c r="E12723" s="135">
        <f t="shared" si="62"/>
        <v>4</v>
      </c>
      <c r="F12723" s="134" t="s">
        <v>5247</v>
      </c>
      <c r="G12723" s="63" t="str">
        <f>VLOOKUP(C12723, 'Class Def. - General Data'!$C$20:$C$1000,1,false)</f>
        <v>ZSI1_POWER_CABLE</v>
      </c>
      <c r="H12723" s="63" t="str">
        <f>IFERROR(__xludf.DUMMYFUNCTION("VLOOKUP(F12723, IMPORTRANGE(""https://docs.google.com/spreadsheets/d/1Lhp9OU0JdFf_VYSMzH5lBcEaU4o8teT1piV-SNzShjg/edit?gid=554141278#gid=554141278"", ""'Char Def. - Attributes'!C20:C2242""), 1,false)"),"NUMBER_CONDUCTOR_POWER_CABLE")</f>
        <v>NUMBER_CONDUCTOR_POWER_CABLE</v>
      </c>
      <c r="I12723" s="136"/>
      <c r="R12723" s="63" t="str">
        <f t="shared" si="60"/>
        <v>ZSI1_POWER_CABLENUMBER_CONDUCTOR_POWER_CABLE</v>
      </c>
    </row>
    <row r="12724" ht="15.75" customHeight="1">
      <c r="B12724" s="63">
        <f t="shared" si="1"/>
        <v>16</v>
      </c>
      <c r="C12724" s="135" t="s">
        <v>340</v>
      </c>
      <c r="D12724" s="161" t="s">
        <v>74</v>
      </c>
      <c r="E12724" s="135">
        <f t="shared" si="62"/>
        <v>5</v>
      </c>
      <c r="F12724" s="134" t="s">
        <v>5248</v>
      </c>
      <c r="G12724" s="63" t="str">
        <f>VLOOKUP(C12724, 'Class Def. - General Data'!$C$20:$C$1000,1,false)</f>
        <v>ZSI1_POWER_CABLE</v>
      </c>
      <c r="H12724" s="63" t="str">
        <f>IFERROR(__xludf.DUMMYFUNCTION("VLOOKUP(F12724, IMPORTRANGE(""https://docs.google.com/spreadsheets/d/1Lhp9OU0JdFf_VYSMzH5lBcEaU4o8teT1piV-SNzShjg/edit?gid=554141278#gid=554141278"", ""'Char Def. - Attributes'!C20:C2242""), 1,false)"),"CONDUCTOR_SIZE_MM_POWER_CABLE")</f>
        <v>CONDUCTOR_SIZE_MM_POWER_CABLE</v>
      </c>
      <c r="I12724" s="136"/>
      <c r="R12724" s="63" t="str">
        <f t="shared" si="60"/>
        <v>ZSI1_POWER_CABLECONDUCTOR_SIZE_MM_POWER_CABLE</v>
      </c>
    </row>
    <row r="12725" ht="15.75" customHeight="1">
      <c r="B12725" s="63">
        <f t="shared" si="1"/>
        <v>16</v>
      </c>
      <c r="C12725" s="135" t="s">
        <v>340</v>
      </c>
      <c r="D12725" s="161" t="s">
        <v>74</v>
      </c>
      <c r="E12725" s="135">
        <f t="shared" si="62"/>
        <v>6</v>
      </c>
      <c r="F12725" s="134" t="s">
        <v>4053</v>
      </c>
      <c r="G12725" s="63" t="str">
        <f>VLOOKUP(C12725, 'Class Def. - General Data'!$C$20:$C$1000,1,false)</f>
        <v>ZSI1_POWER_CABLE</v>
      </c>
      <c r="H12725" s="63" t="str">
        <f>IFERROR(__xludf.DUMMYFUNCTION("VLOOKUP(F12725, IMPORTRANGE(""https://docs.google.com/spreadsheets/d/1Lhp9OU0JdFf_VYSMzH5lBcEaU4o8teT1piV-SNzShjg/edit?gid=554141278#gid=554141278"", ""'Char Def. - Attributes'!C20:C2242""), 1,false)"),"MAINTENANCE_ORDER_TYPE")</f>
        <v>MAINTENANCE_ORDER_TYPE</v>
      </c>
      <c r="I12725" s="136"/>
      <c r="R12725" s="63" t="str">
        <f t="shared" si="60"/>
        <v>ZSI1_POWER_CABLEMAINTENANCE_ORDER_TYPE</v>
      </c>
    </row>
    <row r="12726" ht="15.75" customHeight="1">
      <c r="B12726" s="63">
        <f t="shared" si="1"/>
        <v>16</v>
      </c>
      <c r="C12726" s="135" t="s">
        <v>340</v>
      </c>
      <c r="D12726" s="161" t="s">
        <v>74</v>
      </c>
      <c r="E12726" s="135">
        <f t="shared" si="62"/>
        <v>7</v>
      </c>
      <c r="F12726" s="134" t="s">
        <v>3585</v>
      </c>
      <c r="G12726" s="63" t="str">
        <f>VLOOKUP(C12726, 'Class Def. - General Data'!$C$20:$C$1000,1,false)</f>
        <v>ZSI1_POWER_CABLE</v>
      </c>
      <c r="H12726" s="63" t="str">
        <f>IFERROR(__xludf.DUMMYFUNCTION("VLOOKUP(F12726, IMPORTRANGE(""https://docs.google.com/spreadsheets/d/1Lhp9OU0JdFf_VYSMzH5lBcEaU4o8teT1piV-SNzShjg/edit?gid=554141278#gid=554141278"", ""'Char Def. - Attributes'!C20:C2242""), 1,false)"),"HS_CODE")</f>
        <v>HS_CODE</v>
      </c>
      <c r="I12726" s="136"/>
      <c r="R12726" s="63" t="str">
        <f t="shared" si="60"/>
        <v>ZSI1_POWER_CABLEHS_CODE</v>
      </c>
    </row>
    <row r="12727" ht="15.75" customHeight="1">
      <c r="B12727" s="63">
        <f t="shared" si="1"/>
        <v>16</v>
      </c>
      <c r="C12727" s="135" t="s">
        <v>340</v>
      </c>
      <c r="D12727" s="161" t="s">
        <v>74</v>
      </c>
      <c r="E12727" s="135">
        <f t="shared" si="62"/>
        <v>8</v>
      </c>
      <c r="F12727" s="134" t="s">
        <v>3587</v>
      </c>
      <c r="G12727" s="63" t="str">
        <f>VLOOKUP(C12727, 'Class Def. - General Data'!$C$20:$C$1000,1,false)</f>
        <v>ZSI1_POWER_CABLE</v>
      </c>
      <c r="H12727" s="63" t="str">
        <f>IFERROR(__xludf.DUMMYFUNCTION("VLOOKUP(F12727, IMPORTRANGE(""https://docs.google.com/spreadsheets/d/1Lhp9OU0JdFf_VYSMzH5lBcEaU4o8teT1piV-SNzShjg/edit?gid=554141278#gid=554141278"", ""'Char Def. - Attributes'!C20:C2242""), 1,false)"),"PLANT_BUY")</f>
        <v>PLANT_BUY</v>
      </c>
      <c r="I12727" s="136"/>
      <c r="R12727" s="63" t="str">
        <f t="shared" si="60"/>
        <v>ZSI1_POWER_CABLEPLANT_BUY</v>
      </c>
    </row>
    <row r="12728" ht="15.75" customHeight="1">
      <c r="B12728" s="63">
        <f t="shared" si="1"/>
        <v>16</v>
      </c>
      <c r="C12728" s="135" t="s">
        <v>340</v>
      </c>
      <c r="D12728" s="161" t="s">
        <v>74</v>
      </c>
      <c r="E12728" s="135">
        <f t="shared" si="62"/>
        <v>9</v>
      </c>
      <c r="F12728" s="134" t="s">
        <v>5249</v>
      </c>
      <c r="G12728" s="63" t="str">
        <f>VLOOKUP(C12728, 'Class Def. - General Data'!$C$20:$C$1000,1,false)</f>
        <v>ZSI1_POWER_CABLE</v>
      </c>
      <c r="H12728" s="63" t="str">
        <f>IFERROR(__xludf.DUMMYFUNCTION("VLOOKUP(F12728, IMPORTRANGE(""https://docs.google.com/spreadsheets/d/1Lhp9OU0JdFf_VYSMzH5lBcEaU4o8teT1piV-SNzShjg/edit?gid=554141278#gid=554141278"", ""'Char Def. - Attributes'!C20:C2242""), 1,false)"),"BASE_UOM_POWER_CABLE")</f>
        <v>BASE_UOM_POWER_CABLE</v>
      </c>
      <c r="I12728" s="136"/>
      <c r="R12728" s="63" t="str">
        <f t="shared" si="60"/>
        <v>ZSI1_POWER_CABLEBASE_UOM_POWER_CABLE</v>
      </c>
    </row>
    <row r="12729" ht="15.75" customHeight="1">
      <c r="B12729" s="63">
        <f t="shared" si="1"/>
        <v>16</v>
      </c>
      <c r="C12729" s="135" t="s">
        <v>340</v>
      </c>
      <c r="D12729" s="161" t="s">
        <v>74</v>
      </c>
      <c r="E12729" s="135">
        <f t="shared" si="62"/>
        <v>10</v>
      </c>
      <c r="F12729" s="134" t="s">
        <v>5250</v>
      </c>
      <c r="G12729" s="63" t="str">
        <f>VLOOKUP(C12729, 'Class Def. - General Data'!$C$20:$C$1000,1,false)</f>
        <v>ZSI1_POWER_CABLE</v>
      </c>
      <c r="H12729" s="63" t="str">
        <f>IFERROR(__xludf.DUMMYFUNCTION("VLOOKUP(F12729, IMPORTRANGE(""https://docs.google.com/spreadsheets/d/1Lhp9OU0JdFf_VYSMzH5lBcEaU4o8teT1piV-SNzShjg/edit?gid=554141278#gid=554141278"", ""'Char Def. - Attributes'!C20:C2242""), 1,false)"),"ORDER_UNIT_POWER_CABLE")</f>
        <v>ORDER_UNIT_POWER_CABLE</v>
      </c>
      <c r="I12729" s="136"/>
      <c r="R12729" s="63" t="str">
        <f t="shared" si="60"/>
        <v>ZSI1_POWER_CABLEORDER_UNIT_POWER_CABLE</v>
      </c>
    </row>
    <row r="12730" ht="15.75" customHeight="1">
      <c r="B12730" s="63">
        <f t="shared" si="1"/>
        <v>16</v>
      </c>
      <c r="C12730" s="135" t="s">
        <v>340</v>
      </c>
      <c r="D12730" s="161" t="s">
        <v>74</v>
      </c>
      <c r="E12730" s="135">
        <f t="shared" si="62"/>
        <v>11</v>
      </c>
      <c r="F12730" s="134" t="s">
        <v>4056</v>
      </c>
      <c r="G12730" s="63" t="str">
        <f>VLOOKUP(C12730, 'Class Def. - General Data'!$C$20:$C$1000,1,false)</f>
        <v>ZSI1_POWER_CABLE</v>
      </c>
      <c r="H12730" s="63" t="str">
        <f>IFERROR(__xludf.DUMMYFUNCTION("VLOOKUP(F12730, IMPORTRANGE(""https://docs.google.com/spreadsheets/d/1Lhp9OU0JdFf_VYSMzH5lBcEaU4o8teT1piV-SNzShjg/edit?gid=554141278#gid=554141278"", ""'Char Def. - Attributes'!C20:C2242""), 1,false)"),"GROSS_WEIGHT_OPT")</f>
        <v>GROSS_WEIGHT_OPT</v>
      </c>
      <c r="I12730" s="136"/>
      <c r="R12730" s="63" t="str">
        <f t="shared" si="60"/>
        <v>ZSI1_POWER_CABLEGROSS_WEIGHT_OPT</v>
      </c>
    </row>
    <row r="12731" ht="15.75" customHeight="1">
      <c r="B12731" s="63">
        <f t="shared" si="1"/>
        <v>16</v>
      </c>
      <c r="C12731" s="135" t="s">
        <v>340</v>
      </c>
      <c r="D12731" s="161" t="s">
        <v>74</v>
      </c>
      <c r="E12731" s="135">
        <f t="shared" si="62"/>
        <v>12</v>
      </c>
      <c r="F12731" s="134" t="s">
        <v>4057</v>
      </c>
      <c r="G12731" s="63" t="str">
        <f>VLOOKUP(C12731, 'Class Def. - General Data'!$C$20:$C$1000,1,false)</f>
        <v>ZSI1_POWER_CABLE</v>
      </c>
      <c r="H12731" s="63" t="str">
        <f>IFERROR(__xludf.DUMMYFUNCTION("VLOOKUP(F12731, IMPORTRANGE(""https://docs.google.com/spreadsheets/d/1Lhp9OU0JdFf_VYSMzH5lBcEaU4o8teT1piV-SNzShjg/edit?gid=554141278#gid=554141278"", ""'Char Def. - Attributes'!C20:C2242""), 1,false)"),"NET_WEIGHT_OPT")</f>
        <v>NET_WEIGHT_OPT</v>
      </c>
      <c r="I12731" s="136"/>
      <c r="R12731" s="63" t="str">
        <f t="shared" si="60"/>
        <v>ZSI1_POWER_CABLENET_WEIGHT_OPT</v>
      </c>
    </row>
    <row r="12732" ht="15.75" customHeight="1">
      <c r="B12732" s="63">
        <f t="shared" si="1"/>
        <v>16</v>
      </c>
      <c r="C12732" s="135" t="s">
        <v>340</v>
      </c>
      <c r="D12732" s="161" t="s">
        <v>74</v>
      </c>
      <c r="E12732" s="135">
        <f t="shared" si="62"/>
        <v>13</v>
      </c>
      <c r="F12732" s="134" t="s">
        <v>4058</v>
      </c>
      <c r="G12732" s="63" t="str">
        <f>VLOOKUP(C12732, 'Class Def. - General Data'!$C$20:$C$1000,1,false)</f>
        <v>ZSI1_POWER_CABLE</v>
      </c>
      <c r="H12732" s="63" t="str">
        <f>IFERROR(__xludf.DUMMYFUNCTION("VLOOKUP(F12732, IMPORTRANGE(""https://docs.google.com/spreadsheets/d/1Lhp9OU0JdFf_VYSMzH5lBcEaU4o8teT1piV-SNzShjg/edit?gid=554141278#gid=554141278"", ""'Char Def. - Attributes'!C20:C2242""), 1,false)"),"WEIGHT_UNIT_SI")</f>
        <v>WEIGHT_UNIT_SI</v>
      </c>
      <c r="I12732" s="136"/>
      <c r="R12732" s="63" t="str">
        <f t="shared" si="60"/>
        <v>ZSI1_POWER_CABLEWEIGHT_UNIT_SI</v>
      </c>
    </row>
    <row r="12733" ht="15.75" customHeight="1">
      <c r="B12733" s="63">
        <f t="shared" si="1"/>
        <v>16</v>
      </c>
      <c r="C12733" s="135" t="s">
        <v>340</v>
      </c>
      <c r="D12733" s="161" t="s">
        <v>74</v>
      </c>
      <c r="E12733" s="135">
        <f t="shared" si="62"/>
        <v>14</v>
      </c>
      <c r="F12733" s="134" t="s">
        <v>3877</v>
      </c>
      <c r="G12733" s="63" t="str">
        <f>VLOOKUP(C12733, 'Class Def. - General Data'!$C$20:$C$1000,1,false)</f>
        <v>ZSI1_POWER_CABLE</v>
      </c>
      <c r="H12733" s="63" t="str">
        <f>IFERROR(__xludf.DUMMYFUNCTION("VLOOKUP(F12733, IMPORTRANGE(""https://docs.google.com/spreadsheets/d/1Lhp9OU0JdFf_VYSMzH5lBcEaU4o8teT1piV-SNzShjg/edit?gid=554141278#gid=554141278"", ""'Char Def. - Attributes'!C20:C2242""), 1,false)"),"VOLUME_OPT")</f>
        <v>VOLUME_OPT</v>
      </c>
      <c r="I12733" s="136"/>
      <c r="R12733" s="63" t="str">
        <f t="shared" si="60"/>
        <v>ZSI1_POWER_CABLEVOLUME_OPT</v>
      </c>
    </row>
    <row r="12734" ht="15.75" customHeight="1">
      <c r="B12734" s="63">
        <f t="shared" si="1"/>
        <v>16</v>
      </c>
      <c r="C12734" s="135" t="s">
        <v>340</v>
      </c>
      <c r="D12734" s="161" t="s">
        <v>74</v>
      </c>
      <c r="E12734" s="135">
        <f t="shared" si="62"/>
        <v>15</v>
      </c>
      <c r="F12734" s="134" t="s">
        <v>4059</v>
      </c>
      <c r="G12734" s="63" t="str">
        <f>VLOOKUP(C12734, 'Class Def. - General Data'!$C$20:$C$1000,1,false)</f>
        <v>ZSI1_POWER_CABLE</v>
      </c>
      <c r="H12734" s="63" t="str">
        <f>IFERROR(__xludf.DUMMYFUNCTION("VLOOKUP(F12734, IMPORTRANGE(""https://docs.google.com/spreadsheets/d/1Lhp9OU0JdFf_VYSMzH5lBcEaU4o8teT1piV-SNzShjg/edit?gid=554141278#gid=554141278"", ""'Char Def. - Attributes'!C20:C2242""), 1,false)"),"VOLUME_UNIT_SI")</f>
        <v>VOLUME_UNIT_SI</v>
      </c>
      <c r="I12734" s="136"/>
      <c r="R12734" s="63" t="str">
        <f t="shared" si="60"/>
        <v>ZSI1_POWER_CABLEVOLUME_UNIT_SI</v>
      </c>
    </row>
    <row r="12735" ht="15.75" customHeight="1">
      <c r="B12735" s="63">
        <f t="shared" si="1"/>
        <v>16</v>
      </c>
      <c r="C12735" s="135" t="s">
        <v>340</v>
      </c>
      <c r="D12735" s="161" t="s">
        <v>74</v>
      </c>
      <c r="E12735" s="135">
        <f t="shared" si="62"/>
        <v>16</v>
      </c>
      <c r="F12735" s="134" t="s">
        <v>3804</v>
      </c>
      <c r="G12735" s="63" t="str">
        <f>VLOOKUP(C12735, 'Class Def. - General Data'!$C$20:$C$1000,1,false)</f>
        <v>ZSI1_POWER_CABLE</v>
      </c>
      <c r="H12735" s="63" t="str">
        <f>IFERROR(__xludf.DUMMYFUNCTION("VLOOKUP(F12735, IMPORTRANGE(""https://docs.google.com/spreadsheets/d/1Lhp9OU0JdFf_VYSMzH5lBcEaU4o8teT1piV-SNzShjg/edit?gid=554141278#gid=554141278"", ""'Char Def. - Attributes'!C20:C2242""), 1,false)"),"ALT_UOM1_SIPI")</f>
        <v>ALT_UOM1_SIPI</v>
      </c>
      <c r="I12735" s="136"/>
      <c r="R12735" s="63" t="str">
        <f t="shared" si="60"/>
        <v>ZSI1_POWER_CABLEALT_UOM1_SIPI</v>
      </c>
    </row>
    <row r="12736" ht="15.75" customHeight="1">
      <c r="B12736" s="63">
        <f t="shared" si="1"/>
        <v>16</v>
      </c>
      <c r="C12736" s="135" t="s">
        <v>340</v>
      </c>
      <c r="D12736" s="161" t="s">
        <v>74</v>
      </c>
      <c r="E12736" s="135">
        <f t="shared" si="62"/>
        <v>17</v>
      </c>
      <c r="F12736" s="134" t="s">
        <v>3805</v>
      </c>
      <c r="G12736" s="63" t="str">
        <f>VLOOKUP(C12736, 'Class Def. - General Data'!$C$20:$C$1000,1,false)</f>
        <v>ZSI1_POWER_CABLE</v>
      </c>
      <c r="H12736" s="63" t="str">
        <f>IFERROR(__xludf.DUMMYFUNCTION("VLOOKUP(F12736, IMPORTRANGE(""https://docs.google.com/spreadsheets/d/1Lhp9OU0JdFf_VYSMzH5lBcEaU4o8teT1piV-SNzShjg/edit?gid=554141278#gid=554141278"", ""'Char Def. - Attributes'!C20:C2242""), 1,false)"),"ALT_DENUM_UOM1")</f>
        <v>ALT_DENUM_UOM1</v>
      </c>
      <c r="I12736" s="136"/>
      <c r="R12736" s="63" t="str">
        <f t="shared" si="60"/>
        <v>ZSI1_POWER_CABLEALT_DENUM_UOM1</v>
      </c>
    </row>
    <row r="12737" ht="15.75" customHeight="1">
      <c r="B12737" s="63">
        <f t="shared" si="1"/>
        <v>16</v>
      </c>
      <c r="C12737" s="135" t="s">
        <v>340</v>
      </c>
      <c r="D12737" s="161" t="s">
        <v>74</v>
      </c>
      <c r="E12737" s="135">
        <f t="shared" si="62"/>
        <v>18</v>
      </c>
      <c r="F12737" s="134" t="s">
        <v>3806</v>
      </c>
      <c r="G12737" s="63" t="str">
        <f>VLOOKUP(C12737, 'Class Def. - General Data'!$C$20:$C$1000,1,false)</f>
        <v>ZSI1_POWER_CABLE</v>
      </c>
      <c r="H12737" s="63" t="str">
        <f>IFERROR(__xludf.DUMMYFUNCTION("VLOOKUP(F12737, IMPORTRANGE(""https://docs.google.com/spreadsheets/d/1Lhp9OU0JdFf_VYSMzH5lBcEaU4o8teT1piV-SNzShjg/edit?gid=554141278#gid=554141278"", ""'Char Def. - Attributes'!C20:C2242""), 1,false)"),"ALT_NUM_UOM1")</f>
        <v>ALT_NUM_UOM1</v>
      </c>
      <c r="I12737" s="136"/>
      <c r="R12737" s="63" t="str">
        <f t="shared" si="60"/>
        <v>ZSI1_POWER_CABLEALT_NUM_UOM1</v>
      </c>
    </row>
    <row r="12738" ht="15.75" customHeight="1">
      <c r="B12738" s="63">
        <f t="shared" si="1"/>
        <v>16</v>
      </c>
      <c r="C12738" s="135" t="s">
        <v>340</v>
      </c>
      <c r="D12738" s="161" t="s">
        <v>74</v>
      </c>
      <c r="E12738" s="135">
        <f t="shared" si="62"/>
        <v>19</v>
      </c>
      <c r="F12738" s="134" t="s">
        <v>3807</v>
      </c>
      <c r="G12738" s="63" t="str">
        <f>VLOOKUP(C12738, 'Class Def. - General Data'!$C$20:$C$1000,1,false)</f>
        <v>ZSI1_POWER_CABLE</v>
      </c>
      <c r="H12738" s="63" t="str">
        <f>IFERROR(__xludf.DUMMYFUNCTION("VLOOKUP(F12738, IMPORTRANGE(""https://docs.google.com/spreadsheets/d/1Lhp9OU0JdFf_VYSMzH5lBcEaU4o8teT1piV-SNzShjg/edit?gid=554141278#gid=554141278"", ""'Char Def. - Attributes'!C20:C2242""), 1,false)"),"ALT_UOM2_SIPI")</f>
        <v>ALT_UOM2_SIPI</v>
      </c>
      <c r="I12738" s="136"/>
      <c r="R12738" s="63" t="str">
        <f t="shared" si="60"/>
        <v>ZSI1_POWER_CABLEALT_UOM2_SIPI</v>
      </c>
    </row>
    <row r="12739" ht="15.75" customHeight="1">
      <c r="B12739" s="63">
        <f t="shared" si="1"/>
        <v>16</v>
      </c>
      <c r="C12739" s="135" t="s">
        <v>340</v>
      </c>
      <c r="D12739" s="161" t="s">
        <v>74</v>
      </c>
      <c r="E12739" s="135">
        <f t="shared" si="62"/>
        <v>20</v>
      </c>
      <c r="F12739" s="134" t="s">
        <v>3808</v>
      </c>
      <c r="G12739" s="63" t="str">
        <f>VLOOKUP(C12739, 'Class Def. - General Data'!$C$20:$C$1000,1,false)</f>
        <v>ZSI1_POWER_CABLE</v>
      </c>
      <c r="H12739" s="63" t="str">
        <f>IFERROR(__xludf.DUMMYFUNCTION("VLOOKUP(F12739, IMPORTRANGE(""https://docs.google.com/spreadsheets/d/1Lhp9OU0JdFf_VYSMzH5lBcEaU4o8teT1piV-SNzShjg/edit?gid=554141278#gid=554141278"", ""'Char Def. - Attributes'!C20:C2242""), 1,false)"),"ALT_DENUM_UOM2")</f>
        <v>ALT_DENUM_UOM2</v>
      </c>
      <c r="I12739" s="136"/>
      <c r="R12739" s="63" t="str">
        <f t="shared" si="60"/>
        <v>ZSI1_POWER_CABLEALT_DENUM_UOM2</v>
      </c>
    </row>
    <row r="12740" ht="15.75" customHeight="1">
      <c r="B12740" s="63">
        <f t="shared" si="1"/>
        <v>16</v>
      </c>
      <c r="C12740" s="135" t="s">
        <v>340</v>
      </c>
      <c r="D12740" s="161" t="s">
        <v>74</v>
      </c>
      <c r="E12740" s="135">
        <f t="shared" si="62"/>
        <v>21</v>
      </c>
      <c r="F12740" s="134" t="s">
        <v>3809</v>
      </c>
      <c r="G12740" s="63" t="str">
        <f>VLOOKUP(C12740, 'Class Def. - General Data'!$C$20:$C$1000,1,false)</f>
        <v>ZSI1_POWER_CABLE</v>
      </c>
      <c r="H12740" s="63" t="str">
        <f>IFERROR(__xludf.DUMMYFUNCTION("VLOOKUP(F12740, IMPORTRANGE(""https://docs.google.com/spreadsheets/d/1Lhp9OU0JdFf_VYSMzH5lBcEaU4o8teT1piV-SNzShjg/edit?gid=554141278#gid=554141278"", ""'Char Def. - Attributes'!C20:C2242""), 1,false)"),"ALT_NUM_UOM2")</f>
        <v>ALT_NUM_UOM2</v>
      </c>
      <c r="I12740" s="136"/>
      <c r="R12740" s="63" t="str">
        <f t="shared" si="60"/>
        <v>ZSI1_POWER_CABLEALT_NUM_UOM2</v>
      </c>
    </row>
    <row r="12741" ht="15.75" customHeight="1">
      <c r="B12741" s="63">
        <f t="shared" si="1"/>
        <v>16</v>
      </c>
      <c r="C12741" s="135" t="s">
        <v>340</v>
      </c>
      <c r="D12741" s="161" t="s">
        <v>74</v>
      </c>
      <c r="E12741" s="135">
        <f t="shared" si="62"/>
        <v>22</v>
      </c>
      <c r="F12741" s="134" t="s">
        <v>3810</v>
      </c>
      <c r="G12741" s="63" t="str">
        <f>VLOOKUP(C12741, 'Class Def. - General Data'!$C$20:$C$1000,1,false)</f>
        <v>ZSI1_POWER_CABLE</v>
      </c>
      <c r="H12741" s="63" t="str">
        <f>IFERROR(__xludf.DUMMYFUNCTION("VLOOKUP(F12741, IMPORTRANGE(""https://docs.google.com/spreadsheets/d/1Lhp9OU0JdFf_VYSMzH5lBcEaU4o8teT1piV-SNzShjg/edit?gid=554141278#gid=554141278"", ""'Char Def. - Attributes'!C20:C2242""), 1,false)"),"ALT_UOM3_SIPI")</f>
        <v>ALT_UOM3_SIPI</v>
      </c>
      <c r="I12741" s="136"/>
      <c r="R12741" s="63" t="str">
        <f t="shared" si="60"/>
        <v>ZSI1_POWER_CABLEALT_UOM3_SIPI</v>
      </c>
    </row>
    <row r="12742" ht="15.75" customHeight="1">
      <c r="B12742" s="63">
        <f t="shared" si="1"/>
        <v>16</v>
      </c>
      <c r="C12742" s="135" t="s">
        <v>340</v>
      </c>
      <c r="D12742" s="161" t="s">
        <v>74</v>
      </c>
      <c r="E12742" s="135">
        <f t="shared" si="62"/>
        <v>23</v>
      </c>
      <c r="F12742" s="134" t="s">
        <v>3811</v>
      </c>
      <c r="G12742" s="63" t="str">
        <f>VLOOKUP(C12742, 'Class Def. - General Data'!$C$20:$C$1000,1,false)</f>
        <v>ZSI1_POWER_CABLE</v>
      </c>
      <c r="H12742" s="63" t="str">
        <f>IFERROR(__xludf.DUMMYFUNCTION("VLOOKUP(F12742, IMPORTRANGE(""https://docs.google.com/spreadsheets/d/1Lhp9OU0JdFf_VYSMzH5lBcEaU4o8teT1piV-SNzShjg/edit?gid=554141278#gid=554141278"", ""'Char Def. - Attributes'!C20:C2242""), 1,false)"),"ALT_DENUM_UOM3")</f>
        <v>ALT_DENUM_UOM3</v>
      </c>
      <c r="I12742" s="136"/>
      <c r="R12742" s="63" t="str">
        <f t="shared" si="60"/>
        <v>ZSI1_POWER_CABLEALT_DENUM_UOM3</v>
      </c>
    </row>
    <row r="12743" ht="15.75" customHeight="1">
      <c r="B12743" s="63">
        <f t="shared" si="1"/>
        <v>16</v>
      </c>
      <c r="C12743" s="135" t="s">
        <v>340</v>
      </c>
      <c r="D12743" s="161" t="s">
        <v>74</v>
      </c>
      <c r="E12743" s="135">
        <f t="shared" si="62"/>
        <v>24</v>
      </c>
      <c r="F12743" s="134" t="s">
        <v>3812</v>
      </c>
      <c r="G12743" s="63" t="str">
        <f>VLOOKUP(C12743, 'Class Def. - General Data'!$C$20:$C$1000,1,false)</f>
        <v>ZSI1_POWER_CABLE</v>
      </c>
      <c r="H12743" s="63" t="str">
        <f>IFERROR(__xludf.DUMMYFUNCTION("VLOOKUP(F12743, IMPORTRANGE(""https://docs.google.com/spreadsheets/d/1Lhp9OU0JdFf_VYSMzH5lBcEaU4o8teT1piV-SNzShjg/edit?gid=554141278#gid=554141278"", ""'Char Def. - Attributes'!C20:C2242""), 1,false)"),"ALT_NUM_UOM3")</f>
        <v>ALT_NUM_UOM3</v>
      </c>
      <c r="I12743" s="136"/>
      <c r="R12743" s="63" t="str">
        <f t="shared" si="60"/>
        <v>ZSI1_POWER_CABLEALT_NUM_UOM3</v>
      </c>
    </row>
    <row r="12744" ht="15.75" customHeight="1">
      <c r="B12744" s="63">
        <f t="shared" si="1"/>
        <v>16</v>
      </c>
      <c r="C12744" s="135" t="s">
        <v>340</v>
      </c>
      <c r="D12744" s="161" t="s">
        <v>74</v>
      </c>
      <c r="E12744" s="135">
        <f t="shared" si="62"/>
        <v>25</v>
      </c>
      <c r="F12744" s="134" t="s">
        <v>3813</v>
      </c>
      <c r="G12744" s="63" t="str">
        <f>VLOOKUP(C12744, 'Class Def. - General Data'!$C$20:$C$1000,1,false)</f>
        <v>ZSI1_POWER_CABLE</v>
      </c>
      <c r="H12744" s="63" t="str">
        <f>IFERROR(__xludf.DUMMYFUNCTION("VLOOKUP(F12744, IMPORTRANGE(""https://docs.google.com/spreadsheets/d/1Lhp9OU0JdFf_VYSMzH5lBcEaU4o8teT1piV-SNzShjg/edit?gid=554141278#gid=554141278"", ""'Char Def. - Attributes'!C20:C2242""), 1,false)"),"ALT_UOM4_SIPI")</f>
        <v>ALT_UOM4_SIPI</v>
      </c>
      <c r="I12744" s="136"/>
      <c r="R12744" s="63" t="str">
        <f t="shared" si="60"/>
        <v>ZSI1_POWER_CABLEALT_UOM4_SIPI</v>
      </c>
    </row>
    <row r="12745" ht="15.75" customHeight="1">
      <c r="B12745" s="63">
        <f t="shared" si="1"/>
        <v>16</v>
      </c>
      <c r="C12745" s="135" t="s">
        <v>340</v>
      </c>
      <c r="D12745" s="161" t="s">
        <v>74</v>
      </c>
      <c r="E12745" s="135">
        <f t="shared" si="62"/>
        <v>26</v>
      </c>
      <c r="F12745" s="134" t="s">
        <v>3814</v>
      </c>
      <c r="G12745" s="63" t="str">
        <f>VLOOKUP(C12745, 'Class Def. - General Data'!$C$20:$C$1000,1,false)</f>
        <v>ZSI1_POWER_CABLE</v>
      </c>
      <c r="H12745" s="63" t="str">
        <f>IFERROR(__xludf.DUMMYFUNCTION("VLOOKUP(F12745, IMPORTRANGE(""https://docs.google.com/spreadsheets/d/1Lhp9OU0JdFf_VYSMzH5lBcEaU4o8teT1piV-SNzShjg/edit?gid=554141278#gid=554141278"", ""'Char Def. - Attributes'!C20:C2242""), 1,false)"),"ALT_DENUM_UOM4")</f>
        <v>ALT_DENUM_UOM4</v>
      </c>
      <c r="I12745" s="136"/>
      <c r="R12745" s="63" t="str">
        <f t="shared" si="60"/>
        <v>ZSI1_POWER_CABLEALT_DENUM_UOM4</v>
      </c>
    </row>
    <row r="12746" ht="15.75" customHeight="1">
      <c r="B12746" s="63">
        <f t="shared" si="1"/>
        <v>16</v>
      </c>
      <c r="C12746" s="135" t="s">
        <v>340</v>
      </c>
      <c r="D12746" s="161" t="s">
        <v>74</v>
      </c>
      <c r="E12746" s="135">
        <f t="shared" si="62"/>
        <v>27</v>
      </c>
      <c r="F12746" s="134" t="s">
        <v>3815</v>
      </c>
      <c r="G12746" s="63" t="str">
        <f>VLOOKUP(C12746, 'Class Def. - General Data'!$C$20:$C$1000,1,false)</f>
        <v>ZSI1_POWER_CABLE</v>
      </c>
      <c r="H12746" s="63" t="str">
        <f>IFERROR(__xludf.DUMMYFUNCTION("VLOOKUP(F12746, IMPORTRANGE(""https://docs.google.com/spreadsheets/d/1Lhp9OU0JdFf_VYSMzH5lBcEaU4o8teT1piV-SNzShjg/edit?gid=554141278#gid=554141278"", ""'Char Def. - Attributes'!C20:C2242""), 1,false)"),"ALT_NUM_UOM4")</f>
        <v>ALT_NUM_UOM4</v>
      </c>
      <c r="I12746" s="136"/>
      <c r="R12746" s="63" t="str">
        <f t="shared" si="60"/>
        <v>ZSI1_POWER_CABLEALT_NUM_UOM4</v>
      </c>
    </row>
    <row r="12747" ht="15.75" customHeight="1">
      <c r="B12747" s="63">
        <f t="shared" si="1"/>
        <v>16</v>
      </c>
      <c r="C12747" s="135" t="s">
        <v>340</v>
      </c>
      <c r="D12747" s="161" t="s">
        <v>74</v>
      </c>
      <c r="E12747" s="135">
        <f t="shared" si="62"/>
        <v>28</v>
      </c>
      <c r="F12747" s="134" t="s">
        <v>3816</v>
      </c>
      <c r="G12747" s="63" t="str">
        <f>VLOOKUP(C12747, 'Class Def. - General Data'!$C$20:$C$1000,1,false)</f>
        <v>ZSI1_POWER_CABLE</v>
      </c>
      <c r="H12747" s="63" t="str">
        <f>IFERROR(__xludf.DUMMYFUNCTION("VLOOKUP(F12747, IMPORTRANGE(""https://docs.google.com/spreadsheets/d/1Lhp9OU0JdFf_VYSMzH5lBcEaU4o8teT1piV-SNzShjg/edit?gid=554141278#gid=554141278"", ""'Char Def. - Attributes'!C20:C2242""), 1,false)"),"ALT_UOM5_SIPI")</f>
        <v>ALT_UOM5_SIPI</v>
      </c>
      <c r="I12747" s="136"/>
      <c r="R12747" s="63" t="str">
        <f t="shared" si="60"/>
        <v>ZSI1_POWER_CABLEALT_UOM5_SIPI</v>
      </c>
    </row>
    <row r="12748" ht="15.75" customHeight="1">
      <c r="B12748" s="63">
        <f t="shared" si="1"/>
        <v>16</v>
      </c>
      <c r="C12748" s="135" t="s">
        <v>340</v>
      </c>
      <c r="D12748" s="161" t="s">
        <v>74</v>
      </c>
      <c r="E12748" s="135">
        <f t="shared" si="62"/>
        <v>29</v>
      </c>
      <c r="F12748" s="134" t="s">
        <v>3817</v>
      </c>
      <c r="G12748" s="63" t="str">
        <f>VLOOKUP(C12748, 'Class Def. - General Data'!$C$20:$C$1000,1,false)</f>
        <v>ZSI1_POWER_CABLE</v>
      </c>
      <c r="H12748" s="63" t="str">
        <f>IFERROR(__xludf.DUMMYFUNCTION("VLOOKUP(F12748, IMPORTRANGE(""https://docs.google.com/spreadsheets/d/1Lhp9OU0JdFf_VYSMzH5lBcEaU4o8teT1piV-SNzShjg/edit?gid=554141278#gid=554141278"", ""'Char Def. - Attributes'!C20:C2242""), 1,false)"),"ALT_DENUM_UOM5")</f>
        <v>ALT_DENUM_UOM5</v>
      </c>
      <c r="I12748" s="136"/>
      <c r="R12748" s="63" t="str">
        <f t="shared" si="60"/>
        <v>ZSI1_POWER_CABLEALT_DENUM_UOM5</v>
      </c>
    </row>
    <row r="12749" ht="15.75" customHeight="1">
      <c r="B12749" s="63">
        <f t="shared" si="1"/>
        <v>16</v>
      </c>
      <c r="C12749" s="135" t="s">
        <v>340</v>
      </c>
      <c r="D12749" s="161" t="s">
        <v>74</v>
      </c>
      <c r="E12749" s="135">
        <f t="shared" si="62"/>
        <v>30</v>
      </c>
      <c r="F12749" s="134" t="s">
        <v>3818</v>
      </c>
      <c r="G12749" s="63" t="str">
        <f>VLOOKUP(C12749, 'Class Def. - General Data'!$C$20:$C$1000,1,false)</f>
        <v>ZSI1_POWER_CABLE</v>
      </c>
      <c r="H12749" s="63" t="str">
        <f>IFERROR(__xludf.DUMMYFUNCTION("VLOOKUP(F12749, IMPORTRANGE(""https://docs.google.com/spreadsheets/d/1Lhp9OU0JdFf_VYSMzH5lBcEaU4o8teT1piV-SNzShjg/edit?gid=554141278#gid=554141278"", ""'Char Def. - Attributes'!C20:C2242""), 1,false)"),"ALT_NUM_UOM5")</f>
        <v>ALT_NUM_UOM5</v>
      </c>
      <c r="I12749" s="136"/>
      <c r="R12749" s="63" t="str">
        <f t="shared" si="60"/>
        <v>ZSI1_POWER_CABLEALT_NUM_UOM5</v>
      </c>
    </row>
    <row r="12750" ht="15.75" customHeight="1">
      <c r="B12750" s="63">
        <f t="shared" si="1"/>
        <v>18</v>
      </c>
      <c r="C12750" s="135" t="s">
        <v>450</v>
      </c>
      <c r="D12750" s="161" t="s">
        <v>74</v>
      </c>
      <c r="E12750" s="135">
        <f t="shared" si="62"/>
        <v>1</v>
      </c>
      <c r="F12750" s="134" t="s">
        <v>5251</v>
      </c>
      <c r="G12750" s="63" t="str">
        <f>VLOOKUP(C12750, 'Class Def. - General Data'!$C$20:$C$1000,1,false)</f>
        <v>ZSI1_PRINT_INK_TON</v>
      </c>
      <c r="H12750" s="63" t="str">
        <f>IFERROR(__xludf.DUMMYFUNCTION("VLOOKUP(F12750, IMPORTRANGE(""https://docs.google.com/spreadsheets/d/1Lhp9OU0JdFf_VYSMzH5lBcEaU4o8teT1piV-SNzShjg/edit?gid=554141278#gid=554141278"", ""'Char Def. - Attributes'!C20:C2242""), 1,false)"),"ITEM_NAME_PRINT_INK_TON")</f>
        <v>ITEM_NAME_PRINT_INK_TON</v>
      </c>
      <c r="I12750" s="136"/>
      <c r="R12750" s="63" t="str">
        <f t="shared" si="60"/>
        <v>ZSI1_PRINT_INK_TONITEM_NAME_PRINT_INK_TON</v>
      </c>
    </row>
    <row r="12751" ht="15.75" customHeight="1">
      <c r="B12751" s="63">
        <f t="shared" si="1"/>
        <v>18</v>
      </c>
      <c r="C12751" s="135" t="s">
        <v>450</v>
      </c>
      <c r="D12751" s="161" t="s">
        <v>74</v>
      </c>
      <c r="E12751" s="135">
        <f t="shared" si="62"/>
        <v>2</v>
      </c>
      <c r="F12751" s="134" t="s">
        <v>5252</v>
      </c>
      <c r="G12751" s="63" t="str">
        <f>VLOOKUP(C12751, 'Class Def. - General Data'!$C$20:$C$1000,1,false)</f>
        <v>ZSI1_PRINT_INK_TON</v>
      </c>
      <c r="H12751" s="63" t="str">
        <f>IFERROR(__xludf.DUMMYFUNCTION("VLOOKUP(F12751, IMPORTRANGE(""https://docs.google.com/spreadsheets/d/1Lhp9OU0JdFf_VYSMzH5lBcEaU4o8teT1piV-SNzShjg/edit?gid=554141278#gid=554141278"", ""'Char Def. - Attributes'!C20:C2242""), 1,false)"),"MFR_NO_PRINT_INK_TON")</f>
        <v>MFR_NO_PRINT_INK_TON</v>
      </c>
      <c r="I12751" s="136"/>
      <c r="R12751" s="63" t="str">
        <f t="shared" si="60"/>
        <v>ZSI1_PRINT_INK_TONMFR_NO_PRINT_INK_TON</v>
      </c>
    </row>
    <row r="12752" ht="15.75" customHeight="1">
      <c r="B12752" s="63">
        <f t="shared" si="1"/>
        <v>18</v>
      </c>
      <c r="C12752" s="135" t="s">
        <v>450</v>
      </c>
      <c r="D12752" s="161" t="s">
        <v>74</v>
      </c>
      <c r="E12752" s="135">
        <f t="shared" si="62"/>
        <v>3</v>
      </c>
      <c r="F12752" s="134" t="s">
        <v>3782</v>
      </c>
      <c r="G12752" s="63" t="str">
        <f>VLOOKUP(C12752, 'Class Def. - General Data'!$C$20:$C$1000,1,false)</f>
        <v>ZSI1_PRINT_INK_TON</v>
      </c>
      <c r="H12752" s="63" t="str">
        <f>IFERROR(__xludf.DUMMYFUNCTION("VLOOKUP(F12752, IMPORTRANGE(""https://docs.google.com/spreadsheets/d/1Lhp9OU0JdFf_VYSMzH5lBcEaU4o8teT1piV-SNzShjg/edit?gid=554141278#gid=554141278"", ""'Char Def. - Attributes'!C20:C2242""), 1,false)"),"BRAND_EXTERNAL")</f>
        <v>BRAND_EXTERNAL</v>
      </c>
      <c r="I12752" s="136"/>
      <c r="R12752" s="63" t="str">
        <f t="shared" si="60"/>
        <v>ZSI1_PRINT_INK_TONBRAND_EXTERNAL</v>
      </c>
    </row>
    <row r="12753" ht="15.75" customHeight="1">
      <c r="B12753" s="63">
        <f t="shared" si="1"/>
        <v>18</v>
      </c>
      <c r="C12753" s="135" t="s">
        <v>450</v>
      </c>
      <c r="D12753" s="161" t="s">
        <v>74</v>
      </c>
      <c r="E12753" s="135">
        <f t="shared" si="62"/>
        <v>4</v>
      </c>
      <c r="F12753" s="134" t="s">
        <v>5253</v>
      </c>
      <c r="G12753" s="63" t="str">
        <f>VLOOKUP(C12753, 'Class Def. - General Data'!$C$20:$C$1000,1,false)</f>
        <v>ZSI1_PRINT_INK_TON</v>
      </c>
      <c r="H12753" s="63" t="str">
        <f>IFERROR(__xludf.DUMMYFUNCTION("VLOOKUP(F12753, IMPORTRANGE(""https://docs.google.com/spreadsheets/d/1Lhp9OU0JdFf_VYSMzH5lBcEaU4o8teT1piV-SNzShjg/edit?gid=554141278#gid=554141278"", ""'Char Def. - Attributes'!C20:C2242""), 1,false)"),"COLOR_PRINT_INK_TON")</f>
        <v>COLOR_PRINT_INK_TON</v>
      </c>
      <c r="I12753" s="136"/>
      <c r="R12753" s="63" t="str">
        <f t="shared" si="60"/>
        <v>ZSI1_PRINT_INK_TONCOLOR_PRINT_INK_TON</v>
      </c>
    </row>
    <row r="12754" ht="15.75" customHeight="1">
      <c r="B12754" s="63">
        <f t="shared" si="1"/>
        <v>18</v>
      </c>
      <c r="C12754" s="135" t="s">
        <v>450</v>
      </c>
      <c r="D12754" s="161" t="s">
        <v>74</v>
      </c>
      <c r="E12754" s="135">
        <f t="shared" si="62"/>
        <v>5</v>
      </c>
      <c r="F12754" s="134" t="s">
        <v>3585</v>
      </c>
      <c r="G12754" s="63" t="str">
        <f>VLOOKUP(C12754, 'Class Def. - General Data'!$C$20:$C$1000,1,false)</f>
        <v>ZSI1_PRINT_INK_TON</v>
      </c>
      <c r="H12754" s="63" t="str">
        <f>IFERROR(__xludf.DUMMYFUNCTION("VLOOKUP(F12754, IMPORTRANGE(""https://docs.google.com/spreadsheets/d/1Lhp9OU0JdFf_VYSMzH5lBcEaU4o8teT1piV-SNzShjg/edit?gid=554141278#gid=554141278"", ""'Char Def. - Attributes'!C20:C2242""), 1,false)"),"HS_CODE")</f>
        <v>HS_CODE</v>
      </c>
      <c r="I12754" s="136"/>
      <c r="R12754" s="63" t="str">
        <f t="shared" si="60"/>
        <v>ZSI1_PRINT_INK_TONHS_CODE</v>
      </c>
    </row>
    <row r="12755" ht="15.75" customHeight="1">
      <c r="B12755" s="63">
        <f t="shared" si="1"/>
        <v>18</v>
      </c>
      <c r="C12755" s="135" t="s">
        <v>450</v>
      </c>
      <c r="D12755" s="161" t="s">
        <v>74</v>
      </c>
      <c r="E12755" s="135">
        <f t="shared" si="62"/>
        <v>6</v>
      </c>
      <c r="F12755" s="134" t="s">
        <v>3587</v>
      </c>
      <c r="G12755" s="63" t="str">
        <f>VLOOKUP(C12755, 'Class Def. - General Data'!$C$20:$C$1000,1,false)</f>
        <v>ZSI1_PRINT_INK_TON</v>
      </c>
      <c r="H12755" s="63" t="str">
        <f>IFERROR(__xludf.DUMMYFUNCTION("VLOOKUP(F12755, IMPORTRANGE(""https://docs.google.com/spreadsheets/d/1Lhp9OU0JdFf_VYSMzH5lBcEaU4o8teT1piV-SNzShjg/edit?gid=554141278#gid=554141278"", ""'Char Def. - Attributes'!C20:C2242""), 1,false)"),"PLANT_BUY")</f>
        <v>PLANT_BUY</v>
      </c>
      <c r="I12755" s="136"/>
      <c r="R12755" s="63" t="str">
        <f t="shared" si="60"/>
        <v>ZSI1_PRINT_INK_TONPLANT_BUY</v>
      </c>
    </row>
    <row r="12756" ht="15.75" customHeight="1">
      <c r="B12756" s="63">
        <f t="shared" si="1"/>
        <v>18</v>
      </c>
      <c r="C12756" s="135" t="s">
        <v>450</v>
      </c>
      <c r="D12756" s="161" t="s">
        <v>74</v>
      </c>
      <c r="E12756" s="135">
        <f t="shared" si="62"/>
        <v>7</v>
      </c>
      <c r="F12756" s="134" t="s">
        <v>5254</v>
      </c>
      <c r="G12756" s="63" t="str">
        <f>VLOOKUP(C12756, 'Class Def. - General Data'!$C$20:$C$1000,1,false)</f>
        <v>ZSI1_PRINT_INK_TON</v>
      </c>
      <c r="H12756" s="63" t="str">
        <f>IFERROR(__xludf.DUMMYFUNCTION("VLOOKUP(F12756, IMPORTRANGE(""https://docs.google.com/spreadsheets/d/1Lhp9OU0JdFf_VYSMzH5lBcEaU4o8teT1piV-SNzShjg/edit?gid=554141278#gid=554141278"", ""'Char Def. - Attributes'!C20:C2242""), 1,false)"),"BASE_UOM_PRINT_INK_TON")</f>
        <v>BASE_UOM_PRINT_INK_TON</v>
      </c>
      <c r="I12756" s="136"/>
      <c r="R12756" s="63" t="str">
        <f t="shared" si="60"/>
        <v>ZSI1_PRINT_INK_TONBASE_UOM_PRINT_INK_TON</v>
      </c>
    </row>
    <row r="12757" ht="15.75" customHeight="1">
      <c r="B12757" s="63">
        <f t="shared" si="1"/>
        <v>18</v>
      </c>
      <c r="C12757" s="135" t="s">
        <v>450</v>
      </c>
      <c r="D12757" s="161" t="s">
        <v>74</v>
      </c>
      <c r="E12757" s="135">
        <f t="shared" si="62"/>
        <v>8</v>
      </c>
      <c r="F12757" s="134" t="s">
        <v>5255</v>
      </c>
      <c r="G12757" s="63" t="str">
        <f>VLOOKUP(C12757, 'Class Def. - General Data'!$C$20:$C$1000,1,false)</f>
        <v>ZSI1_PRINT_INK_TON</v>
      </c>
      <c r="H12757" s="63" t="str">
        <f>IFERROR(__xludf.DUMMYFUNCTION("VLOOKUP(F12757, IMPORTRANGE(""https://docs.google.com/spreadsheets/d/1Lhp9OU0JdFf_VYSMzH5lBcEaU4o8teT1piV-SNzShjg/edit?gid=554141278#gid=554141278"", ""'Char Def. - Attributes'!C20:C2242""), 1,false)"),"ORDER_UNIT_PRINT_INK_TON")</f>
        <v>ORDER_UNIT_PRINT_INK_TON</v>
      </c>
      <c r="I12757" s="136"/>
      <c r="R12757" s="63" t="str">
        <f t="shared" si="60"/>
        <v>ZSI1_PRINT_INK_TONORDER_UNIT_PRINT_INK_TON</v>
      </c>
    </row>
    <row r="12758" ht="15.75" customHeight="1">
      <c r="B12758" s="63">
        <f t="shared" si="1"/>
        <v>18</v>
      </c>
      <c r="C12758" s="135" t="s">
        <v>450</v>
      </c>
      <c r="D12758" s="161" t="s">
        <v>74</v>
      </c>
      <c r="E12758" s="135">
        <f t="shared" si="62"/>
        <v>9</v>
      </c>
      <c r="F12758" s="134" t="s">
        <v>4056</v>
      </c>
      <c r="G12758" s="63" t="str">
        <f>VLOOKUP(C12758, 'Class Def. - General Data'!$C$20:$C$1000,1,false)</f>
        <v>ZSI1_PRINT_INK_TON</v>
      </c>
      <c r="H12758" s="63" t="str">
        <f>IFERROR(__xludf.DUMMYFUNCTION("VLOOKUP(F12758, IMPORTRANGE(""https://docs.google.com/spreadsheets/d/1Lhp9OU0JdFf_VYSMzH5lBcEaU4o8teT1piV-SNzShjg/edit?gid=554141278#gid=554141278"", ""'Char Def. - Attributes'!C20:C2242""), 1,false)"),"GROSS_WEIGHT_OPT")</f>
        <v>GROSS_WEIGHT_OPT</v>
      </c>
      <c r="I12758" s="136"/>
      <c r="R12758" s="63" t="str">
        <f t="shared" si="60"/>
        <v>ZSI1_PRINT_INK_TONGROSS_WEIGHT_OPT</v>
      </c>
    </row>
    <row r="12759" ht="15.75" customHeight="1">
      <c r="B12759" s="63">
        <f t="shared" si="1"/>
        <v>18</v>
      </c>
      <c r="C12759" s="135" t="s">
        <v>450</v>
      </c>
      <c r="D12759" s="161" t="s">
        <v>74</v>
      </c>
      <c r="E12759" s="135">
        <f t="shared" si="62"/>
        <v>10</v>
      </c>
      <c r="F12759" s="134" t="s">
        <v>4057</v>
      </c>
      <c r="G12759" s="63" t="str">
        <f>VLOOKUP(C12759, 'Class Def. - General Data'!$C$20:$C$1000,1,false)</f>
        <v>ZSI1_PRINT_INK_TON</v>
      </c>
      <c r="H12759" s="63" t="str">
        <f>IFERROR(__xludf.DUMMYFUNCTION("VLOOKUP(F12759, IMPORTRANGE(""https://docs.google.com/spreadsheets/d/1Lhp9OU0JdFf_VYSMzH5lBcEaU4o8teT1piV-SNzShjg/edit?gid=554141278#gid=554141278"", ""'Char Def. - Attributes'!C20:C2242""), 1,false)"),"NET_WEIGHT_OPT")</f>
        <v>NET_WEIGHT_OPT</v>
      </c>
      <c r="I12759" s="136"/>
      <c r="R12759" s="63" t="str">
        <f t="shared" si="60"/>
        <v>ZSI1_PRINT_INK_TONNET_WEIGHT_OPT</v>
      </c>
    </row>
    <row r="12760" ht="15.75" customHeight="1">
      <c r="B12760" s="63">
        <f t="shared" si="1"/>
        <v>18</v>
      </c>
      <c r="C12760" s="135" t="s">
        <v>450</v>
      </c>
      <c r="D12760" s="161" t="s">
        <v>74</v>
      </c>
      <c r="E12760" s="135">
        <f t="shared" si="62"/>
        <v>11</v>
      </c>
      <c r="F12760" s="134" t="s">
        <v>4058</v>
      </c>
      <c r="G12760" s="63" t="str">
        <f>VLOOKUP(C12760, 'Class Def. - General Data'!$C$20:$C$1000,1,false)</f>
        <v>ZSI1_PRINT_INK_TON</v>
      </c>
      <c r="H12760" s="63" t="str">
        <f>IFERROR(__xludf.DUMMYFUNCTION("VLOOKUP(F12760, IMPORTRANGE(""https://docs.google.com/spreadsheets/d/1Lhp9OU0JdFf_VYSMzH5lBcEaU4o8teT1piV-SNzShjg/edit?gid=554141278#gid=554141278"", ""'Char Def. - Attributes'!C20:C2242""), 1,false)"),"WEIGHT_UNIT_SI")</f>
        <v>WEIGHT_UNIT_SI</v>
      </c>
      <c r="I12760" s="136"/>
      <c r="R12760" s="63" t="str">
        <f t="shared" si="60"/>
        <v>ZSI1_PRINT_INK_TONWEIGHT_UNIT_SI</v>
      </c>
    </row>
    <row r="12761" ht="15.75" customHeight="1">
      <c r="B12761" s="63">
        <f t="shared" si="1"/>
        <v>18</v>
      </c>
      <c r="C12761" s="135" t="s">
        <v>450</v>
      </c>
      <c r="D12761" s="161" t="s">
        <v>74</v>
      </c>
      <c r="E12761" s="135">
        <f t="shared" si="62"/>
        <v>12</v>
      </c>
      <c r="F12761" s="134" t="s">
        <v>3877</v>
      </c>
      <c r="G12761" s="63" t="str">
        <f>VLOOKUP(C12761, 'Class Def. - General Data'!$C$20:$C$1000,1,false)</f>
        <v>ZSI1_PRINT_INK_TON</v>
      </c>
      <c r="H12761" s="63" t="str">
        <f>IFERROR(__xludf.DUMMYFUNCTION("VLOOKUP(F12761, IMPORTRANGE(""https://docs.google.com/spreadsheets/d/1Lhp9OU0JdFf_VYSMzH5lBcEaU4o8teT1piV-SNzShjg/edit?gid=554141278#gid=554141278"", ""'Char Def. - Attributes'!C20:C2242""), 1,false)"),"VOLUME_OPT")</f>
        <v>VOLUME_OPT</v>
      </c>
      <c r="I12761" s="136"/>
      <c r="R12761" s="63" t="str">
        <f t="shared" si="60"/>
        <v>ZSI1_PRINT_INK_TONVOLUME_OPT</v>
      </c>
    </row>
    <row r="12762" ht="15.75" customHeight="1">
      <c r="B12762" s="63">
        <f t="shared" si="1"/>
        <v>18</v>
      </c>
      <c r="C12762" s="135" t="s">
        <v>450</v>
      </c>
      <c r="D12762" s="161" t="s">
        <v>74</v>
      </c>
      <c r="E12762" s="135">
        <f t="shared" si="62"/>
        <v>13</v>
      </c>
      <c r="F12762" s="134" t="s">
        <v>4059</v>
      </c>
      <c r="G12762" s="63" t="str">
        <f>VLOOKUP(C12762, 'Class Def. - General Data'!$C$20:$C$1000,1,false)</f>
        <v>ZSI1_PRINT_INK_TON</v>
      </c>
      <c r="H12762" s="63" t="str">
        <f>IFERROR(__xludf.DUMMYFUNCTION("VLOOKUP(F12762, IMPORTRANGE(""https://docs.google.com/spreadsheets/d/1Lhp9OU0JdFf_VYSMzH5lBcEaU4o8teT1piV-SNzShjg/edit?gid=554141278#gid=554141278"", ""'Char Def. - Attributes'!C20:C2242""), 1,false)"),"VOLUME_UNIT_SI")</f>
        <v>VOLUME_UNIT_SI</v>
      </c>
      <c r="I12762" s="136"/>
      <c r="R12762" s="63" t="str">
        <f t="shared" si="60"/>
        <v>ZSI1_PRINT_INK_TONVOLUME_UNIT_SI</v>
      </c>
    </row>
    <row r="12763" ht="15.75" customHeight="1">
      <c r="B12763" s="63">
        <f t="shared" si="1"/>
        <v>18</v>
      </c>
      <c r="C12763" s="135" t="s">
        <v>450</v>
      </c>
      <c r="D12763" s="161" t="s">
        <v>74</v>
      </c>
      <c r="E12763" s="135">
        <f t="shared" si="62"/>
        <v>14</v>
      </c>
      <c r="F12763" s="134" t="s">
        <v>3804</v>
      </c>
      <c r="G12763" s="63" t="str">
        <f>VLOOKUP(C12763, 'Class Def. - General Data'!$C$20:$C$1000,1,false)</f>
        <v>ZSI1_PRINT_INK_TON</v>
      </c>
      <c r="H12763" s="63" t="str">
        <f>IFERROR(__xludf.DUMMYFUNCTION("VLOOKUP(F12763, IMPORTRANGE(""https://docs.google.com/spreadsheets/d/1Lhp9OU0JdFf_VYSMzH5lBcEaU4o8teT1piV-SNzShjg/edit?gid=554141278#gid=554141278"", ""'Char Def. - Attributes'!C20:C2242""), 1,false)"),"ALT_UOM1_SIPI")</f>
        <v>ALT_UOM1_SIPI</v>
      </c>
      <c r="I12763" s="136"/>
      <c r="R12763" s="63" t="str">
        <f t="shared" si="60"/>
        <v>ZSI1_PRINT_INK_TONALT_UOM1_SIPI</v>
      </c>
    </row>
    <row r="12764" ht="15.75" customHeight="1">
      <c r="B12764" s="63">
        <f t="shared" si="1"/>
        <v>18</v>
      </c>
      <c r="C12764" s="135" t="s">
        <v>450</v>
      </c>
      <c r="D12764" s="161" t="s">
        <v>74</v>
      </c>
      <c r="E12764" s="135">
        <f t="shared" si="62"/>
        <v>15</v>
      </c>
      <c r="F12764" s="134" t="s">
        <v>3805</v>
      </c>
      <c r="G12764" s="63" t="str">
        <f>VLOOKUP(C12764, 'Class Def. - General Data'!$C$20:$C$1000,1,false)</f>
        <v>ZSI1_PRINT_INK_TON</v>
      </c>
      <c r="H12764" s="63" t="str">
        <f>IFERROR(__xludf.DUMMYFUNCTION("VLOOKUP(F12764, IMPORTRANGE(""https://docs.google.com/spreadsheets/d/1Lhp9OU0JdFf_VYSMzH5lBcEaU4o8teT1piV-SNzShjg/edit?gid=554141278#gid=554141278"", ""'Char Def. - Attributes'!C20:C2242""), 1,false)"),"ALT_DENUM_UOM1")</f>
        <v>ALT_DENUM_UOM1</v>
      </c>
      <c r="I12764" s="136"/>
      <c r="R12764" s="63" t="str">
        <f t="shared" si="60"/>
        <v>ZSI1_PRINT_INK_TONALT_DENUM_UOM1</v>
      </c>
    </row>
    <row r="12765" ht="15.75" customHeight="1">
      <c r="B12765" s="63">
        <f t="shared" si="1"/>
        <v>18</v>
      </c>
      <c r="C12765" s="135" t="s">
        <v>450</v>
      </c>
      <c r="D12765" s="161" t="s">
        <v>74</v>
      </c>
      <c r="E12765" s="135">
        <f t="shared" si="62"/>
        <v>16</v>
      </c>
      <c r="F12765" s="134" t="s">
        <v>3806</v>
      </c>
      <c r="G12765" s="63" t="str">
        <f>VLOOKUP(C12765, 'Class Def. - General Data'!$C$20:$C$1000,1,false)</f>
        <v>ZSI1_PRINT_INK_TON</v>
      </c>
      <c r="H12765" s="63" t="str">
        <f>IFERROR(__xludf.DUMMYFUNCTION("VLOOKUP(F12765, IMPORTRANGE(""https://docs.google.com/spreadsheets/d/1Lhp9OU0JdFf_VYSMzH5lBcEaU4o8teT1piV-SNzShjg/edit?gid=554141278#gid=554141278"", ""'Char Def. - Attributes'!C20:C2242""), 1,false)"),"ALT_NUM_UOM1")</f>
        <v>ALT_NUM_UOM1</v>
      </c>
      <c r="I12765" s="136"/>
      <c r="R12765" s="63" t="str">
        <f t="shared" si="60"/>
        <v>ZSI1_PRINT_INK_TONALT_NUM_UOM1</v>
      </c>
    </row>
    <row r="12766" ht="15.75" customHeight="1">
      <c r="B12766" s="63">
        <f t="shared" si="1"/>
        <v>18</v>
      </c>
      <c r="C12766" s="135" t="s">
        <v>450</v>
      </c>
      <c r="D12766" s="161" t="s">
        <v>74</v>
      </c>
      <c r="E12766" s="135">
        <f t="shared" si="62"/>
        <v>17</v>
      </c>
      <c r="F12766" s="134" t="s">
        <v>3807</v>
      </c>
      <c r="G12766" s="63" t="str">
        <f>VLOOKUP(C12766, 'Class Def. - General Data'!$C$20:$C$1000,1,false)</f>
        <v>ZSI1_PRINT_INK_TON</v>
      </c>
      <c r="H12766" s="63" t="str">
        <f>IFERROR(__xludf.DUMMYFUNCTION("VLOOKUP(F12766, IMPORTRANGE(""https://docs.google.com/spreadsheets/d/1Lhp9OU0JdFf_VYSMzH5lBcEaU4o8teT1piV-SNzShjg/edit?gid=554141278#gid=554141278"", ""'Char Def. - Attributes'!C20:C2242""), 1,false)"),"ALT_UOM2_SIPI")</f>
        <v>ALT_UOM2_SIPI</v>
      </c>
      <c r="I12766" s="136"/>
      <c r="R12766" s="63" t="str">
        <f t="shared" si="60"/>
        <v>ZSI1_PRINT_INK_TONALT_UOM2_SIPI</v>
      </c>
    </row>
    <row r="12767" ht="15.75" customHeight="1">
      <c r="B12767" s="63">
        <f t="shared" si="1"/>
        <v>18</v>
      </c>
      <c r="C12767" s="135" t="s">
        <v>450</v>
      </c>
      <c r="D12767" s="161" t="s">
        <v>74</v>
      </c>
      <c r="E12767" s="135">
        <f t="shared" si="62"/>
        <v>18</v>
      </c>
      <c r="F12767" s="134" t="s">
        <v>3808</v>
      </c>
      <c r="G12767" s="63" t="str">
        <f>VLOOKUP(C12767, 'Class Def. - General Data'!$C$20:$C$1000,1,false)</f>
        <v>ZSI1_PRINT_INK_TON</v>
      </c>
      <c r="H12767" s="63" t="str">
        <f>IFERROR(__xludf.DUMMYFUNCTION("VLOOKUP(F12767, IMPORTRANGE(""https://docs.google.com/spreadsheets/d/1Lhp9OU0JdFf_VYSMzH5lBcEaU4o8teT1piV-SNzShjg/edit?gid=554141278#gid=554141278"", ""'Char Def. - Attributes'!C20:C2242""), 1,false)"),"ALT_DENUM_UOM2")</f>
        <v>ALT_DENUM_UOM2</v>
      </c>
      <c r="I12767" s="136"/>
      <c r="R12767" s="63" t="str">
        <f t="shared" si="60"/>
        <v>ZSI1_PRINT_INK_TONALT_DENUM_UOM2</v>
      </c>
    </row>
    <row r="12768" ht="15.75" customHeight="1">
      <c r="B12768" s="63">
        <f t="shared" si="1"/>
        <v>18</v>
      </c>
      <c r="C12768" s="135" t="s">
        <v>450</v>
      </c>
      <c r="D12768" s="161" t="s">
        <v>74</v>
      </c>
      <c r="E12768" s="135">
        <f t="shared" si="62"/>
        <v>19</v>
      </c>
      <c r="F12768" s="134" t="s">
        <v>3809</v>
      </c>
      <c r="G12768" s="63" t="str">
        <f>VLOOKUP(C12768, 'Class Def. - General Data'!$C$20:$C$1000,1,false)</f>
        <v>ZSI1_PRINT_INK_TON</v>
      </c>
      <c r="H12768" s="63" t="str">
        <f>IFERROR(__xludf.DUMMYFUNCTION("VLOOKUP(F12768, IMPORTRANGE(""https://docs.google.com/spreadsheets/d/1Lhp9OU0JdFf_VYSMzH5lBcEaU4o8teT1piV-SNzShjg/edit?gid=554141278#gid=554141278"", ""'Char Def. - Attributes'!C20:C2242""), 1,false)"),"ALT_NUM_UOM2")</f>
        <v>ALT_NUM_UOM2</v>
      </c>
      <c r="I12768" s="136"/>
      <c r="R12768" s="63" t="str">
        <f t="shared" si="60"/>
        <v>ZSI1_PRINT_INK_TONALT_NUM_UOM2</v>
      </c>
    </row>
    <row r="12769" ht="15.75" customHeight="1">
      <c r="B12769" s="63">
        <f t="shared" si="1"/>
        <v>18</v>
      </c>
      <c r="C12769" s="135" t="s">
        <v>450</v>
      </c>
      <c r="D12769" s="161" t="s">
        <v>74</v>
      </c>
      <c r="E12769" s="135">
        <f t="shared" si="62"/>
        <v>20</v>
      </c>
      <c r="F12769" s="134" t="s">
        <v>3810</v>
      </c>
      <c r="G12769" s="63" t="str">
        <f>VLOOKUP(C12769, 'Class Def. - General Data'!$C$20:$C$1000,1,false)</f>
        <v>ZSI1_PRINT_INK_TON</v>
      </c>
      <c r="H12769" s="63" t="str">
        <f>IFERROR(__xludf.DUMMYFUNCTION("VLOOKUP(F12769, IMPORTRANGE(""https://docs.google.com/spreadsheets/d/1Lhp9OU0JdFf_VYSMzH5lBcEaU4o8teT1piV-SNzShjg/edit?gid=554141278#gid=554141278"", ""'Char Def. - Attributes'!C20:C2242""), 1,false)"),"ALT_UOM3_SIPI")</f>
        <v>ALT_UOM3_SIPI</v>
      </c>
      <c r="I12769" s="136"/>
      <c r="R12769" s="63" t="str">
        <f t="shared" si="60"/>
        <v>ZSI1_PRINT_INK_TONALT_UOM3_SIPI</v>
      </c>
    </row>
    <row r="12770" ht="15.75" customHeight="1">
      <c r="B12770" s="63">
        <f t="shared" si="1"/>
        <v>18</v>
      </c>
      <c r="C12770" s="135" t="s">
        <v>450</v>
      </c>
      <c r="D12770" s="161" t="s">
        <v>74</v>
      </c>
      <c r="E12770" s="135">
        <f t="shared" si="62"/>
        <v>21</v>
      </c>
      <c r="F12770" s="134" t="s">
        <v>3811</v>
      </c>
      <c r="G12770" s="63" t="str">
        <f>VLOOKUP(C12770, 'Class Def. - General Data'!$C$20:$C$1000,1,false)</f>
        <v>ZSI1_PRINT_INK_TON</v>
      </c>
      <c r="H12770" s="63" t="str">
        <f>IFERROR(__xludf.DUMMYFUNCTION("VLOOKUP(F12770, IMPORTRANGE(""https://docs.google.com/spreadsheets/d/1Lhp9OU0JdFf_VYSMzH5lBcEaU4o8teT1piV-SNzShjg/edit?gid=554141278#gid=554141278"", ""'Char Def. - Attributes'!C20:C2242""), 1,false)"),"ALT_DENUM_UOM3")</f>
        <v>ALT_DENUM_UOM3</v>
      </c>
      <c r="I12770" s="136"/>
      <c r="R12770" s="63" t="str">
        <f t="shared" si="60"/>
        <v>ZSI1_PRINT_INK_TONALT_DENUM_UOM3</v>
      </c>
    </row>
    <row r="12771" ht="15.75" customHeight="1">
      <c r="B12771" s="63">
        <f t="shared" si="1"/>
        <v>18</v>
      </c>
      <c r="C12771" s="135" t="s">
        <v>450</v>
      </c>
      <c r="D12771" s="161" t="s">
        <v>74</v>
      </c>
      <c r="E12771" s="135">
        <f t="shared" si="62"/>
        <v>22</v>
      </c>
      <c r="F12771" s="134" t="s">
        <v>3812</v>
      </c>
      <c r="G12771" s="63" t="str">
        <f>VLOOKUP(C12771, 'Class Def. - General Data'!$C$20:$C$1000,1,false)</f>
        <v>ZSI1_PRINT_INK_TON</v>
      </c>
      <c r="H12771" s="63" t="str">
        <f>IFERROR(__xludf.DUMMYFUNCTION("VLOOKUP(F12771, IMPORTRANGE(""https://docs.google.com/spreadsheets/d/1Lhp9OU0JdFf_VYSMzH5lBcEaU4o8teT1piV-SNzShjg/edit?gid=554141278#gid=554141278"", ""'Char Def. - Attributes'!C20:C2242""), 1,false)"),"ALT_NUM_UOM3")</f>
        <v>ALT_NUM_UOM3</v>
      </c>
      <c r="I12771" s="136"/>
      <c r="R12771" s="63" t="str">
        <f t="shared" si="60"/>
        <v>ZSI1_PRINT_INK_TONALT_NUM_UOM3</v>
      </c>
    </row>
    <row r="12772" ht="15.75" customHeight="1">
      <c r="B12772" s="63">
        <f t="shared" si="1"/>
        <v>18</v>
      </c>
      <c r="C12772" s="135" t="s">
        <v>450</v>
      </c>
      <c r="D12772" s="161" t="s">
        <v>74</v>
      </c>
      <c r="E12772" s="135">
        <f t="shared" si="62"/>
        <v>23</v>
      </c>
      <c r="F12772" s="134" t="s">
        <v>3813</v>
      </c>
      <c r="G12772" s="63" t="str">
        <f>VLOOKUP(C12772, 'Class Def. - General Data'!$C$20:$C$1000,1,false)</f>
        <v>ZSI1_PRINT_INK_TON</v>
      </c>
      <c r="H12772" s="63" t="str">
        <f>IFERROR(__xludf.DUMMYFUNCTION("VLOOKUP(F12772, IMPORTRANGE(""https://docs.google.com/spreadsheets/d/1Lhp9OU0JdFf_VYSMzH5lBcEaU4o8teT1piV-SNzShjg/edit?gid=554141278#gid=554141278"", ""'Char Def. - Attributes'!C20:C2242""), 1,false)"),"ALT_UOM4_SIPI")</f>
        <v>ALT_UOM4_SIPI</v>
      </c>
      <c r="I12772" s="136"/>
      <c r="R12772" s="63" t="str">
        <f t="shared" si="60"/>
        <v>ZSI1_PRINT_INK_TONALT_UOM4_SIPI</v>
      </c>
    </row>
    <row r="12773" ht="15.75" customHeight="1">
      <c r="B12773" s="63">
        <f t="shared" si="1"/>
        <v>18</v>
      </c>
      <c r="C12773" s="135" t="s">
        <v>450</v>
      </c>
      <c r="D12773" s="161" t="s">
        <v>74</v>
      </c>
      <c r="E12773" s="135">
        <f t="shared" si="62"/>
        <v>24</v>
      </c>
      <c r="F12773" s="134" t="s">
        <v>3814</v>
      </c>
      <c r="G12773" s="63" t="str">
        <f>VLOOKUP(C12773, 'Class Def. - General Data'!$C$20:$C$1000,1,false)</f>
        <v>ZSI1_PRINT_INK_TON</v>
      </c>
      <c r="H12773" s="63" t="str">
        <f>IFERROR(__xludf.DUMMYFUNCTION("VLOOKUP(F12773, IMPORTRANGE(""https://docs.google.com/spreadsheets/d/1Lhp9OU0JdFf_VYSMzH5lBcEaU4o8teT1piV-SNzShjg/edit?gid=554141278#gid=554141278"", ""'Char Def. - Attributes'!C20:C2242""), 1,false)"),"ALT_DENUM_UOM4")</f>
        <v>ALT_DENUM_UOM4</v>
      </c>
      <c r="I12773" s="136"/>
      <c r="R12773" s="63" t="str">
        <f t="shared" si="60"/>
        <v>ZSI1_PRINT_INK_TONALT_DENUM_UOM4</v>
      </c>
    </row>
    <row r="12774" ht="15.75" customHeight="1">
      <c r="B12774" s="63">
        <f t="shared" si="1"/>
        <v>18</v>
      </c>
      <c r="C12774" s="135" t="s">
        <v>450</v>
      </c>
      <c r="D12774" s="161" t="s">
        <v>74</v>
      </c>
      <c r="E12774" s="135">
        <f t="shared" si="62"/>
        <v>25</v>
      </c>
      <c r="F12774" s="134" t="s">
        <v>3815</v>
      </c>
      <c r="G12774" s="63" t="str">
        <f>VLOOKUP(C12774, 'Class Def. - General Data'!$C$20:$C$1000,1,false)</f>
        <v>ZSI1_PRINT_INK_TON</v>
      </c>
      <c r="H12774" s="63" t="str">
        <f>IFERROR(__xludf.DUMMYFUNCTION("VLOOKUP(F12774, IMPORTRANGE(""https://docs.google.com/spreadsheets/d/1Lhp9OU0JdFf_VYSMzH5lBcEaU4o8teT1piV-SNzShjg/edit?gid=554141278#gid=554141278"", ""'Char Def. - Attributes'!C20:C2242""), 1,false)"),"ALT_NUM_UOM4")</f>
        <v>ALT_NUM_UOM4</v>
      </c>
      <c r="I12774" s="136"/>
      <c r="R12774" s="63" t="str">
        <f t="shared" si="60"/>
        <v>ZSI1_PRINT_INK_TONALT_NUM_UOM4</v>
      </c>
    </row>
    <row r="12775" ht="15.75" customHeight="1">
      <c r="B12775" s="63">
        <f t="shared" si="1"/>
        <v>18</v>
      </c>
      <c r="C12775" s="135" t="s">
        <v>450</v>
      </c>
      <c r="D12775" s="161" t="s">
        <v>74</v>
      </c>
      <c r="E12775" s="135">
        <f t="shared" si="62"/>
        <v>26</v>
      </c>
      <c r="F12775" s="134" t="s">
        <v>3816</v>
      </c>
      <c r="G12775" s="63" t="str">
        <f>VLOOKUP(C12775, 'Class Def. - General Data'!$C$20:$C$1000,1,false)</f>
        <v>ZSI1_PRINT_INK_TON</v>
      </c>
      <c r="H12775" s="63" t="str">
        <f>IFERROR(__xludf.DUMMYFUNCTION("VLOOKUP(F12775, IMPORTRANGE(""https://docs.google.com/spreadsheets/d/1Lhp9OU0JdFf_VYSMzH5lBcEaU4o8teT1piV-SNzShjg/edit?gid=554141278#gid=554141278"", ""'Char Def. - Attributes'!C20:C2242""), 1,false)"),"ALT_UOM5_SIPI")</f>
        <v>ALT_UOM5_SIPI</v>
      </c>
      <c r="I12775" s="136"/>
      <c r="R12775" s="63" t="str">
        <f t="shared" si="60"/>
        <v>ZSI1_PRINT_INK_TONALT_UOM5_SIPI</v>
      </c>
    </row>
    <row r="12776" ht="15.75" customHeight="1">
      <c r="B12776" s="63">
        <f t="shared" si="1"/>
        <v>18</v>
      </c>
      <c r="C12776" s="135" t="s">
        <v>450</v>
      </c>
      <c r="D12776" s="161" t="s">
        <v>74</v>
      </c>
      <c r="E12776" s="135">
        <f t="shared" si="62"/>
        <v>27</v>
      </c>
      <c r="F12776" s="134" t="s">
        <v>3817</v>
      </c>
      <c r="G12776" s="63" t="str">
        <f>VLOOKUP(C12776, 'Class Def. - General Data'!$C$20:$C$1000,1,false)</f>
        <v>ZSI1_PRINT_INK_TON</v>
      </c>
      <c r="H12776" s="63" t="str">
        <f>IFERROR(__xludf.DUMMYFUNCTION("VLOOKUP(F12776, IMPORTRANGE(""https://docs.google.com/spreadsheets/d/1Lhp9OU0JdFf_VYSMzH5lBcEaU4o8teT1piV-SNzShjg/edit?gid=554141278#gid=554141278"", ""'Char Def. - Attributes'!C20:C2242""), 1,false)"),"ALT_DENUM_UOM5")</f>
        <v>ALT_DENUM_UOM5</v>
      </c>
      <c r="I12776" s="136"/>
      <c r="R12776" s="63" t="str">
        <f t="shared" si="60"/>
        <v>ZSI1_PRINT_INK_TONALT_DENUM_UOM5</v>
      </c>
    </row>
    <row r="12777" ht="15.75" customHeight="1">
      <c r="B12777" s="63">
        <f t="shared" si="1"/>
        <v>18</v>
      </c>
      <c r="C12777" s="135" t="s">
        <v>450</v>
      </c>
      <c r="D12777" s="161" t="s">
        <v>74</v>
      </c>
      <c r="E12777" s="135">
        <f t="shared" si="62"/>
        <v>28</v>
      </c>
      <c r="F12777" s="134" t="s">
        <v>3818</v>
      </c>
      <c r="G12777" s="63" t="str">
        <f>VLOOKUP(C12777, 'Class Def. - General Data'!$C$20:$C$1000,1,false)</f>
        <v>ZSI1_PRINT_INK_TON</v>
      </c>
      <c r="H12777" s="63" t="str">
        <f>IFERROR(__xludf.DUMMYFUNCTION("VLOOKUP(F12777, IMPORTRANGE(""https://docs.google.com/spreadsheets/d/1Lhp9OU0JdFf_VYSMzH5lBcEaU4o8teT1piV-SNzShjg/edit?gid=554141278#gid=554141278"", ""'Char Def. - Attributes'!C20:C2242""), 1,false)"),"ALT_NUM_UOM5")</f>
        <v>ALT_NUM_UOM5</v>
      </c>
      <c r="I12777" s="136"/>
      <c r="R12777" s="63" t="str">
        <f t="shared" si="60"/>
        <v>ZSI1_PRINT_INK_TONALT_NUM_UOM5</v>
      </c>
    </row>
    <row r="12778" ht="15.75" customHeight="1">
      <c r="B12778" s="63">
        <f t="shared" si="1"/>
        <v>18</v>
      </c>
      <c r="C12778" s="135" t="s">
        <v>5256</v>
      </c>
      <c r="D12778" s="161" t="s">
        <v>74</v>
      </c>
      <c r="E12778" s="135">
        <f t="shared" si="62"/>
        <v>1</v>
      </c>
      <c r="F12778" s="134" t="s">
        <v>5257</v>
      </c>
      <c r="G12778" s="63" t="str">
        <f>VLOOKUP(C12778, 'Class Def. - General Data'!$C$20:$C$1000,1,false)</f>
        <v>#N/A</v>
      </c>
      <c r="H12778" s="63" t="str">
        <f>IFERROR(__xludf.DUMMYFUNCTION("VLOOKUP(F12778, IMPORTRANGE(""https://docs.google.com/spreadsheets/d/1Lhp9OU0JdFf_VYSMzH5lBcEaU4o8teT1piV-SNzShjg/edit?gid=554141278#gid=554141278"", ""'Char Def. - Attributes'!C20:C2242""), 1,false)"),"ITEM_NAME_PUB_SAFE_SUP")</f>
        <v>ITEM_NAME_PUB_SAFE_SUP</v>
      </c>
      <c r="I12778" s="136"/>
      <c r="R12778" s="63" t="str">
        <f t="shared" si="60"/>
        <v>ZSI1_PUB_SAFE_SUPPITEM_NAME_PUB_SAFE_SUP</v>
      </c>
    </row>
    <row r="12779" ht="15.75" customHeight="1">
      <c r="B12779" s="63">
        <f t="shared" si="1"/>
        <v>18</v>
      </c>
      <c r="C12779" s="135" t="s">
        <v>5256</v>
      </c>
      <c r="D12779" s="161" t="s">
        <v>74</v>
      </c>
      <c r="E12779" s="135">
        <f t="shared" si="62"/>
        <v>2</v>
      </c>
      <c r="F12779" s="134" t="s">
        <v>3781</v>
      </c>
      <c r="G12779" s="63" t="str">
        <f>VLOOKUP(C12779, 'Class Def. - General Data'!$C$20:$C$1000,1,false)</f>
        <v>#N/A</v>
      </c>
      <c r="H12779" s="63" t="str">
        <f>IFERROR(__xludf.DUMMYFUNCTION("VLOOKUP(F12779, IMPORTRANGE(""https://docs.google.com/spreadsheets/d/1Lhp9OU0JdFf_VYSMzH5lBcEaU4o8teT1piV-SNzShjg/edit?gid=554141278#gid=554141278"", ""'Char Def. - Attributes'!C20:C2242""), 1,false)"),"EXTERNAL_BRAND")</f>
        <v>EXTERNAL_BRAND</v>
      </c>
      <c r="I12779" s="136"/>
      <c r="R12779" s="63" t="str">
        <f t="shared" si="60"/>
        <v>ZSI1_PUB_SAFE_SUPPEXTERNAL_BRAND</v>
      </c>
    </row>
    <row r="12780" ht="15.75" customHeight="1">
      <c r="B12780" s="63">
        <f t="shared" si="1"/>
        <v>18</v>
      </c>
      <c r="C12780" s="135" t="s">
        <v>5256</v>
      </c>
      <c r="D12780" s="161" t="s">
        <v>74</v>
      </c>
      <c r="E12780" s="135">
        <f t="shared" si="62"/>
        <v>3</v>
      </c>
      <c r="F12780" s="134" t="s">
        <v>5258</v>
      </c>
      <c r="G12780" s="63" t="str">
        <f>VLOOKUP(C12780, 'Class Def. - General Data'!$C$20:$C$1000,1,false)</f>
        <v>#N/A</v>
      </c>
      <c r="H12780" s="63" t="str">
        <f>IFERROR(__xludf.DUMMYFUNCTION("VLOOKUP(F12780, IMPORTRANGE(""https://docs.google.com/spreadsheets/d/1Lhp9OU0JdFf_VYSMzH5lBcEaU4o8teT1piV-SNzShjg/edit?gid=554141278#gid=554141278"", ""'Char Def. - Attributes'!C20:C2242""), 1,false)"),"#N/A")</f>
        <v>#N/A</v>
      </c>
      <c r="I12780" s="136"/>
      <c r="R12780" s="63" t="str">
        <f t="shared" si="60"/>
        <v>ZSI1_PUB_SAFE_SUPPTYPE_PUB_SAFE_SUPP</v>
      </c>
    </row>
    <row r="12781" ht="15.75" customHeight="1">
      <c r="B12781" s="63">
        <f t="shared" si="1"/>
        <v>18</v>
      </c>
      <c r="C12781" s="135" t="s">
        <v>5256</v>
      </c>
      <c r="D12781" s="161" t="s">
        <v>74</v>
      </c>
      <c r="E12781" s="135">
        <f t="shared" si="62"/>
        <v>4</v>
      </c>
      <c r="F12781" s="134" t="s">
        <v>3782</v>
      </c>
      <c r="G12781" s="63" t="str">
        <f>VLOOKUP(C12781, 'Class Def. - General Data'!$C$20:$C$1000,1,false)</f>
        <v>#N/A</v>
      </c>
      <c r="H12781" s="63" t="str">
        <f>IFERROR(__xludf.DUMMYFUNCTION("VLOOKUP(F12781, IMPORTRANGE(""https://docs.google.com/spreadsheets/d/1Lhp9OU0JdFf_VYSMzH5lBcEaU4o8teT1piV-SNzShjg/edit?gid=554141278#gid=554141278"", ""'Char Def. - Attributes'!C20:C2242""), 1,false)"),"BRAND_EXTERNAL")</f>
        <v>BRAND_EXTERNAL</v>
      </c>
      <c r="I12781" s="136"/>
      <c r="R12781" s="63" t="str">
        <f t="shared" si="60"/>
        <v>ZSI1_PUB_SAFE_SUPPBRAND_EXTERNAL</v>
      </c>
    </row>
    <row r="12782" ht="15.75" customHeight="1">
      <c r="B12782" s="63">
        <f t="shared" si="1"/>
        <v>18</v>
      </c>
      <c r="C12782" s="135" t="s">
        <v>5256</v>
      </c>
      <c r="D12782" s="161" t="s">
        <v>74</v>
      </c>
      <c r="E12782" s="135">
        <f t="shared" si="62"/>
        <v>5</v>
      </c>
      <c r="F12782" s="134" t="s">
        <v>4062</v>
      </c>
      <c r="G12782" s="63" t="str">
        <f>VLOOKUP(C12782, 'Class Def. - General Data'!$C$20:$C$1000,1,false)</f>
        <v>#N/A</v>
      </c>
      <c r="H12782" s="63" t="str">
        <f>IFERROR(__xludf.DUMMYFUNCTION("VLOOKUP(F12782, IMPORTRANGE(""https://docs.google.com/spreadsheets/d/1Lhp9OU0JdFf_VYSMzH5lBcEaU4o8teT1piV-SNzShjg/edit?gid=554141278#gid=554141278"", ""'Char Def. - Attributes'!C20:C2242""), 1,false)"),"#N/A")</f>
        <v>#N/A</v>
      </c>
      <c r="I12782" s="136"/>
      <c r="R12782" s="63" t="str">
        <f t="shared" si="60"/>
        <v>ZSI1_PUB_SAFE_SUPPADDTIONAL_SPECIFICATION</v>
      </c>
    </row>
    <row r="12783" ht="15.75" customHeight="1">
      <c r="B12783" s="63">
        <f t="shared" si="1"/>
        <v>18</v>
      </c>
      <c r="C12783" s="135" t="s">
        <v>5256</v>
      </c>
      <c r="D12783" s="161" t="s">
        <v>74</v>
      </c>
      <c r="E12783" s="135">
        <f t="shared" si="62"/>
        <v>6</v>
      </c>
      <c r="F12783" s="134" t="s">
        <v>3585</v>
      </c>
      <c r="G12783" s="63" t="str">
        <f>VLOOKUP(C12783, 'Class Def. - General Data'!$C$20:$C$1000,1,false)</f>
        <v>#N/A</v>
      </c>
      <c r="H12783" s="63" t="str">
        <f>IFERROR(__xludf.DUMMYFUNCTION("VLOOKUP(F12783, IMPORTRANGE(""https://docs.google.com/spreadsheets/d/1Lhp9OU0JdFf_VYSMzH5lBcEaU4o8teT1piV-SNzShjg/edit?gid=554141278#gid=554141278"", ""'Char Def. - Attributes'!C20:C2242""), 1,false)"),"HS_CODE")</f>
        <v>HS_CODE</v>
      </c>
      <c r="I12783" s="136"/>
      <c r="R12783" s="63" t="str">
        <f t="shared" si="60"/>
        <v>ZSI1_PUB_SAFE_SUPPHS_CODE</v>
      </c>
    </row>
    <row r="12784" ht="15.75" customHeight="1">
      <c r="B12784" s="63">
        <f t="shared" si="1"/>
        <v>18</v>
      </c>
      <c r="C12784" s="135" t="s">
        <v>5256</v>
      </c>
      <c r="D12784" s="161" t="s">
        <v>74</v>
      </c>
      <c r="E12784" s="135">
        <f t="shared" si="62"/>
        <v>7</v>
      </c>
      <c r="F12784" s="134" t="s">
        <v>3587</v>
      </c>
      <c r="G12784" s="63" t="str">
        <f>VLOOKUP(C12784, 'Class Def. - General Data'!$C$20:$C$1000,1,false)</f>
        <v>#N/A</v>
      </c>
      <c r="H12784" s="63" t="str">
        <f>IFERROR(__xludf.DUMMYFUNCTION("VLOOKUP(F12784, IMPORTRANGE(""https://docs.google.com/spreadsheets/d/1Lhp9OU0JdFf_VYSMzH5lBcEaU4o8teT1piV-SNzShjg/edit?gid=554141278#gid=554141278"", ""'Char Def. - Attributes'!C20:C2242""), 1,false)"),"PLANT_BUY")</f>
        <v>PLANT_BUY</v>
      </c>
      <c r="I12784" s="136"/>
      <c r="R12784" s="63" t="str">
        <f t="shared" si="60"/>
        <v>ZSI1_PUB_SAFE_SUPPPLANT_BUY</v>
      </c>
    </row>
    <row r="12785" ht="15.75" customHeight="1">
      <c r="B12785" s="63">
        <f t="shared" si="1"/>
        <v>18</v>
      </c>
      <c r="C12785" s="135" t="s">
        <v>5256</v>
      </c>
      <c r="D12785" s="161" t="s">
        <v>74</v>
      </c>
      <c r="E12785" s="135">
        <f t="shared" si="62"/>
        <v>8</v>
      </c>
      <c r="F12785" s="134" t="s">
        <v>5259</v>
      </c>
      <c r="G12785" s="63" t="str">
        <f>VLOOKUP(C12785, 'Class Def. - General Data'!$C$20:$C$1000,1,false)</f>
        <v>#N/A</v>
      </c>
      <c r="H12785" s="63" t="str">
        <f>IFERROR(__xludf.DUMMYFUNCTION("VLOOKUP(F12785, IMPORTRANGE(""https://docs.google.com/spreadsheets/d/1Lhp9OU0JdFf_VYSMzH5lBcEaU4o8teT1piV-SNzShjg/edit?gid=554141278#gid=554141278"", ""'Char Def. - Attributes'!C20:C2242""), 1,false)"),"BASE_UOM_PUB_SAFE_SUP")</f>
        <v>BASE_UOM_PUB_SAFE_SUP</v>
      </c>
      <c r="I12785" s="136"/>
      <c r="R12785" s="63" t="str">
        <f t="shared" si="60"/>
        <v>ZSI1_PUB_SAFE_SUPPBASE_UOM_PUB_SAFE_SUP</v>
      </c>
    </row>
    <row r="12786" ht="15.75" customHeight="1">
      <c r="B12786" s="63">
        <f t="shared" si="1"/>
        <v>18</v>
      </c>
      <c r="C12786" s="135" t="s">
        <v>5256</v>
      </c>
      <c r="D12786" s="161" t="s">
        <v>74</v>
      </c>
      <c r="E12786" s="135">
        <f t="shared" si="62"/>
        <v>9</v>
      </c>
      <c r="F12786" s="134" t="s">
        <v>5260</v>
      </c>
      <c r="G12786" s="63" t="str">
        <f>VLOOKUP(C12786, 'Class Def. - General Data'!$C$20:$C$1000,1,false)</f>
        <v>#N/A</v>
      </c>
      <c r="H12786" s="63" t="str">
        <f>IFERROR(__xludf.DUMMYFUNCTION("VLOOKUP(F12786, IMPORTRANGE(""https://docs.google.com/spreadsheets/d/1Lhp9OU0JdFf_VYSMzH5lBcEaU4o8teT1piV-SNzShjg/edit?gid=554141278#gid=554141278"", ""'Char Def. - Attributes'!C20:C2242""), 1,false)"),"ORDER_UNIT_PUB_SAFE_SUP")</f>
        <v>ORDER_UNIT_PUB_SAFE_SUP</v>
      </c>
      <c r="I12786" s="136"/>
      <c r="R12786" s="63" t="str">
        <f t="shared" si="60"/>
        <v>ZSI1_PUB_SAFE_SUPPORDER_UNIT_PUB_SAFE_SUP</v>
      </c>
    </row>
    <row r="12787" ht="15.75" customHeight="1">
      <c r="B12787" s="63">
        <f t="shared" si="1"/>
        <v>18</v>
      </c>
      <c r="C12787" s="135" t="s">
        <v>5256</v>
      </c>
      <c r="D12787" s="161" t="s">
        <v>74</v>
      </c>
      <c r="E12787" s="135">
        <f t="shared" si="62"/>
        <v>10</v>
      </c>
      <c r="F12787" s="134" t="s">
        <v>4056</v>
      </c>
      <c r="G12787" s="63" t="str">
        <f>VLOOKUP(C12787, 'Class Def. - General Data'!$C$20:$C$1000,1,false)</f>
        <v>#N/A</v>
      </c>
      <c r="H12787" s="63" t="str">
        <f>IFERROR(__xludf.DUMMYFUNCTION("VLOOKUP(F12787, IMPORTRANGE(""https://docs.google.com/spreadsheets/d/1Lhp9OU0JdFf_VYSMzH5lBcEaU4o8teT1piV-SNzShjg/edit?gid=554141278#gid=554141278"", ""'Char Def. - Attributes'!C20:C2242""), 1,false)"),"GROSS_WEIGHT_OPT")</f>
        <v>GROSS_WEIGHT_OPT</v>
      </c>
      <c r="I12787" s="136"/>
      <c r="R12787" s="63" t="str">
        <f t="shared" si="60"/>
        <v>ZSI1_PUB_SAFE_SUPPGROSS_WEIGHT_OPT</v>
      </c>
    </row>
    <row r="12788" ht="15.75" customHeight="1">
      <c r="B12788" s="63">
        <f t="shared" si="1"/>
        <v>18</v>
      </c>
      <c r="C12788" s="135" t="s">
        <v>5256</v>
      </c>
      <c r="D12788" s="161" t="s">
        <v>74</v>
      </c>
      <c r="E12788" s="135">
        <f t="shared" si="62"/>
        <v>11</v>
      </c>
      <c r="F12788" s="134" t="s">
        <v>4057</v>
      </c>
      <c r="G12788" s="63" t="str">
        <f>VLOOKUP(C12788, 'Class Def. - General Data'!$C$20:$C$1000,1,false)</f>
        <v>#N/A</v>
      </c>
      <c r="H12788" s="63" t="str">
        <f>IFERROR(__xludf.DUMMYFUNCTION("VLOOKUP(F12788, IMPORTRANGE(""https://docs.google.com/spreadsheets/d/1Lhp9OU0JdFf_VYSMzH5lBcEaU4o8teT1piV-SNzShjg/edit?gid=554141278#gid=554141278"", ""'Char Def. - Attributes'!C20:C2242""), 1,false)"),"NET_WEIGHT_OPT")</f>
        <v>NET_WEIGHT_OPT</v>
      </c>
      <c r="I12788" s="136"/>
      <c r="R12788" s="63" t="str">
        <f t="shared" si="60"/>
        <v>ZSI1_PUB_SAFE_SUPPNET_WEIGHT_OPT</v>
      </c>
    </row>
    <row r="12789" ht="15.75" customHeight="1">
      <c r="B12789" s="63">
        <f t="shared" si="1"/>
        <v>18</v>
      </c>
      <c r="C12789" s="135" t="s">
        <v>5256</v>
      </c>
      <c r="D12789" s="161" t="s">
        <v>74</v>
      </c>
      <c r="E12789" s="135">
        <f t="shared" si="62"/>
        <v>12</v>
      </c>
      <c r="F12789" s="134" t="s">
        <v>4058</v>
      </c>
      <c r="G12789" s="63" t="str">
        <f>VLOOKUP(C12789, 'Class Def. - General Data'!$C$20:$C$1000,1,false)</f>
        <v>#N/A</v>
      </c>
      <c r="H12789" s="63" t="str">
        <f>IFERROR(__xludf.DUMMYFUNCTION("VLOOKUP(F12789, IMPORTRANGE(""https://docs.google.com/spreadsheets/d/1Lhp9OU0JdFf_VYSMzH5lBcEaU4o8teT1piV-SNzShjg/edit?gid=554141278#gid=554141278"", ""'Char Def. - Attributes'!C20:C2242""), 1,false)"),"WEIGHT_UNIT_SI")</f>
        <v>WEIGHT_UNIT_SI</v>
      </c>
      <c r="I12789" s="136"/>
      <c r="R12789" s="63" t="str">
        <f t="shared" si="60"/>
        <v>ZSI1_PUB_SAFE_SUPPWEIGHT_UNIT_SI</v>
      </c>
    </row>
    <row r="12790" ht="15.75" customHeight="1">
      <c r="B12790" s="63">
        <f t="shared" si="1"/>
        <v>18</v>
      </c>
      <c r="C12790" s="135" t="s">
        <v>5256</v>
      </c>
      <c r="D12790" s="161" t="s">
        <v>74</v>
      </c>
      <c r="E12790" s="135">
        <f t="shared" si="62"/>
        <v>13</v>
      </c>
      <c r="F12790" s="134" t="s">
        <v>3877</v>
      </c>
      <c r="G12790" s="63" t="str">
        <f>VLOOKUP(C12790, 'Class Def. - General Data'!$C$20:$C$1000,1,false)</f>
        <v>#N/A</v>
      </c>
      <c r="H12790" s="63" t="str">
        <f>IFERROR(__xludf.DUMMYFUNCTION("VLOOKUP(F12790, IMPORTRANGE(""https://docs.google.com/spreadsheets/d/1Lhp9OU0JdFf_VYSMzH5lBcEaU4o8teT1piV-SNzShjg/edit?gid=554141278#gid=554141278"", ""'Char Def. - Attributes'!C20:C2242""), 1,false)"),"VOLUME_OPT")</f>
        <v>VOLUME_OPT</v>
      </c>
      <c r="I12790" s="136"/>
      <c r="R12790" s="63" t="str">
        <f t="shared" si="60"/>
        <v>ZSI1_PUB_SAFE_SUPPVOLUME_OPT</v>
      </c>
    </row>
    <row r="12791" ht="15.75" customHeight="1">
      <c r="B12791" s="63">
        <f t="shared" si="1"/>
        <v>18</v>
      </c>
      <c r="C12791" s="135" t="s">
        <v>5256</v>
      </c>
      <c r="D12791" s="161" t="s">
        <v>74</v>
      </c>
      <c r="E12791" s="135">
        <f t="shared" si="62"/>
        <v>14</v>
      </c>
      <c r="F12791" s="134" t="s">
        <v>4059</v>
      </c>
      <c r="G12791" s="63" t="str">
        <f>VLOOKUP(C12791, 'Class Def. - General Data'!$C$20:$C$1000,1,false)</f>
        <v>#N/A</v>
      </c>
      <c r="H12791" s="63" t="str">
        <f>IFERROR(__xludf.DUMMYFUNCTION("VLOOKUP(F12791, IMPORTRANGE(""https://docs.google.com/spreadsheets/d/1Lhp9OU0JdFf_VYSMzH5lBcEaU4o8teT1piV-SNzShjg/edit?gid=554141278#gid=554141278"", ""'Char Def. - Attributes'!C20:C2242""), 1,false)"),"VOLUME_UNIT_SI")</f>
        <v>VOLUME_UNIT_SI</v>
      </c>
      <c r="I12791" s="136"/>
      <c r="R12791" s="63" t="str">
        <f t="shared" si="60"/>
        <v>ZSI1_PUB_SAFE_SUPPVOLUME_UNIT_SI</v>
      </c>
    </row>
    <row r="12792" ht="15.75" customHeight="1">
      <c r="B12792" s="63">
        <f t="shared" si="1"/>
        <v>18</v>
      </c>
      <c r="C12792" s="135" t="s">
        <v>5256</v>
      </c>
      <c r="D12792" s="161" t="s">
        <v>74</v>
      </c>
      <c r="E12792" s="135">
        <f t="shared" si="62"/>
        <v>15</v>
      </c>
      <c r="F12792" s="134" t="s">
        <v>3804</v>
      </c>
      <c r="G12792" s="63" t="str">
        <f>VLOOKUP(C12792, 'Class Def. - General Data'!$C$20:$C$1000,1,false)</f>
        <v>#N/A</v>
      </c>
      <c r="H12792" s="63" t="str">
        <f>IFERROR(__xludf.DUMMYFUNCTION("VLOOKUP(F12792, IMPORTRANGE(""https://docs.google.com/spreadsheets/d/1Lhp9OU0JdFf_VYSMzH5lBcEaU4o8teT1piV-SNzShjg/edit?gid=554141278#gid=554141278"", ""'Char Def. - Attributes'!C20:C2242""), 1,false)"),"ALT_UOM1_SIPI")</f>
        <v>ALT_UOM1_SIPI</v>
      </c>
      <c r="I12792" s="136"/>
      <c r="R12792" s="63" t="str">
        <f t="shared" si="60"/>
        <v>ZSI1_PUB_SAFE_SUPPALT_UOM1_SIPI</v>
      </c>
    </row>
    <row r="12793" ht="15.75" customHeight="1">
      <c r="B12793" s="63">
        <f t="shared" si="1"/>
        <v>18</v>
      </c>
      <c r="C12793" s="135" t="s">
        <v>5256</v>
      </c>
      <c r="D12793" s="161" t="s">
        <v>74</v>
      </c>
      <c r="E12793" s="135">
        <f t="shared" si="62"/>
        <v>16</v>
      </c>
      <c r="F12793" s="134" t="s">
        <v>3805</v>
      </c>
      <c r="G12793" s="63" t="str">
        <f>VLOOKUP(C12793, 'Class Def. - General Data'!$C$20:$C$1000,1,false)</f>
        <v>#N/A</v>
      </c>
      <c r="H12793" s="63" t="str">
        <f>IFERROR(__xludf.DUMMYFUNCTION("VLOOKUP(F12793, IMPORTRANGE(""https://docs.google.com/spreadsheets/d/1Lhp9OU0JdFf_VYSMzH5lBcEaU4o8teT1piV-SNzShjg/edit?gid=554141278#gid=554141278"", ""'Char Def. - Attributes'!C20:C2242""), 1,false)"),"ALT_DENUM_UOM1")</f>
        <v>ALT_DENUM_UOM1</v>
      </c>
      <c r="I12793" s="136"/>
      <c r="R12793" s="63" t="str">
        <f t="shared" si="60"/>
        <v>ZSI1_PUB_SAFE_SUPPALT_DENUM_UOM1</v>
      </c>
    </row>
    <row r="12794" ht="15.75" customHeight="1">
      <c r="B12794" s="63">
        <f t="shared" si="1"/>
        <v>18</v>
      </c>
      <c r="C12794" s="135" t="s">
        <v>5256</v>
      </c>
      <c r="D12794" s="161" t="s">
        <v>74</v>
      </c>
      <c r="E12794" s="135">
        <f t="shared" si="62"/>
        <v>17</v>
      </c>
      <c r="F12794" s="134" t="s">
        <v>3806</v>
      </c>
      <c r="G12794" s="63" t="str">
        <f>VLOOKUP(C12794, 'Class Def. - General Data'!$C$20:$C$1000,1,false)</f>
        <v>#N/A</v>
      </c>
      <c r="H12794" s="63" t="str">
        <f>IFERROR(__xludf.DUMMYFUNCTION("VLOOKUP(F12794, IMPORTRANGE(""https://docs.google.com/spreadsheets/d/1Lhp9OU0JdFf_VYSMzH5lBcEaU4o8teT1piV-SNzShjg/edit?gid=554141278#gid=554141278"", ""'Char Def. - Attributes'!C20:C2242""), 1,false)"),"ALT_NUM_UOM1")</f>
        <v>ALT_NUM_UOM1</v>
      </c>
      <c r="I12794" s="136"/>
      <c r="R12794" s="63" t="str">
        <f t="shared" si="60"/>
        <v>ZSI1_PUB_SAFE_SUPPALT_NUM_UOM1</v>
      </c>
    </row>
    <row r="12795" ht="15.75" customHeight="1">
      <c r="B12795" s="63">
        <f t="shared" si="1"/>
        <v>18</v>
      </c>
      <c r="C12795" s="135" t="s">
        <v>5256</v>
      </c>
      <c r="D12795" s="161" t="s">
        <v>74</v>
      </c>
      <c r="E12795" s="135">
        <f t="shared" si="62"/>
        <v>18</v>
      </c>
      <c r="F12795" s="134" t="s">
        <v>3807</v>
      </c>
      <c r="G12795" s="63" t="str">
        <f>VLOOKUP(C12795, 'Class Def. - General Data'!$C$20:$C$1000,1,false)</f>
        <v>#N/A</v>
      </c>
      <c r="H12795" s="63" t="str">
        <f>IFERROR(__xludf.DUMMYFUNCTION("VLOOKUP(F12795, IMPORTRANGE(""https://docs.google.com/spreadsheets/d/1Lhp9OU0JdFf_VYSMzH5lBcEaU4o8teT1piV-SNzShjg/edit?gid=554141278#gid=554141278"", ""'Char Def. - Attributes'!C20:C2242""), 1,false)"),"ALT_UOM2_SIPI")</f>
        <v>ALT_UOM2_SIPI</v>
      </c>
      <c r="I12795" s="136"/>
      <c r="R12795" s="63" t="str">
        <f t="shared" si="60"/>
        <v>ZSI1_PUB_SAFE_SUPPALT_UOM2_SIPI</v>
      </c>
    </row>
    <row r="12796" ht="15.75" customHeight="1">
      <c r="B12796" s="63">
        <f t="shared" si="1"/>
        <v>18</v>
      </c>
      <c r="C12796" s="135" t="s">
        <v>5256</v>
      </c>
      <c r="D12796" s="161" t="s">
        <v>74</v>
      </c>
      <c r="E12796" s="135">
        <f t="shared" si="62"/>
        <v>19</v>
      </c>
      <c r="F12796" s="134" t="s">
        <v>3808</v>
      </c>
      <c r="G12796" s="63" t="str">
        <f>VLOOKUP(C12796, 'Class Def. - General Data'!$C$20:$C$1000,1,false)</f>
        <v>#N/A</v>
      </c>
      <c r="H12796" s="63" t="str">
        <f>IFERROR(__xludf.DUMMYFUNCTION("VLOOKUP(F12796, IMPORTRANGE(""https://docs.google.com/spreadsheets/d/1Lhp9OU0JdFf_VYSMzH5lBcEaU4o8teT1piV-SNzShjg/edit?gid=554141278#gid=554141278"", ""'Char Def. - Attributes'!C20:C2242""), 1,false)"),"ALT_DENUM_UOM2")</f>
        <v>ALT_DENUM_UOM2</v>
      </c>
      <c r="I12796" s="136"/>
      <c r="R12796" s="63" t="str">
        <f t="shared" si="60"/>
        <v>ZSI1_PUB_SAFE_SUPPALT_DENUM_UOM2</v>
      </c>
    </row>
    <row r="12797" ht="15.75" customHeight="1">
      <c r="B12797" s="63">
        <f t="shared" si="1"/>
        <v>18</v>
      </c>
      <c r="C12797" s="135" t="s">
        <v>5256</v>
      </c>
      <c r="D12797" s="161" t="s">
        <v>74</v>
      </c>
      <c r="E12797" s="135">
        <f t="shared" si="62"/>
        <v>20</v>
      </c>
      <c r="F12797" s="134" t="s">
        <v>3809</v>
      </c>
      <c r="G12797" s="63" t="str">
        <f>VLOOKUP(C12797, 'Class Def. - General Data'!$C$20:$C$1000,1,false)</f>
        <v>#N/A</v>
      </c>
      <c r="H12797" s="63" t="str">
        <f>IFERROR(__xludf.DUMMYFUNCTION("VLOOKUP(F12797, IMPORTRANGE(""https://docs.google.com/spreadsheets/d/1Lhp9OU0JdFf_VYSMzH5lBcEaU4o8teT1piV-SNzShjg/edit?gid=554141278#gid=554141278"", ""'Char Def. - Attributes'!C20:C2242""), 1,false)"),"ALT_NUM_UOM2")</f>
        <v>ALT_NUM_UOM2</v>
      </c>
      <c r="I12797" s="136"/>
      <c r="R12797" s="63" t="str">
        <f t="shared" si="60"/>
        <v>ZSI1_PUB_SAFE_SUPPALT_NUM_UOM2</v>
      </c>
    </row>
    <row r="12798" ht="15.75" customHeight="1">
      <c r="B12798" s="63">
        <f t="shared" si="1"/>
        <v>18</v>
      </c>
      <c r="C12798" s="135" t="s">
        <v>5256</v>
      </c>
      <c r="D12798" s="161" t="s">
        <v>74</v>
      </c>
      <c r="E12798" s="135">
        <f t="shared" si="62"/>
        <v>21</v>
      </c>
      <c r="F12798" s="134" t="s">
        <v>3810</v>
      </c>
      <c r="G12798" s="63" t="str">
        <f>VLOOKUP(C12798, 'Class Def. - General Data'!$C$20:$C$1000,1,false)</f>
        <v>#N/A</v>
      </c>
      <c r="H12798" s="63" t="str">
        <f>IFERROR(__xludf.DUMMYFUNCTION("VLOOKUP(F12798, IMPORTRANGE(""https://docs.google.com/spreadsheets/d/1Lhp9OU0JdFf_VYSMzH5lBcEaU4o8teT1piV-SNzShjg/edit?gid=554141278#gid=554141278"", ""'Char Def. - Attributes'!C20:C2242""), 1,false)"),"ALT_UOM3_SIPI")</f>
        <v>ALT_UOM3_SIPI</v>
      </c>
      <c r="I12798" s="136"/>
      <c r="R12798" s="63" t="str">
        <f t="shared" si="60"/>
        <v>ZSI1_PUB_SAFE_SUPPALT_UOM3_SIPI</v>
      </c>
    </row>
    <row r="12799" ht="15.75" customHeight="1">
      <c r="B12799" s="63">
        <f t="shared" si="1"/>
        <v>18</v>
      </c>
      <c r="C12799" s="135" t="s">
        <v>5256</v>
      </c>
      <c r="D12799" s="161" t="s">
        <v>74</v>
      </c>
      <c r="E12799" s="135">
        <f t="shared" si="62"/>
        <v>22</v>
      </c>
      <c r="F12799" s="134" t="s">
        <v>3811</v>
      </c>
      <c r="G12799" s="63" t="str">
        <f>VLOOKUP(C12799, 'Class Def. - General Data'!$C$20:$C$1000,1,false)</f>
        <v>#N/A</v>
      </c>
      <c r="H12799" s="63" t="str">
        <f>IFERROR(__xludf.DUMMYFUNCTION("VLOOKUP(F12799, IMPORTRANGE(""https://docs.google.com/spreadsheets/d/1Lhp9OU0JdFf_VYSMzH5lBcEaU4o8teT1piV-SNzShjg/edit?gid=554141278#gid=554141278"", ""'Char Def. - Attributes'!C20:C2242""), 1,false)"),"ALT_DENUM_UOM3")</f>
        <v>ALT_DENUM_UOM3</v>
      </c>
      <c r="I12799" s="136"/>
      <c r="R12799" s="63" t="str">
        <f t="shared" si="60"/>
        <v>ZSI1_PUB_SAFE_SUPPALT_DENUM_UOM3</v>
      </c>
    </row>
    <row r="12800" ht="15.75" customHeight="1">
      <c r="B12800" s="63">
        <f t="shared" si="1"/>
        <v>18</v>
      </c>
      <c r="C12800" s="135" t="s">
        <v>5256</v>
      </c>
      <c r="D12800" s="161" t="s">
        <v>74</v>
      </c>
      <c r="E12800" s="135">
        <f t="shared" si="62"/>
        <v>23</v>
      </c>
      <c r="F12800" s="134" t="s">
        <v>3812</v>
      </c>
      <c r="G12800" s="63" t="str">
        <f>VLOOKUP(C12800, 'Class Def. - General Data'!$C$20:$C$1000,1,false)</f>
        <v>#N/A</v>
      </c>
      <c r="H12800" s="63" t="str">
        <f>IFERROR(__xludf.DUMMYFUNCTION("VLOOKUP(F12800, IMPORTRANGE(""https://docs.google.com/spreadsheets/d/1Lhp9OU0JdFf_VYSMzH5lBcEaU4o8teT1piV-SNzShjg/edit?gid=554141278#gid=554141278"", ""'Char Def. - Attributes'!C20:C2242""), 1,false)"),"ALT_NUM_UOM3")</f>
        <v>ALT_NUM_UOM3</v>
      </c>
      <c r="I12800" s="136"/>
      <c r="R12800" s="63" t="str">
        <f t="shared" si="60"/>
        <v>ZSI1_PUB_SAFE_SUPPALT_NUM_UOM3</v>
      </c>
    </row>
    <row r="12801" ht="15.75" customHeight="1">
      <c r="B12801" s="63">
        <f t="shared" si="1"/>
        <v>18</v>
      </c>
      <c r="C12801" s="135" t="s">
        <v>5256</v>
      </c>
      <c r="D12801" s="161" t="s">
        <v>74</v>
      </c>
      <c r="E12801" s="135">
        <f t="shared" si="62"/>
        <v>24</v>
      </c>
      <c r="F12801" s="134" t="s">
        <v>3813</v>
      </c>
      <c r="G12801" s="63" t="str">
        <f>VLOOKUP(C12801, 'Class Def. - General Data'!$C$20:$C$1000,1,false)</f>
        <v>#N/A</v>
      </c>
      <c r="H12801" s="63" t="str">
        <f>IFERROR(__xludf.DUMMYFUNCTION("VLOOKUP(F12801, IMPORTRANGE(""https://docs.google.com/spreadsheets/d/1Lhp9OU0JdFf_VYSMzH5lBcEaU4o8teT1piV-SNzShjg/edit?gid=554141278#gid=554141278"", ""'Char Def. - Attributes'!C20:C2242""), 1,false)"),"ALT_UOM4_SIPI")</f>
        <v>ALT_UOM4_SIPI</v>
      </c>
      <c r="I12801" s="136"/>
      <c r="R12801" s="63" t="str">
        <f t="shared" si="60"/>
        <v>ZSI1_PUB_SAFE_SUPPALT_UOM4_SIPI</v>
      </c>
    </row>
    <row r="12802" ht="15.75" customHeight="1">
      <c r="B12802" s="63">
        <f t="shared" si="1"/>
        <v>18</v>
      </c>
      <c r="C12802" s="135" t="s">
        <v>5256</v>
      </c>
      <c r="D12802" s="161" t="s">
        <v>74</v>
      </c>
      <c r="E12802" s="135">
        <f t="shared" si="62"/>
        <v>25</v>
      </c>
      <c r="F12802" s="134" t="s">
        <v>3814</v>
      </c>
      <c r="G12802" s="63" t="str">
        <f>VLOOKUP(C12802, 'Class Def. - General Data'!$C$20:$C$1000,1,false)</f>
        <v>#N/A</v>
      </c>
      <c r="H12802" s="63" t="str">
        <f>IFERROR(__xludf.DUMMYFUNCTION("VLOOKUP(F12802, IMPORTRANGE(""https://docs.google.com/spreadsheets/d/1Lhp9OU0JdFf_VYSMzH5lBcEaU4o8teT1piV-SNzShjg/edit?gid=554141278#gid=554141278"", ""'Char Def. - Attributes'!C20:C2242""), 1,false)"),"ALT_DENUM_UOM4")</f>
        <v>ALT_DENUM_UOM4</v>
      </c>
      <c r="I12802" s="136"/>
      <c r="R12802" s="63" t="str">
        <f t="shared" si="60"/>
        <v>ZSI1_PUB_SAFE_SUPPALT_DENUM_UOM4</v>
      </c>
    </row>
    <row r="12803" ht="15.75" customHeight="1">
      <c r="B12803" s="63">
        <f t="shared" si="1"/>
        <v>18</v>
      </c>
      <c r="C12803" s="135" t="s">
        <v>5256</v>
      </c>
      <c r="D12803" s="161" t="s">
        <v>74</v>
      </c>
      <c r="E12803" s="135">
        <f t="shared" si="62"/>
        <v>26</v>
      </c>
      <c r="F12803" s="134" t="s">
        <v>3815</v>
      </c>
      <c r="G12803" s="63" t="str">
        <f>VLOOKUP(C12803, 'Class Def. - General Data'!$C$20:$C$1000,1,false)</f>
        <v>#N/A</v>
      </c>
      <c r="H12803" s="63" t="str">
        <f>IFERROR(__xludf.DUMMYFUNCTION("VLOOKUP(F12803, IMPORTRANGE(""https://docs.google.com/spreadsheets/d/1Lhp9OU0JdFf_VYSMzH5lBcEaU4o8teT1piV-SNzShjg/edit?gid=554141278#gid=554141278"", ""'Char Def. - Attributes'!C20:C2242""), 1,false)"),"ALT_NUM_UOM4")</f>
        <v>ALT_NUM_UOM4</v>
      </c>
      <c r="I12803" s="136"/>
      <c r="R12803" s="63" t="str">
        <f t="shared" si="60"/>
        <v>ZSI1_PUB_SAFE_SUPPALT_NUM_UOM4</v>
      </c>
    </row>
    <row r="12804" ht="15.75" customHeight="1">
      <c r="B12804" s="63">
        <f t="shared" si="1"/>
        <v>18</v>
      </c>
      <c r="C12804" s="135" t="s">
        <v>5256</v>
      </c>
      <c r="D12804" s="161" t="s">
        <v>74</v>
      </c>
      <c r="E12804" s="135">
        <f t="shared" si="62"/>
        <v>27</v>
      </c>
      <c r="F12804" s="134" t="s">
        <v>3816</v>
      </c>
      <c r="G12804" s="63" t="str">
        <f>VLOOKUP(C12804, 'Class Def. - General Data'!$C$20:$C$1000,1,false)</f>
        <v>#N/A</v>
      </c>
      <c r="H12804" s="63" t="str">
        <f>IFERROR(__xludf.DUMMYFUNCTION("VLOOKUP(F12804, IMPORTRANGE(""https://docs.google.com/spreadsheets/d/1Lhp9OU0JdFf_VYSMzH5lBcEaU4o8teT1piV-SNzShjg/edit?gid=554141278#gid=554141278"", ""'Char Def. - Attributes'!C20:C2242""), 1,false)"),"ALT_UOM5_SIPI")</f>
        <v>ALT_UOM5_SIPI</v>
      </c>
      <c r="I12804" s="136"/>
      <c r="R12804" s="63" t="str">
        <f t="shared" si="60"/>
        <v>ZSI1_PUB_SAFE_SUPPALT_UOM5_SIPI</v>
      </c>
    </row>
    <row r="12805" ht="15.75" customHeight="1">
      <c r="B12805" s="63">
        <f t="shared" si="1"/>
        <v>18</v>
      </c>
      <c r="C12805" s="135" t="s">
        <v>5256</v>
      </c>
      <c r="D12805" s="161" t="s">
        <v>74</v>
      </c>
      <c r="E12805" s="135">
        <f t="shared" si="62"/>
        <v>28</v>
      </c>
      <c r="F12805" s="134" t="s">
        <v>3817</v>
      </c>
      <c r="G12805" s="63" t="str">
        <f>VLOOKUP(C12805, 'Class Def. - General Data'!$C$20:$C$1000,1,false)</f>
        <v>#N/A</v>
      </c>
      <c r="H12805" s="63" t="str">
        <f>IFERROR(__xludf.DUMMYFUNCTION("VLOOKUP(F12805, IMPORTRANGE(""https://docs.google.com/spreadsheets/d/1Lhp9OU0JdFf_VYSMzH5lBcEaU4o8teT1piV-SNzShjg/edit?gid=554141278#gid=554141278"", ""'Char Def. - Attributes'!C20:C2242""), 1,false)"),"ALT_DENUM_UOM5")</f>
        <v>ALT_DENUM_UOM5</v>
      </c>
      <c r="I12805" s="136"/>
      <c r="R12805" s="63" t="str">
        <f t="shared" si="60"/>
        <v>ZSI1_PUB_SAFE_SUPPALT_DENUM_UOM5</v>
      </c>
    </row>
    <row r="12806" ht="15.75" customHeight="1">
      <c r="B12806" s="63">
        <f t="shared" si="1"/>
        <v>18</v>
      </c>
      <c r="C12806" s="135" t="s">
        <v>5256</v>
      </c>
      <c r="D12806" s="161" t="s">
        <v>74</v>
      </c>
      <c r="E12806" s="135">
        <f t="shared" si="62"/>
        <v>29</v>
      </c>
      <c r="F12806" s="134" t="s">
        <v>3818</v>
      </c>
      <c r="G12806" s="63" t="str">
        <f>VLOOKUP(C12806, 'Class Def. - General Data'!$C$20:$C$1000,1,false)</f>
        <v>#N/A</v>
      </c>
      <c r="H12806" s="63" t="str">
        <f>IFERROR(__xludf.DUMMYFUNCTION("VLOOKUP(F12806, IMPORTRANGE(""https://docs.google.com/spreadsheets/d/1Lhp9OU0JdFf_VYSMzH5lBcEaU4o8teT1piV-SNzShjg/edit?gid=554141278#gid=554141278"", ""'Char Def. - Attributes'!C20:C2242""), 1,false)"),"ALT_NUM_UOM5")</f>
        <v>ALT_NUM_UOM5</v>
      </c>
      <c r="I12806" s="136"/>
      <c r="R12806" s="63" t="str">
        <f t="shared" si="60"/>
        <v>ZSI1_PUB_SAFE_SUPPALT_NUM_UOM5</v>
      </c>
    </row>
    <row r="12807" ht="15.75" customHeight="1">
      <c r="B12807" s="63">
        <f t="shared" si="1"/>
        <v>11</v>
      </c>
      <c r="C12807" s="135" t="s">
        <v>320</v>
      </c>
      <c r="D12807" s="161" t="s">
        <v>74</v>
      </c>
      <c r="E12807" s="135">
        <f t="shared" si="62"/>
        <v>1</v>
      </c>
      <c r="F12807" s="134" t="s">
        <v>5261</v>
      </c>
      <c r="G12807" s="63" t="str">
        <f>VLOOKUP(C12807, 'Class Def. - General Data'!$C$20:$C$1000,1,false)</f>
        <v>ZSI1_PULLEY</v>
      </c>
      <c r="H12807" s="63" t="str">
        <f>IFERROR(__xludf.DUMMYFUNCTION("VLOOKUP(F12807, IMPORTRANGE(""https://docs.google.com/spreadsheets/d/1Lhp9OU0JdFf_VYSMzH5lBcEaU4o8teT1piV-SNzShjg/edit?gid=554141278#gid=554141278"", ""'Char Def. - Attributes'!C20:C2242""), 1,false)"),"ITEM_NAME_PULLEY")</f>
        <v>ITEM_NAME_PULLEY</v>
      </c>
      <c r="I12807" s="136"/>
      <c r="R12807" s="63" t="str">
        <f t="shared" si="60"/>
        <v>ZSI1_PULLEYITEM_NAME_PULLEY</v>
      </c>
    </row>
    <row r="12808" ht="15.75" customHeight="1">
      <c r="B12808" s="63">
        <f t="shared" si="1"/>
        <v>11</v>
      </c>
      <c r="C12808" s="135" t="s">
        <v>320</v>
      </c>
      <c r="D12808" s="161" t="s">
        <v>74</v>
      </c>
      <c r="E12808" s="135">
        <f t="shared" si="62"/>
        <v>2</v>
      </c>
      <c r="F12808" s="134" t="s">
        <v>5262</v>
      </c>
      <c r="G12808" s="63" t="str">
        <f>VLOOKUP(C12808, 'Class Def. - General Data'!$C$20:$C$1000,1,false)</f>
        <v>ZSI1_PULLEY</v>
      </c>
      <c r="H12808" s="63" t="str">
        <f>IFERROR(__xludf.DUMMYFUNCTION("VLOOKUP(F12808, IMPORTRANGE(""https://docs.google.com/spreadsheets/d/1Lhp9OU0JdFf_VYSMzH5lBcEaU4o8teT1piV-SNzShjg/edit?gid=554141278#gid=554141278"", ""'Char Def. - Attributes'!C20:C2242""), 1,false)"),"MFR_NO_PULLEY")</f>
        <v>MFR_NO_PULLEY</v>
      </c>
      <c r="I12808" s="136"/>
      <c r="R12808" s="63" t="str">
        <f t="shared" si="60"/>
        <v>ZSI1_PULLEYMFR_NO_PULLEY</v>
      </c>
    </row>
    <row r="12809" ht="15.75" customHeight="1">
      <c r="B12809" s="63">
        <f t="shared" si="1"/>
        <v>11</v>
      </c>
      <c r="C12809" s="135" t="s">
        <v>320</v>
      </c>
      <c r="D12809" s="161" t="s">
        <v>74</v>
      </c>
      <c r="E12809" s="135">
        <f t="shared" si="62"/>
        <v>3</v>
      </c>
      <c r="F12809" s="134" t="s">
        <v>3782</v>
      </c>
      <c r="G12809" s="63" t="str">
        <f>VLOOKUP(C12809, 'Class Def. - General Data'!$C$20:$C$1000,1,false)</f>
        <v>ZSI1_PULLEY</v>
      </c>
      <c r="H12809" s="63" t="str">
        <f>IFERROR(__xludf.DUMMYFUNCTION("VLOOKUP(F12809, IMPORTRANGE(""https://docs.google.com/spreadsheets/d/1Lhp9OU0JdFf_VYSMzH5lBcEaU4o8teT1piV-SNzShjg/edit?gid=554141278#gid=554141278"", ""'Char Def. - Attributes'!C20:C2242""), 1,false)"),"BRAND_EXTERNAL")</f>
        <v>BRAND_EXTERNAL</v>
      </c>
      <c r="I12809" s="136"/>
      <c r="R12809" s="63" t="str">
        <f t="shared" si="60"/>
        <v>ZSI1_PULLEYBRAND_EXTERNAL</v>
      </c>
    </row>
    <row r="12810" ht="15.75" customHeight="1">
      <c r="B12810" s="63">
        <f t="shared" si="1"/>
        <v>11</v>
      </c>
      <c r="C12810" s="135" t="s">
        <v>320</v>
      </c>
      <c r="D12810" s="161" t="s">
        <v>74</v>
      </c>
      <c r="E12810" s="135">
        <f t="shared" si="62"/>
        <v>4</v>
      </c>
      <c r="F12810" s="134" t="s">
        <v>4062</v>
      </c>
      <c r="G12810" s="63" t="str">
        <f>VLOOKUP(C12810, 'Class Def. - General Data'!$C$20:$C$1000,1,false)</f>
        <v>ZSI1_PULLEY</v>
      </c>
      <c r="H12810" s="63" t="str">
        <f>IFERROR(__xludf.DUMMYFUNCTION("VLOOKUP(F12810, IMPORTRANGE(""https://docs.google.com/spreadsheets/d/1Lhp9OU0JdFf_VYSMzH5lBcEaU4o8teT1piV-SNzShjg/edit?gid=554141278#gid=554141278"", ""'Char Def. - Attributes'!C20:C2242""), 1,false)"),"#N/A")</f>
        <v>#N/A</v>
      </c>
      <c r="I12810" s="136"/>
      <c r="R12810" s="63" t="str">
        <f t="shared" si="60"/>
        <v>ZSI1_PULLEYADDTIONAL_SPECIFICATION</v>
      </c>
    </row>
    <row r="12811" ht="15.75" customHeight="1">
      <c r="B12811" s="63">
        <f t="shared" si="1"/>
        <v>11</v>
      </c>
      <c r="C12811" s="135" t="s">
        <v>320</v>
      </c>
      <c r="D12811" s="161" t="s">
        <v>74</v>
      </c>
      <c r="E12811" s="135">
        <f t="shared" si="62"/>
        <v>5</v>
      </c>
      <c r="F12811" s="134" t="s">
        <v>4053</v>
      </c>
      <c r="G12811" s="63" t="str">
        <f>VLOOKUP(C12811, 'Class Def. - General Data'!$C$20:$C$1000,1,false)</f>
        <v>ZSI1_PULLEY</v>
      </c>
      <c r="H12811" s="63" t="str">
        <f>IFERROR(__xludf.DUMMYFUNCTION("VLOOKUP(F12811, IMPORTRANGE(""https://docs.google.com/spreadsheets/d/1Lhp9OU0JdFf_VYSMzH5lBcEaU4o8teT1piV-SNzShjg/edit?gid=554141278#gid=554141278"", ""'Char Def. - Attributes'!C20:C2242""), 1,false)"),"MAINTENANCE_ORDER_TYPE")</f>
        <v>MAINTENANCE_ORDER_TYPE</v>
      </c>
      <c r="I12811" s="136"/>
      <c r="R12811" s="63" t="str">
        <f t="shared" si="60"/>
        <v>ZSI1_PULLEYMAINTENANCE_ORDER_TYPE</v>
      </c>
    </row>
    <row r="12812" ht="15.75" customHeight="1">
      <c r="B12812" s="63">
        <f t="shared" si="1"/>
        <v>11</v>
      </c>
      <c r="C12812" s="135" t="s">
        <v>320</v>
      </c>
      <c r="D12812" s="161" t="s">
        <v>74</v>
      </c>
      <c r="E12812" s="135">
        <f t="shared" si="62"/>
        <v>6</v>
      </c>
      <c r="F12812" s="134" t="s">
        <v>3585</v>
      </c>
      <c r="G12812" s="63" t="str">
        <f>VLOOKUP(C12812, 'Class Def. - General Data'!$C$20:$C$1000,1,false)</f>
        <v>ZSI1_PULLEY</v>
      </c>
      <c r="H12812" s="63" t="str">
        <f>IFERROR(__xludf.DUMMYFUNCTION("VLOOKUP(F12812, IMPORTRANGE(""https://docs.google.com/spreadsheets/d/1Lhp9OU0JdFf_VYSMzH5lBcEaU4o8teT1piV-SNzShjg/edit?gid=554141278#gid=554141278"", ""'Char Def. - Attributes'!C20:C2242""), 1,false)"),"HS_CODE")</f>
        <v>HS_CODE</v>
      </c>
      <c r="I12812" s="136"/>
      <c r="R12812" s="63" t="str">
        <f t="shared" si="60"/>
        <v>ZSI1_PULLEYHS_CODE</v>
      </c>
    </row>
    <row r="12813" ht="15.75" customHeight="1">
      <c r="B12813" s="63">
        <f t="shared" si="1"/>
        <v>11</v>
      </c>
      <c r="C12813" s="135" t="s">
        <v>320</v>
      </c>
      <c r="D12813" s="161" t="s">
        <v>74</v>
      </c>
      <c r="E12813" s="135">
        <f t="shared" si="62"/>
        <v>7</v>
      </c>
      <c r="F12813" s="134" t="s">
        <v>3587</v>
      </c>
      <c r="G12813" s="63" t="str">
        <f>VLOOKUP(C12813, 'Class Def. - General Data'!$C$20:$C$1000,1,false)</f>
        <v>ZSI1_PULLEY</v>
      </c>
      <c r="H12813" s="63" t="str">
        <f>IFERROR(__xludf.DUMMYFUNCTION("VLOOKUP(F12813, IMPORTRANGE(""https://docs.google.com/spreadsheets/d/1Lhp9OU0JdFf_VYSMzH5lBcEaU4o8teT1piV-SNzShjg/edit?gid=554141278#gid=554141278"", ""'Char Def. - Attributes'!C20:C2242""), 1,false)"),"PLANT_BUY")</f>
        <v>PLANT_BUY</v>
      </c>
      <c r="I12813" s="136"/>
      <c r="R12813" s="63" t="str">
        <f t="shared" si="60"/>
        <v>ZSI1_PULLEYPLANT_BUY</v>
      </c>
    </row>
    <row r="12814" ht="15.75" customHeight="1">
      <c r="B12814" s="63">
        <f t="shared" si="1"/>
        <v>11</v>
      </c>
      <c r="C12814" s="135" t="s">
        <v>320</v>
      </c>
      <c r="D12814" s="161" t="s">
        <v>74</v>
      </c>
      <c r="E12814" s="135">
        <f t="shared" si="62"/>
        <v>8</v>
      </c>
      <c r="F12814" s="134" t="s">
        <v>5263</v>
      </c>
      <c r="G12814" s="63" t="str">
        <f>VLOOKUP(C12814, 'Class Def. - General Data'!$C$20:$C$1000,1,false)</f>
        <v>ZSI1_PULLEY</v>
      </c>
      <c r="H12814" s="63" t="str">
        <f>IFERROR(__xludf.DUMMYFUNCTION("VLOOKUP(F12814, IMPORTRANGE(""https://docs.google.com/spreadsheets/d/1Lhp9OU0JdFf_VYSMzH5lBcEaU4o8teT1piV-SNzShjg/edit?gid=554141278#gid=554141278"", ""'Char Def. - Attributes'!C20:C2242""), 1,false)"),"BASE_UOM_PULLEY")</f>
        <v>BASE_UOM_PULLEY</v>
      </c>
      <c r="I12814" s="136"/>
      <c r="R12814" s="63" t="str">
        <f t="shared" si="60"/>
        <v>ZSI1_PULLEYBASE_UOM_PULLEY</v>
      </c>
    </row>
    <row r="12815" ht="15.75" customHeight="1">
      <c r="B12815" s="63">
        <f t="shared" si="1"/>
        <v>11</v>
      </c>
      <c r="C12815" s="135" t="s">
        <v>320</v>
      </c>
      <c r="D12815" s="161" t="s">
        <v>74</v>
      </c>
      <c r="E12815" s="135">
        <f t="shared" si="62"/>
        <v>9</v>
      </c>
      <c r="F12815" s="134" t="s">
        <v>5264</v>
      </c>
      <c r="G12815" s="63" t="str">
        <f>VLOOKUP(C12815, 'Class Def. - General Data'!$C$20:$C$1000,1,false)</f>
        <v>ZSI1_PULLEY</v>
      </c>
      <c r="H12815" s="63" t="str">
        <f>IFERROR(__xludf.DUMMYFUNCTION("VLOOKUP(F12815, IMPORTRANGE(""https://docs.google.com/spreadsheets/d/1Lhp9OU0JdFf_VYSMzH5lBcEaU4o8teT1piV-SNzShjg/edit?gid=554141278#gid=554141278"", ""'Char Def. - Attributes'!C20:C2242""), 1,false)"),"ORDER_UNIT_PULLEY")</f>
        <v>ORDER_UNIT_PULLEY</v>
      </c>
      <c r="I12815" s="136"/>
      <c r="R12815" s="63" t="str">
        <f t="shared" si="60"/>
        <v>ZSI1_PULLEYORDER_UNIT_PULLEY</v>
      </c>
    </row>
    <row r="12816" ht="15.75" customHeight="1">
      <c r="B12816" s="63">
        <f t="shared" si="1"/>
        <v>11</v>
      </c>
      <c r="C12816" s="135" t="s">
        <v>320</v>
      </c>
      <c r="D12816" s="161" t="s">
        <v>74</v>
      </c>
      <c r="E12816" s="135">
        <f t="shared" si="62"/>
        <v>10</v>
      </c>
      <c r="F12816" s="134" t="s">
        <v>4056</v>
      </c>
      <c r="G12816" s="63" t="str">
        <f>VLOOKUP(C12816, 'Class Def. - General Data'!$C$20:$C$1000,1,false)</f>
        <v>ZSI1_PULLEY</v>
      </c>
      <c r="H12816" s="63" t="str">
        <f>IFERROR(__xludf.DUMMYFUNCTION("VLOOKUP(F12816, IMPORTRANGE(""https://docs.google.com/spreadsheets/d/1Lhp9OU0JdFf_VYSMzH5lBcEaU4o8teT1piV-SNzShjg/edit?gid=554141278#gid=554141278"", ""'Char Def. - Attributes'!C20:C2242""), 1,false)"),"GROSS_WEIGHT_OPT")</f>
        <v>GROSS_WEIGHT_OPT</v>
      </c>
      <c r="I12816" s="136"/>
      <c r="R12816" s="63" t="str">
        <f t="shared" si="60"/>
        <v>ZSI1_PULLEYGROSS_WEIGHT_OPT</v>
      </c>
    </row>
    <row r="12817" ht="15.75" customHeight="1">
      <c r="B12817" s="63">
        <f t="shared" si="1"/>
        <v>11</v>
      </c>
      <c r="C12817" s="135" t="s">
        <v>320</v>
      </c>
      <c r="D12817" s="161" t="s">
        <v>74</v>
      </c>
      <c r="E12817" s="135">
        <f t="shared" si="62"/>
        <v>11</v>
      </c>
      <c r="F12817" s="134" t="s">
        <v>4057</v>
      </c>
      <c r="G12817" s="63" t="str">
        <f>VLOOKUP(C12817, 'Class Def. - General Data'!$C$20:$C$1000,1,false)</f>
        <v>ZSI1_PULLEY</v>
      </c>
      <c r="H12817" s="63" t="str">
        <f>IFERROR(__xludf.DUMMYFUNCTION("VLOOKUP(F12817, IMPORTRANGE(""https://docs.google.com/spreadsheets/d/1Lhp9OU0JdFf_VYSMzH5lBcEaU4o8teT1piV-SNzShjg/edit?gid=554141278#gid=554141278"", ""'Char Def. - Attributes'!C20:C2242""), 1,false)"),"NET_WEIGHT_OPT")</f>
        <v>NET_WEIGHT_OPT</v>
      </c>
      <c r="I12817" s="136"/>
      <c r="R12817" s="63" t="str">
        <f t="shared" si="60"/>
        <v>ZSI1_PULLEYNET_WEIGHT_OPT</v>
      </c>
    </row>
    <row r="12818" ht="15.75" customHeight="1">
      <c r="B12818" s="63">
        <f t="shared" si="1"/>
        <v>11</v>
      </c>
      <c r="C12818" s="135" t="s">
        <v>320</v>
      </c>
      <c r="D12818" s="161" t="s">
        <v>74</v>
      </c>
      <c r="E12818" s="135">
        <f t="shared" si="62"/>
        <v>12</v>
      </c>
      <c r="F12818" s="134" t="s">
        <v>4058</v>
      </c>
      <c r="G12818" s="63" t="str">
        <f>VLOOKUP(C12818, 'Class Def. - General Data'!$C$20:$C$1000,1,false)</f>
        <v>ZSI1_PULLEY</v>
      </c>
      <c r="H12818" s="63" t="str">
        <f>IFERROR(__xludf.DUMMYFUNCTION("VLOOKUP(F12818, IMPORTRANGE(""https://docs.google.com/spreadsheets/d/1Lhp9OU0JdFf_VYSMzH5lBcEaU4o8teT1piV-SNzShjg/edit?gid=554141278#gid=554141278"", ""'Char Def. - Attributes'!C20:C2242""), 1,false)"),"WEIGHT_UNIT_SI")</f>
        <v>WEIGHT_UNIT_SI</v>
      </c>
      <c r="I12818" s="136"/>
      <c r="R12818" s="63" t="str">
        <f t="shared" si="60"/>
        <v>ZSI1_PULLEYWEIGHT_UNIT_SI</v>
      </c>
    </row>
    <row r="12819" ht="15.75" customHeight="1">
      <c r="B12819" s="63">
        <f t="shared" si="1"/>
        <v>11</v>
      </c>
      <c r="C12819" s="135" t="s">
        <v>320</v>
      </c>
      <c r="D12819" s="161" t="s">
        <v>74</v>
      </c>
      <c r="E12819" s="135">
        <f t="shared" si="62"/>
        <v>13</v>
      </c>
      <c r="F12819" s="134" t="s">
        <v>3877</v>
      </c>
      <c r="G12819" s="63" t="str">
        <f>VLOOKUP(C12819, 'Class Def. - General Data'!$C$20:$C$1000,1,false)</f>
        <v>ZSI1_PULLEY</v>
      </c>
      <c r="H12819" s="63" t="str">
        <f>IFERROR(__xludf.DUMMYFUNCTION("VLOOKUP(F12819, IMPORTRANGE(""https://docs.google.com/spreadsheets/d/1Lhp9OU0JdFf_VYSMzH5lBcEaU4o8teT1piV-SNzShjg/edit?gid=554141278#gid=554141278"", ""'Char Def. - Attributes'!C20:C2242""), 1,false)"),"VOLUME_OPT")</f>
        <v>VOLUME_OPT</v>
      </c>
      <c r="I12819" s="136"/>
      <c r="R12819" s="63" t="str">
        <f t="shared" si="60"/>
        <v>ZSI1_PULLEYVOLUME_OPT</v>
      </c>
    </row>
    <row r="12820" ht="15.75" customHeight="1">
      <c r="B12820" s="63">
        <f t="shared" si="1"/>
        <v>11</v>
      </c>
      <c r="C12820" s="135" t="s">
        <v>320</v>
      </c>
      <c r="D12820" s="161" t="s">
        <v>74</v>
      </c>
      <c r="E12820" s="135">
        <f t="shared" si="62"/>
        <v>14</v>
      </c>
      <c r="F12820" s="134" t="s">
        <v>4059</v>
      </c>
      <c r="G12820" s="63" t="str">
        <f>VLOOKUP(C12820, 'Class Def. - General Data'!$C$20:$C$1000,1,false)</f>
        <v>ZSI1_PULLEY</v>
      </c>
      <c r="H12820" s="63" t="str">
        <f>IFERROR(__xludf.DUMMYFUNCTION("VLOOKUP(F12820, IMPORTRANGE(""https://docs.google.com/spreadsheets/d/1Lhp9OU0JdFf_VYSMzH5lBcEaU4o8teT1piV-SNzShjg/edit?gid=554141278#gid=554141278"", ""'Char Def. - Attributes'!C20:C2242""), 1,false)"),"VOLUME_UNIT_SI")</f>
        <v>VOLUME_UNIT_SI</v>
      </c>
      <c r="I12820" s="136"/>
      <c r="R12820" s="63" t="str">
        <f t="shared" si="60"/>
        <v>ZSI1_PULLEYVOLUME_UNIT_SI</v>
      </c>
    </row>
    <row r="12821" ht="15.75" customHeight="1">
      <c r="B12821" s="63">
        <f t="shared" si="1"/>
        <v>11</v>
      </c>
      <c r="C12821" s="135" t="s">
        <v>320</v>
      </c>
      <c r="D12821" s="161" t="s">
        <v>74</v>
      </c>
      <c r="E12821" s="135">
        <f t="shared" si="62"/>
        <v>15</v>
      </c>
      <c r="F12821" s="134" t="s">
        <v>3804</v>
      </c>
      <c r="G12821" s="63" t="str">
        <f>VLOOKUP(C12821, 'Class Def. - General Data'!$C$20:$C$1000,1,false)</f>
        <v>ZSI1_PULLEY</v>
      </c>
      <c r="H12821" s="63" t="str">
        <f>IFERROR(__xludf.DUMMYFUNCTION("VLOOKUP(F12821, IMPORTRANGE(""https://docs.google.com/spreadsheets/d/1Lhp9OU0JdFf_VYSMzH5lBcEaU4o8teT1piV-SNzShjg/edit?gid=554141278#gid=554141278"", ""'Char Def. - Attributes'!C20:C2242""), 1,false)"),"ALT_UOM1_SIPI")</f>
        <v>ALT_UOM1_SIPI</v>
      </c>
      <c r="I12821" s="136"/>
      <c r="R12821" s="63" t="str">
        <f t="shared" si="60"/>
        <v>ZSI1_PULLEYALT_UOM1_SIPI</v>
      </c>
    </row>
    <row r="12822" ht="15.75" customHeight="1">
      <c r="B12822" s="63">
        <f t="shared" si="1"/>
        <v>11</v>
      </c>
      <c r="C12822" s="135" t="s">
        <v>320</v>
      </c>
      <c r="D12822" s="161" t="s">
        <v>74</v>
      </c>
      <c r="E12822" s="135">
        <f t="shared" si="62"/>
        <v>16</v>
      </c>
      <c r="F12822" s="134" t="s">
        <v>3805</v>
      </c>
      <c r="G12822" s="63" t="str">
        <f>VLOOKUP(C12822, 'Class Def. - General Data'!$C$20:$C$1000,1,false)</f>
        <v>ZSI1_PULLEY</v>
      </c>
      <c r="H12822" s="63" t="str">
        <f>IFERROR(__xludf.DUMMYFUNCTION("VLOOKUP(F12822, IMPORTRANGE(""https://docs.google.com/spreadsheets/d/1Lhp9OU0JdFf_VYSMzH5lBcEaU4o8teT1piV-SNzShjg/edit?gid=554141278#gid=554141278"", ""'Char Def. - Attributes'!C20:C2242""), 1,false)"),"ALT_DENUM_UOM1")</f>
        <v>ALT_DENUM_UOM1</v>
      </c>
      <c r="I12822" s="136"/>
      <c r="R12822" s="63" t="str">
        <f t="shared" si="60"/>
        <v>ZSI1_PULLEYALT_DENUM_UOM1</v>
      </c>
    </row>
    <row r="12823" ht="15.75" customHeight="1">
      <c r="B12823" s="63">
        <f t="shared" si="1"/>
        <v>11</v>
      </c>
      <c r="C12823" s="135" t="s">
        <v>320</v>
      </c>
      <c r="D12823" s="161" t="s">
        <v>74</v>
      </c>
      <c r="E12823" s="135">
        <f t="shared" si="62"/>
        <v>17</v>
      </c>
      <c r="F12823" s="134" t="s">
        <v>3806</v>
      </c>
      <c r="G12823" s="63" t="str">
        <f>VLOOKUP(C12823, 'Class Def. - General Data'!$C$20:$C$1000,1,false)</f>
        <v>ZSI1_PULLEY</v>
      </c>
      <c r="H12823" s="63" t="str">
        <f>IFERROR(__xludf.DUMMYFUNCTION("VLOOKUP(F12823, IMPORTRANGE(""https://docs.google.com/spreadsheets/d/1Lhp9OU0JdFf_VYSMzH5lBcEaU4o8teT1piV-SNzShjg/edit?gid=554141278#gid=554141278"", ""'Char Def. - Attributes'!C20:C2242""), 1,false)"),"ALT_NUM_UOM1")</f>
        <v>ALT_NUM_UOM1</v>
      </c>
      <c r="I12823" s="136"/>
      <c r="R12823" s="63" t="str">
        <f t="shared" si="60"/>
        <v>ZSI1_PULLEYALT_NUM_UOM1</v>
      </c>
    </row>
    <row r="12824" ht="15.75" customHeight="1">
      <c r="B12824" s="63">
        <f t="shared" si="1"/>
        <v>11</v>
      </c>
      <c r="C12824" s="135" t="s">
        <v>320</v>
      </c>
      <c r="D12824" s="161" t="s">
        <v>74</v>
      </c>
      <c r="E12824" s="135">
        <f t="shared" si="62"/>
        <v>18</v>
      </c>
      <c r="F12824" s="134" t="s">
        <v>3807</v>
      </c>
      <c r="G12824" s="63" t="str">
        <f>VLOOKUP(C12824, 'Class Def. - General Data'!$C$20:$C$1000,1,false)</f>
        <v>ZSI1_PULLEY</v>
      </c>
      <c r="H12824" s="63" t="str">
        <f>IFERROR(__xludf.DUMMYFUNCTION("VLOOKUP(F12824, IMPORTRANGE(""https://docs.google.com/spreadsheets/d/1Lhp9OU0JdFf_VYSMzH5lBcEaU4o8teT1piV-SNzShjg/edit?gid=554141278#gid=554141278"", ""'Char Def. - Attributes'!C20:C2242""), 1,false)"),"ALT_UOM2_SIPI")</f>
        <v>ALT_UOM2_SIPI</v>
      </c>
      <c r="I12824" s="136"/>
      <c r="R12824" s="63" t="str">
        <f t="shared" si="60"/>
        <v>ZSI1_PULLEYALT_UOM2_SIPI</v>
      </c>
    </row>
    <row r="12825" ht="15.75" customHeight="1">
      <c r="B12825" s="63">
        <f t="shared" si="1"/>
        <v>11</v>
      </c>
      <c r="C12825" s="135" t="s">
        <v>320</v>
      </c>
      <c r="D12825" s="161" t="s">
        <v>74</v>
      </c>
      <c r="E12825" s="135">
        <f t="shared" si="62"/>
        <v>19</v>
      </c>
      <c r="F12825" s="134" t="s">
        <v>3808</v>
      </c>
      <c r="G12825" s="63" t="str">
        <f>VLOOKUP(C12825, 'Class Def. - General Data'!$C$20:$C$1000,1,false)</f>
        <v>ZSI1_PULLEY</v>
      </c>
      <c r="H12825" s="63" t="str">
        <f>IFERROR(__xludf.DUMMYFUNCTION("VLOOKUP(F12825, IMPORTRANGE(""https://docs.google.com/spreadsheets/d/1Lhp9OU0JdFf_VYSMzH5lBcEaU4o8teT1piV-SNzShjg/edit?gid=554141278#gid=554141278"", ""'Char Def. - Attributes'!C20:C2242""), 1,false)"),"ALT_DENUM_UOM2")</f>
        <v>ALT_DENUM_UOM2</v>
      </c>
      <c r="I12825" s="136"/>
      <c r="R12825" s="63" t="str">
        <f t="shared" si="60"/>
        <v>ZSI1_PULLEYALT_DENUM_UOM2</v>
      </c>
    </row>
    <row r="12826" ht="15.75" customHeight="1">
      <c r="B12826" s="63">
        <f t="shared" si="1"/>
        <v>11</v>
      </c>
      <c r="C12826" s="135" t="s">
        <v>320</v>
      </c>
      <c r="D12826" s="161" t="s">
        <v>74</v>
      </c>
      <c r="E12826" s="135">
        <f t="shared" si="62"/>
        <v>20</v>
      </c>
      <c r="F12826" s="134" t="s">
        <v>3809</v>
      </c>
      <c r="G12826" s="63" t="str">
        <f>VLOOKUP(C12826, 'Class Def. - General Data'!$C$20:$C$1000,1,false)</f>
        <v>ZSI1_PULLEY</v>
      </c>
      <c r="H12826" s="63" t="str">
        <f>IFERROR(__xludf.DUMMYFUNCTION("VLOOKUP(F12826, IMPORTRANGE(""https://docs.google.com/spreadsheets/d/1Lhp9OU0JdFf_VYSMzH5lBcEaU4o8teT1piV-SNzShjg/edit?gid=554141278#gid=554141278"", ""'Char Def. - Attributes'!C20:C2242""), 1,false)"),"ALT_NUM_UOM2")</f>
        <v>ALT_NUM_UOM2</v>
      </c>
      <c r="I12826" s="136"/>
      <c r="R12826" s="63" t="str">
        <f t="shared" si="60"/>
        <v>ZSI1_PULLEYALT_NUM_UOM2</v>
      </c>
    </row>
    <row r="12827" ht="15.75" customHeight="1">
      <c r="B12827" s="63">
        <f t="shared" si="1"/>
        <v>11</v>
      </c>
      <c r="C12827" s="135" t="s">
        <v>320</v>
      </c>
      <c r="D12827" s="161" t="s">
        <v>74</v>
      </c>
      <c r="E12827" s="135">
        <f t="shared" si="62"/>
        <v>21</v>
      </c>
      <c r="F12827" s="134" t="s">
        <v>3810</v>
      </c>
      <c r="G12827" s="63" t="str">
        <f>VLOOKUP(C12827, 'Class Def. - General Data'!$C$20:$C$1000,1,false)</f>
        <v>ZSI1_PULLEY</v>
      </c>
      <c r="H12827" s="63" t="str">
        <f>IFERROR(__xludf.DUMMYFUNCTION("VLOOKUP(F12827, IMPORTRANGE(""https://docs.google.com/spreadsheets/d/1Lhp9OU0JdFf_VYSMzH5lBcEaU4o8teT1piV-SNzShjg/edit?gid=554141278#gid=554141278"", ""'Char Def. - Attributes'!C20:C2242""), 1,false)"),"ALT_UOM3_SIPI")</f>
        <v>ALT_UOM3_SIPI</v>
      </c>
      <c r="I12827" s="136"/>
      <c r="R12827" s="63" t="str">
        <f t="shared" si="60"/>
        <v>ZSI1_PULLEYALT_UOM3_SIPI</v>
      </c>
    </row>
    <row r="12828" ht="15.75" customHeight="1">
      <c r="B12828" s="63">
        <f t="shared" si="1"/>
        <v>11</v>
      </c>
      <c r="C12828" s="135" t="s">
        <v>320</v>
      </c>
      <c r="D12828" s="161" t="s">
        <v>74</v>
      </c>
      <c r="E12828" s="135">
        <f t="shared" si="62"/>
        <v>22</v>
      </c>
      <c r="F12828" s="134" t="s">
        <v>3811</v>
      </c>
      <c r="G12828" s="63" t="str">
        <f>VLOOKUP(C12828, 'Class Def. - General Data'!$C$20:$C$1000,1,false)</f>
        <v>ZSI1_PULLEY</v>
      </c>
      <c r="H12828" s="63" t="str">
        <f>IFERROR(__xludf.DUMMYFUNCTION("VLOOKUP(F12828, IMPORTRANGE(""https://docs.google.com/spreadsheets/d/1Lhp9OU0JdFf_VYSMzH5lBcEaU4o8teT1piV-SNzShjg/edit?gid=554141278#gid=554141278"", ""'Char Def. - Attributes'!C20:C2242""), 1,false)"),"ALT_DENUM_UOM3")</f>
        <v>ALT_DENUM_UOM3</v>
      </c>
      <c r="I12828" s="136"/>
      <c r="R12828" s="63" t="str">
        <f t="shared" si="60"/>
        <v>ZSI1_PULLEYALT_DENUM_UOM3</v>
      </c>
    </row>
    <row r="12829" ht="15.75" customHeight="1">
      <c r="B12829" s="63">
        <f t="shared" si="1"/>
        <v>11</v>
      </c>
      <c r="C12829" s="135" t="s">
        <v>320</v>
      </c>
      <c r="D12829" s="161" t="s">
        <v>74</v>
      </c>
      <c r="E12829" s="135">
        <f t="shared" si="62"/>
        <v>23</v>
      </c>
      <c r="F12829" s="134" t="s">
        <v>3812</v>
      </c>
      <c r="G12829" s="63" t="str">
        <f>VLOOKUP(C12829, 'Class Def. - General Data'!$C$20:$C$1000,1,false)</f>
        <v>ZSI1_PULLEY</v>
      </c>
      <c r="H12829" s="63" t="str">
        <f>IFERROR(__xludf.DUMMYFUNCTION("VLOOKUP(F12829, IMPORTRANGE(""https://docs.google.com/spreadsheets/d/1Lhp9OU0JdFf_VYSMzH5lBcEaU4o8teT1piV-SNzShjg/edit?gid=554141278#gid=554141278"", ""'Char Def. - Attributes'!C20:C2242""), 1,false)"),"ALT_NUM_UOM3")</f>
        <v>ALT_NUM_UOM3</v>
      </c>
      <c r="I12829" s="136"/>
      <c r="R12829" s="63" t="str">
        <f t="shared" si="60"/>
        <v>ZSI1_PULLEYALT_NUM_UOM3</v>
      </c>
    </row>
    <row r="12830" ht="15.75" customHeight="1">
      <c r="B12830" s="63">
        <f t="shared" si="1"/>
        <v>11</v>
      </c>
      <c r="C12830" s="135" t="s">
        <v>320</v>
      </c>
      <c r="D12830" s="161" t="s">
        <v>74</v>
      </c>
      <c r="E12830" s="135">
        <f t="shared" si="62"/>
        <v>24</v>
      </c>
      <c r="F12830" s="134" t="s">
        <v>3813</v>
      </c>
      <c r="G12830" s="63" t="str">
        <f>VLOOKUP(C12830, 'Class Def. - General Data'!$C$20:$C$1000,1,false)</f>
        <v>ZSI1_PULLEY</v>
      </c>
      <c r="H12830" s="63" t="str">
        <f>IFERROR(__xludf.DUMMYFUNCTION("VLOOKUP(F12830, IMPORTRANGE(""https://docs.google.com/spreadsheets/d/1Lhp9OU0JdFf_VYSMzH5lBcEaU4o8teT1piV-SNzShjg/edit?gid=554141278#gid=554141278"", ""'Char Def. - Attributes'!C20:C2242""), 1,false)"),"ALT_UOM4_SIPI")</f>
        <v>ALT_UOM4_SIPI</v>
      </c>
      <c r="I12830" s="136"/>
      <c r="R12830" s="63" t="str">
        <f t="shared" si="60"/>
        <v>ZSI1_PULLEYALT_UOM4_SIPI</v>
      </c>
    </row>
    <row r="12831" ht="15.75" customHeight="1">
      <c r="B12831" s="63">
        <f t="shared" si="1"/>
        <v>11</v>
      </c>
      <c r="C12831" s="135" t="s">
        <v>320</v>
      </c>
      <c r="D12831" s="161" t="s">
        <v>74</v>
      </c>
      <c r="E12831" s="135">
        <f t="shared" si="62"/>
        <v>25</v>
      </c>
      <c r="F12831" s="134" t="s">
        <v>3814</v>
      </c>
      <c r="G12831" s="63" t="str">
        <f>VLOOKUP(C12831, 'Class Def. - General Data'!$C$20:$C$1000,1,false)</f>
        <v>ZSI1_PULLEY</v>
      </c>
      <c r="H12831" s="63" t="str">
        <f>IFERROR(__xludf.DUMMYFUNCTION("VLOOKUP(F12831, IMPORTRANGE(""https://docs.google.com/spreadsheets/d/1Lhp9OU0JdFf_VYSMzH5lBcEaU4o8teT1piV-SNzShjg/edit?gid=554141278#gid=554141278"", ""'Char Def. - Attributes'!C20:C2242""), 1,false)"),"ALT_DENUM_UOM4")</f>
        <v>ALT_DENUM_UOM4</v>
      </c>
      <c r="I12831" s="136"/>
      <c r="R12831" s="63" t="str">
        <f t="shared" si="60"/>
        <v>ZSI1_PULLEYALT_DENUM_UOM4</v>
      </c>
    </row>
    <row r="12832" ht="15.75" customHeight="1">
      <c r="B12832" s="63">
        <f t="shared" si="1"/>
        <v>11</v>
      </c>
      <c r="C12832" s="135" t="s">
        <v>320</v>
      </c>
      <c r="D12832" s="161" t="s">
        <v>74</v>
      </c>
      <c r="E12832" s="135">
        <f t="shared" si="62"/>
        <v>26</v>
      </c>
      <c r="F12832" s="134" t="s">
        <v>3815</v>
      </c>
      <c r="G12832" s="63" t="str">
        <f>VLOOKUP(C12832, 'Class Def. - General Data'!$C$20:$C$1000,1,false)</f>
        <v>ZSI1_PULLEY</v>
      </c>
      <c r="H12832" s="63" t="str">
        <f>IFERROR(__xludf.DUMMYFUNCTION("VLOOKUP(F12832, IMPORTRANGE(""https://docs.google.com/spreadsheets/d/1Lhp9OU0JdFf_VYSMzH5lBcEaU4o8teT1piV-SNzShjg/edit?gid=554141278#gid=554141278"", ""'Char Def. - Attributes'!C20:C2242""), 1,false)"),"ALT_NUM_UOM4")</f>
        <v>ALT_NUM_UOM4</v>
      </c>
      <c r="I12832" s="136"/>
      <c r="R12832" s="63" t="str">
        <f t="shared" si="60"/>
        <v>ZSI1_PULLEYALT_NUM_UOM4</v>
      </c>
    </row>
    <row r="12833" ht="15.75" customHeight="1">
      <c r="B12833" s="63">
        <f t="shared" si="1"/>
        <v>11</v>
      </c>
      <c r="C12833" s="135" t="s">
        <v>320</v>
      </c>
      <c r="D12833" s="161" t="s">
        <v>74</v>
      </c>
      <c r="E12833" s="135">
        <f t="shared" si="62"/>
        <v>27</v>
      </c>
      <c r="F12833" s="134" t="s">
        <v>3816</v>
      </c>
      <c r="G12833" s="63" t="str">
        <f>VLOOKUP(C12833, 'Class Def. - General Data'!$C$20:$C$1000,1,false)</f>
        <v>ZSI1_PULLEY</v>
      </c>
      <c r="H12833" s="63" t="str">
        <f>IFERROR(__xludf.DUMMYFUNCTION("VLOOKUP(F12833, IMPORTRANGE(""https://docs.google.com/spreadsheets/d/1Lhp9OU0JdFf_VYSMzH5lBcEaU4o8teT1piV-SNzShjg/edit?gid=554141278#gid=554141278"", ""'Char Def. - Attributes'!C20:C2242""), 1,false)"),"ALT_UOM5_SIPI")</f>
        <v>ALT_UOM5_SIPI</v>
      </c>
      <c r="I12833" s="136"/>
      <c r="R12833" s="63" t="str">
        <f t="shared" si="60"/>
        <v>ZSI1_PULLEYALT_UOM5_SIPI</v>
      </c>
    </row>
    <row r="12834" ht="15.75" customHeight="1">
      <c r="B12834" s="63">
        <f t="shared" si="1"/>
        <v>11</v>
      </c>
      <c r="C12834" s="135" t="s">
        <v>320</v>
      </c>
      <c r="D12834" s="161" t="s">
        <v>74</v>
      </c>
      <c r="E12834" s="135">
        <f t="shared" si="62"/>
        <v>28</v>
      </c>
      <c r="F12834" s="134" t="s">
        <v>3817</v>
      </c>
      <c r="G12834" s="63" t="str">
        <f>VLOOKUP(C12834, 'Class Def. - General Data'!$C$20:$C$1000,1,false)</f>
        <v>ZSI1_PULLEY</v>
      </c>
      <c r="H12834" s="63" t="str">
        <f>IFERROR(__xludf.DUMMYFUNCTION("VLOOKUP(F12834, IMPORTRANGE(""https://docs.google.com/spreadsheets/d/1Lhp9OU0JdFf_VYSMzH5lBcEaU4o8teT1piV-SNzShjg/edit?gid=554141278#gid=554141278"", ""'Char Def. - Attributes'!C20:C2242""), 1,false)"),"ALT_DENUM_UOM5")</f>
        <v>ALT_DENUM_UOM5</v>
      </c>
      <c r="I12834" s="136"/>
      <c r="R12834" s="63" t="str">
        <f t="shared" si="60"/>
        <v>ZSI1_PULLEYALT_DENUM_UOM5</v>
      </c>
    </row>
    <row r="12835" ht="15.75" customHeight="1">
      <c r="B12835" s="63">
        <f t="shared" si="1"/>
        <v>11</v>
      </c>
      <c r="C12835" s="135" t="s">
        <v>320</v>
      </c>
      <c r="D12835" s="161" t="s">
        <v>74</v>
      </c>
      <c r="E12835" s="135">
        <f t="shared" si="62"/>
        <v>29</v>
      </c>
      <c r="F12835" s="134" t="s">
        <v>3818</v>
      </c>
      <c r="G12835" s="63" t="str">
        <f>VLOOKUP(C12835, 'Class Def. - General Data'!$C$20:$C$1000,1,false)</f>
        <v>ZSI1_PULLEY</v>
      </c>
      <c r="H12835" s="63" t="str">
        <f>IFERROR(__xludf.DUMMYFUNCTION("VLOOKUP(F12835, IMPORTRANGE(""https://docs.google.com/spreadsheets/d/1Lhp9OU0JdFf_VYSMzH5lBcEaU4o8teT1piV-SNzShjg/edit?gid=554141278#gid=554141278"", ""'Char Def. - Attributes'!C20:C2242""), 1,false)"),"ALT_NUM_UOM5")</f>
        <v>ALT_NUM_UOM5</v>
      </c>
      <c r="I12835" s="136"/>
      <c r="R12835" s="63" t="str">
        <f t="shared" si="60"/>
        <v>ZSI1_PULLEYALT_NUM_UOM5</v>
      </c>
    </row>
    <row r="12836" ht="15.75" customHeight="1">
      <c r="B12836" s="63">
        <f t="shared" si="1"/>
        <v>9</v>
      </c>
      <c r="C12836" s="135" t="s">
        <v>319</v>
      </c>
      <c r="D12836" s="161" t="s">
        <v>74</v>
      </c>
      <c r="E12836" s="135">
        <f t="shared" si="62"/>
        <v>1</v>
      </c>
      <c r="F12836" s="134" t="s">
        <v>5265</v>
      </c>
      <c r="G12836" s="63" t="str">
        <f>VLOOKUP(C12836, 'Class Def. - General Data'!$C$20:$C$1000,1,false)</f>
        <v>ZSI1_PUMP</v>
      </c>
      <c r="H12836" s="63" t="str">
        <f>IFERROR(__xludf.DUMMYFUNCTION("VLOOKUP(F12836, IMPORTRANGE(""https://docs.google.com/spreadsheets/d/1Lhp9OU0JdFf_VYSMzH5lBcEaU4o8teT1piV-SNzShjg/edit?gid=554141278#gid=554141278"", ""'Char Def. - Attributes'!C20:C2242""), 1,false)"),"ITEM_NAME_PUMP")</f>
        <v>ITEM_NAME_PUMP</v>
      </c>
      <c r="I12836" s="136"/>
      <c r="R12836" s="63" t="str">
        <f t="shared" si="60"/>
        <v>ZSI1_PUMPITEM_NAME_PUMP</v>
      </c>
    </row>
    <row r="12837" ht="15.75" customHeight="1">
      <c r="B12837" s="63">
        <f t="shared" si="1"/>
        <v>9</v>
      </c>
      <c r="C12837" s="135" t="s">
        <v>319</v>
      </c>
      <c r="D12837" s="161" t="s">
        <v>74</v>
      </c>
      <c r="E12837" s="135">
        <f t="shared" si="62"/>
        <v>2</v>
      </c>
      <c r="F12837" s="134" t="s">
        <v>5266</v>
      </c>
      <c r="G12837" s="63" t="str">
        <f>VLOOKUP(C12837, 'Class Def. - General Data'!$C$20:$C$1000,1,false)</f>
        <v>ZSI1_PUMP</v>
      </c>
      <c r="H12837" s="63" t="str">
        <f>IFERROR(__xludf.DUMMYFUNCTION("VLOOKUP(F12837, IMPORTRANGE(""https://docs.google.com/spreadsheets/d/1Lhp9OU0JdFf_VYSMzH5lBcEaU4o8teT1piV-SNzShjg/edit?gid=554141278#gid=554141278"", ""'Char Def. - Attributes'!C20:C2242""), 1,false)"),"MFR_NO_PUMP")</f>
        <v>MFR_NO_PUMP</v>
      </c>
      <c r="I12837" s="136"/>
      <c r="R12837" s="63" t="str">
        <f t="shared" si="60"/>
        <v>ZSI1_PUMPMFR_NO_PUMP</v>
      </c>
    </row>
    <row r="12838" ht="15.75" customHeight="1">
      <c r="B12838" s="63">
        <f t="shared" si="1"/>
        <v>9</v>
      </c>
      <c r="C12838" s="135" t="s">
        <v>319</v>
      </c>
      <c r="D12838" s="161" t="s">
        <v>74</v>
      </c>
      <c r="E12838" s="135">
        <f t="shared" si="62"/>
        <v>3</v>
      </c>
      <c r="F12838" s="134" t="s">
        <v>3782</v>
      </c>
      <c r="G12838" s="63" t="str">
        <f>VLOOKUP(C12838, 'Class Def. - General Data'!$C$20:$C$1000,1,false)</f>
        <v>ZSI1_PUMP</v>
      </c>
      <c r="H12838" s="63" t="str">
        <f>IFERROR(__xludf.DUMMYFUNCTION("VLOOKUP(F12838, IMPORTRANGE(""https://docs.google.com/spreadsheets/d/1Lhp9OU0JdFf_VYSMzH5lBcEaU4o8teT1piV-SNzShjg/edit?gid=554141278#gid=554141278"", ""'Char Def. - Attributes'!C20:C2242""), 1,false)"),"BRAND_EXTERNAL")</f>
        <v>BRAND_EXTERNAL</v>
      </c>
      <c r="I12838" s="136"/>
      <c r="R12838" s="63" t="str">
        <f t="shared" si="60"/>
        <v>ZSI1_PUMPBRAND_EXTERNAL</v>
      </c>
    </row>
    <row r="12839" ht="15.75" customHeight="1">
      <c r="B12839" s="63">
        <f t="shared" si="1"/>
        <v>9</v>
      </c>
      <c r="C12839" s="135" t="s">
        <v>319</v>
      </c>
      <c r="D12839" s="161" t="s">
        <v>74</v>
      </c>
      <c r="E12839" s="135">
        <f t="shared" si="62"/>
        <v>4</v>
      </c>
      <c r="F12839" s="134" t="s">
        <v>4062</v>
      </c>
      <c r="G12839" s="63" t="str">
        <f>VLOOKUP(C12839, 'Class Def. - General Data'!$C$20:$C$1000,1,false)</f>
        <v>ZSI1_PUMP</v>
      </c>
      <c r="H12839" s="63" t="str">
        <f>IFERROR(__xludf.DUMMYFUNCTION("VLOOKUP(F12839, IMPORTRANGE(""https://docs.google.com/spreadsheets/d/1Lhp9OU0JdFf_VYSMzH5lBcEaU4o8teT1piV-SNzShjg/edit?gid=554141278#gid=554141278"", ""'Char Def. - Attributes'!C20:C2242""), 1,false)"),"#N/A")</f>
        <v>#N/A</v>
      </c>
      <c r="I12839" s="136"/>
      <c r="R12839" s="63" t="str">
        <f t="shared" si="60"/>
        <v>ZSI1_PUMPADDTIONAL_SPECIFICATION</v>
      </c>
    </row>
    <row r="12840" ht="15.75" customHeight="1">
      <c r="B12840" s="63">
        <f t="shared" si="1"/>
        <v>9</v>
      </c>
      <c r="C12840" s="135" t="s">
        <v>319</v>
      </c>
      <c r="D12840" s="161" t="s">
        <v>74</v>
      </c>
      <c r="E12840" s="135">
        <f t="shared" si="62"/>
        <v>5</v>
      </c>
      <c r="F12840" s="134" t="s">
        <v>4053</v>
      </c>
      <c r="G12840" s="63" t="str">
        <f>VLOOKUP(C12840, 'Class Def. - General Data'!$C$20:$C$1000,1,false)</f>
        <v>ZSI1_PUMP</v>
      </c>
      <c r="H12840" s="63" t="str">
        <f>IFERROR(__xludf.DUMMYFUNCTION("VLOOKUP(F12840, IMPORTRANGE(""https://docs.google.com/spreadsheets/d/1Lhp9OU0JdFf_VYSMzH5lBcEaU4o8teT1piV-SNzShjg/edit?gid=554141278#gid=554141278"", ""'Char Def. - Attributes'!C20:C2242""), 1,false)"),"MAINTENANCE_ORDER_TYPE")</f>
        <v>MAINTENANCE_ORDER_TYPE</v>
      </c>
      <c r="I12840" s="136"/>
      <c r="R12840" s="63" t="str">
        <f t="shared" si="60"/>
        <v>ZSI1_PUMPMAINTENANCE_ORDER_TYPE</v>
      </c>
    </row>
    <row r="12841" ht="15.75" customHeight="1">
      <c r="B12841" s="63">
        <f t="shared" si="1"/>
        <v>9</v>
      </c>
      <c r="C12841" s="135" t="s">
        <v>319</v>
      </c>
      <c r="D12841" s="161" t="s">
        <v>74</v>
      </c>
      <c r="E12841" s="135">
        <f t="shared" si="62"/>
        <v>6</v>
      </c>
      <c r="F12841" s="134" t="s">
        <v>3585</v>
      </c>
      <c r="G12841" s="63" t="str">
        <f>VLOOKUP(C12841, 'Class Def. - General Data'!$C$20:$C$1000,1,false)</f>
        <v>ZSI1_PUMP</v>
      </c>
      <c r="H12841" s="63" t="str">
        <f>IFERROR(__xludf.DUMMYFUNCTION("VLOOKUP(F12841, IMPORTRANGE(""https://docs.google.com/spreadsheets/d/1Lhp9OU0JdFf_VYSMzH5lBcEaU4o8teT1piV-SNzShjg/edit?gid=554141278#gid=554141278"", ""'Char Def. - Attributes'!C20:C2242""), 1,false)"),"HS_CODE")</f>
        <v>HS_CODE</v>
      </c>
      <c r="I12841" s="136"/>
      <c r="R12841" s="63" t="str">
        <f t="shared" si="60"/>
        <v>ZSI1_PUMPHS_CODE</v>
      </c>
    </row>
    <row r="12842" ht="15.75" customHeight="1">
      <c r="B12842" s="63">
        <f t="shared" si="1"/>
        <v>9</v>
      </c>
      <c r="C12842" s="135" t="s">
        <v>319</v>
      </c>
      <c r="D12842" s="161" t="s">
        <v>74</v>
      </c>
      <c r="E12842" s="135">
        <f t="shared" si="62"/>
        <v>7</v>
      </c>
      <c r="F12842" s="134" t="s">
        <v>3587</v>
      </c>
      <c r="G12842" s="63" t="str">
        <f>VLOOKUP(C12842, 'Class Def. - General Data'!$C$20:$C$1000,1,false)</f>
        <v>ZSI1_PUMP</v>
      </c>
      <c r="H12842" s="63" t="str">
        <f>IFERROR(__xludf.DUMMYFUNCTION("VLOOKUP(F12842, IMPORTRANGE(""https://docs.google.com/spreadsheets/d/1Lhp9OU0JdFf_VYSMzH5lBcEaU4o8teT1piV-SNzShjg/edit?gid=554141278#gid=554141278"", ""'Char Def. - Attributes'!C20:C2242""), 1,false)"),"PLANT_BUY")</f>
        <v>PLANT_BUY</v>
      </c>
      <c r="I12842" s="136"/>
      <c r="R12842" s="63" t="str">
        <f t="shared" si="60"/>
        <v>ZSI1_PUMPPLANT_BUY</v>
      </c>
    </row>
    <row r="12843" ht="15.75" customHeight="1">
      <c r="B12843" s="63">
        <f t="shared" si="1"/>
        <v>9</v>
      </c>
      <c r="C12843" s="135" t="s">
        <v>319</v>
      </c>
      <c r="D12843" s="161" t="s">
        <v>74</v>
      </c>
      <c r="E12843" s="135">
        <f t="shared" si="62"/>
        <v>8</v>
      </c>
      <c r="F12843" s="134" t="s">
        <v>5267</v>
      </c>
      <c r="G12843" s="63" t="str">
        <f>VLOOKUP(C12843, 'Class Def. - General Data'!$C$20:$C$1000,1,false)</f>
        <v>ZSI1_PUMP</v>
      </c>
      <c r="H12843" s="63" t="str">
        <f>IFERROR(__xludf.DUMMYFUNCTION("VLOOKUP(F12843, IMPORTRANGE(""https://docs.google.com/spreadsheets/d/1Lhp9OU0JdFf_VYSMzH5lBcEaU4o8teT1piV-SNzShjg/edit?gid=554141278#gid=554141278"", ""'Char Def. - Attributes'!C20:C2242""), 1,false)"),"BASE_UOM_PUMP")</f>
        <v>BASE_UOM_PUMP</v>
      </c>
      <c r="I12843" s="136"/>
      <c r="R12843" s="63" t="str">
        <f t="shared" si="60"/>
        <v>ZSI1_PUMPBASE_UOM_PUMP</v>
      </c>
    </row>
    <row r="12844" ht="15.75" customHeight="1">
      <c r="B12844" s="63">
        <f t="shared" si="1"/>
        <v>9</v>
      </c>
      <c r="C12844" s="135" t="s">
        <v>319</v>
      </c>
      <c r="D12844" s="161" t="s">
        <v>74</v>
      </c>
      <c r="E12844" s="135">
        <f t="shared" si="62"/>
        <v>9</v>
      </c>
      <c r="F12844" s="134" t="s">
        <v>5268</v>
      </c>
      <c r="G12844" s="63" t="str">
        <f>VLOOKUP(C12844, 'Class Def. - General Data'!$C$20:$C$1000,1,false)</f>
        <v>ZSI1_PUMP</v>
      </c>
      <c r="H12844" s="63" t="str">
        <f>IFERROR(__xludf.DUMMYFUNCTION("VLOOKUP(F12844, IMPORTRANGE(""https://docs.google.com/spreadsheets/d/1Lhp9OU0JdFf_VYSMzH5lBcEaU4o8teT1piV-SNzShjg/edit?gid=554141278#gid=554141278"", ""'Char Def. - Attributes'!C20:C2242""), 1,false)"),"ORDER_UNIT_PUMP")</f>
        <v>ORDER_UNIT_PUMP</v>
      </c>
      <c r="I12844" s="136"/>
      <c r="R12844" s="63" t="str">
        <f t="shared" si="60"/>
        <v>ZSI1_PUMPORDER_UNIT_PUMP</v>
      </c>
    </row>
    <row r="12845" ht="15.75" customHeight="1">
      <c r="B12845" s="63">
        <f t="shared" si="1"/>
        <v>9</v>
      </c>
      <c r="C12845" s="135" t="s">
        <v>319</v>
      </c>
      <c r="D12845" s="161" t="s">
        <v>74</v>
      </c>
      <c r="E12845" s="135">
        <f t="shared" si="62"/>
        <v>10</v>
      </c>
      <c r="F12845" s="134" t="s">
        <v>4056</v>
      </c>
      <c r="G12845" s="63" t="str">
        <f>VLOOKUP(C12845, 'Class Def. - General Data'!$C$20:$C$1000,1,false)</f>
        <v>ZSI1_PUMP</v>
      </c>
      <c r="H12845" s="63" t="str">
        <f>IFERROR(__xludf.DUMMYFUNCTION("VLOOKUP(F12845, IMPORTRANGE(""https://docs.google.com/spreadsheets/d/1Lhp9OU0JdFf_VYSMzH5lBcEaU4o8teT1piV-SNzShjg/edit?gid=554141278#gid=554141278"", ""'Char Def. - Attributes'!C20:C2242""), 1,false)"),"GROSS_WEIGHT_OPT")</f>
        <v>GROSS_WEIGHT_OPT</v>
      </c>
      <c r="I12845" s="136"/>
      <c r="R12845" s="63" t="str">
        <f t="shared" si="60"/>
        <v>ZSI1_PUMPGROSS_WEIGHT_OPT</v>
      </c>
    </row>
    <row r="12846" ht="15.75" customHeight="1">
      <c r="B12846" s="63">
        <f t="shared" si="1"/>
        <v>9</v>
      </c>
      <c r="C12846" s="135" t="s">
        <v>319</v>
      </c>
      <c r="D12846" s="161" t="s">
        <v>74</v>
      </c>
      <c r="E12846" s="135">
        <f t="shared" si="62"/>
        <v>11</v>
      </c>
      <c r="F12846" s="134" t="s">
        <v>4057</v>
      </c>
      <c r="G12846" s="63" t="str">
        <f>VLOOKUP(C12846, 'Class Def. - General Data'!$C$20:$C$1000,1,false)</f>
        <v>ZSI1_PUMP</v>
      </c>
      <c r="H12846" s="63" t="str">
        <f>IFERROR(__xludf.DUMMYFUNCTION("VLOOKUP(F12846, IMPORTRANGE(""https://docs.google.com/spreadsheets/d/1Lhp9OU0JdFf_VYSMzH5lBcEaU4o8teT1piV-SNzShjg/edit?gid=554141278#gid=554141278"", ""'Char Def. - Attributes'!C20:C2242""), 1,false)"),"NET_WEIGHT_OPT")</f>
        <v>NET_WEIGHT_OPT</v>
      </c>
      <c r="I12846" s="136"/>
      <c r="R12846" s="63" t="str">
        <f t="shared" si="60"/>
        <v>ZSI1_PUMPNET_WEIGHT_OPT</v>
      </c>
    </row>
    <row r="12847" ht="15.75" customHeight="1">
      <c r="B12847" s="63">
        <f t="shared" si="1"/>
        <v>9</v>
      </c>
      <c r="C12847" s="135" t="s">
        <v>319</v>
      </c>
      <c r="D12847" s="161" t="s">
        <v>74</v>
      </c>
      <c r="E12847" s="135">
        <f t="shared" si="62"/>
        <v>12</v>
      </c>
      <c r="F12847" s="134" t="s">
        <v>4058</v>
      </c>
      <c r="G12847" s="63" t="str">
        <f>VLOOKUP(C12847, 'Class Def. - General Data'!$C$20:$C$1000,1,false)</f>
        <v>ZSI1_PUMP</v>
      </c>
      <c r="H12847" s="63" t="str">
        <f>IFERROR(__xludf.DUMMYFUNCTION("VLOOKUP(F12847, IMPORTRANGE(""https://docs.google.com/spreadsheets/d/1Lhp9OU0JdFf_VYSMzH5lBcEaU4o8teT1piV-SNzShjg/edit?gid=554141278#gid=554141278"", ""'Char Def. - Attributes'!C20:C2242""), 1,false)"),"WEIGHT_UNIT_SI")</f>
        <v>WEIGHT_UNIT_SI</v>
      </c>
      <c r="I12847" s="136"/>
      <c r="R12847" s="63" t="str">
        <f t="shared" si="60"/>
        <v>ZSI1_PUMPWEIGHT_UNIT_SI</v>
      </c>
    </row>
    <row r="12848" ht="15.75" customHeight="1">
      <c r="B12848" s="63">
        <f t="shared" si="1"/>
        <v>9</v>
      </c>
      <c r="C12848" s="135" t="s">
        <v>319</v>
      </c>
      <c r="D12848" s="161" t="s">
        <v>74</v>
      </c>
      <c r="E12848" s="135">
        <f t="shared" si="62"/>
        <v>13</v>
      </c>
      <c r="F12848" s="134" t="s">
        <v>3877</v>
      </c>
      <c r="G12848" s="63" t="str">
        <f>VLOOKUP(C12848, 'Class Def. - General Data'!$C$20:$C$1000,1,false)</f>
        <v>ZSI1_PUMP</v>
      </c>
      <c r="H12848" s="63" t="str">
        <f>IFERROR(__xludf.DUMMYFUNCTION("VLOOKUP(F12848, IMPORTRANGE(""https://docs.google.com/spreadsheets/d/1Lhp9OU0JdFf_VYSMzH5lBcEaU4o8teT1piV-SNzShjg/edit?gid=554141278#gid=554141278"", ""'Char Def. - Attributes'!C20:C2242""), 1,false)"),"VOLUME_OPT")</f>
        <v>VOLUME_OPT</v>
      </c>
      <c r="I12848" s="136"/>
      <c r="R12848" s="63" t="str">
        <f t="shared" si="60"/>
        <v>ZSI1_PUMPVOLUME_OPT</v>
      </c>
    </row>
    <row r="12849" ht="15.75" customHeight="1">
      <c r="B12849" s="63">
        <f t="shared" si="1"/>
        <v>9</v>
      </c>
      <c r="C12849" s="135" t="s">
        <v>319</v>
      </c>
      <c r="D12849" s="161" t="s">
        <v>74</v>
      </c>
      <c r="E12849" s="135">
        <f t="shared" si="62"/>
        <v>14</v>
      </c>
      <c r="F12849" s="134" t="s">
        <v>4059</v>
      </c>
      <c r="G12849" s="63" t="str">
        <f>VLOOKUP(C12849, 'Class Def. - General Data'!$C$20:$C$1000,1,false)</f>
        <v>ZSI1_PUMP</v>
      </c>
      <c r="H12849" s="63" t="str">
        <f>IFERROR(__xludf.DUMMYFUNCTION("VLOOKUP(F12849, IMPORTRANGE(""https://docs.google.com/spreadsheets/d/1Lhp9OU0JdFf_VYSMzH5lBcEaU4o8teT1piV-SNzShjg/edit?gid=554141278#gid=554141278"", ""'Char Def. - Attributes'!C20:C2242""), 1,false)"),"VOLUME_UNIT_SI")</f>
        <v>VOLUME_UNIT_SI</v>
      </c>
      <c r="I12849" s="136"/>
      <c r="R12849" s="63" t="str">
        <f t="shared" si="60"/>
        <v>ZSI1_PUMPVOLUME_UNIT_SI</v>
      </c>
    </row>
    <row r="12850" ht="15.75" customHeight="1">
      <c r="B12850" s="63">
        <f t="shared" si="1"/>
        <v>9</v>
      </c>
      <c r="C12850" s="135" t="s">
        <v>319</v>
      </c>
      <c r="D12850" s="161" t="s">
        <v>74</v>
      </c>
      <c r="E12850" s="135">
        <f t="shared" si="62"/>
        <v>15</v>
      </c>
      <c r="F12850" s="134" t="s">
        <v>3804</v>
      </c>
      <c r="G12850" s="63" t="str">
        <f>VLOOKUP(C12850, 'Class Def. - General Data'!$C$20:$C$1000,1,false)</f>
        <v>ZSI1_PUMP</v>
      </c>
      <c r="H12850" s="63" t="str">
        <f>IFERROR(__xludf.DUMMYFUNCTION("VLOOKUP(F12850, IMPORTRANGE(""https://docs.google.com/spreadsheets/d/1Lhp9OU0JdFf_VYSMzH5lBcEaU4o8teT1piV-SNzShjg/edit?gid=554141278#gid=554141278"", ""'Char Def. - Attributes'!C20:C2242""), 1,false)"),"ALT_UOM1_SIPI")</f>
        <v>ALT_UOM1_SIPI</v>
      </c>
      <c r="I12850" s="136"/>
      <c r="R12850" s="63" t="str">
        <f t="shared" si="60"/>
        <v>ZSI1_PUMPALT_UOM1_SIPI</v>
      </c>
    </row>
    <row r="12851" ht="15.75" customHeight="1">
      <c r="B12851" s="63">
        <f t="shared" si="1"/>
        <v>9</v>
      </c>
      <c r="C12851" s="135" t="s">
        <v>319</v>
      </c>
      <c r="D12851" s="161" t="s">
        <v>74</v>
      </c>
      <c r="E12851" s="135">
        <f t="shared" si="62"/>
        <v>16</v>
      </c>
      <c r="F12851" s="134" t="s">
        <v>3805</v>
      </c>
      <c r="G12851" s="63" t="str">
        <f>VLOOKUP(C12851, 'Class Def. - General Data'!$C$20:$C$1000,1,false)</f>
        <v>ZSI1_PUMP</v>
      </c>
      <c r="H12851" s="63" t="str">
        <f>IFERROR(__xludf.DUMMYFUNCTION("VLOOKUP(F12851, IMPORTRANGE(""https://docs.google.com/spreadsheets/d/1Lhp9OU0JdFf_VYSMzH5lBcEaU4o8teT1piV-SNzShjg/edit?gid=554141278#gid=554141278"", ""'Char Def. - Attributes'!C20:C2242""), 1,false)"),"ALT_DENUM_UOM1")</f>
        <v>ALT_DENUM_UOM1</v>
      </c>
      <c r="I12851" s="136"/>
      <c r="R12851" s="63" t="str">
        <f t="shared" si="60"/>
        <v>ZSI1_PUMPALT_DENUM_UOM1</v>
      </c>
    </row>
    <row r="12852" ht="15.75" customHeight="1">
      <c r="B12852" s="63">
        <f t="shared" si="1"/>
        <v>9</v>
      </c>
      <c r="C12852" s="135" t="s">
        <v>319</v>
      </c>
      <c r="D12852" s="161" t="s">
        <v>74</v>
      </c>
      <c r="E12852" s="135">
        <f t="shared" si="62"/>
        <v>17</v>
      </c>
      <c r="F12852" s="134" t="s">
        <v>3806</v>
      </c>
      <c r="G12852" s="63" t="str">
        <f>VLOOKUP(C12852, 'Class Def. - General Data'!$C$20:$C$1000,1,false)</f>
        <v>ZSI1_PUMP</v>
      </c>
      <c r="H12852" s="63" t="str">
        <f>IFERROR(__xludf.DUMMYFUNCTION("VLOOKUP(F12852, IMPORTRANGE(""https://docs.google.com/spreadsheets/d/1Lhp9OU0JdFf_VYSMzH5lBcEaU4o8teT1piV-SNzShjg/edit?gid=554141278#gid=554141278"", ""'Char Def. - Attributes'!C20:C2242""), 1,false)"),"ALT_NUM_UOM1")</f>
        <v>ALT_NUM_UOM1</v>
      </c>
      <c r="I12852" s="136"/>
      <c r="R12852" s="63" t="str">
        <f t="shared" si="60"/>
        <v>ZSI1_PUMPALT_NUM_UOM1</v>
      </c>
    </row>
    <row r="12853" ht="15.75" customHeight="1">
      <c r="B12853" s="63">
        <f t="shared" si="1"/>
        <v>9</v>
      </c>
      <c r="C12853" s="135" t="s">
        <v>319</v>
      </c>
      <c r="D12853" s="161" t="s">
        <v>74</v>
      </c>
      <c r="E12853" s="135">
        <f t="shared" si="62"/>
        <v>18</v>
      </c>
      <c r="F12853" s="134" t="s">
        <v>3807</v>
      </c>
      <c r="G12853" s="63" t="str">
        <f>VLOOKUP(C12853, 'Class Def. - General Data'!$C$20:$C$1000,1,false)</f>
        <v>ZSI1_PUMP</v>
      </c>
      <c r="H12853" s="63" t="str">
        <f>IFERROR(__xludf.DUMMYFUNCTION("VLOOKUP(F12853, IMPORTRANGE(""https://docs.google.com/spreadsheets/d/1Lhp9OU0JdFf_VYSMzH5lBcEaU4o8teT1piV-SNzShjg/edit?gid=554141278#gid=554141278"", ""'Char Def. - Attributes'!C20:C2242""), 1,false)"),"ALT_UOM2_SIPI")</f>
        <v>ALT_UOM2_SIPI</v>
      </c>
      <c r="I12853" s="136"/>
      <c r="R12853" s="63" t="str">
        <f t="shared" si="60"/>
        <v>ZSI1_PUMPALT_UOM2_SIPI</v>
      </c>
    </row>
    <row r="12854" ht="15.75" customHeight="1">
      <c r="B12854" s="63">
        <f t="shared" si="1"/>
        <v>9</v>
      </c>
      <c r="C12854" s="135" t="s">
        <v>319</v>
      </c>
      <c r="D12854" s="161" t="s">
        <v>74</v>
      </c>
      <c r="E12854" s="135">
        <f t="shared" si="62"/>
        <v>19</v>
      </c>
      <c r="F12854" s="134" t="s">
        <v>3808</v>
      </c>
      <c r="G12854" s="63" t="str">
        <f>VLOOKUP(C12854, 'Class Def. - General Data'!$C$20:$C$1000,1,false)</f>
        <v>ZSI1_PUMP</v>
      </c>
      <c r="H12854" s="63" t="str">
        <f>IFERROR(__xludf.DUMMYFUNCTION("VLOOKUP(F12854, IMPORTRANGE(""https://docs.google.com/spreadsheets/d/1Lhp9OU0JdFf_VYSMzH5lBcEaU4o8teT1piV-SNzShjg/edit?gid=554141278#gid=554141278"", ""'Char Def. - Attributes'!C20:C2242""), 1,false)"),"ALT_DENUM_UOM2")</f>
        <v>ALT_DENUM_UOM2</v>
      </c>
      <c r="I12854" s="136"/>
      <c r="R12854" s="63" t="str">
        <f t="shared" si="60"/>
        <v>ZSI1_PUMPALT_DENUM_UOM2</v>
      </c>
    </row>
    <row r="12855" ht="15.75" customHeight="1">
      <c r="B12855" s="63">
        <f t="shared" si="1"/>
        <v>9</v>
      </c>
      <c r="C12855" s="135" t="s">
        <v>319</v>
      </c>
      <c r="D12855" s="161" t="s">
        <v>74</v>
      </c>
      <c r="E12855" s="135">
        <f t="shared" si="62"/>
        <v>20</v>
      </c>
      <c r="F12855" s="134" t="s">
        <v>3809</v>
      </c>
      <c r="G12855" s="63" t="str">
        <f>VLOOKUP(C12855, 'Class Def. - General Data'!$C$20:$C$1000,1,false)</f>
        <v>ZSI1_PUMP</v>
      </c>
      <c r="H12855" s="63" t="str">
        <f>IFERROR(__xludf.DUMMYFUNCTION("VLOOKUP(F12855, IMPORTRANGE(""https://docs.google.com/spreadsheets/d/1Lhp9OU0JdFf_VYSMzH5lBcEaU4o8teT1piV-SNzShjg/edit?gid=554141278#gid=554141278"", ""'Char Def. - Attributes'!C20:C2242""), 1,false)"),"ALT_NUM_UOM2")</f>
        <v>ALT_NUM_UOM2</v>
      </c>
      <c r="I12855" s="136"/>
      <c r="R12855" s="63" t="str">
        <f t="shared" si="60"/>
        <v>ZSI1_PUMPALT_NUM_UOM2</v>
      </c>
    </row>
    <row r="12856" ht="15.75" customHeight="1">
      <c r="B12856" s="63">
        <f t="shared" si="1"/>
        <v>9</v>
      </c>
      <c r="C12856" s="135" t="s">
        <v>319</v>
      </c>
      <c r="D12856" s="161" t="s">
        <v>74</v>
      </c>
      <c r="E12856" s="135">
        <f t="shared" si="62"/>
        <v>21</v>
      </c>
      <c r="F12856" s="134" t="s">
        <v>3810</v>
      </c>
      <c r="G12856" s="63" t="str">
        <f>VLOOKUP(C12856, 'Class Def. - General Data'!$C$20:$C$1000,1,false)</f>
        <v>ZSI1_PUMP</v>
      </c>
      <c r="H12856" s="63" t="str">
        <f>IFERROR(__xludf.DUMMYFUNCTION("VLOOKUP(F12856, IMPORTRANGE(""https://docs.google.com/spreadsheets/d/1Lhp9OU0JdFf_VYSMzH5lBcEaU4o8teT1piV-SNzShjg/edit?gid=554141278#gid=554141278"", ""'Char Def. - Attributes'!C20:C2242""), 1,false)"),"ALT_UOM3_SIPI")</f>
        <v>ALT_UOM3_SIPI</v>
      </c>
      <c r="I12856" s="136"/>
      <c r="R12856" s="63" t="str">
        <f t="shared" si="60"/>
        <v>ZSI1_PUMPALT_UOM3_SIPI</v>
      </c>
    </row>
    <row r="12857" ht="15.75" customHeight="1">
      <c r="B12857" s="63">
        <f t="shared" si="1"/>
        <v>9</v>
      </c>
      <c r="C12857" s="135" t="s">
        <v>319</v>
      </c>
      <c r="D12857" s="161" t="s">
        <v>74</v>
      </c>
      <c r="E12857" s="135">
        <f t="shared" si="62"/>
        <v>22</v>
      </c>
      <c r="F12857" s="134" t="s">
        <v>3811</v>
      </c>
      <c r="G12857" s="63" t="str">
        <f>VLOOKUP(C12857, 'Class Def. - General Data'!$C$20:$C$1000,1,false)</f>
        <v>ZSI1_PUMP</v>
      </c>
      <c r="H12857" s="63" t="str">
        <f>IFERROR(__xludf.DUMMYFUNCTION("VLOOKUP(F12857, IMPORTRANGE(""https://docs.google.com/spreadsheets/d/1Lhp9OU0JdFf_VYSMzH5lBcEaU4o8teT1piV-SNzShjg/edit?gid=554141278#gid=554141278"", ""'Char Def. - Attributes'!C20:C2242""), 1,false)"),"ALT_DENUM_UOM3")</f>
        <v>ALT_DENUM_UOM3</v>
      </c>
      <c r="I12857" s="136"/>
      <c r="R12857" s="63" t="str">
        <f t="shared" si="60"/>
        <v>ZSI1_PUMPALT_DENUM_UOM3</v>
      </c>
    </row>
    <row r="12858" ht="15.75" customHeight="1">
      <c r="B12858" s="63">
        <f t="shared" si="1"/>
        <v>9</v>
      </c>
      <c r="C12858" s="135" t="s">
        <v>319</v>
      </c>
      <c r="D12858" s="161" t="s">
        <v>74</v>
      </c>
      <c r="E12858" s="135">
        <f t="shared" si="62"/>
        <v>23</v>
      </c>
      <c r="F12858" s="134" t="s">
        <v>3812</v>
      </c>
      <c r="G12858" s="63" t="str">
        <f>VLOOKUP(C12858, 'Class Def. - General Data'!$C$20:$C$1000,1,false)</f>
        <v>ZSI1_PUMP</v>
      </c>
      <c r="H12858" s="63" t="str">
        <f>IFERROR(__xludf.DUMMYFUNCTION("VLOOKUP(F12858, IMPORTRANGE(""https://docs.google.com/spreadsheets/d/1Lhp9OU0JdFf_VYSMzH5lBcEaU4o8teT1piV-SNzShjg/edit?gid=554141278#gid=554141278"", ""'Char Def. - Attributes'!C20:C2242""), 1,false)"),"ALT_NUM_UOM3")</f>
        <v>ALT_NUM_UOM3</v>
      </c>
      <c r="I12858" s="136"/>
      <c r="R12858" s="63" t="str">
        <f t="shared" si="60"/>
        <v>ZSI1_PUMPALT_NUM_UOM3</v>
      </c>
    </row>
    <row r="12859" ht="15.75" customHeight="1">
      <c r="B12859" s="63">
        <f t="shared" si="1"/>
        <v>9</v>
      </c>
      <c r="C12859" s="135" t="s">
        <v>319</v>
      </c>
      <c r="D12859" s="161" t="s">
        <v>74</v>
      </c>
      <c r="E12859" s="135">
        <f t="shared" si="62"/>
        <v>24</v>
      </c>
      <c r="F12859" s="134" t="s">
        <v>3813</v>
      </c>
      <c r="G12859" s="63" t="str">
        <f>VLOOKUP(C12859, 'Class Def. - General Data'!$C$20:$C$1000,1,false)</f>
        <v>ZSI1_PUMP</v>
      </c>
      <c r="H12859" s="63" t="str">
        <f>IFERROR(__xludf.DUMMYFUNCTION("VLOOKUP(F12859, IMPORTRANGE(""https://docs.google.com/spreadsheets/d/1Lhp9OU0JdFf_VYSMzH5lBcEaU4o8teT1piV-SNzShjg/edit?gid=554141278#gid=554141278"", ""'Char Def. - Attributes'!C20:C2242""), 1,false)"),"ALT_UOM4_SIPI")</f>
        <v>ALT_UOM4_SIPI</v>
      </c>
      <c r="I12859" s="136"/>
      <c r="R12859" s="63" t="str">
        <f t="shared" si="60"/>
        <v>ZSI1_PUMPALT_UOM4_SIPI</v>
      </c>
    </row>
    <row r="12860" ht="15.75" customHeight="1">
      <c r="B12860" s="63">
        <f t="shared" si="1"/>
        <v>9</v>
      </c>
      <c r="C12860" s="135" t="s">
        <v>319</v>
      </c>
      <c r="D12860" s="161" t="s">
        <v>74</v>
      </c>
      <c r="E12860" s="135">
        <f t="shared" si="62"/>
        <v>25</v>
      </c>
      <c r="F12860" s="134" t="s">
        <v>3814</v>
      </c>
      <c r="G12860" s="63" t="str">
        <f>VLOOKUP(C12860, 'Class Def. - General Data'!$C$20:$C$1000,1,false)</f>
        <v>ZSI1_PUMP</v>
      </c>
      <c r="H12860" s="63" t="str">
        <f>IFERROR(__xludf.DUMMYFUNCTION("VLOOKUP(F12860, IMPORTRANGE(""https://docs.google.com/spreadsheets/d/1Lhp9OU0JdFf_VYSMzH5lBcEaU4o8teT1piV-SNzShjg/edit?gid=554141278#gid=554141278"", ""'Char Def. - Attributes'!C20:C2242""), 1,false)"),"ALT_DENUM_UOM4")</f>
        <v>ALT_DENUM_UOM4</v>
      </c>
      <c r="I12860" s="136"/>
      <c r="R12860" s="63" t="str">
        <f t="shared" si="60"/>
        <v>ZSI1_PUMPALT_DENUM_UOM4</v>
      </c>
    </row>
    <row r="12861" ht="15.75" customHeight="1">
      <c r="B12861" s="63">
        <f t="shared" si="1"/>
        <v>9</v>
      </c>
      <c r="C12861" s="135" t="s">
        <v>319</v>
      </c>
      <c r="D12861" s="161" t="s">
        <v>74</v>
      </c>
      <c r="E12861" s="135">
        <f t="shared" si="62"/>
        <v>26</v>
      </c>
      <c r="F12861" s="134" t="s">
        <v>3815</v>
      </c>
      <c r="G12861" s="63" t="str">
        <f>VLOOKUP(C12861, 'Class Def. - General Data'!$C$20:$C$1000,1,false)</f>
        <v>ZSI1_PUMP</v>
      </c>
      <c r="H12861" s="63" t="str">
        <f>IFERROR(__xludf.DUMMYFUNCTION("VLOOKUP(F12861, IMPORTRANGE(""https://docs.google.com/spreadsheets/d/1Lhp9OU0JdFf_VYSMzH5lBcEaU4o8teT1piV-SNzShjg/edit?gid=554141278#gid=554141278"", ""'Char Def. - Attributes'!C20:C2242""), 1,false)"),"ALT_NUM_UOM4")</f>
        <v>ALT_NUM_UOM4</v>
      </c>
      <c r="I12861" s="136"/>
      <c r="R12861" s="63" t="str">
        <f t="shared" si="60"/>
        <v>ZSI1_PUMPALT_NUM_UOM4</v>
      </c>
    </row>
    <row r="12862" ht="15.75" customHeight="1">
      <c r="B12862" s="63">
        <f t="shared" si="1"/>
        <v>9</v>
      </c>
      <c r="C12862" s="135" t="s">
        <v>319</v>
      </c>
      <c r="D12862" s="161" t="s">
        <v>74</v>
      </c>
      <c r="E12862" s="135">
        <f t="shared" si="62"/>
        <v>27</v>
      </c>
      <c r="F12862" s="134" t="s">
        <v>3816</v>
      </c>
      <c r="G12862" s="63" t="str">
        <f>VLOOKUP(C12862, 'Class Def. - General Data'!$C$20:$C$1000,1,false)</f>
        <v>ZSI1_PUMP</v>
      </c>
      <c r="H12862" s="63" t="str">
        <f>IFERROR(__xludf.DUMMYFUNCTION("VLOOKUP(F12862, IMPORTRANGE(""https://docs.google.com/spreadsheets/d/1Lhp9OU0JdFf_VYSMzH5lBcEaU4o8teT1piV-SNzShjg/edit?gid=554141278#gid=554141278"", ""'Char Def. - Attributes'!C20:C2242""), 1,false)"),"ALT_UOM5_SIPI")</f>
        <v>ALT_UOM5_SIPI</v>
      </c>
      <c r="I12862" s="136"/>
      <c r="R12862" s="63" t="str">
        <f t="shared" si="60"/>
        <v>ZSI1_PUMPALT_UOM5_SIPI</v>
      </c>
    </row>
    <row r="12863" ht="15.75" customHeight="1">
      <c r="B12863" s="63">
        <f t="shared" si="1"/>
        <v>9</v>
      </c>
      <c r="C12863" s="135" t="s">
        <v>319</v>
      </c>
      <c r="D12863" s="161" t="s">
        <v>74</v>
      </c>
      <c r="E12863" s="135">
        <f t="shared" si="62"/>
        <v>28</v>
      </c>
      <c r="F12863" s="134" t="s">
        <v>3817</v>
      </c>
      <c r="G12863" s="63" t="str">
        <f>VLOOKUP(C12863, 'Class Def. - General Data'!$C$20:$C$1000,1,false)</f>
        <v>ZSI1_PUMP</v>
      </c>
      <c r="H12863" s="63" t="str">
        <f>IFERROR(__xludf.DUMMYFUNCTION("VLOOKUP(F12863, IMPORTRANGE(""https://docs.google.com/spreadsheets/d/1Lhp9OU0JdFf_VYSMzH5lBcEaU4o8teT1piV-SNzShjg/edit?gid=554141278#gid=554141278"", ""'Char Def. - Attributes'!C20:C2242""), 1,false)"),"ALT_DENUM_UOM5")</f>
        <v>ALT_DENUM_UOM5</v>
      </c>
      <c r="I12863" s="136"/>
      <c r="R12863" s="63" t="str">
        <f t="shared" si="60"/>
        <v>ZSI1_PUMPALT_DENUM_UOM5</v>
      </c>
    </row>
    <row r="12864" ht="15.75" customHeight="1">
      <c r="B12864" s="63">
        <f t="shared" si="1"/>
        <v>9</v>
      </c>
      <c r="C12864" s="135" t="s">
        <v>319</v>
      </c>
      <c r="D12864" s="161" t="s">
        <v>74</v>
      </c>
      <c r="E12864" s="135">
        <f t="shared" si="62"/>
        <v>29</v>
      </c>
      <c r="F12864" s="134" t="s">
        <v>3818</v>
      </c>
      <c r="G12864" s="63" t="str">
        <f>VLOOKUP(C12864, 'Class Def. - General Data'!$C$20:$C$1000,1,false)</f>
        <v>ZSI1_PUMP</v>
      </c>
      <c r="H12864" s="63" t="str">
        <f>IFERROR(__xludf.DUMMYFUNCTION("VLOOKUP(F12864, IMPORTRANGE(""https://docs.google.com/spreadsheets/d/1Lhp9OU0JdFf_VYSMzH5lBcEaU4o8teT1piV-SNzShjg/edit?gid=554141278#gid=554141278"", ""'Char Def. - Attributes'!C20:C2242""), 1,false)"),"ALT_NUM_UOM5")</f>
        <v>ALT_NUM_UOM5</v>
      </c>
      <c r="I12864" s="136"/>
      <c r="R12864" s="63" t="str">
        <f t="shared" si="60"/>
        <v>ZSI1_PUMPALT_NUM_UOM5</v>
      </c>
    </row>
    <row r="12865" ht="15.75" customHeight="1">
      <c r="B12865" s="63">
        <f t="shared" si="1"/>
        <v>10</v>
      </c>
      <c r="C12865" s="75" t="s">
        <v>5269</v>
      </c>
      <c r="D12865" s="161" t="s">
        <v>74</v>
      </c>
      <c r="E12865" s="135">
        <f t="shared" si="62"/>
        <v>1</v>
      </c>
      <c r="F12865" s="134" t="s">
        <v>5270</v>
      </c>
      <c r="G12865" s="63" t="str">
        <f>VLOOKUP(C12865, 'Class Def. - General Data'!$C$20:$C$1000,1,false)</f>
        <v>#N/A</v>
      </c>
      <c r="H12865" s="63" t="str">
        <f>IFERROR(__xludf.DUMMYFUNCTION("VLOOKUP(F12865, IMPORTRANGE(""https://docs.google.com/spreadsheets/d/1Lhp9OU0JdFf_VYSMzH5lBcEaU4o8teT1piV-SNzShjg/edit?gid=554141278#gid=554141278"", ""'Char Def. - Attributes'!C20:C2242""), 1,false)"),"#N/A")</f>
        <v>#N/A</v>
      </c>
      <c r="I12865" s="136"/>
      <c r="R12865" s="63" t="str">
        <f t="shared" si="60"/>
        <v>ZSI1_PUPUKITEM_NAME_PUPUK</v>
      </c>
    </row>
    <row r="12866" ht="15.75" customHeight="1">
      <c r="B12866" s="63">
        <f t="shared" si="1"/>
        <v>10</v>
      </c>
      <c r="C12866" s="75" t="s">
        <v>5269</v>
      </c>
      <c r="D12866" s="161" t="s">
        <v>74</v>
      </c>
      <c r="E12866" s="135">
        <f t="shared" si="62"/>
        <v>2</v>
      </c>
      <c r="F12866" s="134" t="s">
        <v>3781</v>
      </c>
      <c r="G12866" s="63" t="str">
        <f>VLOOKUP(C12866, 'Class Def. - General Data'!$C$20:$C$1000,1,false)</f>
        <v>#N/A</v>
      </c>
      <c r="H12866" s="63" t="str">
        <f>IFERROR(__xludf.DUMMYFUNCTION("VLOOKUP(F12866, IMPORTRANGE(""https://docs.google.com/spreadsheets/d/1Lhp9OU0JdFf_VYSMzH5lBcEaU4o8teT1piV-SNzShjg/edit?gid=554141278#gid=554141278"", ""'Char Def. - Attributes'!C20:C2242""), 1,false)"),"EXTERNAL_BRAND")</f>
        <v>EXTERNAL_BRAND</v>
      </c>
      <c r="I12866" s="136"/>
      <c r="R12866" s="63" t="str">
        <f t="shared" si="60"/>
        <v>ZSI1_PUPUKEXTERNAL_BRAND</v>
      </c>
    </row>
    <row r="12867" ht="15.75" customHeight="1">
      <c r="B12867" s="63">
        <f t="shared" si="1"/>
        <v>10</v>
      </c>
      <c r="C12867" s="75" t="s">
        <v>5269</v>
      </c>
      <c r="D12867" s="161" t="s">
        <v>74</v>
      </c>
      <c r="E12867" s="135">
        <f t="shared" si="62"/>
        <v>3</v>
      </c>
      <c r="F12867" s="134" t="s">
        <v>5271</v>
      </c>
      <c r="G12867" s="63" t="str">
        <f>VLOOKUP(C12867, 'Class Def. - General Data'!$C$20:$C$1000,1,false)</f>
        <v>#N/A</v>
      </c>
      <c r="H12867" s="63" t="str">
        <f>IFERROR(__xludf.DUMMYFUNCTION("VLOOKUP(F12867, IMPORTRANGE(""https://docs.google.com/spreadsheets/d/1Lhp9OU0JdFf_VYSMzH5lBcEaU4o8teT1piV-SNzShjg/edit?gid=554141278#gid=554141278"", ""'Char Def. - Attributes'!C20:C2242""), 1,false)"),"#N/A")</f>
        <v>#N/A</v>
      </c>
      <c r="I12867" s="136"/>
      <c r="R12867" s="63" t="str">
        <f t="shared" si="60"/>
        <v>ZSI1_PUPUKTYPE_PUPUK</v>
      </c>
    </row>
    <row r="12868" ht="15.75" customHeight="1">
      <c r="B12868" s="63">
        <f t="shared" si="1"/>
        <v>10</v>
      </c>
      <c r="C12868" s="75" t="s">
        <v>5269</v>
      </c>
      <c r="D12868" s="161" t="s">
        <v>74</v>
      </c>
      <c r="E12868" s="135">
        <f t="shared" si="62"/>
        <v>4</v>
      </c>
      <c r="F12868" s="134" t="s">
        <v>5272</v>
      </c>
      <c r="G12868" s="63" t="str">
        <f>VLOOKUP(C12868, 'Class Def. - General Data'!$C$20:$C$1000,1,false)</f>
        <v>#N/A</v>
      </c>
      <c r="H12868" s="63" t="str">
        <f>IFERROR(__xludf.DUMMYFUNCTION("VLOOKUP(F12868, IMPORTRANGE(""https://docs.google.com/spreadsheets/d/1Lhp9OU0JdFf_VYSMzH5lBcEaU4o8teT1piV-SNzShjg/edit?gid=554141278#gid=554141278"", ""'Char Def. - Attributes'!C20:C2242""), 1,false)"),"#N/A")</f>
        <v>#N/A</v>
      </c>
      <c r="I12868" s="136"/>
      <c r="R12868" s="63" t="str">
        <f t="shared" si="60"/>
        <v>ZSI1_PUPUKBRAND_PUPUK</v>
      </c>
    </row>
    <row r="12869" ht="15.75" customHeight="1">
      <c r="B12869" s="63">
        <f t="shared" si="1"/>
        <v>10</v>
      </c>
      <c r="C12869" s="75" t="s">
        <v>5269</v>
      </c>
      <c r="D12869" s="161" t="s">
        <v>74</v>
      </c>
      <c r="E12869" s="135">
        <f t="shared" si="62"/>
        <v>5</v>
      </c>
      <c r="F12869" s="134" t="s">
        <v>5273</v>
      </c>
      <c r="G12869" s="63" t="str">
        <f>VLOOKUP(C12869, 'Class Def. - General Data'!$C$20:$C$1000,1,false)</f>
        <v>#N/A</v>
      </c>
      <c r="H12869" s="63" t="str">
        <f>IFERROR(__xludf.DUMMYFUNCTION("VLOOKUP(F12869, IMPORTRANGE(""https://docs.google.com/spreadsheets/d/1Lhp9OU0JdFf_VYSMzH5lBcEaU4o8teT1piV-SNzShjg/edit?gid=554141278#gid=554141278"", ""'Char Def. - Attributes'!C20:C2242""), 1,false)"),"#N/A")</f>
        <v>#N/A</v>
      </c>
      <c r="I12869" s="136"/>
      <c r="R12869" s="63" t="str">
        <f t="shared" si="60"/>
        <v>ZSI1_PUPUKDIMENSI_SIZE_PUPUK</v>
      </c>
    </row>
    <row r="12870" ht="15.75" customHeight="1">
      <c r="B12870" s="63">
        <f t="shared" si="1"/>
        <v>10</v>
      </c>
      <c r="C12870" s="75" t="s">
        <v>5269</v>
      </c>
      <c r="D12870" s="161" t="s">
        <v>74</v>
      </c>
      <c r="E12870" s="135">
        <f t="shared" si="62"/>
        <v>6</v>
      </c>
      <c r="F12870" s="134" t="s">
        <v>5274</v>
      </c>
      <c r="G12870" s="63" t="str">
        <f>VLOOKUP(C12870, 'Class Def. - General Data'!$C$20:$C$1000,1,false)</f>
        <v>#N/A</v>
      </c>
      <c r="H12870" s="63" t="str">
        <f>IFERROR(__xludf.DUMMYFUNCTION("VLOOKUP(F12870, IMPORTRANGE(""https://docs.google.com/spreadsheets/d/1Lhp9OU0JdFf_VYSMzH5lBcEaU4o8teT1piV-SNzShjg/edit?gid=554141278#gid=554141278"", ""'Char Def. - Attributes'!C20:C2242""), 1,false)"),"#N/A")</f>
        <v>#N/A</v>
      </c>
      <c r="I12870" s="136"/>
      <c r="R12870" s="63" t="str">
        <f t="shared" si="60"/>
        <v>ZSI1_PUPUKSIZE_PUPUK</v>
      </c>
    </row>
    <row r="12871" ht="15.75" customHeight="1">
      <c r="B12871" s="63">
        <f t="shared" si="1"/>
        <v>10</v>
      </c>
      <c r="C12871" s="75" t="s">
        <v>5269</v>
      </c>
      <c r="D12871" s="161" t="s">
        <v>74</v>
      </c>
      <c r="E12871" s="135">
        <f t="shared" si="62"/>
        <v>7</v>
      </c>
      <c r="F12871" s="134" t="s">
        <v>3585</v>
      </c>
      <c r="G12871" s="63" t="str">
        <f>VLOOKUP(C12871, 'Class Def. - General Data'!$C$20:$C$1000,1,false)</f>
        <v>#N/A</v>
      </c>
      <c r="H12871" s="63" t="str">
        <f>IFERROR(__xludf.DUMMYFUNCTION("VLOOKUP(F12871, IMPORTRANGE(""https://docs.google.com/spreadsheets/d/1Lhp9OU0JdFf_VYSMzH5lBcEaU4o8teT1piV-SNzShjg/edit?gid=554141278#gid=554141278"", ""'Char Def. - Attributes'!C20:C2242""), 1,false)"),"HS_CODE")</f>
        <v>HS_CODE</v>
      </c>
      <c r="I12871" s="136"/>
      <c r="R12871" s="63" t="str">
        <f t="shared" si="60"/>
        <v>ZSI1_PUPUKHS_CODE</v>
      </c>
    </row>
    <row r="12872" ht="15.75" customHeight="1">
      <c r="B12872" s="63">
        <f t="shared" si="1"/>
        <v>10</v>
      </c>
      <c r="C12872" s="75" t="s">
        <v>5269</v>
      </c>
      <c r="D12872" s="161" t="s">
        <v>74</v>
      </c>
      <c r="E12872" s="135">
        <f t="shared" si="62"/>
        <v>8</v>
      </c>
      <c r="F12872" s="134" t="s">
        <v>3587</v>
      </c>
      <c r="G12872" s="63" t="str">
        <f>VLOOKUP(C12872, 'Class Def. - General Data'!$C$20:$C$1000,1,false)</f>
        <v>#N/A</v>
      </c>
      <c r="H12872" s="63" t="str">
        <f>IFERROR(__xludf.DUMMYFUNCTION("VLOOKUP(F12872, IMPORTRANGE(""https://docs.google.com/spreadsheets/d/1Lhp9OU0JdFf_VYSMzH5lBcEaU4o8teT1piV-SNzShjg/edit?gid=554141278#gid=554141278"", ""'Char Def. - Attributes'!C20:C2242""), 1,false)"),"PLANT_BUY")</f>
        <v>PLANT_BUY</v>
      </c>
      <c r="I12872" s="136"/>
      <c r="R12872" s="63" t="str">
        <f t="shared" si="60"/>
        <v>ZSI1_PUPUKPLANT_BUY</v>
      </c>
    </row>
    <row r="12873" ht="15.75" customHeight="1">
      <c r="B12873" s="63">
        <f t="shared" si="1"/>
        <v>10</v>
      </c>
      <c r="C12873" s="75" t="s">
        <v>5269</v>
      </c>
      <c r="D12873" s="161" t="s">
        <v>74</v>
      </c>
      <c r="E12873" s="135">
        <f t="shared" si="62"/>
        <v>9</v>
      </c>
      <c r="F12873" s="134" t="s">
        <v>4692</v>
      </c>
      <c r="G12873" s="63" t="str">
        <f>VLOOKUP(C12873, 'Class Def. - General Data'!$C$20:$C$1000,1,false)</f>
        <v>#N/A</v>
      </c>
      <c r="H12873" s="63" t="str">
        <f>IFERROR(__xludf.DUMMYFUNCTION("VLOOKUP(F12873, IMPORTRANGE(""https://docs.google.com/spreadsheets/d/1Lhp9OU0JdFf_VYSMzH5lBcEaU4o8teT1piV-SNzShjg/edit?gid=554141278#gid=554141278"", ""'Char Def. - Attributes'!C20:C2242""), 1,false)"),"#N/A")</f>
        <v>#N/A</v>
      </c>
      <c r="I12873" s="136"/>
      <c r="R12873" s="63" t="str">
        <f t="shared" si="60"/>
        <v>ZSI1_PUPUKBASE_UOM_PUPUK</v>
      </c>
    </row>
    <row r="12874" ht="15.75" customHeight="1">
      <c r="B12874" s="63">
        <f t="shared" si="1"/>
        <v>10</v>
      </c>
      <c r="C12874" s="75" t="s">
        <v>5269</v>
      </c>
      <c r="D12874" s="161" t="s">
        <v>74</v>
      </c>
      <c r="E12874" s="135">
        <f t="shared" si="62"/>
        <v>10</v>
      </c>
      <c r="F12874" s="134" t="s">
        <v>4693</v>
      </c>
      <c r="G12874" s="63" t="str">
        <f>VLOOKUP(C12874, 'Class Def. - General Data'!$C$20:$C$1000,1,false)</f>
        <v>#N/A</v>
      </c>
      <c r="H12874" s="63" t="str">
        <f>IFERROR(__xludf.DUMMYFUNCTION("VLOOKUP(F12874, IMPORTRANGE(""https://docs.google.com/spreadsheets/d/1Lhp9OU0JdFf_VYSMzH5lBcEaU4o8teT1piV-SNzShjg/edit?gid=554141278#gid=554141278"", ""'Char Def. - Attributes'!C20:C2242""), 1,false)"),"#N/A")</f>
        <v>#N/A</v>
      </c>
      <c r="I12874" s="136"/>
      <c r="R12874" s="63" t="str">
        <f t="shared" si="60"/>
        <v>ZSI1_PUPUKORDER_UNIT_PUPUK</v>
      </c>
    </row>
    <row r="12875" ht="15.75" customHeight="1">
      <c r="B12875" s="63">
        <f t="shared" si="1"/>
        <v>10</v>
      </c>
      <c r="C12875" s="75" t="s">
        <v>5269</v>
      </c>
      <c r="D12875" s="161" t="s">
        <v>74</v>
      </c>
      <c r="E12875" s="135">
        <f t="shared" si="62"/>
        <v>11</v>
      </c>
      <c r="F12875" s="134" t="s">
        <v>3804</v>
      </c>
      <c r="G12875" s="63" t="str">
        <f>VLOOKUP(C12875, 'Class Def. - General Data'!$C$20:$C$1000,1,false)</f>
        <v>#N/A</v>
      </c>
      <c r="H12875" s="63" t="str">
        <f>IFERROR(__xludf.DUMMYFUNCTION("VLOOKUP(F12875, IMPORTRANGE(""https://docs.google.com/spreadsheets/d/1Lhp9OU0JdFf_VYSMzH5lBcEaU4o8teT1piV-SNzShjg/edit?gid=554141278#gid=554141278"", ""'Char Def. - Attributes'!C20:C2242""), 1,false)"),"ALT_UOM1_SIPI")</f>
        <v>ALT_UOM1_SIPI</v>
      </c>
      <c r="I12875" s="136"/>
      <c r="R12875" s="63" t="str">
        <f t="shared" si="60"/>
        <v>ZSI1_PUPUKALT_UOM1_SIPI</v>
      </c>
    </row>
    <row r="12876" ht="15.75" customHeight="1">
      <c r="B12876" s="63">
        <f t="shared" si="1"/>
        <v>10</v>
      </c>
      <c r="C12876" s="75" t="s">
        <v>5269</v>
      </c>
      <c r="D12876" s="161" t="s">
        <v>74</v>
      </c>
      <c r="E12876" s="135">
        <f t="shared" si="62"/>
        <v>12</v>
      </c>
      <c r="F12876" s="134" t="s">
        <v>3805</v>
      </c>
      <c r="G12876" s="63" t="str">
        <f>VLOOKUP(C12876, 'Class Def. - General Data'!$C$20:$C$1000,1,false)</f>
        <v>#N/A</v>
      </c>
      <c r="H12876" s="63" t="str">
        <f>IFERROR(__xludf.DUMMYFUNCTION("VLOOKUP(F12876, IMPORTRANGE(""https://docs.google.com/spreadsheets/d/1Lhp9OU0JdFf_VYSMzH5lBcEaU4o8teT1piV-SNzShjg/edit?gid=554141278#gid=554141278"", ""'Char Def. - Attributes'!C20:C2242""), 1,false)"),"ALT_DENUM_UOM1")</f>
        <v>ALT_DENUM_UOM1</v>
      </c>
      <c r="I12876" s="136"/>
      <c r="R12876" s="63" t="str">
        <f t="shared" si="60"/>
        <v>ZSI1_PUPUKALT_DENUM_UOM1</v>
      </c>
    </row>
    <row r="12877" ht="15.75" customHeight="1">
      <c r="B12877" s="63">
        <f t="shared" si="1"/>
        <v>10</v>
      </c>
      <c r="C12877" s="75" t="s">
        <v>5269</v>
      </c>
      <c r="D12877" s="161" t="s">
        <v>74</v>
      </c>
      <c r="E12877" s="135">
        <f t="shared" si="62"/>
        <v>13</v>
      </c>
      <c r="F12877" s="134" t="s">
        <v>3806</v>
      </c>
      <c r="G12877" s="63" t="str">
        <f>VLOOKUP(C12877, 'Class Def. - General Data'!$C$20:$C$1000,1,false)</f>
        <v>#N/A</v>
      </c>
      <c r="H12877" s="63" t="str">
        <f>IFERROR(__xludf.DUMMYFUNCTION("VLOOKUP(F12877, IMPORTRANGE(""https://docs.google.com/spreadsheets/d/1Lhp9OU0JdFf_VYSMzH5lBcEaU4o8teT1piV-SNzShjg/edit?gid=554141278#gid=554141278"", ""'Char Def. - Attributes'!C20:C2242""), 1,false)"),"ALT_NUM_UOM1")</f>
        <v>ALT_NUM_UOM1</v>
      </c>
      <c r="I12877" s="136"/>
      <c r="R12877" s="63" t="str">
        <f t="shared" si="60"/>
        <v>ZSI1_PUPUKALT_NUM_UOM1</v>
      </c>
    </row>
    <row r="12878" ht="15.75" customHeight="1">
      <c r="B12878" s="63">
        <f t="shared" si="1"/>
        <v>10</v>
      </c>
      <c r="C12878" s="75" t="s">
        <v>5269</v>
      </c>
      <c r="D12878" s="161" t="s">
        <v>74</v>
      </c>
      <c r="E12878" s="135">
        <f t="shared" si="62"/>
        <v>14</v>
      </c>
      <c r="F12878" s="134" t="s">
        <v>3807</v>
      </c>
      <c r="G12878" s="63" t="str">
        <f>VLOOKUP(C12878, 'Class Def. - General Data'!$C$20:$C$1000,1,false)</f>
        <v>#N/A</v>
      </c>
      <c r="H12878" s="63" t="str">
        <f>IFERROR(__xludf.DUMMYFUNCTION("VLOOKUP(F12878, IMPORTRANGE(""https://docs.google.com/spreadsheets/d/1Lhp9OU0JdFf_VYSMzH5lBcEaU4o8teT1piV-SNzShjg/edit?gid=554141278#gid=554141278"", ""'Char Def. - Attributes'!C20:C2242""), 1,false)"),"ALT_UOM2_SIPI")</f>
        <v>ALT_UOM2_SIPI</v>
      </c>
      <c r="I12878" s="136"/>
      <c r="R12878" s="63" t="str">
        <f t="shared" si="60"/>
        <v>ZSI1_PUPUKALT_UOM2_SIPI</v>
      </c>
    </row>
    <row r="12879" ht="15.75" customHeight="1">
      <c r="B12879" s="63">
        <f t="shared" si="1"/>
        <v>10</v>
      </c>
      <c r="C12879" s="75" t="s">
        <v>5269</v>
      </c>
      <c r="D12879" s="161" t="s">
        <v>74</v>
      </c>
      <c r="E12879" s="135">
        <f t="shared" si="62"/>
        <v>15</v>
      </c>
      <c r="F12879" s="134" t="s">
        <v>3808</v>
      </c>
      <c r="G12879" s="63" t="str">
        <f>VLOOKUP(C12879, 'Class Def. - General Data'!$C$20:$C$1000,1,false)</f>
        <v>#N/A</v>
      </c>
      <c r="H12879" s="63" t="str">
        <f>IFERROR(__xludf.DUMMYFUNCTION("VLOOKUP(F12879, IMPORTRANGE(""https://docs.google.com/spreadsheets/d/1Lhp9OU0JdFf_VYSMzH5lBcEaU4o8teT1piV-SNzShjg/edit?gid=554141278#gid=554141278"", ""'Char Def. - Attributes'!C20:C2242""), 1,false)"),"ALT_DENUM_UOM2")</f>
        <v>ALT_DENUM_UOM2</v>
      </c>
      <c r="I12879" s="136"/>
      <c r="R12879" s="63" t="str">
        <f t="shared" si="60"/>
        <v>ZSI1_PUPUKALT_DENUM_UOM2</v>
      </c>
    </row>
    <row r="12880" ht="15.75" customHeight="1">
      <c r="B12880" s="63">
        <f t="shared" si="1"/>
        <v>10</v>
      </c>
      <c r="C12880" s="75" t="s">
        <v>5269</v>
      </c>
      <c r="D12880" s="161" t="s">
        <v>74</v>
      </c>
      <c r="E12880" s="135">
        <f t="shared" si="62"/>
        <v>16</v>
      </c>
      <c r="F12880" s="134" t="s">
        <v>3809</v>
      </c>
      <c r="G12880" s="63" t="str">
        <f>VLOOKUP(C12880, 'Class Def. - General Data'!$C$20:$C$1000,1,false)</f>
        <v>#N/A</v>
      </c>
      <c r="H12880" s="63" t="str">
        <f>IFERROR(__xludf.DUMMYFUNCTION("VLOOKUP(F12880, IMPORTRANGE(""https://docs.google.com/spreadsheets/d/1Lhp9OU0JdFf_VYSMzH5lBcEaU4o8teT1piV-SNzShjg/edit?gid=554141278#gid=554141278"", ""'Char Def. - Attributes'!C20:C2242""), 1,false)"),"ALT_NUM_UOM2")</f>
        <v>ALT_NUM_UOM2</v>
      </c>
      <c r="I12880" s="136"/>
      <c r="R12880" s="63" t="str">
        <f t="shared" si="60"/>
        <v>ZSI1_PUPUKALT_NUM_UOM2</v>
      </c>
    </row>
    <row r="12881" ht="15.75" customHeight="1">
      <c r="B12881" s="63">
        <f t="shared" si="1"/>
        <v>10</v>
      </c>
      <c r="C12881" s="75" t="s">
        <v>5269</v>
      </c>
      <c r="D12881" s="161" t="s">
        <v>74</v>
      </c>
      <c r="E12881" s="135">
        <f t="shared" si="62"/>
        <v>17</v>
      </c>
      <c r="F12881" s="134" t="s">
        <v>3810</v>
      </c>
      <c r="G12881" s="63" t="str">
        <f>VLOOKUP(C12881, 'Class Def. - General Data'!$C$20:$C$1000,1,false)</f>
        <v>#N/A</v>
      </c>
      <c r="H12881" s="63" t="str">
        <f>IFERROR(__xludf.DUMMYFUNCTION("VLOOKUP(F12881, IMPORTRANGE(""https://docs.google.com/spreadsheets/d/1Lhp9OU0JdFf_VYSMzH5lBcEaU4o8teT1piV-SNzShjg/edit?gid=554141278#gid=554141278"", ""'Char Def. - Attributes'!C20:C2242""), 1,false)"),"ALT_UOM3_SIPI")</f>
        <v>ALT_UOM3_SIPI</v>
      </c>
      <c r="I12881" s="136"/>
      <c r="R12881" s="63" t="str">
        <f t="shared" si="60"/>
        <v>ZSI1_PUPUKALT_UOM3_SIPI</v>
      </c>
    </row>
    <row r="12882" ht="15.75" customHeight="1">
      <c r="B12882" s="63">
        <f t="shared" si="1"/>
        <v>10</v>
      </c>
      <c r="C12882" s="75" t="s">
        <v>5269</v>
      </c>
      <c r="D12882" s="161" t="s">
        <v>74</v>
      </c>
      <c r="E12882" s="135">
        <f t="shared" si="62"/>
        <v>18</v>
      </c>
      <c r="F12882" s="134" t="s">
        <v>3811</v>
      </c>
      <c r="G12882" s="63" t="str">
        <f>VLOOKUP(C12882, 'Class Def. - General Data'!$C$20:$C$1000,1,false)</f>
        <v>#N/A</v>
      </c>
      <c r="H12882" s="63" t="str">
        <f>IFERROR(__xludf.DUMMYFUNCTION("VLOOKUP(F12882, IMPORTRANGE(""https://docs.google.com/spreadsheets/d/1Lhp9OU0JdFf_VYSMzH5lBcEaU4o8teT1piV-SNzShjg/edit?gid=554141278#gid=554141278"", ""'Char Def. - Attributes'!C20:C2242""), 1,false)"),"ALT_DENUM_UOM3")</f>
        <v>ALT_DENUM_UOM3</v>
      </c>
      <c r="I12882" s="136"/>
      <c r="R12882" s="63" t="str">
        <f t="shared" si="60"/>
        <v>ZSI1_PUPUKALT_DENUM_UOM3</v>
      </c>
    </row>
    <row r="12883" ht="15.75" customHeight="1">
      <c r="B12883" s="63">
        <f t="shared" si="1"/>
        <v>10</v>
      </c>
      <c r="C12883" s="75" t="s">
        <v>5269</v>
      </c>
      <c r="D12883" s="161" t="s">
        <v>74</v>
      </c>
      <c r="E12883" s="135">
        <f t="shared" si="62"/>
        <v>19</v>
      </c>
      <c r="F12883" s="134" t="s">
        <v>3812</v>
      </c>
      <c r="G12883" s="63" t="str">
        <f>VLOOKUP(C12883, 'Class Def. - General Data'!$C$20:$C$1000,1,false)</f>
        <v>#N/A</v>
      </c>
      <c r="H12883" s="63" t="str">
        <f>IFERROR(__xludf.DUMMYFUNCTION("VLOOKUP(F12883, IMPORTRANGE(""https://docs.google.com/spreadsheets/d/1Lhp9OU0JdFf_VYSMzH5lBcEaU4o8teT1piV-SNzShjg/edit?gid=554141278#gid=554141278"", ""'Char Def. - Attributes'!C20:C2242""), 1,false)"),"ALT_NUM_UOM3")</f>
        <v>ALT_NUM_UOM3</v>
      </c>
      <c r="I12883" s="136"/>
      <c r="R12883" s="63" t="str">
        <f t="shared" si="60"/>
        <v>ZSI1_PUPUKALT_NUM_UOM3</v>
      </c>
    </row>
    <row r="12884" ht="15.75" customHeight="1">
      <c r="B12884" s="63">
        <f t="shared" si="1"/>
        <v>10</v>
      </c>
      <c r="C12884" s="75" t="s">
        <v>5269</v>
      </c>
      <c r="D12884" s="161" t="s">
        <v>74</v>
      </c>
      <c r="E12884" s="135">
        <f t="shared" si="62"/>
        <v>20</v>
      </c>
      <c r="F12884" s="134" t="s">
        <v>3813</v>
      </c>
      <c r="G12884" s="63" t="str">
        <f>VLOOKUP(C12884, 'Class Def. - General Data'!$C$20:$C$1000,1,false)</f>
        <v>#N/A</v>
      </c>
      <c r="H12884" s="63" t="str">
        <f>IFERROR(__xludf.DUMMYFUNCTION("VLOOKUP(F12884, IMPORTRANGE(""https://docs.google.com/spreadsheets/d/1Lhp9OU0JdFf_VYSMzH5lBcEaU4o8teT1piV-SNzShjg/edit?gid=554141278#gid=554141278"", ""'Char Def. - Attributes'!C20:C2242""), 1,false)"),"ALT_UOM4_SIPI")</f>
        <v>ALT_UOM4_SIPI</v>
      </c>
      <c r="I12884" s="136"/>
      <c r="R12884" s="63" t="str">
        <f t="shared" si="60"/>
        <v>ZSI1_PUPUKALT_UOM4_SIPI</v>
      </c>
    </row>
    <row r="12885" ht="15.75" customHeight="1">
      <c r="B12885" s="63">
        <f t="shared" si="1"/>
        <v>10</v>
      </c>
      <c r="C12885" s="75" t="s">
        <v>5269</v>
      </c>
      <c r="D12885" s="161" t="s">
        <v>74</v>
      </c>
      <c r="E12885" s="135">
        <f t="shared" si="62"/>
        <v>21</v>
      </c>
      <c r="F12885" s="134" t="s">
        <v>3814</v>
      </c>
      <c r="G12885" s="63" t="str">
        <f>VLOOKUP(C12885, 'Class Def. - General Data'!$C$20:$C$1000,1,false)</f>
        <v>#N/A</v>
      </c>
      <c r="H12885" s="63" t="str">
        <f>IFERROR(__xludf.DUMMYFUNCTION("VLOOKUP(F12885, IMPORTRANGE(""https://docs.google.com/spreadsheets/d/1Lhp9OU0JdFf_VYSMzH5lBcEaU4o8teT1piV-SNzShjg/edit?gid=554141278#gid=554141278"", ""'Char Def. - Attributes'!C20:C2242""), 1,false)"),"ALT_DENUM_UOM4")</f>
        <v>ALT_DENUM_UOM4</v>
      </c>
      <c r="I12885" s="136"/>
      <c r="R12885" s="63" t="str">
        <f t="shared" si="60"/>
        <v>ZSI1_PUPUKALT_DENUM_UOM4</v>
      </c>
    </row>
    <row r="12886" ht="15.75" customHeight="1">
      <c r="B12886" s="63">
        <f t="shared" si="1"/>
        <v>10</v>
      </c>
      <c r="C12886" s="75" t="s">
        <v>5269</v>
      </c>
      <c r="D12886" s="161" t="s">
        <v>74</v>
      </c>
      <c r="E12886" s="135">
        <f t="shared" si="62"/>
        <v>22</v>
      </c>
      <c r="F12886" s="134" t="s">
        <v>3815</v>
      </c>
      <c r="G12886" s="63" t="str">
        <f>VLOOKUP(C12886, 'Class Def. - General Data'!$C$20:$C$1000,1,false)</f>
        <v>#N/A</v>
      </c>
      <c r="H12886" s="63" t="str">
        <f>IFERROR(__xludf.DUMMYFUNCTION("VLOOKUP(F12886, IMPORTRANGE(""https://docs.google.com/spreadsheets/d/1Lhp9OU0JdFf_VYSMzH5lBcEaU4o8teT1piV-SNzShjg/edit?gid=554141278#gid=554141278"", ""'Char Def. - Attributes'!C20:C2242""), 1,false)"),"ALT_NUM_UOM4")</f>
        <v>ALT_NUM_UOM4</v>
      </c>
      <c r="I12886" s="136"/>
      <c r="R12886" s="63" t="str">
        <f t="shared" si="60"/>
        <v>ZSI1_PUPUKALT_NUM_UOM4</v>
      </c>
    </row>
    <row r="12887" ht="15.75" customHeight="1">
      <c r="B12887" s="63">
        <f t="shared" si="1"/>
        <v>10</v>
      </c>
      <c r="C12887" s="75" t="s">
        <v>5269</v>
      </c>
      <c r="D12887" s="161" t="s">
        <v>74</v>
      </c>
      <c r="E12887" s="135">
        <f t="shared" si="62"/>
        <v>23</v>
      </c>
      <c r="F12887" s="134" t="s">
        <v>3816</v>
      </c>
      <c r="G12887" s="63" t="str">
        <f>VLOOKUP(C12887, 'Class Def. - General Data'!$C$20:$C$1000,1,false)</f>
        <v>#N/A</v>
      </c>
      <c r="H12887" s="63" t="str">
        <f>IFERROR(__xludf.DUMMYFUNCTION("VLOOKUP(F12887, IMPORTRANGE(""https://docs.google.com/spreadsheets/d/1Lhp9OU0JdFf_VYSMzH5lBcEaU4o8teT1piV-SNzShjg/edit?gid=554141278#gid=554141278"", ""'Char Def. - Attributes'!C20:C2242""), 1,false)"),"ALT_UOM5_SIPI")</f>
        <v>ALT_UOM5_SIPI</v>
      </c>
      <c r="I12887" s="136"/>
      <c r="R12887" s="63" t="str">
        <f t="shared" si="60"/>
        <v>ZSI1_PUPUKALT_UOM5_SIPI</v>
      </c>
    </row>
    <row r="12888" ht="15.75" customHeight="1">
      <c r="B12888" s="63">
        <f t="shared" si="1"/>
        <v>10</v>
      </c>
      <c r="C12888" s="75" t="s">
        <v>5269</v>
      </c>
      <c r="D12888" s="161" t="s">
        <v>74</v>
      </c>
      <c r="E12888" s="135">
        <f t="shared" si="62"/>
        <v>24</v>
      </c>
      <c r="F12888" s="134" t="s">
        <v>3817</v>
      </c>
      <c r="G12888" s="63" t="str">
        <f>VLOOKUP(C12888, 'Class Def. - General Data'!$C$20:$C$1000,1,false)</f>
        <v>#N/A</v>
      </c>
      <c r="H12888" s="63" t="str">
        <f>IFERROR(__xludf.DUMMYFUNCTION("VLOOKUP(F12888, IMPORTRANGE(""https://docs.google.com/spreadsheets/d/1Lhp9OU0JdFf_VYSMzH5lBcEaU4o8teT1piV-SNzShjg/edit?gid=554141278#gid=554141278"", ""'Char Def. - Attributes'!C20:C2242""), 1,false)"),"ALT_DENUM_UOM5")</f>
        <v>ALT_DENUM_UOM5</v>
      </c>
      <c r="I12888" s="136"/>
      <c r="R12888" s="63" t="str">
        <f t="shared" si="60"/>
        <v>ZSI1_PUPUKALT_DENUM_UOM5</v>
      </c>
    </row>
    <row r="12889" ht="15.75" customHeight="1">
      <c r="B12889" s="63">
        <f t="shared" si="1"/>
        <v>10</v>
      </c>
      <c r="C12889" s="75" t="s">
        <v>5269</v>
      </c>
      <c r="D12889" s="161" t="s">
        <v>74</v>
      </c>
      <c r="E12889" s="135">
        <f t="shared" si="62"/>
        <v>25</v>
      </c>
      <c r="F12889" s="134" t="s">
        <v>3818</v>
      </c>
      <c r="G12889" s="63" t="str">
        <f>VLOOKUP(C12889, 'Class Def. - General Data'!$C$20:$C$1000,1,false)</f>
        <v>#N/A</v>
      </c>
      <c r="H12889" s="63" t="str">
        <f>IFERROR(__xludf.DUMMYFUNCTION("VLOOKUP(F12889, IMPORTRANGE(""https://docs.google.com/spreadsheets/d/1Lhp9OU0JdFf_VYSMzH5lBcEaU4o8teT1piV-SNzShjg/edit?gid=554141278#gid=554141278"", ""'Char Def. - Attributes'!C20:C2242""), 1,false)"),"ALT_NUM_UOM5")</f>
        <v>ALT_NUM_UOM5</v>
      </c>
      <c r="I12889" s="136"/>
      <c r="R12889" s="63" t="str">
        <f t="shared" si="60"/>
        <v>ZSI1_PUPUKALT_NUM_UOM5</v>
      </c>
    </row>
    <row r="12890" ht="15.75" customHeight="1">
      <c r="B12890" s="63">
        <f t="shared" si="1"/>
        <v>18</v>
      </c>
      <c r="C12890" s="135" t="s">
        <v>304</v>
      </c>
      <c r="D12890" s="161" t="s">
        <v>74</v>
      </c>
      <c r="E12890" s="135">
        <f t="shared" si="62"/>
        <v>1</v>
      </c>
      <c r="F12890" s="134" t="s">
        <v>5275</v>
      </c>
      <c r="G12890" s="63" t="str">
        <f>VLOOKUP(C12890, 'Class Def. - General Data'!$C$20:$C$1000,1,false)</f>
        <v>ZSI1_PWR_CONDITION</v>
      </c>
      <c r="H12890" s="63" t="str">
        <f>IFERROR(__xludf.DUMMYFUNCTION("VLOOKUP(F12890, IMPORTRANGE(""https://docs.google.com/spreadsheets/d/1Lhp9OU0JdFf_VYSMzH5lBcEaU4o8teT1piV-SNzShjg/edit?gid=554141278#gid=554141278"", ""'Char Def. - Attributes'!C20:C2242""), 1,false)"),"ITEM_NAME_PWR_CONDITION")</f>
        <v>ITEM_NAME_PWR_CONDITION</v>
      </c>
      <c r="I12890" s="136"/>
      <c r="R12890" s="63" t="str">
        <f t="shared" si="60"/>
        <v>ZSI1_PWR_CONDITIONITEM_NAME_PWR_CONDITION</v>
      </c>
    </row>
    <row r="12891" ht="15.75" customHeight="1">
      <c r="B12891" s="63">
        <f t="shared" si="1"/>
        <v>18</v>
      </c>
      <c r="C12891" s="135" t="s">
        <v>304</v>
      </c>
      <c r="D12891" s="161" t="s">
        <v>74</v>
      </c>
      <c r="E12891" s="135">
        <f t="shared" si="62"/>
        <v>2</v>
      </c>
      <c r="F12891" s="134" t="s">
        <v>5276</v>
      </c>
      <c r="G12891" s="63" t="str">
        <f>VLOOKUP(C12891, 'Class Def. - General Data'!$C$20:$C$1000,1,false)</f>
        <v>ZSI1_PWR_CONDITION</v>
      </c>
      <c r="H12891" s="63" t="str">
        <f>IFERROR(__xludf.DUMMYFUNCTION("VLOOKUP(F12891, IMPORTRANGE(""https://docs.google.com/spreadsheets/d/1Lhp9OU0JdFf_VYSMzH5lBcEaU4o8teT1piV-SNzShjg/edit?gid=554141278#gid=554141278"", ""'Char Def. - Attributes'!C20:C2242""), 1,false)"),"MFR_NO_PWR_CONDITION")</f>
        <v>MFR_NO_PWR_CONDITION</v>
      </c>
      <c r="I12891" s="136"/>
      <c r="R12891" s="63" t="str">
        <f t="shared" si="60"/>
        <v>ZSI1_PWR_CONDITIONMFR_NO_PWR_CONDITION</v>
      </c>
    </row>
    <row r="12892" ht="15.75" customHeight="1">
      <c r="B12892" s="63">
        <f t="shared" si="1"/>
        <v>18</v>
      </c>
      <c r="C12892" s="135" t="s">
        <v>304</v>
      </c>
      <c r="D12892" s="161" t="s">
        <v>74</v>
      </c>
      <c r="E12892" s="135">
        <f t="shared" si="62"/>
        <v>3</v>
      </c>
      <c r="F12892" s="134" t="s">
        <v>3782</v>
      </c>
      <c r="G12892" s="63" t="str">
        <f>VLOOKUP(C12892, 'Class Def. - General Data'!$C$20:$C$1000,1,false)</f>
        <v>ZSI1_PWR_CONDITION</v>
      </c>
      <c r="H12892" s="63" t="str">
        <f>IFERROR(__xludf.DUMMYFUNCTION("VLOOKUP(F12892, IMPORTRANGE(""https://docs.google.com/spreadsheets/d/1Lhp9OU0JdFf_VYSMzH5lBcEaU4o8teT1piV-SNzShjg/edit?gid=554141278#gid=554141278"", ""'Char Def. - Attributes'!C20:C2242""), 1,false)"),"BRAND_EXTERNAL")</f>
        <v>BRAND_EXTERNAL</v>
      </c>
      <c r="I12892" s="136"/>
      <c r="R12892" s="63" t="str">
        <f t="shared" si="60"/>
        <v>ZSI1_PWR_CONDITIONBRAND_EXTERNAL</v>
      </c>
    </row>
    <row r="12893" ht="15.75" customHeight="1">
      <c r="B12893" s="63">
        <f t="shared" si="1"/>
        <v>18</v>
      </c>
      <c r="C12893" s="135" t="s">
        <v>304</v>
      </c>
      <c r="D12893" s="161" t="s">
        <v>74</v>
      </c>
      <c r="E12893" s="135">
        <f t="shared" si="62"/>
        <v>4</v>
      </c>
      <c r="F12893" s="134" t="s">
        <v>4062</v>
      </c>
      <c r="G12893" s="63" t="str">
        <f>VLOOKUP(C12893, 'Class Def. - General Data'!$C$20:$C$1000,1,false)</f>
        <v>ZSI1_PWR_CONDITION</v>
      </c>
      <c r="H12893" s="63" t="str">
        <f>IFERROR(__xludf.DUMMYFUNCTION("VLOOKUP(F12893, IMPORTRANGE(""https://docs.google.com/spreadsheets/d/1Lhp9OU0JdFf_VYSMzH5lBcEaU4o8teT1piV-SNzShjg/edit?gid=554141278#gid=554141278"", ""'Char Def. - Attributes'!C20:C2242""), 1,false)"),"#N/A")</f>
        <v>#N/A</v>
      </c>
      <c r="I12893" s="136"/>
      <c r="R12893" s="63" t="str">
        <f t="shared" si="60"/>
        <v>ZSI1_PWR_CONDITIONADDTIONAL_SPECIFICATION</v>
      </c>
    </row>
    <row r="12894" ht="15.75" customHeight="1">
      <c r="B12894" s="63">
        <f t="shared" si="1"/>
        <v>18</v>
      </c>
      <c r="C12894" s="135" t="s">
        <v>304</v>
      </c>
      <c r="D12894" s="161" t="s">
        <v>74</v>
      </c>
      <c r="E12894" s="135">
        <f t="shared" si="62"/>
        <v>5</v>
      </c>
      <c r="F12894" s="134" t="s">
        <v>3585</v>
      </c>
      <c r="G12894" s="63" t="str">
        <f>VLOOKUP(C12894, 'Class Def. - General Data'!$C$20:$C$1000,1,false)</f>
        <v>ZSI1_PWR_CONDITION</v>
      </c>
      <c r="H12894" s="63" t="str">
        <f>IFERROR(__xludf.DUMMYFUNCTION("VLOOKUP(F12894, IMPORTRANGE(""https://docs.google.com/spreadsheets/d/1Lhp9OU0JdFf_VYSMzH5lBcEaU4o8teT1piV-SNzShjg/edit?gid=554141278#gid=554141278"", ""'Char Def. - Attributes'!C20:C2242""), 1,false)"),"HS_CODE")</f>
        <v>HS_CODE</v>
      </c>
      <c r="I12894" s="136"/>
      <c r="R12894" s="63" t="str">
        <f t="shared" si="60"/>
        <v>ZSI1_PWR_CONDITIONHS_CODE</v>
      </c>
    </row>
    <row r="12895" ht="15.75" customHeight="1">
      <c r="B12895" s="63">
        <f t="shared" si="1"/>
        <v>18</v>
      </c>
      <c r="C12895" s="135" t="s">
        <v>304</v>
      </c>
      <c r="D12895" s="161" t="s">
        <v>74</v>
      </c>
      <c r="E12895" s="135">
        <f t="shared" si="62"/>
        <v>6</v>
      </c>
      <c r="F12895" s="134" t="s">
        <v>3587</v>
      </c>
      <c r="G12895" s="63" t="str">
        <f>VLOOKUP(C12895, 'Class Def. - General Data'!$C$20:$C$1000,1,false)</f>
        <v>ZSI1_PWR_CONDITION</v>
      </c>
      <c r="H12895" s="63" t="str">
        <f>IFERROR(__xludf.DUMMYFUNCTION("VLOOKUP(F12895, IMPORTRANGE(""https://docs.google.com/spreadsheets/d/1Lhp9OU0JdFf_VYSMzH5lBcEaU4o8teT1piV-SNzShjg/edit?gid=554141278#gid=554141278"", ""'Char Def. - Attributes'!C20:C2242""), 1,false)"),"PLANT_BUY")</f>
        <v>PLANT_BUY</v>
      </c>
      <c r="I12895" s="136"/>
      <c r="R12895" s="63" t="str">
        <f t="shared" si="60"/>
        <v>ZSI1_PWR_CONDITIONPLANT_BUY</v>
      </c>
    </row>
    <row r="12896" ht="15.75" customHeight="1">
      <c r="B12896" s="63">
        <f t="shared" si="1"/>
        <v>18</v>
      </c>
      <c r="C12896" s="135" t="s">
        <v>304</v>
      </c>
      <c r="D12896" s="161" t="s">
        <v>74</v>
      </c>
      <c r="E12896" s="135">
        <f t="shared" si="62"/>
        <v>7</v>
      </c>
      <c r="F12896" s="134" t="s">
        <v>5277</v>
      </c>
      <c r="G12896" s="63" t="str">
        <f>VLOOKUP(C12896, 'Class Def. - General Data'!$C$20:$C$1000,1,false)</f>
        <v>ZSI1_PWR_CONDITION</v>
      </c>
      <c r="H12896" s="63" t="str">
        <f>IFERROR(__xludf.DUMMYFUNCTION("VLOOKUP(F12896, IMPORTRANGE(""https://docs.google.com/spreadsheets/d/1Lhp9OU0JdFf_VYSMzH5lBcEaU4o8teT1piV-SNzShjg/edit?gid=554141278#gid=554141278"", ""'Char Def. - Attributes'!C20:C2242""), 1,false)"),"BASE_UOM_PWR_CONDITION")</f>
        <v>BASE_UOM_PWR_CONDITION</v>
      </c>
      <c r="I12896" s="136"/>
      <c r="R12896" s="63" t="str">
        <f t="shared" si="60"/>
        <v>ZSI1_PWR_CONDITIONBASE_UOM_PWR_CONDITION</v>
      </c>
    </row>
    <row r="12897" ht="15.75" customHeight="1">
      <c r="B12897" s="63">
        <f t="shared" si="1"/>
        <v>18</v>
      </c>
      <c r="C12897" s="135" t="s">
        <v>304</v>
      </c>
      <c r="D12897" s="161" t="s">
        <v>74</v>
      </c>
      <c r="E12897" s="135">
        <f t="shared" si="62"/>
        <v>8</v>
      </c>
      <c r="F12897" s="134" t="s">
        <v>5278</v>
      </c>
      <c r="G12897" s="63" t="str">
        <f>VLOOKUP(C12897, 'Class Def. - General Data'!$C$20:$C$1000,1,false)</f>
        <v>ZSI1_PWR_CONDITION</v>
      </c>
      <c r="H12897" s="63" t="str">
        <f>IFERROR(__xludf.DUMMYFUNCTION("VLOOKUP(F12897, IMPORTRANGE(""https://docs.google.com/spreadsheets/d/1Lhp9OU0JdFf_VYSMzH5lBcEaU4o8teT1piV-SNzShjg/edit?gid=554141278#gid=554141278"", ""'Char Def. - Attributes'!C20:C2242""), 1,false)"),"ORDER_UNIT_PWR_CONDITION")</f>
        <v>ORDER_UNIT_PWR_CONDITION</v>
      </c>
      <c r="I12897" s="136"/>
      <c r="R12897" s="63" t="str">
        <f t="shared" si="60"/>
        <v>ZSI1_PWR_CONDITIONORDER_UNIT_PWR_CONDITION</v>
      </c>
    </row>
    <row r="12898" ht="15.75" customHeight="1">
      <c r="B12898" s="63">
        <f t="shared" si="1"/>
        <v>18</v>
      </c>
      <c r="C12898" s="135" t="s">
        <v>304</v>
      </c>
      <c r="D12898" s="161" t="s">
        <v>74</v>
      </c>
      <c r="E12898" s="135">
        <f t="shared" si="62"/>
        <v>9</v>
      </c>
      <c r="F12898" s="134" t="s">
        <v>4056</v>
      </c>
      <c r="G12898" s="63" t="str">
        <f>VLOOKUP(C12898, 'Class Def. - General Data'!$C$20:$C$1000,1,false)</f>
        <v>ZSI1_PWR_CONDITION</v>
      </c>
      <c r="H12898" s="63" t="str">
        <f>IFERROR(__xludf.DUMMYFUNCTION("VLOOKUP(F12898, IMPORTRANGE(""https://docs.google.com/spreadsheets/d/1Lhp9OU0JdFf_VYSMzH5lBcEaU4o8teT1piV-SNzShjg/edit?gid=554141278#gid=554141278"", ""'Char Def. - Attributes'!C20:C2242""), 1,false)"),"GROSS_WEIGHT_OPT")</f>
        <v>GROSS_WEIGHT_OPT</v>
      </c>
      <c r="I12898" s="136"/>
      <c r="R12898" s="63" t="str">
        <f t="shared" si="60"/>
        <v>ZSI1_PWR_CONDITIONGROSS_WEIGHT_OPT</v>
      </c>
    </row>
    <row r="12899" ht="15.75" customHeight="1">
      <c r="B12899" s="63">
        <f t="shared" si="1"/>
        <v>18</v>
      </c>
      <c r="C12899" s="135" t="s">
        <v>304</v>
      </c>
      <c r="D12899" s="161" t="s">
        <v>74</v>
      </c>
      <c r="E12899" s="135">
        <f t="shared" si="62"/>
        <v>10</v>
      </c>
      <c r="F12899" s="134" t="s">
        <v>4057</v>
      </c>
      <c r="G12899" s="63" t="str">
        <f>VLOOKUP(C12899, 'Class Def. - General Data'!$C$20:$C$1000,1,false)</f>
        <v>ZSI1_PWR_CONDITION</v>
      </c>
      <c r="H12899" s="63" t="str">
        <f>IFERROR(__xludf.DUMMYFUNCTION("VLOOKUP(F12899, IMPORTRANGE(""https://docs.google.com/spreadsheets/d/1Lhp9OU0JdFf_VYSMzH5lBcEaU4o8teT1piV-SNzShjg/edit?gid=554141278#gid=554141278"", ""'Char Def. - Attributes'!C20:C2242""), 1,false)"),"NET_WEIGHT_OPT")</f>
        <v>NET_WEIGHT_OPT</v>
      </c>
      <c r="I12899" s="136"/>
      <c r="R12899" s="63" t="str">
        <f t="shared" si="60"/>
        <v>ZSI1_PWR_CONDITIONNET_WEIGHT_OPT</v>
      </c>
    </row>
    <row r="12900" ht="15.75" customHeight="1">
      <c r="B12900" s="63">
        <f t="shared" si="1"/>
        <v>18</v>
      </c>
      <c r="C12900" s="135" t="s">
        <v>304</v>
      </c>
      <c r="D12900" s="161" t="s">
        <v>74</v>
      </c>
      <c r="E12900" s="135">
        <f t="shared" si="62"/>
        <v>11</v>
      </c>
      <c r="F12900" s="134" t="s">
        <v>4058</v>
      </c>
      <c r="G12900" s="63" t="str">
        <f>VLOOKUP(C12900, 'Class Def. - General Data'!$C$20:$C$1000,1,false)</f>
        <v>ZSI1_PWR_CONDITION</v>
      </c>
      <c r="H12900" s="63" t="str">
        <f>IFERROR(__xludf.DUMMYFUNCTION("VLOOKUP(F12900, IMPORTRANGE(""https://docs.google.com/spreadsheets/d/1Lhp9OU0JdFf_VYSMzH5lBcEaU4o8teT1piV-SNzShjg/edit?gid=554141278#gid=554141278"", ""'Char Def. - Attributes'!C20:C2242""), 1,false)"),"WEIGHT_UNIT_SI")</f>
        <v>WEIGHT_UNIT_SI</v>
      </c>
      <c r="I12900" s="136"/>
      <c r="R12900" s="63" t="str">
        <f t="shared" si="60"/>
        <v>ZSI1_PWR_CONDITIONWEIGHT_UNIT_SI</v>
      </c>
    </row>
    <row r="12901" ht="15.75" customHeight="1">
      <c r="B12901" s="63">
        <f t="shared" si="1"/>
        <v>18</v>
      </c>
      <c r="C12901" s="135" t="s">
        <v>304</v>
      </c>
      <c r="D12901" s="161" t="s">
        <v>74</v>
      </c>
      <c r="E12901" s="135">
        <f t="shared" si="62"/>
        <v>12</v>
      </c>
      <c r="F12901" s="134" t="s">
        <v>3877</v>
      </c>
      <c r="G12901" s="63" t="str">
        <f>VLOOKUP(C12901, 'Class Def. - General Data'!$C$20:$C$1000,1,false)</f>
        <v>ZSI1_PWR_CONDITION</v>
      </c>
      <c r="H12901" s="63" t="str">
        <f>IFERROR(__xludf.DUMMYFUNCTION("VLOOKUP(F12901, IMPORTRANGE(""https://docs.google.com/spreadsheets/d/1Lhp9OU0JdFf_VYSMzH5lBcEaU4o8teT1piV-SNzShjg/edit?gid=554141278#gid=554141278"", ""'Char Def. - Attributes'!C20:C2242""), 1,false)"),"VOLUME_OPT")</f>
        <v>VOLUME_OPT</v>
      </c>
      <c r="I12901" s="136"/>
      <c r="R12901" s="63" t="str">
        <f t="shared" si="60"/>
        <v>ZSI1_PWR_CONDITIONVOLUME_OPT</v>
      </c>
    </row>
    <row r="12902" ht="15.75" customHeight="1">
      <c r="B12902" s="63">
        <f t="shared" si="1"/>
        <v>18</v>
      </c>
      <c r="C12902" s="135" t="s">
        <v>304</v>
      </c>
      <c r="D12902" s="161" t="s">
        <v>74</v>
      </c>
      <c r="E12902" s="135">
        <f t="shared" si="62"/>
        <v>13</v>
      </c>
      <c r="F12902" s="134" t="s">
        <v>4059</v>
      </c>
      <c r="G12902" s="63" t="str">
        <f>VLOOKUP(C12902, 'Class Def. - General Data'!$C$20:$C$1000,1,false)</f>
        <v>ZSI1_PWR_CONDITION</v>
      </c>
      <c r="H12902" s="63" t="str">
        <f>IFERROR(__xludf.DUMMYFUNCTION("VLOOKUP(F12902, IMPORTRANGE(""https://docs.google.com/spreadsheets/d/1Lhp9OU0JdFf_VYSMzH5lBcEaU4o8teT1piV-SNzShjg/edit?gid=554141278#gid=554141278"", ""'Char Def. - Attributes'!C20:C2242""), 1,false)"),"VOLUME_UNIT_SI")</f>
        <v>VOLUME_UNIT_SI</v>
      </c>
      <c r="I12902" s="136"/>
      <c r="R12902" s="63" t="str">
        <f t="shared" si="60"/>
        <v>ZSI1_PWR_CONDITIONVOLUME_UNIT_SI</v>
      </c>
    </row>
    <row r="12903" ht="15.75" customHeight="1">
      <c r="B12903" s="63">
        <f t="shared" si="1"/>
        <v>18</v>
      </c>
      <c r="C12903" s="135" t="s">
        <v>304</v>
      </c>
      <c r="D12903" s="161" t="s">
        <v>74</v>
      </c>
      <c r="E12903" s="135">
        <f t="shared" si="62"/>
        <v>14</v>
      </c>
      <c r="F12903" s="134" t="s">
        <v>3804</v>
      </c>
      <c r="G12903" s="63" t="str">
        <f>VLOOKUP(C12903, 'Class Def. - General Data'!$C$20:$C$1000,1,false)</f>
        <v>ZSI1_PWR_CONDITION</v>
      </c>
      <c r="H12903" s="63" t="str">
        <f>IFERROR(__xludf.DUMMYFUNCTION("VLOOKUP(F12903, IMPORTRANGE(""https://docs.google.com/spreadsheets/d/1Lhp9OU0JdFf_VYSMzH5lBcEaU4o8teT1piV-SNzShjg/edit?gid=554141278#gid=554141278"", ""'Char Def. - Attributes'!C20:C2242""), 1,false)"),"ALT_UOM1_SIPI")</f>
        <v>ALT_UOM1_SIPI</v>
      </c>
      <c r="I12903" s="136"/>
      <c r="R12903" s="63" t="str">
        <f t="shared" si="60"/>
        <v>ZSI1_PWR_CONDITIONALT_UOM1_SIPI</v>
      </c>
    </row>
    <row r="12904" ht="15.75" customHeight="1">
      <c r="B12904" s="63">
        <f t="shared" si="1"/>
        <v>18</v>
      </c>
      <c r="C12904" s="135" t="s">
        <v>304</v>
      </c>
      <c r="D12904" s="161" t="s">
        <v>74</v>
      </c>
      <c r="E12904" s="135">
        <f t="shared" si="62"/>
        <v>15</v>
      </c>
      <c r="F12904" s="134" t="s">
        <v>3805</v>
      </c>
      <c r="G12904" s="63" t="str">
        <f>VLOOKUP(C12904, 'Class Def. - General Data'!$C$20:$C$1000,1,false)</f>
        <v>ZSI1_PWR_CONDITION</v>
      </c>
      <c r="H12904" s="63" t="str">
        <f>IFERROR(__xludf.DUMMYFUNCTION("VLOOKUP(F12904, IMPORTRANGE(""https://docs.google.com/spreadsheets/d/1Lhp9OU0JdFf_VYSMzH5lBcEaU4o8teT1piV-SNzShjg/edit?gid=554141278#gid=554141278"", ""'Char Def. - Attributes'!C20:C2242""), 1,false)"),"ALT_DENUM_UOM1")</f>
        <v>ALT_DENUM_UOM1</v>
      </c>
      <c r="I12904" s="136"/>
      <c r="R12904" s="63" t="str">
        <f t="shared" si="60"/>
        <v>ZSI1_PWR_CONDITIONALT_DENUM_UOM1</v>
      </c>
    </row>
    <row r="12905" ht="15.75" customHeight="1">
      <c r="B12905" s="63">
        <f t="shared" si="1"/>
        <v>18</v>
      </c>
      <c r="C12905" s="135" t="s">
        <v>304</v>
      </c>
      <c r="D12905" s="161" t="s">
        <v>74</v>
      </c>
      <c r="E12905" s="135">
        <f t="shared" si="62"/>
        <v>16</v>
      </c>
      <c r="F12905" s="134" t="s">
        <v>3806</v>
      </c>
      <c r="G12905" s="63" t="str">
        <f>VLOOKUP(C12905, 'Class Def. - General Data'!$C$20:$C$1000,1,false)</f>
        <v>ZSI1_PWR_CONDITION</v>
      </c>
      <c r="H12905" s="63" t="str">
        <f>IFERROR(__xludf.DUMMYFUNCTION("VLOOKUP(F12905, IMPORTRANGE(""https://docs.google.com/spreadsheets/d/1Lhp9OU0JdFf_VYSMzH5lBcEaU4o8teT1piV-SNzShjg/edit?gid=554141278#gid=554141278"", ""'Char Def. - Attributes'!C20:C2242""), 1,false)"),"ALT_NUM_UOM1")</f>
        <v>ALT_NUM_UOM1</v>
      </c>
      <c r="I12905" s="136"/>
      <c r="R12905" s="63" t="str">
        <f t="shared" si="60"/>
        <v>ZSI1_PWR_CONDITIONALT_NUM_UOM1</v>
      </c>
    </row>
    <row r="12906" ht="15.75" customHeight="1">
      <c r="B12906" s="63">
        <f t="shared" si="1"/>
        <v>18</v>
      </c>
      <c r="C12906" s="135" t="s">
        <v>304</v>
      </c>
      <c r="D12906" s="161" t="s">
        <v>74</v>
      </c>
      <c r="E12906" s="135">
        <f t="shared" si="62"/>
        <v>17</v>
      </c>
      <c r="F12906" s="134" t="s">
        <v>3807</v>
      </c>
      <c r="G12906" s="63" t="str">
        <f>VLOOKUP(C12906, 'Class Def. - General Data'!$C$20:$C$1000,1,false)</f>
        <v>ZSI1_PWR_CONDITION</v>
      </c>
      <c r="H12906" s="63" t="str">
        <f>IFERROR(__xludf.DUMMYFUNCTION("VLOOKUP(F12906, IMPORTRANGE(""https://docs.google.com/spreadsheets/d/1Lhp9OU0JdFf_VYSMzH5lBcEaU4o8teT1piV-SNzShjg/edit?gid=554141278#gid=554141278"", ""'Char Def. - Attributes'!C20:C2242""), 1,false)"),"ALT_UOM2_SIPI")</f>
        <v>ALT_UOM2_SIPI</v>
      </c>
      <c r="I12906" s="136"/>
      <c r="R12906" s="63" t="str">
        <f t="shared" si="60"/>
        <v>ZSI1_PWR_CONDITIONALT_UOM2_SIPI</v>
      </c>
    </row>
    <row r="12907" ht="15.75" customHeight="1">
      <c r="B12907" s="63">
        <f t="shared" si="1"/>
        <v>18</v>
      </c>
      <c r="C12907" s="135" t="s">
        <v>304</v>
      </c>
      <c r="D12907" s="161" t="s">
        <v>74</v>
      </c>
      <c r="E12907" s="135">
        <f t="shared" si="62"/>
        <v>18</v>
      </c>
      <c r="F12907" s="134" t="s">
        <v>3808</v>
      </c>
      <c r="G12907" s="63" t="str">
        <f>VLOOKUP(C12907, 'Class Def. - General Data'!$C$20:$C$1000,1,false)</f>
        <v>ZSI1_PWR_CONDITION</v>
      </c>
      <c r="H12907" s="63" t="str">
        <f>IFERROR(__xludf.DUMMYFUNCTION("VLOOKUP(F12907, IMPORTRANGE(""https://docs.google.com/spreadsheets/d/1Lhp9OU0JdFf_VYSMzH5lBcEaU4o8teT1piV-SNzShjg/edit?gid=554141278#gid=554141278"", ""'Char Def. - Attributes'!C20:C2242""), 1,false)"),"ALT_DENUM_UOM2")</f>
        <v>ALT_DENUM_UOM2</v>
      </c>
      <c r="I12907" s="136"/>
      <c r="R12907" s="63" t="str">
        <f t="shared" si="60"/>
        <v>ZSI1_PWR_CONDITIONALT_DENUM_UOM2</v>
      </c>
    </row>
    <row r="12908" ht="15.75" customHeight="1">
      <c r="B12908" s="63">
        <f t="shared" si="1"/>
        <v>18</v>
      </c>
      <c r="C12908" s="135" t="s">
        <v>304</v>
      </c>
      <c r="D12908" s="161" t="s">
        <v>74</v>
      </c>
      <c r="E12908" s="135">
        <f t="shared" si="62"/>
        <v>19</v>
      </c>
      <c r="F12908" s="134" t="s">
        <v>3809</v>
      </c>
      <c r="G12908" s="63" t="str">
        <f>VLOOKUP(C12908, 'Class Def. - General Data'!$C$20:$C$1000,1,false)</f>
        <v>ZSI1_PWR_CONDITION</v>
      </c>
      <c r="H12908" s="63" t="str">
        <f>IFERROR(__xludf.DUMMYFUNCTION("VLOOKUP(F12908, IMPORTRANGE(""https://docs.google.com/spreadsheets/d/1Lhp9OU0JdFf_VYSMzH5lBcEaU4o8teT1piV-SNzShjg/edit?gid=554141278#gid=554141278"", ""'Char Def. - Attributes'!C20:C2242""), 1,false)"),"ALT_NUM_UOM2")</f>
        <v>ALT_NUM_UOM2</v>
      </c>
      <c r="I12908" s="136"/>
      <c r="R12908" s="63" t="str">
        <f t="shared" si="60"/>
        <v>ZSI1_PWR_CONDITIONALT_NUM_UOM2</v>
      </c>
    </row>
    <row r="12909" ht="15.75" customHeight="1">
      <c r="B12909" s="63">
        <f t="shared" si="1"/>
        <v>18</v>
      </c>
      <c r="C12909" s="135" t="s">
        <v>304</v>
      </c>
      <c r="D12909" s="161" t="s">
        <v>74</v>
      </c>
      <c r="E12909" s="135">
        <f t="shared" si="62"/>
        <v>20</v>
      </c>
      <c r="F12909" s="134" t="s">
        <v>3810</v>
      </c>
      <c r="G12909" s="63" t="str">
        <f>VLOOKUP(C12909, 'Class Def. - General Data'!$C$20:$C$1000,1,false)</f>
        <v>ZSI1_PWR_CONDITION</v>
      </c>
      <c r="H12909" s="63" t="str">
        <f>IFERROR(__xludf.DUMMYFUNCTION("VLOOKUP(F12909, IMPORTRANGE(""https://docs.google.com/spreadsheets/d/1Lhp9OU0JdFf_VYSMzH5lBcEaU4o8teT1piV-SNzShjg/edit?gid=554141278#gid=554141278"", ""'Char Def. - Attributes'!C20:C2242""), 1,false)"),"ALT_UOM3_SIPI")</f>
        <v>ALT_UOM3_SIPI</v>
      </c>
      <c r="I12909" s="136"/>
      <c r="R12909" s="63" t="str">
        <f t="shared" si="60"/>
        <v>ZSI1_PWR_CONDITIONALT_UOM3_SIPI</v>
      </c>
    </row>
    <row r="12910" ht="15.75" customHeight="1">
      <c r="B12910" s="63">
        <f t="shared" si="1"/>
        <v>18</v>
      </c>
      <c r="C12910" s="135" t="s">
        <v>304</v>
      </c>
      <c r="D12910" s="161" t="s">
        <v>74</v>
      </c>
      <c r="E12910" s="135">
        <f t="shared" si="62"/>
        <v>21</v>
      </c>
      <c r="F12910" s="134" t="s">
        <v>3811</v>
      </c>
      <c r="G12910" s="63" t="str">
        <f>VLOOKUP(C12910, 'Class Def. - General Data'!$C$20:$C$1000,1,false)</f>
        <v>ZSI1_PWR_CONDITION</v>
      </c>
      <c r="H12910" s="63" t="str">
        <f>IFERROR(__xludf.DUMMYFUNCTION("VLOOKUP(F12910, IMPORTRANGE(""https://docs.google.com/spreadsheets/d/1Lhp9OU0JdFf_VYSMzH5lBcEaU4o8teT1piV-SNzShjg/edit?gid=554141278#gid=554141278"", ""'Char Def. - Attributes'!C20:C2242""), 1,false)"),"ALT_DENUM_UOM3")</f>
        <v>ALT_DENUM_UOM3</v>
      </c>
      <c r="I12910" s="136"/>
      <c r="R12910" s="63" t="str">
        <f t="shared" si="60"/>
        <v>ZSI1_PWR_CONDITIONALT_DENUM_UOM3</v>
      </c>
    </row>
    <row r="12911" ht="15.75" customHeight="1">
      <c r="B12911" s="63">
        <f t="shared" si="1"/>
        <v>18</v>
      </c>
      <c r="C12911" s="135" t="s">
        <v>304</v>
      </c>
      <c r="D12911" s="161" t="s">
        <v>74</v>
      </c>
      <c r="E12911" s="135">
        <f t="shared" si="62"/>
        <v>22</v>
      </c>
      <c r="F12911" s="134" t="s">
        <v>3812</v>
      </c>
      <c r="G12911" s="63" t="str">
        <f>VLOOKUP(C12911, 'Class Def. - General Data'!$C$20:$C$1000,1,false)</f>
        <v>ZSI1_PWR_CONDITION</v>
      </c>
      <c r="H12911" s="63" t="str">
        <f>IFERROR(__xludf.DUMMYFUNCTION("VLOOKUP(F12911, IMPORTRANGE(""https://docs.google.com/spreadsheets/d/1Lhp9OU0JdFf_VYSMzH5lBcEaU4o8teT1piV-SNzShjg/edit?gid=554141278#gid=554141278"", ""'Char Def. - Attributes'!C20:C2242""), 1,false)"),"ALT_NUM_UOM3")</f>
        <v>ALT_NUM_UOM3</v>
      </c>
      <c r="I12911" s="136"/>
      <c r="R12911" s="63" t="str">
        <f t="shared" si="60"/>
        <v>ZSI1_PWR_CONDITIONALT_NUM_UOM3</v>
      </c>
    </row>
    <row r="12912" ht="15.75" customHeight="1">
      <c r="B12912" s="63">
        <f t="shared" si="1"/>
        <v>18</v>
      </c>
      <c r="C12912" s="135" t="s">
        <v>304</v>
      </c>
      <c r="D12912" s="161" t="s">
        <v>74</v>
      </c>
      <c r="E12912" s="135">
        <f t="shared" si="62"/>
        <v>23</v>
      </c>
      <c r="F12912" s="134" t="s">
        <v>3813</v>
      </c>
      <c r="G12912" s="63" t="str">
        <f>VLOOKUP(C12912, 'Class Def. - General Data'!$C$20:$C$1000,1,false)</f>
        <v>ZSI1_PWR_CONDITION</v>
      </c>
      <c r="H12912" s="63" t="str">
        <f>IFERROR(__xludf.DUMMYFUNCTION("VLOOKUP(F12912, IMPORTRANGE(""https://docs.google.com/spreadsheets/d/1Lhp9OU0JdFf_VYSMzH5lBcEaU4o8teT1piV-SNzShjg/edit?gid=554141278#gid=554141278"", ""'Char Def. - Attributes'!C20:C2242""), 1,false)"),"ALT_UOM4_SIPI")</f>
        <v>ALT_UOM4_SIPI</v>
      </c>
      <c r="I12912" s="136"/>
      <c r="R12912" s="63" t="str">
        <f t="shared" si="60"/>
        <v>ZSI1_PWR_CONDITIONALT_UOM4_SIPI</v>
      </c>
    </row>
    <row r="12913" ht="15.75" customHeight="1">
      <c r="B12913" s="63">
        <f t="shared" si="1"/>
        <v>18</v>
      </c>
      <c r="C12913" s="135" t="s">
        <v>304</v>
      </c>
      <c r="D12913" s="161" t="s">
        <v>74</v>
      </c>
      <c r="E12913" s="135">
        <f t="shared" si="62"/>
        <v>24</v>
      </c>
      <c r="F12913" s="134" t="s">
        <v>3814</v>
      </c>
      <c r="G12913" s="63" t="str">
        <f>VLOOKUP(C12913, 'Class Def. - General Data'!$C$20:$C$1000,1,false)</f>
        <v>ZSI1_PWR_CONDITION</v>
      </c>
      <c r="H12913" s="63" t="str">
        <f>IFERROR(__xludf.DUMMYFUNCTION("VLOOKUP(F12913, IMPORTRANGE(""https://docs.google.com/spreadsheets/d/1Lhp9OU0JdFf_VYSMzH5lBcEaU4o8teT1piV-SNzShjg/edit?gid=554141278#gid=554141278"", ""'Char Def. - Attributes'!C20:C2242""), 1,false)"),"ALT_DENUM_UOM4")</f>
        <v>ALT_DENUM_UOM4</v>
      </c>
      <c r="I12913" s="136"/>
      <c r="R12913" s="63" t="str">
        <f t="shared" si="60"/>
        <v>ZSI1_PWR_CONDITIONALT_DENUM_UOM4</v>
      </c>
    </row>
    <row r="12914" ht="15.75" customHeight="1">
      <c r="B12914" s="63">
        <f t="shared" si="1"/>
        <v>18</v>
      </c>
      <c r="C12914" s="135" t="s">
        <v>304</v>
      </c>
      <c r="D12914" s="161" t="s">
        <v>74</v>
      </c>
      <c r="E12914" s="135">
        <f t="shared" si="62"/>
        <v>25</v>
      </c>
      <c r="F12914" s="134" t="s">
        <v>3815</v>
      </c>
      <c r="G12914" s="63" t="str">
        <f>VLOOKUP(C12914, 'Class Def. - General Data'!$C$20:$C$1000,1,false)</f>
        <v>ZSI1_PWR_CONDITION</v>
      </c>
      <c r="H12914" s="63" t="str">
        <f>IFERROR(__xludf.DUMMYFUNCTION("VLOOKUP(F12914, IMPORTRANGE(""https://docs.google.com/spreadsheets/d/1Lhp9OU0JdFf_VYSMzH5lBcEaU4o8teT1piV-SNzShjg/edit?gid=554141278#gid=554141278"", ""'Char Def. - Attributes'!C20:C2242""), 1,false)"),"ALT_NUM_UOM4")</f>
        <v>ALT_NUM_UOM4</v>
      </c>
      <c r="I12914" s="136"/>
      <c r="R12914" s="63" t="str">
        <f t="shared" si="60"/>
        <v>ZSI1_PWR_CONDITIONALT_NUM_UOM4</v>
      </c>
    </row>
    <row r="12915" ht="15.75" customHeight="1">
      <c r="B12915" s="63">
        <f t="shared" si="1"/>
        <v>18</v>
      </c>
      <c r="C12915" s="135" t="s">
        <v>304</v>
      </c>
      <c r="D12915" s="161" t="s">
        <v>74</v>
      </c>
      <c r="E12915" s="135">
        <f t="shared" si="62"/>
        <v>26</v>
      </c>
      <c r="F12915" s="134" t="s">
        <v>3816</v>
      </c>
      <c r="G12915" s="63" t="str">
        <f>VLOOKUP(C12915, 'Class Def. - General Data'!$C$20:$C$1000,1,false)</f>
        <v>ZSI1_PWR_CONDITION</v>
      </c>
      <c r="H12915" s="63" t="str">
        <f>IFERROR(__xludf.DUMMYFUNCTION("VLOOKUP(F12915, IMPORTRANGE(""https://docs.google.com/spreadsheets/d/1Lhp9OU0JdFf_VYSMzH5lBcEaU4o8teT1piV-SNzShjg/edit?gid=554141278#gid=554141278"", ""'Char Def. - Attributes'!C20:C2242""), 1,false)"),"ALT_UOM5_SIPI")</f>
        <v>ALT_UOM5_SIPI</v>
      </c>
      <c r="I12915" s="136"/>
      <c r="R12915" s="63" t="str">
        <f t="shared" si="60"/>
        <v>ZSI1_PWR_CONDITIONALT_UOM5_SIPI</v>
      </c>
    </row>
    <row r="12916" ht="15.75" customHeight="1">
      <c r="B12916" s="63">
        <f t="shared" si="1"/>
        <v>18</v>
      </c>
      <c r="C12916" s="135" t="s">
        <v>304</v>
      </c>
      <c r="D12916" s="161" t="s">
        <v>74</v>
      </c>
      <c r="E12916" s="135">
        <f t="shared" si="62"/>
        <v>27</v>
      </c>
      <c r="F12916" s="134" t="s">
        <v>3817</v>
      </c>
      <c r="G12916" s="63" t="str">
        <f>VLOOKUP(C12916, 'Class Def. - General Data'!$C$20:$C$1000,1,false)</f>
        <v>ZSI1_PWR_CONDITION</v>
      </c>
      <c r="H12916" s="63" t="str">
        <f>IFERROR(__xludf.DUMMYFUNCTION("VLOOKUP(F12916, IMPORTRANGE(""https://docs.google.com/spreadsheets/d/1Lhp9OU0JdFf_VYSMzH5lBcEaU4o8teT1piV-SNzShjg/edit?gid=554141278#gid=554141278"", ""'Char Def. - Attributes'!C20:C2242""), 1,false)"),"ALT_DENUM_UOM5")</f>
        <v>ALT_DENUM_UOM5</v>
      </c>
      <c r="I12916" s="136"/>
      <c r="R12916" s="63" t="str">
        <f t="shared" si="60"/>
        <v>ZSI1_PWR_CONDITIONALT_DENUM_UOM5</v>
      </c>
    </row>
    <row r="12917" ht="15.75" customHeight="1">
      <c r="B12917" s="63">
        <f t="shared" si="1"/>
        <v>18</v>
      </c>
      <c r="C12917" s="135" t="s">
        <v>304</v>
      </c>
      <c r="D12917" s="161" t="s">
        <v>74</v>
      </c>
      <c r="E12917" s="135">
        <f t="shared" si="62"/>
        <v>28</v>
      </c>
      <c r="F12917" s="134" t="s">
        <v>3818</v>
      </c>
      <c r="G12917" s="63" t="str">
        <f>VLOOKUP(C12917, 'Class Def. - General Data'!$C$20:$C$1000,1,false)</f>
        <v>ZSI1_PWR_CONDITION</v>
      </c>
      <c r="H12917" s="63" t="str">
        <f>IFERROR(__xludf.DUMMYFUNCTION("VLOOKUP(F12917, IMPORTRANGE(""https://docs.google.com/spreadsheets/d/1Lhp9OU0JdFf_VYSMzH5lBcEaU4o8teT1piV-SNzShjg/edit?gid=554141278#gid=554141278"", ""'Char Def. - Attributes'!C20:C2242""), 1,false)"),"ALT_NUM_UOM5")</f>
        <v>ALT_NUM_UOM5</v>
      </c>
      <c r="I12917" s="136"/>
      <c r="R12917" s="63" t="str">
        <f t="shared" si="60"/>
        <v>ZSI1_PWR_CONDITIONALT_NUM_UOM5</v>
      </c>
    </row>
    <row r="12918" ht="15.75" customHeight="1">
      <c r="B12918" s="63">
        <f t="shared" si="1"/>
        <v>18</v>
      </c>
      <c r="C12918" s="135" t="s">
        <v>315</v>
      </c>
      <c r="D12918" s="161" t="s">
        <v>74</v>
      </c>
      <c r="E12918" s="135">
        <f t="shared" si="62"/>
        <v>1</v>
      </c>
      <c r="F12918" s="134" t="s">
        <v>5279</v>
      </c>
      <c r="G12918" s="63" t="str">
        <f>VLOOKUP(C12918, 'Class Def. - General Data'!$C$20:$C$1000,1,false)</f>
        <v>ZSI1_PWR_GENERATOR</v>
      </c>
      <c r="H12918" s="63" t="str">
        <f>IFERROR(__xludf.DUMMYFUNCTION("VLOOKUP(F12918, IMPORTRANGE(""https://docs.google.com/spreadsheets/d/1Lhp9OU0JdFf_VYSMzH5lBcEaU4o8teT1piV-SNzShjg/edit?gid=554141278#gid=554141278"", ""'Char Def. - Attributes'!C20:C2242""), 1,false)"),"ITEM_NAME_PWR_GENERATOR")</f>
        <v>ITEM_NAME_PWR_GENERATOR</v>
      </c>
      <c r="I12918" s="136"/>
      <c r="R12918" s="63" t="str">
        <f t="shared" si="60"/>
        <v>ZSI1_PWR_GENERATORITEM_NAME_PWR_GENERATOR</v>
      </c>
    </row>
    <row r="12919" ht="15.75" customHeight="1">
      <c r="B12919" s="63">
        <f t="shared" si="1"/>
        <v>18</v>
      </c>
      <c r="C12919" s="135" t="s">
        <v>315</v>
      </c>
      <c r="D12919" s="161" t="s">
        <v>74</v>
      </c>
      <c r="E12919" s="135">
        <f t="shared" si="62"/>
        <v>2</v>
      </c>
      <c r="F12919" s="134" t="s">
        <v>5280</v>
      </c>
      <c r="G12919" s="63" t="str">
        <f>VLOOKUP(C12919, 'Class Def. - General Data'!$C$20:$C$1000,1,false)</f>
        <v>ZSI1_PWR_GENERATOR</v>
      </c>
      <c r="H12919" s="63" t="str">
        <f>IFERROR(__xludf.DUMMYFUNCTION("VLOOKUP(F12919, IMPORTRANGE(""https://docs.google.com/spreadsheets/d/1Lhp9OU0JdFf_VYSMzH5lBcEaU4o8teT1piV-SNzShjg/edit?gid=554141278#gid=554141278"", ""'Char Def. - Attributes'!C20:C2242""), 1,false)"),"MFR_NO_PWR_GENERATOR")</f>
        <v>MFR_NO_PWR_GENERATOR</v>
      </c>
      <c r="I12919" s="136"/>
      <c r="R12919" s="63" t="str">
        <f t="shared" si="60"/>
        <v>ZSI1_PWR_GENERATORMFR_NO_PWR_GENERATOR</v>
      </c>
    </row>
    <row r="12920" ht="15.75" customHeight="1">
      <c r="B12920" s="63">
        <f t="shared" si="1"/>
        <v>18</v>
      </c>
      <c r="C12920" s="135" t="s">
        <v>315</v>
      </c>
      <c r="D12920" s="161" t="s">
        <v>74</v>
      </c>
      <c r="E12920" s="135">
        <f t="shared" si="62"/>
        <v>3</v>
      </c>
      <c r="F12920" s="134" t="s">
        <v>3782</v>
      </c>
      <c r="G12920" s="63" t="str">
        <f>VLOOKUP(C12920, 'Class Def. - General Data'!$C$20:$C$1000,1,false)</f>
        <v>ZSI1_PWR_GENERATOR</v>
      </c>
      <c r="H12920" s="63" t="str">
        <f>IFERROR(__xludf.DUMMYFUNCTION("VLOOKUP(F12920, IMPORTRANGE(""https://docs.google.com/spreadsheets/d/1Lhp9OU0JdFf_VYSMzH5lBcEaU4o8teT1piV-SNzShjg/edit?gid=554141278#gid=554141278"", ""'Char Def. - Attributes'!C20:C2242""), 1,false)"),"BRAND_EXTERNAL")</f>
        <v>BRAND_EXTERNAL</v>
      </c>
      <c r="I12920" s="136"/>
      <c r="R12920" s="63" t="str">
        <f t="shared" si="60"/>
        <v>ZSI1_PWR_GENERATORBRAND_EXTERNAL</v>
      </c>
    </row>
    <row r="12921" ht="15.75" customHeight="1">
      <c r="B12921" s="63">
        <f t="shared" si="1"/>
        <v>18</v>
      </c>
      <c r="C12921" s="135" t="s">
        <v>315</v>
      </c>
      <c r="D12921" s="161" t="s">
        <v>74</v>
      </c>
      <c r="E12921" s="135">
        <f t="shared" si="62"/>
        <v>4</v>
      </c>
      <c r="F12921" s="134" t="s">
        <v>4062</v>
      </c>
      <c r="G12921" s="63" t="str">
        <f>VLOOKUP(C12921, 'Class Def. - General Data'!$C$20:$C$1000,1,false)</f>
        <v>ZSI1_PWR_GENERATOR</v>
      </c>
      <c r="H12921" s="63" t="str">
        <f>IFERROR(__xludf.DUMMYFUNCTION("VLOOKUP(F12921, IMPORTRANGE(""https://docs.google.com/spreadsheets/d/1Lhp9OU0JdFf_VYSMzH5lBcEaU4o8teT1piV-SNzShjg/edit?gid=554141278#gid=554141278"", ""'Char Def. - Attributes'!C20:C2242""), 1,false)"),"#N/A")</f>
        <v>#N/A</v>
      </c>
      <c r="I12921" s="136"/>
      <c r="R12921" s="63" t="str">
        <f t="shared" si="60"/>
        <v>ZSI1_PWR_GENERATORADDTIONAL_SPECIFICATION</v>
      </c>
    </row>
    <row r="12922" ht="15.75" customHeight="1">
      <c r="B12922" s="63">
        <f t="shared" si="1"/>
        <v>18</v>
      </c>
      <c r="C12922" s="135" t="s">
        <v>315</v>
      </c>
      <c r="D12922" s="161" t="s">
        <v>74</v>
      </c>
      <c r="E12922" s="135">
        <f t="shared" si="62"/>
        <v>5</v>
      </c>
      <c r="F12922" s="134" t="s">
        <v>3585</v>
      </c>
      <c r="G12922" s="63" t="str">
        <f>VLOOKUP(C12922, 'Class Def. - General Data'!$C$20:$C$1000,1,false)</f>
        <v>ZSI1_PWR_GENERATOR</v>
      </c>
      <c r="H12922" s="63" t="str">
        <f>IFERROR(__xludf.DUMMYFUNCTION("VLOOKUP(F12922, IMPORTRANGE(""https://docs.google.com/spreadsheets/d/1Lhp9OU0JdFf_VYSMzH5lBcEaU4o8teT1piV-SNzShjg/edit?gid=554141278#gid=554141278"", ""'Char Def. - Attributes'!C20:C2242""), 1,false)"),"HS_CODE")</f>
        <v>HS_CODE</v>
      </c>
      <c r="I12922" s="136"/>
      <c r="R12922" s="63" t="str">
        <f t="shared" si="60"/>
        <v>ZSI1_PWR_GENERATORHS_CODE</v>
      </c>
    </row>
    <row r="12923" ht="15.75" customHeight="1">
      <c r="B12923" s="63">
        <f t="shared" si="1"/>
        <v>18</v>
      </c>
      <c r="C12923" s="135" t="s">
        <v>315</v>
      </c>
      <c r="D12923" s="161" t="s">
        <v>74</v>
      </c>
      <c r="E12923" s="135">
        <f t="shared" si="62"/>
        <v>6</v>
      </c>
      <c r="F12923" s="134" t="s">
        <v>3587</v>
      </c>
      <c r="G12923" s="63" t="str">
        <f>VLOOKUP(C12923, 'Class Def. - General Data'!$C$20:$C$1000,1,false)</f>
        <v>ZSI1_PWR_GENERATOR</v>
      </c>
      <c r="H12923" s="63" t="str">
        <f>IFERROR(__xludf.DUMMYFUNCTION("VLOOKUP(F12923, IMPORTRANGE(""https://docs.google.com/spreadsheets/d/1Lhp9OU0JdFf_VYSMzH5lBcEaU4o8teT1piV-SNzShjg/edit?gid=554141278#gid=554141278"", ""'Char Def. - Attributes'!C20:C2242""), 1,false)"),"PLANT_BUY")</f>
        <v>PLANT_BUY</v>
      </c>
      <c r="I12923" s="136"/>
      <c r="R12923" s="63" t="str">
        <f t="shared" si="60"/>
        <v>ZSI1_PWR_GENERATORPLANT_BUY</v>
      </c>
    </row>
    <row r="12924" ht="15.75" customHeight="1">
      <c r="B12924" s="63">
        <f t="shared" si="1"/>
        <v>18</v>
      </c>
      <c r="C12924" s="135" t="s">
        <v>315</v>
      </c>
      <c r="D12924" s="161" t="s">
        <v>74</v>
      </c>
      <c r="E12924" s="135">
        <f t="shared" si="62"/>
        <v>7</v>
      </c>
      <c r="F12924" s="134" t="s">
        <v>5281</v>
      </c>
      <c r="G12924" s="63" t="str">
        <f>VLOOKUP(C12924, 'Class Def. - General Data'!$C$20:$C$1000,1,false)</f>
        <v>ZSI1_PWR_GENERATOR</v>
      </c>
      <c r="H12924" s="63" t="str">
        <f>IFERROR(__xludf.DUMMYFUNCTION("VLOOKUP(F12924, IMPORTRANGE(""https://docs.google.com/spreadsheets/d/1Lhp9OU0JdFf_VYSMzH5lBcEaU4o8teT1piV-SNzShjg/edit?gid=554141278#gid=554141278"", ""'Char Def. - Attributes'!C20:C2242""), 1,false)"),"BASE_UOM_PWR_GENERATOR")</f>
        <v>BASE_UOM_PWR_GENERATOR</v>
      </c>
      <c r="I12924" s="136"/>
      <c r="R12924" s="63" t="str">
        <f t="shared" si="60"/>
        <v>ZSI1_PWR_GENERATORBASE_UOM_PWR_GENERATOR</v>
      </c>
    </row>
    <row r="12925" ht="15.75" customHeight="1">
      <c r="B12925" s="63">
        <f t="shared" si="1"/>
        <v>18</v>
      </c>
      <c r="C12925" s="135" t="s">
        <v>315</v>
      </c>
      <c r="D12925" s="161" t="s">
        <v>74</v>
      </c>
      <c r="E12925" s="135">
        <f t="shared" si="62"/>
        <v>8</v>
      </c>
      <c r="F12925" s="134" t="s">
        <v>5282</v>
      </c>
      <c r="G12925" s="63" t="str">
        <f>VLOOKUP(C12925, 'Class Def. - General Data'!$C$20:$C$1000,1,false)</f>
        <v>ZSI1_PWR_GENERATOR</v>
      </c>
      <c r="H12925" s="63" t="str">
        <f>IFERROR(__xludf.DUMMYFUNCTION("VLOOKUP(F12925, IMPORTRANGE(""https://docs.google.com/spreadsheets/d/1Lhp9OU0JdFf_VYSMzH5lBcEaU4o8teT1piV-SNzShjg/edit?gid=554141278#gid=554141278"", ""'Char Def. - Attributes'!C20:C2242""), 1,false)"),"ORDER_UNIT_PWR_GENERATOR")</f>
        <v>ORDER_UNIT_PWR_GENERATOR</v>
      </c>
      <c r="I12925" s="136"/>
      <c r="R12925" s="63" t="str">
        <f t="shared" si="60"/>
        <v>ZSI1_PWR_GENERATORORDER_UNIT_PWR_GENERATOR</v>
      </c>
    </row>
    <row r="12926" ht="15.75" customHeight="1">
      <c r="B12926" s="63">
        <f t="shared" si="1"/>
        <v>18</v>
      </c>
      <c r="C12926" s="135" t="s">
        <v>315</v>
      </c>
      <c r="D12926" s="161" t="s">
        <v>74</v>
      </c>
      <c r="E12926" s="135">
        <f t="shared" si="62"/>
        <v>9</v>
      </c>
      <c r="F12926" s="134" t="s">
        <v>4056</v>
      </c>
      <c r="G12926" s="63" t="str">
        <f>VLOOKUP(C12926, 'Class Def. - General Data'!$C$20:$C$1000,1,false)</f>
        <v>ZSI1_PWR_GENERATOR</v>
      </c>
      <c r="H12926" s="63" t="str">
        <f>IFERROR(__xludf.DUMMYFUNCTION("VLOOKUP(F12926, IMPORTRANGE(""https://docs.google.com/spreadsheets/d/1Lhp9OU0JdFf_VYSMzH5lBcEaU4o8teT1piV-SNzShjg/edit?gid=554141278#gid=554141278"", ""'Char Def. - Attributes'!C20:C2242""), 1,false)"),"GROSS_WEIGHT_OPT")</f>
        <v>GROSS_WEIGHT_OPT</v>
      </c>
      <c r="I12926" s="136"/>
      <c r="R12926" s="63" t="str">
        <f t="shared" si="60"/>
        <v>ZSI1_PWR_GENERATORGROSS_WEIGHT_OPT</v>
      </c>
    </row>
    <row r="12927" ht="15.75" customHeight="1">
      <c r="B12927" s="63">
        <f t="shared" si="1"/>
        <v>18</v>
      </c>
      <c r="C12927" s="135" t="s">
        <v>315</v>
      </c>
      <c r="D12927" s="161" t="s">
        <v>74</v>
      </c>
      <c r="E12927" s="135">
        <f t="shared" si="62"/>
        <v>10</v>
      </c>
      <c r="F12927" s="134" t="s">
        <v>4057</v>
      </c>
      <c r="G12927" s="63" t="str">
        <f>VLOOKUP(C12927, 'Class Def. - General Data'!$C$20:$C$1000,1,false)</f>
        <v>ZSI1_PWR_GENERATOR</v>
      </c>
      <c r="H12927" s="63" t="str">
        <f>IFERROR(__xludf.DUMMYFUNCTION("VLOOKUP(F12927, IMPORTRANGE(""https://docs.google.com/spreadsheets/d/1Lhp9OU0JdFf_VYSMzH5lBcEaU4o8teT1piV-SNzShjg/edit?gid=554141278#gid=554141278"", ""'Char Def. - Attributes'!C20:C2242""), 1,false)"),"NET_WEIGHT_OPT")</f>
        <v>NET_WEIGHT_OPT</v>
      </c>
      <c r="I12927" s="136"/>
      <c r="R12927" s="63" t="str">
        <f t="shared" si="60"/>
        <v>ZSI1_PWR_GENERATORNET_WEIGHT_OPT</v>
      </c>
    </row>
    <row r="12928" ht="15.75" customHeight="1">
      <c r="B12928" s="63">
        <f t="shared" si="1"/>
        <v>18</v>
      </c>
      <c r="C12928" s="135" t="s">
        <v>315</v>
      </c>
      <c r="D12928" s="161" t="s">
        <v>74</v>
      </c>
      <c r="E12928" s="135">
        <f t="shared" si="62"/>
        <v>11</v>
      </c>
      <c r="F12928" s="134" t="s">
        <v>4058</v>
      </c>
      <c r="G12928" s="63" t="str">
        <f>VLOOKUP(C12928, 'Class Def. - General Data'!$C$20:$C$1000,1,false)</f>
        <v>ZSI1_PWR_GENERATOR</v>
      </c>
      <c r="H12928" s="63" t="str">
        <f>IFERROR(__xludf.DUMMYFUNCTION("VLOOKUP(F12928, IMPORTRANGE(""https://docs.google.com/spreadsheets/d/1Lhp9OU0JdFf_VYSMzH5lBcEaU4o8teT1piV-SNzShjg/edit?gid=554141278#gid=554141278"", ""'Char Def. - Attributes'!C20:C2242""), 1,false)"),"WEIGHT_UNIT_SI")</f>
        <v>WEIGHT_UNIT_SI</v>
      </c>
      <c r="I12928" s="136"/>
      <c r="R12928" s="63" t="str">
        <f t="shared" si="60"/>
        <v>ZSI1_PWR_GENERATORWEIGHT_UNIT_SI</v>
      </c>
    </row>
    <row r="12929" ht="15.75" customHeight="1">
      <c r="B12929" s="63">
        <f t="shared" si="1"/>
        <v>18</v>
      </c>
      <c r="C12929" s="135" t="s">
        <v>315</v>
      </c>
      <c r="D12929" s="161" t="s">
        <v>74</v>
      </c>
      <c r="E12929" s="135">
        <f t="shared" si="62"/>
        <v>12</v>
      </c>
      <c r="F12929" s="134" t="s">
        <v>3877</v>
      </c>
      <c r="G12929" s="63" t="str">
        <f>VLOOKUP(C12929, 'Class Def. - General Data'!$C$20:$C$1000,1,false)</f>
        <v>ZSI1_PWR_GENERATOR</v>
      </c>
      <c r="H12929" s="63" t="str">
        <f>IFERROR(__xludf.DUMMYFUNCTION("VLOOKUP(F12929, IMPORTRANGE(""https://docs.google.com/spreadsheets/d/1Lhp9OU0JdFf_VYSMzH5lBcEaU4o8teT1piV-SNzShjg/edit?gid=554141278#gid=554141278"", ""'Char Def. - Attributes'!C20:C2242""), 1,false)"),"VOLUME_OPT")</f>
        <v>VOLUME_OPT</v>
      </c>
      <c r="I12929" s="136"/>
      <c r="R12929" s="63" t="str">
        <f t="shared" si="60"/>
        <v>ZSI1_PWR_GENERATORVOLUME_OPT</v>
      </c>
    </row>
    <row r="12930" ht="15.75" customHeight="1">
      <c r="B12930" s="63">
        <f t="shared" si="1"/>
        <v>18</v>
      </c>
      <c r="C12930" s="135" t="s">
        <v>315</v>
      </c>
      <c r="D12930" s="161" t="s">
        <v>74</v>
      </c>
      <c r="E12930" s="135">
        <f t="shared" si="62"/>
        <v>13</v>
      </c>
      <c r="F12930" s="134" t="s">
        <v>4059</v>
      </c>
      <c r="G12930" s="63" t="str">
        <f>VLOOKUP(C12930, 'Class Def. - General Data'!$C$20:$C$1000,1,false)</f>
        <v>ZSI1_PWR_GENERATOR</v>
      </c>
      <c r="H12930" s="63" t="str">
        <f>IFERROR(__xludf.DUMMYFUNCTION("VLOOKUP(F12930, IMPORTRANGE(""https://docs.google.com/spreadsheets/d/1Lhp9OU0JdFf_VYSMzH5lBcEaU4o8teT1piV-SNzShjg/edit?gid=554141278#gid=554141278"", ""'Char Def. - Attributes'!C20:C2242""), 1,false)"),"VOLUME_UNIT_SI")</f>
        <v>VOLUME_UNIT_SI</v>
      </c>
      <c r="I12930" s="136"/>
      <c r="R12930" s="63" t="str">
        <f t="shared" si="60"/>
        <v>ZSI1_PWR_GENERATORVOLUME_UNIT_SI</v>
      </c>
    </row>
    <row r="12931" ht="15.75" customHeight="1">
      <c r="B12931" s="63">
        <f t="shared" si="1"/>
        <v>18</v>
      </c>
      <c r="C12931" s="135" t="s">
        <v>315</v>
      </c>
      <c r="D12931" s="161" t="s">
        <v>74</v>
      </c>
      <c r="E12931" s="135">
        <f t="shared" si="62"/>
        <v>14</v>
      </c>
      <c r="F12931" s="134" t="s">
        <v>3804</v>
      </c>
      <c r="G12931" s="63" t="str">
        <f>VLOOKUP(C12931, 'Class Def. - General Data'!$C$20:$C$1000,1,false)</f>
        <v>ZSI1_PWR_GENERATOR</v>
      </c>
      <c r="H12931" s="63" t="str">
        <f>IFERROR(__xludf.DUMMYFUNCTION("VLOOKUP(F12931, IMPORTRANGE(""https://docs.google.com/spreadsheets/d/1Lhp9OU0JdFf_VYSMzH5lBcEaU4o8teT1piV-SNzShjg/edit?gid=554141278#gid=554141278"", ""'Char Def. - Attributes'!C20:C2242""), 1,false)"),"ALT_UOM1_SIPI")</f>
        <v>ALT_UOM1_SIPI</v>
      </c>
      <c r="I12931" s="136"/>
      <c r="R12931" s="63" t="str">
        <f t="shared" si="60"/>
        <v>ZSI1_PWR_GENERATORALT_UOM1_SIPI</v>
      </c>
    </row>
    <row r="12932" ht="15.75" customHeight="1">
      <c r="B12932" s="63">
        <f t="shared" si="1"/>
        <v>18</v>
      </c>
      <c r="C12932" s="135" t="s">
        <v>315</v>
      </c>
      <c r="D12932" s="161" t="s">
        <v>74</v>
      </c>
      <c r="E12932" s="135">
        <f t="shared" si="62"/>
        <v>15</v>
      </c>
      <c r="F12932" s="134" t="s">
        <v>3805</v>
      </c>
      <c r="G12932" s="63" t="str">
        <f>VLOOKUP(C12932, 'Class Def. - General Data'!$C$20:$C$1000,1,false)</f>
        <v>ZSI1_PWR_GENERATOR</v>
      </c>
      <c r="H12932" s="63" t="str">
        <f>IFERROR(__xludf.DUMMYFUNCTION("VLOOKUP(F12932, IMPORTRANGE(""https://docs.google.com/spreadsheets/d/1Lhp9OU0JdFf_VYSMzH5lBcEaU4o8teT1piV-SNzShjg/edit?gid=554141278#gid=554141278"", ""'Char Def. - Attributes'!C20:C2242""), 1,false)"),"ALT_DENUM_UOM1")</f>
        <v>ALT_DENUM_UOM1</v>
      </c>
      <c r="I12932" s="136"/>
      <c r="R12932" s="63" t="str">
        <f t="shared" si="60"/>
        <v>ZSI1_PWR_GENERATORALT_DENUM_UOM1</v>
      </c>
    </row>
    <row r="12933" ht="15.75" customHeight="1">
      <c r="B12933" s="63">
        <f t="shared" si="1"/>
        <v>18</v>
      </c>
      <c r="C12933" s="135" t="s">
        <v>315</v>
      </c>
      <c r="D12933" s="161" t="s">
        <v>74</v>
      </c>
      <c r="E12933" s="135">
        <f t="shared" si="62"/>
        <v>16</v>
      </c>
      <c r="F12933" s="134" t="s">
        <v>3806</v>
      </c>
      <c r="G12933" s="63" t="str">
        <f>VLOOKUP(C12933, 'Class Def. - General Data'!$C$20:$C$1000,1,false)</f>
        <v>ZSI1_PWR_GENERATOR</v>
      </c>
      <c r="H12933" s="63" t="str">
        <f>IFERROR(__xludf.DUMMYFUNCTION("VLOOKUP(F12933, IMPORTRANGE(""https://docs.google.com/spreadsheets/d/1Lhp9OU0JdFf_VYSMzH5lBcEaU4o8teT1piV-SNzShjg/edit?gid=554141278#gid=554141278"", ""'Char Def. - Attributes'!C20:C2242""), 1,false)"),"ALT_NUM_UOM1")</f>
        <v>ALT_NUM_UOM1</v>
      </c>
      <c r="I12933" s="136"/>
      <c r="R12933" s="63" t="str">
        <f t="shared" si="60"/>
        <v>ZSI1_PWR_GENERATORALT_NUM_UOM1</v>
      </c>
    </row>
    <row r="12934" ht="15.75" customHeight="1">
      <c r="B12934" s="63">
        <f t="shared" si="1"/>
        <v>18</v>
      </c>
      <c r="C12934" s="135" t="s">
        <v>315</v>
      </c>
      <c r="D12934" s="161" t="s">
        <v>74</v>
      </c>
      <c r="E12934" s="135">
        <f t="shared" si="62"/>
        <v>17</v>
      </c>
      <c r="F12934" s="134" t="s">
        <v>3807</v>
      </c>
      <c r="G12934" s="63" t="str">
        <f>VLOOKUP(C12934, 'Class Def. - General Data'!$C$20:$C$1000,1,false)</f>
        <v>ZSI1_PWR_GENERATOR</v>
      </c>
      <c r="H12934" s="63" t="str">
        <f>IFERROR(__xludf.DUMMYFUNCTION("VLOOKUP(F12934, IMPORTRANGE(""https://docs.google.com/spreadsheets/d/1Lhp9OU0JdFf_VYSMzH5lBcEaU4o8teT1piV-SNzShjg/edit?gid=554141278#gid=554141278"", ""'Char Def. - Attributes'!C20:C2242""), 1,false)"),"ALT_UOM2_SIPI")</f>
        <v>ALT_UOM2_SIPI</v>
      </c>
      <c r="I12934" s="136"/>
      <c r="R12934" s="63" t="str">
        <f t="shared" si="60"/>
        <v>ZSI1_PWR_GENERATORALT_UOM2_SIPI</v>
      </c>
    </row>
    <row r="12935" ht="15.75" customHeight="1">
      <c r="B12935" s="63">
        <f t="shared" si="1"/>
        <v>18</v>
      </c>
      <c r="C12935" s="135" t="s">
        <v>315</v>
      </c>
      <c r="D12935" s="161" t="s">
        <v>74</v>
      </c>
      <c r="E12935" s="135">
        <f t="shared" si="62"/>
        <v>18</v>
      </c>
      <c r="F12935" s="134" t="s">
        <v>3808</v>
      </c>
      <c r="G12935" s="63" t="str">
        <f>VLOOKUP(C12935, 'Class Def. - General Data'!$C$20:$C$1000,1,false)</f>
        <v>ZSI1_PWR_GENERATOR</v>
      </c>
      <c r="H12935" s="63" t="str">
        <f>IFERROR(__xludf.DUMMYFUNCTION("VLOOKUP(F12935, IMPORTRANGE(""https://docs.google.com/spreadsheets/d/1Lhp9OU0JdFf_VYSMzH5lBcEaU4o8teT1piV-SNzShjg/edit?gid=554141278#gid=554141278"", ""'Char Def. - Attributes'!C20:C2242""), 1,false)"),"ALT_DENUM_UOM2")</f>
        <v>ALT_DENUM_UOM2</v>
      </c>
      <c r="I12935" s="136"/>
      <c r="R12935" s="63" t="str">
        <f t="shared" si="60"/>
        <v>ZSI1_PWR_GENERATORALT_DENUM_UOM2</v>
      </c>
    </row>
    <row r="12936" ht="15.75" customHeight="1">
      <c r="B12936" s="63">
        <f t="shared" si="1"/>
        <v>18</v>
      </c>
      <c r="C12936" s="135" t="s">
        <v>315</v>
      </c>
      <c r="D12936" s="161" t="s">
        <v>74</v>
      </c>
      <c r="E12936" s="135">
        <f t="shared" si="62"/>
        <v>19</v>
      </c>
      <c r="F12936" s="134" t="s">
        <v>3809</v>
      </c>
      <c r="G12936" s="63" t="str">
        <f>VLOOKUP(C12936, 'Class Def. - General Data'!$C$20:$C$1000,1,false)</f>
        <v>ZSI1_PWR_GENERATOR</v>
      </c>
      <c r="H12936" s="63" t="str">
        <f>IFERROR(__xludf.DUMMYFUNCTION("VLOOKUP(F12936, IMPORTRANGE(""https://docs.google.com/spreadsheets/d/1Lhp9OU0JdFf_VYSMzH5lBcEaU4o8teT1piV-SNzShjg/edit?gid=554141278#gid=554141278"", ""'Char Def. - Attributes'!C20:C2242""), 1,false)"),"ALT_NUM_UOM2")</f>
        <v>ALT_NUM_UOM2</v>
      </c>
      <c r="I12936" s="136"/>
      <c r="R12936" s="63" t="str">
        <f t="shared" si="60"/>
        <v>ZSI1_PWR_GENERATORALT_NUM_UOM2</v>
      </c>
    </row>
    <row r="12937" ht="15.75" customHeight="1">
      <c r="B12937" s="63">
        <f t="shared" si="1"/>
        <v>18</v>
      </c>
      <c r="C12937" s="135" t="s">
        <v>315</v>
      </c>
      <c r="D12937" s="161" t="s">
        <v>74</v>
      </c>
      <c r="E12937" s="135">
        <f t="shared" si="62"/>
        <v>20</v>
      </c>
      <c r="F12937" s="134" t="s">
        <v>3810</v>
      </c>
      <c r="G12937" s="63" t="str">
        <f>VLOOKUP(C12937, 'Class Def. - General Data'!$C$20:$C$1000,1,false)</f>
        <v>ZSI1_PWR_GENERATOR</v>
      </c>
      <c r="H12937" s="63" t="str">
        <f>IFERROR(__xludf.DUMMYFUNCTION("VLOOKUP(F12937, IMPORTRANGE(""https://docs.google.com/spreadsheets/d/1Lhp9OU0JdFf_VYSMzH5lBcEaU4o8teT1piV-SNzShjg/edit?gid=554141278#gid=554141278"", ""'Char Def. - Attributes'!C20:C2242""), 1,false)"),"ALT_UOM3_SIPI")</f>
        <v>ALT_UOM3_SIPI</v>
      </c>
      <c r="I12937" s="136"/>
      <c r="R12937" s="63" t="str">
        <f t="shared" si="60"/>
        <v>ZSI1_PWR_GENERATORALT_UOM3_SIPI</v>
      </c>
    </row>
    <row r="12938" ht="15.75" customHeight="1">
      <c r="B12938" s="63">
        <f t="shared" si="1"/>
        <v>18</v>
      </c>
      <c r="C12938" s="135" t="s">
        <v>315</v>
      </c>
      <c r="D12938" s="161" t="s">
        <v>74</v>
      </c>
      <c r="E12938" s="135">
        <f t="shared" si="62"/>
        <v>21</v>
      </c>
      <c r="F12938" s="134" t="s">
        <v>3811</v>
      </c>
      <c r="G12938" s="63" t="str">
        <f>VLOOKUP(C12938, 'Class Def. - General Data'!$C$20:$C$1000,1,false)</f>
        <v>ZSI1_PWR_GENERATOR</v>
      </c>
      <c r="H12938" s="63" t="str">
        <f>IFERROR(__xludf.DUMMYFUNCTION("VLOOKUP(F12938, IMPORTRANGE(""https://docs.google.com/spreadsheets/d/1Lhp9OU0JdFf_VYSMzH5lBcEaU4o8teT1piV-SNzShjg/edit?gid=554141278#gid=554141278"", ""'Char Def. - Attributes'!C20:C2242""), 1,false)"),"ALT_DENUM_UOM3")</f>
        <v>ALT_DENUM_UOM3</v>
      </c>
      <c r="I12938" s="136"/>
      <c r="R12938" s="63" t="str">
        <f t="shared" si="60"/>
        <v>ZSI1_PWR_GENERATORALT_DENUM_UOM3</v>
      </c>
    </row>
    <row r="12939" ht="15.75" customHeight="1">
      <c r="B12939" s="63">
        <f t="shared" si="1"/>
        <v>18</v>
      </c>
      <c r="C12939" s="135" t="s">
        <v>315</v>
      </c>
      <c r="D12939" s="161" t="s">
        <v>74</v>
      </c>
      <c r="E12939" s="135">
        <f t="shared" si="62"/>
        <v>22</v>
      </c>
      <c r="F12939" s="134" t="s">
        <v>3812</v>
      </c>
      <c r="G12939" s="63" t="str">
        <f>VLOOKUP(C12939, 'Class Def. - General Data'!$C$20:$C$1000,1,false)</f>
        <v>ZSI1_PWR_GENERATOR</v>
      </c>
      <c r="H12939" s="63" t="str">
        <f>IFERROR(__xludf.DUMMYFUNCTION("VLOOKUP(F12939, IMPORTRANGE(""https://docs.google.com/spreadsheets/d/1Lhp9OU0JdFf_VYSMzH5lBcEaU4o8teT1piV-SNzShjg/edit?gid=554141278#gid=554141278"", ""'Char Def. - Attributes'!C20:C2242""), 1,false)"),"ALT_NUM_UOM3")</f>
        <v>ALT_NUM_UOM3</v>
      </c>
      <c r="I12939" s="136"/>
      <c r="R12939" s="63" t="str">
        <f t="shared" si="60"/>
        <v>ZSI1_PWR_GENERATORALT_NUM_UOM3</v>
      </c>
    </row>
    <row r="12940" ht="15.75" customHeight="1">
      <c r="B12940" s="63">
        <f t="shared" si="1"/>
        <v>18</v>
      </c>
      <c r="C12940" s="135" t="s">
        <v>315</v>
      </c>
      <c r="D12940" s="161" t="s">
        <v>74</v>
      </c>
      <c r="E12940" s="135">
        <f t="shared" si="62"/>
        <v>23</v>
      </c>
      <c r="F12940" s="134" t="s">
        <v>3813</v>
      </c>
      <c r="G12940" s="63" t="str">
        <f>VLOOKUP(C12940, 'Class Def. - General Data'!$C$20:$C$1000,1,false)</f>
        <v>ZSI1_PWR_GENERATOR</v>
      </c>
      <c r="H12940" s="63" t="str">
        <f>IFERROR(__xludf.DUMMYFUNCTION("VLOOKUP(F12940, IMPORTRANGE(""https://docs.google.com/spreadsheets/d/1Lhp9OU0JdFf_VYSMzH5lBcEaU4o8teT1piV-SNzShjg/edit?gid=554141278#gid=554141278"", ""'Char Def. - Attributes'!C20:C2242""), 1,false)"),"ALT_UOM4_SIPI")</f>
        <v>ALT_UOM4_SIPI</v>
      </c>
      <c r="I12940" s="136"/>
      <c r="R12940" s="63" t="str">
        <f t="shared" si="60"/>
        <v>ZSI1_PWR_GENERATORALT_UOM4_SIPI</v>
      </c>
    </row>
    <row r="12941" ht="15.75" customHeight="1">
      <c r="B12941" s="63">
        <f t="shared" si="1"/>
        <v>18</v>
      </c>
      <c r="C12941" s="135" t="s">
        <v>315</v>
      </c>
      <c r="D12941" s="161" t="s">
        <v>74</v>
      </c>
      <c r="E12941" s="135">
        <f t="shared" si="62"/>
        <v>24</v>
      </c>
      <c r="F12941" s="134" t="s">
        <v>3814</v>
      </c>
      <c r="G12941" s="63" t="str">
        <f>VLOOKUP(C12941, 'Class Def. - General Data'!$C$20:$C$1000,1,false)</f>
        <v>ZSI1_PWR_GENERATOR</v>
      </c>
      <c r="H12941" s="63" t="str">
        <f>IFERROR(__xludf.DUMMYFUNCTION("VLOOKUP(F12941, IMPORTRANGE(""https://docs.google.com/spreadsheets/d/1Lhp9OU0JdFf_VYSMzH5lBcEaU4o8teT1piV-SNzShjg/edit?gid=554141278#gid=554141278"", ""'Char Def. - Attributes'!C20:C2242""), 1,false)"),"ALT_DENUM_UOM4")</f>
        <v>ALT_DENUM_UOM4</v>
      </c>
      <c r="I12941" s="136"/>
      <c r="R12941" s="63" t="str">
        <f t="shared" si="60"/>
        <v>ZSI1_PWR_GENERATORALT_DENUM_UOM4</v>
      </c>
    </row>
    <row r="12942" ht="15.75" customHeight="1">
      <c r="B12942" s="63">
        <f t="shared" si="1"/>
        <v>18</v>
      </c>
      <c r="C12942" s="135" t="s">
        <v>315</v>
      </c>
      <c r="D12942" s="161" t="s">
        <v>74</v>
      </c>
      <c r="E12942" s="135">
        <f t="shared" si="62"/>
        <v>25</v>
      </c>
      <c r="F12942" s="134" t="s">
        <v>3815</v>
      </c>
      <c r="G12942" s="63" t="str">
        <f>VLOOKUP(C12942, 'Class Def. - General Data'!$C$20:$C$1000,1,false)</f>
        <v>ZSI1_PWR_GENERATOR</v>
      </c>
      <c r="H12942" s="63" t="str">
        <f>IFERROR(__xludf.DUMMYFUNCTION("VLOOKUP(F12942, IMPORTRANGE(""https://docs.google.com/spreadsheets/d/1Lhp9OU0JdFf_VYSMzH5lBcEaU4o8teT1piV-SNzShjg/edit?gid=554141278#gid=554141278"", ""'Char Def. - Attributes'!C20:C2242""), 1,false)"),"ALT_NUM_UOM4")</f>
        <v>ALT_NUM_UOM4</v>
      </c>
      <c r="I12942" s="136"/>
      <c r="R12942" s="63" t="str">
        <f t="shared" si="60"/>
        <v>ZSI1_PWR_GENERATORALT_NUM_UOM4</v>
      </c>
    </row>
    <row r="12943" ht="15.75" customHeight="1">
      <c r="B12943" s="63">
        <f t="shared" si="1"/>
        <v>18</v>
      </c>
      <c r="C12943" s="135" t="s">
        <v>315</v>
      </c>
      <c r="D12943" s="161" t="s">
        <v>74</v>
      </c>
      <c r="E12943" s="135">
        <f t="shared" si="62"/>
        <v>26</v>
      </c>
      <c r="F12943" s="134" t="s">
        <v>3816</v>
      </c>
      <c r="G12943" s="63" t="str">
        <f>VLOOKUP(C12943, 'Class Def. - General Data'!$C$20:$C$1000,1,false)</f>
        <v>ZSI1_PWR_GENERATOR</v>
      </c>
      <c r="H12943" s="63" t="str">
        <f>IFERROR(__xludf.DUMMYFUNCTION("VLOOKUP(F12943, IMPORTRANGE(""https://docs.google.com/spreadsheets/d/1Lhp9OU0JdFf_VYSMzH5lBcEaU4o8teT1piV-SNzShjg/edit?gid=554141278#gid=554141278"", ""'Char Def. - Attributes'!C20:C2242""), 1,false)"),"ALT_UOM5_SIPI")</f>
        <v>ALT_UOM5_SIPI</v>
      </c>
      <c r="I12943" s="136"/>
      <c r="R12943" s="63" t="str">
        <f t="shared" si="60"/>
        <v>ZSI1_PWR_GENERATORALT_UOM5_SIPI</v>
      </c>
    </row>
    <row r="12944" ht="15.75" customHeight="1">
      <c r="B12944" s="63">
        <f t="shared" si="1"/>
        <v>18</v>
      </c>
      <c r="C12944" s="135" t="s">
        <v>315</v>
      </c>
      <c r="D12944" s="161" t="s">
        <v>74</v>
      </c>
      <c r="E12944" s="135">
        <f t="shared" si="62"/>
        <v>27</v>
      </c>
      <c r="F12944" s="134" t="s">
        <v>3817</v>
      </c>
      <c r="G12944" s="63" t="str">
        <f>VLOOKUP(C12944, 'Class Def. - General Data'!$C$20:$C$1000,1,false)</f>
        <v>ZSI1_PWR_GENERATOR</v>
      </c>
      <c r="H12944" s="63" t="str">
        <f>IFERROR(__xludf.DUMMYFUNCTION("VLOOKUP(F12944, IMPORTRANGE(""https://docs.google.com/spreadsheets/d/1Lhp9OU0JdFf_VYSMzH5lBcEaU4o8teT1piV-SNzShjg/edit?gid=554141278#gid=554141278"", ""'Char Def. - Attributes'!C20:C2242""), 1,false)"),"ALT_DENUM_UOM5")</f>
        <v>ALT_DENUM_UOM5</v>
      </c>
      <c r="I12944" s="136"/>
      <c r="R12944" s="63" t="str">
        <f t="shared" si="60"/>
        <v>ZSI1_PWR_GENERATORALT_DENUM_UOM5</v>
      </c>
    </row>
    <row r="12945" ht="15.75" customHeight="1">
      <c r="B12945" s="63">
        <f t="shared" si="1"/>
        <v>18</v>
      </c>
      <c r="C12945" s="135" t="s">
        <v>315</v>
      </c>
      <c r="D12945" s="161" t="s">
        <v>74</v>
      </c>
      <c r="E12945" s="135">
        <f t="shared" si="62"/>
        <v>28</v>
      </c>
      <c r="F12945" s="134" t="s">
        <v>3818</v>
      </c>
      <c r="G12945" s="63" t="str">
        <f>VLOOKUP(C12945, 'Class Def. - General Data'!$C$20:$C$1000,1,false)</f>
        <v>ZSI1_PWR_GENERATOR</v>
      </c>
      <c r="H12945" s="63" t="str">
        <f>IFERROR(__xludf.DUMMYFUNCTION("VLOOKUP(F12945, IMPORTRANGE(""https://docs.google.com/spreadsheets/d/1Lhp9OU0JdFf_VYSMzH5lBcEaU4o8teT1piV-SNzShjg/edit?gid=554141278#gid=554141278"", ""'Char Def. - Attributes'!C20:C2242""), 1,false)"),"ALT_NUM_UOM5")</f>
        <v>ALT_NUM_UOM5</v>
      </c>
      <c r="I12945" s="136"/>
      <c r="R12945" s="63" t="str">
        <f t="shared" si="60"/>
        <v>ZSI1_PWR_GENERATORALT_NUM_UOM5</v>
      </c>
    </row>
    <row r="12946" ht="15.75" customHeight="1">
      <c r="B12946" s="63">
        <f t="shared" si="1"/>
        <v>18</v>
      </c>
      <c r="C12946" s="135" t="s">
        <v>299</v>
      </c>
      <c r="D12946" s="161" t="s">
        <v>74</v>
      </c>
      <c r="E12946" s="135">
        <f t="shared" si="62"/>
        <v>1</v>
      </c>
      <c r="F12946" s="134" t="s">
        <v>5283</v>
      </c>
      <c r="G12946" s="63" t="str">
        <f>VLOOKUP(C12946, 'Class Def. - General Data'!$C$20:$C$1000,1,false)</f>
        <v>ZSI1_PWR_TRANSMISN</v>
      </c>
      <c r="H12946" s="63" t="str">
        <f>IFERROR(__xludf.DUMMYFUNCTION("VLOOKUP(F12946, IMPORTRANGE(""https://docs.google.com/spreadsheets/d/1Lhp9OU0JdFf_VYSMzH5lBcEaU4o8teT1piV-SNzShjg/edit?gid=554141278#gid=554141278"", ""'Char Def. - Attributes'!C20:C2242""), 1,false)"),"ITEM_NAME_PWR_TRANSMISN")</f>
        <v>ITEM_NAME_PWR_TRANSMISN</v>
      </c>
      <c r="I12946" s="136"/>
      <c r="R12946" s="63" t="str">
        <f t="shared" si="60"/>
        <v>ZSI1_PWR_TRANSMISNITEM_NAME_PWR_TRANSMISN</v>
      </c>
    </row>
    <row r="12947" ht="15.75" customHeight="1">
      <c r="B12947" s="63">
        <f t="shared" si="1"/>
        <v>18</v>
      </c>
      <c r="C12947" s="135" t="s">
        <v>299</v>
      </c>
      <c r="D12947" s="161" t="s">
        <v>74</v>
      </c>
      <c r="E12947" s="135">
        <f t="shared" si="62"/>
        <v>2</v>
      </c>
      <c r="F12947" s="134" t="s">
        <v>5284</v>
      </c>
      <c r="G12947" s="63" t="str">
        <f>VLOOKUP(C12947, 'Class Def. - General Data'!$C$20:$C$1000,1,false)</f>
        <v>ZSI1_PWR_TRANSMISN</v>
      </c>
      <c r="H12947" s="63" t="str">
        <f>IFERROR(__xludf.DUMMYFUNCTION("VLOOKUP(F12947, IMPORTRANGE(""https://docs.google.com/spreadsheets/d/1Lhp9OU0JdFf_VYSMzH5lBcEaU4o8teT1piV-SNzShjg/edit?gid=554141278#gid=554141278"", ""'Char Def. - Attributes'!C20:C2242""), 1,false)"),"MFR_NO_PWR_TRANSMISN")</f>
        <v>MFR_NO_PWR_TRANSMISN</v>
      </c>
      <c r="I12947" s="136"/>
      <c r="R12947" s="63" t="str">
        <f t="shared" si="60"/>
        <v>ZSI1_PWR_TRANSMISNMFR_NO_PWR_TRANSMISN</v>
      </c>
    </row>
    <row r="12948" ht="15.75" customHeight="1">
      <c r="B12948" s="63">
        <f t="shared" si="1"/>
        <v>18</v>
      </c>
      <c r="C12948" s="135" t="s">
        <v>299</v>
      </c>
      <c r="D12948" s="161" t="s">
        <v>74</v>
      </c>
      <c r="E12948" s="135">
        <f t="shared" si="62"/>
        <v>3</v>
      </c>
      <c r="F12948" s="134" t="s">
        <v>3782</v>
      </c>
      <c r="G12948" s="63" t="str">
        <f>VLOOKUP(C12948, 'Class Def. - General Data'!$C$20:$C$1000,1,false)</f>
        <v>ZSI1_PWR_TRANSMISN</v>
      </c>
      <c r="H12948" s="63" t="str">
        <f>IFERROR(__xludf.DUMMYFUNCTION("VLOOKUP(F12948, IMPORTRANGE(""https://docs.google.com/spreadsheets/d/1Lhp9OU0JdFf_VYSMzH5lBcEaU4o8teT1piV-SNzShjg/edit?gid=554141278#gid=554141278"", ""'Char Def. - Attributes'!C20:C2242""), 1,false)"),"BRAND_EXTERNAL")</f>
        <v>BRAND_EXTERNAL</v>
      </c>
      <c r="I12948" s="136"/>
      <c r="R12948" s="63" t="str">
        <f t="shared" si="60"/>
        <v>ZSI1_PWR_TRANSMISNBRAND_EXTERNAL</v>
      </c>
    </row>
    <row r="12949" ht="15.75" customHeight="1">
      <c r="B12949" s="63">
        <f t="shared" si="1"/>
        <v>18</v>
      </c>
      <c r="C12949" s="135" t="s">
        <v>299</v>
      </c>
      <c r="D12949" s="161" t="s">
        <v>74</v>
      </c>
      <c r="E12949" s="135">
        <f t="shared" si="62"/>
        <v>4</v>
      </c>
      <c r="F12949" s="134" t="s">
        <v>4062</v>
      </c>
      <c r="G12949" s="63" t="str">
        <f>VLOOKUP(C12949, 'Class Def. - General Data'!$C$20:$C$1000,1,false)</f>
        <v>ZSI1_PWR_TRANSMISN</v>
      </c>
      <c r="H12949" s="63" t="str">
        <f>IFERROR(__xludf.DUMMYFUNCTION("VLOOKUP(F12949, IMPORTRANGE(""https://docs.google.com/spreadsheets/d/1Lhp9OU0JdFf_VYSMzH5lBcEaU4o8teT1piV-SNzShjg/edit?gid=554141278#gid=554141278"", ""'Char Def. - Attributes'!C20:C2242""), 1,false)"),"#N/A")</f>
        <v>#N/A</v>
      </c>
      <c r="I12949" s="136"/>
      <c r="R12949" s="63" t="str">
        <f t="shared" si="60"/>
        <v>ZSI1_PWR_TRANSMISNADDTIONAL_SPECIFICATION</v>
      </c>
    </row>
    <row r="12950" ht="15.75" customHeight="1">
      <c r="B12950" s="63">
        <f t="shared" si="1"/>
        <v>18</v>
      </c>
      <c r="C12950" s="135" t="s">
        <v>299</v>
      </c>
      <c r="D12950" s="161" t="s">
        <v>74</v>
      </c>
      <c r="E12950" s="135">
        <f t="shared" si="62"/>
        <v>5</v>
      </c>
      <c r="F12950" s="134" t="s">
        <v>4053</v>
      </c>
      <c r="G12950" s="63" t="str">
        <f>VLOOKUP(C12950, 'Class Def. - General Data'!$C$20:$C$1000,1,false)</f>
        <v>ZSI1_PWR_TRANSMISN</v>
      </c>
      <c r="H12950" s="63" t="str">
        <f>IFERROR(__xludf.DUMMYFUNCTION("VLOOKUP(F12950, IMPORTRANGE(""https://docs.google.com/spreadsheets/d/1Lhp9OU0JdFf_VYSMzH5lBcEaU4o8teT1piV-SNzShjg/edit?gid=554141278#gid=554141278"", ""'Char Def. - Attributes'!C20:C2242""), 1,false)"),"MAINTENANCE_ORDER_TYPE")</f>
        <v>MAINTENANCE_ORDER_TYPE</v>
      </c>
      <c r="I12950" s="136"/>
      <c r="R12950" s="63" t="str">
        <f t="shared" si="60"/>
        <v>ZSI1_PWR_TRANSMISNMAINTENANCE_ORDER_TYPE</v>
      </c>
    </row>
    <row r="12951" ht="15.75" customHeight="1">
      <c r="B12951" s="63">
        <f t="shared" si="1"/>
        <v>18</v>
      </c>
      <c r="C12951" s="135" t="s">
        <v>299</v>
      </c>
      <c r="D12951" s="161" t="s">
        <v>74</v>
      </c>
      <c r="E12951" s="135">
        <f t="shared" si="62"/>
        <v>6</v>
      </c>
      <c r="F12951" s="134" t="s">
        <v>3585</v>
      </c>
      <c r="G12951" s="63" t="str">
        <f>VLOOKUP(C12951, 'Class Def. - General Data'!$C$20:$C$1000,1,false)</f>
        <v>ZSI1_PWR_TRANSMISN</v>
      </c>
      <c r="H12951" s="63" t="str">
        <f>IFERROR(__xludf.DUMMYFUNCTION("VLOOKUP(F12951, IMPORTRANGE(""https://docs.google.com/spreadsheets/d/1Lhp9OU0JdFf_VYSMzH5lBcEaU4o8teT1piV-SNzShjg/edit?gid=554141278#gid=554141278"", ""'Char Def. - Attributes'!C20:C2242""), 1,false)"),"HS_CODE")</f>
        <v>HS_CODE</v>
      </c>
      <c r="I12951" s="136"/>
      <c r="R12951" s="63" t="str">
        <f t="shared" si="60"/>
        <v>ZSI1_PWR_TRANSMISNHS_CODE</v>
      </c>
    </row>
    <row r="12952" ht="15.75" customHeight="1">
      <c r="B12952" s="63">
        <f t="shared" si="1"/>
        <v>18</v>
      </c>
      <c r="C12952" s="135" t="s">
        <v>299</v>
      </c>
      <c r="D12952" s="161" t="s">
        <v>74</v>
      </c>
      <c r="E12952" s="135">
        <f t="shared" si="62"/>
        <v>7</v>
      </c>
      <c r="F12952" s="134" t="s">
        <v>3587</v>
      </c>
      <c r="G12952" s="63" t="str">
        <f>VLOOKUP(C12952, 'Class Def. - General Data'!$C$20:$C$1000,1,false)</f>
        <v>ZSI1_PWR_TRANSMISN</v>
      </c>
      <c r="H12952" s="63" t="str">
        <f>IFERROR(__xludf.DUMMYFUNCTION("VLOOKUP(F12952, IMPORTRANGE(""https://docs.google.com/spreadsheets/d/1Lhp9OU0JdFf_VYSMzH5lBcEaU4o8teT1piV-SNzShjg/edit?gid=554141278#gid=554141278"", ""'Char Def. - Attributes'!C20:C2242""), 1,false)"),"PLANT_BUY")</f>
        <v>PLANT_BUY</v>
      </c>
      <c r="I12952" s="136"/>
      <c r="R12952" s="63" t="str">
        <f t="shared" si="60"/>
        <v>ZSI1_PWR_TRANSMISNPLANT_BUY</v>
      </c>
    </row>
    <row r="12953" ht="15.75" customHeight="1">
      <c r="B12953" s="63">
        <f t="shared" si="1"/>
        <v>18</v>
      </c>
      <c r="C12953" s="135" t="s">
        <v>299</v>
      </c>
      <c r="D12953" s="161" t="s">
        <v>74</v>
      </c>
      <c r="E12953" s="135">
        <f t="shared" si="62"/>
        <v>8</v>
      </c>
      <c r="F12953" s="134" t="s">
        <v>5285</v>
      </c>
      <c r="G12953" s="63" t="str">
        <f>VLOOKUP(C12953, 'Class Def. - General Data'!$C$20:$C$1000,1,false)</f>
        <v>ZSI1_PWR_TRANSMISN</v>
      </c>
      <c r="H12953" s="63" t="str">
        <f>IFERROR(__xludf.DUMMYFUNCTION("VLOOKUP(F12953, IMPORTRANGE(""https://docs.google.com/spreadsheets/d/1Lhp9OU0JdFf_VYSMzH5lBcEaU4o8teT1piV-SNzShjg/edit?gid=554141278#gid=554141278"", ""'Char Def. - Attributes'!C20:C2242""), 1,false)"),"BASE_UOM_PWR_TRANSMISN")</f>
        <v>BASE_UOM_PWR_TRANSMISN</v>
      </c>
      <c r="I12953" s="136"/>
      <c r="R12953" s="63" t="str">
        <f t="shared" si="60"/>
        <v>ZSI1_PWR_TRANSMISNBASE_UOM_PWR_TRANSMISN</v>
      </c>
    </row>
    <row r="12954" ht="15.75" customHeight="1">
      <c r="B12954" s="63">
        <f t="shared" si="1"/>
        <v>18</v>
      </c>
      <c r="C12954" s="135" t="s">
        <v>299</v>
      </c>
      <c r="D12954" s="161" t="s">
        <v>74</v>
      </c>
      <c r="E12954" s="135">
        <f t="shared" si="62"/>
        <v>9</v>
      </c>
      <c r="F12954" s="134" t="s">
        <v>5286</v>
      </c>
      <c r="G12954" s="63" t="str">
        <f>VLOOKUP(C12954, 'Class Def. - General Data'!$C$20:$C$1000,1,false)</f>
        <v>ZSI1_PWR_TRANSMISN</v>
      </c>
      <c r="H12954" s="63" t="str">
        <f>IFERROR(__xludf.DUMMYFUNCTION("VLOOKUP(F12954, IMPORTRANGE(""https://docs.google.com/spreadsheets/d/1Lhp9OU0JdFf_VYSMzH5lBcEaU4o8teT1piV-SNzShjg/edit?gid=554141278#gid=554141278"", ""'Char Def. - Attributes'!C20:C2242""), 1,false)"),"ORDER_UNIT_PWR_TRANSMISN")</f>
        <v>ORDER_UNIT_PWR_TRANSMISN</v>
      </c>
      <c r="I12954" s="136"/>
      <c r="R12954" s="63" t="str">
        <f t="shared" si="60"/>
        <v>ZSI1_PWR_TRANSMISNORDER_UNIT_PWR_TRANSMISN</v>
      </c>
    </row>
    <row r="12955" ht="15.75" customHeight="1">
      <c r="B12955" s="63">
        <f t="shared" si="1"/>
        <v>18</v>
      </c>
      <c r="C12955" s="135" t="s">
        <v>299</v>
      </c>
      <c r="D12955" s="161" t="s">
        <v>74</v>
      </c>
      <c r="E12955" s="135">
        <f t="shared" si="62"/>
        <v>10</v>
      </c>
      <c r="F12955" s="134" t="s">
        <v>4056</v>
      </c>
      <c r="G12955" s="63" t="str">
        <f>VLOOKUP(C12955, 'Class Def. - General Data'!$C$20:$C$1000,1,false)</f>
        <v>ZSI1_PWR_TRANSMISN</v>
      </c>
      <c r="H12955" s="63" t="str">
        <f>IFERROR(__xludf.DUMMYFUNCTION("VLOOKUP(F12955, IMPORTRANGE(""https://docs.google.com/spreadsheets/d/1Lhp9OU0JdFf_VYSMzH5lBcEaU4o8teT1piV-SNzShjg/edit?gid=554141278#gid=554141278"", ""'Char Def. - Attributes'!C20:C2242""), 1,false)"),"GROSS_WEIGHT_OPT")</f>
        <v>GROSS_WEIGHT_OPT</v>
      </c>
      <c r="I12955" s="136"/>
      <c r="R12955" s="63" t="str">
        <f t="shared" si="60"/>
        <v>ZSI1_PWR_TRANSMISNGROSS_WEIGHT_OPT</v>
      </c>
    </row>
    <row r="12956" ht="15.75" customHeight="1">
      <c r="B12956" s="63">
        <f t="shared" si="1"/>
        <v>18</v>
      </c>
      <c r="C12956" s="135" t="s">
        <v>299</v>
      </c>
      <c r="D12956" s="161" t="s">
        <v>74</v>
      </c>
      <c r="E12956" s="135">
        <f t="shared" si="62"/>
        <v>11</v>
      </c>
      <c r="F12956" s="134" t="s">
        <v>4057</v>
      </c>
      <c r="G12956" s="63" t="str">
        <f>VLOOKUP(C12956, 'Class Def. - General Data'!$C$20:$C$1000,1,false)</f>
        <v>ZSI1_PWR_TRANSMISN</v>
      </c>
      <c r="H12956" s="63" t="str">
        <f>IFERROR(__xludf.DUMMYFUNCTION("VLOOKUP(F12956, IMPORTRANGE(""https://docs.google.com/spreadsheets/d/1Lhp9OU0JdFf_VYSMzH5lBcEaU4o8teT1piV-SNzShjg/edit?gid=554141278#gid=554141278"", ""'Char Def. - Attributes'!C20:C2242""), 1,false)"),"NET_WEIGHT_OPT")</f>
        <v>NET_WEIGHT_OPT</v>
      </c>
      <c r="I12956" s="136"/>
      <c r="R12956" s="63" t="str">
        <f t="shared" si="60"/>
        <v>ZSI1_PWR_TRANSMISNNET_WEIGHT_OPT</v>
      </c>
    </row>
    <row r="12957" ht="15.75" customHeight="1">
      <c r="B12957" s="63">
        <f t="shared" si="1"/>
        <v>18</v>
      </c>
      <c r="C12957" s="135" t="s">
        <v>299</v>
      </c>
      <c r="D12957" s="161" t="s">
        <v>74</v>
      </c>
      <c r="E12957" s="135">
        <f t="shared" si="62"/>
        <v>12</v>
      </c>
      <c r="F12957" s="134" t="s">
        <v>4058</v>
      </c>
      <c r="G12957" s="63" t="str">
        <f>VLOOKUP(C12957, 'Class Def. - General Data'!$C$20:$C$1000,1,false)</f>
        <v>ZSI1_PWR_TRANSMISN</v>
      </c>
      <c r="H12957" s="63" t="str">
        <f>IFERROR(__xludf.DUMMYFUNCTION("VLOOKUP(F12957, IMPORTRANGE(""https://docs.google.com/spreadsheets/d/1Lhp9OU0JdFf_VYSMzH5lBcEaU4o8teT1piV-SNzShjg/edit?gid=554141278#gid=554141278"", ""'Char Def. - Attributes'!C20:C2242""), 1,false)"),"WEIGHT_UNIT_SI")</f>
        <v>WEIGHT_UNIT_SI</v>
      </c>
      <c r="I12957" s="136"/>
      <c r="R12957" s="63" t="str">
        <f t="shared" si="60"/>
        <v>ZSI1_PWR_TRANSMISNWEIGHT_UNIT_SI</v>
      </c>
    </row>
    <row r="12958" ht="15.75" customHeight="1">
      <c r="B12958" s="63">
        <f t="shared" si="1"/>
        <v>18</v>
      </c>
      <c r="C12958" s="135" t="s">
        <v>299</v>
      </c>
      <c r="D12958" s="161" t="s">
        <v>74</v>
      </c>
      <c r="E12958" s="135">
        <f t="shared" si="62"/>
        <v>13</v>
      </c>
      <c r="F12958" s="134" t="s">
        <v>3877</v>
      </c>
      <c r="G12958" s="63" t="str">
        <f>VLOOKUP(C12958, 'Class Def. - General Data'!$C$20:$C$1000,1,false)</f>
        <v>ZSI1_PWR_TRANSMISN</v>
      </c>
      <c r="H12958" s="63" t="str">
        <f>IFERROR(__xludf.DUMMYFUNCTION("VLOOKUP(F12958, IMPORTRANGE(""https://docs.google.com/spreadsheets/d/1Lhp9OU0JdFf_VYSMzH5lBcEaU4o8teT1piV-SNzShjg/edit?gid=554141278#gid=554141278"", ""'Char Def. - Attributes'!C20:C2242""), 1,false)"),"VOLUME_OPT")</f>
        <v>VOLUME_OPT</v>
      </c>
      <c r="I12958" s="136"/>
      <c r="R12958" s="63" t="str">
        <f t="shared" si="60"/>
        <v>ZSI1_PWR_TRANSMISNVOLUME_OPT</v>
      </c>
    </row>
    <row r="12959" ht="15.75" customHeight="1">
      <c r="B12959" s="63">
        <f t="shared" si="1"/>
        <v>18</v>
      </c>
      <c r="C12959" s="135" t="s">
        <v>299</v>
      </c>
      <c r="D12959" s="161" t="s">
        <v>74</v>
      </c>
      <c r="E12959" s="135">
        <f t="shared" si="62"/>
        <v>14</v>
      </c>
      <c r="F12959" s="134" t="s">
        <v>4059</v>
      </c>
      <c r="G12959" s="63" t="str">
        <f>VLOOKUP(C12959, 'Class Def. - General Data'!$C$20:$C$1000,1,false)</f>
        <v>ZSI1_PWR_TRANSMISN</v>
      </c>
      <c r="H12959" s="63" t="str">
        <f>IFERROR(__xludf.DUMMYFUNCTION("VLOOKUP(F12959, IMPORTRANGE(""https://docs.google.com/spreadsheets/d/1Lhp9OU0JdFf_VYSMzH5lBcEaU4o8teT1piV-SNzShjg/edit?gid=554141278#gid=554141278"", ""'Char Def. - Attributes'!C20:C2242""), 1,false)"),"VOLUME_UNIT_SI")</f>
        <v>VOLUME_UNIT_SI</v>
      </c>
      <c r="I12959" s="136"/>
      <c r="R12959" s="63" t="str">
        <f t="shared" si="60"/>
        <v>ZSI1_PWR_TRANSMISNVOLUME_UNIT_SI</v>
      </c>
    </row>
    <row r="12960" ht="15.75" customHeight="1">
      <c r="B12960" s="63">
        <f t="shared" si="1"/>
        <v>18</v>
      </c>
      <c r="C12960" s="135" t="s">
        <v>299</v>
      </c>
      <c r="D12960" s="161" t="s">
        <v>74</v>
      </c>
      <c r="E12960" s="135">
        <f t="shared" si="62"/>
        <v>15</v>
      </c>
      <c r="F12960" s="134" t="s">
        <v>3804</v>
      </c>
      <c r="G12960" s="63" t="str">
        <f>VLOOKUP(C12960, 'Class Def. - General Data'!$C$20:$C$1000,1,false)</f>
        <v>ZSI1_PWR_TRANSMISN</v>
      </c>
      <c r="H12960" s="63" t="str">
        <f>IFERROR(__xludf.DUMMYFUNCTION("VLOOKUP(F12960, IMPORTRANGE(""https://docs.google.com/spreadsheets/d/1Lhp9OU0JdFf_VYSMzH5lBcEaU4o8teT1piV-SNzShjg/edit?gid=554141278#gid=554141278"", ""'Char Def. - Attributes'!C20:C2242""), 1,false)"),"ALT_UOM1_SIPI")</f>
        <v>ALT_UOM1_SIPI</v>
      </c>
      <c r="I12960" s="136"/>
      <c r="R12960" s="63" t="str">
        <f t="shared" si="60"/>
        <v>ZSI1_PWR_TRANSMISNALT_UOM1_SIPI</v>
      </c>
    </row>
    <row r="12961" ht="15.75" customHeight="1">
      <c r="B12961" s="63">
        <f t="shared" si="1"/>
        <v>18</v>
      </c>
      <c r="C12961" s="135" t="s">
        <v>299</v>
      </c>
      <c r="D12961" s="161" t="s">
        <v>74</v>
      </c>
      <c r="E12961" s="135">
        <f t="shared" si="62"/>
        <v>16</v>
      </c>
      <c r="F12961" s="134" t="s">
        <v>3805</v>
      </c>
      <c r="G12961" s="63" t="str">
        <f>VLOOKUP(C12961, 'Class Def. - General Data'!$C$20:$C$1000,1,false)</f>
        <v>ZSI1_PWR_TRANSMISN</v>
      </c>
      <c r="H12961" s="63" t="str">
        <f>IFERROR(__xludf.DUMMYFUNCTION("VLOOKUP(F12961, IMPORTRANGE(""https://docs.google.com/spreadsheets/d/1Lhp9OU0JdFf_VYSMzH5lBcEaU4o8teT1piV-SNzShjg/edit?gid=554141278#gid=554141278"", ""'Char Def. - Attributes'!C20:C2242""), 1,false)"),"ALT_DENUM_UOM1")</f>
        <v>ALT_DENUM_UOM1</v>
      </c>
      <c r="I12961" s="136"/>
      <c r="R12961" s="63" t="str">
        <f t="shared" si="60"/>
        <v>ZSI1_PWR_TRANSMISNALT_DENUM_UOM1</v>
      </c>
    </row>
    <row r="12962" ht="15.75" customHeight="1">
      <c r="B12962" s="63">
        <f t="shared" si="1"/>
        <v>18</v>
      </c>
      <c r="C12962" s="135" t="s">
        <v>299</v>
      </c>
      <c r="D12962" s="161" t="s">
        <v>74</v>
      </c>
      <c r="E12962" s="135">
        <f t="shared" si="62"/>
        <v>17</v>
      </c>
      <c r="F12962" s="134" t="s">
        <v>3806</v>
      </c>
      <c r="G12962" s="63" t="str">
        <f>VLOOKUP(C12962, 'Class Def. - General Data'!$C$20:$C$1000,1,false)</f>
        <v>ZSI1_PWR_TRANSMISN</v>
      </c>
      <c r="H12962" s="63" t="str">
        <f>IFERROR(__xludf.DUMMYFUNCTION("VLOOKUP(F12962, IMPORTRANGE(""https://docs.google.com/spreadsheets/d/1Lhp9OU0JdFf_VYSMzH5lBcEaU4o8teT1piV-SNzShjg/edit?gid=554141278#gid=554141278"", ""'Char Def. - Attributes'!C20:C2242""), 1,false)"),"ALT_NUM_UOM1")</f>
        <v>ALT_NUM_UOM1</v>
      </c>
      <c r="I12962" s="136"/>
      <c r="R12962" s="63" t="str">
        <f t="shared" si="60"/>
        <v>ZSI1_PWR_TRANSMISNALT_NUM_UOM1</v>
      </c>
    </row>
    <row r="12963" ht="15.75" customHeight="1">
      <c r="B12963" s="63">
        <f t="shared" si="1"/>
        <v>18</v>
      </c>
      <c r="C12963" s="135" t="s">
        <v>299</v>
      </c>
      <c r="D12963" s="161" t="s">
        <v>74</v>
      </c>
      <c r="E12963" s="135">
        <f t="shared" si="62"/>
        <v>18</v>
      </c>
      <c r="F12963" s="134" t="s">
        <v>3807</v>
      </c>
      <c r="G12963" s="63" t="str">
        <f>VLOOKUP(C12963, 'Class Def. - General Data'!$C$20:$C$1000,1,false)</f>
        <v>ZSI1_PWR_TRANSMISN</v>
      </c>
      <c r="H12963" s="63" t="str">
        <f>IFERROR(__xludf.DUMMYFUNCTION("VLOOKUP(F12963, IMPORTRANGE(""https://docs.google.com/spreadsheets/d/1Lhp9OU0JdFf_VYSMzH5lBcEaU4o8teT1piV-SNzShjg/edit?gid=554141278#gid=554141278"", ""'Char Def. - Attributes'!C20:C2242""), 1,false)"),"ALT_UOM2_SIPI")</f>
        <v>ALT_UOM2_SIPI</v>
      </c>
      <c r="I12963" s="136"/>
      <c r="R12963" s="63" t="str">
        <f t="shared" si="60"/>
        <v>ZSI1_PWR_TRANSMISNALT_UOM2_SIPI</v>
      </c>
    </row>
    <row r="12964" ht="15.75" customHeight="1">
      <c r="B12964" s="63">
        <f t="shared" si="1"/>
        <v>18</v>
      </c>
      <c r="C12964" s="135" t="s">
        <v>299</v>
      </c>
      <c r="D12964" s="161" t="s">
        <v>74</v>
      </c>
      <c r="E12964" s="135">
        <f t="shared" si="62"/>
        <v>19</v>
      </c>
      <c r="F12964" s="134" t="s">
        <v>3808</v>
      </c>
      <c r="G12964" s="63" t="str">
        <f>VLOOKUP(C12964, 'Class Def. - General Data'!$C$20:$C$1000,1,false)</f>
        <v>ZSI1_PWR_TRANSMISN</v>
      </c>
      <c r="H12964" s="63" t="str">
        <f>IFERROR(__xludf.DUMMYFUNCTION("VLOOKUP(F12964, IMPORTRANGE(""https://docs.google.com/spreadsheets/d/1Lhp9OU0JdFf_VYSMzH5lBcEaU4o8teT1piV-SNzShjg/edit?gid=554141278#gid=554141278"", ""'Char Def. - Attributes'!C20:C2242""), 1,false)"),"ALT_DENUM_UOM2")</f>
        <v>ALT_DENUM_UOM2</v>
      </c>
      <c r="I12964" s="136"/>
      <c r="R12964" s="63" t="str">
        <f t="shared" si="60"/>
        <v>ZSI1_PWR_TRANSMISNALT_DENUM_UOM2</v>
      </c>
    </row>
    <row r="12965" ht="15.75" customHeight="1">
      <c r="B12965" s="63">
        <f t="shared" si="1"/>
        <v>18</v>
      </c>
      <c r="C12965" s="135" t="s">
        <v>299</v>
      </c>
      <c r="D12965" s="161" t="s">
        <v>74</v>
      </c>
      <c r="E12965" s="135">
        <f t="shared" si="62"/>
        <v>20</v>
      </c>
      <c r="F12965" s="134" t="s">
        <v>3809</v>
      </c>
      <c r="G12965" s="63" t="str">
        <f>VLOOKUP(C12965, 'Class Def. - General Data'!$C$20:$C$1000,1,false)</f>
        <v>ZSI1_PWR_TRANSMISN</v>
      </c>
      <c r="H12965" s="63" t="str">
        <f>IFERROR(__xludf.DUMMYFUNCTION("VLOOKUP(F12965, IMPORTRANGE(""https://docs.google.com/spreadsheets/d/1Lhp9OU0JdFf_VYSMzH5lBcEaU4o8teT1piV-SNzShjg/edit?gid=554141278#gid=554141278"", ""'Char Def. - Attributes'!C20:C2242""), 1,false)"),"ALT_NUM_UOM2")</f>
        <v>ALT_NUM_UOM2</v>
      </c>
      <c r="I12965" s="136"/>
      <c r="R12965" s="63" t="str">
        <f t="shared" si="60"/>
        <v>ZSI1_PWR_TRANSMISNALT_NUM_UOM2</v>
      </c>
    </row>
    <row r="12966" ht="15.75" customHeight="1">
      <c r="B12966" s="63">
        <f t="shared" si="1"/>
        <v>18</v>
      </c>
      <c r="C12966" s="135" t="s">
        <v>299</v>
      </c>
      <c r="D12966" s="161" t="s">
        <v>74</v>
      </c>
      <c r="E12966" s="135">
        <f t="shared" si="62"/>
        <v>21</v>
      </c>
      <c r="F12966" s="134" t="s">
        <v>3810</v>
      </c>
      <c r="G12966" s="63" t="str">
        <f>VLOOKUP(C12966, 'Class Def. - General Data'!$C$20:$C$1000,1,false)</f>
        <v>ZSI1_PWR_TRANSMISN</v>
      </c>
      <c r="H12966" s="63" t="str">
        <f>IFERROR(__xludf.DUMMYFUNCTION("VLOOKUP(F12966, IMPORTRANGE(""https://docs.google.com/spreadsheets/d/1Lhp9OU0JdFf_VYSMzH5lBcEaU4o8teT1piV-SNzShjg/edit?gid=554141278#gid=554141278"", ""'Char Def. - Attributes'!C20:C2242""), 1,false)"),"ALT_UOM3_SIPI")</f>
        <v>ALT_UOM3_SIPI</v>
      </c>
      <c r="I12966" s="136"/>
      <c r="R12966" s="63" t="str">
        <f t="shared" si="60"/>
        <v>ZSI1_PWR_TRANSMISNALT_UOM3_SIPI</v>
      </c>
    </row>
    <row r="12967" ht="15.75" customHeight="1">
      <c r="B12967" s="63">
        <f t="shared" si="1"/>
        <v>18</v>
      </c>
      <c r="C12967" s="135" t="s">
        <v>299</v>
      </c>
      <c r="D12967" s="161" t="s">
        <v>74</v>
      </c>
      <c r="E12967" s="135">
        <f t="shared" si="62"/>
        <v>22</v>
      </c>
      <c r="F12967" s="134" t="s">
        <v>3811</v>
      </c>
      <c r="G12967" s="63" t="str">
        <f>VLOOKUP(C12967, 'Class Def. - General Data'!$C$20:$C$1000,1,false)</f>
        <v>ZSI1_PWR_TRANSMISN</v>
      </c>
      <c r="H12967" s="63" t="str">
        <f>IFERROR(__xludf.DUMMYFUNCTION("VLOOKUP(F12967, IMPORTRANGE(""https://docs.google.com/spreadsheets/d/1Lhp9OU0JdFf_VYSMzH5lBcEaU4o8teT1piV-SNzShjg/edit?gid=554141278#gid=554141278"", ""'Char Def. - Attributes'!C20:C2242""), 1,false)"),"ALT_DENUM_UOM3")</f>
        <v>ALT_DENUM_UOM3</v>
      </c>
      <c r="I12967" s="136"/>
      <c r="R12967" s="63" t="str">
        <f t="shared" si="60"/>
        <v>ZSI1_PWR_TRANSMISNALT_DENUM_UOM3</v>
      </c>
    </row>
    <row r="12968" ht="15.75" customHeight="1">
      <c r="B12968" s="63">
        <f t="shared" si="1"/>
        <v>18</v>
      </c>
      <c r="C12968" s="135" t="s">
        <v>299</v>
      </c>
      <c r="D12968" s="161" t="s">
        <v>74</v>
      </c>
      <c r="E12968" s="135">
        <f t="shared" si="62"/>
        <v>23</v>
      </c>
      <c r="F12968" s="134" t="s">
        <v>3812</v>
      </c>
      <c r="G12968" s="63" t="str">
        <f>VLOOKUP(C12968, 'Class Def. - General Data'!$C$20:$C$1000,1,false)</f>
        <v>ZSI1_PWR_TRANSMISN</v>
      </c>
      <c r="H12968" s="63" t="str">
        <f>IFERROR(__xludf.DUMMYFUNCTION("VLOOKUP(F12968, IMPORTRANGE(""https://docs.google.com/spreadsheets/d/1Lhp9OU0JdFf_VYSMzH5lBcEaU4o8teT1piV-SNzShjg/edit?gid=554141278#gid=554141278"", ""'Char Def. - Attributes'!C20:C2242""), 1,false)"),"ALT_NUM_UOM3")</f>
        <v>ALT_NUM_UOM3</v>
      </c>
      <c r="I12968" s="136"/>
      <c r="R12968" s="63" t="str">
        <f t="shared" si="60"/>
        <v>ZSI1_PWR_TRANSMISNALT_NUM_UOM3</v>
      </c>
    </row>
    <row r="12969" ht="15.75" customHeight="1">
      <c r="B12969" s="63">
        <f t="shared" si="1"/>
        <v>18</v>
      </c>
      <c r="C12969" s="135" t="s">
        <v>299</v>
      </c>
      <c r="D12969" s="161" t="s">
        <v>74</v>
      </c>
      <c r="E12969" s="135">
        <f t="shared" si="62"/>
        <v>24</v>
      </c>
      <c r="F12969" s="134" t="s">
        <v>3813</v>
      </c>
      <c r="G12969" s="63" t="str">
        <f>VLOOKUP(C12969, 'Class Def. - General Data'!$C$20:$C$1000,1,false)</f>
        <v>ZSI1_PWR_TRANSMISN</v>
      </c>
      <c r="H12969" s="63" t="str">
        <f>IFERROR(__xludf.DUMMYFUNCTION("VLOOKUP(F12969, IMPORTRANGE(""https://docs.google.com/spreadsheets/d/1Lhp9OU0JdFf_VYSMzH5lBcEaU4o8teT1piV-SNzShjg/edit?gid=554141278#gid=554141278"", ""'Char Def. - Attributes'!C20:C2242""), 1,false)"),"ALT_UOM4_SIPI")</f>
        <v>ALT_UOM4_SIPI</v>
      </c>
      <c r="I12969" s="136"/>
      <c r="R12969" s="63" t="str">
        <f t="shared" si="60"/>
        <v>ZSI1_PWR_TRANSMISNALT_UOM4_SIPI</v>
      </c>
    </row>
    <row r="12970" ht="15.75" customHeight="1">
      <c r="B12970" s="63">
        <f t="shared" si="1"/>
        <v>18</v>
      </c>
      <c r="C12970" s="135" t="s">
        <v>299</v>
      </c>
      <c r="D12970" s="161" t="s">
        <v>74</v>
      </c>
      <c r="E12970" s="135">
        <f t="shared" si="62"/>
        <v>25</v>
      </c>
      <c r="F12970" s="134" t="s">
        <v>3814</v>
      </c>
      <c r="G12970" s="63" t="str">
        <f>VLOOKUP(C12970, 'Class Def. - General Data'!$C$20:$C$1000,1,false)</f>
        <v>ZSI1_PWR_TRANSMISN</v>
      </c>
      <c r="H12970" s="63" t="str">
        <f>IFERROR(__xludf.DUMMYFUNCTION("VLOOKUP(F12970, IMPORTRANGE(""https://docs.google.com/spreadsheets/d/1Lhp9OU0JdFf_VYSMzH5lBcEaU4o8teT1piV-SNzShjg/edit?gid=554141278#gid=554141278"", ""'Char Def. - Attributes'!C20:C2242""), 1,false)"),"ALT_DENUM_UOM4")</f>
        <v>ALT_DENUM_UOM4</v>
      </c>
      <c r="I12970" s="136"/>
      <c r="R12970" s="63" t="str">
        <f t="shared" si="60"/>
        <v>ZSI1_PWR_TRANSMISNALT_DENUM_UOM4</v>
      </c>
    </row>
    <row r="12971" ht="15.75" customHeight="1">
      <c r="B12971" s="63">
        <f t="shared" si="1"/>
        <v>18</v>
      </c>
      <c r="C12971" s="135" t="s">
        <v>299</v>
      </c>
      <c r="D12971" s="161" t="s">
        <v>74</v>
      </c>
      <c r="E12971" s="135">
        <f t="shared" si="62"/>
        <v>26</v>
      </c>
      <c r="F12971" s="134" t="s">
        <v>3815</v>
      </c>
      <c r="G12971" s="63" t="str">
        <f>VLOOKUP(C12971, 'Class Def. - General Data'!$C$20:$C$1000,1,false)</f>
        <v>ZSI1_PWR_TRANSMISN</v>
      </c>
      <c r="H12971" s="63" t="str">
        <f>IFERROR(__xludf.DUMMYFUNCTION("VLOOKUP(F12971, IMPORTRANGE(""https://docs.google.com/spreadsheets/d/1Lhp9OU0JdFf_VYSMzH5lBcEaU4o8teT1piV-SNzShjg/edit?gid=554141278#gid=554141278"", ""'Char Def. - Attributes'!C20:C2242""), 1,false)"),"ALT_NUM_UOM4")</f>
        <v>ALT_NUM_UOM4</v>
      </c>
      <c r="I12971" s="136"/>
      <c r="R12971" s="63" t="str">
        <f t="shared" si="60"/>
        <v>ZSI1_PWR_TRANSMISNALT_NUM_UOM4</v>
      </c>
    </row>
    <row r="12972" ht="15.75" customHeight="1">
      <c r="B12972" s="63">
        <f t="shared" si="1"/>
        <v>18</v>
      </c>
      <c r="C12972" s="135" t="s">
        <v>299</v>
      </c>
      <c r="D12972" s="161" t="s">
        <v>74</v>
      </c>
      <c r="E12972" s="135">
        <f t="shared" si="62"/>
        <v>27</v>
      </c>
      <c r="F12972" s="134" t="s">
        <v>3816</v>
      </c>
      <c r="G12972" s="63" t="str">
        <f>VLOOKUP(C12972, 'Class Def. - General Data'!$C$20:$C$1000,1,false)</f>
        <v>ZSI1_PWR_TRANSMISN</v>
      </c>
      <c r="H12972" s="63" t="str">
        <f>IFERROR(__xludf.DUMMYFUNCTION("VLOOKUP(F12972, IMPORTRANGE(""https://docs.google.com/spreadsheets/d/1Lhp9OU0JdFf_VYSMzH5lBcEaU4o8teT1piV-SNzShjg/edit?gid=554141278#gid=554141278"", ""'Char Def. - Attributes'!C20:C2242""), 1,false)"),"ALT_UOM5_SIPI")</f>
        <v>ALT_UOM5_SIPI</v>
      </c>
      <c r="I12972" s="136"/>
      <c r="R12972" s="63" t="str">
        <f t="shared" si="60"/>
        <v>ZSI1_PWR_TRANSMISNALT_UOM5_SIPI</v>
      </c>
    </row>
    <row r="12973" ht="15.75" customHeight="1">
      <c r="B12973" s="63">
        <f t="shared" si="1"/>
        <v>18</v>
      </c>
      <c r="C12973" s="135" t="s">
        <v>299</v>
      </c>
      <c r="D12973" s="161" t="s">
        <v>74</v>
      </c>
      <c r="E12973" s="135">
        <f t="shared" si="62"/>
        <v>28</v>
      </c>
      <c r="F12973" s="134" t="s">
        <v>3817</v>
      </c>
      <c r="G12973" s="63" t="str">
        <f>VLOOKUP(C12973, 'Class Def. - General Data'!$C$20:$C$1000,1,false)</f>
        <v>ZSI1_PWR_TRANSMISN</v>
      </c>
      <c r="H12973" s="63" t="str">
        <f>IFERROR(__xludf.DUMMYFUNCTION("VLOOKUP(F12973, IMPORTRANGE(""https://docs.google.com/spreadsheets/d/1Lhp9OU0JdFf_VYSMzH5lBcEaU4o8teT1piV-SNzShjg/edit?gid=554141278#gid=554141278"", ""'Char Def. - Attributes'!C20:C2242""), 1,false)"),"ALT_DENUM_UOM5")</f>
        <v>ALT_DENUM_UOM5</v>
      </c>
      <c r="I12973" s="136"/>
      <c r="R12973" s="63" t="str">
        <f t="shared" si="60"/>
        <v>ZSI1_PWR_TRANSMISNALT_DENUM_UOM5</v>
      </c>
    </row>
    <row r="12974" ht="15.75" customHeight="1">
      <c r="B12974" s="63">
        <f t="shared" si="1"/>
        <v>18</v>
      </c>
      <c r="C12974" s="135" t="s">
        <v>299</v>
      </c>
      <c r="D12974" s="161" t="s">
        <v>74</v>
      </c>
      <c r="E12974" s="135">
        <f t="shared" si="62"/>
        <v>29</v>
      </c>
      <c r="F12974" s="134" t="s">
        <v>3818</v>
      </c>
      <c r="G12974" s="63" t="str">
        <f>VLOOKUP(C12974, 'Class Def. - General Data'!$C$20:$C$1000,1,false)</f>
        <v>ZSI1_PWR_TRANSMISN</v>
      </c>
      <c r="H12974" s="63" t="str">
        <f>IFERROR(__xludf.DUMMYFUNCTION("VLOOKUP(F12974, IMPORTRANGE(""https://docs.google.com/spreadsheets/d/1Lhp9OU0JdFf_VYSMzH5lBcEaU4o8teT1piV-SNzShjg/edit?gid=554141278#gid=554141278"", ""'Char Def. - Attributes'!C20:C2242""), 1,false)"),"ALT_NUM_UOM5")</f>
        <v>ALT_NUM_UOM5</v>
      </c>
      <c r="I12974" s="136"/>
      <c r="R12974" s="63" t="str">
        <f t="shared" si="60"/>
        <v>ZSI1_PWR_TRANSMISNALT_NUM_UOM5</v>
      </c>
    </row>
    <row r="12975" ht="15.75" customHeight="1">
      <c r="B12975" s="63">
        <f t="shared" si="1"/>
        <v>12</v>
      </c>
      <c r="C12975" s="75" t="s">
        <v>5287</v>
      </c>
      <c r="D12975" s="161" t="s">
        <v>74</v>
      </c>
      <c r="E12975" s="135">
        <f t="shared" si="62"/>
        <v>1</v>
      </c>
      <c r="F12975" s="134" t="s">
        <v>5288</v>
      </c>
      <c r="G12975" s="63" t="str">
        <f>VLOOKUP(C12975, 'Class Def. - General Data'!$C$20:$C$1000,1,false)</f>
        <v>#N/A</v>
      </c>
      <c r="H12975" s="63" t="str">
        <f>IFERROR(__xludf.DUMMYFUNCTION("VLOOKUP(F12975, IMPORTRANGE(""https://docs.google.com/spreadsheets/d/1Lhp9OU0JdFf_VYSMzH5lBcEaU4o8teT1piV-SNzShjg/edit?gid=554141278#gid=554141278"", ""'Char Def. - Attributes'!C20:C2242""), 1,false)"),"#N/A")</f>
        <v>#N/A</v>
      </c>
      <c r="I12975" s="136"/>
      <c r="R12975" s="63" t="str">
        <f t="shared" si="60"/>
        <v>ZSI1_RACKINGITEM_NAME_RACKING</v>
      </c>
    </row>
    <row r="12976" ht="15.75" customHeight="1">
      <c r="B12976" s="63">
        <f t="shared" si="1"/>
        <v>12</v>
      </c>
      <c r="C12976" s="75" t="s">
        <v>5287</v>
      </c>
      <c r="D12976" s="161" t="s">
        <v>74</v>
      </c>
      <c r="E12976" s="135">
        <f t="shared" si="62"/>
        <v>2</v>
      </c>
      <c r="F12976" s="134" t="s">
        <v>5289</v>
      </c>
      <c r="G12976" s="63" t="str">
        <f>VLOOKUP(C12976, 'Class Def. - General Data'!$C$20:$C$1000,1,false)</f>
        <v>#N/A</v>
      </c>
      <c r="H12976" s="63" t="str">
        <f>IFERROR(__xludf.DUMMYFUNCTION("VLOOKUP(F12976, IMPORTRANGE(""https://docs.google.com/spreadsheets/d/1Lhp9OU0JdFf_VYSMzH5lBcEaU4o8teT1piV-SNzShjg/edit?gid=554141278#gid=554141278"", ""'Char Def. - Attributes'!C20:C2242""), 1,false)"),"#N/A")</f>
        <v>#N/A</v>
      </c>
      <c r="I12976" s="136"/>
      <c r="R12976" s="63" t="str">
        <f t="shared" si="60"/>
        <v>ZSI1_RACKINGTYPE_RACKING</v>
      </c>
    </row>
    <row r="12977" ht="15.75" customHeight="1">
      <c r="B12977" s="63">
        <f t="shared" si="1"/>
        <v>12</v>
      </c>
      <c r="C12977" s="75" t="s">
        <v>5287</v>
      </c>
      <c r="D12977" s="161" t="s">
        <v>74</v>
      </c>
      <c r="E12977" s="135">
        <f t="shared" si="62"/>
        <v>3</v>
      </c>
      <c r="F12977" s="134" t="s">
        <v>5290</v>
      </c>
      <c r="G12977" s="63" t="str">
        <f>VLOOKUP(C12977, 'Class Def. - General Data'!$C$20:$C$1000,1,false)</f>
        <v>#N/A</v>
      </c>
      <c r="H12977" s="63" t="str">
        <f>IFERROR(__xludf.DUMMYFUNCTION("VLOOKUP(F12977, IMPORTRANGE(""https://docs.google.com/spreadsheets/d/1Lhp9OU0JdFf_VYSMzH5lBcEaU4o8teT1piV-SNzShjg/edit?gid=554141278#gid=554141278"", ""'Char Def. - Attributes'!C20:C2242""), 1,false)"),"#N/A")</f>
        <v>#N/A</v>
      </c>
      <c r="I12977" s="136"/>
      <c r="R12977" s="63" t="str">
        <f t="shared" si="60"/>
        <v>ZSI1_RACKINGDIMENSION_UKURAN_RACKING</v>
      </c>
    </row>
    <row r="12978" ht="15.75" customHeight="1">
      <c r="B12978" s="63">
        <f t="shared" si="1"/>
        <v>12</v>
      </c>
      <c r="C12978" s="75" t="s">
        <v>5287</v>
      </c>
      <c r="D12978" s="161" t="s">
        <v>74</v>
      </c>
      <c r="E12978" s="135">
        <f t="shared" si="62"/>
        <v>4</v>
      </c>
      <c r="F12978" s="134" t="s">
        <v>5291</v>
      </c>
      <c r="G12978" s="63" t="str">
        <f>VLOOKUP(C12978, 'Class Def. - General Data'!$C$20:$C$1000,1,false)</f>
        <v>#N/A</v>
      </c>
      <c r="H12978" s="63" t="str">
        <f>IFERROR(__xludf.DUMMYFUNCTION("VLOOKUP(F12978, IMPORTRANGE(""https://docs.google.com/spreadsheets/d/1Lhp9OU0JdFf_VYSMzH5lBcEaU4o8teT1piV-SNzShjg/edit?gid=554141278#gid=554141278"", ""'Char Def. - Attributes'!C20:C2242""), 1,false)"),"#N/A")</f>
        <v>#N/A</v>
      </c>
      <c r="I12978" s="136"/>
      <c r="R12978" s="63" t="str">
        <f t="shared" si="60"/>
        <v>ZSI1_RACKINGHEIGHT_RACKING</v>
      </c>
    </row>
    <row r="12979" ht="15.75" customHeight="1">
      <c r="B12979" s="63">
        <f t="shared" si="1"/>
        <v>12</v>
      </c>
      <c r="C12979" s="75" t="s">
        <v>5287</v>
      </c>
      <c r="D12979" s="161" t="s">
        <v>74</v>
      </c>
      <c r="E12979" s="135">
        <f t="shared" si="62"/>
        <v>5</v>
      </c>
      <c r="F12979" s="134" t="s">
        <v>5292</v>
      </c>
      <c r="G12979" s="63" t="str">
        <f>VLOOKUP(C12979, 'Class Def. - General Data'!$C$20:$C$1000,1,false)</f>
        <v>#N/A</v>
      </c>
      <c r="H12979" s="63" t="str">
        <f>IFERROR(__xludf.DUMMYFUNCTION("VLOOKUP(F12979, IMPORTRANGE(""https://docs.google.com/spreadsheets/d/1Lhp9OU0JdFf_VYSMzH5lBcEaU4o8teT1piV-SNzShjg/edit?gid=554141278#gid=554141278"", ""'Char Def. - Attributes'!C20:C2242""), 1,false)"),"#N/A")</f>
        <v>#N/A</v>
      </c>
      <c r="I12979" s="136"/>
      <c r="R12979" s="63" t="str">
        <f t="shared" si="60"/>
        <v>ZSI1_RACKINGWIDTH_RACKING</v>
      </c>
    </row>
    <row r="12980" ht="15.75" customHeight="1">
      <c r="B12980" s="63">
        <f t="shared" si="1"/>
        <v>12</v>
      </c>
      <c r="C12980" s="75" t="s">
        <v>5287</v>
      </c>
      <c r="D12980" s="161" t="s">
        <v>74</v>
      </c>
      <c r="E12980" s="135">
        <f t="shared" si="62"/>
        <v>6</v>
      </c>
      <c r="F12980" s="134" t="s">
        <v>5293</v>
      </c>
      <c r="G12980" s="63" t="str">
        <f>VLOOKUP(C12980, 'Class Def. - General Data'!$C$20:$C$1000,1,false)</f>
        <v>#N/A</v>
      </c>
      <c r="H12980" s="63" t="str">
        <f>IFERROR(__xludf.DUMMYFUNCTION("VLOOKUP(F12980, IMPORTRANGE(""https://docs.google.com/spreadsheets/d/1Lhp9OU0JdFf_VYSMzH5lBcEaU4o8teT1piV-SNzShjg/edit?gid=554141278#gid=554141278"", ""'Char Def. - Attributes'!C20:C2242""), 1,false)"),"#N/A")</f>
        <v>#N/A</v>
      </c>
      <c r="I12980" s="136"/>
      <c r="R12980" s="63" t="str">
        <f t="shared" si="60"/>
        <v>ZSI1_RACKINGLENGTH_RACKING</v>
      </c>
    </row>
    <row r="12981" ht="15.75" customHeight="1">
      <c r="B12981" s="63">
        <f t="shared" si="1"/>
        <v>12</v>
      </c>
      <c r="C12981" s="75" t="s">
        <v>5287</v>
      </c>
      <c r="D12981" s="161" t="s">
        <v>74</v>
      </c>
      <c r="E12981" s="135">
        <f t="shared" si="62"/>
        <v>7</v>
      </c>
      <c r="F12981" s="134" t="s">
        <v>3585</v>
      </c>
      <c r="G12981" s="63" t="str">
        <f>VLOOKUP(C12981, 'Class Def. - General Data'!$C$20:$C$1000,1,false)</f>
        <v>#N/A</v>
      </c>
      <c r="H12981" s="63" t="str">
        <f>IFERROR(__xludf.DUMMYFUNCTION("VLOOKUP(F12981, IMPORTRANGE(""https://docs.google.com/spreadsheets/d/1Lhp9OU0JdFf_VYSMzH5lBcEaU4o8teT1piV-SNzShjg/edit?gid=554141278#gid=554141278"", ""'Char Def. - Attributes'!C20:C2242""), 1,false)"),"HS_CODE")</f>
        <v>HS_CODE</v>
      </c>
      <c r="I12981" s="136"/>
      <c r="R12981" s="63" t="str">
        <f t="shared" si="60"/>
        <v>ZSI1_RACKINGHS_CODE</v>
      </c>
    </row>
    <row r="12982" ht="15.75" customHeight="1">
      <c r="B12982" s="63">
        <f t="shared" si="1"/>
        <v>12</v>
      </c>
      <c r="C12982" s="75" t="s">
        <v>5287</v>
      </c>
      <c r="D12982" s="161" t="s">
        <v>74</v>
      </c>
      <c r="E12982" s="135">
        <f t="shared" si="62"/>
        <v>8</v>
      </c>
      <c r="F12982" s="134" t="s">
        <v>3587</v>
      </c>
      <c r="G12982" s="63" t="str">
        <f>VLOOKUP(C12982, 'Class Def. - General Data'!$C$20:$C$1000,1,false)</f>
        <v>#N/A</v>
      </c>
      <c r="H12982" s="63" t="str">
        <f>IFERROR(__xludf.DUMMYFUNCTION("VLOOKUP(F12982, IMPORTRANGE(""https://docs.google.com/spreadsheets/d/1Lhp9OU0JdFf_VYSMzH5lBcEaU4o8teT1piV-SNzShjg/edit?gid=554141278#gid=554141278"", ""'Char Def. - Attributes'!C20:C2242""), 1,false)"),"PLANT_BUY")</f>
        <v>PLANT_BUY</v>
      </c>
      <c r="I12982" s="136"/>
      <c r="R12982" s="63" t="str">
        <f t="shared" si="60"/>
        <v>ZSI1_RACKINGPLANT_BUY</v>
      </c>
    </row>
    <row r="12983" ht="15.75" customHeight="1">
      <c r="B12983" s="63">
        <f t="shared" si="1"/>
        <v>12</v>
      </c>
      <c r="C12983" s="75" t="s">
        <v>5287</v>
      </c>
      <c r="D12983" s="161" t="s">
        <v>74</v>
      </c>
      <c r="E12983" s="135">
        <f t="shared" si="62"/>
        <v>9</v>
      </c>
      <c r="F12983" s="134" t="s">
        <v>5294</v>
      </c>
      <c r="G12983" s="63" t="str">
        <f>VLOOKUP(C12983, 'Class Def. - General Data'!$C$20:$C$1000,1,false)</f>
        <v>#N/A</v>
      </c>
      <c r="H12983" s="63" t="str">
        <f>IFERROR(__xludf.DUMMYFUNCTION("VLOOKUP(F12983, IMPORTRANGE(""https://docs.google.com/spreadsheets/d/1Lhp9OU0JdFf_VYSMzH5lBcEaU4o8teT1piV-SNzShjg/edit?gid=554141278#gid=554141278"", ""'Char Def. - Attributes'!C20:C2242""), 1,false)"),"#N/A")</f>
        <v>#N/A</v>
      </c>
      <c r="I12983" s="136"/>
      <c r="R12983" s="63" t="str">
        <f t="shared" si="60"/>
        <v>ZSI1_RACKINGBASE_UOM_RACKING</v>
      </c>
    </row>
    <row r="12984" ht="15.75" customHeight="1">
      <c r="B12984" s="63">
        <f t="shared" si="1"/>
        <v>12</v>
      </c>
      <c r="C12984" s="75" t="s">
        <v>5287</v>
      </c>
      <c r="D12984" s="161" t="s">
        <v>74</v>
      </c>
      <c r="E12984" s="135">
        <f t="shared" si="62"/>
        <v>10</v>
      </c>
      <c r="F12984" s="134" t="s">
        <v>5295</v>
      </c>
      <c r="G12984" s="63" t="str">
        <f>VLOOKUP(C12984, 'Class Def. - General Data'!$C$20:$C$1000,1,false)</f>
        <v>#N/A</v>
      </c>
      <c r="H12984" s="63" t="str">
        <f>IFERROR(__xludf.DUMMYFUNCTION("VLOOKUP(F12984, IMPORTRANGE(""https://docs.google.com/spreadsheets/d/1Lhp9OU0JdFf_VYSMzH5lBcEaU4o8teT1piV-SNzShjg/edit?gid=554141278#gid=554141278"", ""'Char Def. - Attributes'!C20:C2242""), 1,false)"),"#N/A")</f>
        <v>#N/A</v>
      </c>
      <c r="I12984" s="136"/>
      <c r="R12984" s="63" t="str">
        <f t="shared" si="60"/>
        <v>ZSI1_RACKINGORDER_UNIT_RACKING</v>
      </c>
    </row>
    <row r="12985" ht="15.75" customHeight="1">
      <c r="B12985" s="63">
        <f t="shared" si="1"/>
        <v>12</v>
      </c>
      <c r="C12985" s="75" t="s">
        <v>5287</v>
      </c>
      <c r="D12985" s="161" t="s">
        <v>74</v>
      </c>
      <c r="E12985" s="135">
        <f t="shared" si="62"/>
        <v>11</v>
      </c>
      <c r="F12985" s="134" t="s">
        <v>3804</v>
      </c>
      <c r="G12985" s="63" t="str">
        <f>VLOOKUP(C12985, 'Class Def. - General Data'!$C$20:$C$1000,1,false)</f>
        <v>#N/A</v>
      </c>
      <c r="H12985" s="63" t="str">
        <f>IFERROR(__xludf.DUMMYFUNCTION("VLOOKUP(F12985, IMPORTRANGE(""https://docs.google.com/spreadsheets/d/1Lhp9OU0JdFf_VYSMzH5lBcEaU4o8teT1piV-SNzShjg/edit?gid=554141278#gid=554141278"", ""'Char Def. - Attributes'!C20:C2242""), 1,false)"),"ALT_UOM1_SIPI")</f>
        <v>ALT_UOM1_SIPI</v>
      </c>
      <c r="I12985" s="136"/>
      <c r="R12985" s="63" t="str">
        <f t="shared" si="60"/>
        <v>ZSI1_RACKINGALT_UOM1_SIPI</v>
      </c>
    </row>
    <row r="12986" ht="15.75" customHeight="1">
      <c r="B12986" s="63">
        <f t="shared" si="1"/>
        <v>12</v>
      </c>
      <c r="C12986" s="75" t="s">
        <v>5287</v>
      </c>
      <c r="D12986" s="161" t="s">
        <v>74</v>
      </c>
      <c r="E12986" s="135">
        <f t="shared" si="62"/>
        <v>12</v>
      </c>
      <c r="F12986" s="134" t="s">
        <v>3805</v>
      </c>
      <c r="G12986" s="63" t="str">
        <f>VLOOKUP(C12986, 'Class Def. - General Data'!$C$20:$C$1000,1,false)</f>
        <v>#N/A</v>
      </c>
      <c r="H12986" s="63" t="str">
        <f>IFERROR(__xludf.DUMMYFUNCTION("VLOOKUP(F12986, IMPORTRANGE(""https://docs.google.com/spreadsheets/d/1Lhp9OU0JdFf_VYSMzH5lBcEaU4o8teT1piV-SNzShjg/edit?gid=554141278#gid=554141278"", ""'Char Def. - Attributes'!C20:C2242""), 1,false)"),"ALT_DENUM_UOM1")</f>
        <v>ALT_DENUM_UOM1</v>
      </c>
      <c r="I12986" s="136"/>
      <c r="R12986" s="63" t="str">
        <f t="shared" si="60"/>
        <v>ZSI1_RACKINGALT_DENUM_UOM1</v>
      </c>
    </row>
    <row r="12987" ht="15.75" customHeight="1">
      <c r="B12987" s="63">
        <f t="shared" si="1"/>
        <v>12</v>
      </c>
      <c r="C12987" s="75" t="s">
        <v>5287</v>
      </c>
      <c r="D12987" s="161" t="s">
        <v>74</v>
      </c>
      <c r="E12987" s="135">
        <f t="shared" si="62"/>
        <v>13</v>
      </c>
      <c r="F12987" s="134" t="s">
        <v>3806</v>
      </c>
      <c r="G12987" s="63" t="str">
        <f>VLOOKUP(C12987, 'Class Def. - General Data'!$C$20:$C$1000,1,false)</f>
        <v>#N/A</v>
      </c>
      <c r="H12987" s="63" t="str">
        <f>IFERROR(__xludf.DUMMYFUNCTION("VLOOKUP(F12987, IMPORTRANGE(""https://docs.google.com/spreadsheets/d/1Lhp9OU0JdFf_VYSMzH5lBcEaU4o8teT1piV-SNzShjg/edit?gid=554141278#gid=554141278"", ""'Char Def. - Attributes'!C20:C2242""), 1,false)"),"ALT_NUM_UOM1")</f>
        <v>ALT_NUM_UOM1</v>
      </c>
      <c r="I12987" s="136"/>
      <c r="R12987" s="63" t="str">
        <f t="shared" si="60"/>
        <v>ZSI1_RACKINGALT_NUM_UOM1</v>
      </c>
    </row>
    <row r="12988" ht="15.75" customHeight="1">
      <c r="B12988" s="63">
        <f t="shared" si="1"/>
        <v>12</v>
      </c>
      <c r="C12988" s="75" t="s">
        <v>5287</v>
      </c>
      <c r="D12988" s="161" t="s">
        <v>74</v>
      </c>
      <c r="E12988" s="135">
        <f t="shared" si="62"/>
        <v>14</v>
      </c>
      <c r="F12988" s="134" t="s">
        <v>3807</v>
      </c>
      <c r="G12988" s="63" t="str">
        <f>VLOOKUP(C12988, 'Class Def. - General Data'!$C$20:$C$1000,1,false)</f>
        <v>#N/A</v>
      </c>
      <c r="H12988" s="63" t="str">
        <f>IFERROR(__xludf.DUMMYFUNCTION("VLOOKUP(F12988, IMPORTRANGE(""https://docs.google.com/spreadsheets/d/1Lhp9OU0JdFf_VYSMzH5lBcEaU4o8teT1piV-SNzShjg/edit?gid=554141278#gid=554141278"", ""'Char Def. - Attributes'!C20:C2242""), 1,false)"),"ALT_UOM2_SIPI")</f>
        <v>ALT_UOM2_SIPI</v>
      </c>
      <c r="I12988" s="136"/>
      <c r="R12988" s="63" t="str">
        <f t="shared" si="60"/>
        <v>ZSI1_RACKINGALT_UOM2_SIPI</v>
      </c>
    </row>
    <row r="12989" ht="15.75" customHeight="1">
      <c r="B12989" s="63">
        <f t="shared" si="1"/>
        <v>12</v>
      </c>
      <c r="C12989" s="75" t="s">
        <v>5287</v>
      </c>
      <c r="D12989" s="161" t="s">
        <v>74</v>
      </c>
      <c r="E12989" s="135">
        <f t="shared" si="62"/>
        <v>15</v>
      </c>
      <c r="F12989" s="134" t="s">
        <v>3808</v>
      </c>
      <c r="G12989" s="63" t="str">
        <f>VLOOKUP(C12989, 'Class Def. - General Data'!$C$20:$C$1000,1,false)</f>
        <v>#N/A</v>
      </c>
      <c r="H12989" s="63" t="str">
        <f>IFERROR(__xludf.DUMMYFUNCTION("VLOOKUP(F12989, IMPORTRANGE(""https://docs.google.com/spreadsheets/d/1Lhp9OU0JdFf_VYSMzH5lBcEaU4o8teT1piV-SNzShjg/edit?gid=554141278#gid=554141278"", ""'Char Def. - Attributes'!C20:C2242""), 1,false)"),"ALT_DENUM_UOM2")</f>
        <v>ALT_DENUM_UOM2</v>
      </c>
      <c r="I12989" s="136"/>
      <c r="R12989" s="63" t="str">
        <f t="shared" si="60"/>
        <v>ZSI1_RACKINGALT_DENUM_UOM2</v>
      </c>
    </row>
    <row r="12990" ht="15.75" customHeight="1">
      <c r="B12990" s="63">
        <f t="shared" si="1"/>
        <v>12</v>
      </c>
      <c r="C12990" s="75" t="s">
        <v>5287</v>
      </c>
      <c r="D12990" s="161" t="s">
        <v>74</v>
      </c>
      <c r="E12990" s="135">
        <f t="shared" si="62"/>
        <v>16</v>
      </c>
      <c r="F12990" s="134" t="s">
        <v>3809</v>
      </c>
      <c r="G12990" s="63" t="str">
        <f>VLOOKUP(C12990, 'Class Def. - General Data'!$C$20:$C$1000,1,false)</f>
        <v>#N/A</v>
      </c>
      <c r="H12990" s="63" t="str">
        <f>IFERROR(__xludf.DUMMYFUNCTION("VLOOKUP(F12990, IMPORTRANGE(""https://docs.google.com/spreadsheets/d/1Lhp9OU0JdFf_VYSMzH5lBcEaU4o8teT1piV-SNzShjg/edit?gid=554141278#gid=554141278"", ""'Char Def. - Attributes'!C20:C2242""), 1,false)"),"ALT_NUM_UOM2")</f>
        <v>ALT_NUM_UOM2</v>
      </c>
      <c r="I12990" s="136"/>
      <c r="R12990" s="63" t="str">
        <f t="shared" si="60"/>
        <v>ZSI1_RACKINGALT_NUM_UOM2</v>
      </c>
    </row>
    <row r="12991" ht="15.75" customHeight="1">
      <c r="B12991" s="63">
        <f t="shared" si="1"/>
        <v>12</v>
      </c>
      <c r="C12991" s="75" t="s">
        <v>5287</v>
      </c>
      <c r="D12991" s="161" t="s">
        <v>74</v>
      </c>
      <c r="E12991" s="135">
        <f t="shared" si="62"/>
        <v>17</v>
      </c>
      <c r="F12991" s="134" t="s">
        <v>3810</v>
      </c>
      <c r="G12991" s="63" t="str">
        <f>VLOOKUP(C12991, 'Class Def. - General Data'!$C$20:$C$1000,1,false)</f>
        <v>#N/A</v>
      </c>
      <c r="H12991" s="63" t="str">
        <f>IFERROR(__xludf.DUMMYFUNCTION("VLOOKUP(F12991, IMPORTRANGE(""https://docs.google.com/spreadsheets/d/1Lhp9OU0JdFf_VYSMzH5lBcEaU4o8teT1piV-SNzShjg/edit?gid=554141278#gid=554141278"", ""'Char Def. - Attributes'!C20:C2242""), 1,false)"),"ALT_UOM3_SIPI")</f>
        <v>ALT_UOM3_SIPI</v>
      </c>
      <c r="I12991" s="136"/>
      <c r="R12991" s="63" t="str">
        <f t="shared" si="60"/>
        <v>ZSI1_RACKINGALT_UOM3_SIPI</v>
      </c>
    </row>
    <row r="12992" ht="15.75" customHeight="1">
      <c r="B12992" s="63">
        <f t="shared" si="1"/>
        <v>12</v>
      </c>
      <c r="C12992" s="75" t="s">
        <v>5287</v>
      </c>
      <c r="D12992" s="161" t="s">
        <v>74</v>
      </c>
      <c r="E12992" s="135">
        <f t="shared" si="62"/>
        <v>18</v>
      </c>
      <c r="F12992" s="134" t="s">
        <v>3811</v>
      </c>
      <c r="G12992" s="63" t="str">
        <f>VLOOKUP(C12992, 'Class Def. - General Data'!$C$20:$C$1000,1,false)</f>
        <v>#N/A</v>
      </c>
      <c r="H12992" s="63" t="str">
        <f>IFERROR(__xludf.DUMMYFUNCTION("VLOOKUP(F12992, IMPORTRANGE(""https://docs.google.com/spreadsheets/d/1Lhp9OU0JdFf_VYSMzH5lBcEaU4o8teT1piV-SNzShjg/edit?gid=554141278#gid=554141278"", ""'Char Def. - Attributes'!C20:C2242""), 1,false)"),"ALT_DENUM_UOM3")</f>
        <v>ALT_DENUM_UOM3</v>
      </c>
      <c r="I12992" s="136"/>
      <c r="R12992" s="63" t="str">
        <f t="shared" si="60"/>
        <v>ZSI1_RACKINGALT_DENUM_UOM3</v>
      </c>
    </row>
    <row r="12993" ht="15.75" customHeight="1">
      <c r="B12993" s="63">
        <f t="shared" si="1"/>
        <v>12</v>
      </c>
      <c r="C12993" s="75" t="s">
        <v>5287</v>
      </c>
      <c r="D12993" s="161" t="s">
        <v>74</v>
      </c>
      <c r="E12993" s="135">
        <f t="shared" si="62"/>
        <v>19</v>
      </c>
      <c r="F12993" s="134" t="s">
        <v>3812</v>
      </c>
      <c r="G12993" s="63" t="str">
        <f>VLOOKUP(C12993, 'Class Def. - General Data'!$C$20:$C$1000,1,false)</f>
        <v>#N/A</v>
      </c>
      <c r="H12993" s="63" t="str">
        <f>IFERROR(__xludf.DUMMYFUNCTION("VLOOKUP(F12993, IMPORTRANGE(""https://docs.google.com/spreadsheets/d/1Lhp9OU0JdFf_VYSMzH5lBcEaU4o8teT1piV-SNzShjg/edit?gid=554141278#gid=554141278"", ""'Char Def. - Attributes'!C20:C2242""), 1,false)"),"ALT_NUM_UOM3")</f>
        <v>ALT_NUM_UOM3</v>
      </c>
      <c r="I12993" s="136"/>
      <c r="R12993" s="63" t="str">
        <f t="shared" si="60"/>
        <v>ZSI1_RACKINGALT_NUM_UOM3</v>
      </c>
    </row>
    <row r="12994" ht="15.75" customHeight="1">
      <c r="B12994" s="63">
        <f t="shared" si="1"/>
        <v>12</v>
      </c>
      <c r="C12994" s="75" t="s">
        <v>5287</v>
      </c>
      <c r="D12994" s="161" t="s">
        <v>74</v>
      </c>
      <c r="E12994" s="135">
        <f t="shared" si="62"/>
        <v>20</v>
      </c>
      <c r="F12994" s="134" t="s">
        <v>3813</v>
      </c>
      <c r="G12994" s="63" t="str">
        <f>VLOOKUP(C12994, 'Class Def. - General Data'!$C$20:$C$1000,1,false)</f>
        <v>#N/A</v>
      </c>
      <c r="H12994" s="63" t="str">
        <f>IFERROR(__xludf.DUMMYFUNCTION("VLOOKUP(F12994, IMPORTRANGE(""https://docs.google.com/spreadsheets/d/1Lhp9OU0JdFf_VYSMzH5lBcEaU4o8teT1piV-SNzShjg/edit?gid=554141278#gid=554141278"", ""'Char Def. - Attributes'!C20:C2242""), 1,false)"),"ALT_UOM4_SIPI")</f>
        <v>ALT_UOM4_SIPI</v>
      </c>
      <c r="I12994" s="136"/>
      <c r="R12994" s="63" t="str">
        <f t="shared" si="60"/>
        <v>ZSI1_RACKINGALT_UOM4_SIPI</v>
      </c>
    </row>
    <row r="12995" ht="15.75" customHeight="1">
      <c r="B12995" s="63">
        <f t="shared" si="1"/>
        <v>12</v>
      </c>
      <c r="C12995" s="75" t="s">
        <v>5287</v>
      </c>
      <c r="D12995" s="161" t="s">
        <v>74</v>
      </c>
      <c r="E12995" s="135">
        <f t="shared" si="62"/>
        <v>21</v>
      </c>
      <c r="F12995" s="134" t="s">
        <v>3814</v>
      </c>
      <c r="G12995" s="63" t="str">
        <f>VLOOKUP(C12995, 'Class Def. - General Data'!$C$20:$C$1000,1,false)</f>
        <v>#N/A</v>
      </c>
      <c r="H12995" s="63" t="str">
        <f>IFERROR(__xludf.DUMMYFUNCTION("VLOOKUP(F12995, IMPORTRANGE(""https://docs.google.com/spreadsheets/d/1Lhp9OU0JdFf_VYSMzH5lBcEaU4o8teT1piV-SNzShjg/edit?gid=554141278#gid=554141278"", ""'Char Def. - Attributes'!C20:C2242""), 1,false)"),"ALT_DENUM_UOM4")</f>
        <v>ALT_DENUM_UOM4</v>
      </c>
      <c r="I12995" s="136"/>
      <c r="R12995" s="63" t="str">
        <f t="shared" si="60"/>
        <v>ZSI1_RACKINGALT_DENUM_UOM4</v>
      </c>
    </row>
    <row r="12996" ht="15.75" customHeight="1">
      <c r="B12996" s="63">
        <f t="shared" si="1"/>
        <v>12</v>
      </c>
      <c r="C12996" s="75" t="s">
        <v>5287</v>
      </c>
      <c r="D12996" s="161" t="s">
        <v>74</v>
      </c>
      <c r="E12996" s="135">
        <f t="shared" si="62"/>
        <v>22</v>
      </c>
      <c r="F12996" s="134" t="s">
        <v>3815</v>
      </c>
      <c r="G12996" s="63" t="str">
        <f>VLOOKUP(C12996, 'Class Def. - General Data'!$C$20:$C$1000,1,false)</f>
        <v>#N/A</v>
      </c>
      <c r="H12996" s="63" t="str">
        <f>IFERROR(__xludf.DUMMYFUNCTION("VLOOKUP(F12996, IMPORTRANGE(""https://docs.google.com/spreadsheets/d/1Lhp9OU0JdFf_VYSMzH5lBcEaU4o8teT1piV-SNzShjg/edit?gid=554141278#gid=554141278"", ""'Char Def. - Attributes'!C20:C2242""), 1,false)"),"ALT_NUM_UOM4")</f>
        <v>ALT_NUM_UOM4</v>
      </c>
      <c r="I12996" s="136"/>
      <c r="R12996" s="63" t="str">
        <f t="shared" si="60"/>
        <v>ZSI1_RACKINGALT_NUM_UOM4</v>
      </c>
    </row>
    <row r="12997" ht="15.75" customHeight="1">
      <c r="B12997" s="63">
        <f t="shared" si="1"/>
        <v>12</v>
      </c>
      <c r="C12997" s="75" t="s">
        <v>5287</v>
      </c>
      <c r="D12997" s="161" t="s">
        <v>74</v>
      </c>
      <c r="E12997" s="135">
        <f t="shared" si="62"/>
        <v>23</v>
      </c>
      <c r="F12997" s="134" t="s">
        <v>3816</v>
      </c>
      <c r="G12997" s="63" t="str">
        <f>VLOOKUP(C12997, 'Class Def. - General Data'!$C$20:$C$1000,1,false)</f>
        <v>#N/A</v>
      </c>
      <c r="H12997" s="63" t="str">
        <f>IFERROR(__xludf.DUMMYFUNCTION("VLOOKUP(F12997, IMPORTRANGE(""https://docs.google.com/spreadsheets/d/1Lhp9OU0JdFf_VYSMzH5lBcEaU4o8teT1piV-SNzShjg/edit?gid=554141278#gid=554141278"", ""'Char Def. - Attributes'!C20:C2242""), 1,false)"),"ALT_UOM5_SIPI")</f>
        <v>ALT_UOM5_SIPI</v>
      </c>
      <c r="I12997" s="136"/>
      <c r="R12997" s="63" t="str">
        <f t="shared" si="60"/>
        <v>ZSI1_RACKINGALT_UOM5_SIPI</v>
      </c>
    </row>
    <row r="12998" ht="15.75" customHeight="1">
      <c r="B12998" s="63">
        <f t="shared" si="1"/>
        <v>12</v>
      </c>
      <c r="C12998" s="75" t="s">
        <v>5287</v>
      </c>
      <c r="D12998" s="161" t="s">
        <v>74</v>
      </c>
      <c r="E12998" s="135">
        <f t="shared" si="62"/>
        <v>24</v>
      </c>
      <c r="F12998" s="134" t="s">
        <v>3817</v>
      </c>
      <c r="G12998" s="63" t="str">
        <f>VLOOKUP(C12998, 'Class Def. - General Data'!$C$20:$C$1000,1,false)</f>
        <v>#N/A</v>
      </c>
      <c r="H12998" s="63" t="str">
        <f>IFERROR(__xludf.DUMMYFUNCTION("VLOOKUP(F12998, IMPORTRANGE(""https://docs.google.com/spreadsheets/d/1Lhp9OU0JdFf_VYSMzH5lBcEaU4o8teT1piV-SNzShjg/edit?gid=554141278#gid=554141278"", ""'Char Def. - Attributes'!C20:C2242""), 1,false)"),"ALT_DENUM_UOM5")</f>
        <v>ALT_DENUM_UOM5</v>
      </c>
      <c r="I12998" s="136"/>
      <c r="R12998" s="63" t="str">
        <f t="shared" si="60"/>
        <v>ZSI1_RACKINGALT_DENUM_UOM5</v>
      </c>
    </row>
    <row r="12999" ht="15.75" customHeight="1">
      <c r="B12999" s="63">
        <f t="shared" si="1"/>
        <v>12</v>
      </c>
      <c r="C12999" s="75" t="s">
        <v>5287</v>
      </c>
      <c r="D12999" s="161" t="s">
        <v>74</v>
      </c>
      <c r="E12999" s="135">
        <f t="shared" si="62"/>
        <v>25</v>
      </c>
      <c r="F12999" s="134" t="s">
        <v>3818</v>
      </c>
      <c r="G12999" s="63" t="str">
        <f>VLOOKUP(C12999, 'Class Def. - General Data'!$C$20:$C$1000,1,false)</f>
        <v>#N/A</v>
      </c>
      <c r="H12999" s="63" t="str">
        <f>IFERROR(__xludf.DUMMYFUNCTION("VLOOKUP(F12999, IMPORTRANGE(""https://docs.google.com/spreadsheets/d/1Lhp9OU0JdFf_VYSMzH5lBcEaU4o8teT1piV-SNzShjg/edit?gid=554141278#gid=554141278"", ""'Char Def. - Attributes'!C20:C2242""), 1,false)"),"ALT_NUM_UOM5")</f>
        <v>ALT_NUM_UOM5</v>
      </c>
      <c r="I12999" s="136"/>
      <c r="R12999" s="63" t="str">
        <f t="shared" si="60"/>
        <v>ZSI1_RACKINGALT_NUM_UOM5</v>
      </c>
    </row>
    <row r="13000" ht="15.75" customHeight="1">
      <c r="B13000" s="63">
        <f t="shared" si="1"/>
        <v>16</v>
      </c>
      <c r="C13000" s="135" t="s">
        <v>451</v>
      </c>
      <c r="D13000" s="161" t="s">
        <v>74</v>
      </c>
      <c r="E13000" s="135">
        <f t="shared" si="62"/>
        <v>1</v>
      </c>
      <c r="F13000" s="134" t="s">
        <v>5296</v>
      </c>
      <c r="G13000" s="63" t="str">
        <f>VLOOKUP(C13000, 'Class Def. - General Data'!$C$20:$C$1000,1,false)</f>
        <v>ZSI1_REAGEN_INDC</v>
      </c>
      <c r="H13000" s="63" t="str">
        <f>IFERROR(__xludf.DUMMYFUNCTION("VLOOKUP(F13000, IMPORTRANGE(""https://docs.google.com/spreadsheets/d/1Lhp9OU0JdFf_VYSMzH5lBcEaU4o8teT1piV-SNzShjg/edit?gid=554141278#gid=554141278"", ""'Char Def. - Attributes'!C20:C2242""), 1,false)"),"ITEM_NAME_REAGEN_INDC")</f>
        <v>ITEM_NAME_REAGEN_INDC</v>
      </c>
      <c r="I13000" s="136"/>
      <c r="R13000" s="63" t="str">
        <f t="shared" si="60"/>
        <v>ZSI1_REAGEN_INDCITEM_NAME_REAGEN_INDC</v>
      </c>
    </row>
    <row r="13001" ht="15.75" customHeight="1">
      <c r="B13001" s="63">
        <f t="shared" si="1"/>
        <v>16</v>
      </c>
      <c r="C13001" s="135" t="s">
        <v>451</v>
      </c>
      <c r="D13001" s="161" t="s">
        <v>74</v>
      </c>
      <c r="E13001" s="135">
        <f t="shared" si="62"/>
        <v>2</v>
      </c>
      <c r="F13001" s="134" t="s">
        <v>5297</v>
      </c>
      <c r="G13001" s="63" t="str">
        <f>VLOOKUP(C13001, 'Class Def. - General Data'!$C$20:$C$1000,1,false)</f>
        <v>ZSI1_REAGEN_INDC</v>
      </c>
      <c r="H13001" s="63" t="str">
        <f>IFERROR(__xludf.DUMMYFUNCTION("VLOOKUP(F13001, IMPORTRANGE(""https://docs.google.com/spreadsheets/d/1Lhp9OU0JdFf_VYSMzH5lBcEaU4o8teT1piV-SNzShjg/edit?gid=554141278#gid=554141278"", ""'Char Def. - Attributes'!C20:C2242""), 1,false)"),"CATALOGUE_NUMB_REAGEN_INDC")</f>
        <v>CATALOGUE_NUMB_REAGEN_INDC</v>
      </c>
      <c r="I13001" s="136"/>
      <c r="R13001" s="63" t="str">
        <f t="shared" si="60"/>
        <v>ZSI1_REAGEN_INDCCATALOGUE_NUMB_REAGEN_INDC</v>
      </c>
    </row>
    <row r="13002" ht="15.75" customHeight="1">
      <c r="B13002" s="63">
        <f t="shared" si="1"/>
        <v>16</v>
      </c>
      <c r="C13002" s="135" t="s">
        <v>451</v>
      </c>
      <c r="D13002" s="161" t="s">
        <v>74</v>
      </c>
      <c r="E13002" s="135">
        <f t="shared" si="62"/>
        <v>3</v>
      </c>
      <c r="F13002" s="134" t="s">
        <v>3782</v>
      </c>
      <c r="G13002" s="63" t="str">
        <f>VLOOKUP(C13002, 'Class Def. - General Data'!$C$20:$C$1000,1,false)</f>
        <v>ZSI1_REAGEN_INDC</v>
      </c>
      <c r="H13002" s="63" t="str">
        <f>IFERROR(__xludf.DUMMYFUNCTION("VLOOKUP(F13002, IMPORTRANGE(""https://docs.google.com/spreadsheets/d/1Lhp9OU0JdFf_VYSMzH5lBcEaU4o8teT1piV-SNzShjg/edit?gid=554141278#gid=554141278"", ""'Char Def. - Attributes'!C20:C2242""), 1,false)"),"BRAND_EXTERNAL")</f>
        <v>BRAND_EXTERNAL</v>
      </c>
      <c r="I13002" s="136"/>
      <c r="R13002" s="63" t="str">
        <f t="shared" si="60"/>
        <v>ZSI1_REAGEN_INDCBRAND_EXTERNAL</v>
      </c>
    </row>
    <row r="13003" ht="15.75" customHeight="1">
      <c r="B13003" s="63">
        <f t="shared" si="1"/>
        <v>16</v>
      </c>
      <c r="C13003" s="135" t="s">
        <v>451</v>
      </c>
      <c r="D13003" s="161" t="s">
        <v>74</v>
      </c>
      <c r="E13003" s="135">
        <f t="shared" si="62"/>
        <v>4</v>
      </c>
      <c r="F13003" s="134" t="s">
        <v>3585</v>
      </c>
      <c r="G13003" s="63" t="str">
        <f>VLOOKUP(C13003, 'Class Def. - General Data'!$C$20:$C$1000,1,false)</f>
        <v>ZSI1_REAGEN_INDC</v>
      </c>
      <c r="H13003" s="63" t="str">
        <f>IFERROR(__xludf.DUMMYFUNCTION("VLOOKUP(F13003, IMPORTRANGE(""https://docs.google.com/spreadsheets/d/1Lhp9OU0JdFf_VYSMzH5lBcEaU4o8teT1piV-SNzShjg/edit?gid=554141278#gid=554141278"", ""'Char Def. - Attributes'!C20:C2242""), 1,false)"),"HS_CODE")</f>
        <v>HS_CODE</v>
      </c>
      <c r="I13003" s="136"/>
      <c r="R13003" s="63" t="str">
        <f t="shared" si="60"/>
        <v>ZSI1_REAGEN_INDCHS_CODE</v>
      </c>
    </row>
    <row r="13004" ht="15.75" customHeight="1">
      <c r="B13004" s="63">
        <f t="shared" si="1"/>
        <v>16</v>
      </c>
      <c r="C13004" s="135" t="s">
        <v>451</v>
      </c>
      <c r="D13004" s="161" t="s">
        <v>74</v>
      </c>
      <c r="E13004" s="135">
        <f t="shared" si="62"/>
        <v>5</v>
      </c>
      <c r="F13004" s="134" t="s">
        <v>3587</v>
      </c>
      <c r="G13004" s="63" t="str">
        <f>VLOOKUP(C13004, 'Class Def. - General Data'!$C$20:$C$1000,1,false)</f>
        <v>ZSI1_REAGEN_INDC</v>
      </c>
      <c r="H13004" s="63" t="str">
        <f>IFERROR(__xludf.DUMMYFUNCTION("VLOOKUP(F13004, IMPORTRANGE(""https://docs.google.com/spreadsheets/d/1Lhp9OU0JdFf_VYSMzH5lBcEaU4o8teT1piV-SNzShjg/edit?gid=554141278#gid=554141278"", ""'Char Def. - Attributes'!C20:C2242""), 1,false)"),"PLANT_BUY")</f>
        <v>PLANT_BUY</v>
      </c>
      <c r="I13004" s="136"/>
      <c r="R13004" s="63" t="str">
        <f t="shared" si="60"/>
        <v>ZSI1_REAGEN_INDCPLANT_BUY</v>
      </c>
    </row>
    <row r="13005" ht="15.75" customHeight="1">
      <c r="B13005" s="63">
        <f t="shared" si="1"/>
        <v>16</v>
      </c>
      <c r="C13005" s="135" t="s">
        <v>451</v>
      </c>
      <c r="D13005" s="161" t="s">
        <v>74</v>
      </c>
      <c r="E13005" s="135">
        <f t="shared" si="62"/>
        <v>6</v>
      </c>
      <c r="F13005" s="134" t="s">
        <v>5298</v>
      </c>
      <c r="G13005" s="63" t="str">
        <f>VLOOKUP(C13005, 'Class Def. - General Data'!$C$20:$C$1000,1,false)</f>
        <v>ZSI1_REAGEN_INDC</v>
      </c>
      <c r="H13005" s="63" t="str">
        <f>IFERROR(__xludf.DUMMYFUNCTION("VLOOKUP(F13005, IMPORTRANGE(""https://docs.google.com/spreadsheets/d/1Lhp9OU0JdFf_VYSMzH5lBcEaU4o8teT1piV-SNzShjg/edit?gid=554141278#gid=554141278"", ""'Char Def. - Attributes'!C20:C2242""), 1,false)"),"BASE_UOM_REAGEN_INDC")</f>
        <v>BASE_UOM_REAGEN_INDC</v>
      </c>
      <c r="I13005" s="136"/>
      <c r="R13005" s="63" t="str">
        <f t="shared" si="60"/>
        <v>ZSI1_REAGEN_INDCBASE_UOM_REAGEN_INDC</v>
      </c>
    </row>
    <row r="13006" ht="15.75" customHeight="1">
      <c r="B13006" s="63">
        <f t="shared" si="1"/>
        <v>16</v>
      </c>
      <c r="C13006" s="135" t="s">
        <v>451</v>
      </c>
      <c r="D13006" s="161" t="s">
        <v>74</v>
      </c>
      <c r="E13006" s="135">
        <f t="shared" si="62"/>
        <v>7</v>
      </c>
      <c r="F13006" s="134" t="s">
        <v>5299</v>
      </c>
      <c r="G13006" s="63" t="str">
        <f>VLOOKUP(C13006, 'Class Def. - General Data'!$C$20:$C$1000,1,false)</f>
        <v>ZSI1_REAGEN_INDC</v>
      </c>
      <c r="H13006" s="63" t="str">
        <f>IFERROR(__xludf.DUMMYFUNCTION("VLOOKUP(F13006, IMPORTRANGE(""https://docs.google.com/spreadsheets/d/1Lhp9OU0JdFf_VYSMzH5lBcEaU4o8teT1piV-SNzShjg/edit?gid=554141278#gid=554141278"", ""'Char Def. - Attributes'!C20:C2242""), 1,false)"),"ORDER_UNIT_REAGEN_INDC")</f>
        <v>ORDER_UNIT_REAGEN_INDC</v>
      </c>
      <c r="I13006" s="136"/>
      <c r="R13006" s="63" t="str">
        <f t="shared" si="60"/>
        <v>ZSI1_REAGEN_INDCORDER_UNIT_REAGEN_INDC</v>
      </c>
    </row>
    <row r="13007" ht="15.75" customHeight="1">
      <c r="B13007" s="63">
        <f t="shared" si="1"/>
        <v>16</v>
      </c>
      <c r="C13007" s="135" t="s">
        <v>451</v>
      </c>
      <c r="D13007" s="161" t="s">
        <v>74</v>
      </c>
      <c r="E13007" s="135">
        <f t="shared" si="62"/>
        <v>8</v>
      </c>
      <c r="F13007" s="134" t="s">
        <v>4056</v>
      </c>
      <c r="G13007" s="63" t="str">
        <f>VLOOKUP(C13007, 'Class Def. - General Data'!$C$20:$C$1000,1,false)</f>
        <v>ZSI1_REAGEN_INDC</v>
      </c>
      <c r="H13007" s="63" t="str">
        <f>IFERROR(__xludf.DUMMYFUNCTION("VLOOKUP(F13007, IMPORTRANGE(""https://docs.google.com/spreadsheets/d/1Lhp9OU0JdFf_VYSMzH5lBcEaU4o8teT1piV-SNzShjg/edit?gid=554141278#gid=554141278"", ""'Char Def. - Attributes'!C20:C2242""), 1,false)"),"GROSS_WEIGHT_OPT")</f>
        <v>GROSS_WEIGHT_OPT</v>
      </c>
      <c r="I13007" s="136"/>
      <c r="R13007" s="63" t="str">
        <f t="shared" si="60"/>
        <v>ZSI1_REAGEN_INDCGROSS_WEIGHT_OPT</v>
      </c>
    </row>
    <row r="13008" ht="15.75" customHeight="1">
      <c r="B13008" s="63">
        <f t="shared" si="1"/>
        <v>16</v>
      </c>
      <c r="C13008" s="135" t="s">
        <v>451</v>
      </c>
      <c r="D13008" s="161" t="s">
        <v>74</v>
      </c>
      <c r="E13008" s="135">
        <f t="shared" si="62"/>
        <v>9</v>
      </c>
      <c r="F13008" s="134" t="s">
        <v>4057</v>
      </c>
      <c r="G13008" s="63" t="str">
        <f>VLOOKUP(C13008, 'Class Def. - General Data'!$C$20:$C$1000,1,false)</f>
        <v>ZSI1_REAGEN_INDC</v>
      </c>
      <c r="H13008" s="63" t="str">
        <f>IFERROR(__xludf.DUMMYFUNCTION("VLOOKUP(F13008, IMPORTRANGE(""https://docs.google.com/spreadsheets/d/1Lhp9OU0JdFf_VYSMzH5lBcEaU4o8teT1piV-SNzShjg/edit?gid=554141278#gid=554141278"", ""'Char Def. - Attributes'!C20:C2242""), 1,false)"),"NET_WEIGHT_OPT")</f>
        <v>NET_WEIGHT_OPT</v>
      </c>
      <c r="I13008" s="136"/>
      <c r="R13008" s="63" t="str">
        <f t="shared" si="60"/>
        <v>ZSI1_REAGEN_INDCNET_WEIGHT_OPT</v>
      </c>
    </row>
    <row r="13009" ht="15.75" customHeight="1">
      <c r="B13009" s="63">
        <f t="shared" si="1"/>
        <v>16</v>
      </c>
      <c r="C13009" s="135" t="s">
        <v>451</v>
      </c>
      <c r="D13009" s="161" t="s">
        <v>74</v>
      </c>
      <c r="E13009" s="135">
        <f t="shared" si="62"/>
        <v>10</v>
      </c>
      <c r="F13009" s="134" t="s">
        <v>4058</v>
      </c>
      <c r="G13009" s="63" t="str">
        <f>VLOOKUP(C13009, 'Class Def. - General Data'!$C$20:$C$1000,1,false)</f>
        <v>ZSI1_REAGEN_INDC</v>
      </c>
      <c r="H13009" s="63" t="str">
        <f>IFERROR(__xludf.DUMMYFUNCTION("VLOOKUP(F13009, IMPORTRANGE(""https://docs.google.com/spreadsheets/d/1Lhp9OU0JdFf_VYSMzH5lBcEaU4o8teT1piV-SNzShjg/edit?gid=554141278#gid=554141278"", ""'Char Def. - Attributes'!C20:C2242""), 1,false)"),"WEIGHT_UNIT_SI")</f>
        <v>WEIGHT_UNIT_SI</v>
      </c>
      <c r="I13009" s="136"/>
      <c r="R13009" s="63" t="str">
        <f t="shared" si="60"/>
        <v>ZSI1_REAGEN_INDCWEIGHT_UNIT_SI</v>
      </c>
    </row>
    <row r="13010" ht="15.75" customHeight="1">
      <c r="B13010" s="63">
        <f t="shared" si="1"/>
        <v>16</v>
      </c>
      <c r="C13010" s="135" t="s">
        <v>451</v>
      </c>
      <c r="D13010" s="161" t="s">
        <v>74</v>
      </c>
      <c r="E13010" s="135">
        <f t="shared" si="62"/>
        <v>11</v>
      </c>
      <c r="F13010" s="134" t="s">
        <v>3877</v>
      </c>
      <c r="G13010" s="63" t="str">
        <f>VLOOKUP(C13010, 'Class Def. - General Data'!$C$20:$C$1000,1,false)</f>
        <v>ZSI1_REAGEN_INDC</v>
      </c>
      <c r="H13010" s="63" t="str">
        <f>IFERROR(__xludf.DUMMYFUNCTION("VLOOKUP(F13010, IMPORTRANGE(""https://docs.google.com/spreadsheets/d/1Lhp9OU0JdFf_VYSMzH5lBcEaU4o8teT1piV-SNzShjg/edit?gid=554141278#gid=554141278"", ""'Char Def. - Attributes'!C20:C2242""), 1,false)"),"VOLUME_OPT")</f>
        <v>VOLUME_OPT</v>
      </c>
      <c r="I13010" s="136"/>
      <c r="R13010" s="63" t="str">
        <f t="shared" si="60"/>
        <v>ZSI1_REAGEN_INDCVOLUME_OPT</v>
      </c>
    </row>
    <row r="13011" ht="15.75" customHeight="1">
      <c r="B13011" s="63">
        <f t="shared" si="1"/>
        <v>16</v>
      </c>
      <c r="C13011" s="135" t="s">
        <v>451</v>
      </c>
      <c r="D13011" s="161" t="s">
        <v>74</v>
      </c>
      <c r="E13011" s="135">
        <f t="shared" si="62"/>
        <v>12</v>
      </c>
      <c r="F13011" s="134" t="s">
        <v>4059</v>
      </c>
      <c r="G13011" s="63" t="str">
        <f>VLOOKUP(C13011, 'Class Def. - General Data'!$C$20:$C$1000,1,false)</f>
        <v>ZSI1_REAGEN_INDC</v>
      </c>
      <c r="H13011" s="63" t="str">
        <f>IFERROR(__xludf.DUMMYFUNCTION("VLOOKUP(F13011, IMPORTRANGE(""https://docs.google.com/spreadsheets/d/1Lhp9OU0JdFf_VYSMzH5lBcEaU4o8teT1piV-SNzShjg/edit?gid=554141278#gid=554141278"", ""'Char Def. - Attributes'!C20:C2242""), 1,false)"),"VOLUME_UNIT_SI")</f>
        <v>VOLUME_UNIT_SI</v>
      </c>
      <c r="I13011" s="136"/>
      <c r="R13011" s="63" t="str">
        <f t="shared" si="60"/>
        <v>ZSI1_REAGEN_INDCVOLUME_UNIT_SI</v>
      </c>
    </row>
    <row r="13012" ht="15.75" customHeight="1">
      <c r="B13012" s="63">
        <f t="shared" si="1"/>
        <v>16</v>
      </c>
      <c r="C13012" s="135" t="s">
        <v>451</v>
      </c>
      <c r="D13012" s="161" t="s">
        <v>74</v>
      </c>
      <c r="E13012" s="135">
        <f t="shared" si="62"/>
        <v>13</v>
      </c>
      <c r="F13012" s="134" t="s">
        <v>3804</v>
      </c>
      <c r="G13012" s="63" t="str">
        <f>VLOOKUP(C13012, 'Class Def. - General Data'!$C$20:$C$1000,1,false)</f>
        <v>ZSI1_REAGEN_INDC</v>
      </c>
      <c r="H13012" s="63" t="str">
        <f>IFERROR(__xludf.DUMMYFUNCTION("VLOOKUP(F13012, IMPORTRANGE(""https://docs.google.com/spreadsheets/d/1Lhp9OU0JdFf_VYSMzH5lBcEaU4o8teT1piV-SNzShjg/edit?gid=554141278#gid=554141278"", ""'Char Def. - Attributes'!C20:C2242""), 1,false)"),"ALT_UOM1_SIPI")</f>
        <v>ALT_UOM1_SIPI</v>
      </c>
      <c r="I13012" s="136"/>
      <c r="R13012" s="63" t="str">
        <f t="shared" si="60"/>
        <v>ZSI1_REAGEN_INDCALT_UOM1_SIPI</v>
      </c>
    </row>
    <row r="13013" ht="15.75" customHeight="1">
      <c r="B13013" s="63">
        <f t="shared" si="1"/>
        <v>16</v>
      </c>
      <c r="C13013" s="135" t="s">
        <v>451</v>
      </c>
      <c r="D13013" s="161" t="s">
        <v>74</v>
      </c>
      <c r="E13013" s="135">
        <f t="shared" si="62"/>
        <v>14</v>
      </c>
      <c r="F13013" s="134" t="s">
        <v>3805</v>
      </c>
      <c r="G13013" s="63" t="str">
        <f>VLOOKUP(C13013, 'Class Def. - General Data'!$C$20:$C$1000,1,false)</f>
        <v>ZSI1_REAGEN_INDC</v>
      </c>
      <c r="H13013" s="63" t="str">
        <f>IFERROR(__xludf.DUMMYFUNCTION("VLOOKUP(F13013, IMPORTRANGE(""https://docs.google.com/spreadsheets/d/1Lhp9OU0JdFf_VYSMzH5lBcEaU4o8teT1piV-SNzShjg/edit?gid=554141278#gid=554141278"", ""'Char Def. - Attributes'!C20:C2242""), 1,false)"),"ALT_DENUM_UOM1")</f>
        <v>ALT_DENUM_UOM1</v>
      </c>
      <c r="I13013" s="136"/>
      <c r="R13013" s="63" t="str">
        <f t="shared" si="60"/>
        <v>ZSI1_REAGEN_INDCALT_DENUM_UOM1</v>
      </c>
    </row>
    <row r="13014" ht="15.75" customHeight="1">
      <c r="B13014" s="63">
        <f t="shared" si="1"/>
        <v>16</v>
      </c>
      <c r="C13014" s="135" t="s">
        <v>451</v>
      </c>
      <c r="D13014" s="161" t="s">
        <v>74</v>
      </c>
      <c r="E13014" s="135">
        <f t="shared" si="62"/>
        <v>15</v>
      </c>
      <c r="F13014" s="134" t="s">
        <v>3806</v>
      </c>
      <c r="G13014" s="63" t="str">
        <f>VLOOKUP(C13014, 'Class Def. - General Data'!$C$20:$C$1000,1,false)</f>
        <v>ZSI1_REAGEN_INDC</v>
      </c>
      <c r="H13014" s="63" t="str">
        <f>IFERROR(__xludf.DUMMYFUNCTION("VLOOKUP(F13014, IMPORTRANGE(""https://docs.google.com/spreadsheets/d/1Lhp9OU0JdFf_VYSMzH5lBcEaU4o8teT1piV-SNzShjg/edit?gid=554141278#gid=554141278"", ""'Char Def. - Attributes'!C20:C2242""), 1,false)"),"ALT_NUM_UOM1")</f>
        <v>ALT_NUM_UOM1</v>
      </c>
      <c r="I13014" s="136"/>
      <c r="R13014" s="63" t="str">
        <f t="shared" si="60"/>
        <v>ZSI1_REAGEN_INDCALT_NUM_UOM1</v>
      </c>
    </row>
    <row r="13015" ht="15.75" customHeight="1">
      <c r="B13015" s="63">
        <f t="shared" si="1"/>
        <v>16</v>
      </c>
      <c r="C13015" s="135" t="s">
        <v>451</v>
      </c>
      <c r="D13015" s="161" t="s">
        <v>74</v>
      </c>
      <c r="E13015" s="135">
        <f t="shared" si="62"/>
        <v>16</v>
      </c>
      <c r="F13015" s="134" t="s">
        <v>3807</v>
      </c>
      <c r="G13015" s="63" t="str">
        <f>VLOOKUP(C13015, 'Class Def. - General Data'!$C$20:$C$1000,1,false)</f>
        <v>ZSI1_REAGEN_INDC</v>
      </c>
      <c r="H13015" s="63" t="str">
        <f>IFERROR(__xludf.DUMMYFUNCTION("VLOOKUP(F13015, IMPORTRANGE(""https://docs.google.com/spreadsheets/d/1Lhp9OU0JdFf_VYSMzH5lBcEaU4o8teT1piV-SNzShjg/edit?gid=554141278#gid=554141278"", ""'Char Def. - Attributes'!C20:C2242""), 1,false)"),"ALT_UOM2_SIPI")</f>
        <v>ALT_UOM2_SIPI</v>
      </c>
      <c r="I13015" s="136"/>
      <c r="R13015" s="63" t="str">
        <f t="shared" si="60"/>
        <v>ZSI1_REAGEN_INDCALT_UOM2_SIPI</v>
      </c>
    </row>
    <row r="13016" ht="15.75" customHeight="1">
      <c r="B13016" s="63">
        <f t="shared" si="1"/>
        <v>16</v>
      </c>
      <c r="C13016" s="135" t="s">
        <v>451</v>
      </c>
      <c r="D13016" s="161" t="s">
        <v>74</v>
      </c>
      <c r="E13016" s="135">
        <f t="shared" si="62"/>
        <v>17</v>
      </c>
      <c r="F13016" s="134" t="s">
        <v>3808</v>
      </c>
      <c r="G13016" s="63" t="str">
        <f>VLOOKUP(C13016, 'Class Def. - General Data'!$C$20:$C$1000,1,false)</f>
        <v>ZSI1_REAGEN_INDC</v>
      </c>
      <c r="H13016" s="63" t="str">
        <f>IFERROR(__xludf.DUMMYFUNCTION("VLOOKUP(F13016, IMPORTRANGE(""https://docs.google.com/spreadsheets/d/1Lhp9OU0JdFf_VYSMzH5lBcEaU4o8teT1piV-SNzShjg/edit?gid=554141278#gid=554141278"", ""'Char Def. - Attributes'!C20:C2242""), 1,false)"),"ALT_DENUM_UOM2")</f>
        <v>ALT_DENUM_UOM2</v>
      </c>
      <c r="I13016" s="136"/>
      <c r="R13016" s="63" t="str">
        <f t="shared" si="60"/>
        <v>ZSI1_REAGEN_INDCALT_DENUM_UOM2</v>
      </c>
    </row>
    <row r="13017" ht="15.75" customHeight="1">
      <c r="B13017" s="63">
        <f t="shared" si="1"/>
        <v>16</v>
      </c>
      <c r="C13017" s="135" t="s">
        <v>451</v>
      </c>
      <c r="D13017" s="161" t="s">
        <v>74</v>
      </c>
      <c r="E13017" s="135">
        <f t="shared" si="62"/>
        <v>18</v>
      </c>
      <c r="F13017" s="134" t="s">
        <v>3809</v>
      </c>
      <c r="G13017" s="63" t="str">
        <f>VLOOKUP(C13017, 'Class Def. - General Data'!$C$20:$C$1000,1,false)</f>
        <v>ZSI1_REAGEN_INDC</v>
      </c>
      <c r="H13017" s="63" t="str">
        <f>IFERROR(__xludf.DUMMYFUNCTION("VLOOKUP(F13017, IMPORTRANGE(""https://docs.google.com/spreadsheets/d/1Lhp9OU0JdFf_VYSMzH5lBcEaU4o8teT1piV-SNzShjg/edit?gid=554141278#gid=554141278"", ""'Char Def. - Attributes'!C20:C2242""), 1,false)"),"ALT_NUM_UOM2")</f>
        <v>ALT_NUM_UOM2</v>
      </c>
      <c r="I13017" s="136"/>
      <c r="R13017" s="63" t="str">
        <f t="shared" si="60"/>
        <v>ZSI1_REAGEN_INDCALT_NUM_UOM2</v>
      </c>
    </row>
    <row r="13018" ht="15.75" customHeight="1">
      <c r="B13018" s="63">
        <f t="shared" si="1"/>
        <v>16</v>
      </c>
      <c r="C13018" s="135" t="s">
        <v>451</v>
      </c>
      <c r="D13018" s="161" t="s">
        <v>74</v>
      </c>
      <c r="E13018" s="135">
        <f t="shared" si="62"/>
        <v>19</v>
      </c>
      <c r="F13018" s="134" t="s">
        <v>3810</v>
      </c>
      <c r="G13018" s="63" t="str">
        <f>VLOOKUP(C13018, 'Class Def. - General Data'!$C$20:$C$1000,1,false)</f>
        <v>ZSI1_REAGEN_INDC</v>
      </c>
      <c r="H13018" s="63" t="str">
        <f>IFERROR(__xludf.DUMMYFUNCTION("VLOOKUP(F13018, IMPORTRANGE(""https://docs.google.com/spreadsheets/d/1Lhp9OU0JdFf_VYSMzH5lBcEaU4o8teT1piV-SNzShjg/edit?gid=554141278#gid=554141278"", ""'Char Def. - Attributes'!C20:C2242""), 1,false)"),"ALT_UOM3_SIPI")</f>
        <v>ALT_UOM3_SIPI</v>
      </c>
      <c r="I13018" s="136"/>
      <c r="R13018" s="63" t="str">
        <f t="shared" si="60"/>
        <v>ZSI1_REAGEN_INDCALT_UOM3_SIPI</v>
      </c>
    </row>
    <row r="13019" ht="15.75" customHeight="1">
      <c r="B13019" s="63">
        <f t="shared" si="1"/>
        <v>16</v>
      </c>
      <c r="C13019" s="135" t="s">
        <v>451</v>
      </c>
      <c r="D13019" s="161" t="s">
        <v>74</v>
      </c>
      <c r="E13019" s="135">
        <f t="shared" si="62"/>
        <v>20</v>
      </c>
      <c r="F13019" s="134" t="s">
        <v>3811</v>
      </c>
      <c r="G13019" s="63" t="str">
        <f>VLOOKUP(C13019, 'Class Def. - General Data'!$C$20:$C$1000,1,false)</f>
        <v>ZSI1_REAGEN_INDC</v>
      </c>
      <c r="H13019" s="63" t="str">
        <f>IFERROR(__xludf.DUMMYFUNCTION("VLOOKUP(F13019, IMPORTRANGE(""https://docs.google.com/spreadsheets/d/1Lhp9OU0JdFf_VYSMzH5lBcEaU4o8teT1piV-SNzShjg/edit?gid=554141278#gid=554141278"", ""'Char Def. - Attributes'!C20:C2242""), 1,false)"),"ALT_DENUM_UOM3")</f>
        <v>ALT_DENUM_UOM3</v>
      </c>
      <c r="I13019" s="136"/>
      <c r="R13019" s="63" t="str">
        <f t="shared" si="60"/>
        <v>ZSI1_REAGEN_INDCALT_DENUM_UOM3</v>
      </c>
    </row>
    <row r="13020" ht="15.75" customHeight="1">
      <c r="B13020" s="63">
        <f t="shared" si="1"/>
        <v>16</v>
      </c>
      <c r="C13020" s="135" t="s">
        <v>451</v>
      </c>
      <c r="D13020" s="161" t="s">
        <v>74</v>
      </c>
      <c r="E13020" s="135">
        <f t="shared" si="62"/>
        <v>21</v>
      </c>
      <c r="F13020" s="134" t="s">
        <v>3812</v>
      </c>
      <c r="G13020" s="63" t="str">
        <f>VLOOKUP(C13020, 'Class Def. - General Data'!$C$20:$C$1000,1,false)</f>
        <v>ZSI1_REAGEN_INDC</v>
      </c>
      <c r="H13020" s="63" t="str">
        <f>IFERROR(__xludf.DUMMYFUNCTION("VLOOKUP(F13020, IMPORTRANGE(""https://docs.google.com/spreadsheets/d/1Lhp9OU0JdFf_VYSMzH5lBcEaU4o8teT1piV-SNzShjg/edit?gid=554141278#gid=554141278"", ""'Char Def. - Attributes'!C20:C2242""), 1,false)"),"ALT_NUM_UOM3")</f>
        <v>ALT_NUM_UOM3</v>
      </c>
      <c r="I13020" s="136"/>
      <c r="R13020" s="63" t="str">
        <f t="shared" si="60"/>
        <v>ZSI1_REAGEN_INDCALT_NUM_UOM3</v>
      </c>
    </row>
    <row r="13021" ht="15.75" customHeight="1">
      <c r="B13021" s="63">
        <f t="shared" si="1"/>
        <v>16</v>
      </c>
      <c r="C13021" s="135" t="s">
        <v>451</v>
      </c>
      <c r="D13021" s="161" t="s">
        <v>74</v>
      </c>
      <c r="E13021" s="135">
        <f t="shared" si="62"/>
        <v>22</v>
      </c>
      <c r="F13021" s="134" t="s">
        <v>3813</v>
      </c>
      <c r="G13021" s="63" t="str">
        <f>VLOOKUP(C13021, 'Class Def. - General Data'!$C$20:$C$1000,1,false)</f>
        <v>ZSI1_REAGEN_INDC</v>
      </c>
      <c r="H13021" s="63" t="str">
        <f>IFERROR(__xludf.DUMMYFUNCTION("VLOOKUP(F13021, IMPORTRANGE(""https://docs.google.com/spreadsheets/d/1Lhp9OU0JdFf_VYSMzH5lBcEaU4o8teT1piV-SNzShjg/edit?gid=554141278#gid=554141278"", ""'Char Def. - Attributes'!C20:C2242""), 1,false)"),"ALT_UOM4_SIPI")</f>
        <v>ALT_UOM4_SIPI</v>
      </c>
      <c r="I13021" s="136"/>
      <c r="R13021" s="63" t="str">
        <f t="shared" si="60"/>
        <v>ZSI1_REAGEN_INDCALT_UOM4_SIPI</v>
      </c>
    </row>
    <row r="13022" ht="15.75" customHeight="1">
      <c r="B13022" s="63">
        <f t="shared" si="1"/>
        <v>16</v>
      </c>
      <c r="C13022" s="135" t="s">
        <v>451</v>
      </c>
      <c r="D13022" s="161" t="s">
        <v>74</v>
      </c>
      <c r="E13022" s="135">
        <f t="shared" si="62"/>
        <v>23</v>
      </c>
      <c r="F13022" s="134" t="s">
        <v>3814</v>
      </c>
      <c r="G13022" s="63" t="str">
        <f>VLOOKUP(C13022, 'Class Def. - General Data'!$C$20:$C$1000,1,false)</f>
        <v>ZSI1_REAGEN_INDC</v>
      </c>
      <c r="H13022" s="63" t="str">
        <f>IFERROR(__xludf.DUMMYFUNCTION("VLOOKUP(F13022, IMPORTRANGE(""https://docs.google.com/spreadsheets/d/1Lhp9OU0JdFf_VYSMzH5lBcEaU4o8teT1piV-SNzShjg/edit?gid=554141278#gid=554141278"", ""'Char Def. - Attributes'!C20:C2242""), 1,false)"),"ALT_DENUM_UOM4")</f>
        <v>ALT_DENUM_UOM4</v>
      </c>
      <c r="I13022" s="136"/>
      <c r="R13022" s="63" t="str">
        <f t="shared" si="60"/>
        <v>ZSI1_REAGEN_INDCALT_DENUM_UOM4</v>
      </c>
    </row>
    <row r="13023" ht="15.75" customHeight="1">
      <c r="B13023" s="63">
        <f t="shared" si="1"/>
        <v>16</v>
      </c>
      <c r="C13023" s="135" t="s">
        <v>451</v>
      </c>
      <c r="D13023" s="161" t="s">
        <v>74</v>
      </c>
      <c r="E13023" s="135">
        <f t="shared" si="62"/>
        <v>24</v>
      </c>
      <c r="F13023" s="134" t="s">
        <v>3815</v>
      </c>
      <c r="G13023" s="63" t="str">
        <f>VLOOKUP(C13023, 'Class Def. - General Data'!$C$20:$C$1000,1,false)</f>
        <v>ZSI1_REAGEN_INDC</v>
      </c>
      <c r="H13023" s="63" t="str">
        <f>IFERROR(__xludf.DUMMYFUNCTION("VLOOKUP(F13023, IMPORTRANGE(""https://docs.google.com/spreadsheets/d/1Lhp9OU0JdFf_VYSMzH5lBcEaU4o8teT1piV-SNzShjg/edit?gid=554141278#gid=554141278"", ""'Char Def. - Attributes'!C20:C2242""), 1,false)"),"ALT_NUM_UOM4")</f>
        <v>ALT_NUM_UOM4</v>
      </c>
      <c r="I13023" s="136"/>
      <c r="R13023" s="63" t="str">
        <f t="shared" si="60"/>
        <v>ZSI1_REAGEN_INDCALT_NUM_UOM4</v>
      </c>
    </row>
    <row r="13024" ht="15.75" customHeight="1">
      <c r="B13024" s="63">
        <f t="shared" si="1"/>
        <v>16</v>
      </c>
      <c r="C13024" s="135" t="s">
        <v>451</v>
      </c>
      <c r="D13024" s="161" t="s">
        <v>74</v>
      </c>
      <c r="E13024" s="135">
        <f t="shared" si="62"/>
        <v>25</v>
      </c>
      <c r="F13024" s="134" t="s">
        <v>3816</v>
      </c>
      <c r="G13024" s="63" t="str">
        <f>VLOOKUP(C13024, 'Class Def. - General Data'!$C$20:$C$1000,1,false)</f>
        <v>ZSI1_REAGEN_INDC</v>
      </c>
      <c r="H13024" s="63" t="str">
        <f>IFERROR(__xludf.DUMMYFUNCTION("VLOOKUP(F13024, IMPORTRANGE(""https://docs.google.com/spreadsheets/d/1Lhp9OU0JdFf_VYSMzH5lBcEaU4o8teT1piV-SNzShjg/edit?gid=554141278#gid=554141278"", ""'Char Def. - Attributes'!C20:C2242""), 1,false)"),"ALT_UOM5_SIPI")</f>
        <v>ALT_UOM5_SIPI</v>
      </c>
      <c r="I13024" s="136"/>
      <c r="R13024" s="63" t="str">
        <f t="shared" si="60"/>
        <v>ZSI1_REAGEN_INDCALT_UOM5_SIPI</v>
      </c>
    </row>
    <row r="13025" ht="15.75" customHeight="1">
      <c r="B13025" s="63">
        <f t="shared" si="1"/>
        <v>16</v>
      </c>
      <c r="C13025" s="135" t="s">
        <v>451</v>
      </c>
      <c r="D13025" s="161" t="s">
        <v>74</v>
      </c>
      <c r="E13025" s="135">
        <f t="shared" si="62"/>
        <v>26</v>
      </c>
      <c r="F13025" s="134" t="s">
        <v>3817</v>
      </c>
      <c r="G13025" s="63" t="str">
        <f>VLOOKUP(C13025, 'Class Def. - General Data'!$C$20:$C$1000,1,false)</f>
        <v>ZSI1_REAGEN_INDC</v>
      </c>
      <c r="H13025" s="63" t="str">
        <f>IFERROR(__xludf.DUMMYFUNCTION("VLOOKUP(F13025, IMPORTRANGE(""https://docs.google.com/spreadsheets/d/1Lhp9OU0JdFf_VYSMzH5lBcEaU4o8teT1piV-SNzShjg/edit?gid=554141278#gid=554141278"", ""'Char Def. - Attributes'!C20:C2242""), 1,false)"),"ALT_DENUM_UOM5")</f>
        <v>ALT_DENUM_UOM5</v>
      </c>
      <c r="I13025" s="136"/>
      <c r="R13025" s="63" t="str">
        <f t="shared" si="60"/>
        <v>ZSI1_REAGEN_INDCALT_DENUM_UOM5</v>
      </c>
    </row>
    <row r="13026" ht="15.75" customHeight="1">
      <c r="B13026" s="63">
        <f t="shared" si="1"/>
        <v>16</v>
      </c>
      <c r="C13026" s="135" t="s">
        <v>451</v>
      </c>
      <c r="D13026" s="161" t="s">
        <v>74</v>
      </c>
      <c r="E13026" s="135">
        <f t="shared" si="62"/>
        <v>27</v>
      </c>
      <c r="F13026" s="134" t="s">
        <v>3818</v>
      </c>
      <c r="G13026" s="63" t="str">
        <f>VLOOKUP(C13026, 'Class Def. - General Data'!$C$20:$C$1000,1,false)</f>
        <v>ZSI1_REAGEN_INDC</v>
      </c>
      <c r="H13026" s="63" t="str">
        <f>IFERROR(__xludf.DUMMYFUNCTION("VLOOKUP(F13026, IMPORTRANGE(""https://docs.google.com/spreadsheets/d/1Lhp9OU0JdFf_VYSMzH5lBcEaU4o8teT1piV-SNzShjg/edit?gid=554141278#gid=554141278"", ""'Char Def. - Attributes'!C20:C2242""), 1,false)"),"ALT_NUM_UOM5")</f>
        <v>ALT_NUM_UOM5</v>
      </c>
      <c r="I13026" s="136"/>
      <c r="R13026" s="63" t="str">
        <f t="shared" si="60"/>
        <v>ZSI1_REAGEN_INDCALT_NUM_UOM5</v>
      </c>
    </row>
    <row r="13027" ht="15.75" customHeight="1">
      <c r="B13027" s="63">
        <f t="shared" si="1"/>
        <v>14</v>
      </c>
      <c r="C13027" s="135" t="s">
        <v>321</v>
      </c>
      <c r="D13027" s="161" t="s">
        <v>74</v>
      </c>
      <c r="E13027" s="135">
        <f t="shared" si="62"/>
        <v>1</v>
      </c>
      <c r="F13027" s="134" t="s">
        <v>5300</v>
      </c>
      <c r="G13027" s="63" t="str">
        <f>VLOOKUP(C13027, 'Class Def. - General Data'!$C$20:$C$1000,1,false)</f>
        <v>ZSI1_REGULATOR</v>
      </c>
      <c r="H13027" s="63" t="str">
        <f>IFERROR(__xludf.DUMMYFUNCTION("VLOOKUP(F13027, IMPORTRANGE(""https://docs.google.com/spreadsheets/d/1Lhp9OU0JdFf_VYSMzH5lBcEaU4o8teT1piV-SNzShjg/edit?gid=554141278#gid=554141278"", ""'Char Def. - Attributes'!C20:C2242""), 1,false)"),"ITEM_NAME_REGULATOR")</f>
        <v>ITEM_NAME_REGULATOR</v>
      </c>
      <c r="I13027" s="136"/>
      <c r="R13027" s="63" t="str">
        <f t="shared" si="60"/>
        <v>ZSI1_REGULATORITEM_NAME_REGULATOR</v>
      </c>
    </row>
    <row r="13028" ht="15.75" customHeight="1">
      <c r="B13028" s="63">
        <f t="shared" si="1"/>
        <v>14</v>
      </c>
      <c r="C13028" s="135" t="s">
        <v>321</v>
      </c>
      <c r="D13028" s="161" t="s">
        <v>74</v>
      </c>
      <c r="E13028" s="135">
        <f t="shared" si="62"/>
        <v>2</v>
      </c>
      <c r="F13028" s="134" t="s">
        <v>5301</v>
      </c>
      <c r="G13028" s="63" t="str">
        <f>VLOOKUP(C13028, 'Class Def. - General Data'!$C$20:$C$1000,1,false)</f>
        <v>ZSI1_REGULATOR</v>
      </c>
      <c r="H13028" s="63" t="str">
        <f>IFERROR(__xludf.DUMMYFUNCTION("VLOOKUP(F13028, IMPORTRANGE(""https://docs.google.com/spreadsheets/d/1Lhp9OU0JdFf_VYSMzH5lBcEaU4o8teT1piV-SNzShjg/edit?gid=554141278#gid=554141278"", ""'Char Def. - Attributes'!C20:C2242""), 1,false)"),"MFR_NO_REGULATOR")</f>
        <v>MFR_NO_REGULATOR</v>
      </c>
      <c r="I13028" s="136"/>
      <c r="R13028" s="63" t="str">
        <f t="shared" si="60"/>
        <v>ZSI1_REGULATORMFR_NO_REGULATOR</v>
      </c>
    </row>
    <row r="13029" ht="15.75" customHeight="1">
      <c r="B13029" s="63">
        <f t="shared" si="1"/>
        <v>14</v>
      </c>
      <c r="C13029" s="135" t="s">
        <v>321</v>
      </c>
      <c r="D13029" s="161" t="s">
        <v>74</v>
      </c>
      <c r="E13029" s="135">
        <f t="shared" si="62"/>
        <v>3</v>
      </c>
      <c r="F13029" s="134" t="s">
        <v>3782</v>
      </c>
      <c r="G13029" s="63" t="str">
        <f>VLOOKUP(C13029, 'Class Def. - General Data'!$C$20:$C$1000,1,false)</f>
        <v>ZSI1_REGULATOR</v>
      </c>
      <c r="H13029" s="63" t="str">
        <f>IFERROR(__xludf.DUMMYFUNCTION("VLOOKUP(F13029, IMPORTRANGE(""https://docs.google.com/spreadsheets/d/1Lhp9OU0JdFf_VYSMzH5lBcEaU4o8teT1piV-SNzShjg/edit?gid=554141278#gid=554141278"", ""'Char Def. - Attributes'!C20:C2242""), 1,false)"),"BRAND_EXTERNAL")</f>
        <v>BRAND_EXTERNAL</v>
      </c>
      <c r="I13029" s="136"/>
      <c r="R13029" s="63" t="str">
        <f t="shared" si="60"/>
        <v>ZSI1_REGULATORBRAND_EXTERNAL</v>
      </c>
    </row>
    <row r="13030" ht="15.75" customHeight="1">
      <c r="B13030" s="63">
        <f t="shared" si="1"/>
        <v>14</v>
      </c>
      <c r="C13030" s="135" t="s">
        <v>321</v>
      </c>
      <c r="D13030" s="161" t="s">
        <v>74</v>
      </c>
      <c r="E13030" s="135">
        <f t="shared" si="62"/>
        <v>4</v>
      </c>
      <c r="F13030" s="134" t="s">
        <v>4062</v>
      </c>
      <c r="G13030" s="63" t="str">
        <f>VLOOKUP(C13030, 'Class Def. - General Data'!$C$20:$C$1000,1,false)</f>
        <v>ZSI1_REGULATOR</v>
      </c>
      <c r="H13030" s="63" t="str">
        <f>IFERROR(__xludf.DUMMYFUNCTION("VLOOKUP(F13030, IMPORTRANGE(""https://docs.google.com/spreadsheets/d/1Lhp9OU0JdFf_VYSMzH5lBcEaU4o8teT1piV-SNzShjg/edit?gid=554141278#gid=554141278"", ""'Char Def. - Attributes'!C20:C2242""), 1,false)"),"#N/A")</f>
        <v>#N/A</v>
      </c>
      <c r="I13030" s="136"/>
      <c r="R13030" s="63" t="str">
        <f t="shared" si="60"/>
        <v>ZSI1_REGULATORADDTIONAL_SPECIFICATION</v>
      </c>
    </row>
    <row r="13031" ht="15.75" customHeight="1">
      <c r="B13031" s="63">
        <f t="shared" si="1"/>
        <v>14</v>
      </c>
      <c r="C13031" s="135" t="s">
        <v>321</v>
      </c>
      <c r="D13031" s="161" t="s">
        <v>74</v>
      </c>
      <c r="E13031" s="135">
        <f t="shared" si="62"/>
        <v>5</v>
      </c>
      <c r="F13031" s="134" t="s">
        <v>3585</v>
      </c>
      <c r="G13031" s="63" t="str">
        <f>VLOOKUP(C13031, 'Class Def. - General Data'!$C$20:$C$1000,1,false)</f>
        <v>ZSI1_REGULATOR</v>
      </c>
      <c r="H13031" s="63" t="str">
        <f>IFERROR(__xludf.DUMMYFUNCTION("VLOOKUP(F13031, IMPORTRANGE(""https://docs.google.com/spreadsheets/d/1Lhp9OU0JdFf_VYSMzH5lBcEaU4o8teT1piV-SNzShjg/edit?gid=554141278#gid=554141278"", ""'Char Def. - Attributes'!C20:C2242""), 1,false)"),"HS_CODE")</f>
        <v>HS_CODE</v>
      </c>
      <c r="I13031" s="136"/>
      <c r="R13031" s="63" t="str">
        <f t="shared" si="60"/>
        <v>ZSI1_REGULATORHS_CODE</v>
      </c>
    </row>
    <row r="13032" ht="15.75" customHeight="1">
      <c r="B13032" s="63">
        <f t="shared" si="1"/>
        <v>14</v>
      </c>
      <c r="C13032" s="135" t="s">
        <v>321</v>
      </c>
      <c r="D13032" s="161" t="s">
        <v>74</v>
      </c>
      <c r="E13032" s="135">
        <f t="shared" si="62"/>
        <v>6</v>
      </c>
      <c r="F13032" s="134" t="s">
        <v>3587</v>
      </c>
      <c r="G13032" s="63" t="str">
        <f>VLOOKUP(C13032, 'Class Def. - General Data'!$C$20:$C$1000,1,false)</f>
        <v>ZSI1_REGULATOR</v>
      </c>
      <c r="H13032" s="63" t="str">
        <f>IFERROR(__xludf.DUMMYFUNCTION("VLOOKUP(F13032, IMPORTRANGE(""https://docs.google.com/spreadsheets/d/1Lhp9OU0JdFf_VYSMzH5lBcEaU4o8teT1piV-SNzShjg/edit?gid=554141278#gid=554141278"", ""'Char Def. - Attributes'!C20:C2242""), 1,false)"),"PLANT_BUY")</f>
        <v>PLANT_BUY</v>
      </c>
      <c r="I13032" s="136"/>
      <c r="R13032" s="63" t="str">
        <f t="shared" si="60"/>
        <v>ZSI1_REGULATORPLANT_BUY</v>
      </c>
    </row>
    <row r="13033" ht="15.75" customHeight="1">
      <c r="B13033" s="63">
        <f t="shared" si="1"/>
        <v>14</v>
      </c>
      <c r="C13033" s="135" t="s">
        <v>321</v>
      </c>
      <c r="D13033" s="161" t="s">
        <v>74</v>
      </c>
      <c r="E13033" s="135">
        <f t="shared" si="62"/>
        <v>7</v>
      </c>
      <c r="F13033" s="134" t="s">
        <v>5302</v>
      </c>
      <c r="G13033" s="63" t="str">
        <f>VLOOKUP(C13033, 'Class Def. - General Data'!$C$20:$C$1000,1,false)</f>
        <v>ZSI1_REGULATOR</v>
      </c>
      <c r="H13033" s="63" t="str">
        <f>IFERROR(__xludf.DUMMYFUNCTION("VLOOKUP(F13033, IMPORTRANGE(""https://docs.google.com/spreadsheets/d/1Lhp9OU0JdFf_VYSMzH5lBcEaU4o8teT1piV-SNzShjg/edit?gid=554141278#gid=554141278"", ""'Char Def. - Attributes'!C20:C2242""), 1,false)"),"BASE_UOM_REGULATOR")</f>
        <v>BASE_UOM_REGULATOR</v>
      </c>
      <c r="I13033" s="136"/>
      <c r="R13033" s="63" t="str">
        <f t="shared" si="60"/>
        <v>ZSI1_REGULATORBASE_UOM_REGULATOR</v>
      </c>
    </row>
    <row r="13034" ht="15.75" customHeight="1">
      <c r="B13034" s="63">
        <f t="shared" si="1"/>
        <v>14</v>
      </c>
      <c r="C13034" s="135" t="s">
        <v>321</v>
      </c>
      <c r="D13034" s="161" t="s">
        <v>74</v>
      </c>
      <c r="E13034" s="135">
        <f t="shared" si="62"/>
        <v>8</v>
      </c>
      <c r="F13034" s="134" t="s">
        <v>5303</v>
      </c>
      <c r="G13034" s="63" t="str">
        <f>VLOOKUP(C13034, 'Class Def. - General Data'!$C$20:$C$1000,1,false)</f>
        <v>ZSI1_REGULATOR</v>
      </c>
      <c r="H13034" s="63" t="str">
        <f>IFERROR(__xludf.DUMMYFUNCTION("VLOOKUP(F13034, IMPORTRANGE(""https://docs.google.com/spreadsheets/d/1Lhp9OU0JdFf_VYSMzH5lBcEaU4o8teT1piV-SNzShjg/edit?gid=554141278#gid=554141278"", ""'Char Def. - Attributes'!C20:C2242""), 1,false)"),"ORDER_UNIT_REGULATOR")</f>
        <v>ORDER_UNIT_REGULATOR</v>
      </c>
      <c r="I13034" s="136"/>
      <c r="R13034" s="63" t="str">
        <f t="shared" si="60"/>
        <v>ZSI1_REGULATORORDER_UNIT_REGULATOR</v>
      </c>
    </row>
    <row r="13035" ht="15.75" customHeight="1">
      <c r="B13035" s="63">
        <f t="shared" si="1"/>
        <v>14</v>
      </c>
      <c r="C13035" s="135" t="s">
        <v>321</v>
      </c>
      <c r="D13035" s="161" t="s">
        <v>74</v>
      </c>
      <c r="E13035" s="135">
        <f t="shared" si="62"/>
        <v>9</v>
      </c>
      <c r="F13035" s="134" t="s">
        <v>4056</v>
      </c>
      <c r="G13035" s="63" t="str">
        <f>VLOOKUP(C13035, 'Class Def. - General Data'!$C$20:$C$1000,1,false)</f>
        <v>ZSI1_REGULATOR</v>
      </c>
      <c r="H13035" s="63" t="str">
        <f>IFERROR(__xludf.DUMMYFUNCTION("VLOOKUP(F13035, IMPORTRANGE(""https://docs.google.com/spreadsheets/d/1Lhp9OU0JdFf_VYSMzH5lBcEaU4o8teT1piV-SNzShjg/edit?gid=554141278#gid=554141278"", ""'Char Def. - Attributes'!C20:C2242""), 1,false)"),"GROSS_WEIGHT_OPT")</f>
        <v>GROSS_WEIGHT_OPT</v>
      </c>
      <c r="I13035" s="136"/>
      <c r="R13035" s="63" t="str">
        <f t="shared" si="60"/>
        <v>ZSI1_REGULATORGROSS_WEIGHT_OPT</v>
      </c>
    </row>
    <row r="13036" ht="15.75" customHeight="1">
      <c r="B13036" s="63">
        <f t="shared" si="1"/>
        <v>14</v>
      </c>
      <c r="C13036" s="135" t="s">
        <v>321</v>
      </c>
      <c r="D13036" s="161" t="s">
        <v>74</v>
      </c>
      <c r="E13036" s="135">
        <f t="shared" si="62"/>
        <v>10</v>
      </c>
      <c r="F13036" s="134" t="s">
        <v>4057</v>
      </c>
      <c r="G13036" s="63" t="str">
        <f>VLOOKUP(C13036, 'Class Def. - General Data'!$C$20:$C$1000,1,false)</f>
        <v>ZSI1_REGULATOR</v>
      </c>
      <c r="H13036" s="63" t="str">
        <f>IFERROR(__xludf.DUMMYFUNCTION("VLOOKUP(F13036, IMPORTRANGE(""https://docs.google.com/spreadsheets/d/1Lhp9OU0JdFf_VYSMzH5lBcEaU4o8teT1piV-SNzShjg/edit?gid=554141278#gid=554141278"", ""'Char Def. - Attributes'!C20:C2242""), 1,false)"),"NET_WEIGHT_OPT")</f>
        <v>NET_WEIGHT_OPT</v>
      </c>
      <c r="I13036" s="136"/>
      <c r="R13036" s="63" t="str">
        <f t="shared" si="60"/>
        <v>ZSI1_REGULATORNET_WEIGHT_OPT</v>
      </c>
    </row>
    <row r="13037" ht="15.75" customHeight="1">
      <c r="B13037" s="63">
        <f t="shared" si="1"/>
        <v>14</v>
      </c>
      <c r="C13037" s="135" t="s">
        <v>321</v>
      </c>
      <c r="D13037" s="161" t="s">
        <v>74</v>
      </c>
      <c r="E13037" s="135">
        <f t="shared" si="62"/>
        <v>11</v>
      </c>
      <c r="F13037" s="134" t="s">
        <v>4058</v>
      </c>
      <c r="G13037" s="63" t="str">
        <f>VLOOKUP(C13037, 'Class Def. - General Data'!$C$20:$C$1000,1,false)</f>
        <v>ZSI1_REGULATOR</v>
      </c>
      <c r="H13037" s="63" t="str">
        <f>IFERROR(__xludf.DUMMYFUNCTION("VLOOKUP(F13037, IMPORTRANGE(""https://docs.google.com/spreadsheets/d/1Lhp9OU0JdFf_VYSMzH5lBcEaU4o8teT1piV-SNzShjg/edit?gid=554141278#gid=554141278"", ""'Char Def. - Attributes'!C20:C2242""), 1,false)"),"WEIGHT_UNIT_SI")</f>
        <v>WEIGHT_UNIT_SI</v>
      </c>
      <c r="I13037" s="136"/>
      <c r="R13037" s="63" t="str">
        <f t="shared" si="60"/>
        <v>ZSI1_REGULATORWEIGHT_UNIT_SI</v>
      </c>
    </row>
    <row r="13038" ht="15.75" customHeight="1">
      <c r="B13038" s="63">
        <f t="shared" si="1"/>
        <v>14</v>
      </c>
      <c r="C13038" s="135" t="s">
        <v>321</v>
      </c>
      <c r="D13038" s="161" t="s">
        <v>74</v>
      </c>
      <c r="E13038" s="135">
        <f t="shared" si="62"/>
        <v>12</v>
      </c>
      <c r="F13038" s="134" t="s">
        <v>3877</v>
      </c>
      <c r="G13038" s="63" t="str">
        <f>VLOOKUP(C13038, 'Class Def. - General Data'!$C$20:$C$1000,1,false)</f>
        <v>ZSI1_REGULATOR</v>
      </c>
      <c r="H13038" s="63" t="str">
        <f>IFERROR(__xludf.DUMMYFUNCTION("VLOOKUP(F13038, IMPORTRANGE(""https://docs.google.com/spreadsheets/d/1Lhp9OU0JdFf_VYSMzH5lBcEaU4o8teT1piV-SNzShjg/edit?gid=554141278#gid=554141278"", ""'Char Def. - Attributes'!C20:C2242""), 1,false)"),"VOLUME_OPT")</f>
        <v>VOLUME_OPT</v>
      </c>
      <c r="I13038" s="136"/>
      <c r="R13038" s="63" t="str">
        <f t="shared" si="60"/>
        <v>ZSI1_REGULATORVOLUME_OPT</v>
      </c>
    </row>
    <row r="13039" ht="15.75" customHeight="1">
      <c r="B13039" s="63">
        <f t="shared" si="1"/>
        <v>14</v>
      </c>
      <c r="C13039" s="135" t="s">
        <v>321</v>
      </c>
      <c r="D13039" s="161" t="s">
        <v>74</v>
      </c>
      <c r="E13039" s="135">
        <f t="shared" si="62"/>
        <v>13</v>
      </c>
      <c r="F13039" s="134" t="s">
        <v>4059</v>
      </c>
      <c r="G13039" s="63" t="str">
        <f>VLOOKUP(C13039, 'Class Def. - General Data'!$C$20:$C$1000,1,false)</f>
        <v>ZSI1_REGULATOR</v>
      </c>
      <c r="H13039" s="63" t="str">
        <f>IFERROR(__xludf.DUMMYFUNCTION("VLOOKUP(F13039, IMPORTRANGE(""https://docs.google.com/spreadsheets/d/1Lhp9OU0JdFf_VYSMzH5lBcEaU4o8teT1piV-SNzShjg/edit?gid=554141278#gid=554141278"", ""'Char Def. - Attributes'!C20:C2242""), 1,false)"),"VOLUME_UNIT_SI")</f>
        <v>VOLUME_UNIT_SI</v>
      </c>
      <c r="I13039" s="136"/>
      <c r="R13039" s="63" t="str">
        <f t="shared" si="60"/>
        <v>ZSI1_REGULATORVOLUME_UNIT_SI</v>
      </c>
    </row>
    <row r="13040" ht="15.75" customHeight="1">
      <c r="B13040" s="63">
        <f t="shared" si="1"/>
        <v>14</v>
      </c>
      <c r="C13040" s="135" t="s">
        <v>321</v>
      </c>
      <c r="D13040" s="161" t="s">
        <v>74</v>
      </c>
      <c r="E13040" s="135">
        <f t="shared" si="62"/>
        <v>14</v>
      </c>
      <c r="F13040" s="134" t="s">
        <v>3804</v>
      </c>
      <c r="G13040" s="63" t="str">
        <f>VLOOKUP(C13040, 'Class Def. - General Data'!$C$20:$C$1000,1,false)</f>
        <v>ZSI1_REGULATOR</v>
      </c>
      <c r="H13040" s="63" t="str">
        <f>IFERROR(__xludf.DUMMYFUNCTION("VLOOKUP(F13040, IMPORTRANGE(""https://docs.google.com/spreadsheets/d/1Lhp9OU0JdFf_VYSMzH5lBcEaU4o8teT1piV-SNzShjg/edit?gid=554141278#gid=554141278"", ""'Char Def. - Attributes'!C20:C2242""), 1,false)"),"ALT_UOM1_SIPI")</f>
        <v>ALT_UOM1_SIPI</v>
      </c>
      <c r="I13040" s="136"/>
      <c r="R13040" s="63" t="str">
        <f t="shared" si="60"/>
        <v>ZSI1_REGULATORALT_UOM1_SIPI</v>
      </c>
    </row>
    <row r="13041" ht="15.75" customHeight="1">
      <c r="B13041" s="63">
        <f t="shared" si="1"/>
        <v>14</v>
      </c>
      <c r="C13041" s="135" t="s">
        <v>321</v>
      </c>
      <c r="D13041" s="161" t="s">
        <v>74</v>
      </c>
      <c r="E13041" s="135">
        <f t="shared" si="62"/>
        <v>15</v>
      </c>
      <c r="F13041" s="134" t="s">
        <v>3805</v>
      </c>
      <c r="G13041" s="63" t="str">
        <f>VLOOKUP(C13041, 'Class Def. - General Data'!$C$20:$C$1000,1,false)</f>
        <v>ZSI1_REGULATOR</v>
      </c>
      <c r="H13041" s="63" t="str">
        <f>IFERROR(__xludf.DUMMYFUNCTION("VLOOKUP(F13041, IMPORTRANGE(""https://docs.google.com/spreadsheets/d/1Lhp9OU0JdFf_VYSMzH5lBcEaU4o8teT1piV-SNzShjg/edit?gid=554141278#gid=554141278"", ""'Char Def. - Attributes'!C20:C2242""), 1,false)"),"ALT_DENUM_UOM1")</f>
        <v>ALT_DENUM_UOM1</v>
      </c>
      <c r="I13041" s="136"/>
      <c r="R13041" s="63" t="str">
        <f t="shared" si="60"/>
        <v>ZSI1_REGULATORALT_DENUM_UOM1</v>
      </c>
    </row>
    <row r="13042" ht="15.75" customHeight="1">
      <c r="B13042" s="63">
        <f t="shared" si="1"/>
        <v>14</v>
      </c>
      <c r="C13042" s="135" t="s">
        <v>321</v>
      </c>
      <c r="D13042" s="161" t="s">
        <v>74</v>
      </c>
      <c r="E13042" s="135">
        <f t="shared" si="62"/>
        <v>16</v>
      </c>
      <c r="F13042" s="134" t="s">
        <v>3806</v>
      </c>
      <c r="G13042" s="63" t="str">
        <f>VLOOKUP(C13042, 'Class Def. - General Data'!$C$20:$C$1000,1,false)</f>
        <v>ZSI1_REGULATOR</v>
      </c>
      <c r="H13042" s="63" t="str">
        <f>IFERROR(__xludf.DUMMYFUNCTION("VLOOKUP(F13042, IMPORTRANGE(""https://docs.google.com/spreadsheets/d/1Lhp9OU0JdFf_VYSMzH5lBcEaU4o8teT1piV-SNzShjg/edit?gid=554141278#gid=554141278"", ""'Char Def. - Attributes'!C20:C2242""), 1,false)"),"ALT_NUM_UOM1")</f>
        <v>ALT_NUM_UOM1</v>
      </c>
      <c r="I13042" s="136"/>
      <c r="R13042" s="63" t="str">
        <f t="shared" si="60"/>
        <v>ZSI1_REGULATORALT_NUM_UOM1</v>
      </c>
    </row>
    <row r="13043" ht="15.75" customHeight="1">
      <c r="B13043" s="63">
        <f t="shared" si="1"/>
        <v>14</v>
      </c>
      <c r="C13043" s="135" t="s">
        <v>321</v>
      </c>
      <c r="D13043" s="161" t="s">
        <v>74</v>
      </c>
      <c r="E13043" s="135">
        <f t="shared" si="62"/>
        <v>17</v>
      </c>
      <c r="F13043" s="134" t="s">
        <v>3807</v>
      </c>
      <c r="G13043" s="63" t="str">
        <f>VLOOKUP(C13043, 'Class Def. - General Data'!$C$20:$C$1000,1,false)</f>
        <v>ZSI1_REGULATOR</v>
      </c>
      <c r="H13043" s="63" t="str">
        <f>IFERROR(__xludf.DUMMYFUNCTION("VLOOKUP(F13043, IMPORTRANGE(""https://docs.google.com/spreadsheets/d/1Lhp9OU0JdFf_VYSMzH5lBcEaU4o8teT1piV-SNzShjg/edit?gid=554141278#gid=554141278"", ""'Char Def. - Attributes'!C20:C2242""), 1,false)"),"ALT_UOM2_SIPI")</f>
        <v>ALT_UOM2_SIPI</v>
      </c>
      <c r="I13043" s="136"/>
      <c r="R13043" s="63" t="str">
        <f t="shared" si="60"/>
        <v>ZSI1_REGULATORALT_UOM2_SIPI</v>
      </c>
    </row>
    <row r="13044" ht="15.75" customHeight="1">
      <c r="B13044" s="63">
        <f t="shared" si="1"/>
        <v>14</v>
      </c>
      <c r="C13044" s="135" t="s">
        <v>321</v>
      </c>
      <c r="D13044" s="161" t="s">
        <v>74</v>
      </c>
      <c r="E13044" s="135">
        <f t="shared" si="62"/>
        <v>18</v>
      </c>
      <c r="F13044" s="134" t="s">
        <v>3808</v>
      </c>
      <c r="G13044" s="63" t="str">
        <f>VLOOKUP(C13044, 'Class Def. - General Data'!$C$20:$C$1000,1,false)</f>
        <v>ZSI1_REGULATOR</v>
      </c>
      <c r="H13044" s="63" t="str">
        <f>IFERROR(__xludf.DUMMYFUNCTION("VLOOKUP(F13044, IMPORTRANGE(""https://docs.google.com/spreadsheets/d/1Lhp9OU0JdFf_VYSMzH5lBcEaU4o8teT1piV-SNzShjg/edit?gid=554141278#gid=554141278"", ""'Char Def. - Attributes'!C20:C2242""), 1,false)"),"ALT_DENUM_UOM2")</f>
        <v>ALT_DENUM_UOM2</v>
      </c>
      <c r="I13044" s="136"/>
      <c r="R13044" s="63" t="str">
        <f t="shared" si="60"/>
        <v>ZSI1_REGULATORALT_DENUM_UOM2</v>
      </c>
    </row>
    <row r="13045" ht="15.75" customHeight="1">
      <c r="B13045" s="63">
        <f t="shared" si="1"/>
        <v>14</v>
      </c>
      <c r="C13045" s="135" t="s">
        <v>321</v>
      </c>
      <c r="D13045" s="161" t="s">
        <v>74</v>
      </c>
      <c r="E13045" s="135">
        <f t="shared" si="62"/>
        <v>19</v>
      </c>
      <c r="F13045" s="134" t="s">
        <v>3809</v>
      </c>
      <c r="G13045" s="63" t="str">
        <f>VLOOKUP(C13045, 'Class Def. - General Data'!$C$20:$C$1000,1,false)</f>
        <v>ZSI1_REGULATOR</v>
      </c>
      <c r="H13045" s="63" t="str">
        <f>IFERROR(__xludf.DUMMYFUNCTION("VLOOKUP(F13045, IMPORTRANGE(""https://docs.google.com/spreadsheets/d/1Lhp9OU0JdFf_VYSMzH5lBcEaU4o8teT1piV-SNzShjg/edit?gid=554141278#gid=554141278"", ""'Char Def. - Attributes'!C20:C2242""), 1,false)"),"ALT_NUM_UOM2")</f>
        <v>ALT_NUM_UOM2</v>
      </c>
      <c r="I13045" s="136"/>
      <c r="R13045" s="63" t="str">
        <f t="shared" si="60"/>
        <v>ZSI1_REGULATORALT_NUM_UOM2</v>
      </c>
    </row>
    <row r="13046" ht="15.75" customHeight="1">
      <c r="B13046" s="63">
        <f t="shared" si="1"/>
        <v>14</v>
      </c>
      <c r="C13046" s="135" t="s">
        <v>321</v>
      </c>
      <c r="D13046" s="161" t="s">
        <v>74</v>
      </c>
      <c r="E13046" s="135">
        <f t="shared" si="62"/>
        <v>20</v>
      </c>
      <c r="F13046" s="134" t="s">
        <v>3810</v>
      </c>
      <c r="G13046" s="63" t="str">
        <f>VLOOKUP(C13046, 'Class Def. - General Data'!$C$20:$C$1000,1,false)</f>
        <v>ZSI1_REGULATOR</v>
      </c>
      <c r="H13046" s="63" t="str">
        <f>IFERROR(__xludf.DUMMYFUNCTION("VLOOKUP(F13046, IMPORTRANGE(""https://docs.google.com/spreadsheets/d/1Lhp9OU0JdFf_VYSMzH5lBcEaU4o8teT1piV-SNzShjg/edit?gid=554141278#gid=554141278"", ""'Char Def. - Attributes'!C20:C2242""), 1,false)"),"ALT_UOM3_SIPI")</f>
        <v>ALT_UOM3_SIPI</v>
      </c>
      <c r="I13046" s="136"/>
      <c r="R13046" s="63" t="str">
        <f t="shared" si="60"/>
        <v>ZSI1_REGULATORALT_UOM3_SIPI</v>
      </c>
    </row>
    <row r="13047" ht="15.75" customHeight="1">
      <c r="B13047" s="63">
        <f t="shared" si="1"/>
        <v>14</v>
      </c>
      <c r="C13047" s="135" t="s">
        <v>321</v>
      </c>
      <c r="D13047" s="161" t="s">
        <v>74</v>
      </c>
      <c r="E13047" s="135">
        <f t="shared" si="62"/>
        <v>21</v>
      </c>
      <c r="F13047" s="134" t="s">
        <v>3811</v>
      </c>
      <c r="G13047" s="63" t="str">
        <f>VLOOKUP(C13047, 'Class Def. - General Data'!$C$20:$C$1000,1,false)</f>
        <v>ZSI1_REGULATOR</v>
      </c>
      <c r="H13047" s="63" t="str">
        <f>IFERROR(__xludf.DUMMYFUNCTION("VLOOKUP(F13047, IMPORTRANGE(""https://docs.google.com/spreadsheets/d/1Lhp9OU0JdFf_VYSMzH5lBcEaU4o8teT1piV-SNzShjg/edit?gid=554141278#gid=554141278"", ""'Char Def. - Attributes'!C20:C2242""), 1,false)"),"ALT_DENUM_UOM3")</f>
        <v>ALT_DENUM_UOM3</v>
      </c>
      <c r="I13047" s="136"/>
      <c r="R13047" s="63" t="str">
        <f t="shared" si="60"/>
        <v>ZSI1_REGULATORALT_DENUM_UOM3</v>
      </c>
    </row>
    <row r="13048" ht="15.75" customHeight="1">
      <c r="B13048" s="63">
        <f t="shared" si="1"/>
        <v>14</v>
      </c>
      <c r="C13048" s="135" t="s">
        <v>321</v>
      </c>
      <c r="D13048" s="161" t="s">
        <v>74</v>
      </c>
      <c r="E13048" s="135">
        <f t="shared" si="62"/>
        <v>22</v>
      </c>
      <c r="F13048" s="134" t="s">
        <v>3812</v>
      </c>
      <c r="G13048" s="63" t="str">
        <f>VLOOKUP(C13048, 'Class Def. - General Data'!$C$20:$C$1000,1,false)</f>
        <v>ZSI1_REGULATOR</v>
      </c>
      <c r="H13048" s="63" t="str">
        <f>IFERROR(__xludf.DUMMYFUNCTION("VLOOKUP(F13048, IMPORTRANGE(""https://docs.google.com/spreadsheets/d/1Lhp9OU0JdFf_VYSMzH5lBcEaU4o8teT1piV-SNzShjg/edit?gid=554141278#gid=554141278"", ""'Char Def. - Attributes'!C20:C2242""), 1,false)"),"ALT_NUM_UOM3")</f>
        <v>ALT_NUM_UOM3</v>
      </c>
      <c r="I13048" s="136"/>
      <c r="R13048" s="63" t="str">
        <f t="shared" si="60"/>
        <v>ZSI1_REGULATORALT_NUM_UOM3</v>
      </c>
    </row>
    <row r="13049" ht="15.75" customHeight="1">
      <c r="B13049" s="63">
        <f t="shared" si="1"/>
        <v>14</v>
      </c>
      <c r="C13049" s="135" t="s">
        <v>321</v>
      </c>
      <c r="D13049" s="161" t="s">
        <v>74</v>
      </c>
      <c r="E13049" s="135">
        <f t="shared" si="62"/>
        <v>23</v>
      </c>
      <c r="F13049" s="134" t="s">
        <v>3813</v>
      </c>
      <c r="G13049" s="63" t="str">
        <f>VLOOKUP(C13049, 'Class Def. - General Data'!$C$20:$C$1000,1,false)</f>
        <v>ZSI1_REGULATOR</v>
      </c>
      <c r="H13049" s="63" t="str">
        <f>IFERROR(__xludf.DUMMYFUNCTION("VLOOKUP(F13049, IMPORTRANGE(""https://docs.google.com/spreadsheets/d/1Lhp9OU0JdFf_VYSMzH5lBcEaU4o8teT1piV-SNzShjg/edit?gid=554141278#gid=554141278"", ""'Char Def. - Attributes'!C20:C2242""), 1,false)"),"ALT_UOM4_SIPI")</f>
        <v>ALT_UOM4_SIPI</v>
      </c>
      <c r="I13049" s="136"/>
      <c r="R13049" s="63" t="str">
        <f t="shared" si="60"/>
        <v>ZSI1_REGULATORALT_UOM4_SIPI</v>
      </c>
    </row>
    <row r="13050" ht="15.75" customHeight="1">
      <c r="B13050" s="63">
        <f t="shared" si="1"/>
        <v>14</v>
      </c>
      <c r="C13050" s="135" t="s">
        <v>321</v>
      </c>
      <c r="D13050" s="161" t="s">
        <v>74</v>
      </c>
      <c r="E13050" s="135">
        <f t="shared" si="62"/>
        <v>24</v>
      </c>
      <c r="F13050" s="134" t="s">
        <v>3814</v>
      </c>
      <c r="G13050" s="63" t="str">
        <f>VLOOKUP(C13050, 'Class Def. - General Data'!$C$20:$C$1000,1,false)</f>
        <v>ZSI1_REGULATOR</v>
      </c>
      <c r="H13050" s="63" t="str">
        <f>IFERROR(__xludf.DUMMYFUNCTION("VLOOKUP(F13050, IMPORTRANGE(""https://docs.google.com/spreadsheets/d/1Lhp9OU0JdFf_VYSMzH5lBcEaU4o8teT1piV-SNzShjg/edit?gid=554141278#gid=554141278"", ""'Char Def. - Attributes'!C20:C2242""), 1,false)"),"ALT_DENUM_UOM4")</f>
        <v>ALT_DENUM_UOM4</v>
      </c>
      <c r="I13050" s="136"/>
      <c r="R13050" s="63" t="str">
        <f t="shared" si="60"/>
        <v>ZSI1_REGULATORALT_DENUM_UOM4</v>
      </c>
    </row>
    <row r="13051" ht="15.75" customHeight="1">
      <c r="B13051" s="63">
        <f t="shared" si="1"/>
        <v>14</v>
      </c>
      <c r="C13051" s="135" t="s">
        <v>321</v>
      </c>
      <c r="D13051" s="161" t="s">
        <v>74</v>
      </c>
      <c r="E13051" s="135">
        <f t="shared" si="62"/>
        <v>25</v>
      </c>
      <c r="F13051" s="134" t="s">
        <v>3815</v>
      </c>
      <c r="G13051" s="63" t="str">
        <f>VLOOKUP(C13051, 'Class Def. - General Data'!$C$20:$C$1000,1,false)</f>
        <v>ZSI1_REGULATOR</v>
      </c>
      <c r="H13051" s="63" t="str">
        <f>IFERROR(__xludf.DUMMYFUNCTION("VLOOKUP(F13051, IMPORTRANGE(""https://docs.google.com/spreadsheets/d/1Lhp9OU0JdFf_VYSMzH5lBcEaU4o8teT1piV-SNzShjg/edit?gid=554141278#gid=554141278"", ""'Char Def. - Attributes'!C20:C2242""), 1,false)"),"ALT_NUM_UOM4")</f>
        <v>ALT_NUM_UOM4</v>
      </c>
      <c r="I13051" s="136"/>
      <c r="R13051" s="63" t="str">
        <f t="shared" si="60"/>
        <v>ZSI1_REGULATORALT_NUM_UOM4</v>
      </c>
    </row>
    <row r="13052" ht="15.75" customHeight="1">
      <c r="B13052" s="63">
        <f t="shared" si="1"/>
        <v>14</v>
      </c>
      <c r="C13052" s="135" t="s">
        <v>321</v>
      </c>
      <c r="D13052" s="161" t="s">
        <v>74</v>
      </c>
      <c r="E13052" s="135">
        <f t="shared" si="62"/>
        <v>26</v>
      </c>
      <c r="F13052" s="134" t="s">
        <v>3816</v>
      </c>
      <c r="G13052" s="63" t="str">
        <f>VLOOKUP(C13052, 'Class Def. - General Data'!$C$20:$C$1000,1,false)</f>
        <v>ZSI1_REGULATOR</v>
      </c>
      <c r="H13052" s="63" t="str">
        <f>IFERROR(__xludf.DUMMYFUNCTION("VLOOKUP(F13052, IMPORTRANGE(""https://docs.google.com/spreadsheets/d/1Lhp9OU0JdFf_VYSMzH5lBcEaU4o8teT1piV-SNzShjg/edit?gid=554141278#gid=554141278"", ""'Char Def. - Attributes'!C20:C2242""), 1,false)"),"ALT_UOM5_SIPI")</f>
        <v>ALT_UOM5_SIPI</v>
      </c>
      <c r="I13052" s="136"/>
      <c r="R13052" s="63" t="str">
        <f t="shared" si="60"/>
        <v>ZSI1_REGULATORALT_UOM5_SIPI</v>
      </c>
    </row>
    <row r="13053" ht="15.75" customHeight="1">
      <c r="B13053" s="63">
        <f t="shared" si="1"/>
        <v>14</v>
      </c>
      <c r="C13053" s="135" t="s">
        <v>321</v>
      </c>
      <c r="D13053" s="161" t="s">
        <v>74</v>
      </c>
      <c r="E13053" s="135">
        <f t="shared" si="62"/>
        <v>27</v>
      </c>
      <c r="F13053" s="134" t="s">
        <v>3817</v>
      </c>
      <c r="G13053" s="63" t="str">
        <f>VLOOKUP(C13053, 'Class Def. - General Data'!$C$20:$C$1000,1,false)</f>
        <v>ZSI1_REGULATOR</v>
      </c>
      <c r="H13053" s="63" t="str">
        <f>IFERROR(__xludf.DUMMYFUNCTION("VLOOKUP(F13053, IMPORTRANGE(""https://docs.google.com/spreadsheets/d/1Lhp9OU0JdFf_VYSMzH5lBcEaU4o8teT1piV-SNzShjg/edit?gid=554141278#gid=554141278"", ""'Char Def. - Attributes'!C20:C2242""), 1,false)"),"ALT_DENUM_UOM5")</f>
        <v>ALT_DENUM_UOM5</v>
      </c>
      <c r="I13053" s="136"/>
      <c r="R13053" s="63" t="str">
        <f t="shared" si="60"/>
        <v>ZSI1_REGULATORALT_DENUM_UOM5</v>
      </c>
    </row>
    <row r="13054" ht="15.75" customHeight="1">
      <c r="B13054" s="63">
        <f t="shared" si="1"/>
        <v>14</v>
      </c>
      <c r="C13054" s="135" t="s">
        <v>321</v>
      </c>
      <c r="D13054" s="161" t="s">
        <v>74</v>
      </c>
      <c r="E13054" s="135">
        <f t="shared" si="62"/>
        <v>28</v>
      </c>
      <c r="F13054" s="134" t="s">
        <v>3818</v>
      </c>
      <c r="G13054" s="63" t="str">
        <f>VLOOKUP(C13054, 'Class Def. - General Data'!$C$20:$C$1000,1,false)</f>
        <v>ZSI1_REGULATOR</v>
      </c>
      <c r="H13054" s="63" t="str">
        <f>IFERROR(__xludf.DUMMYFUNCTION("VLOOKUP(F13054, IMPORTRANGE(""https://docs.google.com/spreadsheets/d/1Lhp9OU0JdFf_VYSMzH5lBcEaU4o8teT1piV-SNzShjg/edit?gid=554141278#gid=554141278"", ""'Char Def. - Attributes'!C20:C2242""), 1,false)"),"ALT_NUM_UOM5")</f>
        <v>ALT_NUM_UOM5</v>
      </c>
      <c r="I13054" s="136"/>
      <c r="R13054" s="63" t="str">
        <f t="shared" si="60"/>
        <v>ZSI1_REGULATORALT_NUM_UOM5</v>
      </c>
    </row>
    <row r="13055" ht="15.75" customHeight="1">
      <c r="B13055" s="63">
        <f t="shared" si="1"/>
        <v>13</v>
      </c>
      <c r="C13055" s="135" t="s">
        <v>532</v>
      </c>
      <c r="D13055" s="161" t="s">
        <v>74</v>
      </c>
      <c r="E13055" s="135">
        <f t="shared" si="62"/>
        <v>1</v>
      </c>
      <c r="F13055" s="134" t="s">
        <v>5304</v>
      </c>
      <c r="G13055" s="63" t="str">
        <f>VLOOKUP(C13055, 'Class Def. - General Data'!$C$20:$C$1000,1,false)</f>
        <v>ZSI1_RESISTOR</v>
      </c>
      <c r="H13055" s="63" t="str">
        <f>IFERROR(__xludf.DUMMYFUNCTION("VLOOKUP(F13055, IMPORTRANGE(""https://docs.google.com/spreadsheets/d/1Lhp9OU0JdFf_VYSMzH5lBcEaU4o8teT1piV-SNzShjg/edit?gid=554141278#gid=554141278"", ""'Char Def. - Attributes'!C20:C2242""), 1,false)"),"ITEM_NAME_RESISTOR")</f>
        <v>ITEM_NAME_RESISTOR</v>
      </c>
      <c r="I13055" s="136"/>
      <c r="R13055" s="63" t="str">
        <f t="shared" si="60"/>
        <v>ZSI1_RESISTORITEM_NAME_RESISTOR</v>
      </c>
    </row>
    <row r="13056" ht="15.75" customHeight="1">
      <c r="B13056" s="63">
        <f t="shared" si="1"/>
        <v>13</v>
      </c>
      <c r="C13056" s="135" t="s">
        <v>532</v>
      </c>
      <c r="D13056" s="161" t="s">
        <v>74</v>
      </c>
      <c r="E13056" s="135">
        <f t="shared" si="62"/>
        <v>2</v>
      </c>
      <c r="F13056" s="134" t="s">
        <v>5305</v>
      </c>
      <c r="G13056" s="63" t="str">
        <f>VLOOKUP(C13056, 'Class Def. - General Data'!$C$20:$C$1000,1,false)</f>
        <v>ZSI1_RESISTOR</v>
      </c>
      <c r="H13056" s="63" t="str">
        <f>IFERROR(__xludf.DUMMYFUNCTION("VLOOKUP(F13056, IMPORTRANGE(""https://docs.google.com/spreadsheets/d/1Lhp9OU0JdFf_VYSMzH5lBcEaU4o8teT1piV-SNzShjg/edit?gid=554141278#gid=554141278"", ""'Char Def. - Attributes'!C20:C2242""), 1,false)"),"RESISTANCE_OHM_RESISTOR")</f>
        <v>RESISTANCE_OHM_RESISTOR</v>
      </c>
      <c r="I13056" s="136"/>
      <c r="R13056" s="63" t="str">
        <f t="shared" si="60"/>
        <v>ZSI1_RESISTORRESISTANCE_OHM_RESISTOR</v>
      </c>
    </row>
    <row r="13057" ht="15.75" customHeight="1">
      <c r="B13057" s="63">
        <f t="shared" si="1"/>
        <v>13</v>
      </c>
      <c r="C13057" s="135" t="s">
        <v>532</v>
      </c>
      <c r="D13057" s="161" t="s">
        <v>74</v>
      </c>
      <c r="E13057" s="135">
        <f t="shared" si="62"/>
        <v>3</v>
      </c>
      <c r="F13057" s="134" t="s">
        <v>5306</v>
      </c>
      <c r="G13057" s="63" t="str">
        <f>VLOOKUP(C13057, 'Class Def. - General Data'!$C$20:$C$1000,1,false)</f>
        <v>ZSI1_RESISTOR</v>
      </c>
      <c r="H13057" s="63" t="str">
        <f>IFERROR(__xludf.DUMMYFUNCTION("VLOOKUP(F13057, IMPORTRANGE(""https://docs.google.com/spreadsheets/d/1Lhp9OU0JdFf_VYSMzH5lBcEaU4o8teT1piV-SNzShjg/edit?gid=554141278#gid=554141278"", ""'Char Def. - Attributes'!C20:C2242""), 1,false)"),"POWER_W_RESISTOR")</f>
        <v>POWER_W_RESISTOR</v>
      </c>
      <c r="I13057" s="136"/>
      <c r="R13057" s="63" t="str">
        <f t="shared" si="60"/>
        <v>ZSI1_RESISTORPOWER_W_RESISTOR</v>
      </c>
    </row>
    <row r="13058" ht="15.75" customHeight="1">
      <c r="B13058" s="63">
        <f t="shared" si="1"/>
        <v>13</v>
      </c>
      <c r="C13058" s="135" t="s">
        <v>532</v>
      </c>
      <c r="D13058" s="161" t="s">
        <v>74</v>
      </c>
      <c r="E13058" s="135">
        <f t="shared" si="62"/>
        <v>4</v>
      </c>
      <c r="F13058" s="134" t="s">
        <v>5307</v>
      </c>
      <c r="G13058" s="63" t="str">
        <f>VLOOKUP(C13058, 'Class Def. - General Data'!$C$20:$C$1000,1,false)</f>
        <v>ZSI1_RESISTOR</v>
      </c>
      <c r="H13058" s="63" t="str">
        <f>IFERROR(__xludf.DUMMYFUNCTION("VLOOKUP(F13058, IMPORTRANGE(""https://docs.google.com/spreadsheets/d/1Lhp9OU0JdFf_VYSMzH5lBcEaU4o8teT1piV-SNzShjg/edit?gid=554141278#gid=554141278"", ""'Char Def. - Attributes'!C20:C2242""), 1,false)"),"#N/A")</f>
        <v>#N/A</v>
      </c>
      <c r="I13058" s="136"/>
      <c r="R13058" s="63" t="str">
        <f t="shared" si="60"/>
        <v>ZSI1_RESISTORMATERIAL_RESISTOR</v>
      </c>
    </row>
    <row r="13059" ht="15.75" customHeight="1">
      <c r="B13059" s="63">
        <f t="shared" si="1"/>
        <v>13</v>
      </c>
      <c r="C13059" s="135" t="s">
        <v>532</v>
      </c>
      <c r="D13059" s="161" t="s">
        <v>74</v>
      </c>
      <c r="E13059" s="135">
        <f t="shared" si="62"/>
        <v>5</v>
      </c>
      <c r="F13059" s="134" t="s">
        <v>4062</v>
      </c>
      <c r="G13059" s="63" t="str">
        <f>VLOOKUP(C13059, 'Class Def. - General Data'!$C$20:$C$1000,1,false)</f>
        <v>ZSI1_RESISTOR</v>
      </c>
      <c r="H13059" s="63" t="str">
        <f>IFERROR(__xludf.DUMMYFUNCTION("VLOOKUP(F13059, IMPORTRANGE(""https://docs.google.com/spreadsheets/d/1Lhp9OU0JdFf_VYSMzH5lBcEaU4o8teT1piV-SNzShjg/edit?gid=554141278#gid=554141278"", ""'Char Def. - Attributes'!C20:C2242""), 1,false)"),"#N/A")</f>
        <v>#N/A</v>
      </c>
      <c r="I13059" s="136"/>
      <c r="R13059" s="63" t="str">
        <f t="shared" si="60"/>
        <v>ZSI1_RESISTORADDTIONAL_SPECIFICATION</v>
      </c>
    </row>
    <row r="13060" ht="15.75" customHeight="1">
      <c r="B13060" s="63">
        <f t="shared" si="1"/>
        <v>13</v>
      </c>
      <c r="C13060" s="135" t="s">
        <v>532</v>
      </c>
      <c r="D13060" s="161" t="s">
        <v>74</v>
      </c>
      <c r="E13060" s="135">
        <f t="shared" si="62"/>
        <v>6</v>
      </c>
      <c r="F13060" s="134" t="s">
        <v>3585</v>
      </c>
      <c r="G13060" s="63" t="str">
        <f>VLOOKUP(C13060, 'Class Def. - General Data'!$C$20:$C$1000,1,false)</f>
        <v>ZSI1_RESISTOR</v>
      </c>
      <c r="H13060" s="63" t="str">
        <f>IFERROR(__xludf.DUMMYFUNCTION("VLOOKUP(F13060, IMPORTRANGE(""https://docs.google.com/spreadsheets/d/1Lhp9OU0JdFf_VYSMzH5lBcEaU4o8teT1piV-SNzShjg/edit?gid=554141278#gid=554141278"", ""'Char Def. - Attributes'!C20:C2242""), 1,false)"),"HS_CODE")</f>
        <v>HS_CODE</v>
      </c>
      <c r="I13060" s="136"/>
      <c r="R13060" s="63" t="str">
        <f t="shared" si="60"/>
        <v>ZSI1_RESISTORHS_CODE</v>
      </c>
    </row>
    <row r="13061" ht="15.75" customHeight="1">
      <c r="B13061" s="63">
        <f t="shared" si="1"/>
        <v>13</v>
      </c>
      <c r="C13061" s="135" t="s">
        <v>532</v>
      </c>
      <c r="D13061" s="161" t="s">
        <v>74</v>
      </c>
      <c r="E13061" s="135">
        <f t="shared" si="62"/>
        <v>7</v>
      </c>
      <c r="F13061" s="134" t="s">
        <v>3587</v>
      </c>
      <c r="G13061" s="63" t="str">
        <f>VLOOKUP(C13061, 'Class Def. - General Data'!$C$20:$C$1000,1,false)</f>
        <v>ZSI1_RESISTOR</v>
      </c>
      <c r="H13061" s="63" t="str">
        <f>IFERROR(__xludf.DUMMYFUNCTION("VLOOKUP(F13061, IMPORTRANGE(""https://docs.google.com/spreadsheets/d/1Lhp9OU0JdFf_VYSMzH5lBcEaU4o8teT1piV-SNzShjg/edit?gid=554141278#gid=554141278"", ""'Char Def. - Attributes'!C20:C2242""), 1,false)"),"PLANT_BUY")</f>
        <v>PLANT_BUY</v>
      </c>
      <c r="I13061" s="136"/>
      <c r="R13061" s="63" t="str">
        <f t="shared" si="60"/>
        <v>ZSI1_RESISTORPLANT_BUY</v>
      </c>
    </row>
    <row r="13062" ht="15.75" customHeight="1">
      <c r="B13062" s="63">
        <f t="shared" si="1"/>
        <v>13</v>
      </c>
      <c r="C13062" s="135" t="s">
        <v>532</v>
      </c>
      <c r="D13062" s="161" t="s">
        <v>74</v>
      </c>
      <c r="E13062" s="135">
        <f t="shared" si="62"/>
        <v>8</v>
      </c>
      <c r="F13062" s="134" t="s">
        <v>5308</v>
      </c>
      <c r="G13062" s="63" t="str">
        <f>VLOOKUP(C13062, 'Class Def. - General Data'!$C$20:$C$1000,1,false)</f>
        <v>ZSI1_RESISTOR</v>
      </c>
      <c r="H13062" s="63" t="str">
        <f>IFERROR(__xludf.DUMMYFUNCTION("VLOOKUP(F13062, IMPORTRANGE(""https://docs.google.com/spreadsheets/d/1Lhp9OU0JdFf_VYSMzH5lBcEaU4o8teT1piV-SNzShjg/edit?gid=554141278#gid=554141278"", ""'Char Def. - Attributes'!C20:C2242""), 1,false)"),"BASE_UOM_RESISTOR")</f>
        <v>BASE_UOM_RESISTOR</v>
      </c>
      <c r="I13062" s="136"/>
      <c r="R13062" s="63" t="str">
        <f t="shared" si="60"/>
        <v>ZSI1_RESISTORBASE_UOM_RESISTOR</v>
      </c>
    </row>
    <row r="13063" ht="15.75" customHeight="1">
      <c r="B13063" s="63">
        <f t="shared" si="1"/>
        <v>13</v>
      </c>
      <c r="C13063" s="135" t="s">
        <v>532</v>
      </c>
      <c r="D13063" s="161" t="s">
        <v>74</v>
      </c>
      <c r="E13063" s="135">
        <f t="shared" si="62"/>
        <v>9</v>
      </c>
      <c r="F13063" s="134" t="s">
        <v>5309</v>
      </c>
      <c r="G13063" s="63" t="str">
        <f>VLOOKUP(C13063, 'Class Def. - General Data'!$C$20:$C$1000,1,false)</f>
        <v>ZSI1_RESISTOR</v>
      </c>
      <c r="H13063" s="63" t="str">
        <f>IFERROR(__xludf.DUMMYFUNCTION("VLOOKUP(F13063, IMPORTRANGE(""https://docs.google.com/spreadsheets/d/1Lhp9OU0JdFf_VYSMzH5lBcEaU4o8teT1piV-SNzShjg/edit?gid=554141278#gid=554141278"", ""'Char Def. - Attributes'!C20:C2242""), 1,false)"),"ORDER_UNIT_RESISTOR")</f>
        <v>ORDER_UNIT_RESISTOR</v>
      </c>
      <c r="I13063" s="136"/>
      <c r="R13063" s="63" t="str">
        <f t="shared" si="60"/>
        <v>ZSI1_RESISTORORDER_UNIT_RESISTOR</v>
      </c>
    </row>
    <row r="13064" ht="15.75" customHeight="1">
      <c r="B13064" s="63">
        <f t="shared" si="1"/>
        <v>13</v>
      </c>
      <c r="C13064" s="135" t="s">
        <v>532</v>
      </c>
      <c r="D13064" s="161" t="s">
        <v>74</v>
      </c>
      <c r="E13064" s="135">
        <f t="shared" si="62"/>
        <v>10</v>
      </c>
      <c r="F13064" s="134" t="s">
        <v>4056</v>
      </c>
      <c r="G13064" s="63" t="str">
        <f>VLOOKUP(C13064, 'Class Def. - General Data'!$C$20:$C$1000,1,false)</f>
        <v>ZSI1_RESISTOR</v>
      </c>
      <c r="H13064" s="63" t="str">
        <f>IFERROR(__xludf.DUMMYFUNCTION("VLOOKUP(F13064, IMPORTRANGE(""https://docs.google.com/spreadsheets/d/1Lhp9OU0JdFf_VYSMzH5lBcEaU4o8teT1piV-SNzShjg/edit?gid=554141278#gid=554141278"", ""'Char Def. - Attributes'!C20:C2242""), 1,false)"),"GROSS_WEIGHT_OPT")</f>
        <v>GROSS_WEIGHT_OPT</v>
      </c>
      <c r="I13064" s="136"/>
      <c r="R13064" s="63" t="str">
        <f t="shared" si="60"/>
        <v>ZSI1_RESISTORGROSS_WEIGHT_OPT</v>
      </c>
    </row>
    <row r="13065" ht="15.75" customHeight="1">
      <c r="B13065" s="63">
        <f t="shared" si="1"/>
        <v>13</v>
      </c>
      <c r="C13065" s="135" t="s">
        <v>532</v>
      </c>
      <c r="D13065" s="161" t="s">
        <v>74</v>
      </c>
      <c r="E13065" s="135">
        <f t="shared" si="62"/>
        <v>11</v>
      </c>
      <c r="F13065" s="134" t="s">
        <v>4057</v>
      </c>
      <c r="G13065" s="63" t="str">
        <f>VLOOKUP(C13065, 'Class Def. - General Data'!$C$20:$C$1000,1,false)</f>
        <v>ZSI1_RESISTOR</v>
      </c>
      <c r="H13065" s="63" t="str">
        <f>IFERROR(__xludf.DUMMYFUNCTION("VLOOKUP(F13065, IMPORTRANGE(""https://docs.google.com/spreadsheets/d/1Lhp9OU0JdFf_VYSMzH5lBcEaU4o8teT1piV-SNzShjg/edit?gid=554141278#gid=554141278"", ""'Char Def. - Attributes'!C20:C2242""), 1,false)"),"NET_WEIGHT_OPT")</f>
        <v>NET_WEIGHT_OPT</v>
      </c>
      <c r="I13065" s="136"/>
      <c r="R13065" s="63" t="str">
        <f t="shared" si="60"/>
        <v>ZSI1_RESISTORNET_WEIGHT_OPT</v>
      </c>
    </row>
    <row r="13066" ht="15.75" customHeight="1">
      <c r="B13066" s="63">
        <f t="shared" si="1"/>
        <v>13</v>
      </c>
      <c r="C13066" s="135" t="s">
        <v>532</v>
      </c>
      <c r="D13066" s="161" t="s">
        <v>74</v>
      </c>
      <c r="E13066" s="135">
        <f t="shared" si="62"/>
        <v>12</v>
      </c>
      <c r="F13066" s="134" t="s">
        <v>4058</v>
      </c>
      <c r="G13066" s="63" t="str">
        <f>VLOOKUP(C13066, 'Class Def. - General Data'!$C$20:$C$1000,1,false)</f>
        <v>ZSI1_RESISTOR</v>
      </c>
      <c r="H13066" s="63" t="str">
        <f>IFERROR(__xludf.DUMMYFUNCTION("VLOOKUP(F13066, IMPORTRANGE(""https://docs.google.com/spreadsheets/d/1Lhp9OU0JdFf_VYSMzH5lBcEaU4o8teT1piV-SNzShjg/edit?gid=554141278#gid=554141278"", ""'Char Def. - Attributes'!C20:C2242""), 1,false)"),"WEIGHT_UNIT_SI")</f>
        <v>WEIGHT_UNIT_SI</v>
      </c>
      <c r="I13066" s="136"/>
      <c r="R13066" s="63" t="str">
        <f t="shared" si="60"/>
        <v>ZSI1_RESISTORWEIGHT_UNIT_SI</v>
      </c>
    </row>
    <row r="13067" ht="15.75" customHeight="1">
      <c r="B13067" s="63">
        <f t="shared" si="1"/>
        <v>13</v>
      </c>
      <c r="C13067" s="135" t="s">
        <v>532</v>
      </c>
      <c r="D13067" s="161" t="s">
        <v>74</v>
      </c>
      <c r="E13067" s="135">
        <f t="shared" si="62"/>
        <v>13</v>
      </c>
      <c r="F13067" s="134" t="s">
        <v>3877</v>
      </c>
      <c r="G13067" s="63" t="str">
        <f>VLOOKUP(C13067, 'Class Def. - General Data'!$C$20:$C$1000,1,false)</f>
        <v>ZSI1_RESISTOR</v>
      </c>
      <c r="H13067" s="63" t="str">
        <f>IFERROR(__xludf.DUMMYFUNCTION("VLOOKUP(F13067, IMPORTRANGE(""https://docs.google.com/spreadsheets/d/1Lhp9OU0JdFf_VYSMzH5lBcEaU4o8teT1piV-SNzShjg/edit?gid=554141278#gid=554141278"", ""'Char Def. - Attributes'!C20:C2242""), 1,false)"),"VOLUME_OPT")</f>
        <v>VOLUME_OPT</v>
      </c>
      <c r="I13067" s="136"/>
      <c r="R13067" s="63" t="str">
        <f t="shared" si="60"/>
        <v>ZSI1_RESISTORVOLUME_OPT</v>
      </c>
    </row>
    <row r="13068" ht="15.75" customHeight="1">
      <c r="B13068" s="63">
        <f t="shared" si="1"/>
        <v>13</v>
      </c>
      <c r="C13068" s="135" t="s">
        <v>532</v>
      </c>
      <c r="D13068" s="161" t="s">
        <v>74</v>
      </c>
      <c r="E13068" s="135">
        <f t="shared" si="62"/>
        <v>14</v>
      </c>
      <c r="F13068" s="134" t="s">
        <v>4059</v>
      </c>
      <c r="G13068" s="63" t="str">
        <f>VLOOKUP(C13068, 'Class Def. - General Data'!$C$20:$C$1000,1,false)</f>
        <v>ZSI1_RESISTOR</v>
      </c>
      <c r="H13068" s="63" t="str">
        <f>IFERROR(__xludf.DUMMYFUNCTION("VLOOKUP(F13068, IMPORTRANGE(""https://docs.google.com/spreadsheets/d/1Lhp9OU0JdFf_VYSMzH5lBcEaU4o8teT1piV-SNzShjg/edit?gid=554141278#gid=554141278"", ""'Char Def. - Attributes'!C20:C2242""), 1,false)"),"VOLUME_UNIT_SI")</f>
        <v>VOLUME_UNIT_SI</v>
      </c>
      <c r="I13068" s="136"/>
      <c r="R13068" s="63" t="str">
        <f t="shared" si="60"/>
        <v>ZSI1_RESISTORVOLUME_UNIT_SI</v>
      </c>
    </row>
    <row r="13069" ht="15.75" customHeight="1">
      <c r="B13069" s="63">
        <f t="shared" si="1"/>
        <v>13</v>
      </c>
      <c r="C13069" s="135" t="s">
        <v>532</v>
      </c>
      <c r="D13069" s="161" t="s">
        <v>74</v>
      </c>
      <c r="E13069" s="135">
        <f t="shared" si="62"/>
        <v>15</v>
      </c>
      <c r="F13069" s="134" t="s">
        <v>3804</v>
      </c>
      <c r="G13069" s="63" t="str">
        <f>VLOOKUP(C13069, 'Class Def. - General Data'!$C$20:$C$1000,1,false)</f>
        <v>ZSI1_RESISTOR</v>
      </c>
      <c r="H13069" s="63" t="str">
        <f>IFERROR(__xludf.DUMMYFUNCTION("VLOOKUP(F13069, IMPORTRANGE(""https://docs.google.com/spreadsheets/d/1Lhp9OU0JdFf_VYSMzH5lBcEaU4o8teT1piV-SNzShjg/edit?gid=554141278#gid=554141278"", ""'Char Def. - Attributes'!C20:C2242""), 1,false)"),"ALT_UOM1_SIPI")</f>
        <v>ALT_UOM1_SIPI</v>
      </c>
      <c r="I13069" s="136"/>
      <c r="R13069" s="63" t="str">
        <f t="shared" si="60"/>
        <v>ZSI1_RESISTORALT_UOM1_SIPI</v>
      </c>
    </row>
    <row r="13070" ht="15.75" customHeight="1">
      <c r="B13070" s="63">
        <f t="shared" si="1"/>
        <v>13</v>
      </c>
      <c r="C13070" s="135" t="s">
        <v>532</v>
      </c>
      <c r="D13070" s="161" t="s">
        <v>74</v>
      </c>
      <c r="E13070" s="135">
        <f t="shared" si="62"/>
        <v>16</v>
      </c>
      <c r="F13070" s="134" t="s">
        <v>3805</v>
      </c>
      <c r="G13070" s="63" t="str">
        <f>VLOOKUP(C13070, 'Class Def. - General Data'!$C$20:$C$1000,1,false)</f>
        <v>ZSI1_RESISTOR</v>
      </c>
      <c r="H13070" s="63" t="str">
        <f>IFERROR(__xludf.DUMMYFUNCTION("VLOOKUP(F13070, IMPORTRANGE(""https://docs.google.com/spreadsheets/d/1Lhp9OU0JdFf_VYSMzH5lBcEaU4o8teT1piV-SNzShjg/edit?gid=554141278#gid=554141278"", ""'Char Def. - Attributes'!C20:C2242""), 1,false)"),"ALT_DENUM_UOM1")</f>
        <v>ALT_DENUM_UOM1</v>
      </c>
      <c r="I13070" s="136"/>
      <c r="R13070" s="63" t="str">
        <f t="shared" si="60"/>
        <v>ZSI1_RESISTORALT_DENUM_UOM1</v>
      </c>
    </row>
    <row r="13071" ht="15.75" customHeight="1">
      <c r="B13071" s="63">
        <f t="shared" si="1"/>
        <v>13</v>
      </c>
      <c r="C13071" s="135" t="s">
        <v>532</v>
      </c>
      <c r="D13071" s="161" t="s">
        <v>74</v>
      </c>
      <c r="E13071" s="135">
        <f t="shared" si="62"/>
        <v>17</v>
      </c>
      <c r="F13071" s="134" t="s">
        <v>3806</v>
      </c>
      <c r="G13071" s="63" t="str">
        <f>VLOOKUP(C13071, 'Class Def. - General Data'!$C$20:$C$1000,1,false)</f>
        <v>ZSI1_RESISTOR</v>
      </c>
      <c r="H13071" s="63" t="str">
        <f>IFERROR(__xludf.DUMMYFUNCTION("VLOOKUP(F13071, IMPORTRANGE(""https://docs.google.com/spreadsheets/d/1Lhp9OU0JdFf_VYSMzH5lBcEaU4o8teT1piV-SNzShjg/edit?gid=554141278#gid=554141278"", ""'Char Def. - Attributes'!C20:C2242""), 1,false)"),"ALT_NUM_UOM1")</f>
        <v>ALT_NUM_UOM1</v>
      </c>
      <c r="I13071" s="136"/>
      <c r="R13071" s="63" t="str">
        <f t="shared" si="60"/>
        <v>ZSI1_RESISTORALT_NUM_UOM1</v>
      </c>
    </row>
    <row r="13072" ht="15.75" customHeight="1">
      <c r="B13072" s="63">
        <f t="shared" si="1"/>
        <v>13</v>
      </c>
      <c r="C13072" s="135" t="s">
        <v>532</v>
      </c>
      <c r="D13072" s="161" t="s">
        <v>74</v>
      </c>
      <c r="E13072" s="135">
        <f t="shared" si="62"/>
        <v>18</v>
      </c>
      <c r="F13072" s="134" t="s">
        <v>3807</v>
      </c>
      <c r="G13072" s="63" t="str">
        <f>VLOOKUP(C13072, 'Class Def. - General Data'!$C$20:$C$1000,1,false)</f>
        <v>ZSI1_RESISTOR</v>
      </c>
      <c r="H13072" s="63" t="str">
        <f>IFERROR(__xludf.DUMMYFUNCTION("VLOOKUP(F13072, IMPORTRANGE(""https://docs.google.com/spreadsheets/d/1Lhp9OU0JdFf_VYSMzH5lBcEaU4o8teT1piV-SNzShjg/edit?gid=554141278#gid=554141278"", ""'Char Def. - Attributes'!C20:C2242""), 1,false)"),"ALT_UOM2_SIPI")</f>
        <v>ALT_UOM2_SIPI</v>
      </c>
      <c r="I13072" s="136"/>
      <c r="R13072" s="63" t="str">
        <f t="shared" si="60"/>
        <v>ZSI1_RESISTORALT_UOM2_SIPI</v>
      </c>
    </row>
    <row r="13073" ht="15.75" customHeight="1">
      <c r="B13073" s="63">
        <f t="shared" si="1"/>
        <v>13</v>
      </c>
      <c r="C13073" s="135" t="s">
        <v>532</v>
      </c>
      <c r="D13073" s="161" t="s">
        <v>74</v>
      </c>
      <c r="E13073" s="135">
        <f t="shared" si="62"/>
        <v>19</v>
      </c>
      <c r="F13073" s="134" t="s">
        <v>3808</v>
      </c>
      <c r="G13073" s="63" t="str">
        <f>VLOOKUP(C13073, 'Class Def. - General Data'!$C$20:$C$1000,1,false)</f>
        <v>ZSI1_RESISTOR</v>
      </c>
      <c r="H13073" s="63" t="str">
        <f>IFERROR(__xludf.DUMMYFUNCTION("VLOOKUP(F13073, IMPORTRANGE(""https://docs.google.com/spreadsheets/d/1Lhp9OU0JdFf_VYSMzH5lBcEaU4o8teT1piV-SNzShjg/edit?gid=554141278#gid=554141278"", ""'Char Def. - Attributes'!C20:C2242""), 1,false)"),"ALT_DENUM_UOM2")</f>
        <v>ALT_DENUM_UOM2</v>
      </c>
      <c r="I13073" s="136"/>
      <c r="R13073" s="63" t="str">
        <f t="shared" si="60"/>
        <v>ZSI1_RESISTORALT_DENUM_UOM2</v>
      </c>
    </row>
    <row r="13074" ht="15.75" customHeight="1">
      <c r="B13074" s="63">
        <f t="shared" si="1"/>
        <v>13</v>
      </c>
      <c r="C13074" s="135" t="s">
        <v>532</v>
      </c>
      <c r="D13074" s="161" t="s">
        <v>74</v>
      </c>
      <c r="E13074" s="135">
        <f t="shared" si="62"/>
        <v>20</v>
      </c>
      <c r="F13074" s="134" t="s">
        <v>3809</v>
      </c>
      <c r="G13074" s="63" t="str">
        <f>VLOOKUP(C13074, 'Class Def. - General Data'!$C$20:$C$1000,1,false)</f>
        <v>ZSI1_RESISTOR</v>
      </c>
      <c r="H13074" s="63" t="str">
        <f>IFERROR(__xludf.DUMMYFUNCTION("VLOOKUP(F13074, IMPORTRANGE(""https://docs.google.com/spreadsheets/d/1Lhp9OU0JdFf_VYSMzH5lBcEaU4o8teT1piV-SNzShjg/edit?gid=554141278#gid=554141278"", ""'Char Def. - Attributes'!C20:C2242""), 1,false)"),"ALT_NUM_UOM2")</f>
        <v>ALT_NUM_UOM2</v>
      </c>
      <c r="I13074" s="136"/>
      <c r="R13074" s="63" t="str">
        <f t="shared" si="60"/>
        <v>ZSI1_RESISTORALT_NUM_UOM2</v>
      </c>
    </row>
    <row r="13075" ht="15.75" customHeight="1">
      <c r="B13075" s="63">
        <f t="shared" si="1"/>
        <v>13</v>
      </c>
      <c r="C13075" s="135" t="s">
        <v>532</v>
      </c>
      <c r="D13075" s="161" t="s">
        <v>74</v>
      </c>
      <c r="E13075" s="135">
        <f t="shared" si="62"/>
        <v>21</v>
      </c>
      <c r="F13075" s="134" t="s">
        <v>3810</v>
      </c>
      <c r="G13075" s="63" t="str">
        <f>VLOOKUP(C13075, 'Class Def. - General Data'!$C$20:$C$1000,1,false)</f>
        <v>ZSI1_RESISTOR</v>
      </c>
      <c r="H13075" s="63" t="str">
        <f>IFERROR(__xludf.DUMMYFUNCTION("VLOOKUP(F13075, IMPORTRANGE(""https://docs.google.com/spreadsheets/d/1Lhp9OU0JdFf_VYSMzH5lBcEaU4o8teT1piV-SNzShjg/edit?gid=554141278#gid=554141278"", ""'Char Def. - Attributes'!C20:C2242""), 1,false)"),"ALT_UOM3_SIPI")</f>
        <v>ALT_UOM3_SIPI</v>
      </c>
      <c r="I13075" s="136"/>
      <c r="R13075" s="63" t="str">
        <f t="shared" si="60"/>
        <v>ZSI1_RESISTORALT_UOM3_SIPI</v>
      </c>
    </row>
    <row r="13076" ht="15.75" customHeight="1">
      <c r="B13076" s="63">
        <f t="shared" si="1"/>
        <v>13</v>
      </c>
      <c r="C13076" s="135" t="s">
        <v>532</v>
      </c>
      <c r="D13076" s="161" t="s">
        <v>74</v>
      </c>
      <c r="E13076" s="135">
        <f t="shared" si="62"/>
        <v>22</v>
      </c>
      <c r="F13076" s="134" t="s">
        <v>3811</v>
      </c>
      <c r="G13076" s="63" t="str">
        <f>VLOOKUP(C13076, 'Class Def. - General Data'!$C$20:$C$1000,1,false)</f>
        <v>ZSI1_RESISTOR</v>
      </c>
      <c r="H13076" s="63" t="str">
        <f>IFERROR(__xludf.DUMMYFUNCTION("VLOOKUP(F13076, IMPORTRANGE(""https://docs.google.com/spreadsheets/d/1Lhp9OU0JdFf_VYSMzH5lBcEaU4o8teT1piV-SNzShjg/edit?gid=554141278#gid=554141278"", ""'Char Def. - Attributes'!C20:C2242""), 1,false)"),"ALT_DENUM_UOM3")</f>
        <v>ALT_DENUM_UOM3</v>
      </c>
      <c r="I13076" s="136"/>
      <c r="R13076" s="63" t="str">
        <f t="shared" si="60"/>
        <v>ZSI1_RESISTORALT_DENUM_UOM3</v>
      </c>
    </row>
    <row r="13077" ht="15.75" customHeight="1">
      <c r="B13077" s="63">
        <f t="shared" si="1"/>
        <v>13</v>
      </c>
      <c r="C13077" s="135" t="s">
        <v>532</v>
      </c>
      <c r="D13077" s="161" t="s">
        <v>74</v>
      </c>
      <c r="E13077" s="135">
        <f t="shared" si="62"/>
        <v>23</v>
      </c>
      <c r="F13077" s="134" t="s">
        <v>3812</v>
      </c>
      <c r="G13077" s="63" t="str">
        <f>VLOOKUP(C13077, 'Class Def. - General Data'!$C$20:$C$1000,1,false)</f>
        <v>ZSI1_RESISTOR</v>
      </c>
      <c r="H13077" s="63" t="str">
        <f>IFERROR(__xludf.DUMMYFUNCTION("VLOOKUP(F13077, IMPORTRANGE(""https://docs.google.com/spreadsheets/d/1Lhp9OU0JdFf_VYSMzH5lBcEaU4o8teT1piV-SNzShjg/edit?gid=554141278#gid=554141278"", ""'Char Def. - Attributes'!C20:C2242""), 1,false)"),"ALT_NUM_UOM3")</f>
        <v>ALT_NUM_UOM3</v>
      </c>
      <c r="I13077" s="136"/>
      <c r="R13077" s="63" t="str">
        <f t="shared" si="60"/>
        <v>ZSI1_RESISTORALT_NUM_UOM3</v>
      </c>
    </row>
    <row r="13078" ht="15.75" customHeight="1">
      <c r="B13078" s="63">
        <f t="shared" si="1"/>
        <v>13</v>
      </c>
      <c r="C13078" s="135" t="s">
        <v>532</v>
      </c>
      <c r="D13078" s="161" t="s">
        <v>74</v>
      </c>
      <c r="E13078" s="135">
        <f t="shared" si="62"/>
        <v>24</v>
      </c>
      <c r="F13078" s="134" t="s">
        <v>3813</v>
      </c>
      <c r="G13078" s="63" t="str">
        <f>VLOOKUP(C13078, 'Class Def. - General Data'!$C$20:$C$1000,1,false)</f>
        <v>ZSI1_RESISTOR</v>
      </c>
      <c r="H13078" s="63" t="str">
        <f>IFERROR(__xludf.DUMMYFUNCTION("VLOOKUP(F13078, IMPORTRANGE(""https://docs.google.com/spreadsheets/d/1Lhp9OU0JdFf_VYSMzH5lBcEaU4o8teT1piV-SNzShjg/edit?gid=554141278#gid=554141278"", ""'Char Def. - Attributes'!C20:C2242""), 1,false)"),"ALT_UOM4_SIPI")</f>
        <v>ALT_UOM4_SIPI</v>
      </c>
      <c r="I13078" s="136"/>
      <c r="R13078" s="63" t="str">
        <f t="shared" si="60"/>
        <v>ZSI1_RESISTORALT_UOM4_SIPI</v>
      </c>
    </row>
    <row r="13079" ht="15.75" customHeight="1">
      <c r="B13079" s="63">
        <f t="shared" si="1"/>
        <v>13</v>
      </c>
      <c r="C13079" s="135" t="s">
        <v>532</v>
      </c>
      <c r="D13079" s="161" t="s">
        <v>74</v>
      </c>
      <c r="E13079" s="135">
        <f t="shared" si="62"/>
        <v>25</v>
      </c>
      <c r="F13079" s="134" t="s">
        <v>3814</v>
      </c>
      <c r="G13079" s="63" t="str">
        <f>VLOOKUP(C13079, 'Class Def. - General Data'!$C$20:$C$1000,1,false)</f>
        <v>ZSI1_RESISTOR</v>
      </c>
      <c r="H13079" s="63" t="str">
        <f>IFERROR(__xludf.DUMMYFUNCTION("VLOOKUP(F13079, IMPORTRANGE(""https://docs.google.com/spreadsheets/d/1Lhp9OU0JdFf_VYSMzH5lBcEaU4o8teT1piV-SNzShjg/edit?gid=554141278#gid=554141278"", ""'Char Def. - Attributes'!C20:C2242""), 1,false)"),"ALT_DENUM_UOM4")</f>
        <v>ALT_DENUM_UOM4</v>
      </c>
      <c r="I13079" s="136"/>
      <c r="R13079" s="63" t="str">
        <f t="shared" si="60"/>
        <v>ZSI1_RESISTORALT_DENUM_UOM4</v>
      </c>
    </row>
    <row r="13080" ht="15.75" customHeight="1">
      <c r="B13080" s="63">
        <f t="shared" si="1"/>
        <v>13</v>
      </c>
      <c r="C13080" s="135" t="s">
        <v>532</v>
      </c>
      <c r="D13080" s="161" t="s">
        <v>74</v>
      </c>
      <c r="E13080" s="135">
        <f t="shared" si="62"/>
        <v>26</v>
      </c>
      <c r="F13080" s="134" t="s">
        <v>3815</v>
      </c>
      <c r="G13080" s="63" t="str">
        <f>VLOOKUP(C13080, 'Class Def. - General Data'!$C$20:$C$1000,1,false)</f>
        <v>ZSI1_RESISTOR</v>
      </c>
      <c r="H13080" s="63" t="str">
        <f>IFERROR(__xludf.DUMMYFUNCTION("VLOOKUP(F13080, IMPORTRANGE(""https://docs.google.com/spreadsheets/d/1Lhp9OU0JdFf_VYSMzH5lBcEaU4o8teT1piV-SNzShjg/edit?gid=554141278#gid=554141278"", ""'Char Def. - Attributes'!C20:C2242""), 1,false)"),"ALT_NUM_UOM4")</f>
        <v>ALT_NUM_UOM4</v>
      </c>
      <c r="I13080" s="136"/>
      <c r="R13080" s="63" t="str">
        <f t="shared" si="60"/>
        <v>ZSI1_RESISTORALT_NUM_UOM4</v>
      </c>
    </row>
    <row r="13081" ht="15.75" customHeight="1">
      <c r="B13081" s="63">
        <f t="shared" si="1"/>
        <v>13</v>
      </c>
      <c r="C13081" s="135" t="s">
        <v>532</v>
      </c>
      <c r="D13081" s="161" t="s">
        <v>74</v>
      </c>
      <c r="E13081" s="135">
        <f t="shared" si="62"/>
        <v>27</v>
      </c>
      <c r="F13081" s="134" t="s">
        <v>3816</v>
      </c>
      <c r="G13081" s="63" t="str">
        <f>VLOOKUP(C13081, 'Class Def. - General Data'!$C$20:$C$1000,1,false)</f>
        <v>ZSI1_RESISTOR</v>
      </c>
      <c r="H13081" s="63" t="str">
        <f>IFERROR(__xludf.DUMMYFUNCTION("VLOOKUP(F13081, IMPORTRANGE(""https://docs.google.com/spreadsheets/d/1Lhp9OU0JdFf_VYSMzH5lBcEaU4o8teT1piV-SNzShjg/edit?gid=554141278#gid=554141278"", ""'Char Def. - Attributes'!C20:C2242""), 1,false)"),"ALT_UOM5_SIPI")</f>
        <v>ALT_UOM5_SIPI</v>
      </c>
      <c r="I13081" s="136"/>
      <c r="R13081" s="63" t="str">
        <f t="shared" si="60"/>
        <v>ZSI1_RESISTORALT_UOM5_SIPI</v>
      </c>
    </row>
    <row r="13082" ht="15.75" customHeight="1">
      <c r="B13082" s="63">
        <f t="shared" si="1"/>
        <v>13</v>
      </c>
      <c r="C13082" s="135" t="s">
        <v>532</v>
      </c>
      <c r="D13082" s="161" t="s">
        <v>74</v>
      </c>
      <c r="E13082" s="135">
        <f t="shared" si="62"/>
        <v>28</v>
      </c>
      <c r="F13082" s="134" t="s">
        <v>3817</v>
      </c>
      <c r="G13082" s="63" t="str">
        <f>VLOOKUP(C13082, 'Class Def. - General Data'!$C$20:$C$1000,1,false)</f>
        <v>ZSI1_RESISTOR</v>
      </c>
      <c r="H13082" s="63" t="str">
        <f>IFERROR(__xludf.DUMMYFUNCTION("VLOOKUP(F13082, IMPORTRANGE(""https://docs.google.com/spreadsheets/d/1Lhp9OU0JdFf_VYSMzH5lBcEaU4o8teT1piV-SNzShjg/edit?gid=554141278#gid=554141278"", ""'Char Def. - Attributes'!C20:C2242""), 1,false)"),"ALT_DENUM_UOM5")</f>
        <v>ALT_DENUM_UOM5</v>
      </c>
      <c r="I13082" s="136"/>
      <c r="R13082" s="63" t="str">
        <f t="shared" si="60"/>
        <v>ZSI1_RESISTORALT_DENUM_UOM5</v>
      </c>
    </row>
    <row r="13083" ht="15.75" customHeight="1">
      <c r="B13083" s="63">
        <f t="shared" si="1"/>
        <v>13</v>
      </c>
      <c r="C13083" s="135" t="s">
        <v>532</v>
      </c>
      <c r="D13083" s="161" t="s">
        <v>74</v>
      </c>
      <c r="E13083" s="135">
        <f t="shared" si="62"/>
        <v>29</v>
      </c>
      <c r="F13083" s="134" t="s">
        <v>3818</v>
      </c>
      <c r="G13083" s="63" t="str">
        <f>VLOOKUP(C13083, 'Class Def. - General Data'!$C$20:$C$1000,1,false)</f>
        <v>ZSI1_RESISTOR</v>
      </c>
      <c r="H13083" s="63" t="str">
        <f>IFERROR(__xludf.DUMMYFUNCTION("VLOOKUP(F13083, IMPORTRANGE(""https://docs.google.com/spreadsheets/d/1Lhp9OU0JdFf_VYSMzH5lBcEaU4o8teT1piV-SNzShjg/edit?gid=554141278#gid=554141278"", ""'Char Def. - Attributes'!C20:C2242""), 1,false)"),"ALT_NUM_UOM5")</f>
        <v>ALT_NUM_UOM5</v>
      </c>
      <c r="I13083" s="136"/>
      <c r="R13083" s="63" t="str">
        <f t="shared" si="60"/>
        <v>ZSI1_RESISTORALT_NUM_UOM5</v>
      </c>
    </row>
    <row r="13084" ht="15.75" customHeight="1">
      <c r="B13084" s="63">
        <f t="shared" si="1"/>
        <v>18</v>
      </c>
      <c r="C13084" s="135" t="s">
        <v>526</v>
      </c>
      <c r="D13084" s="161" t="s">
        <v>74</v>
      </c>
      <c r="E13084" s="135">
        <f t="shared" si="62"/>
        <v>1</v>
      </c>
      <c r="F13084" s="134" t="s">
        <v>5310</v>
      </c>
      <c r="G13084" s="63" t="str">
        <f>VLOOKUP(C13084, 'Class Def. - General Data'!$C$20:$C$1000,1,false)</f>
        <v>ZSI1_RETAIN_HARDWR</v>
      </c>
      <c r="H13084" s="63" t="str">
        <f>IFERROR(__xludf.DUMMYFUNCTION("VLOOKUP(F13084, IMPORTRANGE(""https://docs.google.com/spreadsheets/d/1Lhp9OU0JdFf_VYSMzH5lBcEaU4o8teT1piV-SNzShjg/edit?gid=554141278#gid=554141278"", ""'Char Def. - Attributes'!C20:C2242""), 1,false)"),"ITEM_NAME_RETAIN_HARDWARE")</f>
        <v>ITEM_NAME_RETAIN_HARDWARE</v>
      </c>
      <c r="I13084" s="136"/>
      <c r="R13084" s="63" t="str">
        <f t="shared" si="60"/>
        <v>ZSI1_RETAIN_HARDWRITEM_NAME_RETAIN_HARDWARE</v>
      </c>
    </row>
    <row r="13085" ht="15.75" customHeight="1">
      <c r="B13085" s="63">
        <f t="shared" si="1"/>
        <v>18</v>
      </c>
      <c r="C13085" s="135" t="s">
        <v>526</v>
      </c>
      <c r="D13085" s="161" t="s">
        <v>74</v>
      </c>
      <c r="E13085" s="135">
        <f t="shared" si="62"/>
        <v>2</v>
      </c>
      <c r="F13085" s="134" t="s">
        <v>3781</v>
      </c>
      <c r="G13085" s="63" t="str">
        <f>VLOOKUP(C13085, 'Class Def. - General Data'!$C$20:$C$1000,1,false)</f>
        <v>ZSI1_RETAIN_HARDWR</v>
      </c>
      <c r="H13085" s="63" t="str">
        <f>IFERROR(__xludf.DUMMYFUNCTION("VLOOKUP(F13085, IMPORTRANGE(""https://docs.google.com/spreadsheets/d/1Lhp9OU0JdFf_VYSMzH5lBcEaU4o8teT1piV-SNzShjg/edit?gid=554141278#gid=554141278"", ""'Char Def. - Attributes'!C20:C2242""), 1,false)"),"EXTERNAL_BRAND")</f>
        <v>EXTERNAL_BRAND</v>
      </c>
      <c r="I13085" s="136"/>
      <c r="R13085" s="63" t="str">
        <f t="shared" si="60"/>
        <v>ZSI1_RETAIN_HARDWREXTERNAL_BRAND</v>
      </c>
    </row>
    <row r="13086" ht="15.75" customHeight="1">
      <c r="B13086" s="63">
        <f t="shared" si="1"/>
        <v>18</v>
      </c>
      <c r="C13086" s="135" t="s">
        <v>526</v>
      </c>
      <c r="D13086" s="161" t="s">
        <v>74</v>
      </c>
      <c r="E13086" s="135">
        <f t="shared" si="62"/>
        <v>3</v>
      </c>
      <c r="F13086" s="134" t="s">
        <v>5311</v>
      </c>
      <c r="G13086" s="63" t="str">
        <f>VLOOKUP(C13086, 'Class Def. - General Data'!$C$20:$C$1000,1,false)</f>
        <v>ZSI1_RETAIN_HARDWR</v>
      </c>
      <c r="H13086" s="63" t="str">
        <f>IFERROR(__xludf.DUMMYFUNCTION("VLOOKUP(F13086, IMPORTRANGE(""https://docs.google.com/spreadsheets/d/1Lhp9OU0JdFf_VYSMzH5lBcEaU4o8teT1piV-SNzShjg/edit?gid=554141278#gid=554141278"", ""'Char Def. - Attributes'!C20:C2242""), 1,false)"),"MFR_NO_RETAIN_HARDWARE")</f>
        <v>MFR_NO_RETAIN_HARDWARE</v>
      </c>
      <c r="I13086" s="136"/>
      <c r="R13086" s="63" t="str">
        <f t="shared" si="60"/>
        <v>ZSI1_RETAIN_HARDWRMFR_NO_RETAIN_HARDWARE</v>
      </c>
    </row>
    <row r="13087" ht="15.75" customHeight="1">
      <c r="B13087" s="63">
        <f t="shared" si="1"/>
        <v>18</v>
      </c>
      <c r="C13087" s="135" t="s">
        <v>526</v>
      </c>
      <c r="D13087" s="161" t="s">
        <v>74</v>
      </c>
      <c r="E13087" s="135">
        <f t="shared" si="62"/>
        <v>4</v>
      </c>
      <c r="F13087" s="134" t="s">
        <v>3782</v>
      </c>
      <c r="G13087" s="63" t="str">
        <f>VLOOKUP(C13087, 'Class Def. - General Data'!$C$20:$C$1000,1,false)</f>
        <v>ZSI1_RETAIN_HARDWR</v>
      </c>
      <c r="H13087" s="63" t="str">
        <f>IFERROR(__xludf.DUMMYFUNCTION("VLOOKUP(F13087, IMPORTRANGE(""https://docs.google.com/spreadsheets/d/1Lhp9OU0JdFf_VYSMzH5lBcEaU4o8teT1piV-SNzShjg/edit?gid=554141278#gid=554141278"", ""'Char Def. - Attributes'!C20:C2242""), 1,false)"),"BRAND_EXTERNAL")</f>
        <v>BRAND_EXTERNAL</v>
      </c>
      <c r="I13087" s="136"/>
      <c r="R13087" s="63" t="str">
        <f t="shared" si="60"/>
        <v>ZSI1_RETAIN_HARDWRBRAND_EXTERNAL</v>
      </c>
    </row>
    <row r="13088" ht="15.75" customHeight="1">
      <c r="B13088" s="63">
        <f t="shared" si="1"/>
        <v>18</v>
      </c>
      <c r="C13088" s="135" t="s">
        <v>526</v>
      </c>
      <c r="D13088" s="161" t="s">
        <v>74</v>
      </c>
      <c r="E13088" s="135">
        <f t="shared" si="62"/>
        <v>5</v>
      </c>
      <c r="F13088" s="134" t="s">
        <v>5312</v>
      </c>
      <c r="G13088" s="63" t="str">
        <f>VLOOKUP(C13088, 'Class Def. - General Data'!$C$20:$C$1000,1,false)</f>
        <v>ZSI1_RETAIN_HARDWR</v>
      </c>
      <c r="H13088" s="63" t="str">
        <f>IFERROR(__xludf.DUMMYFUNCTION("VLOOKUP(F13088, IMPORTRANGE(""https://docs.google.com/spreadsheets/d/1Lhp9OU0JdFf_VYSMzH5lBcEaU4o8teT1piV-SNzShjg/edit?gid=554141278#gid=554141278"", ""'Char Def. - Attributes'!C20:C2242""), 1,false)"),"#N/A")</f>
        <v>#N/A</v>
      </c>
      <c r="I13088" s="136"/>
      <c r="R13088" s="63" t="str">
        <f t="shared" si="60"/>
        <v>ZSI1_RETAIN_HARDWRTYPE_RETAIN_HARDWARE</v>
      </c>
    </row>
    <row r="13089" ht="15.75" customHeight="1">
      <c r="B13089" s="63">
        <f t="shared" si="1"/>
        <v>18</v>
      </c>
      <c r="C13089" s="135" t="s">
        <v>526</v>
      </c>
      <c r="D13089" s="161" t="s">
        <v>74</v>
      </c>
      <c r="E13089" s="135">
        <f t="shared" si="62"/>
        <v>6</v>
      </c>
      <c r="F13089" s="134" t="s">
        <v>5313</v>
      </c>
      <c r="G13089" s="63" t="str">
        <f>VLOOKUP(C13089, 'Class Def. - General Data'!$C$20:$C$1000,1,false)</f>
        <v>ZSI1_RETAIN_HARDWR</v>
      </c>
      <c r="H13089" s="63" t="str">
        <f>IFERROR(__xludf.DUMMYFUNCTION("VLOOKUP(F13089, IMPORTRANGE(""https://docs.google.com/spreadsheets/d/1Lhp9OU0JdFf_VYSMzH5lBcEaU4o8teT1piV-SNzShjg/edit?gid=554141278#gid=554141278"", ""'Char Def. - Attributes'!C20:C2242""), 1,false)"),"SIZE_RETAIN_HARDWARE")</f>
        <v>SIZE_RETAIN_HARDWARE</v>
      </c>
      <c r="I13089" s="136"/>
      <c r="R13089" s="63" t="str">
        <f t="shared" si="60"/>
        <v>ZSI1_RETAIN_HARDWRSIZE_RETAIN_HARDWARE</v>
      </c>
    </row>
    <row r="13090" ht="15.75" customHeight="1">
      <c r="B13090" s="63">
        <f t="shared" si="1"/>
        <v>18</v>
      </c>
      <c r="C13090" s="135" t="s">
        <v>526</v>
      </c>
      <c r="D13090" s="161" t="s">
        <v>74</v>
      </c>
      <c r="E13090" s="135">
        <f t="shared" si="62"/>
        <v>7</v>
      </c>
      <c r="F13090" s="134" t="s">
        <v>5314</v>
      </c>
      <c r="G13090" s="63" t="str">
        <f>VLOOKUP(C13090, 'Class Def. - General Data'!$C$20:$C$1000,1,false)</f>
        <v>ZSI1_RETAIN_HARDWR</v>
      </c>
      <c r="H13090" s="63" t="str">
        <f>IFERROR(__xludf.DUMMYFUNCTION("VLOOKUP(F13090, IMPORTRANGE(""https://docs.google.com/spreadsheets/d/1Lhp9OU0JdFf_VYSMzH5lBcEaU4o8teT1piV-SNzShjg/edit?gid=554141278#gid=554141278"", ""'Char Def. - Attributes'!C20:C2242""), 1,false)"),"MATERIAL_RETAIN_HARDWARE")</f>
        <v>MATERIAL_RETAIN_HARDWARE</v>
      </c>
      <c r="I13090" s="136"/>
      <c r="R13090" s="63" t="str">
        <f t="shared" si="60"/>
        <v>ZSI1_RETAIN_HARDWRMATERIAL_RETAIN_HARDWARE</v>
      </c>
    </row>
    <row r="13091" ht="15.75" customHeight="1">
      <c r="B13091" s="63">
        <f t="shared" si="1"/>
        <v>18</v>
      </c>
      <c r="C13091" s="135" t="s">
        <v>526</v>
      </c>
      <c r="D13091" s="161" t="s">
        <v>74</v>
      </c>
      <c r="E13091" s="135">
        <f t="shared" si="62"/>
        <v>8</v>
      </c>
      <c r="F13091" s="134" t="s">
        <v>5315</v>
      </c>
      <c r="G13091" s="63" t="str">
        <f>VLOOKUP(C13091, 'Class Def. - General Data'!$C$20:$C$1000,1,false)</f>
        <v>ZSI1_RETAIN_HARDWR</v>
      </c>
      <c r="H13091" s="63" t="str">
        <f>IFERROR(__xludf.DUMMYFUNCTION("VLOOKUP(F13091, IMPORTRANGE(""https://docs.google.com/spreadsheets/d/1Lhp9OU0JdFf_VYSMzH5lBcEaU4o8teT1piV-SNzShjg/edit?gid=554141278#gid=554141278"", ""'Char Def. - Attributes'!C20:C2242""), 1,false)"),"#N/A")</f>
        <v>#N/A</v>
      </c>
      <c r="I13091" s="136"/>
      <c r="R13091" s="63" t="str">
        <f t="shared" si="60"/>
        <v>ZSI1_RETAIN_HARDWRFINISHING_RETAIN_HARDWARE</v>
      </c>
    </row>
    <row r="13092" ht="15.75" customHeight="1">
      <c r="B13092" s="63">
        <f t="shared" si="1"/>
        <v>18</v>
      </c>
      <c r="C13092" s="135" t="s">
        <v>526</v>
      </c>
      <c r="D13092" s="161" t="s">
        <v>74</v>
      </c>
      <c r="E13092" s="135">
        <f t="shared" si="62"/>
        <v>9</v>
      </c>
      <c r="F13092" s="134" t="s">
        <v>4062</v>
      </c>
      <c r="G13092" s="63" t="str">
        <f>VLOOKUP(C13092, 'Class Def. - General Data'!$C$20:$C$1000,1,false)</f>
        <v>ZSI1_RETAIN_HARDWR</v>
      </c>
      <c r="H13092" s="63" t="str">
        <f>IFERROR(__xludf.DUMMYFUNCTION("VLOOKUP(F13092, IMPORTRANGE(""https://docs.google.com/spreadsheets/d/1Lhp9OU0JdFf_VYSMzH5lBcEaU4o8teT1piV-SNzShjg/edit?gid=554141278#gid=554141278"", ""'Char Def. - Attributes'!C20:C2242""), 1,false)"),"#N/A")</f>
        <v>#N/A</v>
      </c>
      <c r="I13092" s="136"/>
      <c r="R13092" s="63" t="str">
        <f t="shared" si="60"/>
        <v>ZSI1_RETAIN_HARDWRADDTIONAL_SPECIFICATION</v>
      </c>
    </row>
    <row r="13093" ht="15.75" customHeight="1">
      <c r="B13093" s="63">
        <f t="shared" si="1"/>
        <v>18</v>
      </c>
      <c r="C13093" s="135" t="s">
        <v>526</v>
      </c>
      <c r="D13093" s="161" t="s">
        <v>74</v>
      </c>
      <c r="E13093" s="135">
        <f t="shared" si="62"/>
        <v>10</v>
      </c>
      <c r="F13093" s="134" t="s">
        <v>4053</v>
      </c>
      <c r="G13093" s="63" t="str">
        <f>VLOOKUP(C13093, 'Class Def. - General Data'!$C$20:$C$1000,1,false)</f>
        <v>ZSI1_RETAIN_HARDWR</v>
      </c>
      <c r="H13093" s="63" t="str">
        <f>IFERROR(__xludf.DUMMYFUNCTION("VLOOKUP(F13093, IMPORTRANGE(""https://docs.google.com/spreadsheets/d/1Lhp9OU0JdFf_VYSMzH5lBcEaU4o8teT1piV-SNzShjg/edit?gid=554141278#gid=554141278"", ""'Char Def. - Attributes'!C20:C2242""), 1,false)"),"MAINTENANCE_ORDER_TYPE")</f>
        <v>MAINTENANCE_ORDER_TYPE</v>
      </c>
      <c r="I13093" s="136"/>
      <c r="R13093" s="63" t="str">
        <f t="shared" si="60"/>
        <v>ZSI1_RETAIN_HARDWRMAINTENANCE_ORDER_TYPE</v>
      </c>
    </row>
    <row r="13094" ht="15.75" customHeight="1">
      <c r="B13094" s="63">
        <f t="shared" si="1"/>
        <v>18</v>
      </c>
      <c r="C13094" s="135" t="s">
        <v>526</v>
      </c>
      <c r="D13094" s="161" t="s">
        <v>74</v>
      </c>
      <c r="E13094" s="135">
        <f t="shared" si="62"/>
        <v>11</v>
      </c>
      <c r="F13094" s="134" t="s">
        <v>3585</v>
      </c>
      <c r="G13094" s="63" t="str">
        <f>VLOOKUP(C13094, 'Class Def. - General Data'!$C$20:$C$1000,1,false)</f>
        <v>ZSI1_RETAIN_HARDWR</v>
      </c>
      <c r="H13094" s="63" t="str">
        <f>IFERROR(__xludf.DUMMYFUNCTION("VLOOKUP(F13094, IMPORTRANGE(""https://docs.google.com/spreadsheets/d/1Lhp9OU0JdFf_VYSMzH5lBcEaU4o8teT1piV-SNzShjg/edit?gid=554141278#gid=554141278"", ""'Char Def. - Attributes'!C20:C2242""), 1,false)"),"HS_CODE")</f>
        <v>HS_CODE</v>
      </c>
      <c r="I13094" s="136"/>
      <c r="R13094" s="63" t="str">
        <f t="shared" si="60"/>
        <v>ZSI1_RETAIN_HARDWRHS_CODE</v>
      </c>
    </row>
    <row r="13095" ht="15.75" customHeight="1">
      <c r="B13095" s="63">
        <f t="shared" si="1"/>
        <v>18</v>
      </c>
      <c r="C13095" s="135" t="s">
        <v>526</v>
      </c>
      <c r="D13095" s="161" t="s">
        <v>74</v>
      </c>
      <c r="E13095" s="135">
        <f t="shared" si="62"/>
        <v>12</v>
      </c>
      <c r="F13095" s="134" t="s">
        <v>3587</v>
      </c>
      <c r="G13095" s="63" t="str">
        <f>VLOOKUP(C13095, 'Class Def. - General Data'!$C$20:$C$1000,1,false)</f>
        <v>ZSI1_RETAIN_HARDWR</v>
      </c>
      <c r="H13095" s="63" t="str">
        <f>IFERROR(__xludf.DUMMYFUNCTION("VLOOKUP(F13095, IMPORTRANGE(""https://docs.google.com/spreadsheets/d/1Lhp9OU0JdFf_VYSMzH5lBcEaU4o8teT1piV-SNzShjg/edit?gid=554141278#gid=554141278"", ""'Char Def. - Attributes'!C20:C2242""), 1,false)"),"PLANT_BUY")</f>
        <v>PLANT_BUY</v>
      </c>
      <c r="I13095" s="136"/>
      <c r="R13095" s="63" t="str">
        <f t="shared" si="60"/>
        <v>ZSI1_RETAIN_HARDWRPLANT_BUY</v>
      </c>
    </row>
    <row r="13096" ht="15.75" customHeight="1">
      <c r="B13096" s="63">
        <f t="shared" si="1"/>
        <v>18</v>
      </c>
      <c r="C13096" s="135" t="s">
        <v>526</v>
      </c>
      <c r="D13096" s="161" t="s">
        <v>74</v>
      </c>
      <c r="E13096" s="135">
        <f t="shared" si="62"/>
        <v>13</v>
      </c>
      <c r="F13096" s="134" t="s">
        <v>5316</v>
      </c>
      <c r="G13096" s="63" t="str">
        <f>VLOOKUP(C13096, 'Class Def. - General Data'!$C$20:$C$1000,1,false)</f>
        <v>ZSI1_RETAIN_HARDWR</v>
      </c>
      <c r="H13096" s="63" t="str">
        <f>IFERROR(__xludf.DUMMYFUNCTION("VLOOKUP(F13096, IMPORTRANGE(""https://docs.google.com/spreadsheets/d/1Lhp9OU0JdFf_VYSMzH5lBcEaU4o8teT1piV-SNzShjg/edit?gid=554141278#gid=554141278"", ""'Char Def. - Attributes'!C20:C2242""), 1,false)"),"BASE_UOM_RETAIN_HARDWARE")</f>
        <v>BASE_UOM_RETAIN_HARDWARE</v>
      </c>
      <c r="I13096" s="136"/>
      <c r="R13096" s="63" t="str">
        <f t="shared" si="60"/>
        <v>ZSI1_RETAIN_HARDWRBASE_UOM_RETAIN_HARDWARE</v>
      </c>
    </row>
    <row r="13097" ht="15.75" customHeight="1">
      <c r="B13097" s="63">
        <f t="shared" si="1"/>
        <v>18</v>
      </c>
      <c r="C13097" s="135" t="s">
        <v>526</v>
      </c>
      <c r="D13097" s="161" t="s">
        <v>74</v>
      </c>
      <c r="E13097" s="135">
        <f t="shared" si="62"/>
        <v>14</v>
      </c>
      <c r="F13097" s="134" t="s">
        <v>5317</v>
      </c>
      <c r="G13097" s="63" t="str">
        <f>VLOOKUP(C13097, 'Class Def. - General Data'!$C$20:$C$1000,1,false)</f>
        <v>ZSI1_RETAIN_HARDWR</v>
      </c>
      <c r="H13097" s="63" t="str">
        <f>IFERROR(__xludf.DUMMYFUNCTION("VLOOKUP(F13097, IMPORTRANGE(""https://docs.google.com/spreadsheets/d/1Lhp9OU0JdFf_VYSMzH5lBcEaU4o8teT1piV-SNzShjg/edit?gid=554141278#gid=554141278"", ""'Char Def. - Attributes'!C20:C2242""), 1,false)"),"ORDER_UNIT_RETAIN_HARDWARE")</f>
        <v>ORDER_UNIT_RETAIN_HARDWARE</v>
      </c>
      <c r="I13097" s="136"/>
      <c r="R13097" s="63" t="str">
        <f t="shared" si="60"/>
        <v>ZSI1_RETAIN_HARDWRORDER_UNIT_RETAIN_HARDWARE</v>
      </c>
    </row>
    <row r="13098" ht="15.75" customHeight="1">
      <c r="B13098" s="63">
        <f t="shared" si="1"/>
        <v>18</v>
      </c>
      <c r="C13098" s="135" t="s">
        <v>526</v>
      </c>
      <c r="D13098" s="161" t="s">
        <v>74</v>
      </c>
      <c r="E13098" s="135">
        <f t="shared" si="62"/>
        <v>15</v>
      </c>
      <c r="F13098" s="134" t="s">
        <v>4056</v>
      </c>
      <c r="G13098" s="63" t="str">
        <f>VLOOKUP(C13098, 'Class Def. - General Data'!$C$20:$C$1000,1,false)</f>
        <v>ZSI1_RETAIN_HARDWR</v>
      </c>
      <c r="H13098" s="63" t="str">
        <f>IFERROR(__xludf.DUMMYFUNCTION("VLOOKUP(F13098, IMPORTRANGE(""https://docs.google.com/spreadsheets/d/1Lhp9OU0JdFf_VYSMzH5lBcEaU4o8teT1piV-SNzShjg/edit?gid=554141278#gid=554141278"", ""'Char Def. - Attributes'!C20:C2242""), 1,false)"),"GROSS_WEIGHT_OPT")</f>
        <v>GROSS_WEIGHT_OPT</v>
      </c>
      <c r="I13098" s="136"/>
      <c r="R13098" s="63" t="str">
        <f t="shared" si="60"/>
        <v>ZSI1_RETAIN_HARDWRGROSS_WEIGHT_OPT</v>
      </c>
    </row>
    <row r="13099" ht="15.75" customHeight="1">
      <c r="B13099" s="63">
        <f t="shared" si="1"/>
        <v>18</v>
      </c>
      <c r="C13099" s="135" t="s">
        <v>526</v>
      </c>
      <c r="D13099" s="161" t="s">
        <v>74</v>
      </c>
      <c r="E13099" s="135">
        <f t="shared" si="62"/>
        <v>16</v>
      </c>
      <c r="F13099" s="134" t="s">
        <v>4057</v>
      </c>
      <c r="G13099" s="63" t="str">
        <f>VLOOKUP(C13099, 'Class Def. - General Data'!$C$20:$C$1000,1,false)</f>
        <v>ZSI1_RETAIN_HARDWR</v>
      </c>
      <c r="H13099" s="63" t="str">
        <f>IFERROR(__xludf.DUMMYFUNCTION("VLOOKUP(F13099, IMPORTRANGE(""https://docs.google.com/spreadsheets/d/1Lhp9OU0JdFf_VYSMzH5lBcEaU4o8teT1piV-SNzShjg/edit?gid=554141278#gid=554141278"", ""'Char Def. - Attributes'!C20:C2242""), 1,false)"),"NET_WEIGHT_OPT")</f>
        <v>NET_WEIGHT_OPT</v>
      </c>
      <c r="I13099" s="136"/>
      <c r="R13099" s="63" t="str">
        <f t="shared" si="60"/>
        <v>ZSI1_RETAIN_HARDWRNET_WEIGHT_OPT</v>
      </c>
    </row>
    <row r="13100" ht="15.75" customHeight="1">
      <c r="B13100" s="63">
        <f t="shared" si="1"/>
        <v>18</v>
      </c>
      <c r="C13100" s="135" t="s">
        <v>526</v>
      </c>
      <c r="D13100" s="161" t="s">
        <v>74</v>
      </c>
      <c r="E13100" s="135">
        <f t="shared" si="62"/>
        <v>17</v>
      </c>
      <c r="F13100" s="134" t="s">
        <v>4058</v>
      </c>
      <c r="G13100" s="63" t="str">
        <f>VLOOKUP(C13100, 'Class Def. - General Data'!$C$20:$C$1000,1,false)</f>
        <v>ZSI1_RETAIN_HARDWR</v>
      </c>
      <c r="H13100" s="63" t="str">
        <f>IFERROR(__xludf.DUMMYFUNCTION("VLOOKUP(F13100, IMPORTRANGE(""https://docs.google.com/spreadsheets/d/1Lhp9OU0JdFf_VYSMzH5lBcEaU4o8teT1piV-SNzShjg/edit?gid=554141278#gid=554141278"", ""'Char Def. - Attributes'!C20:C2242""), 1,false)"),"WEIGHT_UNIT_SI")</f>
        <v>WEIGHT_UNIT_SI</v>
      </c>
      <c r="I13100" s="136"/>
      <c r="R13100" s="63" t="str">
        <f t="shared" si="60"/>
        <v>ZSI1_RETAIN_HARDWRWEIGHT_UNIT_SI</v>
      </c>
    </row>
    <row r="13101" ht="15.75" customHeight="1">
      <c r="B13101" s="63">
        <f t="shared" si="1"/>
        <v>18</v>
      </c>
      <c r="C13101" s="135" t="s">
        <v>526</v>
      </c>
      <c r="D13101" s="161" t="s">
        <v>74</v>
      </c>
      <c r="E13101" s="135">
        <f t="shared" si="62"/>
        <v>18</v>
      </c>
      <c r="F13101" s="134" t="s">
        <v>3877</v>
      </c>
      <c r="G13101" s="63" t="str">
        <f>VLOOKUP(C13101, 'Class Def. - General Data'!$C$20:$C$1000,1,false)</f>
        <v>ZSI1_RETAIN_HARDWR</v>
      </c>
      <c r="H13101" s="63" t="str">
        <f>IFERROR(__xludf.DUMMYFUNCTION("VLOOKUP(F13101, IMPORTRANGE(""https://docs.google.com/spreadsheets/d/1Lhp9OU0JdFf_VYSMzH5lBcEaU4o8teT1piV-SNzShjg/edit?gid=554141278#gid=554141278"", ""'Char Def. - Attributes'!C20:C2242""), 1,false)"),"VOLUME_OPT")</f>
        <v>VOLUME_OPT</v>
      </c>
      <c r="I13101" s="136"/>
      <c r="R13101" s="63" t="str">
        <f t="shared" si="60"/>
        <v>ZSI1_RETAIN_HARDWRVOLUME_OPT</v>
      </c>
    </row>
    <row r="13102" ht="15.75" customHeight="1">
      <c r="B13102" s="63">
        <f t="shared" si="1"/>
        <v>18</v>
      </c>
      <c r="C13102" s="135" t="s">
        <v>526</v>
      </c>
      <c r="D13102" s="161" t="s">
        <v>74</v>
      </c>
      <c r="E13102" s="135">
        <f t="shared" si="62"/>
        <v>19</v>
      </c>
      <c r="F13102" s="134" t="s">
        <v>4059</v>
      </c>
      <c r="G13102" s="63" t="str">
        <f>VLOOKUP(C13102, 'Class Def. - General Data'!$C$20:$C$1000,1,false)</f>
        <v>ZSI1_RETAIN_HARDWR</v>
      </c>
      <c r="H13102" s="63" t="str">
        <f>IFERROR(__xludf.DUMMYFUNCTION("VLOOKUP(F13102, IMPORTRANGE(""https://docs.google.com/spreadsheets/d/1Lhp9OU0JdFf_VYSMzH5lBcEaU4o8teT1piV-SNzShjg/edit?gid=554141278#gid=554141278"", ""'Char Def. - Attributes'!C20:C2242""), 1,false)"),"VOLUME_UNIT_SI")</f>
        <v>VOLUME_UNIT_SI</v>
      </c>
      <c r="I13102" s="136"/>
      <c r="R13102" s="63" t="str">
        <f t="shared" si="60"/>
        <v>ZSI1_RETAIN_HARDWRVOLUME_UNIT_SI</v>
      </c>
    </row>
    <row r="13103" ht="15.75" customHeight="1">
      <c r="B13103" s="63">
        <f t="shared" si="1"/>
        <v>18</v>
      </c>
      <c r="C13103" s="135" t="s">
        <v>526</v>
      </c>
      <c r="D13103" s="161" t="s">
        <v>74</v>
      </c>
      <c r="E13103" s="135">
        <f t="shared" si="62"/>
        <v>20</v>
      </c>
      <c r="F13103" s="134" t="s">
        <v>3804</v>
      </c>
      <c r="G13103" s="63" t="str">
        <f>VLOOKUP(C13103, 'Class Def. - General Data'!$C$20:$C$1000,1,false)</f>
        <v>ZSI1_RETAIN_HARDWR</v>
      </c>
      <c r="H13103" s="63" t="str">
        <f>IFERROR(__xludf.DUMMYFUNCTION("VLOOKUP(F13103, IMPORTRANGE(""https://docs.google.com/spreadsheets/d/1Lhp9OU0JdFf_VYSMzH5lBcEaU4o8teT1piV-SNzShjg/edit?gid=554141278#gid=554141278"", ""'Char Def. - Attributes'!C20:C2242""), 1,false)"),"ALT_UOM1_SIPI")</f>
        <v>ALT_UOM1_SIPI</v>
      </c>
      <c r="I13103" s="136"/>
      <c r="R13103" s="63" t="str">
        <f t="shared" si="60"/>
        <v>ZSI1_RETAIN_HARDWRALT_UOM1_SIPI</v>
      </c>
    </row>
    <row r="13104" ht="15.75" customHeight="1">
      <c r="B13104" s="63">
        <f t="shared" si="1"/>
        <v>18</v>
      </c>
      <c r="C13104" s="135" t="s">
        <v>526</v>
      </c>
      <c r="D13104" s="161" t="s">
        <v>74</v>
      </c>
      <c r="E13104" s="135">
        <f t="shared" si="62"/>
        <v>21</v>
      </c>
      <c r="F13104" s="134" t="s">
        <v>3805</v>
      </c>
      <c r="G13104" s="63" t="str">
        <f>VLOOKUP(C13104, 'Class Def. - General Data'!$C$20:$C$1000,1,false)</f>
        <v>ZSI1_RETAIN_HARDWR</v>
      </c>
      <c r="H13104" s="63" t="str">
        <f>IFERROR(__xludf.DUMMYFUNCTION("VLOOKUP(F13104, IMPORTRANGE(""https://docs.google.com/spreadsheets/d/1Lhp9OU0JdFf_VYSMzH5lBcEaU4o8teT1piV-SNzShjg/edit?gid=554141278#gid=554141278"", ""'Char Def. - Attributes'!C20:C2242""), 1,false)"),"ALT_DENUM_UOM1")</f>
        <v>ALT_DENUM_UOM1</v>
      </c>
      <c r="I13104" s="136"/>
      <c r="R13104" s="63" t="str">
        <f t="shared" si="60"/>
        <v>ZSI1_RETAIN_HARDWRALT_DENUM_UOM1</v>
      </c>
    </row>
    <row r="13105" ht="15.75" customHeight="1">
      <c r="B13105" s="63">
        <f t="shared" si="1"/>
        <v>18</v>
      </c>
      <c r="C13105" s="135" t="s">
        <v>526</v>
      </c>
      <c r="D13105" s="161" t="s">
        <v>74</v>
      </c>
      <c r="E13105" s="135">
        <f t="shared" si="62"/>
        <v>22</v>
      </c>
      <c r="F13105" s="134" t="s">
        <v>3806</v>
      </c>
      <c r="G13105" s="63" t="str">
        <f>VLOOKUP(C13105, 'Class Def. - General Data'!$C$20:$C$1000,1,false)</f>
        <v>ZSI1_RETAIN_HARDWR</v>
      </c>
      <c r="H13105" s="63" t="str">
        <f>IFERROR(__xludf.DUMMYFUNCTION("VLOOKUP(F13105, IMPORTRANGE(""https://docs.google.com/spreadsheets/d/1Lhp9OU0JdFf_VYSMzH5lBcEaU4o8teT1piV-SNzShjg/edit?gid=554141278#gid=554141278"", ""'Char Def. - Attributes'!C20:C2242""), 1,false)"),"ALT_NUM_UOM1")</f>
        <v>ALT_NUM_UOM1</v>
      </c>
      <c r="I13105" s="136"/>
      <c r="R13105" s="63" t="str">
        <f t="shared" si="60"/>
        <v>ZSI1_RETAIN_HARDWRALT_NUM_UOM1</v>
      </c>
    </row>
    <row r="13106" ht="15.75" customHeight="1">
      <c r="B13106" s="63">
        <f t="shared" si="1"/>
        <v>18</v>
      </c>
      <c r="C13106" s="135" t="s">
        <v>526</v>
      </c>
      <c r="D13106" s="161" t="s">
        <v>74</v>
      </c>
      <c r="E13106" s="135">
        <f t="shared" si="62"/>
        <v>23</v>
      </c>
      <c r="F13106" s="134" t="s">
        <v>3807</v>
      </c>
      <c r="G13106" s="63" t="str">
        <f>VLOOKUP(C13106, 'Class Def. - General Data'!$C$20:$C$1000,1,false)</f>
        <v>ZSI1_RETAIN_HARDWR</v>
      </c>
      <c r="H13106" s="63" t="str">
        <f>IFERROR(__xludf.DUMMYFUNCTION("VLOOKUP(F13106, IMPORTRANGE(""https://docs.google.com/spreadsheets/d/1Lhp9OU0JdFf_VYSMzH5lBcEaU4o8teT1piV-SNzShjg/edit?gid=554141278#gid=554141278"", ""'Char Def. - Attributes'!C20:C2242""), 1,false)"),"ALT_UOM2_SIPI")</f>
        <v>ALT_UOM2_SIPI</v>
      </c>
      <c r="I13106" s="136"/>
      <c r="R13106" s="63" t="str">
        <f t="shared" si="60"/>
        <v>ZSI1_RETAIN_HARDWRALT_UOM2_SIPI</v>
      </c>
    </row>
    <row r="13107" ht="15.75" customHeight="1">
      <c r="B13107" s="63">
        <f t="shared" si="1"/>
        <v>18</v>
      </c>
      <c r="C13107" s="135" t="s">
        <v>526</v>
      </c>
      <c r="D13107" s="161" t="s">
        <v>74</v>
      </c>
      <c r="E13107" s="135">
        <f t="shared" si="62"/>
        <v>24</v>
      </c>
      <c r="F13107" s="134" t="s">
        <v>3808</v>
      </c>
      <c r="G13107" s="63" t="str">
        <f>VLOOKUP(C13107, 'Class Def. - General Data'!$C$20:$C$1000,1,false)</f>
        <v>ZSI1_RETAIN_HARDWR</v>
      </c>
      <c r="H13107" s="63" t="str">
        <f>IFERROR(__xludf.DUMMYFUNCTION("VLOOKUP(F13107, IMPORTRANGE(""https://docs.google.com/spreadsheets/d/1Lhp9OU0JdFf_VYSMzH5lBcEaU4o8teT1piV-SNzShjg/edit?gid=554141278#gid=554141278"", ""'Char Def. - Attributes'!C20:C2242""), 1,false)"),"ALT_DENUM_UOM2")</f>
        <v>ALT_DENUM_UOM2</v>
      </c>
      <c r="I13107" s="136"/>
      <c r="R13107" s="63" t="str">
        <f t="shared" si="60"/>
        <v>ZSI1_RETAIN_HARDWRALT_DENUM_UOM2</v>
      </c>
    </row>
    <row r="13108" ht="15.75" customHeight="1">
      <c r="B13108" s="63">
        <f t="shared" si="1"/>
        <v>18</v>
      </c>
      <c r="C13108" s="135" t="s">
        <v>526</v>
      </c>
      <c r="D13108" s="161" t="s">
        <v>74</v>
      </c>
      <c r="E13108" s="135">
        <f t="shared" si="62"/>
        <v>25</v>
      </c>
      <c r="F13108" s="134" t="s">
        <v>3809</v>
      </c>
      <c r="G13108" s="63" t="str">
        <f>VLOOKUP(C13108, 'Class Def. - General Data'!$C$20:$C$1000,1,false)</f>
        <v>ZSI1_RETAIN_HARDWR</v>
      </c>
      <c r="H13108" s="63" t="str">
        <f>IFERROR(__xludf.DUMMYFUNCTION("VLOOKUP(F13108, IMPORTRANGE(""https://docs.google.com/spreadsheets/d/1Lhp9OU0JdFf_VYSMzH5lBcEaU4o8teT1piV-SNzShjg/edit?gid=554141278#gid=554141278"", ""'Char Def. - Attributes'!C20:C2242""), 1,false)"),"ALT_NUM_UOM2")</f>
        <v>ALT_NUM_UOM2</v>
      </c>
      <c r="I13108" s="136"/>
      <c r="R13108" s="63" t="str">
        <f t="shared" si="60"/>
        <v>ZSI1_RETAIN_HARDWRALT_NUM_UOM2</v>
      </c>
    </row>
    <row r="13109" ht="15.75" customHeight="1">
      <c r="B13109" s="63">
        <f t="shared" si="1"/>
        <v>18</v>
      </c>
      <c r="C13109" s="135" t="s">
        <v>526</v>
      </c>
      <c r="D13109" s="161" t="s">
        <v>74</v>
      </c>
      <c r="E13109" s="135">
        <f t="shared" si="62"/>
        <v>26</v>
      </c>
      <c r="F13109" s="134" t="s">
        <v>3810</v>
      </c>
      <c r="G13109" s="63" t="str">
        <f>VLOOKUP(C13109, 'Class Def. - General Data'!$C$20:$C$1000,1,false)</f>
        <v>ZSI1_RETAIN_HARDWR</v>
      </c>
      <c r="H13109" s="63" t="str">
        <f>IFERROR(__xludf.DUMMYFUNCTION("VLOOKUP(F13109, IMPORTRANGE(""https://docs.google.com/spreadsheets/d/1Lhp9OU0JdFf_VYSMzH5lBcEaU4o8teT1piV-SNzShjg/edit?gid=554141278#gid=554141278"", ""'Char Def. - Attributes'!C20:C2242""), 1,false)"),"ALT_UOM3_SIPI")</f>
        <v>ALT_UOM3_SIPI</v>
      </c>
      <c r="I13109" s="136"/>
      <c r="R13109" s="63" t="str">
        <f t="shared" si="60"/>
        <v>ZSI1_RETAIN_HARDWRALT_UOM3_SIPI</v>
      </c>
    </row>
    <row r="13110" ht="15.75" customHeight="1">
      <c r="B13110" s="63">
        <f t="shared" si="1"/>
        <v>18</v>
      </c>
      <c r="C13110" s="135" t="s">
        <v>526</v>
      </c>
      <c r="D13110" s="161" t="s">
        <v>74</v>
      </c>
      <c r="E13110" s="135">
        <f t="shared" si="62"/>
        <v>27</v>
      </c>
      <c r="F13110" s="134" t="s">
        <v>3811</v>
      </c>
      <c r="G13110" s="63" t="str">
        <f>VLOOKUP(C13110, 'Class Def. - General Data'!$C$20:$C$1000,1,false)</f>
        <v>ZSI1_RETAIN_HARDWR</v>
      </c>
      <c r="H13110" s="63" t="str">
        <f>IFERROR(__xludf.DUMMYFUNCTION("VLOOKUP(F13110, IMPORTRANGE(""https://docs.google.com/spreadsheets/d/1Lhp9OU0JdFf_VYSMzH5lBcEaU4o8teT1piV-SNzShjg/edit?gid=554141278#gid=554141278"", ""'Char Def. - Attributes'!C20:C2242""), 1,false)"),"ALT_DENUM_UOM3")</f>
        <v>ALT_DENUM_UOM3</v>
      </c>
      <c r="I13110" s="136"/>
      <c r="R13110" s="63" t="str">
        <f t="shared" si="60"/>
        <v>ZSI1_RETAIN_HARDWRALT_DENUM_UOM3</v>
      </c>
    </row>
    <row r="13111" ht="15.75" customHeight="1">
      <c r="B13111" s="63">
        <f t="shared" si="1"/>
        <v>18</v>
      </c>
      <c r="C13111" s="135" t="s">
        <v>526</v>
      </c>
      <c r="D13111" s="161" t="s">
        <v>74</v>
      </c>
      <c r="E13111" s="135">
        <f t="shared" si="62"/>
        <v>28</v>
      </c>
      <c r="F13111" s="134" t="s">
        <v>3812</v>
      </c>
      <c r="G13111" s="63" t="str">
        <f>VLOOKUP(C13111, 'Class Def. - General Data'!$C$20:$C$1000,1,false)</f>
        <v>ZSI1_RETAIN_HARDWR</v>
      </c>
      <c r="H13111" s="63" t="str">
        <f>IFERROR(__xludf.DUMMYFUNCTION("VLOOKUP(F13111, IMPORTRANGE(""https://docs.google.com/spreadsheets/d/1Lhp9OU0JdFf_VYSMzH5lBcEaU4o8teT1piV-SNzShjg/edit?gid=554141278#gid=554141278"", ""'Char Def. - Attributes'!C20:C2242""), 1,false)"),"ALT_NUM_UOM3")</f>
        <v>ALT_NUM_UOM3</v>
      </c>
      <c r="I13111" s="136"/>
      <c r="R13111" s="63" t="str">
        <f t="shared" si="60"/>
        <v>ZSI1_RETAIN_HARDWRALT_NUM_UOM3</v>
      </c>
    </row>
    <row r="13112" ht="15.75" customHeight="1">
      <c r="B13112" s="63">
        <f t="shared" si="1"/>
        <v>18</v>
      </c>
      <c r="C13112" s="135" t="s">
        <v>526</v>
      </c>
      <c r="D13112" s="161" t="s">
        <v>74</v>
      </c>
      <c r="E13112" s="135">
        <f t="shared" si="62"/>
        <v>29</v>
      </c>
      <c r="F13112" s="134" t="s">
        <v>3813</v>
      </c>
      <c r="G13112" s="63" t="str">
        <f>VLOOKUP(C13112, 'Class Def. - General Data'!$C$20:$C$1000,1,false)</f>
        <v>ZSI1_RETAIN_HARDWR</v>
      </c>
      <c r="H13112" s="63" t="str">
        <f>IFERROR(__xludf.DUMMYFUNCTION("VLOOKUP(F13112, IMPORTRANGE(""https://docs.google.com/spreadsheets/d/1Lhp9OU0JdFf_VYSMzH5lBcEaU4o8teT1piV-SNzShjg/edit?gid=554141278#gid=554141278"", ""'Char Def. - Attributes'!C20:C2242""), 1,false)"),"ALT_UOM4_SIPI")</f>
        <v>ALT_UOM4_SIPI</v>
      </c>
      <c r="I13112" s="136"/>
      <c r="R13112" s="63" t="str">
        <f t="shared" si="60"/>
        <v>ZSI1_RETAIN_HARDWRALT_UOM4_SIPI</v>
      </c>
    </row>
    <row r="13113" ht="15.75" customHeight="1">
      <c r="B13113" s="63">
        <f t="shared" si="1"/>
        <v>18</v>
      </c>
      <c r="C13113" s="135" t="s">
        <v>526</v>
      </c>
      <c r="D13113" s="161" t="s">
        <v>74</v>
      </c>
      <c r="E13113" s="135">
        <f t="shared" si="62"/>
        <v>30</v>
      </c>
      <c r="F13113" s="134" t="s">
        <v>3814</v>
      </c>
      <c r="G13113" s="63" t="str">
        <f>VLOOKUP(C13113, 'Class Def. - General Data'!$C$20:$C$1000,1,false)</f>
        <v>ZSI1_RETAIN_HARDWR</v>
      </c>
      <c r="H13113" s="63" t="str">
        <f>IFERROR(__xludf.DUMMYFUNCTION("VLOOKUP(F13113, IMPORTRANGE(""https://docs.google.com/spreadsheets/d/1Lhp9OU0JdFf_VYSMzH5lBcEaU4o8teT1piV-SNzShjg/edit?gid=554141278#gid=554141278"", ""'Char Def. - Attributes'!C20:C2242""), 1,false)"),"ALT_DENUM_UOM4")</f>
        <v>ALT_DENUM_UOM4</v>
      </c>
      <c r="I13113" s="136"/>
      <c r="R13113" s="63" t="str">
        <f t="shared" si="60"/>
        <v>ZSI1_RETAIN_HARDWRALT_DENUM_UOM4</v>
      </c>
    </row>
    <row r="13114" ht="15.75" customHeight="1">
      <c r="B13114" s="63">
        <f t="shared" si="1"/>
        <v>18</v>
      </c>
      <c r="C13114" s="135" t="s">
        <v>526</v>
      </c>
      <c r="D13114" s="161" t="s">
        <v>74</v>
      </c>
      <c r="E13114" s="135">
        <f t="shared" si="62"/>
        <v>31</v>
      </c>
      <c r="F13114" s="134" t="s">
        <v>3815</v>
      </c>
      <c r="G13114" s="63" t="str">
        <f>VLOOKUP(C13114, 'Class Def. - General Data'!$C$20:$C$1000,1,false)</f>
        <v>ZSI1_RETAIN_HARDWR</v>
      </c>
      <c r="H13114" s="63" t="str">
        <f>IFERROR(__xludf.DUMMYFUNCTION("VLOOKUP(F13114, IMPORTRANGE(""https://docs.google.com/spreadsheets/d/1Lhp9OU0JdFf_VYSMzH5lBcEaU4o8teT1piV-SNzShjg/edit?gid=554141278#gid=554141278"", ""'Char Def. - Attributes'!C20:C2242""), 1,false)"),"ALT_NUM_UOM4")</f>
        <v>ALT_NUM_UOM4</v>
      </c>
      <c r="I13114" s="136"/>
      <c r="R13114" s="63" t="str">
        <f t="shared" si="60"/>
        <v>ZSI1_RETAIN_HARDWRALT_NUM_UOM4</v>
      </c>
    </row>
    <row r="13115" ht="15.75" customHeight="1">
      <c r="B13115" s="63">
        <f t="shared" si="1"/>
        <v>18</v>
      </c>
      <c r="C13115" s="135" t="s">
        <v>526</v>
      </c>
      <c r="D13115" s="161" t="s">
        <v>74</v>
      </c>
      <c r="E13115" s="135">
        <f t="shared" si="62"/>
        <v>32</v>
      </c>
      <c r="F13115" s="134" t="s">
        <v>3816</v>
      </c>
      <c r="G13115" s="63" t="str">
        <f>VLOOKUP(C13115, 'Class Def. - General Data'!$C$20:$C$1000,1,false)</f>
        <v>ZSI1_RETAIN_HARDWR</v>
      </c>
      <c r="H13115" s="63" t="str">
        <f>IFERROR(__xludf.DUMMYFUNCTION("VLOOKUP(F13115, IMPORTRANGE(""https://docs.google.com/spreadsheets/d/1Lhp9OU0JdFf_VYSMzH5lBcEaU4o8teT1piV-SNzShjg/edit?gid=554141278#gid=554141278"", ""'Char Def. - Attributes'!C20:C2242""), 1,false)"),"ALT_UOM5_SIPI")</f>
        <v>ALT_UOM5_SIPI</v>
      </c>
      <c r="I13115" s="136"/>
      <c r="R13115" s="63" t="str">
        <f t="shared" si="60"/>
        <v>ZSI1_RETAIN_HARDWRALT_UOM5_SIPI</v>
      </c>
    </row>
    <row r="13116" ht="15.75" customHeight="1">
      <c r="B13116" s="63">
        <f t="shared" si="1"/>
        <v>18</v>
      </c>
      <c r="C13116" s="135" t="s">
        <v>526</v>
      </c>
      <c r="D13116" s="161" t="s">
        <v>74</v>
      </c>
      <c r="E13116" s="135">
        <f t="shared" si="62"/>
        <v>33</v>
      </c>
      <c r="F13116" s="134" t="s">
        <v>3817</v>
      </c>
      <c r="G13116" s="63" t="str">
        <f>VLOOKUP(C13116, 'Class Def. - General Data'!$C$20:$C$1000,1,false)</f>
        <v>ZSI1_RETAIN_HARDWR</v>
      </c>
      <c r="H13116" s="63" t="str">
        <f>IFERROR(__xludf.DUMMYFUNCTION("VLOOKUP(F13116, IMPORTRANGE(""https://docs.google.com/spreadsheets/d/1Lhp9OU0JdFf_VYSMzH5lBcEaU4o8teT1piV-SNzShjg/edit?gid=554141278#gid=554141278"", ""'Char Def. - Attributes'!C20:C2242""), 1,false)"),"ALT_DENUM_UOM5")</f>
        <v>ALT_DENUM_UOM5</v>
      </c>
      <c r="I13116" s="136"/>
      <c r="R13116" s="63" t="str">
        <f t="shared" si="60"/>
        <v>ZSI1_RETAIN_HARDWRALT_DENUM_UOM5</v>
      </c>
    </row>
    <row r="13117" ht="15.75" customHeight="1">
      <c r="B13117" s="63">
        <f t="shared" si="1"/>
        <v>18</v>
      </c>
      <c r="C13117" s="135" t="s">
        <v>526</v>
      </c>
      <c r="D13117" s="161" t="s">
        <v>74</v>
      </c>
      <c r="E13117" s="135">
        <f t="shared" si="62"/>
        <v>34</v>
      </c>
      <c r="F13117" s="134" t="s">
        <v>3818</v>
      </c>
      <c r="G13117" s="63" t="str">
        <f>VLOOKUP(C13117, 'Class Def. - General Data'!$C$20:$C$1000,1,false)</f>
        <v>ZSI1_RETAIN_HARDWR</v>
      </c>
      <c r="H13117" s="63" t="str">
        <f>IFERROR(__xludf.DUMMYFUNCTION("VLOOKUP(F13117, IMPORTRANGE(""https://docs.google.com/spreadsheets/d/1Lhp9OU0JdFf_VYSMzH5lBcEaU4o8teT1piV-SNzShjg/edit?gid=554141278#gid=554141278"", ""'Char Def. - Attributes'!C20:C2242""), 1,false)"),"ALT_NUM_UOM5")</f>
        <v>ALT_NUM_UOM5</v>
      </c>
      <c r="I13117" s="136"/>
      <c r="R13117" s="63" t="str">
        <f t="shared" si="60"/>
        <v>ZSI1_RETAIN_HARDWRALT_NUM_UOM5</v>
      </c>
    </row>
    <row r="13118" ht="15.75" customHeight="1">
      <c r="B13118" s="63">
        <f t="shared" si="1"/>
        <v>18</v>
      </c>
      <c r="C13118" s="135" t="s">
        <v>452</v>
      </c>
      <c r="D13118" s="161" t="s">
        <v>74</v>
      </c>
      <c r="E13118" s="135">
        <f t="shared" si="62"/>
        <v>1</v>
      </c>
      <c r="F13118" s="134" t="s">
        <v>5318</v>
      </c>
      <c r="G13118" s="63" t="str">
        <f>VLOOKUP(C13118, 'Class Def. - General Data'!$C$20:$C$1000,1,false)</f>
        <v>ZSI1_ROAD_LANDSCAP</v>
      </c>
      <c r="H13118" s="63" t="str">
        <f>IFERROR(__xludf.DUMMYFUNCTION("VLOOKUP(F13118, IMPORTRANGE(""https://docs.google.com/spreadsheets/d/1Lhp9OU0JdFf_VYSMzH5lBcEaU4o8teT1piV-SNzShjg/edit?gid=554141278#gid=554141278"", ""'Char Def. - Attributes'!C20:C2242""), 1,false)"),"ITEM_NAME_ROAD_LANDSCAP")</f>
        <v>ITEM_NAME_ROAD_LANDSCAP</v>
      </c>
      <c r="I13118" s="136"/>
      <c r="R13118" s="63" t="str">
        <f t="shared" si="60"/>
        <v>ZSI1_ROAD_LANDSCAPITEM_NAME_ROAD_LANDSCAP</v>
      </c>
    </row>
    <row r="13119" ht="15.75" customHeight="1">
      <c r="B13119" s="63">
        <f t="shared" si="1"/>
        <v>18</v>
      </c>
      <c r="C13119" s="135" t="s">
        <v>452</v>
      </c>
      <c r="D13119" s="161" t="s">
        <v>74</v>
      </c>
      <c r="E13119" s="135">
        <f t="shared" si="62"/>
        <v>2</v>
      </c>
      <c r="F13119" s="134" t="s">
        <v>5319</v>
      </c>
      <c r="G13119" s="63" t="str">
        <f>VLOOKUP(C13119, 'Class Def. - General Data'!$C$20:$C$1000,1,false)</f>
        <v>ZSI1_ROAD_LANDSCAP</v>
      </c>
      <c r="H13119" s="63" t="str">
        <f>IFERROR(__xludf.DUMMYFUNCTION("VLOOKUP(F13119, IMPORTRANGE(""https://docs.google.com/spreadsheets/d/1Lhp9OU0JdFf_VYSMzH5lBcEaU4o8teT1piV-SNzShjg/edit?gid=554141278#gid=554141278"", ""'Char Def. - Attributes'!C20:C2242""), 1,false)"),"TYPE_ROAD_LANDSCAP")</f>
        <v>TYPE_ROAD_LANDSCAP</v>
      </c>
      <c r="I13119" s="136"/>
      <c r="R13119" s="63" t="str">
        <f t="shared" si="60"/>
        <v>ZSI1_ROAD_LANDSCAPTYPE_ROAD_LANDSCAP</v>
      </c>
    </row>
    <row r="13120" ht="15.75" customHeight="1">
      <c r="B13120" s="63">
        <f t="shared" si="1"/>
        <v>18</v>
      </c>
      <c r="C13120" s="135" t="s">
        <v>452</v>
      </c>
      <c r="D13120" s="161" t="s">
        <v>74</v>
      </c>
      <c r="E13120" s="135">
        <f t="shared" si="62"/>
        <v>3</v>
      </c>
      <c r="F13120" s="134" t="s">
        <v>3585</v>
      </c>
      <c r="G13120" s="63" t="str">
        <f>VLOOKUP(C13120, 'Class Def. - General Data'!$C$20:$C$1000,1,false)</f>
        <v>ZSI1_ROAD_LANDSCAP</v>
      </c>
      <c r="H13120" s="63" t="str">
        <f>IFERROR(__xludf.DUMMYFUNCTION("VLOOKUP(F13120, IMPORTRANGE(""https://docs.google.com/spreadsheets/d/1Lhp9OU0JdFf_VYSMzH5lBcEaU4o8teT1piV-SNzShjg/edit?gid=554141278#gid=554141278"", ""'Char Def. - Attributes'!C20:C2242""), 1,false)"),"HS_CODE")</f>
        <v>HS_CODE</v>
      </c>
      <c r="I13120" s="136"/>
      <c r="R13120" s="63" t="str">
        <f t="shared" si="60"/>
        <v>ZSI1_ROAD_LANDSCAPHS_CODE</v>
      </c>
    </row>
    <row r="13121" ht="15.75" customHeight="1">
      <c r="B13121" s="63">
        <f t="shared" si="1"/>
        <v>18</v>
      </c>
      <c r="C13121" s="135" t="s">
        <v>452</v>
      </c>
      <c r="D13121" s="161" t="s">
        <v>74</v>
      </c>
      <c r="E13121" s="135">
        <f t="shared" si="62"/>
        <v>4</v>
      </c>
      <c r="F13121" s="134" t="s">
        <v>3587</v>
      </c>
      <c r="G13121" s="63" t="str">
        <f>VLOOKUP(C13121, 'Class Def. - General Data'!$C$20:$C$1000,1,false)</f>
        <v>ZSI1_ROAD_LANDSCAP</v>
      </c>
      <c r="H13121" s="63" t="str">
        <f>IFERROR(__xludf.DUMMYFUNCTION("VLOOKUP(F13121, IMPORTRANGE(""https://docs.google.com/spreadsheets/d/1Lhp9OU0JdFf_VYSMzH5lBcEaU4o8teT1piV-SNzShjg/edit?gid=554141278#gid=554141278"", ""'Char Def. - Attributes'!C20:C2242""), 1,false)"),"PLANT_BUY")</f>
        <v>PLANT_BUY</v>
      </c>
      <c r="I13121" s="136"/>
      <c r="R13121" s="63" t="str">
        <f t="shared" si="60"/>
        <v>ZSI1_ROAD_LANDSCAPPLANT_BUY</v>
      </c>
    </row>
    <row r="13122" ht="15.75" customHeight="1">
      <c r="B13122" s="63">
        <f t="shared" si="1"/>
        <v>18</v>
      </c>
      <c r="C13122" s="135" t="s">
        <v>452</v>
      </c>
      <c r="D13122" s="161" t="s">
        <v>74</v>
      </c>
      <c r="E13122" s="135">
        <f t="shared" si="62"/>
        <v>5</v>
      </c>
      <c r="F13122" s="134" t="s">
        <v>5320</v>
      </c>
      <c r="G13122" s="63" t="str">
        <f>VLOOKUP(C13122, 'Class Def. - General Data'!$C$20:$C$1000,1,false)</f>
        <v>ZSI1_ROAD_LANDSCAP</v>
      </c>
      <c r="H13122" s="63" t="str">
        <f>IFERROR(__xludf.DUMMYFUNCTION("VLOOKUP(F13122, IMPORTRANGE(""https://docs.google.com/spreadsheets/d/1Lhp9OU0JdFf_VYSMzH5lBcEaU4o8teT1piV-SNzShjg/edit?gid=554141278#gid=554141278"", ""'Char Def. - Attributes'!C20:C2242""), 1,false)"),"BASE_UOM_ROAD_LANDSCAP")</f>
        <v>BASE_UOM_ROAD_LANDSCAP</v>
      </c>
      <c r="I13122" s="136"/>
      <c r="R13122" s="63" t="str">
        <f t="shared" si="60"/>
        <v>ZSI1_ROAD_LANDSCAPBASE_UOM_ROAD_LANDSCAP</v>
      </c>
    </row>
    <row r="13123" ht="15.75" customHeight="1">
      <c r="B13123" s="63">
        <f t="shared" si="1"/>
        <v>18</v>
      </c>
      <c r="C13123" s="135" t="s">
        <v>452</v>
      </c>
      <c r="D13123" s="161" t="s">
        <v>74</v>
      </c>
      <c r="E13123" s="135">
        <f t="shared" si="62"/>
        <v>6</v>
      </c>
      <c r="F13123" s="134" t="s">
        <v>5321</v>
      </c>
      <c r="G13123" s="63" t="str">
        <f>VLOOKUP(C13123, 'Class Def. - General Data'!$C$20:$C$1000,1,false)</f>
        <v>ZSI1_ROAD_LANDSCAP</v>
      </c>
      <c r="H13123" s="63" t="str">
        <f>IFERROR(__xludf.DUMMYFUNCTION("VLOOKUP(F13123, IMPORTRANGE(""https://docs.google.com/spreadsheets/d/1Lhp9OU0JdFf_VYSMzH5lBcEaU4o8teT1piV-SNzShjg/edit?gid=554141278#gid=554141278"", ""'Char Def. - Attributes'!C20:C2242""), 1,false)"),"ORDER_UNIT_ROAD_LANDSCAP")</f>
        <v>ORDER_UNIT_ROAD_LANDSCAP</v>
      </c>
      <c r="I13123" s="136"/>
      <c r="R13123" s="63" t="str">
        <f t="shared" si="60"/>
        <v>ZSI1_ROAD_LANDSCAPORDER_UNIT_ROAD_LANDSCAP</v>
      </c>
    </row>
    <row r="13124" ht="15.75" customHeight="1">
      <c r="B13124" s="63">
        <f t="shared" si="1"/>
        <v>18</v>
      </c>
      <c r="C13124" s="135" t="s">
        <v>452</v>
      </c>
      <c r="D13124" s="161" t="s">
        <v>74</v>
      </c>
      <c r="E13124" s="135">
        <f t="shared" si="62"/>
        <v>7</v>
      </c>
      <c r="F13124" s="134" t="s">
        <v>4056</v>
      </c>
      <c r="G13124" s="63" t="str">
        <f>VLOOKUP(C13124, 'Class Def. - General Data'!$C$20:$C$1000,1,false)</f>
        <v>ZSI1_ROAD_LANDSCAP</v>
      </c>
      <c r="H13124" s="63" t="str">
        <f>IFERROR(__xludf.DUMMYFUNCTION("VLOOKUP(F13124, IMPORTRANGE(""https://docs.google.com/spreadsheets/d/1Lhp9OU0JdFf_VYSMzH5lBcEaU4o8teT1piV-SNzShjg/edit?gid=554141278#gid=554141278"", ""'Char Def. - Attributes'!C20:C2242""), 1,false)"),"GROSS_WEIGHT_OPT")</f>
        <v>GROSS_WEIGHT_OPT</v>
      </c>
      <c r="I13124" s="136"/>
      <c r="R13124" s="63" t="str">
        <f t="shared" si="60"/>
        <v>ZSI1_ROAD_LANDSCAPGROSS_WEIGHT_OPT</v>
      </c>
    </row>
    <row r="13125" ht="15.75" customHeight="1">
      <c r="B13125" s="63">
        <f t="shared" si="1"/>
        <v>18</v>
      </c>
      <c r="C13125" s="135" t="s">
        <v>452</v>
      </c>
      <c r="D13125" s="161" t="s">
        <v>74</v>
      </c>
      <c r="E13125" s="135">
        <f t="shared" si="62"/>
        <v>8</v>
      </c>
      <c r="F13125" s="134" t="s">
        <v>4057</v>
      </c>
      <c r="G13125" s="63" t="str">
        <f>VLOOKUP(C13125, 'Class Def. - General Data'!$C$20:$C$1000,1,false)</f>
        <v>ZSI1_ROAD_LANDSCAP</v>
      </c>
      <c r="H13125" s="63" t="str">
        <f>IFERROR(__xludf.DUMMYFUNCTION("VLOOKUP(F13125, IMPORTRANGE(""https://docs.google.com/spreadsheets/d/1Lhp9OU0JdFf_VYSMzH5lBcEaU4o8teT1piV-SNzShjg/edit?gid=554141278#gid=554141278"", ""'Char Def. - Attributes'!C20:C2242""), 1,false)"),"NET_WEIGHT_OPT")</f>
        <v>NET_WEIGHT_OPT</v>
      </c>
      <c r="I13125" s="136"/>
      <c r="R13125" s="63" t="str">
        <f t="shared" si="60"/>
        <v>ZSI1_ROAD_LANDSCAPNET_WEIGHT_OPT</v>
      </c>
    </row>
    <row r="13126" ht="15.75" customHeight="1">
      <c r="B13126" s="63">
        <f t="shared" si="1"/>
        <v>18</v>
      </c>
      <c r="C13126" s="135" t="s">
        <v>452</v>
      </c>
      <c r="D13126" s="161" t="s">
        <v>74</v>
      </c>
      <c r="E13126" s="135">
        <f t="shared" si="62"/>
        <v>9</v>
      </c>
      <c r="F13126" s="134" t="s">
        <v>4058</v>
      </c>
      <c r="G13126" s="63" t="str">
        <f>VLOOKUP(C13126, 'Class Def. - General Data'!$C$20:$C$1000,1,false)</f>
        <v>ZSI1_ROAD_LANDSCAP</v>
      </c>
      <c r="H13126" s="63" t="str">
        <f>IFERROR(__xludf.DUMMYFUNCTION("VLOOKUP(F13126, IMPORTRANGE(""https://docs.google.com/spreadsheets/d/1Lhp9OU0JdFf_VYSMzH5lBcEaU4o8teT1piV-SNzShjg/edit?gid=554141278#gid=554141278"", ""'Char Def. - Attributes'!C20:C2242""), 1,false)"),"WEIGHT_UNIT_SI")</f>
        <v>WEIGHT_UNIT_SI</v>
      </c>
      <c r="I13126" s="136"/>
      <c r="R13126" s="63" t="str">
        <f t="shared" si="60"/>
        <v>ZSI1_ROAD_LANDSCAPWEIGHT_UNIT_SI</v>
      </c>
    </row>
    <row r="13127" ht="15.75" customHeight="1">
      <c r="B13127" s="63">
        <f t="shared" si="1"/>
        <v>18</v>
      </c>
      <c r="C13127" s="135" t="s">
        <v>452</v>
      </c>
      <c r="D13127" s="161" t="s">
        <v>74</v>
      </c>
      <c r="E13127" s="135">
        <f t="shared" si="62"/>
        <v>10</v>
      </c>
      <c r="F13127" s="134" t="s">
        <v>3877</v>
      </c>
      <c r="G13127" s="63" t="str">
        <f>VLOOKUP(C13127, 'Class Def. - General Data'!$C$20:$C$1000,1,false)</f>
        <v>ZSI1_ROAD_LANDSCAP</v>
      </c>
      <c r="H13127" s="63" t="str">
        <f>IFERROR(__xludf.DUMMYFUNCTION("VLOOKUP(F13127, IMPORTRANGE(""https://docs.google.com/spreadsheets/d/1Lhp9OU0JdFf_VYSMzH5lBcEaU4o8teT1piV-SNzShjg/edit?gid=554141278#gid=554141278"", ""'Char Def. - Attributes'!C20:C2242""), 1,false)"),"VOLUME_OPT")</f>
        <v>VOLUME_OPT</v>
      </c>
      <c r="I13127" s="136"/>
      <c r="R13127" s="63" t="str">
        <f t="shared" si="60"/>
        <v>ZSI1_ROAD_LANDSCAPVOLUME_OPT</v>
      </c>
    </row>
    <row r="13128" ht="15.75" customHeight="1">
      <c r="B13128" s="63">
        <f t="shared" si="1"/>
        <v>18</v>
      </c>
      <c r="C13128" s="135" t="s">
        <v>452</v>
      </c>
      <c r="D13128" s="161" t="s">
        <v>74</v>
      </c>
      <c r="E13128" s="135">
        <f t="shared" si="62"/>
        <v>11</v>
      </c>
      <c r="F13128" s="134" t="s">
        <v>4059</v>
      </c>
      <c r="G13128" s="63" t="str">
        <f>VLOOKUP(C13128, 'Class Def. - General Data'!$C$20:$C$1000,1,false)</f>
        <v>ZSI1_ROAD_LANDSCAP</v>
      </c>
      <c r="H13128" s="63" t="str">
        <f>IFERROR(__xludf.DUMMYFUNCTION("VLOOKUP(F13128, IMPORTRANGE(""https://docs.google.com/spreadsheets/d/1Lhp9OU0JdFf_VYSMzH5lBcEaU4o8teT1piV-SNzShjg/edit?gid=554141278#gid=554141278"", ""'Char Def. - Attributes'!C20:C2242""), 1,false)"),"VOLUME_UNIT_SI")</f>
        <v>VOLUME_UNIT_SI</v>
      </c>
      <c r="I13128" s="136"/>
      <c r="R13128" s="63" t="str">
        <f t="shared" si="60"/>
        <v>ZSI1_ROAD_LANDSCAPVOLUME_UNIT_SI</v>
      </c>
    </row>
    <row r="13129" ht="15.75" customHeight="1">
      <c r="B13129" s="63">
        <f t="shared" si="1"/>
        <v>18</v>
      </c>
      <c r="C13129" s="135" t="s">
        <v>452</v>
      </c>
      <c r="D13129" s="161" t="s">
        <v>74</v>
      </c>
      <c r="E13129" s="135">
        <f t="shared" si="62"/>
        <v>12</v>
      </c>
      <c r="F13129" s="134" t="s">
        <v>3804</v>
      </c>
      <c r="G13129" s="63" t="str">
        <f>VLOOKUP(C13129, 'Class Def. - General Data'!$C$20:$C$1000,1,false)</f>
        <v>ZSI1_ROAD_LANDSCAP</v>
      </c>
      <c r="H13129" s="63" t="str">
        <f>IFERROR(__xludf.DUMMYFUNCTION("VLOOKUP(F13129, IMPORTRANGE(""https://docs.google.com/spreadsheets/d/1Lhp9OU0JdFf_VYSMzH5lBcEaU4o8teT1piV-SNzShjg/edit?gid=554141278#gid=554141278"", ""'Char Def. - Attributes'!C20:C2242""), 1,false)"),"ALT_UOM1_SIPI")</f>
        <v>ALT_UOM1_SIPI</v>
      </c>
      <c r="I13129" s="136"/>
      <c r="R13129" s="63" t="str">
        <f t="shared" si="60"/>
        <v>ZSI1_ROAD_LANDSCAPALT_UOM1_SIPI</v>
      </c>
    </row>
    <row r="13130" ht="15.75" customHeight="1">
      <c r="B13130" s="63">
        <f t="shared" si="1"/>
        <v>18</v>
      </c>
      <c r="C13130" s="135" t="s">
        <v>452</v>
      </c>
      <c r="D13130" s="161" t="s">
        <v>74</v>
      </c>
      <c r="E13130" s="135">
        <f t="shared" si="62"/>
        <v>13</v>
      </c>
      <c r="F13130" s="134" t="s">
        <v>3805</v>
      </c>
      <c r="G13130" s="63" t="str">
        <f>VLOOKUP(C13130, 'Class Def. - General Data'!$C$20:$C$1000,1,false)</f>
        <v>ZSI1_ROAD_LANDSCAP</v>
      </c>
      <c r="H13130" s="63" t="str">
        <f>IFERROR(__xludf.DUMMYFUNCTION("VLOOKUP(F13130, IMPORTRANGE(""https://docs.google.com/spreadsheets/d/1Lhp9OU0JdFf_VYSMzH5lBcEaU4o8teT1piV-SNzShjg/edit?gid=554141278#gid=554141278"", ""'Char Def. - Attributes'!C20:C2242""), 1,false)"),"ALT_DENUM_UOM1")</f>
        <v>ALT_DENUM_UOM1</v>
      </c>
      <c r="I13130" s="136"/>
      <c r="R13130" s="63" t="str">
        <f t="shared" si="60"/>
        <v>ZSI1_ROAD_LANDSCAPALT_DENUM_UOM1</v>
      </c>
    </row>
    <row r="13131" ht="15.75" customHeight="1">
      <c r="B13131" s="63">
        <f t="shared" si="1"/>
        <v>18</v>
      </c>
      <c r="C13131" s="135" t="s">
        <v>452</v>
      </c>
      <c r="D13131" s="161" t="s">
        <v>74</v>
      </c>
      <c r="E13131" s="135">
        <f t="shared" si="62"/>
        <v>14</v>
      </c>
      <c r="F13131" s="134" t="s">
        <v>3806</v>
      </c>
      <c r="G13131" s="63" t="str">
        <f>VLOOKUP(C13131, 'Class Def. - General Data'!$C$20:$C$1000,1,false)</f>
        <v>ZSI1_ROAD_LANDSCAP</v>
      </c>
      <c r="H13131" s="63" t="str">
        <f>IFERROR(__xludf.DUMMYFUNCTION("VLOOKUP(F13131, IMPORTRANGE(""https://docs.google.com/spreadsheets/d/1Lhp9OU0JdFf_VYSMzH5lBcEaU4o8teT1piV-SNzShjg/edit?gid=554141278#gid=554141278"", ""'Char Def. - Attributes'!C20:C2242""), 1,false)"),"ALT_NUM_UOM1")</f>
        <v>ALT_NUM_UOM1</v>
      </c>
      <c r="I13131" s="136"/>
      <c r="R13131" s="63" t="str">
        <f t="shared" si="60"/>
        <v>ZSI1_ROAD_LANDSCAPALT_NUM_UOM1</v>
      </c>
    </row>
    <row r="13132" ht="15.75" customHeight="1">
      <c r="B13132" s="63">
        <f t="shared" si="1"/>
        <v>18</v>
      </c>
      <c r="C13132" s="135" t="s">
        <v>452</v>
      </c>
      <c r="D13132" s="161" t="s">
        <v>74</v>
      </c>
      <c r="E13132" s="135">
        <f t="shared" si="62"/>
        <v>15</v>
      </c>
      <c r="F13132" s="134" t="s">
        <v>3807</v>
      </c>
      <c r="G13132" s="63" t="str">
        <f>VLOOKUP(C13132, 'Class Def. - General Data'!$C$20:$C$1000,1,false)</f>
        <v>ZSI1_ROAD_LANDSCAP</v>
      </c>
      <c r="H13132" s="63" t="str">
        <f>IFERROR(__xludf.DUMMYFUNCTION("VLOOKUP(F13132, IMPORTRANGE(""https://docs.google.com/spreadsheets/d/1Lhp9OU0JdFf_VYSMzH5lBcEaU4o8teT1piV-SNzShjg/edit?gid=554141278#gid=554141278"", ""'Char Def. - Attributes'!C20:C2242""), 1,false)"),"ALT_UOM2_SIPI")</f>
        <v>ALT_UOM2_SIPI</v>
      </c>
      <c r="I13132" s="136"/>
      <c r="R13132" s="63" t="str">
        <f t="shared" si="60"/>
        <v>ZSI1_ROAD_LANDSCAPALT_UOM2_SIPI</v>
      </c>
    </row>
    <row r="13133" ht="15.75" customHeight="1">
      <c r="B13133" s="63">
        <f t="shared" si="1"/>
        <v>18</v>
      </c>
      <c r="C13133" s="135" t="s">
        <v>452</v>
      </c>
      <c r="D13133" s="161" t="s">
        <v>74</v>
      </c>
      <c r="E13133" s="135">
        <f t="shared" si="62"/>
        <v>16</v>
      </c>
      <c r="F13133" s="134" t="s">
        <v>3808</v>
      </c>
      <c r="G13133" s="63" t="str">
        <f>VLOOKUP(C13133, 'Class Def. - General Data'!$C$20:$C$1000,1,false)</f>
        <v>ZSI1_ROAD_LANDSCAP</v>
      </c>
      <c r="H13133" s="63" t="str">
        <f>IFERROR(__xludf.DUMMYFUNCTION("VLOOKUP(F13133, IMPORTRANGE(""https://docs.google.com/spreadsheets/d/1Lhp9OU0JdFf_VYSMzH5lBcEaU4o8teT1piV-SNzShjg/edit?gid=554141278#gid=554141278"", ""'Char Def. - Attributes'!C20:C2242""), 1,false)"),"ALT_DENUM_UOM2")</f>
        <v>ALT_DENUM_UOM2</v>
      </c>
      <c r="I13133" s="136"/>
      <c r="R13133" s="63" t="str">
        <f t="shared" si="60"/>
        <v>ZSI1_ROAD_LANDSCAPALT_DENUM_UOM2</v>
      </c>
    </row>
    <row r="13134" ht="15.75" customHeight="1">
      <c r="B13134" s="63">
        <f t="shared" si="1"/>
        <v>18</v>
      </c>
      <c r="C13134" s="135" t="s">
        <v>452</v>
      </c>
      <c r="D13134" s="161" t="s">
        <v>74</v>
      </c>
      <c r="E13134" s="135">
        <f t="shared" si="62"/>
        <v>17</v>
      </c>
      <c r="F13134" s="134" t="s">
        <v>3809</v>
      </c>
      <c r="G13134" s="63" t="str">
        <f>VLOOKUP(C13134, 'Class Def. - General Data'!$C$20:$C$1000,1,false)</f>
        <v>ZSI1_ROAD_LANDSCAP</v>
      </c>
      <c r="H13134" s="63" t="str">
        <f>IFERROR(__xludf.DUMMYFUNCTION("VLOOKUP(F13134, IMPORTRANGE(""https://docs.google.com/spreadsheets/d/1Lhp9OU0JdFf_VYSMzH5lBcEaU4o8teT1piV-SNzShjg/edit?gid=554141278#gid=554141278"", ""'Char Def. - Attributes'!C20:C2242""), 1,false)"),"ALT_NUM_UOM2")</f>
        <v>ALT_NUM_UOM2</v>
      </c>
      <c r="I13134" s="136"/>
      <c r="R13134" s="63" t="str">
        <f t="shared" si="60"/>
        <v>ZSI1_ROAD_LANDSCAPALT_NUM_UOM2</v>
      </c>
    </row>
    <row r="13135" ht="15.75" customHeight="1">
      <c r="B13135" s="63">
        <f t="shared" si="1"/>
        <v>18</v>
      </c>
      <c r="C13135" s="135" t="s">
        <v>452</v>
      </c>
      <c r="D13135" s="161" t="s">
        <v>74</v>
      </c>
      <c r="E13135" s="135">
        <f t="shared" si="62"/>
        <v>18</v>
      </c>
      <c r="F13135" s="134" t="s">
        <v>3810</v>
      </c>
      <c r="G13135" s="63" t="str">
        <f>VLOOKUP(C13135, 'Class Def. - General Data'!$C$20:$C$1000,1,false)</f>
        <v>ZSI1_ROAD_LANDSCAP</v>
      </c>
      <c r="H13135" s="63" t="str">
        <f>IFERROR(__xludf.DUMMYFUNCTION("VLOOKUP(F13135, IMPORTRANGE(""https://docs.google.com/spreadsheets/d/1Lhp9OU0JdFf_VYSMzH5lBcEaU4o8teT1piV-SNzShjg/edit?gid=554141278#gid=554141278"", ""'Char Def. - Attributes'!C20:C2242""), 1,false)"),"ALT_UOM3_SIPI")</f>
        <v>ALT_UOM3_SIPI</v>
      </c>
      <c r="I13135" s="136"/>
      <c r="R13135" s="63" t="str">
        <f t="shared" si="60"/>
        <v>ZSI1_ROAD_LANDSCAPALT_UOM3_SIPI</v>
      </c>
    </row>
    <row r="13136" ht="15.75" customHeight="1">
      <c r="B13136" s="63">
        <f t="shared" si="1"/>
        <v>18</v>
      </c>
      <c r="C13136" s="135" t="s">
        <v>452</v>
      </c>
      <c r="D13136" s="161" t="s">
        <v>74</v>
      </c>
      <c r="E13136" s="135">
        <f t="shared" si="62"/>
        <v>19</v>
      </c>
      <c r="F13136" s="134" t="s">
        <v>3811</v>
      </c>
      <c r="G13136" s="63" t="str">
        <f>VLOOKUP(C13136, 'Class Def. - General Data'!$C$20:$C$1000,1,false)</f>
        <v>ZSI1_ROAD_LANDSCAP</v>
      </c>
      <c r="H13136" s="63" t="str">
        <f>IFERROR(__xludf.DUMMYFUNCTION("VLOOKUP(F13136, IMPORTRANGE(""https://docs.google.com/spreadsheets/d/1Lhp9OU0JdFf_VYSMzH5lBcEaU4o8teT1piV-SNzShjg/edit?gid=554141278#gid=554141278"", ""'Char Def. - Attributes'!C20:C2242""), 1,false)"),"ALT_DENUM_UOM3")</f>
        <v>ALT_DENUM_UOM3</v>
      </c>
      <c r="I13136" s="136"/>
      <c r="R13136" s="63" t="str">
        <f t="shared" si="60"/>
        <v>ZSI1_ROAD_LANDSCAPALT_DENUM_UOM3</v>
      </c>
    </row>
    <row r="13137" ht="15.75" customHeight="1">
      <c r="B13137" s="63">
        <f t="shared" si="1"/>
        <v>18</v>
      </c>
      <c r="C13137" s="135" t="s">
        <v>452</v>
      </c>
      <c r="D13137" s="161" t="s">
        <v>74</v>
      </c>
      <c r="E13137" s="135">
        <f t="shared" si="62"/>
        <v>20</v>
      </c>
      <c r="F13137" s="134" t="s">
        <v>3812</v>
      </c>
      <c r="G13137" s="63" t="str">
        <f>VLOOKUP(C13137, 'Class Def. - General Data'!$C$20:$C$1000,1,false)</f>
        <v>ZSI1_ROAD_LANDSCAP</v>
      </c>
      <c r="H13137" s="63" t="str">
        <f>IFERROR(__xludf.DUMMYFUNCTION("VLOOKUP(F13137, IMPORTRANGE(""https://docs.google.com/spreadsheets/d/1Lhp9OU0JdFf_VYSMzH5lBcEaU4o8teT1piV-SNzShjg/edit?gid=554141278#gid=554141278"", ""'Char Def. - Attributes'!C20:C2242""), 1,false)"),"ALT_NUM_UOM3")</f>
        <v>ALT_NUM_UOM3</v>
      </c>
      <c r="I13137" s="136"/>
      <c r="R13137" s="63" t="str">
        <f t="shared" si="60"/>
        <v>ZSI1_ROAD_LANDSCAPALT_NUM_UOM3</v>
      </c>
    </row>
    <row r="13138" ht="15.75" customHeight="1">
      <c r="B13138" s="63">
        <f t="shared" si="1"/>
        <v>18</v>
      </c>
      <c r="C13138" s="135" t="s">
        <v>452</v>
      </c>
      <c r="D13138" s="161" t="s">
        <v>74</v>
      </c>
      <c r="E13138" s="135">
        <f t="shared" si="62"/>
        <v>21</v>
      </c>
      <c r="F13138" s="134" t="s">
        <v>3813</v>
      </c>
      <c r="G13138" s="63" t="str">
        <f>VLOOKUP(C13138, 'Class Def. - General Data'!$C$20:$C$1000,1,false)</f>
        <v>ZSI1_ROAD_LANDSCAP</v>
      </c>
      <c r="H13138" s="63" t="str">
        <f>IFERROR(__xludf.DUMMYFUNCTION("VLOOKUP(F13138, IMPORTRANGE(""https://docs.google.com/spreadsheets/d/1Lhp9OU0JdFf_VYSMzH5lBcEaU4o8teT1piV-SNzShjg/edit?gid=554141278#gid=554141278"", ""'Char Def. - Attributes'!C20:C2242""), 1,false)"),"ALT_UOM4_SIPI")</f>
        <v>ALT_UOM4_SIPI</v>
      </c>
      <c r="I13138" s="136"/>
      <c r="R13138" s="63" t="str">
        <f t="shared" si="60"/>
        <v>ZSI1_ROAD_LANDSCAPALT_UOM4_SIPI</v>
      </c>
    </row>
    <row r="13139" ht="15.75" customHeight="1">
      <c r="B13139" s="63">
        <f t="shared" si="1"/>
        <v>18</v>
      </c>
      <c r="C13139" s="135" t="s">
        <v>452</v>
      </c>
      <c r="D13139" s="161" t="s">
        <v>74</v>
      </c>
      <c r="E13139" s="135">
        <f t="shared" si="62"/>
        <v>22</v>
      </c>
      <c r="F13139" s="134" t="s">
        <v>3814</v>
      </c>
      <c r="G13139" s="63" t="str">
        <f>VLOOKUP(C13139, 'Class Def. - General Data'!$C$20:$C$1000,1,false)</f>
        <v>ZSI1_ROAD_LANDSCAP</v>
      </c>
      <c r="H13139" s="63" t="str">
        <f>IFERROR(__xludf.DUMMYFUNCTION("VLOOKUP(F13139, IMPORTRANGE(""https://docs.google.com/spreadsheets/d/1Lhp9OU0JdFf_VYSMzH5lBcEaU4o8teT1piV-SNzShjg/edit?gid=554141278#gid=554141278"", ""'Char Def. - Attributes'!C20:C2242""), 1,false)"),"ALT_DENUM_UOM4")</f>
        <v>ALT_DENUM_UOM4</v>
      </c>
      <c r="I13139" s="136"/>
      <c r="R13139" s="63" t="str">
        <f t="shared" si="60"/>
        <v>ZSI1_ROAD_LANDSCAPALT_DENUM_UOM4</v>
      </c>
    </row>
    <row r="13140" ht="15.75" customHeight="1">
      <c r="B13140" s="63">
        <f t="shared" si="1"/>
        <v>18</v>
      </c>
      <c r="C13140" s="135" t="s">
        <v>452</v>
      </c>
      <c r="D13140" s="161" t="s">
        <v>74</v>
      </c>
      <c r="E13140" s="135">
        <f t="shared" si="62"/>
        <v>23</v>
      </c>
      <c r="F13140" s="134" t="s">
        <v>3815</v>
      </c>
      <c r="G13140" s="63" t="str">
        <f>VLOOKUP(C13140, 'Class Def. - General Data'!$C$20:$C$1000,1,false)</f>
        <v>ZSI1_ROAD_LANDSCAP</v>
      </c>
      <c r="H13140" s="63" t="str">
        <f>IFERROR(__xludf.DUMMYFUNCTION("VLOOKUP(F13140, IMPORTRANGE(""https://docs.google.com/spreadsheets/d/1Lhp9OU0JdFf_VYSMzH5lBcEaU4o8teT1piV-SNzShjg/edit?gid=554141278#gid=554141278"", ""'Char Def. - Attributes'!C20:C2242""), 1,false)"),"ALT_NUM_UOM4")</f>
        <v>ALT_NUM_UOM4</v>
      </c>
      <c r="I13140" s="136"/>
      <c r="R13140" s="63" t="str">
        <f t="shared" si="60"/>
        <v>ZSI1_ROAD_LANDSCAPALT_NUM_UOM4</v>
      </c>
    </row>
    <row r="13141" ht="15.75" customHeight="1">
      <c r="B13141" s="63">
        <f t="shared" si="1"/>
        <v>18</v>
      </c>
      <c r="C13141" s="135" t="s">
        <v>452</v>
      </c>
      <c r="D13141" s="161" t="s">
        <v>74</v>
      </c>
      <c r="E13141" s="135">
        <f t="shared" si="62"/>
        <v>24</v>
      </c>
      <c r="F13141" s="134" t="s">
        <v>3816</v>
      </c>
      <c r="G13141" s="63" t="str">
        <f>VLOOKUP(C13141, 'Class Def. - General Data'!$C$20:$C$1000,1,false)</f>
        <v>ZSI1_ROAD_LANDSCAP</v>
      </c>
      <c r="H13141" s="63" t="str">
        <f>IFERROR(__xludf.DUMMYFUNCTION("VLOOKUP(F13141, IMPORTRANGE(""https://docs.google.com/spreadsheets/d/1Lhp9OU0JdFf_VYSMzH5lBcEaU4o8teT1piV-SNzShjg/edit?gid=554141278#gid=554141278"", ""'Char Def. - Attributes'!C20:C2242""), 1,false)"),"ALT_UOM5_SIPI")</f>
        <v>ALT_UOM5_SIPI</v>
      </c>
      <c r="I13141" s="136"/>
      <c r="R13141" s="63" t="str">
        <f t="shared" si="60"/>
        <v>ZSI1_ROAD_LANDSCAPALT_UOM5_SIPI</v>
      </c>
    </row>
    <row r="13142" ht="15.75" customHeight="1">
      <c r="B13142" s="63">
        <f t="shared" si="1"/>
        <v>18</v>
      </c>
      <c r="C13142" s="135" t="s">
        <v>452</v>
      </c>
      <c r="D13142" s="161" t="s">
        <v>74</v>
      </c>
      <c r="E13142" s="135">
        <f t="shared" si="62"/>
        <v>25</v>
      </c>
      <c r="F13142" s="134" t="s">
        <v>3817</v>
      </c>
      <c r="G13142" s="63" t="str">
        <f>VLOOKUP(C13142, 'Class Def. - General Data'!$C$20:$C$1000,1,false)</f>
        <v>ZSI1_ROAD_LANDSCAP</v>
      </c>
      <c r="H13142" s="63" t="str">
        <f>IFERROR(__xludf.DUMMYFUNCTION("VLOOKUP(F13142, IMPORTRANGE(""https://docs.google.com/spreadsheets/d/1Lhp9OU0JdFf_VYSMzH5lBcEaU4o8teT1piV-SNzShjg/edit?gid=554141278#gid=554141278"", ""'Char Def. - Attributes'!C20:C2242""), 1,false)"),"ALT_DENUM_UOM5")</f>
        <v>ALT_DENUM_UOM5</v>
      </c>
      <c r="I13142" s="136"/>
      <c r="R13142" s="63" t="str">
        <f t="shared" si="60"/>
        <v>ZSI1_ROAD_LANDSCAPALT_DENUM_UOM5</v>
      </c>
    </row>
    <row r="13143" ht="15.75" customHeight="1">
      <c r="B13143" s="63">
        <f t="shared" si="1"/>
        <v>18</v>
      </c>
      <c r="C13143" s="135" t="s">
        <v>452</v>
      </c>
      <c r="D13143" s="161" t="s">
        <v>74</v>
      </c>
      <c r="E13143" s="135">
        <f t="shared" si="62"/>
        <v>26</v>
      </c>
      <c r="F13143" s="134" t="s">
        <v>3818</v>
      </c>
      <c r="G13143" s="63" t="str">
        <f>VLOOKUP(C13143, 'Class Def. - General Data'!$C$20:$C$1000,1,false)</f>
        <v>ZSI1_ROAD_LANDSCAP</v>
      </c>
      <c r="H13143" s="63" t="str">
        <f>IFERROR(__xludf.DUMMYFUNCTION("VLOOKUP(F13143, IMPORTRANGE(""https://docs.google.com/spreadsheets/d/1Lhp9OU0JdFf_VYSMzH5lBcEaU4o8teT1piV-SNzShjg/edit?gid=554141278#gid=554141278"", ""'Char Def. - Attributes'!C20:C2242""), 1,false)"),"ALT_NUM_UOM5")</f>
        <v>ALT_NUM_UOM5</v>
      </c>
      <c r="I13143" s="136"/>
      <c r="R13143" s="63" t="str">
        <f t="shared" si="60"/>
        <v>ZSI1_ROAD_LANDSCAPALT_NUM_UOM5</v>
      </c>
    </row>
    <row r="13144" ht="15.75" customHeight="1">
      <c r="B13144" s="63">
        <f t="shared" si="1"/>
        <v>12</v>
      </c>
      <c r="C13144" s="135" t="s">
        <v>453</v>
      </c>
      <c r="D13144" s="161" t="s">
        <v>74</v>
      </c>
      <c r="E13144" s="135">
        <f t="shared" si="62"/>
        <v>1</v>
      </c>
      <c r="F13144" s="134" t="s">
        <v>5322</v>
      </c>
      <c r="G13144" s="63" t="str">
        <f>VLOOKUP(C13144, 'Class Def. - General Data'!$C$20:$C$1000,1,false)</f>
        <v>ZSI1_ROD_EYE</v>
      </c>
      <c r="H13144" s="63" t="str">
        <f>IFERROR(__xludf.DUMMYFUNCTION("VLOOKUP(F13144, IMPORTRANGE(""https://docs.google.com/spreadsheets/d/1Lhp9OU0JdFf_VYSMzH5lBcEaU4o8teT1piV-SNzShjg/edit?gid=554141278#gid=554141278"", ""'Char Def. - Attributes'!C20:C2242""), 1,false)"),"ITEM_NAME_ROD_EYE")</f>
        <v>ITEM_NAME_ROD_EYE</v>
      </c>
      <c r="I13144" s="136"/>
      <c r="R13144" s="63" t="str">
        <f t="shared" si="60"/>
        <v>ZSI1_ROD_EYEITEM_NAME_ROD_EYE</v>
      </c>
    </row>
    <row r="13145" ht="15.75" customHeight="1">
      <c r="B13145" s="63">
        <f t="shared" si="1"/>
        <v>12</v>
      </c>
      <c r="C13145" s="135" t="s">
        <v>453</v>
      </c>
      <c r="D13145" s="161" t="s">
        <v>74</v>
      </c>
      <c r="E13145" s="135">
        <f t="shared" si="62"/>
        <v>2</v>
      </c>
      <c r="F13145" s="134" t="s">
        <v>5323</v>
      </c>
      <c r="G13145" s="63" t="str">
        <f>VLOOKUP(C13145, 'Class Def. - General Data'!$C$20:$C$1000,1,false)</f>
        <v>ZSI1_ROD_EYE</v>
      </c>
      <c r="H13145" s="63" t="str">
        <f>IFERROR(__xludf.DUMMYFUNCTION("VLOOKUP(F13145, IMPORTRANGE(""https://docs.google.com/spreadsheets/d/1Lhp9OU0JdFf_VYSMzH5lBcEaU4o8teT1piV-SNzShjg/edit?gid=554141278#gid=554141278"", ""'Char Def. - Attributes'!C20:C2242""), 1,false)"),"PITCH_TYPE_ROD_EYE")</f>
        <v>PITCH_TYPE_ROD_EYE</v>
      </c>
      <c r="I13145" s="136"/>
      <c r="R13145" s="63" t="str">
        <f t="shared" si="60"/>
        <v>ZSI1_ROD_EYEPITCH_TYPE_ROD_EYE</v>
      </c>
    </row>
    <row r="13146" ht="15.75" customHeight="1">
      <c r="B13146" s="63">
        <f t="shared" si="1"/>
        <v>12</v>
      </c>
      <c r="C13146" s="135" t="s">
        <v>453</v>
      </c>
      <c r="D13146" s="161" t="s">
        <v>74</v>
      </c>
      <c r="E13146" s="135">
        <f t="shared" si="62"/>
        <v>3</v>
      </c>
      <c r="F13146" s="134" t="s">
        <v>5324</v>
      </c>
      <c r="G13146" s="63" t="str">
        <f>VLOOKUP(C13146, 'Class Def. - General Data'!$C$20:$C$1000,1,false)</f>
        <v>ZSI1_ROD_EYE</v>
      </c>
      <c r="H13146" s="63" t="str">
        <f>IFERROR(__xludf.DUMMYFUNCTION("VLOOKUP(F13146, IMPORTRANGE(""https://docs.google.com/spreadsheets/d/1Lhp9OU0JdFf_VYSMzH5lBcEaU4o8teT1piV-SNzShjg/edit?gid=554141278#gid=554141278"", ""'Char Def. - Attributes'!C20:C2242""), 1,false)"),"BORE_DIAMETER_MM_ROD_EYE")</f>
        <v>BORE_DIAMETER_MM_ROD_EYE</v>
      </c>
      <c r="I13146" s="136"/>
      <c r="R13146" s="63" t="str">
        <f t="shared" si="60"/>
        <v>ZSI1_ROD_EYEBORE_DIAMETER_MM_ROD_EYE</v>
      </c>
    </row>
    <row r="13147" ht="15.75" customHeight="1">
      <c r="B13147" s="63">
        <f t="shared" si="1"/>
        <v>12</v>
      </c>
      <c r="C13147" s="135" t="s">
        <v>453</v>
      </c>
      <c r="D13147" s="161" t="s">
        <v>74</v>
      </c>
      <c r="E13147" s="135">
        <f t="shared" si="62"/>
        <v>4</v>
      </c>
      <c r="F13147" s="134" t="s">
        <v>5325</v>
      </c>
      <c r="G13147" s="63" t="str">
        <f>VLOOKUP(C13147, 'Class Def. - General Data'!$C$20:$C$1000,1,false)</f>
        <v>ZSI1_ROD_EYE</v>
      </c>
      <c r="H13147" s="63" t="str">
        <f>IFERROR(__xludf.DUMMYFUNCTION("VLOOKUP(F13147, IMPORTRANGE(""https://docs.google.com/spreadsheets/d/1Lhp9OU0JdFf_VYSMzH5lBcEaU4o8teT1piV-SNzShjg/edit?gid=554141278#gid=554141278"", ""'Char Def. - Attributes'!C20:C2242""), 1,false)"),"PITCH_SIZE_MM_ROD_EYE")</f>
        <v>PITCH_SIZE_MM_ROD_EYE</v>
      </c>
      <c r="I13147" s="136"/>
      <c r="R13147" s="63" t="str">
        <f t="shared" si="60"/>
        <v>ZSI1_ROD_EYEPITCH_SIZE_MM_ROD_EYE</v>
      </c>
    </row>
    <row r="13148" ht="15.75" customHeight="1">
      <c r="B13148" s="63">
        <f t="shared" si="1"/>
        <v>12</v>
      </c>
      <c r="C13148" s="135" t="s">
        <v>453</v>
      </c>
      <c r="D13148" s="161" t="s">
        <v>74</v>
      </c>
      <c r="E13148" s="135">
        <f t="shared" si="62"/>
        <v>5</v>
      </c>
      <c r="F13148" s="134" t="s">
        <v>5326</v>
      </c>
      <c r="G13148" s="63" t="str">
        <f>VLOOKUP(C13148, 'Class Def. - General Data'!$C$20:$C$1000,1,false)</f>
        <v>ZSI1_ROD_EYE</v>
      </c>
      <c r="H13148" s="63" t="str">
        <f>IFERROR(__xludf.DUMMYFUNCTION("VLOOKUP(F13148, IMPORTRANGE(""https://docs.google.com/spreadsheets/d/1Lhp9OU0JdFf_VYSMzH5lBcEaU4o8teT1piV-SNzShjg/edit?gid=554141278#gid=554141278"", ""'Char Def. - Attributes'!C20:C2242""), 1,false)"),"PITCH_DIRECTION_ROD_EYE")</f>
        <v>PITCH_DIRECTION_ROD_EYE</v>
      </c>
      <c r="I13148" s="136"/>
      <c r="R13148" s="63" t="str">
        <f t="shared" si="60"/>
        <v>ZSI1_ROD_EYEPITCH_DIRECTION_ROD_EYE</v>
      </c>
    </row>
    <row r="13149" ht="15.75" customHeight="1">
      <c r="B13149" s="63">
        <f t="shared" si="1"/>
        <v>12</v>
      </c>
      <c r="C13149" s="135" t="s">
        <v>453</v>
      </c>
      <c r="D13149" s="161" t="s">
        <v>74</v>
      </c>
      <c r="E13149" s="135">
        <f t="shared" si="62"/>
        <v>6</v>
      </c>
      <c r="F13149" s="134" t="s">
        <v>3585</v>
      </c>
      <c r="G13149" s="63" t="str">
        <f>VLOOKUP(C13149, 'Class Def. - General Data'!$C$20:$C$1000,1,false)</f>
        <v>ZSI1_ROD_EYE</v>
      </c>
      <c r="H13149" s="63" t="str">
        <f>IFERROR(__xludf.DUMMYFUNCTION("VLOOKUP(F13149, IMPORTRANGE(""https://docs.google.com/spreadsheets/d/1Lhp9OU0JdFf_VYSMzH5lBcEaU4o8teT1piV-SNzShjg/edit?gid=554141278#gid=554141278"", ""'Char Def. - Attributes'!C20:C2242""), 1,false)"),"HS_CODE")</f>
        <v>HS_CODE</v>
      </c>
      <c r="I13149" s="136"/>
      <c r="R13149" s="63" t="str">
        <f t="shared" si="60"/>
        <v>ZSI1_ROD_EYEHS_CODE</v>
      </c>
    </row>
    <row r="13150" ht="15.75" customHeight="1">
      <c r="B13150" s="63">
        <f t="shared" si="1"/>
        <v>12</v>
      </c>
      <c r="C13150" s="135" t="s">
        <v>453</v>
      </c>
      <c r="D13150" s="161" t="s">
        <v>74</v>
      </c>
      <c r="E13150" s="135">
        <f t="shared" si="62"/>
        <v>7</v>
      </c>
      <c r="F13150" s="134" t="s">
        <v>3587</v>
      </c>
      <c r="G13150" s="63" t="str">
        <f>VLOOKUP(C13150, 'Class Def. - General Data'!$C$20:$C$1000,1,false)</f>
        <v>ZSI1_ROD_EYE</v>
      </c>
      <c r="H13150" s="63" t="str">
        <f>IFERROR(__xludf.DUMMYFUNCTION("VLOOKUP(F13150, IMPORTRANGE(""https://docs.google.com/spreadsheets/d/1Lhp9OU0JdFf_VYSMzH5lBcEaU4o8teT1piV-SNzShjg/edit?gid=554141278#gid=554141278"", ""'Char Def. - Attributes'!C20:C2242""), 1,false)"),"PLANT_BUY")</f>
        <v>PLANT_BUY</v>
      </c>
      <c r="I13150" s="136"/>
      <c r="R13150" s="63" t="str">
        <f t="shared" si="60"/>
        <v>ZSI1_ROD_EYEPLANT_BUY</v>
      </c>
    </row>
    <row r="13151" ht="15.75" customHeight="1">
      <c r="B13151" s="63">
        <f t="shared" si="1"/>
        <v>12</v>
      </c>
      <c r="C13151" s="135" t="s">
        <v>453</v>
      </c>
      <c r="D13151" s="161" t="s">
        <v>74</v>
      </c>
      <c r="E13151" s="135">
        <f t="shared" si="62"/>
        <v>8</v>
      </c>
      <c r="F13151" s="134" t="s">
        <v>5327</v>
      </c>
      <c r="G13151" s="63" t="str">
        <f>VLOOKUP(C13151, 'Class Def. - General Data'!$C$20:$C$1000,1,false)</f>
        <v>ZSI1_ROD_EYE</v>
      </c>
      <c r="H13151" s="63" t="str">
        <f>IFERROR(__xludf.DUMMYFUNCTION("VLOOKUP(F13151, IMPORTRANGE(""https://docs.google.com/spreadsheets/d/1Lhp9OU0JdFf_VYSMzH5lBcEaU4o8teT1piV-SNzShjg/edit?gid=554141278#gid=554141278"", ""'Char Def. - Attributes'!C20:C2242""), 1,false)"),"BASE_UOM_ROD_EYE")</f>
        <v>BASE_UOM_ROD_EYE</v>
      </c>
      <c r="I13151" s="136"/>
      <c r="R13151" s="63" t="str">
        <f t="shared" si="60"/>
        <v>ZSI1_ROD_EYEBASE_UOM_ROD_EYE</v>
      </c>
    </row>
    <row r="13152" ht="15.75" customHeight="1">
      <c r="B13152" s="63">
        <f t="shared" si="1"/>
        <v>12</v>
      </c>
      <c r="C13152" s="135" t="s">
        <v>453</v>
      </c>
      <c r="D13152" s="161" t="s">
        <v>74</v>
      </c>
      <c r="E13152" s="135">
        <f t="shared" si="62"/>
        <v>9</v>
      </c>
      <c r="F13152" s="134" t="s">
        <v>5328</v>
      </c>
      <c r="G13152" s="63" t="str">
        <f>VLOOKUP(C13152, 'Class Def. - General Data'!$C$20:$C$1000,1,false)</f>
        <v>ZSI1_ROD_EYE</v>
      </c>
      <c r="H13152" s="63" t="str">
        <f>IFERROR(__xludf.DUMMYFUNCTION("VLOOKUP(F13152, IMPORTRANGE(""https://docs.google.com/spreadsheets/d/1Lhp9OU0JdFf_VYSMzH5lBcEaU4o8teT1piV-SNzShjg/edit?gid=554141278#gid=554141278"", ""'Char Def. - Attributes'!C20:C2242""), 1,false)"),"ORDER_UNIT_ROD_EYE")</f>
        <v>ORDER_UNIT_ROD_EYE</v>
      </c>
      <c r="I13152" s="136"/>
      <c r="R13152" s="63" t="str">
        <f t="shared" si="60"/>
        <v>ZSI1_ROD_EYEORDER_UNIT_ROD_EYE</v>
      </c>
    </row>
    <row r="13153" ht="15.75" customHeight="1">
      <c r="B13153" s="63">
        <f t="shared" si="1"/>
        <v>12</v>
      </c>
      <c r="C13153" s="135" t="s">
        <v>453</v>
      </c>
      <c r="D13153" s="161" t="s">
        <v>74</v>
      </c>
      <c r="E13153" s="135">
        <f t="shared" si="62"/>
        <v>10</v>
      </c>
      <c r="F13153" s="134" t="s">
        <v>4056</v>
      </c>
      <c r="G13153" s="63" t="str">
        <f>VLOOKUP(C13153, 'Class Def. - General Data'!$C$20:$C$1000,1,false)</f>
        <v>ZSI1_ROD_EYE</v>
      </c>
      <c r="H13153" s="63" t="str">
        <f>IFERROR(__xludf.DUMMYFUNCTION("VLOOKUP(F13153, IMPORTRANGE(""https://docs.google.com/spreadsheets/d/1Lhp9OU0JdFf_VYSMzH5lBcEaU4o8teT1piV-SNzShjg/edit?gid=554141278#gid=554141278"", ""'Char Def. - Attributes'!C20:C2242""), 1,false)"),"GROSS_WEIGHT_OPT")</f>
        <v>GROSS_WEIGHT_OPT</v>
      </c>
      <c r="I13153" s="136"/>
      <c r="R13153" s="63" t="str">
        <f t="shared" si="60"/>
        <v>ZSI1_ROD_EYEGROSS_WEIGHT_OPT</v>
      </c>
    </row>
    <row r="13154" ht="15.75" customHeight="1">
      <c r="B13154" s="63">
        <f t="shared" si="1"/>
        <v>12</v>
      </c>
      <c r="C13154" s="135" t="s">
        <v>453</v>
      </c>
      <c r="D13154" s="161" t="s">
        <v>74</v>
      </c>
      <c r="E13154" s="135">
        <f t="shared" si="62"/>
        <v>11</v>
      </c>
      <c r="F13154" s="134" t="s">
        <v>4057</v>
      </c>
      <c r="G13154" s="63" t="str">
        <f>VLOOKUP(C13154, 'Class Def. - General Data'!$C$20:$C$1000,1,false)</f>
        <v>ZSI1_ROD_EYE</v>
      </c>
      <c r="H13154" s="63" t="str">
        <f>IFERROR(__xludf.DUMMYFUNCTION("VLOOKUP(F13154, IMPORTRANGE(""https://docs.google.com/spreadsheets/d/1Lhp9OU0JdFf_VYSMzH5lBcEaU4o8teT1piV-SNzShjg/edit?gid=554141278#gid=554141278"", ""'Char Def. - Attributes'!C20:C2242""), 1,false)"),"NET_WEIGHT_OPT")</f>
        <v>NET_WEIGHT_OPT</v>
      </c>
      <c r="I13154" s="136"/>
      <c r="R13154" s="63" t="str">
        <f t="shared" si="60"/>
        <v>ZSI1_ROD_EYENET_WEIGHT_OPT</v>
      </c>
    </row>
    <row r="13155" ht="15.75" customHeight="1">
      <c r="B13155" s="63">
        <f t="shared" si="1"/>
        <v>12</v>
      </c>
      <c r="C13155" s="135" t="s">
        <v>453</v>
      </c>
      <c r="D13155" s="161" t="s">
        <v>74</v>
      </c>
      <c r="E13155" s="135">
        <f t="shared" si="62"/>
        <v>12</v>
      </c>
      <c r="F13155" s="134" t="s">
        <v>4058</v>
      </c>
      <c r="G13155" s="63" t="str">
        <f>VLOOKUP(C13155, 'Class Def. - General Data'!$C$20:$C$1000,1,false)</f>
        <v>ZSI1_ROD_EYE</v>
      </c>
      <c r="H13155" s="63" t="str">
        <f>IFERROR(__xludf.DUMMYFUNCTION("VLOOKUP(F13155, IMPORTRANGE(""https://docs.google.com/spreadsheets/d/1Lhp9OU0JdFf_VYSMzH5lBcEaU4o8teT1piV-SNzShjg/edit?gid=554141278#gid=554141278"", ""'Char Def. - Attributes'!C20:C2242""), 1,false)"),"WEIGHT_UNIT_SI")</f>
        <v>WEIGHT_UNIT_SI</v>
      </c>
      <c r="I13155" s="136"/>
      <c r="R13155" s="63" t="str">
        <f t="shared" si="60"/>
        <v>ZSI1_ROD_EYEWEIGHT_UNIT_SI</v>
      </c>
    </row>
    <row r="13156" ht="15.75" customHeight="1">
      <c r="B13156" s="63">
        <f t="shared" si="1"/>
        <v>12</v>
      </c>
      <c r="C13156" s="135" t="s">
        <v>453</v>
      </c>
      <c r="D13156" s="161" t="s">
        <v>74</v>
      </c>
      <c r="E13156" s="135">
        <f t="shared" si="62"/>
        <v>13</v>
      </c>
      <c r="F13156" s="134" t="s">
        <v>3877</v>
      </c>
      <c r="G13156" s="63" t="str">
        <f>VLOOKUP(C13156, 'Class Def. - General Data'!$C$20:$C$1000,1,false)</f>
        <v>ZSI1_ROD_EYE</v>
      </c>
      <c r="H13156" s="63" t="str">
        <f>IFERROR(__xludf.DUMMYFUNCTION("VLOOKUP(F13156, IMPORTRANGE(""https://docs.google.com/spreadsheets/d/1Lhp9OU0JdFf_VYSMzH5lBcEaU4o8teT1piV-SNzShjg/edit?gid=554141278#gid=554141278"", ""'Char Def. - Attributes'!C20:C2242""), 1,false)"),"VOLUME_OPT")</f>
        <v>VOLUME_OPT</v>
      </c>
      <c r="I13156" s="136"/>
      <c r="R13156" s="63" t="str">
        <f t="shared" si="60"/>
        <v>ZSI1_ROD_EYEVOLUME_OPT</v>
      </c>
    </row>
    <row r="13157" ht="15.75" customHeight="1">
      <c r="B13157" s="63">
        <f t="shared" si="1"/>
        <v>12</v>
      </c>
      <c r="C13157" s="135" t="s">
        <v>453</v>
      </c>
      <c r="D13157" s="161" t="s">
        <v>74</v>
      </c>
      <c r="E13157" s="135">
        <f t="shared" si="62"/>
        <v>14</v>
      </c>
      <c r="F13157" s="134" t="s">
        <v>4059</v>
      </c>
      <c r="G13157" s="63" t="str">
        <f>VLOOKUP(C13157, 'Class Def. - General Data'!$C$20:$C$1000,1,false)</f>
        <v>ZSI1_ROD_EYE</v>
      </c>
      <c r="H13157" s="63" t="str">
        <f>IFERROR(__xludf.DUMMYFUNCTION("VLOOKUP(F13157, IMPORTRANGE(""https://docs.google.com/spreadsheets/d/1Lhp9OU0JdFf_VYSMzH5lBcEaU4o8teT1piV-SNzShjg/edit?gid=554141278#gid=554141278"", ""'Char Def. - Attributes'!C20:C2242""), 1,false)"),"VOLUME_UNIT_SI")</f>
        <v>VOLUME_UNIT_SI</v>
      </c>
      <c r="I13157" s="136"/>
      <c r="R13157" s="63" t="str">
        <f t="shared" si="60"/>
        <v>ZSI1_ROD_EYEVOLUME_UNIT_SI</v>
      </c>
    </row>
    <row r="13158" ht="15.75" customHeight="1">
      <c r="B13158" s="63">
        <f t="shared" si="1"/>
        <v>12</v>
      </c>
      <c r="C13158" s="135" t="s">
        <v>453</v>
      </c>
      <c r="D13158" s="161" t="s">
        <v>74</v>
      </c>
      <c r="E13158" s="135">
        <f t="shared" si="62"/>
        <v>15</v>
      </c>
      <c r="F13158" s="134" t="s">
        <v>3804</v>
      </c>
      <c r="G13158" s="63" t="str">
        <f>VLOOKUP(C13158, 'Class Def. - General Data'!$C$20:$C$1000,1,false)</f>
        <v>ZSI1_ROD_EYE</v>
      </c>
      <c r="H13158" s="63" t="str">
        <f>IFERROR(__xludf.DUMMYFUNCTION("VLOOKUP(F13158, IMPORTRANGE(""https://docs.google.com/spreadsheets/d/1Lhp9OU0JdFf_VYSMzH5lBcEaU4o8teT1piV-SNzShjg/edit?gid=554141278#gid=554141278"", ""'Char Def. - Attributes'!C20:C2242""), 1,false)"),"ALT_UOM1_SIPI")</f>
        <v>ALT_UOM1_SIPI</v>
      </c>
      <c r="I13158" s="136"/>
      <c r="R13158" s="63" t="str">
        <f t="shared" si="60"/>
        <v>ZSI1_ROD_EYEALT_UOM1_SIPI</v>
      </c>
    </row>
    <row r="13159" ht="15.75" customHeight="1">
      <c r="B13159" s="63">
        <f t="shared" si="1"/>
        <v>12</v>
      </c>
      <c r="C13159" s="135" t="s">
        <v>453</v>
      </c>
      <c r="D13159" s="161" t="s">
        <v>74</v>
      </c>
      <c r="E13159" s="135">
        <f t="shared" si="62"/>
        <v>16</v>
      </c>
      <c r="F13159" s="134" t="s">
        <v>3805</v>
      </c>
      <c r="G13159" s="63" t="str">
        <f>VLOOKUP(C13159, 'Class Def. - General Data'!$C$20:$C$1000,1,false)</f>
        <v>ZSI1_ROD_EYE</v>
      </c>
      <c r="H13159" s="63" t="str">
        <f>IFERROR(__xludf.DUMMYFUNCTION("VLOOKUP(F13159, IMPORTRANGE(""https://docs.google.com/spreadsheets/d/1Lhp9OU0JdFf_VYSMzH5lBcEaU4o8teT1piV-SNzShjg/edit?gid=554141278#gid=554141278"", ""'Char Def. - Attributes'!C20:C2242""), 1,false)"),"ALT_DENUM_UOM1")</f>
        <v>ALT_DENUM_UOM1</v>
      </c>
      <c r="I13159" s="136"/>
      <c r="R13159" s="63" t="str">
        <f t="shared" si="60"/>
        <v>ZSI1_ROD_EYEALT_DENUM_UOM1</v>
      </c>
    </row>
    <row r="13160" ht="15.75" customHeight="1">
      <c r="B13160" s="63">
        <f t="shared" si="1"/>
        <v>12</v>
      </c>
      <c r="C13160" s="135" t="s">
        <v>453</v>
      </c>
      <c r="D13160" s="161" t="s">
        <v>74</v>
      </c>
      <c r="E13160" s="135">
        <f t="shared" si="62"/>
        <v>17</v>
      </c>
      <c r="F13160" s="134" t="s">
        <v>3806</v>
      </c>
      <c r="G13160" s="63" t="str">
        <f>VLOOKUP(C13160, 'Class Def. - General Data'!$C$20:$C$1000,1,false)</f>
        <v>ZSI1_ROD_EYE</v>
      </c>
      <c r="H13160" s="63" t="str">
        <f>IFERROR(__xludf.DUMMYFUNCTION("VLOOKUP(F13160, IMPORTRANGE(""https://docs.google.com/spreadsheets/d/1Lhp9OU0JdFf_VYSMzH5lBcEaU4o8teT1piV-SNzShjg/edit?gid=554141278#gid=554141278"", ""'Char Def. - Attributes'!C20:C2242""), 1,false)"),"ALT_NUM_UOM1")</f>
        <v>ALT_NUM_UOM1</v>
      </c>
      <c r="I13160" s="136"/>
      <c r="R13160" s="63" t="str">
        <f t="shared" si="60"/>
        <v>ZSI1_ROD_EYEALT_NUM_UOM1</v>
      </c>
    </row>
    <row r="13161" ht="15.75" customHeight="1">
      <c r="B13161" s="63">
        <f t="shared" si="1"/>
        <v>12</v>
      </c>
      <c r="C13161" s="135" t="s">
        <v>453</v>
      </c>
      <c r="D13161" s="161" t="s">
        <v>74</v>
      </c>
      <c r="E13161" s="135">
        <f t="shared" si="62"/>
        <v>18</v>
      </c>
      <c r="F13161" s="134" t="s">
        <v>3807</v>
      </c>
      <c r="G13161" s="63" t="str">
        <f>VLOOKUP(C13161, 'Class Def. - General Data'!$C$20:$C$1000,1,false)</f>
        <v>ZSI1_ROD_EYE</v>
      </c>
      <c r="H13161" s="63" t="str">
        <f>IFERROR(__xludf.DUMMYFUNCTION("VLOOKUP(F13161, IMPORTRANGE(""https://docs.google.com/spreadsheets/d/1Lhp9OU0JdFf_VYSMzH5lBcEaU4o8teT1piV-SNzShjg/edit?gid=554141278#gid=554141278"", ""'Char Def. - Attributes'!C20:C2242""), 1,false)"),"ALT_UOM2_SIPI")</f>
        <v>ALT_UOM2_SIPI</v>
      </c>
      <c r="I13161" s="136"/>
      <c r="R13161" s="63" t="str">
        <f t="shared" si="60"/>
        <v>ZSI1_ROD_EYEALT_UOM2_SIPI</v>
      </c>
    </row>
    <row r="13162" ht="15.75" customHeight="1">
      <c r="B13162" s="63">
        <f t="shared" si="1"/>
        <v>12</v>
      </c>
      <c r="C13162" s="135" t="s">
        <v>453</v>
      </c>
      <c r="D13162" s="161" t="s">
        <v>74</v>
      </c>
      <c r="E13162" s="135">
        <f t="shared" si="62"/>
        <v>19</v>
      </c>
      <c r="F13162" s="134" t="s">
        <v>3808</v>
      </c>
      <c r="G13162" s="63" t="str">
        <f>VLOOKUP(C13162, 'Class Def. - General Data'!$C$20:$C$1000,1,false)</f>
        <v>ZSI1_ROD_EYE</v>
      </c>
      <c r="H13162" s="63" t="str">
        <f>IFERROR(__xludf.DUMMYFUNCTION("VLOOKUP(F13162, IMPORTRANGE(""https://docs.google.com/spreadsheets/d/1Lhp9OU0JdFf_VYSMzH5lBcEaU4o8teT1piV-SNzShjg/edit?gid=554141278#gid=554141278"", ""'Char Def. - Attributes'!C20:C2242""), 1,false)"),"ALT_DENUM_UOM2")</f>
        <v>ALT_DENUM_UOM2</v>
      </c>
      <c r="I13162" s="136"/>
      <c r="R13162" s="63" t="str">
        <f t="shared" si="60"/>
        <v>ZSI1_ROD_EYEALT_DENUM_UOM2</v>
      </c>
    </row>
    <row r="13163" ht="15.75" customHeight="1">
      <c r="B13163" s="63">
        <f t="shared" si="1"/>
        <v>12</v>
      </c>
      <c r="C13163" s="135" t="s">
        <v>453</v>
      </c>
      <c r="D13163" s="161" t="s">
        <v>74</v>
      </c>
      <c r="E13163" s="135">
        <f t="shared" si="62"/>
        <v>20</v>
      </c>
      <c r="F13163" s="134" t="s">
        <v>3809</v>
      </c>
      <c r="G13163" s="63" t="str">
        <f>VLOOKUP(C13163, 'Class Def. - General Data'!$C$20:$C$1000,1,false)</f>
        <v>ZSI1_ROD_EYE</v>
      </c>
      <c r="H13163" s="63" t="str">
        <f>IFERROR(__xludf.DUMMYFUNCTION("VLOOKUP(F13163, IMPORTRANGE(""https://docs.google.com/spreadsheets/d/1Lhp9OU0JdFf_VYSMzH5lBcEaU4o8teT1piV-SNzShjg/edit?gid=554141278#gid=554141278"", ""'Char Def. - Attributes'!C20:C2242""), 1,false)"),"ALT_NUM_UOM2")</f>
        <v>ALT_NUM_UOM2</v>
      </c>
      <c r="I13163" s="136"/>
      <c r="R13163" s="63" t="str">
        <f t="shared" si="60"/>
        <v>ZSI1_ROD_EYEALT_NUM_UOM2</v>
      </c>
    </row>
    <row r="13164" ht="15.75" customHeight="1">
      <c r="B13164" s="63">
        <f t="shared" si="1"/>
        <v>12</v>
      </c>
      <c r="C13164" s="135" t="s">
        <v>453</v>
      </c>
      <c r="D13164" s="161" t="s">
        <v>74</v>
      </c>
      <c r="E13164" s="135">
        <f t="shared" si="62"/>
        <v>21</v>
      </c>
      <c r="F13164" s="134" t="s">
        <v>3810</v>
      </c>
      <c r="G13164" s="63" t="str">
        <f>VLOOKUP(C13164, 'Class Def. - General Data'!$C$20:$C$1000,1,false)</f>
        <v>ZSI1_ROD_EYE</v>
      </c>
      <c r="H13164" s="63" t="str">
        <f>IFERROR(__xludf.DUMMYFUNCTION("VLOOKUP(F13164, IMPORTRANGE(""https://docs.google.com/spreadsheets/d/1Lhp9OU0JdFf_VYSMzH5lBcEaU4o8teT1piV-SNzShjg/edit?gid=554141278#gid=554141278"", ""'Char Def. - Attributes'!C20:C2242""), 1,false)"),"ALT_UOM3_SIPI")</f>
        <v>ALT_UOM3_SIPI</v>
      </c>
      <c r="I13164" s="136"/>
      <c r="R13164" s="63" t="str">
        <f t="shared" si="60"/>
        <v>ZSI1_ROD_EYEALT_UOM3_SIPI</v>
      </c>
    </row>
    <row r="13165" ht="15.75" customHeight="1">
      <c r="B13165" s="63">
        <f t="shared" si="1"/>
        <v>12</v>
      </c>
      <c r="C13165" s="135" t="s">
        <v>453</v>
      </c>
      <c r="D13165" s="161" t="s">
        <v>74</v>
      </c>
      <c r="E13165" s="135">
        <f t="shared" si="62"/>
        <v>22</v>
      </c>
      <c r="F13165" s="134" t="s">
        <v>3811</v>
      </c>
      <c r="G13165" s="63" t="str">
        <f>VLOOKUP(C13165, 'Class Def. - General Data'!$C$20:$C$1000,1,false)</f>
        <v>ZSI1_ROD_EYE</v>
      </c>
      <c r="H13165" s="63" t="str">
        <f>IFERROR(__xludf.DUMMYFUNCTION("VLOOKUP(F13165, IMPORTRANGE(""https://docs.google.com/spreadsheets/d/1Lhp9OU0JdFf_VYSMzH5lBcEaU4o8teT1piV-SNzShjg/edit?gid=554141278#gid=554141278"", ""'Char Def. - Attributes'!C20:C2242""), 1,false)"),"ALT_DENUM_UOM3")</f>
        <v>ALT_DENUM_UOM3</v>
      </c>
      <c r="I13165" s="136"/>
      <c r="R13165" s="63" t="str">
        <f t="shared" si="60"/>
        <v>ZSI1_ROD_EYEALT_DENUM_UOM3</v>
      </c>
    </row>
    <row r="13166" ht="15.75" customHeight="1">
      <c r="B13166" s="63">
        <f t="shared" si="1"/>
        <v>12</v>
      </c>
      <c r="C13166" s="135" t="s">
        <v>453</v>
      </c>
      <c r="D13166" s="161" t="s">
        <v>74</v>
      </c>
      <c r="E13166" s="135">
        <f t="shared" si="62"/>
        <v>23</v>
      </c>
      <c r="F13166" s="134" t="s">
        <v>3812</v>
      </c>
      <c r="G13166" s="63" t="str">
        <f>VLOOKUP(C13166, 'Class Def. - General Data'!$C$20:$C$1000,1,false)</f>
        <v>ZSI1_ROD_EYE</v>
      </c>
      <c r="H13166" s="63" t="str">
        <f>IFERROR(__xludf.DUMMYFUNCTION("VLOOKUP(F13166, IMPORTRANGE(""https://docs.google.com/spreadsheets/d/1Lhp9OU0JdFf_VYSMzH5lBcEaU4o8teT1piV-SNzShjg/edit?gid=554141278#gid=554141278"", ""'Char Def. - Attributes'!C20:C2242""), 1,false)"),"ALT_NUM_UOM3")</f>
        <v>ALT_NUM_UOM3</v>
      </c>
      <c r="I13166" s="136"/>
      <c r="R13166" s="63" t="str">
        <f t="shared" si="60"/>
        <v>ZSI1_ROD_EYEALT_NUM_UOM3</v>
      </c>
    </row>
    <row r="13167" ht="15.75" customHeight="1">
      <c r="B13167" s="63">
        <f t="shared" si="1"/>
        <v>12</v>
      </c>
      <c r="C13167" s="135" t="s">
        <v>453</v>
      </c>
      <c r="D13167" s="161" t="s">
        <v>74</v>
      </c>
      <c r="E13167" s="135">
        <f t="shared" si="62"/>
        <v>24</v>
      </c>
      <c r="F13167" s="134" t="s">
        <v>3813</v>
      </c>
      <c r="G13167" s="63" t="str">
        <f>VLOOKUP(C13167, 'Class Def. - General Data'!$C$20:$C$1000,1,false)</f>
        <v>ZSI1_ROD_EYE</v>
      </c>
      <c r="H13167" s="63" t="str">
        <f>IFERROR(__xludf.DUMMYFUNCTION("VLOOKUP(F13167, IMPORTRANGE(""https://docs.google.com/spreadsheets/d/1Lhp9OU0JdFf_VYSMzH5lBcEaU4o8teT1piV-SNzShjg/edit?gid=554141278#gid=554141278"", ""'Char Def. - Attributes'!C20:C2242""), 1,false)"),"ALT_UOM4_SIPI")</f>
        <v>ALT_UOM4_SIPI</v>
      </c>
      <c r="I13167" s="136"/>
      <c r="R13167" s="63" t="str">
        <f t="shared" si="60"/>
        <v>ZSI1_ROD_EYEALT_UOM4_SIPI</v>
      </c>
    </row>
    <row r="13168" ht="15.75" customHeight="1">
      <c r="B13168" s="63">
        <f t="shared" si="1"/>
        <v>12</v>
      </c>
      <c r="C13168" s="135" t="s">
        <v>453</v>
      </c>
      <c r="D13168" s="161" t="s">
        <v>74</v>
      </c>
      <c r="E13168" s="135">
        <f t="shared" si="62"/>
        <v>25</v>
      </c>
      <c r="F13168" s="134" t="s">
        <v>3814</v>
      </c>
      <c r="G13168" s="63" t="str">
        <f>VLOOKUP(C13168, 'Class Def. - General Data'!$C$20:$C$1000,1,false)</f>
        <v>ZSI1_ROD_EYE</v>
      </c>
      <c r="H13168" s="63" t="str">
        <f>IFERROR(__xludf.DUMMYFUNCTION("VLOOKUP(F13168, IMPORTRANGE(""https://docs.google.com/spreadsheets/d/1Lhp9OU0JdFf_VYSMzH5lBcEaU4o8teT1piV-SNzShjg/edit?gid=554141278#gid=554141278"", ""'Char Def. - Attributes'!C20:C2242""), 1,false)"),"ALT_DENUM_UOM4")</f>
        <v>ALT_DENUM_UOM4</v>
      </c>
      <c r="I13168" s="136"/>
      <c r="R13168" s="63" t="str">
        <f t="shared" si="60"/>
        <v>ZSI1_ROD_EYEALT_DENUM_UOM4</v>
      </c>
    </row>
    <row r="13169" ht="15.75" customHeight="1">
      <c r="B13169" s="63">
        <f t="shared" si="1"/>
        <v>12</v>
      </c>
      <c r="C13169" s="135" t="s">
        <v>453</v>
      </c>
      <c r="D13169" s="161" t="s">
        <v>74</v>
      </c>
      <c r="E13169" s="135">
        <f t="shared" si="62"/>
        <v>26</v>
      </c>
      <c r="F13169" s="134" t="s">
        <v>3815</v>
      </c>
      <c r="G13169" s="63" t="str">
        <f>VLOOKUP(C13169, 'Class Def. - General Data'!$C$20:$C$1000,1,false)</f>
        <v>ZSI1_ROD_EYE</v>
      </c>
      <c r="H13169" s="63" t="str">
        <f>IFERROR(__xludf.DUMMYFUNCTION("VLOOKUP(F13169, IMPORTRANGE(""https://docs.google.com/spreadsheets/d/1Lhp9OU0JdFf_VYSMzH5lBcEaU4o8teT1piV-SNzShjg/edit?gid=554141278#gid=554141278"", ""'Char Def. - Attributes'!C20:C2242""), 1,false)"),"ALT_NUM_UOM4")</f>
        <v>ALT_NUM_UOM4</v>
      </c>
      <c r="I13169" s="136"/>
      <c r="R13169" s="63" t="str">
        <f t="shared" si="60"/>
        <v>ZSI1_ROD_EYEALT_NUM_UOM4</v>
      </c>
    </row>
    <row r="13170" ht="15.75" customHeight="1">
      <c r="B13170" s="63">
        <f t="shared" si="1"/>
        <v>12</v>
      </c>
      <c r="C13170" s="135" t="s">
        <v>453</v>
      </c>
      <c r="D13170" s="161" t="s">
        <v>74</v>
      </c>
      <c r="E13170" s="135">
        <f t="shared" si="62"/>
        <v>27</v>
      </c>
      <c r="F13170" s="134" t="s">
        <v>3816</v>
      </c>
      <c r="G13170" s="63" t="str">
        <f>VLOOKUP(C13170, 'Class Def. - General Data'!$C$20:$C$1000,1,false)</f>
        <v>ZSI1_ROD_EYE</v>
      </c>
      <c r="H13170" s="63" t="str">
        <f>IFERROR(__xludf.DUMMYFUNCTION("VLOOKUP(F13170, IMPORTRANGE(""https://docs.google.com/spreadsheets/d/1Lhp9OU0JdFf_VYSMzH5lBcEaU4o8teT1piV-SNzShjg/edit?gid=554141278#gid=554141278"", ""'Char Def. - Attributes'!C20:C2242""), 1,false)"),"ALT_UOM5_SIPI")</f>
        <v>ALT_UOM5_SIPI</v>
      </c>
      <c r="I13170" s="136"/>
      <c r="R13170" s="63" t="str">
        <f t="shared" si="60"/>
        <v>ZSI1_ROD_EYEALT_UOM5_SIPI</v>
      </c>
    </row>
    <row r="13171" ht="15.75" customHeight="1">
      <c r="B13171" s="63">
        <f t="shared" si="1"/>
        <v>12</v>
      </c>
      <c r="C13171" s="135" t="s">
        <v>453</v>
      </c>
      <c r="D13171" s="161" t="s">
        <v>74</v>
      </c>
      <c r="E13171" s="135">
        <f t="shared" si="62"/>
        <v>28</v>
      </c>
      <c r="F13171" s="134" t="s">
        <v>3817</v>
      </c>
      <c r="G13171" s="63" t="str">
        <f>VLOOKUP(C13171, 'Class Def. - General Data'!$C$20:$C$1000,1,false)</f>
        <v>ZSI1_ROD_EYE</v>
      </c>
      <c r="H13171" s="63" t="str">
        <f>IFERROR(__xludf.DUMMYFUNCTION("VLOOKUP(F13171, IMPORTRANGE(""https://docs.google.com/spreadsheets/d/1Lhp9OU0JdFf_VYSMzH5lBcEaU4o8teT1piV-SNzShjg/edit?gid=554141278#gid=554141278"", ""'Char Def. - Attributes'!C20:C2242""), 1,false)"),"ALT_DENUM_UOM5")</f>
        <v>ALT_DENUM_UOM5</v>
      </c>
      <c r="I13171" s="136"/>
      <c r="R13171" s="63" t="str">
        <f t="shared" si="60"/>
        <v>ZSI1_ROD_EYEALT_DENUM_UOM5</v>
      </c>
    </row>
    <row r="13172" ht="15.75" customHeight="1">
      <c r="B13172" s="63">
        <f t="shared" si="1"/>
        <v>12</v>
      </c>
      <c r="C13172" s="135" t="s">
        <v>453</v>
      </c>
      <c r="D13172" s="161" t="s">
        <v>74</v>
      </c>
      <c r="E13172" s="135">
        <f t="shared" si="62"/>
        <v>29</v>
      </c>
      <c r="F13172" s="134" t="s">
        <v>3818</v>
      </c>
      <c r="G13172" s="63" t="str">
        <f>VLOOKUP(C13172, 'Class Def. - General Data'!$C$20:$C$1000,1,false)</f>
        <v>ZSI1_ROD_EYE</v>
      </c>
      <c r="H13172" s="63" t="str">
        <f>IFERROR(__xludf.DUMMYFUNCTION("VLOOKUP(F13172, IMPORTRANGE(""https://docs.google.com/spreadsheets/d/1Lhp9OU0JdFf_VYSMzH5lBcEaU4o8teT1piV-SNzShjg/edit?gid=554141278#gid=554141278"", ""'Char Def. - Attributes'!C20:C2242""), 1,false)"),"ALT_NUM_UOM5")</f>
        <v>ALT_NUM_UOM5</v>
      </c>
      <c r="I13172" s="136"/>
      <c r="R13172" s="63" t="str">
        <f t="shared" si="60"/>
        <v>ZSI1_ROD_EYEALT_NUM_UOM5</v>
      </c>
    </row>
    <row r="13173" ht="15.75" customHeight="1">
      <c r="B13173" s="63">
        <f t="shared" si="1"/>
        <v>16</v>
      </c>
      <c r="C13173" s="135" t="s">
        <v>454</v>
      </c>
      <c r="D13173" s="161" t="s">
        <v>74</v>
      </c>
      <c r="E13173" s="135">
        <f t="shared" si="62"/>
        <v>1</v>
      </c>
      <c r="F13173" s="134" t="s">
        <v>5329</v>
      </c>
      <c r="G13173" s="63" t="str">
        <f>VLOOKUP(C13173, 'Class Def. - General Data'!$C$20:$C$1000,1,false)</f>
        <v>ZSI1_RODA_CASTER</v>
      </c>
      <c r="H13173" s="63" t="str">
        <f>IFERROR(__xludf.DUMMYFUNCTION("VLOOKUP(F13173, IMPORTRANGE(""https://docs.google.com/spreadsheets/d/1Lhp9OU0JdFf_VYSMzH5lBcEaU4o8teT1piV-SNzShjg/edit?gid=554141278#gid=554141278"", ""'Char Def. - Attributes'!C20:C2242""), 1,false)"),"ITEM_NAME_RODA_CASTER")</f>
        <v>ITEM_NAME_RODA_CASTER</v>
      </c>
      <c r="I13173" s="136"/>
      <c r="R13173" s="63" t="str">
        <f t="shared" si="60"/>
        <v>ZSI1_RODA_CASTERITEM_NAME_RODA_CASTER</v>
      </c>
    </row>
    <row r="13174" ht="15.75" customHeight="1">
      <c r="B13174" s="63">
        <f t="shared" si="1"/>
        <v>16</v>
      </c>
      <c r="C13174" s="135" t="s">
        <v>454</v>
      </c>
      <c r="D13174" s="161" t="s">
        <v>74</v>
      </c>
      <c r="E13174" s="135">
        <f t="shared" si="62"/>
        <v>2</v>
      </c>
      <c r="F13174" s="134" t="s">
        <v>5330</v>
      </c>
      <c r="G13174" s="63" t="str">
        <f>VLOOKUP(C13174, 'Class Def. - General Data'!$C$20:$C$1000,1,false)</f>
        <v>ZSI1_RODA_CASTER</v>
      </c>
      <c r="H13174" s="63" t="str">
        <f>IFERROR(__xludf.DUMMYFUNCTION("VLOOKUP(F13174, IMPORTRANGE(""https://docs.google.com/spreadsheets/d/1Lhp9OU0JdFf_VYSMzH5lBcEaU4o8teT1piV-SNzShjg/edit?gid=554141278#gid=554141278"", ""'Char Def. - Attributes'!C20:C2242""), 1,false)"),"MATERIAL_RODA_CASTER")</f>
        <v>MATERIAL_RODA_CASTER</v>
      </c>
      <c r="I13174" s="136"/>
      <c r="R13174" s="63" t="str">
        <f t="shared" si="60"/>
        <v>ZSI1_RODA_CASTERMATERIAL_RODA_CASTER</v>
      </c>
    </row>
    <row r="13175" ht="15.75" customHeight="1">
      <c r="B13175" s="63">
        <f t="shared" si="1"/>
        <v>16</v>
      </c>
      <c r="C13175" s="135" t="s">
        <v>454</v>
      </c>
      <c r="D13175" s="161" t="s">
        <v>74</v>
      </c>
      <c r="E13175" s="135">
        <f t="shared" si="62"/>
        <v>3</v>
      </c>
      <c r="F13175" s="134" t="s">
        <v>5331</v>
      </c>
      <c r="G13175" s="63" t="str">
        <f>VLOOKUP(C13175, 'Class Def. - General Data'!$C$20:$C$1000,1,false)</f>
        <v>ZSI1_RODA_CASTER</v>
      </c>
      <c r="H13175" s="63" t="str">
        <f>IFERROR(__xludf.DUMMYFUNCTION("VLOOKUP(F13175, IMPORTRANGE(""https://docs.google.com/spreadsheets/d/1Lhp9OU0JdFf_VYSMzH5lBcEaU4o8teT1piV-SNzShjg/edit?gid=554141278#gid=554141278"", ""'Char Def. - Attributes'!C20:C2242""), 1,false)"),"HOUSING_TYPE_RODA_CASTER")</f>
        <v>HOUSING_TYPE_RODA_CASTER</v>
      </c>
      <c r="I13175" s="136"/>
      <c r="R13175" s="63" t="str">
        <f t="shared" si="60"/>
        <v>ZSI1_RODA_CASTERHOUSING_TYPE_RODA_CASTER</v>
      </c>
    </row>
    <row r="13176" ht="15.75" customHeight="1">
      <c r="B13176" s="63">
        <f t="shared" si="1"/>
        <v>16</v>
      </c>
      <c r="C13176" s="135" t="s">
        <v>454</v>
      </c>
      <c r="D13176" s="161" t="s">
        <v>74</v>
      </c>
      <c r="E13176" s="135">
        <f t="shared" si="62"/>
        <v>4</v>
      </c>
      <c r="F13176" s="134" t="s">
        <v>5332</v>
      </c>
      <c r="G13176" s="63" t="str">
        <f>VLOOKUP(C13176, 'Class Def. - General Data'!$C$20:$C$1000,1,false)</f>
        <v>ZSI1_RODA_CASTER</v>
      </c>
      <c r="H13176" s="63" t="str">
        <f>IFERROR(__xludf.DUMMYFUNCTION("VLOOKUP(F13176, IMPORTRANGE(""https://docs.google.com/spreadsheets/d/1Lhp9OU0JdFf_VYSMzH5lBcEaU4o8teT1piV-SNzShjg/edit?gid=554141278#gid=554141278"", ""'Char Def. - Attributes'!C20:C2242""), 1,false)"),"DIAMETER_DIMENSION_RODA_CASTER")</f>
        <v>DIAMETER_DIMENSION_RODA_CASTER</v>
      </c>
      <c r="I13176" s="136"/>
      <c r="R13176" s="63" t="str">
        <f t="shared" si="60"/>
        <v>ZSI1_RODA_CASTERDIAMETER_DIMENSION_RODA_CASTER</v>
      </c>
    </row>
    <row r="13177" ht="15.75" customHeight="1">
      <c r="B13177" s="63">
        <f t="shared" si="1"/>
        <v>16</v>
      </c>
      <c r="C13177" s="135" t="s">
        <v>454</v>
      </c>
      <c r="D13177" s="161" t="s">
        <v>74</v>
      </c>
      <c r="E13177" s="135">
        <f t="shared" si="62"/>
        <v>5</v>
      </c>
      <c r="F13177" s="134" t="s">
        <v>5333</v>
      </c>
      <c r="G13177" s="63" t="str">
        <f>VLOOKUP(C13177, 'Class Def. - General Data'!$C$20:$C$1000,1,false)</f>
        <v>ZSI1_RODA_CASTER</v>
      </c>
      <c r="H13177" s="63" t="str">
        <f>IFERROR(__xludf.DUMMYFUNCTION("VLOOKUP(F13177, IMPORTRANGE(""https://docs.google.com/spreadsheets/d/1Lhp9OU0JdFf_VYSMzH5lBcEaU4o8teT1piV-SNzShjg/edit?gid=554141278#gid=554141278"", ""'Char Def. - Attributes'!C20:C2242""), 1,false)"),"DIAMETER_INCH_RODA_CASTER")</f>
        <v>DIAMETER_INCH_RODA_CASTER</v>
      </c>
      <c r="I13177" s="136"/>
      <c r="R13177" s="63" t="str">
        <f t="shared" si="60"/>
        <v>ZSI1_RODA_CASTERDIAMETER_INCH_RODA_CASTER</v>
      </c>
    </row>
    <row r="13178" ht="15.75" customHeight="1">
      <c r="B13178" s="63">
        <f t="shared" si="1"/>
        <v>16</v>
      </c>
      <c r="C13178" s="135" t="s">
        <v>454</v>
      </c>
      <c r="D13178" s="161" t="s">
        <v>74</v>
      </c>
      <c r="E13178" s="135">
        <f t="shared" si="62"/>
        <v>6</v>
      </c>
      <c r="F13178" s="134" t="s">
        <v>5334</v>
      </c>
      <c r="G13178" s="63" t="str">
        <f>VLOOKUP(C13178, 'Class Def. - General Data'!$C$20:$C$1000,1,false)</f>
        <v>ZSI1_RODA_CASTER</v>
      </c>
      <c r="H13178" s="63" t="str">
        <f>IFERROR(__xludf.DUMMYFUNCTION("VLOOKUP(F13178, IMPORTRANGE(""https://docs.google.com/spreadsheets/d/1Lhp9OU0JdFf_VYSMzH5lBcEaU4o8teT1piV-SNzShjg/edit?gid=554141278#gid=554141278"", ""'Char Def. - Attributes'!C20:C2242""), 1,false)"),"DIAMETER_MM_RODA_CASTER")</f>
        <v>DIAMETER_MM_RODA_CASTER</v>
      </c>
      <c r="I13178" s="136"/>
      <c r="R13178" s="63" t="str">
        <f t="shared" si="60"/>
        <v>ZSI1_RODA_CASTERDIAMETER_MM_RODA_CASTER</v>
      </c>
    </row>
    <row r="13179" ht="15.75" customHeight="1">
      <c r="B13179" s="63">
        <f t="shared" si="1"/>
        <v>16</v>
      </c>
      <c r="C13179" s="135" t="s">
        <v>454</v>
      </c>
      <c r="D13179" s="161" t="s">
        <v>74</v>
      </c>
      <c r="E13179" s="135">
        <f t="shared" si="62"/>
        <v>7</v>
      </c>
      <c r="F13179" s="134" t="s">
        <v>4062</v>
      </c>
      <c r="G13179" s="63" t="str">
        <f>VLOOKUP(C13179, 'Class Def. - General Data'!$C$20:$C$1000,1,false)</f>
        <v>ZSI1_RODA_CASTER</v>
      </c>
      <c r="H13179" s="63" t="str">
        <f>IFERROR(__xludf.DUMMYFUNCTION("VLOOKUP(F13179, IMPORTRANGE(""https://docs.google.com/spreadsheets/d/1Lhp9OU0JdFf_VYSMzH5lBcEaU4o8teT1piV-SNzShjg/edit?gid=554141278#gid=554141278"", ""'Char Def. - Attributes'!C20:C2242""), 1,false)"),"#N/A")</f>
        <v>#N/A</v>
      </c>
      <c r="I13179" s="136"/>
      <c r="R13179" s="63" t="str">
        <f t="shared" si="60"/>
        <v>ZSI1_RODA_CASTERADDTIONAL_SPECIFICATION</v>
      </c>
    </row>
    <row r="13180" ht="15.75" customHeight="1">
      <c r="B13180" s="63">
        <f t="shared" si="1"/>
        <v>16</v>
      </c>
      <c r="C13180" s="135" t="s">
        <v>454</v>
      </c>
      <c r="D13180" s="161" t="s">
        <v>74</v>
      </c>
      <c r="E13180" s="135">
        <f t="shared" si="62"/>
        <v>8</v>
      </c>
      <c r="F13180" s="134" t="s">
        <v>3585</v>
      </c>
      <c r="G13180" s="63" t="str">
        <f>VLOOKUP(C13180, 'Class Def. - General Data'!$C$20:$C$1000,1,false)</f>
        <v>ZSI1_RODA_CASTER</v>
      </c>
      <c r="H13180" s="63" t="str">
        <f>IFERROR(__xludf.DUMMYFUNCTION("VLOOKUP(F13180, IMPORTRANGE(""https://docs.google.com/spreadsheets/d/1Lhp9OU0JdFf_VYSMzH5lBcEaU4o8teT1piV-SNzShjg/edit?gid=554141278#gid=554141278"", ""'Char Def. - Attributes'!C20:C2242""), 1,false)"),"HS_CODE")</f>
        <v>HS_CODE</v>
      </c>
      <c r="I13180" s="136"/>
      <c r="R13180" s="63" t="str">
        <f t="shared" si="60"/>
        <v>ZSI1_RODA_CASTERHS_CODE</v>
      </c>
    </row>
    <row r="13181" ht="15.75" customHeight="1">
      <c r="B13181" s="63">
        <f t="shared" si="1"/>
        <v>16</v>
      </c>
      <c r="C13181" s="135" t="s">
        <v>454</v>
      </c>
      <c r="D13181" s="161" t="s">
        <v>74</v>
      </c>
      <c r="E13181" s="135">
        <f t="shared" si="62"/>
        <v>9</v>
      </c>
      <c r="F13181" s="134" t="s">
        <v>3587</v>
      </c>
      <c r="G13181" s="63" t="str">
        <f>VLOOKUP(C13181, 'Class Def. - General Data'!$C$20:$C$1000,1,false)</f>
        <v>ZSI1_RODA_CASTER</v>
      </c>
      <c r="H13181" s="63" t="str">
        <f>IFERROR(__xludf.DUMMYFUNCTION("VLOOKUP(F13181, IMPORTRANGE(""https://docs.google.com/spreadsheets/d/1Lhp9OU0JdFf_VYSMzH5lBcEaU4o8teT1piV-SNzShjg/edit?gid=554141278#gid=554141278"", ""'Char Def. - Attributes'!C20:C2242""), 1,false)"),"PLANT_BUY")</f>
        <v>PLANT_BUY</v>
      </c>
      <c r="I13181" s="136"/>
      <c r="R13181" s="63" t="str">
        <f t="shared" si="60"/>
        <v>ZSI1_RODA_CASTERPLANT_BUY</v>
      </c>
    </row>
    <row r="13182" ht="15.75" customHeight="1">
      <c r="B13182" s="63">
        <f t="shared" si="1"/>
        <v>16</v>
      </c>
      <c r="C13182" s="135" t="s">
        <v>454</v>
      </c>
      <c r="D13182" s="161" t="s">
        <v>74</v>
      </c>
      <c r="E13182" s="135">
        <f t="shared" si="62"/>
        <v>10</v>
      </c>
      <c r="F13182" s="134" t="s">
        <v>5335</v>
      </c>
      <c r="G13182" s="63" t="str">
        <f>VLOOKUP(C13182, 'Class Def. - General Data'!$C$20:$C$1000,1,false)</f>
        <v>ZSI1_RODA_CASTER</v>
      </c>
      <c r="H13182" s="63" t="str">
        <f>IFERROR(__xludf.DUMMYFUNCTION("VLOOKUP(F13182, IMPORTRANGE(""https://docs.google.com/spreadsheets/d/1Lhp9OU0JdFf_VYSMzH5lBcEaU4o8teT1piV-SNzShjg/edit?gid=554141278#gid=554141278"", ""'Char Def. - Attributes'!C20:C2242""), 1,false)"),"BASE_UOM_RODA_CASTER")</f>
        <v>BASE_UOM_RODA_CASTER</v>
      </c>
      <c r="I13182" s="136"/>
      <c r="R13182" s="63" t="str">
        <f t="shared" si="60"/>
        <v>ZSI1_RODA_CASTERBASE_UOM_RODA_CASTER</v>
      </c>
    </row>
    <row r="13183" ht="15.75" customHeight="1">
      <c r="B13183" s="63">
        <f t="shared" si="1"/>
        <v>16</v>
      </c>
      <c r="C13183" s="135" t="s">
        <v>454</v>
      </c>
      <c r="D13183" s="161" t="s">
        <v>74</v>
      </c>
      <c r="E13183" s="135">
        <f t="shared" si="62"/>
        <v>11</v>
      </c>
      <c r="F13183" s="134" t="s">
        <v>5336</v>
      </c>
      <c r="G13183" s="63" t="str">
        <f>VLOOKUP(C13183, 'Class Def. - General Data'!$C$20:$C$1000,1,false)</f>
        <v>ZSI1_RODA_CASTER</v>
      </c>
      <c r="H13183" s="63" t="str">
        <f>IFERROR(__xludf.DUMMYFUNCTION("VLOOKUP(F13183, IMPORTRANGE(""https://docs.google.com/spreadsheets/d/1Lhp9OU0JdFf_VYSMzH5lBcEaU4o8teT1piV-SNzShjg/edit?gid=554141278#gid=554141278"", ""'Char Def. - Attributes'!C20:C2242""), 1,false)"),"ORDER_UNIT_RODA_CASTER")</f>
        <v>ORDER_UNIT_RODA_CASTER</v>
      </c>
      <c r="I13183" s="136"/>
      <c r="R13183" s="63" t="str">
        <f t="shared" si="60"/>
        <v>ZSI1_RODA_CASTERORDER_UNIT_RODA_CASTER</v>
      </c>
    </row>
    <row r="13184" ht="15.75" customHeight="1">
      <c r="B13184" s="63">
        <f t="shared" si="1"/>
        <v>16</v>
      </c>
      <c r="C13184" s="135" t="s">
        <v>454</v>
      </c>
      <c r="D13184" s="161" t="s">
        <v>74</v>
      </c>
      <c r="E13184" s="135">
        <f t="shared" si="62"/>
        <v>12</v>
      </c>
      <c r="F13184" s="134" t="s">
        <v>4056</v>
      </c>
      <c r="G13184" s="63" t="str">
        <f>VLOOKUP(C13184, 'Class Def. - General Data'!$C$20:$C$1000,1,false)</f>
        <v>ZSI1_RODA_CASTER</v>
      </c>
      <c r="H13184" s="63" t="str">
        <f>IFERROR(__xludf.DUMMYFUNCTION("VLOOKUP(F13184, IMPORTRANGE(""https://docs.google.com/spreadsheets/d/1Lhp9OU0JdFf_VYSMzH5lBcEaU4o8teT1piV-SNzShjg/edit?gid=554141278#gid=554141278"", ""'Char Def. - Attributes'!C20:C2242""), 1,false)"),"GROSS_WEIGHT_OPT")</f>
        <v>GROSS_WEIGHT_OPT</v>
      </c>
      <c r="I13184" s="136"/>
      <c r="R13184" s="63" t="str">
        <f t="shared" si="60"/>
        <v>ZSI1_RODA_CASTERGROSS_WEIGHT_OPT</v>
      </c>
    </row>
    <row r="13185" ht="15.75" customHeight="1">
      <c r="B13185" s="63">
        <f t="shared" si="1"/>
        <v>16</v>
      </c>
      <c r="C13185" s="135" t="s">
        <v>454</v>
      </c>
      <c r="D13185" s="161" t="s">
        <v>74</v>
      </c>
      <c r="E13185" s="135">
        <f t="shared" si="62"/>
        <v>13</v>
      </c>
      <c r="F13185" s="134" t="s">
        <v>4057</v>
      </c>
      <c r="G13185" s="63" t="str">
        <f>VLOOKUP(C13185, 'Class Def. - General Data'!$C$20:$C$1000,1,false)</f>
        <v>ZSI1_RODA_CASTER</v>
      </c>
      <c r="H13185" s="63" t="str">
        <f>IFERROR(__xludf.DUMMYFUNCTION("VLOOKUP(F13185, IMPORTRANGE(""https://docs.google.com/spreadsheets/d/1Lhp9OU0JdFf_VYSMzH5lBcEaU4o8teT1piV-SNzShjg/edit?gid=554141278#gid=554141278"", ""'Char Def. - Attributes'!C20:C2242""), 1,false)"),"NET_WEIGHT_OPT")</f>
        <v>NET_WEIGHT_OPT</v>
      </c>
      <c r="I13185" s="136"/>
      <c r="R13185" s="63" t="str">
        <f t="shared" si="60"/>
        <v>ZSI1_RODA_CASTERNET_WEIGHT_OPT</v>
      </c>
    </row>
    <row r="13186" ht="15.75" customHeight="1">
      <c r="B13186" s="63">
        <f t="shared" si="1"/>
        <v>16</v>
      </c>
      <c r="C13186" s="135" t="s">
        <v>454</v>
      </c>
      <c r="D13186" s="161" t="s">
        <v>74</v>
      </c>
      <c r="E13186" s="135">
        <f t="shared" si="62"/>
        <v>14</v>
      </c>
      <c r="F13186" s="134" t="s">
        <v>4058</v>
      </c>
      <c r="G13186" s="63" t="str">
        <f>VLOOKUP(C13186, 'Class Def. - General Data'!$C$20:$C$1000,1,false)</f>
        <v>ZSI1_RODA_CASTER</v>
      </c>
      <c r="H13186" s="63" t="str">
        <f>IFERROR(__xludf.DUMMYFUNCTION("VLOOKUP(F13186, IMPORTRANGE(""https://docs.google.com/spreadsheets/d/1Lhp9OU0JdFf_VYSMzH5lBcEaU4o8teT1piV-SNzShjg/edit?gid=554141278#gid=554141278"", ""'Char Def. - Attributes'!C20:C2242""), 1,false)"),"WEIGHT_UNIT_SI")</f>
        <v>WEIGHT_UNIT_SI</v>
      </c>
      <c r="I13186" s="136"/>
      <c r="R13186" s="63" t="str">
        <f t="shared" si="60"/>
        <v>ZSI1_RODA_CASTERWEIGHT_UNIT_SI</v>
      </c>
    </row>
    <row r="13187" ht="15.75" customHeight="1">
      <c r="B13187" s="63">
        <f t="shared" si="1"/>
        <v>16</v>
      </c>
      <c r="C13187" s="135" t="s">
        <v>454</v>
      </c>
      <c r="D13187" s="161" t="s">
        <v>74</v>
      </c>
      <c r="E13187" s="135">
        <f t="shared" si="62"/>
        <v>15</v>
      </c>
      <c r="F13187" s="134" t="s">
        <v>3877</v>
      </c>
      <c r="G13187" s="63" t="str">
        <f>VLOOKUP(C13187, 'Class Def. - General Data'!$C$20:$C$1000,1,false)</f>
        <v>ZSI1_RODA_CASTER</v>
      </c>
      <c r="H13187" s="63" t="str">
        <f>IFERROR(__xludf.DUMMYFUNCTION("VLOOKUP(F13187, IMPORTRANGE(""https://docs.google.com/spreadsheets/d/1Lhp9OU0JdFf_VYSMzH5lBcEaU4o8teT1piV-SNzShjg/edit?gid=554141278#gid=554141278"", ""'Char Def. - Attributes'!C20:C2242""), 1,false)"),"VOLUME_OPT")</f>
        <v>VOLUME_OPT</v>
      </c>
      <c r="I13187" s="136"/>
      <c r="R13187" s="63" t="str">
        <f t="shared" si="60"/>
        <v>ZSI1_RODA_CASTERVOLUME_OPT</v>
      </c>
    </row>
    <row r="13188" ht="15.75" customHeight="1">
      <c r="B13188" s="63">
        <f t="shared" si="1"/>
        <v>16</v>
      </c>
      <c r="C13188" s="135" t="s">
        <v>454</v>
      </c>
      <c r="D13188" s="161" t="s">
        <v>74</v>
      </c>
      <c r="E13188" s="135">
        <f t="shared" si="62"/>
        <v>16</v>
      </c>
      <c r="F13188" s="134" t="s">
        <v>4059</v>
      </c>
      <c r="G13188" s="63" t="str">
        <f>VLOOKUP(C13188, 'Class Def. - General Data'!$C$20:$C$1000,1,false)</f>
        <v>ZSI1_RODA_CASTER</v>
      </c>
      <c r="H13188" s="63" t="str">
        <f>IFERROR(__xludf.DUMMYFUNCTION("VLOOKUP(F13188, IMPORTRANGE(""https://docs.google.com/spreadsheets/d/1Lhp9OU0JdFf_VYSMzH5lBcEaU4o8teT1piV-SNzShjg/edit?gid=554141278#gid=554141278"", ""'Char Def. - Attributes'!C20:C2242""), 1,false)"),"VOLUME_UNIT_SI")</f>
        <v>VOLUME_UNIT_SI</v>
      </c>
      <c r="I13188" s="136"/>
      <c r="R13188" s="63" t="str">
        <f t="shared" si="60"/>
        <v>ZSI1_RODA_CASTERVOLUME_UNIT_SI</v>
      </c>
    </row>
    <row r="13189" ht="15.75" customHeight="1">
      <c r="B13189" s="63">
        <f t="shared" si="1"/>
        <v>16</v>
      </c>
      <c r="C13189" s="135" t="s">
        <v>454</v>
      </c>
      <c r="D13189" s="161" t="s">
        <v>74</v>
      </c>
      <c r="E13189" s="135">
        <f t="shared" si="62"/>
        <v>17</v>
      </c>
      <c r="F13189" s="134" t="s">
        <v>3804</v>
      </c>
      <c r="G13189" s="63" t="str">
        <f>VLOOKUP(C13189, 'Class Def. - General Data'!$C$20:$C$1000,1,false)</f>
        <v>ZSI1_RODA_CASTER</v>
      </c>
      <c r="H13189" s="63" t="str">
        <f>IFERROR(__xludf.DUMMYFUNCTION("VLOOKUP(F13189, IMPORTRANGE(""https://docs.google.com/spreadsheets/d/1Lhp9OU0JdFf_VYSMzH5lBcEaU4o8teT1piV-SNzShjg/edit?gid=554141278#gid=554141278"", ""'Char Def. - Attributes'!C20:C2242""), 1,false)"),"ALT_UOM1_SIPI")</f>
        <v>ALT_UOM1_SIPI</v>
      </c>
      <c r="I13189" s="136"/>
      <c r="R13189" s="63" t="str">
        <f t="shared" si="60"/>
        <v>ZSI1_RODA_CASTERALT_UOM1_SIPI</v>
      </c>
    </row>
    <row r="13190" ht="15.75" customHeight="1">
      <c r="B13190" s="63">
        <f t="shared" si="1"/>
        <v>16</v>
      </c>
      <c r="C13190" s="135" t="s">
        <v>454</v>
      </c>
      <c r="D13190" s="161" t="s">
        <v>74</v>
      </c>
      <c r="E13190" s="135">
        <f t="shared" si="62"/>
        <v>18</v>
      </c>
      <c r="F13190" s="134" t="s">
        <v>3805</v>
      </c>
      <c r="G13190" s="63" t="str">
        <f>VLOOKUP(C13190, 'Class Def. - General Data'!$C$20:$C$1000,1,false)</f>
        <v>ZSI1_RODA_CASTER</v>
      </c>
      <c r="H13190" s="63" t="str">
        <f>IFERROR(__xludf.DUMMYFUNCTION("VLOOKUP(F13190, IMPORTRANGE(""https://docs.google.com/spreadsheets/d/1Lhp9OU0JdFf_VYSMzH5lBcEaU4o8teT1piV-SNzShjg/edit?gid=554141278#gid=554141278"", ""'Char Def. - Attributes'!C20:C2242""), 1,false)"),"ALT_DENUM_UOM1")</f>
        <v>ALT_DENUM_UOM1</v>
      </c>
      <c r="I13190" s="136"/>
      <c r="R13190" s="63" t="str">
        <f t="shared" si="60"/>
        <v>ZSI1_RODA_CASTERALT_DENUM_UOM1</v>
      </c>
    </row>
    <row r="13191" ht="15.75" customHeight="1">
      <c r="B13191" s="63">
        <f t="shared" si="1"/>
        <v>16</v>
      </c>
      <c r="C13191" s="135" t="s">
        <v>454</v>
      </c>
      <c r="D13191" s="161" t="s">
        <v>74</v>
      </c>
      <c r="E13191" s="135">
        <f t="shared" si="62"/>
        <v>19</v>
      </c>
      <c r="F13191" s="134" t="s">
        <v>3806</v>
      </c>
      <c r="G13191" s="63" t="str">
        <f>VLOOKUP(C13191, 'Class Def. - General Data'!$C$20:$C$1000,1,false)</f>
        <v>ZSI1_RODA_CASTER</v>
      </c>
      <c r="H13191" s="63" t="str">
        <f>IFERROR(__xludf.DUMMYFUNCTION("VLOOKUP(F13191, IMPORTRANGE(""https://docs.google.com/spreadsheets/d/1Lhp9OU0JdFf_VYSMzH5lBcEaU4o8teT1piV-SNzShjg/edit?gid=554141278#gid=554141278"", ""'Char Def. - Attributes'!C20:C2242""), 1,false)"),"ALT_NUM_UOM1")</f>
        <v>ALT_NUM_UOM1</v>
      </c>
      <c r="I13191" s="136"/>
      <c r="R13191" s="63" t="str">
        <f t="shared" si="60"/>
        <v>ZSI1_RODA_CASTERALT_NUM_UOM1</v>
      </c>
    </row>
    <row r="13192" ht="15.75" customHeight="1">
      <c r="B13192" s="63">
        <f t="shared" si="1"/>
        <v>16</v>
      </c>
      <c r="C13192" s="135" t="s">
        <v>454</v>
      </c>
      <c r="D13192" s="161" t="s">
        <v>74</v>
      </c>
      <c r="E13192" s="135">
        <f t="shared" si="62"/>
        <v>20</v>
      </c>
      <c r="F13192" s="134" t="s">
        <v>3807</v>
      </c>
      <c r="G13192" s="63" t="str">
        <f>VLOOKUP(C13192, 'Class Def. - General Data'!$C$20:$C$1000,1,false)</f>
        <v>ZSI1_RODA_CASTER</v>
      </c>
      <c r="H13192" s="63" t="str">
        <f>IFERROR(__xludf.DUMMYFUNCTION("VLOOKUP(F13192, IMPORTRANGE(""https://docs.google.com/spreadsheets/d/1Lhp9OU0JdFf_VYSMzH5lBcEaU4o8teT1piV-SNzShjg/edit?gid=554141278#gid=554141278"", ""'Char Def. - Attributes'!C20:C2242""), 1,false)"),"ALT_UOM2_SIPI")</f>
        <v>ALT_UOM2_SIPI</v>
      </c>
      <c r="I13192" s="136"/>
      <c r="R13192" s="63" t="str">
        <f t="shared" si="60"/>
        <v>ZSI1_RODA_CASTERALT_UOM2_SIPI</v>
      </c>
    </row>
    <row r="13193" ht="15.75" customHeight="1">
      <c r="B13193" s="63">
        <f t="shared" si="1"/>
        <v>16</v>
      </c>
      <c r="C13193" s="135" t="s">
        <v>454</v>
      </c>
      <c r="D13193" s="161" t="s">
        <v>74</v>
      </c>
      <c r="E13193" s="135">
        <f t="shared" si="62"/>
        <v>21</v>
      </c>
      <c r="F13193" s="134" t="s">
        <v>3808</v>
      </c>
      <c r="G13193" s="63" t="str">
        <f>VLOOKUP(C13193, 'Class Def. - General Data'!$C$20:$C$1000,1,false)</f>
        <v>ZSI1_RODA_CASTER</v>
      </c>
      <c r="H13193" s="63" t="str">
        <f>IFERROR(__xludf.DUMMYFUNCTION("VLOOKUP(F13193, IMPORTRANGE(""https://docs.google.com/spreadsheets/d/1Lhp9OU0JdFf_VYSMzH5lBcEaU4o8teT1piV-SNzShjg/edit?gid=554141278#gid=554141278"", ""'Char Def. - Attributes'!C20:C2242""), 1,false)"),"ALT_DENUM_UOM2")</f>
        <v>ALT_DENUM_UOM2</v>
      </c>
      <c r="I13193" s="136"/>
      <c r="R13193" s="63" t="str">
        <f t="shared" si="60"/>
        <v>ZSI1_RODA_CASTERALT_DENUM_UOM2</v>
      </c>
    </row>
    <row r="13194" ht="15.75" customHeight="1">
      <c r="B13194" s="63">
        <f t="shared" si="1"/>
        <v>16</v>
      </c>
      <c r="C13194" s="135" t="s">
        <v>454</v>
      </c>
      <c r="D13194" s="161" t="s">
        <v>74</v>
      </c>
      <c r="E13194" s="135">
        <f t="shared" si="62"/>
        <v>22</v>
      </c>
      <c r="F13194" s="134" t="s">
        <v>3809</v>
      </c>
      <c r="G13194" s="63" t="str">
        <f>VLOOKUP(C13194, 'Class Def. - General Data'!$C$20:$C$1000,1,false)</f>
        <v>ZSI1_RODA_CASTER</v>
      </c>
      <c r="H13194" s="63" t="str">
        <f>IFERROR(__xludf.DUMMYFUNCTION("VLOOKUP(F13194, IMPORTRANGE(""https://docs.google.com/spreadsheets/d/1Lhp9OU0JdFf_VYSMzH5lBcEaU4o8teT1piV-SNzShjg/edit?gid=554141278#gid=554141278"", ""'Char Def. - Attributes'!C20:C2242""), 1,false)"),"ALT_NUM_UOM2")</f>
        <v>ALT_NUM_UOM2</v>
      </c>
      <c r="I13194" s="136"/>
      <c r="R13194" s="63" t="str">
        <f t="shared" si="60"/>
        <v>ZSI1_RODA_CASTERALT_NUM_UOM2</v>
      </c>
    </row>
    <row r="13195" ht="15.75" customHeight="1">
      <c r="B13195" s="63">
        <f t="shared" si="1"/>
        <v>16</v>
      </c>
      <c r="C13195" s="135" t="s">
        <v>454</v>
      </c>
      <c r="D13195" s="161" t="s">
        <v>74</v>
      </c>
      <c r="E13195" s="135">
        <f t="shared" si="62"/>
        <v>23</v>
      </c>
      <c r="F13195" s="134" t="s">
        <v>3810</v>
      </c>
      <c r="G13195" s="63" t="str">
        <f>VLOOKUP(C13195, 'Class Def. - General Data'!$C$20:$C$1000,1,false)</f>
        <v>ZSI1_RODA_CASTER</v>
      </c>
      <c r="H13195" s="63" t="str">
        <f>IFERROR(__xludf.DUMMYFUNCTION("VLOOKUP(F13195, IMPORTRANGE(""https://docs.google.com/spreadsheets/d/1Lhp9OU0JdFf_VYSMzH5lBcEaU4o8teT1piV-SNzShjg/edit?gid=554141278#gid=554141278"", ""'Char Def. - Attributes'!C20:C2242""), 1,false)"),"ALT_UOM3_SIPI")</f>
        <v>ALT_UOM3_SIPI</v>
      </c>
      <c r="I13195" s="136"/>
      <c r="R13195" s="63" t="str">
        <f t="shared" si="60"/>
        <v>ZSI1_RODA_CASTERALT_UOM3_SIPI</v>
      </c>
    </row>
    <row r="13196" ht="15.75" customHeight="1">
      <c r="B13196" s="63">
        <f t="shared" si="1"/>
        <v>16</v>
      </c>
      <c r="C13196" s="135" t="s">
        <v>454</v>
      </c>
      <c r="D13196" s="161" t="s">
        <v>74</v>
      </c>
      <c r="E13196" s="135">
        <f t="shared" si="62"/>
        <v>24</v>
      </c>
      <c r="F13196" s="134" t="s">
        <v>3811</v>
      </c>
      <c r="G13196" s="63" t="str">
        <f>VLOOKUP(C13196, 'Class Def. - General Data'!$C$20:$C$1000,1,false)</f>
        <v>ZSI1_RODA_CASTER</v>
      </c>
      <c r="H13196" s="63" t="str">
        <f>IFERROR(__xludf.DUMMYFUNCTION("VLOOKUP(F13196, IMPORTRANGE(""https://docs.google.com/spreadsheets/d/1Lhp9OU0JdFf_VYSMzH5lBcEaU4o8teT1piV-SNzShjg/edit?gid=554141278#gid=554141278"", ""'Char Def. - Attributes'!C20:C2242""), 1,false)"),"ALT_DENUM_UOM3")</f>
        <v>ALT_DENUM_UOM3</v>
      </c>
      <c r="I13196" s="136"/>
      <c r="R13196" s="63" t="str">
        <f t="shared" si="60"/>
        <v>ZSI1_RODA_CASTERALT_DENUM_UOM3</v>
      </c>
    </row>
    <row r="13197" ht="15.75" customHeight="1">
      <c r="B13197" s="63">
        <f t="shared" si="1"/>
        <v>16</v>
      </c>
      <c r="C13197" s="135" t="s">
        <v>454</v>
      </c>
      <c r="D13197" s="161" t="s">
        <v>74</v>
      </c>
      <c r="E13197" s="135">
        <f t="shared" si="62"/>
        <v>25</v>
      </c>
      <c r="F13197" s="134" t="s">
        <v>3812</v>
      </c>
      <c r="G13197" s="63" t="str">
        <f>VLOOKUP(C13197, 'Class Def. - General Data'!$C$20:$C$1000,1,false)</f>
        <v>ZSI1_RODA_CASTER</v>
      </c>
      <c r="H13197" s="63" t="str">
        <f>IFERROR(__xludf.DUMMYFUNCTION("VLOOKUP(F13197, IMPORTRANGE(""https://docs.google.com/spreadsheets/d/1Lhp9OU0JdFf_VYSMzH5lBcEaU4o8teT1piV-SNzShjg/edit?gid=554141278#gid=554141278"", ""'Char Def. - Attributes'!C20:C2242""), 1,false)"),"ALT_NUM_UOM3")</f>
        <v>ALT_NUM_UOM3</v>
      </c>
      <c r="I13197" s="136"/>
      <c r="R13197" s="63" t="str">
        <f t="shared" si="60"/>
        <v>ZSI1_RODA_CASTERALT_NUM_UOM3</v>
      </c>
    </row>
    <row r="13198" ht="15.75" customHeight="1">
      <c r="B13198" s="63">
        <f t="shared" si="1"/>
        <v>16</v>
      </c>
      <c r="C13198" s="135" t="s">
        <v>454</v>
      </c>
      <c r="D13198" s="161" t="s">
        <v>74</v>
      </c>
      <c r="E13198" s="135">
        <f t="shared" si="62"/>
        <v>26</v>
      </c>
      <c r="F13198" s="134" t="s">
        <v>3813</v>
      </c>
      <c r="G13198" s="63" t="str">
        <f>VLOOKUP(C13198, 'Class Def. - General Data'!$C$20:$C$1000,1,false)</f>
        <v>ZSI1_RODA_CASTER</v>
      </c>
      <c r="H13198" s="63" t="str">
        <f>IFERROR(__xludf.DUMMYFUNCTION("VLOOKUP(F13198, IMPORTRANGE(""https://docs.google.com/spreadsheets/d/1Lhp9OU0JdFf_VYSMzH5lBcEaU4o8teT1piV-SNzShjg/edit?gid=554141278#gid=554141278"", ""'Char Def. - Attributes'!C20:C2242""), 1,false)"),"ALT_UOM4_SIPI")</f>
        <v>ALT_UOM4_SIPI</v>
      </c>
      <c r="I13198" s="136"/>
      <c r="R13198" s="63" t="str">
        <f t="shared" si="60"/>
        <v>ZSI1_RODA_CASTERALT_UOM4_SIPI</v>
      </c>
    </row>
    <row r="13199" ht="15.75" customHeight="1">
      <c r="B13199" s="63">
        <f t="shared" si="1"/>
        <v>16</v>
      </c>
      <c r="C13199" s="135" t="s">
        <v>454</v>
      </c>
      <c r="D13199" s="161" t="s">
        <v>74</v>
      </c>
      <c r="E13199" s="135">
        <f t="shared" si="62"/>
        <v>27</v>
      </c>
      <c r="F13199" s="134" t="s">
        <v>3814</v>
      </c>
      <c r="G13199" s="63" t="str">
        <f>VLOOKUP(C13199, 'Class Def. - General Data'!$C$20:$C$1000,1,false)</f>
        <v>ZSI1_RODA_CASTER</v>
      </c>
      <c r="H13199" s="63" t="str">
        <f>IFERROR(__xludf.DUMMYFUNCTION("VLOOKUP(F13199, IMPORTRANGE(""https://docs.google.com/spreadsheets/d/1Lhp9OU0JdFf_VYSMzH5lBcEaU4o8teT1piV-SNzShjg/edit?gid=554141278#gid=554141278"", ""'Char Def. - Attributes'!C20:C2242""), 1,false)"),"ALT_DENUM_UOM4")</f>
        <v>ALT_DENUM_UOM4</v>
      </c>
      <c r="I13199" s="136"/>
      <c r="R13199" s="63" t="str">
        <f t="shared" si="60"/>
        <v>ZSI1_RODA_CASTERALT_DENUM_UOM4</v>
      </c>
    </row>
    <row r="13200" ht="15.75" customHeight="1">
      <c r="B13200" s="63">
        <f t="shared" si="1"/>
        <v>16</v>
      </c>
      <c r="C13200" s="135" t="s">
        <v>454</v>
      </c>
      <c r="D13200" s="161" t="s">
        <v>74</v>
      </c>
      <c r="E13200" s="135">
        <f t="shared" si="62"/>
        <v>28</v>
      </c>
      <c r="F13200" s="134" t="s">
        <v>3815</v>
      </c>
      <c r="G13200" s="63" t="str">
        <f>VLOOKUP(C13200, 'Class Def. - General Data'!$C$20:$C$1000,1,false)</f>
        <v>ZSI1_RODA_CASTER</v>
      </c>
      <c r="H13200" s="63" t="str">
        <f>IFERROR(__xludf.DUMMYFUNCTION("VLOOKUP(F13200, IMPORTRANGE(""https://docs.google.com/spreadsheets/d/1Lhp9OU0JdFf_VYSMzH5lBcEaU4o8teT1piV-SNzShjg/edit?gid=554141278#gid=554141278"", ""'Char Def. - Attributes'!C20:C2242""), 1,false)"),"ALT_NUM_UOM4")</f>
        <v>ALT_NUM_UOM4</v>
      </c>
      <c r="I13200" s="136"/>
      <c r="R13200" s="63" t="str">
        <f t="shared" si="60"/>
        <v>ZSI1_RODA_CASTERALT_NUM_UOM4</v>
      </c>
    </row>
    <row r="13201" ht="15.75" customHeight="1">
      <c r="B13201" s="63">
        <f t="shared" si="1"/>
        <v>16</v>
      </c>
      <c r="C13201" s="135" t="s">
        <v>454</v>
      </c>
      <c r="D13201" s="161" t="s">
        <v>74</v>
      </c>
      <c r="E13201" s="135">
        <f t="shared" si="62"/>
        <v>29</v>
      </c>
      <c r="F13201" s="134" t="s">
        <v>3816</v>
      </c>
      <c r="G13201" s="63" t="str">
        <f>VLOOKUP(C13201, 'Class Def. - General Data'!$C$20:$C$1000,1,false)</f>
        <v>ZSI1_RODA_CASTER</v>
      </c>
      <c r="H13201" s="63" t="str">
        <f>IFERROR(__xludf.DUMMYFUNCTION("VLOOKUP(F13201, IMPORTRANGE(""https://docs.google.com/spreadsheets/d/1Lhp9OU0JdFf_VYSMzH5lBcEaU4o8teT1piV-SNzShjg/edit?gid=554141278#gid=554141278"", ""'Char Def. - Attributes'!C20:C2242""), 1,false)"),"ALT_UOM5_SIPI")</f>
        <v>ALT_UOM5_SIPI</v>
      </c>
      <c r="I13201" s="136"/>
      <c r="R13201" s="63" t="str">
        <f t="shared" si="60"/>
        <v>ZSI1_RODA_CASTERALT_UOM5_SIPI</v>
      </c>
    </row>
    <row r="13202" ht="15.75" customHeight="1">
      <c r="B13202" s="63">
        <f t="shared" si="1"/>
        <v>16</v>
      </c>
      <c r="C13202" s="135" t="s">
        <v>454</v>
      </c>
      <c r="D13202" s="161" t="s">
        <v>74</v>
      </c>
      <c r="E13202" s="135">
        <f t="shared" si="62"/>
        <v>30</v>
      </c>
      <c r="F13202" s="134" t="s">
        <v>3817</v>
      </c>
      <c r="G13202" s="63" t="str">
        <f>VLOOKUP(C13202, 'Class Def. - General Data'!$C$20:$C$1000,1,false)</f>
        <v>ZSI1_RODA_CASTER</v>
      </c>
      <c r="H13202" s="63" t="str">
        <f>IFERROR(__xludf.DUMMYFUNCTION("VLOOKUP(F13202, IMPORTRANGE(""https://docs.google.com/spreadsheets/d/1Lhp9OU0JdFf_VYSMzH5lBcEaU4o8teT1piV-SNzShjg/edit?gid=554141278#gid=554141278"", ""'Char Def. - Attributes'!C20:C2242""), 1,false)"),"ALT_DENUM_UOM5")</f>
        <v>ALT_DENUM_UOM5</v>
      </c>
      <c r="I13202" s="136"/>
      <c r="R13202" s="63" t="str">
        <f t="shared" si="60"/>
        <v>ZSI1_RODA_CASTERALT_DENUM_UOM5</v>
      </c>
    </row>
    <row r="13203" ht="15.75" customHeight="1">
      <c r="B13203" s="63">
        <f t="shared" si="1"/>
        <v>16</v>
      </c>
      <c r="C13203" s="135" t="s">
        <v>454</v>
      </c>
      <c r="D13203" s="161" t="s">
        <v>74</v>
      </c>
      <c r="E13203" s="135">
        <f t="shared" si="62"/>
        <v>31</v>
      </c>
      <c r="F13203" s="134" t="s">
        <v>3818</v>
      </c>
      <c r="G13203" s="63" t="str">
        <f>VLOOKUP(C13203, 'Class Def. - General Data'!$C$20:$C$1000,1,false)</f>
        <v>ZSI1_RODA_CASTER</v>
      </c>
      <c r="H13203" s="63" t="str">
        <f>IFERROR(__xludf.DUMMYFUNCTION("VLOOKUP(F13203, IMPORTRANGE(""https://docs.google.com/spreadsheets/d/1Lhp9OU0JdFf_VYSMzH5lBcEaU4o8teT1piV-SNzShjg/edit?gid=554141278#gid=554141278"", ""'Char Def. - Attributes'!C20:C2242""), 1,false)"),"ALT_NUM_UOM5")</f>
        <v>ALT_NUM_UOM5</v>
      </c>
      <c r="I13203" s="136"/>
      <c r="R13203" s="63" t="str">
        <f t="shared" si="60"/>
        <v>ZSI1_RODA_CASTERALT_NUM_UOM5</v>
      </c>
    </row>
    <row r="13204" ht="15.75" customHeight="1">
      <c r="B13204" s="63">
        <f t="shared" si="1"/>
        <v>17</v>
      </c>
      <c r="C13204" s="135" t="s">
        <v>456</v>
      </c>
      <c r="D13204" s="161" t="s">
        <v>74</v>
      </c>
      <c r="E13204" s="135">
        <f t="shared" si="62"/>
        <v>1</v>
      </c>
      <c r="F13204" s="134" t="s">
        <v>5337</v>
      </c>
      <c r="G13204" s="63" t="str">
        <f>VLOOKUP(C13204, 'Class Def. - General Data'!$C$20:$C$1000,1,false)</f>
        <v>ZSI1_ROLLER_CHAIN</v>
      </c>
      <c r="H13204" s="63" t="str">
        <f>IFERROR(__xludf.DUMMYFUNCTION("VLOOKUP(F13204, IMPORTRANGE(""https://docs.google.com/spreadsheets/d/1Lhp9OU0JdFf_VYSMzH5lBcEaU4o8teT1piV-SNzShjg/edit?gid=554141278#gid=554141278"", ""'Char Def. - Attributes'!C20:C2242""), 1,false)"),"ITEM_NAME_ROLLER_CHAIN")</f>
        <v>ITEM_NAME_ROLLER_CHAIN</v>
      </c>
      <c r="I13204" s="136"/>
      <c r="R13204" s="63" t="str">
        <f t="shared" si="60"/>
        <v>ZSI1_ROLLER_CHAINITEM_NAME_ROLLER_CHAIN</v>
      </c>
    </row>
    <row r="13205" ht="15.75" customHeight="1">
      <c r="B13205" s="63">
        <f t="shared" si="1"/>
        <v>17</v>
      </c>
      <c r="C13205" s="135" t="s">
        <v>456</v>
      </c>
      <c r="D13205" s="161" t="s">
        <v>74</v>
      </c>
      <c r="E13205" s="135">
        <f t="shared" si="62"/>
        <v>2</v>
      </c>
      <c r="F13205" s="134" t="s">
        <v>5338</v>
      </c>
      <c r="G13205" s="63" t="str">
        <f>VLOOKUP(C13205, 'Class Def. - General Data'!$C$20:$C$1000,1,false)</f>
        <v>ZSI1_ROLLER_CHAIN</v>
      </c>
      <c r="H13205" s="63" t="str">
        <f>IFERROR(__xludf.DUMMYFUNCTION("VLOOKUP(F13205, IMPORTRANGE(""https://docs.google.com/spreadsheets/d/1Lhp9OU0JdFf_VYSMzH5lBcEaU4o8teT1piV-SNzShjg/edit?gid=554141278#gid=554141278"", ""'Char Def. - Attributes'!C20:C2242""), 1,false)"),"TYPE_ROLLER_CHAIN")</f>
        <v>TYPE_ROLLER_CHAIN</v>
      </c>
      <c r="I13205" s="136"/>
      <c r="R13205" s="63" t="str">
        <f t="shared" si="60"/>
        <v>ZSI1_ROLLER_CHAINTYPE_ROLLER_CHAIN</v>
      </c>
    </row>
    <row r="13206" ht="15.75" customHeight="1">
      <c r="B13206" s="63">
        <f t="shared" si="1"/>
        <v>17</v>
      </c>
      <c r="C13206" s="135" t="s">
        <v>456</v>
      </c>
      <c r="D13206" s="161" t="s">
        <v>74</v>
      </c>
      <c r="E13206" s="135">
        <f t="shared" si="62"/>
        <v>3</v>
      </c>
      <c r="F13206" s="134" t="s">
        <v>3782</v>
      </c>
      <c r="G13206" s="63" t="str">
        <f>VLOOKUP(C13206, 'Class Def. - General Data'!$C$20:$C$1000,1,false)</f>
        <v>ZSI1_ROLLER_CHAIN</v>
      </c>
      <c r="H13206" s="63" t="str">
        <f>IFERROR(__xludf.DUMMYFUNCTION("VLOOKUP(F13206, IMPORTRANGE(""https://docs.google.com/spreadsheets/d/1Lhp9OU0JdFf_VYSMzH5lBcEaU4o8teT1piV-SNzShjg/edit?gid=554141278#gid=554141278"", ""'Char Def. - Attributes'!C20:C2242""), 1,false)"),"BRAND_EXTERNAL")</f>
        <v>BRAND_EXTERNAL</v>
      </c>
      <c r="I13206" s="136"/>
      <c r="R13206" s="63" t="str">
        <f t="shared" si="60"/>
        <v>ZSI1_ROLLER_CHAINBRAND_EXTERNAL</v>
      </c>
    </row>
    <row r="13207" ht="15.75" customHeight="1">
      <c r="B13207" s="63">
        <f t="shared" si="1"/>
        <v>17</v>
      </c>
      <c r="C13207" s="135" t="s">
        <v>456</v>
      </c>
      <c r="D13207" s="161" t="s">
        <v>74</v>
      </c>
      <c r="E13207" s="135">
        <f t="shared" si="62"/>
        <v>4</v>
      </c>
      <c r="F13207" s="134" t="s">
        <v>4062</v>
      </c>
      <c r="G13207" s="63" t="str">
        <f>VLOOKUP(C13207, 'Class Def. - General Data'!$C$20:$C$1000,1,false)</f>
        <v>ZSI1_ROLLER_CHAIN</v>
      </c>
      <c r="H13207" s="63" t="str">
        <f>IFERROR(__xludf.DUMMYFUNCTION("VLOOKUP(F13207, IMPORTRANGE(""https://docs.google.com/spreadsheets/d/1Lhp9OU0JdFf_VYSMzH5lBcEaU4o8teT1piV-SNzShjg/edit?gid=554141278#gid=554141278"", ""'Char Def. - Attributes'!C20:C2242""), 1,false)"),"#N/A")</f>
        <v>#N/A</v>
      </c>
      <c r="I13207" s="136"/>
      <c r="R13207" s="63" t="str">
        <f t="shared" si="60"/>
        <v>ZSI1_ROLLER_CHAINADDTIONAL_SPECIFICATION</v>
      </c>
    </row>
    <row r="13208" ht="15.75" customHeight="1">
      <c r="B13208" s="63">
        <f t="shared" si="1"/>
        <v>17</v>
      </c>
      <c r="C13208" s="135" t="s">
        <v>456</v>
      </c>
      <c r="D13208" s="161" t="s">
        <v>74</v>
      </c>
      <c r="E13208" s="135">
        <f t="shared" si="62"/>
        <v>5</v>
      </c>
      <c r="F13208" s="134" t="s">
        <v>4053</v>
      </c>
      <c r="G13208" s="63" t="str">
        <f>VLOOKUP(C13208, 'Class Def. - General Data'!$C$20:$C$1000,1,false)</f>
        <v>ZSI1_ROLLER_CHAIN</v>
      </c>
      <c r="H13208" s="63" t="str">
        <f>IFERROR(__xludf.DUMMYFUNCTION("VLOOKUP(F13208, IMPORTRANGE(""https://docs.google.com/spreadsheets/d/1Lhp9OU0JdFf_VYSMzH5lBcEaU4o8teT1piV-SNzShjg/edit?gid=554141278#gid=554141278"", ""'Char Def. - Attributes'!C20:C2242""), 1,false)"),"MAINTENANCE_ORDER_TYPE")</f>
        <v>MAINTENANCE_ORDER_TYPE</v>
      </c>
      <c r="I13208" s="136"/>
      <c r="R13208" s="63" t="str">
        <f t="shared" si="60"/>
        <v>ZSI1_ROLLER_CHAINMAINTENANCE_ORDER_TYPE</v>
      </c>
    </row>
    <row r="13209" ht="15.75" customHeight="1">
      <c r="B13209" s="63">
        <f t="shared" si="1"/>
        <v>17</v>
      </c>
      <c r="C13209" s="135" t="s">
        <v>456</v>
      </c>
      <c r="D13209" s="161" t="s">
        <v>74</v>
      </c>
      <c r="E13209" s="135">
        <f t="shared" si="62"/>
        <v>6</v>
      </c>
      <c r="F13209" s="134" t="s">
        <v>3585</v>
      </c>
      <c r="G13209" s="63" t="str">
        <f>VLOOKUP(C13209, 'Class Def. - General Data'!$C$20:$C$1000,1,false)</f>
        <v>ZSI1_ROLLER_CHAIN</v>
      </c>
      <c r="H13209" s="63" t="str">
        <f>IFERROR(__xludf.DUMMYFUNCTION("VLOOKUP(F13209, IMPORTRANGE(""https://docs.google.com/spreadsheets/d/1Lhp9OU0JdFf_VYSMzH5lBcEaU4o8teT1piV-SNzShjg/edit?gid=554141278#gid=554141278"", ""'Char Def. - Attributes'!C20:C2242""), 1,false)"),"HS_CODE")</f>
        <v>HS_CODE</v>
      </c>
      <c r="I13209" s="136"/>
      <c r="R13209" s="63" t="str">
        <f t="shared" si="60"/>
        <v>ZSI1_ROLLER_CHAINHS_CODE</v>
      </c>
    </row>
    <row r="13210" ht="15.75" customHeight="1">
      <c r="B13210" s="63">
        <f t="shared" si="1"/>
        <v>17</v>
      </c>
      <c r="C13210" s="135" t="s">
        <v>456</v>
      </c>
      <c r="D13210" s="161" t="s">
        <v>74</v>
      </c>
      <c r="E13210" s="135">
        <f t="shared" si="62"/>
        <v>7</v>
      </c>
      <c r="F13210" s="134" t="s">
        <v>3587</v>
      </c>
      <c r="G13210" s="63" t="str">
        <f>VLOOKUP(C13210, 'Class Def. - General Data'!$C$20:$C$1000,1,false)</f>
        <v>ZSI1_ROLLER_CHAIN</v>
      </c>
      <c r="H13210" s="63" t="str">
        <f>IFERROR(__xludf.DUMMYFUNCTION("VLOOKUP(F13210, IMPORTRANGE(""https://docs.google.com/spreadsheets/d/1Lhp9OU0JdFf_VYSMzH5lBcEaU4o8teT1piV-SNzShjg/edit?gid=554141278#gid=554141278"", ""'Char Def. - Attributes'!C20:C2242""), 1,false)"),"PLANT_BUY")</f>
        <v>PLANT_BUY</v>
      </c>
      <c r="I13210" s="136"/>
      <c r="R13210" s="63" t="str">
        <f t="shared" si="60"/>
        <v>ZSI1_ROLLER_CHAINPLANT_BUY</v>
      </c>
    </row>
    <row r="13211" ht="15.75" customHeight="1">
      <c r="B13211" s="63">
        <f t="shared" si="1"/>
        <v>17</v>
      </c>
      <c r="C13211" s="135" t="s">
        <v>456</v>
      </c>
      <c r="D13211" s="161" t="s">
        <v>74</v>
      </c>
      <c r="E13211" s="135">
        <f t="shared" si="62"/>
        <v>8</v>
      </c>
      <c r="F13211" s="134" t="s">
        <v>5339</v>
      </c>
      <c r="G13211" s="63" t="str">
        <f>VLOOKUP(C13211, 'Class Def. - General Data'!$C$20:$C$1000,1,false)</f>
        <v>ZSI1_ROLLER_CHAIN</v>
      </c>
      <c r="H13211" s="63" t="str">
        <f>IFERROR(__xludf.DUMMYFUNCTION("VLOOKUP(F13211, IMPORTRANGE(""https://docs.google.com/spreadsheets/d/1Lhp9OU0JdFf_VYSMzH5lBcEaU4o8teT1piV-SNzShjg/edit?gid=554141278#gid=554141278"", ""'Char Def. - Attributes'!C20:C2242""), 1,false)"),"BASE_UOM_ROLLER_CHAIN")</f>
        <v>BASE_UOM_ROLLER_CHAIN</v>
      </c>
      <c r="I13211" s="136"/>
      <c r="R13211" s="63" t="str">
        <f t="shared" si="60"/>
        <v>ZSI1_ROLLER_CHAINBASE_UOM_ROLLER_CHAIN</v>
      </c>
    </row>
    <row r="13212" ht="15.75" customHeight="1">
      <c r="B13212" s="63">
        <f t="shared" si="1"/>
        <v>17</v>
      </c>
      <c r="C13212" s="135" t="s">
        <v>456</v>
      </c>
      <c r="D13212" s="161" t="s">
        <v>74</v>
      </c>
      <c r="E13212" s="135">
        <f t="shared" si="62"/>
        <v>9</v>
      </c>
      <c r="F13212" s="134" t="s">
        <v>5340</v>
      </c>
      <c r="G13212" s="63" t="str">
        <f>VLOOKUP(C13212, 'Class Def. - General Data'!$C$20:$C$1000,1,false)</f>
        <v>ZSI1_ROLLER_CHAIN</v>
      </c>
      <c r="H13212" s="63" t="str">
        <f>IFERROR(__xludf.DUMMYFUNCTION("VLOOKUP(F13212, IMPORTRANGE(""https://docs.google.com/spreadsheets/d/1Lhp9OU0JdFf_VYSMzH5lBcEaU4o8teT1piV-SNzShjg/edit?gid=554141278#gid=554141278"", ""'Char Def. - Attributes'!C20:C2242""), 1,false)"),"ORDER_UNIT_ROLLER_CHAIN")</f>
        <v>ORDER_UNIT_ROLLER_CHAIN</v>
      </c>
      <c r="I13212" s="136"/>
      <c r="R13212" s="63" t="str">
        <f t="shared" si="60"/>
        <v>ZSI1_ROLLER_CHAINORDER_UNIT_ROLLER_CHAIN</v>
      </c>
    </row>
    <row r="13213" ht="15.75" customHeight="1">
      <c r="B13213" s="63">
        <f t="shared" si="1"/>
        <v>17</v>
      </c>
      <c r="C13213" s="135" t="s">
        <v>456</v>
      </c>
      <c r="D13213" s="161" t="s">
        <v>74</v>
      </c>
      <c r="E13213" s="135">
        <f t="shared" si="62"/>
        <v>10</v>
      </c>
      <c r="F13213" s="134" t="s">
        <v>4056</v>
      </c>
      <c r="G13213" s="63" t="str">
        <f>VLOOKUP(C13213, 'Class Def. - General Data'!$C$20:$C$1000,1,false)</f>
        <v>ZSI1_ROLLER_CHAIN</v>
      </c>
      <c r="H13213" s="63" t="str">
        <f>IFERROR(__xludf.DUMMYFUNCTION("VLOOKUP(F13213, IMPORTRANGE(""https://docs.google.com/spreadsheets/d/1Lhp9OU0JdFf_VYSMzH5lBcEaU4o8teT1piV-SNzShjg/edit?gid=554141278#gid=554141278"", ""'Char Def. - Attributes'!C20:C2242""), 1,false)"),"GROSS_WEIGHT_OPT")</f>
        <v>GROSS_WEIGHT_OPT</v>
      </c>
      <c r="I13213" s="136"/>
      <c r="R13213" s="63" t="str">
        <f t="shared" si="60"/>
        <v>ZSI1_ROLLER_CHAINGROSS_WEIGHT_OPT</v>
      </c>
    </row>
    <row r="13214" ht="15.75" customHeight="1">
      <c r="B13214" s="63">
        <f t="shared" si="1"/>
        <v>17</v>
      </c>
      <c r="C13214" s="135" t="s">
        <v>456</v>
      </c>
      <c r="D13214" s="161" t="s">
        <v>74</v>
      </c>
      <c r="E13214" s="135">
        <f t="shared" si="62"/>
        <v>11</v>
      </c>
      <c r="F13214" s="134" t="s">
        <v>4057</v>
      </c>
      <c r="G13214" s="63" t="str">
        <f>VLOOKUP(C13214, 'Class Def. - General Data'!$C$20:$C$1000,1,false)</f>
        <v>ZSI1_ROLLER_CHAIN</v>
      </c>
      <c r="H13214" s="63" t="str">
        <f>IFERROR(__xludf.DUMMYFUNCTION("VLOOKUP(F13214, IMPORTRANGE(""https://docs.google.com/spreadsheets/d/1Lhp9OU0JdFf_VYSMzH5lBcEaU4o8teT1piV-SNzShjg/edit?gid=554141278#gid=554141278"", ""'Char Def. - Attributes'!C20:C2242""), 1,false)"),"NET_WEIGHT_OPT")</f>
        <v>NET_WEIGHT_OPT</v>
      </c>
      <c r="I13214" s="136"/>
      <c r="R13214" s="63" t="str">
        <f t="shared" si="60"/>
        <v>ZSI1_ROLLER_CHAINNET_WEIGHT_OPT</v>
      </c>
    </row>
    <row r="13215" ht="15.75" customHeight="1">
      <c r="B13215" s="63">
        <f t="shared" si="1"/>
        <v>17</v>
      </c>
      <c r="C13215" s="135" t="s">
        <v>456</v>
      </c>
      <c r="D13215" s="161" t="s">
        <v>74</v>
      </c>
      <c r="E13215" s="135">
        <f t="shared" si="62"/>
        <v>12</v>
      </c>
      <c r="F13215" s="134" t="s">
        <v>4058</v>
      </c>
      <c r="G13215" s="63" t="str">
        <f>VLOOKUP(C13215, 'Class Def. - General Data'!$C$20:$C$1000,1,false)</f>
        <v>ZSI1_ROLLER_CHAIN</v>
      </c>
      <c r="H13215" s="63" t="str">
        <f>IFERROR(__xludf.DUMMYFUNCTION("VLOOKUP(F13215, IMPORTRANGE(""https://docs.google.com/spreadsheets/d/1Lhp9OU0JdFf_VYSMzH5lBcEaU4o8teT1piV-SNzShjg/edit?gid=554141278#gid=554141278"", ""'Char Def. - Attributes'!C20:C2242""), 1,false)"),"WEIGHT_UNIT_SI")</f>
        <v>WEIGHT_UNIT_SI</v>
      </c>
      <c r="I13215" s="136"/>
      <c r="R13215" s="63" t="str">
        <f t="shared" si="60"/>
        <v>ZSI1_ROLLER_CHAINWEIGHT_UNIT_SI</v>
      </c>
    </row>
    <row r="13216" ht="15.75" customHeight="1">
      <c r="B13216" s="63">
        <f t="shared" si="1"/>
        <v>17</v>
      </c>
      <c r="C13216" s="135" t="s">
        <v>456</v>
      </c>
      <c r="D13216" s="161" t="s">
        <v>74</v>
      </c>
      <c r="E13216" s="135">
        <f t="shared" si="62"/>
        <v>13</v>
      </c>
      <c r="F13216" s="134" t="s">
        <v>3877</v>
      </c>
      <c r="G13216" s="63" t="str">
        <f>VLOOKUP(C13216, 'Class Def. - General Data'!$C$20:$C$1000,1,false)</f>
        <v>ZSI1_ROLLER_CHAIN</v>
      </c>
      <c r="H13216" s="63" t="str">
        <f>IFERROR(__xludf.DUMMYFUNCTION("VLOOKUP(F13216, IMPORTRANGE(""https://docs.google.com/spreadsheets/d/1Lhp9OU0JdFf_VYSMzH5lBcEaU4o8teT1piV-SNzShjg/edit?gid=554141278#gid=554141278"", ""'Char Def. - Attributes'!C20:C2242""), 1,false)"),"VOLUME_OPT")</f>
        <v>VOLUME_OPT</v>
      </c>
      <c r="I13216" s="136"/>
      <c r="R13216" s="63" t="str">
        <f t="shared" si="60"/>
        <v>ZSI1_ROLLER_CHAINVOLUME_OPT</v>
      </c>
    </row>
    <row r="13217" ht="15.75" customHeight="1">
      <c r="B13217" s="63">
        <f t="shared" si="1"/>
        <v>17</v>
      </c>
      <c r="C13217" s="135" t="s">
        <v>456</v>
      </c>
      <c r="D13217" s="161" t="s">
        <v>74</v>
      </c>
      <c r="E13217" s="135">
        <f t="shared" si="62"/>
        <v>14</v>
      </c>
      <c r="F13217" s="134" t="s">
        <v>4059</v>
      </c>
      <c r="G13217" s="63" t="str">
        <f>VLOOKUP(C13217, 'Class Def. - General Data'!$C$20:$C$1000,1,false)</f>
        <v>ZSI1_ROLLER_CHAIN</v>
      </c>
      <c r="H13217" s="63" t="str">
        <f>IFERROR(__xludf.DUMMYFUNCTION("VLOOKUP(F13217, IMPORTRANGE(""https://docs.google.com/spreadsheets/d/1Lhp9OU0JdFf_VYSMzH5lBcEaU4o8teT1piV-SNzShjg/edit?gid=554141278#gid=554141278"", ""'Char Def. - Attributes'!C20:C2242""), 1,false)"),"VOLUME_UNIT_SI")</f>
        <v>VOLUME_UNIT_SI</v>
      </c>
      <c r="I13217" s="136"/>
      <c r="R13217" s="63" t="str">
        <f t="shared" si="60"/>
        <v>ZSI1_ROLLER_CHAINVOLUME_UNIT_SI</v>
      </c>
    </row>
    <row r="13218" ht="15.75" customHeight="1">
      <c r="B13218" s="63">
        <f t="shared" si="1"/>
        <v>17</v>
      </c>
      <c r="C13218" s="135" t="s">
        <v>456</v>
      </c>
      <c r="D13218" s="161" t="s">
        <v>74</v>
      </c>
      <c r="E13218" s="135">
        <f t="shared" si="62"/>
        <v>15</v>
      </c>
      <c r="F13218" s="134" t="s">
        <v>3804</v>
      </c>
      <c r="G13218" s="63" t="str">
        <f>VLOOKUP(C13218, 'Class Def. - General Data'!$C$20:$C$1000,1,false)</f>
        <v>ZSI1_ROLLER_CHAIN</v>
      </c>
      <c r="H13218" s="63" t="str">
        <f>IFERROR(__xludf.DUMMYFUNCTION("VLOOKUP(F13218, IMPORTRANGE(""https://docs.google.com/spreadsheets/d/1Lhp9OU0JdFf_VYSMzH5lBcEaU4o8teT1piV-SNzShjg/edit?gid=554141278#gid=554141278"", ""'Char Def. - Attributes'!C20:C2242""), 1,false)"),"ALT_UOM1_SIPI")</f>
        <v>ALT_UOM1_SIPI</v>
      </c>
      <c r="I13218" s="136"/>
      <c r="R13218" s="63" t="str">
        <f t="shared" si="60"/>
        <v>ZSI1_ROLLER_CHAINALT_UOM1_SIPI</v>
      </c>
    </row>
    <row r="13219" ht="15.75" customHeight="1">
      <c r="B13219" s="63">
        <f t="shared" si="1"/>
        <v>17</v>
      </c>
      <c r="C13219" s="135" t="s">
        <v>456</v>
      </c>
      <c r="D13219" s="161" t="s">
        <v>74</v>
      </c>
      <c r="E13219" s="135">
        <f t="shared" si="62"/>
        <v>16</v>
      </c>
      <c r="F13219" s="134" t="s">
        <v>3805</v>
      </c>
      <c r="G13219" s="63" t="str">
        <f>VLOOKUP(C13219, 'Class Def. - General Data'!$C$20:$C$1000,1,false)</f>
        <v>ZSI1_ROLLER_CHAIN</v>
      </c>
      <c r="H13219" s="63" t="str">
        <f>IFERROR(__xludf.DUMMYFUNCTION("VLOOKUP(F13219, IMPORTRANGE(""https://docs.google.com/spreadsheets/d/1Lhp9OU0JdFf_VYSMzH5lBcEaU4o8teT1piV-SNzShjg/edit?gid=554141278#gid=554141278"", ""'Char Def. - Attributes'!C20:C2242""), 1,false)"),"ALT_DENUM_UOM1")</f>
        <v>ALT_DENUM_UOM1</v>
      </c>
      <c r="I13219" s="136"/>
      <c r="R13219" s="63" t="str">
        <f t="shared" si="60"/>
        <v>ZSI1_ROLLER_CHAINALT_DENUM_UOM1</v>
      </c>
    </row>
    <row r="13220" ht="15.75" customHeight="1">
      <c r="B13220" s="63">
        <f t="shared" si="1"/>
        <v>17</v>
      </c>
      <c r="C13220" s="135" t="s">
        <v>456</v>
      </c>
      <c r="D13220" s="161" t="s">
        <v>74</v>
      </c>
      <c r="E13220" s="135">
        <f t="shared" si="62"/>
        <v>17</v>
      </c>
      <c r="F13220" s="134" t="s">
        <v>3806</v>
      </c>
      <c r="G13220" s="63" t="str">
        <f>VLOOKUP(C13220, 'Class Def. - General Data'!$C$20:$C$1000,1,false)</f>
        <v>ZSI1_ROLLER_CHAIN</v>
      </c>
      <c r="H13220" s="63" t="str">
        <f>IFERROR(__xludf.DUMMYFUNCTION("VLOOKUP(F13220, IMPORTRANGE(""https://docs.google.com/spreadsheets/d/1Lhp9OU0JdFf_VYSMzH5lBcEaU4o8teT1piV-SNzShjg/edit?gid=554141278#gid=554141278"", ""'Char Def. - Attributes'!C20:C2242""), 1,false)"),"ALT_NUM_UOM1")</f>
        <v>ALT_NUM_UOM1</v>
      </c>
      <c r="I13220" s="136"/>
      <c r="R13220" s="63" t="str">
        <f t="shared" si="60"/>
        <v>ZSI1_ROLLER_CHAINALT_NUM_UOM1</v>
      </c>
    </row>
    <row r="13221" ht="15.75" customHeight="1">
      <c r="B13221" s="63">
        <f t="shared" si="1"/>
        <v>17</v>
      </c>
      <c r="C13221" s="135" t="s">
        <v>456</v>
      </c>
      <c r="D13221" s="161" t="s">
        <v>74</v>
      </c>
      <c r="E13221" s="135">
        <f t="shared" si="62"/>
        <v>18</v>
      </c>
      <c r="F13221" s="134" t="s">
        <v>3807</v>
      </c>
      <c r="G13221" s="63" t="str">
        <f>VLOOKUP(C13221, 'Class Def. - General Data'!$C$20:$C$1000,1,false)</f>
        <v>ZSI1_ROLLER_CHAIN</v>
      </c>
      <c r="H13221" s="63" t="str">
        <f>IFERROR(__xludf.DUMMYFUNCTION("VLOOKUP(F13221, IMPORTRANGE(""https://docs.google.com/spreadsheets/d/1Lhp9OU0JdFf_VYSMzH5lBcEaU4o8teT1piV-SNzShjg/edit?gid=554141278#gid=554141278"", ""'Char Def. - Attributes'!C20:C2242""), 1,false)"),"ALT_UOM2_SIPI")</f>
        <v>ALT_UOM2_SIPI</v>
      </c>
      <c r="I13221" s="136"/>
      <c r="R13221" s="63" t="str">
        <f t="shared" si="60"/>
        <v>ZSI1_ROLLER_CHAINALT_UOM2_SIPI</v>
      </c>
    </row>
    <row r="13222" ht="15.75" customHeight="1">
      <c r="B13222" s="63">
        <f t="shared" si="1"/>
        <v>17</v>
      </c>
      <c r="C13222" s="135" t="s">
        <v>456</v>
      </c>
      <c r="D13222" s="161" t="s">
        <v>74</v>
      </c>
      <c r="E13222" s="135">
        <f t="shared" si="62"/>
        <v>19</v>
      </c>
      <c r="F13222" s="134" t="s">
        <v>3808</v>
      </c>
      <c r="G13222" s="63" t="str">
        <f>VLOOKUP(C13222, 'Class Def. - General Data'!$C$20:$C$1000,1,false)</f>
        <v>ZSI1_ROLLER_CHAIN</v>
      </c>
      <c r="H13222" s="63" t="str">
        <f>IFERROR(__xludf.DUMMYFUNCTION("VLOOKUP(F13222, IMPORTRANGE(""https://docs.google.com/spreadsheets/d/1Lhp9OU0JdFf_VYSMzH5lBcEaU4o8teT1piV-SNzShjg/edit?gid=554141278#gid=554141278"", ""'Char Def. - Attributes'!C20:C2242""), 1,false)"),"ALT_DENUM_UOM2")</f>
        <v>ALT_DENUM_UOM2</v>
      </c>
      <c r="I13222" s="136"/>
      <c r="R13222" s="63" t="str">
        <f t="shared" si="60"/>
        <v>ZSI1_ROLLER_CHAINALT_DENUM_UOM2</v>
      </c>
    </row>
    <row r="13223" ht="15.75" customHeight="1">
      <c r="B13223" s="63">
        <f t="shared" si="1"/>
        <v>17</v>
      </c>
      <c r="C13223" s="135" t="s">
        <v>456</v>
      </c>
      <c r="D13223" s="161" t="s">
        <v>74</v>
      </c>
      <c r="E13223" s="135">
        <f t="shared" si="62"/>
        <v>20</v>
      </c>
      <c r="F13223" s="134" t="s">
        <v>3809</v>
      </c>
      <c r="G13223" s="63" t="str">
        <f>VLOOKUP(C13223, 'Class Def. - General Data'!$C$20:$C$1000,1,false)</f>
        <v>ZSI1_ROLLER_CHAIN</v>
      </c>
      <c r="H13223" s="63" t="str">
        <f>IFERROR(__xludf.DUMMYFUNCTION("VLOOKUP(F13223, IMPORTRANGE(""https://docs.google.com/spreadsheets/d/1Lhp9OU0JdFf_VYSMzH5lBcEaU4o8teT1piV-SNzShjg/edit?gid=554141278#gid=554141278"", ""'Char Def. - Attributes'!C20:C2242""), 1,false)"),"ALT_NUM_UOM2")</f>
        <v>ALT_NUM_UOM2</v>
      </c>
      <c r="I13223" s="136"/>
      <c r="R13223" s="63" t="str">
        <f t="shared" si="60"/>
        <v>ZSI1_ROLLER_CHAINALT_NUM_UOM2</v>
      </c>
    </row>
    <row r="13224" ht="15.75" customHeight="1">
      <c r="B13224" s="63">
        <f t="shared" si="1"/>
        <v>17</v>
      </c>
      <c r="C13224" s="135" t="s">
        <v>456</v>
      </c>
      <c r="D13224" s="161" t="s">
        <v>74</v>
      </c>
      <c r="E13224" s="135">
        <f t="shared" si="62"/>
        <v>21</v>
      </c>
      <c r="F13224" s="134" t="s">
        <v>3810</v>
      </c>
      <c r="G13224" s="63" t="str">
        <f>VLOOKUP(C13224, 'Class Def. - General Data'!$C$20:$C$1000,1,false)</f>
        <v>ZSI1_ROLLER_CHAIN</v>
      </c>
      <c r="H13224" s="63" t="str">
        <f>IFERROR(__xludf.DUMMYFUNCTION("VLOOKUP(F13224, IMPORTRANGE(""https://docs.google.com/spreadsheets/d/1Lhp9OU0JdFf_VYSMzH5lBcEaU4o8teT1piV-SNzShjg/edit?gid=554141278#gid=554141278"", ""'Char Def. - Attributes'!C20:C2242""), 1,false)"),"ALT_UOM3_SIPI")</f>
        <v>ALT_UOM3_SIPI</v>
      </c>
      <c r="I13224" s="136"/>
      <c r="R13224" s="63" t="str">
        <f t="shared" si="60"/>
        <v>ZSI1_ROLLER_CHAINALT_UOM3_SIPI</v>
      </c>
    </row>
    <row r="13225" ht="15.75" customHeight="1">
      <c r="B13225" s="63">
        <f t="shared" si="1"/>
        <v>17</v>
      </c>
      <c r="C13225" s="135" t="s">
        <v>456</v>
      </c>
      <c r="D13225" s="161" t="s">
        <v>74</v>
      </c>
      <c r="E13225" s="135">
        <f t="shared" si="62"/>
        <v>22</v>
      </c>
      <c r="F13225" s="134" t="s">
        <v>3811</v>
      </c>
      <c r="G13225" s="63" t="str">
        <f>VLOOKUP(C13225, 'Class Def. - General Data'!$C$20:$C$1000,1,false)</f>
        <v>ZSI1_ROLLER_CHAIN</v>
      </c>
      <c r="H13225" s="63" t="str">
        <f>IFERROR(__xludf.DUMMYFUNCTION("VLOOKUP(F13225, IMPORTRANGE(""https://docs.google.com/spreadsheets/d/1Lhp9OU0JdFf_VYSMzH5lBcEaU4o8teT1piV-SNzShjg/edit?gid=554141278#gid=554141278"", ""'Char Def. - Attributes'!C20:C2242""), 1,false)"),"ALT_DENUM_UOM3")</f>
        <v>ALT_DENUM_UOM3</v>
      </c>
      <c r="I13225" s="136"/>
      <c r="R13225" s="63" t="str">
        <f t="shared" si="60"/>
        <v>ZSI1_ROLLER_CHAINALT_DENUM_UOM3</v>
      </c>
    </row>
    <row r="13226" ht="15.75" customHeight="1">
      <c r="B13226" s="63">
        <f t="shared" si="1"/>
        <v>17</v>
      </c>
      <c r="C13226" s="135" t="s">
        <v>456</v>
      </c>
      <c r="D13226" s="161" t="s">
        <v>74</v>
      </c>
      <c r="E13226" s="135">
        <f t="shared" si="62"/>
        <v>23</v>
      </c>
      <c r="F13226" s="134" t="s">
        <v>3812</v>
      </c>
      <c r="G13226" s="63" t="str">
        <f>VLOOKUP(C13226, 'Class Def. - General Data'!$C$20:$C$1000,1,false)</f>
        <v>ZSI1_ROLLER_CHAIN</v>
      </c>
      <c r="H13226" s="63" t="str">
        <f>IFERROR(__xludf.DUMMYFUNCTION("VLOOKUP(F13226, IMPORTRANGE(""https://docs.google.com/spreadsheets/d/1Lhp9OU0JdFf_VYSMzH5lBcEaU4o8teT1piV-SNzShjg/edit?gid=554141278#gid=554141278"", ""'Char Def. - Attributes'!C20:C2242""), 1,false)"),"ALT_NUM_UOM3")</f>
        <v>ALT_NUM_UOM3</v>
      </c>
      <c r="I13226" s="136"/>
      <c r="R13226" s="63" t="str">
        <f t="shared" si="60"/>
        <v>ZSI1_ROLLER_CHAINALT_NUM_UOM3</v>
      </c>
    </row>
    <row r="13227" ht="15.75" customHeight="1">
      <c r="B13227" s="63">
        <f t="shared" si="1"/>
        <v>17</v>
      </c>
      <c r="C13227" s="135" t="s">
        <v>456</v>
      </c>
      <c r="D13227" s="161" t="s">
        <v>74</v>
      </c>
      <c r="E13227" s="135">
        <f t="shared" si="62"/>
        <v>24</v>
      </c>
      <c r="F13227" s="134" t="s">
        <v>3813</v>
      </c>
      <c r="G13227" s="63" t="str">
        <f>VLOOKUP(C13227, 'Class Def. - General Data'!$C$20:$C$1000,1,false)</f>
        <v>ZSI1_ROLLER_CHAIN</v>
      </c>
      <c r="H13227" s="63" t="str">
        <f>IFERROR(__xludf.DUMMYFUNCTION("VLOOKUP(F13227, IMPORTRANGE(""https://docs.google.com/spreadsheets/d/1Lhp9OU0JdFf_VYSMzH5lBcEaU4o8teT1piV-SNzShjg/edit?gid=554141278#gid=554141278"", ""'Char Def. - Attributes'!C20:C2242""), 1,false)"),"ALT_UOM4_SIPI")</f>
        <v>ALT_UOM4_SIPI</v>
      </c>
      <c r="I13227" s="136"/>
      <c r="R13227" s="63" t="str">
        <f t="shared" si="60"/>
        <v>ZSI1_ROLLER_CHAINALT_UOM4_SIPI</v>
      </c>
    </row>
    <row r="13228" ht="15.75" customHeight="1">
      <c r="B13228" s="63">
        <f t="shared" si="1"/>
        <v>17</v>
      </c>
      <c r="C13228" s="135" t="s">
        <v>456</v>
      </c>
      <c r="D13228" s="161" t="s">
        <v>74</v>
      </c>
      <c r="E13228" s="135">
        <f t="shared" si="62"/>
        <v>25</v>
      </c>
      <c r="F13228" s="134" t="s">
        <v>3814</v>
      </c>
      <c r="G13228" s="63" t="str">
        <f>VLOOKUP(C13228, 'Class Def. - General Data'!$C$20:$C$1000,1,false)</f>
        <v>ZSI1_ROLLER_CHAIN</v>
      </c>
      <c r="H13228" s="63" t="str">
        <f>IFERROR(__xludf.DUMMYFUNCTION("VLOOKUP(F13228, IMPORTRANGE(""https://docs.google.com/spreadsheets/d/1Lhp9OU0JdFf_VYSMzH5lBcEaU4o8teT1piV-SNzShjg/edit?gid=554141278#gid=554141278"", ""'Char Def. - Attributes'!C20:C2242""), 1,false)"),"ALT_DENUM_UOM4")</f>
        <v>ALT_DENUM_UOM4</v>
      </c>
      <c r="I13228" s="136"/>
      <c r="R13228" s="63" t="str">
        <f t="shared" si="60"/>
        <v>ZSI1_ROLLER_CHAINALT_DENUM_UOM4</v>
      </c>
    </row>
    <row r="13229" ht="15.75" customHeight="1">
      <c r="B13229" s="63">
        <f t="shared" si="1"/>
        <v>17</v>
      </c>
      <c r="C13229" s="135" t="s">
        <v>456</v>
      </c>
      <c r="D13229" s="161" t="s">
        <v>74</v>
      </c>
      <c r="E13229" s="135">
        <f t="shared" si="62"/>
        <v>26</v>
      </c>
      <c r="F13229" s="134" t="s">
        <v>3815</v>
      </c>
      <c r="G13229" s="63" t="str">
        <f>VLOOKUP(C13229, 'Class Def. - General Data'!$C$20:$C$1000,1,false)</f>
        <v>ZSI1_ROLLER_CHAIN</v>
      </c>
      <c r="H13229" s="63" t="str">
        <f>IFERROR(__xludf.DUMMYFUNCTION("VLOOKUP(F13229, IMPORTRANGE(""https://docs.google.com/spreadsheets/d/1Lhp9OU0JdFf_VYSMzH5lBcEaU4o8teT1piV-SNzShjg/edit?gid=554141278#gid=554141278"", ""'Char Def. - Attributes'!C20:C2242""), 1,false)"),"ALT_NUM_UOM4")</f>
        <v>ALT_NUM_UOM4</v>
      </c>
      <c r="I13229" s="136"/>
      <c r="R13229" s="63" t="str">
        <f t="shared" si="60"/>
        <v>ZSI1_ROLLER_CHAINALT_NUM_UOM4</v>
      </c>
    </row>
    <row r="13230" ht="15.75" customHeight="1">
      <c r="B13230" s="63">
        <f t="shared" si="1"/>
        <v>17</v>
      </c>
      <c r="C13230" s="135" t="s">
        <v>456</v>
      </c>
      <c r="D13230" s="161" t="s">
        <v>74</v>
      </c>
      <c r="E13230" s="135">
        <f t="shared" si="62"/>
        <v>27</v>
      </c>
      <c r="F13230" s="134" t="s">
        <v>3816</v>
      </c>
      <c r="G13230" s="63" t="str">
        <f>VLOOKUP(C13230, 'Class Def. - General Data'!$C$20:$C$1000,1,false)</f>
        <v>ZSI1_ROLLER_CHAIN</v>
      </c>
      <c r="H13230" s="63" t="str">
        <f>IFERROR(__xludf.DUMMYFUNCTION("VLOOKUP(F13230, IMPORTRANGE(""https://docs.google.com/spreadsheets/d/1Lhp9OU0JdFf_VYSMzH5lBcEaU4o8teT1piV-SNzShjg/edit?gid=554141278#gid=554141278"", ""'Char Def. - Attributes'!C20:C2242""), 1,false)"),"ALT_UOM5_SIPI")</f>
        <v>ALT_UOM5_SIPI</v>
      </c>
      <c r="I13230" s="136"/>
      <c r="R13230" s="63" t="str">
        <f t="shared" si="60"/>
        <v>ZSI1_ROLLER_CHAINALT_UOM5_SIPI</v>
      </c>
    </row>
    <row r="13231" ht="15.75" customHeight="1">
      <c r="B13231" s="63">
        <f t="shared" si="1"/>
        <v>17</v>
      </c>
      <c r="C13231" s="135" t="s">
        <v>456</v>
      </c>
      <c r="D13231" s="161" t="s">
        <v>74</v>
      </c>
      <c r="E13231" s="135">
        <f t="shared" si="62"/>
        <v>28</v>
      </c>
      <c r="F13231" s="134" t="s">
        <v>3817</v>
      </c>
      <c r="G13231" s="63" t="str">
        <f>VLOOKUP(C13231, 'Class Def. - General Data'!$C$20:$C$1000,1,false)</f>
        <v>ZSI1_ROLLER_CHAIN</v>
      </c>
      <c r="H13231" s="63" t="str">
        <f>IFERROR(__xludf.DUMMYFUNCTION("VLOOKUP(F13231, IMPORTRANGE(""https://docs.google.com/spreadsheets/d/1Lhp9OU0JdFf_VYSMzH5lBcEaU4o8teT1piV-SNzShjg/edit?gid=554141278#gid=554141278"", ""'Char Def. - Attributes'!C20:C2242""), 1,false)"),"ALT_DENUM_UOM5")</f>
        <v>ALT_DENUM_UOM5</v>
      </c>
      <c r="I13231" s="136"/>
      <c r="R13231" s="63" t="str">
        <f t="shared" si="60"/>
        <v>ZSI1_ROLLER_CHAINALT_DENUM_UOM5</v>
      </c>
    </row>
    <row r="13232" ht="15.75" customHeight="1">
      <c r="B13232" s="63">
        <f t="shared" si="1"/>
        <v>17</v>
      </c>
      <c r="C13232" s="135" t="s">
        <v>456</v>
      </c>
      <c r="D13232" s="161" t="s">
        <v>74</v>
      </c>
      <c r="E13232" s="135">
        <f t="shared" si="62"/>
        <v>29</v>
      </c>
      <c r="F13232" s="134" t="s">
        <v>3818</v>
      </c>
      <c r="G13232" s="63" t="str">
        <f>VLOOKUP(C13232, 'Class Def. - General Data'!$C$20:$C$1000,1,false)</f>
        <v>ZSI1_ROLLER_CHAIN</v>
      </c>
      <c r="H13232" s="63" t="str">
        <f>IFERROR(__xludf.DUMMYFUNCTION("VLOOKUP(F13232, IMPORTRANGE(""https://docs.google.com/spreadsheets/d/1Lhp9OU0JdFf_VYSMzH5lBcEaU4o8teT1piV-SNzShjg/edit?gid=554141278#gid=554141278"", ""'Char Def. - Attributes'!C20:C2242""), 1,false)"),"ALT_NUM_UOM5")</f>
        <v>ALT_NUM_UOM5</v>
      </c>
      <c r="I13232" s="136"/>
      <c r="R13232" s="63" t="str">
        <f t="shared" si="60"/>
        <v>ZSI1_ROLLER_CHAINALT_NUM_UOM5</v>
      </c>
    </row>
    <row r="13233" ht="15.75" customHeight="1">
      <c r="B13233" s="63">
        <f t="shared" si="1"/>
        <v>12</v>
      </c>
      <c r="C13233" s="135" t="s">
        <v>5341</v>
      </c>
      <c r="D13233" s="161" t="s">
        <v>74</v>
      </c>
      <c r="E13233" s="135">
        <f t="shared" si="62"/>
        <v>1</v>
      </c>
      <c r="F13233" s="135" t="s">
        <v>5342</v>
      </c>
      <c r="G13233" s="63" t="str">
        <f>VLOOKUP(C13233, 'Class Def. - General Data'!$C$20:$C$1000,1,false)</f>
        <v>#N/A</v>
      </c>
      <c r="H13233" s="63" t="str">
        <f>IFERROR(__xludf.DUMMYFUNCTION("VLOOKUP(F13233, IMPORTRANGE(""https://docs.google.com/spreadsheets/d/1Lhp9OU0JdFf_VYSMzH5lBcEaU4o8teT1piV-SNzShjg/edit?gid=554141278#gid=554141278"", ""'Char Def. - Attributes'!C20:C2242""), 1,false)"),"#N/A")</f>
        <v>#N/A</v>
      </c>
      <c r="I13233" s="136"/>
      <c r="R13233" s="63" t="str">
        <f t="shared" si="60"/>
        <v>ZSI1_ROOFINGITEM_NAME_ROOFING</v>
      </c>
    </row>
    <row r="13234" ht="15.75" customHeight="1">
      <c r="B13234" s="63">
        <f t="shared" si="1"/>
        <v>12</v>
      </c>
      <c r="C13234" s="135" t="s">
        <v>5341</v>
      </c>
      <c r="D13234" s="161" t="s">
        <v>74</v>
      </c>
      <c r="E13234" s="135">
        <f t="shared" si="62"/>
        <v>2</v>
      </c>
      <c r="F13234" s="135" t="s">
        <v>5343</v>
      </c>
      <c r="G13234" s="63" t="str">
        <f>VLOOKUP(C13234, 'Class Def. - General Data'!$C$20:$C$1000,1,false)</f>
        <v>#N/A</v>
      </c>
      <c r="H13234" s="63" t="str">
        <f>IFERROR(__xludf.DUMMYFUNCTION("VLOOKUP(F13234, IMPORTRANGE(""https://docs.google.com/spreadsheets/d/1Lhp9OU0JdFf_VYSMzH5lBcEaU4o8teT1piV-SNzShjg/edit?gid=554141278#gid=554141278"", ""'Char Def. - Attributes'!C20:C2242""), 1,false)"),"#N/A")</f>
        <v>#N/A</v>
      </c>
      <c r="I13234" s="136"/>
      <c r="R13234" s="63" t="str">
        <f t="shared" si="60"/>
        <v>ZSI1_ROOFINGMATERIAL_ROOFING</v>
      </c>
    </row>
    <row r="13235" ht="15.75" customHeight="1">
      <c r="B13235" s="63">
        <f t="shared" si="1"/>
        <v>12</v>
      </c>
      <c r="C13235" s="135" t="s">
        <v>5341</v>
      </c>
      <c r="D13235" s="161" t="s">
        <v>74</v>
      </c>
      <c r="E13235" s="135">
        <f t="shared" si="62"/>
        <v>3</v>
      </c>
      <c r="F13235" s="135" t="s">
        <v>5344</v>
      </c>
      <c r="G13235" s="63" t="str">
        <f>VLOOKUP(C13235, 'Class Def. - General Data'!$C$20:$C$1000,1,false)</f>
        <v>#N/A</v>
      </c>
      <c r="H13235" s="63" t="str">
        <f>IFERROR(__xludf.DUMMYFUNCTION("VLOOKUP(F13235, IMPORTRANGE(""https://docs.google.com/spreadsheets/d/1Lhp9OU0JdFf_VYSMzH5lBcEaU4o8teT1piV-SNzShjg/edit?gid=554141278#gid=554141278"", ""'Char Def. - Attributes'!C20:C2242""), 1,false)"),"#N/A")</f>
        <v>#N/A</v>
      </c>
      <c r="I13235" s="136"/>
      <c r="R13235" s="63" t="str">
        <f t="shared" si="60"/>
        <v>ZSI1_ROOFINGLENGTH_MM_ROOFING</v>
      </c>
    </row>
    <row r="13236" ht="15.75" customHeight="1">
      <c r="B13236" s="63">
        <f t="shared" si="1"/>
        <v>12</v>
      </c>
      <c r="C13236" s="135" t="s">
        <v>5341</v>
      </c>
      <c r="D13236" s="161" t="s">
        <v>74</v>
      </c>
      <c r="E13236" s="135">
        <f t="shared" si="62"/>
        <v>4</v>
      </c>
      <c r="F13236" s="135" t="s">
        <v>5345</v>
      </c>
      <c r="G13236" s="63" t="str">
        <f>VLOOKUP(C13236, 'Class Def. - General Data'!$C$20:$C$1000,1,false)</f>
        <v>#N/A</v>
      </c>
      <c r="H13236" s="63" t="str">
        <f>IFERROR(__xludf.DUMMYFUNCTION("VLOOKUP(F13236, IMPORTRANGE(""https://docs.google.com/spreadsheets/d/1Lhp9OU0JdFf_VYSMzH5lBcEaU4o8teT1piV-SNzShjg/edit?gid=554141278#gid=554141278"", ""'Char Def. - Attributes'!C20:C2242""), 1,false)"),"#N/A")</f>
        <v>#N/A</v>
      </c>
      <c r="I13236" s="136"/>
      <c r="R13236" s="63" t="str">
        <f t="shared" si="60"/>
        <v>ZSI1_ROOFINGWIDTH_MM_ROOFING</v>
      </c>
    </row>
    <row r="13237" ht="15.75" customHeight="1">
      <c r="B13237" s="63">
        <f t="shared" si="1"/>
        <v>12</v>
      </c>
      <c r="C13237" s="135" t="s">
        <v>5341</v>
      </c>
      <c r="D13237" s="161" t="s">
        <v>74</v>
      </c>
      <c r="E13237" s="135">
        <f t="shared" si="62"/>
        <v>5</v>
      </c>
      <c r="F13237" s="135" t="s">
        <v>5346</v>
      </c>
      <c r="G13237" s="63" t="str">
        <f>VLOOKUP(C13237, 'Class Def. - General Data'!$C$20:$C$1000,1,false)</f>
        <v>#N/A</v>
      </c>
      <c r="H13237" s="63" t="str">
        <f>IFERROR(__xludf.DUMMYFUNCTION("VLOOKUP(F13237, IMPORTRANGE(""https://docs.google.com/spreadsheets/d/1Lhp9OU0JdFf_VYSMzH5lBcEaU4o8teT1piV-SNzShjg/edit?gid=554141278#gid=554141278"", ""'Char Def. - Attributes'!C20:C2242""), 1,false)"),"#N/A")</f>
        <v>#N/A</v>
      </c>
      <c r="I13237" s="136"/>
      <c r="R13237" s="63" t="str">
        <f t="shared" si="60"/>
        <v>ZSI1_ROOFINGTHICKNESS_MM_ROOFING</v>
      </c>
    </row>
    <row r="13238" ht="15.75" customHeight="1">
      <c r="B13238" s="63">
        <f t="shared" si="1"/>
        <v>12</v>
      </c>
      <c r="C13238" s="135" t="s">
        <v>5341</v>
      </c>
      <c r="D13238" s="161" t="s">
        <v>74</v>
      </c>
      <c r="E13238" s="135">
        <f t="shared" si="62"/>
        <v>6</v>
      </c>
      <c r="F13238" s="134" t="s">
        <v>3585</v>
      </c>
      <c r="G13238" s="63" t="str">
        <f>VLOOKUP(C13238, 'Class Def. - General Data'!$C$20:$C$1000,1,false)</f>
        <v>#N/A</v>
      </c>
      <c r="H13238" s="63" t="str">
        <f>IFERROR(__xludf.DUMMYFUNCTION("VLOOKUP(F13238, IMPORTRANGE(""https://docs.google.com/spreadsheets/d/1Lhp9OU0JdFf_VYSMzH5lBcEaU4o8teT1piV-SNzShjg/edit?gid=554141278#gid=554141278"", ""'Char Def. - Attributes'!C20:C2242""), 1,false)"),"HS_CODE")</f>
        <v>HS_CODE</v>
      </c>
      <c r="I13238" s="136"/>
      <c r="R13238" s="63" t="str">
        <f t="shared" si="60"/>
        <v>ZSI1_ROOFINGHS_CODE</v>
      </c>
    </row>
    <row r="13239" ht="15.75" customHeight="1">
      <c r="B13239" s="63">
        <f t="shared" si="1"/>
        <v>12</v>
      </c>
      <c r="C13239" s="135" t="s">
        <v>5341</v>
      </c>
      <c r="D13239" s="161" t="s">
        <v>74</v>
      </c>
      <c r="E13239" s="135">
        <f t="shared" si="62"/>
        <v>7</v>
      </c>
      <c r="F13239" s="134" t="s">
        <v>3587</v>
      </c>
      <c r="G13239" s="63" t="str">
        <f>VLOOKUP(C13239, 'Class Def. - General Data'!$C$20:$C$1000,1,false)</f>
        <v>#N/A</v>
      </c>
      <c r="H13239" s="63" t="str">
        <f>IFERROR(__xludf.DUMMYFUNCTION("VLOOKUP(F13239, IMPORTRANGE(""https://docs.google.com/spreadsheets/d/1Lhp9OU0JdFf_VYSMzH5lBcEaU4o8teT1piV-SNzShjg/edit?gid=554141278#gid=554141278"", ""'Char Def. - Attributes'!C20:C2242""), 1,false)"),"PLANT_BUY")</f>
        <v>PLANT_BUY</v>
      </c>
      <c r="I13239" s="136"/>
      <c r="R13239" s="63" t="str">
        <f t="shared" si="60"/>
        <v>ZSI1_ROOFINGPLANT_BUY</v>
      </c>
    </row>
    <row r="13240" ht="15.75" customHeight="1">
      <c r="B13240" s="63">
        <f t="shared" si="1"/>
        <v>12</v>
      </c>
      <c r="C13240" s="135" t="s">
        <v>5341</v>
      </c>
      <c r="D13240" s="161" t="s">
        <v>74</v>
      </c>
      <c r="E13240" s="135">
        <f t="shared" si="62"/>
        <v>8</v>
      </c>
      <c r="F13240" s="135" t="s">
        <v>5347</v>
      </c>
      <c r="G13240" s="63" t="str">
        <f>VLOOKUP(C13240, 'Class Def. - General Data'!$C$20:$C$1000,1,false)</f>
        <v>#N/A</v>
      </c>
      <c r="H13240" s="63" t="str">
        <f>IFERROR(__xludf.DUMMYFUNCTION("VLOOKUP(F13240, IMPORTRANGE(""https://docs.google.com/spreadsheets/d/1Lhp9OU0JdFf_VYSMzH5lBcEaU4o8teT1piV-SNzShjg/edit?gid=554141278#gid=554141278"", ""'Char Def. - Attributes'!C20:C2242""), 1,false)"),"#N/A")</f>
        <v>#N/A</v>
      </c>
      <c r="I13240" s="136"/>
      <c r="R13240" s="63" t="str">
        <f t="shared" si="60"/>
        <v>ZSI1_ROOFINGBASE_UOM_ROOFING</v>
      </c>
    </row>
    <row r="13241" ht="15.75" customHeight="1">
      <c r="B13241" s="63">
        <f t="shared" si="1"/>
        <v>12</v>
      </c>
      <c r="C13241" s="135" t="s">
        <v>5341</v>
      </c>
      <c r="D13241" s="161" t="s">
        <v>74</v>
      </c>
      <c r="E13241" s="135">
        <f t="shared" si="62"/>
        <v>9</v>
      </c>
      <c r="F13241" s="135" t="s">
        <v>5348</v>
      </c>
      <c r="G13241" s="63" t="str">
        <f>VLOOKUP(C13241, 'Class Def. - General Data'!$C$20:$C$1000,1,false)</f>
        <v>#N/A</v>
      </c>
      <c r="H13241" s="63" t="str">
        <f>IFERROR(__xludf.DUMMYFUNCTION("VLOOKUP(F13241, IMPORTRANGE(""https://docs.google.com/spreadsheets/d/1Lhp9OU0JdFf_VYSMzH5lBcEaU4o8teT1piV-SNzShjg/edit?gid=554141278#gid=554141278"", ""'Char Def. - Attributes'!C20:C2242""), 1,false)"),"#N/A")</f>
        <v>#N/A</v>
      </c>
      <c r="I13241" s="136"/>
      <c r="R13241" s="63" t="str">
        <f t="shared" si="60"/>
        <v>ZSI1_ROOFINGORDER_UNIT_ROOFING</v>
      </c>
    </row>
    <row r="13242" ht="15.75" customHeight="1">
      <c r="B13242" s="63">
        <f t="shared" si="1"/>
        <v>12</v>
      </c>
      <c r="C13242" s="135" t="s">
        <v>5341</v>
      </c>
      <c r="D13242" s="161" t="s">
        <v>74</v>
      </c>
      <c r="E13242" s="135">
        <f t="shared" si="62"/>
        <v>10</v>
      </c>
      <c r="F13242" s="134" t="s">
        <v>4056</v>
      </c>
      <c r="G13242" s="63" t="str">
        <f>VLOOKUP(C13242, 'Class Def. - General Data'!$C$20:$C$1000,1,false)</f>
        <v>#N/A</v>
      </c>
      <c r="H13242" s="63" t="str">
        <f>IFERROR(__xludf.DUMMYFUNCTION("VLOOKUP(F13242, IMPORTRANGE(""https://docs.google.com/spreadsheets/d/1Lhp9OU0JdFf_VYSMzH5lBcEaU4o8teT1piV-SNzShjg/edit?gid=554141278#gid=554141278"", ""'Char Def. - Attributes'!C20:C2242""), 1,false)"),"GROSS_WEIGHT_OPT")</f>
        <v>GROSS_WEIGHT_OPT</v>
      </c>
      <c r="I13242" s="136"/>
      <c r="R13242" s="63" t="str">
        <f t="shared" si="60"/>
        <v>ZSI1_ROOFINGGROSS_WEIGHT_OPT</v>
      </c>
    </row>
    <row r="13243" ht="15.75" customHeight="1">
      <c r="B13243" s="63">
        <f t="shared" si="1"/>
        <v>12</v>
      </c>
      <c r="C13243" s="135" t="s">
        <v>5341</v>
      </c>
      <c r="D13243" s="161" t="s">
        <v>74</v>
      </c>
      <c r="E13243" s="135">
        <f t="shared" si="62"/>
        <v>11</v>
      </c>
      <c r="F13243" s="134" t="s">
        <v>4057</v>
      </c>
      <c r="G13243" s="63" t="str">
        <f>VLOOKUP(C13243, 'Class Def. - General Data'!$C$20:$C$1000,1,false)</f>
        <v>#N/A</v>
      </c>
      <c r="H13243" s="63" t="str">
        <f>IFERROR(__xludf.DUMMYFUNCTION("VLOOKUP(F13243, IMPORTRANGE(""https://docs.google.com/spreadsheets/d/1Lhp9OU0JdFf_VYSMzH5lBcEaU4o8teT1piV-SNzShjg/edit?gid=554141278#gid=554141278"", ""'Char Def. - Attributes'!C20:C2242""), 1,false)"),"NET_WEIGHT_OPT")</f>
        <v>NET_WEIGHT_OPT</v>
      </c>
      <c r="I13243" s="136"/>
      <c r="R13243" s="63" t="str">
        <f t="shared" si="60"/>
        <v>ZSI1_ROOFINGNET_WEIGHT_OPT</v>
      </c>
    </row>
    <row r="13244" ht="15.75" customHeight="1">
      <c r="B13244" s="63">
        <f t="shared" si="1"/>
        <v>12</v>
      </c>
      <c r="C13244" s="135" t="s">
        <v>5341</v>
      </c>
      <c r="D13244" s="161" t="s">
        <v>74</v>
      </c>
      <c r="E13244" s="135">
        <f t="shared" si="62"/>
        <v>12</v>
      </c>
      <c r="F13244" s="134" t="s">
        <v>4058</v>
      </c>
      <c r="G13244" s="63" t="str">
        <f>VLOOKUP(C13244, 'Class Def. - General Data'!$C$20:$C$1000,1,false)</f>
        <v>#N/A</v>
      </c>
      <c r="H13244" s="63" t="str">
        <f>IFERROR(__xludf.DUMMYFUNCTION("VLOOKUP(F13244, IMPORTRANGE(""https://docs.google.com/spreadsheets/d/1Lhp9OU0JdFf_VYSMzH5lBcEaU4o8teT1piV-SNzShjg/edit?gid=554141278#gid=554141278"", ""'Char Def. - Attributes'!C20:C2242""), 1,false)"),"WEIGHT_UNIT_SI")</f>
        <v>WEIGHT_UNIT_SI</v>
      </c>
      <c r="I13244" s="136"/>
      <c r="R13244" s="63" t="str">
        <f t="shared" si="60"/>
        <v>ZSI1_ROOFINGWEIGHT_UNIT_SI</v>
      </c>
    </row>
    <row r="13245" ht="15.75" customHeight="1">
      <c r="B13245" s="63">
        <f t="shared" si="1"/>
        <v>12</v>
      </c>
      <c r="C13245" s="135" t="s">
        <v>5341</v>
      </c>
      <c r="D13245" s="161" t="s">
        <v>74</v>
      </c>
      <c r="E13245" s="135">
        <f t="shared" si="62"/>
        <v>13</v>
      </c>
      <c r="F13245" s="134" t="s">
        <v>3877</v>
      </c>
      <c r="G13245" s="63" t="str">
        <f>VLOOKUP(C13245, 'Class Def. - General Data'!$C$20:$C$1000,1,false)</f>
        <v>#N/A</v>
      </c>
      <c r="H13245" s="63" t="str">
        <f>IFERROR(__xludf.DUMMYFUNCTION("VLOOKUP(F13245, IMPORTRANGE(""https://docs.google.com/spreadsheets/d/1Lhp9OU0JdFf_VYSMzH5lBcEaU4o8teT1piV-SNzShjg/edit?gid=554141278#gid=554141278"", ""'Char Def. - Attributes'!C20:C2242""), 1,false)"),"VOLUME_OPT")</f>
        <v>VOLUME_OPT</v>
      </c>
      <c r="I13245" s="136"/>
      <c r="R13245" s="63" t="str">
        <f t="shared" si="60"/>
        <v>ZSI1_ROOFINGVOLUME_OPT</v>
      </c>
    </row>
    <row r="13246" ht="15.75" customHeight="1">
      <c r="B13246" s="63">
        <f t="shared" si="1"/>
        <v>12</v>
      </c>
      <c r="C13246" s="135" t="s">
        <v>5341</v>
      </c>
      <c r="D13246" s="161" t="s">
        <v>74</v>
      </c>
      <c r="E13246" s="135">
        <f t="shared" si="62"/>
        <v>14</v>
      </c>
      <c r="F13246" s="134" t="s">
        <v>4059</v>
      </c>
      <c r="G13246" s="63" t="str">
        <f>VLOOKUP(C13246, 'Class Def. - General Data'!$C$20:$C$1000,1,false)</f>
        <v>#N/A</v>
      </c>
      <c r="H13246" s="63" t="str">
        <f>IFERROR(__xludf.DUMMYFUNCTION("VLOOKUP(F13246, IMPORTRANGE(""https://docs.google.com/spreadsheets/d/1Lhp9OU0JdFf_VYSMzH5lBcEaU4o8teT1piV-SNzShjg/edit?gid=554141278#gid=554141278"", ""'Char Def. - Attributes'!C20:C2242""), 1,false)"),"VOLUME_UNIT_SI")</f>
        <v>VOLUME_UNIT_SI</v>
      </c>
      <c r="I13246" s="136"/>
      <c r="R13246" s="63" t="str">
        <f t="shared" si="60"/>
        <v>ZSI1_ROOFINGVOLUME_UNIT_SI</v>
      </c>
    </row>
    <row r="13247" ht="15.75" customHeight="1">
      <c r="B13247" s="63">
        <f t="shared" si="1"/>
        <v>12</v>
      </c>
      <c r="C13247" s="135" t="s">
        <v>5341</v>
      </c>
      <c r="D13247" s="161" t="s">
        <v>74</v>
      </c>
      <c r="E13247" s="135">
        <f t="shared" si="62"/>
        <v>15</v>
      </c>
      <c r="F13247" s="134" t="s">
        <v>3804</v>
      </c>
      <c r="G13247" s="63" t="str">
        <f>VLOOKUP(C13247, 'Class Def. - General Data'!$C$20:$C$1000,1,false)</f>
        <v>#N/A</v>
      </c>
      <c r="H13247" s="63" t="str">
        <f>IFERROR(__xludf.DUMMYFUNCTION("VLOOKUP(F13247, IMPORTRANGE(""https://docs.google.com/spreadsheets/d/1Lhp9OU0JdFf_VYSMzH5lBcEaU4o8teT1piV-SNzShjg/edit?gid=554141278#gid=554141278"", ""'Char Def. - Attributes'!C20:C2242""), 1,false)"),"ALT_UOM1_SIPI")</f>
        <v>ALT_UOM1_SIPI</v>
      </c>
      <c r="I13247" s="136"/>
      <c r="R13247" s="63" t="str">
        <f t="shared" si="60"/>
        <v>ZSI1_ROOFINGALT_UOM1_SIPI</v>
      </c>
    </row>
    <row r="13248" ht="15.75" customHeight="1">
      <c r="B13248" s="63">
        <f t="shared" si="1"/>
        <v>12</v>
      </c>
      <c r="C13248" s="135" t="s">
        <v>5341</v>
      </c>
      <c r="D13248" s="161" t="s">
        <v>74</v>
      </c>
      <c r="E13248" s="135">
        <f t="shared" si="62"/>
        <v>16</v>
      </c>
      <c r="F13248" s="134" t="s">
        <v>3805</v>
      </c>
      <c r="G13248" s="63" t="str">
        <f>VLOOKUP(C13248, 'Class Def. - General Data'!$C$20:$C$1000,1,false)</f>
        <v>#N/A</v>
      </c>
      <c r="H13248" s="63" t="str">
        <f>IFERROR(__xludf.DUMMYFUNCTION("VLOOKUP(F13248, IMPORTRANGE(""https://docs.google.com/spreadsheets/d/1Lhp9OU0JdFf_VYSMzH5lBcEaU4o8teT1piV-SNzShjg/edit?gid=554141278#gid=554141278"", ""'Char Def. - Attributes'!C20:C2242""), 1,false)"),"ALT_DENUM_UOM1")</f>
        <v>ALT_DENUM_UOM1</v>
      </c>
      <c r="I13248" s="136"/>
      <c r="R13248" s="63" t="str">
        <f t="shared" si="60"/>
        <v>ZSI1_ROOFINGALT_DENUM_UOM1</v>
      </c>
    </row>
    <row r="13249" ht="15.75" customHeight="1">
      <c r="B13249" s="63">
        <f t="shared" si="1"/>
        <v>12</v>
      </c>
      <c r="C13249" s="135" t="s">
        <v>5341</v>
      </c>
      <c r="D13249" s="161" t="s">
        <v>74</v>
      </c>
      <c r="E13249" s="135">
        <f t="shared" si="62"/>
        <v>17</v>
      </c>
      <c r="F13249" s="134" t="s">
        <v>3806</v>
      </c>
      <c r="G13249" s="63" t="str">
        <f>VLOOKUP(C13249, 'Class Def. - General Data'!$C$20:$C$1000,1,false)</f>
        <v>#N/A</v>
      </c>
      <c r="H13249" s="63" t="str">
        <f>IFERROR(__xludf.DUMMYFUNCTION("VLOOKUP(F13249, IMPORTRANGE(""https://docs.google.com/spreadsheets/d/1Lhp9OU0JdFf_VYSMzH5lBcEaU4o8teT1piV-SNzShjg/edit?gid=554141278#gid=554141278"", ""'Char Def. - Attributes'!C20:C2242""), 1,false)"),"ALT_NUM_UOM1")</f>
        <v>ALT_NUM_UOM1</v>
      </c>
      <c r="I13249" s="136"/>
      <c r="R13249" s="63" t="str">
        <f t="shared" si="60"/>
        <v>ZSI1_ROOFINGALT_NUM_UOM1</v>
      </c>
    </row>
    <row r="13250" ht="15.75" customHeight="1">
      <c r="B13250" s="63">
        <f t="shared" si="1"/>
        <v>12</v>
      </c>
      <c r="C13250" s="135" t="s">
        <v>5341</v>
      </c>
      <c r="D13250" s="161" t="s">
        <v>74</v>
      </c>
      <c r="E13250" s="135">
        <f t="shared" si="62"/>
        <v>18</v>
      </c>
      <c r="F13250" s="134" t="s">
        <v>3807</v>
      </c>
      <c r="G13250" s="63" t="str">
        <f>VLOOKUP(C13250, 'Class Def. - General Data'!$C$20:$C$1000,1,false)</f>
        <v>#N/A</v>
      </c>
      <c r="H13250" s="63" t="str">
        <f>IFERROR(__xludf.DUMMYFUNCTION("VLOOKUP(F13250, IMPORTRANGE(""https://docs.google.com/spreadsheets/d/1Lhp9OU0JdFf_VYSMzH5lBcEaU4o8teT1piV-SNzShjg/edit?gid=554141278#gid=554141278"", ""'Char Def. - Attributes'!C20:C2242""), 1,false)"),"ALT_UOM2_SIPI")</f>
        <v>ALT_UOM2_SIPI</v>
      </c>
      <c r="I13250" s="136"/>
      <c r="R13250" s="63" t="str">
        <f t="shared" si="60"/>
        <v>ZSI1_ROOFINGALT_UOM2_SIPI</v>
      </c>
    </row>
    <row r="13251" ht="15.75" customHeight="1">
      <c r="B13251" s="63">
        <f t="shared" si="1"/>
        <v>12</v>
      </c>
      <c r="C13251" s="135" t="s">
        <v>5341</v>
      </c>
      <c r="D13251" s="161" t="s">
        <v>74</v>
      </c>
      <c r="E13251" s="135">
        <f t="shared" si="62"/>
        <v>19</v>
      </c>
      <c r="F13251" s="134" t="s">
        <v>3808</v>
      </c>
      <c r="G13251" s="63" t="str">
        <f>VLOOKUP(C13251, 'Class Def. - General Data'!$C$20:$C$1000,1,false)</f>
        <v>#N/A</v>
      </c>
      <c r="H13251" s="63" t="str">
        <f>IFERROR(__xludf.DUMMYFUNCTION("VLOOKUP(F13251, IMPORTRANGE(""https://docs.google.com/spreadsheets/d/1Lhp9OU0JdFf_VYSMzH5lBcEaU4o8teT1piV-SNzShjg/edit?gid=554141278#gid=554141278"", ""'Char Def. - Attributes'!C20:C2242""), 1,false)"),"ALT_DENUM_UOM2")</f>
        <v>ALT_DENUM_UOM2</v>
      </c>
      <c r="I13251" s="136"/>
      <c r="R13251" s="63" t="str">
        <f t="shared" si="60"/>
        <v>ZSI1_ROOFINGALT_DENUM_UOM2</v>
      </c>
    </row>
    <row r="13252" ht="15.75" customHeight="1">
      <c r="B13252" s="63">
        <f t="shared" si="1"/>
        <v>12</v>
      </c>
      <c r="C13252" s="135" t="s">
        <v>5341</v>
      </c>
      <c r="D13252" s="161" t="s">
        <v>74</v>
      </c>
      <c r="E13252" s="135">
        <f t="shared" si="62"/>
        <v>20</v>
      </c>
      <c r="F13252" s="134" t="s">
        <v>3809</v>
      </c>
      <c r="G13252" s="63" t="str">
        <f>VLOOKUP(C13252, 'Class Def. - General Data'!$C$20:$C$1000,1,false)</f>
        <v>#N/A</v>
      </c>
      <c r="H13252" s="63" t="str">
        <f>IFERROR(__xludf.DUMMYFUNCTION("VLOOKUP(F13252, IMPORTRANGE(""https://docs.google.com/spreadsheets/d/1Lhp9OU0JdFf_VYSMzH5lBcEaU4o8teT1piV-SNzShjg/edit?gid=554141278#gid=554141278"", ""'Char Def. - Attributes'!C20:C2242""), 1,false)"),"ALT_NUM_UOM2")</f>
        <v>ALT_NUM_UOM2</v>
      </c>
      <c r="I13252" s="136"/>
      <c r="R13252" s="63" t="str">
        <f t="shared" si="60"/>
        <v>ZSI1_ROOFINGALT_NUM_UOM2</v>
      </c>
    </row>
    <row r="13253" ht="15.75" customHeight="1">
      <c r="B13253" s="63">
        <f t="shared" si="1"/>
        <v>12</v>
      </c>
      <c r="C13253" s="135" t="s">
        <v>5341</v>
      </c>
      <c r="D13253" s="161" t="s">
        <v>74</v>
      </c>
      <c r="E13253" s="135">
        <f t="shared" si="62"/>
        <v>21</v>
      </c>
      <c r="F13253" s="134" t="s">
        <v>3810</v>
      </c>
      <c r="G13253" s="63" t="str">
        <f>VLOOKUP(C13253, 'Class Def. - General Data'!$C$20:$C$1000,1,false)</f>
        <v>#N/A</v>
      </c>
      <c r="H13253" s="63" t="str">
        <f>IFERROR(__xludf.DUMMYFUNCTION("VLOOKUP(F13253, IMPORTRANGE(""https://docs.google.com/spreadsheets/d/1Lhp9OU0JdFf_VYSMzH5lBcEaU4o8teT1piV-SNzShjg/edit?gid=554141278#gid=554141278"", ""'Char Def. - Attributes'!C20:C2242""), 1,false)"),"ALT_UOM3_SIPI")</f>
        <v>ALT_UOM3_SIPI</v>
      </c>
      <c r="I13253" s="136"/>
      <c r="R13253" s="63" t="str">
        <f t="shared" si="60"/>
        <v>ZSI1_ROOFINGALT_UOM3_SIPI</v>
      </c>
    </row>
    <row r="13254" ht="15.75" customHeight="1">
      <c r="B13254" s="63">
        <f t="shared" si="1"/>
        <v>12</v>
      </c>
      <c r="C13254" s="135" t="s">
        <v>5341</v>
      </c>
      <c r="D13254" s="161" t="s">
        <v>74</v>
      </c>
      <c r="E13254" s="135">
        <f t="shared" si="62"/>
        <v>22</v>
      </c>
      <c r="F13254" s="134" t="s">
        <v>3811</v>
      </c>
      <c r="G13254" s="63" t="str">
        <f>VLOOKUP(C13254, 'Class Def. - General Data'!$C$20:$C$1000,1,false)</f>
        <v>#N/A</v>
      </c>
      <c r="H13254" s="63" t="str">
        <f>IFERROR(__xludf.DUMMYFUNCTION("VLOOKUP(F13254, IMPORTRANGE(""https://docs.google.com/spreadsheets/d/1Lhp9OU0JdFf_VYSMzH5lBcEaU4o8teT1piV-SNzShjg/edit?gid=554141278#gid=554141278"", ""'Char Def. - Attributes'!C20:C2242""), 1,false)"),"ALT_DENUM_UOM3")</f>
        <v>ALT_DENUM_UOM3</v>
      </c>
      <c r="I13254" s="136"/>
      <c r="R13254" s="63" t="str">
        <f t="shared" si="60"/>
        <v>ZSI1_ROOFINGALT_DENUM_UOM3</v>
      </c>
    </row>
    <row r="13255" ht="15.75" customHeight="1">
      <c r="B13255" s="63">
        <f t="shared" si="1"/>
        <v>12</v>
      </c>
      <c r="C13255" s="135" t="s">
        <v>5341</v>
      </c>
      <c r="D13255" s="161" t="s">
        <v>74</v>
      </c>
      <c r="E13255" s="135">
        <f t="shared" si="62"/>
        <v>23</v>
      </c>
      <c r="F13255" s="134" t="s">
        <v>3812</v>
      </c>
      <c r="G13255" s="63" t="str">
        <f>VLOOKUP(C13255, 'Class Def. - General Data'!$C$20:$C$1000,1,false)</f>
        <v>#N/A</v>
      </c>
      <c r="H13255" s="63" t="str">
        <f>IFERROR(__xludf.DUMMYFUNCTION("VLOOKUP(F13255, IMPORTRANGE(""https://docs.google.com/spreadsheets/d/1Lhp9OU0JdFf_VYSMzH5lBcEaU4o8teT1piV-SNzShjg/edit?gid=554141278#gid=554141278"", ""'Char Def. - Attributes'!C20:C2242""), 1,false)"),"ALT_NUM_UOM3")</f>
        <v>ALT_NUM_UOM3</v>
      </c>
      <c r="I13255" s="136"/>
      <c r="R13255" s="63" t="str">
        <f t="shared" si="60"/>
        <v>ZSI1_ROOFINGALT_NUM_UOM3</v>
      </c>
    </row>
    <row r="13256" ht="15.75" customHeight="1">
      <c r="B13256" s="63">
        <f t="shared" si="1"/>
        <v>12</v>
      </c>
      <c r="C13256" s="135" t="s">
        <v>5341</v>
      </c>
      <c r="D13256" s="161" t="s">
        <v>74</v>
      </c>
      <c r="E13256" s="135">
        <f t="shared" si="62"/>
        <v>24</v>
      </c>
      <c r="F13256" s="134" t="s">
        <v>3813</v>
      </c>
      <c r="G13256" s="63" t="str">
        <f>VLOOKUP(C13256, 'Class Def. - General Data'!$C$20:$C$1000,1,false)</f>
        <v>#N/A</v>
      </c>
      <c r="H13256" s="63" t="str">
        <f>IFERROR(__xludf.DUMMYFUNCTION("VLOOKUP(F13256, IMPORTRANGE(""https://docs.google.com/spreadsheets/d/1Lhp9OU0JdFf_VYSMzH5lBcEaU4o8teT1piV-SNzShjg/edit?gid=554141278#gid=554141278"", ""'Char Def. - Attributes'!C20:C2242""), 1,false)"),"ALT_UOM4_SIPI")</f>
        <v>ALT_UOM4_SIPI</v>
      </c>
      <c r="I13256" s="136"/>
      <c r="R13256" s="63" t="str">
        <f t="shared" si="60"/>
        <v>ZSI1_ROOFINGALT_UOM4_SIPI</v>
      </c>
    </row>
    <row r="13257" ht="15.75" customHeight="1">
      <c r="B13257" s="63">
        <f t="shared" si="1"/>
        <v>12</v>
      </c>
      <c r="C13257" s="135" t="s">
        <v>5341</v>
      </c>
      <c r="D13257" s="161" t="s">
        <v>74</v>
      </c>
      <c r="E13257" s="135">
        <f t="shared" si="62"/>
        <v>25</v>
      </c>
      <c r="F13257" s="134" t="s">
        <v>3814</v>
      </c>
      <c r="G13257" s="63" t="str">
        <f>VLOOKUP(C13257, 'Class Def. - General Data'!$C$20:$C$1000,1,false)</f>
        <v>#N/A</v>
      </c>
      <c r="H13257" s="63" t="str">
        <f>IFERROR(__xludf.DUMMYFUNCTION("VLOOKUP(F13257, IMPORTRANGE(""https://docs.google.com/spreadsheets/d/1Lhp9OU0JdFf_VYSMzH5lBcEaU4o8teT1piV-SNzShjg/edit?gid=554141278#gid=554141278"", ""'Char Def. - Attributes'!C20:C2242""), 1,false)"),"ALT_DENUM_UOM4")</f>
        <v>ALT_DENUM_UOM4</v>
      </c>
      <c r="I13257" s="136"/>
      <c r="R13257" s="63" t="str">
        <f t="shared" si="60"/>
        <v>ZSI1_ROOFINGALT_DENUM_UOM4</v>
      </c>
    </row>
    <row r="13258" ht="15.75" customHeight="1">
      <c r="B13258" s="63">
        <f t="shared" si="1"/>
        <v>12</v>
      </c>
      <c r="C13258" s="135" t="s">
        <v>5341</v>
      </c>
      <c r="D13258" s="161" t="s">
        <v>74</v>
      </c>
      <c r="E13258" s="135">
        <f t="shared" si="62"/>
        <v>26</v>
      </c>
      <c r="F13258" s="134" t="s">
        <v>3815</v>
      </c>
      <c r="G13258" s="63" t="str">
        <f>VLOOKUP(C13258, 'Class Def. - General Data'!$C$20:$C$1000,1,false)</f>
        <v>#N/A</v>
      </c>
      <c r="H13258" s="63" t="str">
        <f>IFERROR(__xludf.DUMMYFUNCTION("VLOOKUP(F13258, IMPORTRANGE(""https://docs.google.com/spreadsheets/d/1Lhp9OU0JdFf_VYSMzH5lBcEaU4o8teT1piV-SNzShjg/edit?gid=554141278#gid=554141278"", ""'Char Def. - Attributes'!C20:C2242""), 1,false)"),"ALT_NUM_UOM4")</f>
        <v>ALT_NUM_UOM4</v>
      </c>
      <c r="I13258" s="136"/>
      <c r="R13258" s="63" t="str">
        <f t="shared" si="60"/>
        <v>ZSI1_ROOFINGALT_NUM_UOM4</v>
      </c>
    </row>
    <row r="13259" ht="15.75" customHeight="1">
      <c r="B13259" s="63">
        <f t="shared" si="1"/>
        <v>12</v>
      </c>
      <c r="C13259" s="135" t="s">
        <v>5341</v>
      </c>
      <c r="D13259" s="161" t="s">
        <v>74</v>
      </c>
      <c r="E13259" s="135">
        <f t="shared" si="62"/>
        <v>27</v>
      </c>
      <c r="F13259" s="134" t="s">
        <v>3816</v>
      </c>
      <c r="G13259" s="63" t="str">
        <f>VLOOKUP(C13259, 'Class Def. - General Data'!$C$20:$C$1000,1,false)</f>
        <v>#N/A</v>
      </c>
      <c r="H13259" s="63" t="str">
        <f>IFERROR(__xludf.DUMMYFUNCTION("VLOOKUP(F13259, IMPORTRANGE(""https://docs.google.com/spreadsheets/d/1Lhp9OU0JdFf_VYSMzH5lBcEaU4o8teT1piV-SNzShjg/edit?gid=554141278#gid=554141278"", ""'Char Def. - Attributes'!C20:C2242""), 1,false)"),"ALT_UOM5_SIPI")</f>
        <v>ALT_UOM5_SIPI</v>
      </c>
      <c r="I13259" s="136"/>
      <c r="R13259" s="63" t="str">
        <f t="shared" si="60"/>
        <v>ZSI1_ROOFINGALT_UOM5_SIPI</v>
      </c>
    </row>
    <row r="13260" ht="15.75" customHeight="1">
      <c r="B13260" s="63">
        <f t="shared" si="1"/>
        <v>12</v>
      </c>
      <c r="C13260" s="135" t="s">
        <v>5341</v>
      </c>
      <c r="D13260" s="161" t="s">
        <v>74</v>
      </c>
      <c r="E13260" s="135">
        <f t="shared" si="62"/>
        <v>28</v>
      </c>
      <c r="F13260" s="134" t="s">
        <v>3817</v>
      </c>
      <c r="G13260" s="63" t="str">
        <f>VLOOKUP(C13260, 'Class Def. - General Data'!$C$20:$C$1000,1,false)</f>
        <v>#N/A</v>
      </c>
      <c r="H13260" s="63" t="str">
        <f>IFERROR(__xludf.DUMMYFUNCTION("VLOOKUP(F13260, IMPORTRANGE(""https://docs.google.com/spreadsheets/d/1Lhp9OU0JdFf_VYSMzH5lBcEaU4o8teT1piV-SNzShjg/edit?gid=554141278#gid=554141278"", ""'Char Def. - Attributes'!C20:C2242""), 1,false)"),"ALT_DENUM_UOM5")</f>
        <v>ALT_DENUM_UOM5</v>
      </c>
      <c r="I13260" s="136"/>
      <c r="R13260" s="63" t="str">
        <f t="shared" si="60"/>
        <v>ZSI1_ROOFINGALT_DENUM_UOM5</v>
      </c>
    </row>
    <row r="13261" ht="15.75" customHeight="1">
      <c r="B13261" s="63">
        <f t="shared" si="1"/>
        <v>12</v>
      </c>
      <c r="C13261" s="135" t="s">
        <v>5341</v>
      </c>
      <c r="D13261" s="161" t="s">
        <v>74</v>
      </c>
      <c r="E13261" s="135">
        <f t="shared" si="62"/>
        <v>29</v>
      </c>
      <c r="F13261" s="134" t="s">
        <v>3818</v>
      </c>
      <c r="G13261" s="63" t="str">
        <f>VLOOKUP(C13261, 'Class Def. - General Data'!$C$20:$C$1000,1,false)</f>
        <v>#N/A</v>
      </c>
      <c r="H13261" s="63" t="str">
        <f>IFERROR(__xludf.DUMMYFUNCTION("VLOOKUP(F13261, IMPORTRANGE(""https://docs.google.com/spreadsheets/d/1Lhp9OU0JdFf_VYSMzH5lBcEaU4o8teT1piV-SNzShjg/edit?gid=554141278#gid=554141278"", ""'Char Def. - Attributes'!C20:C2242""), 1,false)"),"ALT_NUM_UOM5")</f>
        <v>ALT_NUM_UOM5</v>
      </c>
      <c r="I13261" s="136"/>
      <c r="R13261" s="63" t="str">
        <f t="shared" si="60"/>
        <v>ZSI1_ROOFINGALT_NUM_UOM5</v>
      </c>
    </row>
    <row r="13262" ht="15.75" customHeight="1">
      <c r="B13262" s="63">
        <f t="shared" si="1"/>
        <v>9</v>
      </c>
      <c r="C13262" s="135" t="s">
        <v>548</v>
      </c>
      <c r="D13262" s="161" t="s">
        <v>74</v>
      </c>
      <c r="E13262" s="135">
        <f t="shared" si="62"/>
        <v>1</v>
      </c>
      <c r="F13262" s="134" t="s">
        <v>5349</v>
      </c>
      <c r="G13262" s="63" t="str">
        <f>VLOOKUP(C13262, 'Class Def. - General Data'!$C$20:$C$1000,1,false)</f>
        <v>ZSI1_ROPE</v>
      </c>
      <c r="H13262" s="63" t="str">
        <f>IFERROR(__xludf.DUMMYFUNCTION("VLOOKUP(F13262, IMPORTRANGE(""https://docs.google.com/spreadsheets/d/1Lhp9OU0JdFf_VYSMzH5lBcEaU4o8teT1piV-SNzShjg/edit?gid=554141278#gid=554141278"", ""'Char Def. - Attributes'!C20:C2242""), 1,false)"),"ITEM_NAME_ROPE")</f>
        <v>ITEM_NAME_ROPE</v>
      </c>
      <c r="I13262" s="136"/>
      <c r="R13262" s="63" t="str">
        <f t="shared" si="60"/>
        <v>ZSI1_ROPEITEM_NAME_ROPE</v>
      </c>
    </row>
    <row r="13263" ht="15.75" customHeight="1">
      <c r="B13263" s="63">
        <f t="shared" si="1"/>
        <v>9</v>
      </c>
      <c r="C13263" s="135" t="s">
        <v>548</v>
      </c>
      <c r="D13263" s="161" t="s">
        <v>74</v>
      </c>
      <c r="E13263" s="135">
        <f t="shared" si="62"/>
        <v>2</v>
      </c>
      <c r="F13263" s="134" t="s">
        <v>5350</v>
      </c>
      <c r="G13263" s="63" t="str">
        <f>VLOOKUP(C13263, 'Class Def. - General Data'!$C$20:$C$1000,1,false)</f>
        <v>ZSI1_ROPE</v>
      </c>
      <c r="H13263" s="63" t="str">
        <f>IFERROR(__xludf.DUMMYFUNCTION("VLOOKUP(F13263, IMPORTRANGE(""https://docs.google.com/spreadsheets/d/1Lhp9OU0JdFf_VYSMzH5lBcEaU4o8teT1piV-SNzShjg/edit?gid=554141278#gid=554141278"", ""'Char Def. - Attributes'!C20:C2242""), 1,false)"),"MATERIAL_ROPE")</f>
        <v>MATERIAL_ROPE</v>
      </c>
      <c r="I13263" s="136"/>
      <c r="R13263" s="63" t="str">
        <f t="shared" si="60"/>
        <v>ZSI1_ROPEMATERIAL_ROPE</v>
      </c>
    </row>
    <row r="13264" ht="15.75" customHeight="1">
      <c r="B13264" s="63">
        <f t="shared" si="1"/>
        <v>9</v>
      </c>
      <c r="C13264" s="135" t="s">
        <v>548</v>
      </c>
      <c r="D13264" s="161" t="s">
        <v>74</v>
      </c>
      <c r="E13264" s="135">
        <f t="shared" si="62"/>
        <v>3</v>
      </c>
      <c r="F13264" s="134" t="s">
        <v>5351</v>
      </c>
      <c r="G13264" s="63" t="str">
        <f>VLOOKUP(C13264, 'Class Def. - General Data'!$C$20:$C$1000,1,false)</f>
        <v>ZSI1_ROPE</v>
      </c>
      <c r="H13264" s="63" t="str">
        <f>IFERROR(__xludf.DUMMYFUNCTION("VLOOKUP(F13264, IMPORTRANGE(""https://docs.google.com/spreadsheets/d/1Lhp9OU0JdFf_VYSMzH5lBcEaU4o8teT1piV-SNzShjg/edit?gid=554141278#gid=554141278"", ""'Char Def. - Attributes'!C20:C2242""), 1,false)"),"DIMENSION_DIAMETER_ROPE")</f>
        <v>DIMENSION_DIAMETER_ROPE</v>
      </c>
      <c r="I13264" s="136"/>
      <c r="R13264" s="63" t="str">
        <f t="shared" si="60"/>
        <v>ZSI1_ROPEDIMENSION_DIAMETER_ROPE</v>
      </c>
    </row>
    <row r="13265" ht="15.75" customHeight="1">
      <c r="B13265" s="63">
        <f t="shared" si="1"/>
        <v>9</v>
      </c>
      <c r="C13265" s="135" t="s">
        <v>548</v>
      </c>
      <c r="D13265" s="161" t="s">
        <v>74</v>
      </c>
      <c r="E13265" s="135">
        <f t="shared" si="62"/>
        <v>4</v>
      </c>
      <c r="F13265" s="134" t="s">
        <v>5352</v>
      </c>
      <c r="G13265" s="63" t="str">
        <f>VLOOKUP(C13265, 'Class Def. - General Data'!$C$20:$C$1000,1,false)</f>
        <v>ZSI1_ROPE</v>
      </c>
      <c r="H13265" s="63" t="str">
        <f>IFERROR(__xludf.DUMMYFUNCTION("VLOOKUP(F13265, IMPORTRANGE(""https://docs.google.com/spreadsheets/d/1Lhp9OU0JdFf_VYSMzH5lBcEaU4o8teT1piV-SNzShjg/edit?gid=554141278#gid=554141278"", ""'Char Def. - Attributes'!C20:C2242""), 1,false)"),"DIAMETER_ROPE")</f>
        <v>DIAMETER_ROPE</v>
      </c>
      <c r="I13265" s="136"/>
      <c r="R13265" s="63" t="str">
        <f t="shared" si="60"/>
        <v>ZSI1_ROPEDIAMETER_ROPE</v>
      </c>
    </row>
    <row r="13266" ht="15.75" customHeight="1">
      <c r="B13266" s="63">
        <f t="shared" si="1"/>
        <v>9</v>
      </c>
      <c r="C13266" s="135" t="s">
        <v>548</v>
      </c>
      <c r="D13266" s="161" t="s">
        <v>74</v>
      </c>
      <c r="E13266" s="135">
        <f t="shared" si="62"/>
        <v>5</v>
      </c>
      <c r="F13266" s="134" t="s">
        <v>5353</v>
      </c>
      <c r="G13266" s="63" t="str">
        <f>VLOOKUP(C13266, 'Class Def. - General Data'!$C$20:$C$1000,1,false)</f>
        <v>ZSI1_ROPE</v>
      </c>
      <c r="H13266" s="63" t="str">
        <f>IFERROR(__xludf.DUMMYFUNCTION("VLOOKUP(F13266, IMPORTRANGE(""https://docs.google.com/spreadsheets/d/1Lhp9OU0JdFf_VYSMzH5lBcEaU4o8teT1piV-SNzShjg/edit?gid=554141278#gid=554141278"", ""'Char Def. - Attributes'!C20:C2242""), 1,false)"),"LENGTH_M_ROPE")</f>
        <v>LENGTH_M_ROPE</v>
      </c>
      <c r="I13266" s="136"/>
      <c r="R13266" s="63" t="str">
        <f t="shared" si="60"/>
        <v>ZSI1_ROPELENGTH_M_ROPE</v>
      </c>
    </row>
    <row r="13267" ht="15.75" customHeight="1">
      <c r="B13267" s="63">
        <f t="shared" si="1"/>
        <v>9</v>
      </c>
      <c r="C13267" s="135" t="s">
        <v>548</v>
      </c>
      <c r="D13267" s="161" t="s">
        <v>74</v>
      </c>
      <c r="E13267" s="135">
        <f t="shared" si="62"/>
        <v>6</v>
      </c>
      <c r="F13267" s="134" t="s">
        <v>3585</v>
      </c>
      <c r="G13267" s="63" t="str">
        <f>VLOOKUP(C13267, 'Class Def. - General Data'!$C$20:$C$1000,1,false)</f>
        <v>ZSI1_ROPE</v>
      </c>
      <c r="H13267" s="63" t="str">
        <f>IFERROR(__xludf.DUMMYFUNCTION("VLOOKUP(F13267, IMPORTRANGE(""https://docs.google.com/spreadsheets/d/1Lhp9OU0JdFf_VYSMzH5lBcEaU4o8teT1piV-SNzShjg/edit?gid=554141278#gid=554141278"", ""'Char Def. - Attributes'!C20:C2242""), 1,false)"),"HS_CODE")</f>
        <v>HS_CODE</v>
      </c>
      <c r="I13267" s="136"/>
      <c r="R13267" s="63" t="str">
        <f t="shared" si="60"/>
        <v>ZSI1_ROPEHS_CODE</v>
      </c>
    </row>
    <row r="13268" ht="15.75" customHeight="1">
      <c r="B13268" s="63">
        <f t="shared" si="1"/>
        <v>9</v>
      </c>
      <c r="C13268" s="135" t="s">
        <v>548</v>
      </c>
      <c r="D13268" s="161" t="s">
        <v>74</v>
      </c>
      <c r="E13268" s="135">
        <f t="shared" si="62"/>
        <v>7</v>
      </c>
      <c r="F13268" s="134" t="s">
        <v>3587</v>
      </c>
      <c r="G13268" s="63" t="str">
        <f>VLOOKUP(C13268, 'Class Def. - General Data'!$C$20:$C$1000,1,false)</f>
        <v>ZSI1_ROPE</v>
      </c>
      <c r="H13268" s="63" t="str">
        <f>IFERROR(__xludf.DUMMYFUNCTION("VLOOKUP(F13268, IMPORTRANGE(""https://docs.google.com/spreadsheets/d/1Lhp9OU0JdFf_VYSMzH5lBcEaU4o8teT1piV-SNzShjg/edit?gid=554141278#gid=554141278"", ""'Char Def. - Attributes'!C20:C2242""), 1,false)"),"PLANT_BUY")</f>
        <v>PLANT_BUY</v>
      </c>
      <c r="I13268" s="136"/>
      <c r="R13268" s="63" t="str">
        <f t="shared" si="60"/>
        <v>ZSI1_ROPEPLANT_BUY</v>
      </c>
    </row>
    <row r="13269" ht="15.75" customHeight="1">
      <c r="B13269" s="63">
        <f t="shared" si="1"/>
        <v>9</v>
      </c>
      <c r="C13269" s="135" t="s">
        <v>548</v>
      </c>
      <c r="D13269" s="161" t="s">
        <v>74</v>
      </c>
      <c r="E13269" s="135">
        <f t="shared" si="62"/>
        <v>8</v>
      </c>
      <c r="F13269" s="134" t="s">
        <v>5354</v>
      </c>
      <c r="G13269" s="63" t="str">
        <f>VLOOKUP(C13269, 'Class Def. - General Data'!$C$20:$C$1000,1,false)</f>
        <v>ZSI1_ROPE</v>
      </c>
      <c r="H13269" s="63" t="str">
        <f>IFERROR(__xludf.DUMMYFUNCTION("VLOOKUP(F13269, IMPORTRANGE(""https://docs.google.com/spreadsheets/d/1Lhp9OU0JdFf_VYSMzH5lBcEaU4o8teT1piV-SNzShjg/edit?gid=554141278#gid=554141278"", ""'Char Def. - Attributes'!C20:C2242""), 1,false)"),"BASE_UOM_ROPE")</f>
        <v>BASE_UOM_ROPE</v>
      </c>
      <c r="I13269" s="136"/>
      <c r="R13269" s="63" t="str">
        <f t="shared" si="60"/>
        <v>ZSI1_ROPEBASE_UOM_ROPE</v>
      </c>
    </row>
    <row r="13270" ht="15.75" customHeight="1">
      <c r="B13270" s="63">
        <f t="shared" si="1"/>
        <v>9</v>
      </c>
      <c r="C13270" s="135" t="s">
        <v>548</v>
      </c>
      <c r="D13270" s="161" t="s">
        <v>74</v>
      </c>
      <c r="E13270" s="135">
        <f t="shared" si="62"/>
        <v>9</v>
      </c>
      <c r="F13270" s="134" t="s">
        <v>5355</v>
      </c>
      <c r="G13270" s="63" t="str">
        <f>VLOOKUP(C13270, 'Class Def. - General Data'!$C$20:$C$1000,1,false)</f>
        <v>ZSI1_ROPE</v>
      </c>
      <c r="H13270" s="63" t="str">
        <f>IFERROR(__xludf.DUMMYFUNCTION("VLOOKUP(F13270, IMPORTRANGE(""https://docs.google.com/spreadsheets/d/1Lhp9OU0JdFf_VYSMzH5lBcEaU4o8teT1piV-SNzShjg/edit?gid=554141278#gid=554141278"", ""'Char Def. - Attributes'!C20:C2242""), 1,false)"),"ORDER_UNIT_ROPE")</f>
        <v>ORDER_UNIT_ROPE</v>
      </c>
      <c r="I13270" s="136"/>
      <c r="R13270" s="63" t="str">
        <f t="shared" si="60"/>
        <v>ZSI1_ROPEORDER_UNIT_ROPE</v>
      </c>
    </row>
    <row r="13271" ht="15.75" customHeight="1">
      <c r="B13271" s="63">
        <f t="shared" si="1"/>
        <v>9</v>
      </c>
      <c r="C13271" s="135" t="s">
        <v>548</v>
      </c>
      <c r="D13271" s="161" t="s">
        <v>74</v>
      </c>
      <c r="E13271" s="135">
        <f t="shared" si="62"/>
        <v>10</v>
      </c>
      <c r="F13271" s="134" t="s">
        <v>4056</v>
      </c>
      <c r="G13271" s="63" t="str">
        <f>VLOOKUP(C13271, 'Class Def. - General Data'!$C$20:$C$1000,1,false)</f>
        <v>ZSI1_ROPE</v>
      </c>
      <c r="H13271" s="63" t="str">
        <f>IFERROR(__xludf.DUMMYFUNCTION("VLOOKUP(F13271, IMPORTRANGE(""https://docs.google.com/spreadsheets/d/1Lhp9OU0JdFf_VYSMzH5lBcEaU4o8teT1piV-SNzShjg/edit?gid=554141278#gid=554141278"", ""'Char Def. - Attributes'!C20:C2242""), 1,false)"),"GROSS_WEIGHT_OPT")</f>
        <v>GROSS_WEIGHT_OPT</v>
      </c>
      <c r="I13271" s="136"/>
      <c r="R13271" s="63" t="str">
        <f t="shared" si="60"/>
        <v>ZSI1_ROPEGROSS_WEIGHT_OPT</v>
      </c>
    </row>
    <row r="13272" ht="15.75" customHeight="1">
      <c r="B13272" s="63">
        <f t="shared" si="1"/>
        <v>9</v>
      </c>
      <c r="C13272" s="135" t="s">
        <v>548</v>
      </c>
      <c r="D13272" s="161" t="s">
        <v>74</v>
      </c>
      <c r="E13272" s="135">
        <f t="shared" si="62"/>
        <v>11</v>
      </c>
      <c r="F13272" s="134" t="s">
        <v>4057</v>
      </c>
      <c r="G13272" s="63" t="str">
        <f>VLOOKUP(C13272, 'Class Def. - General Data'!$C$20:$C$1000,1,false)</f>
        <v>ZSI1_ROPE</v>
      </c>
      <c r="H13272" s="63" t="str">
        <f>IFERROR(__xludf.DUMMYFUNCTION("VLOOKUP(F13272, IMPORTRANGE(""https://docs.google.com/spreadsheets/d/1Lhp9OU0JdFf_VYSMzH5lBcEaU4o8teT1piV-SNzShjg/edit?gid=554141278#gid=554141278"", ""'Char Def. - Attributes'!C20:C2242""), 1,false)"),"NET_WEIGHT_OPT")</f>
        <v>NET_WEIGHT_OPT</v>
      </c>
      <c r="I13272" s="136"/>
      <c r="R13272" s="63" t="str">
        <f t="shared" si="60"/>
        <v>ZSI1_ROPENET_WEIGHT_OPT</v>
      </c>
    </row>
    <row r="13273" ht="15.75" customHeight="1">
      <c r="B13273" s="63">
        <f t="shared" si="1"/>
        <v>9</v>
      </c>
      <c r="C13273" s="135" t="s">
        <v>548</v>
      </c>
      <c r="D13273" s="161" t="s">
        <v>74</v>
      </c>
      <c r="E13273" s="135">
        <f t="shared" si="62"/>
        <v>12</v>
      </c>
      <c r="F13273" s="134" t="s">
        <v>4058</v>
      </c>
      <c r="G13273" s="63" t="str">
        <f>VLOOKUP(C13273, 'Class Def. - General Data'!$C$20:$C$1000,1,false)</f>
        <v>ZSI1_ROPE</v>
      </c>
      <c r="H13273" s="63" t="str">
        <f>IFERROR(__xludf.DUMMYFUNCTION("VLOOKUP(F13273, IMPORTRANGE(""https://docs.google.com/spreadsheets/d/1Lhp9OU0JdFf_VYSMzH5lBcEaU4o8teT1piV-SNzShjg/edit?gid=554141278#gid=554141278"", ""'Char Def. - Attributes'!C20:C2242""), 1,false)"),"WEIGHT_UNIT_SI")</f>
        <v>WEIGHT_UNIT_SI</v>
      </c>
      <c r="I13273" s="136"/>
      <c r="R13273" s="63" t="str">
        <f t="shared" si="60"/>
        <v>ZSI1_ROPEWEIGHT_UNIT_SI</v>
      </c>
    </row>
    <row r="13274" ht="15.75" customHeight="1">
      <c r="B13274" s="63">
        <f t="shared" si="1"/>
        <v>9</v>
      </c>
      <c r="C13274" s="135" t="s">
        <v>548</v>
      </c>
      <c r="D13274" s="161" t="s">
        <v>74</v>
      </c>
      <c r="E13274" s="135">
        <f t="shared" si="62"/>
        <v>13</v>
      </c>
      <c r="F13274" s="134" t="s">
        <v>3877</v>
      </c>
      <c r="G13274" s="63" t="str">
        <f>VLOOKUP(C13274, 'Class Def. - General Data'!$C$20:$C$1000,1,false)</f>
        <v>ZSI1_ROPE</v>
      </c>
      <c r="H13274" s="63" t="str">
        <f>IFERROR(__xludf.DUMMYFUNCTION("VLOOKUP(F13274, IMPORTRANGE(""https://docs.google.com/spreadsheets/d/1Lhp9OU0JdFf_VYSMzH5lBcEaU4o8teT1piV-SNzShjg/edit?gid=554141278#gid=554141278"", ""'Char Def. - Attributes'!C20:C2242""), 1,false)"),"VOLUME_OPT")</f>
        <v>VOLUME_OPT</v>
      </c>
      <c r="I13274" s="136"/>
      <c r="R13274" s="63" t="str">
        <f t="shared" si="60"/>
        <v>ZSI1_ROPEVOLUME_OPT</v>
      </c>
    </row>
    <row r="13275" ht="15.75" customHeight="1">
      <c r="B13275" s="63">
        <f t="shared" si="1"/>
        <v>9</v>
      </c>
      <c r="C13275" s="135" t="s">
        <v>548</v>
      </c>
      <c r="D13275" s="161" t="s">
        <v>74</v>
      </c>
      <c r="E13275" s="135">
        <f t="shared" si="62"/>
        <v>14</v>
      </c>
      <c r="F13275" s="134" t="s">
        <v>4059</v>
      </c>
      <c r="G13275" s="63" t="str">
        <f>VLOOKUP(C13275, 'Class Def. - General Data'!$C$20:$C$1000,1,false)</f>
        <v>ZSI1_ROPE</v>
      </c>
      <c r="H13275" s="63" t="str">
        <f>IFERROR(__xludf.DUMMYFUNCTION("VLOOKUP(F13275, IMPORTRANGE(""https://docs.google.com/spreadsheets/d/1Lhp9OU0JdFf_VYSMzH5lBcEaU4o8teT1piV-SNzShjg/edit?gid=554141278#gid=554141278"", ""'Char Def. - Attributes'!C20:C2242""), 1,false)"),"VOLUME_UNIT_SI")</f>
        <v>VOLUME_UNIT_SI</v>
      </c>
      <c r="I13275" s="136"/>
      <c r="R13275" s="63" t="str">
        <f t="shared" si="60"/>
        <v>ZSI1_ROPEVOLUME_UNIT_SI</v>
      </c>
    </row>
    <row r="13276" ht="15.75" customHeight="1">
      <c r="B13276" s="63">
        <f t="shared" si="1"/>
        <v>9</v>
      </c>
      <c r="C13276" s="135" t="s">
        <v>548</v>
      </c>
      <c r="D13276" s="161" t="s">
        <v>74</v>
      </c>
      <c r="E13276" s="135">
        <f t="shared" si="62"/>
        <v>15</v>
      </c>
      <c r="F13276" s="134" t="s">
        <v>3804</v>
      </c>
      <c r="G13276" s="63" t="str">
        <f>VLOOKUP(C13276, 'Class Def. - General Data'!$C$20:$C$1000,1,false)</f>
        <v>ZSI1_ROPE</v>
      </c>
      <c r="H13276" s="63" t="str">
        <f>IFERROR(__xludf.DUMMYFUNCTION("VLOOKUP(F13276, IMPORTRANGE(""https://docs.google.com/spreadsheets/d/1Lhp9OU0JdFf_VYSMzH5lBcEaU4o8teT1piV-SNzShjg/edit?gid=554141278#gid=554141278"", ""'Char Def. - Attributes'!C20:C2242""), 1,false)"),"ALT_UOM1_SIPI")</f>
        <v>ALT_UOM1_SIPI</v>
      </c>
      <c r="I13276" s="136"/>
      <c r="R13276" s="63" t="str">
        <f t="shared" si="60"/>
        <v>ZSI1_ROPEALT_UOM1_SIPI</v>
      </c>
    </row>
    <row r="13277" ht="15.75" customHeight="1">
      <c r="B13277" s="63">
        <f t="shared" si="1"/>
        <v>9</v>
      </c>
      <c r="C13277" s="135" t="s">
        <v>548</v>
      </c>
      <c r="D13277" s="161" t="s">
        <v>74</v>
      </c>
      <c r="E13277" s="135">
        <f t="shared" si="62"/>
        <v>16</v>
      </c>
      <c r="F13277" s="134" t="s">
        <v>3805</v>
      </c>
      <c r="G13277" s="63" t="str">
        <f>VLOOKUP(C13277, 'Class Def. - General Data'!$C$20:$C$1000,1,false)</f>
        <v>ZSI1_ROPE</v>
      </c>
      <c r="H13277" s="63" t="str">
        <f>IFERROR(__xludf.DUMMYFUNCTION("VLOOKUP(F13277, IMPORTRANGE(""https://docs.google.com/spreadsheets/d/1Lhp9OU0JdFf_VYSMzH5lBcEaU4o8teT1piV-SNzShjg/edit?gid=554141278#gid=554141278"", ""'Char Def. - Attributes'!C20:C2242""), 1,false)"),"ALT_DENUM_UOM1")</f>
        <v>ALT_DENUM_UOM1</v>
      </c>
      <c r="I13277" s="136"/>
      <c r="R13277" s="63" t="str">
        <f t="shared" si="60"/>
        <v>ZSI1_ROPEALT_DENUM_UOM1</v>
      </c>
    </row>
    <row r="13278" ht="15.75" customHeight="1">
      <c r="B13278" s="63">
        <f t="shared" si="1"/>
        <v>9</v>
      </c>
      <c r="C13278" s="135" t="s">
        <v>548</v>
      </c>
      <c r="D13278" s="161" t="s">
        <v>74</v>
      </c>
      <c r="E13278" s="135">
        <f t="shared" si="62"/>
        <v>17</v>
      </c>
      <c r="F13278" s="134" t="s">
        <v>3806</v>
      </c>
      <c r="G13278" s="63" t="str">
        <f>VLOOKUP(C13278, 'Class Def. - General Data'!$C$20:$C$1000,1,false)</f>
        <v>ZSI1_ROPE</v>
      </c>
      <c r="H13278" s="63" t="str">
        <f>IFERROR(__xludf.DUMMYFUNCTION("VLOOKUP(F13278, IMPORTRANGE(""https://docs.google.com/spreadsheets/d/1Lhp9OU0JdFf_VYSMzH5lBcEaU4o8teT1piV-SNzShjg/edit?gid=554141278#gid=554141278"", ""'Char Def. - Attributes'!C20:C2242""), 1,false)"),"ALT_NUM_UOM1")</f>
        <v>ALT_NUM_UOM1</v>
      </c>
      <c r="I13278" s="136"/>
      <c r="R13278" s="63" t="str">
        <f t="shared" si="60"/>
        <v>ZSI1_ROPEALT_NUM_UOM1</v>
      </c>
    </row>
    <row r="13279" ht="15.75" customHeight="1">
      <c r="B13279" s="63">
        <f t="shared" si="1"/>
        <v>9</v>
      </c>
      <c r="C13279" s="135" t="s">
        <v>548</v>
      </c>
      <c r="D13279" s="161" t="s">
        <v>74</v>
      </c>
      <c r="E13279" s="135">
        <f t="shared" si="62"/>
        <v>18</v>
      </c>
      <c r="F13279" s="134" t="s">
        <v>3807</v>
      </c>
      <c r="G13279" s="63" t="str">
        <f>VLOOKUP(C13279, 'Class Def. - General Data'!$C$20:$C$1000,1,false)</f>
        <v>ZSI1_ROPE</v>
      </c>
      <c r="H13279" s="63" t="str">
        <f>IFERROR(__xludf.DUMMYFUNCTION("VLOOKUP(F13279, IMPORTRANGE(""https://docs.google.com/spreadsheets/d/1Lhp9OU0JdFf_VYSMzH5lBcEaU4o8teT1piV-SNzShjg/edit?gid=554141278#gid=554141278"", ""'Char Def. - Attributes'!C20:C2242""), 1,false)"),"ALT_UOM2_SIPI")</f>
        <v>ALT_UOM2_SIPI</v>
      </c>
      <c r="I13279" s="136"/>
      <c r="R13279" s="63" t="str">
        <f t="shared" si="60"/>
        <v>ZSI1_ROPEALT_UOM2_SIPI</v>
      </c>
    </row>
    <row r="13280" ht="15.75" customHeight="1">
      <c r="B13280" s="63">
        <f t="shared" si="1"/>
        <v>9</v>
      </c>
      <c r="C13280" s="135" t="s">
        <v>548</v>
      </c>
      <c r="D13280" s="161" t="s">
        <v>74</v>
      </c>
      <c r="E13280" s="135">
        <f t="shared" si="62"/>
        <v>19</v>
      </c>
      <c r="F13280" s="134" t="s">
        <v>3808</v>
      </c>
      <c r="G13280" s="63" t="str">
        <f>VLOOKUP(C13280, 'Class Def. - General Data'!$C$20:$C$1000,1,false)</f>
        <v>ZSI1_ROPE</v>
      </c>
      <c r="H13280" s="63" t="str">
        <f>IFERROR(__xludf.DUMMYFUNCTION("VLOOKUP(F13280, IMPORTRANGE(""https://docs.google.com/spreadsheets/d/1Lhp9OU0JdFf_VYSMzH5lBcEaU4o8teT1piV-SNzShjg/edit?gid=554141278#gid=554141278"", ""'Char Def. - Attributes'!C20:C2242""), 1,false)"),"ALT_DENUM_UOM2")</f>
        <v>ALT_DENUM_UOM2</v>
      </c>
      <c r="I13280" s="136"/>
      <c r="R13280" s="63" t="str">
        <f t="shared" si="60"/>
        <v>ZSI1_ROPEALT_DENUM_UOM2</v>
      </c>
    </row>
    <row r="13281" ht="15.75" customHeight="1">
      <c r="B13281" s="63">
        <f t="shared" si="1"/>
        <v>9</v>
      </c>
      <c r="C13281" s="135" t="s">
        <v>548</v>
      </c>
      <c r="D13281" s="161" t="s">
        <v>74</v>
      </c>
      <c r="E13281" s="135">
        <f t="shared" si="62"/>
        <v>20</v>
      </c>
      <c r="F13281" s="134" t="s">
        <v>3809</v>
      </c>
      <c r="G13281" s="63" t="str">
        <f>VLOOKUP(C13281, 'Class Def. - General Data'!$C$20:$C$1000,1,false)</f>
        <v>ZSI1_ROPE</v>
      </c>
      <c r="H13281" s="63" t="str">
        <f>IFERROR(__xludf.DUMMYFUNCTION("VLOOKUP(F13281, IMPORTRANGE(""https://docs.google.com/spreadsheets/d/1Lhp9OU0JdFf_VYSMzH5lBcEaU4o8teT1piV-SNzShjg/edit?gid=554141278#gid=554141278"", ""'Char Def. - Attributes'!C20:C2242""), 1,false)"),"ALT_NUM_UOM2")</f>
        <v>ALT_NUM_UOM2</v>
      </c>
      <c r="I13281" s="136"/>
      <c r="R13281" s="63" t="str">
        <f t="shared" si="60"/>
        <v>ZSI1_ROPEALT_NUM_UOM2</v>
      </c>
    </row>
    <row r="13282" ht="15.75" customHeight="1">
      <c r="B13282" s="63">
        <f t="shared" si="1"/>
        <v>9</v>
      </c>
      <c r="C13282" s="135" t="s">
        <v>548</v>
      </c>
      <c r="D13282" s="161" t="s">
        <v>74</v>
      </c>
      <c r="E13282" s="135">
        <f t="shared" si="62"/>
        <v>21</v>
      </c>
      <c r="F13282" s="134" t="s">
        <v>3810</v>
      </c>
      <c r="G13282" s="63" t="str">
        <f>VLOOKUP(C13282, 'Class Def. - General Data'!$C$20:$C$1000,1,false)</f>
        <v>ZSI1_ROPE</v>
      </c>
      <c r="H13282" s="63" t="str">
        <f>IFERROR(__xludf.DUMMYFUNCTION("VLOOKUP(F13282, IMPORTRANGE(""https://docs.google.com/spreadsheets/d/1Lhp9OU0JdFf_VYSMzH5lBcEaU4o8teT1piV-SNzShjg/edit?gid=554141278#gid=554141278"", ""'Char Def. - Attributes'!C20:C2242""), 1,false)"),"ALT_UOM3_SIPI")</f>
        <v>ALT_UOM3_SIPI</v>
      </c>
      <c r="I13282" s="136"/>
      <c r="R13282" s="63" t="str">
        <f t="shared" si="60"/>
        <v>ZSI1_ROPEALT_UOM3_SIPI</v>
      </c>
    </row>
    <row r="13283" ht="15.75" customHeight="1">
      <c r="B13283" s="63">
        <f t="shared" si="1"/>
        <v>9</v>
      </c>
      <c r="C13283" s="135" t="s">
        <v>548</v>
      </c>
      <c r="D13283" s="161" t="s">
        <v>74</v>
      </c>
      <c r="E13283" s="135">
        <f t="shared" si="62"/>
        <v>22</v>
      </c>
      <c r="F13283" s="134" t="s">
        <v>3811</v>
      </c>
      <c r="G13283" s="63" t="str">
        <f>VLOOKUP(C13283, 'Class Def. - General Data'!$C$20:$C$1000,1,false)</f>
        <v>ZSI1_ROPE</v>
      </c>
      <c r="H13283" s="63" t="str">
        <f>IFERROR(__xludf.DUMMYFUNCTION("VLOOKUP(F13283, IMPORTRANGE(""https://docs.google.com/spreadsheets/d/1Lhp9OU0JdFf_VYSMzH5lBcEaU4o8teT1piV-SNzShjg/edit?gid=554141278#gid=554141278"", ""'Char Def. - Attributes'!C20:C2242""), 1,false)"),"ALT_DENUM_UOM3")</f>
        <v>ALT_DENUM_UOM3</v>
      </c>
      <c r="I13283" s="136"/>
      <c r="R13283" s="63" t="str">
        <f t="shared" si="60"/>
        <v>ZSI1_ROPEALT_DENUM_UOM3</v>
      </c>
    </row>
    <row r="13284" ht="15.75" customHeight="1">
      <c r="B13284" s="63">
        <f t="shared" si="1"/>
        <v>9</v>
      </c>
      <c r="C13284" s="135" t="s">
        <v>548</v>
      </c>
      <c r="D13284" s="161" t="s">
        <v>74</v>
      </c>
      <c r="E13284" s="135">
        <f t="shared" si="62"/>
        <v>23</v>
      </c>
      <c r="F13284" s="134" t="s">
        <v>3812</v>
      </c>
      <c r="G13284" s="63" t="str">
        <f>VLOOKUP(C13284, 'Class Def. - General Data'!$C$20:$C$1000,1,false)</f>
        <v>ZSI1_ROPE</v>
      </c>
      <c r="H13284" s="63" t="str">
        <f>IFERROR(__xludf.DUMMYFUNCTION("VLOOKUP(F13284, IMPORTRANGE(""https://docs.google.com/spreadsheets/d/1Lhp9OU0JdFf_VYSMzH5lBcEaU4o8teT1piV-SNzShjg/edit?gid=554141278#gid=554141278"", ""'Char Def. - Attributes'!C20:C2242""), 1,false)"),"ALT_NUM_UOM3")</f>
        <v>ALT_NUM_UOM3</v>
      </c>
      <c r="I13284" s="136"/>
      <c r="R13284" s="63" t="str">
        <f t="shared" si="60"/>
        <v>ZSI1_ROPEALT_NUM_UOM3</v>
      </c>
    </row>
    <row r="13285" ht="15.75" customHeight="1">
      <c r="B13285" s="63">
        <f t="shared" si="1"/>
        <v>9</v>
      </c>
      <c r="C13285" s="135" t="s">
        <v>548</v>
      </c>
      <c r="D13285" s="161" t="s">
        <v>74</v>
      </c>
      <c r="E13285" s="135">
        <f t="shared" si="62"/>
        <v>24</v>
      </c>
      <c r="F13285" s="134" t="s">
        <v>3813</v>
      </c>
      <c r="G13285" s="63" t="str">
        <f>VLOOKUP(C13285, 'Class Def. - General Data'!$C$20:$C$1000,1,false)</f>
        <v>ZSI1_ROPE</v>
      </c>
      <c r="H13285" s="63" t="str">
        <f>IFERROR(__xludf.DUMMYFUNCTION("VLOOKUP(F13285, IMPORTRANGE(""https://docs.google.com/spreadsheets/d/1Lhp9OU0JdFf_VYSMzH5lBcEaU4o8teT1piV-SNzShjg/edit?gid=554141278#gid=554141278"", ""'Char Def. - Attributes'!C20:C2242""), 1,false)"),"ALT_UOM4_SIPI")</f>
        <v>ALT_UOM4_SIPI</v>
      </c>
      <c r="I13285" s="136"/>
      <c r="R13285" s="63" t="str">
        <f t="shared" si="60"/>
        <v>ZSI1_ROPEALT_UOM4_SIPI</v>
      </c>
    </row>
    <row r="13286" ht="15.75" customHeight="1">
      <c r="B13286" s="63">
        <f t="shared" si="1"/>
        <v>9</v>
      </c>
      <c r="C13286" s="135" t="s">
        <v>548</v>
      </c>
      <c r="D13286" s="161" t="s">
        <v>74</v>
      </c>
      <c r="E13286" s="135">
        <f t="shared" si="62"/>
        <v>25</v>
      </c>
      <c r="F13286" s="134" t="s">
        <v>3814</v>
      </c>
      <c r="G13286" s="63" t="str">
        <f>VLOOKUP(C13286, 'Class Def. - General Data'!$C$20:$C$1000,1,false)</f>
        <v>ZSI1_ROPE</v>
      </c>
      <c r="H13286" s="63" t="str">
        <f>IFERROR(__xludf.DUMMYFUNCTION("VLOOKUP(F13286, IMPORTRANGE(""https://docs.google.com/spreadsheets/d/1Lhp9OU0JdFf_VYSMzH5lBcEaU4o8teT1piV-SNzShjg/edit?gid=554141278#gid=554141278"", ""'Char Def. - Attributes'!C20:C2242""), 1,false)"),"ALT_DENUM_UOM4")</f>
        <v>ALT_DENUM_UOM4</v>
      </c>
      <c r="I13286" s="136"/>
      <c r="R13286" s="63" t="str">
        <f t="shared" si="60"/>
        <v>ZSI1_ROPEALT_DENUM_UOM4</v>
      </c>
    </row>
    <row r="13287" ht="15.75" customHeight="1">
      <c r="B13287" s="63">
        <f t="shared" si="1"/>
        <v>9</v>
      </c>
      <c r="C13287" s="135" t="s">
        <v>548</v>
      </c>
      <c r="D13287" s="161" t="s">
        <v>74</v>
      </c>
      <c r="E13287" s="135">
        <f t="shared" si="62"/>
        <v>26</v>
      </c>
      <c r="F13287" s="134" t="s">
        <v>3815</v>
      </c>
      <c r="G13287" s="63" t="str">
        <f>VLOOKUP(C13287, 'Class Def. - General Data'!$C$20:$C$1000,1,false)</f>
        <v>ZSI1_ROPE</v>
      </c>
      <c r="H13287" s="63" t="str">
        <f>IFERROR(__xludf.DUMMYFUNCTION("VLOOKUP(F13287, IMPORTRANGE(""https://docs.google.com/spreadsheets/d/1Lhp9OU0JdFf_VYSMzH5lBcEaU4o8teT1piV-SNzShjg/edit?gid=554141278#gid=554141278"", ""'Char Def. - Attributes'!C20:C2242""), 1,false)"),"ALT_NUM_UOM4")</f>
        <v>ALT_NUM_UOM4</v>
      </c>
      <c r="I13287" s="136"/>
      <c r="R13287" s="63" t="str">
        <f t="shared" si="60"/>
        <v>ZSI1_ROPEALT_NUM_UOM4</v>
      </c>
    </row>
    <row r="13288" ht="15.75" customHeight="1">
      <c r="B13288" s="63">
        <f t="shared" si="1"/>
        <v>9</v>
      </c>
      <c r="C13288" s="135" t="s">
        <v>548</v>
      </c>
      <c r="D13288" s="161" t="s">
        <v>74</v>
      </c>
      <c r="E13288" s="135">
        <f t="shared" si="62"/>
        <v>27</v>
      </c>
      <c r="F13288" s="134" t="s">
        <v>3816</v>
      </c>
      <c r="G13288" s="63" t="str">
        <f>VLOOKUP(C13288, 'Class Def. - General Data'!$C$20:$C$1000,1,false)</f>
        <v>ZSI1_ROPE</v>
      </c>
      <c r="H13288" s="63" t="str">
        <f>IFERROR(__xludf.DUMMYFUNCTION("VLOOKUP(F13288, IMPORTRANGE(""https://docs.google.com/spreadsheets/d/1Lhp9OU0JdFf_VYSMzH5lBcEaU4o8teT1piV-SNzShjg/edit?gid=554141278#gid=554141278"", ""'Char Def. - Attributes'!C20:C2242""), 1,false)"),"ALT_UOM5_SIPI")</f>
        <v>ALT_UOM5_SIPI</v>
      </c>
      <c r="I13288" s="136"/>
      <c r="R13288" s="63" t="str">
        <f t="shared" si="60"/>
        <v>ZSI1_ROPEALT_UOM5_SIPI</v>
      </c>
    </row>
    <row r="13289" ht="15.75" customHeight="1">
      <c r="B13289" s="63">
        <f t="shared" si="1"/>
        <v>9</v>
      </c>
      <c r="C13289" s="135" t="s">
        <v>548</v>
      </c>
      <c r="D13289" s="161" t="s">
        <v>74</v>
      </c>
      <c r="E13289" s="135">
        <f t="shared" si="62"/>
        <v>28</v>
      </c>
      <c r="F13289" s="134" t="s">
        <v>3817</v>
      </c>
      <c r="G13289" s="63" t="str">
        <f>VLOOKUP(C13289, 'Class Def. - General Data'!$C$20:$C$1000,1,false)</f>
        <v>ZSI1_ROPE</v>
      </c>
      <c r="H13289" s="63" t="str">
        <f>IFERROR(__xludf.DUMMYFUNCTION("VLOOKUP(F13289, IMPORTRANGE(""https://docs.google.com/spreadsheets/d/1Lhp9OU0JdFf_VYSMzH5lBcEaU4o8teT1piV-SNzShjg/edit?gid=554141278#gid=554141278"", ""'Char Def. - Attributes'!C20:C2242""), 1,false)"),"ALT_DENUM_UOM5")</f>
        <v>ALT_DENUM_UOM5</v>
      </c>
      <c r="I13289" s="136"/>
      <c r="R13289" s="63" t="str">
        <f t="shared" si="60"/>
        <v>ZSI1_ROPEALT_DENUM_UOM5</v>
      </c>
    </row>
    <row r="13290" ht="15.75" customHeight="1">
      <c r="B13290" s="63">
        <f t="shared" si="1"/>
        <v>9</v>
      </c>
      <c r="C13290" s="135" t="s">
        <v>548</v>
      </c>
      <c r="D13290" s="161" t="s">
        <v>74</v>
      </c>
      <c r="E13290" s="135">
        <f t="shared" si="62"/>
        <v>29</v>
      </c>
      <c r="F13290" s="134" t="s">
        <v>3818</v>
      </c>
      <c r="G13290" s="63" t="str">
        <f>VLOOKUP(C13290, 'Class Def. - General Data'!$C$20:$C$1000,1,false)</f>
        <v>ZSI1_ROPE</v>
      </c>
      <c r="H13290" s="63" t="str">
        <f>IFERROR(__xludf.DUMMYFUNCTION("VLOOKUP(F13290, IMPORTRANGE(""https://docs.google.com/spreadsheets/d/1Lhp9OU0JdFf_VYSMzH5lBcEaU4o8teT1piV-SNzShjg/edit?gid=554141278#gid=554141278"", ""'Char Def. - Attributes'!C20:C2242""), 1,false)"),"ALT_NUM_UOM5")</f>
        <v>ALT_NUM_UOM5</v>
      </c>
      <c r="I13290" s="136"/>
      <c r="R13290" s="63" t="str">
        <f t="shared" si="60"/>
        <v>ZSI1_ROPEALT_NUM_UOM5</v>
      </c>
    </row>
    <row r="13291" ht="15.75" customHeight="1">
      <c r="B13291" s="63">
        <f t="shared" si="1"/>
        <v>17</v>
      </c>
      <c r="C13291" s="135" t="s">
        <v>457</v>
      </c>
      <c r="D13291" s="161" t="s">
        <v>74</v>
      </c>
      <c r="E13291" s="135">
        <f t="shared" si="62"/>
        <v>1</v>
      </c>
      <c r="F13291" s="134" t="s">
        <v>5356</v>
      </c>
      <c r="G13291" s="63" t="str">
        <f>VLOOKUP(C13291, 'Class Def. - General Data'!$C$20:$C$1000,1,false)</f>
        <v>ZSI1_SCREEN_CABLE</v>
      </c>
      <c r="H13291" s="63" t="str">
        <f>IFERROR(__xludf.DUMMYFUNCTION("VLOOKUP(F13291, IMPORTRANGE(""https://docs.google.com/spreadsheets/d/1Lhp9OU0JdFf_VYSMzH5lBcEaU4o8teT1piV-SNzShjg/edit?gid=554141278#gid=554141278"", ""'Char Def. - Attributes'!C20:C2242""), 1,false)"),"ITEM_NAME_SCREEN_CABLE")</f>
        <v>ITEM_NAME_SCREEN_CABLE</v>
      </c>
      <c r="I13291" s="136"/>
      <c r="R13291" s="63" t="str">
        <f t="shared" si="60"/>
        <v>ZSI1_SCREEN_CABLEITEM_NAME_SCREEN_CABLE</v>
      </c>
    </row>
    <row r="13292" ht="15.75" customHeight="1">
      <c r="B13292" s="63">
        <f t="shared" si="1"/>
        <v>17</v>
      </c>
      <c r="C13292" s="135" t="s">
        <v>457</v>
      </c>
      <c r="D13292" s="161" t="s">
        <v>74</v>
      </c>
      <c r="E13292" s="135">
        <f t="shared" si="62"/>
        <v>2</v>
      </c>
      <c r="F13292" s="134" t="s">
        <v>5357</v>
      </c>
      <c r="G13292" s="63" t="str">
        <f>VLOOKUP(C13292, 'Class Def. - General Data'!$C$20:$C$1000,1,false)</f>
        <v>ZSI1_SCREEN_CABLE</v>
      </c>
      <c r="H13292" s="63" t="str">
        <f>IFERROR(__xludf.DUMMYFUNCTION("VLOOKUP(F13292, IMPORTRANGE(""https://docs.google.com/spreadsheets/d/1Lhp9OU0JdFf_VYSMzH5lBcEaU4o8teT1piV-SNzShjg/edit?gid=554141278#gid=554141278"", ""'Char Def. - Attributes'!C20:C2242""), 1,false)"),"NUMBER_OF_CORE_SCREEN_CABLE")</f>
        <v>NUMBER_OF_CORE_SCREEN_CABLE</v>
      </c>
      <c r="I13292" s="136"/>
      <c r="R13292" s="63" t="str">
        <f t="shared" si="60"/>
        <v>ZSI1_SCREEN_CABLENUMBER_OF_CORE_SCREEN_CABLE</v>
      </c>
    </row>
    <row r="13293" ht="15.75" customHeight="1">
      <c r="B13293" s="63">
        <f t="shared" si="1"/>
        <v>17</v>
      </c>
      <c r="C13293" s="135" t="s">
        <v>457</v>
      </c>
      <c r="D13293" s="161" t="s">
        <v>74</v>
      </c>
      <c r="E13293" s="135">
        <f t="shared" si="62"/>
        <v>3</v>
      </c>
      <c r="F13293" s="134" t="s">
        <v>5358</v>
      </c>
      <c r="G13293" s="63" t="str">
        <f>VLOOKUP(C13293, 'Class Def. - General Data'!$C$20:$C$1000,1,false)</f>
        <v>ZSI1_SCREEN_CABLE</v>
      </c>
      <c r="H13293" s="63" t="str">
        <f>IFERROR(__xludf.DUMMYFUNCTION("VLOOKUP(F13293, IMPORTRANGE(""https://docs.google.com/spreadsheets/d/1Lhp9OU0JdFf_VYSMzH5lBcEaU4o8teT1piV-SNzShjg/edit?gid=554141278#gid=554141278"", ""'Char Def. - Attributes'!C20:C2242""), 1,false)"),"CORE_DIAMETER_MM_SCREEN_CABLE")</f>
        <v>CORE_DIAMETER_MM_SCREEN_CABLE</v>
      </c>
      <c r="I13293" s="136"/>
      <c r="R13293" s="63" t="str">
        <f t="shared" si="60"/>
        <v>ZSI1_SCREEN_CABLECORE_DIAMETER_MM_SCREEN_CABLE</v>
      </c>
    </row>
    <row r="13294" ht="15.75" customHeight="1">
      <c r="B13294" s="63">
        <f t="shared" si="1"/>
        <v>17</v>
      </c>
      <c r="C13294" s="135" t="s">
        <v>457</v>
      </c>
      <c r="D13294" s="161" t="s">
        <v>74</v>
      </c>
      <c r="E13294" s="135">
        <f t="shared" si="62"/>
        <v>4</v>
      </c>
      <c r="F13294" s="134" t="s">
        <v>4053</v>
      </c>
      <c r="G13294" s="63" t="str">
        <f>VLOOKUP(C13294, 'Class Def. - General Data'!$C$20:$C$1000,1,false)</f>
        <v>ZSI1_SCREEN_CABLE</v>
      </c>
      <c r="H13294" s="63" t="str">
        <f>IFERROR(__xludf.DUMMYFUNCTION("VLOOKUP(F13294, IMPORTRANGE(""https://docs.google.com/spreadsheets/d/1Lhp9OU0JdFf_VYSMzH5lBcEaU4o8teT1piV-SNzShjg/edit?gid=554141278#gid=554141278"", ""'Char Def. - Attributes'!C20:C2242""), 1,false)"),"MAINTENANCE_ORDER_TYPE")</f>
        <v>MAINTENANCE_ORDER_TYPE</v>
      </c>
      <c r="I13294" s="136"/>
      <c r="R13294" s="63" t="str">
        <f t="shared" si="60"/>
        <v>ZSI1_SCREEN_CABLEMAINTENANCE_ORDER_TYPE</v>
      </c>
    </row>
    <row r="13295" ht="15.75" customHeight="1">
      <c r="B13295" s="63">
        <f t="shared" si="1"/>
        <v>17</v>
      </c>
      <c r="C13295" s="135" t="s">
        <v>457</v>
      </c>
      <c r="D13295" s="161" t="s">
        <v>74</v>
      </c>
      <c r="E13295" s="135">
        <f t="shared" si="62"/>
        <v>5</v>
      </c>
      <c r="F13295" s="134" t="s">
        <v>3585</v>
      </c>
      <c r="G13295" s="63" t="str">
        <f>VLOOKUP(C13295, 'Class Def. - General Data'!$C$20:$C$1000,1,false)</f>
        <v>ZSI1_SCREEN_CABLE</v>
      </c>
      <c r="H13295" s="63" t="str">
        <f>IFERROR(__xludf.DUMMYFUNCTION("VLOOKUP(F13295, IMPORTRANGE(""https://docs.google.com/spreadsheets/d/1Lhp9OU0JdFf_VYSMzH5lBcEaU4o8teT1piV-SNzShjg/edit?gid=554141278#gid=554141278"", ""'Char Def. - Attributes'!C20:C2242""), 1,false)"),"HS_CODE")</f>
        <v>HS_CODE</v>
      </c>
      <c r="I13295" s="136"/>
      <c r="R13295" s="63" t="str">
        <f t="shared" si="60"/>
        <v>ZSI1_SCREEN_CABLEHS_CODE</v>
      </c>
    </row>
    <row r="13296" ht="15.75" customHeight="1">
      <c r="B13296" s="63">
        <f t="shared" si="1"/>
        <v>17</v>
      </c>
      <c r="C13296" s="135" t="s">
        <v>457</v>
      </c>
      <c r="D13296" s="161" t="s">
        <v>74</v>
      </c>
      <c r="E13296" s="135">
        <f t="shared" si="62"/>
        <v>6</v>
      </c>
      <c r="F13296" s="134" t="s">
        <v>3587</v>
      </c>
      <c r="G13296" s="63" t="str">
        <f>VLOOKUP(C13296, 'Class Def. - General Data'!$C$20:$C$1000,1,false)</f>
        <v>ZSI1_SCREEN_CABLE</v>
      </c>
      <c r="H13296" s="63" t="str">
        <f>IFERROR(__xludf.DUMMYFUNCTION("VLOOKUP(F13296, IMPORTRANGE(""https://docs.google.com/spreadsheets/d/1Lhp9OU0JdFf_VYSMzH5lBcEaU4o8teT1piV-SNzShjg/edit?gid=554141278#gid=554141278"", ""'Char Def. - Attributes'!C20:C2242""), 1,false)"),"PLANT_BUY")</f>
        <v>PLANT_BUY</v>
      </c>
      <c r="I13296" s="136"/>
      <c r="R13296" s="63" t="str">
        <f t="shared" si="60"/>
        <v>ZSI1_SCREEN_CABLEPLANT_BUY</v>
      </c>
    </row>
    <row r="13297" ht="15.75" customHeight="1">
      <c r="B13297" s="63">
        <f t="shared" si="1"/>
        <v>17</v>
      </c>
      <c r="C13297" s="135" t="s">
        <v>457</v>
      </c>
      <c r="D13297" s="161" t="s">
        <v>74</v>
      </c>
      <c r="E13297" s="135">
        <f t="shared" si="62"/>
        <v>7</v>
      </c>
      <c r="F13297" s="134" t="s">
        <v>5359</v>
      </c>
      <c r="G13297" s="63" t="str">
        <f>VLOOKUP(C13297, 'Class Def. - General Data'!$C$20:$C$1000,1,false)</f>
        <v>ZSI1_SCREEN_CABLE</v>
      </c>
      <c r="H13297" s="63" t="str">
        <f>IFERROR(__xludf.DUMMYFUNCTION("VLOOKUP(F13297, IMPORTRANGE(""https://docs.google.com/spreadsheets/d/1Lhp9OU0JdFf_VYSMzH5lBcEaU4o8teT1piV-SNzShjg/edit?gid=554141278#gid=554141278"", ""'Char Def. - Attributes'!C20:C2242""), 1,false)"),"BASE_UOM_SCREEN_CABLE")</f>
        <v>BASE_UOM_SCREEN_CABLE</v>
      </c>
      <c r="I13297" s="136"/>
      <c r="R13297" s="63" t="str">
        <f t="shared" si="60"/>
        <v>ZSI1_SCREEN_CABLEBASE_UOM_SCREEN_CABLE</v>
      </c>
    </row>
    <row r="13298" ht="15.75" customHeight="1">
      <c r="B13298" s="63">
        <f t="shared" si="1"/>
        <v>17</v>
      </c>
      <c r="C13298" s="135" t="s">
        <v>457</v>
      </c>
      <c r="D13298" s="161" t="s">
        <v>74</v>
      </c>
      <c r="E13298" s="135">
        <f t="shared" si="62"/>
        <v>8</v>
      </c>
      <c r="F13298" s="134" t="s">
        <v>5360</v>
      </c>
      <c r="G13298" s="63" t="str">
        <f>VLOOKUP(C13298, 'Class Def. - General Data'!$C$20:$C$1000,1,false)</f>
        <v>ZSI1_SCREEN_CABLE</v>
      </c>
      <c r="H13298" s="63" t="str">
        <f>IFERROR(__xludf.DUMMYFUNCTION("VLOOKUP(F13298, IMPORTRANGE(""https://docs.google.com/spreadsheets/d/1Lhp9OU0JdFf_VYSMzH5lBcEaU4o8teT1piV-SNzShjg/edit?gid=554141278#gid=554141278"", ""'Char Def. - Attributes'!C20:C2242""), 1,false)"),"ORDER_UNIT_SCREEN_CABLE")</f>
        <v>ORDER_UNIT_SCREEN_CABLE</v>
      </c>
      <c r="I13298" s="136"/>
      <c r="R13298" s="63" t="str">
        <f t="shared" si="60"/>
        <v>ZSI1_SCREEN_CABLEORDER_UNIT_SCREEN_CABLE</v>
      </c>
    </row>
    <row r="13299" ht="15.75" customHeight="1">
      <c r="B13299" s="63">
        <f t="shared" si="1"/>
        <v>17</v>
      </c>
      <c r="C13299" s="135" t="s">
        <v>457</v>
      </c>
      <c r="D13299" s="161" t="s">
        <v>74</v>
      </c>
      <c r="E13299" s="135">
        <f t="shared" si="62"/>
        <v>9</v>
      </c>
      <c r="F13299" s="134" t="s">
        <v>4056</v>
      </c>
      <c r="G13299" s="63" t="str">
        <f>VLOOKUP(C13299, 'Class Def. - General Data'!$C$20:$C$1000,1,false)</f>
        <v>ZSI1_SCREEN_CABLE</v>
      </c>
      <c r="H13299" s="63" t="str">
        <f>IFERROR(__xludf.DUMMYFUNCTION("VLOOKUP(F13299, IMPORTRANGE(""https://docs.google.com/spreadsheets/d/1Lhp9OU0JdFf_VYSMzH5lBcEaU4o8teT1piV-SNzShjg/edit?gid=554141278#gid=554141278"", ""'Char Def. - Attributes'!C20:C2242""), 1,false)"),"GROSS_WEIGHT_OPT")</f>
        <v>GROSS_WEIGHT_OPT</v>
      </c>
      <c r="I13299" s="136"/>
      <c r="R13299" s="63" t="str">
        <f t="shared" si="60"/>
        <v>ZSI1_SCREEN_CABLEGROSS_WEIGHT_OPT</v>
      </c>
    </row>
    <row r="13300" ht="15.75" customHeight="1">
      <c r="B13300" s="63">
        <f t="shared" si="1"/>
        <v>17</v>
      </c>
      <c r="C13300" s="135" t="s">
        <v>457</v>
      </c>
      <c r="D13300" s="161" t="s">
        <v>74</v>
      </c>
      <c r="E13300" s="135">
        <f t="shared" si="62"/>
        <v>10</v>
      </c>
      <c r="F13300" s="134" t="s">
        <v>4057</v>
      </c>
      <c r="G13300" s="63" t="str">
        <f>VLOOKUP(C13300, 'Class Def. - General Data'!$C$20:$C$1000,1,false)</f>
        <v>ZSI1_SCREEN_CABLE</v>
      </c>
      <c r="H13300" s="63" t="str">
        <f>IFERROR(__xludf.DUMMYFUNCTION("VLOOKUP(F13300, IMPORTRANGE(""https://docs.google.com/spreadsheets/d/1Lhp9OU0JdFf_VYSMzH5lBcEaU4o8teT1piV-SNzShjg/edit?gid=554141278#gid=554141278"", ""'Char Def. - Attributes'!C20:C2242""), 1,false)"),"NET_WEIGHT_OPT")</f>
        <v>NET_WEIGHT_OPT</v>
      </c>
      <c r="I13300" s="136"/>
      <c r="R13300" s="63" t="str">
        <f t="shared" si="60"/>
        <v>ZSI1_SCREEN_CABLENET_WEIGHT_OPT</v>
      </c>
    </row>
    <row r="13301" ht="15.75" customHeight="1">
      <c r="B13301" s="63">
        <f t="shared" si="1"/>
        <v>17</v>
      </c>
      <c r="C13301" s="135" t="s">
        <v>457</v>
      </c>
      <c r="D13301" s="161" t="s">
        <v>74</v>
      </c>
      <c r="E13301" s="135">
        <f t="shared" si="62"/>
        <v>11</v>
      </c>
      <c r="F13301" s="134" t="s">
        <v>4058</v>
      </c>
      <c r="G13301" s="63" t="str">
        <f>VLOOKUP(C13301, 'Class Def. - General Data'!$C$20:$C$1000,1,false)</f>
        <v>ZSI1_SCREEN_CABLE</v>
      </c>
      <c r="H13301" s="63" t="str">
        <f>IFERROR(__xludf.DUMMYFUNCTION("VLOOKUP(F13301, IMPORTRANGE(""https://docs.google.com/spreadsheets/d/1Lhp9OU0JdFf_VYSMzH5lBcEaU4o8teT1piV-SNzShjg/edit?gid=554141278#gid=554141278"", ""'Char Def. - Attributes'!C20:C2242""), 1,false)"),"WEIGHT_UNIT_SI")</f>
        <v>WEIGHT_UNIT_SI</v>
      </c>
      <c r="I13301" s="136"/>
      <c r="R13301" s="63" t="str">
        <f t="shared" si="60"/>
        <v>ZSI1_SCREEN_CABLEWEIGHT_UNIT_SI</v>
      </c>
    </row>
    <row r="13302" ht="15.75" customHeight="1">
      <c r="B13302" s="63">
        <f t="shared" si="1"/>
        <v>17</v>
      </c>
      <c r="C13302" s="135" t="s">
        <v>457</v>
      </c>
      <c r="D13302" s="161" t="s">
        <v>74</v>
      </c>
      <c r="E13302" s="135">
        <f t="shared" si="62"/>
        <v>12</v>
      </c>
      <c r="F13302" s="134" t="s">
        <v>3877</v>
      </c>
      <c r="G13302" s="63" t="str">
        <f>VLOOKUP(C13302, 'Class Def. - General Data'!$C$20:$C$1000,1,false)</f>
        <v>ZSI1_SCREEN_CABLE</v>
      </c>
      <c r="H13302" s="63" t="str">
        <f>IFERROR(__xludf.DUMMYFUNCTION("VLOOKUP(F13302, IMPORTRANGE(""https://docs.google.com/spreadsheets/d/1Lhp9OU0JdFf_VYSMzH5lBcEaU4o8teT1piV-SNzShjg/edit?gid=554141278#gid=554141278"", ""'Char Def. - Attributes'!C20:C2242""), 1,false)"),"VOLUME_OPT")</f>
        <v>VOLUME_OPT</v>
      </c>
      <c r="I13302" s="136"/>
      <c r="R13302" s="63" t="str">
        <f t="shared" si="60"/>
        <v>ZSI1_SCREEN_CABLEVOLUME_OPT</v>
      </c>
    </row>
    <row r="13303" ht="15.75" customHeight="1">
      <c r="B13303" s="63">
        <f t="shared" si="1"/>
        <v>17</v>
      </c>
      <c r="C13303" s="135" t="s">
        <v>457</v>
      </c>
      <c r="D13303" s="161" t="s">
        <v>74</v>
      </c>
      <c r="E13303" s="135">
        <f t="shared" si="62"/>
        <v>13</v>
      </c>
      <c r="F13303" s="134" t="s">
        <v>4059</v>
      </c>
      <c r="G13303" s="63" t="str">
        <f>VLOOKUP(C13303, 'Class Def. - General Data'!$C$20:$C$1000,1,false)</f>
        <v>ZSI1_SCREEN_CABLE</v>
      </c>
      <c r="H13303" s="63" t="str">
        <f>IFERROR(__xludf.DUMMYFUNCTION("VLOOKUP(F13303, IMPORTRANGE(""https://docs.google.com/spreadsheets/d/1Lhp9OU0JdFf_VYSMzH5lBcEaU4o8teT1piV-SNzShjg/edit?gid=554141278#gid=554141278"", ""'Char Def. - Attributes'!C20:C2242""), 1,false)"),"VOLUME_UNIT_SI")</f>
        <v>VOLUME_UNIT_SI</v>
      </c>
      <c r="I13303" s="136"/>
      <c r="R13303" s="63" t="str">
        <f t="shared" si="60"/>
        <v>ZSI1_SCREEN_CABLEVOLUME_UNIT_SI</v>
      </c>
    </row>
    <row r="13304" ht="15.75" customHeight="1">
      <c r="B13304" s="63">
        <f t="shared" si="1"/>
        <v>17</v>
      </c>
      <c r="C13304" s="135" t="s">
        <v>457</v>
      </c>
      <c r="D13304" s="161" t="s">
        <v>74</v>
      </c>
      <c r="E13304" s="135">
        <f t="shared" si="62"/>
        <v>14</v>
      </c>
      <c r="F13304" s="134" t="s">
        <v>3804</v>
      </c>
      <c r="G13304" s="63" t="str">
        <f>VLOOKUP(C13304, 'Class Def. - General Data'!$C$20:$C$1000,1,false)</f>
        <v>ZSI1_SCREEN_CABLE</v>
      </c>
      <c r="H13304" s="63" t="str">
        <f>IFERROR(__xludf.DUMMYFUNCTION("VLOOKUP(F13304, IMPORTRANGE(""https://docs.google.com/spreadsheets/d/1Lhp9OU0JdFf_VYSMzH5lBcEaU4o8teT1piV-SNzShjg/edit?gid=554141278#gid=554141278"", ""'Char Def. - Attributes'!C20:C2242""), 1,false)"),"ALT_UOM1_SIPI")</f>
        <v>ALT_UOM1_SIPI</v>
      </c>
      <c r="I13304" s="136"/>
      <c r="R13304" s="63" t="str">
        <f t="shared" si="60"/>
        <v>ZSI1_SCREEN_CABLEALT_UOM1_SIPI</v>
      </c>
    </row>
    <row r="13305" ht="15.75" customHeight="1">
      <c r="B13305" s="63">
        <f t="shared" si="1"/>
        <v>17</v>
      </c>
      <c r="C13305" s="135" t="s">
        <v>457</v>
      </c>
      <c r="D13305" s="161" t="s">
        <v>74</v>
      </c>
      <c r="E13305" s="135">
        <f t="shared" si="62"/>
        <v>15</v>
      </c>
      <c r="F13305" s="134" t="s">
        <v>3805</v>
      </c>
      <c r="G13305" s="63" t="str">
        <f>VLOOKUP(C13305, 'Class Def. - General Data'!$C$20:$C$1000,1,false)</f>
        <v>ZSI1_SCREEN_CABLE</v>
      </c>
      <c r="H13305" s="63" t="str">
        <f>IFERROR(__xludf.DUMMYFUNCTION("VLOOKUP(F13305, IMPORTRANGE(""https://docs.google.com/spreadsheets/d/1Lhp9OU0JdFf_VYSMzH5lBcEaU4o8teT1piV-SNzShjg/edit?gid=554141278#gid=554141278"", ""'Char Def. - Attributes'!C20:C2242""), 1,false)"),"ALT_DENUM_UOM1")</f>
        <v>ALT_DENUM_UOM1</v>
      </c>
      <c r="I13305" s="136"/>
      <c r="R13305" s="63" t="str">
        <f t="shared" si="60"/>
        <v>ZSI1_SCREEN_CABLEALT_DENUM_UOM1</v>
      </c>
    </row>
    <row r="13306" ht="15.75" customHeight="1">
      <c r="B13306" s="63">
        <f t="shared" si="1"/>
        <v>17</v>
      </c>
      <c r="C13306" s="135" t="s">
        <v>457</v>
      </c>
      <c r="D13306" s="161" t="s">
        <v>74</v>
      </c>
      <c r="E13306" s="135">
        <f t="shared" si="62"/>
        <v>16</v>
      </c>
      <c r="F13306" s="134" t="s">
        <v>3806</v>
      </c>
      <c r="G13306" s="63" t="str">
        <f>VLOOKUP(C13306, 'Class Def. - General Data'!$C$20:$C$1000,1,false)</f>
        <v>ZSI1_SCREEN_CABLE</v>
      </c>
      <c r="H13306" s="63" t="str">
        <f>IFERROR(__xludf.DUMMYFUNCTION("VLOOKUP(F13306, IMPORTRANGE(""https://docs.google.com/spreadsheets/d/1Lhp9OU0JdFf_VYSMzH5lBcEaU4o8teT1piV-SNzShjg/edit?gid=554141278#gid=554141278"", ""'Char Def. - Attributes'!C20:C2242""), 1,false)"),"ALT_NUM_UOM1")</f>
        <v>ALT_NUM_UOM1</v>
      </c>
      <c r="I13306" s="136"/>
      <c r="R13306" s="63" t="str">
        <f t="shared" si="60"/>
        <v>ZSI1_SCREEN_CABLEALT_NUM_UOM1</v>
      </c>
    </row>
    <row r="13307" ht="15.75" customHeight="1">
      <c r="B13307" s="63">
        <f t="shared" si="1"/>
        <v>17</v>
      </c>
      <c r="C13307" s="135" t="s">
        <v>457</v>
      </c>
      <c r="D13307" s="161" t="s">
        <v>74</v>
      </c>
      <c r="E13307" s="135">
        <f t="shared" si="62"/>
        <v>17</v>
      </c>
      <c r="F13307" s="134" t="s">
        <v>3807</v>
      </c>
      <c r="G13307" s="63" t="str">
        <f>VLOOKUP(C13307, 'Class Def. - General Data'!$C$20:$C$1000,1,false)</f>
        <v>ZSI1_SCREEN_CABLE</v>
      </c>
      <c r="H13307" s="63" t="str">
        <f>IFERROR(__xludf.DUMMYFUNCTION("VLOOKUP(F13307, IMPORTRANGE(""https://docs.google.com/spreadsheets/d/1Lhp9OU0JdFf_VYSMzH5lBcEaU4o8teT1piV-SNzShjg/edit?gid=554141278#gid=554141278"", ""'Char Def. - Attributes'!C20:C2242""), 1,false)"),"ALT_UOM2_SIPI")</f>
        <v>ALT_UOM2_SIPI</v>
      </c>
      <c r="I13307" s="136"/>
      <c r="R13307" s="63" t="str">
        <f t="shared" si="60"/>
        <v>ZSI1_SCREEN_CABLEALT_UOM2_SIPI</v>
      </c>
    </row>
    <row r="13308" ht="15.75" customHeight="1">
      <c r="B13308" s="63">
        <f t="shared" si="1"/>
        <v>17</v>
      </c>
      <c r="C13308" s="135" t="s">
        <v>457</v>
      </c>
      <c r="D13308" s="161" t="s">
        <v>74</v>
      </c>
      <c r="E13308" s="135">
        <f t="shared" si="62"/>
        <v>18</v>
      </c>
      <c r="F13308" s="134" t="s">
        <v>3808</v>
      </c>
      <c r="G13308" s="63" t="str">
        <f>VLOOKUP(C13308, 'Class Def. - General Data'!$C$20:$C$1000,1,false)</f>
        <v>ZSI1_SCREEN_CABLE</v>
      </c>
      <c r="H13308" s="63" t="str">
        <f>IFERROR(__xludf.DUMMYFUNCTION("VLOOKUP(F13308, IMPORTRANGE(""https://docs.google.com/spreadsheets/d/1Lhp9OU0JdFf_VYSMzH5lBcEaU4o8teT1piV-SNzShjg/edit?gid=554141278#gid=554141278"", ""'Char Def. - Attributes'!C20:C2242""), 1,false)"),"ALT_DENUM_UOM2")</f>
        <v>ALT_DENUM_UOM2</v>
      </c>
      <c r="I13308" s="136"/>
      <c r="R13308" s="63" t="str">
        <f t="shared" si="60"/>
        <v>ZSI1_SCREEN_CABLEALT_DENUM_UOM2</v>
      </c>
    </row>
    <row r="13309" ht="15.75" customHeight="1">
      <c r="B13309" s="63">
        <f t="shared" si="1"/>
        <v>17</v>
      </c>
      <c r="C13309" s="135" t="s">
        <v>457</v>
      </c>
      <c r="D13309" s="161" t="s">
        <v>74</v>
      </c>
      <c r="E13309" s="135">
        <f t="shared" si="62"/>
        <v>19</v>
      </c>
      <c r="F13309" s="134" t="s">
        <v>3809</v>
      </c>
      <c r="G13309" s="63" t="str">
        <f>VLOOKUP(C13309, 'Class Def. - General Data'!$C$20:$C$1000,1,false)</f>
        <v>ZSI1_SCREEN_CABLE</v>
      </c>
      <c r="H13309" s="63" t="str">
        <f>IFERROR(__xludf.DUMMYFUNCTION("VLOOKUP(F13309, IMPORTRANGE(""https://docs.google.com/spreadsheets/d/1Lhp9OU0JdFf_VYSMzH5lBcEaU4o8teT1piV-SNzShjg/edit?gid=554141278#gid=554141278"", ""'Char Def. - Attributes'!C20:C2242""), 1,false)"),"ALT_NUM_UOM2")</f>
        <v>ALT_NUM_UOM2</v>
      </c>
      <c r="I13309" s="136"/>
      <c r="R13309" s="63" t="str">
        <f t="shared" si="60"/>
        <v>ZSI1_SCREEN_CABLEALT_NUM_UOM2</v>
      </c>
    </row>
    <row r="13310" ht="15.75" customHeight="1">
      <c r="B13310" s="63">
        <f t="shared" si="1"/>
        <v>17</v>
      </c>
      <c r="C13310" s="135" t="s">
        <v>457</v>
      </c>
      <c r="D13310" s="161" t="s">
        <v>74</v>
      </c>
      <c r="E13310" s="135">
        <f t="shared" si="62"/>
        <v>20</v>
      </c>
      <c r="F13310" s="134" t="s">
        <v>3810</v>
      </c>
      <c r="G13310" s="63" t="str">
        <f>VLOOKUP(C13310, 'Class Def. - General Data'!$C$20:$C$1000,1,false)</f>
        <v>ZSI1_SCREEN_CABLE</v>
      </c>
      <c r="H13310" s="63" t="str">
        <f>IFERROR(__xludf.DUMMYFUNCTION("VLOOKUP(F13310, IMPORTRANGE(""https://docs.google.com/spreadsheets/d/1Lhp9OU0JdFf_VYSMzH5lBcEaU4o8teT1piV-SNzShjg/edit?gid=554141278#gid=554141278"", ""'Char Def. - Attributes'!C20:C2242""), 1,false)"),"ALT_UOM3_SIPI")</f>
        <v>ALT_UOM3_SIPI</v>
      </c>
      <c r="I13310" s="136"/>
      <c r="R13310" s="63" t="str">
        <f t="shared" si="60"/>
        <v>ZSI1_SCREEN_CABLEALT_UOM3_SIPI</v>
      </c>
    </row>
    <row r="13311" ht="15.75" customHeight="1">
      <c r="B13311" s="63">
        <f t="shared" si="1"/>
        <v>17</v>
      </c>
      <c r="C13311" s="135" t="s">
        <v>457</v>
      </c>
      <c r="D13311" s="161" t="s">
        <v>74</v>
      </c>
      <c r="E13311" s="135">
        <f t="shared" si="62"/>
        <v>21</v>
      </c>
      <c r="F13311" s="134" t="s">
        <v>3811</v>
      </c>
      <c r="G13311" s="63" t="str">
        <f>VLOOKUP(C13311, 'Class Def. - General Data'!$C$20:$C$1000,1,false)</f>
        <v>ZSI1_SCREEN_CABLE</v>
      </c>
      <c r="H13311" s="63" t="str">
        <f>IFERROR(__xludf.DUMMYFUNCTION("VLOOKUP(F13311, IMPORTRANGE(""https://docs.google.com/spreadsheets/d/1Lhp9OU0JdFf_VYSMzH5lBcEaU4o8teT1piV-SNzShjg/edit?gid=554141278#gid=554141278"", ""'Char Def. - Attributes'!C20:C2242""), 1,false)"),"ALT_DENUM_UOM3")</f>
        <v>ALT_DENUM_UOM3</v>
      </c>
      <c r="I13311" s="136"/>
      <c r="R13311" s="63" t="str">
        <f t="shared" si="60"/>
        <v>ZSI1_SCREEN_CABLEALT_DENUM_UOM3</v>
      </c>
    </row>
    <row r="13312" ht="15.75" customHeight="1">
      <c r="B13312" s="63">
        <f t="shared" si="1"/>
        <v>17</v>
      </c>
      <c r="C13312" s="135" t="s">
        <v>457</v>
      </c>
      <c r="D13312" s="161" t="s">
        <v>74</v>
      </c>
      <c r="E13312" s="135">
        <f t="shared" si="62"/>
        <v>22</v>
      </c>
      <c r="F13312" s="134" t="s">
        <v>3812</v>
      </c>
      <c r="G13312" s="63" t="str">
        <f>VLOOKUP(C13312, 'Class Def. - General Data'!$C$20:$C$1000,1,false)</f>
        <v>ZSI1_SCREEN_CABLE</v>
      </c>
      <c r="H13312" s="63" t="str">
        <f>IFERROR(__xludf.DUMMYFUNCTION("VLOOKUP(F13312, IMPORTRANGE(""https://docs.google.com/spreadsheets/d/1Lhp9OU0JdFf_VYSMzH5lBcEaU4o8teT1piV-SNzShjg/edit?gid=554141278#gid=554141278"", ""'Char Def. - Attributes'!C20:C2242""), 1,false)"),"ALT_NUM_UOM3")</f>
        <v>ALT_NUM_UOM3</v>
      </c>
      <c r="I13312" s="136"/>
      <c r="R13312" s="63" t="str">
        <f t="shared" si="60"/>
        <v>ZSI1_SCREEN_CABLEALT_NUM_UOM3</v>
      </c>
    </row>
    <row r="13313" ht="15.75" customHeight="1">
      <c r="B13313" s="63">
        <f t="shared" si="1"/>
        <v>17</v>
      </c>
      <c r="C13313" s="135" t="s">
        <v>457</v>
      </c>
      <c r="D13313" s="161" t="s">
        <v>74</v>
      </c>
      <c r="E13313" s="135">
        <f t="shared" si="62"/>
        <v>23</v>
      </c>
      <c r="F13313" s="134" t="s">
        <v>3813</v>
      </c>
      <c r="G13313" s="63" t="str">
        <f>VLOOKUP(C13313, 'Class Def. - General Data'!$C$20:$C$1000,1,false)</f>
        <v>ZSI1_SCREEN_CABLE</v>
      </c>
      <c r="H13313" s="63" t="str">
        <f>IFERROR(__xludf.DUMMYFUNCTION("VLOOKUP(F13313, IMPORTRANGE(""https://docs.google.com/spreadsheets/d/1Lhp9OU0JdFf_VYSMzH5lBcEaU4o8teT1piV-SNzShjg/edit?gid=554141278#gid=554141278"", ""'Char Def. - Attributes'!C20:C2242""), 1,false)"),"ALT_UOM4_SIPI")</f>
        <v>ALT_UOM4_SIPI</v>
      </c>
      <c r="I13313" s="136"/>
      <c r="R13313" s="63" t="str">
        <f t="shared" si="60"/>
        <v>ZSI1_SCREEN_CABLEALT_UOM4_SIPI</v>
      </c>
    </row>
    <row r="13314" ht="15.75" customHeight="1">
      <c r="B13314" s="63">
        <f t="shared" si="1"/>
        <v>17</v>
      </c>
      <c r="C13314" s="135" t="s">
        <v>457</v>
      </c>
      <c r="D13314" s="161" t="s">
        <v>74</v>
      </c>
      <c r="E13314" s="135">
        <f t="shared" si="62"/>
        <v>24</v>
      </c>
      <c r="F13314" s="134" t="s">
        <v>3814</v>
      </c>
      <c r="G13314" s="63" t="str">
        <f>VLOOKUP(C13314, 'Class Def. - General Data'!$C$20:$C$1000,1,false)</f>
        <v>ZSI1_SCREEN_CABLE</v>
      </c>
      <c r="H13314" s="63" t="str">
        <f>IFERROR(__xludf.DUMMYFUNCTION("VLOOKUP(F13314, IMPORTRANGE(""https://docs.google.com/spreadsheets/d/1Lhp9OU0JdFf_VYSMzH5lBcEaU4o8teT1piV-SNzShjg/edit?gid=554141278#gid=554141278"", ""'Char Def. - Attributes'!C20:C2242""), 1,false)"),"ALT_DENUM_UOM4")</f>
        <v>ALT_DENUM_UOM4</v>
      </c>
      <c r="I13314" s="136"/>
      <c r="R13314" s="63" t="str">
        <f t="shared" si="60"/>
        <v>ZSI1_SCREEN_CABLEALT_DENUM_UOM4</v>
      </c>
    </row>
    <row r="13315" ht="15.75" customHeight="1">
      <c r="B13315" s="63">
        <f t="shared" si="1"/>
        <v>17</v>
      </c>
      <c r="C13315" s="135" t="s">
        <v>457</v>
      </c>
      <c r="D13315" s="161" t="s">
        <v>74</v>
      </c>
      <c r="E13315" s="135">
        <f t="shared" si="62"/>
        <v>25</v>
      </c>
      <c r="F13315" s="134" t="s">
        <v>3815</v>
      </c>
      <c r="G13315" s="63" t="str">
        <f>VLOOKUP(C13315, 'Class Def. - General Data'!$C$20:$C$1000,1,false)</f>
        <v>ZSI1_SCREEN_CABLE</v>
      </c>
      <c r="H13315" s="63" t="str">
        <f>IFERROR(__xludf.DUMMYFUNCTION("VLOOKUP(F13315, IMPORTRANGE(""https://docs.google.com/spreadsheets/d/1Lhp9OU0JdFf_VYSMzH5lBcEaU4o8teT1piV-SNzShjg/edit?gid=554141278#gid=554141278"", ""'Char Def. - Attributes'!C20:C2242""), 1,false)"),"ALT_NUM_UOM4")</f>
        <v>ALT_NUM_UOM4</v>
      </c>
      <c r="I13315" s="136"/>
      <c r="R13315" s="63" t="str">
        <f t="shared" si="60"/>
        <v>ZSI1_SCREEN_CABLEALT_NUM_UOM4</v>
      </c>
    </row>
    <row r="13316" ht="15.75" customHeight="1">
      <c r="B13316" s="63">
        <f t="shared" si="1"/>
        <v>17</v>
      </c>
      <c r="C13316" s="135" t="s">
        <v>457</v>
      </c>
      <c r="D13316" s="161" t="s">
        <v>74</v>
      </c>
      <c r="E13316" s="135">
        <f t="shared" si="62"/>
        <v>26</v>
      </c>
      <c r="F13316" s="134" t="s">
        <v>3816</v>
      </c>
      <c r="G13316" s="63" t="str">
        <f>VLOOKUP(C13316, 'Class Def. - General Data'!$C$20:$C$1000,1,false)</f>
        <v>ZSI1_SCREEN_CABLE</v>
      </c>
      <c r="H13316" s="63" t="str">
        <f>IFERROR(__xludf.DUMMYFUNCTION("VLOOKUP(F13316, IMPORTRANGE(""https://docs.google.com/spreadsheets/d/1Lhp9OU0JdFf_VYSMzH5lBcEaU4o8teT1piV-SNzShjg/edit?gid=554141278#gid=554141278"", ""'Char Def. - Attributes'!C20:C2242""), 1,false)"),"ALT_UOM5_SIPI")</f>
        <v>ALT_UOM5_SIPI</v>
      </c>
      <c r="I13316" s="136"/>
      <c r="R13316" s="63" t="str">
        <f t="shared" si="60"/>
        <v>ZSI1_SCREEN_CABLEALT_UOM5_SIPI</v>
      </c>
    </row>
    <row r="13317" ht="15.75" customHeight="1">
      <c r="B13317" s="63">
        <f t="shared" si="1"/>
        <v>17</v>
      </c>
      <c r="C13317" s="135" t="s">
        <v>457</v>
      </c>
      <c r="D13317" s="161" t="s">
        <v>74</v>
      </c>
      <c r="E13317" s="135">
        <f t="shared" si="62"/>
        <v>27</v>
      </c>
      <c r="F13317" s="134" t="s">
        <v>3817</v>
      </c>
      <c r="G13317" s="63" t="str">
        <f>VLOOKUP(C13317, 'Class Def. - General Data'!$C$20:$C$1000,1,false)</f>
        <v>ZSI1_SCREEN_CABLE</v>
      </c>
      <c r="H13317" s="63" t="str">
        <f>IFERROR(__xludf.DUMMYFUNCTION("VLOOKUP(F13317, IMPORTRANGE(""https://docs.google.com/spreadsheets/d/1Lhp9OU0JdFf_VYSMzH5lBcEaU4o8teT1piV-SNzShjg/edit?gid=554141278#gid=554141278"", ""'Char Def. - Attributes'!C20:C2242""), 1,false)"),"ALT_DENUM_UOM5")</f>
        <v>ALT_DENUM_UOM5</v>
      </c>
      <c r="I13317" s="136"/>
      <c r="R13317" s="63" t="str">
        <f t="shared" si="60"/>
        <v>ZSI1_SCREEN_CABLEALT_DENUM_UOM5</v>
      </c>
    </row>
    <row r="13318" ht="15.75" customHeight="1">
      <c r="B13318" s="63">
        <f t="shared" si="1"/>
        <v>17</v>
      </c>
      <c r="C13318" s="135" t="s">
        <v>457</v>
      </c>
      <c r="D13318" s="161" t="s">
        <v>74</v>
      </c>
      <c r="E13318" s="135">
        <f t="shared" si="62"/>
        <v>28</v>
      </c>
      <c r="F13318" s="134" t="s">
        <v>3818</v>
      </c>
      <c r="G13318" s="63" t="str">
        <f>VLOOKUP(C13318, 'Class Def. - General Data'!$C$20:$C$1000,1,false)</f>
        <v>ZSI1_SCREEN_CABLE</v>
      </c>
      <c r="H13318" s="63" t="str">
        <f>IFERROR(__xludf.DUMMYFUNCTION("VLOOKUP(F13318, IMPORTRANGE(""https://docs.google.com/spreadsheets/d/1Lhp9OU0JdFf_VYSMzH5lBcEaU4o8teT1piV-SNzShjg/edit?gid=554141278#gid=554141278"", ""'Char Def. - Attributes'!C20:C2242""), 1,false)"),"ALT_NUM_UOM5")</f>
        <v>ALT_NUM_UOM5</v>
      </c>
      <c r="I13318" s="136"/>
      <c r="R13318" s="63" t="str">
        <f t="shared" si="60"/>
        <v>ZSI1_SCREEN_CABLEALT_NUM_UOM5</v>
      </c>
    </row>
    <row r="13319" ht="15.75" customHeight="1">
      <c r="B13319" s="63">
        <f t="shared" si="1"/>
        <v>10</v>
      </c>
      <c r="C13319" s="135" t="s">
        <v>529</v>
      </c>
      <c r="D13319" s="161" t="s">
        <v>74</v>
      </c>
      <c r="E13319" s="135">
        <f t="shared" si="62"/>
        <v>1</v>
      </c>
      <c r="F13319" s="134" t="s">
        <v>5361</v>
      </c>
      <c r="G13319" s="63" t="str">
        <f>VLOOKUP(C13319, 'Class Def. - General Data'!$C$20:$C$1000,1,false)</f>
        <v>ZSI1_SCREW</v>
      </c>
      <c r="H13319" s="63" t="str">
        <f>IFERROR(__xludf.DUMMYFUNCTION("VLOOKUP(F13319, IMPORTRANGE(""https://docs.google.com/spreadsheets/d/1Lhp9OU0JdFf_VYSMzH5lBcEaU4o8teT1piV-SNzShjg/edit?gid=554141278#gid=554141278"", ""'Char Def. - Attributes'!C20:C2242""), 1,false)"),"ITEM_NAME_SCREW")</f>
        <v>ITEM_NAME_SCREW</v>
      </c>
      <c r="I13319" s="136"/>
      <c r="R13319" s="63" t="str">
        <f t="shared" si="60"/>
        <v>ZSI1_SCREWITEM_NAME_SCREW</v>
      </c>
    </row>
    <row r="13320" ht="15.75" customHeight="1">
      <c r="B13320" s="63">
        <f t="shared" si="1"/>
        <v>10</v>
      </c>
      <c r="C13320" s="135" t="s">
        <v>529</v>
      </c>
      <c r="D13320" s="161" t="s">
        <v>74</v>
      </c>
      <c r="E13320" s="135">
        <f t="shared" si="62"/>
        <v>2</v>
      </c>
      <c r="F13320" s="134" t="s">
        <v>5362</v>
      </c>
      <c r="G13320" s="63" t="str">
        <f>VLOOKUP(C13320, 'Class Def. - General Data'!$C$20:$C$1000,1,false)</f>
        <v>ZSI1_SCREW</v>
      </c>
      <c r="H13320" s="63" t="str">
        <f>IFERROR(__xludf.DUMMYFUNCTION("VLOOKUP(F13320, IMPORTRANGE(""https://docs.google.com/spreadsheets/d/1Lhp9OU0JdFf_VYSMzH5lBcEaU4o8teT1piV-SNzShjg/edit?gid=554141278#gid=554141278"", ""'Char Def. - Attributes'!C20:C2242""), 1,false)"),"HEAD_TYPE_SCREW")</f>
        <v>HEAD_TYPE_SCREW</v>
      </c>
      <c r="I13320" s="136"/>
      <c r="R13320" s="63" t="str">
        <f t="shared" si="60"/>
        <v>ZSI1_SCREWHEAD_TYPE_SCREW</v>
      </c>
    </row>
    <row r="13321" ht="15.75" customHeight="1">
      <c r="B13321" s="63">
        <f t="shared" si="1"/>
        <v>10</v>
      </c>
      <c r="C13321" s="135" t="s">
        <v>529</v>
      </c>
      <c r="D13321" s="161" t="s">
        <v>74</v>
      </c>
      <c r="E13321" s="135">
        <f t="shared" si="62"/>
        <v>3</v>
      </c>
      <c r="F13321" s="134" t="s">
        <v>5363</v>
      </c>
      <c r="G13321" s="63" t="str">
        <f>VLOOKUP(C13321, 'Class Def. - General Data'!$C$20:$C$1000,1,false)</f>
        <v>ZSI1_SCREW</v>
      </c>
      <c r="H13321" s="63" t="str">
        <f>IFERROR(__xludf.DUMMYFUNCTION("VLOOKUP(F13321, IMPORTRANGE(""https://docs.google.com/spreadsheets/d/1Lhp9OU0JdFf_VYSMzH5lBcEaU4o8teT1piV-SNzShjg/edit?gid=554141278#gid=554141278"", ""'Char Def. - Attributes'!C20:C2242""), 1,false)"),"DIMENSION_SCREW")</f>
        <v>DIMENSION_SCREW</v>
      </c>
      <c r="I13321" s="136"/>
      <c r="R13321" s="63" t="str">
        <f t="shared" si="60"/>
        <v>ZSI1_SCREWDIMENSION_SCREW</v>
      </c>
    </row>
    <row r="13322" ht="15.75" customHeight="1">
      <c r="B13322" s="63">
        <f t="shared" si="1"/>
        <v>10</v>
      </c>
      <c r="C13322" s="135" t="s">
        <v>529</v>
      </c>
      <c r="D13322" s="161" t="s">
        <v>74</v>
      </c>
      <c r="E13322" s="135">
        <f t="shared" si="62"/>
        <v>4</v>
      </c>
      <c r="F13322" s="134" t="s">
        <v>5364</v>
      </c>
      <c r="G13322" s="63" t="str">
        <f>VLOOKUP(C13322, 'Class Def. - General Data'!$C$20:$C$1000,1,false)</f>
        <v>ZSI1_SCREW</v>
      </c>
      <c r="H13322" s="63" t="str">
        <f>IFERROR(__xludf.DUMMYFUNCTION("VLOOKUP(F13322, IMPORTRANGE(""https://docs.google.com/spreadsheets/d/1Lhp9OU0JdFf_VYSMzH5lBcEaU4o8teT1piV-SNzShjg/edit?gid=554141278#gid=554141278"", ""'Char Def. - Attributes'!C20:C2242""), 1,false)"),"DIAMETER_MM_SCREW")</f>
        <v>DIAMETER_MM_SCREW</v>
      </c>
      <c r="I13322" s="136"/>
      <c r="R13322" s="63" t="str">
        <f t="shared" si="60"/>
        <v>ZSI1_SCREWDIAMETER_MM_SCREW</v>
      </c>
    </row>
    <row r="13323" ht="15.75" customHeight="1">
      <c r="B13323" s="63">
        <f t="shared" si="1"/>
        <v>10</v>
      </c>
      <c r="C13323" s="135" t="s">
        <v>529</v>
      </c>
      <c r="D13323" s="161" t="s">
        <v>74</v>
      </c>
      <c r="E13323" s="135">
        <f t="shared" si="62"/>
        <v>5</v>
      </c>
      <c r="F13323" s="134" t="s">
        <v>5365</v>
      </c>
      <c r="G13323" s="63" t="str">
        <f>VLOOKUP(C13323, 'Class Def. - General Data'!$C$20:$C$1000,1,false)</f>
        <v>ZSI1_SCREW</v>
      </c>
      <c r="H13323" s="63" t="str">
        <f>IFERROR(__xludf.DUMMYFUNCTION("VLOOKUP(F13323, IMPORTRANGE(""https://docs.google.com/spreadsheets/d/1Lhp9OU0JdFf_VYSMzH5lBcEaU4o8teT1piV-SNzShjg/edit?gid=554141278#gid=554141278"", ""'Char Def. - Attributes'!C20:C2242""), 1,false)"),"DIAMETER_IN_SCREW")</f>
        <v>DIAMETER_IN_SCREW</v>
      </c>
      <c r="I13323" s="136"/>
      <c r="R13323" s="63" t="str">
        <f t="shared" si="60"/>
        <v>ZSI1_SCREWDIAMETER_IN_SCREW</v>
      </c>
    </row>
    <row r="13324" ht="15.75" customHeight="1">
      <c r="B13324" s="63">
        <f t="shared" si="1"/>
        <v>10</v>
      </c>
      <c r="C13324" s="135" t="s">
        <v>529</v>
      </c>
      <c r="D13324" s="161" t="s">
        <v>74</v>
      </c>
      <c r="E13324" s="135">
        <f t="shared" si="62"/>
        <v>6</v>
      </c>
      <c r="F13324" s="134" t="s">
        <v>5366</v>
      </c>
      <c r="G13324" s="63" t="str">
        <f>VLOOKUP(C13324, 'Class Def. - General Data'!$C$20:$C$1000,1,false)</f>
        <v>ZSI1_SCREW</v>
      </c>
      <c r="H13324" s="63" t="str">
        <f>IFERROR(__xludf.DUMMYFUNCTION("VLOOKUP(F13324, IMPORTRANGE(""https://docs.google.com/spreadsheets/d/1Lhp9OU0JdFf_VYSMzH5lBcEaU4o8teT1piV-SNzShjg/edit?gid=554141278#gid=554141278"", ""'Char Def. - Attributes'!C20:C2242""), 1,false)"),"LENGTH_MM_SCREW")</f>
        <v>LENGTH_MM_SCREW</v>
      </c>
      <c r="I13324" s="136"/>
      <c r="R13324" s="63" t="str">
        <f t="shared" si="60"/>
        <v>ZSI1_SCREWLENGTH_MM_SCREW</v>
      </c>
    </row>
    <row r="13325" ht="15.75" customHeight="1">
      <c r="B13325" s="63">
        <f t="shared" si="1"/>
        <v>10</v>
      </c>
      <c r="C13325" s="135" t="s">
        <v>529</v>
      </c>
      <c r="D13325" s="161" t="s">
        <v>74</v>
      </c>
      <c r="E13325" s="135">
        <f t="shared" si="62"/>
        <v>7</v>
      </c>
      <c r="F13325" s="134" t="s">
        <v>5367</v>
      </c>
      <c r="G13325" s="63" t="str">
        <f>VLOOKUP(C13325, 'Class Def. - General Data'!$C$20:$C$1000,1,false)</f>
        <v>ZSI1_SCREW</v>
      </c>
      <c r="H13325" s="63" t="str">
        <f>IFERROR(__xludf.DUMMYFUNCTION("VLOOKUP(F13325, IMPORTRANGE(""https://docs.google.com/spreadsheets/d/1Lhp9OU0JdFf_VYSMzH5lBcEaU4o8teT1piV-SNzShjg/edit?gid=554141278#gid=554141278"", ""'Char Def. - Attributes'!C20:C2242""), 1,false)"),"LENGTH_IN_SCREW")</f>
        <v>LENGTH_IN_SCREW</v>
      </c>
      <c r="I13325" s="136"/>
      <c r="R13325" s="63" t="str">
        <f t="shared" si="60"/>
        <v>ZSI1_SCREWLENGTH_IN_SCREW</v>
      </c>
    </row>
    <row r="13326" ht="15.75" customHeight="1">
      <c r="B13326" s="63">
        <f t="shared" si="1"/>
        <v>10</v>
      </c>
      <c r="C13326" s="135" t="s">
        <v>529</v>
      </c>
      <c r="D13326" s="161" t="s">
        <v>74</v>
      </c>
      <c r="E13326" s="135">
        <f t="shared" si="62"/>
        <v>8</v>
      </c>
      <c r="F13326" s="134" t="s">
        <v>5368</v>
      </c>
      <c r="G13326" s="63" t="str">
        <f>VLOOKUP(C13326, 'Class Def. - General Data'!$C$20:$C$1000,1,false)</f>
        <v>ZSI1_SCREW</v>
      </c>
      <c r="H13326" s="63" t="str">
        <f>IFERROR(__xludf.DUMMYFUNCTION("VLOOKUP(F13326, IMPORTRANGE(""https://docs.google.com/spreadsheets/d/1Lhp9OU0JdFf_VYSMzH5lBcEaU4o8teT1piV-SNzShjg/edit?gid=554141278#gid=554141278"", ""'Char Def. - Attributes'!C20:C2242""), 1,false)"),"MATERIAL_SCREW")</f>
        <v>MATERIAL_SCREW</v>
      </c>
      <c r="I13326" s="136"/>
      <c r="R13326" s="63" t="str">
        <f t="shared" si="60"/>
        <v>ZSI1_SCREWMATERIAL_SCREW</v>
      </c>
    </row>
    <row r="13327" ht="15.75" customHeight="1">
      <c r="B13327" s="63">
        <f t="shared" si="1"/>
        <v>10</v>
      </c>
      <c r="C13327" s="135" t="s">
        <v>529</v>
      </c>
      <c r="D13327" s="161" t="s">
        <v>74</v>
      </c>
      <c r="E13327" s="135">
        <f t="shared" si="62"/>
        <v>9</v>
      </c>
      <c r="F13327" s="134" t="s">
        <v>4053</v>
      </c>
      <c r="G13327" s="63" t="str">
        <f>VLOOKUP(C13327, 'Class Def. - General Data'!$C$20:$C$1000,1,false)</f>
        <v>ZSI1_SCREW</v>
      </c>
      <c r="H13327" s="63" t="str">
        <f>IFERROR(__xludf.DUMMYFUNCTION("VLOOKUP(F13327, IMPORTRANGE(""https://docs.google.com/spreadsheets/d/1Lhp9OU0JdFf_VYSMzH5lBcEaU4o8teT1piV-SNzShjg/edit?gid=554141278#gid=554141278"", ""'Char Def. - Attributes'!C20:C2242""), 1,false)"),"MAINTENANCE_ORDER_TYPE")</f>
        <v>MAINTENANCE_ORDER_TYPE</v>
      </c>
      <c r="I13327" s="136"/>
      <c r="R13327" s="63" t="str">
        <f t="shared" si="60"/>
        <v>ZSI1_SCREWMAINTENANCE_ORDER_TYPE</v>
      </c>
    </row>
    <row r="13328" ht="15.75" customHeight="1">
      <c r="B13328" s="63">
        <f t="shared" si="1"/>
        <v>10</v>
      </c>
      <c r="C13328" s="135" t="s">
        <v>529</v>
      </c>
      <c r="D13328" s="161" t="s">
        <v>74</v>
      </c>
      <c r="E13328" s="135">
        <f t="shared" si="62"/>
        <v>10</v>
      </c>
      <c r="F13328" s="134" t="s">
        <v>3585</v>
      </c>
      <c r="G13328" s="63" t="str">
        <f>VLOOKUP(C13328, 'Class Def. - General Data'!$C$20:$C$1000,1,false)</f>
        <v>ZSI1_SCREW</v>
      </c>
      <c r="H13328" s="63" t="str">
        <f>IFERROR(__xludf.DUMMYFUNCTION("VLOOKUP(F13328, IMPORTRANGE(""https://docs.google.com/spreadsheets/d/1Lhp9OU0JdFf_VYSMzH5lBcEaU4o8teT1piV-SNzShjg/edit?gid=554141278#gid=554141278"", ""'Char Def. - Attributes'!C20:C2242""), 1,false)"),"HS_CODE")</f>
        <v>HS_CODE</v>
      </c>
      <c r="I13328" s="136"/>
      <c r="R13328" s="63" t="str">
        <f t="shared" si="60"/>
        <v>ZSI1_SCREWHS_CODE</v>
      </c>
    </row>
    <row r="13329" ht="15.75" customHeight="1">
      <c r="B13329" s="63">
        <f t="shared" si="1"/>
        <v>10</v>
      </c>
      <c r="C13329" s="135" t="s">
        <v>529</v>
      </c>
      <c r="D13329" s="161" t="s">
        <v>74</v>
      </c>
      <c r="E13329" s="135">
        <f t="shared" si="62"/>
        <v>11</v>
      </c>
      <c r="F13329" s="134" t="s">
        <v>3587</v>
      </c>
      <c r="G13329" s="63" t="str">
        <f>VLOOKUP(C13329, 'Class Def. - General Data'!$C$20:$C$1000,1,false)</f>
        <v>ZSI1_SCREW</v>
      </c>
      <c r="H13329" s="63" t="str">
        <f>IFERROR(__xludf.DUMMYFUNCTION("VLOOKUP(F13329, IMPORTRANGE(""https://docs.google.com/spreadsheets/d/1Lhp9OU0JdFf_VYSMzH5lBcEaU4o8teT1piV-SNzShjg/edit?gid=554141278#gid=554141278"", ""'Char Def. - Attributes'!C20:C2242""), 1,false)"),"PLANT_BUY")</f>
        <v>PLANT_BUY</v>
      </c>
      <c r="I13329" s="136"/>
      <c r="R13329" s="63" t="str">
        <f t="shared" si="60"/>
        <v>ZSI1_SCREWPLANT_BUY</v>
      </c>
    </row>
    <row r="13330" ht="15.75" customHeight="1">
      <c r="B13330" s="63">
        <f t="shared" si="1"/>
        <v>10</v>
      </c>
      <c r="C13330" s="135" t="s">
        <v>529</v>
      </c>
      <c r="D13330" s="161" t="s">
        <v>74</v>
      </c>
      <c r="E13330" s="135">
        <f t="shared" si="62"/>
        <v>12</v>
      </c>
      <c r="F13330" s="134" t="s">
        <v>5369</v>
      </c>
      <c r="G13330" s="63" t="str">
        <f>VLOOKUP(C13330, 'Class Def. - General Data'!$C$20:$C$1000,1,false)</f>
        <v>ZSI1_SCREW</v>
      </c>
      <c r="H13330" s="63" t="str">
        <f>IFERROR(__xludf.DUMMYFUNCTION("VLOOKUP(F13330, IMPORTRANGE(""https://docs.google.com/spreadsheets/d/1Lhp9OU0JdFf_VYSMzH5lBcEaU4o8teT1piV-SNzShjg/edit?gid=554141278#gid=554141278"", ""'Char Def. - Attributes'!C20:C2242""), 1,false)"),"BASE_UOM_SCREW")</f>
        <v>BASE_UOM_SCREW</v>
      </c>
      <c r="I13330" s="136"/>
      <c r="R13330" s="63" t="str">
        <f t="shared" si="60"/>
        <v>ZSI1_SCREWBASE_UOM_SCREW</v>
      </c>
    </row>
    <row r="13331" ht="15.75" customHeight="1">
      <c r="B13331" s="63">
        <f t="shared" si="1"/>
        <v>10</v>
      </c>
      <c r="C13331" s="135" t="s">
        <v>529</v>
      </c>
      <c r="D13331" s="161" t="s">
        <v>74</v>
      </c>
      <c r="E13331" s="135">
        <f t="shared" si="62"/>
        <v>13</v>
      </c>
      <c r="F13331" s="134" t="s">
        <v>5370</v>
      </c>
      <c r="G13331" s="63" t="str">
        <f>VLOOKUP(C13331, 'Class Def. - General Data'!$C$20:$C$1000,1,false)</f>
        <v>ZSI1_SCREW</v>
      </c>
      <c r="H13331" s="63" t="str">
        <f>IFERROR(__xludf.DUMMYFUNCTION("VLOOKUP(F13331, IMPORTRANGE(""https://docs.google.com/spreadsheets/d/1Lhp9OU0JdFf_VYSMzH5lBcEaU4o8teT1piV-SNzShjg/edit?gid=554141278#gid=554141278"", ""'Char Def. - Attributes'!C20:C2242""), 1,false)"),"ORDER_UNIT_SCREW")</f>
        <v>ORDER_UNIT_SCREW</v>
      </c>
      <c r="I13331" s="136"/>
      <c r="R13331" s="63" t="str">
        <f t="shared" si="60"/>
        <v>ZSI1_SCREWORDER_UNIT_SCREW</v>
      </c>
    </row>
    <row r="13332" ht="15.75" customHeight="1">
      <c r="B13332" s="63">
        <f t="shared" si="1"/>
        <v>10</v>
      </c>
      <c r="C13332" s="135" t="s">
        <v>529</v>
      </c>
      <c r="D13332" s="161" t="s">
        <v>74</v>
      </c>
      <c r="E13332" s="135">
        <f t="shared" si="62"/>
        <v>14</v>
      </c>
      <c r="F13332" s="134" t="s">
        <v>4056</v>
      </c>
      <c r="G13332" s="63" t="str">
        <f>VLOOKUP(C13332, 'Class Def. - General Data'!$C$20:$C$1000,1,false)</f>
        <v>ZSI1_SCREW</v>
      </c>
      <c r="H13332" s="63" t="str">
        <f>IFERROR(__xludf.DUMMYFUNCTION("VLOOKUP(F13332, IMPORTRANGE(""https://docs.google.com/spreadsheets/d/1Lhp9OU0JdFf_VYSMzH5lBcEaU4o8teT1piV-SNzShjg/edit?gid=554141278#gid=554141278"", ""'Char Def. - Attributes'!C20:C2242""), 1,false)"),"GROSS_WEIGHT_OPT")</f>
        <v>GROSS_WEIGHT_OPT</v>
      </c>
      <c r="I13332" s="136"/>
      <c r="R13332" s="63" t="str">
        <f t="shared" si="60"/>
        <v>ZSI1_SCREWGROSS_WEIGHT_OPT</v>
      </c>
    </row>
    <row r="13333" ht="15.75" customHeight="1">
      <c r="B13333" s="63">
        <f t="shared" si="1"/>
        <v>10</v>
      </c>
      <c r="C13333" s="135" t="s">
        <v>529</v>
      </c>
      <c r="D13333" s="161" t="s">
        <v>74</v>
      </c>
      <c r="E13333" s="135">
        <f t="shared" si="62"/>
        <v>15</v>
      </c>
      <c r="F13333" s="134" t="s">
        <v>4057</v>
      </c>
      <c r="G13333" s="63" t="str">
        <f>VLOOKUP(C13333, 'Class Def. - General Data'!$C$20:$C$1000,1,false)</f>
        <v>ZSI1_SCREW</v>
      </c>
      <c r="H13333" s="63" t="str">
        <f>IFERROR(__xludf.DUMMYFUNCTION("VLOOKUP(F13333, IMPORTRANGE(""https://docs.google.com/spreadsheets/d/1Lhp9OU0JdFf_VYSMzH5lBcEaU4o8teT1piV-SNzShjg/edit?gid=554141278#gid=554141278"", ""'Char Def. - Attributes'!C20:C2242""), 1,false)"),"NET_WEIGHT_OPT")</f>
        <v>NET_WEIGHT_OPT</v>
      </c>
      <c r="I13333" s="136"/>
      <c r="R13333" s="63" t="str">
        <f t="shared" si="60"/>
        <v>ZSI1_SCREWNET_WEIGHT_OPT</v>
      </c>
    </row>
    <row r="13334" ht="15.75" customHeight="1">
      <c r="B13334" s="63">
        <f t="shared" si="1"/>
        <v>10</v>
      </c>
      <c r="C13334" s="135" t="s">
        <v>529</v>
      </c>
      <c r="D13334" s="161" t="s">
        <v>74</v>
      </c>
      <c r="E13334" s="135">
        <f t="shared" si="62"/>
        <v>16</v>
      </c>
      <c r="F13334" s="134" t="s">
        <v>4058</v>
      </c>
      <c r="G13334" s="63" t="str">
        <f>VLOOKUP(C13334, 'Class Def. - General Data'!$C$20:$C$1000,1,false)</f>
        <v>ZSI1_SCREW</v>
      </c>
      <c r="H13334" s="63" t="str">
        <f>IFERROR(__xludf.DUMMYFUNCTION("VLOOKUP(F13334, IMPORTRANGE(""https://docs.google.com/spreadsheets/d/1Lhp9OU0JdFf_VYSMzH5lBcEaU4o8teT1piV-SNzShjg/edit?gid=554141278#gid=554141278"", ""'Char Def. - Attributes'!C20:C2242""), 1,false)"),"WEIGHT_UNIT_SI")</f>
        <v>WEIGHT_UNIT_SI</v>
      </c>
      <c r="I13334" s="136"/>
      <c r="R13334" s="63" t="str">
        <f t="shared" si="60"/>
        <v>ZSI1_SCREWWEIGHT_UNIT_SI</v>
      </c>
    </row>
    <row r="13335" ht="15.75" customHeight="1">
      <c r="B13335" s="63">
        <f t="shared" si="1"/>
        <v>10</v>
      </c>
      <c r="C13335" s="135" t="s">
        <v>529</v>
      </c>
      <c r="D13335" s="161" t="s">
        <v>74</v>
      </c>
      <c r="E13335" s="135">
        <f t="shared" si="62"/>
        <v>17</v>
      </c>
      <c r="F13335" s="134" t="s">
        <v>3877</v>
      </c>
      <c r="G13335" s="63" t="str">
        <f>VLOOKUP(C13335, 'Class Def. - General Data'!$C$20:$C$1000,1,false)</f>
        <v>ZSI1_SCREW</v>
      </c>
      <c r="H13335" s="63" t="str">
        <f>IFERROR(__xludf.DUMMYFUNCTION("VLOOKUP(F13335, IMPORTRANGE(""https://docs.google.com/spreadsheets/d/1Lhp9OU0JdFf_VYSMzH5lBcEaU4o8teT1piV-SNzShjg/edit?gid=554141278#gid=554141278"", ""'Char Def. - Attributes'!C20:C2242""), 1,false)"),"VOLUME_OPT")</f>
        <v>VOLUME_OPT</v>
      </c>
      <c r="I13335" s="136"/>
      <c r="R13335" s="63" t="str">
        <f t="shared" si="60"/>
        <v>ZSI1_SCREWVOLUME_OPT</v>
      </c>
    </row>
    <row r="13336" ht="15.75" customHeight="1">
      <c r="B13336" s="63">
        <f t="shared" si="1"/>
        <v>10</v>
      </c>
      <c r="C13336" s="135" t="s">
        <v>529</v>
      </c>
      <c r="D13336" s="161" t="s">
        <v>74</v>
      </c>
      <c r="E13336" s="135">
        <f t="shared" si="62"/>
        <v>18</v>
      </c>
      <c r="F13336" s="134" t="s">
        <v>4059</v>
      </c>
      <c r="G13336" s="63" t="str">
        <f>VLOOKUP(C13336, 'Class Def. - General Data'!$C$20:$C$1000,1,false)</f>
        <v>ZSI1_SCREW</v>
      </c>
      <c r="H13336" s="63" t="str">
        <f>IFERROR(__xludf.DUMMYFUNCTION("VLOOKUP(F13336, IMPORTRANGE(""https://docs.google.com/spreadsheets/d/1Lhp9OU0JdFf_VYSMzH5lBcEaU4o8teT1piV-SNzShjg/edit?gid=554141278#gid=554141278"", ""'Char Def. - Attributes'!C20:C2242""), 1,false)"),"VOLUME_UNIT_SI")</f>
        <v>VOLUME_UNIT_SI</v>
      </c>
      <c r="I13336" s="136"/>
      <c r="R13336" s="63" t="str">
        <f t="shared" si="60"/>
        <v>ZSI1_SCREWVOLUME_UNIT_SI</v>
      </c>
    </row>
    <row r="13337" ht="15.75" customHeight="1">
      <c r="B13337" s="63">
        <f t="shared" si="1"/>
        <v>10</v>
      </c>
      <c r="C13337" s="135" t="s">
        <v>529</v>
      </c>
      <c r="D13337" s="161" t="s">
        <v>74</v>
      </c>
      <c r="E13337" s="135">
        <f t="shared" si="62"/>
        <v>19</v>
      </c>
      <c r="F13337" s="134" t="s">
        <v>3804</v>
      </c>
      <c r="G13337" s="63" t="str">
        <f>VLOOKUP(C13337, 'Class Def. - General Data'!$C$20:$C$1000,1,false)</f>
        <v>ZSI1_SCREW</v>
      </c>
      <c r="H13337" s="63" t="str">
        <f>IFERROR(__xludf.DUMMYFUNCTION("VLOOKUP(F13337, IMPORTRANGE(""https://docs.google.com/spreadsheets/d/1Lhp9OU0JdFf_VYSMzH5lBcEaU4o8teT1piV-SNzShjg/edit?gid=554141278#gid=554141278"", ""'Char Def. - Attributes'!C20:C2242""), 1,false)"),"ALT_UOM1_SIPI")</f>
        <v>ALT_UOM1_SIPI</v>
      </c>
      <c r="I13337" s="136"/>
      <c r="R13337" s="63" t="str">
        <f t="shared" si="60"/>
        <v>ZSI1_SCREWALT_UOM1_SIPI</v>
      </c>
    </row>
    <row r="13338" ht="15.75" customHeight="1">
      <c r="B13338" s="63">
        <f t="shared" si="1"/>
        <v>10</v>
      </c>
      <c r="C13338" s="135" t="s">
        <v>529</v>
      </c>
      <c r="D13338" s="161" t="s">
        <v>74</v>
      </c>
      <c r="E13338" s="135">
        <f t="shared" si="62"/>
        <v>20</v>
      </c>
      <c r="F13338" s="134" t="s">
        <v>3805</v>
      </c>
      <c r="G13338" s="63" t="str">
        <f>VLOOKUP(C13338, 'Class Def. - General Data'!$C$20:$C$1000,1,false)</f>
        <v>ZSI1_SCREW</v>
      </c>
      <c r="H13338" s="63" t="str">
        <f>IFERROR(__xludf.DUMMYFUNCTION("VLOOKUP(F13338, IMPORTRANGE(""https://docs.google.com/spreadsheets/d/1Lhp9OU0JdFf_VYSMzH5lBcEaU4o8teT1piV-SNzShjg/edit?gid=554141278#gid=554141278"", ""'Char Def. - Attributes'!C20:C2242""), 1,false)"),"ALT_DENUM_UOM1")</f>
        <v>ALT_DENUM_UOM1</v>
      </c>
      <c r="I13338" s="136"/>
      <c r="R13338" s="63" t="str">
        <f t="shared" si="60"/>
        <v>ZSI1_SCREWALT_DENUM_UOM1</v>
      </c>
    </row>
    <row r="13339" ht="15.75" customHeight="1">
      <c r="B13339" s="63">
        <f t="shared" si="1"/>
        <v>10</v>
      </c>
      <c r="C13339" s="135" t="s">
        <v>529</v>
      </c>
      <c r="D13339" s="161" t="s">
        <v>74</v>
      </c>
      <c r="E13339" s="135">
        <f t="shared" si="62"/>
        <v>21</v>
      </c>
      <c r="F13339" s="134" t="s">
        <v>3806</v>
      </c>
      <c r="G13339" s="63" t="str">
        <f>VLOOKUP(C13339, 'Class Def. - General Data'!$C$20:$C$1000,1,false)</f>
        <v>ZSI1_SCREW</v>
      </c>
      <c r="H13339" s="63" t="str">
        <f>IFERROR(__xludf.DUMMYFUNCTION("VLOOKUP(F13339, IMPORTRANGE(""https://docs.google.com/spreadsheets/d/1Lhp9OU0JdFf_VYSMzH5lBcEaU4o8teT1piV-SNzShjg/edit?gid=554141278#gid=554141278"", ""'Char Def. - Attributes'!C20:C2242""), 1,false)"),"ALT_NUM_UOM1")</f>
        <v>ALT_NUM_UOM1</v>
      </c>
      <c r="I13339" s="136"/>
      <c r="R13339" s="63" t="str">
        <f t="shared" si="60"/>
        <v>ZSI1_SCREWALT_NUM_UOM1</v>
      </c>
    </row>
    <row r="13340" ht="15.75" customHeight="1">
      <c r="B13340" s="63">
        <f t="shared" si="1"/>
        <v>10</v>
      </c>
      <c r="C13340" s="135" t="s">
        <v>529</v>
      </c>
      <c r="D13340" s="161" t="s">
        <v>74</v>
      </c>
      <c r="E13340" s="135">
        <f t="shared" si="62"/>
        <v>22</v>
      </c>
      <c r="F13340" s="134" t="s">
        <v>3807</v>
      </c>
      <c r="G13340" s="63" t="str">
        <f>VLOOKUP(C13340, 'Class Def. - General Data'!$C$20:$C$1000,1,false)</f>
        <v>ZSI1_SCREW</v>
      </c>
      <c r="H13340" s="63" t="str">
        <f>IFERROR(__xludf.DUMMYFUNCTION("VLOOKUP(F13340, IMPORTRANGE(""https://docs.google.com/spreadsheets/d/1Lhp9OU0JdFf_VYSMzH5lBcEaU4o8teT1piV-SNzShjg/edit?gid=554141278#gid=554141278"", ""'Char Def. - Attributes'!C20:C2242""), 1,false)"),"ALT_UOM2_SIPI")</f>
        <v>ALT_UOM2_SIPI</v>
      </c>
      <c r="I13340" s="136"/>
      <c r="R13340" s="63" t="str">
        <f t="shared" si="60"/>
        <v>ZSI1_SCREWALT_UOM2_SIPI</v>
      </c>
    </row>
    <row r="13341" ht="15.75" customHeight="1">
      <c r="B13341" s="63">
        <f t="shared" si="1"/>
        <v>10</v>
      </c>
      <c r="C13341" s="135" t="s">
        <v>529</v>
      </c>
      <c r="D13341" s="161" t="s">
        <v>74</v>
      </c>
      <c r="E13341" s="135">
        <f t="shared" si="62"/>
        <v>23</v>
      </c>
      <c r="F13341" s="134" t="s">
        <v>3808</v>
      </c>
      <c r="G13341" s="63" t="str">
        <f>VLOOKUP(C13341, 'Class Def. - General Data'!$C$20:$C$1000,1,false)</f>
        <v>ZSI1_SCREW</v>
      </c>
      <c r="H13341" s="63" t="str">
        <f>IFERROR(__xludf.DUMMYFUNCTION("VLOOKUP(F13341, IMPORTRANGE(""https://docs.google.com/spreadsheets/d/1Lhp9OU0JdFf_VYSMzH5lBcEaU4o8teT1piV-SNzShjg/edit?gid=554141278#gid=554141278"", ""'Char Def. - Attributes'!C20:C2242""), 1,false)"),"ALT_DENUM_UOM2")</f>
        <v>ALT_DENUM_UOM2</v>
      </c>
      <c r="I13341" s="136"/>
      <c r="R13341" s="63" t="str">
        <f t="shared" si="60"/>
        <v>ZSI1_SCREWALT_DENUM_UOM2</v>
      </c>
    </row>
    <row r="13342" ht="15.75" customHeight="1">
      <c r="B13342" s="63">
        <f t="shared" si="1"/>
        <v>10</v>
      </c>
      <c r="C13342" s="135" t="s">
        <v>529</v>
      </c>
      <c r="D13342" s="161" t="s">
        <v>74</v>
      </c>
      <c r="E13342" s="135">
        <f t="shared" si="62"/>
        <v>24</v>
      </c>
      <c r="F13342" s="134" t="s">
        <v>3809</v>
      </c>
      <c r="G13342" s="63" t="str">
        <f>VLOOKUP(C13342, 'Class Def. - General Data'!$C$20:$C$1000,1,false)</f>
        <v>ZSI1_SCREW</v>
      </c>
      <c r="H13342" s="63" t="str">
        <f>IFERROR(__xludf.DUMMYFUNCTION("VLOOKUP(F13342, IMPORTRANGE(""https://docs.google.com/spreadsheets/d/1Lhp9OU0JdFf_VYSMzH5lBcEaU4o8teT1piV-SNzShjg/edit?gid=554141278#gid=554141278"", ""'Char Def. - Attributes'!C20:C2242""), 1,false)"),"ALT_NUM_UOM2")</f>
        <v>ALT_NUM_UOM2</v>
      </c>
      <c r="I13342" s="136"/>
      <c r="R13342" s="63" t="str">
        <f t="shared" si="60"/>
        <v>ZSI1_SCREWALT_NUM_UOM2</v>
      </c>
    </row>
    <row r="13343" ht="15.75" customHeight="1">
      <c r="B13343" s="63">
        <f t="shared" si="1"/>
        <v>10</v>
      </c>
      <c r="C13343" s="135" t="s">
        <v>529</v>
      </c>
      <c r="D13343" s="161" t="s">
        <v>74</v>
      </c>
      <c r="E13343" s="135">
        <f t="shared" si="62"/>
        <v>25</v>
      </c>
      <c r="F13343" s="134" t="s">
        <v>3810</v>
      </c>
      <c r="G13343" s="63" t="str">
        <f>VLOOKUP(C13343, 'Class Def. - General Data'!$C$20:$C$1000,1,false)</f>
        <v>ZSI1_SCREW</v>
      </c>
      <c r="H13343" s="63" t="str">
        <f>IFERROR(__xludf.DUMMYFUNCTION("VLOOKUP(F13343, IMPORTRANGE(""https://docs.google.com/spreadsheets/d/1Lhp9OU0JdFf_VYSMzH5lBcEaU4o8teT1piV-SNzShjg/edit?gid=554141278#gid=554141278"", ""'Char Def. - Attributes'!C20:C2242""), 1,false)"),"ALT_UOM3_SIPI")</f>
        <v>ALT_UOM3_SIPI</v>
      </c>
      <c r="I13343" s="136"/>
      <c r="R13343" s="63" t="str">
        <f t="shared" si="60"/>
        <v>ZSI1_SCREWALT_UOM3_SIPI</v>
      </c>
    </row>
    <row r="13344" ht="15.75" customHeight="1">
      <c r="B13344" s="63">
        <f t="shared" si="1"/>
        <v>10</v>
      </c>
      <c r="C13344" s="135" t="s">
        <v>529</v>
      </c>
      <c r="D13344" s="161" t="s">
        <v>74</v>
      </c>
      <c r="E13344" s="135">
        <f t="shared" si="62"/>
        <v>26</v>
      </c>
      <c r="F13344" s="134" t="s">
        <v>3811</v>
      </c>
      <c r="G13344" s="63" t="str">
        <f>VLOOKUP(C13344, 'Class Def. - General Data'!$C$20:$C$1000,1,false)</f>
        <v>ZSI1_SCREW</v>
      </c>
      <c r="H13344" s="63" t="str">
        <f>IFERROR(__xludf.DUMMYFUNCTION("VLOOKUP(F13344, IMPORTRANGE(""https://docs.google.com/spreadsheets/d/1Lhp9OU0JdFf_VYSMzH5lBcEaU4o8teT1piV-SNzShjg/edit?gid=554141278#gid=554141278"", ""'Char Def. - Attributes'!C20:C2242""), 1,false)"),"ALT_DENUM_UOM3")</f>
        <v>ALT_DENUM_UOM3</v>
      </c>
      <c r="I13344" s="136"/>
      <c r="R13344" s="63" t="str">
        <f t="shared" si="60"/>
        <v>ZSI1_SCREWALT_DENUM_UOM3</v>
      </c>
    </row>
    <row r="13345" ht="15.75" customHeight="1">
      <c r="B13345" s="63">
        <f t="shared" si="1"/>
        <v>10</v>
      </c>
      <c r="C13345" s="135" t="s">
        <v>529</v>
      </c>
      <c r="D13345" s="161" t="s">
        <v>74</v>
      </c>
      <c r="E13345" s="135">
        <f t="shared" si="62"/>
        <v>27</v>
      </c>
      <c r="F13345" s="134" t="s">
        <v>3812</v>
      </c>
      <c r="G13345" s="63" t="str">
        <f>VLOOKUP(C13345, 'Class Def. - General Data'!$C$20:$C$1000,1,false)</f>
        <v>ZSI1_SCREW</v>
      </c>
      <c r="H13345" s="63" t="str">
        <f>IFERROR(__xludf.DUMMYFUNCTION("VLOOKUP(F13345, IMPORTRANGE(""https://docs.google.com/spreadsheets/d/1Lhp9OU0JdFf_VYSMzH5lBcEaU4o8teT1piV-SNzShjg/edit?gid=554141278#gid=554141278"", ""'Char Def. - Attributes'!C20:C2242""), 1,false)"),"ALT_NUM_UOM3")</f>
        <v>ALT_NUM_UOM3</v>
      </c>
      <c r="I13345" s="136"/>
      <c r="R13345" s="63" t="str">
        <f t="shared" si="60"/>
        <v>ZSI1_SCREWALT_NUM_UOM3</v>
      </c>
    </row>
    <row r="13346" ht="15.75" customHeight="1">
      <c r="B13346" s="63">
        <f t="shared" si="1"/>
        <v>10</v>
      </c>
      <c r="C13346" s="135" t="s">
        <v>529</v>
      </c>
      <c r="D13346" s="161" t="s">
        <v>74</v>
      </c>
      <c r="E13346" s="135">
        <f t="shared" si="62"/>
        <v>28</v>
      </c>
      <c r="F13346" s="134" t="s">
        <v>3813</v>
      </c>
      <c r="G13346" s="63" t="str">
        <f>VLOOKUP(C13346, 'Class Def. - General Data'!$C$20:$C$1000,1,false)</f>
        <v>ZSI1_SCREW</v>
      </c>
      <c r="H13346" s="63" t="str">
        <f>IFERROR(__xludf.DUMMYFUNCTION("VLOOKUP(F13346, IMPORTRANGE(""https://docs.google.com/spreadsheets/d/1Lhp9OU0JdFf_VYSMzH5lBcEaU4o8teT1piV-SNzShjg/edit?gid=554141278#gid=554141278"", ""'Char Def. - Attributes'!C20:C2242""), 1,false)"),"ALT_UOM4_SIPI")</f>
        <v>ALT_UOM4_SIPI</v>
      </c>
      <c r="I13346" s="136"/>
      <c r="R13346" s="63" t="str">
        <f t="shared" si="60"/>
        <v>ZSI1_SCREWALT_UOM4_SIPI</v>
      </c>
    </row>
    <row r="13347" ht="15.75" customHeight="1">
      <c r="B13347" s="63">
        <f t="shared" si="1"/>
        <v>10</v>
      </c>
      <c r="C13347" s="135" t="s">
        <v>529</v>
      </c>
      <c r="D13347" s="161" t="s">
        <v>74</v>
      </c>
      <c r="E13347" s="135">
        <f t="shared" si="62"/>
        <v>29</v>
      </c>
      <c r="F13347" s="134" t="s">
        <v>3814</v>
      </c>
      <c r="G13347" s="63" t="str">
        <f>VLOOKUP(C13347, 'Class Def. - General Data'!$C$20:$C$1000,1,false)</f>
        <v>ZSI1_SCREW</v>
      </c>
      <c r="H13347" s="63" t="str">
        <f>IFERROR(__xludf.DUMMYFUNCTION("VLOOKUP(F13347, IMPORTRANGE(""https://docs.google.com/spreadsheets/d/1Lhp9OU0JdFf_VYSMzH5lBcEaU4o8teT1piV-SNzShjg/edit?gid=554141278#gid=554141278"", ""'Char Def. - Attributes'!C20:C2242""), 1,false)"),"ALT_DENUM_UOM4")</f>
        <v>ALT_DENUM_UOM4</v>
      </c>
      <c r="I13347" s="136"/>
      <c r="R13347" s="63" t="str">
        <f t="shared" si="60"/>
        <v>ZSI1_SCREWALT_DENUM_UOM4</v>
      </c>
    </row>
    <row r="13348" ht="15.75" customHeight="1">
      <c r="B13348" s="63">
        <f t="shared" si="1"/>
        <v>10</v>
      </c>
      <c r="C13348" s="135" t="s">
        <v>529</v>
      </c>
      <c r="D13348" s="161" t="s">
        <v>74</v>
      </c>
      <c r="E13348" s="135">
        <f t="shared" si="62"/>
        <v>30</v>
      </c>
      <c r="F13348" s="134" t="s">
        <v>3815</v>
      </c>
      <c r="G13348" s="63" t="str">
        <f>VLOOKUP(C13348, 'Class Def. - General Data'!$C$20:$C$1000,1,false)</f>
        <v>ZSI1_SCREW</v>
      </c>
      <c r="H13348" s="63" t="str">
        <f>IFERROR(__xludf.DUMMYFUNCTION("VLOOKUP(F13348, IMPORTRANGE(""https://docs.google.com/spreadsheets/d/1Lhp9OU0JdFf_VYSMzH5lBcEaU4o8teT1piV-SNzShjg/edit?gid=554141278#gid=554141278"", ""'Char Def. - Attributes'!C20:C2242""), 1,false)"),"ALT_NUM_UOM4")</f>
        <v>ALT_NUM_UOM4</v>
      </c>
      <c r="I13348" s="136"/>
      <c r="R13348" s="63" t="str">
        <f t="shared" si="60"/>
        <v>ZSI1_SCREWALT_NUM_UOM4</v>
      </c>
    </row>
    <row r="13349" ht="15.75" customHeight="1">
      <c r="B13349" s="63">
        <f t="shared" si="1"/>
        <v>10</v>
      </c>
      <c r="C13349" s="135" t="s">
        <v>529</v>
      </c>
      <c r="D13349" s="161" t="s">
        <v>74</v>
      </c>
      <c r="E13349" s="135">
        <f t="shared" si="62"/>
        <v>31</v>
      </c>
      <c r="F13349" s="134" t="s">
        <v>3816</v>
      </c>
      <c r="G13349" s="63" t="str">
        <f>VLOOKUP(C13349, 'Class Def. - General Data'!$C$20:$C$1000,1,false)</f>
        <v>ZSI1_SCREW</v>
      </c>
      <c r="H13349" s="63" t="str">
        <f>IFERROR(__xludf.DUMMYFUNCTION("VLOOKUP(F13349, IMPORTRANGE(""https://docs.google.com/spreadsheets/d/1Lhp9OU0JdFf_VYSMzH5lBcEaU4o8teT1piV-SNzShjg/edit?gid=554141278#gid=554141278"", ""'Char Def. - Attributes'!C20:C2242""), 1,false)"),"ALT_UOM5_SIPI")</f>
        <v>ALT_UOM5_SIPI</v>
      </c>
      <c r="I13349" s="136"/>
      <c r="R13349" s="63" t="str">
        <f t="shared" si="60"/>
        <v>ZSI1_SCREWALT_UOM5_SIPI</v>
      </c>
    </row>
    <row r="13350" ht="15.75" customHeight="1">
      <c r="B13350" s="63">
        <f t="shared" si="1"/>
        <v>10</v>
      </c>
      <c r="C13350" s="135" t="s">
        <v>529</v>
      </c>
      <c r="D13350" s="161" t="s">
        <v>74</v>
      </c>
      <c r="E13350" s="135">
        <f t="shared" si="62"/>
        <v>32</v>
      </c>
      <c r="F13350" s="134" t="s">
        <v>3817</v>
      </c>
      <c r="G13350" s="63" t="str">
        <f>VLOOKUP(C13350, 'Class Def. - General Data'!$C$20:$C$1000,1,false)</f>
        <v>ZSI1_SCREW</v>
      </c>
      <c r="H13350" s="63" t="str">
        <f>IFERROR(__xludf.DUMMYFUNCTION("VLOOKUP(F13350, IMPORTRANGE(""https://docs.google.com/spreadsheets/d/1Lhp9OU0JdFf_VYSMzH5lBcEaU4o8teT1piV-SNzShjg/edit?gid=554141278#gid=554141278"", ""'Char Def. - Attributes'!C20:C2242""), 1,false)"),"ALT_DENUM_UOM5")</f>
        <v>ALT_DENUM_UOM5</v>
      </c>
      <c r="I13350" s="136"/>
      <c r="R13350" s="63" t="str">
        <f t="shared" si="60"/>
        <v>ZSI1_SCREWALT_DENUM_UOM5</v>
      </c>
    </row>
    <row r="13351" ht="15.75" customHeight="1">
      <c r="B13351" s="63">
        <f t="shared" si="1"/>
        <v>10</v>
      </c>
      <c r="C13351" s="135" t="s">
        <v>529</v>
      </c>
      <c r="D13351" s="161" t="s">
        <v>74</v>
      </c>
      <c r="E13351" s="135">
        <f t="shared" si="62"/>
        <v>33</v>
      </c>
      <c r="F13351" s="134" t="s">
        <v>3818</v>
      </c>
      <c r="G13351" s="63" t="str">
        <f>VLOOKUP(C13351, 'Class Def. - General Data'!$C$20:$C$1000,1,false)</f>
        <v>ZSI1_SCREW</v>
      </c>
      <c r="H13351" s="63" t="str">
        <f>IFERROR(__xludf.DUMMYFUNCTION("VLOOKUP(F13351, IMPORTRANGE(""https://docs.google.com/spreadsheets/d/1Lhp9OU0JdFf_VYSMzH5lBcEaU4o8teT1piV-SNzShjg/edit?gid=554141278#gid=554141278"", ""'Char Def. - Attributes'!C20:C2242""), 1,false)"),"ALT_NUM_UOM5")</f>
        <v>ALT_NUM_UOM5</v>
      </c>
      <c r="I13351" s="136"/>
      <c r="R13351" s="63" t="str">
        <f t="shared" si="60"/>
        <v>ZSI1_SCREWALT_NUM_UOM5</v>
      </c>
    </row>
    <row r="13352" ht="15.75" customHeight="1">
      <c r="B13352" s="63">
        <f t="shared" si="1"/>
        <v>9</v>
      </c>
      <c r="C13352" s="135" t="s">
        <v>458</v>
      </c>
      <c r="D13352" s="161" t="s">
        <v>74</v>
      </c>
      <c r="E13352" s="135">
        <f t="shared" si="62"/>
        <v>1</v>
      </c>
      <c r="F13352" s="134" t="s">
        <v>5371</v>
      </c>
      <c r="G13352" s="63" t="str">
        <f>VLOOKUP(C13352, 'Class Def. - General Data'!$C$20:$C$1000,1,false)</f>
        <v>ZSI1_SEAL</v>
      </c>
      <c r="H13352" s="63" t="str">
        <f>IFERROR(__xludf.DUMMYFUNCTION("VLOOKUP(F13352, IMPORTRANGE(""https://docs.google.com/spreadsheets/d/1Lhp9OU0JdFf_VYSMzH5lBcEaU4o8teT1piV-SNzShjg/edit?gid=554141278#gid=554141278"", ""'Char Def. - Attributes'!C20:C2242""), 1,false)"),"ITEM_NAME_SEAL")</f>
        <v>ITEM_NAME_SEAL</v>
      </c>
      <c r="I13352" s="136"/>
      <c r="R13352" s="63" t="str">
        <f t="shared" si="60"/>
        <v>ZSI1_SEALITEM_NAME_SEAL</v>
      </c>
    </row>
    <row r="13353" ht="15.75" customHeight="1">
      <c r="B13353" s="63">
        <f t="shared" si="1"/>
        <v>9</v>
      </c>
      <c r="C13353" s="135" t="s">
        <v>458</v>
      </c>
      <c r="D13353" s="161" t="s">
        <v>74</v>
      </c>
      <c r="E13353" s="135">
        <f t="shared" si="62"/>
        <v>2</v>
      </c>
      <c r="F13353" s="134" t="s">
        <v>5372</v>
      </c>
      <c r="G13353" s="63" t="str">
        <f>VLOOKUP(C13353, 'Class Def. - General Data'!$C$20:$C$1000,1,false)</f>
        <v>ZSI1_SEAL</v>
      </c>
      <c r="H13353" s="63" t="str">
        <f>IFERROR(__xludf.DUMMYFUNCTION("VLOOKUP(F13353, IMPORTRANGE(""https://docs.google.com/spreadsheets/d/1Lhp9OU0JdFf_VYSMzH5lBcEaU4o8teT1piV-SNzShjg/edit?gid=554141278#gid=554141278"", ""'Char Def. - Attributes'!C20:C2242""), 1,false)"),"TYPE_SEAL")</f>
        <v>TYPE_SEAL</v>
      </c>
      <c r="I13353" s="136"/>
      <c r="R13353" s="63" t="str">
        <f t="shared" si="60"/>
        <v>ZSI1_SEALTYPE_SEAL</v>
      </c>
    </row>
    <row r="13354" ht="15.75" customHeight="1">
      <c r="B13354" s="63">
        <f t="shared" si="1"/>
        <v>9</v>
      </c>
      <c r="C13354" s="135" t="s">
        <v>458</v>
      </c>
      <c r="D13354" s="161" t="s">
        <v>74</v>
      </c>
      <c r="E13354" s="135">
        <f t="shared" si="62"/>
        <v>3</v>
      </c>
      <c r="F13354" s="134" t="s">
        <v>5373</v>
      </c>
      <c r="G13354" s="63" t="str">
        <f>VLOOKUP(C13354, 'Class Def. - General Data'!$C$20:$C$1000,1,false)</f>
        <v>ZSI1_SEAL</v>
      </c>
      <c r="H13354" s="63" t="str">
        <f>IFERROR(__xludf.DUMMYFUNCTION("VLOOKUP(F13354, IMPORTRANGE(""https://docs.google.com/spreadsheets/d/1Lhp9OU0JdFf_VYSMzH5lBcEaU4o8teT1piV-SNzShjg/edit?gid=554141278#gid=554141278"", ""'Char Def. - Attributes'!C20:C2242""), 1,false)"),"INSIDE_DIAMETER_MM_SEAL")</f>
        <v>INSIDE_DIAMETER_MM_SEAL</v>
      </c>
      <c r="I13354" s="136"/>
      <c r="R13354" s="63" t="str">
        <f t="shared" si="60"/>
        <v>ZSI1_SEALINSIDE_DIAMETER_MM_SEAL</v>
      </c>
    </row>
    <row r="13355" ht="15.75" customHeight="1">
      <c r="B13355" s="63">
        <f t="shared" si="1"/>
        <v>9</v>
      </c>
      <c r="C13355" s="135" t="s">
        <v>458</v>
      </c>
      <c r="D13355" s="161" t="s">
        <v>74</v>
      </c>
      <c r="E13355" s="135">
        <f t="shared" si="62"/>
        <v>4</v>
      </c>
      <c r="F13355" s="134" t="s">
        <v>5374</v>
      </c>
      <c r="G13355" s="63" t="str">
        <f>VLOOKUP(C13355, 'Class Def. - General Data'!$C$20:$C$1000,1,false)</f>
        <v>ZSI1_SEAL</v>
      </c>
      <c r="H13355" s="63" t="str">
        <f>IFERROR(__xludf.DUMMYFUNCTION("VLOOKUP(F13355, IMPORTRANGE(""https://docs.google.com/spreadsheets/d/1Lhp9OU0JdFf_VYSMzH5lBcEaU4o8teT1piV-SNzShjg/edit?gid=554141278#gid=554141278"", ""'Char Def. - Attributes'!C20:C2242""), 1,false)"),"OUTSIDE_DIAMETER_MM_SEAL")</f>
        <v>OUTSIDE_DIAMETER_MM_SEAL</v>
      </c>
      <c r="I13355" s="136"/>
      <c r="R13355" s="63" t="str">
        <f t="shared" si="60"/>
        <v>ZSI1_SEALOUTSIDE_DIAMETER_MM_SEAL</v>
      </c>
    </row>
    <row r="13356" ht="15.75" customHeight="1">
      <c r="B13356" s="63">
        <f t="shared" si="1"/>
        <v>9</v>
      </c>
      <c r="C13356" s="135" t="s">
        <v>458</v>
      </c>
      <c r="D13356" s="161" t="s">
        <v>74</v>
      </c>
      <c r="E13356" s="135">
        <f t="shared" si="62"/>
        <v>5</v>
      </c>
      <c r="F13356" s="134" t="s">
        <v>5375</v>
      </c>
      <c r="G13356" s="63" t="str">
        <f>VLOOKUP(C13356, 'Class Def. - General Data'!$C$20:$C$1000,1,false)</f>
        <v>ZSI1_SEAL</v>
      </c>
      <c r="H13356" s="63" t="str">
        <f>IFERROR(__xludf.DUMMYFUNCTION("VLOOKUP(F13356, IMPORTRANGE(""https://docs.google.com/spreadsheets/d/1Lhp9OU0JdFf_VYSMzH5lBcEaU4o8teT1piV-SNzShjg/edit?gid=554141278#gid=554141278"", ""'Char Def. - Attributes'!C20:C2242""), 1,false)"),"WIDTH_MM_SEAL")</f>
        <v>WIDTH_MM_SEAL</v>
      </c>
      <c r="I13356" s="136"/>
      <c r="R13356" s="63" t="str">
        <f t="shared" si="60"/>
        <v>ZSI1_SEALWIDTH_MM_SEAL</v>
      </c>
    </row>
    <row r="13357" ht="15.75" customHeight="1">
      <c r="B13357" s="63">
        <f t="shared" si="1"/>
        <v>9</v>
      </c>
      <c r="C13357" s="135" t="s">
        <v>458</v>
      </c>
      <c r="D13357" s="161" t="s">
        <v>74</v>
      </c>
      <c r="E13357" s="135">
        <f t="shared" si="62"/>
        <v>6</v>
      </c>
      <c r="F13357" s="134" t="s">
        <v>5376</v>
      </c>
      <c r="G13357" s="63" t="str">
        <f>VLOOKUP(C13357, 'Class Def. - General Data'!$C$20:$C$1000,1,false)</f>
        <v>ZSI1_SEAL</v>
      </c>
      <c r="H13357" s="63" t="str">
        <f>IFERROR(__xludf.DUMMYFUNCTION("VLOOKUP(F13357, IMPORTRANGE(""https://docs.google.com/spreadsheets/d/1Lhp9OU0JdFf_VYSMzH5lBcEaU4o8teT1piV-SNzShjg/edit?gid=554141278#gid=554141278"", ""'Char Def. - Attributes'!C20:C2242""), 1,false)"),"SEAL_MATERIAL_SEAL")</f>
        <v>SEAL_MATERIAL_SEAL</v>
      </c>
      <c r="I13357" s="136"/>
      <c r="R13357" s="63" t="str">
        <f t="shared" si="60"/>
        <v>ZSI1_SEALSEAL_MATERIAL_SEAL</v>
      </c>
    </row>
    <row r="13358" ht="15.75" customHeight="1">
      <c r="B13358" s="63">
        <f t="shared" si="1"/>
        <v>9</v>
      </c>
      <c r="C13358" s="135" t="s">
        <v>458</v>
      </c>
      <c r="D13358" s="161" t="s">
        <v>74</v>
      </c>
      <c r="E13358" s="135">
        <f t="shared" si="62"/>
        <v>7</v>
      </c>
      <c r="F13358" s="134" t="s">
        <v>4053</v>
      </c>
      <c r="G13358" s="63" t="str">
        <f>VLOOKUP(C13358, 'Class Def. - General Data'!$C$20:$C$1000,1,false)</f>
        <v>ZSI1_SEAL</v>
      </c>
      <c r="H13358" s="63" t="str">
        <f>IFERROR(__xludf.DUMMYFUNCTION("VLOOKUP(F13358, IMPORTRANGE(""https://docs.google.com/spreadsheets/d/1Lhp9OU0JdFf_VYSMzH5lBcEaU4o8teT1piV-SNzShjg/edit?gid=554141278#gid=554141278"", ""'Char Def. - Attributes'!C20:C2242""), 1,false)"),"MAINTENANCE_ORDER_TYPE")</f>
        <v>MAINTENANCE_ORDER_TYPE</v>
      </c>
      <c r="I13358" s="136"/>
      <c r="R13358" s="63" t="str">
        <f t="shared" si="60"/>
        <v>ZSI1_SEALMAINTENANCE_ORDER_TYPE</v>
      </c>
    </row>
    <row r="13359" ht="15.75" customHeight="1">
      <c r="B13359" s="63">
        <f t="shared" si="1"/>
        <v>9</v>
      </c>
      <c r="C13359" s="135" t="s">
        <v>458</v>
      </c>
      <c r="D13359" s="161" t="s">
        <v>74</v>
      </c>
      <c r="E13359" s="135">
        <f t="shared" si="62"/>
        <v>8</v>
      </c>
      <c r="F13359" s="134" t="s">
        <v>3585</v>
      </c>
      <c r="G13359" s="63" t="str">
        <f>VLOOKUP(C13359, 'Class Def. - General Data'!$C$20:$C$1000,1,false)</f>
        <v>ZSI1_SEAL</v>
      </c>
      <c r="H13359" s="63" t="str">
        <f>IFERROR(__xludf.DUMMYFUNCTION("VLOOKUP(F13359, IMPORTRANGE(""https://docs.google.com/spreadsheets/d/1Lhp9OU0JdFf_VYSMzH5lBcEaU4o8teT1piV-SNzShjg/edit?gid=554141278#gid=554141278"", ""'Char Def. - Attributes'!C20:C2242""), 1,false)"),"HS_CODE")</f>
        <v>HS_CODE</v>
      </c>
      <c r="I13359" s="136"/>
      <c r="R13359" s="63" t="str">
        <f t="shared" si="60"/>
        <v>ZSI1_SEALHS_CODE</v>
      </c>
    </row>
    <row r="13360" ht="15.75" customHeight="1">
      <c r="B13360" s="63">
        <f t="shared" si="1"/>
        <v>9</v>
      </c>
      <c r="C13360" s="135" t="s">
        <v>458</v>
      </c>
      <c r="D13360" s="161" t="s">
        <v>74</v>
      </c>
      <c r="E13360" s="135">
        <f t="shared" si="62"/>
        <v>9</v>
      </c>
      <c r="F13360" s="134" t="s">
        <v>3587</v>
      </c>
      <c r="G13360" s="63" t="str">
        <f>VLOOKUP(C13360, 'Class Def. - General Data'!$C$20:$C$1000,1,false)</f>
        <v>ZSI1_SEAL</v>
      </c>
      <c r="H13360" s="63" t="str">
        <f>IFERROR(__xludf.DUMMYFUNCTION("VLOOKUP(F13360, IMPORTRANGE(""https://docs.google.com/spreadsheets/d/1Lhp9OU0JdFf_VYSMzH5lBcEaU4o8teT1piV-SNzShjg/edit?gid=554141278#gid=554141278"", ""'Char Def. - Attributes'!C20:C2242""), 1,false)"),"PLANT_BUY")</f>
        <v>PLANT_BUY</v>
      </c>
      <c r="I13360" s="136"/>
      <c r="R13360" s="63" t="str">
        <f t="shared" si="60"/>
        <v>ZSI1_SEALPLANT_BUY</v>
      </c>
    </row>
    <row r="13361" ht="15.75" customHeight="1">
      <c r="B13361" s="63">
        <f t="shared" si="1"/>
        <v>9</v>
      </c>
      <c r="C13361" s="135" t="s">
        <v>458</v>
      </c>
      <c r="D13361" s="161" t="s">
        <v>74</v>
      </c>
      <c r="E13361" s="135">
        <f t="shared" si="62"/>
        <v>10</v>
      </c>
      <c r="F13361" s="134" t="s">
        <v>5377</v>
      </c>
      <c r="G13361" s="63" t="str">
        <f>VLOOKUP(C13361, 'Class Def. - General Data'!$C$20:$C$1000,1,false)</f>
        <v>ZSI1_SEAL</v>
      </c>
      <c r="H13361" s="63" t="str">
        <f>IFERROR(__xludf.DUMMYFUNCTION("VLOOKUP(F13361, IMPORTRANGE(""https://docs.google.com/spreadsheets/d/1Lhp9OU0JdFf_VYSMzH5lBcEaU4o8teT1piV-SNzShjg/edit?gid=554141278#gid=554141278"", ""'Char Def. - Attributes'!C20:C2242""), 1,false)"),"BASE_UOM_SEAL")</f>
        <v>BASE_UOM_SEAL</v>
      </c>
      <c r="I13361" s="136"/>
      <c r="R13361" s="63" t="str">
        <f t="shared" si="60"/>
        <v>ZSI1_SEALBASE_UOM_SEAL</v>
      </c>
    </row>
    <row r="13362" ht="15.75" customHeight="1">
      <c r="B13362" s="63">
        <f t="shared" si="1"/>
        <v>9</v>
      </c>
      <c r="C13362" s="135" t="s">
        <v>458</v>
      </c>
      <c r="D13362" s="161" t="s">
        <v>74</v>
      </c>
      <c r="E13362" s="135">
        <f t="shared" si="62"/>
        <v>11</v>
      </c>
      <c r="F13362" s="134" t="s">
        <v>5378</v>
      </c>
      <c r="G13362" s="63" t="str">
        <f>VLOOKUP(C13362, 'Class Def. - General Data'!$C$20:$C$1000,1,false)</f>
        <v>ZSI1_SEAL</v>
      </c>
      <c r="H13362" s="63" t="str">
        <f>IFERROR(__xludf.DUMMYFUNCTION("VLOOKUP(F13362, IMPORTRANGE(""https://docs.google.com/spreadsheets/d/1Lhp9OU0JdFf_VYSMzH5lBcEaU4o8teT1piV-SNzShjg/edit?gid=554141278#gid=554141278"", ""'Char Def. - Attributes'!C20:C2242""), 1,false)"),"ORDER_UNIT_SEAL")</f>
        <v>ORDER_UNIT_SEAL</v>
      </c>
      <c r="I13362" s="136"/>
      <c r="R13362" s="63" t="str">
        <f t="shared" si="60"/>
        <v>ZSI1_SEALORDER_UNIT_SEAL</v>
      </c>
    </row>
    <row r="13363" ht="15.75" customHeight="1">
      <c r="B13363" s="63">
        <f t="shared" si="1"/>
        <v>9</v>
      </c>
      <c r="C13363" s="135" t="s">
        <v>458</v>
      </c>
      <c r="D13363" s="161" t="s">
        <v>74</v>
      </c>
      <c r="E13363" s="135">
        <f t="shared" si="62"/>
        <v>12</v>
      </c>
      <c r="F13363" s="134" t="s">
        <v>4056</v>
      </c>
      <c r="G13363" s="63" t="str">
        <f>VLOOKUP(C13363, 'Class Def. - General Data'!$C$20:$C$1000,1,false)</f>
        <v>ZSI1_SEAL</v>
      </c>
      <c r="H13363" s="63" t="str">
        <f>IFERROR(__xludf.DUMMYFUNCTION("VLOOKUP(F13363, IMPORTRANGE(""https://docs.google.com/spreadsheets/d/1Lhp9OU0JdFf_VYSMzH5lBcEaU4o8teT1piV-SNzShjg/edit?gid=554141278#gid=554141278"", ""'Char Def. - Attributes'!C20:C2242""), 1,false)"),"GROSS_WEIGHT_OPT")</f>
        <v>GROSS_WEIGHT_OPT</v>
      </c>
      <c r="I13363" s="136"/>
      <c r="R13363" s="63" t="str">
        <f t="shared" si="60"/>
        <v>ZSI1_SEALGROSS_WEIGHT_OPT</v>
      </c>
    </row>
    <row r="13364" ht="15.75" customHeight="1">
      <c r="B13364" s="63">
        <f t="shared" si="1"/>
        <v>9</v>
      </c>
      <c r="C13364" s="135" t="s">
        <v>458</v>
      </c>
      <c r="D13364" s="161" t="s">
        <v>74</v>
      </c>
      <c r="E13364" s="135">
        <f t="shared" si="62"/>
        <v>13</v>
      </c>
      <c r="F13364" s="134" t="s">
        <v>4057</v>
      </c>
      <c r="G13364" s="63" t="str">
        <f>VLOOKUP(C13364, 'Class Def. - General Data'!$C$20:$C$1000,1,false)</f>
        <v>ZSI1_SEAL</v>
      </c>
      <c r="H13364" s="63" t="str">
        <f>IFERROR(__xludf.DUMMYFUNCTION("VLOOKUP(F13364, IMPORTRANGE(""https://docs.google.com/spreadsheets/d/1Lhp9OU0JdFf_VYSMzH5lBcEaU4o8teT1piV-SNzShjg/edit?gid=554141278#gid=554141278"", ""'Char Def. - Attributes'!C20:C2242""), 1,false)"),"NET_WEIGHT_OPT")</f>
        <v>NET_WEIGHT_OPT</v>
      </c>
      <c r="I13364" s="136"/>
      <c r="R13364" s="63" t="str">
        <f t="shared" si="60"/>
        <v>ZSI1_SEALNET_WEIGHT_OPT</v>
      </c>
    </row>
    <row r="13365" ht="15.75" customHeight="1">
      <c r="B13365" s="63">
        <f t="shared" si="1"/>
        <v>9</v>
      </c>
      <c r="C13365" s="135" t="s">
        <v>458</v>
      </c>
      <c r="D13365" s="161" t="s">
        <v>74</v>
      </c>
      <c r="E13365" s="135">
        <f t="shared" si="62"/>
        <v>14</v>
      </c>
      <c r="F13365" s="134" t="s">
        <v>4058</v>
      </c>
      <c r="G13365" s="63" t="str">
        <f>VLOOKUP(C13365, 'Class Def. - General Data'!$C$20:$C$1000,1,false)</f>
        <v>ZSI1_SEAL</v>
      </c>
      <c r="H13365" s="63" t="str">
        <f>IFERROR(__xludf.DUMMYFUNCTION("VLOOKUP(F13365, IMPORTRANGE(""https://docs.google.com/spreadsheets/d/1Lhp9OU0JdFf_VYSMzH5lBcEaU4o8teT1piV-SNzShjg/edit?gid=554141278#gid=554141278"", ""'Char Def. - Attributes'!C20:C2242""), 1,false)"),"WEIGHT_UNIT_SI")</f>
        <v>WEIGHT_UNIT_SI</v>
      </c>
      <c r="I13365" s="136"/>
      <c r="R13365" s="63" t="str">
        <f t="shared" si="60"/>
        <v>ZSI1_SEALWEIGHT_UNIT_SI</v>
      </c>
    </row>
    <row r="13366" ht="15.75" customHeight="1">
      <c r="B13366" s="63">
        <f t="shared" si="1"/>
        <v>9</v>
      </c>
      <c r="C13366" s="135" t="s">
        <v>458</v>
      </c>
      <c r="D13366" s="161" t="s">
        <v>74</v>
      </c>
      <c r="E13366" s="135">
        <f t="shared" si="62"/>
        <v>15</v>
      </c>
      <c r="F13366" s="134" t="s">
        <v>3877</v>
      </c>
      <c r="G13366" s="63" t="str">
        <f>VLOOKUP(C13366, 'Class Def. - General Data'!$C$20:$C$1000,1,false)</f>
        <v>ZSI1_SEAL</v>
      </c>
      <c r="H13366" s="63" t="str">
        <f>IFERROR(__xludf.DUMMYFUNCTION("VLOOKUP(F13366, IMPORTRANGE(""https://docs.google.com/spreadsheets/d/1Lhp9OU0JdFf_VYSMzH5lBcEaU4o8teT1piV-SNzShjg/edit?gid=554141278#gid=554141278"", ""'Char Def. - Attributes'!C20:C2242""), 1,false)"),"VOLUME_OPT")</f>
        <v>VOLUME_OPT</v>
      </c>
      <c r="I13366" s="136"/>
      <c r="R13366" s="63" t="str">
        <f t="shared" si="60"/>
        <v>ZSI1_SEALVOLUME_OPT</v>
      </c>
    </row>
    <row r="13367" ht="15.75" customHeight="1">
      <c r="B13367" s="63">
        <f t="shared" si="1"/>
        <v>9</v>
      </c>
      <c r="C13367" s="135" t="s">
        <v>458</v>
      </c>
      <c r="D13367" s="161" t="s">
        <v>74</v>
      </c>
      <c r="E13367" s="135">
        <f t="shared" si="62"/>
        <v>16</v>
      </c>
      <c r="F13367" s="134" t="s">
        <v>4059</v>
      </c>
      <c r="G13367" s="63" t="str">
        <f>VLOOKUP(C13367, 'Class Def. - General Data'!$C$20:$C$1000,1,false)</f>
        <v>ZSI1_SEAL</v>
      </c>
      <c r="H13367" s="63" t="str">
        <f>IFERROR(__xludf.DUMMYFUNCTION("VLOOKUP(F13367, IMPORTRANGE(""https://docs.google.com/spreadsheets/d/1Lhp9OU0JdFf_VYSMzH5lBcEaU4o8teT1piV-SNzShjg/edit?gid=554141278#gid=554141278"", ""'Char Def. - Attributes'!C20:C2242""), 1,false)"),"VOLUME_UNIT_SI")</f>
        <v>VOLUME_UNIT_SI</v>
      </c>
      <c r="I13367" s="136"/>
      <c r="R13367" s="63" t="str">
        <f t="shared" si="60"/>
        <v>ZSI1_SEALVOLUME_UNIT_SI</v>
      </c>
    </row>
    <row r="13368" ht="15.75" customHeight="1">
      <c r="B13368" s="63">
        <f t="shared" si="1"/>
        <v>9</v>
      </c>
      <c r="C13368" s="135" t="s">
        <v>458</v>
      </c>
      <c r="D13368" s="161" t="s">
        <v>74</v>
      </c>
      <c r="E13368" s="135">
        <f t="shared" si="62"/>
        <v>17</v>
      </c>
      <c r="F13368" s="134" t="s">
        <v>3804</v>
      </c>
      <c r="G13368" s="63" t="str">
        <f>VLOOKUP(C13368, 'Class Def. - General Data'!$C$20:$C$1000,1,false)</f>
        <v>ZSI1_SEAL</v>
      </c>
      <c r="H13368" s="63" t="str">
        <f>IFERROR(__xludf.DUMMYFUNCTION("VLOOKUP(F13368, IMPORTRANGE(""https://docs.google.com/spreadsheets/d/1Lhp9OU0JdFf_VYSMzH5lBcEaU4o8teT1piV-SNzShjg/edit?gid=554141278#gid=554141278"", ""'Char Def. - Attributes'!C20:C2242""), 1,false)"),"ALT_UOM1_SIPI")</f>
        <v>ALT_UOM1_SIPI</v>
      </c>
      <c r="I13368" s="136"/>
      <c r="R13368" s="63" t="str">
        <f t="shared" si="60"/>
        <v>ZSI1_SEALALT_UOM1_SIPI</v>
      </c>
    </row>
    <row r="13369" ht="15.75" customHeight="1">
      <c r="B13369" s="63">
        <f t="shared" si="1"/>
        <v>9</v>
      </c>
      <c r="C13369" s="135" t="s">
        <v>458</v>
      </c>
      <c r="D13369" s="161" t="s">
        <v>74</v>
      </c>
      <c r="E13369" s="135">
        <f t="shared" si="62"/>
        <v>18</v>
      </c>
      <c r="F13369" s="134" t="s">
        <v>3805</v>
      </c>
      <c r="G13369" s="63" t="str">
        <f>VLOOKUP(C13369, 'Class Def. - General Data'!$C$20:$C$1000,1,false)</f>
        <v>ZSI1_SEAL</v>
      </c>
      <c r="H13369" s="63" t="str">
        <f>IFERROR(__xludf.DUMMYFUNCTION("VLOOKUP(F13369, IMPORTRANGE(""https://docs.google.com/spreadsheets/d/1Lhp9OU0JdFf_VYSMzH5lBcEaU4o8teT1piV-SNzShjg/edit?gid=554141278#gid=554141278"", ""'Char Def. - Attributes'!C20:C2242""), 1,false)"),"ALT_DENUM_UOM1")</f>
        <v>ALT_DENUM_UOM1</v>
      </c>
      <c r="I13369" s="136"/>
      <c r="R13369" s="63" t="str">
        <f t="shared" si="60"/>
        <v>ZSI1_SEALALT_DENUM_UOM1</v>
      </c>
    </row>
    <row r="13370" ht="15.75" customHeight="1">
      <c r="B13370" s="63">
        <f t="shared" si="1"/>
        <v>9</v>
      </c>
      <c r="C13370" s="135" t="s">
        <v>458</v>
      </c>
      <c r="D13370" s="161" t="s">
        <v>74</v>
      </c>
      <c r="E13370" s="135">
        <f t="shared" si="62"/>
        <v>19</v>
      </c>
      <c r="F13370" s="134" t="s">
        <v>3806</v>
      </c>
      <c r="G13370" s="63" t="str">
        <f>VLOOKUP(C13370, 'Class Def. - General Data'!$C$20:$C$1000,1,false)</f>
        <v>ZSI1_SEAL</v>
      </c>
      <c r="H13370" s="63" t="str">
        <f>IFERROR(__xludf.DUMMYFUNCTION("VLOOKUP(F13370, IMPORTRANGE(""https://docs.google.com/spreadsheets/d/1Lhp9OU0JdFf_VYSMzH5lBcEaU4o8teT1piV-SNzShjg/edit?gid=554141278#gid=554141278"", ""'Char Def. - Attributes'!C20:C2242""), 1,false)"),"ALT_NUM_UOM1")</f>
        <v>ALT_NUM_UOM1</v>
      </c>
      <c r="I13370" s="136"/>
      <c r="R13370" s="63" t="str">
        <f t="shared" si="60"/>
        <v>ZSI1_SEALALT_NUM_UOM1</v>
      </c>
    </row>
    <row r="13371" ht="15.75" customHeight="1">
      <c r="B13371" s="63">
        <f t="shared" si="1"/>
        <v>9</v>
      </c>
      <c r="C13371" s="135" t="s">
        <v>458</v>
      </c>
      <c r="D13371" s="161" t="s">
        <v>74</v>
      </c>
      <c r="E13371" s="135">
        <f t="shared" si="62"/>
        <v>20</v>
      </c>
      <c r="F13371" s="134" t="s">
        <v>3807</v>
      </c>
      <c r="G13371" s="63" t="str">
        <f>VLOOKUP(C13371, 'Class Def. - General Data'!$C$20:$C$1000,1,false)</f>
        <v>ZSI1_SEAL</v>
      </c>
      <c r="H13371" s="63" t="str">
        <f>IFERROR(__xludf.DUMMYFUNCTION("VLOOKUP(F13371, IMPORTRANGE(""https://docs.google.com/spreadsheets/d/1Lhp9OU0JdFf_VYSMzH5lBcEaU4o8teT1piV-SNzShjg/edit?gid=554141278#gid=554141278"", ""'Char Def. - Attributes'!C20:C2242""), 1,false)"),"ALT_UOM2_SIPI")</f>
        <v>ALT_UOM2_SIPI</v>
      </c>
      <c r="I13371" s="136"/>
      <c r="R13371" s="63" t="str">
        <f t="shared" si="60"/>
        <v>ZSI1_SEALALT_UOM2_SIPI</v>
      </c>
    </row>
    <row r="13372" ht="15.75" customHeight="1">
      <c r="B13372" s="63">
        <f t="shared" si="1"/>
        <v>9</v>
      </c>
      <c r="C13372" s="135" t="s">
        <v>458</v>
      </c>
      <c r="D13372" s="161" t="s">
        <v>74</v>
      </c>
      <c r="E13372" s="135">
        <f t="shared" si="62"/>
        <v>21</v>
      </c>
      <c r="F13372" s="134" t="s">
        <v>3808</v>
      </c>
      <c r="G13372" s="63" t="str">
        <f>VLOOKUP(C13372, 'Class Def. - General Data'!$C$20:$C$1000,1,false)</f>
        <v>ZSI1_SEAL</v>
      </c>
      <c r="H13372" s="63" t="str">
        <f>IFERROR(__xludf.DUMMYFUNCTION("VLOOKUP(F13372, IMPORTRANGE(""https://docs.google.com/spreadsheets/d/1Lhp9OU0JdFf_VYSMzH5lBcEaU4o8teT1piV-SNzShjg/edit?gid=554141278#gid=554141278"", ""'Char Def. - Attributes'!C20:C2242""), 1,false)"),"ALT_DENUM_UOM2")</f>
        <v>ALT_DENUM_UOM2</v>
      </c>
      <c r="I13372" s="136"/>
      <c r="R13372" s="63" t="str">
        <f t="shared" si="60"/>
        <v>ZSI1_SEALALT_DENUM_UOM2</v>
      </c>
    </row>
    <row r="13373" ht="15.75" customHeight="1">
      <c r="B13373" s="63">
        <f t="shared" si="1"/>
        <v>9</v>
      </c>
      <c r="C13373" s="135" t="s">
        <v>458</v>
      </c>
      <c r="D13373" s="161" t="s">
        <v>74</v>
      </c>
      <c r="E13373" s="135">
        <f t="shared" si="62"/>
        <v>22</v>
      </c>
      <c r="F13373" s="134" t="s">
        <v>3809</v>
      </c>
      <c r="G13373" s="63" t="str">
        <f>VLOOKUP(C13373, 'Class Def. - General Data'!$C$20:$C$1000,1,false)</f>
        <v>ZSI1_SEAL</v>
      </c>
      <c r="H13373" s="63" t="str">
        <f>IFERROR(__xludf.DUMMYFUNCTION("VLOOKUP(F13373, IMPORTRANGE(""https://docs.google.com/spreadsheets/d/1Lhp9OU0JdFf_VYSMzH5lBcEaU4o8teT1piV-SNzShjg/edit?gid=554141278#gid=554141278"", ""'Char Def. - Attributes'!C20:C2242""), 1,false)"),"ALT_NUM_UOM2")</f>
        <v>ALT_NUM_UOM2</v>
      </c>
      <c r="I13373" s="136"/>
      <c r="R13373" s="63" t="str">
        <f t="shared" si="60"/>
        <v>ZSI1_SEALALT_NUM_UOM2</v>
      </c>
    </row>
    <row r="13374" ht="15.75" customHeight="1">
      <c r="B13374" s="63">
        <f t="shared" si="1"/>
        <v>9</v>
      </c>
      <c r="C13374" s="135" t="s">
        <v>458</v>
      </c>
      <c r="D13374" s="161" t="s">
        <v>74</v>
      </c>
      <c r="E13374" s="135">
        <f t="shared" si="62"/>
        <v>23</v>
      </c>
      <c r="F13374" s="134" t="s">
        <v>3810</v>
      </c>
      <c r="G13374" s="63" t="str">
        <f>VLOOKUP(C13374, 'Class Def. - General Data'!$C$20:$C$1000,1,false)</f>
        <v>ZSI1_SEAL</v>
      </c>
      <c r="H13374" s="63" t="str">
        <f>IFERROR(__xludf.DUMMYFUNCTION("VLOOKUP(F13374, IMPORTRANGE(""https://docs.google.com/spreadsheets/d/1Lhp9OU0JdFf_VYSMzH5lBcEaU4o8teT1piV-SNzShjg/edit?gid=554141278#gid=554141278"", ""'Char Def. - Attributes'!C20:C2242""), 1,false)"),"ALT_UOM3_SIPI")</f>
        <v>ALT_UOM3_SIPI</v>
      </c>
      <c r="I13374" s="136"/>
      <c r="R13374" s="63" t="str">
        <f t="shared" si="60"/>
        <v>ZSI1_SEALALT_UOM3_SIPI</v>
      </c>
    </row>
    <row r="13375" ht="15.75" customHeight="1">
      <c r="B13375" s="63">
        <f t="shared" si="1"/>
        <v>9</v>
      </c>
      <c r="C13375" s="135" t="s">
        <v>458</v>
      </c>
      <c r="D13375" s="161" t="s">
        <v>74</v>
      </c>
      <c r="E13375" s="135">
        <f t="shared" si="62"/>
        <v>24</v>
      </c>
      <c r="F13375" s="134" t="s">
        <v>3811</v>
      </c>
      <c r="G13375" s="63" t="str">
        <f>VLOOKUP(C13375, 'Class Def. - General Data'!$C$20:$C$1000,1,false)</f>
        <v>ZSI1_SEAL</v>
      </c>
      <c r="H13375" s="63" t="str">
        <f>IFERROR(__xludf.DUMMYFUNCTION("VLOOKUP(F13375, IMPORTRANGE(""https://docs.google.com/spreadsheets/d/1Lhp9OU0JdFf_VYSMzH5lBcEaU4o8teT1piV-SNzShjg/edit?gid=554141278#gid=554141278"", ""'Char Def. - Attributes'!C20:C2242""), 1,false)"),"ALT_DENUM_UOM3")</f>
        <v>ALT_DENUM_UOM3</v>
      </c>
      <c r="I13375" s="136"/>
      <c r="R13375" s="63" t="str">
        <f t="shared" si="60"/>
        <v>ZSI1_SEALALT_DENUM_UOM3</v>
      </c>
    </row>
    <row r="13376" ht="15.75" customHeight="1">
      <c r="B13376" s="63">
        <f t="shared" si="1"/>
        <v>9</v>
      </c>
      <c r="C13376" s="135" t="s">
        <v>458</v>
      </c>
      <c r="D13376" s="161" t="s">
        <v>74</v>
      </c>
      <c r="E13376" s="135">
        <f t="shared" si="62"/>
        <v>25</v>
      </c>
      <c r="F13376" s="134" t="s">
        <v>3812</v>
      </c>
      <c r="G13376" s="63" t="str">
        <f>VLOOKUP(C13376, 'Class Def. - General Data'!$C$20:$C$1000,1,false)</f>
        <v>ZSI1_SEAL</v>
      </c>
      <c r="H13376" s="63" t="str">
        <f>IFERROR(__xludf.DUMMYFUNCTION("VLOOKUP(F13376, IMPORTRANGE(""https://docs.google.com/spreadsheets/d/1Lhp9OU0JdFf_VYSMzH5lBcEaU4o8teT1piV-SNzShjg/edit?gid=554141278#gid=554141278"", ""'Char Def. - Attributes'!C20:C2242""), 1,false)"),"ALT_NUM_UOM3")</f>
        <v>ALT_NUM_UOM3</v>
      </c>
      <c r="I13376" s="136"/>
      <c r="R13376" s="63" t="str">
        <f t="shared" si="60"/>
        <v>ZSI1_SEALALT_NUM_UOM3</v>
      </c>
    </row>
    <row r="13377" ht="15.75" customHeight="1">
      <c r="B13377" s="63">
        <f t="shared" si="1"/>
        <v>9</v>
      </c>
      <c r="C13377" s="135" t="s">
        <v>458</v>
      </c>
      <c r="D13377" s="161" t="s">
        <v>74</v>
      </c>
      <c r="E13377" s="135">
        <f t="shared" si="62"/>
        <v>26</v>
      </c>
      <c r="F13377" s="134" t="s">
        <v>3813</v>
      </c>
      <c r="G13377" s="63" t="str">
        <f>VLOOKUP(C13377, 'Class Def. - General Data'!$C$20:$C$1000,1,false)</f>
        <v>ZSI1_SEAL</v>
      </c>
      <c r="H13377" s="63" t="str">
        <f>IFERROR(__xludf.DUMMYFUNCTION("VLOOKUP(F13377, IMPORTRANGE(""https://docs.google.com/spreadsheets/d/1Lhp9OU0JdFf_VYSMzH5lBcEaU4o8teT1piV-SNzShjg/edit?gid=554141278#gid=554141278"", ""'Char Def. - Attributes'!C20:C2242""), 1,false)"),"ALT_UOM4_SIPI")</f>
        <v>ALT_UOM4_SIPI</v>
      </c>
      <c r="I13377" s="136"/>
      <c r="R13377" s="63" t="str">
        <f t="shared" si="60"/>
        <v>ZSI1_SEALALT_UOM4_SIPI</v>
      </c>
    </row>
    <row r="13378" ht="15.75" customHeight="1">
      <c r="B13378" s="63">
        <f t="shared" si="1"/>
        <v>9</v>
      </c>
      <c r="C13378" s="135" t="s">
        <v>458</v>
      </c>
      <c r="D13378" s="161" t="s">
        <v>74</v>
      </c>
      <c r="E13378" s="135">
        <f t="shared" si="62"/>
        <v>27</v>
      </c>
      <c r="F13378" s="134" t="s">
        <v>3814</v>
      </c>
      <c r="G13378" s="63" t="str">
        <f>VLOOKUP(C13378, 'Class Def. - General Data'!$C$20:$C$1000,1,false)</f>
        <v>ZSI1_SEAL</v>
      </c>
      <c r="H13378" s="63" t="str">
        <f>IFERROR(__xludf.DUMMYFUNCTION("VLOOKUP(F13378, IMPORTRANGE(""https://docs.google.com/spreadsheets/d/1Lhp9OU0JdFf_VYSMzH5lBcEaU4o8teT1piV-SNzShjg/edit?gid=554141278#gid=554141278"", ""'Char Def. - Attributes'!C20:C2242""), 1,false)"),"ALT_DENUM_UOM4")</f>
        <v>ALT_DENUM_UOM4</v>
      </c>
      <c r="I13378" s="136"/>
      <c r="R13378" s="63" t="str">
        <f t="shared" si="60"/>
        <v>ZSI1_SEALALT_DENUM_UOM4</v>
      </c>
    </row>
    <row r="13379" ht="15.75" customHeight="1">
      <c r="B13379" s="63">
        <f t="shared" si="1"/>
        <v>9</v>
      </c>
      <c r="C13379" s="135" t="s">
        <v>458</v>
      </c>
      <c r="D13379" s="161" t="s">
        <v>74</v>
      </c>
      <c r="E13379" s="135">
        <f t="shared" si="62"/>
        <v>28</v>
      </c>
      <c r="F13379" s="134" t="s">
        <v>3815</v>
      </c>
      <c r="G13379" s="63" t="str">
        <f>VLOOKUP(C13379, 'Class Def. - General Data'!$C$20:$C$1000,1,false)</f>
        <v>ZSI1_SEAL</v>
      </c>
      <c r="H13379" s="63" t="str">
        <f>IFERROR(__xludf.DUMMYFUNCTION("VLOOKUP(F13379, IMPORTRANGE(""https://docs.google.com/spreadsheets/d/1Lhp9OU0JdFf_VYSMzH5lBcEaU4o8teT1piV-SNzShjg/edit?gid=554141278#gid=554141278"", ""'Char Def. - Attributes'!C20:C2242""), 1,false)"),"ALT_NUM_UOM4")</f>
        <v>ALT_NUM_UOM4</v>
      </c>
      <c r="I13379" s="136"/>
      <c r="R13379" s="63" t="str">
        <f t="shared" si="60"/>
        <v>ZSI1_SEALALT_NUM_UOM4</v>
      </c>
    </row>
    <row r="13380" ht="15.75" customHeight="1">
      <c r="B13380" s="63">
        <f t="shared" si="1"/>
        <v>9</v>
      </c>
      <c r="C13380" s="135" t="s">
        <v>458</v>
      </c>
      <c r="D13380" s="161" t="s">
        <v>74</v>
      </c>
      <c r="E13380" s="135">
        <f t="shared" si="62"/>
        <v>29</v>
      </c>
      <c r="F13380" s="134" t="s">
        <v>3816</v>
      </c>
      <c r="G13380" s="63" t="str">
        <f>VLOOKUP(C13380, 'Class Def. - General Data'!$C$20:$C$1000,1,false)</f>
        <v>ZSI1_SEAL</v>
      </c>
      <c r="H13380" s="63" t="str">
        <f>IFERROR(__xludf.DUMMYFUNCTION("VLOOKUP(F13380, IMPORTRANGE(""https://docs.google.com/spreadsheets/d/1Lhp9OU0JdFf_VYSMzH5lBcEaU4o8teT1piV-SNzShjg/edit?gid=554141278#gid=554141278"", ""'Char Def. - Attributes'!C20:C2242""), 1,false)"),"ALT_UOM5_SIPI")</f>
        <v>ALT_UOM5_SIPI</v>
      </c>
      <c r="I13380" s="136"/>
      <c r="R13380" s="63" t="str">
        <f t="shared" si="60"/>
        <v>ZSI1_SEALALT_UOM5_SIPI</v>
      </c>
    </row>
    <row r="13381" ht="15.75" customHeight="1">
      <c r="B13381" s="63">
        <f t="shared" si="1"/>
        <v>9</v>
      </c>
      <c r="C13381" s="135" t="s">
        <v>458</v>
      </c>
      <c r="D13381" s="161" t="s">
        <v>74</v>
      </c>
      <c r="E13381" s="135">
        <f t="shared" si="62"/>
        <v>30</v>
      </c>
      <c r="F13381" s="134" t="s">
        <v>3817</v>
      </c>
      <c r="G13381" s="63" t="str">
        <f>VLOOKUP(C13381, 'Class Def. - General Data'!$C$20:$C$1000,1,false)</f>
        <v>ZSI1_SEAL</v>
      </c>
      <c r="H13381" s="63" t="str">
        <f>IFERROR(__xludf.DUMMYFUNCTION("VLOOKUP(F13381, IMPORTRANGE(""https://docs.google.com/spreadsheets/d/1Lhp9OU0JdFf_VYSMzH5lBcEaU4o8teT1piV-SNzShjg/edit?gid=554141278#gid=554141278"", ""'Char Def. - Attributes'!C20:C2242""), 1,false)"),"ALT_DENUM_UOM5")</f>
        <v>ALT_DENUM_UOM5</v>
      </c>
      <c r="I13381" s="136"/>
      <c r="R13381" s="63" t="str">
        <f t="shared" si="60"/>
        <v>ZSI1_SEALALT_DENUM_UOM5</v>
      </c>
    </row>
    <row r="13382" ht="15.75" customHeight="1">
      <c r="B13382" s="63">
        <f t="shared" si="1"/>
        <v>9</v>
      </c>
      <c r="C13382" s="135" t="s">
        <v>458</v>
      </c>
      <c r="D13382" s="161" t="s">
        <v>74</v>
      </c>
      <c r="E13382" s="135">
        <f t="shared" si="62"/>
        <v>31</v>
      </c>
      <c r="F13382" s="134" t="s">
        <v>3818</v>
      </c>
      <c r="G13382" s="63" t="str">
        <f>VLOOKUP(C13382, 'Class Def. - General Data'!$C$20:$C$1000,1,false)</f>
        <v>ZSI1_SEAL</v>
      </c>
      <c r="H13382" s="63" t="str">
        <f>IFERROR(__xludf.DUMMYFUNCTION("VLOOKUP(F13382, IMPORTRANGE(""https://docs.google.com/spreadsheets/d/1Lhp9OU0JdFf_VYSMzH5lBcEaU4o8teT1piV-SNzShjg/edit?gid=554141278#gid=554141278"", ""'Char Def. - Attributes'!C20:C2242""), 1,false)"),"ALT_NUM_UOM5")</f>
        <v>ALT_NUM_UOM5</v>
      </c>
      <c r="I13382" s="136"/>
      <c r="R13382" s="63" t="str">
        <f t="shared" si="60"/>
        <v>ZSI1_SEALALT_NUM_UOM5</v>
      </c>
    </row>
    <row r="13383" ht="15.75" customHeight="1">
      <c r="B13383" s="63">
        <f t="shared" si="1"/>
        <v>18</v>
      </c>
      <c r="C13383" s="135" t="s">
        <v>459</v>
      </c>
      <c r="D13383" s="161" t="s">
        <v>74</v>
      </c>
      <c r="E13383" s="135">
        <f t="shared" si="62"/>
        <v>1</v>
      </c>
      <c r="F13383" s="134" t="s">
        <v>5379</v>
      </c>
      <c r="G13383" s="63" t="str">
        <f>VLOOKUP(C13383, 'Class Def. - General Data'!$C$20:$C$1000,1,false)</f>
        <v>ZSI1_SELFDRL_SCREW</v>
      </c>
      <c r="H13383" s="63" t="str">
        <f>IFERROR(__xludf.DUMMYFUNCTION("VLOOKUP(F13383, IMPORTRANGE(""https://docs.google.com/spreadsheets/d/1Lhp9OU0JdFf_VYSMzH5lBcEaU4o8teT1piV-SNzShjg/edit?gid=554141278#gid=554141278"", ""'Char Def. - Attributes'!C20:C2242""), 1,false)"),"ITEM_NAME_SELFDRL_SCREW")</f>
        <v>ITEM_NAME_SELFDRL_SCREW</v>
      </c>
      <c r="I13383" s="136"/>
      <c r="R13383" s="63" t="str">
        <f t="shared" si="60"/>
        <v>ZSI1_SELFDRL_SCREWITEM_NAME_SELFDRL_SCREW</v>
      </c>
    </row>
    <row r="13384" ht="15.75" customHeight="1">
      <c r="B13384" s="63">
        <f t="shared" si="1"/>
        <v>18</v>
      </c>
      <c r="C13384" s="135" t="s">
        <v>459</v>
      </c>
      <c r="D13384" s="161" t="s">
        <v>74</v>
      </c>
      <c r="E13384" s="135">
        <f t="shared" si="62"/>
        <v>2</v>
      </c>
      <c r="F13384" s="134" t="s">
        <v>5380</v>
      </c>
      <c r="G13384" s="63" t="str">
        <f>VLOOKUP(C13384, 'Class Def. - General Data'!$C$20:$C$1000,1,false)</f>
        <v>ZSI1_SELFDRL_SCREW</v>
      </c>
      <c r="H13384" s="63" t="str">
        <f>IFERROR(__xludf.DUMMYFUNCTION("VLOOKUP(F13384, IMPORTRANGE(""https://docs.google.com/spreadsheets/d/1Lhp9OU0JdFf_VYSMzH5lBcEaU4o8teT1piV-SNzShjg/edit?gid=554141278#gid=554141278"", ""'Char Def. - Attributes'!C20:C2242""), 1,false)"),"HEAD_TYPE_SELFDRL_SCREW")</f>
        <v>HEAD_TYPE_SELFDRL_SCREW</v>
      </c>
      <c r="I13384" s="136"/>
      <c r="R13384" s="63" t="str">
        <f t="shared" si="60"/>
        <v>ZSI1_SELFDRL_SCREWHEAD_TYPE_SELFDRL_SCREW</v>
      </c>
    </row>
    <row r="13385" ht="15.75" customHeight="1">
      <c r="B13385" s="63">
        <f t="shared" si="1"/>
        <v>18</v>
      </c>
      <c r="C13385" s="135" t="s">
        <v>459</v>
      </c>
      <c r="D13385" s="161" t="s">
        <v>74</v>
      </c>
      <c r="E13385" s="135">
        <f t="shared" si="62"/>
        <v>3</v>
      </c>
      <c r="F13385" s="134" t="s">
        <v>5381</v>
      </c>
      <c r="G13385" s="63" t="str">
        <f>VLOOKUP(C13385, 'Class Def. - General Data'!$C$20:$C$1000,1,false)</f>
        <v>ZSI1_SELFDRL_SCREW</v>
      </c>
      <c r="H13385" s="63" t="str">
        <f>IFERROR(__xludf.DUMMYFUNCTION("VLOOKUP(F13385, IMPORTRANGE(""https://docs.google.com/spreadsheets/d/1Lhp9OU0JdFf_VYSMzH5lBcEaU4o8teT1piV-SNzShjg/edit?gid=554141278#gid=554141278"", ""'Char Def. - Attributes'!C20:C2242""), 1,false)"),"DIAMETER_MM_SELFDRL_SCREW")</f>
        <v>DIAMETER_MM_SELFDRL_SCREW</v>
      </c>
      <c r="I13385" s="136"/>
      <c r="R13385" s="63" t="str">
        <f t="shared" si="60"/>
        <v>ZSI1_SELFDRL_SCREWDIAMETER_MM_SELFDRL_SCREW</v>
      </c>
    </row>
    <row r="13386" ht="15.75" customHeight="1">
      <c r="B13386" s="63">
        <f t="shared" si="1"/>
        <v>18</v>
      </c>
      <c r="C13386" s="135" t="s">
        <v>459</v>
      </c>
      <c r="D13386" s="161" t="s">
        <v>74</v>
      </c>
      <c r="E13386" s="135">
        <f t="shared" si="62"/>
        <v>4</v>
      </c>
      <c r="F13386" s="134" t="s">
        <v>5382</v>
      </c>
      <c r="G13386" s="63" t="str">
        <f>VLOOKUP(C13386, 'Class Def. - General Data'!$C$20:$C$1000,1,false)</f>
        <v>ZSI1_SELFDRL_SCREW</v>
      </c>
      <c r="H13386" s="63" t="str">
        <f>IFERROR(__xludf.DUMMYFUNCTION("VLOOKUP(F13386, IMPORTRANGE(""https://docs.google.com/spreadsheets/d/1Lhp9OU0JdFf_VYSMzH5lBcEaU4o8teT1piV-SNzShjg/edit?gid=554141278#gid=554141278"", ""'Char Def. - Attributes'!C20:C2242""), 1,false)"),"LENGTH_MM_SELFDRL_SCREW")</f>
        <v>LENGTH_MM_SELFDRL_SCREW</v>
      </c>
      <c r="I13386" s="136"/>
      <c r="R13386" s="63" t="str">
        <f t="shared" si="60"/>
        <v>ZSI1_SELFDRL_SCREWLENGTH_MM_SELFDRL_SCREW</v>
      </c>
    </row>
    <row r="13387" ht="15.75" customHeight="1">
      <c r="B13387" s="63">
        <f t="shared" si="1"/>
        <v>18</v>
      </c>
      <c r="C13387" s="135" t="s">
        <v>459</v>
      </c>
      <c r="D13387" s="161" t="s">
        <v>74</v>
      </c>
      <c r="E13387" s="135">
        <f t="shared" si="62"/>
        <v>5</v>
      </c>
      <c r="F13387" s="134" t="s">
        <v>5383</v>
      </c>
      <c r="G13387" s="63" t="str">
        <f>VLOOKUP(C13387, 'Class Def. - General Data'!$C$20:$C$1000,1,false)</f>
        <v>ZSI1_SELFDRL_SCREW</v>
      </c>
      <c r="H13387" s="63" t="str">
        <f>IFERROR(__xludf.DUMMYFUNCTION("VLOOKUP(F13387, IMPORTRANGE(""https://docs.google.com/spreadsheets/d/1Lhp9OU0JdFf_VYSMzH5lBcEaU4o8teT1piV-SNzShjg/edit?gid=554141278#gid=554141278"", ""'Char Def. - Attributes'!C20:C2242""), 1,false)"),"MATERIAL_MM_SELFDRL_SCREW")</f>
        <v>MATERIAL_MM_SELFDRL_SCREW</v>
      </c>
      <c r="I13387" s="136"/>
      <c r="R13387" s="63" t="str">
        <f t="shared" si="60"/>
        <v>ZSI1_SELFDRL_SCREWMATERIAL_MM_SELFDRL_SCREW</v>
      </c>
    </row>
    <row r="13388" ht="15.75" customHeight="1">
      <c r="B13388" s="63">
        <f t="shared" si="1"/>
        <v>18</v>
      </c>
      <c r="C13388" s="135" t="s">
        <v>459</v>
      </c>
      <c r="D13388" s="161" t="s">
        <v>74</v>
      </c>
      <c r="E13388" s="135">
        <f t="shared" si="62"/>
        <v>6</v>
      </c>
      <c r="F13388" s="134" t="s">
        <v>5384</v>
      </c>
      <c r="G13388" s="63" t="str">
        <f>VLOOKUP(C13388, 'Class Def. - General Data'!$C$20:$C$1000,1,false)</f>
        <v>ZSI1_SELFDRL_SCREW</v>
      </c>
      <c r="H13388" s="63" t="str">
        <f>IFERROR(__xludf.DUMMYFUNCTION("VLOOKUP(F13388, IMPORTRANGE(""https://docs.google.com/spreadsheets/d/1Lhp9OU0JdFf_VYSMzH5lBcEaU4o8teT1piV-SNzShjg/edit?gid=554141278#gid=554141278"", ""'Char Def. - Attributes'!C20:C2242""), 1,false)"),"THREAD_TYPE_SELFDRL_SCREW")</f>
        <v>THREAD_TYPE_SELFDRL_SCREW</v>
      </c>
      <c r="I13388" s="136"/>
      <c r="R13388" s="63" t="str">
        <f t="shared" si="60"/>
        <v>ZSI1_SELFDRL_SCREWTHREAD_TYPE_SELFDRL_SCREW</v>
      </c>
    </row>
    <row r="13389" ht="15.75" customHeight="1">
      <c r="B13389" s="63">
        <f t="shared" si="1"/>
        <v>18</v>
      </c>
      <c r="C13389" s="135" t="s">
        <v>459</v>
      </c>
      <c r="D13389" s="161" t="s">
        <v>74</v>
      </c>
      <c r="E13389" s="135">
        <f t="shared" si="62"/>
        <v>7</v>
      </c>
      <c r="F13389" s="134" t="s">
        <v>3585</v>
      </c>
      <c r="G13389" s="63" t="str">
        <f>VLOOKUP(C13389, 'Class Def. - General Data'!$C$20:$C$1000,1,false)</f>
        <v>ZSI1_SELFDRL_SCREW</v>
      </c>
      <c r="H13389" s="63" t="str">
        <f>IFERROR(__xludf.DUMMYFUNCTION("VLOOKUP(F13389, IMPORTRANGE(""https://docs.google.com/spreadsheets/d/1Lhp9OU0JdFf_VYSMzH5lBcEaU4o8teT1piV-SNzShjg/edit?gid=554141278#gid=554141278"", ""'Char Def. - Attributes'!C20:C2242""), 1,false)"),"HS_CODE")</f>
        <v>HS_CODE</v>
      </c>
      <c r="I13389" s="136"/>
      <c r="R13389" s="63" t="str">
        <f t="shared" si="60"/>
        <v>ZSI1_SELFDRL_SCREWHS_CODE</v>
      </c>
    </row>
    <row r="13390" ht="15.75" customHeight="1">
      <c r="B13390" s="63">
        <f t="shared" si="1"/>
        <v>18</v>
      </c>
      <c r="C13390" s="135" t="s">
        <v>459</v>
      </c>
      <c r="D13390" s="161" t="s">
        <v>74</v>
      </c>
      <c r="E13390" s="135">
        <f t="shared" si="62"/>
        <v>8</v>
      </c>
      <c r="F13390" s="134" t="s">
        <v>3587</v>
      </c>
      <c r="G13390" s="63" t="str">
        <f>VLOOKUP(C13390, 'Class Def. - General Data'!$C$20:$C$1000,1,false)</f>
        <v>ZSI1_SELFDRL_SCREW</v>
      </c>
      <c r="H13390" s="63" t="str">
        <f>IFERROR(__xludf.DUMMYFUNCTION("VLOOKUP(F13390, IMPORTRANGE(""https://docs.google.com/spreadsheets/d/1Lhp9OU0JdFf_VYSMzH5lBcEaU4o8teT1piV-SNzShjg/edit?gid=554141278#gid=554141278"", ""'Char Def. - Attributes'!C20:C2242""), 1,false)"),"PLANT_BUY")</f>
        <v>PLANT_BUY</v>
      </c>
      <c r="I13390" s="136"/>
      <c r="R13390" s="63" t="str">
        <f t="shared" si="60"/>
        <v>ZSI1_SELFDRL_SCREWPLANT_BUY</v>
      </c>
    </row>
    <row r="13391" ht="15.75" customHeight="1">
      <c r="B13391" s="63">
        <f t="shared" si="1"/>
        <v>18</v>
      </c>
      <c r="C13391" s="135" t="s">
        <v>459</v>
      </c>
      <c r="D13391" s="161" t="s">
        <v>74</v>
      </c>
      <c r="E13391" s="135">
        <f t="shared" si="62"/>
        <v>9</v>
      </c>
      <c r="F13391" s="134" t="s">
        <v>5385</v>
      </c>
      <c r="G13391" s="63" t="str">
        <f>VLOOKUP(C13391, 'Class Def. - General Data'!$C$20:$C$1000,1,false)</f>
        <v>ZSI1_SELFDRL_SCREW</v>
      </c>
      <c r="H13391" s="63" t="str">
        <f>IFERROR(__xludf.DUMMYFUNCTION("VLOOKUP(F13391, IMPORTRANGE(""https://docs.google.com/spreadsheets/d/1Lhp9OU0JdFf_VYSMzH5lBcEaU4o8teT1piV-SNzShjg/edit?gid=554141278#gid=554141278"", ""'Char Def. - Attributes'!C20:C2242""), 1,false)"),"BASE_UOM_SELFDRL_SCREW")</f>
        <v>BASE_UOM_SELFDRL_SCREW</v>
      </c>
      <c r="I13391" s="136"/>
      <c r="R13391" s="63" t="str">
        <f t="shared" si="60"/>
        <v>ZSI1_SELFDRL_SCREWBASE_UOM_SELFDRL_SCREW</v>
      </c>
    </row>
    <row r="13392" ht="15.75" customHeight="1">
      <c r="B13392" s="63">
        <f t="shared" si="1"/>
        <v>18</v>
      </c>
      <c r="C13392" s="135" t="s">
        <v>459</v>
      </c>
      <c r="D13392" s="161" t="s">
        <v>74</v>
      </c>
      <c r="E13392" s="135">
        <f t="shared" si="62"/>
        <v>10</v>
      </c>
      <c r="F13392" s="134" t="s">
        <v>5386</v>
      </c>
      <c r="G13392" s="63" t="str">
        <f>VLOOKUP(C13392, 'Class Def. - General Data'!$C$20:$C$1000,1,false)</f>
        <v>ZSI1_SELFDRL_SCREW</v>
      </c>
      <c r="H13392" s="63" t="str">
        <f>IFERROR(__xludf.DUMMYFUNCTION("VLOOKUP(F13392, IMPORTRANGE(""https://docs.google.com/spreadsheets/d/1Lhp9OU0JdFf_VYSMzH5lBcEaU4o8teT1piV-SNzShjg/edit?gid=554141278#gid=554141278"", ""'Char Def. - Attributes'!C20:C2242""), 1,false)"),"ORDER_UNIT_SELFDRL_SCREW")</f>
        <v>ORDER_UNIT_SELFDRL_SCREW</v>
      </c>
      <c r="I13392" s="136"/>
      <c r="R13392" s="63" t="str">
        <f t="shared" si="60"/>
        <v>ZSI1_SELFDRL_SCREWORDER_UNIT_SELFDRL_SCREW</v>
      </c>
    </row>
    <row r="13393" ht="15.75" customHeight="1">
      <c r="B13393" s="63">
        <f t="shared" si="1"/>
        <v>18</v>
      </c>
      <c r="C13393" s="135" t="s">
        <v>459</v>
      </c>
      <c r="D13393" s="161" t="s">
        <v>74</v>
      </c>
      <c r="E13393" s="135">
        <f t="shared" si="62"/>
        <v>11</v>
      </c>
      <c r="F13393" s="134" t="s">
        <v>4056</v>
      </c>
      <c r="G13393" s="63" t="str">
        <f>VLOOKUP(C13393, 'Class Def. - General Data'!$C$20:$C$1000,1,false)</f>
        <v>ZSI1_SELFDRL_SCREW</v>
      </c>
      <c r="H13393" s="63" t="str">
        <f>IFERROR(__xludf.DUMMYFUNCTION("VLOOKUP(F13393, IMPORTRANGE(""https://docs.google.com/spreadsheets/d/1Lhp9OU0JdFf_VYSMzH5lBcEaU4o8teT1piV-SNzShjg/edit?gid=554141278#gid=554141278"", ""'Char Def. - Attributes'!C20:C2242""), 1,false)"),"GROSS_WEIGHT_OPT")</f>
        <v>GROSS_WEIGHT_OPT</v>
      </c>
      <c r="I13393" s="136"/>
      <c r="R13393" s="63" t="str">
        <f t="shared" si="60"/>
        <v>ZSI1_SELFDRL_SCREWGROSS_WEIGHT_OPT</v>
      </c>
    </row>
    <row r="13394" ht="15.75" customHeight="1">
      <c r="B13394" s="63">
        <f t="shared" si="1"/>
        <v>18</v>
      </c>
      <c r="C13394" s="135" t="s">
        <v>459</v>
      </c>
      <c r="D13394" s="161" t="s">
        <v>74</v>
      </c>
      <c r="E13394" s="135">
        <f t="shared" si="62"/>
        <v>12</v>
      </c>
      <c r="F13394" s="134" t="s">
        <v>4057</v>
      </c>
      <c r="G13394" s="63" t="str">
        <f>VLOOKUP(C13394, 'Class Def. - General Data'!$C$20:$C$1000,1,false)</f>
        <v>ZSI1_SELFDRL_SCREW</v>
      </c>
      <c r="H13394" s="63" t="str">
        <f>IFERROR(__xludf.DUMMYFUNCTION("VLOOKUP(F13394, IMPORTRANGE(""https://docs.google.com/spreadsheets/d/1Lhp9OU0JdFf_VYSMzH5lBcEaU4o8teT1piV-SNzShjg/edit?gid=554141278#gid=554141278"", ""'Char Def. - Attributes'!C20:C2242""), 1,false)"),"NET_WEIGHT_OPT")</f>
        <v>NET_WEIGHT_OPT</v>
      </c>
      <c r="I13394" s="136"/>
      <c r="R13394" s="63" t="str">
        <f t="shared" si="60"/>
        <v>ZSI1_SELFDRL_SCREWNET_WEIGHT_OPT</v>
      </c>
    </row>
    <row r="13395" ht="15.75" customHeight="1">
      <c r="B13395" s="63">
        <f t="shared" si="1"/>
        <v>18</v>
      </c>
      <c r="C13395" s="135" t="s">
        <v>459</v>
      </c>
      <c r="D13395" s="161" t="s">
        <v>74</v>
      </c>
      <c r="E13395" s="135">
        <f t="shared" si="62"/>
        <v>13</v>
      </c>
      <c r="F13395" s="134" t="s">
        <v>4058</v>
      </c>
      <c r="G13395" s="63" t="str">
        <f>VLOOKUP(C13395, 'Class Def. - General Data'!$C$20:$C$1000,1,false)</f>
        <v>ZSI1_SELFDRL_SCREW</v>
      </c>
      <c r="H13395" s="63" t="str">
        <f>IFERROR(__xludf.DUMMYFUNCTION("VLOOKUP(F13395, IMPORTRANGE(""https://docs.google.com/spreadsheets/d/1Lhp9OU0JdFf_VYSMzH5lBcEaU4o8teT1piV-SNzShjg/edit?gid=554141278#gid=554141278"", ""'Char Def. - Attributes'!C20:C2242""), 1,false)"),"WEIGHT_UNIT_SI")</f>
        <v>WEIGHT_UNIT_SI</v>
      </c>
      <c r="I13395" s="136"/>
      <c r="R13395" s="63" t="str">
        <f t="shared" si="60"/>
        <v>ZSI1_SELFDRL_SCREWWEIGHT_UNIT_SI</v>
      </c>
    </row>
    <row r="13396" ht="15.75" customHeight="1">
      <c r="B13396" s="63">
        <f t="shared" si="1"/>
        <v>18</v>
      </c>
      <c r="C13396" s="135" t="s">
        <v>459</v>
      </c>
      <c r="D13396" s="161" t="s">
        <v>74</v>
      </c>
      <c r="E13396" s="135">
        <f t="shared" si="62"/>
        <v>14</v>
      </c>
      <c r="F13396" s="134" t="s">
        <v>3877</v>
      </c>
      <c r="G13396" s="63" t="str">
        <f>VLOOKUP(C13396, 'Class Def. - General Data'!$C$20:$C$1000,1,false)</f>
        <v>ZSI1_SELFDRL_SCREW</v>
      </c>
      <c r="H13396" s="63" t="str">
        <f>IFERROR(__xludf.DUMMYFUNCTION("VLOOKUP(F13396, IMPORTRANGE(""https://docs.google.com/spreadsheets/d/1Lhp9OU0JdFf_VYSMzH5lBcEaU4o8teT1piV-SNzShjg/edit?gid=554141278#gid=554141278"", ""'Char Def. - Attributes'!C20:C2242""), 1,false)"),"VOLUME_OPT")</f>
        <v>VOLUME_OPT</v>
      </c>
      <c r="I13396" s="136"/>
      <c r="R13396" s="63" t="str">
        <f t="shared" si="60"/>
        <v>ZSI1_SELFDRL_SCREWVOLUME_OPT</v>
      </c>
    </row>
    <row r="13397" ht="15.75" customHeight="1">
      <c r="B13397" s="63">
        <f t="shared" si="1"/>
        <v>18</v>
      </c>
      <c r="C13397" s="135" t="s">
        <v>459</v>
      </c>
      <c r="D13397" s="161" t="s">
        <v>74</v>
      </c>
      <c r="E13397" s="135">
        <f t="shared" si="62"/>
        <v>15</v>
      </c>
      <c r="F13397" s="134" t="s">
        <v>4059</v>
      </c>
      <c r="G13397" s="63" t="str">
        <f>VLOOKUP(C13397, 'Class Def. - General Data'!$C$20:$C$1000,1,false)</f>
        <v>ZSI1_SELFDRL_SCREW</v>
      </c>
      <c r="H13397" s="63" t="str">
        <f>IFERROR(__xludf.DUMMYFUNCTION("VLOOKUP(F13397, IMPORTRANGE(""https://docs.google.com/spreadsheets/d/1Lhp9OU0JdFf_VYSMzH5lBcEaU4o8teT1piV-SNzShjg/edit?gid=554141278#gid=554141278"", ""'Char Def. - Attributes'!C20:C2242""), 1,false)"),"VOLUME_UNIT_SI")</f>
        <v>VOLUME_UNIT_SI</v>
      </c>
      <c r="I13397" s="136"/>
      <c r="R13397" s="63" t="str">
        <f t="shared" si="60"/>
        <v>ZSI1_SELFDRL_SCREWVOLUME_UNIT_SI</v>
      </c>
    </row>
    <row r="13398" ht="15.75" customHeight="1">
      <c r="B13398" s="63">
        <f t="shared" si="1"/>
        <v>18</v>
      </c>
      <c r="C13398" s="135" t="s">
        <v>459</v>
      </c>
      <c r="D13398" s="161" t="s">
        <v>74</v>
      </c>
      <c r="E13398" s="135">
        <f t="shared" si="62"/>
        <v>16</v>
      </c>
      <c r="F13398" s="134" t="s">
        <v>3804</v>
      </c>
      <c r="G13398" s="63" t="str">
        <f>VLOOKUP(C13398, 'Class Def. - General Data'!$C$20:$C$1000,1,false)</f>
        <v>ZSI1_SELFDRL_SCREW</v>
      </c>
      <c r="H13398" s="63" t="str">
        <f>IFERROR(__xludf.DUMMYFUNCTION("VLOOKUP(F13398, IMPORTRANGE(""https://docs.google.com/spreadsheets/d/1Lhp9OU0JdFf_VYSMzH5lBcEaU4o8teT1piV-SNzShjg/edit?gid=554141278#gid=554141278"", ""'Char Def. - Attributes'!C20:C2242""), 1,false)"),"ALT_UOM1_SIPI")</f>
        <v>ALT_UOM1_SIPI</v>
      </c>
      <c r="I13398" s="136"/>
      <c r="R13398" s="63" t="str">
        <f t="shared" si="60"/>
        <v>ZSI1_SELFDRL_SCREWALT_UOM1_SIPI</v>
      </c>
    </row>
    <row r="13399" ht="15.75" customHeight="1">
      <c r="B13399" s="63">
        <f t="shared" si="1"/>
        <v>18</v>
      </c>
      <c r="C13399" s="135" t="s">
        <v>459</v>
      </c>
      <c r="D13399" s="161" t="s">
        <v>74</v>
      </c>
      <c r="E13399" s="135">
        <f t="shared" si="62"/>
        <v>17</v>
      </c>
      <c r="F13399" s="134" t="s">
        <v>3805</v>
      </c>
      <c r="G13399" s="63" t="str">
        <f>VLOOKUP(C13399, 'Class Def. - General Data'!$C$20:$C$1000,1,false)</f>
        <v>ZSI1_SELFDRL_SCREW</v>
      </c>
      <c r="H13399" s="63" t="str">
        <f>IFERROR(__xludf.DUMMYFUNCTION("VLOOKUP(F13399, IMPORTRANGE(""https://docs.google.com/spreadsheets/d/1Lhp9OU0JdFf_VYSMzH5lBcEaU4o8teT1piV-SNzShjg/edit?gid=554141278#gid=554141278"", ""'Char Def. - Attributes'!C20:C2242""), 1,false)"),"ALT_DENUM_UOM1")</f>
        <v>ALT_DENUM_UOM1</v>
      </c>
      <c r="I13399" s="136"/>
      <c r="R13399" s="63" t="str">
        <f t="shared" si="60"/>
        <v>ZSI1_SELFDRL_SCREWALT_DENUM_UOM1</v>
      </c>
    </row>
    <row r="13400" ht="15.75" customHeight="1">
      <c r="B13400" s="63">
        <f t="shared" si="1"/>
        <v>18</v>
      </c>
      <c r="C13400" s="135" t="s">
        <v>459</v>
      </c>
      <c r="D13400" s="161" t="s">
        <v>74</v>
      </c>
      <c r="E13400" s="135">
        <f t="shared" si="62"/>
        <v>18</v>
      </c>
      <c r="F13400" s="134" t="s">
        <v>3806</v>
      </c>
      <c r="G13400" s="63" t="str">
        <f>VLOOKUP(C13400, 'Class Def. - General Data'!$C$20:$C$1000,1,false)</f>
        <v>ZSI1_SELFDRL_SCREW</v>
      </c>
      <c r="H13400" s="63" t="str">
        <f>IFERROR(__xludf.DUMMYFUNCTION("VLOOKUP(F13400, IMPORTRANGE(""https://docs.google.com/spreadsheets/d/1Lhp9OU0JdFf_VYSMzH5lBcEaU4o8teT1piV-SNzShjg/edit?gid=554141278#gid=554141278"", ""'Char Def. - Attributes'!C20:C2242""), 1,false)"),"ALT_NUM_UOM1")</f>
        <v>ALT_NUM_UOM1</v>
      </c>
      <c r="I13400" s="136"/>
      <c r="R13400" s="63" t="str">
        <f t="shared" si="60"/>
        <v>ZSI1_SELFDRL_SCREWALT_NUM_UOM1</v>
      </c>
    </row>
    <row r="13401" ht="15.75" customHeight="1">
      <c r="B13401" s="63">
        <f t="shared" si="1"/>
        <v>18</v>
      </c>
      <c r="C13401" s="135" t="s">
        <v>459</v>
      </c>
      <c r="D13401" s="161" t="s">
        <v>74</v>
      </c>
      <c r="E13401" s="135">
        <f t="shared" si="62"/>
        <v>19</v>
      </c>
      <c r="F13401" s="134" t="s">
        <v>3807</v>
      </c>
      <c r="G13401" s="63" t="str">
        <f>VLOOKUP(C13401, 'Class Def. - General Data'!$C$20:$C$1000,1,false)</f>
        <v>ZSI1_SELFDRL_SCREW</v>
      </c>
      <c r="H13401" s="63" t="str">
        <f>IFERROR(__xludf.DUMMYFUNCTION("VLOOKUP(F13401, IMPORTRANGE(""https://docs.google.com/spreadsheets/d/1Lhp9OU0JdFf_VYSMzH5lBcEaU4o8teT1piV-SNzShjg/edit?gid=554141278#gid=554141278"", ""'Char Def. - Attributes'!C20:C2242""), 1,false)"),"ALT_UOM2_SIPI")</f>
        <v>ALT_UOM2_SIPI</v>
      </c>
      <c r="I13401" s="136"/>
      <c r="R13401" s="63" t="str">
        <f t="shared" si="60"/>
        <v>ZSI1_SELFDRL_SCREWALT_UOM2_SIPI</v>
      </c>
    </row>
    <row r="13402" ht="15.75" customHeight="1">
      <c r="B13402" s="63">
        <f t="shared" si="1"/>
        <v>18</v>
      </c>
      <c r="C13402" s="135" t="s">
        <v>459</v>
      </c>
      <c r="D13402" s="161" t="s">
        <v>74</v>
      </c>
      <c r="E13402" s="135">
        <f t="shared" si="62"/>
        <v>20</v>
      </c>
      <c r="F13402" s="134" t="s">
        <v>3808</v>
      </c>
      <c r="G13402" s="63" t="str">
        <f>VLOOKUP(C13402, 'Class Def. - General Data'!$C$20:$C$1000,1,false)</f>
        <v>ZSI1_SELFDRL_SCREW</v>
      </c>
      <c r="H13402" s="63" t="str">
        <f>IFERROR(__xludf.DUMMYFUNCTION("VLOOKUP(F13402, IMPORTRANGE(""https://docs.google.com/spreadsheets/d/1Lhp9OU0JdFf_VYSMzH5lBcEaU4o8teT1piV-SNzShjg/edit?gid=554141278#gid=554141278"", ""'Char Def. - Attributes'!C20:C2242""), 1,false)"),"ALT_DENUM_UOM2")</f>
        <v>ALT_DENUM_UOM2</v>
      </c>
      <c r="I13402" s="136"/>
      <c r="R13402" s="63" t="str">
        <f t="shared" si="60"/>
        <v>ZSI1_SELFDRL_SCREWALT_DENUM_UOM2</v>
      </c>
    </row>
    <row r="13403" ht="15.75" customHeight="1">
      <c r="B13403" s="63">
        <f t="shared" si="1"/>
        <v>18</v>
      </c>
      <c r="C13403" s="135" t="s">
        <v>459</v>
      </c>
      <c r="D13403" s="161" t="s">
        <v>74</v>
      </c>
      <c r="E13403" s="135">
        <f t="shared" si="62"/>
        <v>21</v>
      </c>
      <c r="F13403" s="134" t="s">
        <v>3809</v>
      </c>
      <c r="G13403" s="63" t="str">
        <f>VLOOKUP(C13403, 'Class Def. - General Data'!$C$20:$C$1000,1,false)</f>
        <v>ZSI1_SELFDRL_SCREW</v>
      </c>
      <c r="H13403" s="63" t="str">
        <f>IFERROR(__xludf.DUMMYFUNCTION("VLOOKUP(F13403, IMPORTRANGE(""https://docs.google.com/spreadsheets/d/1Lhp9OU0JdFf_VYSMzH5lBcEaU4o8teT1piV-SNzShjg/edit?gid=554141278#gid=554141278"", ""'Char Def. - Attributes'!C20:C2242""), 1,false)"),"ALT_NUM_UOM2")</f>
        <v>ALT_NUM_UOM2</v>
      </c>
      <c r="I13403" s="136"/>
      <c r="R13403" s="63" t="str">
        <f t="shared" si="60"/>
        <v>ZSI1_SELFDRL_SCREWALT_NUM_UOM2</v>
      </c>
    </row>
    <row r="13404" ht="15.75" customHeight="1">
      <c r="B13404" s="63">
        <f t="shared" si="1"/>
        <v>18</v>
      </c>
      <c r="C13404" s="135" t="s">
        <v>459</v>
      </c>
      <c r="D13404" s="161" t="s">
        <v>74</v>
      </c>
      <c r="E13404" s="135">
        <f t="shared" si="62"/>
        <v>22</v>
      </c>
      <c r="F13404" s="134" t="s">
        <v>3810</v>
      </c>
      <c r="G13404" s="63" t="str">
        <f>VLOOKUP(C13404, 'Class Def. - General Data'!$C$20:$C$1000,1,false)</f>
        <v>ZSI1_SELFDRL_SCREW</v>
      </c>
      <c r="H13404" s="63" t="str">
        <f>IFERROR(__xludf.DUMMYFUNCTION("VLOOKUP(F13404, IMPORTRANGE(""https://docs.google.com/spreadsheets/d/1Lhp9OU0JdFf_VYSMzH5lBcEaU4o8teT1piV-SNzShjg/edit?gid=554141278#gid=554141278"", ""'Char Def. - Attributes'!C20:C2242""), 1,false)"),"ALT_UOM3_SIPI")</f>
        <v>ALT_UOM3_SIPI</v>
      </c>
      <c r="I13404" s="136"/>
      <c r="R13404" s="63" t="str">
        <f t="shared" si="60"/>
        <v>ZSI1_SELFDRL_SCREWALT_UOM3_SIPI</v>
      </c>
    </row>
    <row r="13405" ht="15.75" customHeight="1">
      <c r="B13405" s="63">
        <f t="shared" si="1"/>
        <v>18</v>
      </c>
      <c r="C13405" s="135" t="s">
        <v>459</v>
      </c>
      <c r="D13405" s="161" t="s">
        <v>74</v>
      </c>
      <c r="E13405" s="135">
        <f t="shared" si="62"/>
        <v>23</v>
      </c>
      <c r="F13405" s="134" t="s">
        <v>3811</v>
      </c>
      <c r="G13405" s="63" t="str">
        <f>VLOOKUP(C13405, 'Class Def. - General Data'!$C$20:$C$1000,1,false)</f>
        <v>ZSI1_SELFDRL_SCREW</v>
      </c>
      <c r="H13405" s="63" t="str">
        <f>IFERROR(__xludf.DUMMYFUNCTION("VLOOKUP(F13405, IMPORTRANGE(""https://docs.google.com/spreadsheets/d/1Lhp9OU0JdFf_VYSMzH5lBcEaU4o8teT1piV-SNzShjg/edit?gid=554141278#gid=554141278"", ""'Char Def. - Attributes'!C20:C2242""), 1,false)"),"ALT_DENUM_UOM3")</f>
        <v>ALT_DENUM_UOM3</v>
      </c>
      <c r="I13405" s="136"/>
      <c r="R13405" s="63" t="str">
        <f t="shared" si="60"/>
        <v>ZSI1_SELFDRL_SCREWALT_DENUM_UOM3</v>
      </c>
    </row>
    <row r="13406" ht="15.75" customHeight="1">
      <c r="B13406" s="63">
        <f t="shared" si="1"/>
        <v>18</v>
      </c>
      <c r="C13406" s="135" t="s">
        <v>459</v>
      </c>
      <c r="D13406" s="161" t="s">
        <v>74</v>
      </c>
      <c r="E13406" s="135">
        <f t="shared" si="62"/>
        <v>24</v>
      </c>
      <c r="F13406" s="134" t="s">
        <v>3812</v>
      </c>
      <c r="G13406" s="63" t="str">
        <f>VLOOKUP(C13406, 'Class Def. - General Data'!$C$20:$C$1000,1,false)</f>
        <v>ZSI1_SELFDRL_SCREW</v>
      </c>
      <c r="H13406" s="63" t="str">
        <f>IFERROR(__xludf.DUMMYFUNCTION("VLOOKUP(F13406, IMPORTRANGE(""https://docs.google.com/spreadsheets/d/1Lhp9OU0JdFf_VYSMzH5lBcEaU4o8teT1piV-SNzShjg/edit?gid=554141278#gid=554141278"", ""'Char Def. - Attributes'!C20:C2242""), 1,false)"),"ALT_NUM_UOM3")</f>
        <v>ALT_NUM_UOM3</v>
      </c>
      <c r="I13406" s="136"/>
      <c r="R13406" s="63" t="str">
        <f t="shared" si="60"/>
        <v>ZSI1_SELFDRL_SCREWALT_NUM_UOM3</v>
      </c>
    </row>
    <row r="13407" ht="15.75" customHeight="1">
      <c r="B13407" s="63">
        <f t="shared" si="1"/>
        <v>18</v>
      </c>
      <c r="C13407" s="135" t="s">
        <v>459</v>
      </c>
      <c r="D13407" s="161" t="s">
        <v>74</v>
      </c>
      <c r="E13407" s="135">
        <f t="shared" si="62"/>
        <v>25</v>
      </c>
      <c r="F13407" s="134" t="s">
        <v>3813</v>
      </c>
      <c r="G13407" s="63" t="str">
        <f>VLOOKUP(C13407, 'Class Def. - General Data'!$C$20:$C$1000,1,false)</f>
        <v>ZSI1_SELFDRL_SCREW</v>
      </c>
      <c r="H13407" s="63" t="str">
        <f>IFERROR(__xludf.DUMMYFUNCTION("VLOOKUP(F13407, IMPORTRANGE(""https://docs.google.com/spreadsheets/d/1Lhp9OU0JdFf_VYSMzH5lBcEaU4o8teT1piV-SNzShjg/edit?gid=554141278#gid=554141278"", ""'Char Def. - Attributes'!C20:C2242""), 1,false)"),"ALT_UOM4_SIPI")</f>
        <v>ALT_UOM4_SIPI</v>
      </c>
      <c r="I13407" s="136"/>
      <c r="R13407" s="63" t="str">
        <f t="shared" si="60"/>
        <v>ZSI1_SELFDRL_SCREWALT_UOM4_SIPI</v>
      </c>
    </row>
    <row r="13408" ht="15.75" customHeight="1">
      <c r="B13408" s="63">
        <f t="shared" si="1"/>
        <v>18</v>
      </c>
      <c r="C13408" s="135" t="s">
        <v>459</v>
      </c>
      <c r="D13408" s="161" t="s">
        <v>74</v>
      </c>
      <c r="E13408" s="135">
        <f t="shared" si="62"/>
        <v>26</v>
      </c>
      <c r="F13408" s="134" t="s">
        <v>3814</v>
      </c>
      <c r="G13408" s="63" t="str">
        <f>VLOOKUP(C13408, 'Class Def. - General Data'!$C$20:$C$1000,1,false)</f>
        <v>ZSI1_SELFDRL_SCREW</v>
      </c>
      <c r="H13408" s="63" t="str">
        <f>IFERROR(__xludf.DUMMYFUNCTION("VLOOKUP(F13408, IMPORTRANGE(""https://docs.google.com/spreadsheets/d/1Lhp9OU0JdFf_VYSMzH5lBcEaU4o8teT1piV-SNzShjg/edit?gid=554141278#gid=554141278"", ""'Char Def. - Attributes'!C20:C2242""), 1,false)"),"ALT_DENUM_UOM4")</f>
        <v>ALT_DENUM_UOM4</v>
      </c>
      <c r="I13408" s="136"/>
      <c r="R13408" s="63" t="str">
        <f t="shared" si="60"/>
        <v>ZSI1_SELFDRL_SCREWALT_DENUM_UOM4</v>
      </c>
    </row>
    <row r="13409" ht="15.75" customHeight="1">
      <c r="B13409" s="63">
        <f t="shared" si="1"/>
        <v>18</v>
      </c>
      <c r="C13409" s="135" t="s">
        <v>459</v>
      </c>
      <c r="D13409" s="161" t="s">
        <v>74</v>
      </c>
      <c r="E13409" s="135">
        <f t="shared" si="62"/>
        <v>27</v>
      </c>
      <c r="F13409" s="134" t="s">
        <v>3815</v>
      </c>
      <c r="G13409" s="63" t="str">
        <f>VLOOKUP(C13409, 'Class Def. - General Data'!$C$20:$C$1000,1,false)</f>
        <v>ZSI1_SELFDRL_SCREW</v>
      </c>
      <c r="H13409" s="63" t="str">
        <f>IFERROR(__xludf.DUMMYFUNCTION("VLOOKUP(F13409, IMPORTRANGE(""https://docs.google.com/spreadsheets/d/1Lhp9OU0JdFf_VYSMzH5lBcEaU4o8teT1piV-SNzShjg/edit?gid=554141278#gid=554141278"", ""'Char Def. - Attributes'!C20:C2242""), 1,false)"),"ALT_NUM_UOM4")</f>
        <v>ALT_NUM_UOM4</v>
      </c>
      <c r="I13409" s="136"/>
      <c r="R13409" s="63" t="str">
        <f t="shared" si="60"/>
        <v>ZSI1_SELFDRL_SCREWALT_NUM_UOM4</v>
      </c>
    </row>
    <row r="13410" ht="15.75" customHeight="1">
      <c r="B13410" s="63">
        <f t="shared" si="1"/>
        <v>18</v>
      </c>
      <c r="C13410" s="135" t="s">
        <v>459</v>
      </c>
      <c r="D13410" s="161" t="s">
        <v>74</v>
      </c>
      <c r="E13410" s="135">
        <f t="shared" si="62"/>
        <v>28</v>
      </c>
      <c r="F13410" s="134" t="s">
        <v>3816</v>
      </c>
      <c r="G13410" s="63" t="str">
        <f>VLOOKUP(C13410, 'Class Def. - General Data'!$C$20:$C$1000,1,false)</f>
        <v>ZSI1_SELFDRL_SCREW</v>
      </c>
      <c r="H13410" s="63" t="str">
        <f>IFERROR(__xludf.DUMMYFUNCTION("VLOOKUP(F13410, IMPORTRANGE(""https://docs.google.com/spreadsheets/d/1Lhp9OU0JdFf_VYSMzH5lBcEaU4o8teT1piV-SNzShjg/edit?gid=554141278#gid=554141278"", ""'Char Def. - Attributes'!C20:C2242""), 1,false)"),"ALT_UOM5_SIPI")</f>
        <v>ALT_UOM5_SIPI</v>
      </c>
      <c r="I13410" s="136"/>
      <c r="R13410" s="63" t="str">
        <f t="shared" si="60"/>
        <v>ZSI1_SELFDRL_SCREWALT_UOM5_SIPI</v>
      </c>
    </row>
    <row r="13411" ht="15.75" customHeight="1">
      <c r="B13411" s="63">
        <f t="shared" si="1"/>
        <v>18</v>
      </c>
      <c r="C13411" s="135" t="s">
        <v>459</v>
      </c>
      <c r="D13411" s="161" t="s">
        <v>74</v>
      </c>
      <c r="E13411" s="135">
        <f t="shared" si="62"/>
        <v>29</v>
      </c>
      <c r="F13411" s="134" t="s">
        <v>3817</v>
      </c>
      <c r="G13411" s="63" t="str">
        <f>VLOOKUP(C13411, 'Class Def. - General Data'!$C$20:$C$1000,1,false)</f>
        <v>ZSI1_SELFDRL_SCREW</v>
      </c>
      <c r="H13411" s="63" t="str">
        <f>IFERROR(__xludf.DUMMYFUNCTION("VLOOKUP(F13411, IMPORTRANGE(""https://docs.google.com/spreadsheets/d/1Lhp9OU0JdFf_VYSMzH5lBcEaU4o8teT1piV-SNzShjg/edit?gid=554141278#gid=554141278"", ""'Char Def. - Attributes'!C20:C2242""), 1,false)"),"ALT_DENUM_UOM5")</f>
        <v>ALT_DENUM_UOM5</v>
      </c>
      <c r="I13411" s="136"/>
      <c r="R13411" s="63" t="str">
        <f t="shared" si="60"/>
        <v>ZSI1_SELFDRL_SCREWALT_DENUM_UOM5</v>
      </c>
    </row>
    <row r="13412" ht="15.75" customHeight="1">
      <c r="B13412" s="63">
        <f t="shared" si="1"/>
        <v>18</v>
      </c>
      <c r="C13412" s="135" t="s">
        <v>459</v>
      </c>
      <c r="D13412" s="161" t="s">
        <v>74</v>
      </c>
      <c r="E13412" s="135">
        <f t="shared" si="62"/>
        <v>30</v>
      </c>
      <c r="F13412" s="134" t="s">
        <v>3818</v>
      </c>
      <c r="G13412" s="63" t="str">
        <f>VLOOKUP(C13412, 'Class Def. - General Data'!$C$20:$C$1000,1,false)</f>
        <v>ZSI1_SELFDRL_SCREW</v>
      </c>
      <c r="H13412" s="63" t="str">
        <f>IFERROR(__xludf.DUMMYFUNCTION("VLOOKUP(F13412, IMPORTRANGE(""https://docs.google.com/spreadsheets/d/1Lhp9OU0JdFf_VYSMzH5lBcEaU4o8teT1piV-SNzShjg/edit?gid=554141278#gid=554141278"", ""'Char Def. - Attributes'!C20:C2242""), 1,false)"),"ALT_NUM_UOM5")</f>
        <v>ALT_NUM_UOM5</v>
      </c>
      <c r="I13412" s="136"/>
      <c r="R13412" s="63" t="str">
        <f t="shared" si="60"/>
        <v>ZSI1_SELFDRL_SCREWALT_NUM_UOM5</v>
      </c>
    </row>
    <row r="13413" ht="15.75" customHeight="1">
      <c r="B13413" s="63">
        <f t="shared" si="1"/>
        <v>18</v>
      </c>
      <c r="C13413" s="135" t="s">
        <v>460</v>
      </c>
      <c r="D13413" s="161" t="s">
        <v>74</v>
      </c>
      <c r="E13413" s="135">
        <f t="shared" si="62"/>
        <v>1</v>
      </c>
      <c r="F13413" s="134" t="s">
        <v>5387</v>
      </c>
      <c r="G13413" s="63" t="str">
        <f>VLOOKUP(C13413, 'Class Def. - General Data'!$C$20:$C$1000,1,false)</f>
        <v>ZSI1_SELFTAP_SCREW</v>
      </c>
      <c r="H13413" s="63" t="str">
        <f>IFERROR(__xludf.DUMMYFUNCTION("VLOOKUP(F13413, IMPORTRANGE(""https://docs.google.com/spreadsheets/d/1Lhp9OU0JdFf_VYSMzH5lBcEaU4o8teT1piV-SNzShjg/edit?gid=554141278#gid=554141278"", ""'Char Def. - Attributes'!C20:C2242""), 1,false)"),"ITEM_NAME_SELFTAP_SCREW")</f>
        <v>ITEM_NAME_SELFTAP_SCREW</v>
      </c>
      <c r="I13413" s="136"/>
      <c r="R13413" s="63" t="str">
        <f t="shared" si="60"/>
        <v>ZSI1_SELFTAP_SCREWITEM_NAME_SELFTAP_SCREW</v>
      </c>
    </row>
    <row r="13414" ht="15.75" customHeight="1">
      <c r="B13414" s="63">
        <f t="shared" si="1"/>
        <v>18</v>
      </c>
      <c r="C13414" s="135" t="s">
        <v>460</v>
      </c>
      <c r="D13414" s="161" t="s">
        <v>74</v>
      </c>
      <c r="E13414" s="135">
        <f t="shared" si="62"/>
        <v>2</v>
      </c>
      <c r="F13414" s="134" t="s">
        <v>5388</v>
      </c>
      <c r="G13414" s="63" t="str">
        <f>VLOOKUP(C13414, 'Class Def. - General Data'!$C$20:$C$1000,1,false)</f>
        <v>ZSI1_SELFTAP_SCREW</v>
      </c>
      <c r="H13414" s="63" t="str">
        <f>IFERROR(__xludf.DUMMYFUNCTION("VLOOKUP(F13414, IMPORTRANGE(""https://docs.google.com/spreadsheets/d/1Lhp9OU0JdFf_VYSMzH5lBcEaU4o8teT1piV-SNzShjg/edit?gid=554141278#gid=554141278"", ""'Char Def. - Attributes'!C20:C2242""), 1,false)"),"HEAD_TYPE_SELFTAP_SCREW")</f>
        <v>HEAD_TYPE_SELFTAP_SCREW</v>
      </c>
      <c r="I13414" s="136"/>
      <c r="R13414" s="63" t="str">
        <f t="shared" si="60"/>
        <v>ZSI1_SELFTAP_SCREWHEAD_TYPE_SELFTAP_SCREW</v>
      </c>
    </row>
    <row r="13415" ht="15.75" customHeight="1">
      <c r="B13415" s="63">
        <f t="shared" si="1"/>
        <v>18</v>
      </c>
      <c r="C13415" s="135" t="s">
        <v>460</v>
      </c>
      <c r="D13415" s="161" t="s">
        <v>74</v>
      </c>
      <c r="E13415" s="135">
        <f t="shared" si="62"/>
        <v>3</v>
      </c>
      <c r="F13415" s="134" t="s">
        <v>5389</v>
      </c>
      <c r="G13415" s="63" t="str">
        <f>VLOOKUP(C13415, 'Class Def. - General Data'!$C$20:$C$1000,1,false)</f>
        <v>ZSI1_SELFTAP_SCREW</v>
      </c>
      <c r="H13415" s="63" t="str">
        <f>IFERROR(__xludf.DUMMYFUNCTION("VLOOKUP(F13415, IMPORTRANGE(""https://docs.google.com/spreadsheets/d/1Lhp9OU0JdFf_VYSMzH5lBcEaU4o8teT1piV-SNzShjg/edit?gid=554141278#gid=554141278"", ""'Char Def. - Attributes'!C20:C2242""), 1,false)"),"DIAMETER_MM_SELFTAP_SCREW")</f>
        <v>DIAMETER_MM_SELFTAP_SCREW</v>
      </c>
      <c r="I13415" s="136"/>
      <c r="R13415" s="63" t="str">
        <f t="shared" si="60"/>
        <v>ZSI1_SELFTAP_SCREWDIAMETER_MM_SELFTAP_SCREW</v>
      </c>
    </row>
    <row r="13416" ht="15.75" customHeight="1">
      <c r="B13416" s="63">
        <f t="shared" si="1"/>
        <v>18</v>
      </c>
      <c r="C13416" s="135" t="s">
        <v>460</v>
      </c>
      <c r="D13416" s="161" t="s">
        <v>74</v>
      </c>
      <c r="E13416" s="135">
        <f t="shared" si="62"/>
        <v>4</v>
      </c>
      <c r="F13416" s="134" t="s">
        <v>5390</v>
      </c>
      <c r="G13416" s="63" t="str">
        <f>VLOOKUP(C13416, 'Class Def. - General Data'!$C$20:$C$1000,1,false)</f>
        <v>ZSI1_SELFTAP_SCREW</v>
      </c>
      <c r="H13416" s="63" t="str">
        <f>IFERROR(__xludf.DUMMYFUNCTION("VLOOKUP(F13416, IMPORTRANGE(""https://docs.google.com/spreadsheets/d/1Lhp9OU0JdFf_VYSMzH5lBcEaU4o8teT1piV-SNzShjg/edit?gid=554141278#gid=554141278"", ""'Char Def. - Attributes'!C20:C2242""), 1,false)"),"LENGTH_MM_SELFTAP_SCREW")</f>
        <v>LENGTH_MM_SELFTAP_SCREW</v>
      </c>
      <c r="I13416" s="136"/>
      <c r="R13416" s="63" t="str">
        <f t="shared" si="60"/>
        <v>ZSI1_SELFTAP_SCREWLENGTH_MM_SELFTAP_SCREW</v>
      </c>
    </row>
    <row r="13417" ht="15.75" customHeight="1">
      <c r="B13417" s="63">
        <f t="shared" si="1"/>
        <v>18</v>
      </c>
      <c r="C13417" s="135" t="s">
        <v>460</v>
      </c>
      <c r="D13417" s="161" t="s">
        <v>74</v>
      </c>
      <c r="E13417" s="135">
        <f t="shared" si="62"/>
        <v>5</v>
      </c>
      <c r="F13417" s="134" t="s">
        <v>5391</v>
      </c>
      <c r="G13417" s="63" t="str">
        <f>VLOOKUP(C13417, 'Class Def. - General Data'!$C$20:$C$1000,1,false)</f>
        <v>ZSI1_SELFTAP_SCREW</v>
      </c>
      <c r="H13417" s="63" t="str">
        <f>IFERROR(__xludf.DUMMYFUNCTION("VLOOKUP(F13417, IMPORTRANGE(""https://docs.google.com/spreadsheets/d/1Lhp9OU0JdFf_VYSMzH5lBcEaU4o8teT1piV-SNzShjg/edit?gid=554141278#gid=554141278"", ""'Char Def. - Attributes'!C20:C2242""), 1,false)"),"MATERIAL_MM_SELFTAP_SCREW")</f>
        <v>MATERIAL_MM_SELFTAP_SCREW</v>
      </c>
      <c r="I13417" s="136"/>
      <c r="R13417" s="63" t="str">
        <f t="shared" si="60"/>
        <v>ZSI1_SELFTAP_SCREWMATERIAL_MM_SELFTAP_SCREW</v>
      </c>
    </row>
    <row r="13418" ht="15.75" customHeight="1">
      <c r="B13418" s="63">
        <f t="shared" si="1"/>
        <v>18</v>
      </c>
      <c r="C13418" s="135" t="s">
        <v>460</v>
      </c>
      <c r="D13418" s="161" t="s">
        <v>74</v>
      </c>
      <c r="E13418" s="135">
        <f t="shared" si="62"/>
        <v>6</v>
      </c>
      <c r="F13418" s="134" t="s">
        <v>3585</v>
      </c>
      <c r="G13418" s="63" t="str">
        <f>VLOOKUP(C13418, 'Class Def. - General Data'!$C$20:$C$1000,1,false)</f>
        <v>ZSI1_SELFTAP_SCREW</v>
      </c>
      <c r="H13418" s="63" t="str">
        <f>IFERROR(__xludf.DUMMYFUNCTION("VLOOKUP(F13418, IMPORTRANGE(""https://docs.google.com/spreadsheets/d/1Lhp9OU0JdFf_VYSMzH5lBcEaU4o8teT1piV-SNzShjg/edit?gid=554141278#gid=554141278"", ""'Char Def. - Attributes'!C20:C2242""), 1,false)"),"HS_CODE")</f>
        <v>HS_CODE</v>
      </c>
      <c r="I13418" s="136"/>
      <c r="R13418" s="63" t="str">
        <f t="shared" si="60"/>
        <v>ZSI1_SELFTAP_SCREWHS_CODE</v>
      </c>
    </row>
    <row r="13419" ht="15.75" customHeight="1">
      <c r="B13419" s="63">
        <f t="shared" si="1"/>
        <v>18</v>
      </c>
      <c r="C13419" s="135" t="s">
        <v>460</v>
      </c>
      <c r="D13419" s="161" t="s">
        <v>74</v>
      </c>
      <c r="E13419" s="135">
        <f t="shared" si="62"/>
        <v>7</v>
      </c>
      <c r="F13419" s="134" t="s">
        <v>3587</v>
      </c>
      <c r="G13419" s="63" t="str">
        <f>VLOOKUP(C13419, 'Class Def. - General Data'!$C$20:$C$1000,1,false)</f>
        <v>ZSI1_SELFTAP_SCREW</v>
      </c>
      <c r="H13419" s="63" t="str">
        <f>IFERROR(__xludf.DUMMYFUNCTION("VLOOKUP(F13419, IMPORTRANGE(""https://docs.google.com/spreadsheets/d/1Lhp9OU0JdFf_VYSMzH5lBcEaU4o8teT1piV-SNzShjg/edit?gid=554141278#gid=554141278"", ""'Char Def. - Attributes'!C20:C2242""), 1,false)"),"PLANT_BUY")</f>
        <v>PLANT_BUY</v>
      </c>
      <c r="I13419" s="136"/>
      <c r="R13419" s="63" t="str">
        <f t="shared" si="60"/>
        <v>ZSI1_SELFTAP_SCREWPLANT_BUY</v>
      </c>
    </row>
    <row r="13420" ht="15.75" customHeight="1">
      <c r="B13420" s="63">
        <f t="shared" si="1"/>
        <v>18</v>
      </c>
      <c r="C13420" s="135" t="s">
        <v>460</v>
      </c>
      <c r="D13420" s="161" t="s">
        <v>74</v>
      </c>
      <c r="E13420" s="135">
        <f t="shared" si="62"/>
        <v>8</v>
      </c>
      <c r="F13420" s="134" t="s">
        <v>5392</v>
      </c>
      <c r="G13420" s="63" t="str">
        <f>VLOOKUP(C13420, 'Class Def. - General Data'!$C$20:$C$1000,1,false)</f>
        <v>ZSI1_SELFTAP_SCREW</v>
      </c>
      <c r="H13420" s="63" t="str">
        <f>IFERROR(__xludf.DUMMYFUNCTION("VLOOKUP(F13420, IMPORTRANGE(""https://docs.google.com/spreadsheets/d/1Lhp9OU0JdFf_VYSMzH5lBcEaU4o8teT1piV-SNzShjg/edit?gid=554141278#gid=554141278"", ""'Char Def. - Attributes'!C20:C2242""), 1,false)"),"BASE_UOM_SELFTAP_SCREW")</f>
        <v>BASE_UOM_SELFTAP_SCREW</v>
      </c>
      <c r="I13420" s="136"/>
      <c r="R13420" s="63" t="str">
        <f t="shared" si="60"/>
        <v>ZSI1_SELFTAP_SCREWBASE_UOM_SELFTAP_SCREW</v>
      </c>
    </row>
    <row r="13421" ht="15.75" customHeight="1">
      <c r="B13421" s="63">
        <f t="shared" si="1"/>
        <v>18</v>
      </c>
      <c r="C13421" s="135" t="s">
        <v>460</v>
      </c>
      <c r="D13421" s="161" t="s">
        <v>74</v>
      </c>
      <c r="E13421" s="135">
        <f t="shared" si="62"/>
        <v>9</v>
      </c>
      <c r="F13421" s="134" t="s">
        <v>5393</v>
      </c>
      <c r="G13421" s="63" t="str">
        <f>VLOOKUP(C13421, 'Class Def. - General Data'!$C$20:$C$1000,1,false)</f>
        <v>ZSI1_SELFTAP_SCREW</v>
      </c>
      <c r="H13421" s="63" t="str">
        <f>IFERROR(__xludf.DUMMYFUNCTION("VLOOKUP(F13421, IMPORTRANGE(""https://docs.google.com/spreadsheets/d/1Lhp9OU0JdFf_VYSMzH5lBcEaU4o8teT1piV-SNzShjg/edit?gid=554141278#gid=554141278"", ""'Char Def. - Attributes'!C20:C2242""), 1,false)"),"ORDER_UNIT_SELFTAP_SCREW")</f>
        <v>ORDER_UNIT_SELFTAP_SCREW</v>
      </c>
      <c r="I13421" s="136"/>
      <c r="R13421" s="63" t="str">
        <f t="shared" si="60"/>
        <v>ZSI1_SELFTAP_SCREWORDER_UNIT_SELFTAP_SCREW</v>
      </c>
    </row>
    <row r="13422" ht="15.75" customHeight="1">
      <c r="B13422" s="63">
        <f t="shared" si="1"/>
        <v>18</v>
      </c>
      <c r="C13422" s="135" t="s">
        <v>460</v>
      </c>
      <c r="D13422" s="161" t="s">
        <v>74</v>
      </c>
      <c r="E13422" s="135">
        <f t="shared" si="62"/>
        <v>10</v>
      </c>
      <c r="F13422" s="134" t="s">
        <v>4056</v>
      </c>
      <c r="G13422" s="63" t="str">
        <f>VLOOKUP(C13422, 'Class Def. - General Data'!$C$20:$C$1000,1,false)</f>
        <v>ZSI1_SELFTAP_SCREW</v>
      </c>
      <c r="H13422" s="63" t="str">
        <f>IFERROR(__xludf.DUMMYFUNCTION("VLOOKUP(F13422, IMPORTRANGE(""https://docs.google.com/spreadsheets/d/1Lhp9OU0JdFf_VYSMzH5lBcEaU4o8teT1piV-SNzShjg/edit?gid=554141278#gid=554141278"", ""'Char Def. - Attributes'!C20:C2242""), 1,false)"),"GROSS_WEIGHT_OPT")</f>
        <v>GROSS_WEIGHT_OPT</v>
      </c>
      <c r="I13422" s="136"/>
      <c r="R13422" s="63" t="str">
        <f t="shared" si="60"/>
        <v>ZSI1_SELFTAP_SCREWGROSS_WEIGHT_OPT</v>
      </c>
    </row>
    <row r="13423" ht="15.75" customHeight="1">
      <c r="B13423" s="63">
        <f t="shared" si="1"/>
        <v>18</v>
      </c>
      <c r="C13423" s="135" t="s">
        <v>460</v>
      </c>
      <c r="D13423" s="161" t="s">
        <v>74</v>
      </c>
      <c r="E13423" s="135">
        <f t="shared" si="62"/>
        <v>11</v>
      </c>
      <c r="F13423" s="134" t="s">
        <v>4057</v>
      </c>
      <c r="G13423" s="63" t="str">
        <f>VLOOKUP(C13423, 'Class Def. - General Data'!$C$20:$C$1000,1,false)</f>
        <v>ZSI1_SELFTAP_SCREW</v>
      </c>
      <c r="H13423" s="63" t="str">
        <f>IFERROR(__xludf.DUMMYFUNCTION("VLOOKUP(F13423, IMPORTRANGE(""https://docs.google.com/spreadsheets/d/1Lhp9OU0JdFf_VYSMzH5lBcEaU4o8teT1piV-SNzShjg/edit?gid=554141278#gid=554141278"", ""'Char Def. - Attributes'!C20:C2242""), 1,false)"),"NET_WEIGHT_OPT")</f>
        <v>NET_WEIGHT_OPT</v>
      </c>
      <c r="I13423" s="136"/>
      <c r="R13423" s="63" t="str">
        <f t="shared" si="60"/>
        <v>ZSI1_SELFTAP_SCREWNET_WEIGHT_OPT</v>
      </c>
    </row>
    <row r="13424" ht="15.75" customHeight="1">
      <c r="B13424" s="63">
        <f t="shared" si="1"/>
        <v>18</v>
      </c>
      <c r="C13424" s="135" t="s">
        <v>460</v>
      </c>
      <c r="D13424" s="161" t="s">
        <v>74</v>
      </c>
      <c r="E13424" s="135">
        <f t="shared" si="62"/>
        <v>12</v>
      </c>
      <c r="F13424" s="134" t="s">
        <v>4058</v>
      </c>
      <c r="G13424" s="63" t="str">
        <f>VLOOKUP(C13424, 'Class Def. - General Data'!$C$20:$C$1000,1,false)</f>
        <v>ZSI1_SELFTAP_SCREW</v>
      </c>
      <c r="H13424" s="63" t="str">
        <f>IFERROR(__xludf.DUMMYFUNCTION("VLOOKUP(F13424, IMPORTRANGE(""https://docs.google.com/spreadsheets/d/1Lhp9OU0JdFf_VYSMzH5lBcEaU4o8teT1piV-SNzShjg/edit?gid=554141278#gid=554141278"", ""'Char Def. - Attributes'!C20:C2242""), 1,false)"),"WEIGHT_UNIT_SI")</f>
        <v>WEIGHT_UNIT_SI</v>
      </c>
      <c r="I13424" s="136"/>
      <c r="R13424" s="63" t="str">
        <f t="shared" si="60"/>
        <v>ZSI1_SELFTAP_SCREWWEIGHT_UNIT_SI</v>
      </c>
    </row>
    <row r="13425" ht="15.75" customHeight="1">
      <c r="B13425" s="63">
        <f t="shared" si="1"/>
        <v>18</v>
      </c>
      <c r="C13425" s="135" t="s">
        <v>460</v>
      </c>
      <c r="D13425" s="161" t="s">
        <v>74</v>
      </c>
      <c r="E13425" s="135">
        <f t="shared" si="62"/>
        <v>13</v>
      </c>
      <c r="F13425" s="134" t="s">
        <v>3877</v>
      </c>
      <c r="G13425" s="63" t="str">
        <f>VLOOKUP(C13425, 'Class Def. - General Data'!$C$20:$C$1000,1,false)</f>
        <v>ZSI1_SELFTAP_SCREW</v>
      </c>
      <c r="H13425" s="63" t="str">
        <f>IFERROR(__xludf.DUMMYFUNCTION("VLOOKUP(F13425, IMPORTRANGE(""https://docs.google.com/spreadsheets/d/1Lhp9OU0JdFf_VYSMzH5lBcEaU4o8teT1piV-SNzShjg/edit?gid=554141278#gid=554141278"", ""'Char Def. - Attributes'!C20:C2242""), 1,false)"),"VOLUME_OPT")</f>
        <v>VOLUME_OPT</v>
      </c>
      <c r="I13425" s="136"/>
      <c r="R13425" s="63" t="str">
        <f t="shared" si="60"/>
        <v>ZSI1_SELFTAP_SCREWVOLUME_OPT</v>
      </c>
    </row>
    <row r="13426" ht="15.75" customHeight="1">
      <c r="B13426" s="63">
        <f t="shared" si="1"/>
        <v>18</v>
      </c>
      <c r="C13426" s="135" t="s">
        <v>460</v>
      </c>
      <c r="D13426" s="161" t="s">
        <v>74</v>
      </c>
      <c r="E13426" s="135">
        <f t="shared" si="62"/>
        <v>14</v>
      </c>
      <c r="F13426" s="134" t="s">
        <v>4059</v>
      </c>
      <c r="G13426" s="63" t="str">
        <f>VLOOKUP(C13426, 'Class Def. - General Data'!$C$20:$C$1000,1,false)</f>
        <v>ZSI1_SELFTAP_SCREW</v>
      </c>
      <c r="H13426" s="63" t="str">
        <f>IFERROR(__xludf.DUMMYFUNCTION("VLOOKUP(F13426, IMPORTRANGE(""https://docs.google.com/spreadsheets/d/1Lhp9OU0JdFf_VYSMzH5lBcEaU4o8teT1piV-SNzShjg/edit?gid=554141278#gid=554141278"", ""'Char Def. - Attributes'!C20:C2242""), 1,false)"),"VOLUME_UNIT_SI")</f>
        <v>VOLUME_UNIT_SI</v>
      </c>
      <c r="I13426" s="136"/>
      <c r="R13426" s="63" t="str">
        <f t="shared" si="60"/>
        <v>ZSI1_SELFTAP_SCREWVOLUME_UNIT_SI</v>
      </c>
    </row>
    <row r="13427" ht="15.75" customHeight="1">
      <c r="B13427" s="63">
        <f t="shared" si="1"/>
        <v>18</v>
      </c>
      <c r="C13427" s="135" t="s">
        <v>460</v>
      </c>
      <c r="D13427" s="161" t="s">
        <v>74</v>
      </c>
      <c r="E13427" s="135">
        <f t="shared" si="62"/>
        <v>15</v>
      </c>
      <c r="F13427" s="134" t="s">
        <v>3804</v>
      </c>
      <c r="G13427" s="63" t="str">
        <f>VLOOKUP(C13427, 'Class Def. - General Data'!$C$20:$C$1000,1,false)</f>
        <v>ZSI1_SELFTAP_SCREW</v>
      </c>
      <c r="H13427" s="63" t="str">
        <f>IFERROR(__xludf.DUMMYFUNCTION("VLOOKUP(F13427, IMPORTRANGE(""https://docs.google.com/spreadsheets/d/1Lhp9OU0JdFf_VYSMzH5lBcEaU4o8teT1piV-SNzShjg/edit?gid=554141278#gid=554141278"", ""'Char Def. - Attributes'!C20:C2242""), 1,false)"),"ALT_UOM1_SIPI")</f>
        <v>ALT_UOM1_SIPI</v>
      </c>
      <c r="I13427" s="136"/>
      <c r="R13427" s="63" t="str">
        <f t="shared" si="60"/>
        <v>ZSI1_SELFTAP_SCREWALT_UOM1_SIPI</v>
      </c>
    </row>
    <row r="13428" ht="15.75" customHeight="1">
      <c r="B13428" s="63">
        <f t="shared" si="1"/>
        <v>18</v>
      </c>
      <c r="C13428" s="135" t="s">
        <v>460</v>
      </c>
      <c r="D13428" s="161" t="s">
        <v>74</v>
      </c>
      <c r="E13428" s="135">
        <f t="shared" si="62"/>
        <v>16</v>
      </c>
      <c r="F13428" s="134" t="s">
        <v>3805</v>
      </c>
      <c r="G13428" s="63" t="str">
        <f>VLOOKUP(C13428, 'Class Def. - General Data'!$C$20:$C$1000,1,false)</f>
        <v>ZSI1_SELFTAP_SCREW</v>
      </c>
      <c r="H13428" s="63" t="str">
        <f>IFERROR(__xludf.DUMMYFUNCTION("VLOOKUP(F13428, IMPORTRANGE(""https://docs.google.com/spreadsheets/d/1Lhp9OU0JdFf_VYSMzH5lBcEaU4o8teT1piV-SNzShjg/edit?gid=554141278#gid=554141278"", ""'Char Def. - Attributes'!C20:C2242""), 1,false)"),"ALT_DENUM_UOM1")</f>
        <v>ALT_DENUM_UOM1</v>
      </c>
      <c r="I13428" s="136"/>
      <c r="R13428" s="63" t="str">
        <f t="shared" si="60"/>
        <v>ZSI1_SELFTAP_SCREWALT_DENUM_UOM1</v>
      </c>
    </row>
    <row r="13429" ht="15.75" customHeight="1">
      <c r="B13429" s="63">
        <f t="shared" si="1"/>
        <v>18</v>
      </c>
      <c r="C13429" s="135" t="s">
        <v>460</v>
      </c>
      <c r="D13429" s="161" t="s">
        <v>74</v>
      </c>
      <c r="E13429" s="135">
        <f t="shared" si="62"/>
        <v>17</v>
      </c>
      <c r="F13429" s="134" t="s">
        <v>3806</v>
      </c>
      <c r="G13429" s="63" t="str">
        <f>VLOOKUP(C13429, 'Class Def. - General Data'!$C$20:$C$1000,1,false)</f>
        <v>ZSI1_SELFTAP_SCREW</v>
      </c>
      <c r="H13429" s="63" t="str">
        <f>IFERROR(__xludf.DUMMYFUNCTION("VLOOKUP(F13429, IMPORTRANGE(""https://docs.google.com/spreadsheets/d/1Lhp9OU0JdFf_VYSMzH5lBcEaU4o8teT1piV-SNzShjg/edit?gid=554141278#gid=554141278"", ""'Char Def. - Attributes'!C20:C2242""), 1,false)"),"ALT_NUM_UOM1")</f>
        <v>ALT_NUM_UOM1</v>
      </c>
      <c r="I13429" s="136"/>
      <c r="R13429" s="63" t="str">
        <f t="shared" si="60"/>
        <v>ZSI1_SELFTAP_SCREWALT_NUM_UOM1</v>
      </c>
    </row>
    <row r="13430" ht="15.75" customHeight="1">
      <c r="B13430" s="63">
        <f t="shared" si="1"/>
        <v>18</v>
      </c>
      <c r="C13430" s="135" t="s">
        <v>460</v>
      </c>
      <c r="D13430" s="161" t="s">
        <v>74</v>
      </c>
      <c r="E13430" s="135">
        <f t="shared" si="62"/>
        <v>18</v>
      </c>
      <c r="F13430" s="134" t="s">
        <v>3807</v>
      </c>
      <c r="G13430" s="63" t="str">
        <f>VLOOKUP(C13430, 'Class Def. - General Data'!$C$20:$C$1000,1,false)</f>
        <v>ZSI1_SELFTAP_SCREW</v>
      </c>
      <c r="H13430" s="63" t="str">
        <f>IFERROR(__xludf.DUMMYFUNCTION("VLOOKUP(F13430, IMPORTRANGE(""https://docs.google.com/spreadsheets/d/1Lhp9OU0JdFf_VYSMzH5lBcEaU4o8teT1piV-SNzShjg/edit?gid=554141278#gid=554141278"", ""'Char Def. - Attributes'!C20:C2242""), 1,false)"),"ALT_UOM2_SIPI")</f>
        <v>ALT_UOM2_SIPI</v>
      </c>
      <c r="I13430" s="136"/>
      <c r="R13430" s="63" t="str">
        <f t="shared" si="60"/>
        <v>ZSI1_SELFTAP_SCREWALT_UOM2_SIPI</v>
      </c>
    </row>
    <row r="13431" ht="15.75" customHeight="1">
      <c r="B13431" s="63">
        <f t="shared" si="1"/>
        <v>18</v>
      </c>
      <c r="C13431" s="135" t="s">
        <v>460</v>
      </c>
      <c r="D13431" s="161" t="s">
        <v>74</v>
      </c>
      <c r="E13431" s="135">
        <f t="shared" si="62"/>
        <v>19</v>
      </c>
      <c r="F13431" s="134" t="s">
        <v>3808</v>
      </c>
      <c r="G13431" s="63" t="str">
        <f>VLOOKUP(C13431, 'Class Def. - General Data'!$C$20:$C$1000,1,false)</f>
        <v>ZSI1_SELFTAP_SCREW</v>
      </c>
      <c r="H13431" s="63" t="str">
        <f>IFERROR(__xludf.DUMMYFUNCTION("VLOOKUP(F13431, IMPORTRANGE(""https://docs.google.com/spreadsheets/d/1Lhp9OU0JdFf_VYSMzH5lBcEaU4o8teT1piV-SNzShjg/edit?gid=554141278#gid=554141278"", ""'Char Def. - Attributes'!C20:C2242""), 1,false)"),"ALT_DENUM_UOM2")</f>
        <v>ALT_DENUM_UOM2</v>
      </c>
      <c r="I13431" s="136"/>
      <c r="R13431" s="63" t="str">
        <f t="shared" si="60"/>
        <v>ZSI1_SELFTAP_SCREWALT_DENUM_UOM2</v>
      </c>
    </row>
    <row r="13432" ht="15.75" customHeight="1">
      <c r="B13432" s="63">
        <f t="shared" si="1"/>
        <v>18</v>
      </c>
      <c r="C13432" s="135" t="s">
        <v>460</v>
      </c>
      <c r="D13432" s="161" t="s">
        <v>74</v>
      </c>
      <c r="E13432" s="135">
        <f t="shared" si="62"/>
        <v>20</v>
      </c>
      <c r="F13432" s="134" t="s">
        <v>3809</v>
      </c>
      <c r="G13432" s="63" t="str">
        <f>VLOOKUP(C13432, 'Class Def. - General Data'!$C$20:$C$1000,1,false)</f>
        <v>ZSI1_SELFTAP_SCREW</v>
      </c>
      <c r="H13432" s="63" t="str">
        <f>IFERROR(__xludf.DUMMYFUNCTION("VLOOKUP(F13432, IMPORTRANGE(""https://docs.google.com/spreadsheets/d/1Lhp9OU0JdFf_VYSMzH5lBcEaU4o8teT1piV-SNzShjg/edit?gid=554141278#gid=554141278"", ""'Char Def. - Attributes'!C20:C2242""), 1,false)"),"ALT_NUM_UOM2")</f>
        <v>ALT_NUM_UOM2</v>
      </c>
      <c r="I13432" s="136"/>
      <c r="R13432" s="63" t="str">
        <f t="shared" si="60"/>
        <v>ZSI1_SELFTAP_SCREWALT_NUM_UOM2</v>
      </c>
    </row>
    <row r="13433" ht="15.75" customHeight="1">
      <c r="B13433" s="63">
        <f t="shared" si="1"/>
        <v>18</v>
      </c>
      <c r="C13433" s="135" t="s">
        <v>460</v>
      </c>
      <c r="D13433" s="161" t="s">
        <v>74</v>
      </c>
      <c r="E13433" s="135">
        <f t="shared" si="62"/>
        <v>21</v>
      </c>
      <c r="F13433" s="134" t="s">
        <v>3810</v>
      </c>
      <c r="G13433" s="63" t="str">
        <f>VLOOKUP(C13433, 'Class Def. - General Data'!$C$20:$C$1000,1,false)</f>
        <v>ZSI1_SELFTAP_SCREW</v>
      </c>
      <c r="H13433" s="63" t="str">
        <f>IFERROR(__xludf.DUMMYFUNCTION("VLOOKUP(F13433, IMPORTRANGE(""https://docs.google.com/spreadsheets/d/1Lhp9OU0JdFf_VYSMzH5lBcEaU4o8teT1piV-SNzShjg/edit?gid=554141278#gid=554141278"", ""'Char Def. - Attributes'!C20:C2242""), 1,false)"),"ALT_UOM3_SIPI")</f>
        <v>ALT_UOM3_SIPI</v>
      </c>
      <c r="I13433" s="136"/>
      <c r="R13433" s="63" t="str">
        <f t="shared" si="60"/>
        <v>ZSI1_SELFTAP_SCREWALT_UOM3_SIPI</v>
      </c>
    </row>
    <row r="13434" ht="15.75" customHeight="1">
      <c r="B13434" s="63">
        <f t="shared" si="1"/>
        <v>18</v>
      </c>
      <c r="C13434" s="135" t="s">
        <v>460</v>
      </c>
      <c r="D13434" s="161" t="s">
        <v>74</v>
      </c>
      <c r="E13434" s="135">
        <f t="shared" si="62"/>
        <v>22</v>
      </c>
      <c r="F13434" s="134" t="s">
        <v>3811</v>
      </c>
      <c r="G13434" s="63" t="str">
        <f>VLOOKUP(C13434, 'Class Def. - General Data'!$C$20:$C$1000,1,false)</f>
        <v>ZSI1_SELFTAP_SCREW</v>
      </c>
      <c r="H13434" s="63" t="str">
        <f>IFERROR(__xludf.DUMMYFUNCTION("VLOOKUP(F13434, IMPORTRANGE(""https://docs.google.com/spreadsheets/d/1Lhp9OU0JdFf_VYSMzH5lBcEaU4o8teT1piV-SNzShjg/edit?gid=554141278#gid=554141278"", ""'Char Def. - Attributes'!C20:C2242""), 1,false)"),"ALT_DENUM_UOM3")</f>
        <v>ALT_DENUM_UOM3</v>
      </c>
      <c r="I13434" s="136"/>
      <c r="R13434" s="63" t="str">
        <f t="shared" si="60"/>
        <v>ZSI1_SELFTAP_SCREWALT_DENUM_UOM3</v>
      </c>
    </row>
    <row r="13435" ht="15.75" customHeight="1">
      <c r="B13435" s="63">
        <f t="shared" si="1"/>
        <v>18</v>
      </c>
      <c r="C13435" s="135" t="s">
        <v>460</v>
      </c>
      <c r="D13435" s="161" t="s">
        <v>74</v>
      </c>
      <c r="E13435" s="135">
        <f t="shared" si="62"/>
        <v>23</v>
      </c>
      <c r="F13435" s="134" t="s">
        <v>3812</v>
      </c>
      <c r="G13435" s="63" t="str">
        <f>VLOOKUP(C13435, 'Class Def. - General Data'!$C$20:$C$1000,1,false)</f>
        <v>ZSI1_SELFTAP_SCREW</v>
      </c>
      <c r="H13435" s="63" t="str">
        <f>IFERROR(__xludf.DUMMYFUNCTION("VLOOKUP(F13435, IMPORTRANGE(""https://docs.google.com/spreadsheets/d/1Lhp9OU0JdFf_VYSMzH5lBcEaU4o8teT1piV-SNzShjg/edit?gid=554141278#gid=554141278"", ""'Char Def. - Attributes'!C20:C2242""), 1,false)"),"ALT_NUM_UOM3")</f>
        <v>ALT_NUM_UOM3</v>
      </c>
      <c r="I13435" s="136"/>
      <c r="R13435" s="63" t="str">
        <f t="shared" si="60"/>
        <v>ZSI1_SELFTAP_SCREWALT_NUM_UOM3</v>
      </c>
    </row>
    <row r="13436" ht="15.75" customHeight="1">
      <c r="B13436" s="63">
        <f t="shared" si="1"/>
        <v>18</v>
      </c>
      <c r="C13436" s="135" t="s">
        <v>460</v>
      </c>
      <c r="D13436" s="161" t="s">
        <v>74</v>
      </c>
      <c r="E13436" s="135">
        <f t="shared" si="62"/>
        <v>24</v>
      </c>
      <c r="F13436" s="134" t="s">
        <v>3813</v>
      </c>
      <c r="G13436" s="63" t="str">
        <f>VLOOKUP(C13436, 'Class Def. - General Data'!$C$20:$C$1000,1,false)</f>
        <v>ZSI1_SELFTAP_SCREW</v>
      </c>
      <c r="H13436" s="63" t="str">
        <f>IFERROR(__xludf.DUMMYFUNCTION("VLOOKUP(F13436, IMPORTRANGE(""https://docs.google.com/spreadsheets/d/1Lhp9OU0JdFf_VYSMzH5lBcEaU4o8teT1piV-SNzShjg/edit?gid=554141278#gid=554141278"", ""'Char Def. - Attributes'!C20:C2242""), 1,false)"),"ALT_UOM4_SIPI")</f>
        <v>ALT_UOM4_SIPI</v>
      </c>
      <c r="I13436" s="136"/>
      <c r="R13436" s="63" t="str">
        <f t="shared" si="60"/>
        <v>ZSI1_SELFTAP_SCREWALT_UOM4_SIPI</v>
      </c>
    </row>
    <row r="13437" ht="15.75" customHeight="1">
      <c r="B13437" s="63">
        <f t="shared" si="1"/>
        <v>18</v>
      </c>
      <c r="C13437" s="135" t="s">
        <v>460</v>
      </c>
      <c r="D13437" s="161" t="s">
        <v>74</v>
      </c>
      <c r="E13437" s="135">
        <f t="shared" si="62"/>
        <v>25</v>
      </c>
      <c r="F13437" s="134" t="s">
        <v>3814</v>
      </c>
      <c r="G13437" s="63" t="str">
        <f>VLOOKUP(C13437, 'Class Def. - General Data'!$C$20:$C$1000,1,false)</f>
        <v>ZSI1_SELFTAP_SCREW</v>
      </c>
      <c r="H13437" s="63" t="str">
        <f>IFERROR(__xludf.DUMMYFUNCTION("VLOOKUP(F13437, IMPORTRANGE(""https://docs.google.com/spreadsheets/d/1Lhp9OU0JdFf_VYSMzH5lBcEaU4o8teT1piV-SNzShjg/edit?gid=554141278#gid=554141278"", ""'Char Def. - Attributes'!C20:C2242""), 1,false)"),"ALT_DENUM_UOM4")</f>
        <v>ALT_DENUM_UOM4</v>
      </c>
      <c r="I13437" s="136"/>
      <c r="R13437" s="63" t="str">
        <f t="shared" si="60"/>
        <v>ZSI1_SELFTAP_SCREWALT_DENUM_UOM4</v>
      </c>
    </row>
    <row r="13438" ht="15.75" customHeight="1">
      <c r="B13438" s="63">
        <f t="shared" si="1"/>
        <v>18</v>
      </c>
      <c r="C13438" s="135" t="s">
        <v>460</v>
      </c>
      <c r="D13438" s="161" t="s">
        <v>74</v>
      </c>
      <c r="E13438" s="135">
        <f t="shared" si="62"/>
        <v>26</v>
      </c>
      <c r="F13438" s="134" t="s">
        <v>3815</v>
      </c>
      <c r="G13438" s="63" t="str">
        <f>VLOOKUP(C13438, 'Class Def. - General Data'!$C$20:$C$1000,1,false)</f>
        <v>ZSI1_SELFTAP_SCREW</v>
      </c>
      <c r="H13438" s="63" t="str">
        <f>IFERROR(__xludf.DUMMYFUNCTION("VLOOKUP(F13438, IMPORTRANGE(""https://docs.google.com/spreadsheets/d/1Lhp9OU0JdFf_VYSMzH5lBcEaU4o8teT1piV-SNzShjg/edit?gid=554141278#gid=554141278"", ""'Char Def. - Attributes'!C20:C2242""), 1,false)"),"ALT_NUM_UOM4")</f>
        <v>ALT_NUM_UOM4</v>
      </c>
      <c r="I13438" s="136"/>
      <c r="R13438" s="63" t="str">
        <f t="shared" si="60"/>
        <v>ZSI1_SELFTAP_SCREWALT_NUM_UOM4</v>
      </c>
    </row>
    <row r="13439" ht="15.75" customHeight="1">
      <c r="B13439" s="63">
        <f t="shared" si="1"/>
        <v>18</v>
      </c>
      <c r="C13439" s="135" t="s">
        <v>460</v>
      </c>
      <c r="D13439" s="161" t="s">
        <v>74</v>
      </c>
      <c r="E13439" s="135">
        <f t="shared" si="62"/>
        <v>27</v>
      </c>
      <c r="F13439" s="134" t="s">
        <v>3816</v>
      </c>
      <c r="G13439" s="63" t="str">
        <f>VLOOKUP(C13439, 'Class Def. - General Data'!$C$20:$C$1000,1,false)</f>
        <v>ZSI1_SELFTAP_SCREW</v>
      </c>
      <c r="H13439" s="63" t="str">
        <f>IFERROR(__xludf.DUMMYFUNCTION("VLOOKUP(F13439, IMPORTRANGE(""https://docs.google.com/spreadsheets/d/1Lhp9OU0JdFf_VYSMzH5lBcEaU4o8teT1piV-SNzShjg/edit?gid=554141278#gid=554141278"", ""'Char Def. - Attributes'!C20:C2242""), 1,false)"),"ALT_UOM5_SIPI")</f>
        <v>ALT_UOM5_SIPI</v>
      </c>
      <c r="I13439" s="136"/>
      <c r="R13439" s="63" t="str">
        <f t="shared" si="60"/>
        <v>ZSI1_SELFTAP_SCREWALT_UOM5_SIPI</v>
      </c>
    </row>
    <row r="13440" ht="15.75" customHeight="1">
      <c r="B13440" s="63">
        <f t="shared" si="1"/>
        <v>18</v>
      </c>
      <c r="C13440" s="135" t="s">
        <v>460</v>
      </c>
      <c r="D13440" s="161" t="s">
        <v>74</v>
      </c>
      <c r="E13440" s="135">
        <f t="shared" si="62"/>
        <v>28</v>
      </c>
      <c r="F13440" s="134" t="s">
        <v>3817</v>
      </c>
      <c r="G13440" s="63" t="str">
        <f>VLOOKUP(C13440, 'Class Def. - General Data'!$C$20:$C$1000,1,false)</f>
        <v>ZSI1_SELFTAP_SCREW</v>
      </c>
      <c r="H13440" s="63" t="str">
        <f>IFERROR(__xludf.DUMMYFUNCTION("VLOOKUP(F13440, IMPORTRANGE(""https://docs.google.com/spreadsheets/d/1Lhp9OU0JdFf_VYSMzH5lBcEaU4o8teT1piV-SNzShjg/edit?gid=554141278#gid=554141278"", ""'Char Def. - Attributes'!C20:C2242""), 1,false)"),"ALT_DENUM_UOM5")</f>
        <v>ALT_DENUM_UOM5</v>
      </c>
      <c r="I13440" s="136"/>
      <c r="R13440" s="63" t="str">
        <f t="shared" si="60"/>
        <v>ZSI1_SELFTAP_SCREWALT_DENUM_UOM5</v>
      </c>
    </row>
    <row r="13441" ht="15.75" customHeight="1">
      <c r="B13441" s="63">
        <f t="shared" si="1"/>
        <v>18</v>
      </c>
      <c r="C13441" s="135" t="s">
        <v>460</v>
      </c>
      <c r="D13441" s="161" t="s">
        <v>74</v>
      </c>
      <c r="E13441" s="135">
        <f t="shared" si="62"/>
        <v>29</v>
      </c>
      <c r="F13441" s="134" t="s">
        <v>3818</v>
      </c>
      <c r="G13441" s="63" t="str">
        <f>VLOOKUP(C13441, 'Class Def. - General Data'!$C$20:$C$1000,1,false)</f>
        <v>ZSI1_SELFTAP_SCREW</v>
      </c>
      <c r="H13441" s="63" t="str">
        <f>IFERROR(__xludf.DUMMYFUNCTION("VLOOKUP(F13441, IMPORTRANGE(""https://docs.google.com/spreadsheets/d/1Lhp9OU0JdFf_VYSMzH5lBcEaU4o8teT1piV-SNzShjg/edit?gid=554141278#gid=554141278"", ""'Char Def. - Attributes'!C20:C2242""), 1,false)"),"ALT_NUM_UOM5")</f>
        <v>ALT_NUM_UOM5</v>
      </c>
      <c r="I13441" s="136"/>
      <c r="R13441" s="63" t="str">
        <f t="shared" si="60"/>
        <v>ZSI1_SELFTAP_SCREWALT_NUM_UOM5</v>
      </c>
    </row>
    <row r="13442" ht="15.75" customHeight="1">
      <c r="B13442" s="63">
        <f t="shared" si="1"/>
        <v>14</v>
      </c>
      <c r="C13442" s="135" t="s">
        <v>314</v>
      </c>
      <c r="D13442" s="161" t="s">
        <v>74</v>
      </c>
      <c r="E13442" s="135">
        <f t="shared" si="62"/>
        <v>1</v>
      </c>
      <c r="F13442" s="134" t="s">
        <v>5394</v>
      </c>
      <c r="G13442" s="63" t="str">
        <f>VLOOKUP(C13442, 'Class Def. - General Data'!$C$20:$C$1000,1,false)</f>
        <v>ZSI1_SEPARATOR</v>
      </c>
      <c r="H13442" s="63" t="str">
        <f>IFERROR(__xludf.DUMMYFUNCTION("VLOOKUP(F13442, IMPORTRANGE(""https://docs.google.com/spreadsheets/d/1Lhp9OU0JdFf_VYSMzH5lBcEaU4o8teT1piV-SNzShjg/edit?gid=554141278#gid=554141278"", ""'Char Def. - Attributes'!C20:C2242""), 1,false)"),"ITEM_NAME_SEPARATOR")</f>
        <v>ITEM_NAME_SEPARATOR</v>
      </c>
      <c r="I13442" s="136"/>
      <c r="R13442" s="63" t="str">
        <f t="shared" si="60"/>
        <v>ZSI1_SEPARATORITEM_NAME_SEPARATOR</v>
      </c>
    </row>
    <row r="13443" ht="15.75" customHeight="1">
      <c r="B13443" s="63">
        <f t="shared" si="1"/>
        <v>14</v>
      </c>
      <c r="C13443" s="135" t="s">
        <v>314</v>
      </c>
      <c r="D13443" s="161" t="s">
        <v>74</v>
      </c>
      <c r="E13443" s="135">
        <f t="shared" si="62"/>
        <v>2</v>
      </c>
      <c r="F13443" s="134" t="s">
        <v>5395</v>
      </c>
      <c r="G13443" s="63" t="str">
        <f>VLOOKUP(C13443, 'Class Def. - General Data'!$C$20:$C$1000,1,false)</f>
        <v>ZSI1_SEPARATOR</v>
      </c>
      <c r="H13443" s="63" t="str">
        <f>IFERROR(__xludf.DUMMYFUNCTION("VLOOKUP(F13443, IMPORTRANGE(""https://docs.google.com/spreadsheets/d/1Lhp9OU0JdFf_VYSMzH5lBcEaU4o8teT1piV-SNzShjg/edit?gid=554141278#gid=554141278"", ""'Char Def. - Attributes'!C20:C2242""), 1,false)"),"MFR_NO_SEPARATOR")</f>
        <v>MFR_NO_SEPARATOR</v>
      </c>
      <c r="I13443" s="136"/>
      <c r="R13443" s="63" t="str">
        <f t="shared" si="60"/>
        <v>ZSI1_SEPARATORMFR_NO_SEPARATOR</v>
      </c>
    </row>
    <row r="13444" ht="15.75" customHeight="1">
      <c r="B13444" s="63">
        <f t="shared" si="1"/>
        <v>14</v>
      </c>
      <c r="C13444" s="135" t="s">
        <v>314</v>
      </c>
      <c r="D13444" s="161" t="s">
        <v>74</v>
      </c>
      <c r="E13444" s="135">
        <f t="shared" si="62"/>
        <v>3</v>
      </c>
      <c r="F13444" s="134" t="s">
        <v>3782</v>
      </c>
      <c r="G13444" s="63" t="str">
        <f>VLOOKUP(C13444, 'Class Def. - General Data'!$C$20:$C$1000,1,false)</f>
        <v>ZSI1_SEPARATOR</v>
      </c>
      <c r="H13444" s="63" t="str">
        <f>IFERROR(__xludf.DUMMYFUNCTION("VLOOKUP(F13444, IMPORTRANGE(""https://docs.google.com/spreadsheets/d/1Lhp9OU0JdFf_VYSMzH5lBcEaU4o8teT1piV-SNzShjg/edit?gid=554141278#gid=554141278"", ""'Char Def. - Attributes'!C20:C2242""), 1,false)"),"BRAND_EXTERNAL")</f>
        <v>BRAND_EXTERNAL</v>
      </c>
      <c r="I13444" s="136"/>
      <c r="R13444" s="63" t="str">
        <f t="shared" si="60"/>
        <v>ZSI1_SEPARATORBRAND_EXTERNAL</v>
      </c>
    </row>
    <row r="13445" ht="15.75" customHeight="1">
      <c r="B13445" s="63">
        <f t="shared" si="1"/>
        <v>14</v>
      </c>
      <c r="C13445" s="135" t="s">
        <v>314</v>
      </c>
      <c r="D13445" s="161" t="s">
        <v>74</v>
      </c>
      <c r="E13445" s="135">
        <f t="shared" si="62"/>
        <v>4</v>
      </c>
      <c r="F13445" s="134" t="s">
        <v>4062</v>
      </c>
      <c r="G13445" s="63" t="str">
        <f>VLOOKUP(C13445, 'Class Def. - General Data'!$C$20:$C$1000,1,false)</f>
        <v>ZSI1_SEPARATOR</v>
      </c>
      <c r="H13445" s="63" t="str">
        <f>IFERROR(__xludf.DUMMYFUNCTION("VLOOKUP(F13445, IMPORTRANGE(""https://docs.google.com/spreadsheets/d/1Lhp9OU0JdFf_VYSMzH5lBcEaU4o8teT1piV-SNzShjg/edit?gid=554141278#gid=554141278"", ""'Char Def. - Attributes'!C20:C2242""), 1,false)"),"#N/A")</f>
        <v>#N/A</v>
      </c>
      <c r="I13445" s="136"/>
      <c r="R13445" s="63" t="str">
        <f t="shared" si="60"/>
        <v>ZSI1_SEPARATORADDTIONAL_SPECIFICATION</v>
      </c>
    </row>
    <row r="13446" ht="15.75" customHeight="1">
      <c r="B13446" s="63">
        <f t="shared" si="1"/>
        <v>14</v>
      </c>
      <c r="C13446" s="135" t="s">
        <v>314</v>
      </c>
      <c r="D13446" s="161" t="s">
        <v>74</v>
      </c>
      <c r="E13446" s="135">
        <f t="shared" si="62"/>
        <v>5</v>
      </c>
      <c r="F13446" s="134" t="s">
        <v>4053</v>
      </c>
      <c r="G13446" s="63" t="str">
        <f>VLOOKUP(C13446, 'Class Def. - General Data'!$C$20:$C$1000,1,false)</f>
        <v>ZSI1_SEPARATOR</v>
      </c>
      <c r="H13446" s="63" t="str">
        <f>IFERROR(__xludf.DUMMYFUNCTION("VLOOKUP(F13446, IMPORTRANGE(""https://docs.google.com/spreadsheets/d/1Lhp9OU0JdFf_VYSMzH5lBcEaU4o8teT1piV-SNzShjg/edit?gid=554141278#gid=554141278"", ""'Char Def. - Attributes'!C20:C2242""), 1,false)"),"MAINTENANCE_ORDER_TYPE")</f>
        <v>MAINTENANCE_ORDER_TYPE</v>
      </c>
      <c r="I13446" s="136"/>
      <c r="R13446" s="63" t="str">
        <f t="shared" si="60"/>
        <v>ZSI1_SEPARATORMAINTENANCE_ORDER_TYPE</v>
      </c>
    </row>
    <row r="13447" ht="15.75" customHeight="1">
      <c r="B13447" s="63">
        <f t="shared" si="1"/>
        <v>14</v>
      </c>
      <c r="C13447" s="135" t="s">
        <v>314</v>
      </c>
      <c r="D13447" s="161" t="s">
        <v>74</v>
      </c>
      <c r="E13447" s="135">
        <f t="shared" si="62"/>
        <v>6</v>
      </c>
      <c r="F13447" s="134" t="s">
        <v>3585</v>
      </c>
      <c r="G13447" s="63" t="str">
        <f>VLOOKUP(C13447, 'Class Def. - General Data'!$C$20:$C$1000,1,false)</f>
        <v>ZSI1_SEPARATOR</v>
      </c>
      <c r="H13447" s="63" t="str">
        <f>IFERROR(__xludf.DUMMYFUNCTION("VLOOKUP(F13447, IMPORTRANGE(""https://docs.google.com/spreadsheets/d/1Lhp9OU0JdFf_VYSMzH5lBcEaU4o8teT1piV-SNzShjg/edit?gid=554141278#gid=554141278"", ""'Char Def. - Attributes'!C20:C2242""), 1,false)"),"HS_CODE")</f>
        <v>HS_CODE</v>
      </c>
      <c r="I13447" s="136"/>
      <c r="R13447" s="63" t="str">
        <f t="shared" si="60"/>
        <v>ZSI1_SEPARATORHS_CODE</v>
      </c>
    </row>
    <row r="13448" ht="15.75" customHeight="1">
      <c r="B13448" s="63">
        <f t="shared" si="1"/>
        <v>14</v>
      </c>
      <c r="C13448" s="135" t="s">
        <v>314</v>
      </c>
      <c r="D13448" s="161" t="s">
        <v>74</v>
      </c>
      <c r="E13448" s="135">
        <f t="shared" si="62"/>
        <v>7</v>
      </c>
      <c r="F13448" s="134" t="s">
        <v>3587</v>
      </c>
      <c r="G13448" s="63" t="str">
        <f>VLOOKUP(C13448, 'Class Def. - General Data'!$C$20:$C$1000,1,false)</f>
        <v>ZSI1_SEPARATOR</v>
      </c>
      <c r="H13448" s="63" t="str">
        <f>IFERROR(__xludf.DUMMYFUNCTION("VLOOKUP(F13448, IMPORTRANGE(""https://docs.google.com/spreadsheets/d/1Lhp9OU0JdFf_VYSMzH5lBcEaU4o8teT1piV-SNzShjg/edit?gid=554141278#gid=554141278"", ""'Char Def. - Attributes'!C20:C2242""), 1,false)"),"PLANT_BUY")</f>
        <v>PLANT_BUY</v>
      </c>
      <c r="I13448" s="136"/>
      <c r="R13448" s="63" t="str">
        <f t="shared" si="60"/>
        <v>ZSI1_SEPARATORPLANT_BUY</v>
      </c>
    </row>
    <row r="13449" ht="15.75" customHeight="1">
      <c r="B13449" s="63">
        <f t="shared" si="1"/>
        <v>14</v>
      </c>
      <c r="C13449" s="135" t="s">
        <v>314</v>
      </c>
      <c r="D13449" s="161" t="s">
        <v>74</v>
      </c>
      <c r="E13449" s="135">
        <f t="shared" si="62"/>
        <v>8</v>
      </c>
      <c r="F13449" s="134" t="s">
        <v>5396</v>
      </c>
      <c r="G13449" s="63" t="str">
        <f>VLOOKUP(C13449, 'Class Def. - General Data'!$C$20:$C$1000,1,false)</f>
        <v>ZSI1_SEPARATOR</v>
      </c>
      <c r="H13449" s="63" t="str">
        <f>IFERROR(__xludf.DUMMYFUNCTION("VLOOKUP(F13449, IMPORTRANGE(""https://docs.google.com/spreadsheets/d/1Lhp9OU0JdFf_VYSMzH5lBcEaU4o8teT1piV-SNzShjg/edit?gid=554141278#gid=554141278"", ""'Char Def. - Attributes'!C20:C2242""), 1,false)"),"BASE_UOM_SEPARATOR")</f>
        <v>BASE_UOM_SEPARATOR</v>
      </c>
      <c r="I13449" s="136"/>
      <c r="R13449" s="63" t="str">
        <f t="shared" si="60"/>
        <v>ZSI1_SEPARATORBASE_UOM_SEPARATOR</v>
      </c>
    </row>
    <row r="13450" ht="15.75" customHeight="1">
      <c r="B13450" s="63">
        <f t="shared" si="1"/>
        <v>14</v>
      </c>
      <c r="C13450" s="135" t="s">
        <v>314</v>
      </c>
      <c r="D13450" s="161" t="s">
        <v>74</v>
      </c>
      <c r="E13450" s="135">
        <f t="shared" si="62"/>
        <v>9</v>
      </c>
      <c r="F13450" s="134" t="s">
        <v>5397</v>
      </c>
      <c r="G13450" s="63" t="str">
        <f>VLOOKUP(C13450, 'Class Def. - General Data'!$C$20:$C$1000,1,false)</f>
        <v>ZSI1_SEPARATOR</v>
      </c>
      <c r="H13450" s="63" t="str">
        <f>IFERROR(__xludf.DUMMYFUNCTION("VLOOKUP(F13450, IMPORTRANGE(""https://docs.google.com/spreadsheets/d/1Lhp9OU0JdFf_VYSMzH5lBcEaU4o8teT1piV-SNzShjg/edit?gid=554141278#gid=554141278"", ""'Char Def. - Attributes'!C20:C2242""), 1,false)"),"ORDER_UNIT_SEPARATOR")</f>
        <v>ORDER_UNIT_SEPARATOR</v>
      </c>
      <c r="I13450" s="136"/>
      <c r="R13450" s="63" t="str">
        <f t="shared" si="60"/>
        <v>ZSI1_SEPARATORORDER_UNIT_SEPARATOR</v>
      </c>
    </row>
    <row r="13451" ht="15.75" customHeight="1">
      <c r="B13451" s="63">
        <f t="shared" si="1"/>
        <v>14</v>
      </c>
      <c r="C13451" s="135" t="s">
        <v>314</v>
      </c>
      <c r="D13451" s="161" t="s">
        <v>74</v>
      </c>
      <c r="E13451" s="135">
        <f t="shared" si="62"/>
        <v>10</v>
      </c>
      <c r="F13451" s="134" t="s">
        <v>4056</v>
      </c>
      <c r="G13451" s="63" t="str">
        <f>VLOOKUP(C13451, 'Class Def. - General Data'!$C$20:$C$1000,1,false)</f>
        <v>ZSI1_SEPARATOR</v>
      </c>
      <c r="H13451" s="63" t="str">
        <f>IFERROR(__xludf.DUMMYFUNCTION("VLOOKUP(F13451, IMPORTRANGE(""https://docs.google.com/spreadsheets/d/1Lhp9OU0JdFf_VYSMzH5lBcEaU4o8teT1piV-SNzShjg/edit?gid=554141278#gid=554141278"", ""'Char Def. - Attributes'!C20:C2242""), 1,false)"),"GROSS_WEIGHT_OPT")</f>
        <v>GROSS_WEIGHT_OPT</v>
      </c>
      <c r="I13451" s="136"/>
      <c r="R13451" s="63" t="str">
        <f t="shared" si="60"/>
        <v>ZSI1_SEPARATORGROSS_WEIGHT_OPT</v>
      </c>
    </row>
    <row r="13452" ht="15.75" customHeight="1">
      <c r="B13452" s="63">
        <f t="shared" si="1"/>
        <v>14</v>
      </c>
      <c r="C13452" s="135" t="s">
        <v>314</v>
      </c>
      <c r="D13452" s="161" t="s">
        <v>74</v>
      </c>
      <c r="E13452" s="135">
        <f t="shared" si="62"/>
        <v>11</v>
      </c>
      <c r="F13452" s="134" t="s">
        <v>4057</v>
      </c>
      <c r="G13452" s="63" t="str">
        <f>VLOOKUP(C13452, 'Class Def. - General Data'!$C$20:$C$1000,1,false)</f>
        <v>ZSI1_SEPARATOR</v>
      </c>
      <c r="H13452" s="63" t="str">
        <f>IFERROR(__xludf.DUMMYFUNCTION("VLOOKUP(F13452, IMPORTRANGE(""https://docs.google.com/spreadsheets/d/1Lhp9OU0JdFf_VYSMzH5lBcEaU4o8teT1piV-SNzShjg/edit?gid=554141278#gid=554141278"", ""'Char Def. - Attributes'!C20:C2242""), 1,false)"),"NET_WEIGHT_OPT")</f>
        <v>NET_WEIGHT_OPT</v>
      </c>
      <c r="I13452" s="136"/>
      <c r="R13452" s="63" t="str">
        <f t="shared" si="60"/>
        <v>ZSI1_SEPARATORNET_WEIGHT_OPT</v>
      </c>
    </row>
    <row r="13453" ht="15.75" customHeight="1">
      <c r="B13453" s="63">
        <f t="shared" si="1"/>
        <v>14</v>
      </c>
      <c r="C13453" s="135" t="s">
        <v>314</v>
      </c>
      <c r="D13453" s="161" t="s">
        <v>74</v>
      </c>
      <c r="E13453" s="135">
        <f t="shared" si="62"/>
        <v>12</v>
      </c>
      <c r="F13453" s="134" t="s">
        <v>4058</v>
      </c>
      <c r="G13453" s="63" t="str">
        <f>VLOOKUP(C13453, 'Class Def. - General Data'!$C$20:$C$1000,1,false)</f>
        <v>ZSI1_SEPARATOR</v>
      </c>
      <c r="H13453" s="63" t="str">
        <f>IFERROR(__xludf.DUMMYFUNCTION("VLOOKUP(F13453, IMPORTRANGE(""https://docs.google.com/spreadsheets/d/1Lhp9OU0JdFf_VYSMzH5lBcEaU4o8teT1piV-SNzShjg/edit?gid=554141278#gid=554141278"", ""'Char Def. - Attributes'!C20:C2242""), 1,false)"),"WEIGHT_UNIT_SI")</f>
        <v>WEIGHT_UNIT_SI</v>
      </c>
      <c r="I13453" s="136"/>
      <c r="R13453" s="63" t="str">
        <f t="shared" si="60"/>
        <v>ZSI1_SEPARATORWEIGHT_UNIT_SI</v>
      </c>
    </row>
    <row r="13454" ht="15.75" customHeight="1">
      <c r="B13454" s="63">
        <f t="shared" si="1"/>
        <v>14</v>
      </c>
      <c r="C13454" s="135" t="s">
        <v>314</v>
      </c>
      <c r="D13454" s="161" t="s">
        <v>74</v>
      </c>
      <c r="E13454" s="135">
        <f t="shared" si="62"/>
        <v>13</v>
      </c>
      <c r="F13454" s="134" t="s">
        <v>3877</v>
      </c>
      <c r="G13454" s="63" t="str">
        <f>VLOOKUP(C13454, 'Class Def. - General Data'!$C$20:$C$1000,1,false)</f>
        <v>ZSI1_SEPARATOR</v>
      </c>
      <c r="H13454" s="63" t="str">
        <f>IFERROR(__xludf.DUMMYFUNCTION("VLOOKUP(F13454, IMPORTRANGE(""https://docs.google.com/spreadsheets/d/1Lhp9OU0JdFf_VYSMzH5lBcEaU4o8teT1piV-SNzShjg/edit?gid=554141278#gid=554141278"", ""'Char Def. - Attributes'!C20:C2242""), 1,false)"),"VOLUME_OPT")</f>
        <v>VOLUME_OPT</v>
      </c>
      <c r="I13454" s="136"/>
      <c r="R13454" s="63" t="str">
        <f t="shared" si="60"/>
        <v>ZSI1_SEPARATORVOLUME_OPT</v>
      </c>
    </row>
    <row r="13455" ht="15.75" customHeight="1">
      <c r="B13455" s="63">
        <f t="shared" si="1"/>
        <v>14</v>
      </c>
      <c r="C13455" s="135" t="s">
        <v>314</v>
      </c>
      <c r="D13455" s="161" t="s">
        <v>74</v>
      </c>
      <c r="E13455" s="135">
        <f t="shared" si="62"/>
        <v>14</v>
      </c>
      <c r="F13455" s="134" t="s">
        <v>4059</v>
      </c>
      <c r="G13455" s="63" t="str">
        <f>VLOOKUP(C13455, 'Class Def. - General Data'!$C$20:$C$1000,1,false)</f>
        <v>ZSI1_SEPARATOR</v>
      </c>
      <c r="H13455" s="63" t="str">
        <f>IFERROR(__xludf.DUMMYFUNCTION("VLOOKUP(F13455, IMPORTRANGE(""https://docs.google.com/spreadsheets/d/1Lhp9OU0JdFf_VYSMzH5lBcEaU4o8teT1piV-SNzShjg/edit?gid=554141278#gid=554141278"", ""'Char Def. - Attributes'!C20:C2242""), 1,false)"),"VOLUME_UNIT_SI")</f>
        <v>VOLUME_UNIT_SI</v>
      </c>
      <c r="I13455" s="136"/>
      <c r="R13455" s="63" t="str">
        <f t="shared" si="60"/>
        <v>ZSI1_SEPARATORVOLUME_UNIT_SI</v>
      </c>
    </row>
    <row r="13456" ht="15.75" customHeight="1">
      <c r="B13456" s="63">
        <f t="shared" si="1"/>
        <v>14</v>
      </c>
      <c r="C13456" s="135" t="s">
        <v>314</v>
      </c>
      <c r="D13456" s="161" t="s">
        <v>74</v>
      </c>
      <c r="E13456" s="135">
        <f t="shared" si="62"/>
        <v>15</v>
      </c>
      <c r="F13456" s="134" t="s">
        <v>3804</v>
      </c>
      <c r="G13456" s="63" t="str">
        <f>VLOOKUP(C13456, 'Class Def. - General Data'!$C$20:$C$1000,1,false)</f>
        <v>ZSI1_SEPARATOR</v>
      </c>
      <c r="H13456" s="63" t="str">
        <f>IFERROR(__xludf.DUMMYFUNCTION("VLOOKUP(F13456, IMPORTRANGE(""https://docs.google.com/spreadsheets/d/1Lhp9OU0JdFf_VYSMzH5lBcEaU4o8teT1piV-SNzShjg/edit?gid=554141278#gid=554141278"", ""'Char Def. - Attributes'!C20:C2242""), 1,false)"),"ALT_UOM1_SIPI")</f>
        <v>ALT_UOM1_SIPI</v>
      </c>
      <c r="I13456" s="136"/>
      <c r="R13456" s="63" t="str">
        <f t="shared" si="60"/>
        <v>ZSI1_SEPARATORALT_UOM1_SIPI</v>
      </c>
    </row>
    <row r="13457" ht="15.75" customHeight="1">
      <c r="B13457" s="63">
        <f t="shared" si="1"/>
        <v>14</v>
      </c>
      <c r="C13457" s="135" t="s">
        <v>314</v>
      </c>
      <c r="D13457" s="161" t="s">
        <v>74</v>
      </c>
      <c r="E13457" s="135">
        <f t="shared" si="62"/>
        <v>16</v>
      </c>
      <c r="F13457" s="134" t="s">
        <v>3805</v>
      </c>
      <c r="G13457" s="63" t="str">
        <f>VLOOKUP(C13457, 'Class Def. - General Data'!$C$20:$C$1000,1,false)</f>
        <v>ZSI1_SEPARATOR</v>
      </c>
      <c r="H13457" s="63" t="str">
        <f>IFERROR(__xludf.DUMMYFUNCTION("VLOOKUP(F13457, IMPORTRANGE(""https://docs.google.com/spreadsheets/d/1Lhp9OU0JdFf_VYSMzH5lBcEaU4o8teT1piV-SNzShjg/edit?gid=554141278#gid=554141278"", ""'Char Def. - Attributes'!C20:C2242""), 1,false)"),"ALT_DENUM_UOM1")</f>
        <v>ALT_DENUM_UOM1</v>
      </c>
      <c r="I13457" s="136"/>
      <c r="R13457" s="63" t="str">
        <f t="shared" si="60"/>
        <v>ZSI1_SEPARATORALT_DENUM_UOM1</v>
      </c>
    </row>
    <row r="13458" ht="15.75" customHeight="1">
      <c r="B13458" s="63">
        <f t="shared" si="1"/>
        <v>14</v>
      </c>
      <c r="C13458" s="135" t="s">
        <v>314</v>
      </c>
      <c r="D13458" s="161" t="s">
        <v>74</v>
      </c>
      <c r="E13458" s="135">
        <f t="shared" si="62"/>
        <v>17</v>
      </c>
      <c r="F13458" s="134" t="s">
        <v>3806</v>
      </c>
      <c r="G13458" s="63" t="str">
        <f>VLOOKUP(C13458, 'Class Def. - General Data'!$C$20:$C$1000,1,false)</f>
        <v>ZSI1_SEPARATOR</v>
      </c>
      <c r="H13458" s="63" t="str">
        <f>IFERROR(__xludf.DUMMYFUNCTION("VLOOKUP(F13458, IMPORTRANGE(""https://docs.google.com/spreadsheets/d/1Lhp9OU0JdFf_VYSMzH5lBcEaU4o8teT1piV-SNzShjg/edit?gid=554141278#gid=554141278"", ""'Char Def. - Attributes'!C20:C2242""), 1,false)"),"ALT_NUM_UOM1")</f>
        <v>ALT_NUM_UOM1</v>
      </c>
      <c r="I13458" s="136"/>
      <c r="R13458" s="63" t="str">
        <f t="shared" si="60"/>
        <v>ZSI1_SEPARATORALT_NUM_UOM1</v>
      </c>
    </row>
    <row r="13459" ht="15.75" customHeight="1">
      <c r="B13459" s="63">
        <f t="shared" si="1"/>
        <v>14</v>
      </c>
      <c r="C13459" s="135" t="s">
        <v>314</v>
      </c>
      <c r="D13459" s="161" t="s">
        <v>74</v>
      </c>
      <c r="E13459" s="135">
        <f t="shared" si="62"/>
        <v>18</v>
      </c>
      <c r="F13459" s="134" t="s">
        <v>3807</v>
      </c>
      <c r="G13459" s="63" t="str">
        <f>VLOOKUP(C13459, 'Class Def. - General Data'!$C$20:$C$1000,1,false)</f>
        <v>ZSI1_SEPARATOR</v>
      </c>
      <c r="H13459" s="63" t="str">
        <f>IFERROR(__xludf.DUMMYFUNCTION("VLOOKUP(F13459, IMPORTRANGE(""https://docs.google.com/spreadsheets/d/1Lhp9OU0JdFf_VYSMzH5lBcEaU4o8teT1piV-SNzShjg/edit?gid=554141278#gid=554141278"", ""'Char Def. - Attributes'!C20:C2242""), 1,false)"),"ALT_UOM2_SIPI")</f>
        <v>ALT_UOM2_SIPI</v>
      </c>
      <c r="I13459" s="136"/>
      <c r="R13459" s="63" t="str">
        <f t="shared" si="60"/>
        <v>ZSI1_SEPARATORALT_UOM2_SIPI</v>
      </c>
    </row>
    <row r="13460" ht="15.75" customHeight="1">
      <c r="B13460" s="63">
        <f t="shared" si="1"/>
        <v>14</v>
      </c>
      <c r="C13460" s="135" t="s">
        <v>314</v>
      </c>
      <c r="D13460" s="161" t="s">
        <v>74</v>
      </c>
      <c r="E13460" s="135">
        <f t="shared" si="62"/>
        <v>19</v>
      </c>
      <c r="F13460" s="134" t="s">
        <v>3808</v>
      </c>
      <c r="G13460" s="63" t="str">
        <f>VLOOKUP(C13460, 'Class Def. - General Data'!$C$20:$C$1000,1,false)</f>
        <v>ZSI1_SEPARATOR</v>
      </c>
      <c r="H13460" s="63" t="str">
        <f>IFERROR(__xludf.DUMMYFUNCTION("VLOOKUP(F13460, IMPORTRANGE(""https://docs.google.com/spreadsheets/d/1Lhp9OU0JdFf_VYSMzH5lBcEaU4o8teT1piV-SNzShjg/edit?gid=554141278#gid=554141278"", ""'Char Def. - Attributes'!C20:C2242""), 1,false)"),"ALT_DENUM_UOM2")</f>
        <v>ALT_DENUM_UOM2</v>
      </c>
      <c r="I13460" s="136"/>
      <c r="R13460" s="63" t="str">
        <f t="shared" si="60"/>
        <v>ZSI1_SEPARATORALT_DENUM_UOM2</v>
      </c>
    </row>
    <row r="13461" ht="15.75" customHeight="1">
      <c r="B13461" s="63">
        <f t="shared" si="1"/>
        <v>14</v>
      </c>
      <c r="C13461" s="135" t="s">
        <v>314</v>
      </c>
      <c r="D13461" s="161" t="s">
        <v>74</v>
      </c>
      <c r="E13461" s="135">
        <f t="shared" si="62"/>
        <v>20</v>
      </c>
      <c r="F13461" s="134" t="s">
        <v>3809</v>
      </c>
      <c r="G13461" s="63" t="str">
        <f>VLOOKUP(C13461, 'Class Def. - General Data'!$C$20:$C$1000,1,false)</f>
        <v>ZSI1_SEPARATOR</v>
      </c>
      <c r="H13461" s="63" t="str">
        <f>IFERROR(__xludf.DUMMYFUNCTION("VLOOKUP(F13461, IMPORTRANGE(""https://docs.google.com/spreadsheets/d/1Lhp9OU0JdFf_VYSMzH5lBcEaU4o8teT1piV-SNzShjg/edit?gid=554141278#gid=554141278"", ""'Char Def. - Attributes'!C20:C2242""), 1,false)"),"ALT_NUM_UOM2")</f>
        <v>ALT_NUM_UOM2</v>
      </c>
      <c r="I13461" s="136"/>
      <c r="R13461" s="63" t="str">
        <f t="shared" si="60"/>
        <v>ZSI1_SEPARATORALT_NUM_UOM2</v>
      </c>
    </row>
    <row r="13462" ht="15.75" customHeight="1">
      <c r="B13462" s="63">
        <f t="shared" si="1"/>
        <v>14</v>
      </c>
      <c r="C13462" s="135" t="s">
        <v>314</v>
      </c>
      <c r="D13462" s="161" t="s">
        <v>74</v>
      </c>
      <c r="E13462" s="135">
        <f t="shared" si="62"/>
        <v>21</v>
      </c>
      <c r="F13462" s="134" t="s">
        <v>3810</v>
      </c>
      <c r="G13462" s="63" t="str">
        <f>VLOOKUP(C13462, 'Class Def. - General Data'!$C$20:$C$1000,1,false)</f>
        <v>ZSI1_SEPARATOR</v>
      </c>
      <c r="H13462" s="63" t="str">
        <f>IFERROR(__xludf.DUMMYFUNCTION("VLOOKUP(F13462, IMPORTRANGE(""https://docs.google.com/spreadsheets/d/1Lhp9OU0JdFf_VYSMzH5lBcEaU4o8teT1piV-SNzShjg/edit?gid=554141278#gid=554141278"", ""'Char Def. - Attributes'!C20:C2242""), 1,false)"),"ALT_UOM3_SIPI")</f>
        <v>ALT_UOM3_SIPI</v>
      </c>
      <c r="I13462" s="136"/>
      <c r="R13462" s="63" t="str">
        <f t="shared" si="60"/>
        <v>ZSI1_SEPARATORALT_UOM3_SIPI</v>
      </c>
    </row>
    <row r="13463" ht="15.75" customHeight="1">
      <c r="B13463" s="63">
        <f t="shared" si="1"/>
        <v>14</v>
      </c>
      <c r="C13463" s="135" t="s">
        <v>314</v>
      </c>
      <c r="D13463" s="161" t="s">
        <v>74</v>
      </c>
      <c r="E13463" s="135">
        <f t="shared" si="62"/>
        <v>22</v>
      </c>
      <c r="F13463" s="134" t="s">
        <v>3811</v>
      </c>
      <c r="G13463" s="63" t="str">
        <f>VLOOKUP(C13463, 'Class Def. - General Data'!$C$20:$C$1000,1,false)</f>
        <v>ZSI1_SEPARATOR</v>
      </c>
      <c r="H13463" s="63" t="str">
        <f>IFERROR(__xludf.DUMMYFUNCTION("VLOOKUP(F13463, IMPORTRANGE(""https://docs.google.com/spreadsheets/d/1Lhp9OU0JdFf_VYSMzH5lBcEaU4o8teT1piV-SNzShjg/edit?gid=554141278#gid=554141278"", ""'Char Def. - Attributes'!C20:C2242""), 1,false)"),"ALT_DENUM_UOM3")</f>
        <v>ALT_DENUM_UOM3</v>
      </c>
      <c r="I13463" s="136"/>
      <c r="R13463" s="63" t="str">
        <f t="shared" si="60"/>
        <v>ZSI1_SEPARATORALT_DENUM_UOM3</v>
      </c>
    </row>
    <row r="13464" ht="15.75" customHeight="1">
      <c r="B13464" s="63">
        <f t="shared" si="1"/>
        <v>14</v>
      </c>
      <c r="C13464" s="135" t="s">
        <v>314</v>
      </c>
      <c r="D13464" s="161" t="s">
        <v>74</v>
      </c>
      <c r="E13464" s="135">
        <f t="shared" si="62"/>
        <v>23</v>
      </c>
      <c r="F13464" s="134" t="s">
        <v>3812</v>
      </c>
      <c r="G13464" s="63" t="str">
        <f>VLOOKUP(C13464, 'Class Def. - General Data'!$C$20:$C$1000,1,false)</f>
        <v>ZSI1_SEPARATOR</v>
      </c>
      <c r="H13464" s="63" t="str">
        <f>IFERROR(__xludf.DUMMYFUNCTION("VLOOKUP(F13464, IMPORTRANGE(""https://docs.google.com/spreadsheets/d/1Lhp9OU0JdFf_VYSMzH5lBcEaU4o8teT1piV-SNzShjg/edit?gid=554141278#gid=554141278"", ""'Char Def. - Attributes'!C20:C2242""), 1,false)"),"ALT_NUM_UOM3")</f>
        <v>ALT_NUM_UOM3</v>
      </c>
      <c r="I13464" s="136"/>
      <c r="R13464" s="63" t="str">
        <f t="shared" si="60"/>
        <v>ZSI1_SEPARATORALT_NUM_UOM3</v>
      </c>
    </row>
    <row r="13465" ht="15.75" customHeight="1">
      <c r="B13465" s="63">
        <f t="shared" si="1"/>
        <v>14</v>
      </c>
      <c r="C13465" s="135" t="s">
        <v>314</v>
      </c>
      <c r="D13465" s="161" t="s">
        <v>74</v>
      </c>
      <c r="E13465" s="135">
        <f t="shared" si="62"/>
        <v>24</v>
      </c>
      <c r="F13465" s="134" t="s">
        <v>3813</v>
      </c>
      <c r="G13465" s="63" t="str">
        <f>VLOOKUP(C13465, 'Class Def. - General Data'!$C$20:$C$1000,1,false)</f>
        <v>ZSI1_SEPARATOR</v>
      </c>
      <c r="H13465" s="63" t="str">
        <f>IFERROR(__xludf.DUMMYFUNCTION("VLOOKUP(F13465, IMPORTRANGE(""https://docs.google.com/spreadsheets/d/1Lhp9OU0JdFf_VYSMzH5lBcEaU4o8teT1piV-SNzShjg/edit?gid=554141278#gid=554141278"", ""'Char Def. - Attributes'!C20:C2242""), 1,false)"),"ALT_UOM4_SIPI")</f>
        <v>ALT_UOM4_SIPI</v>
      </c>
      <c r="I13465" s="136"/>
      <c r="R13465" s="63" t="str">
        <f t="shared" si="60"/>
        <v>ZSI1_SEPARATORALT_UOM4_SIPI</v>
      </c>
    </row>
    <row r="13466" ht="15.75" customHeight="1">
      <c r="B13466" s="63">
        <f t="shared" si="1"/>
        <v>14</v>
      </c>
      <c r="C13466" s="135" t="s">
        <v>314</v>
      </c>
      <c r="D13466" s="161" t="s">
        <v>74</v>
      </c>
      <c r="E13466" s="135">
        <f t="shared" si="62"/>
        <v>25</v>
      </c>
      <c r="F13466" s="134" t="s">
        <v>3814</v>
      </c>
      <c r="G13466" s="63" t="str">
        <f>VLOOKUP(C13466, 'Class Def. - General Data'!$C$20:$C$1000,1,false)</f>
        <v>ZSI1_SEPARATOR</v>
      </c>
      <c r="H13466" s="63" t="str">
        <f>IFERROR(__xludf.DUMMYFUNCTION("VLOOKUP(F13466, IMPORTRANGE(""https://docs.google.com/spreadsheets/d/1Lhp9OU0JdFf_VYSMzH5lBcEaU4o8teT1piV-SNzShjg/edit?gid=554141278#gid=554141278"", ""'Char Def. - Attributes'!C20:C2242""), 1,false)"),"ALT_DENUM_UOM4")</f>
        <v>ALT_DENUM_UOM4</v>
      </c>
      <c r="I13466" s="136"/>
      <c r="R13466" s="63" t="str">
        <f t="shared" si="60"/>
        <v>ZSI1_SEPARATORALT_DENUM_UOM4</v>
      </c>
    </row>
    <row r="13467" ht="15.75" customHeight="1">
      <c r="B13467" s="63">
        <f t="shared" si="1"/>
        <v>14</v>
      </c>
      <c r="C13467" s="135" t="s">
        <v>314</v>
      </c>
      <c r="D13467" s="161" t="s">
        <v>74</v>
      </c>
      <c r="E13467" s="135">
        <f t="shared" si="62"/>
        <v>26</v>
      </c>
      <c r="F13467" s="134" t="s">
        <v>3815</v>
      </c>
      <c r="G13467" s="63" t="str">
        <f>VLOOKUP(C13467, 'Class Def. - General Data'!$C$20:$C$1000,1,false)</f>
        <v>ZSI1_SEPARATOR</v>
      </c>
      <c r="H13467" s="63" t="str">
        <f>IFERROR(__xludf.DUMMYFUNCTION("VLOOKUP(F13467, IMPORTRANGE(""https://docs.google.com/spreadsheets/d/1Lhp9OU0JdFf_VYSMzH5lBcEaU4o8teT1piV-SNzShjg/edit?gid=554141278#gid=554141278"", ""'Char Def. - Attributes'!C20:C2242""), 1,false)"),"ALT_NUM_UOM4")</f>
        <v>ALT_NUM_UOM4</v>
      </c>
      <c r="I13467" s="136"/>
      <c r="R13467" s="63" t="str">
        <f t="shared" si="60"/>
        <v>ZSI1_SEPARATORALT_NUM_UOM4</v>
      </c>
    </row>
    <row r="13468" ht="15.75" customHeight="1">
      <c r="B13468" s="63">
        <f t="shared" si="1"/>
        <v>14</v>
      </c>
      <c r="C13468" s="135" t="s">
        <v>314</v>
      </c>
      <c r="D13468" s="161" t="s">
        <v>74</v>
      </c>
      <c r="E13468" s="135">
        <f t="shared" si="62"/>
        <v>27</v>
      </c>
      <c r="F13468" s="134" t="s">
        <v>3816</v>
      </c>
      <c r="G13468" s="63" t="str">
        <f>VLOOKUP(C13468, 'Class Def. - General Data'!$C$20:$C$1000,1,false)</f>
        <v>ZSI1_SEPARATOR</v>
      </c>
      <c r="H13468" s="63" t="str">
        <f>IFERROR(__xludf.DUMMYFUNCTION("VLOOKUP(F13468, IMPORTRANGE(""https://docs.google.com/spreadsheets/d/1Lhp9OU0JdFf_VYSMzH5lBcEaU4o8teT1piV-SNzShjg/edit?gid=554141278#gid=554141278"", ""'Char Def. - Attributes'!C20:C2242""), 1,false)"),"ALT_UOM5_SIPI")</f>
        <v>ALT_UOM5_SIPI</v>
      </c>
      <c r="I13468" s="136"/>
      <c r="R13468" s="63" t="str">
        <f t="shared" si="60"/>
        <v>ZSI1_SEPARATORALT_UOM5_SIPI</v>
      </c>
    </row>
    <row r="13469" ht="15.75" customHeight="1">
      <c r="B13469" s="63">
        <f t="shared" si="1"/>
        <v>14</v>
      </c>
      <c r="C13469" s="135" t="s">
        <v>314</v>
      </c>
      <c r="D13469" s="161" t="s">
        <v>74</v>
      </c>
      <c r="E13469" s="135">
        <f t="shared" si="62"/>
        <v>28</v>
      </c>
      <c r="F13469" s="134" t="s">
        <v>3817</v>
      </c>
      <c r="G13469" s="63" t="str">
        <f>VLOOKUP(C13469, 'Class Def. - General Data'!$C$20:$C$1000,1,false)</f>
        <v>ZSI1_SEPARATOR</v>
      </c>
      <c r="H13469" s="63" t="str">
        <f>IFERROR(__xludf.DUMMYFUNCTION("VLOOKUP(F13469, IMPORTRANGE(""https://docs.google.com/spreadsheets/d/1Lhp9OU0JdFf_VYSMzH5lBcEaU4o8teT1piV-SNzShjg/edit?gid=554141278#gid=554141278"", ""'Char Def. - Attributes'!C20:C2242""), 1,false)"),"ALT_DENUM_UOM5")</f>
        <v>ALT_DENUM_UOM5</v>
      </c>
      <c r="I13469" s="136"/>
      <c r="R13469" s="63" t="str">
        <f t="shared" si="60"/>
        <v>ZSI1_SEPARATORALT_DENUM_UOM5</v>
      </c>
    </row>
    <row r="13470" ht="15.75" customHeight="1">
      <c r="B13470" s="63">
        <f t="shared" si="1"/>
        <v>14</v>
      </c>
      <c r="C13470" s="135" t="s">
        <v>314</v>
      </c>
      <c r="D13470" s="161" t="s">
        <v>74</v>
      </c>
      <c r="E13470" s="135">
        <f t="shared" si="62"/>
        <v>29</v>
      </c>
      <c r="F13470" s="134" t="s">
        <v>3818</v>
      </c>
      <c r="G13470" s="63" t="str">
        <f>VLOOKUP(C13470, 'Class Def. - General Data'!$C$20:$C$1000,1,false)</f>
        <v>ZSI1_SEPARATOR</v>
      </c>
      <c r="H13470" s="63" t="str">
        <f>IFERROR(__xludf.DUMMYFUNCTION("VLOOKUP(F13470, IMPORTRANGE(""https://docs.google.com/spreadsheets/d/1Lhp9OU0JdFf_VYSMzH5lBcEaU4o8teT1piV-SNzShjg/edit?gid=554141278#gid=554141278"", ""'Char Def. - Attributes'!C20:C2242""), 1,false)"),"ALT_NUM_UOM5")</f>
        <v>ALT_NUM_UOM5</v>
      </c>
      <c r="I13470" s="136"/>
      <c r="R13470" s="63" t="str">
        <f t="shared" si="60"/>
        <v>ZSI1_SEPARATORALT_NUM_UOM5</v>
      </c>
    </row>
    <row r="13471" ht="15.75" customHeight="1">
      <c r="B13471" s="63">
        <f t="shared" si="1"/>
        <v>10</v>
      </c>
      <c r="C13471" s="135" t="s">
        <v>461</v>
      </c>
      <c r="D13471" s="161" t="s">
        <v>74</v>
      </c>
      <c r="E13471" s="135">
        <f t="shared" si="62"/>
        <v>1</v>
      </c>
      <c r="F13471" s="134" t="s">
        <v>5398</v>
      </c>
      <c r="G13471" s="63" t="str">
        <f>VLOOKUP(C13471, 'Class Def. - General Data'!$C$20:$C$1000,1,false)</f>
        <v>ZSI1_SHEET</v>
      </c>
      <c r="H13471" s="63" t="str">
        <f>IFERROR(__xludf.DUMMYFUNCTION("VLOOKUP(F13471, IMPORTRANGE(""https://docs.google.com/spreadsheets/d/1Lhp9OU0JdFf_VYSMzH5lBcEaU4o8teT1piV-SNzShjg/edit?gid=554141278#gid=554141278"", ""'Char Def. - Attributes'!C20:C2242""), 1,false)"),"ITEM_NAME_SHEET")</f>
        <v>ITEM_NAME_SHEET</v>
      </c>
      <c r="I13471" s="136"/>
      <c r="R13471" s="63" t="str">
        <f t="shared" si="60"/>
        <v>ZSI1_SHEETITEM_NAME_SHEET</v>
      </c>
    </row>
    <row r="13472" ht="15.75" customHeight="1">
      <c r="B13472" s="63">
        <f t="shared" si="1"/>
        <v>10</v>
      </c>
      <c r="C13472" s="135" t="s">
        <v>461</v>
      </c>
      <c r="D13472" s="161" t="s">
        <v>74</v>
      </c>
      <c r="E13472" s="135">
        <f t="shared" si="62"/>
        <v>2</v>
      </c>
      <c r="F13472" s="134" t="s">
        <v>5399</v>
      </c>
      <c r="G13472" s="63" t="str">
        <f>VLOOKUP(C13472, 'Class Def. - General Data'!$C$20:$C$1000,1,false)</f>
        <v>ZSI1_SHEET</v>
      </c>
      <c r="H13472" s="63" t="str">
        <f>IFERROR(__xludf.DUMMYFUNCTION("VLOOKUP(F13472, IMPORTRANGE(""https://docs.google.com/spreadsheets/d/1Lhp9OU0JdFf_VYSMzH5lBcEaU4o8teT1piV-SNzShjg/edit?gid=554141278#gid=554141278"", ""'Char Def. - Attributes'!C20:C2242""), 1,false)"),"MATERIAL_SHEET")</f>
        <v>MATERIAL_SHEET</v>
      </c>
      <c r="I13472" s="136"/>
      <c r="R13472" s="63" t="str">
        <f t="shared" si="60"/>
        <v>ZSI1_SHEETMATERIAL_SHEET</v>
      </c>
    </row>
    <row r="13473" ht="15.75" customHeight="1">
      <c r="B13473" s="63">
        <f t="shared" si="1"/>
        <v>10</v>
      </c>
      <c r="C13473" s="135" t="s">
        <v>461</v>
      </c>
      <c r="D13473" s="161" t="s">
        <v>74</v>
      </c>
      <c r="E13473" s="135">
        <f t="shared" si="62"/>
        <v>3</v>
      </c>
      <c r="F13473" s="134" t="s">
        <v>5400</v>
      </c>
      <c r="G13473" s="63" t="str">
        <f>VLOOKUP(C13473, 'Class Def. - General Data'!$C$20:$C$1000,1,false)</f>
        <v>ZSI1_SHEET</v>
      </c>
      <c r="H13473" s="63" t="str">
        <f>IFERROR(__xludf.DUMMYFUNCTION("VLOOKUP(F13473, IMPORTRANGE(""https://docs.google.com/spreadsheets/d/1Lhp9OU0JdFf_VYSMzH5lBcEaU4o8teT1piV-SNzShjg/edit?gid=554141278#gid=554141278"", ""'Char Def. - Attributes'!C20:C2242""), 1,false)"),"SHEET_THICKNESS_MM_SHEET")</f>
        <v>SHEET_THICKNESS_MM_SHEET</v>
      </c>
      <c r="I13473" s="136"/>
      <c r="R13473" s="63" t="str">
        <f t="shared" si="60"/>
        <v>ZSI1_SHEETSHEET_THICKNESS_MM_SHEET</v>
      </c>
    </row>
    <row r="13474" ht="15.75" customHeight="1">
      <c r="B13474" s="63">
        <f t="shared" si="1"/>
        <v>10</v>
      </c>
      <c r="C13474" s="135" t="s">
        <v>461</v>
      </c>
      <c r="D13474" s="161" t="s">
        <v>74</v>
      </c>
      <c r="E13474" s="135">
        <f t="shared" si="62"/>
        <v>4</v>
      </c>
      <c r="F13474" s="134" t="s">
        <v>5401</v>
      </c>
      <c r="G13474" s="63" t="str">
        <f>VLOOKUP(C13474, 'Class Def. - General Data'!$C$20:$C$1000,1,false)</f>
        <v>ZSI1_SHEET</v>
      </c>
      <c r="H13474" s="63" t="str">
        <f>IFERROR(__xludf.DUMMYFUNCTION("VLOOKUP(F13474, IMPORTRANGE(""https://docs.google.com/spreadsheets/d/1Lhp9OU0JdFf_VYSMzH5lBcEaU4o8teT1piV-SNzShjg/edit?gid=554141278#gid=554141278"", ""'Char Def. - Attributes'!C20:C2242""), 1,false)"),"SHEET_WIDTH_MM_SHEET")</f>
        <v>SHEET_WIDTH_MM_SHEET</v>
      </c>
      <c r="I13474" s="136"/>
      <c r="R13474" s="63" t="str">
        <f t="shared" si="60"/>
        <v>ZSI1_SHEETSHEET_WIDTH_MM_SHEET</v>
      </c>
    </row>
    <row r="13475" ht="15.75" customHeight="1">
      <c r="B13475" s="63">
        <f t="shared" si="1"/>
        <v>10</v>
      </c>
      <c r="C13475" s="135" t="s">
        <v>461</v>
      </c>
      <c r="D13475" s="161" t="s">
        <v>74</v>
      </c>
      <c r="E13475" s="135">
        <f t="shared" si="62"/>
        <v>5</v>
      </c>
      <c r="F13475" s="134" t="s">
        <v>5402</v>
      </c>
      <c r="G13475" s="63" t="str">
        <f>VLOOKUP(C13475, 'Class Def. - General Data'!$C$20:$C$1000,1,false)</f>
        <v>ZSI1_SHEET</v>
      </c>
      <c r="H13475" s="63" t="str">
        <f>IFERROR(__xludf.DUMMYFUNCTION("VLOOKUP(F13475, IMPORTRANGE(""https://docs.google.com/spreadsheets/d/1Lhp9OU0JdFf_VYSMzH5lBcEaU4o8teT1piV-SNzShjg/edit?gid=554141278#gid=554141278"", ""'Char Def. - Attributes'!C20:C2242""), 1,false)"),"SHEET_HEIGHT_MM_SHEET")</f>
        <v>SHEET_HEIGHT_MM_SHEET</v>
      </c>
      <c r="I13475" s="136"/>
      <c r="R13475" s="63" t="str">
        <f t="shared" si="60"/>
        <v>ZSI1_SHEETSHEET_HEIGHT_MM_SHEET</v>
      </c>
    </row>
    <row r="13476" ht="15.75" customHeight="1">
      <c r="B13476" s="63">
        <f t="shared" si="1"/>
        <v>10</v>
      </c>
      <c r="C13476" s="135" t="s">
        <v>461</v>
      </c>
      <c r="D13476" s="161" t="s">
        <v>74</v>
      </c>
      <c r="E13476" s="135">
        <f t="shared" si="62"/>
        <v>6</v>
      </c>
      <c r="F13476" s="134" t="s">
        <v>4053</v>
      </c>
      <c r="G13476" s="63" t="str">
        <f>VLOOKUP(C13476, 'Class Def. - General Data'!$C$20:$C$1000,1,false)</f>
        <v>ZSI1_SHEET</v>
      </c>
      <c r="H13476" s="63" t="str">
        <f>IFERROR(__xludf.DUMMYFUNCTION("VLOOKUP(F13476, IMPORTRANGE(""https://docs.google.com/spreadsheets/d/1Lhp9OU0JdFf_VYSMzH5lBcEaU4o8teT1piV-SNzShjg/edit?gid=554141278#gid=554141278"", ""'Char Def. - Attributes'!C20:C2242""), 1,false)"),"MAINTENANCE_ORDER_TYPE")</f>
        <v>MAINTENANCE_ORDER_TYPE</v>
      </c>
      <c r="I13476" s="136"/>
      <c r="R13476" s="63" t="str">
        <f t="shared" si="60"/>
        <v>ZSI1_SHEETMAINTENANCE_ORDER_TYPE</v>
      </c>
    </row>
    <row r="13477" ht="15.75" customHeight="1">
      <c r="B13477" s="63">
        <f t="shared" si="1"/>
        <v>10</v>
      </c>
      <c r="C13477" s="135" t="s">
        <v>461</v>
      </c>
      <c r="D13477" s="161" t="s">
        <v>74</v>
      </c>
      <c r="E13477" s="135">
        <f t="shared" si="62"/>
        <v>7</v>
      </c>
      <c r="F13477" s="134" t="s">
        <v>3585</v>
      </c>
      <c r="G13477" s="63" t="str">
        <f>VLOOKUP(C13477, 'Class Def. - General Data'!$C$20:$C$1000,1,false)</f>
        <v>ZSI1_SHEET</v>
      </c>
      <c r="H13477" s="63" t="str">
        <f>IFERROR(__xludf.DUMMYFUNCTION("VLOOKUP(F13477, IMPORTRANGE(""https://docs.google.com/spreadsheets/d/1Lhp9OU0JdFf_VYSMzH5lBcEaU4o8teT1piV-SNzShjg/edit?gid=554141278#gid=554141278"", ""'Char Def. - Attributes'!C20:C2242""), 1,false)"),"HS_CODE")</f>
        <v>HS_CODE</v>
      </c>
      <c r="I13477" s="136"/>
      <c r="R13477" s="63" t="str">
        <f t="shared" si="60"/>
        <v>ZSI1_SHEETHS_CODE</v>
      </c>
    </row>
    <row r="13478" ht="15.75" customHeight="1">
      <c r="B13478" s="63">
        <f t="shared" si="1"/>
        <v>10</v>
      </c>
      <c r="C13478" s="135" t="s">
        <v>461</v>
      </c>
      <c r="D13478" s="161" t="s">
        <v>74</v>
      </c>
      <c r="E13478" s="135">
        <f t="shared" si="62"/>
        <v>8</v>
      </c>
      <c r="F13478" s="134" t="s">
        <v>3587</v>
      </c>
      <c r="G13478" s="63" t="str">
        <f>VLOOKUP(C13478, 'Class Def. - General Data'!$C$20:$C$1000,1,false)</f>
        <v>ZSI1_SHEET</v>
      </c>
      <c r="H13478" s="63" t="str">
        <f>IFERROR(__xludf.DUMMYFUNCTION("VLOOKUP(F13478, IMPORTRANGE(""https://docs.google.com/spreadsheets/d/1Lhp9OU0JdFf_VYSMzH5lBcEaU4o8teT1piV-SNzShjg/edit?gid=554141278#gid=554141278"", ""'Char Def. - Attributes'!C20:C2242""), 1,false)"),"PLANT_BUY")</f>
        <v>PLANT_BUY</v>
      </c>
      <c r="I13478" s="136"/>
      <c r="R13478" s="63" t="str">
        <f t="shared" si="60"/>
        <v>ZSI1_SHEETPLANT_BUY</v>
      </c>
    </row>
    <row r="13479" ht="15.75" customHeight="1">
      <c r="B13479" s="63">
        <f t="shared" si="1"/>
        <v>10</v>
      </c>
      <c r="C13479" s="135" t="s">
        <v>461</v>
      </c>
      <c r="D13479" s="161" t="s">
        <v>74</v>
      </c>
      <c r="E13479" s="135">
        <f t="shared" si="62"/>
        <v>9</v>
      </c>
      <c r="F13479" s="134" t="s">
        <v>5403</v>
      </c>
      <c r="G13479" s="63" t="str">
        <f>VLOOKUP(C13479, 'Class Def. - General Data'!$C$20:$C$1000,1,false)</f>
        <v>ZSI1_SHEET</v>
      </c>
      <c r="H13479" s="63" t="str">
        <f>IFERROR(__xludf.DUMMYFUNCTION("VLOOKUP(F13479, IMPORTRANGE(""https://docs.google.com/spreadsheets/d/1Lhp9OU0JdFf_VYSMzH5lBcEaU4o8teT1piV-SNzShjg/edit?gid=554141278#gid=554141278"", ""'Char Def. - Attributes'!C20:C2242""), 1,false)"),"BASE_UOM_SHEET")</f>
        <v>BASE_UOM_SHEET</v>
      </c>
      <c r="I13479" s="136"/>
      <c r="R13479" s="63" t="str">
        <f t="shared" si="60"/>
        <v>ZSI1_SHEETBASE_UOM_SHEET</v>
      </c>
    </row>
    <row r="13480" ht="15.75" customHeight="1">
      <c r="B13480" s="63">
        <f t="shared" si="1"/>
        <v>10</v>
      </c>
      <c r="C13480" s="135" t="s">
        <v>461</v>
      </c>
      <c r="D13480" s="161" t="s">
        <v>74</v>
      </c>
      <c r="E13480" s="135">
        <f t="shared" si="62"/>
        <v>10</v>
      </c>
      <c r="F13480" s="134" t="s">
        <v>5404</v>
      </c>
      <c r="G13480" s="63" t="str">
        <f>VLOOKUP(C13480, 'Class Def. - General Data'!$C$20:$C$1000,1,false)</f>
        <v>ZSI1_SHEET</v>
      </c>
      <c r="H13480" s="63" t="str">
        <f>IFERROR(__xludf.DUMMYFUNCTION("VLOOKUP(F13480, IMPORTRANGE(""https://docs.google.com/spreadsheets/d/1Lhp9OU0JdFf_VYSMzH5lBcEaU4o8teT1piV-SNzShjg/edit?gid=554141278#gid=554141278"", ""'Char Def. - Attributes'!C20:C2242""), 1,false)"),"ORDER_UNIT_SHEET")</f>
        <v>ORDER_UNIT_SHEET</v>
      </c>
      <c r="I13480" s="136"/>
      <c r="R13480" s="63" t="str">
        <f t="shared" si="60"/>
        <v>ZSI1_SHEETORDER_UNIT_SHEET</v>
      </c>
    </row>
    <row r="13481" ht="15.75" customHeight="1">
      <c r="B13481" s="63">
        <f t="shared" si="1"/>
        <v>10</v>
      </c>
      <c r="C13481" s="135" t="s">
        <v>461</v>
      </c>
      <c r="D13481" s="161" t="s">
        <v>74</v>
      </c>
      <c r="E13481" s="135">
        <f t="shared" si="62"/>
        <v>11</v>
      </c>
      <c r="F13481" s="134" t="s">
        <v>4056</v>
      </c>
      <c r="G13481" s="63" t="str">
        <f>VLOOKUP(C13481, 'Class Def. - General Data'!$C$20:$C$1000,1,false)</f>
        <v>ZSI1_SHEET</v>
      </c>
      <c r="H13481" s="63" t="str">
        <f>IFERROR(__xludf.DUMMYFUNCTION("VLOOKUP(F13481, IMPORTRANGE(""https://docs.google.com/spreadsheets/d/1Lhp9OU0JdFf_VYSMzH5lBcEaU4o8teT1piV-SNzShjg/edit?gid=554141278#gid=554141278"", ""'Char Def. - Attributes'!C20:C2242""), 1,false)"),"GROSS_WEIGHT_OPT")</f>
        <v>GROSS_WEIGHT_OPT</v>
      </c>
      <c r="I13481" s="136"/>
      <c r="R13481" s="63" t="str">
        <f t="shared" si="60"/>
        <v>ZSI1_SHEETGROSS_WEIGHT_OPT</v>
      </c>
    </row>
    <row r="13482" ht="15.75" customHeight="1">
      <c r="B13482" s="63">
        <f t="shared" si="1"/>
        <v>10</v>
      </c>
      <c r="C13482" s="135" t="s">
        <v>461</v>
      </c>
      <c r="D13482" s="161" t="s">
        <v>74</v>
      </c>
      <c r="E13482" s="135">
        <f t="shared" si="62"/>
        <v>12</v>
      </c>
      <c r="F13482" s="134" t="s">
        <v>4057</v>
      </c>
      <c r="G13482" s="63" t="str">
        <f>VLOOKUP(C13482, 'Class Def. - General Data'!$C$20:$C$1000,1,false)</f>
        <v>ZSI1_SHEET</v>
      </c>
      <c r="H13482" s="63" t="str">
        <f>IFERROR(__xludf.DUMMYFUNCTION("VLOOKUP(F13482, IMPORTRANGE(""https://docs.google.com/spreadsheets/d/1Lhp9OU0JdFf_VYSMzH5lBcEaU4o8teT1piV-SNzShjg/edit?gid=554141278#gid=554141278"", ""'Char Def. - Attributes'!C20:C2242""), 1,false)"),"NET_WEIGHT_OPT")</f>
        <v>NET_WEIGHT_OPT</v>
      </c>
      <c r="I13482" s="136"/>
      <c r="R13482" s="63" t="str">
        <f t="shared" si="60"/>
        <v>ZSI1_SHEETNET_WEIGHT_OPT</v>
      </c>
    </row>
    <row r="13483" ht="15.75" customHeight="1">
      <c r="B13483" s="63">
        <f t="shared" si="1"/>
        <v>10</v>
      </c>
      <c r="C13483" s="135" t="s">
        <v>461</v>
      </c>
      <c r="D13483" s="161" t="s">
        <v>74</v>
      </c>
      <c r="E13483" s="135">
        <f t="shared" si="62"/>
        <v>13</v>
      </c>
      <c r="F13483" s="134" t="s">
        <v>4058</v>
      </c>
      <c r="G13483" s="63" t="str">
        <f>VLOOKUP(C13483, 'Class Def. - General Data'!$C$20:$C$1000,1,false)</f>
        <v>ZSI1_SHEET</v>
      </c>
      <c r="H13483" s="63" t="str">
        <f>IFERROR(__xludf.DUMMYFUNCTION("VLOOKUP(F13483, IMPORTRANGE(""https://docs.google.com/spreadsheets/d/1Lhp9OU0JdFf_VYSMzH5lBcEaU4o8teT1piV-SNzShjg/edit?gid=554141278#gid=554141278"", ""'Char Def. - Attributes'!C20:C2242""), 1,false)"),"WEIGHT_UNIT_SI")</f>
        <v>WEIGHT_UNIT_SI</v>
      </c>
      <c r="I13483" s="136"/>
      <c r="R13483" s="63" t="str">
        <f t="shared" si="60"/>
        <v>ZSI1_SHEETWEIGHT_UNIT_SI</v>
      </c>
    </row>
    <row r="13484" ht="15.75" customHeight="1">
      <c r="B13484" s="63">
        <f t="shared" si="1"/>
        <v>10</v>
      </c>
      <c r="C13484" s="135" t="s">
        <v>461</v>
      </c>
      <c r="D13484" s="161" t="s">
        <v>74</v>
      </c>
      <c r="E13484" s="135">
        <f t="shared" si="62"/>
        <v>14</v>
      </c>
      <c r="F13484" s="134" t="s">
        <v>3877</v>
      </c>
      <c r="G13484" s="63" t="str">
        <f>VLOOKUP(C13484, 'Class Def. - General Data'!$C$20:$C$1000,1,false)</f>
        <v>ZSI1_SHEET</v>
      </c>
      <c r="H13484" s="63" t="str">
        <f>IFERROR(__xludf.DUMMYFUNCTION("VLOOKUP(F13484, IMPORTRANGE(""https://docs.google.com/spreadsheets/d/1Lhp9OU0JdFf_VYSMzH5lBcEaU4o8teT1piV-SNzShjg/edit?gid=554141278#gid=554141278"", ""'Char Def. - Attributes'!C20:C2242""), 1,false)"),"VOLUME_OPT")</f>
        <v>VOLUME_OPT</v>
      </c>
      <c r="I13484" s="136"/>
      <c r="R13484" s="63" t="str">
        <f t="shared" si="60"/>
        <v>ZSI1_SHEETVOLUME_OPT</v>
      </c>
    </row>
    <row r="13485" ht="15.75" customHeight="1">
      <c r="B13485" s="63">
        <f t="shared" si="1"/>
        <v>10</v>
      </c>
      <c r="C13485" s="135" t="s">
        <v>461</v>
      </c>
      <c r="D13485" s="161" t="s">
        <v>74</v>
      </c>
      <c r="E13485" s="135">
        <f t="shared" si="62"/>
        <v>15</v>
      </c>
      <c r="F13485" s="134" t="s">
        <v>4059</v>
      </c>
      <c r="G13485" s="63" t="str">
        <f>VLOOKUP(C13485, 'Class Def. - General Data'!$C$20:$C$1000,1,false)</f>
        <v>ZSI1_SHEET</v>
      </c>
      <c r="H13485" s="63" t="str">
        <f>IFERROR(__xludf.DUMMYFUNCTION("VLOOKUP(F13485, IMPORTRANGE(""https://docs.google.com/spreadsheets/d/1Lhp9OU0JdFf_VYSMzH5lBcEaU4o8teT1piV-SNzShjg/edit?gid=554141278#gid=554141278"", ""'Char Def. - Attributes'!C20:C2242""), 1,false)"),"VOLUME_UNIT_SI")</f>
        <v>VOLUME_UNIT_SI</v>
      </c>
      <c r="I13485" s="136"/>
      <c r="R13485" s="63" t="str">
        <f t="shared" si="60"/>
        <v>ZSI1_SHEETVOLUME_UNIT_SI</v>
      </c>
    </row>
    <row r="13486" ht="15.75" customHeight="1">
      <c r="B13486" s="63">
        <f t="shared" si="1"/>
        <v>10</v>
      </c>
      <c r="C13486" s="135" t="s">
        <v>461</v>
      </c>
      <c r="D13486" s="161" t="s">
        <v>74</v>
      </c>
      <c r="E13486" s="135">
        <f t="shared" si="62"/>
        <v>16</v>
      </c>
      <c r="F13486" s="134" t="s">
        <v>3804</v>
      </c>
      <c r="G13486" s="63" t="str">
        <f>VLOOKUP(C13486, 'Class Def. - General Data'!$C$20:$C$1000,1,false)</f>
        <v>ZSI1_SHEET</v>
      </c>
      <c r="H13486" s="63" t="str">
        <f>IFERROR(__xludf.DUMMYFUNCTION("VLOOKUP(F13486, IMPORTRANGE(""https://docs.google.com/spreadsheets/d/1Lhp9OU0JdFf_VYSMzH5lBcEaU4o8teT1piV-SNzShjg/edit?gid=554141278#gid=554141278"", ""'Char Def. - Attributes'!C20:C2242""), 1,false)"),"ALT_UOM1_SIPI")</f>
        <v>ALT_UOM1_SIPI</v>
      </c>
      <c r="I13486" s="136"/>
      <c r="R13486" s="63" t="str">
        <f t="shared" si="60"/>
        <v>ZSI1_SHEETALT_UOM1_SIPI</v>
      </c>
    </row>
    <row r="13487" ht="15.75" customHeight="1">
      <c r="B13487" s="63">
        <f t="shared" si="1"/>
        <v>10</v>
      </c>
      <c r="C13487" s="135" t="s">
        <v>461</v>
      </c>
      <c r="D13487" s="161" t="s">
        <v>74</v>
      </c>
      <c r="E13487" s="135">
        <f t="shared" si="62"/>
        <v>17</v>
      </c>
      <c r="F13487" s="134" t="s">
        <v>3805</v>
      </c>
      <c r="G13487" s="63" t="str">
        <f>VLOOKUP(C13487, 'Class Def. - General Data'!$C$20:$C$1000,1,false)</f>
        <v>ZSI1_SHEET</v>
      </c>
      <c r="H13487" s="63" t="str">
        <f>IFERROR(__xludf.DUMMYFUNCTION("VLOOKUP(F13487, IMPORTRANGE(""https://docs.google.com/spreadsheets/d/1Lhp9OU0JdFf_VYSMzH5lBcEaU4o8teT1piV-SNzShjg/edit?gid=554141278#gid=554141278"", ""'Char Def. - Attributes'!C20:C2242""), 1,false)"),"ALT_DENUM_UOM1")</f>
        <v>ALT_DENUM_UOM1</v>
      </c>
      <c r="I13487" s="136"/>
      <c r="R13487" s="63" t="str">
        <f t="shared" si="60"/>
        <v>ZSI1_SHEETALT_DENUM_UOM1</v>
      </c>
    </row>
    <row r="13488" ht="15.75" customHeight="1">
      <c r="B13488" s="63">
        <f t="shared" si="1"/>
        <v>10</v>
      </c>
      <c r="C13488" s="135" t="s">
        <v>461</v>
      </c>
      <c r="D13488" s="161" t="s">
        <v>74</v>
      </c>
      <c r="E13488" s="135">
        <f t="shared" si="62"/>
        <v>18</v>
      </c>
      <c r="F13488" s="134" t="s">
        <v>3806</v>
      </c>
      <c r="G13488" s="63" t="str">
        <f>VLOOKUP(C13488, 'Class Def. - General Data'!$C$20:$C$1000,1,false)</f>
        <v>ZSI1_SHEET</v>
      </c>
      <c r="H13488" s="63" t="str">
        <f>IFERROR(__xludf.DUMMYFUNCTION("VLOOKUP(F13488, IMPORTRANGE(""https://docs.google.com/spreadsheets/d/1Lhp9OU0JdFf_VYSMzH5lBcEaU4o8teT1piV-SNzShjg/edit?gid=554141278#gid=554141278"", ""'Char Def. - Attributes'!C20:C2242""), 1,false)"),"ALT_NUM_UOM1")</f>
        <v>ALT_NUM_UOM1</v>
      </c>
      <c r="I13488" s="136"/>
      <c r="R13488" s="63" t="str">
        <f t="shared" si="60"/>
        <v>ZSI1_SHEETALT_NUM_UOM1</v>
      </c>
    </row>
    <row r="13489" ht="15.75" customHeight="1">
      <c r="B13489" s="63">
        <f t="shared" si="1"/>
        <v>10</v>
      </c>
      <c r="C13489" s="135" t="s">
        <v>461</v>
      </c>
      <c r="D13489" s="161" t="s">
        <v>74</v>
      </c>
      <c r="E13489" s="135">
        <f t="shared" si="62"/>
        <v>19</v>
      </c>
      <c r="F13489" s="134" t="s">
        <v>3807</v>
      </c>
      <c r="G13489" s="63" t="str">
        <f>VLOOKUP(C13489, 'Class Def. - General Data'!$C$20:$C$1000,1,false)</f>
        <v>ZSI1_SHEET</v>
      </c>
      <c r="H13489" s="63" t="str">
        <f>IFERROR(__xludf.DUMMYFUNCTION("VLOOKUP(F13489, IMPORTRANGE(""https://docs.google.com/spreadsheets/d/1Lhp9OU0JdFf_VYSMzH5lBcEaU4o8teT1piV-SNzShjg/edit?gid=554141278#gid=554141278"", ""'Char Def. - Attributes'!C20:C2242""), 1,false)"),"ALT_UOM2_SIPI")</f>
        <v>ALT_UOM2_SIPI</v>
      </c>
      <c r="I13489" s="136"/>
      <c r="R13489" s="63" t="str">
        <f t="shared" si="60"/>
        <v>ZSI1_SHEETALT_UOM2_SIPI</v>
      </c>
    </row>
    <row r="13490" ht="15.75" customHeight="1">
      <c r="B13490" s="63">
        <f t="shared" si="1"/>
        <v>10</v>
      </c>
      <c r="C13490" s="135" t="s">
        <v>461</v>
      </c>
      <c r="D13490" s="161" t="s">
        <v>74</v>
      </c>
      <c r="E13490" s="135">
        <f t="shared" si="62"/>
        <v>20</v>
      </c>
      <c r="F13490" s="134" t="s">
        <v>3808</v>
      </c>
      <c r="G13490" s="63" t="str">
        <f>VLOOKUP(C13490, 'Class Def. - General Data'!$C$20:$C$1000,1,false)</f>
        <v>ZSI1_SHEET</v>
      </c>
      <c r="H13490" s="63" t="str">
        <f>IFERROR(__xludf.DUMMYFUNCTION("VLOOKUP(F13490, IMPORTRANGE(""https://docs.google.com/spreadsheets/d/1Lhp9OU0JdFf_VYSMzH5lBcEaU4o8teT1piV-SNzShjg/edit?gid=554141278#gid=554141278"", ""'Char Def. - Attributes'!C20:C2242""), 1,false)"),"ALT_DENUM_UOM2")</f>
        <v>ALT_DENUM_UOM2</v>
      </c>
      <c r="I13490" s="136"/>
      <c r="R13490" s="63" t="str">
        <f t="shared" si="60"/>
        <v>ZSI1_SHEETALT_DENUM_UOM2</v>
      </c>
    </row>
    <row r="13491" ht="15.75" customHeight="1">
      <c r="B13491" s="63">
        <f t="shared" si="1"/>
        <v>10</v>
      </c>
      <c r="C13491" s="135" t="s">
        <v>461</v>
      </c>
      <c r="D13491" s="161" t="s">
        <v>74</v>
      </c>
      <c r="E13491" s="135">
        <f t="shared" si="62"/>
        <v>21</v>
      </c>
      <c r="F13491" s="134" t="s">
        <v>3809</v>
      </c>
      <c r="G13491" s="63" t="str">
        <f>VLOOKUP(C13491, 'Class Def. - General Data'!$C$20:$C$1000,1,false)</f>
        <v>ZSI1_SHEET</v>
      </c>
      <c r="H13491" s="63" t="str">
        <f>IFERROR(__xludf.DUMMYFUNCTION("VLOOKUP(F13491, IMPORTRANGE(""https://docs.google.com/spreadsheets/d/1Lhp9OU0JdFf_VYSMzH5lBcEaU4o8teT1piV-SNzShjg/edit?gid=554141278#gid=554141278"", ""'Char Def. - Attributes'!C20:C2242""), 1,false)"),"ALT_NUM_UOM2")</f>
        <v>ALT_NUM_UOM2</v>
      </c>
      <c r="I13491" s="136"/>
      <c r="R13491" s="63" t="str">
        <f t="shared" si="60"/>
        <v>ZSI1_SHEETALT_NUM_UOM2</v>
      </c>
    </row>
    <row r="13492" ht="15.75" customHeight="1">
      <c r="B13492" s="63">
        <f t="shared" si="1"/>
        <v>10</v>
      </c>
      <c r="C13492" s="135" t="s">
        <v>461</v>
      </c>
      <c r="D13492" s="161" t="s">
        <v>74</v>
      </c>
      <c r="E13492" s="135">
        <f t="shared" si="62"/>
        <v>22</v>
      </c>
      <c r="F13492" s="134" t="s">
        <v>3810</v>
      </c>
      <c r="G13492" s="63" t="str">
        <f>VLOOKUP(C13492, 'Class Def. - General Data'!$C$20:$C$1000,1,false)</f>
        <v>ZSI1_SHEET</v>
      </c>
      <c r="H13492" s="63" t="str">
        <f>IFERROR(__xludf.DUMMYFUNCTION("VLOOKUP(F13492, IMPORTRANGE(""https://docs.google.com/spreadsheets/d/1Lhp9OU0JdFf_VYSMzH5lBcEaU4o8teT1piV-SNzShjg/edit?gid=554141278#gid=554141278"", ""'Char Def. - Attributes'!C20:C2242""), 1,false)"),"ALT_UOM3_SIPI")</f>
        <v>ALT_UOM3_SIPI</v>
      </c>
      <c r="I13492" s="136"/>
      <c r="R13492" s="63" t="str">
        <f t="shared" si="60"/>
        <v>ZSI1_SHEETALT_UOM3_SIPI</v>
      </c>
    </row>
    <row r="13493" ht="15.75" customHeight="1">
      <c r="B13493" s="63">
        <f t="shared" si="1"/>
        <v>10</v>
      </c>
      <c r="C13493" s="135" t="s">
        <v>461</v>
      </c>
      <c r="D13493" s="161" t="s">
        <v>74</v>
      </c>
      <c r="E13493" s="135">
        <f t="shared" si="62"/>
        <v>23</v>
      </c>
      <c r="F13493" s="134" t="s">
        <v>3811</v>
      </c>
      <c r="G13493" s="63" t="str">
        <f>VLOOKUP(C13493, 'Class Def. - General Data'!$C$20:$C$1000,1,false)</f>
        <v>ZSI1_SHEET</v>
      </c>
      <c r="H13493" s="63" t="str">
        <f>IFERROR(__xludf.DUMMYFUNCTION("VLOOKUP(F13493, IMPORTRANGE(""https://docs.google.com/spreadsheets/d/1Lhp9OU0JdFf_VYSMzH5lBcEaU4o8teT1piV-SNzShjg/edit?gid=554141278#gid=554141278"", ""'Char Def. - Attributes'!C20:C2242""), 1,false)"),"ALT_DENUM_UOM3")</f>
        <v>ALT_DENUM_UOM3</v>
      </c>
      <c r="I13493" s="136"/>
      <c r="R13493" s="63" t="str">
        <f t="shared" si="60"/>
        <v>ZSI1_SHEETALT_DENUM_UOM3</v>
      </c>
    </row>
    <row r="13494" ht="15.75" customHeight="1">
      <c r="B13494" s="63">
        <f t="shared" si="1"/>
        <v>10</v>
      </c>
      <c r="C13494" s="135" t="s">
        <v>461</v>
      </c>
      <c r="D13494" s="161" t="s">
        <v>74</v>
      </c>
      <c r="E13494" s="135">
        <f t="shared" si="62"/>
        <v>24</v>
      </c>
      <c r="F13494" s="134" t="s">
        <v>3812</v>
      </c>
      <c r="G13494" s="63" t="str">
        <f>VLOOKUP(C13494, 'Class Def. - General Data'!$C$20:$C$1000,1,false)</f>
        <v>ZSI1_SHEET</v>
      </c>
      <c r="H13494" s="63" t="str">
        <f>IFERROR(__xludf.DUMMYFUNCTION("VLOOKUP(F13494, IMPORTRANGE(""https://docs.google.com/spreadsheets/d/1Lhp9OU0JdFf_VYSMzH5lBcEaU4o8teT1piV-SNzShjg/edit?gid=554141278#gid=554141278"", ""'Char Def. - Attributes'!C20:C2242""), 1,false)"),"ALT_NUM_UOM3")</f>
        <v>ALT_NUM_UOM3</v>
      </c>
      <c r="I13494" s="136"/>
      <c r="R13494" s="63" t="str">
        <f t="shared" si="60"/>
        <v>ZSI1_SHEETALT_NUM_UOM3</v>
      </c>
    </row>
    <row r="13495" ht="15.75" customHeight="1">
      <c r="B13495" s="63">
        <f t="shared" si="1"/>
        <v>10</v>
      </c>
      <c r="C13495" s="135" t="s">
        <v>461</v>
      </c>
      <c r="D13495" s="161" t="s">
        <v>74</v>
      </c>
      <c r="E13495" s="135">
        <f t="shared" si="62"/>
        <v>25</v>
      </c>
      <c r="F13495" s="134" t="s">
        <v>3813</v>
      </c>
      <c r="G13495" s="63" t="str">
        <f>VLOOKUP(C13495, 'Class Def. - General Data'!$C$20:$C$1000,1,false)</f>
        <v>ZSI1_SHEET</v>
      </c>
      <c r="H13495" s="63" t="str">
        <f>IFERROR(__xludf.DUMMYFUNCTION("VLOOKUP(F13495, IMPORTRANGE(""https://docs.google.com/spreadsheets/d/1Lhp9OU0JdFf_VYSMzH5lBcEaU4o8teT1piV-SNzShjg/edit?gid=554141278#gid=554141278"", ""'Char Def. - Attributes'!C20:C2242""), 1,false)"),"ALT_UOM4_SIPI")</f>
        <v>ALT_UOM4_SIPI</v>
      </c>
      <c r="I13495" s="136"/>
      <c r="R13495" s="63" t="str">
        <f t="shared" si="60"/>
        <v>ZSI1_SHEETALT_UOM4_SIPI</v>
      </c>
    </row>
    <row r="13496" ht="15.75" customHeight="1">
      <c r="B13496" s="63">
        <f t="shared" si="1"/>
        <v>10</v>
      </c>
      <c r="C13496" s="135" t="s">
        <v>461</v>
      </c>
      <c r="D13496" s="161" t="s">
        <v>74</v>
      </c>
      <c r="E13496" s="135">
        <f t="shared" si="62"/>
        <v>26</v>
      </c>
      <c r="F13496" s="134" t="s">
        <v>3814</v>
      </c>
      <c r="G13496" s="63" t="str">
        <f>VLOOKUP(C13496, 'Class Def. - General Data'!$C$20:$C$1000,1,false)</f>
        <v>ZSI1_SHEET</v>
      </c>
      <c r="H13496" s="63" t="str">
        <f>IFERROR(__xludf.DUMMYFUNCTION("VLOOKUP(F13496, IMPORTRANGE(""https://docs.google.com/spreadsheets/d/1Lhp9OU0JdFf_VYSMzH5lBcEaU4o8teT1piV-SNzShjg/edit?gid=554141278#gid=554141278"", ""'Char Def. - Attributes'!C20:C2242""), 1,false)"),"ALT_DENUM_UOM4")</f>
        <v>ALT_DENUM_UOM4</v>
      </c>
      <c r="I13496" s="136"/>
      <c r="R13496" s="63" t="str">
        <f t="shared" si="60"/>
        <v>ZSI1_SHEETALT_DENUM_UOM4</v>
      </c>
    </row>
    <row r="13497" ht="15.75" customHeight="1">
      <c r="B13497" s="63">
        <f t="shared" si="1"/>
        <v>10</v>
      </c>
      <c r="C13497" s="135" t="s">
        <v>461</v>
      </c>
      <c r="D13497" s="161" t="s">
        <v>74</v>
      </c>
      <c r="E13497" s="135">
        <f t="shared" si="62"/>
        <v>27</v>
      </c>
      <c r="F13497" s="134" t="s">
        <v>3815</v>
      </c>
      <c r="G13497" s="63" t="str">
        <f>VLOOKUP(C13497, 'Class Def. - General Data'!$C$20:$C$1000,1,false)</f>
        <v>ZSI1_SHEET</v>
      </c>
      <c r="H13497" s="63" t="str">
        <f>IFERROR(__xludf.DUMMYFUNCTION("VLOOKUP(F13497, IMPORTRANGE(""https://docs.google.com/spreadsheets/d/1Lhp9OU0JdFf_VYSMzH5lBcEaU4o8teT1piV-SNzShjg/edit?gid=554141278#gid=554141278"", ""'Char Def. - Attributes'!C20:C2242""), 1,false)"),"ALT_NUM_UOM4")</f>
        <v>ALT_NUM_UOM4</v>
      </c>
      <c r="I13497" s="136"/>
      <c r="R13497" s="63" t="str">
        <f t="shared" si="60"/>
        <v>ZSI1_SHEETALT_NUM_UOM4</v>
      </c>
    </row>
    <row r="13498" ht="15.75" customHeight="1">
      <c r="B13498" s="63">
        <f t="shared" si="1"/>
        <v>10</v>
      </c>
      <c r="C13498" s="135" t="s">
        <v>461</v>
      </c>
      <c r="D13498" s="161" t="s">
        <v>74</v>
      </c>
      <c r="E13498" s="135">
        <f t="shared" si="62"/>
        <v>28</v>
      </c>
      <c r="F13498" s="134" t="s">
        <v>3816</v>
      </c>
      <c r="G13498" s="63" t="str">
        <f>VLOOKUP(C13498, 'Class Def. - General Data'!$C$20:$C$1000,1,false)</f>
        <v>ZSI1_SHEET</v>
      </c>
      <c r="H13498" s="63" t="str">
        <f>IFERROR(__xludf.DUMMYFUNCTION("VLOOKUP(F13498, IMPORTRANGE(""https://docs.google.com/spreadsheets/d/1Lhp9OU0JdFf_VYSMzH5lBcEaU4o8teT1piV-SNzShjg/edit?gid=554141278#gid=554141278"", ""'Char Def. - Attributes'!C20:C2242""), 1,false)"),"ALT_UOM5_SIPI")</f>
        <v>ALT_UOM5_SIPI</v>
      </c>
      <c r="I13498" s="136"/>
      <c r="R13498" s="63" t="str">
        <f t="shared" si="60"/>
        <v>ZSI1_SHEETALT_UOM5_SIPI</v>
      </c>
    </row>
    <row r="13499" ht="15.75" customHeight="1">
      <c r="B13499" s="63">
        <f t="shared" si="1"/>
        <v>10</v>
      </c>
      <c r="C13499" s="135" t="s">
        <v>461</v>
      </c>
      <c r="D13499" s="161" t="s">
        <v>74</v>
      </c>
      <c r="E13499" s="135">
        <f t="shared" si="62"/>
        <v>29</v>
      </c>
      <c r="F13499" s="134" t="s">
        <v>3817</v>
      </c>
      <c r="G13499" s="63" t="str">
        <f>VLOOKUP(C13499, 'Class Def. - General Data'!$C$20:$C$1000,1,false)</f>
        <v>ZSI1_SHEET</v>
      </c>
      <c r="H13499" s="63" t="str">
        <f>IFERROR(__xludf.DUMMYFUNCTION("VLOOKUP(F13499, IMPORTRANGE(""https://docs.google.com/spreadsheets/d/1Lhp9OU0JdFf_VYSMzH5lBcEaU4o8teT1piV-SNzShjg/edit?gid=554141278#gid=554141278"", ""'Char Def. - Attributes'!C20:C2242""), 1,false)"),"ALT_DENUM_UOM5")</f>
        <v>ALT_DENUM_UOM5</v>
      </c>
      <c r="I13499" s="136"/>
      <c r="R13499" s="63" t="str">
        <f t="shared" si="60"/>
        <v>ZSI1_SHEETALT_DENUM_UOM5</v>
      </c>
    </row>
    <row r="13500" ht="15.75" customHeight="1">
      <c r="B13500" s="63">
        <f t="shared" si="1"/>
        <v>10</v>
      </c>
      <c r="C13500" s="135" t="s">
        <v>461</v>
      </c>
      <c r="D13500" s="161" t="s">
        <v>74</v>
      </c>
      <c r="E13500" s="135">
        <f t="shared" si="62"/>
        <v>30</v>
      </c>
      <c r="F13500" s="134" t="s">
        <v>3818</v>
      </c>
      <c r="G13500" s="63" t="str">
        <f>VLOOKUP(C13500, 'Class Def. - General Data'!$C$20:$C$1000,1,false)</f>
        <v>ZSI1_SHEET</v>
      </c>
      <c r="H13500" s="63" t="str">
        <f>IFERROR(__xludf.DUMMYFUNCTION("VLOOKUP(F13500, IMPORTRANGE(""https://docs.google.com/spreadsheets/d/1Lhp9OU0JdFf_VYSMzH5lBcEaU4o8teT1piV-SNzShjg/edit?gid=554141278#gid=554141278"", ""'Char Def. - Attributes'!C20:C2242""), 1,false)"),"ALT_NUM_UOM5")</f>
        <v>ALT_NUM_UOM5</v>
      </c>
      <c r="I13500" s="136"/>
      <c r="R13500" s="63" t="str">
        <f t="shared" si="60"/>
        <v>ZSI1_SHEETALT_NUM_UOM5</v>
      </c>
    </row>
    <row r="13501" ht="15.75" customHeight="1">
      <c r="B13501" s="63">
        <f t="shared" si="1"/>
        <v>18</v>
      </c>
      <c r="C13501" s="135" t="s">
        <v>328</v>
      </c>
      <c r="D13501" s="161" t="s">
        <v>74</v>
      </c>
      <c r="E13501" s="135">
        <f t="shared" si="62"/>
        <v>1</v>
      </c>
      <c r="F13501" s="134" t="s">
        <v>5405</v>
      </c>
      <c r="G13501" s="63" t="str">
        <f>VLOOKUP(C13501, 'Class Def. - General Data'!$C$20:$C$1000,1,false)</f>
        <v>ZSI1_SHELV_STORAGE</v>
      </c>
      <c r="H13501" s="63" t="str">
        <f>IFERROR(__xludf.DUMMYFUNCTION("VLOOKUP(F13501, IMPORTRANGE(""https://docs.google.com/spreadsheets/d/1Lhp9OU0JdFf_VYSMzH5lBcEaU4o8teT1piV-SNzShjg/edit?gid=554141278#gid=554141278"", ""'Char Def. - Attributes'!C20:C2242""), 1,false)"),"ITEM_NAME_SHELV_STORAGE")</f>
        <v>ITEM_NAME_SHELV_STORAGE</v>
      </c>
      <c r="I13501" s="136"/>
      <c r="R13501" s="63" t="str">
        <f t="shared" si="60"/>
        <v>ZSI1_SHELV_STORAGEITEM_NAME_SHELV_STORAGE</v>
      </c>
    </row>
    <row r="13502" ht="15.75" customHeight="1">
      <c r="B13502" s="63">
        <f t="shared" si="1"/>
        <v>18</v>
      </c>
      <c r="C13502" s="135" t="s">
        <v>328</v>
      </c>
      <c r="D13502" s="161" t="s">
        <v>74</v>
      </c>
      <c r="E13502" s="135">
        <f t="shared" si="62"/>
        <v>2</v>
      </c>
      <c r="F13502" s="134" t="s">
        <v>5406</v>
      </c>
      <c r="G13502" s="63" t="str">
        <f>VLOOKUP(C13502, 'Class Def. - General Data'!$C$20:$C$1000,1,false)</f>
        <v>ZSI1_SHELV_STORAGE</v>
      </c>
      <c r="H13502" s="63" t="str">
        <f>IFERROR(__xludf.DUMMYFUNCTION("VLOOKUP(F13502, IMPORTRANGE(""https://docs.google.com/spreadsheets/d/1Lhp9OU0JdFf_VYSMzH5lBcEaU4o8teT1piV-SNzShjg/edit?gid=554141278#gid=554141278"", ""'Char Def. - Attributes'!C20:C2242""), 1,false)"),"MFR_NO_SHELV_STORAGE")</f>
        <v>MFR_NO_SHELV_STORAGE</v>
      </c>
      <c r="I13502" s="136"/>
      <c r="R13502" s="63" t="str">
        <f t="shared" si="60"/>
        <v>ZSI1_SHELV_STORAGEMFR_NO_SHELV_STORAGE</v>
      </c>
    </row>
    <row r="13503" ht="15.75" customHeight="1">
      <c r="B13503" s="63">
        <f t="shared" si="1"/>
        <v>18</v>
      </c>
      <c r="C13503" s="135" t="s">
        <v>328</v>
      </c>
      <c r="D13503" s="161" t="s">
        <v>74</v>
      </c>
      <c r="E13503" s="135">
        <f t="shared" si="62"/>
        <v>3</v>
      </c>
      <c r="F13503" s="134" t="s">
        <v>3782</v>
      </c>
      <c r="G13503" s="63" t="str">
        <f>VLOOKUP(C13503, 'Class Def. - General Data'!$C$20:$C$1000,1,false)</f>
        <v>ZSI1_SHELV_STORAGE</v>
      </c>
      <c r="H13503" s="63" t="str">
        <f>IFERROR(__xludf.DUMMYFUNCTION("VLOOKUP(F13503, IMPORTRANGE(""https://docs.google.com/spreadsheets/d/1Lhp9OU0JdFf_VYSMzH5lBcEaU4o8teT1piV-SNzShjg/edit?gid=554141278#gid=554141278"", ""'Char Def. - Attributes'!C20:C2242""), 1,false)"),"BRAND_EXTERNAL")</f>
        <v>BRAND_EXTERNAL</v>
      </c>
      <c r="I13503" s="136"/>
      <c r="R13503" s="63" t="str">
        <f t="shared" si="60"/>
        <v>ZSI1_SHELV_STORAGEBRAND_EXTERNAL</v>
      </c>
    </row>
    <row r="13504" ht="15.75" customHeight="1">
      <c r="B13504" s="63">
        <f t="shared" si="1"/>
        <v>18</v>
      </c>
      <c r="C13504" s="135" t="s">
        <v>328</v>
      </c>
      <c r="D13504" s="161" t="s">
        <v>74</v>
      </c>
      <c r="E13504" s="135">
        <f t="shared" si="62"/>
        <v>4</v>
      </c>
      <c r="F13504" s="134" t="s">
        <v>4062</v>
      </c>
      <c r="G13504" s="63" t="str">
        <f>VLOOKUP(C13504, 'Class Def. - General Data'!$C$20:$C$1000,1,false)</f>
        <v>ZSI1_SHELV_STORAGE</v>
      </c>
      <c r="H13504" s="63" t="str">
        <f>IFERROR(__xludf.DUMMYFUNCTION("VLOOKUP(F13504, IMPORTRANGE(""https://docs.google.com/spreadsheets/d/1Lhp9OU0JdFf_VYSMzH5lBcEaU4o8teT1piV-SNzShjg/edit?gid=554141278#gid=554141278"", ""'Char Def. - Attributes'!C20:C2242""), 1,false)"),"#N/A")</f>
        <v>#N/A</v>
      </c>
      <c r="I13504" s="136"/>
      <c r="R13504" s="63" t="str">
        <f t="shared" si="60"/>
        <v>ZSI1_SHELV_STORAGEADDTIONAL_SPECIFICATION</v>
      </c>
    </row>
    <row r="13505" ht="15.75" customHeight="1">
      <c r="B13505" s="63">
        <f t="shared" si="1"/>
        <v>18</v>
      </c>
      <c r="C13505" s="135" t="s">
        <v>328</v>
      </c>
      <c r="D13505" s="161" t="s">
        <v>74</v>
      </c>
      <c r="E13505" s="135">
        <f t="shared" si="62"/>
        <v>5</v>
      </c>
      <c r="F13505" s="134" t="s">
        <v>3585</v>
      </c>
      <c r="G13505" s="63" t="str">
        <f>VLOOKUP(C13505, 'Class Def. - General Data'!$C$20:$C$1000,1,false)</f>
        <v>ZSI1_SHELV_STORAGE</v>
      </c>
      <c r="H13505" s="63" t="str">
        <f>IFERROR(__xludf.DUMMYFUNCTION("VLOOKUP(F13505, IMPORTRANGE(""https://docs.google.com/spreadsheets/d/1Lhp9OU0JdFf_VYSMzH5lBcEaU4o8teT1piV-SNzShjg/edit?gid=554141278#gid=554141278"", ""'Char Def. - Attributes'!C20:C2242""), 1,false)"),"HS_CODE")</f>
        <v>HS_CODE</v>
      </c>
      <c r="I13505" s="136"/>
      <c r="R13505" s="63" t="str">
        <f t="shared" si="60"/>
        <v>ZSI1_SHELV_STORAGEHS_CODE</v>
      </c>
    </row>
    <row r="13506" ht="15.75" customHeight="1">
      <c r="B13506" s="63">
        <f t="shared" si="1"/>
        <v>18</v>
      </c>
      <c r="C13506" s="135" t="s">
        <v>328</v>
      </c>
      <c r="D13506" s="161" t="s">
        <v>74</v>
      </c>
      <c r="E13506" s="135">
        <f t="shared" si="62"/>
        <v>6</v>
      </c>
      <c r="F13506" s="134" t="s">
        <v>3587</v>
      </c>
      <c r="G13506" s="63" t="str">
        <f>VLOOKUP(C13506, 'Class Def. - General Data'!$C$20:$C$1000,1,false)</f>
        <v>ZSI1_SHELV_STORAGE</v>
      </c>
      <c r="H13506" s="63" t="str">
        <f>IFERROR(__xludf.DUMMYFUNCTION("VLOOKUP(F13506, IMPORTRANGE(""https://docs.google.com/spreadsheets/d/1Lhp9OU0JdFf_VYSMzH5lBcEaU4o8teT1piV-SNzShjg/edit?gid=554141278#gid=554141278"", ""'Char Def. - Attributes'!C20:C2242""), 1,false)"),"PLANT_BUY")</f>
        <v>PLANT_BUY</v>
      </c>
      <c r="I13506" s="136"/>
      <c r="R13506" s="63" t="str">
        <f t="shared" si="60"/>
        <v>ZSI1_SHELV_STORAGEPLANT_BUY</v>
      </c>
    </row>
    <row r="13507" ht="15.75" customHeight="1">
      <c r="B13507" s="63">
        <f t="shared" si="1"/>
        <v>18</v>
      </c>
      <c r="C13507" s="135" t="s">
        <v>328</v>
      </c>
      <c r="D13507" s="161" t="s">
        <v>74</v>
      </c>
      <c r="E13507" s="135">
        <f t="shared" si="62"/>
        <v>7</v>
      </c>
      <c r="F13507" s="134" t="s">
        <v>5407</v>
      </c>
      <c r="G13507" s="63" t="str">
        <f>VLOOKUP(C13507, 'Class Def. - General Data'!$C$20:$C$1000,1,false)</f>
        <v>ZSI1_SHELV_STORAGE</v>
      </c>
      <c r="H13507" s="63" t="str">
        <f>IFERROR(__xludf.DUMMYFUNCTION("VLOOKUP(F13507, IMPORTRANGE(""https://docs.google.com/spreadsheets/d/1Lhp9OU0JdFf_VYSMzH5lBcEaU4o8teT1piV-SNzShjg/edit?gid=554141278#gid=554141278"", ""'Char Def. - Attributes'!C20:C2242""), 1,false)"),"BASE_UOM_SHELV_STORAGE")</f>
        <v>BASE_UOM_SHELV_STORAGE</v>
      </c>
      <c r="I13507" s="136"/>
      <c r="R13507" s="63" t="str">
        <f t="shared" si="60"/>
        <v>ZSI1_SHELV_STORAGEBASE_UOM_SHELV_STORAGE</v>
      </c>
    </row>
    <row r="13508" ht="15.75" customHeight="1">
      <c r="B13508" s="63">
        <f t="shared" si="1"/>
        <v>18</v>
      </c>
      <c r="C13508" s="135" t="s">
        <v>328</v>
      </c>
      <c r="D13508" s="161" t="s">
        <v>74</v>
      </c>
      <c r="E13508" s="135">
        <f t="shared" si="62"/>
        <v>8</v>
      </c>
      <c r="F13508" s="134" t="s">
        <v>5408</v>
      </c>
      <c r="G13508" s="63" t="str">
        <f>VLOOKUP(C13508, 'Class Def. - General Data'!$C$20:$C$1000,1,false)</f>
        <v>ZSI1_SHELV_STORAGE</v>
      </c>
      <c r="H13508" s="63" t="str">
        <f>IFERROR(__xludf.DUMMYFUNCTION("VLOOKUP(F13508, IMPORTRANGE(""https://docs.google.com/spreadsheets/d/1Lhp9OU0JdFf_VYSMzH5lBcEaU4o8teT1piV-SNzShjg/edit?gid=554141278#gid=554141278"", ""'Char Def. - Attributes'!C20:C2242""), 1,false)"),"ORDER_UNIT_SHELV_STORAGE")</f>
        <v>ORDER_UNIT_SHELV_STORAGE</v>
      </c>
      <c r="I13508" s="136"/>
      <c r="R13508" s="63" t="str">
        <f t="shared" si="60"/>
        <v>ZSI1_SHELV_STORAGEORDER_UNIT_SHELV_STORAGE</v>
      </c>
    </row>
    <row r="13509" ht="15.75" customHeight="1">
      <c r="B13509" s="63">
        <f t="shared" si="1"/>
        <v>18</v>
      </c>
      <c r="C13509" s="135" t="s">
        <v>328</v>
      </c>
      <c r="D13509" s="161" t="s">
        <v>74</v>
      </c>
      <c r="E13509" s="135">
        <f t="shared" si="62"/>
        <v>9</v>
      </c>
      <c r="F13509" s="134" t="s">
        <v>4056</v>
      </c>
      <c r="G13509" s="63" t="str">
        <f>VLOOKUP(C13509, 'Class Def. - General Data'!$C$20:$C$1000,1,false)</f>
        <v>ZSI1_SHELV_STORAGE</v>
      </c>
      <c r="H13509" s="63" t="str">
        <f>IFERROR(__xludf.DUMMYFUNCTION("VLOOKUP(F13509, IMPORTRANGE(""https://docs.google.com/spreadsheets/d/1Lhp9OU0JdFf_VYSMzH5lBcEaU4o8teT1piV-SNzShjg/edit?gid=554141278#gid=554141278"", ""'Char Def. - Attributes'!C20:C2242""), 1,false)"),"GROSS_WEIGHT_OPT")</f>
        <v>GROSS_WEIGHT_OPT</v>
      </c>
      <c r="I13509" s="136"/>
      <c r="R13509" s="63" t="str">
        <f t="shared" si="60"/>
        <v>ZSI1_SHELV_STORAGEGROSS_WEIGHT_OPT</v>
      </c>
    </row>
    <row r="13510" ht="15.75" customHeight="1">
      <c r="B13510" s="63">
        <f t="shared" si="1"/>
        <v>18</v>
      </c>
      <c r="C13510" s="135" t="s">
        <v>328</v>
      </c>
      <c r="D13510" s="161" t="s">
        <v>74</v>
      </c>
      <c r="E13510" s="135">
        <f t="shared" si="62"/>
        <v>10</v>
      </c>
      <c r="F13510" s="134" t="s">
        <v>4057</v>
      </c>
      <c r="G13510" s="63" t="str">
        <f>VLOOKUP(C13510, 'Class Def. - General Data'!$C$20:$C$1000,1,false)</f>
        <v>ZSI1_SHELV_STORAGE</v>
      </c>
      <c r="H13510" s="63" t="str">
        <f>IFERROR(__xludf.DUMMYFUNCTION("VLOOKUP(F13510, IMPORTRANGE(""https://docs.google.com/spreadsheets/d/1Lhp9OU0JdFf_VYSMzH5lBcEaU4o8teT1piV-SNzShjg/edit?gid=554141278#gid=554141278"", ""'Char Def. - Attributes'!C20:C2242""), 1,false)"),"NET_WEIGHT_OPT")</f>
        <v>NET_WEIGHT_OPT</v>
      </c>
      <c r="I13510" s="136"/>
      <c r="R13510" s="63" t="str">
        <f t="shared" si="60"/>
        <v>ZSI1_SHELV_STORAGENET_WEIGHT_OPT</v>
      </c>
    </row>
    <row r="13511" ht="15.75" customHeight="1">
      <c r="B13511" s="63">
        <f t="shared" si="1"/>
        <v>18</v>
      </c>
      <c r="C13511" s="135" t="s">
        <v>328</v>
      </c>
      <c r="D13511" s="161" t="s">
        <v>74</v>
      </c>
      <c r="E13511" s="135">
        <f t="shared" si="62"/>
        <v>11</v>
      </c>
      <c r="F13511" s="134" t="s">
        <v>4058</v>
      </c>
      <c r="G13511" s="63" t="str">
        <f>VLOOKUP(C13511, 'Class Def. - General Data'!$C$20:$C$1000,1,false)</f>
        <v>ZSI1_SHELV_STORAGE</v>
      </c>
      <c r="H13511" s="63" t="str">
        <f>IFERROR(__xludf.DUMMYFUNCTION("VLOOKUP(F13511, IMPORTRANGE(""https://docs.google.com/spreadsheets/d/1Lhp9OU0JdFf_VYSMzH5lBcEaU4o8teT1piV-SNzShjg/edit?gid=554141278#gid=554141278"", ""'Char Def. - Attributes'!C20:C2242""), 1,false)"),"WEIGHT_UNIT_SI")</f>
        <v>WEIGHT_UNIT_SI</v>
      </c>
      <c r="I13511" s="136"/>
      <c r="R13511" s="63" t="str">
        <f t="shared" si="60"/>
        <v>ZSI1_SHELV_STORAGEWEIGHT_UNIT_SI</v>
      </c>
    </row>
    <row r="13512" ht="15.75" customHeight="1">
      <c r="B13512" s="63">
        <f t="shared" si="1"/>
        <v>18</v>
      </c>
      <c r="C13512" s="135" t="s">
        <v>328</v>
      </c>
      <c r="D13512" s="161" t="s">
        <v>74</v>
      </c>
      <c r="E13512" s="135">
        <f t="shared" si="62"/>
        <v>12</v>
      </c>
      <c r="F13512" s="134" t="s">
        <v>3877</v>
      </c>
      <c r="G13512" s="63" t="str">
        <f>VLOOKUP(C13512, 'Class Def. - General Data'!$C$20:$C$1000,1,false)</f>
        <v>ZSI1_SHELV_STORAGE</v>
      </c>
      <c r="H13512" s="63" t="str">
        <f>IFERROR(__xludf.DUMMYFUNCTION("VLOOKUP(F13512, IMPORTRANGE(""https://docs.google.com/spreadsheets/d/1Lhp9OU0JdFf_VYSMzH5lBcEaU4o8teT1piV-SNzShjg/edit?gid=554141278#gid=554141278"", ""'Char Def. - Attributes'!C20:C2242""), 1,false)"),"VOLUME_OPT")</f>
        <v>VOLUME_OPT</v>
      </c>
      <c r="I13512" s="136"/>
      <c r="R13512" s="63" t="str">
        <f t="shared" si="60"/>
        <v>ZSI1_SHELV_STORAGEVOLUME_OPT</v>
      </c>
    </row>
    <row r="13513" ht="15.75" customHeight="1">
      <c r="B13513" s="63">
        <f t="shared" si="1"/>
        <v>18</v>
      </c>
      <c r="C13513" s="135" t="s">
        <v>328</v>
      </c>
      <c r="D13513" s="161" t="s">
        <v>74</v>
      </c>
      <c r="E13513" s="135">
        <f t="shared" si="62"/>
        <v>13</v>
      </c>
      <c r="F13513" s="134" t="s">
        <v>4059</v>
      </c>
      <c r="G13513" s="63" t="str">
        <f>VLOOKUP(C13513, 'Class Def. - General Data'!$C$20:$C$1000,1,false)</f>
        <v>ZSI1_SHELV_STORAGE</v>
      </c>
      <c r="H13513" s="63" t="str">
        <f>IFERROR(__xludf.DUMMYFUNCTION("VLOOKUP(F13513, IMPORTRANGE(""https://docs.google.com/spreadsheets/d/1Lhp9OU0JdFf_VYSMzH5lBcEaU4o8teT1piV-SNzShjg/edit?gid=554141278#gid=554141278"", ""'Char Def. - Attributes'!C20:C2242""), 1,false)"),"VOLUME_UNIT_SI")</f>
        <v>VOLUME_UNIT_SI</v>
      </c>
      <c r="I13513" s="136"/>
      <c r="R13513" s="63" t="str">
        <f t="shared" si="60"/>
        <v>ZSI1_SHELV_STORAGEVOLUME_UNIT_SI</v>
      </c>
    </row>
    <row r="13514" ht="15.75" customHeight="1">
      <c r="B13514" s="63">
        <f t="shared" si="1"/>
        <v>18</v>
      </c>
      <c r="C13514" s="135" t="s">
        <v>328</v>
      </c>
      <c r="D13514" s="161" t="s">
        <v>74</v>
      </c>
      <c r="E13514" s="135">
        <f t="shared" si="62"/>
        <v>14</v>
      </c>
      <c r="F13514" s="134" t="s">
        <v>3804</v>
      </c>
      <c r="G13514" s="63" t="str">
        <f>VLOOKUP(C13514, 'Class Def. - General Data'!$C$20:$C$1000,1,false)</f>
        <v>ZSI1_SHELV_STORAGE</v>
      </c>
      <c r="H13514" s="63" t="str">
        <f>IFERROR(__xludf.DUMMYFUNCTION("VLOOKUP(F13514, IMPORTRANGE(""https://docs.google.com/spreadsheets/d/1Lhp9OU0JdFf_VYSMzH5lBcEaU4o8teT1piV-SNzShjg/edit?gid=554141278#gid=554141278"", ""'Char Def. - Attributes'!C20:C2242""), 1,false)"),"ALT_UOM1_SIPI")</f>
        <v>ALT_UOM1_SIPI</v>
      </c>
      <c r="I13514" s="136"/>
      <c r="R13514" s="63" t="str">
        <f t="shared" si="60"/>
        <v>ZSI1_SHELV_STORAGEALT_UOM1_SIPI</v>
      </c>
    </row>
    <row r="13515" ht="15.75" customHeight="1">
      <c r="B13515" s="63">
        <f t="shared" si="1"/>
        <v>18</v>
      </c>
      <c r="C13515" s="135" t="s">
        <v>328</v>
      </c>
      <c r="D13515" s="161" t="s">
        <v>74</v>
      </c>
      <c r="E13515" s="135">
        <f t="shared" si="62"/>
        <v>15</v>
      </c>
      <c r="F13515" s="134" t="s">
        <v>3805</v>
      </c>
      <c r="G13515" s="63" t="str">
        <f>VLOOKUP(C13515, 'Class Def. - General Data'!$C$20:$C$1000,1,false)</f>
        <v>ZSI1_SHELV_STORAGE</v>
      </c>
      <c r="H13515" s="63" t="str">
        <f>IFERROR(__xludf.DUMMYFUNCTION("VLOOKUP(F13515, IMPORTRANGE(""https://docs.google.com/spreadsheets/d/1Lhp9OU0JdFf_VYSMzH5lBcEaU4o8teT1piV-SNzShjg/edit?gid=554141278#gid=554141278"", ""'Char Def. - Attributes'!C20:C2242""), 1,false)"),"ALT_DENUM_UOM1")</f>
        <v>ALT_DENUM_UOM1</v>
      </c>
      <c r="I13515" s="136"/>
      <c r="R13515" s="63" t="str">
        <f t="shared" si="60"/>
        <v>ZSI1_SHELV_STORAGEALT_DENUM_UOM1</v>
      </c>
    </row>
    <row r="13516" ht="15.75" customHeight="1">
      <c r="B13516" s="63">
        <f t="shared" si="1"/>
        <v>18</v>
      </c>
      <c r="C13516" s="135" t="s">
        <v>328</v>
      </c>
      <c r="D13516" s="161" t="s">
        <v>74</v>
      </c>
      <c r="E13516" s="135">
        <f t="shared" si="62"/>
        <v>16</v>
      </c>
      <c r="F13516" s="134" t="s">
        <v>3806</v>
      </c>
      <c r="G13516" s="63" t="str">
        <f>VLOOKUP(C13516, 'Class Def. - General Data'!$C$20:$C$1000,1,false)</f>
        <v>ZSI1_SHELV_STORAGE</v>
      </c>
      <c r="H13516" s="63" t="str">
        <f>IFERROR(__xludf.DUMMYFUNCTION("VLOOKUP(F13516, IMPORTRANGE(""https://docs.google.com/spreadsheets/d/1Lhp9OU0JdFf_VYSMzH5lBcEaU4o8teT1piV-SNzShjg/edit?gid=554141278#gid=554141278"", ""'Char Def. - Attributes'!C20:C2242""), 1,false)"),"ALT_NUM_UOM1")</f>
        <v>ALT_NUM_UOM1</v>
      </c>
      <c r="I13516" s="136"/>
      <c r="R13516" s="63" t="str">
        <f t="shared" si="60"/>
        <v>ZSI1_SHELV_STORAGEALT_NUM_UOM1</v>
      </c>
    </row>
    <row r="13517" ht="15.75" customHeight="1">
      <c r="B13517" s="63">
        <f t="shared" si="1"/>
        <v>18</v>
      </c>
      <c r="C13517" s="135" t="s">
        <v>328</v>
      </c>
      <c r="D13517" s="161" t="s">
        <v>74</v>
      </c>
      <c r="E13517" s="135">
        <f t="shared" si="62"/>
        <v>17</v>
      </c>
      <c r="F13517" s="134" t="s">
        <v>3807</v>
      </c>
      <c r="G13517" s="63" t="str">
        <f>VLOOKUP(C13517, 'Class Def. - General Data'!$C$20:$C$1000,1,false)</f>
        <v>ZSI1_SHELV_STORAGE</v>
      </c>
      <c r="H13517" s="63" t="str">
        <f>IFERROR(__xludf.DUMMYFUNCTION("VLOOKUP(F13517, IMPORTRANGE(""https://docs.google.com/spreadsheets/d/1Lhp9OU0JdFf_VYSMzH5lBcEaU4o8teT1piV-SNzShjg/edit?gid=554141278#gid=554141278"", ""'Char Def. - Attributes'!C20:C2242""), 1,false)"),"ALT_UOM2_SIPI")</f>
        <v>ALT_UOM2_SIPI</v>
      </c>
      <c r="I13517" s="136"/>
      <c r="R13517" s="63" t="str">
        <f t="shared" si="60"/>
        <v>ZSI1_SHELV_STORAGEALT_UOM2_SIPI</v>
      </c>
    </row>
    <row r="13518" ht="15.75" customHeight="1">
      <c r="B13518" s="63">
        <f t="shared" si="1"/>
        <v>18</v>
      </c>
      <c r="C13518" s="135" t="s">
        <v>328</v>
      </c>
      <c r="D13518" s="161" t="s">
        <v>74</v>
      </c>
      <c r="E13518" s="135">
        <f t="shared" si="62"/>
        <v>18</v>
      </c>
      <c r="F13518" s="134" t="s">
        <v>3808</v>
      </c>
      <c r="G13518" s="63" t="str">
        <f>VLOOKUP(C13518, 'Class Def. - General Data'!$C$20:$C$1000,1,false)</f>
        <v>ZSI1_SHELV_STORAGE</v>
      </c>
      <c r="H13518" s="63" t="str">
        <f>IFERROR(__xludf.DUMMYFUNCTION("VLOOKUP(F13518, IMPORTRANGE(""https://docs.google.com/spreadsheets/d/1Lhp9OU0JdFf_VYSMzH5lBcEaU4o8teT1piV-SNzShjg/edit?gid=554141278#gid=554141278"", ""'Char Def. - Attributes'!C20:C2242""), 1,false)"),"ALT_DENUM_UOM2")</f>
        <v>ALT_DENUM_UOM2</v>
      </c>
      <c r="I13518" s="136"/>
      <c r="R13518" s="63" t="str">
        <f t="shared" si="60"/>
        <v>ZSI1_SHELV_STORAGEALT_DENUM_UOM2</v>
      </c>
    </row>
    <row r="13519" ht="15.75" customHeight="1">
      <c r="B13519" s="63">
        <f t="shared" si="1"/>
        <v>18</v>
      </c>
      <c r="C13519" s="135" t="s">
        <v>328</v>
      </c>
      <c r="D13519" s="161" t="s">
        <v>74</v>
      </c>
      <c r="E13519" s="135">
        <f t="shared" si="62"/>
        <v>19</v>
      </c>
      <c r="F13519" s="134" t="s">
        <v>3809</v>
      </c>
      <c r="G13519" s="63" t="str">
        <f>VLOOKUP(C13519, 'Class Def. - General Data'!$C$20:$C$1000,1,false)</f>
        <v>ZSI1_SHELV_STORAGE</v>
      </c>
      <c r="H13519" s="63" t="str">
        <f>IFERROR(__xludf.DUMMYFUNCTION("VLOOKUP(F13519, IMPORTRANGE(""https://docs.google.com/spreadsheets/d/1Lhp9OU0JdFf_VYSMzH5lBcEaU4o8teT1piV-SNzShjg/edit?gid=554141278#gid=554141278"", ""'Char Def. - Attributes'!C20:C2242""), 1,false)"),"ALT_NUM_UOM2")</f>
        <v>ALT_NUM_UOM2</v>
      </c>
      <c r="I13519" s="136"/>
      <c r="R13519" s="63" t="str">
        <f t="shared" si="60"/>
        <v>ZSI1_SHELV_STORAGEALT_NUM_UOM2</v>
      </c>
    </row>
    <row r="13520" ht="15.75" customHeight="1">
      <c r="B13520" s="63">
        <f t="shared" si="1"/>
        <v>18</v>
      </c>
      <c r="C13520" s="135" t="s">
        <v>328</v>
      </c>
      <c r="D13520" s="161" t="s">
        <v>74</v>
      </c>
      <c r="E13520" s="135">
        <f t="shared" si="62"/>
        <v>20</v>
      </c>
      <c r="F13520" s="134" t="s">
        <v>3810</v>
      </c>
      <c r="G13520" s="63" t="str">
        <f>VLOOKUP(C13520, 'Class Def. - General Data'!$C$20:$C$1000,1,false)</f>
        <v>ZSI1_SHELV_STORAGE</v>
      </c>
      <c r="H13520" s="63" t="str">
        <f>IFERROR(__xludf.DUMMYFUNCTION("VLOOKUP(F13520, IMPORTRANGE(""https://docs.google.com/spreadsheets/d/1Lhp9OU0JdFf_VYSMzH5lBcEaU4o8teT1piV-SNzShjg/edit?gid=554141278#gid=554141278"", ""'Char Def. - Attributes'!C20:C2242""), 1,false)"),"ALT_UOM3_SIPI")</f>
        <v>ALT_UOM3_SIPI</v>
      </c>
      <c r="I13520" s="136"/>
      <c r="R13520" s="63" t="str">
        <f t="shared" si="60"/>
        <v>ZSI1_SHELV_STORAGEALT_UOM3_SIPI</v>
      </c>
    </row>
    <row r="13521" ht="15.75" customHeight="1">
      <c r="B13521" s="63">
        <f t="shared" si="1"/>
        <v>18</v>
      </c>
      <c r="C13521" s="135" t="s">
        <v>328</v>
      </c>
      <c r="D13521" s="161" t="s">
        <v>74</v>
      </c>
      <c r="E13521" s="135">
        <f t="shared" si="62"/>
        <v>21</v>
      </c>
      <c r="F13521" s="134" t="s">
        <v>3811</v>
      </c>
      <c r="G13521" s="63" t="str">
        <f>VLOOKUP(C13521, 'Class Def. - General Data'!$C$20:$C$1000,1,false)</f>
        <v>ZSI1_SHELV_STORAGE</v>
      </c>
      <c r="H13521" s="63" t="str">
        <f>IFERROR(__xludf.DUMMYFUNCTION("VLOOKUP(F13521, IMPORTRANGE(""https://docs.google.com/spreadsheets/d/1Lhp9OU0JdFf_VYSMzH5lBcEaU4o8teT1piV-SNzShjg/edit?gid=554141278#gid=554141278"", ""'Char Def. - Attributes'!C20:C2242""), 1,false)"),"ALT_DENUM_UOM3")</f>
        <v>ALT_DENUM_UOM3</v>
      </c>
      <c r="I13521" s="136"/>
      <c r="R13521" s="63" t="str">
        <f t="shared" si="60"/>
        <v>ZSI1_SHELV_STORAGEALT_DENUM_UOM3</v>
      </c>
    </row>
    <row r="13522" ht="15.75" customHeight="1">
      <c r="B13522" s="63">
        <f t="shared" si="1"/>
        <v>18</v>
      </c>
      <c r="C13522" s="135" t="s">
        <v>328</v>
      </c>
      <c r="D13522" s="161" t="s">
        <v>74</v>
      </c>
      <c r="E13522" s="135">
        <f t="shared" si="62"/>
        <v>22</v>
      </c>
      <c r="F13522" s="134" t="s">
        <v>3812</v>
      </c>
      <c r="G13522" s="63" t="str">
        <f>VLOOKUP(C13522, 'Class Def. - General Data'!$C$20:$C$1000,1,false)</f>
        <v>ZSI1_SHELV_STORAGE</v>
      </c>
      <c r="H13522" s="63" t="str">
        <f>IFERROR(__xludf.DUMMYFUNCTION("VLOOKUP(F13522, IMPORTRANGE(""https://docs.google.com/spreadsheets/d/1Lhp9OU0JdFf_VYSMzH5lBcEaU4o8teT1piV-SNzShjg/edit?gid=554141278#gid=554141278"", ""'Char Def. - Attributes'!C20:C2242""), 1,false)"),"ALT_NUM_UOM3")</f>
        <v>ALT_NUM_UOM3</v>
      </c>
      <c r="I13522" s="136"/>
      <c r="R13522" s="63" t="str">
        <f t="shared" si="60"/>
        <v>ZSI1_SHELV_STORAGEALT_NUM_UOM3</v>
      </c>
    </row>
    <row r="13523" ht="15.75" customHeight="1">
      <c r="B13523" s="63">
        <f t="shared" si="1"/>
        <v>18</v>
      </c>
      <c r="C13523" s="135" t="s">
        <v>328</v>
      </c>
      <c r="D13523" s="161" t="s">
        <v>74</v>
      </c>
      <c r="E13523" s="135">
        <f t="shared" si="62"/>
        <v>23</v>
      </c>
      <c r="F13523" s="134" t="s">
        <v>3813</v>
      </c>
      <c r="G13523" s="63" t="str">
        <f>VLOOKUP(C13523, 'Class Def. - General Data'!$C$20:$C$1000,1,false)</f>
        <v>ZSI1_SHELV_STORAGE</v>
      </c>
      <c r="H13523" s="63" t="str">
        <f>IFERROR(__xludf.DUMMYFUNCTION("VLOOKUP(F13523, IMPORTRANGE(""https://docs.google.com/spreadsheets/d/1Lhp9OU0JdFf_VYSMzH5lBcEaU4o8teT1piV-SNzShjg/edit?gid=554141278#gid=554141278"", ""'Char Def. - Attributes'!C20:C2242""), 1,false)"),"ALT_UOM4_SIPI")</f>
        <v>ALT_UOM4_SIPI</v>
      </c>
      <c r="I13523" s="136"/>
      <c r="R13523" s="63" t="str">
        <f t="shared" si="60"/>
        <v>ZSI1_SHELV_STORAGEALT_UOM4_SIPI</v>
      </c>
    </row>
    <row r="13524" ht="15.75" customHeight="1">
      <c r="B13524" s="63">
        <f t="shared" si="1"/>
        <v>18</v>
      </c>
      <c r="C13524" s="135" t="s">
        <v>328</v>
      </c>
      <c r="D13524" s="161" t="s">
        <v>74</v>
      </c>
      <c r="E13524" s="135">
        <f t="shared" si="62"/>
        <v>24</v>
      </c>
      <c r="F13524" s="134" t="s">
        <v>3814</v>
      </c>
      <c r="G13524" s="63" t="str">
        <f>VLOOKUP(C13524, 'Class Def. - General Data'!$C$20:$C$1000,1,false)</f>
        <v>ZSI1_SHELV_STORAGE</v>
      </c>
      <c r="H13524" s="63" t="str">
        <f>IFERROR(__xludf.DUMMYFUNCTION("VLOOKUP(F13524, IMPORTRANGE(""https://docs.google.com/spreadsheets/d/1Lhp9OU0JdFf_VYSMzH5lBcEaU4o8teT1piV-SNzShjg/edit?gid=554141278#gid=554141278"", ""'Char Def. - Attributes'!C20:C2242""), 1,false)"),"ALT_DENUM_UOM4")</f>
        <v>ALT_DENUM_UOM4</v>
      </c>
      <c r="I13524" s="136"/>
      <c r="R13524" s="63" t="str">
        <f t="shared" si="60"/>
        <v>ZSI1_SHELV_STORAGEALT_DENUM_UOM4</v>
      </c>
    </row>
    <row r="13525" ht="15.75" customHeight="1">
      <c r="B13525" s="63">
        <f t="shared" si="1"/>
        <v>18</v>
      </c>
      <c r="C13525" s="135" t="s">
        <v>328</v>
      </c>
      <c r="D13525" s="161" t="s">
        <v>74</v>
      </c>
      <c r="E13525" s="135">
        <f t="shared" si="62"/>
        <v>25</v>
      </c>
      <c r="F13525" s="134" t="s">
        <v>3815</v>
      </c>
      <c r="G13525" s="63" t="str">
        <f>VLOOKUP(C13525, 'Class Def. - General Data'!$C$20:$C$1000,1,false)</f>
        <v>ZSI1_SHELV_STORAGE</v>
      </c>
      <c r="H13525" s="63" t="str">
        <f>IFERROR(__xludf.DUMMYFUNCTION("VLOOKUP(F13525, IMPORTRANGE(""https://docs.google.com/spreadsheets/d/1Lhp9OU0JdFf_VYSMzH5lBcEaU4o8teT1piV-SNzShjg/edit?gid=554141278#gid=554141278"", ""'Char Def. - Attributes'!C20:C2242""), 1,false)"),"ALT_NUM_UOM4")</f>
        <v>ALT_NUM_UOM4</v>
      </c>
      <c r="I13525" s="136"/>
      <c r="R13525" s="63" t="str">
        <f t="shared" si="60"/>
        <v>ZSI1_SHELV_STORAGEALT_NUM_UOM4</v>
      </c>
    </row>
    <row r="13526" ht="15.75" customHeight="1">
      <c r="B13526" s="63">
        <f t="shared" si="1"/>
        <v>18</v>
      </c>
      <c r="C13526" s="135" t="s">
        <v>328</v>
      </c>
      <c r="D13526" s="161" t="s">
        <v>74</v>
      </c>
      <c r="E13526" s="135">
        <f t="shared" si="62"/>
        <v>26</v>
      </c>
      <c r="F13526" s="134" t="s">
        <v>3816</v>
      </c>
      <c r="G13526" s="63" t="str">
        <f>VLOOKUP(C13526, 'Class Def. - General Data'!$C$20:$C$1000,1,false)</f>
        <v>ZSI1_SHELV_STORAGE</v>
      </c>
      <c r="H13526" s="63" t="str">
        <f>IFERROR(__xludf.DUMMYFUNCTION("VLOOKUP(F13526, IMPORTRANGE(""https://docs.google.com/spreadsheets/d/1Lhp9OU0JdFf_VYSMzH5lBcEaU4o8teT1piV-SNzShjg/edit?gid=554141278#gid=554141278"", ""'Char Def. - Attributes'!C20:C2242""), 1,false)"),"ALT_UOM5_SIPI")</f>
        <v>ALT_UOM5_SIPI</v>
      </c>
      <c r="I13526" s="136"/>
      <c r="R13526" s="63" t="str">
        <f t="shared" si="60"/>
        <v>ZSI1_SHELV_STORAGEALT_UOM5_SIPI</v>
      </c>
    </row>
    <row r="13527" ht="15.75" customHeight="1">
      <c r="B13527" s="63">
        <f t="shared" si="1"/>
        <v>18</v>
      </c>
      <c r="C13527" s="135" t="s">
        <v>328</v>
      </c>
      <c r="D13527" s="161" t="s">
        <v>74</v>
      </c>
      <c r="E13527" s="135">
        <f t="shared" si="62"/>
        <v>27</v>
      </c>
      <c r="F13527" s="134" t="s">
        <v>3817</v>
      </c>
      <c r="G13527" s="63" t="str">
        <f>VLOOKUP(C13527, 'Class Def. - General Data'!$C$20:$C$1000,1,false)</f>
        <v>ZSI1_SHELV_STORAGE</v>
      </c>
      <c r="H13527" s="63" t="str">
        <f>IFERROR(__xludf.DUMMYFUNCTION("VLOOKUP(F13527, IMPORTRANGE(""https://docs.google.com/spreadsheets/d/1Lhp9OU0JdFf_VYSMzH5lBcEaU4o8teT1piV-SNzShjg/edit?gid=554141278#gid=554141278"", ""'Char Def. - Attributes'!C20:C2242""), 1,false)"),"ALT_DENUM_UOM5")</f>
        <v>ALT_DENUM_UOM5</v>
      </c>
      <c r="I13527" s="136"/>
      <c r="R13527" s="63" t="str">
        <f t="shared" si="60"/>
        <v>ZSI1_SHELV_STORAGEALT_DENUM_UOM5</v>
      </c>
    </row>
    <row r="13528" ht="15.75" customHeight="1">
      <c r="B13528" s="63">
        <f t="shared" si="1"/>
        <v>18</v>
      </c>
      <c r="C13528" s="135" t="s">
        <v>328</v>
      </c>
      <c r="D13528" s="161" t="s">
        <v>74</v>
      </c>
      <c r="E13528" s="135">
        <f t="shared" si="62"/>
        <v>28</v>
      </c>
      <c r="F13528" s="134" t="s">
        <v>3818</v>
      </c>
      <c r="G13528" s="63" t="str">
        <f>VLOOKUP(C13528, 'Class Def. - General Data'!$C$20:$C$1000,1,false)</f>
        <v>ZSI1_SHELV_STORAGE</v>
      </c>
      <c r="H13528" s="63" t="str">
        <f>IFERROR(__xludf.DUMMYFUNCTION("VLOOKUP(F13528, IMPORTRANGE(""https://docs.google.com/spreadsheets/d/1Lhp9OU0JdFf_VYSMzH5lBcEaU4o8teT1piV-SNzShjg/edit?gid=554141278#gid=554141278"", ""'Char Def. - Attributes'!C20:C2242""), 1,false)"),"ALT_NUM_UOM5")</f>
        <v>ALT_NUM_UOM5</v>
      </c>
      <c r="I13528" s="136"/>
      <c r="R13528" s="63" t="str">
        <f t="shared" si="60"/>
        <v>ZSI1_SHELV_STORAGEALT_NUM_UOM5</v>
      </c>
    </row>
    <row r="13529" ht="15.75" customHeight="1">
      <c r="B13529" s="63">
        <f t="shared" si="1"/>
        <v>16</v>
      </c>
      <c r="C13529" s="135" t="s">
        <v>462</v>
      </c>
      <c r="D13529" s="161" t="s">
        <v>74</v>
      </c>
      <c r="E13529" s="135">
        <f t="shared" si="62"/>
        <v>1</v>
      </c>
      <c r="F13529" s="134" t="s">
        <v>5409</v>
      </c>
      <c r="G13529" s="63" t="str">
        <f>VLOOKUP(C13529, 'Class Def. - General Data'!$C$20:$C$1000,1,false)</f>
        <v>ZSI1_SHOE_SANDAL</v>
      </c>
      <c r="H13529" s="63" t="str">
        <f>IFERROR(__xludf.DUMMYFUNCTION("VLOOKUP(F13529, IMPORTRANGE(""https://docs.google.com/spreadsheets/d/1Lhp9OU0JdFf_VYSMzH5lBcEaU4o8teT1piV-SNzShjg/edit?gid=554141278#gid=554141278"", ""'Char Def. - Attributes'!C20:C2242""), 1,false)"),"ITEM_NAME_SHOE_SANDAL")</f>
        <v>ITEM_NAME_SHOE_SANDAL</v>
      </c>
      <c r="I13529" s="136"/>
      <c r="R13529" s="63" t="str">
        <f t="shared" si="60"/>
        <v>ZSI1_SHOE_SANDALITEM_NAME_SHOE_SANDAL</v>
      </c>
    </row>
    <row r="13530" ht="15.75" customHeight="1">
      <c r="B13530" s="63">
        <f t="shared" si="1"/>
        <v>16</v>
      </c>
      <c r="C13530" s="135" t="s">
        <v>462</v>
      </c>
      <c r="D13530" s="161" t="s">
        <v>74</v>
      </c>
      <c r="E13530" s="135">
        <f t="shared" si="62"/>
        <v>2</v>
      </c>
      <c r="F13530" s="134" t="s">
        <v>3782</v>
      </c>
      <c r="G13530" s="63" t="str">
        <f>VLOOKUP(C13530, 'Class Def. - General Data'!$C$20:$C$1000,1,false)</f>
        <v>ZSI1_SHOE_SANDAL</v>
      </c>
      <c r="H13530" s="63" t="str">
        <f>IFERROR(__xludf.DUMMYFUNCTION("VLOOKUP(F13530, IMPORTRANGE(""https://docs.google.com/spreadsheets/d/1Lhp9OU0JdFf_VYSMzH5lBcEaU4o8teT1piV-SNzShjg/edit?gid=554141278#gid=554141278"", ""'Char Def. - Attributes'!C20:C2242""), 1,false)"),"BRAND_EXTERNAL")</f>
        <v>BRAND_EXTERNAL</v>
      </c>
      <c r="I13530" s="136"/>
      <c r="R13530" s="63" t="str">
        <f t="shared" si="60"/>
        <v>ZSI1_SHOE_SANDALBRAND_EXTERNAL</v>
      </c>
    </row>
    <row r="13531" ht="15.75" customHeight="1">
      <c r="B13531" s="63">
        <f t="shared" si="1"/>
        <v>16</v>
      </c>
      <c r="C13531" s="135" t="s">
        <v>462</v>
      </c>
      <c r="D13531" s="161" t="s">
        <v>74</v>
      </c>
      <c r="E13531" s="135">
        <f t="shared" si="62"/>
        <v>3</v>
      </c>
      <c r="F13531" s="134" t="s">
        <v>5410</v>
      </c>
      <c r="G13531" s="63" t="str">
        <f>VLOOKUP(C13531, 'Class Def. - General Data'!$C$20:$C$1000,1,false)</f>
        <v>ZSI1_SHOE_SANDAL</v>
      </c>
      <c r="H13531" s="63" t="str">
        <f>IFERROR(__xludf.DUMMYFUNCTION("VLOOKUP(F13531, IMPORTRANGE(""https://docs.google.com/spreadsheets/d/1Lhp9OU0JdFf_VYSMzH5lBcEaU4o8teT1piV-SNzShjg/edit?gid=554141278#gid=554141278"", ""'Char Def. - Attributes'!C20:C2242""), 1,false)"),"SERIES_SHOE_SANDAL")</f>
        <v>SERIES_SHOE_SANDAL</v>
      </c>
      <c r="I13531" s="136"/>
      <c r="R13531" s="63" t="str">
        <f t="shared" si="60"/>
        <v>ZSI1_SHOE_SANDALSERIES_SHOE_SANDAL</v>
      </c>
    </row>
    <row r="13532" ht="15.75" customHeight="1">
      <c r="B13532" s="63">
        <f t="shared" si="1"/>
        <v>16</v>
      </c>
      <c r="C13532" s="135" t="s">
        <v>462</v>
      </c>
      <c r="D13532" s="161" t="s">
        <v>74</v>
      </c>
      <c r="E13532" s="135">
        <f t="shared" si="62"/>
        <v>4</v>
      </c>
      <c r="F13532" s="134" t="s">
        <v>5411</v>
      </c>
      <c r="G13532" s="63" t="str">
        <f>VLOOKUP(C13532, 'Class Def. - General Data'!$C$20:$C$1000,1,false)</f>
        <v>ZSI1_SHOE_SANDAL</v>
      </c>
      <c r="H13532" s="63" t="str">
        <f>IFERROR(__xludf.DUMMYFUNCTION("VLOOKUP(F13532, IMPORTRANGE(""https://docs.google.com/spreadsheets/d/1Lhp9OU0JdFf_VYSMzH5lBcEaU4o8teT1piV-SNzShjg/edit?gid=554141278#gid=554141278"", ""'Char Def. - Attributes'!C20:C2242""), 1,false)"),"MATERIAL_SHOE_SANDAL")</f>
        <v>MATERIAL_SHOE_SANDAL</v>
      </c>
      <c r="I13532" s="136"/>
      <c r="R13532" s="63" t="str">
        <f t="shared" si="60"/>
        <v>ZSI1_SHOE_SANDALMATERIAL_SHOE_SANDAL</v>
      </c>
    </row>
    <row r="13533" ht="15.75" customHeight="1">
      <c r="B13533" s="63">
        <f t="shared" si="1"/>
        <v>16</v>
      </c>
      <c r="C13533" s="135" t="s">
        <v>462</v>
      </c>
      <c r="D13533" s="161" t="s">
        <v>74</v>
      </c>
      <c r="E13533" s="135">
        <f t="shared" si="62"/>
        <v>5</v>
      </c>
      <c r="F13533" s="134" t="s">
        <v>5412</v>
      </c>
      <c r="G13533" s="63" t="str">
        <f>VLOOKUP(C13533, 'Class Def. - General Data'!$C$20:$C$1000,1,false)</f>
        <v>ZSI1_SHOE_SANDAL</v>
      </c>
      <c r="H13533" s="63" t="str">
        <f>IFERROR(__xludf.DUMMYFUNCTION("VLOOKUP(F13533, IMPORTRANGE(""https://docs.google.com/spreadsheets/d/1Lhp9OU0JdFf_VYSMzH5lBcEaU4o8teT1piV-SNzShjg/edit?gid=554141278#gid=554141278"", ""'Char Def. - Attributes'!C20:C2242""), 1,false)"),"SIZE_SHOE_SANDAL")</f>
        <v>SIZE_SHOE_SANDAL</v>
      </c>
      <c r="I13533" s="136"/>
      <c r="R13533" s="63" t="str">
        <f t="shared" si="60"/>
        <v>ZSI1_SHOE_SANDALSIZE_SHOE_SANDAL</v>
      </c>
    </row>
    <row r="13534" ht="15.75" customHeight="1">
      <c r="B13534" s="63">
        <f t="shared" si="1"/>
        <v>16</v>
      </c>
      <c r="C13534" s="135" t="s">
        <v>462</v>
      </c>
      <c r="D13534" s="161" t="s">
        <v>74</v>
      </c>
      <c r="E13534" s="135">
        <f t="shared" si="62"/>
        <v>6</v>
      </c>
      <c r="F13534" s="134" t="s">
        <v>3778</v>
      </c>
      <c r="G13534" s="63" t="str">
        <f>VLOOKUP(C13534, 'Class Def. - General Data'!$C$20:$C$1000,1,false)</f>
        <v>ZSI1_SHOE_SANDAL</v>
      </c>
      <c r="H13534" s="63" t="str">
        <f>IFERROR(__xludf.DUMMYFUNCTION("VLOOKUP(F13534, IMPORTRANGE(""https://docs.google.com/spreadsheets/d/1Lhp9OU0JdFf_VYSMzH5lBcEaU4o8teT1piV-SNzShjg/edit?gid=554141278#gid=554141278"", ""'Char Def. - Attributes'!C20:C2242""), 1,false)"),"SPECIAL_ACTIVITY")</f>
        <v>SPECIAL_ACTIVITY</v>
      </c>
      <c r="I13534" s="136"/>
      <c r="R13534" s="63" t="str">
        <f t="shared" si="60"/>
        <v>ZSI1_SHOE_SANDALSPECIAL_ACTIVITY</v>
      </c>
    </row>
    <row r="13535" ht="15.75" customHeight="1">
      <c r="B13535" s="63">
        <f t="shared" si="1"/>
        <v>16</v>
      </c>
      <c r="C13535" s="135" t="s">
        <v>462</v>
      </c>
      <c r="D13535" s="161" t="s">
        <v>74</v>
      </c>
      <c r="E13535" s="135">
        <f t="shared" si="62"/>
        <v>7</v>
      </c>
      <c r="F13535" s="134" t="s">
        <v>3779</v>
      </c>
      <c r="G13535" s="63" t="str">
        <f>VLOOKUP(C13535, 'Class Def. - General Data'!$C$20:$C$1000,1,false)</f>
        <v>ZSI1_SHOE_SANDAL</v>
      </c>
      <c r="H13535" s="63" t="str">
        <f>IFERROR(__xludf.DUMMYFUNCTION("VLOOKUP(F13535, IMPORTRANGE(""https://docs.google.com/spreadsheets/d/1Lhp9OU0JdFf_VYSMzH5lBcEaU4o8teT1piV-SNzShjg/edit?gid=554141278#gid=554141278"", ""'Char Def. - Attributes'!C20:C2242""), 1,false)"),"EMBOSSED_BRAND_WINGS")</f>
        <v>EMBOSSED_BRAND_WINGS</v>
      </c>
      <c r="I13535" s="136"/>
      <c r="R13535" s="63" t="str">
        <f t="shared" si="60"/>
        <v>ZSI1_SHOE_SANDALEMBOSSED_BRAND_WINGS</v>
      </c>
    </row>
    <row r="13536" ht="15.75" customHeight="1">
      <c r="B13536" s="63">
        <f t="shared" si="1"/>
        <v>16</v>
      </c>
      <c r="C13536" s="135" t="s">
        <v>462</v>
      </c>
      <c r="D13536" s="161" t="s">
        <v>74</v>
      </c>
      <c r="E13536" s="135">
        <f t="shared" si="62"/>
        <v>8</v>
      </c>
      <c r="F13536" s="134" t="s">
        <v>3780</v>
      </c>
      <c r="G13536" s="63" t="str">
        <f>VLOOKUP(C13536, 'Class Def. - General Data'!$C$20:$C$1000,1,false)</f>
        <v>ZSI1_SHOE_SANDAL</v>
      </c>
      <c r="H13536" s="63" t="str">
        <f>IFERROR(__xludf.DUMMYFUNCTION("VLOOKUP(F13536, IMPORTRANGE(""https://docs.google.com/spreadsheets/d/1Lhp9OU0JdFf_VYSMzH5lBcEaU4o8teT1piV-SNzShjg/edit?gid=554141278#gid=554141278"", ""'Char Def. - Attributes'!C20:C2242""), 1,false)"),"BRAND_WINGS_SIPI")</f>
        <v>BRAND_WINGS_SIPI</v>
      </c>
      <c r="I13536" s="136"/>
      <c r="R13536" s="63" t="str">
        <f t="shared" si="60"/>
        <v>ZSI1_SHOE_SANDALBRAND_WINGS_SIPI</v>
      </c>
    </row>
    <row r="13537" ht="15.75" customHeight="1">
      <c r="B13537" s="63">
        <f t="shared" si="1"/>
        <v>16</v>
      </c>
      <c r="C13537" s="135" t="s">
        <v>462</v>
      </c>
      <c r="D13537" s="161" t="s">
        <v>74</v>
      </c>
      <c r="E13537" s="135">
        <f t="shared" si="62"/>
        <v>9</v>
      </c>
      <c r="F13537" s="134" t="s">
        <v>3585</v>
      </c>
      <c r="G13537" s="63" t="str">
        <f>VLOOKUP(C13537, 'Class Def. - General Data'!$C$20:$C$1000,1,false)</f>
        <v>ZSI1_SHOE_SANDAL</v>
      </c>
      <c r="H13537" s="63" t="str">
        <f>IFERROR(__xludf.DUMMYFUNCTION("VLOOKUP(F13537, IMPORTRANGE(""https://docs.google.com/spreadsheets/d/1Lhp9OU0JdFf_VYSMzH5lBcEaU4o8teT1piV-SNzShjg/edit?gid=554141278#gid=554141278"", ""'Char Def. - Attributes'!C20:C2242""), 1,false)"),"HS_CODE")</f>
        <v>HS_CODE</v>
      </c>
      <c r="I13537" s="136"/>
      <c r="R13537" s="63" t="str">
        <f t="shared" si="60"/>
        <v>ZSI1_SHOE_SANDALHS_CODE</v>
      </c>
    </row>
    <row r="13538" ht="15.75" customHeight="1">
      <c r="B13538" s="63">
        <f t="shared" si="1"/>
        <v>16</v>
      </c>
      <c r="C13538" s="135" t="s">
        <v>462</v>
      </c>
      <c r="D13538" s="161" t="s">
        <v>74</v>
      </c>
      <c r="E13538" s="135">
        <f t="shared" si="62"/>
        <v>10</v>
      </c>
      <c r="F13538" s="134" t="s">
        <v>3587</v>
      </c>
      <c r="G13538" s="63" t="str">
        <f>VLOOKUP(C13538, 'Class Def. - General Data'!$C$20:$C$1000,1,false)</f>
        <v>ZSI1_SHOE_SANDAL</v>
      </c>
      <c r="H13538" s="63" t="str">
        <f>IFERROR(__xludf.DUMMYFUNCTION("VLOOKUP(F13538, IMPORTRANGE(""https://docs.google.com/spreadsheets/d/1Lhp9OU0JdFf_VYSMzH5lBcEaU4o8teT1piV-SNzShjg/edit?gid=554141278#gid=554141278"", ""'Char Def. - Attributes'!C20:C2242""), 1,false)"),"PLANT_BUY")</f>
        <v>PLANT_BUY</v>
      </c>
      <c r="I13538" s="136"/>
      <c r="R13538" s="63" t="str">
        <f t="shared" si="60"/>
        <v>ZSI1_SHOE_SANDALPLANT_BUY</v>
      </c>
    </row>
    <row r="13539" ht="15.75" customHeight="1">
      <c r="B13539" s="63">
        <f t="shared" si="1"/>
        <v>16</v>
      </c>
      <c r="C13539" s="135" t="s">
        <v>462</v>
      </c>
      <c r="D13539" s="161" t="s">
        <v>74</v>
      </c>
      <c r="E13539" s="135">
        <f t="shared" si="62"/>
        <v>11</v>
      </c>
      <c r="F13539" s="134" t="s">
        <v>5413</v>
      </c>
      <c r="G13539" s="63" t="str">
        <f>VLOOKUP(C13539, 'Class Def. - General Data'!$C$20:$C$1000,1,false)</f>
        <v>ZSI1_SHOE_SANDAL</v>
      </c>
      <c r="H13539" s="63" t="str">
        <f>IFERROR(__xludf.DUMMYFUNCTION("VLOOKUP(F13539, IMPORTRANGE(""https://docs.google.com/spreadsheets/d/1Lhp9OU0JdFf_VYSMzH5lBcEaU4o8teT1piV-SNzShjg/edit?gid=554141278#gid=554141278"", ""'Char Def. - Attributes'!C20:C2242""), 1,false)"),"BASE_UOM_SHOE_SANDAL")</f>
        <v>BASE_UOM_SHOE_SANDAL</v>
      </c>
      <c r="I13539" s="136"/>
      <c r="R13539" s="63" t="str">
        <f t="shared" si="60"/>
        <v>ZSI1_SHOE_SANDALBASE_UOM_SHOE_SANDAL</v>
      </c>
    </row>
    <row r="13540" ht="15.75" customHeight="1">
      <c r="B13540" s="63">
        <f t="shared" si="1"/>
        <v>16</v>
      </c>
      <c r="C13540" s="135" t="s">
        <v>462</v>
      </c>
      <c r="D13540" s="161" t="s">
        <v>74</v>
      </c>
      <c r="E13540" s="135">
        <f t="shared" si="62"/>
        <v>12</v>
      </c>
      <c r="F13540" s="134" t="s">
        <v>5414</v>
      </c>
      <c r="G13540" s="63" t="str">
        <f>VLOOKUP(C13540, 'Class Def. - General Data'!$C$20:$C$1000,1,false)</f>
        <v>ZSI1_SHOE_SANDAL</v>
      </c>
      <c r="H13540" s="63" t="str">
        <f>IFERROR(__xludf.DUMMYFUNCTION("VLOOKUP(F13540, IMPORTRANGE(""https://docs.google.com/spreadsheets/d/1Lhp9OU0JdFf_VYSMzH5lBcEaU4o8teT1piV-SNzShjg/edit?gid=554141278#gid=554141278"", ""'Char Def. - Attributes'!C20:C2242""), 1,false)"),"ORDER_UNIT_SHOE_SANDAL")</f>
        <v>ORDER_UNIT_SHOE_SANDAL</v>
      </c>
      <c r="I13540" s="136"/>
      <c r="R13540" s="63" t="str">
        <f t="shared" si="60"/>
        <v>ZSI1_SHOE_SANDALORDER_UNIT_SHOE_SANDAL</v>
      </c>
    </row>
    <row r="13541" ht="15.75" customHeight="1">
      <c r="B13541" s="63">
        <f t="shared" si="1"/>
        <v>16</v>
      </c>
      <c r="C13541" s="135" t="s">
        <v>462</v>
      </c>
      <c r="D13541" s="161" t="s">
        <v>74</v>
      </c>
      <c r="E13541" s="135">
        <f t="shared" si="62"/>
        <v>13</v>
      </c>
      <c r="F13541" s="134" t="s">
        <v>4056</v>
      </c>
      <c r="G13541" s="63" t="str">
        <f>VLOOKUP(C13541, 'Class Def. - General Data'!$C$20:$C$1000,1,false)</f>
        <v>ZSI1_SHOE_SANDAL</v>
      </c>
      <c r="H13541" s="63" t="str">
        <f>IFERROR(__xludf.DUMMYFUNCTION("VLOOKUP(F13541, IMPORTRANGE(""https://docs.google.com/spreadsheets/d/1Lhp9OU0JdFf_VYSMzH5lBcEaU4o8teT1piV-SNzShjg/edit?gid=554141278#gid=554141278"", ""'Char Def. - Attributes'!C20:C2242""), 1,false)"),"GROSS_WEIGHT_OPT")</f>
        <v>GROSS_WEIGHT_OPT</v>
      </c>
      <c r="I13541" s="136"/>
      <c r="R13541" s="63" t="str">
        <f t="shared" si="60"/>
        <v>ZSI1_SHOE_SANDALGROSS_WEIGHT_OPT</v>
      </c>
    </row>
    <row r="13542" ht="15.75" customHeight="1">
      <c r="B13542" s="63">
        <f t="shared" si="1"/>
        <v>16</v>
      </c>
      <c r="C13542" s="135" t="s">
        <v>462</v>
      </c>
      <c r="D13542" s="161" t="s">
        <v>74</v>
      </c>
      <c r="E13542" s="135">
        <f t="shared" si="62"/>
        <v>14</v>
      </c>
      <c r="F13542" s="134" t="s">
        <v>4057</v>
      </c>
      <c r="G13542" s="63" t="str">
        <f>VLOOKUP(C13542, 'Class Def. - General Data'!$C$20:$C$1000,1,false)</f>
        <v>ZSI1_SHOE_SANDAL</v>
      </c>
      <c r="H13542" s="63" t="str">
        <f>IFERROR(__xludf.DUMMYFUNCTION("VLOOKUP(F13542, IMPORTRANGE(""https://docs.google.com/spreadsheets/d/1Lhp9OU0JdFf_VYSMzH5lBcEaU4o8teT1piV-SNzShjg/edit?gid=554141278#gid=554141278"", ""'Char Def. - Attributes'!C20:C2242""), 1,false)"),"NET_WEIGHT_OPT")</f>
        <v>NET_WEIGHT_OPT</v>
      </c>
      <c r="I13542" s="136"/>
      <c r="R13542" s="63" t="str">
        <f t="shared" si="60"/>
        <v>ZSI1_SHOE_SANDALNET_WEIGHT_OPT</v>
      </c>
    </row>
    <row r="13543" ht="15.75" customHeight="1">
      <c r="B13543" s="63">
        <f t="shared" si="1"/>
        <v>16</v>
      </c>
      <c r="C13543" s="135" t="s">
        <v>462</v>
      </c>
      <c r="D13543" s="161" t="s">
        <v>74</v>
      </c>
      <c r="E13543" s="135">
        <f t="shared" si="62"/>
        <v>15</v>
      </c>
      <c r="F13543" s="134" t="s">
        <v>4058</v>
      </c>
      <c r="G13543" s="63" t="str">
        <f>VLOOKUP(C13543, 'Class Def. - General Data'!$C$20:$C$1000,1,false)</f>
        <v>ZSI1_SHOE_SANDAL</v>
      </c>
      <c r="H13543" s="63" t="str">
        <f>IFERROR(__xludf.DUMMYFUNCTION("VLOOKUP(F13543, IMPORTRANGE(""https://docs.google.com/spreadsheets/d/1Lhp9OU0JdFf_VYSMzH5lBcEaU4o8teT1piV-SNzShjg/edit?gid=554141278#gid=554141278"", ""'Char Def. - Attributes'!C20:C2242""), 1,false)"),"WEIGHT_UNIT_SI")</f>
        <v>WEIGHT_UNIT_SI</v>
      </c>
      <c r="I13543" s="136"/>
      <c r="R13543" s="63" t="str">
        <f t="shared" si="60"/>
        <v>ZSI1_SHOE_SANDALWEIGHT_UNIT_SI</v>
      </c>
    </row>
    <row r="13544" ht="15.75" customHeight="1">
      <c r="B13544" s="63">
        <f t="shared" si="1"/>
        <v>16</v>
      </c>
      <c r="C13544" s="135" t="s">
        <v>462</v>
      </c>
      <c r="D13544" s="161" t="s">
        <v>74</v>
      </c>
      <c r="E13544" s="135">
        <f t="shared" si="62"/>
        <v>16</v>
      </c>
      <c r="F13544" s="134" t="s">
        <v>3877</v>
      </c>
      <c r="G13544" s="63" t="str">
        <f>VLOOKUP(C13544, 'Class Def. - General Data'!$C$20:$C$1000,1,false)</f>
        <v>ZSI1_SHOE_SANDAL</v>
      </c>
      <c r="H13544" s="63" t="str">
        <f>IFERROR(__xludf.DUMMYFUNCTION("VLOOKUP(F13544, IMPORTRANGE(""https://docs.google.com/spreadsheets/d/1Lhp9OU0JdFf_VYSMzH5lBcEaU4o8teT1piV-SNzShjg/edit?gid=554141278#gid=554141278"", ""'Char Def. - Attributes'!C20:C2242""), 1,false)"),"VOLUME_OPT")</f>
        <v>VOLUME_OPT</v>
      </c>
      <c r="I13544" s="136"/>
      <c r="R13544" s="63" t="str">
        <f t="shared" si="60"/>
        <v>ZSI1_SHOE_SANDALVOLUME_OPT</v>
      </c>
    </row>
    <row r="13545" ht="15.75" customHeight="1">
      <c r="B13545" s="63">
        <f t="shared" si="1"/>
        <v>16</v>
      </c>
      <c r="C13545" s="135" t="s">
        <v>462</v>
      </c>
      <c r="D13545" s="161" t="s">
        <v>74</v>
      </c>
      <c r="E13545" s="135">
        <f t="shared" si="62"/>
        <v>17</v>
      </c>
      <c r="F13545" s="134" t="s">
        <v>4059</v>
      </c>
      <c r="G13545" s="63" t="str">
        <f>VLOOKUP(C13545, 'Class Def. - General Data'!$C$20:$C$1000,1,false)</f>
        <v>ZSI1_SHOE_SANDAL</v>
      </c>
      <c r="H13545" s="63" t="str">
        <f>IFERROR(__xludf.DUMMYFUNCTION("VLOOKUP(F13545, IMPORTRANGE(""https://docs.google.com/spreadsheets/d/1Lhp9OU0JdFf_VYSMzH5lBcEaU4o8teT1piV-SNzShjg/edit?gid=554141278#gid=554141278"", ""'Char Def. - Attributes'!C20:C2242""), 1,false)"),"VOLUME_UNIT_SI")</f>
        <v>VOLUME_UNIT_SI</v>
      </c>
      <c r="I13545" s="136"/>
      <c r="R13545" s="63" t="str">
        <f t="shared" si="60"/>
        <v>ZSI1_SHOE_SANDALVOLUME_UNIT_SI</v>
      </c>
    </row>
    <row r="13546" ht="15.75" customHeight="1">
      <c r="B13546" s="63">
        <f t="shared" si="1"/>
        <v>16</v>
      </c>
      <c r="C13546" s="135" t="s">
        <v>462</v>
      </c>
      <c r="D13546" s="161" t="s">
        <v>74</v>
      </c>
      <c r="E13546" s="135">
        <f t="shared" si="62"/>
        <v>18</v>
      </c>
      <c r="F13546" s="134" t="s">
        <v>3804</v>
      </c>
      <c r="G13546" s="63" t="str">
        <f>VLOOKUP(C13546, 'Class Def. - General Data'!$C$20:$C$1000,1,false)</f>
        <v>ZSI1_SHOE_SANDAL</v>
      </c>
      <c r="H13546" s="63" t="str">
        <f>IFERROR(__xludf.DUMMYFUNCTION("VLOOKUP(F13546, IMPORTRANGE(""https://docs.google.com/spreadsheets/d/1Lhp9OU0JdFf_VYSMzH5lBcEaU4o8teT1piV-SNzShjg/edit?gid=554141278#gid=554141278"", ""'Char Def. - Attributes'!C20:C2242""), 1,false)"),"ALT_UOM1_SIPI")</f>
        <v>ALT_UOM1_SIPI</v>
      </c>
      <c r="I13546" s="136"/>
      <c r="R13546" s="63" t="str">
        <f t="shared" si="60"/>
        <v>ZSI1_SHOE_SANDALALT_UOM1_SIPI</v>
      </c>
    </row>
    <row r="13547" ht="15.75" customHeight="1">
      <c r="B13547" s="63">
        <f t="shared" si="1"/>
        <v>16</v>
      </c>
      <c r="C13547" s="135" t="s">
        <v>462</v>
      </c>
      <c r="D13547" s="161" t="s">
        <v>74</v>
      </c>
      <c r="E13547" s="135">
        <f t="shared" si="62"/>
        <v>19</v>
      </c>
      <c r="F13547" s="134" t="s">
        <v>3805</v>
      </c>
      <c r="G13547" s="63" t="str">
        <f>VLOOKUP(C13547, 'Class Def. - General Data'!$C$20:$C$1000,1,false)</f>
        <v>ZSI1_SHOE_SANDAL</v>
      </c>
      <c r="H13547" s="63" t="str">
        <f>IFERROR(__xludf.DUMMYFUNCTION("VLOOKUP(F13547, IMPORTRANGE(""https://docs.google.com/spreadsheets/d/1Lhp9OU0JdFf_VYSMzH5lBcEaU4o8teT1piV-SNzShjg/edit?gid=554141278#gid=554141278"", ""'Char Def. - Attributes'!C20:C2242""), 1,false)"),"ALT_DENUM_UOM1")</f>
        <v>ALT_DENUM_UOM1</v>
      </c>
      <c r="I13547" s="136"/>
      <c r="R13547" s="63" t="str">
        <f t="shared" si="60"/>
        <v>ZSI1_SHOE_SANDALALT_DENUM_UOM1</v>
      </c>
    </row>
    <row r="13548" ht="15.75" customHeight="1">
      <c r="B13548" s="63">
        <f t="shared" si="1"/>
        <v>16</v>
      </c>
      <c r="C13548" s="135" t="s">
        <v>462</v>
      </c>
      <c r="D13548" s="161" t="s">
        <v>74</v>
      </c>
      <c r="E13548" s="135">
        <f t="shared" si="62"/>
        <v>20</v>
      </c>
      <c r="F13548" s="134" t="s">
        <v>3806</v>
      </c>
      <c r="G13548" s="63" t="str">
        <f>VLOOKUP(C13548, 'Class Def. - General Data'!$C$20:$C$1000,1,false)</f>
        <v>ZSI1_SHOE_SANDAL</v>
      </c>
      <c r="H13548" s="63" t="str">
        <f>IFERROR(__xludf.DUMMYFUNCTION("VLOOKUP(F13548, IMPORTRANGE(""https://docs.google.com/spreadsheets/d/1Lhp9OU0JdFf_VYSMzH5lBcEaU4o8teT1piV-SNzShjg/edit?gid=554141278#gid=554141278"", ""'Char Def. - Attributes'!C20:C2242""), 1,false)"),"ALT_NUM_UOM1")</f>
        <v>ALT_NUM_UOM1</v>
      </c>
      <c r="I13548" s="136"/>
      <c r="R13548" s="63" t="str">
        <f t="shared" si="60"/>
        <v>ZSI1_SHOE_SANDALALT_NUM_UOM1</v>
      </c>
    </row>
    <row r="13549" ht="15.75" customHeight="1">
      <c r="B13549" s="63">
        <f t="shared" si="1"/>
        <v>16</v>
      </c>
      <c r="C13549" s="135" t="s">
        <v>462</v>
      </c>
      <c r="D13549" s="161" t="s">
        <v>74</v>
      </c>
      <c r="E13549" s="135">
        <f t="shared" si="62"/>
        <v>21</v>
      </c>
      <c r="F13549" s="134" t="s">
        <v>3807</v>
      </c>
      <c r="G13549" s="63" t="str">
        <f>VLOOKUP(C13549, 'Class Def. - General Data'!$C$20:$C$1000,1,false)</f>
        <v>ZSI1_SHOE_SANDAL</v>
      </c>
      <c r="H13549" s="63" t="str">
        <f>IFERROR(__xludf.DUMMYFUNCTION("VLOOKUP(F13549, IMPORTRANGE(""https://docs.google.com/spreadsheets/d/1Lhp9OU0JdFf_VYSMzH5lBcEaU4o8teT1piV-SNzShjg/edit?gid=554141278#gid=554141278"", ""'Char Def. - Attributes'!C20:C2242""), 1,false)"),"ALT_UOM2_SIPI")</f>
        <v>ALT_UOM2_SIPI</v>
      </c>
      <c r="I13549" s="136"/>
      <c r="R13549" s="63" t="str">
        <f t="shared" si="60"/>
        <v>ZSI1_SHOE_SANDALALT_UOM2_SIPI</v>
      </c>
    </row>
    <row r="13550" ht="15.75" customHeight="1">
      <c r="B13550" s="63">
        <f t="shared" si="1"/>
        <v>16</v>
      </c>
      <c r="C13550" s="135" t="s">
        <v>462</v>
      </c>
      <c r="D13550" s="161" t="s">
        <v>74</v>
      </c>
      <c r="E13550" s="135">
        <f t="shared" si="62"/>
        <v>22</v>
      </c>
      <c r="F13550" s="134" t="s">
        <v>3808</v>
      </c>
      <c r="G13550" s="63" t="str">
        <f>VLOOKUP(C13550, 'Class Def. - General Data'!$C$20:$C$1000,1,false)</f>
        <v>ZSI1_SHOE_SANDAL</v>
      </c>
      <c r="H13550" s="63" t="str">
        <f>IFERROR(__xludf.DUMMYFUNCTION("VLOOKUP(F13550, IMPORTRANGE(""https://docs.google.com/spreadsheets/d/1Lhp9OU0JdFf_VYSMzH5lBcEaU4o8teT1piV-SNzShjg/edit?gid=554141278#gid=554141278"", ""'Char Def. - Attributes'!C20:C2242""), 1,false)"),"ALT_DENUM_UOM2")</f>
        <v>ALT_DENUM_UOM2</v>
      </c>
      <c r="I13550" s="136"/>
      <c r="R13550" s="63" t="str">
        <f t="shared" si="60"/>
        <v>ZSI1_SHOE_SANDALALT_DENUM_UOM2</v>
      </c>
    </row>
    <row r="13551" ht="15.75" customHeight="1">
      <c r="B13551" s="63">
        <f t="shared" si="1"/>
        <v>16</v>
      </c>
      <c r="C13551" s="135" t="s">
        <v>462</v>
      </c>
      <c r="D13551" s="161" t="s">
        <v>74</v>
      </c>
      <c r="E13551" s="135">
        <f t="shared" si="62"/>
        <v>23</v>
      </c>
      <c r="F13551" s="134" t="s">
        <v>3809</v>
      </c>
      <c r="G13551" s="63" t="str">
        <f>VLOOKUP(C13551, 'Class Def. - General Data'!$C$20:$C$1000,1,false)</f>
        <v>ZSI1_SHOE_SANDAL</v>
      </c>
      <c r="H13551" s="63" t="str">
        <f>IFERROR(__xludf.DUMMYFUNCTION("VLOOKUP(F13551, IMPORTRANGE(""https://docs.google.com/spreadsheets/d/1Lhp9OU0JdFf_VYSMzH5lBcEaU4o8teT1piV-SNzShjg/edit?gid=554141278#gid=554141278"", ""'Char Def. - Attributes'!C20:C2242""), 1,false)"),"ALT_NUM_UOM2")</f>
        <v>ALT_NUM_UOM2</v>
      </c>
      <c r="I13551" s="136"/>
      <c r="R13551" s="63" t="str">
        <f t="shared" si="60"/>
        <v>ZSI1_SHOE_SANDALALT_NUM_UOM2</v>
      </c>
    </row>
    <row r="13552" ht="15.75" customHeight="1">
      <c r="B13552" s="63">
        <f t="shared" si="1"/>
        <v>16</v>
      </c>
      <c r="C13552" s="135" t="s">
        <v>462</v>
      </c>
      <c r="D13552" s="161" t="s">
        <v>74</v>
      </c>
      <c r="E13552" s="135">
        <f t="shared" si="62"/>
        <v>24</v>
      </c>
      <c r="F13552" s="134" t="s">
        <v>3810</v>
      </c>
      <c r="G13552" s="63" t="str">
        <f>VLOOKUP(C13552, 'Class Def. - General Data'!$C$20:$C$1000,1,false)</f>
        <v>ZSI1_SHOE_SANDAL</v>
      </c>
      <c r="H13552" s="63" t="str">
        <f>IFERROR(__xludf.DUMMYFUNCTION("VLOOKUP(F13552, IMPORTRANGE(""https://docs.google.com/spreadsheets/d/1Lhp9OU0JdFf_VYSMzH5lBcEaU4o8teT1piV-SNzShjg/edit?gid=554141278#gid=554141278"", ""'Char Def. - Attributes'!C20:C2242""), 1,false)"),"ALT_UOM3_SIPI")</f>
        <v>ALT_UOM3_SIPI</v>
      </c>
      <c r="I13552" s="136"/>
      <c r="R13552" s="63" t="str">
        <f t="shared" si="60"/>
        <v>ZSI1_SHOE_SANDALALT_UOM3_SIPI</v>
      </c>
    </row>
    <row r="13553" ht="15.75" customHeight="1">
      <c r="B13553" s="63">
        <f t="shared" si="1"/>
        <v>16</v>
      </c>
      <c r="C13553" s="135" t="s">
        <v>462</v>
      </c>
      <c r="D13553" s="161" t="s">
        <v>74</v>
      </c>
      <c r="E13553" s="135">
        <f t="shared" si="62"/>
        <v>25</v>
      </c>
      <c r="F13553" s="134" t="s">
        <v>3811</v>
      </c>
      <c r="G13553" s="63" t="str">
        <f>VLOOKUP(C13553, 'Class Def. - General Data'!$C$20:$C$1000,1,false)</f>
        <v>ZSI1_SHOE_SANDAL</v>
      </c>
      <c r="H13553" s="63" t="str">
        <f>IFERROR(__xludf.DUMMYFUNCTION("VLOOKUP(F13553, IMPORTRANGE(""https://docs.google.com/spreadsheets/d/1Lhp9OU0JdFf_VYSMzH5lBcEaU4o8teT1piV-SNzShjg/edit?gid=554141278#gid=554141278"", ""'Char Def. - Attributes'!C20:C2242""), 1,false)"),"ALT_DENUM_UOM3")</f>
        <v>ALT_DENUM_UOM3</v>
      </c>
      <c r="I13553" s="136"/>
      <c r="R13553" s="63" t="str">
        <f t="shared" si="60"/>
        <v>ZSI1_SHOE_SANDALALT_DENUM_UOM3</v>
      </c>
    </row>
    <row r="13554" ht="15.75" customHeight="1">
      <c r="B13554" s="63">
        <f t="shared" si="1"/>
        <v>16</v>
      </c>
      <c r="C13554" s="135" t="s">
        <v>462</v>
      </c>
      <c r="D13554" s="161" t="s">
        <v>74</v>
      </c>
      <c r="E13554" s="135">
        <f t="shared" si="62"/>
        <v>26</v>
      </c>
      <c r="F13554" s="134" t="s">
        <v>3812</v>
      </c>
      <c r="G13554" s="63" t="str">
        <f>VLOOKUP(C13554, 'Class Def. - General Data'!$C$20:$C$1000,1,false)</f>
        <v>ZSI1_SHOE_SANDAL</v>
      </c>
      <c r="H13554" s="63" t="str">
        <f>IFERROR(__xludf.DUMMYFUNCTION("VLOOKUP(F13554, IMPORTRANGE(""https://docs.google.com/spreadsheets/d/1Lhp9OU0JdFf_VYSMzH5lBcEaU4o8teT1piV-SNzShjg/edit?gid=554141278#gid=554141278"", ""'Char Def. - Attributes'!C20:C2242""), 1,false)"),"ALT_NUM_UOM3")</f>
        <v>ALT_NUM_UOM3</v>
      </c>
      <c r="I13554" s="136"/>
      <c r="R13554" s="63" t="str">
        <f t="shared" si="60"/>
        <v>ZSI1_SHOE_SANDALALT_NUM_UOM3</v>
      </c>
    </row>
    <row r="13555" ht="15.75" customHeight="1">
      <c r="B13555" s="63">
        <f t="shared" si="1"/>
        <v>16</v>
      </c>
      <c r="C13555" s="135" t="s">
        <v>462</v>
      </c>
      <c r="D13555" s="161" t="s">
        <v>74</v>
      </c>
      <c r="E13555" s="135">
        <f t="shared" si="62"/>
        <v>27</v>
      </c>
      <c r="F13555" s="134" t="s">
        <v>3813</v>
      </c>
      <c r="G13555" s="63" t="str">
        <f>VLOOKUP(C13555, 'Class Def. - General Data'!$C$20:$C$1000,1,false)</f>
        <v>ZSI1_SHOE_SANDAL</v>
      </c>
      <c r="H13555" s="63" t="str">
        <f>IFERROR(__xludf.DUMMYFUNCTION("VLOOKUP(F13555, IMPORTRANGE(""https://docs.google.com/spreadsheets/d/1Lhp9OU0JdFf_VYSMzH5lBcEaU4o8teT1piV-SNzShjg/edit?gid=554141278#gid=554141278"", ""'Char Def. - Attributes'!C20:C2242""), 1,false)"),"ALT_UOM4_SIPI")</f>
        <v>ALT_UOM4_SIPI</v>
      </c>
      <c r="I13555" s="136"/>
      <c r="R13555" s="63" t="str">
        <f t="shared" si="60"/>
        <v>ZSI1_SHOE_SANDALALT_UOM4_SIPI</v>
      </c>
    </row>
    <row r="13556" ht="15.75" customHeight="1">
      <c r="B13556" s="63">
        <f t="shared" si="1"/>
        <v>16</v>
      </c>
      <c r="C13556" s="135" t="s">
        <v>462</v>
      </c>
      <c r="D13556" s="161" t="s">
        <v>74</v>
      </c>
      <c r="E13556" s="135">
        <f t="shared" si="62"/>
        <v>28</v>
      </c>
      <c r="F13556" s="134" t="s">
        <v>3814</v>
      </c>
      <c r="G13556" s="63" t="str">
        <f>VLOOKUP(C13556, 'Class Def. - General Data'!$C$20:$C$1000,1,false)</f>
        <v>ZSI1_SHOE_SANDAL</v>
      </c>
      <c r="H13556" s="63" t="str">
        <f>IFERROR(__xludf.DUMMYFUNCTION("VLOOKUP(F13556, IMPORTRANGE(""https://docs.google.com/spreadsheets/d/1Lhp9OU0JdFf_VYSMzH5lBcEaU4o8teT1piV-SNzShjg/edit?gid=554141278#gid=554141278"", ""'Char Def. - Attributes'!C20:C2242""), 1,false)"),"ALT_DENUM_UOM4")</f>
        <v>ALT_DENUM_UOM4</v>
      </c>
      <c r="I13556" s="136"/>
      <c r="R13556" s="63" t="str">
        <f t="shared" si="60"/>
        <v>ZSI1_SHOE_SANDALALT_DENUM_UOM4</v>
      </c>
    </row>
    <row r="13557" ht="15.75" customHeight="1">
      <c r="B13557" s="63">
        <f t="shared" si="1"/>
        <v>16</v>
      </c>
      <c r="C13557" s="135" t="s">
        <v>462</v>
      </c>
      <c r="D13557" s="161" t="s">
        <v>74</v>
      </c>
      <c r="E13557" s="135">
        <f t="shared" si="62"/>
        <v>29</v>
      </c>
      <c r="F13557" s="134" t="s">
        <v>3815</v>
      </c>
      <c r="G13557" s="63" t="str">
        <f>VLOOKUP(C13557, 'Class Def. - General Data'!$C$20:$C$1000,1,false)</f>
        <v>ZSI1_SHOE_SANDAL</v>
      </c>
      <c r="H13557" s="63" t="str">
        <f>IFERROR(__xludf.DUMMYFUNCTION("VLOOKUP(F13557, IMPORTRANGE(""https://docs.google.com/spreadsheets/d/1Lhp9OU0JdFf_VYSMzH5lBcEaU4o8teT1piV-SNzShjg/edit?gid=554141278#gid=554141278"", ""'Char Def. - Attributes'!C20:C2242""), 1,false)"),"ALT_NUM_UOM4")</f>
        <v>ALT_NUM_UOM4</v>
      </c>
      <c r="I13557" s="136"/>
      <c r="R13557" s="63" t="str">
        <f t="shared" si="60"/>
        <v>ZSI1_SHOE_SANDALALT_NUM_UOM4</v>
      </c>
    </row>
    <row r="13558" ht="15.75" customHeight="1">
      <c r="B13558" s="63">
        <f t="shared" si="1"/>
        <v>16</v>
      </c>
      <c r="C13558" s="135" t="s">
        <v>462</v>
      </c>
      <c r="D13558" s="161" t="s">
        <v>74</v>
      </c>
      <c r="E13558" s="135">
        <f t="shared" si="62"/>
        <v>30</v>
      </c>
      <c r="F13558" s="134" t="s">
        <v>3816</v>
      </c>
      <c r="G13558" s="63" t="str">
        <f>VLOOKUP(C13558, 'Class Def. - General Data'!$C$20:$C$1000,1,false)</f>
        <v>ZSI1_SHOE_SANDAL</v>
      </c>
      <c r="H13558" s="63" t="str">
        <f>IFERROR(__xludf.DUMMYFUNCTION("VLOOKUP(F13558, IMPORTRANGE(""https://docs.google.com/spreadsheets/d/1Lhp9OU0JdFf_VYSMzH5lBcEaU4o8teT1piV-SNzShjg/edit?gid=554141278#gid=554141278"", ""'Char Def. - Attributes'!C20:C2242""), 1,false)"),"ALT_UOM5_SIPI")</f>
        <v>ALT_UOM5_SIPI</v>
      </c>
      <c r="I13558" s="136"/>
      <c r="R13558" s="63" t="str">
        <f t="shared" si="60"/>
        <v>ZSI1_SHOE_SANDALALT_UOM5_SIPI</v>
      </c>
    </row>
    <row r="13559" ht="15.75" customHeight="1">
      <c r="B13559" s="63">
        <f t="shared" si="1"/>
        <v>16</v>
      </c>
      <c r="C13559" s="135" t="s">
        <v>462</v>
      </c>
      <c r="D13559" s="161" t="s">
        <v>74</v>
      </c>
      <c r="E13559" s="135">
        <f t="shared" si="62"/>
        <v>31</v>
      </c>
      <c r="F13559" s="134" t="s">
        <v>3817</v>
      </c>
      <c r="G13559" s="63" t="str">
        <f>VLOOKUP(C13559, 'Class Def. - General Data'!$C$20:$C$1000,1,false)</f>
        <v>ZSI1_SHOE_SANDAL</v>
      </c>
      <c r="H13559" s="63" t="str">
        <f>IFERROR(__xludf.DUMMYFUNCTION("VLOOKUP(F13559, IMPORTRANGE(""https://docs.google.com/spreadsheets/d/1Lhp9OU0JdFf_VYSMzH5lBcEaU4o8teT1piV-SNzShjg/edit?gid=554141278#gid=554141278"", ""'Char Def. - Attributes'!C20:C2242""), 1,false)"),"ALT_DENUM_UOM5")</f>
        <v>ALT_DENUM_UOM5</v>
      </c>
      <c r="I13559" s="136"/>
      <c r="R13559" s="63" t="str">
        <f t="shared" si="60"/>
        <v>ZSI1_SHOE_SANDALALT_DENUM_UOM5</v>
      </c>
    </row>
    <row r="13560" ht="15.75" customHeight="1">
      <c r="B13560" s="63">
        <f t="shared" si="1"/>
        <v>16</v>
      </c>
      <c r="C13560" s="135" t="s">
        <v>462</v>
      </c>
      <c r="D13560" s="161" t="s">
        <v>74</v>
      </c>
      <c r="E13560" s="135">
        <f t="shared" si="62"/>
        <v>32</v>
      </c>
      <c r="F13560" s="134" t="s">
        <v>3818</v>
      </c>
      <c r="G13560" s="63" t="str">
        <f>VLOOKUP(C13560, 'Class Def. - General Data'!$C$20:$C$1000,1,false)</f>
        <v>ZSI1_SHOE_SANDAL</v>
      </c>
      <c r="H13560" s="63" t="str">
        <f>IFERROR(__xludf.DUMMYFUNCTION("VLOOKUP(F13560, IMPORTRANGE(""https://docs.google.com/spreadsheets/d/1Lhp9OU0JdFf_VYSMzH5lBcEaU4o8teT1piV-SNzShjg/edit?gid=554141278#gid=554141278"", ""'Char Def. - Attributes'!C20:C2242""), 1,false)"),"ALT_NUM_UOM5")</f>
        <v>ALT_NUM_UOM5</v>
      </c>
      <c r="I13560" s="136"/>
      <c r="R13560" s="63" t="str">
        <f t="shared" si="60"/>
        <v>ZSI1_SHOE_SANDALALT_NUM_UOM5</v>
      </c>
    </row>
    <row r="13561" ht="15.75" customHeight="1">
      <c r="B13561" s="63">
        <f t="shared" si="1"/>
        <v>13</v>
      </c>
      <c r="C13561" s="135" t="s">
        <v>463</v>
      </c>
      <c r="D13561" s="161" t="s">
        <v>74</v>
      </c>
      <c r="E13561" s="135">
        <f t="shared" si="62"/>
        <v>1</v>
      </c>
      <c r="F13561" s="134" t="s">
        <v>5415</v>
      </c>
      <c r="G13561" s="63" t="str">
        <f>VLOOKUP(C13561, 'Class Def. - General Data'!$C$20:$C$1000,1,false)</f>
        <v>ZSI1_SHOWCASE</v>
      </c>
      <c r="H13561" s="63" t="str">
        <f>IFERROR(__xludf.DUMMYFUNCTION("VLOOKUP(F13561, IMPORTRANGE(""https://docs.google.com/spreadsheets/d/1Lhp9OU0JdFf_VYSMzH5lBcEaU4o8teT1piV-SNzShjg/edit?gid=554141278#gid=554141278"", ""'Char Def. - Attributes'!C20:C2242""), 1,false)"),"ITEM_NAME_SHOWCASE")</f>
        <v>ITEM_NAME_SHOWCASE</v>
      </c>
      <c r="I13561" s="136"/>
      <c r="R13561" s="63" t="str">
        <f t="shared" si="60"/>
        <v>ZSI1_SHOWCASEITEM_NAME_SHOWCASE</v>
      </c>
    </row>
    <row r="13562" ht="15.75" customHeight="1">
      <c r="B13562" s="63">
        <f t="shared" si="1"/>
        <v>13</v>
      </c>
      <c r="C13562" s="135" t="s">
        <v>463</v>
      </c>
      <c r="D13562" s="161" t="s">
        <v>74</v>
      </c>
      <c r="E13562" s="135">
        <f t="shared" si="62"/>
        <v>2</v>
      </c>
      <c r="F13562" s="134" t="s">
        <v>5416</v>
      </c>
      <c r="G13562" s="63" t="str">
        <f>VLOOKUP(C13562, 'Class Def. - General Data'!$C$20:$C$1000,1,false)</f>
        <v>ZSI1_SHOWCASE</v>
      </c>
      <c r="H13562" s="63" t="str">
        <f>IFERROR(__xludf.DUMMYFUNCTION("VLOOKUP(F13562, IMPORTRANGE(""https://docs.google.com/spreadsheets/d/1Lhp9OU0JdFf_VYSMzH5lBcEaU4o8teT1piV-SNzShjg/edit?gid=554141278#gid=554141278"", ""'Char Def. - Attributes'!C20:C2242""), 1,false)"),"MFR_NO_SHOWCASE")</f>
        <v>MFR_NO_SHOWCASE</v>
      </c>
      <c r="I13562" s="136"/>
      <c r="R13562" s="63" t="str">
        <f t="shared" si="60"/>
        <v>ZSI1_SHOWCASEMFR_NO_SHOWCASE</v>
      </c>
    </row>
    <row r="13563" ht="15.75" customHeight="1">
      <c r="B13563" s="63">
        <f t="shared" si="1"/>
        <v>13</v>
      </c>
      <c r="C13563" s="135" t="s">
        <v>463</v>
      </c>
      <c r="D13563" s="161" t="s">
        <v>74</v>
      </c>
      <c r="E13563" s="135">
        <f t="shared" si="62"/>
        <v>3</v>
      </c>
      <c r="F13563" s="134" t="s">
        <v>3782</v>
      </c>
      <c r="G13563" s="63" t="str">
        <f>VLOOKUP(C13563, 'Class Def. - General Data'!$C$20:$C$1000,1,false)</f>
        <v>ZSI1_SHOWCASE</v>
      </c>
      <c r="H13563" s="63" t="str">
        <f>IFERROR(__xludf.DUMMYFUNCTION("VLOOKUP(F13563, IMPORTRANGE(""https://docs.google.com/spreadsheets/d/1Lhp9OU0JdFf_VYSMzH5lBcEaU4o8teT1piV-SNzShjg/edit?gid=554141278#gid=554141278"", ""'Char Def. - Attributes'!C20:C2242""), 1,false)"),"BRAND_EXTERNAL")</f>
        <v>BRAND_EXTERNAL</v>
      </c>
      <c r="I13563" s="136"/>
      <c r="R13563" s="63" t="str">
        <f t="shared" si="60"/>
        <v>ZSI1_SHOWCASEBRAND_EXTERNAL</v>
      </c>
    </row>
    <row r="13564" ht="15.75" customHeight="1">
      <c r="B13564" s="63">
        <f t="shared" si="1"/>
        <v>13</v>
      </c>
      <c r="C13564" s="135" t="s">
        <v>463</v>
      </c>
      <c r="D13564" s="161" t="s">
        <v>74</v>
      </c>
      <c r="E13564" s="135">
        <f t="shared" si="62"/>
        <v>4</v>
      </c>
      <c r="F13564" s="134" t="s">
        <v>5417</v>
      </c>
      <c r="G13564" s="63" t="str">
        <f>VLOOKUP(C13564, 'Class Def. - General Data'!$C$20:$C$1000,1,false)</f>
        <v>ZSI1_SHOWCASE</v>
      </c>
      <c r="H13564" s="63" t="str">
        <f>IFERROR(__xludf.DUMMYFUNCTION("VLOOKUP(F13564, IMPORTRANGE(""https://docs.google.com/spreadsheets/d/1Lhp9OU0JdFf_VYSMzH5lBcEaU4o8teT1piV-SNzShjg/edit?gid=554141278#gid=554141278"", ""'Char Def. - Attributes'!C20:C2242""), 1,false)"),"CAPACITY_L_SHOWCASE")</f>
        <v>CAPACITY_L_SHOWCASE</v>
      </c>
      <c r="I13564" s="136"/>
      <c r="R13564" s="63" t="str">
        <f t="shared" si="60"/>
        <v>ZSI1_SHOWCASECAPACITY_L_SHOWCASE</v>
      </c>
    </row>
    <row r="13565" ht="15.75" customHeight="1">
      <c r="B13565" s="63">
        <f t="shared" si="1"/>
        <v>13</v>
      </c>
      <c r="C13565" s="135" t="s">
        <v>463</v>
      </c>
      <c r="D13565" s="161" t="s">
        <v>74</v>
      </c>
      <c r="E13565" s="135">
        <f t="shared" si="62"/>
        <v>5</v>
      </c>
      <c r="F13565" s="134" t="s">
        <v>3585</v>
      </c>
      <c r="G13565" s="63" t="str">
        <f>VLOOKUP(C13565, 'Class Def. - General Data'!$C$20:$C$1000,1,false)</f>
        <v>ZSI1_SHOWCASE</v>
      </c>
      <c r="H13565" s="63" t="str">
        <f>IFERROR(__xludf.DUMMYFUNCTION("VLOOKUP(F13565, IMPORTRANGE(""https://docs.google.com/spreadsheets/d/1Lhp9OU0JdFf_VYSMzH5lBcEaU4o8teT1piV-SNzShjg/edit?gid=554141278#gid=554141278"", ""'Char Def. - Attributes'!C20:C2242""), 1,false)"),"HS_CODE")</f>
        <v>HS_CODE</v>
      </c>
      <c r="I13565" s="136"/>
      <c r="R13565" s="63" t="str">
        <f t="shared" si="60"/>
        <v>ZSI1_SHOWCASEHS_CODE</v>
      </c>
    </row>
    <row r="13566" ht="15.75" customHeight="1">
      <c r="B13566" s="63">
        <f t="shared" si="1"/>
        <v>13</v>
      </c>
      <c r="C13566" s="135" t="s">
        <v>463</v>
      </c>
      <c r="D13566" s="161" t="s">
        <v>74</v>
      </c>
      <c r="E13566" s="135">
        <f t="shared" si="62"/>
        <v>6</v>
      </c>
      <c r="F13566" s="134" t="s">
        <v>3587</v>
      </c>
      <c r="G13566" s="63" t="str">
        <f>VLOOKUP(C13566, 'Class Def. - General Data'!$C$20:$C$1000,1,false)</f>
        <v>ZSI1_SHOWCASE</v>
      </c>
      <c r="H13566" s="63" t="str">
        <f>IFERROR(__xludf.DUMMYFUNCTION("VLOOKUP(F13566, IMPORTRANGE(""https://docs.google.com/spreadsheets/d/1Lhp9OU0JdFf_VYSMzH5lBcEaU4o8teT1piV-SNzShjg/edit?gid=554141278#gid=554141278"", ""'Char Def. - Attributes'!C20:C2242""), 1,false)"),"PLANT_BUY")</f>
        <v>PLANT_BUY</v>
      </c>
      <c r="I13566" s="136"/>
      <c r="R13566" s="63" t="str">
        <f t="shared" si="60"/>
        <v>ZSI1_SHOWCASEPLANT_BUY</v>
      </c>
    </row>
    <row r="13567" ht="15.75" customHeight="1">
      <c r="B13567" s="63">
        <f t="shared" si="1"/>
        <v>13</v>
      </c>
      <c r="C13567" s="135" t="s">
        <v>463</v>
      </c>
      <c r="D13567" s="161" t="s">
        <v>74</v>
      </c>
      <c r="E13567" s="135">
        <f t="shared" si="62"/>
        <v>7</v>
      </c>
      <c r="F13567" s="134" t="s">
        <v>5418</v>
      </c>
      <c r="G13567" s="63" t="str">
        <f>VLOOKUP(C13567, 'Class Def. - General Data'!$C$20:$C$1000,1,false)</f>
        <v>ZSI1_SHOWCASE</v>
      </c>
      <c r="H13567" s="63" t="str">
        <f>IFERROR(__xludf.DUMMYFUNCTION("VLOOKUP(F13567, IMPORTRANGE(""https://docs.google.com/spreadsheets/d/1Lhp9OU0JdFf_VYSMzH5lBcEaU4o8teT1piV-SNzShjg/edit?gid=554141278#gid=554141278"", ""'Char Def. - Attributes'!C20:C2242""), 1,false)"),"BASE_UOM_SHOWCASE")</f>
        <v>BASE_UOM_SHOWCASE</v>
      </c>
      <c r="I13567" s="136"/>
      <c r="R13567" s="63" t="str">
        <f t="shared" si="60"/>
        <v>ZSI1_SHOWCASEBASE_UOM_SHOWCASE</v>
      </c>
    </row>
    <row r="13568" ht="15.75" customHeight="1">
      <c r="B13568" s="63">
        <f t="shared" si="1"/>
        <v>13</v>
      </c>
      <c r="C13568" s="135" t="s">
        <v>463</v>
      </c>
      <c r="D13568" s="161" t="s">
        <v>74</v>
      </c>
      <c r="E13568" s="135">
        <f t="shared" si="62"/>
        <v>8</v>
      </c>
      <c r="F13568" s="134" t="s">
        <v>5419</v>
      </c>
      <c r="G13568" s="63" t="str">
        <f>VLOOKUP(C13568, 'Class Def. - General Data'!$C$20:$C$1000,1,false)</f>
        <v>ZSI1_SHOWCASE</v>
      </c>
      <c r="H13568" s="63" t="str">
        <f>IFERROR(__xludf.DUMMYFUNCTION("VLOOKUP(F13568, IMPORTRANGE(""https://docs.google.com/spreadsheets/d/1Lhp9OU0JdFf_VYSMzH5lBcEaU4o8teT1piV-SNzShjg/edit?gid=554141278#gid=554141278"", ""'Char Def. - Attributes'!C20:C2242""), 1,false)"),"ORDER_UNIT_SHOWCASE")</f>
        <v>ORDER_UNIT_SHOWCASE</v>
      </c>
      <c r="I13568" s="136"/>
      <c r="R13568" s="63" t="str">
        <f t="shared" si="60"/>
        <v>ZSI1_SHOWCASEORDER_UNIT_SHOWCASE</v>
      </c>
    </row>
    <row r="13569" ht="15.75" customHeight="1">
      <c r="B13569" s="63">
        <f t="shared" si="1"/>
        <v>13</v>
      </c>
      <c r="C13569" s="135" t="s">
        <v>463</v>
      </c>
      <c r="D13569" s="161" t="s">
        <v>74</v>
      </c>
      <c r="E13569" s="135">
        <f t="shared" si="62"/>
        <v>9</v>
      </c>
      <c r="F13569" s="134" t="s">
        <v>4056</v>
      </c>
      <c r="G13569" s="63" t="str">
        <f>VLOOKUP(C13569, 'Class Def. - General Data'!$C$20:$C$1000,1,false)</f>
        <v>ZSI1_SHOWCASE</v>
      </c>
      <c r="H13569" s="63" t="str">
        <f>IFERROR(__xludf.DUMMYFUNCTION("VLOOKUP(F13569, IMPORTRANGE(""https://docs.google.com/spreadsheets/d/1Lhp9OU0JdFf_VYSMzH5lBcEaU4o8teT1piV-SNzShjg/edit?gid=554141278#gid=554141278"", ""'Char Def. - Attributes'!C20:C2242""), 1,false)"),"GROSS_WEIGHT_OPT")</f>
        <v>GROSS_WEIGHT_OPT</v>
      </c>
      <c r="I13569" s="136"/>
      <c r="R13569" s="63" t="str">
        <f t="shared" si="60"/>
        <v>ZSI1_SHOWCASEGROSS_WEIGHT_OPT</v>
      </c>
    </row>
    <row r="13570" ht="15.75" customHeight="1">
      <c r="B13570" s="63">
        <f t="shared" si="1"/>
        <v>13</v>
      </c>
      <c r="C13570" s="135" t="s">
        <v>463</v>
      </c>
      <c r="D13570" s="161" t="s">
        <v>74</v>
      </c>
      <c r="E13570" s="135">
        <f t="shared" si="62"/>
        <v>10</v>
      </c>
      <c r="F13570" s="134" t="s">
        <v>4057</v>
      </c>
      <c r="G13570" s="63" t="str">
        <f>VLOOKUP(C13570, 'Class Def. - General Data'!$C$20:$C$1000,1,false)</f>
        <v>ZSI1_SHOWCASE</v>
      </c>
      <c r="H13570" s="63" t="str">
        <f>IFERROR(__xludf.DUMMYFUNCTION("VLOOKUP(F13570, IMPORTRANGE(""https://docs.google.com/spreadsheets/d/1Lhp9OU0JdFf_VYSMzH5lBcEaU4o8teT1piV-SNzShjg/edit?gid=554141278#gid=554141278"", ""'Char Def. - Attributes'!C20:C2242""), 1,false)"),"NET_WEIGHT_OPT")</f>
        <v>NET_WEIGHT_OPT</v>
      </c>
      <c r="I13570" s="136"/>
      <c r="R13570" s="63" t="str">
        <f t="shared" si="60"/>
        <v>ZSI1_SHOWCASENET_WEIGHT_OPT</v>
      </c>
    </row>
    <row r="13571" ht="15.75" customHeight="1">
      <c r="B13571" s="63">
        <f t="shared" si="1"/>
        <v>13</v>
      </c>
      <c r="C13571" s="135" t="s">
        <v>463</v>
      </c>
      <c r="D13571" s="161" t="s">
        <v>74</v>
      </c>
      <c r="E13571" s="135">
        <f t="shared" si="62"/>
        <v>11</v>
      </c>
      <c r="F13571" s="134" t="s">
        <v>4058</v>
      </c>
      <c r="G13571" s="63" t="str">
        <f>VLOOKUP(C13571, 'Class Def. - General Data'!$C$20:$C$1000,1,false)</f>
        <v>ZSI1_SHOWCASE</v>
      </c>
      <c r="H13571" s="63" t="str">
        <f>IFERROR(__xludf.DUMMYFUNCTION("VLOOKUP(F13571, IMPORTRANGE(""https://docs.google.com/spreadsheets/d/1Lhp9OU0JdFf_VYSMzH5lBcEaU4o8teT1piV-SNzShjg/edit?gid=554141278#gid=554141278"", ""'Char Def. - Attributes'!C20:C2242""), 1,false)"),"WEIGHT_UNIT_SI")</f>
        <v>WEIGHT_UNIT_SI</v>
      </c>
      <c r="I13571" s="136"/>
      <c r="R13571" s="63" t="str">
        <f t="shared" si="60"/>
        <v>ZSI1_SHOWCASEWEIGHT_UNIT_SI</v>
      </c>
    </row>
    <row r="13572" ht="15.75" customHeight="1">
      <c r="B13572" s="63">
        <f t="shared" si="1"/>
        <v>13</v>
      </c>
      <c r="C13572" s="135" t="s">
        <v>463</v>
      </c>
      <c r="D13572" s="161" t="s">
        <v>74</v>
      </c>
      <c r="E13572" s="135">
        <f t="shared" si="62"/>
        <v>12</v>
      </c>
      <c r="F13572" s="134" t="s">
        <v>3877</v>
      </c>
      <c r="G13572" s="63" t="str">
        <f>VLOOKUP(C13572, 'Class Def. - General Data'!$C$20:$C$1000,1,false)</f>
        <v>ZSI1_SHOWCASE</v>
      </c>
      <c r="H13572" s="63" t="str">
        <f>IFERROR(__xludf.DUMMYFUNCTION("VLOOKUP(F13572, IMPORTRANGE(""https://docs.google.com/spreadsheets/d/1Lhp9OU0JdFf_VYSMzH5lBcEaU4o8teT1piV-SNzShjg/edit?gid=554141278#gid=554141278"", ""'Char Def. - Attributes'!C20:C2242""), 1,false)"),"VOLUME_OPT")</f>
        <v>VOLUME_OPT</v>
      </c>
      <c r="I13572" s="136"/>
      <c r="R13572" s="63" t="str">
        <f t="shared" si="60"/>
        <v>ZSI1_SHOWCASEVOLUME_OPT</v>
      </c>
    </row>
    <row r="13573" ht="15.75" customHeight="1">
      <c r="B13573" s="63">
        <f t="shared" si="1"/>
        <v>13</v>
      </c>
      <c r="C13573" s="135" t="s">
        <v>463</v>
      </c>
      <c r="D13573" s="161" t="s">
        <v>74</v>
      </c>
      <c r="E13573" s="135">
        <f t="shared" si="62"/>
        <v>13</v>
      </c>
      <c r="F13573" s="134" t="s">
        <v>4059</v>
      </c>
      <c r="G13573" s="63" t="str">
        <f>VLOOKUP(C13573, 'Class Def. - General Data'!$C$20:$C$1000,1,false)</f>
        <v>ZSI1_SHOWCASE</v>
      </c>
      <c r="H13573" s="63" t="str">
        <f>IFERROR(__xludf.DUMMYFUNCTION("VLOOKUP(F13573, IMPORTRANGE(""https://docs.google.com/spreadsheets/d/1Lhp9OU0JdFf_VYSMzH5lBcEaU4o8teT1piV-SNzShjg/edit?gid=554141278#gid=554141278"", ""'Char Def. - Attributes'!C20:C2242""), 1,false)"),"VOLUME_UNIT_SI")</f>
        <v>VOLUME_UNIT_SI</v>
      </c>
      <c r="I13573" s="136"/>
      <c r="R13573" s="63" t="str">
        <f t="shared" si="60"/>
        <v>ZSI1_SHOWCASEVOLUME_UNIT_SI</v>
      </c>
    </row>
    <row r="13574" ht="15.75" customHeight="1">
      <c r="B13574" s="63">
        <f t="shared" si="1"/>
        <v>13</v>
      </c>
      <c r="C13574" s="135" t="s">
        <v>463</v>
      </c>
      <c r="D13574" s="161" t="s">
        <v>74</v>
      </c>
      <c r="E13574" s="135">
        <f t="shared" si="62"/>
        <v>14</v>
      </c>
      <c r="F13574" s="134" t="s">
        <v>3804</v>
      </c>
      <c r="G13574" s="63" t="str">
        <f>VLOOKUP(C13574, 'Class Def. - General Data'!$C$20:$C$1000,1,false)</f>
        <v>ZSI1_SHOWCASE</v>
      </c>
      <c r="H13574" s="63" t="str">
        <f>IFERROR(__xludf.DUMMYFUNCTION("VLOOKUP(F13574, IMPORTRANGE(""https://docs.google.com/spreadsheets/d/1Lhp9OU0JdFf_VYSMzH5lBcEaU4o8teT1piV-SNzShjg/edit?gid=554141278#gid=554141278"", ""'Char Def. - Attributes'!C20:C2242""), 1,false)"),"ALT_UOM1_SIPI")</f>
        <v>ALT_UOM1_SIPI</v>
      </c>
      <c r="I13574" s="136"/>
      <c r="R13574" s="63" t="str">
        <f t="shared" si="60"/>
        <v>ZSI1_SHOWCASEALT_UOM1_SIPI</v>
      </c>
    </row>
    <row r="13575" ht="15.75" customHeight="1">
      <c r="B13575" s="63">
        <f t="shared" si="1"/>
        <v>13</v>
      </c>
      <c r="C13575" s="135" t="s">
        <v>463</v>
      </c>
      <c r="D13575" s="161" t="s">
        <v>74</v>
      </c>
      <c r="E13575" s="135">
        <f t="shared" si="62"/>
        <v>15</v>
      </c>
      <c r="F13575" s="134" t="s">
        <v>3805</v>
      </c>
      <c r="G13575" s="63" t="str">
        <f>VLOOKUP(C13575, 'Class Def. - General Data'!$C$20:$C$1000,1,false)</f>
        <v>ZSI1_SHOWCASE</v>
      </c>
      <c r="H13575" s="63" t="str">
        <f>IFERROR(__xludf.DUMMYFUNCTION("VLOOKUP(F13575, IMPORTRANGE(""https://docs.google.com/spreadsheets/d/1Lhp9OU0JdFf_VYSMzH5lBcEaU4o8teT1piV-SNzShjg/edit?gid=554141278#gid=554141278"", ""'Char Def. - Attributes'!C20:C2242""), 1,false)"),"ALT_DENUM_UOM1")</f>
        <v>ALT_DENUM_UOM1</v>
      </c>
      <c r="I13575" s="136"/>
      <c r="R13575" s="63" t="str">
        <f t="shared" si="60"/>
        <v>ZSI1_SHOWCASEALT_DENUM_UOM1</v>
      </c>
    </row>
    <row r="13576" ht="15.75" customHeight="1">
      <c r="B13576" s="63">
        <f t="shared" si="1"/>
        <v>13</v>
      </c>
      <c r="C13576" s="135" t="s">
        <v>463</v>
      </c>
      <c r="D13576" s="161" t="s">
        <v>74</v>
      </c>
      <c r="E13576" s="135">
        <f t="shared" si="62"/>
        <v>16</v>
      </c>
      <c r="F13576" s="134" t="s">
        <v>3806</v>
      </c>
      <c r="G13576" s="63" t="str">
        <f>VLOOKUP(C13576, 'Class Def. - General Data'!$C$20:$C$1000,1,false)</f>
        <v>ZSI1_SHOWCASE</v>
      </c>
      <c r="H13576" s="63" t="str">
        <f>IFERROR(__xludf.DUMMYFUNCTION("VLOOKUP(F13576, IMPORTRANGE(""https://docs.google.com/spreadsheets/d/1Lhp9OU0JdFf_VYSMzH5lBcEaU4o8teT1piV-SNzShjg/edit?gid=554141278#gid=554141278"", ""'Char Def. - Attributes'!C20:C2242""), 1,false)"),"ALT_NUM_UOM1")</f>
        <v>ALT_NUM_UOM1</v>
      </c>
      <c r="I13576" s="136"/>
      <c r="R13576" s="63" t="str">
        <f t="shared" si="60"/>
        <v>ZSI1_SHOWCASEALT_NUM_UOM1</v>
      </c>
    </row>
    <row r="13577" ht="15.75" customHeight="1">
      <c r="B13577" s="63">
        <f t="shared" si="1"/>
        <v>13</v>
      </c>
      <c r="C13577" s="135" t="s">
        <v>463</v>
      </c>
      <c r="D13577" s="161" t="s">
        <v>74</v>
      </c>
      <c r="E13577" s="135">
        <f t="shared" si="62"/>
        <v>17</v>
      </c>
      <c r="F13577" s="134" t="s">
        <v>3807</v>
      </c>
      <c r="G13577" s="63" t="str">
        <f>VLOOKUP(C13577, 'Class Def. - General Data'!$C$20:$C$1000,1,false)</f>
        <v>ZSI1_SHOWCASE</v>
      </c>
      <c r="H13577" s="63" t="str">
        <f>IFERROR(__xludf.DUMMYFUNCTION("VLOOKUP(F13577, IMPORTRANGE(""https://docs.google.com/spreadsheets/d/1Lhp9OU0JdFf_VYSMzH5lBcEaU4o8teT1piV-SNzShjg/edit?gid=554141278#gid=554141278"", ""'Char Def. - Attributes'!C20:C2242""), 1,false)"),"ALT_UOM2_SIPI")</f>
        <v>ALT_UOM2_SIPI</v>
      </c>
      <c r="I13577" s="136"/>
      <c r="R13577" s="63" t="str">
        <f t="shared" si="60"/>
        <v>ZSI1_SHOWCASEALT_UOM2_SIPI</v>
      </c>
    </row>
    <row r="13578" ht="15.75" customHeight="1">
      <c r="B13578" s="63">
        <f t="shared" si="1"/>
        <v>13</v>
      </c>
      <c r="C13578" s="135" t="s">
        <v>463</v>
      </c>
      <c r="D13578" s="161" t="s">
        <v>74</v>
      </c>
      <c r="E13578" s="135">
        <f t="shared" si="62"/>
        <v>18</v>
      </c>
      <c r="F13578" s="134" t="s">
        <v>3808</v>
      </c>
      <c r="G13578" s="63" t="str">
        <f>VLOOKUP(C13578, 'Class Def. - General Data'!$C$20:$C$1000,1,false)</f>
        <v>ZSI1_SHOWCASE</v>
      </c>
      <c r="H13578" s="63" t="str">
        <f>IFERROR(__xludf.DUMMYFUNCTION("VLOOKUP(F13578, IMPORTRANGE(""https://docs.google.com/spreadsheets/d/1Lhp9OU0JdFf_VYSMzH5lBcEaU4o8teT1piV-SNzShjg/edit?gid=554141278#gid=554141278"", ""'Char Def. - Attributes'!C20:C2242""), 1,false)"),"ALT_DENUM_UOM2")</f>
        <v>ALT_DENUM_UOM2</v>
      </c>
      <c r="I13578" s="136"/>
      <c r="R13578" s="63" t="str">
        <f t="shared" si="60"/>
        <v>ZSI1_SHOWCASEALT_DENUM_UOM2</v>
      </c>
    </row>
    <row r="13579" ht="15.75" customHeight="1">
      <c r="B13579" s="63">
        <f t="shared" si="1"/>
        <v>13</v>
      </c>
      <c r="C13579" s="135" t="s">
        <v>463</v>
      </c>
      <c r="D13579" s="161" t="s">
        <v>74</v>
      </c>
      <c r="E13579" s="135">
        <f t="shared" si="62"/>
        <v>19</v>
      </c>
      <c r="F13579" s="134" t="s">
        <v>3809</v>
      </c>
      <c r="G13579" s="63" t="str">
        <f>VLOOKUP(C13579, 'Class Def. - General Data'!$C$20:$C$1000,1,false)</f>
        <v>ZSI1_SHOWCASE</v>
      </c>
      <c r="H13579" s="63" t="str">
        <f>IFERROR(__xludf.DUMMYFUNCTION("VLOOKUP(F13579, IMPORTRANGE(""https://docs.google.com/spreadsheets/d/1Lhp9OU0JdFf_VYSMzH5lBcEaU4o8teT1piV-SNzShjg/edit?gid=554141278#gid=554141278"", ""'Char Def. - Attributes'!C20:C2242""), 1,false)"),"ALT_NUM_UOM2")</f>
        <v>ALT_NUM_UOM2</v>
      </c>
      <c r="I13579" s="136"/>
      <c r="R13579" s="63" t="str">
        <f t="shared" si="60"/>
        <v>ZSI1_SHOWCASEALT_NUM_UOM2</v>
      </c>
    </row>
    <row r="13580" ht="15.75" customHeight="1">
      <c r="B13580" s="63">
        <f t="shared" si="1"/>
        <v>13</v>
      </c>
      <c r="C13580" s="135" t="s">
        <v>463</v>
      </c>
      <c r="D13580" s="161" t="s">
        <v>74</v>
      </c>
      <c r="E13580" s="135">
        <f t="shared" si="62"/>
        <v>20</v>
      </c>
      <c r="F13580" s="134" t="s">
        <v>3810</v>
      </c>
      <c r="G13580" s="63" t="str">
        <f>VLOOKUP(C13580, 'Class Def. - General Data'!$C$20:$C$1000,1,false)</f>
        <v>ZSI1_SHOWCASE</v>
      </c>
      <c r="H13580" s="63" t="str">
        <f>IFERROR(__xludf.DUMMYFUNCTION("VLOOKUP(F13580, IMPORTRANGE(""https://docs.google.com/spreadsheets/d/1Lhp9OU0JdFf_VYSMzH5lBcEaU4o8teT1piV-SNzShjg/edit?gid=554141278#gid=554141278"", ""'Char Def. - Attributes'!C20:C2242""), 1,false)"),"ALT_UOM3_SIPI")</f>
        <v>ALT_UOM3_SIPI</v>
      </c>
      <c r="I13580" s="136"/>
      <c r="R13580" s="63" t="str">
        <f t="shared" si="60"/>
        <v>ZSI1_SHOWCASEALT_UOM3_SIPI</v>
      </c>
    </row>
    <row r="13581" ht="15.75" customHeight="1">
      <c r="B13581" s="63">
        <f t="shared" si="1"/>
        <v>13</v>
      </c>
      <c r="C13581" s="135" t="s">
        <v>463</v>
      </c>
      <c r="D13581" s="161" t="s">
        <v>74</v>
      </c>
      <c r="E13581" s="135">
        <f t="shared" si="62"/>
        <v>21</v>
      </c>
      <c r="F13581" s="134" t="s">
        <v>3811</v>
      </c>
      <c r="G13581" s="63" t="str">
        <f>VLOOKUP(C13581, 'Class Def. - General Data'!$C$20:$C$1000,1,false)</f>
        <v>ZSI1_SHOWCASE</v>
      </c>
      <c r="H13581" s="63" t="str">
        <f>IFERROR(__xludf.DUMMYFUNCTION("VLOOKUP(F13581, IMPORTRANGE(""https://docs.google.com/spreadsheets/d/1Lhp9OU0JdFf_VYSMzH5lBcEaU4o8teT1piV-SNzShjg/edit?gid=554141278#gid=554141278"", ""'Char Def. - Attributes'!C20:C2242""), 1,false)"),"ALT_DENUM_UOM3")</f>
        <v>ALT_DENUM_UOM3</v>
      </c>
      <c r="I13581" s="136"/>
      <c r="R13581" s="63" t="str">
        <f t="shared" si="60"/>
        <v>ZSI1_SHOWCASEALT_DENUM_UOM3</v>
      </c>
    </row>
    <row r="13582" ht="15.75" customHeight="1">
      <c r="B13582" s="63">
        <f t="shared" si="1"/>
        <v>13</v>
      </c>
      <c r="C13582" s="135" t="s">
        <v>463</v>
      </c>
      <c r="D13582" s="161" t="s">
        <v>74</v>
      </c>
      <c r="E13582" s="135">
        <f t="shared" si="62"/>
        <v>22</v>
      </c>
      <c r="F13582" s="134" t="s">
        <v>3812</v>
      </c>
      <c r="G13582" s="63" t="str">
        <f>VLOOKUP(C13582, 'Class Def. - General Data'!$C$20:$C$1000,1,false)</f>
        <v>ZSI1_SHOWCASE</v>
      </c>
      <c r="H13582" s="63" t="str">
        <f>IFERROR(__xludf.DUMMYFUNCTION("VLOOKUP(F13582, IMPORTRANGE(""https://docs.google.com/spreadsheets/d/1Lhp9OU0JdFf_VYSMzH5lBcEaU4o8teT1piV-SNzShjg/edit?gid=554141278#gid=554141278"", ""'Char Def. - Attributes'!C20:C2242""), 1,false)"),"ALT_NUM_UOM3")</f>
        <v>ALT_NUM_UOM3</v>
      </c>
      <c r="I13582" s="136"/>
      <c r="R13582" s="63" t="str">
        <f t="shared" si="60"/>
        <v>ZSI1_SHOWCASEALT_NUM_UOM3</v>
      </c>
    </row>
    <row r="13583" ht="15.75" customHeight="1">
      <c r="B13583" s="63">
        <f t="shared" si="1"/>
        <v>13</v>
      </c>
      <c r="C13583" s="135" t="s">
        <v>463</v>
      </c>
      <c r="D13583" s="161" t="s">
        <v>74</v>
      </c>
      <c r="E13583" s="135">
        <f t="shared" si="62"/>
        <v>23</v>
      </c>
      <c r="F13583" s="134" t="s">
        <v>3813</v>
      </c>
      <c r="G13583" s="63" t="str">
        <f>VLOOKUP(C13583, 'Class Def. - General Data'!$C$20:$C$1000,1,false)</f>
        <v>ZSI1_SHOWCASE</v>
      </c>
      <c r="H13583" s="63" t="str">
        <f>IFERROR(__xludf.DUMMYFUNCTION("VLOOKUP(F13583, IMPORTRANGE(""https://docs.google.com/spreadsheets/d/1Lhp9OU0JdFf_VYSMzH5lBcEaU4o8teT1piV-SNzShjg/edit?gid=554141278#gid=554141278"", ""'Char Def. - Attributes'!C20:C2242""), 1,false)"),"ALT_UOM4_SIPI")</f>
        <v>ALT_UOM4_SIPI</v>
      </c>
      <c r="I13583" s="136"/>
      <c r="R13583" s="63" t="str">
        <f t="shared" si="60"/>
        <v>ZSI1_SHOWCASEALT_UOM4_SIPI</v>
      </c>
    </row>
    <row r="13584" ht="15.75" customHeight="1">
      <c r="B13584" s="63">
        <f t="shared" si="1"/>
        <v>13</v>
      </c>
      <c r="C13584" s="135" t="s">
        <v>463</v>
      </c>
      <c r="D13584" s="161" t="s">
        <v>74</v>
      </c>
      <c r="E13584" s="135">
        <f t="shared" si="62"/>
        <v>24</v>
      </c>
      <c r="F13584" s="134" t="s">
        <v>3814</v>
      </c>
      <c r="G13584" s="63" t="str">
        <f>VLOOKUP(C13584, 'Class Def. - General Data'!$C$20:$C$1000,1,false)</f>
        <v>ZSI1_SHOWCASE</v>
      </c>
      <c r="H13584" s="63" t="str">
        <f>IFERROR(__xludf.DUMMYFUNCTION("VLOOKUP(F13584, IMPORTRANGE(""https://docs.google.com/spreadsheets/d/1Lhp9OU0JdFf_VYSMzH5lBcEaU4o8teT1piV-SNzShjg/edit?gid=554141278#gid=554141278"", ""'Char Def. - Attributes'!C20:C2242""), 1,false)"),"ALT_DENUM_UOM4")</f>
        <v>ALT_DENUM_UOM4</v>
      </c>
      <c r="I13584" s="136"/>
      <c r="R13584" s="63" t="str">
        <f t="shared" si="60"/>
        <v>ZSI1_SHOWCASEALT_DENUM_UOM4</v>
      </c>
    </row>
    <row r="13585" ht="15.75" customHeight="1">
      <c r="B13585" s="63">
        <f t="shared" si="1"/>
        <v>13</v>
      </c>
      <c r="C13585" s="135" t="s">
        <v>463</v>
      </c>
      <c r="D13585" s="161" t="s">
        <v>74</v>
      </c>
      <c r="E13585" s="135">
        <f t="shared" si="62"/>
        <v>25</v>
      </c>
      <c r="F13585" s="134" t="s">
        <v>3815</v>
      </c>
      <c r="G13585" s="63" t="str">
        <f>VLOOKUP(C13585, 'Class Def. - General Data'!$C$20:$C$1000,1,false)</f>
        <v>ZSI1_SHOWCASE</v>
      </c>
      <c r="H13585" s="63" t="str">
        <f>IFERROR(__xludf.DUMMYFUNCTION("VLOOKUP(F13585, IMPORTRANGE(""https://docs.google.com/spreadsheets/d/1Lhp9OU0JdFf_VYSMzH5lBcEaU4o8teT1piV-SNzShjg/edit?gid=554141278#gid=554141278"", ""'Char Def. - Attributes'!C20:C2242""), 1,false)"),"ALT_NUM_UOM4")</f>
        <v>ALT_NUM_UOM4</v>
      </c>
      <c r="I13585" s="136"/>
      <c r="R13585" s="63" t="str">
        <f t="shared" si="60"/>
        <v>ZSI1_SHOWCASEALT_NUM_UOM4</v>
      </c>
    </row>
    <row r="13586" ht="15.75" customHeight="1">
      <c r="B13586" s="63">
        <f t="shared" si="1"/>
        <v>13</v>
      </c>
      <c r="C13586" s="135" t="s">
        <v>463</v>
      </c>
      <c r="D13586" s="161" t="s">
        <v>74</v>
      </c>
      <c r="E13586" s="135">
        <f t="shared" si="62"/>
        <v>26</v>
      </c>
      <c r="F13586" s="134" t="s">
        <v>3816</v>
      </c>
      <c r="G13586" s="63" t="str">
        <f>VLOOKUP(C13586, 'Class Def. - General Data'!$C$20:$C$1000,1,false)</f>
        <v>ZSI1_SHOWCASE</v>
      </c>
      <c r="H13586" s="63" t="str">
        <f>IFERROR(__xludf.DUMMYFUNCTION("VLOOKUP(F13586, IMPORTRANGE(""https://docs.google.com/spreadsheets/d/1Lhp9OU0JdFf_VYSMzH5lBcEaU4o8teT1piV-SNzShjg/edit?gid=554141278#gid=554141278"", ""'Char Def. - Attributes'!C20:C2242""), 1,false)"),"ALT_UOM5_SIPI")</f>
        <v>ALT_UOM5_SIPI</v>
      </c>
      <c r="I13586" s="136"/>
      <c r="R13586" s="63" t="str">
        <f t="shared" si="60"/>
        <v>ZSI1_SHOWCASEALT_UOM5_SIPI</v>
      </c>
    </row>
    <row r="13587" ht="15.75" customHeight="1">
      <c r="B13587" s="63">
        <f t="shared" si="1"/>
        <v>13</v>
      </c>
      <c r="C13587" s="135" t="s">
        <v>463</v>
      </c>
      <c r="D13587" s="161" t="s">
        <v>74</v>
      </c>
      <c r="E13587" s="135">
        <f t="shared" si="62"/>
        <v>27</v>
      </c>
      <c r="F13587" s="134" t="s">
        <v>3817</v>
      </c>
      <c r="G13587" s="63" t="str">
        <f>VLOOKUP(C13587, 'Class Def. - General Data'!$C$20:$C$1000,1,false)</f>
        <v>ZSI1_SHOWCASE</v>
      </c>
      <c r="H13587" s="63" t="str">
        <f>IFERROR(__xludf.DUMMYFUNCTION("VLOOKUP(F13587, IMPORTRANGE(""https://docs.google.com/spreadsheets/d/1Lhp9OU0JdFf_VYSMzH5lBcEaU4o8teT1piV-SNzShjg/edit?gid=554141278#gid=554141278"", ""'Char Def. - Attributes'!C20:C2242""), 1,false)"),"ALT_DENUM_UOM5")</f>
        <v>ALT_DENUM_UOM5</v>
      </c>
      <c r="I13587" s="136"/>
      <c r="R13587" s="63" t="str">
        <f t="shared" si="60"/>
        <v>ZSI1_SHOWCASEALT_DENUM_UOM5</v>
      </c>
    </row>
    <row r="13588" ht="15.75" customHeight="1">
      <c r="B13588" s="63">
        <f t="shared" si="1"/>
        <v>13</v>
      </c>
      <c r="C13588" s="135" t="s">
        <v>463</v>
      </c>
      <c r="D13588" s="161" t="s">
        <v>74</v>
      </c>
      <c r="E13588" s="135">
        <f t="shared" si="62"/>
        <v>28</v>
      </c>
      <c r="F13588" s="134" t="s">
        <v>3818</v>
      </c>
      <c r="G13588" s="63" t="str">
        <f>VLOOKUP(C13588, 'Class Def. - General Data'!$C$20:$C$1000,1,false)</f>
        <v>ZSI1_SHOWCASE</v>
      </c>
      <c r="H13588" s="63" t="str">
        <f>IFERROR(__xludf.DUMMYFUNCTION("VLOOKUP(F13588, IMPORTRANGE(""https://docs.google.com/spreadsheets/d/1Lhp9OU0JdFf_VYSMzH5lBcEaU4o8teT1piV-SNzShjg/edit?gid=554141278#gid=554141278"", ""'Char Def. - Attributes'!C20:C2242""), 1,false)"),"ALT_NUM_UOM5")</f>
        <v>ALT_NUM_UOM5</v>
      </c>
      <c r="I13588" s="136"/>
      <c r="R13588" s="63" t="str">
        <f t="shared" si="60"/>
        <v>ZSI1_SHOWCASEALT_NUM_UOM5</v>
      </c>
    </row>
    <row r="13589" ht="15.75" customHeight="1">
      <c r="B13589" s="63">
        <f t="shared" si="1"/>
        <v>16</v>
      </c>
      <c r="C13589" s="135" t="s">
        <v>464</v>
      </c>
      <c r="D13589" s="161" t="s">
        <v>74</v>
      </c>
      <c r="E13589" s="135">
        <f t="shared" si="62"/>
        <v>1</v>
      </c>
      <c r="F13589" s="134" t="s">
        <v>5420</v>
      </c>
      <c r="G13589" s="63" t="str">
        <f>VLOOKUP(C13589, 'Class Def. - General Data'!$C$20:$C$1000,1,false)</f>
        <v>ZSI1_SIGHT_GLASS</v>
      </c>
      <c r="H13589" s="63" t="str">
        <f>IFERROR(__xludf.DUMMYFUNCTION("VLOOKUP(F13589, IMPORTRANGE(""https://docs.google.com/spreadsheets/d/1Lhp9OU0JdFf_VYSMzH5lBcEaU4o8teT1piV-SNzShjg/edit?gid=554141278#gid=554141278"", ""'Char Def. - Attributes'!C20:C2242""), 1,false)"),"ITEM_NAME_SIGHT_GLASS")</f>
        <v>ITEM_NAME_SIGHT_GLASS</v>
      </c>
      <c r="I13589" s="136"/>
      <c r="R13589" s="63" t="str">
        <f t="shared" si="60"/>
        <v>ZSI1_SIGHT_GLASSITEM_NAME_SIGHT_GLASS</v>
      </c>
    </row>
    <row r="13590" ht="15.75" customHeight="1">
      <c r="B13590" s="63">
        <f t="shared" si="1"/>
        <v>16</v>
      </c>
      <c r="C13590" s="135" t="s">
        <v>464</v>
      </c>
      <c r="D13590" s="161" t="s">
        <v>74</v>
      </c>
      <c r="E13590" s="135">
        <f t="shared" si="62"/>
        <v>2</v>
      </c>
      <c r="F13590" s="134" t="s">
        <v>5421</v>
      </c>
      <c r="G13590" s="63" t="str">
        <f>VLOOKUP(C13590, 'Class Def. - General Data'!$C$20:$C$1000,1,false)</f>
        <v>ZSI1_SIGHT_GLASS</v>
      </c>
      <c r="H13590" s="63" t="str">
        <f>IFERROR(__xludf.DUMMYFUNCTION("VLOOKUP(F13590, IMPORTRANGE(""https://docs.google.com/spreadsheets/d/1Lhp9OU0JdFf_VYSMzH5lBcEaU4o8teT1piV-SNzShjg/edit?gid=554141278#gid=554141278"", ""'Char Def. - Attributes'!C20:C2242""), 1,false)"),"SHAPE_SIGHT_GLASS")</f>
        <v>SHAPE_SIGHT_GLASS</v>
      </c>
      <c r="I13590" s="136"/>
      <c r="R13590" s="63" t="str">
        <f t="shared" si="60"/>
        <v>ZSI1_SIGHT_GLASSSHAPE_SIGHT_GLASS</v>
      </c>
    </row>
    <row r="13591" ht="15.75" customHeight="1">
      <c r="B13591" s="63">
        <f t="shared" si="1"/>
        <v>16</v>
      </c>
      <c r="C13591" s="135" t="s">
        <v>464</v>
      </c>
      <c r="D13591" s="161" t="s">
        <v>74</v>
      </c>
      <c r="E13591" s="135">
        <f t="shared" si="62"/>
        <v>3</v>
      </c>
      <c r="F13591" s="134" t="s">
        <v>5422</v>
      </c>
      <c r="G13591" s="63" t="str">
        <f>VLOOKUP(C13591, 'Class Def. - General Data'!$C$20:$C$1000,1,false)</f>
        <v>ZSI1_SIGHT_GLASS</v>
      </c>
      <c r="H13591" s="63" t="str">
        <f>IFERROR(__xludf.DUMMYFUNCTION("VLOOKUP(F13591, IMPORTRANGE(""https://docs.google.com/spreadsheets/d/1Lhp9OU0JdFf_VYSMzH5lBcEaU4o8teT1piV-SNzShjg/edit?gid=554141278#gid=554141278"", ""'Char Def. - Attributes'!C20:C2242""), 1,false)"),"SIZE_MM_SIGHT_GLASS")</f>
        <v>SIZE_MM_SIGHT_GLASS</v>
      </c>
      <c r="I13591" s="136"/>
      <c r="R13591" s="63" t="str">
        <f t="shared" si="60"/>
        <v>ZSI1_SIGHT_GLASSSIZE_MM_SIGHT_GLASS</v>
      </c>
    </row>
    <row r="13592" ht="15.75" customHeight="1">
      <c r="B13592" s="63">
        <f t="shared" si="1"/>
        <v>16</v>
      </c>
      <c r="C13592" s="135" t="s">
        <v>464</v>
      </c>
      <c r="D13592" s="161" t="s">
        <v>74</v>
      </c>
      <c r="E13592" s="135">
        <f t="shared" si="62"/>
        <v>4</v>
      </c>
      <c r="F13592" s="134" t="s">
        <v>5423</v>
      </c>
      <c r="G13592" s="63" t="str">
        <f>VLOOKUP(C13592, 'Class Def. - General Data'!$C$20:$C$1000,1,false)</f>
        <v>ZSI1_SIGHT_GLASS</v>
      </c>
      <c r="H13592" s="63" t="str">
        <f>IFERROR(__xludf.DUMMYFUNCTION("VLOOKUP(F13592, IMPORTRANGE(""https://docs.google.com/spreadsheets/d/1Lhp9OU0JdFf_VYSMzH5lBcEaU4o8teT1piV-SNzShjg/edit?gid=554141278#gid=554141278"", ""'Char Def. - Attributes'!C20:C2242""), 1,false)"),"COLOR_SIGHT_GLASS")</f>
        <v>COLOR_SIGHT_GLASS</v>
      </c>
      <c r="I13592" s="136"/>
      <c r="R13592" s="63" t="str">
        <f t="shared" si="60"/>
        <v>ZSI1_SIGHT_GLASSCOLOR_SIGHT_GLASS</v>
      </c>
    </row>
    <row r="13593" ht="15.75" customHeight="1">
      <c r="B13593" s="63">
        <f t="shared" si="1"/>
        <v>16</v>
      </c>
      <c r="C13593" s="135" t="s">
        <v>464</v>
      </c>
      <c r="D13593" s="161" t="s">
        <v>74</v>
      </c>
      <c r="E13593" s="135">
        <f t="shared" si="62"/>
        <v>5</v>
      </c>
      <c r="F13593" s="134" t="s">
        <v>4053</v>
      </c>
      <c r="G13593" s="63" t="str">
        <f>VLOOKUP(C13593, 'Class Def. - General Data'!$C$20:$C$1000,1,false)</f>
        <v>ZSI1_SIGHT_GLASS</v>
      </c>
      <c r="H13593" s="63" t="str">
        <f>IFERROR(__xludf.DUMMYFUNCTION("VLOOKUP(F13593, IMPORTRANGE(""https://docs.google.com/spreadsheets/d/1Lhp9OU0JdFf_VYSMzH5lBcEaU4o8teT1piV-SNzShjg/edit?gid=554141278#gid=554141278"", ""'Char Def. - Attributes'!C20:C2242""), 1,false)"),"MAINTENANCE_ORDER_TYPE")</f>
        <v>MAINTENANCE_ORDER_TYPE</v>
      </c>
      <c r="I13593" s="136"/>
      <c r="R13593" s="63" t="str">
        <f t="shared" si="60"/>
        <v>ZSI1_SIGHT_GLASSMAINTENANCE_ORDER_TYPE</v>
      </c>
    </row>
    <row r="13594" ht="15.75" customHeight="1">
      <c r="B13594" s="63">
        <f t="shared" si="1"/>
        <v>16</v>
      </c>
      <c r="C13594" s="135" t="s">
        <v>464</v>
      </c>
      <c r="D13594" s="161" t="s">
        <v>74</v>
      </c>
      <c r="E13594" s="135">
        <f t="shared" si="62"/>
        <v>6</v>
      </c>
      <c r="F13594" s="134" t="s">
        <v>3585</v>
      </c>
      <c r="G13594" s="63" t="str">
        <f>VLOOKUP(C13594, 'Class Def. - General Data'!$C$20:$C$1000,1,false)</f>
        <v>ZSI1_SIGHT_GLASS</v>
      </c>
      <c r="H13594" s="63" t="str">
        <f>IFERROR(__xludf.DUMMYFUNCTION("VLOOKUP(F13594, IMPORTRANGE(""https://docs.google.com/spreadsheets/d/1Lhp9OU0JdFf_VYSMzH5lBcEaU4o8teT1piV-SNzShjg/edit?gid=554141278#gid=554141278"", ""'Char Def. - Attributes'!C20:C2242""), 1,false)"),"HS_CODE")</f>
        <v>HS_CODE</v>
      </c>
      <c r="I13594" s="136"/>
      <c r="R13594" s="63" t="str">
        <f t="shared" si="60"/>
        <v>ZSI1_SIGHT_GLASSHS_CODE</v>
      </c>
    </row>
    <row r="13595" ht="15.75" customHeight="1">
      <c r="B13595" s="63">
        <f t="shared" si="1"/>
        <v>16</v>
      </c>
      <c r="C13595" s="135" t="s">
        <v>464</v>
      </c>
      <c r="D13595" s="161" t="s">
        <v>74</v>
      </c>
      <c r="E13595" s="135">
        <f t="shared" si="62"/>
        <v>7</v>
      </c>
      <c r="F13595" s="134" t="s">
        <v>3587</v>
      </c>
      <c r="G13595" s="63" t="str">
        <f>VLOOKUP(C13595, 'Class Def. - General Data'!$C$20:$C$1000,1,false)</f>
        <v>ZSI1_SIGHT_GLASS</v>
      </c>
      <c r="H13595" s="63" t="str">
        <f>IFERROR(__xludf.DUMMYFUNCTION("VLOOKUP(F13595, IMPORTRANGE(""https://docs.google.com/spreadsheets/d/1Lhp9OU0JdFf_VYSMzH5lBcEaU4o8teT1piV-SNzShjg/edit?gid=554141278#gid=554141278"", ""'Char Def. - Attributes'!C20:C2242""), 1,false)"),"PLANT_BUY")</f>
        <v>PLANT_BUY</v>
      </c>
      <c r="I13595" s="136"/>
      <c r="R13595" s="63" t="str">
        <f t="shared" si="60"/>
        <v>ZSI1_SIGHT_GLASSPLANT_BUY</v>
      </c>
    </row>
    <row r="13596" ht="15.75" customHeight="1">
      <c r="B13596" s="63">
        <f t="shared" si="1"/>
        <v>16</v>
      </c>
      <c r="C13596" s="135" t="s">
        <v>464</v>
      </c>
      <c r="D13596" s="161" t="s">
        <v>74</v>
      </c>
      <c r="E13596" s="135">
        <f t="shared" si="62"/>
        <v>8</v>
      </c>
      <c r="F13596" s="134" t="s">
        <v>5424</v>
      </c>
      <c r="G13596" s="63" t="str">
        <f>VLOOKUP(C13596, 'Class Def. - General Data'!$C$20:$C$1000,1,false)</f>
        <v>ZSI1_SIGHT_GLASS</v>
      </c>
      <c r="H13596" s="63" t="str">
        <f>IFERROR(__xludf.DUMMYFUNCTION("VLOOKUP(F13596, IMPORTRANGE(""https://docs.google.com/spreadsheets/d/1Lhp9OU0JdFf_VYSMzH5lBcEaU4o8teT1piV-SNzShjg/edit?gid=554141278#gid=554141278"", ""'Char Def. - Attributes'!C20:C2242""), 1,false)"),"BASE_UOM_SIGHT_GLASS")</f>
        <v>BASE_UOM_SIGHT_GLASS</v>
      </c>
      <c r="I13596" s="136"/>
      <c r="R13596" s="63" t="str">
        <f t="shared" si="60"/>
        <v>ZSI1_SIGHT_GLASSBASE_UOM_SIGHT_GLASS</v>
      </c>
    </row>
    <row r="13597" ht="15.75" customHeight="1">
      <c r="B13597" s="63">
        <f t="shared" si="1"/>
        <v>16</v>
      </c>
      <c r="C13597" s="135" t="s">
        <v>464</v>
      </c>
      <c r="D13597" s="161" t="s">
        <v>74</v>
      </c>
      <c r="E13597" s="135">
        <f t="shared" si="62"/>
        <v>9</v>
      </c>
      <c r="F13597" s="134" t="s">
        <v>5425</v>
      </c>
      <c r="G13597" s="63" t="str">
        <f>VLOOKUP(C13597, 'Class Def. - General Data'!$C$20:$C$1000,1,false)</f>
        <v>ZSI1_SIGHT_GLASS</v>
      </c>
      <c r="H13597" s="63" t="str">
        <f>IFERROR(__xludf.DUMMYFUNCTION("VLOOKUP(F13597, IMPORTRANGE(""https://docs.google.com/spreadsheets/d/1Lhp9OU0JdFf_VYSMzH5lBcEaU4o8teT1piV-SNzShjg/edit?gid=554141278#gid=554141278"", ""'Char Def. - Attributes'!C20:C2242""), 1,false)"),"ORDER_UNIT_SIGHT_GLASS")</f>
        <v>ORDER_UNIT_SIGHT_GLASS</v>
      </c>
      <c r="I13597" s="136"/>
      <c r="R13597" s="63" t="str">
        <f t="shared" si="60"/>
        <v>ZSI1_SIGHT_GLASSORDER_UNIT_SIGHT_GLASS</v>
      </c>
    </row>
    <row r="13598" ht="15.75" customHeight="1">
      <c r="B13598" s="63">
        <f t="shared" si="1"/>
        <v>16</v>
      </c>
      <c r="C13598" s="135" t="s">
        <v>464</v>
      </c>
      <c r="D13598" s="161" t="s">
        <v>74</v>
      </c>
      <c r="E13598" s="135">
        <f t="shared" si="62"/>
        <v>10</v>
      </c>
      <c r="F13598" s="134" t="s">
        <v>4056</v>
      </c>
      <c r="G13598" s="63" t="str">
        <f>VLOOKUP(C13598, 'Class Def. - General Data'!$C$20:$C$1000,1,false)</f>
        <v>ZSI1_SIGHT_GLASS</v>
      </c>
      <c r="H13598" s="63" t="str">
        <f>IFERROR(__xludf.DUMMYFUNCTION("VLOOKUP(F13598, IMPORTRANGE(""https://docs.google.com/spreadsheets/d/1Lhp9OU0JdFf_VYSMzH5lBcEaU4o8teT1piV-SNzShjg/edit?gid=554141278#gid=554141278"", ""'Char Def. - Attributes'!C20:C2242""), 1,false)"),"GROSS_WEIGHT_OPT")</f>
        <v>GROSS_WEIGHT_OPT</v>
      </c>
      <c r="I13598" s="136"/>
      <c r="R13598" s="63" t="str">
        <f t="shared" si="60"/>
        <v>ZSI1_SIGHT_GLASSGROSS_WEIGHT_OPT</v>
      </c>
    </row>
    <row r="13599" ht="15.75" customHeight="1">
      <c r="B13599" s="63">
        <f t="shared" si="1"/>
        <v>16</v>
      </c>
      <c r="C13599" s="135" t="s">
        <v>464</v>
      </c>
      <c r="D13599" s="161" t="s">
        <v>74</v>
      </c>
      <c r="E13599" s="135">
        <f t="shared" si="62"/>
        <v>11</v>
      </c>
      <c r="F13599" s="134" t="s">
        <v>4057</v>
      </c>
      <c r="G13599" s="63" t="str">
        <f>VLOOKUP(C13599, 'Class Def. - General Data'!$C$20:$C$1000,1,false)</f>
        <v>ZSI1_SIGHT_GLASS</v>
      </c>
      <c r="H13599" s="63" t="str">
        <f>IFERROR(__xludf.DUMMYFUNCTION("VLOOKUP(F13599, IMPORTRANGE(""https://docs.google.com/spreadsheets/d/1Lhp9OU0JdFf_VYSMzH5lBcEaU4o8teT1piV-SNzShjg/edit?gid=554141278#gid=554141278"", ""'Char Def. - Attributes'!C20:C2242""), 1,false)"),"NET_WEIGHT_OPT")</f>
        <v>NET_WEIGHT_OPT</v>
      </c>
      <c r="I13599" s="136"/>
      <c r="R13599" s="63" t="str">
        <f t="shared" si="60"/>
        <v>ZSI1_SIGHT_GLASSNET_WEIGHT_OPT</v>
      </c>
    </row>
    <row r="13600" ht="15.75" customHeight="1">
      <c r="B13600" s="63">
        <f t="shared" si="1"/>
        <v>16</v>
      </c>
      <c r="C13600" s="135" t="s">
        <v>464</v>
      </c>
      <c r="D13600" s="161" t="s">
        <v>74</v>
      </c>
      <c r="E13600" s="135">
        <f t="shared" si="62"/>
        <v>12</v>
      </c>
      <c r="F13600" s="134" t="s">
        <v>4058</v>
      </c>
      <c r="G13600" s="63" t="str">
        <f>VLOOKUP(C13600, 'Class Def. - General Data'!$C$20:$C$1000,1,false)</f>
        <v>ZSI1_SIGHT_GLASS</v>
      </c>
      <c r="H13600" s="63" t="str">
        <f>IFERROR(__xludf.DUMMYFUNCTION("VLOOKUP(F13600, IMPORTRANGE(""https://docs.google.com/spreadsheets/d/1Lhp9OU0JdFf_VYSMzH5lBcEaU4o8teT1piV-SNzShjg/edit?gid=554141278#gid=554141278"", ""'Char Def. - Attributes'!C20:C2242""), 1,false)"),"WEIGHT_UNIT_SI")</f>
        <v>WEIGHT_UNIT_SI</v>
      </c>
      <c r="I13600" s="136"/>
      <c r="R13600" s="63" t="str">
        <f t="shared" si="60"/>
        <v>ZSI1_SIGHT_GLASSWEIGHT_UNIT_SI</v>
      </c>
    </row>
    <row r="13601" ht="15.75" customHeight="1">
      <c r="B13601" s="63">
        <f t="shared" si="1"/>
        <v>16</v>
      </c>
      <c r="C13601" s="135" t="s">
        <v>464</v>
      </c>
      <c r="D13601" s="161" t="s">
        <v>74</v>
      </c>
      <c r="E13601" s="135">
        <f t="shared" si="62"/>
        <v>13</v>
      </c>
      <c r="F13601" s="134" t="s">
        <v>3877</v>
      </c>
      <c r="G13601" s="63" t="str">
        <f>VLOOKUP(C13601, 'Class Def. - General Data'!$C$20:$C$1000,1,false)</f>
        <v>ZSI1_SIGHT_GLASS</v>
      </c>
      <c r="H13601" s="63" t="str">
        <f>IFERROR(__xludf.DUMMYFUNCTION("VLOOKUP(F13601, IMPORTRANGE(""https://docs.google.com/spreadsheets/d/1Lhp9OU0JdFf_VYSMzH5lBcEaU4o8teT1piV-SNzShjg/edit?gid=554141278#gid=554141278"", ""'Char Def. - Attributes'!C20:C2242""), 1,false)"),"VOLUME_OPT")</f>
        <v>VOLUME_OPT</v>
      </c>
      <c r="I13601" s="136"/>
      <c r="R13601" s="63" t="str">
        <f t="shared" si="60"/>
        <v>ZSI1_SIGHT_GLASSVOLUME_OPT</v>
      </c>
    </row>
    <row r="13602" ht="15.75" customHeight="1">
      <c r="B13602" s="63">
        <f t="shared" si="1"/>
        <v>16</v>
      </c>
      <c r="C13602" s="135" t="s">
        <v>464</v>
      </c>
      <c r="D13602" s="161" t="s">
        <v>74</v>
      </c>
      <c r="E13602" s="135">
        <f t="shared" si="62"/>
        <v>14</v>
      </c>
      <c r="F13602" s="134" t="s">
        <v>4059</v>
      </c>
      <c r="G13602" s="63" t="str">
        <f>VLOOKUP(C13602, 'Class Def. - General Data'!$C$20:$C$1000,1,false)</f>
        <v>ZSI1_SIGHT_GLASS</v>
      </c>
      <c r="H13602" s="63" t="str">
        <f>IFERROR(__xludf.DUMMYFUNCTION("VLOOKUP(F13602, IMPORTRANGE(""https://docs.google.com/spreadsheets/d/1Lhp9OU0JdFf_VYSMzH5lBcEaU4o8teT1piV-SNzShjg/edit?gid=554141278#gid=554141278"", ""'Char Def. - Attributes'!C20:C2242""), 1,false)"),"VOLUME_UNIT_SI")</f>
        <v>VOLUME_UNIT_SI</v>
      </c>
      <c r="I13602" s="136"/>
      <c r="R13602" s="63" t="str">
        <f t="shared" si="60"/>
        <v>ZSI1_SIGHT_GLASSVOLUME_UNIT_SI</v>
      </c>
    </row>
    <row r="13603" ht="15.75" customHeight="1">
      <c r="B13603" s="63">
        <f t="shared" si="1"/>
        <v>16</v>
      </c>
      <c r="C13603" s="135" t="s">
        <v>464</v>
      </c>
      <c r="D13603" s="161" t="s">
        <v>74</v>
      </c>
      <c r="E13603" s="135">
        <f t="shared" si="62"/>
        <v>15</v>
      </c>
      <c r="F13603" s="134" t="s">
        <v>3804</v>
      </c>
      <c r="G13603" s="63" t="str">
        <f>VLOOKUP(C13603, 'Class Def. - General Data'!$C$20:$C$1000,1,false)</f>
        <v>ZSI1_SIGHT_GLASS</v>
      </c>
      <c r="H13603" s="63" t="str">
        <f>IFERROR(__xludf.DUMMYFUNCTION("VLOOKUP(F13603, IMPORTRANGE(""https://docs.google.com/spreadsheets/d/1Lhp9OU0JdFf_VYSMzH5lBcEaU4o8teT1piV-SNzShjg/edit?gid=554141278#gid=554141278"", ""'Char Def. - Attributes'!C20:C2242""), 1,false)"),"ALT_UOM1_SIPI")</f>
        <v>ALT_UOM1_SIPI</v>
      </c>
      <c r="I13603" s="136"/>
      <c r="R13603" s="63" t="str">
        <f t="shared" si="60"/>
        <v>ZSI1_SIGHT_GLASSALT_UOM1_SIPI</v>
      </c>
    </row>
    <row r="13604" ht="15.75" customHeight="1">
      <c r="B13604" s="63">
        <f t="shared" si="1"/>
        <v>16</v>
      </c>
      <c r="C13604" s="135" t="s">
        <v>464</v>
      </c>
      <c r="D13604" s="161" t="s">
        <v>74</v>
      </c>
      <c r="E13604" s="135">
        <f t="shared" si="62"/>
        <v>16</v>
      </c>
      <c r="F13604" s="134" t="s">
        <v>3805</v>
      </c>
      <c r="G13604" s="63" t="str">
        <f>VLOOKUP(C13604, 'Class Def. - General Data'!$C$20:$C$1000,1,false)</f>
        <v>ZSI1_SIGHT_GLASS</v>
      </c>
      <c r="H13604" s="63" t="str">
        <f>IFERROR(__xludf.DUMMYFUNCTION("VLOOKUP(F13604, IMPORTRANGE(""https://docs.google.com/spreadsheets/d/1Lhp9OU0JdFf_VYSMzH5lBcEaU4o8teT1piV-SNzShjg/edit?gid=554141278#gid=554141278"", ""'Char Def. - Attributes'!C20:C2242""), 1,false)"),"ALT_DENUM_UOM1")</f>
        <v>ALT_DENUM_UOM1</v>
      </c>
      <c r="I13604" s="136"/>
      <c r="R13604" s="63" t="str">
        <f t="shared" si="60"/>
        <v>ZSI1_SIGHT_GLASSALT_DENUM_UOM1</v>
      </c>
    </row>
    <row r="13605" ht="15.75" customHeight="1">
      <c r="B13605" s="63">
        <f t="shared" si="1"/>
        <v>16</v>
      </c>
      <c r="C13605" s="135" t="s">
        <v>464</v>
      </c>
      <c r="D13605" s="161" t="s">
        <v>74</v>
      </c>
      <c r="E13605" s="135">
        <f t="shared" si="62"/>
        <v>17</v>
      </c>
      <c r="F13605" s="134" t="s">
        <v>3806</v>
      </c>
      <c r="G13605" s="63" t="str">
        <f>VLOOKUP(C13605, 'Class Def. - General Data'!$C$20:$C$1000,1,false)</f>
        <v>ZSI1_SIGHT_GLASS</v>
      </c>
      <c r="H13605" s="63" t="str">
        <f>IFERROR(__xludf.DUMMYFUNCTION("VLOOKUP(F13605, IMPORTRANGE(""https://docs.google.com/spreadsheets/d/1Lhp9OU0JdFf_VYSMzH5lBcEaU4o8teT1piV-SNzShjg/edit?gid=554141278#gid=554141278"", ""'Char Def. - Attributes'!C20:C2242""), 1,false)"),"ALT_NUM_UOM1")</f>
        <v>ALT_NUM_UOM1</v>
      </c>
      <c r="I13605" s="136"/>
      <c r="R13605" s="63" t="str">
        <f t="shared" si="60"/>
        <v>ZSI1_SIGHT_GLASSALT_NUM_UOM1</v>
      </c>
    </row>
    <row r="13606" ht="15.75" customHeight="1">
      <c r="B13606" s="63">
        <f t="shared" si="1"/>
        <v>16</v>
      </c>
      <c r="C13606" s="135" t="s">
        <v>464</v>
      </c>
      <c r="D13606" s="161" t="s">
        <v>74</v>
      </c>
      <c r="E13606" s="135">
        <f t="shared" si="62"/>
        <v>18</v>
      </c>
      <c r="F13606" s="134" t="s">
        <v>3807</v>
      </c>
      <c r="G13606" s="63" t="str">
        <f>VLOOKUP(C13606, 'Class Def. - General Data'!$C$20:$C$1000,1,false)</f>
        <v>ZSI1_SIGHT_GLASS</v>
      </c>
      <c r="H13606" s="63" t="str">
        <f>IFERROR(__xludf.DUMMYFUNCTION("VLOOKUP(F13606, IMPORTRANGE(""https://docs.google.com/spreadsheets/d/1Lhp9OU0JdFf_VYSMzH5lBcEaU4o8teT1piV-SNzShjg/edit?gid=554141278#gid=554141278"", ""'Char Def. - Attributes'!C20:C2242""), 1,false)"),"ALT_UOM2_SIPI")</f>
        <v>ALT_UOM2_SIPI</v>
      </c>
      <c r="I13606" s="136"/>
      <c r="R13606" s="63" t="str">
        <f t="shared" si="60"/>
        <v>ZSI1_SIGHT_GLASSALT_UOM2_SIPI</v>
      </c>
    </row>
    <row r="13607" ht="15.75" customHeight="1">
      <c r="B13607" s="63">
        <f t="shared" si="1"/>
        <v>16</v>
      </c>
      <c r="C13607" s="135" t="s">
        <v>464</v>
      </c>
      <c r="D13607" s="161" t="s">
        <v>74</v>
      </c>
      <c r="E13607" s="135">
        <f t="shared" si="62"/>
        <v>19</v>
      </c>
      <c r="F13607" s="134" t="s">
        <v>3808</v>
      </c>
      <c r="G13607" s="63" t="str">
        <f>VLOOKUP(C13607, 'Class Def. - General Data'!$C$20:$C$1000,1,false)</f>
        <v>ZSI1_SIGHT_GLASS</v>
      </c>
      <c r="H13607" s="63" t="str">
        <f>IFERROR(__xludf.DUMMYFUNCTION("VLOOKUP(F13607, IMPORTRANGE(""https://docs.google.com/spreadsheets/d/1Lhp9OU0JdFf_VYSMzH5lBcEaU4o8teT1piV-SNzShjg/edit?gid=554141278#gid=554141278"", ""'Char Def. - Attributes'!C20:C2242""), 1,false)"),"ALT_DENUM_UOM2")</f>
        <v>ALT_DENUM_UOM2</v>
      </c>
      <c r="I13607" s="136"/>
      <c r="R13607" s="63" t="str">
        <f t="shared" si="60"/>
        <v>ZSI1_SIGHT_GLASSALT_DENUM_UOM2</v>
      </c>
    </row>
    <row r="13608" ht="15.75" customHeight="1">
      <c r="B13608" s="63">
        <f t="shared" si="1"/>
        <v>16</v>
      </c>
      <c r="C13608" s="135" t="s">
        <v>464</v>
      </c>
      <c r="D13608" s="161" t="s">
        <v>74</v>
      </c>
      <c r="E13608" s="135">
        <f t="shared" si="62"/>
        <v>20</v>
      </c>
      <c r="F13608" s="134" t="s">
        <v>3809</v>
      </c>
      <c r="G13608" s="63" t="str">
        <f>VLOOKUP(C13608, 'Class Def. - General Data'!$C$20:$C$1000,1,false)</f>
        <v>ZSI1_SIGHT_GLASS</v>
      </c>
      <c r="H13608" s="63" t="str">
        <f>IFERROR(__xludf.DUMMYFUNCTION("VLOOKUP(F13608, IMPORTRANGE(""https://docs.google.com/spreadsheets/d/1Lhp9OU0JdFf_VYSMzH5lBcEaU4o8teT1piV-SNzShjg/edit?gid=554141278#gid=554141278"", ""'Char Def. - Attributes'!C20:C2242""), 1,false)"),"ALT_NUM_UOM2")</f>
        <v>ALT_NUM_UOM2</v>
      </c>
      <c r="I13608" s="136"/>
      <c r="R13608" s="63" t="str">
        <f t="shared" si="60"/>
        <v>ZSI1_SIGHT_GLASSALT_NUM_UOM2</v>
      </c>
    </row>
    <row r="13609" ht="15.75" customHeight="1">
      <c r="B13609" s="63">
        <f t="shared" si="1"/>
        <v>16</v>
      </c>
      <c r="C13609" s="135" t="s">
        <v>464</v>
      </c>
      <c r="D13609" s="161" t="s">
        <v>74</v>
      </c>
      <c r="E13609" s="135">
        <f t="shared" si="62"/>
        <v>21</v>
      </c>
      <c r="F13609" s="134" t="s">
        <v>3810</v>
      </c>
      <c r="G13609" s="63" t="str">
        <f>VLOOKUP(C13609, 'Class Def. - General Data'!$C$20:$C$1000,1,false)</f>
        <v>ZSI1_SIGHT_GLASS</v>
      </c>
      <c r="H13609" s="63" t="str">
        <f>IFERROR(__xludf.DUMMYFUNCTION("VLOOKUP(F13609, IMPORTRANGE(""https://docs.google.com/spreadsheets/d/1Lhp9OU0JdFf_VYSMzH5lBcEaU4o8teT1piV-SNzShjg/edit?gid=554141278#gid=554141278"", ""'Char Def. - Attributes'!C20:C2242""), 1,false)"),"ALT_UOM3_SIPI")</f>
        <v>ALT_UOM3_SIPI</v>
      </c>
      <c r="I13609" s="136"/>
      <c r="R13609" s="63" t="str">
        <f t="shared" si="60"/>
        <v>ZSI1_SIGHT_GLASSALT_UOM3_SIPI</v>
      </c>
    </row>
    <row r="13610" ht="15.75" customHeight="1">
      <c r="B13610" s="63">
        <f t="shared" si="1"/>
        <v>16</v>
      </c>
      <c r="C13610" s="135" t="s">
        <v>464</v>
      </c>
      <c r="D13610" s="161" t="s">
        <v>74</v>
      </c>
      <c r="E13610" s="135">
        <f t="shared" si="62"/>
        <v>22</v>
      </c>
      <c r="F13610" s="134" t="s">
        <v>3811</v>
      </c>
      <c r="G13610" s="63" t="str">
        <f>VLOOKUP(C13610, 'Class Def. - General Data'!$C$20:$C$1000,1,false)</f>
        <v>ZSI1_SIGHT_GLASS</v>
      </c>
      <c r="H13610" s="63" t="str">
        <f>IFERROR(__xludf.DUMMYFUNCTION("VLOOKUP(F13610, IMPORTRANGE(""https://docs.google.com/spreadsheets/d/1Lhp9OU0JdFf_VYSMzH5lBcEaU4o8teT1piV-SNzShjg/edit?gid=554141278#gid=554141278"", ""'Char Def. - Attributes'!C20:C2242""), 1,false)"),"ALT_DENUM_UOM3")</f>
        <v>ALT_DENUM_UOM3</v>
      </c>
      <c r="I13610" s="136"/>
      <c r="R13610" s="63" t="str">
        <f t="shared" si="60"/>
        <v>ZSI1_SIGHT_GLASSALT_DENUM_UOM3</v>
      </c>
    </row>
    <row r="13611" ht="15.75" customHeight="1">
      <c r="B13611" s="63">
        <f t="shared" si="1"/>
        <v>16</v>
      </c>
      <c r="C13611" s="135" t="s">
        <v>464</v>
      </c>
      <c r="D13611" s="161" t="s">
        <v>74</v>
      </c>
      <c r="E13611" s="135">
        <f t="shared" si="62"/>
        <v>23</v>
      </c>
      <c r="F13611" s="134" t="s">
        <v>3812</v>
      </c>
      <c r="G13611" s="63" t="str">
        <f>VLOOKUP(C13611, 'Class Def. - General Data'!$C$20:$C$1000,1,false)</f>
        <v>ZSI1_SIGHT_GLASS</v>
      </c>
      <c r="H13611" s="63" t="str">
        <f>IFERROR(__xludf.DUMMYFUNCTION("VLOOKUP(F13611, IMPORTRANGE(""https://docs.google.com/spreadsheets/d/1Lhp9OU0JdFf_VYSMzH5lBcEaU4o8teT1piV-SNzShjg/edit?gid=554141278#gid=554141278"", ""'Char Def. - Attributes'!C20:C2242""), 1,false)"),"ALT_NUM_UOM3")</f>
        <v>ALT_NUM_UOM3</v>
      </c>
      <c r="I13611" s="136"/>
      <c r="R13611" s="63" t="str">
        <f t="shared" si="60"/>
        <v>ZSI1_SIGHT_GLASSALT_NUM_UOM3</v>
      </c>
    </row>
    <row r="13612" ht="15.75" customHeight="1">
      <c r="B13612" s="63">
        <f t="shared" si="1"/>
        <v>16</v>
      </c>
      <c r="C13612" s="135" t="s">
        <v>464</v>
      </c>
      <c r="D13612" s="161" t="s">
        <v>74</v>
      </c>
      <c r="E13612" s="135">
        <f t="shared" si="62"/>
        <v>24</v>
      </c>
      <c r="F13612" s="134" t="s">
        <v>3813</v>
      </c>
      <c r="G13612" s="63" t="str">
        <f>VLOOKUP(C13612, 'Class Def. - General Data'!$C$20:$C$1000,1,false)</f>
        <v>ZSI1_SIGHT_GLASS</v>
      </c>
      <c r="H13612" s="63" t="str">
        <f>IFERROR(__xludf.DUMMYFUNCTION("VLOOKUP(F13612, IMPORTRANGE(""https://docs.google.com/spreadsheets/d/1Lhp9OU0JdFf_VYSMzH5lBcEaU4o8teT1piV-SNzShjg/edit?gid=554141278#gid=554141278"", ""'Char Def. - Attributes'!C20:C2242""), 1,false)"),"ALT_UOM4_SIPI")</f>
        <v>ALT_UOM4_SIPI</v>
      </c>
      <c r="I13612" s="136"/>
      <c r="R13612" s="63" t="str">
        <f t="shared" si="60"/>
        <v>ZSI1_SIGHT_GLASSALT_UOM4_SIPI</v>
      </c>
    </row>
    <row r="13613" ht="15.75" customHeight="1">
      <c r="B13613" s="63">
        <f t="shared" si="1"/>
        <v>16</v>
      </c>
      <c r="C13613" s="135" t="s">
        <v>464</v>
      </c>
      <c r="D13613" s="161" t="s">
        <v>74</v>
      </c>
      <c r="E13613" s="135">
        <f t="shared" si="62"/>
        <v>25</v>
      </c>
      <c r="F13613" s="134" t="s">
        <v>3814</v>
      </c>
      <c r="G13613" s="63" t="str">
        <f>VLOOKUP(C13613, 'Class Def. - General Data'!$C$20:$C$1000,1,false)</f>
        <v>ZSI1_SIGHT_GLASS</v>
      </c>
      <c r="H13613" s="63" t="str">
        <f>IFERROR(__xludf.DUMMYFUNCTION("VLOOKUP(F13613, IMPORTRANGE(""https://docs.google.com/spreadsheets/d/1Lhp9OU0JdFf_VYSMzH5lBcEaU4o8teT1piV-SNzShjg/edit?gid=554141278#gid=554141278"", ""'Char Def. - Attributes'!C20:C2242""), 1,false)"),"ALT_DENUM_UOM4")</f>
        <v>ALT_DENUM_UOM4</v>
      </c>
      <c r="I13613" s="136"/>
      <c r="R13613" s="63" t="str">
        <f t="shared" si="60"/>
        <v>ZSI1_SIGHT_GLASSALT_DENUM_UOM4</v>
      </c>
    </row>
    <row r="13614" ht="15.75" customHeight="1">
      <c r="B13614" s="63">
        <f t="shared" si="1"/>
        <v>16</v>
      </c>
      <c r="C13614" s="135" t="s">
        <v>464</v>
      </c>
      <c r="D13614" s="161" t="s">
        <v>74</v>
      </c>
      <c r="E13614" s="135">
        <f t="shared" si="62"/>
        <v>26</v>
      </c>
      <c r="F13614" s="134" t="s">
        <v>3815</v>
      </c>
      <c r="G13614" s="63" t="str">
        <f>VLOOKUP(C13614, 'Class Def. - General Data'!$C$20:$C$1000,1,false)</f>
        <v>ZSI1_SIGHT_GLASS</v>
      </c>
      <c r="H13614" s="63" t="str">
        <f>IFERROR(__xludf.DUMMYFUNCTION("VLOOKUP(F13614, IMPORTRANGE(""https://docs.google.com/spreadsheets/d/1Lhp9OU0JdFf_VYSMzH5lBcEaU4o8teT1piV-SNzShjg/edit?gid=554141278#gid=554141278"", ""'Char Def. - Attributes'!C20:C2242""), 1,false)"),"ALT_NUM_UOM4")</f>
        <v>ALT_NUM_UOM4</v>
      </c>
      <c r="I13614" s="136"/>
      <c r="R13614" s="63" t="str">
        <f t="shared" si="60"/>
        <v>ZSI1_SIGHT_GLASSALT_NUM_UOM4</v>
      </c>
    </row>
    <row r="13615" ht="15.75" customHeight="1">
      <c r="B13615" s="63">
        <f t="shared" si="1"/>
        <v>16</v>
      </c>
      <c r="C13615" s="135" t="s">
        <v>464</v>
      </c>
      <c r="D13615" s="161" t="s">
        <v>74</v>
      </c>
      <c r="E13615" s="135">
        <f t="shared" si="62"/>
        <v>27</v>
      </c>
      <c r="F13615" s="134" t="s">
        <v>3816</v>
      </c>
      <c r="G13615" s="63" t="str">
        <f>VLOOKUP(C13615, 'Class Def. - General Data'!$C$20:$C$1000,1,false)</f>
        <v>ZSI1_SIGHT_GLASS</v>
      </c>
      <c r="H13615" s="63" t="str">
        <f>IFERROR(__xludf.DUMMYFUNCTION("VLOOKUP(F13615, IMPORTRANGE(""https://docs.google.com/spreadsheets/d/1Lhp9OU0JdFf_VYSMzH5lBcEaU4o8teT1piV-SNzShjg/edit?gid=554141278#gid=554141278"", ""'Char Def. - Attributes'!C20:C2242""), 1,false)"),"ALT_UOM5_SIPI")</f>
        <v>ALT_UOM5_SIPI</v>
      </c>
      <c r="I13615" s="136"/>
      <c r="R13615" s="63" t="str">
        <f t="shared" si="60"/>
        <v>ZSI1_SIGHT_GLASSALT_UOM5_SIPI</v>
      </c>
    </row>
    <row r="13616" ht="15.75" customHeight="1">
      <c r="B13616" s="63">
        <f t="shared" si="1"/>
        <v>16</v>
      </c>
      <c r="C13616" s="135" t="s">
        <v>464</v>
      </c>
      <c r="D13616" s="161" t="s">
        <v>74</v>
      </c>
      <c r="E13616" s="135">
        <f t="shared" si="62"/>
        <v>28</v>
      </c>
      <c r="F13616" s="134" t="s">
        <v>3817</v>
      </c>
      <c r="G13616" s="63" t="str">
        <f>VLOOKUP(C13616, 'Class Def. - General Data'!$C$20:$C$1000,1,false)</f>
        <v>ZSI1_SIGHT_GLASS</v>
      </c>
      <c r="H13616" s="63" t="str">
        <f>IFERROR(__xludf.DUMMYFUNCTION("VLOOKUP(F13616, IMPORTRANGE(""https://docs.google.com/spreadsheets/d/1Lhp9OU0JdFf_VYSMzH5lBcEaU4o8teT1piV-SNzShjg/edit?gid=554141278#gid=554141278"", ""'Char Def. - Attributes'!C20:C2242""), 1,false)"),"ALT_DENUM_UOM5")</f>
        <v>ALT_DENUM_UOM5</v>
      </c>
      <c r="I13616" s="136"/>
      <c r="R13616" s="63" t="str">
        <f t="shared" si="60"/>
        <v>ZSI1_SIGHT_GLASSALT_DENUM_UOM5</v>
      </c>
    </row>
    <row r="13617" ht="15.75" customHeight="1">
      <c r="B13617" s="63">
        <f t="shared" si="1"/>
        <v>16</v>
      </c>
      <c r="C13617" s="135" t="s">
        <v>464</v>
      </c>
      <c r="D13617" s="161" t="s">
        <v>74</v>
      </c>
      <c r="E13617" s="135">
        <f t="shared" si="62"/>
        <v>29</v>
      </c>
      <c r="F13617" s="134" t="s">
        <v>3818</v>
      </c>
      <c r="G13617" s="63" t="str">
        <f>VLOOKUP(C13617, 'Class Def. - General Data'!$C$20:$C$1000,1,false)</f>
        <v>ZSI1_SIGHT_GLASS</v>
      </c>
      <c r="H13617" s="63" t="str">
        <f>IFERROR(__xludf.DUMMYFUNCTION("VLOOKUP(F13617, IMPORTRANGE(""https://docs.google.com/spreadsheets/d/1Lhp9OU0JdFf_VYSMzH5lBcEaU4o8teT1piV-SNzShjg/edit?gid=554141278#gid=554141278"", ""'Char Def. - Attributes'!C20:C2242""), 1,false)"),"ALT_NUM_UOM5")</f>
        <v>ALT_NUM_UOM5</v>
      </c>
      <c r="I13617" s="136"/>
      <c r="R13617" s="63" t="str">
        <f t="shared" si="60"/>
        <v>ZSI1_SIGHT_GLASSALT_NUM_UOM5</v>
      </c>
    </row>
    <row r="13618" ht="15.75" customHeight="1">
      <c r="B13618" s="63">
        <f t="shared" si="1"/>
        <v>18</v>
      </c>
      <c r="C13618" s="135" t="s">
        <v>550</v>
      </c>
      <c r="D13618" s="161" t="s">
        <v>74</v>
      </c>
      <c r="E13618" s="135">
        <f t="shared" si="62"/>
        <v>1</v>
      </c>
      <c r="F13618" s="134" t="s">
        <v>5426</v>
      </c>
      <c r="G13618" s="63" t="str">
        <f>VLOOKUP(C13618, 'Class Def. - General Data'!$C$20:$C$1000,1,false)</f>
        <v>ZSI1_SIGNAL_FILTER</v>
      </c>
      <c r="H13618" s="63" t="str">
        <f>IFERROR(__xludf.DUMMYFUNCTION("VLOOKUP(F13618, IMPORTRANGE(""https://docs.google.com/spreadsheets/d/1Lhp9OU0JdFf_VYSMzH5lBcEaU4o8teT1piV-SNzShjg/edit?gid=554141278#gid=554141278"", ""'Char Def. - Attributes'!C20:C2242""), 1,false)"),"ITEM_NAME_SIGNAL_FILTER")</f>
        <v>ITEM_NAME_SIGNAL_FILTER</v>
      </c>
      <c r="I13618" s="136"/>
      <c r="R13618" s="63" t="str">
        <f t="shared" si="60"/>
        <v>ZSI1_SIGNAL_FILTERITEM_NAME_SIGNAL_FILTER</v>
      </c>
    </row>
    <row r="13619" ht="15.75" customHeight="1">
      <c r="B13619" s="63">
        <f t="shared" si="1"/>
        <v>18</v>
      </c>
      <c r="C13619" s="135" t="s">
        <v>550</v>
      </c>
      <c r="D13619" s="161" t="s">
        <v>74</v>
      </c>
      <c r="E13619" s="135">
        <f t="shared" si="62"/>
        <v>2</v>
      </c>
      <c r="F13619" s="134" t="s">
        <v>5427</v>
      </c>
      <c r="G13619" s="63" t="str">
        <f>VLOOKUP(C13619, 'Class Def. - General Data'!$C$20:$C$1000,1,false)</f>
        <v>ZSI1_SIGNAL_FILTER</v>
      </c>
      <c r="H13619" s="63" t="str">
        <f>IFERROR(__xludf.DUMMYFUNCTION("VLOOKUP(F13619, IMPORTRANGE(""https://docs.google.com/spreadsheets/d/1Lhp9OU0JdFf_VYSMzH5lBcEaU4o8teT1piV-SNzShjg/edit?gid=554141278#gid=554141278"", ""'Char Def. - Attributes'!C20:C2242""), 1,false)"),"MFR_NO_SIGNAL_FILTER")</f>
        <v>MFR_NO_SIGNAL_FILTER</v>
      </c>
      <c r="I13619" s="136"/>
      <c r="R13619" s="63" t="str">
        <f t="shared" si="60"/>
        <v>ZSI1_SIGNAL_FILTERMFR_NO_SIGNAL_FILTER</v>
      </c>
    </row>
    <row r="13620" ht="15.75" customHeight="1">
      <c r="B13620" s="63">
        <f t="shared" si="1"/>
        <v>18</v>
      </c>
      <c r="C13620" s="135" t="s">
        <v>550</v>
      </c>
      <c r="D13620" s="161" t="s">
        <v>74</v>
      </c>
      <c r="E13620" s="135">
        <f t="shared" si="62"/>
        <v>3</v>
      </c>
      <c r="F13620" s="134" t="s">
        <v>3782</v>
      </c>
      <c r="G13620" s="63" t="str">
        <f>VLOOKUP(C13620, 'Class Def. - General Data'!$C$20:$C$1000,1,false)</f>
        <v>ZSI1_SIGNAL_FILTER</v>
      </c>
      <c r="H13620" s="63" t="str">
        <f>IFERROR(__xludf.DUMMYFUNCTION("VLOOKUP(F13620, IMPORTRANGE(""https://docs.google.com/spreadsheets/d/1Lhp9OU0JdFf_VYSMzH5lBcEaU4o8teT1piV-SNzShjg/edit?gid=554141278#gid=554141278"", ""'Char Def. - Attributes'!C20:C2242""), 1,false)"),"BRAND_EXTERNAL")</f>
        <v>BRAND_EXTERNAL</v>
      </c>
      <c r="I13620" s="136"/>
      <c r="R13620" s="63" t="str">
        <f t="shared" si="60"/>
        <v>ZSI1_SIGNAL_FILTERBRAND_EXTERNAL</v>
      </c>
    </row>
    <row r="13621" ht="15.75" customHeight="1">
      <c r="B13621" s="63">
        <f t="shared" si="1"/>
        <v>18</v>
      </c>
      <c r="C13621" s="135" t="s">
        <v>550</v>
      </c>
      <c r="D13621" s="161" t="s">
        <v>74</v>
      </c>
      <c r="E13621" s="135">
        <f t="shared" si="62"/>
        <v>4</v>
      </c>
      <c r="F13621" s="134" t="s">
        <v>4062</v>
      </c>
      <c r="G13621" s="63" t="str">
        <f>VLOOKUP(C13621, 'Class Def. - General Data'!$C$20:$C$1000,1,false)</f>
        <v>ZSI1_SIGNAL_FILTER</v>
      </c>
      <c r="H13621" s="63" t="str">
        <f>IFERROR(__xludf.DUMMYFUNCTION("VLOOKUP(F13621, IMPORTRANGE(""https://docs.google.com/spreadsheets/d/1Lhp9OU0JdFf_VYSMzH5lBcEaU4o8teT1piV-SNzShjg/edit?gid=554141278#gid=554141278"", ""'Char Def. - Attributes'!C20:C2242""), 1,false)"),"#N/A")</f>
        <v>#N/A</v>
      </c>
      <c r="I13621" s="136"/>
      <c r="R13621" s="63" t="str">
        <f t="shared" si="60"/>
        <v>ZSI1_SIGNAL_FILTERADDTIONAL_SPECIFICATION</v>
      </c>
    </row>
    <row r="13622" ht="15.75" customHeight="1">
      <c r="B13622" s="63">
        <f t="shared" si="1"/>
        <v>18</v>
      </c>
      <c r="C13622" s="135" t="s">
        <v>550</v>
      </c>
      <c r="D13622" s="161" t="s">
        <v>74</v>
      </c>
      <c r="E13622" s="135">
        <f t="shared" si="62"/>
        <v>5</v>
      </c>
      <c r="F13622" s="134" t="s">
        <v>3585</v>
      </c>
      <c r="G13622" s="63" t="str">
        <f>VLOOKUP(C13622, 'Class Def. - General Data'!$C$20:$C$1000,1,false)</f>
        <v>ZSI1_SIGNAL_FILTER</v>
      </c>
      <c r="H13622" s="63" t="str">
        <f>IFERROR(__xludf.DUMMYFUNCTION("VLOOKUP(F13622, IMPORTRANGE(""https://docs.google.com/spreadsheets/d/1Lhp9OU0JdFf_VYSMzH5lBcEaU4o8teT1piV-SNzShjg/edit?gid=554141278#gid=554141278"", ""'Char Def. - Attributes'!C20:C2242""), 1,false)"),"HS_CODE")</f>
        <v>HS_CODE</v>
      </c>
      <c r="I13622" s="136"/>
      <c r="R13622" s="63" t="str">
        <f t="shared" si="60"/>
        <v>ZSI1_SIGNAL_FILTERHS_CODE</v>
      </c>
    </row>
    <row r="13623" ht="15.75" customHeight="1">
      <c r="B13623" s="63">
        <f t="shared" si="1"/>
        <v>18</v>
      </c>
      <c r="C13623" s="135" t="s">
        <v>550</v>
      </c>
      <c r="D13623" s="161" t="s">
        <v>74</v>
      </c>
      <c r="E13623" s="135">
        <f t="shared" si="62"/>
        <v>6</v>
      </c>
      <c r="F13623" s="134" t="s">
        <v>3587</v>
      </c>
      <c r="G13623" s="63" t="str">
        <f>VLOOKUP(C13623, 'Class Def. - General Data'!$C$20:$C$1000,1,false)</f>
        <v>ZSI1_SIGNAL_FILTER</v>
      </c>
      <c r="H13623" s="63" t="str">
        <f>IFERROR(__xludf.DUMMYFUNCTION("VLOOKUP(F13623, IMPORTRANGE(""https://docs.google.com/spreadsheets/d/1Lhp9OU0JdFf_VYSMzH5lBcEaU4o8teT1piV-SNzShjg/edit?gid=554141278#gid=554141278"", ""'Char Def. - Attributes'!C20:C2242""), 1,false)"),"PLANT_BUY")</f>
        <v>PLANT_BUY</v>
      </c>
      <c r="I13623" s="136"/>
      <c r="R13623" s="63" t="str">
        <f t="shared" si="60"/>
        <v>ZSI1_SIGNAL_FILTERPLANT_BUY</v>
      </c>
    </row>
    <row r="13624" ht="15.75" customHeight="1">
      <c r="B13624" s="63">
        <f t="shared" si="1"/>
        <v>18</v>
      </c>
      <c r="C13624" s="135" t="s">
        <v>550</v>
      </c>
      <c r="D13624" s="161" t="s">
        <v>74</v>
      </c>
      <c r="E13624" s="135">
        <f t="shared" si="62"/>
        <v>7</v>
      </c>
      <c r="F13624" s="134" t="s">
        <v>5428</v>
      </c>
      <c r="G13624" s="63" t="str">
        <f>VLOOKUP(C13624, 'Class Def. - General Data'!$C$20:$C$1000,1,false)</f>
        <v>ZSI1_SIGNAL_FILTER</v>
      </c>
      <c r="H13624" s="63" t="str">
        <f>IFERROR(__xludf.DUMMYFUNCTION("VLOOKUP(F13624, IMPORTRANGE(""https://docs.google.com/spreadsheets/d/1Lhp9OU0JdFf_VYSMzH5lBcEaU4o8teT1piV-SNzShjg/edit?gid=554141278#gid=554141278"", ""'Char Def. - Attributes'!C20:C2242""), 1,false)"),"BASE_UOM_SIGNAL_FLTR")</f>
        <v>BASE_UOM_SIGNAL_FLTR</v>
      </c>
      <c r="I13624" s="136"/>
      <c r="R13624" s="63" t="str">
        <f t="shared" si="60"/>
        <v>ZSI1_SIGNAL_FILTERBASE_UOM_SIGNAL_FLTR</v>
      </c>
    </row>
    <row r="13625" ht="15.75" customHeight="1">
      <c r="B13625" s="63">
        <f t="shared" si="1"/>
        <v>18</v>
      </c>
      <c r="C13625" s="135" t="s">
        <v>550</v>
      </c>
      <c r="D13625" s="161" t="s">
        <v>74</v>
      </c>
      <c r="E13625" s="135">
        <f t="shared" si="62"/>
        <v>8</v>
      </c>
      <c r="F13625" s="134" t="s">
        <v>5429</v>
      </c>
      <c r="G13625" s="63" t="str">
        <f>VLOOKUP(C13625, 'Class Def. - General Data'!$C$20:$C$1000,1,false)</f>
        <v>ZSI1_SIGNAL_FILTER</v>
      </c>
      <c r="H13625" s="63" t="str">
        <f>IFERROR(__xludf.DUMMYFUNCTION("VLOOKUP(F13625, IMPORTRANGE(""https://docs.google.com/spreadsheets/d/1Lhp9OU0JdFf_VYSMzH5lBcEaU4o8teT1piV-SNzShjg/edit?gid=554141278#gid=554141278"", ""'Char Def. - Attributes'!C20:C2242""), 1,false)"),"ORDER_UNIT_SIGNAL_FLTR")</f>
        <v>ORDER_UNIT_SIGNAL_FLTR</v>
      </c>
      <c r="I13625" s="136"/>
      <c r="R13625" s="63" t="str">
        <f t="shared" si="60"/>
        <v>ZSI1_SIGNAL_FILTERORDER_UNIT_SIGNAL_FLTR</v>
      </c>
    </row>
    <row r="13626" ht="15.75" customHeight="1">
      <c r="B13626" s="63">
        <f t="shared" si="1"/>
        <v>18</v>
      </c>
      <c r="C13626" s="135" t="s">
        <v>550</v>
      </c>
      <c r="D13626" s="161" t="s">
        <v>74</v>
      </c>
      <c r="E13626" s="135">
        <f t="shared" si="62"/>
        <v>9</v>
      </c>
      <c r="F13626" s="134" t="s">
        <v>4056</v>
      </c>
      <c r="G13626" s="63" t="str">
        <f>VLOOKUP(C13626, 'Class Def. - General Data'!$C$20:$C$1000,1,false)</f>
        <v>ZSI1_SIGNAL_FILTER</v>
      </c>
      <c r="H13626" s="63" t="str">
        <f>IFERROR(__xludf.DUMMYFUNCTION("VLOOKUP(F13626, IMPORTRANGE(""https://docs.google.com/spreadsheets/d/1Lhp9OU0JdFf_VYSMzH5lBcEaU4o8teT1piV-SNzShjg/edit?gid=554141278#gid=554141278"", ""'Char Def. - Attributes'!C20:C2242""), 1,false)"),"GROSS_WEIGHT_OPT")</f>
        <v>GROSS_WEIGHT_OPT</v>
      </c>
      <c r="I13626" s="136"/>
      <c r="R13626" s="63" t="str">
        <f t="shared" si="60"/>
        <v>ZSI1_SIGNAL_FILTERGROSS_WEIGHT_OPT</v>
      </c>
    </row>
    <row r="13627" ht="15.75" customHeight="1">
      <c r="B13627" s="63">
        <f t="shared" si="1"/>
        <v>18</v>
      </c>
      <c r="C13627" s="135" t="s">
        <v>550</v>
      </c>
      <c r="D13627" s="161" t="s">
        <v>74</v>
      </c>
      <c r="E13627" s="135">
        <f t="shared" si="62"/>
        <v>10</v>
      </c>
      <c r="F13627" s="134" t="s">
        <v>4057</v>
      </c>
      <c r="G13627" s="63" t="str">
        <f>VLOOKUP(C13627, 'Class Def. - General Data'!$C$20:$C$1000,1,false)</f>
        <v>ZSI1_SIGNAL_FILTER</v>
      </c>
      <c r="H13627" s="63" t="str">
        <f>IFERROR(__xludf.DUMMYFUNCTION("VLOOKUP(F13627, IMPORTRANGE(""https://docs.google.com/spreadsheets/d/1Lhp9OU0JdFf_VYSMzH5lBcEaU4o8teT1piV-SNzShjg/edit?gid=554141278#gid=554141278"", ""'Char Def. - Attributes'!C20:C2242""), 1,false)"),"NET_WEIGHT_OPT")</f>
        <v>NET_WEIGHT_OPT</v>
      </c>
      <c r="I13627" s="136"/>
      <c r="R13627" s="63" t="str">
        <f t="shared" si="60"/>
        <v>ZSI1_SIGNAL_FILTERNET_WEIGHT_OPT</v>
      </c>
    </row>
    <row r="13628" ht="15.75" customHeight="1">
      <c r="B13628" s="63">
        <f t="shared" si="1"/>
        <v>18</v>
      </c>
      <c r="C13628" s="135" t="s">
        <v>550</v>
      </c>
      <c r="D13628" s="161" t="s">
        <v>74</v>
      </c>
      <c r="E13628" s="135">
        <f t="shared" si="62"/>
        <v>11</v>
      </c>
      <c r="F13628" s="134" t="s">
        <v>4058</v>
      </c>
      <c r="G13628" s="63" t="str">
        <f>VLOOKUP(C13628, 'Class Def. - General Data'!$C$20:$C$1000,1,false)</f>
        <v>ZSI1_SIGNAL_FILTER</v>
      </c>
      <c r="H13628" s="63" t="str">
        <f>IFERROR(__xludf.DUMMYFUNCTION("VLOOKUP(F13628, IMPORTRANGE(""https://docs.google.com/spreadsheets/d/1Lhp9OU0JdFf_VYSMzH5lBcEaU4o8teT1piV-SNzShjg/edit?gid=554141278#gid=554141278"", ""'Char Def. - Attributes'!C20:C2242""), 1,false)"),"WEIGHT_UNIT_SI")</f>
        <v>WEIGHT_UNIT_SI</v>
      </c>
      <c r="I13628" s="136"/>
      <c r="R13628" s="63" t="str">
        <f t="shared" si="60"/>
        <v>ZSI1_SIGNAL_FILTERWEIGHT_UNIT_SI</v>
      </c>
    </row>
    <row r="13629" ht="15.75" customHeight="1">
      <c r="B13629" s="63">
        <f t="shared" si="1"/>
        <v>18</v>
      </c>
      <c r="C13629" s="135" t="s">
        <v>550</v>
      </c>
      <c r="D13629" s="161" t="s">
        <v>74</v>
      </c>
      <c r="E13629" s="135">
        <f t="shared" si="62"/>
        <v>12</v>
      </c>
      <c r="F13629" s="134" t="s">
        <v>3877</v>
      </c>
      <c r="G13629" s="63" t="str">
        <f>VLOOKUP(C13629, 'Class Def. - General Data'!$C$20:$C$1000,1,false)</f>
        <v>ZSI1_SIGNAL_FILTER</v>
      </c>
      <c r="H13629" s="63" t="str">
        <f>IFERROR(__xludf.DUMMYFUNCTION("VLOOKUP(F13629, IMPORTRANGE(""https://docs.google.com/spreadsheets/d/1Lhp9OU0JdFf_VYSMzH5lBcEaU4o8teT1piV-SNzShjg/edit?gid=554141278#gid=554141278"", ""'Char Def. - Attributes'!C20:C2242""), 1,false)"),"VOLUME_OPT")</f>
        <v>VOLUME_OPT</v>
      </c>
      <c r="I13629" s="136"/>
      <c r="R13629" s="63" t="str">
        <f t="shared" si="60"/>
        <v>ZSI1_SIGNAL_FILTERVOLUME_OPT</v>
      </c>
    </row>
    <row r="13630" ht="15.75" customHeight="1">
      <c r="B13630" s="63">
        <f t="shared" si="1"/>
        <v>18</v>
      </c>
      <c r="C13630" s="135" t="s">
        <v>550</v>
      </c>
      <c r="D13630" s="161" t="s">
        <v>74</v>
      </c>
      <c r="E13630" s="135">
        <f t="shared" si="62"/>
        <v>13</v>
      </c>
      <c r="F13630" s="134" t="s">
        <v>4059</v>
      </c>
      <c r="G13630" s="63" t="str">
        <f>VLOOKUP(C13630, 'Class Def. - General Data'!$C$20:$C$1000,1,false)</f>
        <v>ZSI1_SIGNAL_FILTER</v>
      </c>
      <c r="H13630" s="63" t="str">
        <f>IFERROR(__xludf.DUMMYFUNCTION("VLOOKUP(F13630, IMPORTRANGE(""https://docs.google.com/spreadsheets/d/1Lhp9OU0JdFf_VYSMzH5lBcEaU4o8teT1piV-SNzShjg/edit?gid=554141278#gid=554141278"", ""'Char Def. - Attributes'!C20:C2242""), 1,false)"),"VOLUME_UNIT_SI")</f>
        <v>VOLUME_UNIT_SI</v>
      </c>
      <c r="I13630" s="136"/>
      <c r="R13630" s="63" t="str">
        <f t="shared" si="60"/>
        <v>ZSI1_SIGNAL_FILTERVOLUME_UNIT_SI</v>
      </c>
    </row>
    <row r="13631" ht="15.75" customHeight="1">
      <c r="B13631" s="63">
        <f t="shared" si="1"/>
        <v>18</v>
      </c>
      <c r="C13631" s="135" t="s">
        <v>550</v>
      </c>
      <c r="D13631" s="161" t="s">
        <v>74</v>
      </c>
      <c r="E13631" s="135">
        <f t="shared" si="62"/>
        <v>14</v>
      </c>
      <c r="F13631" s="134" t="s">
        <v>3804</v>
      </c>
      <c r="G13631" s="63" t="str">
        <f>VLOOKUP(C13631, 'Class Def. - General Data'!$C$20:$C$1000,1,false)</f>
        <v>ZSI1_SIGNAL_FILTER</v>
      </c>
      <c r="H13631" s="63" t="str">
        <f>IFERROR(__xludf.DUMMYFUNCTION("VLOOKUP(F13631, IMPORTRANGE(""https://docs.google.com/spreadsheets/d/1Lhp9OU0JdFf_VYSMzH5lBcEaU4o8teT1piV-SNzShjg/edit?gid=554141278#gid=554141278"", ""'Char Def. - Attributes'!C20:C2242""), 1,false)"),"ALT_UOM1_SIPI")</f>
        <v>ALT_UOM1_SIPI</v>
      </c>
      <c r="I13631" s="136"/>
      <c r="R13631" s="63" t="str">
        <f t="shared" si="60"/>
        <v>ZSI1_SIGNAL_FILTERALT_UOM1_SIPI</v>
      </c>
    </row>
    <row r="13632" ht="15.75" customHeight="1">
      <c r="B13632" s="63">
        <f t="shared" si="1"/>
        <v>18</v>
      </c>
      <c r="C13632" s="135" t="s">
        <v>550</v>
      </c>
      <c r="D13632" s="161" t="s">
        <v>74</v>
      </c>
      <c r="E13632" s="135">
        <f t="shared" si="62"/>
        <v>15</v>
      </c>
      <c r="F13632" s="134" t="s">
        <v>3805</v>
      </c>
      <c r="G13632" s="63" t="str">
        <f>VLOOKUP(C13632, 'Class Def. - General Data'!$C$20:$C$1000,1,false)</f>
        <v>ZSI1_SIGNAL_FILTER</v>
      </c>
      <c r="H13632" s="63" t="str">
        <f>IFERROR(__xludf.DUMMYFUNCTION("VLOOKUP(F13632, IMPORTRANGE(""https://docs.google.com/spreadsheets/d/1Lhp9OU0JdFf_VYSMzH5lBcEaU4o8teT1piV-SNzShjg/edit?gid=554141278#gid=554141278"", ""'Char Def. - Attributes'!C20:C2242""), 1,false)"),"ALT_DENUM_UOM1")</f>
        <v>ALT_DENUM_UOM1</v>
      </c>
      <c r="I13632" s="136"/>
      <c r="R13632" s="63" t="str">
        <f t="shared" si="60"/>
        <v>ZSI1_SIGNAL_FILTERALT_DENUM_UOM1</v>
      </c>
    </row>
    <row r="13633" ht="15.75" customHeight="1">
      <c r="B13633" s="63">
        <f t="shared" si="1"/>
        <v>18</v>
      </c>
      <c r="C13633" s="135" t="s">
        <v>550</v>
      </c>
      <c r="D13633" s="161" t="s">
        <v>74</v>
      </c>
      <c r="E13633" s="135">
        <f t="shared" si="62"/>
        <v>16</v>
      </c>
      <c r="F13633" s="134" t="s">
        <v>3806</v>
      </c>
      <c r="G13633" s="63" t="str">
        <f>VLOOKUP(C13633, 'Class Def. - General Data'!$C$20:$C$1000,1,false)</f>
        <v>ZSI1_SIGNAL_FILTER</v>
      </c>
      <c r="H13633" s="63" t="str">
        <f>IFERROR(__xludf.DUMMYFUNCTION("VLOOKUP(F13633, IMPORTRANGE(""https://docs.google.com/spreadsheets/d/1Lhp9OU0JdFf_VYSMzH5lBcEaU4o8teT1piV-SNzShjg/edit?gid=554141278#gid=554141278"", ""'Char Def. - Attributes'!C20:C2242""), 1,false)"),"ALT_NUM_UOM1")</f>
        <v>ALT_NUM_UOM1</v>
      </c>
      <c r="I13633" s="136"/>
      <c r="R13633" s="63" t="str">
        <f t="shared" si="60"/>
        <v>ZSI1_SIGNAL_FILTERALT_NUM_UOM1</v>
      </c>
    </row>
    <row r="13634" ht="15.75" customHeight="1">
      <c r="B13634" s="63">
        <f t="shared" si="1"/>
        <v>18</v>
      </c>
      <c r="C13634" s="135" t="s">
        <v>550</v>
      </c>
      <c r="D13634" s="161" t="s">
        <v>74</v>
      </c>
      <c r="E13634" s="135">
        <f t="shared" si="62"/>
        <v>17</v>
      </c>
      <c r="F13634" s="134" t="s">
        <v>3807</v>
      </c>
      <c r="G13634" s="63" t="str">
        <f>VLOOKUP(C13634, 'Class Def. - General Data'!$C$20:$C$1000,1,false)</f>
        <v>ZSI1_SIGNAL_FILTER</v>
      </c>
      <c r="H13634" s="63" t="str">
        <f>IFERROR(__xludf.DUMMYFUNCTION("VLOOKUP(F13634, IMPORTRANGE(""https://docs.google.com/spreadsheets/d/1Lhp9OU0JdFf_VYSMzH5lBcEaU4o8teT1piV-SNzShjg/edit?gid=554141278#gid=554141278"", ""'Char Def. - Attributes'!C20:C2242""), 1,false)"),"ALT_UOM2_SIPI")</f>
        <v>ALT_UOM2_SIPI</v>
      </c>
      <c r="I13634" s="136"/>
      <c r="R13634" s="63" t="str">
        <f t="shared" si="60"/>
        <v>ZSI1_SIGNAL_FILTERALT_UOM2_SIPI</v>
      </c>
    </row>
    <row r="13635" ht="15.75" customHeight="1">
      <c r="B13635" s="63">
        <f t="shared" si="1"/>
        <v>18</v>
      </c>
      <c r="C13635" s="135" t="s">
        <v>550</v>
      </c>
      <c r="D13635" s="161" t="s">
        <v>74</v>
      </c>
      <c r="E13635" s="135">
        <f t="shared" si="62"/>
        <v>18</v>
      </c>
      <c r="F13635" s="134" t="s">
        <v>3808</v>
      </c>
      <c r="G13635" s="63" t="str">
        <f>VLOOKUP(C13635, 'Class Def. - General Data'!$C$20:$C$1000,1,false)</f>
        <v>ZSI1_SIGNAL_FILTER</v>
      </c>
      <c r="H13635" s="63" t="str">
        <f>IFERROR(__xludf.DUMMYFUNCTION("VLOOKUP(F13635, IMPORTRANGE(""https://docs.google.com/spreadsheets/d/1Lhp9OU0JdFf_VYSMzH5lBcEaU4o8teT1piV-SNzShjg/edit?gid=554141278#gid=554141278"", ""'Char Def. - Attributes'!C20:C2242""), 1,false)"),"ALT_DENUM_UOM2")</f>
        <v>ALT_DENUM_UOM2</v>
      </c>
      <c r="I13635" s="136"/>
      <c r="R13635" s="63" t="str">
        <f t="shared" si="60"/>
        <v>ZSI1_SIGNAL_FILTERALT_DENUM_UOM2</v>
      </c>
    </row>
    <row r="13636" ht="15.75" customHeight="1">
      <c r="B13636" s="63">
        <f t="shared" si="1"/>
        <v>18</v>
      </c>
      <c r="C13636" s="135" t="s">
        <v>550</v>
      </c>
      <c r="D13636" s="161" t="s">
        <v>74</v>
      </c>
      <c r="E13636" s="135">
        <f t="shared" si="62"/>
        <v>19</v>
      </c>
      <c r="F13636" s="134" t="s">
        <v>3809</v>
      </c>
      <c r="G13636" s="63" t="str">
        <f>VLOOKUP(C13636, 'Class Def. - General Data'!$C$20:$C$1000,1,false)</f>
        <v>ZSI1_SIGNAL_FILTER</v>
      </c>
      <c r="H13636" s="63" t="str">
        <f>IFERROR(__xludf.DUMMYFUNCTION("VLOOKUP(F13636, IMPORTRANGE(""https://docs.google.com/spreadsheets/d/1Lhp9OU0JdFf_VYSMzH5lBcEaU4o8teT1piV-SNzShjg/edit?gid=554141278#gid=554141278"", ""'Char Def. - Attributes'!C20:C2242""), 1,false)"),"ALT_NUM_UOM2")</f>
        <v>ALT_NUM_UOM2</v>
      </c>
      <c r="I13636" s="136"/>
      <c r="R13636" s="63" t="str">
        <f t="shared" si="60"/>
        <v>ZSI1_SIGNAL_FILTERALT_NUM_UOM2</v>
      </c>
    </row>
    <row r="13637" ht="15.75" customHeight="1">
      <c r="B13637" s="63">
        <f t="shared" si="1"/>
        <v>18</v>
      </c>
      <c r="C13637" s="135" t="s">
        <v>550</v>
      </c>
      <c r="D13637" s="161" t="s">
        <v>74</v>
      </c>
      <c r="E13637" s="135">
        <f t="shared" si="62"/>
        <v>20</v>
      </c>
      <c r="F13637" s="134" t="s">
        <v>3810</v>
      </c>
      <c r="G13637" s="63" t="str">
        <f>VLOOKUP(C13637, 'Class Def. - General Data'!$C$20:$C$1000,1,false)</f>
        <v>ZSI1_SIGNAL_FILTER</v>
      </c>
      <c r="H13637" s="63" t="str">
        <f>IFERROR(__xludf.DUMMYFUNCTION("VLOOKUP(F13637, IMPORTRANGE(""https://docs.google.com/spreadsheets/d/1Lhp9OU0JdFf_VYSMzH5lBcEaU4o8teT1piV-SNzShjg/edit?gid=554141278#gid=554141278"", ""'Char Def. - Attributes'!C20:C2242""), 1,false)"),"ALT_UOM3_SIPI")</f>
        <v>ALT_UOM3_SIPI</v>
      </c>
      <c r="I13637" s="136"/>
      <c r="R13637" s="63" t="str">
        <f t="shared" si="60"/>
        <v>ZSI1_SIGNAL_FILTERALT_UOM3_SIPI</v>
      </c>
    </row>
    <row r="13638" ht="15.75" customHeight="1">
      <c r="B13638" s="63">
        <f t="shared" si="1"/>
        <v>18</v>
      </c>
      <c r="C13638" s="135" t="s">
        <v>550</v>
      </c>
      <c r="D13638" s="161" t="s">
        <v>74</v>
      </c>
      <c r="E13638" s="135">
        <f t="shared" si="62"/>
        <v>21</v>
      </c>
      <c r="F13638" s="134" t="s">
        <v>3811</v>
      </c>
      <c r="G13638" s="63" t="str">
        <f>VLOOKUP(C13638, 'Class Def. - General Data'!$C$20:$C$1000,1,false)</f>
        <v>ZSI1_SIGNAL_FILTER</v>
      </c>
      <c r="H13638" s="63" t="str">
        <f>IFERROR(__xludf.DUMMYFUNCTION("VLOOKUP(F13638, IMPORTRANGE(""https://docs.google.com/spreadsheets/d/1Lhp9OU0JdFf_VYSMzH5lBcEaU4o8teT1piV-SNzShjg/edit?gid=554141278#gid=554141278"", ""'Char Def. - Attributes'!C20:C2242""), 1,false)"),"ALT_DENUM_UOM3")</f>
        <v>ALT_DENUM_UOM3</v>
      </c>
      <c r="I13638" s="136"/>
      <c r="R13638" s="63" t="str">
        <f t="shared" si="60"/>
        <v>ZSI1_SIGNAL_FILTERALT_DENUM_UOM3</v>
      </c>
    </row>
    <row r="13639" ht="15.75" customHeight="1">
      <c r="B13639" s="63">
        <f t="shared" si="1"/>
        <v>18</v>
      </c>
      <c r="C13639" s="135" t="s">
        <v>550</v>
      </c>
      <c r="D13639" s="161" t="s">
        <v>74</v>
      </c>
      <c r="E13639" s="135">
        <f t="shared" si="62"/>
        <v>22</v>
      </c>
      <c r="F13639" s="134" t="s">
        <v>3812</v>
      </c>
      <c r="G13639" s="63" t="str">
        <f>VLOOKUP(C13639, 'Class Def. - General Data'!$C$20:$C$1000,1,false)</f>
        <v>ZSI1_SIGNAL_FILTER</v>
      </c>
      <c r="H13639" s="63" t="str">
        <f>IFERROR(__xludf.DUMMYFUNCTION("VLOOKUP(F13639, IMPORTRANGE(""https://docs.google.com/spreadsheets/d/1Lhp9OU0JdFf_VYSMzH5lBcEaU4o8teT1piV-SNzShjg/edit?gid=554141278#gid=554141278"", ""'Char Def. - Attributes'!C20:C2242""), 1,false)"),"ALT_NUM_UOM3")</f>
        <v>ALT_NUM_UOM3</v>
      </c>
      <c r="I13639" s="136"/>
      <c r="R13639" s="63" t="str">
        <f t="shared" si="60"/>
        <v>ZSI1_SIGNAL_FILTERALT_NUM_UOM3</v>
      </c>
    </row>
    <row r="13640" ht="15.75" customHeight="1">
      <c r="B13640" s="63">
        <f t="shared" si="1"/>
        <v>18</v>
      </c>
      <c r="C13640" s="135" t="s">
        <v>550</v>
      </c>
      <c r="D13640" s="161" t="s">
        <v>74</v>
      </c>
      <c r="E13640" s="135">
        <f t="shared" si="62"/>
        <v>23</v>
      </c>
      <c r="F13640" s="134" t="s">
        <v>3813</v>
      </c>
      <c r="G13640" s="63" t="str">
        <f>VLOOKUP(C13640, 'Class Def. - General Data'!$C$20:$C$1000,1,false)</f>
        <v>ZSI1_SIGNAL_FILTER</v>
      </c>
      <c r="H13640" s="63" t="str">
        <f>IFERROR(__xludf.DUMMYFUNCTION("VLOOKUP(F13640, IMPORTRANGE(""https://docs.google.com/spreadsheets/d/1Lhp9OU0JdFf_VYSMzH5lBcEaU4o8teT1piV-SNzShjg/edit?gid=554141278#gid=554141278"", ""'Char Def. - Attributes'!C20:C2242""), 1,false)"),"ALT_UOM4_SIPI")</f>
        <v>ALT_UOM4_SIPI</v>
      </c>
      <c r="I13640" s="136"/>
      <c r="R13640" s="63" t="str">
        <f t="shared" si="60"/>
        <v>ZSI1_SIGNAL_FILTERALT_UOM4_SIPI</v>
      </c>
    </row>
    <row r="13641" ht="15.75" customHeight="1">
      <c r="B13641" s="63">
        <f t="shared" si="1"/>
        <v>18</v>
      </c>
      <c r="C13641" s="135" t="s">
        <v>550</v>
      </c>
      <c r="D13641" s="161" t="s">
        <v>74</v>
      </c>
      <c r="E13641" s="135">
        <f t="shared" si="62"/>
        <v>24</v>
      </c>
      <c r="F13641" s="134" t="s">
        <v>3814</v>
      </c>
      <c r="G13641" s="63" t="str">
        <f>VLOOKUP(C13641, 'Class Def. - General Data'!$C$20:$C$1000,1,false)</f>
        <v>ZSI1_SIGNAL_FILTER</v>
      </c>
      <c r="H13641" s="63" t="str">
        <f>IFERROR(__xludf.DUMMYFUNCTION("VLOOKUP(F13641, IMPORTRANGE(""https://docs.google.com/spreadsheets/d/1Lhp9OU0JdFf_VYSMzH5lBcEaU4o8teT1piV-SNzShjg/edit?gid=554141278#gid=554141278"", ""'Char Def. - Attributes'!C20:C2242""), 1,false)"),"ALT_DENUM_UOM4")</f>
        <v>ALT_DENUM_UOM4</v>
      </c>
      <c r="I13641" s="136"/>
      <c r="R13641" s="63" t="str">
        <f t="shared" si="60"/>
        <v>ZSI1_SIGNAL_FILTERALT_DENUM_UOM4</v>
      </c>
    </row>
    <row r="13642" ht="15.75" customHeight="1">
      <c r="B13642" s="63">
        <f t="shared" si="1"/>
        <v>18</v>
      </c>
      <c r="C13642" s="135" t="s">
        <v>550</v>
      </c>
      <c r="D13642" s="161" t="s">
        <v>74</v>
      </c>
      <c r="E13642" s="135">
        <f t="shared" si="62"/>
        <v>25</v>
      </c>
      <c r="F13642" s="134" t="s">
        <v>3815</v>
      </c>
      <c r="G13642" s="63" t="str">
        <f>VLOOKUP(C13642, 'Class Def. - General Data'!$C$20:$C$1000,1,false)</f>
        <v>ZSI1_SIGNAL_FILTER</v>
      </c>
      <c r="H13642" s="63" t="str">
        <f>IFERROR(__xludf.DUMMYFUNCTION("VLOOKUP(F13642, IMPORTRANGE(""https://docs.google.com/spreadsheets/d/1Lhp9OU0JdFf_VYSMzH5lBcEaU4o8teT1piV-SNzShjg/edit?gid=554141278#gid=554141278"", ""'Char Def. - Attributes'!C20:C2242""), 1,false)"),"ALT_NUM_UOM4")</f>
        <v>ALT_NUM_UOM4</v>
      </c>
      <c r="I13642" s="136"/>
      <c r="R13642" s="63" t="str">
        <f t="shared" si="60"/>
        <v>ZSI1_SIGNAL_FILTERALT_NUM_UOM4</v>
      </c>
    </row>
    <row r="13643" ht="15.75" customHeight="1">
      <c r="B13643" s="63">
        <f t="shared" si="1"/>
        <v>18</v>
      </c>
      <c r="C13643" s="135" t="s">
        <v>550</v>
      </c>
      <c r="D13643" s="161" t="s">
        <v>74</v>
      </c>
      <c r="E13643" s="135">
        <f t="shared" si="62"/>
        <v>26</v>
      </c>
      <c r="F13643" s="134" t="s">
        <v>3816</v>
      </c>
      <c r="G13643" s="63" t="str">
        <f>VLOOKUP(C13643, 'Class Def. - General Data'!$C$20:$C$1000,1,false)</f>
        <v>ZSI1_SIGNAL_FILTER</v>
      </c>
      <c r="H13643" s="63" t="str">
        <f>IFERROR(__xludf.DUMMYFUNCTION("VLOOKUP(F13643, IMPORTRANGE(""https://docs.google.com/spreadsheets/d/1Lhp9OU0JdFf_VYSMzH5lBcEaU4o8teT1piV-SNzShjg/edit?gid=554141278#gid=554141278"", ""'Char Def. - Attributes'!C20:C2242""), 1,false)"),"ALT_UOM5_SIPI")</f>
        <v>ALT_UOM5_SIPI</v>
      </c>
      <c r="I13643" s="136"/>
      <c r="R13643" s="63" t="str">
        <f t="shared" si="60"/>
        <v>ZSI1_SIGNAL_FILTERALT_UOM5_SIPI</v>
      </c>
    </row>
    <row r="13644" ht="15.75" customHeight="1">
      <c r="B13644" s="63">
        <f t="shared" si="1"/>
        <v>18</v>
      </c>
      <c r="C13644" s="135" t="s">
        <v>550</v>
      </c>
      <c r="D13644" s="161" t="s">
        <v>74</v>
      </c>
      <c r="E13644" s="135">
        <f t="shared" si="62"/>
        <v>27</v>
      </c>
      <c r="F13644" s="134" t="s">
        <v>3817</v>
      </c>
      <c r="G13644" s="63" t="str">
        <f>VLOOKUP(C13644, 'Class Def. - General Data'!$C$20:$C$1000,1,false)</f>
        <v>ZSI1_SIGNAL_FILTER</v>
      </c>
      <c r="H13644" s="63" t="str">
        <f>IFERROR(__xludf.DUMMYFUNCTION("VLOOKUP(F13644, IMPORTRANGE(""https://docs.google.com/spreadsheets/d/1Lhp9OU0JdFf_VYSMzH5lBcEaU4o8teT1piV-SNzShjg/edit?gid=554141278#gid=554141278"", ""'Char Def. - Attributes'!C20:C2242""), 1,false)"),"ALT_DENUM_UOM5")</f>
        <v>ALT_DENUM_UOM5</v>
      </c>
      <c r="I13644" s="136"/>
      <c r="R13644" s="63" t="str">
        <f t="shared" si="60"/>
        <v>ZSI1_SIGNAL_FILTERALT_DENUM_UOM5</v>
      </c>
    </row>
    <row r="13645" ht="15.75" customHeight="1">
      <c r="B13645" s="63">
        <f t="shared" si="1"/>
        <v>18</v>
      </c>
      <c r="C13645" s="135" t="s">
        <v>550</v>
      </c>
      <c r="D13645" s="161" t="s">
        <v>74</v>
      </c>
      <c r="E13645" s="135">
        <f t="shared" si="62"/>
        <v>28</v>
      </c>
      <c r="F13645" s="134" t="s">
        <v>3818</v>
      </c>
      <c r="G13645" s="63" t="str">
        <f>VLOOKUP(C13645, 'Class Def. - General Data'!$C$20:$C$1000,1,false)</f>
        <v>ZSI1_SIGNAL_FILTER</v>
      </c>
      <c r="H13645" s="63" t="str">
        <f>IFERROR(__xludf.DUMMYFUNCTION("VLOOKUP(F13645, IMPORTRANGE(""https://docs.google.com/spreadsheets/d/1Lhp9OU0JdFf_VYSMzH5lBcEaU4o8teT1piV-SNzShjg/edit?gid=554141278#gid=554141278"", ""'Char Def. - Attributes'!C20:C2242""), 1,false)"),"ALT_NUM_UOM5")</f>
        <v>ALT_NUM_UOM5</v>
      </c>
      <c r="I13645" s="136"/>
      <c r="R13645" s="63" t="str">
        <f t="shared" si="60"/>
        <v>ZSI1_SIGNAL_FILTERALT_NUM_UOM5</v>
      </c>
    </row>
    <row r="13646" ht="15.75" customHeight="1">
      <c r="B13646" s="63">
        <f t="shared" si="1"/>
        <v>10</v>
      </c>
      <c r="C13646" s="135" t="s">
        <v>465</v>
      </c>
      <c r="D13646" s="161" t="s">
        <v>74</v>
      </c>
      <c r="E13646" s="135">
        <f t="shared" si="62"/>
        <v>1</v>
      </c>
      <c r="F13646" s="134" t="s">
        <v>5430</v>
      </c>
      <c r="G13646" s="63" t="str">
        <f>VLOOKUP(C13646, 'Class Def. - General Data'!$C$20:$C$1000,1,false)</f>
        <v>ZSI1_SLING</v>
      </c>
      <c r="H13646" s="63" t="str">
        <f>IFERROR(__xludf.DUMMYFUNCTION("VLOOKUP(F13646, IMPORTRANGE(""https://docs.google.com/spreadsheets/d/1Lhp9OU0JdFf_VYSMzH5lBcEaU4o8teT1piV-SNzShjg/edit?gid=554141278#gid=554141278"", ""'Char Def. - Attributes'!C20:C2242""), 1,false)"),"ITEM_NAME_SLING")</f>
        <v>ITEM_NAME_SLING</v>
      </c>
      <c r="I13646" s="136"/>
      <c r="R13646" s="63" t="str">
        <f t="shared" si="60"/>
        <v>ZSI1_SLINGITEM_NAME_SLING</v>
      </c>
    </row>
    <row r="13647" ht="15.75" customHeight="1">
      <c r="B13647" s="63">
        <f t="shared" si="1"/>
        <v>10</v>
      </c>
      <c r="C13647" s="135" t="s">
        <v>465</v>
      </c>
      <c r="D13647" s="161" t="s">
        <v>74</v>
      </c>
      <c r="E13647" s="135">
        <f t="shared" si="62"/>
        <v>2</v>
      </c>
      <c r="F13647" s="134" t="s">
        <v>5431</v>
      </c>
      <c r="G13647" s="63" t="str">
        <f>VLOOKUP(C13647, 'Class Def. - General Data'!$C$20:$C$1000,1,false)</f>
        <v>ZSI1_SLING</v>
      </c>
      <c r="H13647" s="63" t="str">
        <f>IFERROR(__xludf.DUMMYFUNCTION("VLOOKUP(F13647, IMPORTRANGE(""https://docs.google.com/spreadsheets/d/1Lhp9OU0JdFf_VYSMzH5lBcEaU4o8teT1piV-SNzShjg/edit?gid=554141278#gid=554141278"", ""'Char Def. - Attributes'!C20:C2242""), 1,false)"),"SLING_SHAPE_SLING")</f>
        <v>SLING_SHAPE_SLING</v>
      </c>
      <c r="I13647" s="136"/>
      <c r="R13647" s="63" t="str">
        <f t="shared" si="60"/>
        <v>ZSI1_SLINGSLING_SHAPE_SLING</v>
      </c>
    </row>
    <row r="13648" ht="15.75" customHeight="1">
      <c r="B13648" s="63">
        <f t="shared" si="1"/>
        <v>10</v>
      </c>
      <c r="C13648" s="135" t="s">
        <v>465</v>
      </c>
      <c r="D13648" s="161" t="s">
        <v>74</v>
      </c>
      <c r="E13648" s="135">
        <f t="shared" si="62"/>
        <v>3</v>
      </c>
      <c r="F13648" s="134" t="s">
        <v>5432</v>
      </c>
      <c r="G13648" s="63" t="str">
        <f>VLOOKUP(C13648, 'Class Def. - General Data'!$C$20:$C$1000,1,false)</f>
        <v>ZSI1_SLING</v>
      </c>
      <c r="H13648" s="63" t="str">
        <f>IFERROR(__xludf.DUMMYFUNCTION("VLOOKUP(F13648, IMPORTRANGE(""https://docs.google.com/spreadsheets/d/1Lhp9OU0JdFf_VYSMzH5lBcEaU4o8teT1piV-SNzShjg/edit?gid=554141278#gid=554141278"", ""'Char Def. - Attributes'!C20:C2242""), 1,false)"),"DIAMETER_MM_SLING")</f>
        <v>DIAMETER_MM_SLING</v>
      </c>
      <c r="I13648" s="136"/>
      <c r="R13648" s="63" t="str">
        <f t="shared" si="60"/>
        <v>ZSI1_SLINGDIAMETER_MM_SLING</v>
      </c>
    </row>
    <row r="13649" ht="15.75" customHeight="1">
      <c r="B13649" s="63">
        <f t="shared" si="1"/>
        <v>10</v>
      </c>
      <c r="C13649" s="135" t="s">
        <v>465</v>
      </c>
      <c r="D13649" s="161" t="s">
        <v>74</v>
      </c>
      <c r="E13649" s="135">
        <f t="shared" si="62"/>
        <v>4</v>
      </c>
      <c r="F13649" s="134" t="s">
        <v>5433</v>
      </c>
      <c r="G13649" s="63" t="str">
        <f>VLOOKUP(C13649, 'Class Def. - General Data'!$C$20:$C$1000,1,false)</f>
        <v>ZSI1_SLING</v>
      </c>
      <c r="H13649" s="63" t="str">
        <f>IFERROR(__xludf.DUMMYFUNCTION("VLOOKUP(F13649, IMPORTRANGE(""https://docs.google.com/spreadsheets/d/1Lhp9OU0JdFf_VYSMzH5lBcEaU4o8teT1piV-SNzShjg/edit?gid=554141278#gid=554141278"", ""'Char Def. - Attributes'!C20:C2242""), 1,false)"),"WIDTH_MM_SLING")</f>
        <v>WIDTH_MM_SLING</v>
      </c>
      <c r="I13649" s="136"/>
      <c r="R13649" s="63" t="str">
        <f t="shared" si="60"/>
        <v>ZSI1_SLINGWIDTH_MM_SLING</v>
      </c>
    </row>
    <row r="13650" ht="15.75" customHeight="1">
      <c r="B13650" s="63">
        <f t="shared" si="1"/>
        <v>10</v>
      </c>
      <c r="C13650" s="135" t="s">
        <v>465</v>
      </c>
      <c r="D13650" s="161" t="s">
        <v>74</v>
      </c>
      <c r="E13650" s="135">
        <f t="shared" si="62"/>
        <v>5</v>
      </c>
      <c r="F13650" s="134" t="s">
        <v>5434</v>
      </c>
      <c r="G13650" s="63" t="str">
        <f>VLOOKUP(C13650, 'Class Def. - General Data'!$C$20:$C$1000,1,false)</f>
        <v>ZSI1_SLING</v>
      </c>
      <c r="H13650" s="63" t="str">
        <f>IFERROR(__xludf.DUMMYFUNCTION("VLOOKUP(F13650, IMPORTRANGE(""https://docs.google.com/spreadsheets/d/1Lhp9OU0JdFf_VYSMzH5lBcEaU4o8teT1piV-SNzShjg/edit?gid=554141278#gid=554141278"", ""'Char Def. - Attributes'!C20:C2242""), 1,false)"),"LENGTH_MM_SLING")</f>
        <v>LENGTH_MM_SLING</v>
      </c>
      <c r="I13650" s="136"/>
      <c r="R13650" s="63" t="str">
        <f t="shared" si="60"/>
        <v>ZSI1_SLINGLENGTH_MM_SLING</v>
      </c>
    </row>
    <row r="13651" ht="15.75" customHeight="1">
      <c r="B13651" s="63">
        <f t="shared" si="1"/>
        <v>10</v>
      </c>
      <c r="C13651" s="135" t="s">
        <v>465</v>
      </c>
      <c r="D13651" s="161" t="s">
        <v>74</v>
      </c>
      <c r="E13651" s="135">
        <f t="shared" si="62"/>
        <v>6</v>
      </c>
      <c r="F13651" s="134" t="s">
        <v>5435</v>
      </c>
      <c r="G13651" s="63" t="str">
        <f>VLOOKUP(C13651, 'Class Def. - General Data'!$C$20:$C$1000,1,false)</f>
        <v>ZSI1_SLING</v>
      </c>
      <c r="H13651" s="63" t="str">
        <f>IFERROR(__xludf.DUMMYFUNCTION("VLOOKUP(F13651, IMPORTRANGE(""https://docs.google.com/spreadsheets/d/1Lhp9OU0JdFf_VYSMzH5lBcEaU4o8teT1piV-SNzShjg/edit?gid=554141278#gid=554141278"", ""'Char Def. - Attributes'!C20:C2242""), 1,false)"),"WEIGHT_CAP_T_SLING")</f>
        <v>WEIGHT_CAP_T_SLING</v>
      </c>
      <c r="I13651" s="136"/>
      <c r="R13651" s="63" t="str">
        <f t="shared" si="60"/>
        <v>ZSI1_SLINGWEIGHT_CAP_T_SLING</v>
      </c>
    </row>
    <row r="13652" ht="15.75" customHeight="1">
      <c r="B13652" s="63">
        <f t="shared" si="1"/>
        <v>10</v>
      </c>
      <c r="C13652" s="135" t="s">
        <v>465</v>
      </c>
      <c r="D13652" s="161" t="s">
        <v>74</v>
      </c>
      <c r="E13652" s="135">
        <f t="shared" si="62"/>
        <v>7</v>
      </c>
      <c r="F13652" s="134" t="s">
        <v>4053</v>
      </c>
      <c r="G13652" s="63" t="str">
        <f>VLOOKUP(C13652, 'Class Def. - General Data'!$C$20:$C$1000,1,false)</f>
        <v>ZSI1_SLING</v>
      </c>
      <c r="H13652" s="63" t="str">
        <f>IFERROR(__xludf.DUMMYFUNCTION("VLOOKUP(F13652, IMPORTRANGE(""https://docs.google.com/spreadsheets/d/1Lhp9OU0JdFf_VYSMzH5lBcEaU4o8teT1piV-SNzShjg/edit?gid=554141278#gid=554141278"", ""'Char Def. - Attributes'!C20:C2242""), 1,false)"),"MAINTENANCE_ORDER_TYPE")</f>
        <v>MAINTENANCE_ORDER_TYPE</v>
      </c>
      <c r="I13652" s="136"/>
      <c r="R13652" s="63" t="str">
        <f t="shared" si="60"/>
        <v>ZSI1_SLINGMAINTENANCE_ORDER_TYPE</v>
      </c>
    </row>
    <row r="13653" ht="15.75" customHeight="1">
      <c r="B13653" s="63">
        <f t="shared" si="1"/>
        <v>10</v>
      </c>
      <c r="C13653" s="135" t="s">
        <v>465</v>
      </c>
      <c r="D13653" s="161" t="s">
        <v>74</v>
      </c>
      <c r="E13653" s="135">
        <f t="shared" si="62"/>
        <v>8</v>
      </c>
      <c r="F13653" s="134" t="s">
        <v>3585</v>
      </c>
      <c r="G13653" s="63" t="str">
        <f>VLOOKUP(C13653, 'Class Def. - General Data'!$C$20:$C$1000,1,false)</f>
        <v>ZSI1_SLING</v>
      </c>
      <c r="H13653" s="63" t="str">
        <f>IFERROR(__xludf.DUMMYFUNCTION("VLOOKUP(F13653, IMPORTRANGE(""https://docs.google.com/spreadsheets/d/1Lhp9OU0JdFf_VYSMzH5lBcEaU4o8teT1piV-SNzShjg/edit?gid=554141278#gid=554141278"", ""'Char Def. - Attributes'!C20:C2242""), 1,false)"),"HS_CODE")</f>
        <v>HS_CODE</v>
      </c>
      <c r="I13653" s="136"/>
      <c r="R13653" s="63" t="str">
        <f t="shared" si="60"/>
        <v>ZSI1_SLINGHS_CODE</v>
      </c>
    </row>
    <row r="13654" ht="15.75" customHeight="1">
      <c r="B13654" s="63">
        <f t="shared" si="1"/>
        <v>10</v>
      </c>
      <c r="C13654" s="135" t="s">
        <v>465</v>
      </c>
      <c r="D13654" s="161" t="s">
        <v>74</v>
      </c>
      <c r="E13654" s="135">
        <f t="shared" si="62"/>
        <v>9</v>
      </c>
      <c r="F13654" s="134" t="s">
        <v>3587</v>
      </c>
      <c r="G13654" s="63" t="str">
        <f>VLOOKUP(C13654, 'Class Def. - General Data'!$C$20:$C$1000,1,false)</f>
        <v>ZSI1_SLING</v>
      </c>
      <c r="H13654" s="63" t="str">
        <f>IFERROR(__xludf.DUMMYFUNCTION("VLOOKUP(F13654, IMPORTRANGE(""https://docs.google.com/spreadsheets/d/1Lhp9OU0JdFf_VYSMzH5lBcEaU4o8teT1piV-SNzShjg/edit?gid=554141278#gid=554141278"", ""'Char Def. - Attributes'!C20:C2242""), 1,false)"),"PLANT_BUY")</f>
        <v>PLANT_BUY</v>
      </c>
      <c r="I13654" s="136"/>
      <c r="R13654" s="63" t="str">
        <f t="shared" si="60"/>
        <v>ZSI1_SLINGPLANT_BUY</v>
      </c>
    </row>
    <row r="13655" ht="15.75" customHeight="1">
      <c r="B13655" s="63">
        <f t="shared" si="1"/>
        <v>10</v>
      </c>
      <c r="C13655" s="135" t="s">
        <v>465</v>
      </c>
      <c r="D13655" s="161" t="s">
        <v>74</v>
      </c>
      <c r="E13655" s="135">
        <f t="shared" si="62"/>
        <v>10</v>
      </c>
      <c r="F13655" s="134" t="s">
        <v>5436</v>
      </c>
      <c r="G13655" s="63" t="str">
        <f>VLOOKUP(C13655, 'Class Def. - General Data'!$C$20:$C$1000,1,false)</f>
        <v>ZSI1_SLING</v>
      </c>
      <c r="H13655" s="63" t="str">
        <f>IFERROR(__xludf.DUMMYFUNCTION("VLOOKUP(F13655, IMPORTRANGE(""https://docs.google.com/spreadsheets/d/1Lhp9OU0JdFf_VYSMzH5lBcEaU4o8teT1piV-SNzShjg/edit?gid=554141278#gid=554141278"", ""'Char Def. - Attributes'!C20:C2242""), 1,false)"),"BASE_UOM_SLING")</f>
        <v>BASE_UOM_SLING</v>
      </c>
      <c r="I13655" s="136"/>
      <c r="R13655" s="63" t="str">
        <f t="shared" si="60"/>
        <v>ZSI1_SLINGBASE_UOM_SLING</v>
      </c>
    </row>
    <row r="13656" ht="15.75" customHeight="1">
      <c r="B13656" s="63">
        <f t="shared" si="1"/>
        <v>10</v>
      </c>
      <c r="C13656" s="135" t="s">
        <v>465</v>
      </c>
      <c r="D13656" s="161" t="s">
        <v>74</v>
      </c>
      <c r="E13656" s="135">
        <f t="shared" si="62"/>
        <v>11</v>
      </c>
      <c r="F13656" s="134" t="s">
        <v>5437</v>
      </c>
      <c r="G13656" s="63" t="str">
        <f>VLOOKUP(C13656, 'Class Def. - General Data'!$C$20:$C$1000,1,false)</f>
        <v>ZSI1_SLING</v>
      </c>
      <c r="H13656" s="63" t="str">
        <f>IFERROR(__xludf.DUMMYFUNCTION("VLOOKUP(F13656, IMPORTRANGE(""https://docs.google.com/spreadsheets/d/1Lhp9OU0JdFf_VYSMzH5lBcEaU4o8teT1piV-SNzShjg/edit?gid=554141278#gid=554141278"", ""'Char Def. - Attributes'!C20:C2242""), 1,false)"),"ORDER_UNIT_SLING")</f>
        <v>ORDER_UNIT_SLING</v>
      </c>
      <c r="I13656" s="136"/>
      <c r="R13656" s="63" t="str">
        <f t="shared" si="60"/>
        <v>ZSI1_SLINGORDER_UNIT_SLING</v>
      </c>
    </row>
    <row r="13657" ht="15.75" customHeight="1">
      <c r="B13657" s="63">
        <f t="shared" si="1"/>
        <v>10</v>
      </c>
      <c r="C13657" s="135" t="s">
        <v>465</v>
      </c>
      <c r="D13657" s="161" t="s">
        <v>74</v>
      </c>
      <c r="E13657" s="135">
        <f t="shared" si="62"/>
        <v>12</v>
      </c>
      <c r="F13657" s="134" t="s">
        <v>4056</v>
      </c>
      <c r="G13657" s="63" t="str">
        <f>VLOOKUP(C13657, 'Class Def. - General Data'!$C$20:$C$1000,1,false)</f>
        <v>ZSI1_SLING</v>
      </c>
      <c r="H13657" s="63" t="str">
        <f>IFERROR(__xludf.DUMMYFUNCTION("VLOOKUP(F13657, IMPORTRANGE(""https://docs.google.com/spreadsheets/d/1Lhp9OU0JdFf_VYSMzH5lBcEaU4o8teT1piV-SNzShjg/edit?gid=554141278#gid=554141278"", ""'Char Def. - Attributes'!C20:C2242""), 1,false)"),"GROSS_WEIGHT_OPT")</f>
        <v>GROSS_WEIGHT_OPT</v>
      </c>
      <c r="I13657" s="136"/>
      <c r="R13657" s="63" t="str">
        <f t="shared" si="60"/>
        <v>ZSI1_SLINGGROSS_WEIGHT_OPT</v>
      </c>
    </row>
    <row r="13658" ht="15.75" customHeight="1">
      <c r="B13658" s="63">
        <f t="shared" si="1"/>
        <v>10</v>
      </c>
      <c r="C13658" s="135" t="s">
        <v>465</v>
      </c>
      <c r="D13658" s="161" t="s">
        <v>74</v>
      </c>
      <c r="E13658" s="135">
        <f t="shared" si="62"/>
        <v>13</v>
      </c>
      <c r="F13658" s="134" t="s">
        <v>4057</v>
      </c>
      <c r="G13658" s="63" t="str">
        <f>VLOOKUP(C13658, 'Class Def. - General Data'!$C$20:$C$1000,1,false)</f>
        <v>ZSI1_SLING</v>
      </c>
      <c r="H13658" s="63" t="str">
        <f>IFERROR(__xludf.DUMMYFUNCTION("VLOOKUP(F13658, IMPORTRANGE(""https://docs.google.com/spreadsheets/d/1Lhp9OU0JdFf_VYSMzH5lBcEaU4o8teT1piV-SNzShjg/edit?gid=554141278#gid=554141278"", ""'Char Def. - Attributes'!C20:C2242""), 1,false)"),"NET_WEIGHT_OPT")</f>
        <v>NET_WEIGHT_OPT</v>
      </c>
      <c r="I13658" s="136"/>
      <c r="R13658" s="63" t="str">
        <f t="shared" si="60"/>
        <v>ZSI1_SLINGNET_WEIGHT_OPT</v>
      </c>
    </row>
    <row r="13659" ht="15.75" customHeight="1">
      <c r="B13659" s="63">
        <f t="shared" si="1"/>
        <v>10</v>
      </c>
      <c r="C13659" s="135" t="s">
        <v>465</v>
      </c>
      <c r="D13659" s="161" t="s">
        <v>74</v>
      </c>
      <c r="E13659" s="135">
        <f t="shared" si="62"/>
        <v>14</v>
      </c>
      <c r="F13659" s="134" t="s">
        <v>4058</v>
      </c>
      <c r="G13659" s="63" t="str">
        <f>VLOOKUP(C13659, 'Class Def. - General Data'!$C$20:$C$1000,1,false)</f>
        <v>ZSI1_SLING</v>
      </c>
      <c r="H13659" s="63" t="str">
        <f>IFERROR(__xludf.DUMMYFUNCTION("VLOOKUP(F13659, IMPORTRANGE(""https://docs.google.com/spreadsheets/d/1Lhp9OU0JdFf_VYSMzH5lBcEaU4o8teT1piV-SNzShjg/edit?gid=554141278#gid=554141278"", ""'Char Def. - Attributes'!C20:C2242""), 1,false)"),"WEIGHT_UNIT_SI")</f>
        <v>WEIGHT_UNIT_SI</v>
      </c>
      <c r="I13659" s="136"/>
      <c r="R13659" s="63" t="str">
        <f t="shared" si="60"/>
        <v>ZSI1_SLINGWEIGHT_UNIT_SI</v>
      </c>
    </row>
    <row r="13660" ht="15.75" customHeight="1">
      <c r="B13660" s="63">
        <f t="shared" si="1"/>
        <v>10</v>
      </c>
      <c r="C13660" s="135" t="s">
        <v>465</v>
      </c>
      <c r="D13660" s="161" t="s">
        <v>74</v>
      </c>
      <c r="E13660" s="135">
        <f t="shared" si="62"/>
        <v>15</v>
      </c>
      <c r="F13660" s="134" t="s">
        <v>3877</v>
      </c>
      <c r="G13660" s="63" t="str">
        <f>VLOOKUP(C13660, 'Class Def. - General Data'!$C$20:$C$1000,1,false)</f>
        <v>ZSI1_SLING</v>
      </c>
      <c r="H13660" s="63" t="str">
        <f>IFERROR(__xludf.DUMMYFUNCTION("VLOOKUP(F13660, IMPORTRANGE(""https://docs.google.com/spreadsheets/d/1Lhp9OU0JdFf_VYSMzH5lBcEaU4o8teT1piV-SNzShjg/edit?gid=554141278#gid=554141278"", ""'Char Def. - Attributes'!C20:C2242""), 1,false)"),"VOLUME_OPT")</f>
        <v>VOLUME_OPT</v>
      </c>
      <c r="I13660" s="136"/>
      <c r="R13660" s="63" t="str">
        <f t="shared" si="60"/>
        <v>ZSI1_SLINGVOLUME_OPT</v>
      </c>
    </row>
    <row r="13661" ht="15.75" customHeight="1">
      <c r="B13661" s="63">
        <f t="shared" si="1"/>
        <v>10</v>
      </c>
      <c r="C13661" s="135" t="s">
        <v>465</v>
      </c>
      <c r="D13661" s="161" t="s">
        <v>74</v>
      </c>
      <c r="E13661" s="135">
        <f t="shared" si="62"/>
        <v>16</v>
      </c>
      <c r="F13661" s="134" t="s">
        <v>4059</v>
      </c>
      <c r="G13661" s="63" t="str">
        <f>VLOOKUP(C13661, 'Class Def. - General Data'!$C$20:$C$1000,1,false)</f>
        <v>ZSI1_SLING</v>
      </c>
      <c r="H13661" s="63" t="str">
        <f>IFERROR(__xludf.DUMMYFUNCTION("VLOOKUP(F13661, IMPORTRANGE(""https://docs.google.com/spreadsheets/d/1Lhp9OU0JdFf_VYSMzH5lBcEaU4o8teT1piV-SNzShjg/edit?gid=554141278#gid=554141278"", ""'Char Def. - Attributes'!C20:C2242""), 1,false)"),"VOLUME_UNIT_SI")</f>
        <v>VOLUME_UNIT_SI</v>
      </c>
      <c r="I13661" s="136"/>
      <c r="R13661" s="63" t="str">
        <f t="shared" si="60"/>
        <v>ZSI1_SLINGVOLUME_UNIT_SI</v>
      </c>
    </row>
    <row r="13662" ht="15.75" customHeight="1">
      <c r="B13662" s="63">
        <f t="shared" si="1"/>
        <v>10</v>
      </c>
      <c r="C13662" s="135" t="s">
        <v>465</v>
      </c>
      <c r="D13662" s="161" t="s">
        <v>74</v>
      </c>
      <c r="E13662" s="135">
        <f t="shared" si="62"/>
        <v>17</v>
      </c>
      <c r="F13662" s="134" t="s">
        <v>3804</v>
      </c>
      <c r="G13662" s="63" t="str">
        <f>VLOOKUP(C13662, 'Class Def. - General Data'!$C$20:$C$1000,1,false)</f>
        <v>ZSI1_SLING</v>
      </c>
      <c r="H13662" s="63" t="str">
        <f>IFERROR(__xludf.DUMMYFUNCTION("VLOOKUP(F13662, IMPORTRANGE(""https://docs.google.com/spreadsheets/d/1Lhp9OU0JdFf_VYSMzH5lBcEaU4o8teT1piV-SNzShjg/edit?gid=554141278#gid=554141278"", ""'Char Def. - Attributes'!C20:C2242""), 1,false)"),"ALT_UOM1_SIPI")</f>
        <v>ALT_UOM1_SIPI</v>
      </c>
      <c r="I13662" s="136"/>
      <c r="R13662" s="63" t="str">
        <f t="shared" si="60"/>
        <v>ZSI1_SLINGALT_UOM1_SIPI</v>
      </c>
    </row>
    <row r="13663" ht="15.75" customHeight="1">
      <c r="B13663" s="63">
        <f t="shared" si="1"/>
        <v>10</v>
      </c>
      <c r="C13663" s="135" t="s">
        <v>465</v>
      </c>
      <c r="D13663" s="161" t="s">
        <v>74</v>
      </c>
      <c r="E13663" s="135">
        <f t="shared" si="62"/>
        <v>18</v>
      </c>
      <c r="F13663" s="134" t="s">
        <v>3805</v>
      </c>
      <c r="G13663" s="63" t="str">
        <f>VLOOKUP(C13663, 'Class Def. - General Data'!$C$20:$C$1000,1,false)</f>
        <v>ZSI1_SLING</v>
      </c>
      <c r="H13663" s="63" t="str">
        <f>IFERROR(__xludf.DUMMYFUNCTION("VLOOKUP(F13663, IMPORTRANGE(""https://docs.google.com/spreadsheets/d/1Lhp9OU0JdFf_VYSMzH5lBcEaU4o8teT1piV-SNzShjg/edit?gid=554141278#gid=554141278"", ""'Char Def. - Attributes'!C20:C2242""), 1,false)"),"ALT_DENUM_UOM1")</f>
        <v>ALT_DENUM_UOM1</v>
      </c>
      <c r="I13663" s="136"/>
      <c r="R13663" s="63" t="str">
        <f t="shared" si="60"/>
        <v>ZSI1_SLINGALT_DENUM_UOM1</v>
      </c>
    </row>
    <row r="13664" ht="15.75" customHeight="1">
      <c r="B13664" s="63">
        <f t="shared" si="1"/>
        <v>10</v>
      </c>
      <c r="C13664" s="135" t="s">
        <v>465</v>
      </c>
      <c r="D13664" s="161" t="s">
        <v>74</v>
      </c>
      <c r="E13664" s="135">
        <f t="shared" si="62"/>
        <v>19</v>
      </c>
      <c r="F13664" s="134" t="s">
        <v>3806</v>
      </c>
      <c r="G13664" s="63" t="str">
        <f>VLOOKUP(C13664, 'Class Def. - General Data'!$C$20:$C$1000,1,false)</f>
        <v>ZSI1_SLING</v>
      </c>
      <c r="H13664" s="63" t="str">
        <f>IFERROR(__xludf.DUMMYFUNCTION("VLOOKUP(F13664, IMPORTRANGE(""https://docs.google.com/spreadsheets/d/1Lhp9OU0JdFf_VYSMzH5lBcEaU4o8teT1piV-SNzShjg/edit?gid=554141278#gid=554141278"", ""'Char Def. - Attributes'!C20:C2242""), 1,false)"),"ALT_NUM_UOM1")</f>
        <v>ALT_NUM_UOM1</v>
      </c>
      <c r="I13664" s="136"/>
      <c r="R13664" s="63" t="str">
        <f t="shared" si="60"/>
        <v>ZSI1_SLINGALT_NUM_UOM1</v>
      </c>
    </row>
    <row r="13665" ht="15.75" customHeight="1">
      <c r="B13665" s="63">
        <f t="shared" si="1"/>
        <v>10</v>
      </c>
      <c r="C13665" s="135" t="s">
        <v>465</v>
      </c>
      <c r="D13665" s="161" t="s">
        <v>74</v>
      </c>
      <c r="E13665" s="135">
        <f t="shared" si="62"/>
        <v>20</v>
      </c>
      <c r="F13665" s="134" t="s">
        <v>3807</v>
      </c>
      <c r="G13665" s="63" t="str">
        <f>VLOOKUP(C13665, 'Class Def. - General Data'!$C$20:$C$1000,1,false)</f>
        <v>ZSI1_SLING</v>
      </c>
      <c r="H13665" s="63" t="str">
        <f>IFERROR(__xludf.DUMMYFUNCTION("VLOOKUP(F13665, IMPORTRANGE(""https://docs.google.com/spreadsheets/d/1Lhp9OU0JdFf_VYSMzH5lBcEaU4o8teT1piV-SNzShjg/edit?gid=554141278#gid=554141278"", ""'Char Def. - Attributes'!C20:C2242""), 1,false)"),"ALT_UOM2_SIPI")</f>
        <v>ALT_UOM2_SIPI</v>
      </c>
      <c r="I13665" s="136"/>
      <c r="R13665" s="63" t="str">
        <f t="shared" si="60"/>
        <v>ZSI1_SLINGALT_UOM2_SIPI</v>
      </c>
    </row>
    <row r="13666" ht="15.75" customHeight="1">
      <c r="B13666" s="63">
        <f t="shared" si="1"/>
        <v>10</v>
      </c>
      <c r="C13666" s="135" t="s">
        <v>465</v>
      </c>
      <c r="D13666" s="161" t="s">
        <v>74</v>
      </c>
      <c r="E13666" s="135">
        <f t="shared" si="62"/>
        <v>21</v>
      </c>
      <c r="F13666" s="134" t="s">
        <v>3808</v>
      </c>
      <c r="G13666" s="63" t="str">
        <f>VLOOKUP(C13666, 'Class Def. - General Data'!$C$20:$C$1000,1,false)</f>
        <v>ZSI1_SLING</v>
      </c>
      <c r="H13666" s="63" t="str">
        <f>IFERROR(__xludf.DUMMYFUNCTION("VLOOKUP(F13666, IMPORTRANGE(""https://docs.google.com/spreadsheets/d/1Lhp9OU0JdFf_VYSMzH5lBcEaU4o8teT1piV-SNzShjg/edit?gid=554141278#gid=554141278"", ""'Char Def. - Attributes'!C20:C2242""), 1,false)"),"ALT_DENUM_UOM2")</f>
        <v>ALT_DENUM_UOM2</v>
      </c>
      <c r="I13666" s="136"/>
      <c r="R13666" s="63" t="str">
        <f t="shared" si="60"/>
        <v>ZSI1_SLINGALT_DENUM_UOM2</v>
      </c>
    </row>
    <row r="13667" ht="15.75" customHeight="1">
      <c r="B13667" s="63">
        <f t="shared" si="1"/>
        <v>10</v>
      </c>
      <c r="C13667" s="135" t="s">
        <v>465</v>
      </c>
      <c r="D13667" s="161" t="s">
        <v>74</v>
      </c>
      <c r="E13667" s="135">
        <f t="shared" si="62"/>
        <v>22</v>
      </c>
      <c r="F13667" s="134" t="s">
        <v>3809</v>
      </c>
      <c r="G13667" s="63" t="str">
        <f>VLOOKUP(C13667, 'Class Def. - General Data'!$C$20:$C$1000,1,false)</f>
        <v>ZSI1_SLING</v>
      </c>
      <c r="H13667" s="63" t="str">
        <f>IFERROR(__xludf.DUMMYFUNCTION("VLOOKUP(F13667, IMPORTRANGE(""https://docs.google.com/spreadsheets/d/1Lhp9OU0JdFf_VYSMzH5lBcEaU4o8teT1piV-SNzShjg/edit?gid=554141278#gid=554141278"", ""'Char Def. - Attributes'!C20:C2242""), 1,false)"),"ALT_NUM_UOM2")</f>
        <v>ALT_NUM_UOM2</v>
      </c>
      <c r="I13667" s="136"/>
      <c r="R13667" s="63" t="str">
        <f t="shared" si="60"/>
        <v>ZSI1_SLINGALT_NUM_UOM2</v>
      </c>
    </row>
    <row r="13668" ht="15.75" customHeight="1">
      <c r="B13668" s="63">
        <f t="shared" si="1"/>
        <v>10</v>
      </c>
      <c r="C13668" s="135" t="s">
        <v>465</v>
      </c>
      <c r="D13668" s="161" t="s">
        <v>74</v>
      </c>
      <c r="E13668" s="135">
        <f t="shared" si="62"/>
        <v>23</v>
      </c>
      <c r="F13668" s="134" t="s">
        <v>3810</v>
      </c>
      <c r="G13668" s="63" t="str">
        <f>VLOOKUP(C13668, 'Class Def. - General Data'!$C$20:$C$1000,1,false)</f>
        <v>ZSI1_SLING</v>
      </c>
      <c r="H13668" s="63" t="str">
        <f>IFERROR(__xludf.DUMMYFUNCTION("VLOOKUP(F13668, IMPORTRANGE(""https://docs.google.com/spreadsheets/d/1Lhp9OU0JdFf_VYSMzH5lBcEaU4o8teT1piV-SNzShjg/edit?gid=554141278#gid=554141278"", ""'Char Def. - Attributes'!C20:C2242""), 1,false)"),"ALT_UOM3_SIPI")</f>
        <v>ALT_UOM3_SIPI</v>
      </c>
      <c r="I13668" s="136"/>
      <c r="R13668" s="63" t="str">
        <f t="shared" si="60"/>
        <v>ZSI1_SLINGALT_UOM3_SIPI</v>
      </c>
    </row>
    <row r="13669" ht="15.75" customHeight="1">
      <c r="B13669" s="63">
        <f t="shared" si="1"/>
        <v>10</v>
      </c>
      <c r="C13669" s="135" t="s">
        <v>465</v>
      </c>
      <c r="D13669" s="161" t="s">
        <v>74</v>
      </c>
      <c r="E13669" s="135">
        <f t="shared" si="62"/>
        <v>24</v>
      </c>
      <c r="F13669" s="134" t="s">
        <v>3811</v>
      </c>
      <c r="G13669" s="63" t="str">
        <f>VLOOKUP(C13669, 'Class Def. - General Data'!$C$20:$C$1000,1,false)</f>
        <v>ZSI1_SLING</v>
      </c>
      <c r="H13669" s="63" t="str">
        <f>IFERROR(__xludf.DUMMYFUNCTION("VLOOKUP(F13669, IMPORTRANGE(""https://docs.google.com/spreadsheets/d/1Lhp9OU0JdFf_VYSMzH5lBcEaU4o8teT1piV-SNzShjg/edit?gid=554141278#gid=554141278"", ""'Char Def. - Attributes'!C20:C2242""), 1,false)"),"ALT_DENUM_UOM3")</f>
        <v>ALT_DENUM_UOM3</v>
      </c>
      <c r="I13669" s="136"/>
      <c r="R13669" s="63" t="str">
        <f t="shared" si="60"/>
        <v>ZSI1_SLINGALT_DENUM_UOM3</v>
      </c>
    </row>
    <row r="13670" ht="15.75" customHeight="1">
      <c r="B13670" s="63">
        <f t="shared" si="1"/>
        <v>10</v>
      </c>
      <c r="C13670" s="135" t="s">
        <v>465</v>
      </c>
      <c r="D13670" s="161" t="s">
        <v>74</v>
      </c>
      <c r="E13670" s="135">
        <f t="shared" si="62"/>
        <v>25</v>
      </c>
      <c r="F13670" s="134" t="s">
        <v>3812</v>
      </c>
      <c r="G13670" s="63" t="str">
        <f>VLOOKUP(C13670, 'Class Def. - General Data'!$C$20:$C$1000,1,false)</f>
        <v>ZSI1_SLING</v>
      </c>
      <c r="H13670" s="63" t="str">
        <f>IFERROR(__xludf.DUMMYFUNCTION("VLOOKUP(F13670, IMPORTRANGE(""https://docs.google.com/spreadsheets/d/1Lhp9OU0JdFf_VYSMzH5lBcEaU4o8teT1piV-SNzShjg/edit?gid=554141278#gid=554141278"", ""'Char Def. - Attributes'!C20:C2242""), 1,false)"),"ALT_NUM_UOM3")</f>
        <v>ALT_NUM_UOM3</v>
      </c>
      <c r="I13670" s="136"/>
      <c r="R13670" s="63" t="str">
        <f t="shared" si="60"/>
        <v>ZSI1_SLINGALT_NUM_UOM3</v>
      </c>
    </row>
    <row r="13671" ht="15.75" customHeight="1">
      <c r="B13671" s="63">
        <f t="shared" si="1"/>
        <v>10</v>
      </c>
      <c r="C13671" s="135" t="s">
        <v>465</v>
      </c>
      <c r="D13671" s="161" t="s">
        <v>74</v>
      </c>
      <c r="E13671" s="135">
        <f t="shared" si="62"/>
        <v>26</v>
      </c>
      <c r="F13671" s="134" t="s">
        <v>3813</v>
      </c>
      <c r="G13671" s="63" t="str">
        <f>VLOOKUP(C13671, 'Class Def. - General Data'!$C$20:$C$1000,1,false)</f>
        <v>ZSI1_SLING</v>
      </c>
      <c r="H13671" s="63" t="str">
        <f>IFERROR(__xludf.DUMMYFUNCTION("VLOOKUP(F13671, IMPORTRANGE(""https://docs.google.com/spreadsheets/d/1Lhp9OU0JdFf_VYSMzH5lBcEaU4o8teT1piV-SNzShjg/edit?gid=554141278#gid=554141278"", ""'Char Def. - Attributes'!C20:C2242""), 1,false)"),"ALT_UOM4_SIPI")</f>
        <v>ALT_UOM4_SIPI</v>
      </c>
      <c r="I13671" s="136"/>
      <c r="R13671" s="63" t="str">
        <f t="shared" si="60"/>
        <v>ZSI1_SLINGALT_UOM4_SIPI</v>
      </c>
    </row>
    <row r="13672" ht="15.75" customHeight="1">
      <c r="B13672" s="63">
        <f t="shared" si="1"/>
        <v>10</v>
      </c>
      <c r="C13672" s="135" t="s">
        <v>465</v>
      </c>
      <c r="D13672" s="161" t="s">
        <v>74</v>
      </c>
      <c r="E13672" s="135">
        <f t="shared" si="62"/>
        <v>27</v>
      </c>
      <c r="F13672" s="134" t="s">
        <v>3814</v>
      </c>
      <c r="G13672" s="63" t="str">
        <f>VLOOKUP(C13672, 'Class Def. - General Data'!$C$20:$C$1000,1,false)</f>
        <v>ZSI1_SLING</v>
      </c>
      <c r="H13672" s="63" t="str">
        <f>IFERROR(__xludf.DUMMYFUNCTION("VLOOKUP(F13672, IMPORTRANGE(""https://docs.google.com/spreadsheets/d/1Lhp9OU0JdFf_VYSMzH5lBcEaU4o8teT1piV-SNzShjg/edit?gid=554141278#gid=554141278"", ""'Char Def. - Attributes'!C20:C2242""), 1,false)"),"ALT_DENUM_UOM4")</f>
        <v>ALT_DENUM_UOM4</v>
      </c>
      <c r="I13672" s="136"/>
      <c r="R13672" s="63" t="str">
        <f t="shared" si="60"/>
        <v>ZSI1_SLINGALT_DENUM_UOM4</v>
      </c>
    </row>
    <row r="13673" ht="15.75" customHeight="1">
      <c r="B13673" s="63">
        <f t="shared" si="1"/>
        <v>10</v>
      </c>
      <c r="C13673" s="135" t="s">
        <v>465</v>
      </c>
      <c r="D13673" s="161" t="s">
        <v>74</v>
      </c>
      <c r="E13673" s="135">
        <f t="shared" si="62"/>
        <v>28</v>
      </c>
      <c r="F13673" s="134" t="s">
        <v>3815</v>
      </c>
      <c r="G13673" s="63" t="str">
        <f>VLOOKUP(C13673, 'Class Def. - General Data'!$C$20:$C$1000,1,false)</f>
        <v>ZSI1_SLING</v>
      </c>
      <c r="H13673" s="63" t="str">
        <f>IFERROR(__xludf.DUMMYFUNCTION("VLOOKUP(F13673, IMPORTRANGE(""https://docs.google.com/spreadsheets/d/1Lhp9OU0JdFf_VYSMzH5lBcEaU4o8teT1piV-SNzShjg/edit?gid=554141278#gid=554141278"", ""'Char Def. - Attributes'!C20:C2242""), 1,false)"),"ALT_NUM_UOM4")</f>
        <v>ALT_NUM_UOM4</v>
      </c>
      <c r="I13673" s="136"/>
      <c r="R13673" s="63" t="str">
        <f t="shared" si="60"/>
        <v>ZSI1_SLINGALT_NUM_UOM4</v>
      </c>
    </row>
    <row r="13674" ht="15.75" customHeight="1">
      <c r="B13674" s="63">
        <f t="shared" si="1"/>
        <v>10</v>
      </c>
      <c r="C13674" s="135" t="s">
        <v>465</v>
      </c>
      <c r="D13674" s="161" t="s">
        <v>74</v>
      </c>
      <c r="E13674" s="135">
        <f t="shared" si="62"/>
        <v>29</v>
      </c>
      <c r="F13674" s="134" t="s">
        <v>3816</v>
      </c>
      <c r="G13674" s="63" t="str">
        <f>VLOOKUP(C13674, 'Class Def. - General Data'!$C$20:$C$1000,1,false)</f>
        <v>ZSI1_SLING</v>
      </c>
      <c r="H13674" s="63" t="str">
        <f>IFERROR(__xludf.DUMMYFUNCTION("VLOOKUP(F13674, IMPORTRANGE(""https://docs.google.com/spreadsheets/d/1Lhp9OU0JdFf_VYSMzH5lBcEaU4o8teT1piV-SNzShjg/edit?gid=554141278#gid=554141278"", ""'Char Def. - Attributes'!C20:C2242""), 1,false)"),"ALT_UOM5_SIPI")</f>
        <v>ALT_UOM5_SIPI</v>
      </c>
      <c r="I13674" s="136"/>
      <c r="R13674" s="63" t="str">
        <f t="shared" si="60"/>
        <v>ZSI1_SLINGALT_UOM5_SIPI</v>
      </c>
    </row>
    <row r="13675" ht="15.75" customHeight="1">
      <c r="B13675" s="63">
        <f t="shared" si="1"/>
        <v>10</v>
      </c>
      <c r="C13675" s="135" t="s">
        <v>465</v>
      </c>
      <c r="D13675" s="161" t="s">
        <v>74</v>
      </c>
      <c r="E13675" s="135">
        <f t="shared" si="62"/>
        <v>30</v>
      </c>
      <c r="F13675" s="134" t="s">
        <v>3817</v>
      </c>
      <c r="G13675" s="63" t="str">
        <f>VLOOKUP(C13675, 'Class Def. - General Data'!$C$20:$C$1000,1,false)</f>
        <v>ZSI1_SLING</v>
      </c>
      <c r="H13675" s="63" t="str">
        <f>IFERROR(__xludf.DUMMYFUNCTION("VLOOKUP(F13675, IMPORTRANGE(""https://docs.google.com/spreadsheets/d/1Lhp9OU0JdFf_VYSMzH5lBcEaU4o8teT1piV-SNzShjg/edit?gid=554141278#gid=554141278"", ""'Char Def. - Attributes'!C20:C2242""), 1,false)"),"ALT_DENUM_UOM5")</f>
        <v>ALT_DENUM_UOM5</v>
      </c>
      <c r="I13675" s="136"/>
      <c r="R13675" s="63" t="str">
        <f t="shared" si="60"/>
        <v>ZSI1_SLINGALT_DENUM_UOM5</v>
      </c>
    </row>
    <row r="13676" ht="15.75" customHeight="1">
      <c r="B13676" s="63">
        <f t="shared" si="1"/>
        <v>10</v>
      </c>
      <c r="C13676" s="135" t="s">
        <v>465</v>
      </c>
      <c r="D13676" s="161" t="s">
        <v>74</v>
      </c>
      <c r="E13676" s="135">
        <f t="shared" si="62"/>
        <v>31</v>
      </c>
      <c r="F13676" s="134" t="s">
        <v>3818</v>
      </c>
      <c r="G13676" s="63" t="str">
        <f>VLOOKUP(C13676, 'Class Def. - General Data'!$C$20:$C$1000,1,false)</f>
        <v>ZSI1_SLING</v>
      </c>
      <c r="H13676" s="63" t="str">
        <f>IFERROR(__xludf.DUMMYFUNCTION("VLOOKUP(F13676, IMPORTRANGE(""https://docs.google.com/spreadsheets/d/1Lhp9OU0JdFf_VYSMzH5lBcEaU4o8teT1piV-SNzShjg/edit?gid=554141278#gid=554141278"", ""'Char Def. - Attributes'!C20:C2242""), 1,false)"),"ALT_NUM_UOM5")</f>
        <v>ALT_NUM_UOM5</v>
      </c>
      <c r="I13676" s="136"/>
      <c r="R13676" s="63" t="str">
        <f t="shared" si="60"/>
        <v>ZSI1_SLINGALT_NUM_UOM5</v>
      </c>
    </row>
    <row r="13677" ht="15.75" customHeight="1">
      <c r="B13677" s="63">
        <f t="shared" si="1"/>
        <v>14</v>
      </c>
      <c r="C13677" s="135" t="s">
        <v>466</v>
      </c>
      <c r="D13677" s="161" t="s">
        <v>74</v>
      </c>
      <c r="E13677" s="135">
        <f t="shared" si="62"/>
        <v>1</v>
      </c>
      <c r="F13677" s="134" t="s">
        <v>5438</v>
      </c>
      <c r="G13677" s="63" t="str">
        <f>VLOOKUP(C13677, 'Class Def. - General Data'!$C$20:$C$1000,1,false)</f>
        <v>ZSI1_SLIPSHEET</v>
      </c>
      <c r="H13677" s="63" t="str">
        <f>IFERROR(__xludf.DUMMYFUNCTION("VLOOKUP(F13677, IMPORTRANGE(""https://docs.google.com/spreadsheets/d/1Lhp9OU0JdFf_VYSMzH5lBcEaU4o8teT1piV-SNzShjg/edit?gid=554141278#gid=554141278"", ""'Char Def. - Attributes'!C20:C2242""), 1,false)"),"ITEM_NAME_SLIPSHEET")</f>
        <v>ITEM_NAME_SLIPSHEET</v>
      </c>
      <c r="I13677" s="136"/>
      <c r="R13677" s="63" t="str">
        <f t="shared" si="60"/>
        <v>ZSI1_SLIPSHEETITEM_NAME_SLIPSHEET</v>
      </c>
    </row>
    <row r="13678" ht="15.75" customHeight="1">
      <c r="B13678" s="63">
        <f t="shared" si="1"/>
        <v>14</v>
      </c>
      <c r="C13678" s="135" t="s">
        <v>466</v>
      </c>
      <c r="D13678" s="161" t="s">
        <v>74</v>
      </c>
      <c r="E13678" s="135">
        <f t="shared" si="62"/>
        <v>2</v>
      </c>
      <c r="F13678" s="134" t="s">
        <v>5439</v>
      </c>
      <c r="G13678" s="63" t="str">
        <f>VLOOKUP(C13678, 'Class Def. - General Data'!$C$20:$C$1000,1,false)</f>
        <v>ZSI1_SLIPSHEET</v>
      </c>
      <c r="H13678" s="63" t="str">
        <f>IFERROR(__xludf.DUMMYFUNCTION("VLOOKUP(F13678, IMPORTRANGE(""https://docs.google.com/spreadsheets/d/1Lhp9OU0JdFf_VYSMzH5lBcEaU4o8teT1piV-SNzShjg/edit?gid=554141278#gid=554141278"", ""'Char Def. - Attributes'!C20:C2242""), 1,false)"),"MATERIAL_SLIPSHEET")</f>
        <v>MATERIAL_SLIPSHEET</v>
      </c>
      <c r="I13678" s="136"/>
      <c r="R13678" s="63" t="str">
        <f t="shared" si="60"/>
        <v>ZSI1_SLIPSHEETMATERIAL_SLIPSHEET</v>
      </c>
    </row>
    <row r="13679" ht="15.75" customHeight="1">
      <c r="B13679" s="63">
        <f t="shared" si="1"/>
        <v>14</v>
      </c>
      <c r="C13679" s="135" t="s">
        <v>466</v>
      </c>
      <c r="D13679" s="161" t="s">
        <v>74</v>
      </c>
      <c r="E13679" s="135">
        <f t="shared" si="62"/>
        <v>3</v>
      </c>
      <c r="F13679" s="134" t="s">
        <v>5440</v>
      </c>
      <c r="G13679" s="63" t="str">
        <f>VLOOKUP(C13679, 'Class Def. - General Data'!$C$20:$C$1000,1,false)</f>
        <v>ZSI1_SLIPSHEET</v>
      </c>
      <c r="H13679" s="63" t="str">
        <f>IFERROR(__xludf.DUMMYFUNCTION("VLOOKUP(F13679, IMPORTRANGE(""https://docs.google.com/spreadsheets/d/1Lhp9OU0JdFf_VYSMzH5lBcEaU4o8teT1piV-SNzShjg/edit?gid=554141278#gid=554141278"", ""'Char Def. - Attributes'!C20:C2242""), 1,false)"),"THICKNESS_MM_SLIPSHEET")</f>
        <v>THICKNESS_MM_SLIPSHEET</v>
      </c>
      <c r="I13679" s="136"/>
      <c r="R13679" s="63" t="str">
        <f t="shared" si="60"/>
        <v>ZSI1_SLIPSHEETTHICKNESS_MM_SLIPSHEET</v>
      </c>
    </row>
    <row r="13680" ht="15.75" customHeight="1">
      <c r="B13680" s="63">
        <f t="shared" si="1"/>
        <v>14</v>
      </c>
      <c r="C13680" s="135" t="s">
        <v>466</v>
      </c>
      <c r="D13680" s="161" t="s">
        <v>74</v>
      </c>
      <c r="E13680" s="135">
        <f t="shared" si="62"/>
        <v>4</v>
      </c>
      <c r="F13680" s="134" t="s">
        <v>5441</v>
      </c>
      <c r="G13680" s="63" t="str">
        <f>VLOOKUP(C13680, 'Class Def. - General Data'!$C$20:$C$1000,1,false)</f>
        <v>ZSI1_SLIPSHEET</v>
      </c>
      <c r="H13680" s="63" t="str">
        <f>IFERROR(__xludf.DUMMYFUNCTION("VLOOKUP(F13680, IMPORTRANGE(""https://docs.google.com/spreadsheets/d/1Lhp9OU0JdFf_VYSMzH5lBcEaU4o8teT1piV-SNzShjg/edit?gid=554141278#gid=554141278"", ""'Char Def. - Attributes'!C20:C2242""), 1,false)"),"WIDTH_MM_SLIPSHEET")</f>
        <v>WIDTH_MM_SLIPSHEET</v>
      </c>
      <c r="I13680" s="136"/>
      <c r="R13680" s="63" t="str">
        <f t="shared" si="60"/>
        <v>ZSI1_SLIPSHEETWIDTH_MM_SLIPSHEET</v>
      </c>
    </row>
    <row r="13681" ht="15.75" customHeight="1">
      <c r="B13681" s="63">
        <f t="shared" si="1"/>
        <v>14</v>
      </c>
      <c r="C13681" s="135" t="s">
        <v>466</v>
      </c>
      <c r="D13681" s="161" t="s">
        <v>74</v>
      </c>
      <c r="E13681" s="135">
        <f t="shared" si="62"/>
        <v>5</v>
      </c>
      <c r="F13681" s="134" t="s">
        <v>5442</v>
      </c>
      <c r="G13681" s="63" t="str">
        <f>VLOOKUP(C13681, 'Class Def. - General Data'!$C$20:$C$1000,1,false)</f>
        <v>ZSI1_SLIPSHEET</v>
      </c>
      <c r="H13681" s="63" t="str">
        <f>IFERROR(__xludf.DUMMYFUNCTION("VLOOKUP(F13681, IMPORTRANGE(""https://docs.google.com/spreadsheets/d/1Lhp9OU0JdFf_VYSMzH5lBcEaU4o8teT1piV-SNzShjg/edit?gid=554141278#gid=554141278"", ""'Char Def. - Attributes'!C20:C2242""), 1,false)"),"LENGTH_MM_SLIPSHEET")</f>
        <v>LENGTH_MM_SLIPSHEET</v>
      </c>
      <c r="I13681" s="136"/>
      <c r="R13681" s="63" t="str">
        <f t="shared" si="60"/>
        <v>ZSI1_SLIPSHEETLENGTH_MM_SLIPSHEET</v>
      </c>
    </row>
    <row r="13682" ht="15.75" customHeight="1">
      <c r="B13682" s="63">
        <f t="shared" si="1"/>
        <v>14</v>
      </c>
      <c r="C13682" s="135" t="s">
        <v>466</v>
      </c>
      <c r="D13682" s="161" t="s">
        <v>74</v>
      </c>
      <c r="E13682" s="135">
        <f t="shared" si="62"/>
        <v>6</v>
      </c>
      <c r="F13682" s="134" t="s">
        <v>4062</v>
      </c>
      <c r="G13682" s="63" t="str">
        <f>VLOOKUP(C13682, 'Class Def. - General Data'!$C$20:$C$1000,1,false)</f>
        <v>ZSI1_SLIPSHEET</v>
      </c>
      <c r="H13682" s="63" t="str">
        <f>IFERROR(__xludf.DUMMYFUNCTION("VLOOKUP(F13682, IMPORTRANGE(""https://docs.google.com/spreadsheets/d/1Lhp9OU0JdFf_VYSMzH5lBcEaU4o8teT1piV-SNzShjg/edit?gid=554141278#gid=554141278"", ""'Char Def. - Attributes'!C20:C2242""), 1,false)"),"#N/A")</f>
        <v>#N/A</v>
      </c>
      <c r="I13682" s="136"/>
      <c r="R13682" s="63" t="str">
        <f t="shared" si="60"/>
        <v>ZSI1_SLIPSHEETADDTIONAL_SPECIFICATION</v>
      </c>
    </row>
    <row r="13683" ht="15.75" customHeight="1">
      <c r="B13683" s="63">
        <f t="shared" si="1"/>
        <v>14</v>
      </c>
      <c r="C13683" s="135" t="s">
        <v>466</v>
      </c>
      <c r="D13683" s="161" t="s">
        <v>74</v>
      </c>
      <c r="E13683" s="135">
        <f t="shared" si="62"/>
        <v>7</v>
      </c>
      <c r="F13683" s="134" t="s">
        <v>4053</v>
      </c>
      <c r="G13683" s="63" t="str">
        <f>VLOOKUP(C13683, 'Class Def. - General Data'!$C$20:$C$1000,1,false)</f>
        <v>ZSI1_SLIPSHEET</v>
      </c>
      <c r="H13683" s="63" t="str">
        <f>IFERROR(__xludf.DUMMYFUNCTION("VLOOKUP(F13683, IMPORTRANGE(""https://docs.google.com/spreadsheets/d/1Lhp9OU0JdFf_VYSMzH5lBcEaU4o8teT1piV-SNzShjg/edit?gid=554141278#gid=554141278"", ""'Char Def. - Attributes'!C20:C2242""), 1,false)"),"MAINTENANCE_ORDER_TYPE")</f>
        <v>MAINTENANCE_ORDER_TYPE</v>
      </c>
      <c r="I13683" s="136"/>
      <c r="R13683" s="63" t="str">
        <f t="shared" si="60"/>
        <v>ZSI1_SLIPSHEETMAINTENANCE_ORDER_TYPE</v>
      </c>
    </row>
    <row r="13684" ht="15.75" customHeight="1">
      <c r="B13684" s="63">
        <f t="shared" si="1"/>
        <v>14</v>
      </c>
      <c r="C13684" s="135" t="s">
        <v>466</v>
      </c>
      <c r="D13684" s="161" t="s">
        <v>74</v>
      </c>
      <c r="E13684" s="135">
        <f t="shared" si="62"/>
        <v>8</v>
      </c>
      <c r="F13684" s="134" t="s">
        <v>3585</v>
      </c>
      <c r="G13684" s="63" t="str">
        <f>VLOOKUP(C13684, 'Class Def. - General Data'!$C$20:$C$1000,1,false)</f>
        <v>ZSI1_SLIPSHEET</v>
      </c>
      <c r="H13684" s="63" t="str">
        <f>IFERROR(__xludf.DUMMYFUNCTION("VLOOKUP(F13684, IMPORTRANGE(""https://docs.google.com/spreadsheets/d/1Lhp9OU0JdFf_VYSMzH5lBcEaU4o8teT1piV-SNzShjg/edit?gid=554141278#gid=554141278"", ""'Char Def. - Attributes'!C20:C2242""), 1,false)"),"HS_CODE")</f>
        <v>HS_CODE</v>
      </c>
      <c r="I13684" s="136"/>
      <c r="R13684" s="63" t="str">
        <f t="shared" si="60"/>
        <v>ZSI1_SLIPSHEETHS_CODE</v>
      </c>
    </row>
    <row r="13685" ht="15.75" customHeight="1">
      <c r="B13685" s="63">
        <f t="shared" si="1"/>
        <v>14</v>
      </c>
      <c r="C13685" s="135" t="s">
        <v>466</v>
      </c>
      <c r="D13685" s="161" t="s">
        <v>74</v>
      </c>
      <c r="E13685" s="135">
        <f t="shared" si="62"/>
        <v>9</v>
      </c>
      <c r="F13685" s="134" t="s">
        <v>3587</v>
      </c>
      <c r="G13685" s="63" t="str">
        <f>VLOOKUP(C13685, 'Class Def. - General Data'!$C$20:$C$1000,1,false)</f>
        <v>ZSI1_SLIPSHEET</v>
      </c>
      <c r="H13685" s="63" t="str">
        <f>IFERROR(__xludf.DUMMYFUNCTION("VLOOKUP(F13685, IMPORTRANGE(""https://docs.google.com/spreadsheets/d/1Lhp9OU0JdFf_VYSMzH5lBcEaU4o8teT1piV-SNzShjg/edit?gid=554141278#gid=554141278"", ""'Char Def. - Attributes'!C20:C2242""), 1,false)"),"PLANT_BUY")</f>
        <v>PLANT_BUY</v>
      </c>
      <c r="I13685" s="136"/>
      <c r="R13685" s="63" t="str">
        <f t="shared" si="60"/>
        <v>ZSI1_SLIPSHEETPLANT_BUY</v>
      </c>
    </row>
    <row r="13686" ht="15.75" customHeight="1">
      <c r="B13686" s="63">
        <f t="shared" si="1"/>
        <v>14</v>
      </c>
      <c r="C13686" s="135" t="s">
        <v>466</v>
      </c>
      <c r="D13686" s="161" t="s">
        <v>74</v>
      </c>
      <c r="E13686" s="135">
        <f t="shared" si="62"/>
        <v>10</v>
      </c>
      <c r="F13686" s="134" t="s">
        <v>5443</v>
      </c>
      <c r="G13686" s="63" t="str">
        <f>VLOOKUP(C13686, 'Class Def. - General Data'!$C$20:$C$1000,1,false)</f>
        <v>ZSI1_SLIPSHEET</v>
      </c>
      <c r="H13686" s="63" t="str">
        <f>IFERROR(__xludf.DUMMYFUNCTION("VLOOKUP(F13686, IMPORTRANGE(""https://docs.google.com/spreadsheets/d/1Lhp9OU0JdFf_VYSMzH5lBcEaU4o8teT1piV-SNzShjg/edit?gid=554141278#gid=554141278"", ""'Char Def. - Attributes'!C20:C2242""), 1,false)"),"BASE_UOM_SLIPSHEET")</f>
        <v>BASE_UOM_SLIPSHEET</v>
      </c>
      <c r="I13686" s="136"/>
      <c r="R13686" s="63" t="str">
        <f t="shared" si="60"/>
        <v>ZSI1_SLIPSHEETBASE_UOM_SLIPSHEET</v>
      </c>
    </row>
    <row r="13687" ht="15.75" customHeight="1">
      <c r="B13687" s="63">
        <f t="shared" si="1"/>
        <v>14</v>
      </c>
      <c r="C13687" s="135" t="s">
        <v>466</v>
      </c>
      <c r="D13687" s="161" t="s">
        <v>74</v>
      </c>
      <c r="E13687" s="135">
        <f t="shared" si="62"/>
        <v>11</v>
      </c>
      <c r="F13687" s="134" t="s">
        <v>5444</v>
      </c>
      <c r="G13687" s="63" t="str">
        <f>VLOOKUP(C13687, 'Class Def. - General Data'!$C$20:$C$1000,1,false)</f>
        <v>ZSI1_SLIPSHEET</v>
      </c>
      <c r="H13687" s="63" t="str">
        <f>IFERROR(__xludf.DUMMYFUNCTION("VLOOKUP(F13687, IMPORTRANGE(""https://docs.google.com/spreadsheets/d/1Lhp9OU0JdFf_VYSMzH5lBcEaU4o8teT1piV-SNzShjg/edit?gid=554141278#gid=554141278"", ""'Char Def. - Attributes'!C20:C2242""), 1,false)"),"ORDER_UNIT_SLIPSHEET")</f>
        <v>ORDER_UNIT_SLIPSHEET</v>
      </c>
      <c r="I13687" s="136"/>
      <c r="R13687" s="63" t="str">
        <f t="shared" si="60"/>
        <v>ZSI1_SLIPSHEETORDER_UNIT_SLIPSHEET</v>
      </c>
    </row>
    <row r="13688" ht="15.75" customHeight="1">
      <c r="B13688" s="63">
        <f t="shared" si="1"/>
        <v>14</v>
      </c>
      <c r="C13688" s="135" t="s">
        <v>466</v>
      </c>
      <c r="D13688" s="161" t="s">
        <v>74</v>
      </c>
      <c r="E13688" s="135">
        <f t="shared" si="62"/>
        <v>12</v>
      </c>
      <c r="F13688" s="134" t="s">
        <v>4056</v>
      </c>
      <c r="G13688" s="63" t="str">
        <f>VLOOKUP(C13688, 'Class Def. - General Data'!$C$20:$C$1000,1,false)</f>
        <v>ZSI1_SLIPSHEET</v>
      </c>
      <c r="H13688" s="63" t="str">
        <f>IFERROR(__xludf.DUMMYFUNCTION("VLOOKUP(F13688, IMPORTRANGE(""https://docs.google.com/spreadsheets/d/1Lhp9OU0JdFf_VYSMzH5lBcEaU4o8teT1piV-SNzShjg/edit?gid=554141278#gid=554141278"", ""'Char Def. - Attributes'!C20:C2242""), 1,false)"),"GROSS_WEIGHT_OPT")</f>
        <v>GROSS_WEIGHT_OPT</v>
      </c>
      <c r="I13688" s="136"/>
      <c r="R13688" s="63" t="str">
        <f t="shared" si="60"/>
        <v>ZSI1_SLIPSHEETGROSS_WEIGHT_OPT</v>
      </c>
    </row>
    <row r="13689" ht="15.75" customHeight="1">
      <c r="B13689" s="63">
        <f t="shared" si="1"/>
        <v>14</v>
      </c>
      <c r="C13689" s="135" t="s">
        <v>466</v>
      </c>
      <c r="D13689" s="161" t="s">
        <v>74</v>
      </c>
      <c r="E13689" s="135">
        <f t="shared" si="62"/>
        <v>13</v>
      </c>
      <c r="F13689" s="134" t="s">
        <v>4057</v>
      </c>
      <c r="G13689" s="63" t="str">
        <f>VLOOKUP(C13689, 'Class Def. - General Data'!$C$20:$C$1000,1,false)</f>
        <v>ZSI1_SLIPSHEET</v>
      </c>
      <c r="H13689" s="63" t="str">
        <f>IFERROR(__xludf.DUMMYFUNCTION("VLOOKUP(F13689, IMPORTRANGE(""https://docs.google.com/spreadsheets/d/1Lhp9OU0JdFf_VYSMzH5lBcEaU4o8teT1piV-SNzShjg/edit?gid=554141278#gid=554141278"", ""'Char Def. - Attributes'!C20:C2242""), 1,false)"),"NET_WEIGHT_OPT")</f>
        <v>NET_WEIGHT_OPT</v>
      </c>
      <c r="I13689" s="136"/>
      <c r="R13689" s="63" t="str">
        <f t="shared" si="60"/>
        <v>ZSI1_SLIPSHEETNET_WEIGHT_OPT</v>
      </c>
    </row>
    <row r="13690" ht="15.75" customHeight="1">
      <c r="B13690" s="63">
        <f t="shared" si="1"/>
        <v>14</v>
      </c>
      <c r="C13690" s="135" t="s">
        <v>466</v>
      </c>
      <c r="D13690" s="161" t="s">
        <v>74</v>
      </c>
      <c r="E13690" s="135">
        <f t="shared" si="62"/>
        <v>14</v>
      </c>
      <c r="F13690" s="134" t="s">
        <v>4058</v>
      </c>
      <c r="G13690" s="63" t="str">
        <f>VLOOKUP(C13690, 'Class Def. - General Data'!$C$20:$C$1000,1,false)</f>
        <v>ZSI1_SLIPSHEET</v>
      </c>
      <c r="H13690" s="63" t="str">
        <f>IFERROR(__xludf.DUMMYFUNCTION("VLOOKUP(F13690, IMPORTRANGE(""https://docs.google.com/spreadsheets/d/1Lhp9OU0JdFf_VYSMzH5lBcEaU4o8teT1piV-SNzShjg/edit?gid=554141278#gid=554141278"", ""'Char Def. - Attributes'!C20:C2242""), 1,false)"),"WEIGHT_UNIT_SI")</f>
        <v>WEIGHT_UNIT_SI</v>
      </c>
      <c r="I13690" s="136"/>
      <c r="R13690" s="63" t="str">
        <f t="shared" si="60"/>
        <v>ZSI1_SLIPSHEETWEIGHT_UNIT_SI</v>
      </c>
    </row>
    <row r="13691" ht="15.75" customHeight="1">
      <c r="B13691" s="63">
        <f t="shared" si="1"/>
        <v>14</v>
      </c>
      <c r="C13691" s="135" t="s">
        <v>466</v>
      </c>
      <c r="D13691" s="161" t="s">
        <v>74</v>
      </c>
      <c r="E13691" s="135">
        <f t="shared" si="62"/>
        <v>15</v>
      </c>
      <c r="F13691" s="134" t="s">
        <v>3877</v>
      </c>
      <c r="G13691" s="63" t="str">
        <f>VLOOKUP(C13691, 'Class Def. - General Data'!$C$20:$C$1000,1,false)</f>
        <v>ZSI1_SLIPSHEET</v>
      </c>
      <c r="H13691" s="63" t="str">
        <f>IFERROR(__xludf.DUMMYFUNCTION("VLOOKUP(F13691, IMPORTRANGE(""https://docs.google.com/spreadsheets/d/1Lhp9OU0JdFf_VYSMzH5lBcEaU4o8teT1piV-SNzShjg/edit?gid=554141278#gid=554141278"", ""'Char Def. - Attributes'!C20:C2242""), 1,false)"),"VOLUME_OPT")</f>
        <v>VOLUME_OPT</v>
      </c>
      <c r="I13691" s="136"/>
      <c r="R13691" s="63" t="str">
        <f t="shared" si="60"/>
        <v>ZSI1_SLIPSHEETVOLUME_OPT</v>
      </c>
    </row>
    <row r="13692" ht="15.75" customHeight="1">
      <c r="B13692" s="63">
        <f t="shared" si="1"/>
        <v>14</v>
      </c>
      <c r="C13692" s="135" t="s">
        <v>466</v>
      </c>
      <c r="D13692" s="161" t="s">
        <v>74</v>
      </c>
      <c r="E13692" s="135">
        <f t="shared" si="62"/>
        <v>16</v>
      </c>
      <c r="F13692" s="134" t="s">
        <v>4059</v>
      </c>
      <c r="G13692" s="63" t="str">
        <f>VLOOKUP(C13692, 'Class Def. - General Data'!$C$20:$C$1000,1,false)</f>
        <v>ZSI1_SLIPSHEET</v>
      </c>
      <c r="H13692" s="63" t="str">
        <f>IFERROR(__xludf.DUMMYFUNCTION("VLOOKUP(F13692, IMPORTRANGE(""https://docs.google.com/spreadsheets/d/1Lhp9OU0JdFf_VYSMzH5lBcEaU4o8teT1piV-SNzShjg/edit?gid=554141278#gid=554141278"", ""'Char Def. - Attributes'!C20:C2242""), 1,false)"),"VOLUME_UNIT_SI")</f>
        <v>VOLUME_UNIT_SI</v>
      </c>
      <c r="I13692" s="136"/>
      <c r="R13692" s="63" t="str">
        <f t="shared" si="60"/>
        <v>ZSI1_SLIPSHEETVOLUME_UNIT_SI</v>
      </c>
    </row>
    <row r="13693" ht="15.75" customHeight="1">
      <c r="B13693" s="63">
        <f t="shared" si="1"/>
        <v>14</v>
      </c>
      <c r="C13693" s="135" t="s">
        <v>466</v>
      </c>
      <c r="D13693" s="161" t="s">
        <v>74</v>
      </c>
      <c r="E13693" s="135">
        <f t="shared" si="62"/>
        <v>17</v>
      </c>
      <c r="F13693" s="134" t="s">
        <v>3804</v>
      </c>
      <c r="G13693" s="63" t="str">
        <f>VLOOKUP(C13693, 'Class Def. - General Data'!$C$20:$C$1000,1,false)</f>
        <v>ZSI1_SLIPSHEET</v>
      </c>
      <c r="H13693" s="63" t="str">
        <f>IFERROR(__xludf.DUMMYFUNCTION("VLOOKUP(F13693, IMPORTRANGE(""https://docs.google.com/spreadsheets/d/1Lhp9OU0JdFf_VYSMzH5lBcEaU4o8teT1piV-SNzShjg/edit?gid=554141278#gid=554141278"", ""'Char Def. - Attributes'!C20:C2242""), 1,false)"),"ALT_UOM1_SIPI")</f>
        <v>ALT_UOM1_SIPI</v>
      </c>
      <c r="I13693" s="136"/>
      <c r="R13693" s="63" t="str">
        <f t="shared" si="60"/>
        <v>ZSI1_SLIPSHEETALT_UOM1_SIPI</v>
      </c>
    </row>
    <row r="13694" ht="15.75" customHeight="1">
      <c r="B13694" s="63">
        <f t="shared" si="1"/>
        <v>14</v>
      </c>
      <c r="C13694" s="135" t="s">
        <v>466</v>
      </c>
      <c r="D13694" s="161" t="s">
        <v>74</v>
      </c>
      <c r="E13694" s="135">
        <f t="shared" si="62"/>
        <v>18</v>
      </c>
      <c r="F13694" s="134" t="s">
        <v>3805</v>
      </c>
      <c r="G13694" s="63" t="str">
        <f>VLOOKUP(C13694, 'Class Def. - General Data'!$C$20:$C$1000,1,false)</f>
        <v>ZSI1_SLIPSHEET</v>
      </c>
      <c r="H13694" s="63" t="str">
        <f>IFERROR(__xludf.DUMMYFUNCTION("VLOOKUP(F13694, IMPORTRANGE(""https://docs.google.com/spreadsheets/d/1Lhp9OU0JdFf_VYSMzH5lBcEaU4o8teT1piV-SNzShjg/edit?gid=554141278#gid=554141278"", ""'Char Def. - Attributes'!C20:C2242""), 1,false)"),"ALT_DENUM_UOM1")</f>
        <v>ALT_DENUM_UOM1</v>
      </c>
      <c r="I13694" s="136"/>
      <c r="R13694" s="63" t="str">
        <f t="shared" si="60"/>
        <v>ZSI1_SLIPSHEETALT_DENUM_UOM1</v>
      </c>
    </row>
    <row r="13695" ht="15.75" customHeight="1">
      <c r="B13695" s="63">
        <f t="shared" si="1"/>
        <v>14</v>
      </c>
      <c r="C13695" s="135" t="s">
        <v>466</v>
      </c>
      <c r="D13695" s="161" t="s">
        <v>74</v>
      </c>
      <c r="E13695" s="135">
        <f t="shared" si="62"/>
        <v>19</v>
      </c>
      <c r="F13695" s="134" t="s">
        <v>3806</v>
      </c>
      <c r="G13695" s="63" t="str">
        <f>VLOOKUP(C13695, 'Class Def. - General Data'!$C$20:$C$1000,1,false)</f>
        <v>ZSI1_SLIPSHEET</v>
      </c>
      <c r="H13695" s="63" t="str">
        <f>IFERROR(__xludf.DUMMYFUNCTION("VLOOKUP(F13695, IMPORTRANGE(""https://docs.google.com/spreadsheets/d/1Lhp9OU0JdFf_VYSMzH5lBcEaU4o8teT1piV-SNzShjg/edit?gid=554141278#gid=554141278"", ""'Char Def. - Attributes'!C20:C2242""), 1,false)"),"ALT_NUM_UOM1")</f>
        <v>ALT_NUM_UOM1</v>
      </c>
      <c r="I13695" s="136"/>
      <c r="R13695" s="63" t="str">
        <f t="shared" si="60"/>
        <v>ZSI1_SLIPSHEETALT_NUM_UOM1</v>
      </c>
    </row>
    <row r="13696" ht="15.75" customHeight="1">
      <c r="B13696" s="63">
        <f t="shared" si="1"/>
        <v>14</v>
      </c>
      <c r="C13696" s="135" t="s">
        <v>466</v>
      </c>
      <c r="D13696" s="161" t="s">
        <v>74</v>
      </c>
      <c r="E13696" s="135">
        <f t="shared" si="62"/>
        <v>20</v>
      </c>
      <c r="F13696" s="134" t="s">
        <v>3807</v>
      </c>
      <c r="G13696" s="63" t="str">
        <f>VLOOKUP(C13696, 'Class Def. - General Data'!$C$20:$C$1000,1,false)</f>
        <v>ZSI1_SLIPSHEET</v>
      </c>
      <c r="H13696" s="63" t="str">
        <f>IFERROR(__xludf.DUMMYFUNCTION("VLOOKUP(F13696, IMPORTRANGE(""https://docs.google.com/spreadsheets/d/1Lhp9OU0JdFf_VYSMzH5lBcEaU4o8teT1piV-SNzShjg/edit?gid=554141278#gid=554141278"", ""'Char Def. - Attributes'!C20:C2242""), 1,false)"),"ALT_UOM2_SIPI")</f>
        <v>ALT_UOM2_SIPI</v>
      </c>
      <c r="I13696" s="136"/>
      <c r="R13696" s="63" t="str">
        <f t="shared" si="60"/>
        <v>ZSI1_SLIPSHEETALT_UOM2_SIPI</v>
      </c>
    </row>
    <row r="13697" ht="15.75" customHeight="1">
      <c r="B13697" s="63">
        <f t="shared" si="1"/>
        <v>14</v>
      </c>
      <c r="C13697" s="135" t="s">
        <v>466</v>
      </c>
      <c r="D13697" s="161" t="s">
        <v>74</v>
      </c>
      <c r="E13697" s="135">
        <f t="shared" si="62"/>
        <v>21</v>
      </c>
      <c r="F13697" s="134" t="s">
        <v>3808</v>
      </c>
      <c r="G13697" s="63" t="str">
        <f>VLOOKUP(C13697, 'Class Def. - General Data'!$C$20:$C$1000,1,false)</f>
        <v>ZSI1_SLIPSHEET</v>
      </c>
      <c r="H13697" s="63" t="str">
        <f>IFERROR(__xludf.DUMMYFUNCTION("VLOOKUP(F13697, IMPORTRANGE(""https://docs.google.com/spreadsheets/d/1Lhp9OU0JdFf_VYSMzH5lBcEaU4o8teT1piV-SNzShjg/edit?gid=554141278#gid=554141278"", ""'Char Def. - Attributes'!C20:C2242""), 1,false)"),"ALT_DENUM_UOM2")</f>
        <v>ALT_DENUM_UOM2</v>
      </c>
      <c r="I13697" s="136"/>
      <c r="R13697" s="63" t="str">
        <f t="shared" si="60"/>
        <v>ZSI1_SLIPSHEETALT_DENUM_UOM2</v>
      </c>
    </row>
    <row r="13698" ht="15.75" customHeight="1">
      <c r="B13698" s="63">
        <f t="shared" si="1"/>
        <v>14</v>
      </c>
      <c r="C13698" s="135" t="s">
        <v>466</v>
      </c>
      <c r="D13698" s="161" t="s">
        <v>74</v>
      </c>
      <c r="E13698" s="135">
        <f t="shared" si="62"/>
        <v>22</v>
      </c>
      <c r="F13698" s="134" t="s">
        <v>3809</v>
      </c>
      <c r="G13698" s="63" t="str">
        <f>VLOOKUP(C13698, 'Class Def. - General Data'!$C$20:$C$1000,1,false)</f>
        <v>ZSI1_SLIPSHEET</v>
      </c>
      <c r="H13698" s="63" t="str">
        <f>IFERROR(__xludf.DUMMYFUNCTION("VLOOKUP(F13698, IMPORTRANGE(""https://docs.google.com/spreadsheets/d/1Lhp9OU0JdFf_VYSMzH5lBcEaU4o8teT1piV-SNzShjg/edit?gid=554141278#gid=554141278"", ""'Char Def. - Attributes'!C20:C2242""), 1,false)"),"ALT_NUM_UOM2")</f>
        <v>ALT_NUM_UOM2</v>
      </c>
      <c r="I13698" s="136"/>
      <c r="R13698" s="63" t="str">
        <f t="shared" si="60"/>
        <v>ZSI1_SLIPSHEETALT_NUM_UOM2</v>
      </c>
    </row>
    <row r="13699" ht="15.75" customHeight="1">
      <c r="B13699" s="63">
        <f t="shared" si="1"/>
        <v>14</v>
      </c>
      <c r="C13699" s="135" t="s">
        <v>466</v>
      </c>
      <c r="D13699" s="161" t="s">
        <v>74</v>
      </c>
      <c r="E13699" s="135">
        <f t="shared" si="62"/>
        <v>23</v>
      </c>
      <c r="F13699" s="134" t="s">
        <v>3810</v>
      </c>
      <c r="G13699" s="63" t="str">
        <f>VLOOKUP(C13699, 'Class Def. - General Data'!$C$20:$C$1000,1,false)</f>
        <v>ZSI1_SLIPSHEET</v>
      </c>
      <c r="H13699" s="63" t="str">
        <f>IFERROR(__xludf.DUMMYFUNCTION("VLOOKUP(F13699, IMPORTRANGE(""https://docs.google.com/spreadsheets/d/1Lhp9OU0JdFf_VYSMzH5lBcEaU4o8teT1piV-SNzShjg/edit?gid=554141278#gid=554141278"", ""'Char Def. - Attributes'!C20:C2242""), 1,false)"),"ALT_UOM3_SIPI")</f>
        <v>ALT_UOM3_SIPI</v>
      </c>
      <c r="I13699" s="136"/>
      <c r="R13699" s="63" t="str">
        <f t="shared" si="60"/>
        <v>ZSI1_SLIPSHEETALT_UOM3_SIPI</v>
      </c>
    </row>
    <row r="13700" ht="15.75" customHeight="1">
      <c r="B13700" s="63">
        <f t="shared" si="1"/>
        <v>14</v>
      </c>
      <c r="C13700" s="135" t="s">
        <v>466</v>
      </c>
      <c r="D13700" s="161" t="s">
        <v>74</v>
      </c>
      <c r="E13700" s="135">
        <f t="shared" si="62"/>
        <v>24</v>
      </c>
      <c r="F13700" s="134" t="s">
        <v>3811</v>
      </c>
      <c r="G13700" s="63" t="str">
        <f>VLOOKUP(C13700, 'Class Def. - General Data'!$C$20:$C$1000,1,false)</f>
        <v>ZSI1_SLIPSHEET</v>
      </c>
      <c r="H13700" s="63" t="str">
        <f>IFERROR(__xludf.DUMMYFUNCTION("VLOOKUP(F13700, IMPORTRANGE(""https://docs.google.com/spreadsheets/d/1Lhp9OU0JdFf_VYSMzH5lBcEaU4o8teT1piV-SNzShjg/edit?gid=554141278#gid=554141278"", ""'Char Def. - Attributes'!C20:C2242""), 1,false)"),"ALT_DENUM_UOM3")</f>
        <v>ALT_DENUM_UOM3</v>
      </c>
      <c r="I13700" s="136"/>
      <c r="R13700" s="63" t="str">
        <f t="shared" si="60"/>
        <v>ZSI1_SLIPSHEETALT_DENUM_UOM3</v>
      </c>
    </row>
    <row r="13701" ht="15.75" customHeight="1">
      <c r="B13701" s="63">
        <f t="shared" si="1"/>
        <v>14</v>
      </c>
      <c r="C13701" s="135" t="s">
        <v>466</v>
      </c>
      <c r="D13701" s="161" t="s">
        <v>74</v>
      </c>
      <c r="E13701" s="135">
        <f t="shared" si="62"/>
        <v>25</v>
      </c>
      <c r="F13701" s="134" t="s">
        <v>3812</v>
      </c>
      <c r="G13701" s="63" t="str">
        <f>VLOOKUP(C13701, 'Class Def. - General Data'!$C$20:$C$1000,1,false)</f>
        <v>ZSI1_SLIPSHEET</v>
      </c>
      <c r="H13701" s="63" t="str">
        <f>IFERROR(__xludf.DUMMYFUNCTION("VLOOKUP(F13701, IMPORTRANGE(""https://docs.google.com/spreadsheets/d/1Lhp9OU0JdFf_VYSMzH5lBcEaU4o8teT1piV-SNzShjg/edit?gid=554141278#gid=554141278"", ""'Char Def. - Attributes'!C20:C2242""), 1,false)"),"ALT_NUM_UOM3")</f>
        <v>ALT_NUM_UOM3</v>
      </c>
      <c r="I13701" s="136"/>
      <c r="R13701" s="63" t="str">
        <f t="shared" si="60"/>
        <v>ZSI1_SLIPSHEETALT_NUM_UOM3</v>
      </c>
    </row>
    <row r="13702" ht="15.75" customHeight="1">
      <c r="B13702" s="63">
        <f t="shared" si="1"/>
        <v>14</v>
      </c>
      <c r="C13702" s="135" t="s">
        <v>466</v>
      </c>
      <c r="D13702" s="161" t="s">
        <v>74</v>
      </c>
      <c r="E13702" s="135">
        <f t="shared" si="62"/>
        <v>26</v>
      </c>
      <c r="F13702" s="134" t="s">
        <v>3813</v>
      </c>
      <c r="G13702" s="63" t="str">
        <f>VLOOKUP(C13702, 'Class Def. - General Data'!$C$20:$C$1000,1,false)</f>
        <v>ZSI1_SLIPSHEET</v>
      </c>
      <c r="H13702" s="63" t="str">
        <f>IFERROR(__xludf.DUMMYFUNCTION("VLOOKUP(F13702, IMPORTRANGE(""https://docs.google.com/spreadsheets/d/1Lhp9OU0JdFf_VYSMzH5lBcEaU4o8teT1piV-SNzShjg/edit?gid=554141278#gid=554141278"", ""'Char Def. - Attributes'!C20:C2242""), 1,false)"),"ALT_UOM4_SIPI")</f>
        <v>ALT_UOM4_SIPI</v>
      </c>
      <c r="I13702" s="136"/>
      <c r="R13702" s="63" t="str">
        <f t="shared" si="60"/>
        <v>ZSI1_SLIPSHEETALT_UOM4_SIPI</v>
      </c>
    </row>
    <row r="13703" ht="15.75" customHeight="1">
      <c r="B13703" s="63">
        <f t="shared" si="1"/>
        <v>14</v>
      </c>
      <c r="C13703" s="135" t="s">
        <v>466</v>
      </c>
      <c r="D13703" s="161" t="s">
        <v>74</v>
      </c>
      <c r="E13703" s="135">
        <f t="shared" si="62"/>
        <v>27</v>
      </c>
      <c r="F13703" s="134" t="s">
        <v>3814</v>
      </c>
      <c r="G13703" s="63" t="str">
        <f>VLOOKUP(C13703, 'Class Def. - General Data'!$C$20:$C$1000,1,false)</f>
        <v>ZSI1_SLIPSHEET</v>
      </c>
      <c r="H13703" s="63" t="str">
        <f>IFERROR(__xludf.DUMMYFUNCTION("VLOOKUP(F13703, IMPORTRANGE(""https://docs.google.com/spreadsheets/d/1Lhp9OU0JdFf_VYSMzH5lBcEaU4o8teT1piV-SNzShjg/edit?gid=554141278#gid=554141278"", ""'Char Def. - Attributes'!C20:C2242""), 1,false)"),"ALT_DENUM_UOM4")</f>
        <v>ALT_DENUM_UOM4</v>
      </c>
      <c r="I13703" s="136"/>
      <c r="R13703" s="63" t="str">
        <f t="shared" si="60"/>
        <v>ZSI1_SLIPSHEETALT_DENUM_UOM4</v>
      </c>
    </row>
    <row r="13704" ht="15.75" customHeight="1">
      <c r="B13704" s="63">
        <f t="shared" si="1"/>
        <v>14</v>
      </c>
      <c r="C13704" s="135" t="s">
        <v>466</v>
      </c>
      <c r="D13704" s="161" t="s">
        <v>74</v>
      </c>
      <c r="E13704" s="135">
        <f t="shared" si="62"/>
        <v>28</v>
      </c>
      <c r="F13704" s="134" t="s">
        <v>3815</v>
      </c>
      <c r="G13704" s="63" t="str">
        <f>VLOOKUP(C13704, 'Class Def. - General Data'!$C$20:$C$1000,1,false)</f>
        <v>ZSI1_SLIPSHEET</v>
      </c>
      <c r="H13704" s="63" t="str">
        <f>IFERROR(__xludf.DUMMYFUNCTION("VLOOKUP(F13704, IMPORTRANGE(""https://docs.google.com/spreadsheets/d/1Lhp9OU0JdFf_VYSMzH5lBcEaU4o8teT1piV-SNzShjg/edit?gid=554141278#gid=554141278"", ""'Char Def. - Attributes'!C20:C2242""), 1,false)"),"ALT_NUM_UOM4")</f>
        <v>ALT_NUM_UOM4</v>
      </c>
      <c r="I13704" s="136"/>
      <c r="R13704" s="63" t="str">
        <f t="shared" si="60"/>
        <v>ZSI1_SLIPSHEETALT_NUM_UOM4</v>
      </c>
    </row>
    <row r="13705" ht="15.75" customHeight="1">
      <c r="B13705" s="63">
        <f t="shared" si="1"/>
        <v>14</v>
      </c>
      <c r="C13705" s="135" t="s">
        <v>466</v>
      </c>
      <c r="D13705" s="161" t="s">
        <v>74</v>
      </c>
      <c r="E13705" s="135">
        <f t="shared" si="62"/>
        <v>29</v>
      </c>
      <c r="F13705" s="134" t="s">
        <v>3816</v>
      </c>
      <c r="G13705" s="63" t="str">
        <f>VLOOKUP(C13705, 'Class Def. - General Data'!$C$20:$C$1000,1,false)</f>
        <v>ZSI1_SLIPSHEET</v>
      </c>
      <c r="H13705" s="63" t="str">
        <f>IFERROR(__xludf.DUMMYFUNCTION("VLOOKUP(F13705, IMPORTRANGE(""https://docs.google.com/spreadsheets/d/1Lhp9OU0JdFf_VYSMzH5lBcEaU4o8teT1piV-SNzShjg/edit?gid=554141278#gid=554141278"", ""'Char Def. - Attributes'!C20:C2242""), 1,false)"),"ALT_UOM5_SIPI")</f>
        <v>ALT_UOM5_SIPI</v>
      </c>
      <c r="I13705" s="136"/>
      <c r="R13705" s="63" t="str">
        <f t="shared" si="60"/>
        <v>ZSI1_SLIPSHEETALT_UOM5_SIPI</v>
      </c>
    </row>
    <row r="13706" ht="15.75" customHeight="1">
      <c r="B13706" s="63">
        <f t="shared" si="1"/>
        <v>14</v>
      </c>
      <c r="C13706" s="135" t="s">
        <v>466</v>
      </c>
      <c r="D13706" s="161" t="s">
        <v>74</v>
      </c>
      <c r="E13706" s="135">
        <f t="shared" si="62"/>
        <v>30</v>
      </c>
      <c r="F13706" s="134" t="s">
        <v>3817</v>
      </c>
      <c r="G13706" s="63" t="str">
        <f>VLOOKUP(C13706, 'Class Def. - General Data'!$C$20:$C$1000,1,false)</f>
        <v>ZSI1_SLIPSHEET</v>
      </c>
      <c r="H13706" s="63" t="str">
        <f>IFERROR(__xludf.DUMMYFUNCTION("VLOOKUP(F13706, IMPORTRANGE(""https://docs.google.com/spreadsheets/d/1Lhp9OU0JdFf_VYSMzH5lBcEaU4o8teT1piV-SNzShjg/edit?gid=554141278#gid=554141278"", ""'Char Def. - Attributes'!C20:C2242""), 1,false)"),"ALT_DENUM_UOM5")</f>
        <v>ALT_DENUM_UOM5</v>
      </c>
      <c r="I13706" s="136"/>
      <c r="R13706" s="63" t="str">
        <f t="shared" si="60"/>
        <v>ZSI1_SLIPSHEETALT_DENUM_UOM5</v>
      </c>
    </row>
    <row r="13707" ht="15.75" customHeight="1">
      <c r="B13707" s="63">
        <f t="shared" si="1"/>
        <v>14</v>
      </c>
      <c r="C13707" s="135" t="s">
        <v>466</v>
      </c>
      <c r="D13707" s="161" t="s">
        <v>74</v>
      </c>
      <c r="E13707" s="135">
        <f t="shared" si="62"/>
        <v>31</v>
      </c>
      <c r="F13707" s="134" t="s">
        <v>3818</v>
      </c>
      <c r="G13707" s="63" t="str">
        <f>VLOOKUP(C13707, 'Class Def. - General Data'!$C$20:$C$1000,1,false)</f>
        <v>ZSI1_SLIPSHEET</v>
      </c>
      <c r="H13707" s="63" t="str">
        <f>IFERROR(__xludf.DUMMYFUNCTION("VLOOKUP(F13707, IMPORTRANGE(""https://docs.google.com/spreadsheets/d/1Lhp9OU0JdFf_VYSMzH5lBcEaU4o8teT1piV-SNzShjg/edit?gid=554141278#gid=554141278"", ""'Char Def. - Attributes'!C20:C2242""), 1,false)"),"ALT_NUM_UOM5")</f>
        <v>ALT_NUM_UOM5</v>
      </c>
      <c r="I13707" s="136"/>
      <c r="R13707" s="63" t="str">
        <f t="shared" si="60"/>
        <v>ZSI1_SLIPSHEETALT_NUM_UOM5</v>
      </c>
    </row>
    <row r="13708" ht="15.75" customHeight="1">
      <c r="B13708" s="63">
        <f t="shared" si="1"/>
        <v>14</v>
      </c>
      <c r="C13708" s="135" t="s">
        <v>467</v>
      </c>
      <c r="D13708" s="161" t="s">
        <v>74</v>
      </c>
      <c r="E13708" s="135">
        <f t="shared" si="62"/>
        <v>1</v>
      </c>
      <c r="F13708" s="134" t="s">
        <v>5445</v>
      </c>
      <c r="G13708" s="63" t="str">
        <f>VLOOKUP(C13708, 'Class Def. - General Data'!$C$20:$C$1000,1,false)</f>
        <v>ZSI1_SNAP_RING</v>
      </c>
      <c r="H13708" s="63" t="str">
        <f>IFERROR(__xludf.DUMMYFUNCTION("VLOOKUP(F13708, IMPORTRANGE(""https://docs.google.com/spreadsheets/d/1Lhp9OU0JdFf_VYSMzH5lBcEaU4o8teT1piV-SNzShjg/edit?gid=554141278#gid=554141278"", ""'Char Def. - Attributes'!C20:C2242""), 1,false)"),"ITEM_NAME_SNAP_RING")</f>
        <v>ITEM_NAME_SNAP_RING</v>
      </c>
      <c r="I13708" s="136"/>
      <c r="R13708" s="63" t="str">
        <f t="shared" si="60"/>
        <v>ZSI1_SNAP_RINGITEM_NAME_SNAP_RING</v>
      </c>
    </row>
    <row r="13709" ht="15.75" customHeight="1">
      <c r="B13709" s="63">
        <f t="shared" si="1"/>
        <v>14</v>
      </c>
      <c r="C13709" s="135" t="s">
        <v>467</v>
      </c>
      <c r="D13709" s="161" t="s">
        <v>74</v>
      </c>
      <c r="E13709" s="135">
        <f t="shared" si="62"/>
        <v>2</v>
      </c>
      <c r="F13709" s="134" t="s">
        <v>5446</v>
      </c>
      <c r="G13709" s="63" t="str">
        <f>VLOOKUP(C13709, 'Class Def. - General Data'!$C$20:$C$1000,1,false)</f>
        <v>ZSI1_SNAP_RING</v>
      </c>
      <c r="H13709" s="63" t="str">
        <f>IFERROR(__xludf.DUMMYFUNCTION("VLOOKUP(F13709, IMPORTRANGE(""https://docs.google.com/spreadsheets/d/1Lhp9OU0JdFf_VYSMzH5lBcEaU4o8teT1piV-SNzShjg/edit?gid=554141278#gid=554141278"", ""'Char Def. - Attributes'!C20:C2242""), 1,false)"),"RING_TYPE_SNAP_RING")</f>
        <v>RING_TYPE_SNAP_RING</v>
      </c>
      <c r="I13709" s="136"/>
      <c r="R13709" s="63" t="str">
        <f t="shared" si="60"/>
        <v>ZSI1_SNAP_RINGRING_TYPE_SNAP_RING</v>
      </c>
    </row>
    <row r="13710" ht="15.75" customHeight="1">
      <c r="B13710" s="63">
        <f t="shared" si="1"/>
        <v>14</v>
      </c>
      <c r="C13710" s="135" t="s">
        <v>467</v>
      </c>
      <c r="D13710" s="161" t="s">
        <v>74</v>
      </c>
      <c r="E13710" s="135">
        <f t="shared" si="62"/>
        <v>3</v>
      </c>
      <c r="F13710" s="134" t="s">
        <v>5447</v>
      </c>
      <c r="G13710" s="63" t="str">
        <f>VLOOKUP(C13710, 'Class Def. - General Data'!$C$20:$C$1000,1,false)</f>
        <v>ZSI1_SNAP_RING</v>
      </c>
      <c r="H13710" s="63" t="str">
        <f>IFERROR(__xludf.DUMMYFUNCTION("VLOOKUP(F13710, IMPORTRANGE(""https://docs.google.com/spreadsheets/d/1Lhp9OU0JdFf_VYSMzH5lBcEaU4o8teT1piV-SNzShjg/edit?gid=554141278#gid=554141278"", ""'Char Def. - Attributes'!C20:C2242""), 1,false)"),"DIAMETER_DIMENSION_SNAP_RING")</f>
        <v>DIAMETER_DIMENSION_SNAP_RING</v>
      </c>
      <c r="I13710" s="136"/>
      <c r="R13710" s="63" t="str">
        <f t="shared" si="60"/>
        <v>ZSI1_SNAP_RINGDIAMETER_DIMENSION_SNAP_RING</v>
      </c>
    </row>
    <row r="13711" ht="15.75" customHeight="1">
      <c r="B13711" s="63">
        <f t="shared" si="1"/>
        <v>14</v>
      </c>
      <c r="C13711" s="135" t="s">
        <v>467</v>
      </c>
      <c r="D13711" s="161" t="s">
        <v>74</v>
      </c>
      <c r="E13711" s="135">
        <f t="shared" si="62"/>
        <v>4</v>
      </c>
      <c r="F13711" s="134" t="s">
        <v>5448</v>
      </c>
      <c r="G13711" s="63" t="str">
        <f>VLOOKUP(C13711, 'Class Def. - General Data'!$C$20:$C$1000,1,false)</f>
        <v>ZSI1_SNAP_RING</v>
      </c>
      <c r="H13711" s="63" t="str">
        <f>IFERROR(__xludf.DUMMYFUNCTION("VLOOKUP(F13711, IMPORTRANGE(""https://docs.google.com/spreadsheets/d/1Lhp9OU0JdFf_VYSMzH5lBcEaU4o8teT1piV-SNzShjg/edit?gid=554141278#gid=554141278"", ""'Char Def. - Attributes'!C20:C2242""), 1,false)"),"DIAMETER_MM_SNAP_RING")</f>
        <v>DIAMETER_MM_SNAP_RING</v>
      </c>
      <c r="I13711" s="136"/>
      <c r="R13711" s="63" t="str">
        <f t="shared" si="60"/>
        <v>ZSI1_SNAP_RINGDIAMETER_MM_SNAP_RING</v>
      </c>
    </row>
    <row r="13712" ht="15.75" customHeight="1">
      <c r="B13712" s="63">
        <f t="shared" si="1"/>
        <v>14</v>
      </c>
      <c r="C13712" s="135" t="s">
        <v>467</v>
      </c>
      <c r="D13712" s="161" t="s">
        <v>74</v>
      </c>
      <c r="E13712" s="135">
        <f t="shared" si="62"/>
        <v>5</v>
      </c>
      <c r="F13712" s="134" t="s">
        <v>5449</v>
      </c>
      <c r="G13712" s="63" t="str">
        <f>VLOOKUP(C13712, 'Class Def. - General Data'!$C$20:$C$1000,1,false)</f>
        <v>ZSI1_SNAP_RING</v>
      </c>
      <c r="H13712" s="63" t="str">
        <f>IFERROR(__xludf.DUMMYFUNCTION("VLOOKUP(F13712, IMPORTRANGE(""https://docs.google.com/spreadsheets/d/1Lhp9OU0JdFf_VYSMzH5lBcEaU4o8teT1piV-SNzShjg/edit?gid=554141278#gid=554141278"", ""'Char Def. - Attributes'!C20:C2242""), 1,false)"),"DIAMETER_INCH_SNAP_RING")</f>
        <v>DIAMETER_INCH_SNAP_RING</v>
      </c>
      <c r="I13712" s="136"/>
      <c r="R13712" s="63" t="str">
        <f t="shared" si="60"/>
        <v>ZSI1_SNAP_RINGDIAMETER_INCH_SNAP_RING</v>
      </c>
    </row>
    <row r="13713" ht="15.75" customHeight="1">
      <c r="B13713" s="63">
        <f t="shared" si="1"/>
        <v>14</v>
      </c>
      <c r="C13713" s="135" t="s">
        <v>467</v>
      </c>
      <c r="D13713" s="161" t="s">
        <v>74</v>
      </c>
      <c r="E13713" s="135">
        <f t="shared" si="62"/>
        <v>6</v>
      </c>
      <c r="F13713" s="134" t="s">
        <v>5450</v>
      </c>
      <c r="G13713" s="63" t="str">
        <f>VLOOKUP(C13713, 'Class Def. - General Data'!$C$20:$C$1000,1,false)</f>
        <v>ZSI1_SNAP_RING</v>
      </c>
      <c r="H13713" s="63" t="str">
        <f>IFERROR(__xludf.DUMMYFUNCTION("VLOOKUP(F13713, IMPORTRANGE(""https://docs.google.com/spreadsheets/d/1Lhp9OU0JdFf_VYSMzH5lBcEaU4o8teT1piV-SNzShjg/edit?gid=554141278#gid=554141278"", ""'Char Def. - Attributes'!C20:C2242""), 1,false)"),"MATERIAL_SNAP_RING")</f>
        <v>MATERIAL_SNAP_RING</v>
      </c>
      <c r="I13713" s="136"/>
      <c r="R13713" s="63" t="str">
        <f t="shared" si="60"/>
        <v>ZSI1_SNAP_RINGMATERIAL_SNAP_RING</v>
      </c>
    </row>
    <row r="13714" ht="15.75" customHeight="1">
      <c r="B13714" s="63">
        <f t="shared" si="1"/>
        <v>14</v>
      </c>
      <c r="C13714" s="135" t="s">
        <v>467</v>
      </c>
      <c r="D13714" s="161" t="s">
        <v>74</v>
      </c>
      <c r="E13714" s="135">
        <f t="shared" si="62"/>
        <v>7</v>
      </c>
      <c r="F13714" s="134" t="s">
        <v>5451</v>
      </c>
      <c r="G13714" s="63" t="str">
        <f>VLOOKUP(C13714, 'Class Def. - General Data'!$C$20:$C$1000,1,false)</f>
        <v>ZSI1_SNAP_RING</v>
      </c>
      <c r="H13714" s="63" t="str">
        <f>IFERROR(__xludf.DUMMYFUNCTION("VLOOKUP(F13714, IMPORTRANGE(""https://docs.google.com/spreadsheets/d/1Lhp9OU0JdFf_VYSMzH5lBcEaU4o8teT1piV-SNzShjg/edit?gid=554141278#gid=554141278"", ""'Char Def. - Attributes'!C20:C2242""), 1,false)"),"FINISHING_SNAP_RING")</f>
        <v>FINISHING_SNAP_RING</v>
      </c>
      <c r="I13714" s="136"/>
      <c r="R13714" s="63" t="str">
        <f t="shared" si="60"/>
        <v>ZSI1_SNAP_RINGFINISHING_SNAP_RING</v>
      </c>
    </row>
    <row r="13715" ht="15.75" customHeight="1">
      <c r="B13715" s="63">
        <f t="shared" si="1"/>
        <v>14</v>
      </c>
      <c r="C13715" s="135" t="s">
        <v>467</v>
      </c>
      <c r="D13715" s="161" t="s">
        <v>74</v>
      </c>
      <c r="E13715" s="135">
        <f t="shared" si="62"/>
        <v>8</v>
      </c>
      <c r="F13715" s="134" t="s">
        <v>3585</v>
      </c>
      <c r="G13715" s="63" t="str">
        <f>VLOOKUP(C13715, 'Class Def. - General Data'!$C$20:$C$1000,1,false)</f>
        <v>ZSI1_SNAP_RING</v>
      </c>
      <c r="H13715" s="63" t="str">
        <f>IFERROR(__xludf.DUMMYFUNCTION("VLOOKUP(F13715, IMPORTRANGE(""https://docs.google.com/spreadsheets/d/1Lhp9OU0JdFf_VYSMzH5lBcEaU4o8teT1piV-SNzShjg/edit?gid=554141278#gid=554141278"", ""'Char Def. - Attributes'!C20:C2242""), 1,false)"),"HS_CODE")</f>
        <v>HS_CODE</v>
      </c>
      <c r="I13715" s="136"/>
      <c r="R13715" s="63" t="str">
        <f t="shared" si="60"/>
        <v>ZSI1_SNAP_RINGHS_CODE</v>
      </c>
    </row>
    <row r="13716" ht="15.75" customHeight="1">
      <c r="B13716" s="63">
        <f t="shared" si="1"/>
        <v>14</v>
      </c>
      <c r="C13716" s="135" t="s">
        <v>467</v>
      </c>
      <c r="D13716" s="161" t="s">
        <v>74</v>
      </c>
      <c r="E13716" s="135">
        <f t="shared" si="62"/>
        <v>9</v>
      </c>
      <c r="F13716" s="134" t="s">
        <v>3587</v>
      </c>
      <c r="G13716" s="63" t="str">
        <f>VLOOKUP(C13716, 'Class Def. - General Data'!$C$20:$C$1000,1,false)</f>
        <v>ZSI1_SNAP_RING</v>
      </c>
      <c r="H13716" s="63" t="str">
        <f>IFERROR(__xludf.DUMMYFUNCTION("VLOOKUP(F13716, IMPORTRANGE(""https://docs.google.com/spreadsheets/d/1Lhp9OU0JdFf_VYSMzH5lBcEaU4o8teT1piV-SNzShjg/edit?gid=554141278#gid=554141278"", ""'Char Def. - Attributes'!C20:C2242""), 1,false)"),"PLANT_BUY")</f>
        <v>PLANT_BUY</v>
      </c>
      <c r="I13716" s="136"/>
      <c r="R13716" s="63" t="str">
        <f t="shared" si="60"/>
        <v>ZSI1_SNAP_RINGPLANT_BUY</v>
      </c>
    </row>
    <row r="13717" ht="15.75" customHeight="1">
      <c r="B13717" s="63">
        <f t="shared" si="1"/>
        <v>14</v>
      </c>
      <c r="C13717" s="135" t="s">
        <v>467</v>
      </c>
      <c r="D13717" s="161" t="s">
        <v>74</v>
      </c>
      <c r="E13717" s="135">
        <f t="shared" si="62"/>
        <v>10</v>
      </c>
      <c r="F13717" s="134" t="s">
        <v>5452</v>
      </c>
      <c r="G13717" s="63" t="str">
        <f>VLOOKUP(C13717, 'Class Def. - General Data'!$C$20:$C$1000,1,false)</f>
        <v>ZSI1_SNAP_RING</v>
      </c>
      <c r="H13717" s="63" t="str">
        <f>IFERROR(__xludf.DUMMYFUNCTION("VLOOKUP(F13717, IMPORTRANGE(""https://docs.google.com/spreadsheets/d/1Lhp9OU0JdFf_VYSMzH5lBcEaU4o8teT1piV-SNzShjg/edit?gid=554141278#gid=554141278"", ""'Char Def. - Attributes'!C20:C2242""), 1,false)"),"BASE_UOM_SNAP_RING")</f>
        <v>BASE_UOM_SNAP_RING</v>
      </c>
      <c r="I13717" s="136"/>
      <c r="R13717" s="63" t="str">
        <f t="shared" si="60"/>
        <v>ZSI1_SNAP_RINGBASE_UOM_SNAP_RING</v>
      </c>
    </row>
    <row r="13718" ht="15.75" customHeight="1">
      <c r="B13718" s="63">
        <f t="shared" si="1"/>
        <v>14</v>
      </c>
      <c r="C13718" s="135" t="s">
        <v>467</v>
      </c>
      <c r="D13718" s="161" t="s">
        <v>74</v>
      </c>
      <c r="E13718" s="135">
        <f t="shared" si="62"/>
        <v>11</v>
      </c>
      <c r="F13718" s="134" t="s">
        <v>5453</v>
      </c>
      <c r="G13718" s="63" t="str">
        <f>VLOOKUP(C13718, 'Class Def. - General Data'!$C$20:$C$1000,1,false)</f>
        <v>ZSI1_SNAP_RING</v>
      </c>
      <c r="H13718" s="63" t="str">
        <f>IFERROR(__xludf.DUMMYFUNCTION("VLOOKUP(F13718, IMPORTRANGE(""https://docs.google.com/spreadsheets/d/1Lhp9OU0JdFf_VYSMzH5lBcEaU4o8teT1piV-SNzShjg/edit?gid=554141278#gid=554141278"", ""'Char Def. - Attributes'!C20:C2242""), 1,false)"),"ORDER_UNIT_SNAP_RING")</f>
        <v>ORDER_UNIT_SNAP_RING</v>
      </c>
      <c r="I13718" s="136"/>
      <c r="R13718" s="63" t="str">
        <f t="shared" si="60"/>
        <v>ZSI1_SNAP_RINGORDER_UNIT_SNAP_RING</v>
      </c>
    </row>
    <row r="13719" ht="15.75" customHeight="1">
      <c r="B13719" s="63">
        <f t="shared" si="1"/>
        <v>14</v>
      </c>
      <c r="C13719" s="135" t="s">
        <v>467</v>
      </c>
      <c r="D13719" s="161" t="s">
        <v>74</v>
      </c>
      <c r="E13719" s="135">
        <f t="shared" si="62"/>
        <v>12</v>
      </c>
      <c r="F13719" s="134" t="s">
        <v>4056</v>
      </c>
      <c r="G13719" s="63" t="str">
        <f>VLOOKUP(C13719, 'Class Def. - General Data'!$C$20:$C$1000,1,false)</f>
        <v>ZSI1_SNAP_RING</v>
      </c>
      <c r="H13719" s="63" t="str">
        <f>IFERROR(__xludf.DUMMYFUNCTION("VLOOKUP(F13719, IMPORTRANGE(""https://docs.google.com/spreadsheets/d/1Lhp9OU0JdFf_VYSMzH5lBcEaU4o8teT1piV-SNzShjg/edit?gid=554141278#gid=554141278"", ""'Char Def. - Attributes'!C20:C2242""), 1,false)"),"GROSS_WEIGHT_OPT")</f>
        <v>GROSS_WEIGHT_OPT</v>
      </c>
      <c r="I13719" s="136"/>
      <c r="R13719" s="63" t="str">
        <f t="shared" si="60"/>
        <v>ZSI1_SNAP_RINGGROSS_WEIGHT_OPT</v>
      </c>
    </row>
    <row r="13720" ht="15.75" customHeight="1">
      <c r="B13720" s="63">
        <f t="shared" si="1"/>
        <v>14</v>
      </c>
      <c r="C13720" s="135" t="s">
        <v>467</v>
      </c>
      <c r="D13720" s="161" t="s">
        <v>74</v>
      </c>
      <c r="E13720" s="135">
        <f t="shared" si="62"/>
        <v>13</v>
      </c>
      <c r="F13720" s="134" t="s">
        <v>4057</v>
      </c>
      <c r="G13720" s="63" t="str">
        <f>VLOOKUP(C13720, 'Class Def. - General Data'!$C$20:$C$1000,1,false)</f>
        <v>ZSI1_SNAP_RING</v>
      </c>
      <c r="H13720" s="63" t="str">
        <f>IFERROR(__xludf.DUMMYFUNCTION("VLOOKUP(F13720, IMPORTRANGE(""https://docs.google.com/spreadsheets/d/1Lhp9OU0JdFf_VYSMzH5lBcEaU4o8teT1piV-SNzShjg/edit?gid=554141278#gid=554141278"", ""'Char Def. - Attributes'!C20:C2242""), 1,false)"),"NET_WEIGHT_OPT")</f>
        <v>NET_WEIGHT_OPT</v>
      </c>
      <c r="I13720" s="136"/>
      <c r="R13720" s="63" t="str">
        <f t="shared" si="60"/>
        <v>ZSI1_SNAP_RINGNET_WEIGHT_OPT</v>
      </c>
    </row>
    <row r="13721" ht="15.75" customHeight="1">
      <c r="B13721" s="63">
        <f t="shared" si="1"/>
        <v>14</v>
      </c>
      <c r="C13721" s="135" t="s">
        <v>467</v>
      </c>
      <c r="D13721" s="161" t="s">
        <v>74</v>
      </c>
      <c r="E13721" s="135">
        <f t="shared" si="62"/>
        <v>14</v>
      </c>
      <c r="F13721" s="134" t="s">
        <v>4058</v>
      </c>
      <c r="G13721" s="63" t="str">
        <f>VLOOKUP(C13721, 'Class Def. - General Data'!$C$20:$C$1000,1,false)</f>
        <v>ZSI1_SNAP_RING</v>
      </c>
      <c r="H13721" s="63" t="str">
        <f>IFERROR(__xludf.DUMMYFUNCTION("VLOOKUP(F13721, IMPORTRANGE(""https://docs.google.com/spreadsheets/d/1Lhp9OU0JdFf_VYSMzH5lBcEaU4o8teT1piV-SNzShjg/edit?gid=554141278#gid=554141278"", ""'Char Def. - Attributes'!C20:C2242""), 1,false)"),"WEIGHT_UNIT_SI")</f>
        <v>WEIGHT_UNIT_SI</v>
      </c>
      <c r="I13721" s="136"/>
      <c r="R13721" s="63" t="str">
        <f t="shared" si="60"/>
        <v>ZSI1_SNAP_RINGWEIGHT_UNIT_SI</v>
      </c>
    </row>
    <row r="13722" ht="15.75" customHeight="1">
      <c r="B13722" s="63">
        <f t="shared" si="1"/>
        <v>14</v>
      </c>
      <c r="C13722" s="135" t="s">
        <v>467</v>
      </c>
      <c r="D13722" s="161" t="s">
        <v>74</v>
      </c>
      <c r="E13722" s="135">
        <f t="shared" si="62"/>
        <v>15</v>
      </c>
      <c r="F13722" s="134" t="s">
        <v>3877</v>
      </c>
      <c r="G13722" s="63" t="str">
        <f>VLOOKUP(C13722, 'Class Def. - General Data'!$C$20:$C$1000,1,false)</f>
        <v>ZSI1_SNAP_RING</v>
      </c>
      <c r="H13722" s="63" t="str">
        <f>IFERROR(__xludf.DUMMYFUNCTION("VLOOKUP(F13722, IMPORTRANGE(""https://docs.google.com/spreadsheets/d/1Lhp9OU0JdFf_VYSMzH5lBcEaU4o8teT1piV-SNzShjg/edit?gid=554141278#gid=554141278"", ""'Char Def. - Attributes'!C20:C2242""), 1,false)"),"VOLUME_OPT")</f>
        <v>VOLUME_OPT</v>
      </c>
      <c r="I13722" s="136"/>
      <c r="R13722" s="63" t="str">
        <f t="shared" si="60"/>
        <v>ZSI1_SNAP_RINGVOLUME_OPT</v>
      </c>
    </row>
    <row r="13723" ht="15.75" customHeight="1">
      <c r="B13723" s="63">
        <f t="shared" si="1"/>
        <v>14</v>
      </c>
      <c r="C13723" s="135" t="s">
        <v>467</v>
      </c>
      <c r="D13723" s="161" t="s">
        <v>74</v>
      </c>
      <c r="E13723" s="135">
        <f t="shared" si="62"/>
        <v>16</v>
      </c>
      <c r="F13723" s="134" t="s">
        <v>4059</v>
      </c>
      <c r="G13723" s="63" t="str">
        <f>VLOOKUP(C13723, 'Class Def. - General Data'!$C$20:$C$1000,1,false)</f>
        <v>ZSI1_SNAP_RING</v>
      </c>
      <c r="H13723" s="63" t="str">
        <f>IFERROR(__xludf.DUMMYFUNCTION("VLOOKUP(F13723, IMPORTRANGE(""https://docs.google.com/spreadsheets/d/1Lhp9OU0JdFf_VYSMzH5lBcEaU4o8teT1piV-SNzShjg/edit?gid=554141278#gid=554141278"", ""'Char Def. - Attributes'!C20:C2242""), 1,false)"),"VOLUME_UNIT_SI")</f>
        <v>VOLUME_UNIT_SI</v>
      </c>
      <c r="I13723" s="136"/>
      <c r="R13723" s="63" t="str">
        <f t="shared" si="60"/>
        <v>ZSI1_SNAP_RINGVOLUME_UNIT_SI</v>
      </c>
    </row>
    <row r="13724" ht="15.75" customHeight="1">
      <c r="B13724" s="63">
        <f t="shared" si="1"/>
        <v>14</v>
      </c>
      <c r="C13724" s="135" t="s">
        <v>467</v>
      </c>
      <c r="D13724" s="161" t="s">
        <v>74</v>
      </c>
      <c r="E13724" s="135">
        <f t="shared" si="62"/>
        <v>17</v>
      </c>
      <c r="F13724" s="134" t="s">
        <v>3804</v>
      </c>
      <c r="G13724" s="63" t="str">
        <f>VLOOKUP(C13724, 'Class Def. - General Data'!$C$20:$C$1000,1,false)</f>
        <v>ZSI1_SNAP_RING</v>
      </c>
      <c r="H13724" s="63" t="str">
        <f>IFERROR(__xludf.DUMMYFUNCTION("VLOOKUP(F13724, IMPORTRANGE(""https://docs.google.com/spreadsheets/d/1Lhp9OU0JdFf_VYSMzH5lBcEaU4o8teT1piV-SNzShjg/edit?gid=554141278#gid=554141278"", ""'Char Def. - Attributes'!C20:C2242""), 1,false)"),"ALT_UOM1_SIPI")</f>
        <v>ALT_UOM1_SIPI</v>
      </c>
      <c r="I13724" s="136"/>
      <c r="R13724" s="63" t="str">
        <f t="shared" si="60"/>
        <v>ZSI1_SNAP_RINGALT_UOM1_SIPI</v>
      </c>
    </row>
    <row r="13725" ht="15.75" customHeight="1">
      <c r="B13725" s="63">
        <f t="shared" si="1"/>
        <v>14</v>
      </c>
      <c r="C13725" s="135" t="s">
        <v>467</v>
      </c>
      <c r="D13725" s="161" t="s">
        <v>74</v>
      </c>
      <c r="E13725" s="135">
        <f t="shared" si="62"/>
        <v>18</v>
      </c>
      <c r="F13725" s="134" t="s">
        <v>3805</v>
      </c>
      <c r="G13725" s="63" t="str">
        <f>VLOOKUP(C13725, 'Class Def. - General Data'!$C$20:$C$1000,1,false)</f>
        <v>ZSI1_SNAP_RING</v>
      </c>
      <c r="H13725" s="63" t="str">
        <f>IFERROR(__xludf.DUMMYFUNCTION("VLOOKUP(F13725, IMPORTRANGE(""https://docs.google.com/spreadsheets/d/1Lhp9OU0JdFf_VYSMzH5lBcEaU4o8teT1piV-SNzShjg/edit?gid=554141278#gid=554141278"", ""'Char Def. - Attributes'!C20:C2242""), 1,false)"),"ALT_DENUM_UOM1")</f>
        <v>ALT_DENUM_UOM1</v>
      </c>
      <c r="I13725" s="136"/>
      <c r="R13725" s="63" t="str">
        <f t="shared" si="60"/>
        <v>ZSI1_SNAP_RINGALT_DENUM_UOM1</v>
      </c>
    </row>
    <row r="13726" ht="15.75" customHeight="1">
      <c r="B13726" s="63">
        <f t="shared" si="1"/>
        <v>14</v>
      </c>
      <c r="C13726" s="135" t="s">
        <v>467</v>
      </c>
      <c r="D13726" s="161" t="s">
        <v>74</v>
      </c>
      <c r="E13726" s="135">
        <f t="shared" si="62"/>
        <v>19</v>
      </c>
      <c r="F13726" s="134" t="s">
        <v>3806</v>
      </c>
      <c r="G13726" s="63" t="str">
        <f>VLOOKUP(C13726, 'Class Def. - General Data'!$C$20:$C$1000,1,false)</f>
        <v>ZSI1_SNAP_RING</v>
      </c>
      <c r="H13726" s="63" t="str">
        <f>IFERROR(__xludf.DUMMYFUNCTION("VLOOKUP(F13726, IMPORTRANGE(""https://docs.google.com/spreadsheets/d/1Lhp9OU0JdFf_VYSMzH5lBcEaU4o8teT1piV-SNzShjg/edit?gid=554141278#gid=554141278"", ""'Char Def. - Attributes'!C20:C2242""), 1,false)"),"ALT_NUM_UOM1")</f>
        <v>ALT_NUM_UOM1</v>
      </c>
      <c r="I13726" s="136"/>
      <c r="R13726" s="63" t="str">
        <f t="shared" si="60"/>
        <v>ZSI1_SNAP_RINGALT_NUM_UOM1</v>
      </c>
    </row>
    <row r="13727" ht="15.75" customHeight="1">
      <c r="B13727" s="63">
        <f t="shared" si="1"/>
        <v>14</v>
      </c>
      <c r="C13727" s="135" t="s">
        <v>467</v>
      </c>
      <c r="D13727" s="161" t="s">
        <v>74</v>
      </c>
      <c r="E13727" s="135">
        <f t="shared" si="62"/>
        <v>20</v>
      </c>
      <c r="F13727" s="134" t="s">
        <v>3807</v>
      </c>
      <c r="G13727" s="63" t="str">
        <f>VLOOKUP(C13727, 'Class Def. - General Data'!$C$20:$C$1000,1,false)</f>
        <v>ZSI1_SNAP_RING</v>
      </c>
      <c r="H13727" s="63" t="str">
        <f>IFERROR(__xludf.DUMMYFUNCTION("VLOOKUP(F13727, IMPORTRANGE(""https://docs.google.com/spreadsheets/d/1Lhp9OU0JdFf_VYSMzH5lBcEaU4o8teT1piV-SNzShjg/edit?gid=554141278#gid=554141278"", ""'Char Def. - Attributes'!C20:C2242""), 1,false)"),"ALT_UOM2_SIPI")</f>
        <v>ALT_UOM2_SIPI</v>
      </c>
      <c r="I13727" s="136"/>
      <c r="R13727" s="63" t="str">
        <f t="shared" si="60"/>
        <v>ZSI1_SNAP_RINGALT_UOM2_SIPI</v>
      </c>
    </row>
    <row r="13728" ht="15.75" customHeight="1">
      <c r="B13728" s="63">
        <f t="shared" si="1"/>
        <v>14</v>
      </c>
      <c r="C13728" s="135" t="s">
        <v>467</v>
      </c>
      <c r="D13728" s="161" t="s">
        <v>74</v>
      </c>
      <c r="E13728" s="135">
        <f t="shared" si="62"/>
        <v>21</v>
      </c>
      <c r="F13728" s="134" t="s">
        <v>3808</v>
      </c>
      <c r="G13728" s="63" t="str">
        <f>VLOOKUP(C13728, 'Class Def. - General Data'!$C$20:$C$1000,1,false)</f>
        <v>ZSI1_SNAP_RING</v>
      </c>
      <c r="H13728" s="63" t="str">
        <f>IFERROR(__xludf.DUMMYFUNCTION("VLOOKUP(F13728, IMPORTRANGE(""https://docs.google.com/spreadsheets/d/1Lhp9OU0JdFf_VYSMzH5lBcEaU4o8teT1piV-SNzShjg/edit?gid=554141278#gid=554141278"", ""'Char Def. - Attributes'!C20:C2242""), 1,false)"),"ALT_DENUM_UOM2")</f>
        <v>ALT_DENUM_UOM2</v>
      </c>
      <c r="I13728" s="136"/>
      <c r="R13728" s="63" t="str">
        <f t="shared" si="60"/>
        <v>ZSI1_SNAP_RINGALT_DENUM_UOM2</v>
      </c>
    </row>
    <row r="13729" ht="15.75" customHeight="1">
      <c r="B13729" s="63">
        <f t="shared" si="1"/>
        <v>14</v>
      </c>
      <c r="C13729" s="135" t="s">
        <v>467</v>
      </c>
      <c r="D13729" s="161" t="s">
        <v>74</v>
      </c>
      <c r="E13729" s="135">
        <f t="shared" si="62"/>
        <v>22</v>
      </c>
      <c r="F13729" s="134" t="s">
        <v>3809</v>
      </c>
      <c r="G13729" s="63" t="str">
        <f>VLOOKUP(C13729, 'Class Def. - General Data'!$C$20:$C$1000,1,false)</f>
        <v>ZSI1_SNAP_RING</v>
      </c>
      <c r="H13729" s="63" t="str">
        <f>IFERROR(__xludf.DUMMYFUNCTION("VLOOKUP(F13729, IMPORTRANGE(""https://docs.google.com/spreadsheets/d/1Lhp9OU0JdFf_VYSMzH5lBcEaU4o8teT1piV-SNzShjg/edit?gid=554141278#gid=554141278"", ""'Char Def. - Attributes'!C20:C2242""), 1,false)"),"ALT_NUM_UOM2")</f>
        <v>ALT_NUM_UOM2</v>
      </c>
      <c r="I13729" s="136"/>
      <c r="R13729" s="63" t="str">
        <f t="shared" si="60"/>
        <v>ZSI1_SNAP_RINGALT_NUM_UOM2</v>
      </c>
    </row>
    <row r="13730" ht="15.75" customHeight="1">
      <c r="B13730" s="63">
        <f t="shared" si="1"/>
        <v>14</v>
      </c>
      <c r="C13730" s="135" t="s">
        <v>467</v>
      </c>
      <c r="D13730" s="161" t="s">
        <v>74</v>
      </c>
      <c r="E13730" s="135">
        <f t="shared" si="62"/>
        <v>23</v>
      </c>
      <c r="F13730" s="134" t="s">
        <v>3810</v>
      </c>
      <c r="G13730" s="63" t="str">
        <f>VLOOKUP(C13730, 'Class Def. - General Data'!$C$20:$C$1000,1,false)</f>
        <v>ZSI1_SNAP_RING</v>
      </c>
      <c r="H13730" s="63" t="str">
        <f>IFERROR(__xludf.DUMMYFUNCTION("VLOOKUP(F13730, IMPORTRANGE(""https://docs.google.com/spreadsheets/d/1Lhp9OU0JdFf_VYSMzH5lBcEaU4o8teT1piV-SNzShjg/edit?gid=554141278#gid=554141278"", ""'Char Def. - Attributes'!C20:C2242""), 1,false)"),"ALT_UOM3_SIPI")</f>
        <v>ALT_UOM3_SIPI</v>
      </c>
      <c r="I13730" s="136"/>
      <c r="R13730" s="63" t="str">
        <f t="shared" si="60"/>
        <v>ZSI1_SNAP_RINGALT_UOM3_SIPI</v>
      </c>
    </row>
    <row r="13731" ht="15.75" customHeight="1">
      <c r="B13731" s="63">
        <f t="shared" si="1"/>
        <v>14</v>
      </c>
      <c r="C13731" s="135" t="s">
        <v>467</v>
      </c>
      <c r="D13731" s="161" t="s">
        <v>74</v>
      </c>
      <c r="E13731" s="135">
        <f t="shared" si="62"/>
        <v>24</v>
      </c>
      <c r="F13731" s="134" t="s">
        <v>3811</v>
      </c>
      <c r="G13731" s="63" t="str">
        <f>VLOOKUP(C13731, 'Class Def. - General Data'!$C$20:$C$1000,1,false)</f>
        <v>ZSI1_SNAP_RING</v>
      </c>
      <c r="H13731" s="63" t="str">
        <f>IFERROR(__xludf.DUMMYFUNCTION("VLOOKUP(F13731, IMPORTRANGE(""https://docs.google.com/spreadsheets/d/1Lhp9OU0JdFf_VYSMzH5lBcEaU4o8teT1piV-SNzShjg/edit?gid=554141278#gid=554141278"", ""'Char Def. - Attributes'!C20:C2242""), 1,false)"),"ALT_DENUM_UOM3")</f>
        <v>ALT_DENUM_UOM3</v>
      </c>
      <c r="I13731" s="136"/>
      <c r="R13731" s="63" t="str">
        <f t="shared" si="60"/>
        <v>ZSI1_SNAP_RINGALT_DENUM_UOM3</v>
      </c>
    </row>
    <row r="13732" ht="15.75" customHeight="1">
      <c r="B13732" s="63">
        <f t="shared" si="1"/>
        <v>14</v>
      </c>
      <c r="C13732" s="135" t="s">
        <v>467</v>
      </c>
      <c r="D13732" s="161" t="s">
        <v>74</v>
      </c>
      <c r="E13732" s="135">
        <f t="shared" si="62"/>
        <v>25</v>
      </c>
      <c r="F13732" s="134" t="s">
        <v>3812</v>
      </c>
      <c r="G13732" s="63" t="str">
        <f>VLOOKUP(C13732, 'Class Def. - General Data'!$C$20:$C$1000,1,false)</f>
        <v>ZSI1_SNAP_RING</v>
      </c>
      <c r="H13732" s="63" t="str">
        <f>IFERROR(__xludf.DUMMYFUNCTION("VLOOKUP(F13732, IMPORTRANGE(""https://docs.google.com/spreadsheets/d/1Lhp9OU0JdFf_VYSMzH5lBcEaU4o8teT1piV-SNzShjg/edit?gid=554141278#gid=554141278"", ""'Char Def. - Attributes'!C20:C2242""), 1,false)"),"ALT_NUM_UOM3")</f>
        <v>ALT_NUM_UOM3</v>
      </c>
      <c r="I13732" s="136"/>
      <c r="R13732" s="63" t="str">
        <f t="shared" si="60"/>
        <v>ZSI1_SNAP_RINGALT_NUM_UOM3</v>
      </c>
    </row>
    <row r="13733" ht="15.75" customHeight="1">
      <c r="B13733" s="63">
        <f t="shared" si="1"/>
        <v>14</v>
      </c>
      <c r="C13733" s="135" t="s">
        <v>467</v>
      </c>
      <c r="D13733" s="161" t="s">
        <v>74</v>
      </c>
      <c r="E13733" s="135">
        <f t="shared" si="62"/>
        <v>26</v>
      </c>
      <c r="F13733" s="134" t="s">
        <v>3813</v>
      </c>
      <c r="G13733" s="63" t="str">
        <f>VLOOKUP(C13733, 'Class Def. - General Data'!$C$20:$C$1000,1,false)</f>
        <v>ZSI1_SNAP_RING</v>
      </c>
      <c r="H13733" s="63" t="str">
        <f>IFERROR(__xludf.DUMMYFUNCTION("VLOOKUP(F13733, IMPORTRANGE(""https://docs.google.com/spreadsheets/d/1Lhp9OU0JdFf_VYSMzH5lBcEaU4o8teT1piV-SNzShjg/edit?gid=554141278#gid=554141278"", ""'Char Def. - Attributes'!C20:C2242""), 1,false)"),"ALT_UOM4_SIPI")</f>
        <v>ALT_UOM4_SIPI</v>
      </c>
      <c r="I13733" s="136"/>
      <c r="R13733" s="63" t="str">
        <f t="shared" si="60"/>
        <v>ZSI1_SNAP_RINGALT_UOM4_SIPI</v>
      </c>
    </row>
    <row r="13734" ht="15.75" customHeight="1">
      <c r="B13734" s="63">
        <f t="shared" si="1"/>
        <v>14</v>
      </c>
      <c r="C13734" s="135" t="s">
        <v>467</v>
      </c>
      <c r="D13734" s="161" t="s">
        <v>74</v>
      </c>
      <c r="E13734" s="135">
        <f t="shared" si="62"/>
        <v>27</v>
      </c>
      <c r="F13734" s="134" t="s">
        <v>3814</v>
      </c>
      <c r="G13734" s="63" t="str">
        <f>VLOOKUP(C13734, 'Class Def. - General Data'!$C$20:$C$1000,1,false)</f>
        <v>ZSI1_SNAP_RING</v>
      </c>
      <c r="H13734" s="63" t="str">
        <f>IFERROR(__xludf.DUMMYFUNCTION("VLOOKUP(F13734, IMPORTRANGE(""https://docs.google.com/spreadsheets/d/1Lhp9OU0JdFf_VYSMzH5lBcEaU4o8teT1piV-SNzShjg/edit?gid=554141278#gid=554141278"", ""'Char Def. - Attributes'!C20:C2242""), 1,false)"),"ALT_DENUM_UOM4")</f>
        <v>ALT_DENUM_UOM4</v>
      </c>
      <c r="I13734" s="136"/>
      <c r="R13734" s="63" t="str">
        <f t="shared" si="60"/>
        <v>ZSI1_SNAP_RINGALT_DENUM_UOM4</v>
      </c>
    </row>
    <row r="13735" ht="15.75" customHeight="1">
      <c r="B13735" s="63">
        <f t="shared" si="1"/>
        <v>14</v>
      </c>
      <c r="C13735" s="135" t="s">
        <v>467</v>
      </c>
      <c r="D13735" s="161" t="s">
        <v>74</v>
      </c>
      <c r="E13735" s="135">
        <f t="shared" si="62"/>
        <v>28</v>
      </c>
      <c r="F13735" s="134" t="s">
        <v>3815</v>
      </c>
      <c r="G13735" s="63" t="str">
        <f>VLOOKUP(C13735, 'Class Def. - General Data'!$C$20:$C$1000,1,false)</f>
        <v>ZSI1_SNAP_RING</v>
      </c>
      <c r="H13735" s="63" t="str">
        <f>IFERROR(__xludf.DUMMYFUNCTION("VLOOKUP(F13735, IMPORTRANGE(""https://docs.google.com/spreadsheets/d/1Lhp9OU0JdFf_VYSMzH5lBcEaU4o8teT1piV-SNzShjg/edit?gid=554141278#gid=554141278"", ""'Char Def. - Attributes'!C20:C2242""), 1,false)"),"ALT_NUM_UOM4")</f>
        <v>ALT_NUM_UOM4</v>
      </c>
      <c r="I13735" s="136"/>
      <c r="R13735" s="63" t="str">
        <f t="shared" si="60"/>
        <v>ZSI1_SNAP_RINGALT_NUM_UOM4</v>
      </c>
    </row>
    <row r="13736" ht="15.75" customHeight="1">
      <c r="B13736" s="63">
        <f t="shared" si="1"/>
        <v>14</v>
      </c>
      <c r="C13736" s="135" t="s">
        <v>467</v>
      </c>
      <c r="D13736" s="161" t="s">
        <v>74</v>
      </c>
      <c r="E13736" s="135">
        <f t="shared" si="62"/>
        <v>29</v>
      </c>
      <c r="F13736" s="134" t="s">
        <v>3816</v>
      </c>
      <c r="G13736" s="63" t="str">
        <f>VLOOKUP(C13736, 'Class Def. - General Data'!$C$20:$C$1000,1,false)</f>
        <v>ZSI1_SNAP_RING</v>
      </c>
      <c r="H13736" s="63" t="str">
        <f>IFERROR(__xludf.DUMMYFUNCTION("VLOOKUP(F13736, IMPORTRANGE(""https://docs.google.com/spreadsheets/d/1Lhp9OU0JdFf_VYSMzH5lBcEaU4o8teT1piV-SNzShjg/edit?gid=554141278#gid=554141278"", ""'Char Def. - Attributes'!C20:C2242""), 1,false)"),"ALT_UOM5_SIPI")</f>
        <v>ALT_UOM5_SIPI</v>
      </c>
      <c r="I13736" s="136"/>
      <c r="R13736" s="63" t="str">
        <f t="shared" si="60"/>
        <v>ZSI1_SNAP_RINGALT_UOM5_SIPI</v>
      </c>
    </row>
    <row r="13737" ht="15.75" customHeight="1">
      <c r="B13737" s="63">
        <f t="shared" si="1"/>
        <v>14</v>
      </c>
      <c r="C13737" s="135" t="s">
        <v>467</v>
      </c>
      <c r="D13737" s="161" t="s">
        <v>74</v>
      </c>
      <c r="E13737" s="135">
        <f t="shared" si="62"/>
        <v>30</v>
      </c>
      <c r="F13737" s="134" t="s">
        <v>3817</v>
      </c>
      <c r="G13737" s="63" t="str">
        <f>VLOOKUP(C13737, 'Class Def. - General Data'!$C$20:$C$1000,1,false)</f>
        <v>ZSI1_SNAP_RING</v>
      </c>
      <c r="H13737" s="63" t="str">
        <f>IFERROR(__xludf.DUMMYFUNCTION("VLOOKUP(F13737, IMPORTRANGE(""https://docs.google.com/spreadsheets/d/1Lhp9OU0JdFf_VYSMzH5lBcEaU4o8teT1piV-SNzShjg/edit?gid=554141278#gid=554141278"", ""'Char Def. - Attributes'!C20:C2242""), 1,false)"),"ALT_DENUM_UOM5")</f>
        <v>ALT_DENUM_UOM5</v>
      </c>
      <c r="I13737" s="136"/>
      <c r="R13737" s="63" t="str">
        <f t="shared" si="60"/>
        <v>ZSI1_SNAP_RINGALT_DENUM_UOM5</v>
      </c>
    </row>
    <row r="13738" ht="15.75" customHeight="1">
      <c r="B13738" s="63">
        <f t="shared" si="1"/>
        <v>14</v>
      </c>
      <c r="C13738" s="135" t="s">
        <v>467</v>
      </c>
      <c r="D13738" s="161" t="s">
        <v>74</v>
      </c>
      <c r="E13738" s="135">
        <f t="shared" si="62"/>
        <v>31</v>
      </c>
      <c r="F13738" s="134" t="s">
        <v>3818</v>
      </c>
      <c r="G13738" s="63" t="str">
        <f>VLOOKUP(C13738, 'Class Def. - General Data'!$C$20:$C$1000,1,false)</f>
        <v>ZSI1_SNAP_RING</v>
      </c>
      <c r="H13738" s="63" t="str">
        <f>IFERROR(__xludf.DUMMYFUNCTION("VLOOKUP(F13738, IMPORTRANGE(""https://docs.google.com/spreadsheets/d/1Lhp9OU0JdFf_VYSMzH5lBcEaU4o8teT1piV-SNzShjg/edit?gid=554141278#gid=554141278"", ""'Char Def. - Attributes'!C20:C2242""), 1,false)"),"ALT_NUM_UOM5")</f>
        <v>ALT_NUM_UOM5</v>
      </c>
      <c r="I13738" s="136"/>
      <c r="R13738" s="63" t="str">
        <f t="shared" si="60"/>
        <v>ZSI1_SNAP_RINGALT_NUM_UOM5</v>
      </c>
    </row>
    <row r="13739" ht="15.75" customHeight="1">
      <c r="B13739" s="63">
        <f t="shared" si="1"/>
        <v>11</v>
      </c>
      <c r="C13739" s="135" t="s">
        <v>468</v>
      </c>
      <c r="D13739" s="161" t="s">
        <v>74</v>
      </c>
      <c r="E13739" s="135">
        <f t="shared" si="62"/>
        <v>1</v>
      </c>
      <c r="F13739" s="134" t="s">
        <v>5454</v>
      </c>
      <c r="G13739" s="63" t="str">
        <f>VLOOKUP(C13739, 'Class Def. - General Data'!$C$20:$C$1000,1,false)</f>
        <v>ZSI1_SPRING</v>
      </c>
      <c r="H13739" s="63" t="str">
        <f>IFERROR(__xludf.DUMMYFUNCTION("VLOOKUP(F13739, IMPORTRANGE(""https://docs.google.com/spreadsheets/d/1Lhp9OU0JdFf_VYSMzH5lBcEaU4o8teT1piV-SNzShjg/edit?gid=554141278#gid=554141278"", ""'Char Def. - Attributes'!C20:C2242""), 1,false)"),"ITEM_NAME_SPRING")</f>
        <v>ITEM_NAME_SPRING</v>
      </c>
      <c r="I13739" s="136"/>
      <c r="R13739" s="63" t="str">
        <f t="shared" si="60"/>
        <v>ZSI1_SPRINGITEM_NAME_SPRING</v>
      </c>
    </row>
    <row r="13740" ht="15.75" customHeight="1">
      <c r="B13740" s="63">
        <f t="shared" si="1"/>
        <v>11</v>
      </c>
      <c r="C13740" s="135" t="s">
        <v>468</v>
      </c>
      <c r="D13740" s="161" t="s">
        <v>74</v>
      </c>
      <c r="E13740" s="135">
        <f t="shared" si="62"/>
        <v>2</v>
      </c>
      <c r="F13740" s="134" t="s">
        <v>5455</v>
      </c>
      <c r="G13740" s="63" t="str">
        <f>VLOOKUP(C13740, 'Class Def. - General Data'!$C$20:$C$1000,1,false)</f>
        <v>ZSI1_SPRING</v>
      </c>
      <c r="H13740" s="63" t="str">
        <f>IFERROR(__xludf.DUMMYFUNCTION("VLOOKUP(F13740, IMPORTRANGE(""https://docs.google.com/spreadsheets/d/1Lhp9OU0JdFf_VYSMzH5lBcEaU4o8teT1piV-SNzShjg/edit?gid=554141278#gid=554141278"", ""'Char Def. - Attributes'!C20:C2242""), 1,false)"),"MATERIAL_SPRING")</f>
        <v>MATERIAL_SPRING</v>
      </c>
      <c r="I13740" s="136"/>
      <c r="R13740" s="63" t="str">
        <f t="shared" si="60"/>
        <v>ZSI1_SPRINGMATERIAL_SPRING</v>
      </c>
    </row>
    <row r="13741" ht="15.75" customHeight="1">
      <c r="B13741" s="63">
        <f t="shared" si="1"/>
        <v>11</v>
      </c>
      <c r="C13741" s="135" t="s">
        <v>468</v>
      </c>
      <c r="D13741" s="161" t="s">
        <v>74</v>
      </c>
      <c r="E13741" s="135">
        <f t="shared" si="62"/>
        <v>3</v>
      </c>
      <c r="F13741" s="134" t="s">
        <v>5456</v>
      </c>
      <c r="G13741" s="63" t="str">
        <f>VLOOKUP(C13741, 'Class Def. - General Data'!$C$20:$C$1000,1,false)</f>
        <v>ZSI1_SPRING</v>
      </c>
      <c r="H13741" s="63" t="str">
        <f>IFERROR(__xludf.DUMMYFUNCTION("VLOOKUP(F13741, IMPORTRANGE(""https://docs.google.com/spreadsheets/d/1Lhp9OU0JdFf_VYSMzH5lBcEaU4o8teT1piV-SNzShjg/edit?gid=554141278#gid=554141278"", ""'Char Def. - Attributes'!C20:C2242""), 1,false)"),"WIRE_DIAMETER_MM_SPRING")</f>
        <v>WIRE_DIAMETER_MM_SPRING</v>
      </c>
      <c r="I13741" s="136"/>
      <c r="R13741" s="63" t="str">
        <f t="shared" si="60"/>
        <v>ZSI1_SPRINGWIRE_DIAMETER_MM_SPRING</v>
      </c>
    </row>
    <row r="13742" ht="15.75" customHeight="1">
      <c r="B13742" s="63">
        <f t="shared" si="1"/>
        <v>11</v>
      </c>
      <c r="C13742" s="135" t="s">
        <v>468</v>
      </c>
      <c r="D13742" s="161" t="s">
        <v>74</v>
      </c>
      <c r="E13742" s="135">
        <f t="shared" si="62"/>
        <v>4</v>
      </c>
      <c r="F13742" s="134" t="s">
        <v>5457</v>
      </c>
      <c r="G13742" s="63" t="str">
        <f>VLOOKUP(C13742, 'Class Def. - General Data'!$C$20:$C$1000,1,false)</f>
        <v>ZSI1_SPRING</v>
      </c>
      <c r="H13742" s="63" t="str">
        <f>IFERROR(__xludf.DUMMYFUNCTION("VLOOKUP(F13742, IMPORTRANGE(""https://docs.google.com/spreadsheets/d/1Lhp9OU0JdFf_VYSMzH5lBcEaU4o8teT1piV-SNzShjg/edit?gid=554141278#gid=554141278"", ""'Char Def. - Attributes'!C20:C2242""), 1,false)"),"SPRING_OUTSID_DIAMTR_MM_SPRING")</f>
        <v>SPRING_OUTSID_DIAMTR_MM_SPRING</v>
      </c>
      <c r="I13742" s="136"/>
      <c r="R13742" s="63" t="str">
        <f t="shared" si="60"/>
        <v>ZSI1_SPRINGSPRING_OUTSID_DIAMTR_MM_SPRING</v>
      </c>
    </row>
    <row r="13743" ht="15.75" customHeight="1">
      <c r="B13743" s="63">
        <f t="shared" si="1"/>
        <v>11</v>
      </c>
      <c r="C13743" s="135" t="s">
        <v>468</v>
      </c>
      <c r="D13743" s="161" t="s">
        <v>74</v>
      </c>
      <c r="E13743" s="135">
        <f t="shared" si="62"/>
        <v>5</v>
      </c>
      <c r="F13743" s="134" t="s">
        <v>5458</v>
      </c>
      <c r="G13743" s="63" t="str">
        <f>VLOOKUP(C13743, 'Class Def. - General Data'!$C$20:$C$1000,1,false)</f>
        <v>ZSI1_SPRING</v>
      </c>
      <c r="H13743" s="63" t="str">
        <f>IFERROR(__xludf.DUMMYFUNCTION("VLOOKUP(F13743, IMPORTRANGE(""https://docs.google.com/spreadsheets/d/1Lhp9OU0JdFf_VYSMzH5lBcEaU4o8teT1piV-SNzShjg/edit?gid=554141278#gid=554141278"", ""'Char Def. - Attributes'!C20:C2242""), 1,false)"),"SPRING_LENGTH_MM_SPRING")</f>
        <v>SPRING_LENGTH_MM_SPRING</v>
      </c>
      <c r="I13743" s="136"/>
      <c r="R13743" s="63" t="str">
        <f t="shared" si="60"/>
        <v>ZSI1_SPRINGSPRING_LENGTH_MM_SPRING</v>
      </c>
    </row>
    <row r="13744" ht="15.75" customHeight="1">
      <c r="B13744" s="63">
        <f t="shared" si="1"/>
        <v>11</v>
      </c>
      <c r="C13744" s="135" t="s">
        <v>468</v>
      </c>
      <c r="D13744" s="161" t="s">
        <v>74</v>
      </c>
      <c r="E13744" s="135">
        <f t="shared" si="62"/>
        <v>6</v>
      </c>
      <c r="F13744" s="134" t="s">
        <v>4053</v>
      </c>
      <c r="G13744" s="63" t="str">
        <f>VLOOKUP(C13744, 'Class Def. - General Data'!$C$20:$C$1000,1,false)</f>
        <v>ZSI1_SPRING</v>
      </c>
      <c r="H13744" s="63" t="str">
        <f>IFERROR(__xludf.DUMMYFUNCTION("VLOOKUP(F13744, IMPORTRANGE(""https://docs.google.com/spreadsheets/d/1Lhp9OU0JdFf_VYSMzH5lBcEaU4o8teT1piV-SNzShjg/edit?gid=554141278#gid=554141278"", ""'Char Def. - Attributes'!C20:C2242""), 1,false)"),"MAINTENANCE_ORDER_TYPE")</f>
        <v>MAINTENANCE_ORDER_TYPE</v>
      </c>
      <c r="I13744" s="136"/>
      <c r="R13744" s="63" t="str">
        <f t="shared" si="60"/>
        <v>ZSI1_SPRINGMAINTENANCE_ORDER_TYPE</v>
      </c>
    </row>
    <row r="13745" ht="15.75" customHeight="1">
      <c r="B13745" s="63">
        <f t="shared" si="1"/>
        <v>11</v>
      </c>
      <c r="C13745" s="135" t="s">
        <v>468</v>
      </c>
      <c r="D13745" s="161" t="s">
        <v>74</v>
      </c>
      <c r="E13745" s="135">
        <f t="shared" si="62"/>
        <v>7</v>
      </c>
      <c r="F13745" s="134" t="s">
        <v>3585</v>
      </c>
      <c r="G13745" s="63" t="str">
        <f>VLOOKUP(C13745, 'Class Def. - General Data'!$C$20:$C$1000,1,false)</f>
        <v>ZSI1_SPRING</v>
      </c>
      <c r="H13745" s="63" t="str">
        <f>IFERROR(__xludf.DUMMYFUNCTION("VLOOKUP(F13745, IMPORTRANGE(""https://docs.google.com/spreadsheets/d/1Lhp9OU0JdFf_VYSMzH5lBcEaU4o8teT1piV-SNzShjg/edit?gid=554141278#gid=554141278"", ""'Char Def. - Attributes'!C20:C2242""), 1,false)"),"HS_CODE")</f>
        <v>HS_CODE</v>
      </c>
      <c r="I13745" s="136"/>
      <c r="R13745" s="63" t="str">
        <f t="shared" si="60"/>
        <v>ZSI1_SPRINGHS_CODE</v>
      </c>
    </row>
    <row r="13746" ht="15.75" customHeight="1">
      <c r="B13746" s="63">
        <f t="shared" si="1"/>
        <v>11</v>
      </c>
      <c r="C13746" s="135" t="s">
        <v>468</v>
      </c>
      <c r="D13746" s="161" t="s">
        <v>74</v>
      </c>
      <c r="E13746" s="135">
        <f t="shared" si="62"/>
        <v>8</v>
      </c>
      <c r="F13746" s="134" t="s">
        <v>3587</v>
      </c>
      <c r="G13746" s="63" t="str">
        <f>VLOOKUP(C13746, 'Class Def. - General Data'!$C$20:$C$1000,1,false)</f>
        <v>ZSI1_SPRING</v>
      </c>
      <c r="H13746" s="63" t="str">
        <f>IFERROR(__xludf.DUMMYFUNCTION("VLOOKUP(F13746, IMPORTRANGE(""https://docs.google.com/spreadsheets/d/1Lhp9OU0JdFf_VYSMzH5lBcEaU4o8teT1piV-SNzShjg/edit?gid=554141278#gid=554141278"", ""'Char Def. - Attributes'!C20:C2242""), 1,false)"),"PLANT_BUY")</f>
        <v>PLANT_BUY</v>
      </c>
      <c r="I13746" s="136"/>
      <c r="R13746" s="63" t="str">
        <f t="shared" si="60"/>
        <v>ZSI1_SPRINGPLANT_BUY</v>
      </c>
    </row>
    <row r="13747" ht="15.75" customHeight="1">
      <c r="B13747" s="63">
        <f t="shared" si="1"/>
        <v>11</v>
      </c>
      <c r="C13747" s="135" t="s">
        <v>468</v>
      </c>
      <c r="D13747" s="161" t="s">
        <v>74</v>
      </c>
      <c r="E13747" s="135">
        <f t="shared" si="62"/>
        <v>9</v>
      </c>
      <c r="F13747" s="134" t="s">
        <v>5459</v>
      </c>
      <c r="G13747" s="63" t="str">
        <f>VLOOKUP(C13747, 'Class Def. - General Data'!$C$20:$C$1000,1,false)</f>
        <v>ZSI1_SPRING</v>
      </c>
      <c r="H13747" s="63" t="str">
        <f>IFERROR(__xludf.DUMMYFUNCTION("VLOOKUP(F13747, IMPORTRANGE(""https://docs.google.com/spreadsheets/d/1Lhp9OU0JdFf_VYSMzH5lBcEaU4o8teT1piV-SNzShjg/edit?gid=554141278#gid=554141278"", ""'Char Def. - Attributes'!C20:C2242""), 1,false)"),"BASE_UOM_SPRING")</f>
        <v>BASE_UOM_SPRING</v>
      </c>
      <c r="I13747" s="136"/>
      <c r="R13747" s="63" t="str">
        <f t="shared" si="60"/>
        <v>ZSI1_SPRINGBASE_UOM_SPRING</v>
      </c>
    </row>
    <row r="13748" ht="15.75" customHeight="1">
      <c r="B13748" s="63">
        <f t="shared" si="1"/>
        <v>11</v>
      </c>
      <c r="C13748" s="135" t="s">
        <v>468</v>
      </c>
      <c r="D13748" s="161" t="s">
        <v>74</v>
      </c>
      <c r="E13748" s="135">
        <f t="shared" si="62"/>
        <v>10</v>
      </c>
      <c r="F13748" s="134" t="s">
        <v>5460</v>
      </c>
      <c r="G13748" s="63" t="str">
        <f>VLOOKUP(C13748, 'Class Def. - General Data'!$C$20:$C$1000,1,false)</f>
        <v>ZSI1_SPRING</v>
      </c>
      <c r="H13748" s="63" t="str">
        <f>IFERROR(__xludf.DUMMYFUNCTION("VLOOKUP(F13748, IMPORTRANGE(""https://docs.google.com/spreadsheets/d/1Lhp9OU0JdFf_VYSMzH5lBcEaU4o8teT1piV-SNzShjg/edit?gid=554141278#gid=554141278"", ""'Char Def. - Attributes'!C20:C2242""), 1,false)"),"ORDER_UNIT_SPRING")</f>
        <v>ORDER_UNIT_SPRING</v>
      </c>
      <c r="I13748" s="136"/>
      <c r="R13748" s="63" t="str">
        <f t="shared" si="60"/>
        <v>ZSI1_SPRINGORDER_UNIT_SPRING</v>
      </c>
    </row>
    <row r="13749" ht="15.75" customHeight="1">
      <c r="B13749" s="63">
        <f t="shared" si="1"/>
        <v>11</v>
      </c>
      <c r="C13749" s="135" t="s">
        <v>468</v>
      </c>
      <c r="D13749" s="161" t="s">
        <v>74</v>
      </c>
      <c r="E13749" s="135">
        <f t="shared" si="62"/>
        <v>11</v>
      </c>
      <c r="F13749" s="134" t="s">
        <v>4056</v>
      </c>
      <c r="G13749" s="63" t="str">
        <f>VLOOKUP(C13749, 'Class Def. - General Data'!$C$20:$C$1000,1,false)</f>
        <v>ZSI1_SPRING</v>
      </c>
      <c r="H13749" s="63" t="str">
        <f>IFERROR(__xludf.DUMMYFUNCTION("VLOOKUP(F13749, IMPORTRANGE(""https://docs.google.com/spreadsheets/d/1Lhp9OU0JdFf_VYSMzH5lBcEaU4o8teT1piV-SNzShjg/edit?gid=554141278#gid=554141278"", ""'Char Def. - Attributes'!C20:C2242""), 1,false)"),"GROSS_WEIGHT_OPT")</f>
        <v>GROSS_WEIGHT_OPT</v>
      </c>
      <c r="I13749" s="136"/>
      <c r="R13749" s="63" t="str">
        <f t="shared" si="60"/>
        <v>ZSI1_SPRINGGROSS_WEIGHT_OPT</v>
      </c>
    </row>
    <row r="13750" ht="15.75" customHeight="1">
      <c r="B13750" s="63">
        <f t="shared" si="1"/>
        <v>11</v>
      </c>
      <c r="C13750" s="135" t="s">
        <v>468</v>
      </c>
      <c r="D13750" s="161" t="s">
        <v>74</v>
      </c>
      <c r="E13750" s="135">
        <f t="shared" si="62"/>
        <v>12</v>
      </c>
      <c r="F13750" s="134" t="s">
        <v>4057</v>
      </c>
      <c r="G13750" s="63" t="str">
        <f>VLOOKUP(C13750, 'Class Def. - General Data'!$C$20:$C$1000,1,false)</f>
        <v>ZSI1_SPRING</v>
      </c>
      <c r="H13750" s="63" t="str">
        <f>IFERROR(__xludf.DUMMYFUNCTION("VLOOKUP(F13750, IMPORTRANGE(""https://docs.google.com/spreadsheets/d/1Lhp9OU0JdFf_VYSMzH5lBcEaU4o8teT1piV-SNzShjg/edit?gid=554141278#gid=554141278"", ""'Char Def. - Attributes'!C20:C2242""), 1,false)"),"NET_WEIGHT_OPT")</f>
        <v>NET_WEIGHT_OPT</v>
      </c>
      <c r="I13750" s="136"/>
      <c r="R13750" s="63" t="str">
        <f t="shared" si="60"/>
        <v>ZSI1_SPRINGNET_WEIGHT_OPT</v>
      </c>
    </row>
    <row r="13751" ht="15.75" customHeight="1">
      <c r="B13751" s="63">
        <f t="shared" si="1"/>
        <v>11</v>
      </c>
      <c r="C13751" s="135" t="s">
        <v>468</v>
      </c>
      <c r="D13751" s="161" t="s">
        <v>74</v>
      </c>
      <c r="E13751" s="135">
        <f t="shared" si="62"/>
        <v>13</v>
      </c>
      <c r="F13751" s="134" t="s">
        <v>4058</v>
      </c>
      <c r="G13751" s="63" t="str">
        <f>VLOOKUP(C13751, 'Class Def. - General Data'!$C$20:$C$1000,1,false)</f>
        <v>ZSI1_SPRING</v>
      </c>
      <c r="H13751" s="63" t="str">
        <f>IFERROR(__xludf.DUMMYFUNCTION("VLOOKUP(F13751, IMPORTRANGE(""https://docs.google.com/spreadsheets/d/1Lhp9OU0JdFf_VYSMzH5lBcEaU4o8teT1piV-SNzShjg/edit?gid=554141278#gid=554141278"", ""'Char Def. - Attributes'!C20:C2242""), 1,false)"),"WEIGHT_UNIT_SI")</f>
        <v>WEIGHT_UNIT_SI</v>
      </c>
      <c r="I13751" s="136"/>
      <c r="R13751" s="63" t="str">
        <f t="shared" si="60"/>
        <v>ZSI1_SPRINGWEIGHT_UNIT_SI</v>
      </c>
    </row>
    <row r="13752" ht="15.75" customHeight="1">
      <c r="B13752" s="63">
        <f t="shared" si="1"/>
        <v>11</v>
      </c>
      <c r="C13752" s="135" t="s">
        <v>468</v>
      </c>
      <c r="D13752" s="161" t="s">
        <v>74</v>
      </c>
      <c r="E13752" s="135">
        <f t="shared" si="62"/>
        <v>14</v>
      </c>
      <c r="F13752" s="134" t="s">
        <v>3877</v>
      </c>
      <c r="G13752" s="63" t="str">
        <f>VLOOKUP(C13752, 'Class Def. - General Data'!$C$20:$C$1000,1,false)</f>
        <v>ZSI1_SPRING</v>
      </c>
      <c r="H13752" s="63" t="str">
        <f>IFERROR(__xludf.DUMMYFUNCTION("VLOOKUP(F13752, IMPORTRANGE(""https://docs.google.com/spreadsheets/d/1Lhp9OU0JdFf_VYSMzH5lBcEaU4o8teT1piV-SNzShjg/edit?gid=554141278#gid=554141278"", ""'Char Def. - Attributes'!C20:C2242""), 1,false)"),"VOLUME_OPT")</f>
        <v>VOLUME_OPT</v>
      </c>
      <c r="I13752" s="136"/>
      <c r="R13752" s="63" t="str">
        <f t="shared" si="60"/>
        <v>ZSI1_SPRINGVOLUME_OPT</v>
      </c>
    </row>
    <row r="13753" ht="15.75" customHeight="1">
      <c r="B13753" s="63">
        <f t="shared" si="1"/>
        <v>11</v>
      </c>
      <c r="C13753" s="135" t="s">
        <v>468</v>
      </c>
      <c r="D13753" s="161" t="s">
        <v>74</v>
      </c>
      <c r="E13753" s="135">
        <f t="shared" si="62"/>
        <v>15</v>
      </c>
      <c r="F13753" s="134" t="s">
        <v>4059</v>
      </c>
      <c r="G13753" s="63" t="str">
        <f>VLOOKUP(C13753, 'Class Def. - General Data'!$C$20:$C$1000,1,false)</f>
        <v>ZSI1_SPRING</v>
      </c>
      <c r="H13753" s="63" t="str">
        <f>IFERROR(__xludf.DUMMYFUNCTION("VLOOKUP(F13753, IMPORTRANGE(""https://docs.google.com/spreadsheets/d/1Lhp9OU0JdFf_VYSMzH5lBcEaU4o8teT1piV-SNzShjg/edit?gid=554141278#gid=554141278"", ""'Char Def. - Attributes'!C20:C2242""), 1,false)"),"VOLUME_UNIT_SI")</f>
        <v>VOLUME_UNIT_SI</v>
      </c>
      <c r="I13753" s="136"/>
      <c r="R13753" s="63" t="str">
        <f t="shared" si="60"/>
        <v>ZSI1_SPRINGVOLUME_UNIT_SI</v>
      </c>
    </row>
    <row r="13754" ht="15.75" customHeight="1">
      <c r="B13754" s="63">
        <f t="shared" si="1"/>
        <v>11</v>
      </c>
      <c r="C13754" s="135" t="s">
        <v>468</v>
      </c>
      <c r="D13754" s="161" t="s">
        <v>74</v>
      </c>
      <c r="E13754" s="135">
        <f t="shared" si="62"/>
        <v>16</v>
      </c>
      <c r="F13754" s="134" t="s">
        <v>3804</v>
      </c>
      <c r="G13754" s="63" t="str">
        <f>VLOOKUP(C13754, 'Class Def. - General Data'!$C$20:$C$1000,1,false)</f>
        <v>ZSI1_SPRING</v>
      </c>
      <c r="H13754" s="63" t="str">
        <f>IFERROR(__xludf.DUMMYFUNCTION("VLOOKUP(F13754, IMPORTRANGE(""https://docs.google.com/spreadsheets/d/1Lhp9OU0JdFf_VYSMzH5lBcEaU4o8teT1piV-SNzShjg/edit?gid=554141278#gid=554141278"", ""'Char Def. - Attributes'!C20:C2242""), 1,false)"),"ALT_UOM1_SIPI")</f>
        <v>ALT_UOM1_SIPI</v>
      </c>
      <c r="I13754" s="136"/>
      <c r="R13754" s="63" t="str">
        <f t="shared" si="60"/>
        <v>ZSI1_SPRINGALT_UOM1_SIPI</v>
      </c>
    </row>
    <row r="13755" ht="15.75" customHeight="1">
      <c r="B13755" s="63">
        <f t="shared" si="1"/>
        <v>11</v>
      </c>
      <c r="C13755" s="135" t="s">
        <v>468</v>
      </c>
      <c r="D13755" s="161" t="s">
        <v>74</v>
      </c>
      <c r="E13755" s="135">
        <f t="shared" si="62"/>
        <v>17</v>
      </c>
      <c r="F13755" s="134" t="s">
        <v>3805</v>
      </c>
      <c r="G13755" s="63" t="str">
        <f>VLOOKUP(C13755, 'Class Def. - General Data'!$C$20:$C$1000,1,false)</f>
        <v>ZSI1_SPRING</v>
      </c>
      <c r="H13755" s="63" t="str">
        <f>IFERROR(__xludf.DUMMYFUNCTION("VLOOKUP(F13755, IMPORTRANGE(""https://docs.google.com/spreadsheets/d/1Lhp9OU0JdFf_VYSMzH5lBcEaU4o8teT1piV-SNzShjg/edit?gid=554141278#gid=554141278"", ""'Char Def. - Attributes'!C20:C2242""), 1,false)"),"ALT_DENUM_UOM1")</f>
        <v>ALT_DENUM_UOM1</v>
      </c>
      <c r="I13755" s="136"/>
      <c r="R13755" s="63" t="str">
        <f t="shared" si="60"/>
        <v>ZSI1_SPRINGALT_DENUM_UOM1</v>
      </c>
    </row>
    <row r="13756" ht="15.75" customHeight="1">
      <c r="B13756" s="63">
        <f t="shared" si="1"/>
        <v>11</v>
      </c>
      <c r="C13756" s="135" t="s">
        <v>468</v>
      </c>
      <c r="D13756" s="161" t="s">
        <v>74</v>
      </c>
      <c r="E13756" s="135">
        <f t="shared" si="62"/>
        <v>18</v>
      </c>
      <c r="F13756" s="134" t="s">
        <v>3806</v>
      </c>
      <c r="G13756" s="63" t="str">
        <f>VLOOKUP(C13756, 'Class Def. - General Data'!$C$20:$C$1000,1,false)</f>
        <v>ZSI1_SPRING</v>
      </c>
      <c r="H13756" s="63" t="str">
        <f>IFERROR(__xludf.DUMMYFUNCTION("VLOOKUP(F13756, IMPORTRANGE(""https://docs.google.com/spreadsheets/d/1Lhp9OU0JdFf_VYSMzH5lBcEaU4o8teT1piV-SNzShjg/edit?gid=554141278#gid=554141278"", ""'Char Def. - Attributes'!C20:C2242""), 1,false)"),"ALT_NUM_UOM1")</f>
        <v>ALT_NUM_UOM1</v>
      </c>
      <c r="I13756" s="136"/>
      <c r="R13756" s="63" t="str">
        <f t="shared" si="60"/>
        <v>ZSI1_SPRINGALT_NUM_UOM1</v>
      </c>
    </row>
    <row r="13757" ht="15.75" customHeight="1">
      <c r="B13757" s="63">
        <f t="shared" si="1"/>
        <v>11</v>
      </c>
      <c r="C13757" s="135" t="s">
        <v>468</v>
      </c>
      <c r="D13757" s="161" t="s">
        <v>74</v>
      </c>
      <c r="E13757" s="135">
        <f t="shared" si="62"/>
        <v>19</v>
      </c>
      <c r="F13757" s="134" t="s">
        <v>3807</v>
      </c>
      <c r="G13757" s="63" t="str">
        <f>VLOOKUP(C13757, 'Class Def. - General Data'!$C$20:$C$1000,1,false)</f>
        <v>ZSI1_SPRING</v>
      </c>
      <c r="H13757" s="63" t="str">
        <f>IFERROR(__xludf.DUMMYFUNCTION("VLOOKUP(F13757, IMPORTRANGE(""https://docs.google.com/spreadsheets/d/1Lhp9OU0JdFf_VYSMzH5lBcEaU4o8teT1piV-SNzShjg/edit?gid=554141278#gid=554141278"", ""'Char Def. - Attributes'!C20:C2242""), 1,false)"),"ALT_UOM2_SIPI")</f>
        <v>ALT_UOM2_SIPI</v>
      </c>
      <c r="I13757" s="136"/>
      <c r="R13757" s="63" t="str">
        <f t="shared" si="60"/>
        <v>ZSI1_SPRINGALT_UOM2_SIPI</v>
      </c>
    </row>
    <row r="13758" ht="15.75" customHeight="1">
      <c r="B13758" s="63">
        <f t="shared" si="1"/>
        <v>11</v>
      </c>
      <c r="C13758" s="135" t="s">
        <v>468</v>
      </c>
      <c r="D13758" s="161" t="s">
        <v>74</v>
      </c>
      <c r="E13758" s="135">
        <f t="shared" si="62"/>
        <v>20</v>
      </c>
      <c r="F13758" s="134" t="s">
        <v>3808</v>
      </c>
      <c r="G13758" s="63" t="str">
        <f>VLOOKUP(C13758, 'Class Def. - General Data'!$C$20:$C$1000,1,false)</f>
        <v>ZSI1_SPRING</v>
      </c>
      <c r="H13758" s="63" t="str">
        <f>IFERROR(__xludf.DUMMYFUNCTION("VLOOKUP(F13758, IMPORTRANGE(""https://docs.google.com/spreadsheets/d/1Lhp9OU0JdFf_VYSMzH5lBcEaU4o8teT1piV-SNzShjg/edit?gid=554141278#gid=554141278"", ""'Char Def. - Attributes'!C20:C2242""), 1,false)"),"ALT_DENUM_UOM2")</f>
        <v>ALT_DENUM_UOM2</v>
      </c>
      <c r="I13758" s="136"/>
      <c r="R13758" s="63" t="str">
        <f t="shared" si="60"/>
        <v>ZSI1_SPRINGALT_DENUM_UOM2</v>
      </c>
    </row>
    <row r="13759" ht="15.75" customHeight="1">
      <c r="B13759" s="63">
        <f t="shared" si="1"/>
        <v>11</v>
      </c>
      <c r="C13759" s="135" t="s">
        <v>468</v>
      </c>
      <c r="D13759" s="161" t="s">
        <v>74</v>
      </c>
      <c r="E13759" s="135">
        <f t="shared" si="62"/>
        <v>21</v>
      </c>
      <c r="F13759" s="134" t="s">
        <v>3809</v>
      </c>
      <c r="G13759" s="63" t="str">
        <f>VLOOKUP(C13759, 'Class Def. - General Data'!$C$20:$C$1000,1,false)</f>
        <v>ZSI1_SPRING</v>
      </c>
      <c r="H13759" s="63" t="str">
        <f>IFERROR(__xludf.DUMMYFUNCTION("VLOOKUP(F13759, IMPORTRANGE(""https://docs.google.com/spreadsheets/d/1Lhp9OU0JdFf_VYSMzH5lBcEaU4o8teT1piV-SNzShjg/edit?gid=554141278#gid=554141278"", ""'Char Def. - Attributes'!C20:C2242""), 1,false)"),"ALT_NUM_UOM2")</f>
        <v>ALT_NUM_UOM2</v>
      </c>
      <c r="I13759" s="136"/>
      <c r="R13759" s="63" t="str">
        <f t="shared" si="60"/>
        <v>ZSI1_SPRINGALT_NUM_UOM2</v>
      </c>
    </row>
    <row r="13760" ht="15.75" customHeight="1">
      <c r="B13760" s="63">
        <f t="shared" si="1"/>
        <v>11</v>
      </c>
      <c r="C13760" s="135" t="s">
        <v>468</v>
      </c>
      <c r="D13760" s="161" t="s">
        <v>74</v>
      </c>
      <c r="E13760" s="135">
        <f t="shared" si="62"/>
        <v>22</v>
      </c>
      <c r="F13760" s="134" t="s">
        <v>3810</v>
      </c>
      <c r="G13760" s="63" t="str">
        <f>VLOOKUP(C13760, 'Class Def. - General Data'!$C$20:$C$1000,1,false)</f>
        <v>ZSI1_SPRING</v>
      </c>
      <c r="H13760" s="63" t="str">
        <f>IFERROR(__xludf.DUMMYFUNCTION("VLOOKUP(F13760, IMPORTRANGE(""https://docs.google.com/spreadsheets/d/1Lhp9OU0JdFf_VYSMzH5lBcEaU4o8teT1piV-SNzShjg/edit?gid=554141278#gid=554141278"", ""'Char Def. - Attributes'!C20:C2242""), 1,false)"),"ALT_UOM3_SIPI")</f>
        <v>ALT_UOM3_SIPI</v>
      </c>
      <c r="I13760" s="136"/>
      <c r="R13760" s="63" t="str">
        <f t="shared" si="60"/>
        <v>ZSI1_SPRINGALT_UOM3_SIPI</v>
      </c>
    </row>
    <row r="13761" ht="15.75" customHeight="1">
      <c r="B13761" s="63">
        <f t="shared" si="1"/>
        <v>11</v>
      </c>
      <c r="C13761" s="135" t="s">
        <v>468</v>
      </c>
      <c r="D13761" s="161" t="s">
        <v>74</v>
      </c>
      <c r="E13761" s="135">
        <f t="shared" si="62"/>
        <v>23</v>
      </c>
      <c r="F13761" s="134" t="s">
        <v>3811</v>
      </c>
      <c r="G13761" s="63" t="str">
        <f>VLOOKUP(C13761, 'Class Def. - General Data'!$C$20:$C$1000,1,false)</f>
        <v>ZSI1_SPRING</v>
      </c>
      <c r="H13761" s="63" t="str">
        <f>IFERROR(__xludf.DUMMYFUNCTION("VLOOKUP(F13761, IMPORTRANGE(""https://docs.google.com/spreadsheets/d/1Lhp9OU0JdFf_VYSMzH5lBcEaU4o8teT1piV-SNzShjg/edit?gid=554141278#gid=554141278"", ""'Char Def. - Attributes'!C20:C2242""), 1,false)"),"ALT_DENUM_UOM3")</f>
        <v>ALT_DENUM_UOM3</v>
      </c>
      <c r="I13761" s="136"/>
      <c r="R13761" s="63" t="str">
        <f t="shared" si="60"/>
        <v>ZSI1_SPRINGALT_DENUM_UOM3</v>
      </c>
    </row>
    <row r="13762" ht="15.75" customHeight="1">
      <c r="B13762" s="63">
        <f t="shared" si="1"/>
        <v>11</v>
      </c>
      <c r="C13762" s="135" t="s">
        <v>468</v>
      </c>
      <c r="D13762" s="161" t="s">
        <v>74</v>
      </c>
      <c r="E13762" s="135">
        <f t="shared" si="62"/>
        <v>24</v>
      </c>
      <c r="F13762" s="134" t="s">
        <v>3812</v>
      </c>
      <c r="G13762" s="63" t="str">
        <f>VLOOKUP(C13762, 'Class Def. - General Data'!$C$20:$C$1000,1,false)</f>
        <v>ZSI1_SPRING</v>
      </c>
      <c r="H13762" s="63" t="str">
        <f>IFERROR(__xludf.DUMMYFUNCTION("VLOOKUP(F13762, IMPORTRANGE(""https://docs.google.com/spreadsheets/d/1Lhp9OU0JdFf_VYSMzH5lBcEaU4o8teT1piV-SNzShjg/edit?gid=554141278#gid=554141278"", ""'Char Def. - Attributes'!C20:C2242""), 1,false)"),"ALT_NUM_UOM3")</f>
        <v>ALT_NUM_UOM3</v>
      </c>
      <c r="I13762" s="136"/>
      <c r="R13762" s="63" t="str">
        <f t="shared" si="60"/>
        <v>ZSI1_SPRINGALT_NUM_UOM3</v>
      </c>
    </row>
    <row r="13763" ht="15.75" customHeight="1">
      <c r="B13763" s="63">
        <f t="shared" si="1"/>
        <v>11</v>
      </c>
      <c r="C13763" s="135" t="s">
        <v>468</v>
      </c>
      <c r="D13763" s="161" t="s">
        <v>74</v>
      </c>
      <c r="E13763" s="135">
        <f t="shared" si="62"/>
        <v>25</v>
      </c>
      <c r="F13763" s="134" t="s">
        <v>3813</v>
      </c>
      <c r="G13763" s="63" t="str">
        <f>VLOOKUP(C13763, 'Class Def. - General Data'!$C$20:$C$1000,1,false)</f>
        <v>ZSI1_SPRING</v>
      </c>
      <c r="H13763" s="63" t="str">
        <f>IFERROR(__xludf.DUMMYFUNCTION("VLOOKUP(F13763, IMPORTRANGE(""https://docs.google.com/spreadsheets/d/1Lhp9OU0JdFf_VYSMzH5lBcEaU4o8teT1piV-SNzShjg/edit?gid=554141278#gid=554141278"", ""'Char Def. - Attributes'!C20:C2242""), 1,false)"),"ALT_UOM4_SIPI")</f>
        <v>ALT_UOM4_SIPI</v>
      </c>
      <c r="I13763" s="136"/>
      <c r="R13763" s="63" t="str">
        <f t="shared" si="60"/>
        <v>ZSI1_SPRINGALT_UOM4_SIPI</v>
      </c>
    </row>
    <row r="13764" ht="15.75" customHeight="1">
      <c r="B13764" s="63">
        <f t="shared" si="1"/>
        <v>11</v>
      </c>
      <c r="C13764" s="135" t="s">
        <v>468</v>
      </c>
      <c r="D13764" s="161" t="s">
        <v>74</v>
      </c>
      <c r="E13764" s="135">
        <f t="shared" si="62"/>
        <v>26</v>
      </c>
      <c r="F13764" s="134" t="s">
        <v>3814</v>
      </c>
      <c r="G13764" s="63" t="str">
        <f>VLOOKUP(C13764, 'Class Def. - General Data'!$C$20:$C$1000,1,false)</f>
        <v>ZSI1_SPRING</v>
      </c>
      <c r="H13764" s="63" t="str">
        <f>IFERROR(__xludf.DUMMYFUNCTION("VLOOKUP(F13764, IMPORTRANGE(""https://docs.google.com/spreadsheets/d/1Lhp9OU0JdFf_VYSMzH5lBcEaU4o8teT1piV-SNzShjg/edit?gid=554141278#gid=554141278"", ""'Char Def. - Attributes'!C20:C2242""), 1,false)"),"ALT_DENUM_UOM4")</f>
        <v>ALT_DENUM_UOM4</v>
      </c>
      <c r="I13764" s="136"/>
      <c r="R13764" s="63" t="str">
        <f t="shared" si="60"/>
        <v>ZSI1_SPRINGALT_DENUM_UOM4</v>
      </c>
    </row>
    <row r="13765" ht="15.75" customHeight="1">
      <c r="B13765" s="63">
        <f t="shared" si="1"/>
        <v>11</v>
      </c>
      <c r="C13765" s="135" t="s">
        <v>468</v>
      </c>
      <c r="D13765" s="161" t="s">
        <v>74</v>
      </c>
      <c r="E13765" s="135">
        <f t="shared" si="62"/>
        <v>27</v>
      </c>
      <c r="F13765" s="134" t="s">
        <v>3815</v>
      </c>
      <c r="G13765" s="63" t="str">
        <f>VLOOKUP(C13765, 'Class Def. - General Data'!$C$20:$C$1000,1,false)</f>
        <v>ZSI1_SPRING</v>
      </c>
      <c r="H13765" s="63" t="str">
        <f>IFERROR(__xludf.DUMMYFUNCTION("VLOOKUP(F13765, IMPORTRANGE(""https://docs.google.com/spreadsheets/d/1Lhp9OU0JdFf_VYSMzH5lBcEaU4o8teT1piV-SNzShjg/edit?gid=554141278#gid=554141278"", ""'Char Def. - Attributes'!C20:C2242""), 1,false)"),"ALT_NUM_UOM4")</f>
        <v>ALT_NUM_UOM4</v>
      </c>
      <c r="I13765" s="136"/>
      <c r="R13765" s="63" t="str">
        <f t="shared" si="60"/>
        <v>ZSI1_SPRINGALT_NUM_UOM4</v>
      </c>
    </row>
    <row r="13766" ht="15.75" customHeight="1">
      <c r="B13766" s="63">
        <f t="shared" si="1"/>
        <v>11</v>
      </c>
      <c r="C13766" s="135" t="s">
        <v>468</v>
      </c>
      <c r="D13766" s="161" t="s">
        <v>74</v>
      </c>
      <c r="E13766" s="135">
        <f t="shared" si="62"/>
        <v>28</v>
      </c>
      <c r="F13766" s="134" t="s">
        <v>3816</v>
      </c>
      <c r="G13766" s="63" t="str">
        <f>VLOOKUP(C13766, 'Class Def. - General Data'!$C$20:$C$1000,1,false)</f>
        <v>ZSI1_SPRING</v>
      </c>
      <c r="H13766" s="63" t="str">
        <f>IFERROR(__xludf.DUMMYFUNCTION("VLOOKUP(F13766, IMPORTRANGE(""https://docs.google.com/spreadsheets/d/1Lhp9OU0JdFf_VYSMzH5lBcEaU4o8teT1piV-SNzShjg/edit?gid=554141278#gid=554141278"", ""'Char Def. - Attributes'!C20:C2242""), 1,false)"),"ALT_UOM5_SIPI")</f>
        <v>ALT_UOM5_SIPI</v>
      </c>
      <c r="I13766" s="136"/>
      <c r="R13766" s="63" t="str">
        <f t="shared" si="60"/>
        <v>ZSI1_SPRINGALT_UOM5_SIPI</v>
      </c>
    </row>
    <row r="13767" ht="15.75" customHeight="1">
      <c r="B13767" s="63">
        <f t="shared" si="1"/>
        <v>11</v>
      </c>
      <c r="C13767" s="135" t="s">
        <v>468</v>
      </c>
      <c r="D13767" s="161" t="s">
        <v>74</v>
      </c>
      <c r="E13767" s="135">
        <f t="shared" si="62"/>
        <v>29</v>
      </c>
      <c r="F13767" s="134" t="s">
        <v>3817</v>
      </c>
      <c r="G13767" s="63" t="str">
        <f>VLOOKUP(C13767, 'Class Def. - General Data'!$C$20:$C$1000,1,false)</f>
        <v>ZSI1_SPRING</v>
      </c>
      <c r="H13767" s="63" t="str">
        <f>IFERROR(__xludf.DUMMYFUNCTION("VLOOKUP(F13767, IMPORTRANGE(""https://docs.google.com/spreadsheets/d/1Lhp9OU0JdFf_VYSMzH5lBcEaU4o8teT1piV-SNzShjg/edit?gid=554141278#gid=554141278"", ""'Char Def. - Attributes'!C20:C2242""), 1,false)"),"ALT_DENUM_UOM5")</f>
        <v>ALT_DENUM_UOM5</v>
      </c>
      <c r="I13767" s="136"/>
      <c r="R13767" s="63" t="str">
        <f t="shared" si="60"/>
        <v>ZSI1_SPRINGALT_DENUM_UOM5</v>
      </c>
    </row>
    <row r="13768" ht="15.75" customHeight="1">
      <c r="B13768" s="63">
        <f t="shared" si="1"/>
        <v>11</v>
      </c>
      <c r="C13768" s="135" t="s">
        <v>468</v>
      </c>
      <c r="D13768" s="161" t="s">
        <v>74</v>
      </c>
      <c r="E13768" s="135">
        <f t="shared" si="62"/>
        <v>30</v>
      </c>
      <c r="F13768" s="134" t="s">
        <v>3818</v>
      </c>
      <c r="G13768" s="63" t="str">
        <f>VLOOKUP(C13768, 'Class Def. - General Data'!$C$20:$C$1000,1,false)</f>
        <v>ZSI1_SPRING</v>
      </c>
      <c r="H13768" s="63" t="str">
        <f>IFERROR(__xludf.DUMMYFUNCTION("VLOOKUP(F13768, IMPORTRANGE(""https://docs.google.com/spreadsheets/d/1Lhp9OU0JdFf_VYSMzH5lBcEaU4o8teT1piV-SNzShjg/edit?gid=554141278#gid=554141278"", ""'Char Def. - Attributes'!C20:C2242""), 1,false)"),"ALT_NUM_UOM5")</f>
        <v>ALT_NUM_UOM5</v>
      </c>
      <c r="I13768" s="136"/>
      <c r="R13768" s="63" t="str">
        <f t="shared" si="60"/>
        <v>ZSI1_SPRINGALT_NUM_UOM5</v>
      </c>
    </row>
    <row r="13769" ht="15.75" customHeight="1">
      <c r="B13769" s="63">
        <f t="shared" si="1"/>
        <v>13</v>
      </c>
      <c r="C13769" s="135" t="s">
        <v>348</v>
      </c>
      <c r="D13769" s="161" t="s">
        <v>74</v>
      </c>
      <c r="E13769" s="135">
        <f t="shared" si="62"/>
        <v>1</v>
      </c>
      <c r="F13769" s="134" t="s">
        <v>5461</v>
      </c>
      <c r="G13769" s="63" t="str">
        <f>VLOOKUP(C13769, 'Class Def. - General Data'!$C$20:$C$1000,1,false)</f>
        <v>ZSI1_SPROCKET</v>
      </c>
      <c r="H13769" s="63" t="str">
        <f>IFERROR(__xludf.DUMMYFUNCTION("VLOOKUP(F13769, IMPORTRANGE(""https://docs.google.com/spreadsheets/d/1Lhp9OU0JdFf_VYSMzH5lBcEaU4o8teT1piV-SNzShjg/edit?gid=554141278#gid=554141278"", ""'Char Def. - Attributes'!C20:C2242""), 1,false)"),"ITEM_NAME_SPROCKET")</f>
        <v>ITEM_NAME_SPROCKET</v>
      </c>
      <c r="I13769" s="136"/>
      <c r="R13769" s="63" t="str">
        <f t="shared" si="60"/>
        <v>ZSI1_SPROCKETITEM_NAME_SPROCKET</v>
      </c>
    </row>
    <row r="13770" ht="15.75" customHeight="1">
      <c r="B13770" s="63">
        <f t="shared" si="1"/>
        <v>13</v>
      </c>
      <c r="C13770" s="135" t="s">
        <v>348</v>
      </c>
      <c r="D13770" s="161" t="s">
        <v>74</v>
      </c>
      <c r="E13770" s="135">
        <f t="shared" si="62"/>
        <v>2</v>
      </c>
      <c r="F13770" s="134" t="s">
        <v>5462</v>
      </c>
      <c r="G13770" s="63" t="str">
        <f>VLOOKUP(C13770, 'Class Def. - General Data'!$C$20:$C$1000,1,false)</f>
        <v>ZSI1_SPROCKET</v>
      </c>
      <c r="H13770" s="63" t="str">
        <f>IFERROR(__xludf.DUMMYFUNCTION("VLOOKUP(F13770, IMPORTRANGE(""https://docs.google.com/spreadsheets/d/1Lhp9OU0JdFf_VYSMzH5lBcEaU4o8teT1piV-SNzShjg/edit?gid=554141278#gid=554141278"", ""'Char Def. - Attributes'!C20:C2242""), 1,false)"),"TYPE_SPROCKET")</f>
        <v>TYPE_SPROCKET</v>
      </c>
      <c r="I13770" s="136"/>
      <c r="R13770" s="63" t="str">
        <f t="shared" si="60"/>
        <v>ZSI1_SPROCKETTYPE_SPROCKET</v>
      </c>
    </row>
    <row r="13771" ht="15.75" customHeight="1">
      <c r="B13771" s="63">
        <f t="shared" si="1"/>
        <v>13</v>
      </c>
      <c r="C13771" s="135" t="s">
        <v>348</v>
      </c>
      <c r="D13771" s="161" t="s">
        <v>74</v>
      </c>
      <c r="E13771" s="135">
        <f t="shared" si="62"/>
        <v>3</v>
      </c>
      <c r="F13771" s="134" t="s">
        <v>5463</v>
      </c>
      <c r="G13771" s="63" t="str">
        <f>VLOOKUP(C13771, 'Class Def. - General Data'!$C$20:$C$1000,1,false)</f>
        <v>ZSI1_SPROCKET</v>
      </c>
      <c r="H13771" s="63" t="str">
        <f>IFERROR(__xludf.DUMMYFUNCTION("VLOOKUP(F13771, IMPORTRANGE(""https://docs.google.com/spreadsheets/d/1Lhp9OU0JdFf_VYSMzH5lBcEaU4o8teT1piV-SNzShjg/edit?gid=554141278#gid=554141278"", ""'Char Def. - Attributes'!C20:C2242""), 1,false)"),"CHAIN_SIZE_ANSI_SPROCKET")</f>
        <v>CHAIN_SIZE_ANSI_SPROCKET</v>
      </c>
      <c r="I13771" s="136"/>
      <c r="R13771" s="63" t="str">
        <f t="shared" si="60"/>
        <v>ZSI1_SPROCKETCHAIN_SIZE_ANSI_SPROCKET</v>
      </c>
    </row>
    <row r="13772" ht="15.75" customHeight="1">
      <c r="B13772" s="63">
        <f t="shared" si="1"/>
        <v>13</v>
      </c>
      <c r="C13772" s="135" t="s">
        <v>348</v>
      </c>
      <c r="D13772" s="161" t="s">
        <v>74</v>
      </c>
      <c r="E13772" s="135">
        <f t="shared" si="62"/>
        <v>4</v>
      </c>
      <c r="F13772" s="134" t="s">
        <v>5464</v>
      </c>
      <c r="G13772" s="63" t="str">
        <f>VLOOKUP(C13772, 'Class Def. - General Data'!$C$20:$C$1000,1,false)</f>
        <v>ZSI1_SPROCKET</v>
      </c>
      <c r="H13772" s="63" t="str">
        <f>IFERROR(__xludf.DUMMYFUNCTION("VLOOKUP(F13772, IMPORTRANGE(""https://docs.google.com/spreadsheets/d/1Lhp9OU0JdFf_VYSMzH5lBcEaU4o8teT1piV-SNzShjg/edit?gid=554141278#gid=554141278"", ""'Char Def. - Attributes'!C20:C2242""), 1,false)"),"NUMB_OF_TEETH_SPROCKET")</f>
        <v>NUMB_OF_TEETH_SPROCKET</v>
      </c>
      <c r="I13772" s="136"/>
      <c r="R13772" s="63" t="str">
        <f t="shared" si="60"/>
        <v>ZSI1_SPROCKETNUMB_OF_TEETH_SPROCKET</v>
      </c>
    </row>
    <row r="13773" ht="15.75" customHeight="1">
      <c r="B13773" s="63">
        <f t="shared" si="1"/>
        <v>13</v>
      </c>
      <c r="C13773" s="135" t="s">
        <v>348</v>
      </c>
      <c r="D13773" s="161" t="s">
        <v>74</v>
      </c>
      <c r="E13773" s="135">
        <f t="shared" si="62"/>
        <v>5</v>
      </c>
      <c r="F13773" s="134" t="s">
        <v>5465</v>
      </c>
      <c r="G13773" s="63" t="str">
        <f>VLOOKUP(C13773, 'Class Def. - General Data'!$C$20:$C$1000,1,false)</f>
        <v>ZSI1_SPROCKET</v>
      </c>
      <c r="H13773" s="63" t="str">
        <f>IFERROR(__xludf.DUMMYFUNCTION("VLOOKUP(F13773, IMPORTRANGE(""https://docs.google.com/spreadsheets/d/1Lhp9OU0JdFf_VYSMzH5lBcEaU4o8teT1piV-SNzShjg/edit?gid=554141278#gid=554141278"", ""'Char Def. - Attributes'!C20:C2242""), 1,false)"),"ADDITIONALS_SPROCKET")</f>
        <v>ADDITIONALS_SPROCKET</v>
      </c>
      <c r="I13773" s="136"/>
      <c r="R13773" s="63" t="str">
        <f t="shared" si="60"/>
        <v>ZSI1_SPROCKETADDITIONALS_SPROCKET</v>
      </c>
    </row>
    <row r="13774" ht="15.75" customHeight="1">
      <c r="B13774" s="63">
        <f t="shared" si="1"/>
        <v>13</v>
      </c>
      <c r="C13774" s="135" t="s">
        <v>348</v>
      </c>
      <c r="D13774" s="161" t="s">
        <v>74</v>
      </c>
      <c r="E13774" s="135">
        <f t="shared" si="62"/>
        <v>6</v>
      </c>
      <c r="F13774" s="134" t="s">
        <v>4053</v>
      </c>
      <c r="G13774" s="63" t="str">
        <f>VLOOKUP(C13774, 'Class Def. - General Data'!$C$20:$C$1000,1,false)</f>
        <v>ZSI1_SPROCKET</v>
      </c>
      <c r="H13774" s="63" t="str">
        <f>IFERROR(__xludf.DUMMYFUNCTION("VLOOKUP(F13774, IMPORTRANGE(""https://docs.google.com/spreadsheets/d/1Lhp9OU0JdFf_VYSMzH5lBcEaU4o8teT1piV-SNzShjg/edit?gid=554141278#gid=554141278"", ""'Char Def. - Attributes'!C20:C2242""), 1,false)"),"MAINTENANCE_ORDER_TYPE")</f>
        <v>MAINTENANCE_ORDER_TYPE</v>
      </c>
      <c r="I13774" s="136"/>
      <c r="R13774" s="63" t="str">
        <f t="shared" si="60"/>
        <v>ZSI1_SPROCKETMAINTENANCE_ORDER_TYPE</v>
      </c>
    </row>
    <row r="13775" ht="15.75" customHeight="1">
      <c r="B13775" s="63">
        <f t="shared" si="1"/>
        <v>13</v>
      </c>
      <c r="C13775" s="135" t="s">
        <v>348</v>
      </c>
      <c r="D13775" s="161" t="s">
        <v>74</v>
      </c>
      <c r="E13775" s="135">
        <f t="shared" si="62"/>
        <v>7</v>
      </c>
      <c r="F13775" s="134" t="s">
        <v>3585</v>
      </c>
      <c r="G13775" s="63" t="str">
        <f>VLOOKUP(C13775, 'Class Def. - General Data'!$C$20:$C$1000,1,false)</f>
        <v>ZSI1_SPROCKET</v>
      </c>
      <c r="H13775" s="63" t="str">
        <f>IFERROR(__xludf.DUMMYFUNCTION("VLOOKUP(F13775, IMPORTRANGE(""https://docs.google.com/spreadsheets/d/1Lhp9OU0JdFf_VYSMzH5lBcEaU4o8teT1piV-SNzShjg/edit?gid=554141278#gid=554141278"", ""'Char Def. - Attributes'!C20:C2242""), 1,false)"),"HS_CODE")</f>
        <v>HS_CODE</v>
      </c>
      <c r="I13775" s="136"/>
      <c r="R13775" s="63" t="str">
        <f t="shared" si="60"/>
        <v>ZSI1_SPROCKETHS_CODE</v>
      </c>
    </row>
    <row r="13776" ht="15.75" customHeight="1">
      <c r="B13776" s="63">
        <f t="shared" si="1"/>
        <v>13</v>
      </c>
      <c r="C13776" s="135" t="s">
        <v>348</v>
      </c>
      <c r="D13776" s="161" t="s">
        <v>74</v>
      </c>
      <c r="E13776" s="135">
        <f t="shared" si="62"/>
        <v>8</v>
      </c>
      <c r="F13776" s="134" t="s">
        <v>3587</v>
      </c>
      <c r="G13776" s="63" t="str">
        <f>VLOOKUP(C13776, 'Class Def. - General Data'!$C$20:$C$1000,1,false)</f>
        <v>ZSI1_SPROCKET</v>
      </c>
      <c r="H13776" s="63" t="str">
        <f>IFERROR(__xludf.DUMMYFUNCTION("VLOOKUP(F13776, IMPORTRANGE(""https://docs.google.com/spreadsheets/d/1Lhp9OU0JdFf_VYSMzH5lBcEaU4o8teT1piV-SNzShjg/edit?gid=554141278#gid=554141278"", ""'Char Def. - Attributes'!C20:C2242""), 1,false)"),"PLANT_BUY")</f>
        <v>PLANT_BUY</v>
      </c>
      <c r="I13776" s="136"/>
      <c r="R13776" s="63" t="str">
        <f t="shared" si="60"/>
        <v>ZSI1_SPROCKETPLANT_BUY</v>
      </c>
    </row>
    <row r="13777" ht="15.75" customHeight="1">
      <c r="B13777" s="63">
        <f t="shared" si="1"/>
        <v>13</v>
      </c>
      <c r="C13777" s="135" t="s">
        <v>348</v>
      </c>
      <c r="D13777" s="161" t="s">
        <v>74</v>
      </c>
      <c r="E13777" s="135">
        <f t="shared" si="62"/>
        <v>9</v>
      </c>
      <c r="F13777" s="134" t="s">
        <v>5466</v>
      </c>
      <c r="G13777" s="63" t="str">
        <f>VLOOKUP(C13777, 'Class Def. - General Data'!$C$20:$C$1000,1,false)</f>
        <v>ZSI1_SPROCKET</v>
      </c>
      <c r="H13777" s="63" t="str">
        <f>IFERROR(__xludf.DUMMYFUNCTION("VLOOKUP(F13777, IMPORTRANGE(""https://docs.google.com/spreadsheets/d/1Lhp9OU0JdFf_VYSMzH5lBcEaU4o8teT1piV-SNzShjg/edit?gid=554141278#gid=554141278"", ""'Char Def. - Attributes'!C20:C2242""), 1,false)"),"BASE_UOM_SPROCKET")</f>
        <v>BASE_UOM_SPROCKET</v>
      </c>
      <c r="I13777" s="136"/>
      <c r="R13777" s="63" t="str">
        <f t="shared" si="60"/>
        <v>ZSI1_SPROCKETBASE_UOM_SPROCKET</v>
      </c>
    </row>
    <row r="13778" ht="15.75" customHeight="1">
      <c r="B13778" s="63">
        <f t="shared" si="1"/>
        <v>13</v>
      </c>
      <c r="C13778" s="135" t="s">
        <v>348</v>
      </c>
      <c r="D13778" s="161" t="s">
        <v>74</v>
      </c>
      <c r="E13778" s="135">
        <f t="shared" si="62"/>
        <v>10</v>
      </c>
      <c r="F13778" s="134" t="s">
        <v>5467</v>
      </c>
      <c r="G13778" s="63" t="str">
        <f>VLOOKUP(C13778, 'Class Def. - General Data'!$C$20:$C$1000,1,false)</f>
        <v>ZSI1_SPROCKET</v>
      </c>
      <c r="H13778" s="63" t="str">
        <f>IFERROR(__xludf.DUMMYFUNCTION("VLOOKUP(F13778, IMPORTRANGE(""https://docs.google.com/spreadsheets/d/1Lhp9OU0JdFf_VYSMzH5lBcEaU4o8teT1piV-SNzShjg/edit?gid=554141278#gid=554141278"", ""'Char Def. - Attributes'!C20:C2242""), 1,false)"),"ORDER_UNIT_SPROCKET")</f>
        <v>ORDER_UNIT_SPROCKET</v>
      </c>
      <c r="I13778" s="136"/>
      <c r="R13778" s="63" t="str">
        <f t="shared" si="60"/>
        <v>ZSI1_SPROCKETORDER_UNIT_SPROCKET</v>
      </c>
    </row>
    <row r="13779" ht="15.75" customHeight="1">
      <c r="B13779" s="63">
        <f t="shared" si="1"/>
        <v>13</v>
      </c>
      <c r="C13779" s="135" t="s">
        <v>348</v>
      </c>
      <c r="D13779" s="161" t="s">
        <v>74</v>
      </c>
      <c r="E13779" s="135">
        <f t="shared" si="62"/>
        <v>11</v>
      </c>
      <c r="F13779" s="134" t="s">
        <v>4056</v>
      </c>
      <c r="G13779" s="63" t="str">
        <f>VLOOKUP(C13779, 'Class Def. - General Data'!$C$20:$C$1000,1,false)</f>
        <v>ZSI1_SPROCKET</v>
      </c>
      <c r="H13779" s="63" t="str">
        <f>IFERROR(__xludf.DUMMYFUNCTION("VLOOKUP(F13779, IMPORTRANGE(""https://docs.google.com/spreadsheets/d/1Lhp9OU0JdFf_VYSMzH5lBcEaU4o8teT1piV-SNzShjg/edit?gid=554141278#gid=554141278"", ""'Char Def. - Attributes'!C20:C2242""), 1,false)"),"GROSS_WEIGHT_OPT")</f>
        <v>GROSS_WEIGHT_OPT</v>
      </c>
      <c r="I13779" s="136"/>
      <c r="R13779" s="63" t="str">
        <f t="shared" si="60"/>
        <v>ZSI1_SPROCKETGROSS_WEIGHT_OPT</v>
      </c>
    </row>
    <row r="13780" ht="15.75" customHeight="1">
      <c r="B13780" s="63">
        <f t="shared" si="1"/>
        <v>13</v>
      </c>
      <c r="C13780" s="135" t="s">
        <v>348</v>
      </c>
      <c r="D13780" s="161" t="s">
        <v>74</v>
      </c>
      <c r="E13780" s="135">
        <f t="shared" si="62"/>
        <v>12</v>
      </c>
      <c r="F13780" s="134" t="s">
        <v>4057</v>
      </c>
      <c r="G13780" s="63" t="str">
        <f>VLOOKUP(C13780, 'Class Def. - General Data'!$C$20:$C$1000,1,false)</f>
        <v>ZSI1_SPROCKET</v>
      </c>
      <c r="H13780" s="63" t="str">
        <f>IFERROR(__xludf.DUMMYFUNCTION("VLOOKUP(F13780, IMPORTRANGE(""https://docs.google.com/spreadsheets/d/1Lhp9OU0JdFf_VYSMzH5lBcEaU4o8teT1piV-SNzShjg/edit?gid=554141278#gid=554141278"", ""'Char Def. - Attributes'!C20:C2242""), 1,false)"),"NET_WEIGHT_OPT")</f>
        <v>NET_WEIGHT_OPT</v>
      </c>
      <c r="I13780" s="136"/>
      <c r="R13780" s="63" t="str">
        <f t="shared" si="60"/>
        <v>ZSI1_SPROCKETNET_WEIGHT_OPT</v>
      </c>
    </row>
    <row r="13781" ht="15.75" customHeight="1">
      <c r="B13781" s="63">
        <f t="shared" si="1"/>
        <v>13</v>
      </c>
      <c r="C13781" s="135" t="s">
        <v>348</v>
      </c>
      <c r="D13781" s="161" t="s">
        <v>74</v>
      </c>
      <c r="E13781" s="135">
        <f t="shared" si="62"/>
        <v>13</v>
      </c>
      <c r="F13781" s="134" t="s">
        <v>4058</v>
      </c>
      <c r="G13781" s="63" t="str">
        <f>VLOOKUP(C13781, 'Class Def. - General Data'!$C$20:$C$1000,1,false)</f>
        <v>ZSI1_SPROCKET</v>
      </c>
      <c r="H13781" s="63" t="str">
        <f>IFERROR(__xludf.DUMMYFUNCTION("VLOOKUP(F13781, IMPORTRANGE(""https://docs.google.com/spreadsheets/d/1Lhp9OU0JdFf_VYSMzH5lBcEaU4o8teT1piV-SNzShjg/edit?gid=554141278#gid=554141278"", ""'Char Def. - Attributes'!C20:C2242""), 1,false)"),"WEIGHT_UNIT_SI")</f>
        <v>WEIGHT_UNIT_SI</v>
      </c>
      <c r="I13781" s="136"/>
      <c r="R13781" s="63" t="str">
        <f t="shared" si="60"/>
        <v>ZSI1_SPROCKETWEIGHT_UNIT_SI</v>
      </c>
    </row>
    <row r="13782" ht="15.75" customHeight="1">
      <c r="B13782" s="63">
        <f t="shared" si="1"/>
        <v>13</v>
      </c>
      <c r="C13782" s="135" t="s">
        <v>348</v>
      </c>
      <c r="D13782" s="161" t="s">
        <v>74</v>
      </c>
      <c r="E13782" s="135">
        <f t="shared" si="62"/>
        <v>14</v>
      </c>
      <c r="F13782" s="134" t="s">
        <v>3877</v>
      </c>
      <c r="G13782" s="63" t="str">
        <f>VLOOKUP(C13782, 'Class Def. - General Data'!$C$20:$C$1000,1,false)</f>
        <v>ZSI1_SPROCKET</v>
      </c>
      <c r="H13782" s="63" t="str">
        <f>IFERROR(__xludf.DUMMYFUNCTION("VLOOKUP(F13782, IMPORTRANGE(""https://docs.google.com/spreadsheets/d/1Lhp9OU0JdFf_VYSMzH5lBcEaU4o8teT1piV-SNzShjg/edit?gid=554141278#gid=554141278"", ""'Char Def. - Attributes'!C20:C2242""), 1,false)"),"VOLUME_OPT")</f>
        <v>VOLUME_OPT</v>
      </c>
      <c r="I13782" s="136"/>
      <c r="R13782" s="63" t="str">
        <f t="shared" si="60"/>
        <v>ZSI1_SPROCKETVOLUME_OPT</v>
      </c>
    </row>
    <row r="13783" ht="15.75" customHeight="1">
      <c r="B13783" s="63">
        <f t="shared" si="1"/>
        <v>13</v>
      </c>
      <c r="C13783" s="135" t="s">
        <v>348</v>
      </c>
      <c r="D13783" s="161" t="s">
        <v>74</v>
      </c>
      <c r="E13783" s="135">
        <f t="shared" si="62"/>
        <v>15</v>
      </c>
      <c r="F13783" s="134" t="s">
        <v>4059</v>
      </c>
      <c r="G13783" s="63" t="str">
        <f>VLOOKUP(C13783, 'Class Def. - General Data'!$C$20:$C$1000,1,false)</f>
        <v>ZSI1_SPROCKET</v>
      </c>
      <c r="H13783" s="63" t="str">
        <f>IFERROR(__xludf.DUMMYFUNCTION("VLOOKUP(F13783, IMPORTRANGE(""https://docs.google.com/spreadsheets/d/1Lhp9OU0JdFf_VYSMzH5lBcEaU4o8teT1piV-SNzShjg/edit?gid=554141278#gid=554141278"", ""'Char Def. - Attributes'!C20:C2242""), 1,false)"),"VOLUME_UNIT_SI")</f>
        <v>VOLUME_UNIT_SI</v>
      </c>
      <c r="I13783" s="136"/>
      <c r="R13783" s="63" t="str">
        <f t="shared" si="60"/>
        <v>ZSI1_SPROCKETVOLUME_UNIT_SI</v>
      </c>
    </row>
    <row r="13784" ht="15.75" customHeight="1">
      <c r="B13784" s="63">
        <f t="shared" si="1"/>
        <v>13</v>
      </c>
      <c r="C13784" s="135" t="s">
        <v>348</v>
      </c>
      <c r="D13784" s="161" t="s">
        <v>74</v>
      </c>
      <c r="E13784" s="135">
        <f t="shared" si="62"/>
        <v>16</v>
      </c>
      <c r="F13784" s="134" t="s">
        <v>3804</v>
      </c>
      <c r="G13784" s="63" t="str">
        <f>VLOOKUP(C13784, 'Class Def. - General Data'!$C$20:$C$1000,1,false)</f>
        <v>ZSI1_SPROCKET</v>
      </c>
      <c r="H13784" s="63" t="str">
        <f>IFERROR(__xludf.DUMMYFUNCTION("VLOOKUP(F13784, IMPORTRANGE(""https://docs.google.com/spreadsheets/d/1Lhp9OU0JdFf_VYSMzH5lBcEaU4o8teT1piV-SNzShjg/edit?gid=554141278#gid=554141278"", ""'Char Def. - Attributes'!C20:C2242""), 1,false)"),"ALT_UOM1_SIPI")</f>
        <v>ALT_UOM1_SIPI</v>
      </c>
      <c r="I13784" s="136"/>
      <c r="R13784" s="63" t="str">
        <f t="shared" si="60"/>
        <v>ZSI1_SPROCKETALT_UOM1_SIPI</v>
      </c>
    </row>
    <row r="13785" ht="15.75" customHeight="1">
      <c r="B13785" s="63">
        <f t="shared" si="1"/>
        <v>13</v>
      </c>
      <c r="C13785" s="135" t="s">
        <v>348</v>
      </c>
      <c r="D13785" s="161" t="s">
        <v>74</v>
      </c>
      <c r="E13785" s="135">
        <f t="shared" si="62"/>
        <v>17</v>
      </c>
      <c r="F13785" s="134" t="s">
        <v>3805</v>
      </c>
      <c r="G13785" s="63" t="str">
        <f>VLOOKUP(C13785, 'Class Def. - General Data'!$C$20:$C$1000,1,false)</f>
        <v>ZSI1_SPROCKET</v>
      </c>
      <c r="H13785" s="63" t="str">
        <f>IFERROR(__xludf.DUMMYFUNCTION("VLOOKUP(F13785, IMPORTRANGE(""https://docs.google.com/spreadsheets/d/1Lhp9OU0JdFf_VYSMzH5lBcEaU4o8teT1piV-SNzShjg/edit?gid=554141278#gid=554141278"", ""'Char Def. - Attributes'!C20:C2242""), 1,false)"),"ALT_DENUM_UOM1")</f>
        <v>ALT_DENUM_UOM1</v>
      </c>
      <c r="I13785" s="136"/>
      <c r="R13785" s="63" t="str">
        <f t="shared" si="60"/>
        <v>ZSI1_SPROCKETALT_DENUM_UOM1</v>
      </c>
    </row>
    <row r="13786" ht="15.75" customHeight="1">
      <c r="B13786" s="63">
        <f t="shared" si="1"/>
        <v>13</v>
      </c>
      <c r="C13786" s="135" t="s">
        <v>348</v>
      </c>
      <c r="D13786" s="161" t="s">
        <v>74</v>
      </c>
      <c r="E13786" s="135">
        <f t="shared" si="62"/>
        <v>18</v>
      </c>
      <c r="F13786" s="134" t="s">
        <v>3806</v>
      </c>
      <c r="G13786" s="63" t="str">
        <f>VLOOKUP(C13786, 'Class Def. - General Data'!$C$20:$C$1000,1,false)</f>
        <v>ZSI1_SPROCKET</v>
      </c>
      <c r="H13786" s="63" t="str">
        <f>IFERROR(__xludf.DUMMYFUNCTION("VLOOKUP(F13786, IMPORTRANGE(""https://docs.google.com/spreadsheets/d/1Lhp9OU0JdFf_VYSMzH5lBcEaU4o8teT1piV-SNzShjg/edit?gid=554141278#gid=554141278"", ""'Char Def. - Attributes'!C20:C2242""), 1,false)"),"ALT_NUM_UOM1")</f>
        <v>ALT_NUM_UOM1</v>
      </c>
      <c r="I13786" s="136"/>
      <c r="R13786" s="63" t="str">
        <f t="shared" si="60"/>
        <v>ZSI1_SPROCKETALT_NUM_UOM1</v>
      </c>
    </row>
    <row r="13787" ht="15.75" customHeight="1">
      <c r="B13787" s="63">
        <f t="shared" si="1"/>
        <v>13</v>
      </c>
      <c r="C13787" s="135" t="s">
        <v>348</v>
      </c>
      <c r="D13787" s="161" t="s">
        <v>74</v>
      </c>
      <c r="E13787" s="135">
        <f t="shared" si="62"/>
        <v>19</v>
      </c>
      <c r="F13787" s="134" t="s">
        <v>3807</v>
      </c>
      <c r="G13787" s="63" t="str">
        <f>VLOOKUP(C13787, 'Class Def. - General Data'!$C$20:$C$1000,1,false)</f>
        <v>ZSI1_SPROCKET</v>
      </c>
      <c r="H13787" s="63" t="str">
        <f>IFERROR(__xludf.DUMMYFUNCTION("VLOOKUP(F13787, IMPORTRANGE(""https://docs.google.com/spreadsheets/d/1Lhp9OU0JdFf_VYSMzH5lBcEaU4o8teT1piV-SNzShjg/edit?gid=554141278#gid=554141278"", ""'Char Def. - Attributes'!C20:C2242""), 1,false)"),"ALT_UOM2_SIPI")</f>
        <v>ALT_UOM2_SIPI</v>
      </c>
      <c r="I13787" s="136"/>
      <c r="R13787" s="63" t="str">
        <f t="shared" si="60"/>
        <v>ZSI1_SPROCKETALT_UOM2_SIPI</v>
      </c>
    </row>
    <row r="13788" ht="15.75" customHeight="1">
      <c r="B13788" s="63">
        <f t="shared" si="1"/>
        <v>13</v>
      </c>
      <c r="C13788" s="135" t="s">
        <v>348</v>
      </c>
      <c r="D13788" s="161" t="s">
        <v>74</v>
      </c>
      <c r="E13788" s="135">
        <f t="shared" si="62"/>
        <v>20</v>
      </c>
      <c r="F13788" s="134" t="s">
        <v>3808</v>
      </c>
      <c r="G13788" s="63" t="str">
        <f>VLOOKUP(C13788, 'Class Def. - General Data'!$C$20:$C$1000,1,false)</f>
        <v>ZSI1_SPROCKET</v>
      </c>
      <c r="H13788" s="63" t="str">
        <f>IFERROR(__xludf.DUMMYFUNCTION("VLOOKUP(F13788, IMPORTRANGE(""https://docs.google.com/spreadsheets/d/1Lhp9OU0JdFf_VYSMzH5lBcEaU4o8teT1piV-SNzShjg/edit?gid=554141278#gid=554141278"", ""'Char Def. - Attributes'!C20:C2242""), 1,false)"),"ALT_DENUM_UOM2")</f>
        <v>ALT_DENUM_UOM2</v>
      </c>
      <c r="I13788" s="136"/>
      <c r="R13788" s="63" t="str">
        <f t="shared" si="60"/>
        <v>ZSI1_SPROCKETALT_DENUM_UOM2</v>
      </c>
    </row>
    <row r="13789" ht="15.75" customHeight="1">
      <c r="B13789" s="63">
        <f t="shared" si="1"/>
        <v>13</v>
      </c>
      <c r="C13789" s="135" t="s">
        <v>348</v>
      </c>
      <c r="D13789" s="161" t="s">
        <v>74</v>
      </c>
      <c r="E13789" s="135">
        <f t="shared" si="62"/>
        <v>21</v>
      </c>
      <c r="F13789" s="134" t="s">
        <v>3809</v>
      </c>
      <c r="G13789" s="63" t="str">
        <f>VLOOKUP(C13789, 'Class Def. - General Data'!$C$20:$C$1000,1,false)</f>
        <v>ZSI1_SPROCKET</v>
      </c>
      <c r="H13789" s="63" t="str">
        <f>IFERROR(__xludf.DUMMYFUNCTION("VLOOKUP(F13789, IMPORTRANGE(""https://docs.google.com/spreadsheets/d/1Lhp9OU0JdFf_VYSMzH5lBcEaU4o8teT1piV-SNzShjg/edit?gid=554141278#gid=554141278"", ""'Char Def. - Attributes'!C20:C2242""), 1,false)"),"ALT_NUM_UOM2")</f>
        <v>ALT_NUM_UOM2</v>
      </c>
      <c r="I13789" s="136"/>
      <c r="R13789" s="63" t="str">
        <f t="shared" si="60"/>
        <v>ZSI1_SPROCKETALT_NUM_UOM2</v>
      </c>
    </row>
    <row r="13790" ht="15.75" customHeight="1">
      <c r="B13790" s="63">
        <f t="shared" si="1"/>
        <v>13</v>
      </c>
      <c r="C13790" s="135" t="s">
        <v>348</v>
      </c>
      <c r="D13790" s="161" t="s">
        <v>74</v>
      </c>
      <c r="E13790" s="135">
        <f t="shared" si="62"/>
        <v>22</v>
      </c>
      <c r="F13790" s="134" t="s">
        <v>3810</v>
      </c>
      <c r="G13790" s="63" t="str">
        <f>VLOOKUP(C13790, 'Class Def. - General Data'!$C$20:$C$1000,1,false)</f>
        <v>ZSI1_SPROCKET</v>
      </c>
      <c r="H13790" s="63" t="str">
        <f>IFERROR(__xludf.DUMMYFUNCTION("VLOOKUP(F13790, IMPORTRANGE(""https://docs.google.com/spreadsheets/d/1Lhp9OU0JdFf_VYSMzH5lBcEaU4o8teT1piV-SNzShjg/edit?gid=554141278#gid=554141278"", ""'Char Def. - Attributes'!C20:C2242""), 1,false)"),"ALT_UOM3_SIPI")</f>
        <v>ALT_UOM3_SIPI</v>
      </c>
      <c r="I13790" s="136"/>
      <c r="R13790" s="63" t="str">
        <f t="shared" si="60"/>
        <v>ZSI1_SPROCKETALT_UOM3_SIPI</v>
      </c>
    </row>
    <row r="13791" ht="15.75" customHeight="1">
      <c r="B13791" s="63">
        <f t="shared" si="1"/>
        <v>13</v>
      </c>
      <c r="C13791" s="135" t="s">
        <v>348</v>
      </c>
      <c r="D13791" s="161" t="s">
        <v>74</v>
      </c>
      <c r="E13791" s="135">
        <f t="shared" si="62"/>
        <v>23</v>
      </c>
      <c r="F13791" s="134" t="s">
        <v>3811</v>
      </c>
      <c r="G13791" s="63" t="str">
        <f>VLOOKUP(C13791, 'Class Def. - General Data'!$C$20:$C$1000,1,false)</f>
        <v>ZSI1_SPROCKET</v>
      </c>
      <c r="H13791" s="63" t="str">
        <f>IFERROR(__xludf.DUMMYFUNCTION("VLOOKUP(F13791, IMPORTRANGE(""https://docs.google.com/spreadsheets/d/1Lhp9OU0JdFf_VYSMzH5lBcEaU4o8teT1piV-SNzShjg/edit?gid=554141278#gid=554141278"", ""'Char Def. - Attributes'!C20:C2242""), 1,false)"),"ALT_DENUM_UOM3")</f>
        <v>ALT_DENUM_UOM3</v>
      </c>
      <c r="I13791" s="136"/>
      <c r="R13791" s="63" t="str">
        <f t="shared" si="60"/>
        <v>ZSI1_SPROCKETALT_DENUM_UOM3</v>
      </c>
    </row>
    <row r="13792" ht="15.75" customHeight="1">
      <c r="B13792" s="63">
        <f t="shared" si="1"/>
        <v>13</v>
      </c>
      <c r="C13792" s="135" t="s">
        <v>348</v>
      </c>
      <c r="D13792" s="161" t="s">
        <v>74</v>
      </c>
      <c r="E13792" s="135">
        <f t="shared" si="62"/>
        <v>24</v>
      </c>
      <c r="F13792" s="134" t="s">
        <v>3812</v>
      </c>
      <c r="G13792" s="63" t="str">
        <f>VLOOKUP(C13792, 'Class Def. - General Data'!$C$20:$C$1000,1,false)</f>
        <v>ZSI1_SPROCKET</v>
      </c>
      <c r="H13792" s="63" t="str">
        <f>IFERROR(__xludf.DUMMYFUNCTION("VLOOKUP(F13792, IMPORTRANGE(""https://docs.google.com/spreadsheets/d/1Lhp9OU0JdFf_VYSMzH5lBcEaU4o8teT1piV-SNzShjg/edit?gid=554141278#gid=554141278"", ""'Char Def. - Attributes'!C20:C2242""), 1,false)"),"ALT_NUM_UOM3")</f>
        <v>ALT_NUM_UOM3</v>
      </c>
      <c r="I13792" s="136"/>
      <c r="R13792" s="63" t="str">
        <f t="shared" si="60"/>
        <v>ZSI1_SPROCKETALT_NUM_UOM3</v>
      </c>
    </row>
    <row r="13793" ht="15.75" customHeight="1">
      <c r="B13793" s="63">
        <f t="shared" si="1"/>
        <v>13</v>
      </c>
      <c r="C13793" s="135" t="s">
        <v>348</v>
      </c>
      <c r="D13793" s="161" t="s">
        <v>74</v>
      </c>
      <c r="E13793" s="135">
        <f t="shared" si="62"/>
        <v>25</v>
      </c>
      <c r="F13793" s="134" t="s">
        <v>3813</v>
      </c>
      <c r="G13793" s="63" t="str">
        <f>VLOOKUP(C13793, 'Class Def. - General Data'!$C$20:$C$1000,1,false)</f>
        <v>ZSI1_SPROCKET</v>
      </c>
      <c r="H13793" s="63" t="str">
        <f>IFERROR(__xludf.DUMMYFUNCTION("VLOOKUP(F13793, IMPORTRANGE(""https://docs.google.com/spreadsheets/d/1Lhp9OU0JdFf_VYSMzH5lBcEaU4o8teT1piV-SNzShjg/edit?gid=554141278#gid=554141278"", ""'Char Def. - Attributes'!C20:C2242""), 1,false)"),"ALT_UOM4_SIPI")</f>
        <v>ALT_UOM4_SIPI</v>
      </c>
      <c r="I13793" s="136"/>
      <c r="R13793" s="63" t="str">
        <f t="shared" si="60"/>
        <v>ZSI1_SPROCKETALT_UOM4_SIPI</v>
      </c>
    </row>
    <row r="13794" ht="15.75" customHeight="1">
      <c r="B13794" s="63">
        <f t="shared" si="1"/>
        <v>13</v>
      </c>
      <c r="C13794" s="135" t="s">
        <v>348</v>
      </c>
      <c r="D13794" s="161" t="s">
        <v>74</v>
      </c>
      <c r="E13794" s="135">
        <f t="shared" si="62"/>
        <v>26</v>
      </c>
      <c r="F13794" s="134" t="s">
        <v>3814</v>
      </c>
      <c r="G13794" s="63" t="str">
        <f>VLOOKUP(C13794, 'Class Def. - General Data'!$C$20:$C$1000,1,false)</f>
        <v>ZSI1_SPROCKET</v>
      </c>
      <c r="H13794" s="63" t="str">
        <f>IFERROR(__xludf.DUMMYFUNCTION("VLOOKUP(F13794, IMPORTRANGE(""https://docs.google.com/spreadsheets/d/1Lhp9OU0JdFf_VYSMzH5lBcEaU4o8teT1piV-SNzShjg/edit?gid=554141278#gid=554141278"", ""'Char Def. - Attributes'!C20:C2242""), 1,false)"),"ALT_DENUM_UOM4")</f>
        <v>ALT_DENUM_UOM4</v>
      </c>
      <c r="I13794" s="136"/>
      <c r="R13794" s="63" t="str">
        <f t="shared" si="60"/>
        <v>ZSI1_SPROCKETALT_DENUM_UOM4</v>
      </c>
    </row>
    <row r="13795" ht="15.75" customHeight="1">
      <c r="B13795" s="63">
        <f t="shared" si="1"/>
        <v>13</v>
      </c>
      <c r="C13795" s="135" t="s">
        <v>348</v>
      </c>
      <c r="D13795" s="161" t="s">
        <v>74</v>
      </c>
      <c r="E13795" s="135">
        <f t="shared" si="62"/>
        <v>27</v>
      </c>
      <c r="F13795" s="134" t="s">
        <v>3815</v>
      </c>
      <c r="G13795" s="63" t="str">
        <f>VLOOKUP(C13795, 'Class Def. - General Data'!$C$20:$C$1000,1,false)</f>
        <v>ZSI1_SPROCKET</v>
      </c>
      <c r="H13795" s="63" t="str">
        <f>IFERROR(__xludf.DUMMYFUNCTION("VLOOKUP(F13795, IMPORTRANGE(""https://docs.google.com/spreadsheets/d/1Lhp9OU0JdFf_VYSMzH5lBcEaU4o8teT1piV-SNzShjg/edit?gid=554141278#gid=554141278"", ""'Char Def. - Attributes'!C20:C2242""), 1,false)"),"ALT_NUM_UOM4")</f>
        <v>ALT_NUM_UOM4</v>
      </c>
      <c r="I13795" s="136"/>
      <c r="R13795" s="63" t="str">
        <f t="shared" si="60"/>
        <v>ZSI1_SPROCKETALT_NUM_UOM4</v>
      </c>
    </row>
    <row r="13796" ht="15.75" customHeight="1">
      <c r="B13796" s="63">
        <f t="shared" si="1"/>
        <v>13</v>
      </c>
      <c r="C13796" s="135" t="s">
        <v>348</v>
      </c>
      <c r="D13796" s="161" t="s">
        <v>74</v>
      </c>
      <c r="E13796" s="135">
        <f t="shared" si="62"/>
        <v>28</v>
      </c>
      <c r="F13796" s="134" t="s">
        <v>3816</v>
      </c>
      <c r="G13796" s="63" t="str">
        <f>VLOOKUP(C13796, 'Class Def. - General Data'!$C$20:$C$1000,1,false)</f>
        <v>ZSI1_SPROCKET</v>
      </c>
      <c r="H13796" s="63" t="str">
        <f>IFERROR(__xludf.DUMMYFUNCTION("VLOOKUP(F13796, IMPORTRANGE(""https://docs.google.com/spreadsheets/d/1Lhp9OU0JdFf_VYSMzH5lBcEaU4o8teT1piV-SNzShjg/edit?gid=554141278#gid=554141278"", ""'Char Def. - Attributes'!C20:C2242""), 1,false)"),"ALT_UOM5_SIPI")</f>
        <v>ALT_UOM5_SIPI</v>
      </c>
      <c r="I13796" s="136"/>
      <c r="R13796" s="63" t="str">
        <f t="shared" si="60"/>
        <v>ZSI1_SPROCKETALT_UOM5_SIPI</v>
      </c>
    </row>
    <row r="13797" ht="15.75" customHeight="1">
      <c r="B13797" s="63">
        <f t="shared" si="1"/>
        <v>13</v>
      </c>
      <c r="C13797" s="135" t="s">
        <v>348</v>
      </c>
      <c r="D13797" s="161" t="s">
        <v>74</v>
      </c>
      <c r="E13797" s="135">
        <f t="shared" si="62"/>
        <v>29</v>
      </c>
      <c r="F13797" s="134" t="s">
        <v>3817</v>
      </c>
      <c r="G13797" s="63" t="str">
        <f>VLOOKUP(C13797, 'Class Def. - General Data'!$C$20:$C$1000,1,false)</f>
        <v>ZSI1_SPROCKET</v>
      </c>
      <c r="H13797" s="63" t="str">
        <f>IFERROR(__xludf.DUMMYFUNCTION("VLOOKUP(F13797, IMPORTRANGE(""https://docs.google.com/spreadsheets/d/1Lhp9OU0JdFf_VYSMzH5lBcEaU4o8teT1piV-SNzShjg/edit?gid=554141278#gid=554141278"", ""'Char Def. - Attributes'!C20:C2242""), 1,false)"),"ALT_DENUM_UOM5")</f>
        <v>ALT_DENUM_UOM5</v>
      </c>
      <c r="I13797" s="136"/>
      <c r="R13797" s="63" t="str">
        <f t="shared" si="60"/>
        <v>ZSI1_SPROCKETALT_DENUM_UOM5</v>
      </c>
    </row>
    <row r="13798" ht="15.75" customHeight="1">
      <c r="B13798" s="63">
        <f t="shared" si="1"/>
        <v>13</v>
      </c>
      <c r="C13798" s="135" t="s">
        <v>348</v>
      </c>
      <c r="D13798" s="161" t="s">
        <v>74</v>
      </c>
      <c r="E13798" s="135">
        <f t="shared" si="62"/>
        <v>30</v>
      </c>
      <c r="F13798" s="134" t="s">
        <v>3818</v>
      </c>
      <c r="G13798" s="63" t="str">
        <f>VLOOKUP(C13798, 'Class Def. - General Data'!$C$20:$C$1000,1,false)</f>
        <v>ZSI1_SPROCKET</v>
      </c>
      <c r="H13798" s="63" t="str">
        <f>IFERROR(__xludf.DUMMYFUNCTION("VLOOKUP(F13798, IMPORTRANGE(""https://docs.google.com/spreadsheets/d/1Lhp9OU0JdFf_VYSMzH5lBcEaU4o8teT1piV-SNzShjg/edit?gid=554141278#gid=554141278"", ""'Char Def. - Attributes'!C20:C2242""), 1,false)"),"ALT_NUM_UOM5")</f>
        <v>ALT_NUM_UOM5</v>
      </c>
      <c r="I13798" s="136"/>
      <c r="R13798" s="63" t="str">
        <f t="shared" si="60"/>
        <v>ZSI1_SPROCKETALT_NUM_UOM5</v>
      </c>
    </row>
    <row r="13799" ht="15.75" customHeight="1">
      <c r="B13799" s="63">
        <f t="shared" si="1"/>
        <v>17</v>
      </c>
      <c r="C13799" s="135" t="s">
        <v>469</v>
      </c>
      <c r="D13799" s="161" t="s">
        <v>74</v>
      </c>
      <c r="E13799" s="135">
        <f t="shared" si="62"/>
        <v>1</v>
      </c>
      <c r="F13799" s="134" t="s">
        <v>5468</v>
      </c>
      <c r="G13799" s="63" t="str">
        <f>VLOOKUP(C13799, 'Class Def. - General Data'!$C$20:$C$1000,1,false)</f>
        <v>ZSI1_STORAGE_TANK</v>
      </c>
      <c r="H13799" s="63" t="str">
        <f>IFERROR(__xludf.DUMMYFUNCTION("VLOOKUP(F13799, IMPORTRANGE(""https://docs.google.com/spreadsheets/d/1Lhp9OU0JdFf_VYSMzH5lBcEaU4o8teT1piV-SNzShjg/edit?gid=554141278#gid=554141278"", ""'Char Def. - Attributes'!C20:C2242""), 1,false)"),"ITEM_NAME_STORAGE_TANK")</f>
        <v>ITEM_NAME_STORAGE_TANK</v>
      </c>
      <c r="I13799" s="136"/>
      <c r="R13799" s="63" t="str">
        <f t="shared" si="60"/>
        <v>ZSI1_STORAGE_TANKITEM_NAME_STORAGE_TANK</v>
      </c>
    </row>
    <row r="13800" ht="15.75" customHeight="1">
      <c r="B13800" s="63">
        <f t="shared" si="1"/>
        <v>17</v>
      </c>
      <c r="C13800" s="135" t="s">
        <v>469</v>
      </c>
      <c r="D13800" s="161" t="s">
        <v>74</v>
      </c>
      <c r="E13800" s="135">
        <f t="shared" si="62"/>
        <v>2</v>
      </c>
      <c r="F13800" s="134" t="s">
        <v>5469</v>
      </c>
      <c r="G13800" s="63" t="str">
        <f>VLOOKUP(C13800, 'Class Def. - General Data'!$C$20:$C$1000,1,false)</f>
        <v>ZSI1_STORAGE_TANK</v>
      </c>
      <c r="H13800" s="63" t="str">
        <f>IFERROR(__xludf.DUMMYFUNCTION("VLOOKUP(F13800, IMPORTRANGE(""https://docs.google.com/spreadsheets/d/1Lhp9OU0JdFf_VYSMzH5lBcEaU4o8teT1piV-SNzShjg/edit?gid=554141278#gid=554141278"", ""'Char Def. - Attributes'!C20:C2242""), 1,false)"),"TANK_TYPE_STORAGE_TANK")</f>
        <v>TANK_TYPE_STORAGE_TANK</v>
      </c>
      <c r="I13800" s="136"/>
      <c r="R13800" s="63" t="str">
        <f t="shared" si="60"/>
        <v>ZSI1_STORAGE_TANKTANK_TYPE_STORAGE_TANK</v>
      </c>
    </row>
    <row r="13801" ht="15.75" customHeight="1">
      <c r="B13801" s="63">
        <f t="shared" si="1"/>
        <v>17</v>
      </c>
      <c r="C13801" s="135" t="s">
        <v>469</v>
      </c>
      <c r="D13801" s="161" t="s">
        <v>74</v>
      </c>
      <c r="E13801" s="135">
        <f t="shared" si="62"/>
        <v>3</v>
      </c>
      <c r="F13801" s="134" t="s">
        <v>5470</v>
      </c>
      <c r="G13801" s="63" t="str">
        <f>VLOOKUP(C13801, 'Class Def. - General Data'!$C$20:$C$1000,1,false)</f>
        <v>ZSI1_STORAGE_TANK</v>
      </c>
      <c r="H13801" s="63" t="str">
        <f>IFERROR(__xludf.DUMMYFUNCTION("VLOOKUP(F13801, IMPORTRANGE(""https://docs.google.com/spreadsheets/d/1Lhp9OU0JdFf_VYSMzH5lBcEaU4o8teT1piV-SNzShjg/edit?gid=554141278#gid=554141278"", ""'Char Def. - Attributes'!C20:C2242""), 1,false)"),"MATERIAL_STORAGE_TANK")</f>
        <v>MATERIAL_STORAGE_TANK</v>
      </c>
      <c r="I13801" s="136"/>
      <c r="R13801" s="63" t="str">
        <f t="shared" si="60"/>
        <v>ZSI1_STORAGE_TANKMATERIAL_STORAGE_TANK</v>
      </c>
    </row>
    <row r="13802" ht="15.75" customHeight="1">
      <c r="B13802" s="63">
        <f t="shared" si="1"/>
        <v>17</v>
      </c>
      <c r="C13802" s="135" t="s">
        <v>469</v>
      </c>
      <c r="D13802" s="161" t="s">
        <v>74</v>
      </c>
      <c r="E13802" s="135">
        <f t="shared" si="62"/>
        <v>4</v>
      </c>
      <c r="F13802" s="134" t="s">
        <v>5471</v>
      </c>
      <c r="G13802" s="63" t="str">
        <f>VLOOKUP(C13802, 'Class Def. - General Data'!$C$20:$C$1000,1,false)</f>
        <v>ZSI1_STORAGE_TANK</v>
      </c>
      <c r="H13802" s="63" t="str">
        <f>IFERROR(__xludf.DUMMYFUNCTION("VLOOKUP(F13802, IMPORTRANGE(""https://docs.google.com/spreadsheets/d/1Lhp9OU0JdFf_VYSMzH5lBcEaU4o8teT1piV-SNzShjg/edit?gid=554141278#gid=554141278"", ""'Char Def. - Attributes'!C20:C2242""), 1,false)"),"CAPACITY_L_STORAGE_TANK")</f>
        <v>CAPACITY_L_STORAGE_TANK</v>
      </c>
      <c r="I13802" s="136"/>
      <c r="R13802" s="63" t="str">
        <f t="shared" si="60"/>
        <v>ZSI1_STORAGE_TANKCAPACITY_L_STORAGE_TANK</v>
      </c>
    </row>
    <row r="13803" ht="15.75" customHeight="1">
      <c r="B13803" s="63">
        <f t="shared" si="1"/>
        <v>17</v>
      </c>
      <c r="C13803" s="135" t="s">
        <v>469</v>
      </c>
      <c r="D13803" s="161" t="s">
        <v>74</v>
      </c>
      <c r="E13803" s="135">
        <f t="shared" si="62"/>
        <v>5</v>
      </c>
      <c r="F13803" s="134" t="s">
        <v>4062</v>
      </c>
      <c r="G13803" s="63" t="str">
        <f>VLOOKUP(C13803, 'Class Def. - General Data'!$C$20:$C$1000,1,false)</f>
        <v>ZSI1_STORAGE_TANK</v>
      </c>
      <c r="H13803" s="63" t="str">
        <f>IFERROR(__xludf.DUMMYFUNCTION("VLOOKUP(F13803, IMPORTRANGE(""https://docs.google.com/spreadsheets/d/1Lhp9OU0JdFf_VYSMzH5lBcEaU4o8teT1piV-SNzShjg/edit?gid=554141278#gid=554141278"", ""'Char Def. - Attributes'!C20:C2242""), 1,false)"),"#N/A")</f>
        <v>#N/A</v>
      </c>
      <c r="I13803" s="136"/>
      <c r="R13803" s="63" t="str">
        <f t="shared" si="60"/>
        <v>ZSI1_STORAGE_TANKADDTIONAL_SPECIFICATION</v>
      </c>
    </row>
    <row r="13804" ht="15.75" customHeight="1">
      <c r="B13804" s="63">
        <f t="shared" si="1"/>
        <v>17</v>
      </c>
      <c r="C13804" s="135" t="s">
        <v>469</v>
      </c>
      <c r="D13804" s="161" t="s">
        <v>74</v>
      </c>
      <c r="E13804" s="135">
        <f t="shared" si="62"/>
        <v>6</v>
      </c>
      <c r="F13804" s="134" t="s">
        <v>4053</v>
      </c>
      <c r="G13804" s="63" t="str">
        <f>VLOOKUP(C13804, 'Class Def. - General Data'!$C$20:$C$1000,1,false)</f>
        <v>ZSI1_STORAGE_TANK</v>
      </c>
      <c r="H13804" s="63" t="str">
        <f>IFERROR(__xludf.DUMMYFUNCTION("VLOOKUP(F13804, IMPORTRANGE(""https://docs.google.com/spreadsheets/d/1Lhp9OU0JdFf_VYSMzH5lBcEaU4o8teT1piV-SNzShjg/edit?gid=554141278#gid=554141278"", ""'Char Def. - Attributes'!C20:C2242""), 1,false)"),"MAINTENANCE_ORDER_TYPE")</f>
        <v>MAINTENANCE_ORDER_TYPE</v>
      </c>
      <c r="I13804" s="136"/>
      <c r="R13804" s="63" t="str">
        <f t="shared" si="60"/>
        <v>ZSI1_STORAGE_TANKMAINTENANCE_ORDER_TYPE</v>
      </c>
    </row>
    <row r="13805" ht="15.75" customHeight="1">
      <c r="B13805" s="63">
        <f t="shared" si="1"/>
        <v>17</v>
      </c>
      <c r="C13805" s="135" t="s">
        <v>469</v>
      </c>
      <c r="D13805" s="161" t="s">
        <v>74</v>
      </c>
      <c r="E13805" s="135">
        <f t="shared" si="62"/>
        <v>7</v>
      </c>
      <c r="F13805" s="134" t="s">
        <v>3585</v>
      </c>
      <c r="G13805" s="63" t="str">
        <f>VLOOKUP(C13805, 'Class Def. - General Data'!$C$20:$C$1000,1,false)</f>
        <v>ZSI1_STORAGE_TANK</v>
      </c>
      <c r="H13805" s="63" t="str">
        <f>IFERROR(__xludf.DUMMYFUNCTION("VLOOKUP(F13805, IMPORTRANGE(""https://docs.google.com/spreadsheets/d/1Lhp9OU0JdFf_VYSMzH5lBcEaU4o8teT1piV-SNzShjg/edit?gid=554141278#gid=554141278"", ""'Char Def. - Attributes'!C20:C2242""), 1,false)"),"HS_CODE")</f>
        <v>HS_CODE</v>
      </c>
      <c r="I13805" s="136"/>
      <c r="R13805" s="63" t="str">
        <f t="shared" si="60"/>
        <v>ZSI1_STORAGE_TANKHS_CODE</v>
      </c>
    </row>
    <row r="13806" ht="15.75" customHeight="1">
      <c r="B13806" s="63">
        <f t="shared" si="1"/>
        <v>17</v>
      </c>
      <c r="C13806" s="135" t="s">
        <v>469</v>
      </c>
      <c r="D13806" s="161" t="s">
        <v>74</v>
      </c>
      <c r="E13806" s="135">
        <f t="shared" si="62"/>
        <v>8</v>
      </c>
      <c r="F13806" s="134" t="s">
        <v>3587</v>
      </c>
      <c r="G13806" s="63" t="str">
        <f>VLOOKUP(C13806, 'Class Def. - General Data'!$C$20:$C$1000,1,false)</f>
        <v>ZSI1_STORAGE_TANK</v>
      </c>
      <c r="H13806" s="63" t="str">
        <f>IFERROR(__xludf.DUMMYFUNCTION("VLOOKUP(F13806, IMPORTRANGE(""https://docs.google.com/spreadsheets/d/1Lhp9OU0JdFf_VYSMzH5lBcEaU4o8teT1piV-SNzShjg/edit?gid=554141278#gid=554141278"", ""'Char Def. - Attributes'!C20:C2242""), 1,false)"),"PLANT_BUY")</f>
        <v>PLANT_BUY</v>
      </c>
      <c r="I13806" s="136"/>
      <c r="R13806" s="63" t="str">
        <f t="shared" si="60"/>
        <v>ZSI1_STORAGE_TANKPLANT_BUY</v>
      </c>
    </row>
    <row r="13807" ht="15.75" customHeight="1">
      <c r="B13807" s="63">
        <f t="shared" si="1"/>
        <v>17</v>
      </c>
      <c r="C13807" s="135" t="s">
        <v>469</v>
      </c>
      <c r="D13807" s="161" t="s">
        <v>74</v>
      </c>
      <c r="E13807" s="135">
        <f t="shared" si="62"/>
        <v>9</v>
      </c>
      <c r="F13807" s="134" t="s">
        <v>5472</v>
      </c>
      <c r="G13807" s="63" t="str">
        <f>VLOOKUP(C13807, 'Class Def. - General Data'!$C$20:$C$1000,1,false)</f>
        <v>ZSI1_STORAGE_TANK</v>
      </c>
      <c r="H13807" s="63" t="str">
        <f>IFERROR(__xludf.DUMMYFUNCTION("VLOOKUP(F13807, IMPORTRANGE(""https://docs.google.com/spreadsheets/d/1Lhp9OU0JdFf_VYSMzH5lBcEaU4o8teT1piV-SNzShjg/edit?gid=554141278#gid=554141278"", ""'Char Def. - Attributes'!C20:C2242""), 1,false)"),"BASE_UOM_STORAGE_TANK")</f>
        <v>BASE_UOM_STORAGE_TANK</v>
      </c>
      <c r="I13807" s="136"/>
      <c r="R13807" s="63" t="str">
        <f t="shared" si="60"/>
        <v>ZSI1_STORAGE_TANKBASE_UOM_STORAGE_TANK</v>
      </c>
    </row>
    <row r="13808" ht="15.75" customHeight="1">
      <c r="B13808" s="63">
        <f t="shared" si="1"/>
        <v>17</v>
      </c>
      <c r="C13808" s="135" t="s">
        <v>469</v>
      </c>
      <c r="D13808" s="161" t="s">
        <v>74</v>
      </c>
      <c r="E13808" s="135">
        <f t="shared" si="62"/>
        <v>10</v>
      </c>
      <c r="F13808" s="134" t="s">
        <v>5473</v>
      </c>
      <c r="G13808" s="63" t="str">
        <f>VLOOKUP(C13808, 'Class Def. - General Data'!$C$20:$C$1000,1,false)</f>
        <v>ZSI1_STORAGE_TANK</v>
      </c>
      <c r="H13808" s="63" t="str">
        <f>IFERROR(__xludf.DUMMYFUNCTION("VLOOKUP(F13808, IMPORTRANGE(""https://docs.google.com/spreadsheets/d/1Lhp9OU0JdFf_VYSMzH5lBcEaU4o8teT1piV-SNzShjg/edit?gid=554141278#gid=554141278"", ""'Char Def. - Attributes'!C20:C2242""), 1,false)"),"ORDER_UNIT_STORAGE_TANK")</f>
        <v>ORDER_UNIT_STORAGE_TANK</v>
      </c>
      <c r="I13808" s="136"/>
      <c r="R13808" s="63" t="str">
        <f t="shared" si="60"/>
        <v>ZSI1_STORAGE_TANKORDER_UNIT_STORAGE_TANK</v>
      </c>
    </row>
    <row r="13809" ht="15.75" customHeight="1">
      <c r="B13809" s="63">
        <f t="shared" si="1"/>
        <v>17</v>
      </c>
      <c r="C13809" s="135" t="s">
        <v>469</v>
      </c>
      <c r="D13809" s="161" t="s">
        <v>74</v>
      </c>
      <c r="E13809" s="135">
        <f t="shared" si="62"/>
        <v>11</v>
      </c>
      <c r="F13809" s="134" t="s">
        <v>4056</v>
      </c>
      <c r="G13809" s="63" t="str">
        <f>VLOOKUP(C13809, 'Class Def. - General Data'!$C$20:$C$1000,1,false)</f>
        <v>ZSI1_STORAGE_TANK</v>
      </c>
      <c r="H13809" s="63" t="str">
        <f>IFERROR(__xludf.DUMMYFUNCTION("VLOOKUP(F13809, IMPORTRANGE(""https://docs.google.com/spreadsheets/d/1Lhp9OU0JdFf_VYSMzH5lBcEaU4o8teT1piV-SNzShjg/edit?gid=554141278#gid=554141278"", ""'Char Def. - Attributes'!C20:C2242""), 1,false)"),"GROSS_WEIGHT_OPT")</f>
        <v>GROSS_WEIGHT_OPT</v>
      </c>
      <c r="I13809" s="136"/>
      <c r="R13809" s="63" t="str">
        <f t="shared" si="60"/>
        <v>ZSI1_STORAGE_TANKGROSS_WEIGHT_OPT</v>
      </c>
    </row>
    <row r="13810" ht="15.75" customHeight="1">
      <c r="B13810" s="63">
        <f t="shared" si="1"/>
        <v>17</v>
      </c>
      <c r="C13810" s="135" t="s">
        <v>469</v>
      </c>
      <c r="D13810" s="161" t="s">
        <v>74</v>
      </c>
      <c r="E13810" s="135">
        <f t="shared" si="62"/>
        <v>12</v>
      </c>
      <c r="F13810" s="134" t="s">
        <v>4057</v>
      </c>
      <c r="G13810" s="63" t="str">
        <f>VLOOKUP(C13810, 'Class Def. - General Data'!$C$20:$C$1000,1,false)</f>
        <v>ZSI1_STORAGE_TANK</v>
      </c>
      <c r="H13810" s="63" t="str">
        <f>IFERROR(__xludf.DUMMYFUNCTION("VLOOKUP(F13810, IMPORTRANGE(""https://docs.google.com/spreadsheets/d/1Lhp9OU0JdFf_VYSMzH5lBcEaU4o8teT1piV-SNzShjg/edit?gid=554141278#gid=554141278"", ""'Char Def. - Attributes'!C20:C2242""), 1,false)"),"NET_WEIGHT_OPT")</f>
        <v>NET_WEIGHT_OPT</v>
      </c>
      <c r="I13810" s="136"/>
      <c r="R13810" s="63" t="str">
        <f t="shared" si="60"/>
        <v>ZSI1_STORAGE_TANKNET_WEIGHT_OPT</v>
      </c>
    </row>
    <row r="13811" ht="15.75" customHeight="1">
      <c r="B13811" s="63">
        <f t="shared" si="1"/>
        <v>17</v>
      </c>
      <c r="C13811" s="135" t="s">
        <v>469</v>
      </c>
      <c r="D13811" s="161" t="s">
        <v>74</v>
      </c>
      <c r="E13811" s="135">
        <f t="shared" si="62"/>
        <v>13</v>
      </c>
      <c r="F13811" s="134" t="s">
        <v>4058</v>
      </c>
      <c r="G13811" s="63" t="str">
        <f>VLOOKUP(C13811, 'Class Def. - General Data'!$C$20:$C$1000,1,false)</f>
        <v>ZSI1_STORAGE_TANK</v>
      </c>
      <c r="H13811" s="63" t="str">
        <f>IFERROR(__xludf.DUMMYFUNCTION("VLOOKUP(F13811, IMPORTRANGE(""https://docs.google.com/spreadsheets/d/1Lhp9OU0JdFf_VYSMzH5lBcEaU4o8teT1piV-SNzShjg/edit?gid=554141278#gid=554141278"", ""'Char Def. - Attributes'!C20:C2242""), 1,false)"),"WEIGHT_UNIT_SI")</f>
        <v>WEIGHT_UNIT_SI</v>
      </c>
      <c r="I13811" s="136"/>
      <c r="R13811" s="63" t="str">
        <f t="shared" si="60"/>
        <v>ZSI1_STORAGE_TANKWEIGHT_UNIT_SI</v>
      </c>
    </row>
    <row r="13812" ht="15.75" customHeight="1">
      <c r="B13812" s="63">
        <f t="shared" si="1"/>
        <v>17</v>
      </c>
      <c r="C13812" s="135" t="s">
        <v>469</v>
      </c>
      <c r="D13812" s="161" t="s">
        <v>74</v>
      </c>
      <c r="E13812" s="135">
        <f t="shared" si="62"/>
        <v>14</v>
      </c>
      <c r="F13812" s="134" t="s">
        <v>3877</v>
      </c>
      <c r="G13812" s="63" t="str">
        <f>VLOOKUP(C13812, 'Class Def. - General Data'!$C$20:$C$1000,1,false)</f>
        <v>ZSI1_STORAGE_TANK</v>
      </c>
      <c r="H13812" s="63" t="str">
        <f>IFERROR(__xludf.DUMMYFUNCTION("VLOOKUP(F13812, IMPORTRANGE(""https://docs.google.com/spreadsheets/d/1Lhp9OU0JdFf_VYSMzH5lBcEaU4o8teT1piV-SNzShjg/edit?gid=554141278#gid=554141278"", ""'Char Def. - Attributes'!C20:C2242""), 1,false)"),"VOLUME_OPT")</f>
        <v>VOLUME_OPT</v>
      </c>
      <c r="I13812" s="136"/>
      <c r="R13812" s="63" t="str">
        <f t="shared" si="60"/>
        <v>ZSI1_STORAGE_TANKVOLUME_OPT</v>
      </c>
    </row>
    <row r="13813" ht="15.75" customHeight="1">
      <c r="B13813" s="63">
        <f t="shared" si="1"/>
        <v>17</v>
      </c>
      <c r="C13813" s="135" t="s">
        <v>469</v>
      </c>
      <c r="D13813" s="161" t="s">
        <v>74</v>
      </c>
      <c r="E13813" s="135">
        <f t="shared" si="62"/>
        <v>15</v>
      </c>
      <c r="F13813" s="134" t="s">
        <v>4059</v>
      </c>
      <c r="G13813" s="63" t="str">
        <f>VLOOKUP(C13813, 'Class Def. - General Data'!$C$20:$C$1000,1,false)</f>
        <v>ZSI1_STORAGE_TANK</v>
      </c>
      <c r="H13813" s="63" t="str">
        <f>IFERROR(__xludf.DUMMYFUNCTION("VLOOKUP(F13813, IMPORTRANGE(""https://docs.google.com/spreadsheets/d/1Lhp9OU0JdFf_VYSMzH5lBcEaU4o8teT1piV-SNzShjg/edit?gid=554141278#gid=554141278"", ""'Char Def. - Attributes'!C20:C2242""), 1,false)"),"VOLUME_UNIT_SI")</f>
        <v>VOLUME_UNIT_SI</v>
      </c>
      <c r="I13813" s="136"/>
      <c r="R13813" s="63" t="str">
        <f t="shared" si="60"/>
        <v>ZSI1_STORAGE_TANKVOLUME_UNIT_SI</v>
      </c>
    </row>
    <row r="13814" ht="15.75" customHeight="1">
      <c r="B13814" s="63">
        <f t="shared" si="1"/>
        <v>17</v>
      </c>
      <c r="C13814" s="135" t="s">
        <v>469</v>
      </c>
      <c r="D13814" s="161" t="s">
        <v>74</v>
      </c>
      <c r="E13814" s="135">
        <f t="shared" si="62"/>
        <v>16</v>
      </c>
      <c r="F13814" s="134" t="s">
        <v>3804</v>
      </c>
      <c r="G13814" s="63" t="str">
        <f>VLOOKUP(C13814, 'Class Def. - General Data'!$C$20:$C$1000,1,false)</f>
        <v>ZSI1_STORAGE_TANK</v>
      </c>
      <c r="H13814" s="63" t="str">
        <f>IFERROR(__xludf.DUMMYFUNCTION("VLOOKUP(F13814, IMPORTRANGE(""https://docs.google.com/spreadsheets/d/1Lhp9OU0JdFf_VYSMzH5lBcEaU4o8teT1piV-SNzShjg/edit?gid=554141278#gid=554141278"", ""'Char Def. - Attributes'!C20:C2242""), 1,false)"),"ALT_UOM1_SIPI")</f>
        <v>ALT_UOM1_SIPI</v>
      </c>
      <c r="I13814" s="136"/>
      <c r="R13814" s="63" t="str">
        <f t="shared" si="60"/>
        <v>ZSI1_STORAGE_TANKALT_UOM1_SIPI</v>
      </c>
    </row>
    <row r="13815" ht="15.75" customHeight="1">
      <c r="B13815" s="63">
        <f t="shared" si="1"/>
        <v>17</v>
      </c>
      <c r="C13815" s="135" t="s">
        <v>469</v>
      </c>
      <c r="D13815" s="161" t="s">
        <v>74</v>
      </c>
      <c r="E13815" s="135">
        <f t="shared" si="62"/>
        <v>17</v>
      </c>
      <c r="F13815" s="134" t="s">
        <v>3805</v>
      </c>
      <c r="G13815" s="63" t="str">
        <f>VLOOKUP(C13815, 'Class Def. - General Data'!$C$20:$C$1000,1,false)</f>
        <v>ZSI1_STORAGE_TANK</v>
      </c>
      <c r="H13815" s="63" t="str">
        <f>IFERROR(__xludf.DUMMYFUNCTION("VLOOKUP(F13815, IMPORTRANGE(""https://docs.google.com/spreadsheets/d/1Lhp9OU0JdFf_VYSMzH5lBcEaU4o8teT1piV-SNzShjg/edit?gid=554141278#gid=554141278"", ""'Char Def. - Attributes'!C20:C2242""), 1,false)"),"ALT_DENUM_UOM1")</f>
        <v>ALT_DENUM_UOM1</v>
      </c>
      <c r="I13815" s="136"/>
      <c r="R13815" s="63" t="str">
        <f t="shared" si="60"/>
        <v>ZSI1_STORAGE_TANKALT_DENUM_UOM1</v>
      </c>
    </row>
    <row r="13816" ht="15.75" customHeight="1">
      <c r="B13816" s="63">
        <f t="shared" si="1"/>
        <v>17</v>
      </c>
      <c r="C13816" s="135" t="s">
        <v>469</v>
      </c>
      <c r="D13816" s="161" t="s">
        <v>74</v>
      </c>
      <c r="E13816" s="135">
        <f t="shared" si="62"/>
        <v>18</v>
      </c>
      <c r="F13816" s="134" t="s">
        <v>3806</v>
      </c>
      <c r="G13816" s="63" t="str">
        <f>VLOOKUP(C13816, 'Class Def. - General Data'!$C$20:$C$1000,1,false)</f>
        <v>ZSI1_STORAGE_TANK</v>
      </c>
      <c r="H13816" s="63" t="str">
        <f>IFERROR(__xludf.DUMMYFUNCTION("VLOOKUP(F13816, IMPORTRANGE(""https://docs.google.com/spreadsheets/d/1Lhp9OU0JdFf_VYSMzH5lBcEaU4o8teT1piV-SNzShjg/edit?gid=554141278#gid=554141278"", ""'Char Def. - Attributes'!C20:C2242""), 1,false)"),"ALT_NUM_UOM1")</f>
        <v>ALT_NUM_UOM1</v>
      </c>
      <c r="I13816" s="136"/>
      <c r="R13816" s="63" t="str">
        <f t="shared" si="60"/>
        <v>ZSI1_STORAGE_TANKALT_NUM_UOM1</v>
      </c>
    </row>
    <row r="13817" ht="15.75" customHeight="1">
      <c r="B13817" s="63">
        <f t="shared" si="1"/>
        <v>17</v>
      </c>
      <c r="C13817" s="135" t="s">
        <v>469</v>
      </c>
      <c r="D13817" s="161" t="s">
        <v>74</v>
      </c>
      <c r="E13817" s="135">
        <f t="shared" si="62"/>
        <v>19</v>
      </c>
      <c r="F13817" s="134" t="s">
        <v>3807</v>
      </c>
      <c r="G13817" s="63" t="str">
        <f>VLOOKUP(C13817, 'Class Def. - General Data'!$C$20:$C$1000,1,false)</f>
        <v>ZSI1_STORAGE_TANK</v>
      </c>
      <c r="H13817" s="63" t="str">
        <f>IFERROR(__xludf.DUMMYFUNCTION("VLOOKUP(F13817, IMPORTRANGE(""https://docs.google.com/spreadsheets/d/1Lhp9OU0JdFf_VYSMzH5lBcEaU4o8teT1piV-SNzShjg/edit?gid=554141278#gid=554141278"", ""'Char Def. - Attributes'!C20:C2242""), 1,false)"),"ALT_UOM2_SIPI")</f>
        <v>ALT_UOM2_SIPI</v>
      </c>
      <c r="I13817" s="136"/>
      <c r="R13817" s="63" t="str">
        <f t="shared" si="60"/>
        <v>ZSI1_STORAGE_TANKALT_UOM2_SIPI</v>
      </c>
    </row>
    <row r="13818" ht="15.75" customHeight="1">
      <c r="B13818" s="63">
        <f t="shared" si="1"/>
        <v>17</v>
      </c>
      <c r="C13818" s="135" t="s">
        <v>469</v>
      </c>
      <c r="D13818" s="161" t="s">
        <v>74</v>
      </c>
      <c r="E13818" s="135">
        <f t="shared" si="62"/>
        <v>20</v>
      </c>
      <c r="F13818" s="134" t="s">
        <v>3808</v>
      </c>
      <c r="G13818" s="63" t="str">
        <f>VLOOKUP(C13818, 'Class Def. - General Data'!$C$20:$C$1000,1,false)</f>
        <v>ZSI1_STORAGE_TANK</v>
      </c>
      <c r="H13818" s="63" t="str">
        <f>IFERROR(__xludf.DUMMYFUNCTION("VLOOKUP(F13818, IMPORTRANGE(""https://docs.google.com/spreadsheets/d/1Lhp9OU0JdFf_VYSMzH5lBcEaU4o8teT1piV-SNzShjg/edit?gid=554141278#gid=554141278"", ""'Char Def. - Attributes'!C20:C2242""), 1,false)"),"ALT_DENUM_UOM2")</f>
        <v>ALT_DENUM_UOM2</v>
      </c>
      <c r="I13818" s="136"/>
      <c r="R13818" s="63" t="str">
        <f t="shared" si="60"/>
        <v>ZSI1_STORAGE_TANKALT_DENUM_UOM2</v>
      </c>
    </row>
    <row r="13819" ht="15.75" customHeight="1">
      <c r="B13819" s="63">
        <f t="shared" si="1"/>
        <v>17</v>
      </c>
      <c r="C13819" s="135" t="s">
        <v>469</v>
      </c>
      <c r="D13819" s="161" t="s">
        <v>74</v>
      </c>
      <c r="E13819" s="135">
        <f t="shared" si="62"/>
        <v>21</v>
      </c>
      <c r="F13819" s="134" t="s">
        <v>3809</v>
      </c>
      <c r="G13819" s="63" t="str">
        <f>VLOOKUP(C13819, 'Class Def. - General Data'!$C$20:$C$1000,1,false)</f>
        <v>ZSI1_STORAGE_TANK</v>
      </c>
      <c r="H13819" s="63" t="str">
        <f>IFERROR(__xludf.DUMMYFUNCTION("VLOOKUP(F13819, IMPORTRANGE(""https://docs.google.com/spreadsheets/d/1Lhp9OU0JdFf_VYSMzH5lBcEaU4o8teT1piV-SNzShjg/edit?gid=554141278#gid=554141278"", ""'Char Def. - Attributes'!C20:C2242""), 1,false)"),"ALT_NUM_UOM2")</f>
        <v>ALT_NUM_UOM2</v>
      </c>
      <c r="I13819" s="136"/>
      <c r="R13819" s="63" t="str">
        <f t="shared" si="60"/>
        <v>ZSI1_STORAGE_TANKALT_NUM_UOM2</v>
      </c>
    </row>
    <row r="13820" ht="15.75" customHeight="1">
      <c r="B13820" s="63">
        <f t="shared" si="1"/>
        <v>17</v>
      </c>
      <c r="C13820" s="135" t="s">
        <v>469</v>
      </c>
      <c r="D13820" s="161" t="s">
        <v>74</v>
      </c>
      <c r="E13820" s="135">
        <f t="shared" si="62"/>
        <v>22</v>
      </c>
      <c r="F13820" s="134" t="s">
        <v>3810</v>
      </c>
      <c r="G13820" s="63" t="str">
        <f>VLOOKUP(C13820, 'Class Def. - General Data'!$C$20:$C$1000,1,false)</f>
        <v>ZSI1_STORAGE_TANK</v>
      </c>
      <c r="H13820" s="63" t="str">
        <f>IFERROR(__xludf.DUMMYFUNCTION("VLOOKUP(F13820, IMPORTRANGE(""https://docs.google.com/spreadsheets/d/1Lhp9OU0JdFf_VYSMzH5lBcEaU4o8teT1piV-SNzShjg/edit?gid=554141278#gid=554141278"", ""'Char Def. - Attributes'!C20:C2242""), 1,false)"),"ALT_UOM3_SIPI")</f>
        <v>ALT_UOM3_SIPI</v>
      </c>
      <c r="I13820" s="136"/>
      <c r="R13820" s="63" t="str">
        <f t="shared" si="60"/>
        <v>ZSI1_STORAGE_TANKALT_UOM3_SIPI</v>
      </c>
    </row>
    <row r="13821" ht="15.75" customHeight="1">
      <c r="B13821" s="63">
        <f t="shared" si="1"/>
        <v>17</v>
      </c>
      <c r="C13821" s="135" t="s">
        <v>469</v>
      </c>
      <c r="D13821" s="161" t="s">
        <v>74</v>
      </c>
      <c r="E13821" s="135">
        <f t="shared" si="62"/>
        <v>23</v>
      </c>
      <c r="F13821" s="134" t="s">
        <v>3811</v>
      </c>
      <c r="G13821" s="63" t="str">
        <f>VLOOKUP(C13821, 'Class Def. - General Data'!$C$20:$C$1000,1,false)</f>
        <v>ZSI1_STORAGE_TANK</v>
      </c>
      <c r="H13821" s="63" t="str">
        <f>IFERROR(__xludf.DUMMYFUNCTION("VLOOKUP(F13821, IMPORTRANGE(""https://docs.google.com/spreadsheets/d/1Lhp9OU0JdFf_VYSMzH5lBcEaU4o8teT1piV-SNzShjg/edit?gid=554141278#gid=554141278"", ""'Char Def. - Attributes'!C20:C2242""), 1,false)"),"ALT_DENUM_UOM3")</f>
        <v>ALT_DENUM_UOM3</v>
      </c>
      <c r="I13821" s="136"/>
      <c r="R13821" s="63" t="str">
        <f t="shared" si="60"/>
        <v>ZSI1_STORAGE_TANKALT_DENUM_UOM3</v>
      </c>
    </row>
    <row r="13822" ht="15.75" customHeight="1">
      <c r="B13822" s="63">
        <f t="shared" si="1"/>
        <v>17</v>
      </c>
      <c r="C13822" s="135" t="s">
        <v>469</v>
      </c>
      <c r="D13822" s="161" t="s">
        <v>74</v>
      </c>
      <c r="E13822" s="135">
        <f t="shared" si="62"/>
        <v>24</v>
      </c>
      <c r="F13822" s="134" t="s">
        <v>3812</v>
      </c>
      <c r="G13822" s="63" t="str">
        <f>VLOOKUP(C13822, 'Class Def. - General Data'!$C$20:$C$1000,1,false)</f>
        <v>ZSI1_STORAGE_TANK</v>
      </c>
      <c r="H13822" s="63" t="str">
        <f>IFERROR(__xludf.DUMMYFUNCTION("VLOOKUP(F13822, IMPORTRANGE(""https://docs.google.com/spreadsheets/d/1Lhp9OU0JdFf_VYSMzH5lBcEaU4o8teT1piV-SNzShjg/edit?gid=554141278#gid=554141278"", ""'Char Def. - Attributes'!C20:C2242""), 1,false)"),"ALT_NUM_UOM3")</f>
        <v>ALT_NUM_UOM3</v>
      </c>
      <c r="I13822" s="136"/>
      <c r="R13822" s="63" t="str">
        <f t="shared" si="60"/>
        <v>ZSI1_STORAGE_TANKALT_NUM_UOM3</v>
      </c>
    </row>
    <row r="13823" ht="15.75" customHeight="1">
      <c r="B13823" s="63">
        <f t="shared" si="1"/>
        <v>17</v>
      </c>
      <c r="C13823" s="135" t="s">
        <v>469</v>
      </c>
      <c r="D13823" s="161" t="s">
        <v>74</v>
      </c>
      <c r="E13823" s="135">
        <f t="shared" si="62"/>
        <v>25</v>
      </c>
      <c r="F13823" s="134" t="s">
        <v>3813</v>
      </c>
      <c r="G13823" s="63" t="str">
        <f>VLOOKUP(C13823, 'Class Def. - General Data'!$C$20:$C$1000,1,false)</f>
        <v>ZSI1_STORAGE_TANK</v>
      </c>
      <c r="H13823" s="63" t="str">
        <f>IFERROR(__xludf.DUMMYFUNCTION("VLOOKUP(F13823, IMPORTRANGE(""https://docs.google.com/spreadsheets/d/1Lhp9OU0JdFf_VYSMzH5lBcEaU4o8teT1piV-SNzShjg/edit?gid=554141278#gid=554141278"", ""'Char Def. - Attributes'!C20:C2242""), 1,false)"),"ALT_UOM4_SIPI")</f>
        <v>ALT_UOM4_SIPI</v>
      </c>
      <c r="I13823" s="136"/>
      <c r="R13823" s="63" t="str">
        <f t="shared" si="60"/>
        <v>ZSI1_STORAGE_TANKALT_UOM4_SIPI</v>
      </c>
    </row>
    <row r="13824" ht="15.75" customHeight="1">
      <c r="B13824" s="63">
        <f t="shared" si="1"/>
        <v>17</v>
      </c>
      <c r="C13824" s="135" t="s">
        <v>469</v>
      </c>
      <c r="D13824" s="161" t="s">
        <v>74</v>
      </c>
      <c r="E13824" s="135">
        <f t="shared" si="62"/>
        <v>26</v>
      </c>
      <c r="F13824" s="134" t="s">
        <v>3814</v>
      </c>
      <c r="G13824" s="63" t="str">
        <f>VLOOKUP(C13824, 'Class Def. - General Data'!$C$20:$C$1000,1,false)</f>
        <v>ZSI1_STORAGE_TANK</v>
      </c>
      <c r="H13824" s="63" t="str">
        <f>IFERROR(__xludf.DUMMYFUNCTION("VLOOKUP(F13824, IMPORTRANGE(""https://docs.google.com/spreadsheets/d/1Lhp9OU0JdFf_VYSMzH5lBcEaU4o8teT1piV-SNzShjg/edit?gid=554141278#gid=554141278"", ""'Char Def. - Attributes'!C20:C2242""), 1,false)"),"ALT_DENUM_UOM4")</f>
        <v>ALT_DENUM_UOM4</v>
      </c>
      <c r="I13824" s="136"/>
      <c r="R13824" s="63" t="str">
        <f t="shared" si="60"/>
        <v>ZSI1_STORAGE_TANKALT_DENUM_UOM4</v>
      </c>
    </row>
    <row r="13825" ht="15.75" customHeight="1">
      <c r="B13825" s="63">
        <f t="shared" si="1"/>
        <v>17</v>
      </c>
      <c r="C13825" s="135" t="s">
        <v>469</v>
      </c>
      <c r="D13825" s="161" t="s">
        <v>74</v>
      </c>
      <c r="E13825" s="135">
        <f t="shared" si="62"/>
        <v>27</v>
      </c>
      <c r="F13825" s="134" t="s">
        <v>3815</v>
      </c>
      <c r="G13825" s="63" t="str">
        <f>VLOOKUP(C13825, 'Class Def. - General Data'!$C$20:$C$1000,1,false)</f>
        <v>ZSI1_STORAGE_TANK</v>
      </c>
      <c r="H13825" s="63" t="str">
        <f>IFERROR(__xludf.DUMMYFUNCTION("VLOOKUP(F13825, IMPORTRANGE(""https://docs.google.com/spreadsheets/d/1Lhp9OU0JdFf_VYSMzH5lBcEaU4o8teT1piV-SNzShjg/edit?gid=554141278#gid=554141278"", ""'Char Def. - Attributes'!C20:C2242""), 1,false)"),"ALT_NUM_UOM4")</f>
        <v>ALT_NUM_UOM4</v>
      </c>
      <c r="I13825" s="136"/>
      <c r="R13825" s="63" t="str">
        <f t="shared" si="60"/>
        <v>ZSI1_STORAGE_TANKALT_NUM_UOM4</v>
      </c>
    </row>
    <row r="13826" ht="15.75" customHeight="1">
      <c r="B13826" s="63">
        <f t="shared" si="1"/>
        <v>17</v>
      </c>
      <c r="C13826" s="135" t="s">
        <v>469</v>
      </c>
      <c r="D13826" s="161" t="s">
        <v>74</v>
      </c>
      <c r="E13826" s="135">
        <f t="shared" si="62"/>
        <v>28</v>
      </c>
      <c r="F13826" s="134" t="s">
        <v>3816</v>
      </c>
      <c r="G13826" s="63" t="str">
        <f>VLOOKUP(C13826, 'Class Def. - General Data'!$C$20:$C$1000,1,false)</f>
        <v>ZSI1_STORAGE_TANK</v>
      </c>
      <c r="H13826" s="63" t="str">
        <f>IFERROR(__xludf.DUMMYFUNCTION("VLOOKUP(F13826, IMPORTRANGE(""https://docs.google.com/spreadsheets/d/1Lhp9OU0JdFf_VYSMzH5lBcEaU4o8teT1piV-SNzShjg/edit?gid=554141278#gid=554141278"", ""'Char Def. - Attributes'!C20:C2242""), 1,false)"),"ALT_UOM5_SIPI")</f>
        <v>ALT_UOM5_SIPI</v>
      </c>
      <c r="I13826" s="136"/>
      <c r="R13826" s="63" t="str">
        <f t="shared" si="60"/>
        <v>ZSI1_STORAGE_TANKALT_UOM5_SIPI</v>
      </c>
    </row>
    <row r="13827" ht="15.75" customHeight="1">
      <c r="B13827" s="63">
        <f t="shared" si="1"/>
        <v>17</v>
      </c>
      <c r="C13827" s="135" t="s">
        <v>469</v>
      </c>
      <c r="D13827" s="161" t="s">
        <v>74</v>
      </c>
      <c r="E13827" s="135">
        <f t="shared" si="62"/>
        <v>29</v>
      </c>
      <c r="F13827" s="134" t="s">
        <v>3817</v>
      </c>
      <c r="G13827" s="63" t="str">
        <f>VLOOKUP(C13827, 'Class Def. - General Data'!$C$20:$C$1000,1,false)</f>
        <v>ZSI1_STORAGE_TANK</v>
      </c>
      <c r="H13827" s="63" t="str">
        <f>IFERROR(__xludf.DUMMYFUNCTION("VLOOKUP(F13827, IMPORTRANGE(""https://docs.google.com/spreadsheets/d/1Lhp9OU0JdFf_VYSMzH5lBcEaU4o8teT1piV-SNzShjg/edit?gid=554141278#gid=554141278"", ""'Char Def. - Attributes'!C20:C2242""), 1,false)"),"ALT_DENUM_UOM5")</f>
        <v>ALT_DENUM_UOM5</v>
      </c>
      <c r="I13827" s="136"/>
      <c r="R13827" s="63" t="str">
        <f t="shared" si="60"/>
        <v>ZSI1_STORAGE_TANKALT_DENUM_UOM5</v>
      </c>
    </row>
    <row r="13828" ht="15.75" customHeight="1">
      <c r="B13828" s="63">
        <f t="shared" si="1"/>
        <v>17</v>
      </c>
      <c r="C13828" s="135" t="s">
        <v>469</v>
      </c>
      <c r="D13828" s="161" t="s">
        <v>74</v>
      </c>
      <c r="E13828" s="135">
        <f t="shared" si="62"/>
        <v>30</v>
      </c>
      <c r="F13828" s="134" t="s">
        <v>3818</v>
      </c>
      <c r="G13828" s="63" t="str">
        <f>VLOOKUP(C13828, 'Class Def. - General Data'!$C$20:$C$1000,1,false)</f>
        <v>ZSI1_STORAGE_TANK</v>
      </c>
      <c r="H13828" s="63" t="str">
        <f>IFERROR(__xludf.DUMMYFUNCTION("VLOOKUP(F13828, IMPORTRANGE(""https://docs.google.com/spreadsheets/d/1Lhp9OU0JdFf_VYSMzH5lBcEaU4o8teT1piV-SNzShjg/edit?gid=554141278#gid=554141278"", ""'Char Def. - Attributes'!C20:C2242""), 1,false)"),"ALT_NUM_UOM5")</f>
        <v>ALT_NUM_UOM5</v>
      </c>
      <c r="I13828" s="136"/>
      <c r="R13828" s="63" t="str">
        <f t="shared" si="60"/>
        <v>ZSI1_STORAGE_TANKALT_NUM_UOM5</v>
      </c>
    </row>
    <row r="13829" ht="15.75" customHeight="1">
      <c r="B13829" s="63">
        <f t="shared" si="1"/>
        <v>17</v>
      </c>
      <c r="C13829" s="135" t="s">
        <v>470</v>
      </c>
      <c r="D13829" s="161" t="s">
        <v>74</v>
      </c>
      <c r="E13829" s="135">
        <f t="shared" si="62"/>
        <v>1</v>
      </c>
      <c r="F13829" s="134" t="s">
        <v>5474</v>
      </c>
      <c r="G13829" s="63" t="str">
        <f>VLOOKUP(C13829, 'Class Def. - General Data'!$C$20:$C$1000,1,false)</f>
        <v>ZSI1_SURVEILLANCE</v>
      </c>
      <c r="H13829" s="63" t="str">
        <f>IFERROR(__xludf.DUMMYFUNCTION("VLOOKUP(F13829, IMPORTRANGE(""https://docs.google.com/spreadsheets/d/1Lhp9OU0JdFf_VYSMzH5lBcEaU4o8teT1piV-SNzShjg/edit?gid=554141278#gid=554141278"", ""'Char Def. - Attributes'!C20:C2242""), 1,false)"),"ITEM_NAME_SURVEILLANCE")</f>
        <v>ITEM_NAME_SURVEILLANCE</v>
      </c>
      <c r="I13829" s="136"/>
      <c r="R13829" s="63" t="str">
        <f t="shared" si="60"/>
        <v>ZSI1_SURVEILLANCEITEM_NAME_SURVEILLANCE</v>
      </c>
    </row>
    <row r="13830" ht="15.75" customHeight="1">
      <c r="B13830" s="63">
        <f t="shared" si="1"/>
        <v>17</v>
      </c>
      <c r="C13830" s="135" t="s">
        <v>470</v>
      </c>
      <c r="D13830" s="161" t="s">
        <v>74</v>
      </c>
      <c r="E13830" s="135">
        <f t="shared" si="62"/>
        <v>2</v>
      </c>
      <c r="F13830" s="135" t="s">
        <v>5475</v>
      </c>
      <c r="G13830" s="63" t="str">
        <f>VLOOKUP(C13830, 'Class Def. - General Data'!$C$20:$C$1000,1,false)</f>
        <v>ZSI1_SURVEILLANCE</v>
      </c>
      <c r="H13830" s="63" t="str">
        <f>IFERROR(__xludf.DUMMYFUNCTION("VLOOKUP(F13830, IMPORTRANGE(""https://docs.google.com/spreadsheets/d/1Lhp9OU0JdFf_VYSMzH5lBcEaU4o8teT1piV-SNzShjg/edit?gid=554141278#gid=554141278"", ""'Char Def. - Attributes'!C20:C2242""), 1,false)"),"#N/A")</f>
        <v>#N/A</v>
      </c>
      <c r="I13830" s="136"/>
      <c r="R13830" s="63" t="str">
        <f t="shared" si="60"/>
        <v>ZSI1_SURVEILLANCETYPE_SURVEILLANCE</v>
      </c>
    </row>
    <row r="13831" ht="15.75" customHeight="1">
      <c r="B13831" s="63">
        <f t="shared" si="1"/>
        <v>17</v>
      </c>
      <c r="C13831" s="135" t="s">
        <v>470</v>
      </c>
      <c r="D13831" s="161" t="s">
        <v>74</v>
      </c>
      <c r="E13831" s="135">
        <f t="shared" si="62"/>
        <v>3</v>
      </c>
      <c r="F13831" s="134" t="s">
        <v>3782</v>
      </c>
      <c r="G13831" s="63" t="str">
        <f>VLOOKUP(C13831, 'Class Def. - General Data'!$C$20:$C$1000,1,false)</f>
        <v>ZSI1_SURVEILLANCE</v>
      </c>
      <c r="H13831" s="63" t="str">
        <f>IFERROR(__xludf.DUMMYFUNCTION("VLOOKUP(F13831, IMPORTRANGE(""https://docs.google.com/spreadsheets/d/1Lhp9OU0JdFf_VYSMzH5lBcEaU4o8teT1piV-SNzShjg/edit?gid=554141278#gid=554141278"", ""'Char Def. - Attributes'!C20:C2242""), 1,false)"),"BRAND_EXTERNAL")</f>
        <v>BRAND_EXTERNAL</v>
      </c>
      <c r="I13831" s="136"/>
      <c r="R13831" s="63" t="str">
        <f t="shared" si="60"/>
        <v>ZSI1_SURVEILLANCEBRAND_EXTERNAL</v>
      </c>
    </row>
    <row r="13832" ht="15.75" customHeight="1">
      <c r="B13832" s="63">
        <f t="shared" si="1"/>
        <v>17</v>
      </c>
      <c r="C13832" s="135" t="s">
        <v>470</v>
      </c>
      <c r="D13832" s="161" t="s">
        <v>74</v>
      </c>
      <c r="E13832" s="135">
        <f t="shared" si="62"/>
        <v>4</v>
      </c>
      <c r="F13832" s="135" t="s">
        <v>5476</v>
      </c>
      <c r="G13832" s="63" t="str">
        <f>VLOOKUP(C13832, 'Class Def. - General Data'!$C$20:$C$1000,1,false)</f>
        <v>ZSI1_SURVEILLANCE</v>
      </c>
      <c r="H13832" s="63" t="str">
        <f>IFERROR(__xludf.DUMMYFUNCTION("VLOOKUP(F13832, IMPORTRANGE(""https://docs.google.com/spreadsheets/d/1Lhp9OU0JdFf_VYSMzH5lBcEaU4o8teT1piV-SNzShjg/edit?gid=554141278#gid=554141278"", ""'Char Def. - Attributes'!C20:C2242""), 1,false)"),"#N/A")</f>
        <v>#N/A</v>
      </c>
      <c r="I13832" s="136"/>
      <c r="R13832" s="63" t="str">
        <f t="shared" si="60"/>
        <v>ZSI1_SURVEILLANCENVR_CHANNEL_SURVEILLANCE</v>
      </c>
    </row>
    <row r="13833" ht="15.75" customHeight="1">
      <c r="B13833" s="63">
        <f t="shared" si="1"/>
        <v>17</v>
      </c>
      <c r="C13833" s="135" t="s">
        <v>470</v>
      </c>
      <c r="D13833" s="161" t="s">
        <v>74</v>
      </c>
      <c r="E13833" s="135">
        <f t="shared" si="62"/>
        <v>5</v>
      </c>
      <c r="F13833" s="134" t="s">
        <v>3585</v>
      </c>
      <c r="G13833" s="63" t="str">
        <f>VLOOKUP(C13833, 'Class Def. - General Data'!$C$20:$C$1000,1,false)</f>
        <v>ZSI1_SURVEILLANCE</v>
      </c>
      <c r="H13833" s="63" t="str">
        <f>IFERROR(__xludf.DUMMYFUNCTION("VLOOKUP(F13833, IMPORTRANGE(""https://docs.google.com/spreadsheets/d/1Lhp9OU0JdFf_VYSMzH5lBcEaU4o8teT1piV-SNzShjg/edit?gid=554141278#gid=554141278"", ""'Char Def. - Attributes'!C20:C2242""), 1,false)"),"HS_CODE")</f>
        <v>HS_CODE</v>
      </c>
      <c r="I13833" s="136"/>
      <c r="R13833" s="63" t="str">
        <f t="shared" si="60"/>
        <v>ZSI1_SURVEILLANCEHS_CODE</v>
      </c>
    </row>
    <row r="13834" ht="15.75" customHeight="1">
      <c r="B13834" s="63">
        <f t="shared" si="1"/>
        <v>17</v>
      </c>
      <c r="C13834" s="135" t="s">
        <v>470</v>
      </c>
      <c r="D13834" s="161" t="s">
        <v>74</v>
      </c>
      <c r="E13834" s="135">
        <f t="shared" si="62"/>
        <v>6</v>
      </c>
      <c r="F13834" s="134" t="s">
        <v>3587</v>
      </c>
      <c r="G13834" s="63" t="str">
        <f>VLOOKUP(C13834, 'Class Def. - General Data'!$C$20:$C$1000,1,false)</f>
        <v>ZSI1_SURVEILLANCE</v>
      </c>
      <c r="H13834" s="63" t="str">
        <f>IFERROR(__xludf.DUMMYFUNCTION("VLOOKUP(F13834, IMPORTRANGE(""https://docs.google.com/spreadsheets/d/1Lhp9OU0JdFf_VYSMzH5lBcEaU4o8teT1piV-SNzShjg/edit?gid=554141278#gid=554141278"", ""'Char Def. - Attributes'!C20:C2242""), 1,false)"),"PLANT_BUY")</f>
        <v>PLANT_BUY</v>
      </c>
      <c r="I13834" s="136"/>
      <c r="R13834" s="63" t="str">
        <f t="shared" si="60"/>
        <v>ZSI1_SURVEILLANCEPLANT_BUY</v>
      </c>
    </row>
    <row r="13835" ht="15.75" customHeight="1">
      <c r="B13835" s="63">
        <f t="shared" si="1"/>
        <v>17</v>
      </c>
      <c r="C13835" s="135" t="s">
        <v>470</v>
      </c>
      <c r="D13835" s="161" t="s">
        <v>74</v>
      </c>
      <c r="E13835" s="135">
        <f t="shared" si="62"/>
        <v>7</v>
      </c>
      <c r="F13835" s="134" t="s">
        <v>5477</v>
      </c>
      <c r="G13835" s="63" t="str">
        <f>VLOOKUP(C13835, 'Class Def. - General Data'!$C$20:$C$1000,1,false)</f>
        <v>ZSI1_SURVEILLANCE</v>
      </c>
      <c r="H13835" s="63" t="str">
        <f>IFERROR(__xludf.DUMMYFUNCTION("VLOOKUP(F13835, IMPORTRANGE(""https://docs.google.com/spreadsheets/d/1Lhp9OU0JdFf_VYSMzH5lBcEaU4o8teT1piV-SNzShjg/edit?gid=554141278#gid=554141278"", ""'Char Def. - Attributes'!C20:C2242""), 1,false)"),"BASE_UOM_SURVEILLANCE")</f>
        <v>BASE_UOM_SURVEILLANCE</v>
      </c>
      <c r="I13835" s="136"/>
      <c r="R13835" s="63" t="str">
        <f t="shared" si="60"/>
        <v>ZSI1_SURVEILLANCEBASE_UOM_SURVEILLANCE</v>
      </c>
    </row>
    <row r="13836" ht="15.75" customHeight="1">
      <c r="B13836" s="63">
        <f t="shared" si="1"/>
        <v>17</v>
      </c>
      <c r="C13836" s="135" t="s">
        <v>470</v>
      </c>
      <c r="D13836" s="161" t="s">
        <v>74</v>
      </c>
      <c r="E13836" s="135">
        <f t="shared" si="62"/>
        <v>8</v>
      </c>
      <c r="F13836" s="134" t="s">
        <v>5478</v>
      </c>
      <c r="G13836" s="63" t="str">
        <f>VLOOKUP(C13836, 'Class Def. - General Data'!$C$20:$C$1000,1,false)</f>
        <v>ZSI1_SURVEILLANCE</v>
      </c>
      <c r="H13836" s="63" t="str">
        <f>IFERROR(__xludf.DUMMYFUNCTION("VLOOKUP(F13836, IMPORTRANGE(""https://docs.google.com/spreadsheets/d/1Lhp9OU0JdFf_VYSMzH5lBcEaU4o8teT1piV-SNzShjg/edit?gid=554141278#gid=554141278"", ""'Char Def. - Attributes'!C20:C2242""), 1,false)"),"ORDER_UNIT_SURVEILLANCE")</f>
        <v>ORDER_UNIT_SURVEILLANCE</v>
      </c>
      <c r="I13836" s="136"/>
      <c r="R13836" s="63" t="str">
        <f t="shared" si="60"/>
        <v>ZSI1_SURVEILLANCEORDER_UNIT_SURVEILLANCE</v>
      </c>
    </row>
    <row r="13837" ht="15.75" customHeight="1">
      <c r="B13837" s="63">
        <f t="shared" si="1"/>
        <v>17</v>
      </c>
      <c r="C13837" s="135" t="s">
        <v>470</v>
      </c>
      <c r="D13837" s="161" t="s">
        <v>74</v>
      </c>
      <c r="E13837" s="135">
        <f t="shared" si="62"/>
        <v>9</v>
      </c>
      <c r="F13837" s="134" t="s">
        <v>4056</v>
      </c>
      <c r="G13837" s="63" t="str">
        <f>VLOOKUP(C13837, 'Class Def. - General Data'!$C$20:$C$1000,1,false)</f>
        <v>ZSI1_SURVEILLANCE</v>
      </c>
      <c r="H13837" s="63" t="str">
        <f>IFERROR(__xludf.DUMMYFUNCTION("VLOOKUP(F13837, IMPORTRANGE(""https://docs.google.com/spreadsheets/d/1Lhp9OU0JdFf_VYSMzH5lBcEaU4o8teT1piV-SNzShjg/edit?gid=554141278#gid=554141278"", ""'Char Def. - Attributes'!C20:C2242""), 1,false)"),"GROSS_WEIGHT_OPT")</f>
        <v>GROSS_WEIGHT_OPT</v>
      </c>
      <c r="I13837" s="136"/>
      <c r="R13837" s="63" t="str">
        <f t="shared" si="60"/>
        <v>ZSI1_SURVEILLANCEGROSS_WEIGHT_OPT</v>
      </c>
    </row>
    <row r="13838" ht="15.75" customHeight="1">
      <c r="B13838" s="63">
        <f t="shared" si="1"/>
        <v>17</v>
      </c>
      <c r="C13838" s="135" t="s">
        <v>470</v>
      </c>
      <c r="D13838" s="161" t="s">
        <v>74</v>
      </c>
      <c r="E13838" s="135">
        <f t="shared" si="62"/>
        <v>10</v>
      </c>
      <c r="F13838" s="134" t="s">
        <v>4057</v>
      </c>
      <c r="G13838" s="63" t="str">
        <f>VLOOKUP(C13838, 'Class Def. - General Data'!$C$20:$C$1000,1,false)</f>
        <v>ZSI1_SURVEILLANCE</v>
      </c>
      <c r="H13838" s="63" t="str">
        <f>IFERROR(__xludf.DUMMYFUNCTION("VLOOKUP(F13838, IMPORTRANGE(""https://docs.google.com/spreadsheets/d/1Lhp9OU0JdFf_VYSMzH5lBcEaU4o8teT1piV-SNzShjg/edit?gid=554141278#gid=554141278"", ""'Char Def. - Attributes'!C20:C2242""), 1,false)"),"NET_WEIGHT_OPT")</f>
        <v>NET_WEIGHT_OPT</v>
      </c>
      <c r="I13838" s="136"/>
      <c r="R13838" s="63" t="str">
        <f t="shared" si="60"/>
        <v>ZSI1_SURVEILLANCENET_WEIGHT_OPT</v>
      </c>
    </row>
    <row r="13839" ht="15.75" customHeight="1">
      <c r="B13839" s="63">
        <f t="shared" si="1"/>
        <v>17</v>
      </c>
      <c r="C13839" s="135" t="s">
        <v>470</v>
      </c>
      <c r="D13839" s="161" t="s">
        <v>74</v>
      </c>
      <c r="E13839" s="135">
        <f t="shared" si="62"/>
        <v>11</v>
      </c>
      <c r="F13839" s="134" t="s">
        <v>4058</v>
      </c>
      <c r="G13839" s="63" t="str">
        <f>VLOOKUP(C13839, 'Class Def. - General Data'!$C$20:$C$1000,1,false)</f>
        <v>ZSI1_SURVEILLANCE</v>
      </c>
      <c r="H13839" s="63" t="str">
        <f>IFERROR(__xludf.DUMMYFUNCTION("VLOOKUP(F13839, IMPORTRANGE(""https://docs.google.com/spreadsheets/d/1Lhp9OU0JdFf_VYSMzH5lBcEaU4o8teT1piV-SNzShjg/edit?gid=554141278#gid=554141278"", ""'Char Def. - Attributes'!C20:C2242""), 1,false)"),"WEIGHT_UNIT_SI")</f>
        <v>WEIGHT_UNIT_SI</v>
      </c>
      <c r="I13839" s="136"/>
      <c r="R13839" s="63" t="str">
        <f t="shared" si="60"/>
        <v>ZSI1_SURVEILLANCEWEIGHT_UNIT_SI</v>
      </c>
    </row>
    <row r="13840" ht="15.75" customHeight="1">
      <c r="B13840" s="63">
        <f t="shared" si="1"/>
        <v>17</v>
      </c>
      <c r="C13840" s="135" t="s">
        <v>470</v>
      </c>
      <c r="D13840" s="161" t="s">
        <v>74</v>
      </c>
      <c r="E13840" s="135">
        <f t="shared" si="62"/>
        <v>12</v>
      </c>
      <c r="F13840" s="134" t="s">
        <v>3877</v>
      </c>
      <c r="G13840" s="63" t="str">
        <f>VLOOKUP(C13840, 'Class Def. - General Data'!$C$20:$C$1000,1,false)</f>
        <v>ZSI1_SURVEILLANCE</v>
      </c>
      <c r="H13840" s="63" t="str">
        <f>IFERROR(__xludf.DUMMYFUNCTION("VLOOKUP(F13840, IMPORTRANGE(""https://docs.google.com/spreadsheets/d/1Lhp9OU0JdFf_VYSMzH5lBcEaU4o8teT1piV-SNzShjg/edit?gid=554141278#gid=554141278"", ""'Char Def. - Attributes'!C20:C2242""), 1,false)"),"VOLUME_OPT")</f>
        <v>VOLUME_OPT</v>
      </c>
      <c r="I13840" s="136"/>
      <c r="R13840" s="63" t="str">
        <f t="shared" si="60"/>
        <v>ZSI1_SURVEILLANCEVOLUME_OPT</v>
      </c>
    </row>
    <row r="13841" ht="15.75" customHeight="1">
      <c r="B13841" s="63">
        <f t="shared" si="1"/>
        <v>17</v>
      </c>
      <c r="C13841" s="135" t="s">
        <v>470</v>
      </c>
      <c r="D13841" s="161" t="s">
        <v>74</v>
      </c>
      <c r="E13841" s="135">
        <f t="shared" si="62"/>
        <v>13</v>
      </c>
      <c r="F13841" s="134" t="s">
        <v>4059</v>
      </c>
      <c r="G13841" s="63" t="str">
        <f>VLOOKUP(C13841, 'Class Def. - General Data'!$C$20:$C$1000,1,false)</f>
        <v>ZSI1_SURVEILLANCE</v>
      </c>
      <c r="H13841" s="63" t="str">
        <f>IFERROR(__xludf.DUMMYFUNCTION("VLOOKUP(F13841, IMPORTRANGE(""https://docs.google.com/spreadsheets/d/1Lhp9OU0JdFf_VYSMzH5lBcEaU4o8teT1piV-SNzShjg/edit?gid=554141278#gid=554141278"", ""'Char Def. - Attributes'!C20:C2242""), 1,false)"),"VOLUME_UNIT_SI")</f>
        <v>VOLUME_UNIT_SI</v>
      </c>
      <c r="I13841" s="136"/>
      <c r="R13841" s="63" t="str">
        <f t="shared" si="60"/>
        <v>ZSI1_SURVEILLANCEVOLUME_UNIT_SI</v>
      </c>
    </row>
    <row r="13842" ht="15.75" customHeight="1">
      <c r="B13842" s="63">
        <f t="shared" si="1"/>
        <v>17</v>
      </c>
      <c r="C13842" s="135" t="s">
        <v>470</v>
      </c>
      <c r="D13842" s="161" t="s">
        <v>74</v>
      </c>
      <c r="E13842" s="135">
        <f t="shared" si="62"/>
        <v>14</v>
      </c>
      <c r="F13842" s="134" t="s">
        <v>3804</v>
      </c>
      <c r="G13842" s="63" t="str">
        <f>VLOOKUP(C13842, 'Class Def. - General Data'!$C$20:$C$1000,1,false)</f>
        <v>ZSI1_SURVEILLANCE</v>
      </c>
      <c r="H13842" s="63" t="str">
        <f>IFERROR(__xludf.DUMMYFUNCTION("VLOOKUP(F13842, IMPORTRANGE(""https://docs.google.com/spreadsheets/d/1Lhp9OU0JdFf_VYSMzH5lBcEaU4o8teT1piV-SNzShjg/edit?gid=554141278#gid=554141278"", ""'Char Def. - Attributes'!C20:C2242""), 1,false)"),"ALT_UOM1_SIPI")</f>
        <v>ALT_UOM1_SIPI</v>
      </c>
      <c r="I13842" s="136"/>
      <c r="R13842" s="63" t="str">
        <f t="shared" si="60"/>
        <v>ZSI1_SURVEILLANCEALT_UOM1_SIPI</v>
      </c>
    </row>
    <row r="13843" ht="15.75" customHeight="1">
      <c r="B13843" s="63">
        <f t="shared" si="1"/>
        <v>17</v>
      </c>
      <c r="C13843" s="135" t="s">
        <v>470</v>
      </c>
      <c r="D13843" s="161" t="s">
        <v>74</v>
      </c>
      <c r="E13843" s="135">
        <f t="shared" si="62"/>
        <v>15</v>
      </c>
      <c r="F13843" s="134" t="s">
        <v>3805</v>
      </c>
      <c r="G13843" s="63" t="str">
        <f>VLOOKUP(C13843, 'Class Def. - General Data'!$C$20:$C$1000,1,false)</f>
        <v>ZSI1_SURVEILLANCE</v>
      </c>
      <c r="H13843" s="63" t="str">
        <f>IFERROR(__xludf.DUMMYFUNCTION("VLOOKUP(F13843, IMPORTRANGE(""https://docs.google.com/spreadsheets/d/1Lhp9OU0JdFf_VYSMzH5lBcEaU4o8teT1piV-SNzShjg/edit?gid=554141278#gid=554141278"", ""'Char Def. - Attributes'!C20:C2242""), 1,false)"),"ALT_DENUM_UOM1")</f>
        <v>ALT_DENUM_UOM1</v>
      </c>
      <c r="I13843" s="136"/>
      <c r="R13843" s="63" t="str">
        <f t="shared" si="60"/>
        <v>ZSI1_SURVEILLANCEALT_DENUM_UOM1</v>
      </c>
    </row>
    <row r="13844" ht="15.75" customHeight="1">
      <c r="B13844" s="63">
        <f t="shared" si="1"/>
        <v>17</v>
      </c>
      <c r="C13844" s="135" t="s">
        <v>470</v>
      </c>
      <c r="D13844" s="161" t="s">
        <v>74</v>
      </c>
      <c r="E13844" s="135">
        <f t="shared" si="62"/>
        <v>16</v>
      </c>
      <c r="F13844" s="134" t="s">
        <v>3806</v>
      </c>
      <c r="G13844" s="63" t="str">
        <f>VLOOKUP(C13844, 'Class Def. - General Data'!$C$20:$C$1000,1,false)</f>
        <v>ZSI1_SURVEILLANCE</v>
      </c>
      <c r="H13844" s="63" t="str">
        <f>IFERROR(__xludf.DUMMYFUNCTION("VLOOKUP(F13844, IMPORTRANGE(""https://docs.google.com/spreadsheets/d/1Lhp9OU0JdFf_VYSMzH5lBcEaU4o8teT1piV-SNzShjg/edit?gid=554141278#gid=554141278"", ""'Char Def. - Attributes'!C20:C2242""), 1,false)"),"ALT_NUM_UOM1")</f>
        <v>ALT_NUM_UOM1</v>
      </c>
      <c r="I13844" s="136"/>
      <c r="R13844" s="63" t="str">
        <f t="shared" si="60"/>
        <v>ZSI1_SURVEILLANCEALT_NUM_UOM1</v>
      </c>
    </row>
    <row r="13845" ht="15.75" customHeight="1">
      <c r="B13845" s="63">
        <f t="shared" si="1"/>
        <v>17</v>
      </c>
      <c r="C13845" s="135" t="s">
        <v>470</v>
      </c>
      <c r="D13845" s="161" t="s">
        <v>74</v>
      </c>
      <c r="E13845" s="135">
        <f t="shared" si="62"/>
        <v>17</v>
      </c>
      <c r="F13845" s="134" t="s">
        <v>3807</v>
      </c>
      <c r="G13845" s="63" t="str">
        <f>VLOOKUP(C13845, 'Class Def. - General Data'!$C$20:$C$1000,1,false)</f>
        <v>ZSI1_SURVEILLANCE</v>
      </c>
      <c r="H13845" s="63" t="str">
        <f>IFERROR(__xludf.DUMMYFUNCTION("VLOOKUP(F13845, IMPORTRANGE(""https://docs.google.com/spreadsheets/d/1Lhp9OU0JdFf_VYSMzH5lBcEaU4o8teT1piV-SNzShjg/edit?gid=554141278#gid=554141278"", ""'Char Def. - Attributes'!C20:C2242""), 1,false)"),"ALT_UOM2_SIPI")</f>
        <v>ALT_UOM2_SIPI</v>
      </c>
      <c r="I13845" s="136"/>
      <c r="R13845" s="63" t="str">
        <f t="shared" si="60"/>
        <v>ZSI1_SURVEILLANCEALT_UOM2_SIPI</v>
      </c>
    </row>
    <row r="13846" ht="15.75" customHeight="1">
      <c r="B13846" s="63">
        <f t="shared" si="1"/>
        <v>17</v>
      </c>
      <c r="C13846" s="135" t="s">
        <v>470</v>
      </c>
      <c r="D13846" s="161" t="s">
        <v>74</v>
      </c>
      <c r="E13846" s="135">
        <f t="shared" si="62"/>
        <v>18</v>
      </c>
      <c r="F13846" s="134" t="s">
        <v>3808</v>
      </c>
      <c r="G13846" s="63" t="str">
        <f>VLOOKUP(C13846, 'Class Def. - General Data'!$C$20:$C$1000,1,false)</f>
        <v>ZSI1_SURVEILLANCE</v>
      </c>
      <c r="H13846" s="63" t="str">
        <f>IFERROR(__xludf.DUMMYFUNCTION("VLOOKUP(F13846, IMPORTRANGE(""https://docs.google.com/spreadsheets/d/1Lhp9OU0JdFf_VYSMzH5lBcEaU4o8teT1piV-SNzShjg/edit?gid=554141278#gid=554141278"", ""'Char Def. - Attributes'!C20:C2242""), 1,false)"),"ALT_DENUM_UOM2")</f>
        <v>ALT_DENUM_UOM2</v>
      </c>
      <c r="I13846" s="136"/>
      <c r="R13846" s="63" t="str">
        <f t="shared" si="60"/>
        <v>ZSI1_SURVEILLANCEALT_DENUM_UOM2</v>
      </c>
    </row>
    <row r="13847" ht="15.75" customHeight="1">
      <c r="B13847" s="63">
        <f t="shared" si="1"/>
        <v>17</v>
      </c>
      <c r="C13847" s="135" t="s">
        <v>470</v>
      </c>
      <c r="D13847" s="161" t="s">
        <v>74</v>
      </c>
      <c r="E13847" s="135">
        <f t="shared" si="62"/>
        <v>19</v>
      </c>
      <c r="F13847" s="134" t="s">
        <v>3809</v>
      </c>
      <c r="G13847" s="63" t="str">
        <f>VLOOKUP(C13847, 'Class Def. - General Data'!$C$20:$C$1000,1,false)</f>
        <v>ZSI1_SURVEILLANCE</v>
      </c>
      <c r="H13847" s="63" t="str">
        <f>IFERROR(__xludf.DUMMYFUNCTION("VLOOKUP(F13847, IMPORTRANGE(""https://docs.google.com/spreadsheets/d/1Lhp9OU0JdFf_VYSMzH5lBcEaU4o8teT1piV-SNzShjg/edit?gid=554141278#gid=554141278"", ""'Char Def. - Attributes'!C20:C2242""), 1,false)"),"ALT_NUM_UOM2")</f>
        <v>ALT_NUM_UOM2</v>
      </c>
      <c r="I13847" s="136"/>
      <c r="R13847" s="63" t="str">
        <f t="shared" si="60"/>
        <v>ZSI1_SURVEILLANCEALT_NUM_UOM2</v>
      </c>
    </row>
    <row r="13848" ht="15.75" customHeight="1">
      <c r="B13848" s="63">
        <f t="shared" si="1"/>
        <v>17</v>
      </c>
      <c r="C13848" s="135" t="s">
        <v>470</v>
      </c>
      <c r="D13848" s="161" t="s">
        <v>74</v>
      </c>
      <c r="E13848" s="135">
        <f t="shared" si="62"/>
        <v>20</v>
      </c>
      <c r="F13848" s="134" t="s">
        <v>3810</v>
      </c>
      <c r="G13848" s="63" t="str">
        <f>VLOOKUP(C13848, 'Class Def. - General Data'!$C$20:$C$1000,1,false)</f>
        <v>ZSI1_SURVEILLANCE</v>
      </c>
      <c r="H13848" s="63" t="str">
        <f>IFERROR(__xludf.DUMMYFUNCTION("VLOOKUP(F13848, IMPORTRANGE(""https://docs.google.com/spreadsheets/d/1Lhp9OU0JdFf_VYSMzH5lBcEaU4o8teT1piV-SNzShjg/edit?gid=554141278#gid=554141278"", ""'Char Def. - Attributes'!C20:C2242""), 1,false)"),"ALT_UOM3_SIPI")</f>
        <v>ALT_UOM3_SIPI</v>
      </c>
      <c r="I13848" s="136"/>
      <c r="R13848" s="63" t="str">
        <f t="shared" si="60"/>
        <v>ZSI1_SURVEILLANCEALT_UOM3_SIPI</v>
      </c>
    </row>
    <row r="13849" ht="15.75" customHeight="1">
      <c r="B13849" s="63">
        <f t="shared" si="1"/>
        <v>17</v>
      </c>
      <c r="C13849" s="135" t="s">
        <v>470</v>
      </c>
      <c r="D13849" s="161" t="s">
        <v>74</v>
      </c>
      <c r="E13849" s="135">
        <f t="shared" si="62"/>
        <v>21</v>
      </c>
      <c r="F13849" s="134" t="s">
        <v>3811</v>
      </c>
      <c r="G13849" s="63" t="str">
        <f>VLOOKUP(C13849, 'Class Def. - General Data'!$C$20:$C$1000,1,false)</f>
        <v>ZSI1_SURVEILLANCE</v>
      </c>
      <c r="H13849" s="63" t="str">
        <f>IFERROR(__xludf.DUMMYFUNCTION("VLOOKUP(F13849, IMPORTRANGE(""https://docs.google.com/spreadsheets/d/1Lhp9OU0JdFf_VYSMzH5lBcEaU4o8teT1piV-SNzShjg/edit?gid=554141278#gid=554141278"", ""'Char Def. - Attributes'!C20:C2242""), 1,false)"),"ALT_DENUM_UOM3")</f>
        <v>ALT_DENUM_UOM3</v>
      </c>
      <c r="I13849" s="136"/>
      <c r="R13849" s="63" t="str">
        <f t="shared" si="60"/>
        <v>ZSI1_SURVEILLANCEALT_DENUM_UOM3</v>
      </c>
    </row>
    <row r="13850" ht="15.75" customHeight="1">
      <c r="B13850" s="63">
        <f t="shared" si="1"/>
        <v>17</v>
      </c>
      <c r="C13850" s="135" t="s">
        <v>470</v>
      </c>
      <c r="D13850" s="161" t="s">
        <v>74</v>
      </c>
      <c r="E13850" s="135">
        <f t="shared" si="62"/>
        <v>22</v>
      </c>
      <c r="F13850" s="134" t="s">
        <v>3812</v>
      </c>
      <c r="G13850" s="63" t="str">
        <f>VLOOKUP(C13850, 'Class Def. - General Data'!$C$20:$C$1000,1,false)</f>
        <v>ZSI1_SURVEILLANCE</v>
      </c>
      <c r="H13850" s="63" t="str">
        <f>IFERROR(__xludf.DUMMYFUNCTION("VLOOKUP(F13850, IMPORTRANGE(""https://docs.google.com/spreadsheets/d/1Lhp9OU0JdFf_VYSMzH5lBcEaU4o8teT1piV-SNzShjg/edit?gid=554141278#gid=554141278"", ""'Char Def. - Attributes'!C20:C2242""), 1,false)"),"ALT_NUM_UOM3")</f>
        <v>ALT_NUM_UOM3</v>
      </c>
      <c r="I13850" s="136"/>
      <c r="R13850" s="63" t="str">
        <f t="shared" si="60"/>
        <v>ZSI1_SURVEILLANCEALT_NUM_UOM3</v>
      </c>
    </row>
    <row r="13851" ht="15.75" customHeight="1">
      <c r="B13851" s="63">
        <f t="shared" si="1"/>
        <v>17</v>
      </c>
      <c r="C13851" s="135" t="s">
        <v>470</v>
      </c>
      <c r="D13851" s="161" t="s">
        <v>74</v>
      </c>
      <c r="E13851" s="135">
        <f t="shared" si="62"/>
        <v>23</v>
      </c>
      <c r="F13851" s="134" t="s">
        <v>3813</v>
      </c>
      <c r="G13851" s="63" t="str">
        <f>VLOOKUP(C13851, 'Class Def. - General Data'!$C$20:$C$1000,1,false)</f>
        <v>ZSI1_SURVEILLANCE</v>
      </c>
      <c r="H13851" s="63" t="str">
        <f>IFERROR(__xludf.DUMMYFUNCTION("VLOOKUP(F13851, IMPORTRANGE(""https://docs.google.com/spreadsheets/d/1Lhp9OU0JdFf_VYSMzH5lBcEaU4o8teT1piV-SNzShjg/edit?gid=554141278#gid=554141278"", ""'Char Def. - Attributes'!C20:C2242""), 1,false)"),"ALT_UOM4_SIPI")</f>
        <v>ALT_UOM4_SIPI</v>
      </c>
      <c r="I13851" s="136"/>
      <c r="R13851" s="63" t="str">
        <f t="shared" si="60"/>
        <v>ZSI1_SURVEILLANCEALT_UOM4_SIPI</v>
      </c>
    </row>
    <row r="13852" ht="15.75" customHeight="1">
      <c r="B13852" s="63">
        <f t="shared" si="1"/>
        <v>17</v>
      </c>
      <c r="C13852" s="135" t="s">
        <v>470</v>
      </c>
      <c r="D13852" s="161" t="s">
        <v>74</v>
      </c>
      <c r="E13852" s="135">
        <f t="shared" si="62"/>
        <v>24</v>
      </c>
      <c r="F13852" s="134" t="s">
        <v>3814</v>
      </c>
      <c r="G13852" s="63" t="str">
        <f>VLOOKUP(C13852, 'Class Def. - General Data'!$C$20:$C$1000,1,false)</f>
        <v>ZSI1_SURVEILLANCE</v>
      </c>
      <c r="H13852" s="63" t="str">
        <f>IFERROR(__xludf.DUMMYFUNCTION("VLOOKUP(F13852, IMPORTRANGE(""https://docs.google.com/spreadsheets/d/1Lhp9OU0JdFf_VYSMzH5lBcEaU4o8teT1piV-SNzShjg/edit?gid=554141278#gid=554141278"", ""'Char Def. - Attributes'!C20:C2242""), 1,false)"),"ALT_DENUM_UOM4")</f>
        <v>ALT_DENUM_UOM4</v>
      </c>
      <c r="I13852" s="136"/>
      <c r="R13852" s="63" t="str">
        <f t="shared" si="60"/>
        <v>ZSI1_SURVEILLANCEALT_DENUM_UOM4</v>
      </c>
    </row>
    <row r="13853" ht="15.75" customHeight="1">
      <c r="B13853" s="63">
        <f t="shared" si="1"/>
        <v>17</v>
      </c>
      <c r="C13853" s="135" t="s">
        <v>470</v>
      </c>
      <c r="D13853" s="161" t="s">
        <v>74</v>
      </c>
      <c r="E13853" s="135">
        <f t="shared" si="62"/>
        <v>25</v>
      </c>
      <c r="F13853" s="134" t="s">
        <v>3815</v>
      </c>
      <c r="G13853" s="63" t="str">
        <f>VLOOKUP(C13853, 'Class Def. - General Data'!$C$20:$C$1000,1,false)</f>
        <v>ZSI1_SURVEILLANCE</v>
      </c>
      <c r="H13853" s="63" t="str">
        <f>IFERROR(__xludf.DUMMYFUNCTION("VLOOKUP(F13853, IMPORTRANGE(""https://docs.google.com/spreadsheets/d/1Lhp9OU0JdFf_VYSMzH5lBcEaU4o8teT1piV-SNzShjg/edit?gid=554141278#gid=554141278"", ""'Char Def. - Attributes'!C20:C2242""), 1,false)"),"ALT_NUM_UOM4")</f>
        <v>ALT_NUM_UOM4</v>
      </c>
      <c r="I13853" s="136"/>
      <c r="R13853" s="63" t="str">
        <f t="shared" si="60"/>
        <v>ZSI1_SURVEILLANCEALT_NUM_UOM4</v>
      </c>
    </row>
    <row r="13854" ht="15.75" customHeight="1">
      <c r="B13854" s="63">
        <f t="shared" si="1"/>
        <v>17</v>
      </c>
      <c r="C13854" s="135" t="s">
        <v>470</v>
      </c>
      <c r="D13854" s="161" t="s">
        <v>74</v>
      </c>
      <c r="E13854" s="135">
        <f t="shared" si="62"/>
        <v>26</v>
      </c>
      <c r="F13854" s="134" t="s">
        <v>3816</v>
      </c>
      <c r="G13854" s="63" t="str">
        <f>VLOOKUP(C13854, 'Class Def. - General Data'!$C$20:$C$1000,1,false)</f>
        <v>ZSI1_SURVEILLANCE</v>
      </c>
      <c r="H13854" s="63" t="str">
        <f>IFERROR(__xludf.DUMMYFUNCTION("VLOOKUP(F13854, IMPORTRANGE(""https://docs.google.com/spreadsheets/d/1Lhp9OU0JdFf_VYSMzH5lBcEaU4o8teT1piV-SNzShjg/edit?gid=554141278#gid=554141278"", ""'Char Def. - Attributes'!C20:C2242""), 1,false)"),"ALT_UOM5_SIPI")</f>
        <v>ALT_UOM5_SIPI</v>
      </c>
      <c r="I13854" s="136"/>
      <c r="R13854" s="63" t="str">
        <f t="shared" si="60"/>
        <v>ZSI1_SURVEILLANCEALT_UOM5_SIPI</v>
      </c>
    </row>
    <row r="13855" ht="15.75" customHeight="1">
      <c r="B13855" s="63">
        <f t="shared" si="1"/>
        <v>17</v>
      </c>
      <c r="C13855" s="135" t="s">
        <v>470</v>
      </c>
      <c r="D13855" s="161" t="s">
        <v>74</v>
      </c>
      <c r="E13855" s="135">
        <f t="shared" si="62"/>
        <v>27</v>
      </c>
      <c r="F13855" s="134" t="s">
        <v>3817</v>
      </c>
      <c r="G13855" s="63" t="str">
        <f>VLOOKUP(C13855, 'Class Def. - General Data'!$C$20:$C$1000,1,false)</f>
        <v>ZSI1_SURVEILLANCE</v>
      </c>
      <c r="H13855" s="63" t="str">
        <f>IFERROR(__xludf.DUMMYFUNCTION("VLOOKUP(F13855, IMPORTRANGE(""https://docs.google.com/spreadsheets/d/1Lhp9OU0JdFf_VYSMzH5lBcEaU4o8teT1piV-SNzShjg/edit?gid=554141278#gid=554141278"", ""'Char Def. - Attributes'!C20:C2242""), 1,false)"),"ALT_DENUM_UOM5")</f>
        <v>ALT_DENUM_UOM5</v>
      </c>
      <c r="I13855" s="136"/>
      <c r="R13855" s="63" t="str">
        <f t="shared" si="60"/>
        <v>ZSI1_SURVEILLANCEALT_DENUM_UOM5</v>
      </c>
    </row>
    <row r="13856" ht="15.75" customHeight="1">
      <c r="B13856" s="63">
        <f t="shared" si="1"/>
        <v>17</v>
      </c>
      <c r="C13856" s="135" t="s">
        <v>470</v>
      </c>
      <c r="D13856" s="161" t="s">
        <v>74</v>
      </c>
      <c r="E13856" s="135">
        <f t="shared" si="62"/>
        <v>28</v>
      </c>
      <c r="F13856" s="134" t="s">
        <v>3818</v>
      </c>
      <c r="G13856" s="63" t="str">
        <f>VLOOKUP(C13856, 'Class Def. - General Data'!$C$20:$C$1000,1,false)</f>
        <v>ZSI1_SURVEILLANCE</v>
      </c>
      <c r="H13856" s="63" t="str">
        <f>IFERROR(__xludf.DUMMYFUNCTION("VLOOKUP(F13856, IMPORTRANGE(""https://docs.google.com/spreadsheets/d/1Lhp9OU0JdFf_VYSMzH5lBcEaU4o8teT1piV-SNzShjg/edit?gid=554141278#gid=554141278"", ""'Char Def. - Attributes'!C20:C2242""), 1,false)"),"ALT_NUM_UOM5")</f>
        <v>ALT_NUM_UOM5</v>
      </c>
      <c r="I13856" s="136"/>
      <c r="R13856" s="63" t="str">
        <f t="shared" si="60"/>
        <v>ZSI1_SURVEILLANCEALT_NUM_UOM5</v>
      </c>
    </row>
    <row r="13857" ht="15.75" customHeight="1">
      <c r="B13857" s="63">
        <f t="shared" si="1"/>
        <v>15</v>
      </c>
      <c r="C13857" s="135" t="s">
        <v>322</v>
      </c>
      <c r="D13857" s="161" t="s">
        <v>74</v>
      </c>
      <c r="E13857" s="135">
        <f t="shared" si="62"/>
        <v>1</v>
      </c>
      <c r="F13857" s="134" t="s">
        <v>5479</v>
      </c>
      <c r="G13857" s="63" t="str">
        <f>VLOOKUP(C13857, 'Class Def. - General Data'!$C$20:$C$1000,1,false)</f>
        <v>ZSI1_TABLE_STAN</v>
      </c>
      <c r="H13857" s="63" t="str">
        <f>IFERROR(__xludf.DUMMYFUNCTION("VLOOKUP(F13857, IMPORTRANGE(""https://docs.google.com/spreadsheets/d/1Lhp9OU0JdFf_VYSMzH5lBcEaU4o8teT1piV-SNzShjg/edit?gid=554141278#gid=554141278"", ""'Char Def. - Attributes'!C20:C2242""), 1,false)"),"ITEM_NAME_TABLE_STAN")</f>
        <v>ITEM_NAME_TABLE_STAN</v>
      </c>
      <c r="I13857" s="136"/>
      <c r="R13857" s="63" t="str">
        <f t="shared" si="60"/>
        <v>ZSI1_TABLE_STANITEM_NAME_TABLE_STAN</v>
      </c>
    </row>
    <row r="13858" ht="15.75" customHeight="1">
      <c r="B13858" s="63">
        <f t="shared" si="1"/>
        <v>15</v>
      </c>
      <c r="C13858" s="135" t="s">
        <v>322</v>
      </c>
      <c r="D13858" s="161" t="s">
        <v>74</v>
      </c>
      <c r="E13858" s="135">
        <f t="shared" si="62"/>
        <v>2</v>
      </c>
      <c r="F13858" s="134" t="s">
        <v>5480</v>
      </c>
      <c r="G13858" s="63" t="str">
        <f>VLOOKUP(C13858, 'Class Def. - General Data'!$C$20:$C$1000,1,false)</f>
        <v>ZSI1_TABLE_STAN</v>
      </c>
      <c r="H13858" s="63" t="str">
        <f>IFERROR(__xludf.DUMMYFUNCTION("VLOOKUP(F13858, IMPORTRANGE(""https://docs.google.com/spreadsheets/d/1Lhp9OU0JdFf_VYSMzH5lBcEaU4o8teT1piV-SNzShjg/edit?gid=554141278#gid=554141278"", ""'Char Def. - Attributes'!C20:C2242""), 1,false)"),"MFR_NO_TABLE_STAN")</f>
        <v>MFR_NO_TABLE_STAN</v>
      </c>
      <c r="I13858" s="136"/>
      <c r="R13858" s="63" t="str">
        <f t="shared" si="60"/>
        <v>ZSI1_TABLE_STANMFR_NO_TABLE_STAN</v>
      </c>
    </row>
    <row r="13859" ht="15.75" customHeight="1">
      <c r="B13859" s="63">
        <f t="shared" si="1"/>
        <v>15</v>
      </c>
      <c r="C13859" s="135" t="s">
        <v>322</v>
      </c>
      <c r="D13859" s="161" t="s">
        <v>74</v>
      </c>
      <c r="E13859" s="135">
        <f t="shared" si="62"/>
        <v>3</v>
      </c>
      <c r="F13859" s="134" t="s">
        <v>3782</v>
      </c>
      <c r="G13859" s="63" t="str">
        <f>VLOOKUP(C13859, 'Class Def. - General Data'!$C$20:$C$1000,1,false)</f>
        <v>ZSI1_TABLE_STAN</v>
      </c>
      <c r="H13859" s="63" t="str">
        <f>IFERROR(__xludf.DUMMYFUNCTION("VLOOKUP(F13859, IMPORTRANGE(""https://docs.google.com/spreadsheets/d/1Lhp9OU0JdFf_VYSMzH5lBcEaU4o8teT1piV-SNzShjg/edit?gid=554141278#gid=554141278"", ""'Char Def. - Attributes'!C20:C2242""), 1,false)"),"BRAND_EXTERNAL")</f>
        <v>BRAND_EXTERNAL</v>
      </c>
      <c r="I13859" s="136"/>
      <c r="R13859" s="63" t="str">
        <f t="shared" si="60"/>
        <v>ZSI1_TABLE_STANBRAND_EXTERNAL</v>
      </c>
    </row>
    <row r="13860" ht="15.75" customHeight="1">
      <c r="B13860" s="63">
        <f t="shared" si="1"/>
        <v>15</v>
      </c>
      <c r="C13860" s="135" t="s">
        <v>322</v>
      </c>
      <c r="D13860" s="161" t="s">
        <v>74</v>
      </c>
      <c r="E13860" s="135">
        <f t="shared" si="62"/>
        <v>4</v>
      </c>
      <c r="F13860" s="134" t="s">
        <v>4062</v>
      </c>
      <c r="G13860" s="63" t="str">
        <f>VLOOKUP(C13860, 'Class Def. - General Data'!$C$20:$C$1000,1,false)</f>
        <v>ZSI1_TABLE_STAN</v>
      </c>
      <c r="H13860" s="63" t="str">
        <f>IFERROR(__xludf.DUMMYFUNCTION("VLOOKUP(F13860, IMPORTRANGE(""https://docs.google.com/spreadsheets/d/1Lhp9OU0JdFf_VYSMzH5lBcEaU4o8teT1piV-SNzShjg/edit?gid=554141278#gid=554141278"", ""'Char Def. - Attributes'!C20:C2242""), 1,false)"),"#N/A")</f>
        <v>#N/A</v>
      </c>
      <c r="I13860" s="136"/>
      <c r="R13860" s="63" t="str">
        <f t="shared" si="60"/>
        <v>ZSI1_TABLE_STANADDTIONAL_SPECIFICATION</v>
      </c>
    </row>
    <row r="13861" ht="15.75" customHeight="1">
      <c r="B13861" s="63">
        <f t="shared" si="1"/>
        <v>15</v>
      </c>
      <c r="C13861" s="135" t="s">
        <v>322</v>
      </c>
      <c r="D13861" s="161" t="s">
        <v>74</v>
      </c>
      <c r="E13861" s="135">
        <f t="shared" si="62"/>
        <v>5</v>
      </c>
      <c r="F13861" s="134" t="s">
        <v>3585</v>
      </c>
      <c r="G13861" s="63" t="str">
        <f>VLOOKUP(C13861, 'Class Def. - General Data'!$C$20:$C$1000,1,false)</f>
        <v>ZSI1_TABLE_STAN</v>
      </c>
      <c r="H13861" s="63" t="str">
        <f>IFERROR(__xludf.DUMMYFUNCTION("VLOOKUP(F13861, IMPORTRANGE(""https://docs.google.com/spreadsheets/d/1Lhp9OU0JdFf_VYSMzH5lBcEaU4o8teT1piV-SNzShjg/edit?gid=554141278#gid=554141278"", ""'Char Def. - Attributes'!C20:C2242""), 1,false)"),"HS_CODE")</f>
        <v>HS_CODE</v>
      </c>
      <c r="I13861" s="136"/>
      <c r="R13861" s="63" t="str">
        <f t="shared" si="60"/>
        <v>ZSI1_TABLE_STANHS_CODE</v>
      </c>
    </row>
    <row r="13862" ht="15.75" customHeight="1">
      <c r="B13862" s="63">
        <f t="shared" si="1"/>
        <v>15</v>
      </c>
      <c r="C13862" s="135" t="s">
        <v>322</v>
      </c>
      <c r="D13862" s="161" t="s">
        <v>74</v>
      </c>
      <c r="E13862" s="135">
        <f t="shared" si="62"/>
        <v>6</v>
      </c>
      <c r="F13862" s="134" t="s">
        <v>3587</v>
      </c>
      <c r="G13862" s="63" t="str">
        <f>VLOOKUP(C13862, 'Class Def. - General Data'!$C$20:$C$1000,1,false)</f>
        <v>ZSI1_TABLE_STAN</v>
      </c>
      <c r="H13862" s="63" t="str">
        <f>IFERROR(__xludf.DUMMYFUNCTION("VLOOKUP(F13862, IMPORTRANGE(""https://docs.google.com/spreadsheets/d/1Lhp9OU0JdFf_VYSMzH5lBcEaU4o8teT1piV-SNzShjg/edit?gid=554141278#gid=554141278"", ""'Char Def. - Attributes'!C20:C2242""), 1,false)"),"PLANT_BUY")</f>
        <v>PLANT_BUY</v>
      </c>
      <c r="I13862" s="136"/>
      <c r="R13862" s="63" t="str">
        <f t="shared" si="60"/>
        <v>ZSI1_TABLE_STANPLANT_BUY</v>
      </c>
    </row>
    <row r="13863" ht="15.75" customHeight="1">
      <c r="B13863" s="63">
        <f t="shared" si="1"/>
        <v>15</v>
      </c>
      <c r="C13863" s="135" t="s">
        <v>322</v>
      </c>
      <c r="D13863" s="161" t="s">
        <v>74</v>
      </c>
      <c r="E13863" s="135">
        <f t="shared" si="62"/>
        <v>7</v>
      </c>
      <c r="F13863" s="134" t="s">
        <v>5481</v>
      </c>
      <c r="G13863" s="63" t="str">
        <f>VLOOKUP(C13863, 'Class Def. - General Data'!$C$20:$C$1000,1,false)</f>
        <v>ZSI1_TABLE_STAN</v>
      </c>
      <c r="H13863" s="63" t="str">
        <f>IFERROR(__xludf.DUMMYFUNCTION("VLOOKUP(F13863, IMPORTRANGE(""https://docs.google.com/spreadsheets/d/1Lhp9OU0JdFf_VYSMzH5lBcEaU4o8teT1piV-SNzShjg/edit?gid=554141278#gid=554141278"", ""'Char Def. - Attributes'!C20:C2242""), 1,false)"),"BASE_UOM_TABLE_STAN")</f>
        <v>BASE_UOM_TABLE_STAN</v>
      </c>
      <c r="I13863" s="136"/>
      <c r="R13863" s="63" t="str">
        <f t="shared" si="60"/>
        <v>ZSI1_TABLE_STANBASE_UOM_TABLE_STAN</v>
      </c>
    </row>
    <row r="13864" ht="15.75" customHeight="1">
      <c r="B13864" s="63">
        <f t="shared" si="1"/>
        <v>15</v>
      </c>
      <c r="C13864" s="135" t="s">
        <v>322</v>
      </c>
      <c r="D13864" s="161" t="s">
        <v>74</v>
      </c>
      <c r="E13864" s="135">
        <f t="shared" si="62"/>
        <v>8</v>
      </c>
      <c r="F13864" s="134" t="s">
        <v>5482</v>
      </c>
      <c r="G13864" s="63" t="str">
        <f>VLOOKUP(C13864, 'Class Def. - General Data'!$C$20:$C$1000,1,false)</f>
        <v>ZSI1_TABLE_STAN</v>
      </c>
      <c r="H13864" s="63" t="str">
        <f>IFERROR(__xludf.DUMMYFUNCTION("VLOOKUP(F13864, IMPORTRANGE(""https://docs.google.com/spreadsheets/d/1Lhp9OU0JdFf_VYSMzH5lBcEaU4o8teT1piV-SNzShjg/edit?gid=554141278#gid=554141278"", ""'Char Def. - Attributes'!C20:C2242""), 1,false)"),"ORDER_UNIT_TABLE_STAN")</f>
        <v>ORDER_UNIT_TABLE_STAN</v>
      </c>
      <c r="I13864" s="136"/>
      <c r="R13864" s="63" t="str">
        <f t="shared" si="60"/>
        <v>ZSI1_TABLE_STANORDER_UNIT_TABLE_STAN</v>
      </c>
    </row>
    <row r="13865" ht="15.75" customHeight="1">
      <c r="B13865" s="63">
        <f t="shared" si="1"/>
        <v>15</v>
      </c>
      <c r="C13865" s="135" t="s">
        <v>322</v>
      </c>
      <c r="D13865" s="161" t="s">
        <v>74</v>
      </c>
      <c r="E13865" s="135">
        <f t="shared" si="62"/>
        <v>9</v>
      </c>
      <c r="F13865" s="134" t="s">
        <v>4056</v>
      </c>
      <c r="G13865" s="63" t="str">
        <f>VLOOKUP(C13865, 'Class Def. - General Data'!$C$20:$C$1000,1,false)</f>
        <v>ZSI1_TABLE_STAN</v>
      </c>
      <c r="H13865" s="63" t="str">
        <f>IFERROR(__xludf.DUMMYFUNCTION("VLOOKUP(F13865, IMPORTRANGE(""https://docs.google.com/spreadsheets/d/1Lhp9OU0JdFf_VYSMzH5lBcEaU4o8teT1piV-SNzShjg/edit?gid=554141278#gid=554141278"", ""'Char Def. - Attributes'!C20:C2242""), 1,false)"),"GROSS_WEIGHT_OPT")</f>
        <v>GROSS_WEIGHT_OPT</v>
      </c>
      <c r="I13865" s="136"/>
      <c r="R13865" s="63" t="str">
        <f t="shared" si="60"/>
        <v>ZSI1_TABLE_STANGROSS_WEIGHT_OPT</v>
      </c>
    </row>
    <row r="13866" ht="15.75" customHeight="1">
      <c r="B13866" s="63">
        <f t="shared" si="1"/>
        <v>15</v>
      </c>
      <c r="C13866" s="135" t="s">
        <v>322</v>
      </c>
      <c r="D13866" s="161" t="s">
        <v>74</v>
      </c>
      <c r="E13866" s="135">
        <f t="shared" si="62"/>
        <v>10</v>
      </c>
      <c r="F13866" s="134" t="s">
        <v>4057</v>
      </c>
      <c r="G13866" s="63" t="str">
        <f>VLOOKUP(C13866, 'Class Def. - General Data'!$C$20:$C$1000,1,false)</f>
        <v>ZSI1_TABLE_STAN</v>
      </c>
      <c r="H13866" s="63" t="str">
        <f>IFERROR(__xludf.DUMMYFUNCTION("VLOOKUP(F13866, IMPORTRANGE(""https://docs.google.com/spreadsheets/d/1Lhp9OU0JdFf_VYSMzH5lBcEaU4o8teT1piV-SNzShjg/edit?gid=554141278#gid=554141278"", ""'Char Def. - Attributes'!C20:C2242""), 1,false)"),"NET_WEIGHT_OPT")</f>
        <v>NET_WEIGHT_OPT</v>
      </c>
      <c r="I13866" s="136"/>
      <c r="R13866" s="63" t="str">
        <f t="shared" si="60"/>
        <v>ZSI1_TABLE_STANNET_WEIGHT_OPT</v>
      </c>
    </row>
    <row r="13867" ht="15.75" customHeight="1">
      <c r="B13867" s="63">
        <f t="shared" si="1"/>
        <v>15</v>
      </c>
      <c r="C13867" s="135" t="s">
        <v>322</v>
      </c>
      <c r="D13867" s="161" t="s">
        <v>74</v>
      </c>
      <c r="E13867" s="135">
        <f t="shared" si="62"/>
        <v>11</v>
      </c>
      <c r="F13867" s="134" t="s">
        <v>4058</v>
      </c>
      <c r="G13867" s="63" t="str">
        <f>VLOOKUP(C13867, 'Class Def. - General Data'!$C$20:$C$1000,1,false)</f>
        <v>ZSI1_TABLE_STAN</v>
      </c>
      <c r="H13867" s="63" t="str">
        <f>IFERROR(__xludf.DUMMYFUNCTION("VLOOKUP(F13867, IMPORTRANGE(""https://docs.google.com/spreadsheets/d/1Lhp9OU0JdFf_VYSMzH5lBcEaU4o8teT1piV-SNzShjg/edit?gid=554141278#gid=554141278"", ""'Char Def. - Attributes'!C20:C2242""), 1,false)"),"WEIGHT_UNIT_SI")</f>
        <v>WEIGHT_UNIT_SI</v>
      </c>
      <c r="I13867" s="136"/>
      <c r="R13867" s="63" t="str">
        <f t="shared" si="60"/>
        <v>ZSI1_TABLE_STANWEIGHT_UNIT_SI</v>
      </c>
    </row>
    <row r="13868" ht="15.75" customHeight="1">
      <c r="B13868" s="63">
        <f t="shared" si="1"/>
        <v>15</v>
      </c>
      <c r="C13868" s="135" t="s">
        <v>322</v>
      </c>
      <c r="D13868" s="161" t="s">
        <v>74</v>
      </c>
      <c r="E13868" s="135">
        <f t="shared" si="62"/>
        <v>12</v>
      </c>
      <c r="F13868" s="134" t="s">
        <v>3877</v>
      </c>
      <c r="G13868" s="63" t="str">
        <f>VLOOKUP(C13868, 'Class Def. - General Data'!$C$20:$C$1000,1,false)</f>
        <v>ZSI1_TABLE_STAN</v>
      </c>
      <c r="H13868" s="63" t="str">
        <f>IFERROR(__xludf.DUMMYFUNCTION("VLOOKUP(F13868, IMPORTRANGE(""https://docs.google.com/spreadsheets/d/1Lhp9OU0JdFf_VYSMzH5lBcEaU4o8teT1piV-SNzShjg/edit?gid=554141278#gid=554141278"", ""'Char Def. - Attributes'!C20:C2242""), 1,false)"),"VOLUME_OPT")</f>
        <v>VOLUME_OPT</v>
      </c>
      <c r="I13868" s="136"/>
      <c r="R13868" s="63" t="str">
        <f t="shared" si="60"/>
        <v>ZSI1_TABLE_STANVOLUME_OPT</v>
      </c>
    </row>
    <row r="13869" ht="15.75" customHeight="1">
      <c r="B13869" s="63">
        <f t="shared" si="1"/>
        <v>15</v>
      </c>
      <c r="C13869" s="135" t="s">
        <v>322</v>
      </c>
      <c r="D13869" s="161" t="s">
        <v>74</v>
      </c>
      <c r="E13869" s="135">
        <f t="shared" si="62"/>
        <v>13</v>
      </c>
      <c r="F13869" s="134" t="s">
        <v>4059</v>
      </c>
      <c r="G13869" s="63" t="str">
        <f>VLOOKUP(C13869, 'Class Def. - General Data'!$C$20:$C$1000,1,false)</f>
        <v>ZSI1_TABLE_STAN</v>
      </c>
      <c r="H13869" s="63" t="str">
        <f>IFERROR(__xludf.DUMMYFUNCTION("VLOOKUP(F13869, IMPORTRANGE(""https://docs.google.com/spreadsheets/d/1Lhp9OU0JdFf_VYSMzH5lBcEaU4o8teT1piV-SNzShjg/edit?gid=554141278#gid=554141278"", ""'Char Def. - Attributes'!C20:C2242""), 1,false)"),"VOLUME_UNIT_SI")</f>
        <v>VOLUME_UNIT_SI</v>
      </c>
      <c r="I13869" s="136"/>
      <c r="R13869" s="63" t="str">
        <f t="shared" si="60"/>
        <v>ZSI1_TABLE_STANVOLUME_UNIT_SI</v>
      </c>
    </row>
    <row r="13870" ht="15.75" customHeight="1">
      <c r="B13870" s="63">
        <f t="shared" si="1"/>
        <v>15</v>
      </c>
      <c r="C13870" s="135" t="s">
        <v>322</v>
      </c>
      <c r="D13870" s="161" t="s">
        <v>74</v>
      </c>
      <c r="E13870" s="135">
        <f t="shared" si="62"/>
        <v>14</v>
      </c>
      <c r="F13870" s="134" t="s">
        <v>3804</v>
      </c>
      <c r="G13870" s="63" t="str">
        <f>VLOOKUP(C13870, 'Class Def. - General Data'!$C$20:$C$1000,1,false)</f>
        <v>ZSI1_TABLE_STAN</v>
      </c>
      <c r="H13870" s="63" t="str">
        <f>IFERROR(__xludf.DUMMYFUNCTION("VLOOKUP(F13870, IMPORTRANGE(""https://docs.google.com/spreadsheets/d/1Lhp9OU0JdFf_VYSMzH5lBcEaU4o8teT1piV-SNzShjg/edit?gid=554141278#gid=554141278"", ""'Char Def. - Attributes'!C20:C2242""), 1,false)"),"ALT_UOM1_SIPI")</f>
        <v>ALT_UOM1_SIPI</v>
      </c>
      <c r="I13870" s="136"/>
      <c r="R13870" s="63" t="str">
        <f t="shared" si="60"/>
        <v>ZSI1_TABLE_STANALT_UOM1_SIPI</v>
      </c>
    </row>
    <row r="13871" ht="15.75" customHeight="1">
      <c r="B13871" s="63">
        <f t="shared" si="1"/>
        <v>15</v>
      </c>
      <c r="C13871" s="135" t="s">
        <v>322</v>
      </c>
      <c r="D13871" s="161" t="s">
        <v>74</v>
      </c>
      <c r="E13871" s="135">
        <f t="shared" si="62"/>
        <v>15</v>
      </c>
      <c r="F13871" s="134" t="s">
        <v>3805</v>
      </c>
      <c r="G13871" s="63" t="str">
        <f>VLOOKUP(C13871, 'Class Def. - General Data'!$C$20:$C$1000,1,false)</f>
        <v>ZSI1_TABLE_STAN</v>
      </c>
      <c r="H13871" s="63" t="str">
        <f>IFERROR(__xludf.DUMMYFUNCTION("VLOOKUP(F13871, IMPORTRANGE(""https://docs.google.com/spreadsheets/d/1Lhp9OU0JdFf_VYSMzH5lBcEaU4o8teT1piV-SNzShjg/edit?gid=554141278#gid=554141278"", ""'Char Def. - Attributes'!C20:C2242""), 1,false)"),"ALT_DENUM_UOM1")</f>
        <v>ALT_DENUM_UOM1</v>
      </c>
      <c r="I13871" s="136"/>
      <c r="R13871" s="63" t="str">
        <f t="shared" si="60"/>
        <v>ZSI1_TABLE_STANALT_DENUM_UOM1</v>
      </c>
    </row>
    <row r="13872" ht="15.75" customHeight="1">
      <c r="B13872" s="63">
        <f t="shared" si="1"/>
        <v>15</v>
      </c>
      <c r="C13872" s="135" t="s">
        <v>322</v>
      </c>
      <c r="D13872" s="161" t="s">
        <v>74</v>
      </c>
      <c r="E13872" s="135">
        <f t="shared" si="62"/>
        <v>16</v>
      </c>
      <c r="F13872" s="134" t="s">
        <v>3806</v>
      </c>
      <c r="G13872" s="63" t="str">
        <f>VLOOKUP(C13872, 'Class Def. - General Data'!$C$20:$C$1000,1,false)</f>
        <v>ZSI1_TABLE_STAN</v>
      </c>
      <c r="H13872" s="63" t="str">
        <f>IFERROR(__xludf.DUMMYFUNCTION("VLOOKUP(F13872, IMPORTRANGE(""https://docs.google.com/spreadsheets/d/1Lhp9OU0JdFf_VYSMzH5lBcEaU4o8teT1piV-SNzShjg/edit?gid=554141278#gid=554141278"", ""'Char Def. - Attributes'!C20:C2242""), 1,false)"),"ALT_NUM_UOM1")</f>
        <v>ALT_NUM_UOM1</v>
      </c>
      <c r="I13872" s="136"/>
      <c r="R13872" s="63" t="str">
        <f t="shared" si="60"/>
        <v>ZSI1_TABLE_STANALT_NUM_UOM1</v>
      </c>
    </row>
    <row r="13873" ht="15.75" customHeight="1">
      <c r="B13873" s="63">
        <f t="shared" si="1"/>
        <v>15</v>
      </c>
      <c r="C13873" s="135" t="s">
        <v>322</v>
      </c>
      <c r="D13873" s="161" t="s">
        <v>74</v>
      </c>
      <c r="E13873" s="135">
        <f t="shared" si="62"/>
        <v>17</v>
      </c>
      <c r="F13873" s="134" t="s">
        <v>3807</v>
      </c>
      <c r="G13873" s="63" t="str">
        <f>VLOOKUP(C13873, 'Class Def. - General Data'!$C$20:$C$1000,1,false)</f>
        <v>ZSI1_TABLE_STAN</v>
      </c>
      <c r="H13873" s="63" t="str">
        <f>IFERROR(__xludf.DUMMYFUNCTION("VLOOKUP(F13873, IMPORTRANGE(""https://docs.google.com/spreadsheets/d/1Lhp9OU0JdFf_VYSMzH5lBcEaU4o8teT1piV-SNzShjg/edit?gid=554141278#gid=554141278"", ""'Char Def. - Attributes'!C20:C2242""), 1,false)"),"ALT_UOM2_SIPI")</f>
        <v>ALT_UOM2_SIPI</v>
      </c>
      <c r="I13873" s="136"/>
      <c r="R13873" s="63" t="str">
        <f t="shared" si="60"/>
        <v>ZSI1_TABLE_STANALT_UOM2_SIPI</v>
      </c>
    </row>
    <row r="13874" ht="15.75" customHeight="1">
      <c r="B13874" s="63">
        <f t="shared" si="1"/>
        <v>15</v>
      </c>
      <c r="C13874" s="135" t="s">
        <v>322</v>
      </c>
      <c r="D13874" s="161" t="s">
        <v>74</v>
      </c>
      <c r="E13874" s="135">
        <f t="shared" si="62"/>
        <v>18</v>
      </c>
      <c r="F13874" s="134" t="s">
        <v>3808</v>
      </c>
      <c r="G13874" s="63" t="str">
        <f>VLOOKUP(C13874, 'Class Def. - General Data'!$C$20:$C$1000,1,false)</f>
        <v>ZSI1_TABLE_STAN</v>
      </c>
      <c r="H13874" s="63" t="str">
        <f>IFERROR(__xludf.DUMMYFUNCTION("VLOOKUP(F13874, IMPORTRANGE(""https://docs.google.com/spreadsheets/d/1Lhp9OU0JdFf_VYSMzH5lBcEaU4o8teT1piV-SNzShjg/edit?gid=554141278#gid=554141278"", ""'Char Def. - Attributes'!C20:C2242""), 1,false)"),"ALT_DENUM_UOM2")</f>
        <v>ALT_DENUM_UOM2</v>
      </c>
      <c r="I13874" s="136"/>
      <c r="R13874" s="63" t="str">
        <f t="shared" si="60"/>
        <v>ZSI1_TABLE_STANALT_DENUM_UOM2</v>
      </c>
    </row>
    <row r="13875" ht="15.75" customHeight="1">
      <c r="B13875" s="63">
        <f t="shared" si="1"/>
        <v>15</v>
      </c>
      <c r="C13875" s="135" t="s">
        <v>322</v>
      </c>
      <c r="D13875" s="161" t="s">
        <v>74</v>
      </c>
      <c r="E13875" s="135">
        <f t="shared" si="62"/>
        <v>19</v>
      </c>
      <c r="F13875" s="134" t="s">
        <v>3809</v>
      </c>
      <c r="G13875" s="63" t="str">
        <f>VLOOKUP(C13875, 'Class Def. - General Data'!$C$20:$C$1000,1,false)</f>
        <v>ZSI1_TABLE_STAN</v>
      </c>
      <c r="H13875" s="63" t="str">
        <f>IFERROR(__xludf.DUMMYFUNCTION("VLOOKUP(F13875, IMPORTRANGE(""https://docs.google.com/spreadsheets/d/1Lhp9OU0JdFf_VYSMzH5lBcEaU4o8teT1piV-SNzShjg/edit?gid=554141278#gid=554141278"", ""'Char Def. - Attributes'!C20:C2242""), 1,false)"),"ALT_NUM_UOM2")</f>
        <v>ALT_NUM_UOM2</v>
      </c>
      <c r="I13875" s="136"/>
      <c r="R13875" s="63" t="str">
        <f t="shared" si="60"/>
        <v>ZSI1_TABLE_STANALT_NUM_UOM2</v>
      </c>
    </row>
    <row r="13876" ht="15.75" customHeight="1">
      <c r="B13876" s="63">
        <f t="shared" si="1"/>
        <v>15</v>
      </c>
      <c r="C13876" s="135" t="s">
        <v>322</v>
      </c>
      <c r="D13876" s="161" t="s">
        <v>74</v>
      </c>
      <c r="E13876" s="135">
        <f t="shared" si="62"/>
        <v>20</v>
      </c>
      <c r="F13876" s="134" t="s">
        <v>3810</v>
      </c>
      <c r="G13876" s="63" t="str">
        <f>VLOOKUP(C13876, 'Class Def. - General Data'!$C$20:$C$1000,1,false)</f>
        <v>ZSI1_TABLE_STAN</v>
      </c>
      <c r="H13876" s="63" t="str">
        <f>IFERROR(__xludf.DUMMYFUNCTION("VLOOKUP(F13876, IMPORTRANGE(""https://docs.google.com/spreadsheets/d/1Lhp9OU0JdFf_VYSMzH5lBcEaU4o8teT1piV-SNzShjg/edit?gid=554141278#gid=554141278"", ""'Char Def. - Attributes'!C20:C2242""), 1,false)"),"ALT_UOM3_SIPI")</f>
        <v>ALT_UOM3_SIPI</v>
      </c>
      <c r="I13876" s="136"/>
      <c r="R13876" s="63" t="str">
        <f t="shared" si="60"/>
        <v>ZSI1_TABLE_STANALT_UOM3_SIPI</v>
      </c>
    </row>
    <row r="13877" ht="15.75" customHeight="1">
      <c r="B13877" s="63">
        <f t="shared" si="1"/>
        <v>15</v>
      </c>
      <c r="C13877" s="135" t="s">
        <v>322</v>
      </c>
      <c r="D13877" s="161" t="s">
        <v>74</v>
      </c>
      <c r="E13877" s="135">
        <f t="shared" si="62"/>
        <v>21</v>
      </c>
      <c r="F13877" s="134" t="s">
        <v>3811</v>
      </c>
      <c r="G13877" s="63" t="str">
        <f>VLOOKUP(C13877, 'Class Def. - General Data'!$C$20:$C$1000,1,false)</f>
        <v>ZSI1_TABLE_STAN</v>
      </c>
      <c r="H13877" s="63" t="str">
        <f>IFERROR(__xludf.DUMMYFUNCTION("VLOOKUP(F13877, IMPORTRANGE(""https://docs.google.com/spreadsheets/d/1Lhp9OU0JdFf_VYSMzH5lBcEaU4o8teT1piV-SNzShjg/edit?gid=554141278#gid=554141278"", ""'Char Def. - Attributes'!C20:C2242""), 1,false)"),"ALT_DENUM_UOM3")</f>
        <v>ALT_DENUM_UOM3</v>
      </c>
      <c r="I13877" s="136"/>
      <c r="R13877" s="63" t="str">
        <f t="shared" si="60"/>
        <v>ZSI1_TABLE_STANALT_DENUM_UOM3</v>
      </c>
    </row>
    <row r="13878" ht="15.75" customHeight="1">
      <c r="B13878" s="63">
        <f t="shared" si="1"/>
        <v>15</v>
      </c>
      <c r="C13878" s="135" t="s">
        <v>322</v>
      </c>
      <c r="D13878" s="161" t="s">
        <v>74</v>
      </c>
      <c r="E13878" s="135">
        <f t="shared" si="62"/>
        <v>22</v>
      </c>
      <c r="F13878" s="134" t="s">
        <v>3812</v>
      </c>
      <c r="G13878" s="63" t="str">
        <f>VLOOKUP(C13878, 'Class Def. - General Data'!$C$20:$C$1000,1,false)</f>
        <v>ZSI1_TABLE_STAN</v>
      </c>
      <c r="H13878" s="63" t="str">
        <f>IFERROR(__xludf.DUMMYFUNCTION("VLOOKUP(F13878, IMPORTRANGE(""https://docs.google.com/spreadsheets/d/1Lhp9OU0JdFf_VYSMzH5lBcEaU4o8teT1piV-SNzShjg/edit?gid=554141278#gid=554141278"", ""'Char Def. - Attributes'!C20:C2242""), 1,false)"),"ALT_NUM_UOM3")</f>
        <v>ALT_NUM_UOM3</v>
      </c>
      <c r="I13878" s="136"/>
      <c r="R13878" s="63" t="str">
        <f t="shared" si="60"/>
        <v>ZSI1_TABLE_STANALT_NUM_UOM3</v>
      </c>
    </row>
    <row r="13879" ht="15.75" customHeight="1">
      <c r="B13879" s="63">
        <f t="shared" si="1"/>
        <v>15</v>
      </c>
      <c r="C13879" s="135" t="s">
        <v>322</v>
      </c>
      <c r="D13879" s="161" t="s">
        <v>74</v>
      </c>
      <c r="E13879" s="135">
        <f t="shared" si="62"/>
        <v>23</v>
      </c>
      <c r="F13879" s="134" t="s">
        <v>3813</v>
      </c>
      <c r="G13879" s="63" t="str">
        <f>VLOOKUP(C13879, 'Class Def. - General Data'!$C$20:$C$1000,1,false)</f>
        <v>ZSI1_TABLE_STAN</v>
      </c>
      <c r="H13879" s="63" t="str">
        <f>IFERROR(__xludf.DUMMYFUNCTION("VLOOKUP(F13879, IMPORTRANGE(""https://docs.google.com/spreadsheets/d/1Lhp9OU0JdFf_VYSMzH5lBcEaU4o8teT1piV-SNzShjg/edit?gid=554141278#gid=554141278"", ""'Char Def. - Attributes'!C20:C2242""), 1,false)"),"ALT_UOM4_SIPI")</f>
        <v>ALT_UOM4_SIPI</v>
      </c>
      <c r="I13879" s="136"/>
      <c r="R13879" s="63" t="str">
        <f t="shared" si="60"/>
        <v>ZSI1_TABLE_STANALT_UOM4_SIPI</v>
      </c>
    </row>
    <row r="13880" ht="15.75" customHeight="1">
      <c r="B13880" s="63">
        <f t="shared" si="1"/>
        <v>15</v>
      </c>
      <c r="C13880" s="135" t="s">
        <v>322</v>
      </c>
      <c r="D13880" s="161" t="s">
        <v>74</v>
      </c>
      <c r="E13880" s="135">
        <f t="shared" si="62"/>
        <v>24</v>
      </c>
      <c r="F13880" s="134" t="s">
        <v>3814</v>
      </c>
      <c r="G13880" s="63" t="str">
        <f>VLOOKUP(C13880, 'Class Def. - General Data'!$C$20:$C$1000,1,false)</f>
        <v>ZSI1_TABLE_STAN</v>
      </c>
      <c r="H13880" s="63" t="str">
        <f>IFERROR(__xludf.DUMMYFUNCTION("VLOOKUP(F13880, IMPORTRANGE(""https://docs.google.com/spreadsheets/d/1Lhp9OU0JdFf_VYSMzH5lBcEaU4o8teT1piV-SNzShjg/edit?gid=554141278#gid=554141278"", ""'Char Def. - Attributes'!C20:C2242""), 1,false)"),"ALT_DENUM_UOM4")</f>
        <v>ALT_DENUM_UOM4</v>
      </c>
      <c r="I13880" s="136"/>
      <c r="R13880" s="63" t="str">
        <f t="shared" si="60"/>
        <v>ZSI1_TABLE_STANALT_DENUM_UOM4</v>
      </c>
    </row>
    <row r="13881" ht="15.75" customHeight="1">
      <c r="B13881" s="63">
        <f t="shared" si="1"/>
        <v>15</v>
      </c>
      <c r="C13881" s="135" t="s">
        <v>322</v>
      </c>
      <c r="D13881" s="161" t="s">
        <v>74</v>
      </c>
      <c r="E13881" s="135">
        <f t="shared" si="62"/>
        <v>25</v>
      </c>
      <c r="F13881" s="134" t="s">
        <v>3815</v>
      </c>
      <c r="G13881" s="63" t="str">
        <f>VLOOKUP(C13881, 'Class Def. - General Data'!$C$20:$C$1000,1,false)</f>
        <v>ZSI1_TABLE_STAN</v>
      </c>
      <c r="H13881" s="63" t="str">
        <f>IFERROR(__xludf.DUMMYFUNCTION("VLOOKUP(F13881, IMPORTRANGE(""https://docs.google.com/spreadsheets/d/1Lhp9OU0JdFf_VYSMzH5lBcEaU4o8teT1piV-SNzShjg/edit?gid=554141278#gid=554141278"", ""'Char Def. - Attributes'!C20:C2242""), 1,false)"),"ALT_NUM_UOM4")</f>
        <v>ALT_NUM_UOM4</v>
      </c>
      <c r="I13881" s="136"/>
      <c r="R13881" s="63" t="str">
        <f t="shared" si="60"/>
        <v>ZSI1_TABLE_STANALT_NUM_UOM4</v>
      </c>
    </row>
    <row r="13882" ht="15.75" customHeight="1">
      <c r="B13882" s="63">
        <f t="shared" si="1"/>
        <v>15</v>
      </c>
      <c r="C13882" s="135" t="s">
        <v>322</v>
      </c>
      <c r="D13882" s="161" t="s">
        <v>74</v>
      </c>
      <c r="E13882" s="135">
        <f t="shared" si="62"/>
        <v>26</v>
      </c>
      <c r="F13882" s="134" t="s">
        <v>3816</v>
      </c>
      <c r="G13882" s="63" t="str">
        <f>VLOOKUP(C13882, 'Class Def. - General Data'!$C$20:$C$1000,1,false)</f>
        <v>ZSI1_TABLE_STAN</v>
      </c>
      <c r="H13882" s="63" t="str">
        <f>IFERROR(__xludf.DUMMYFUNCTION("VLOOKUP(F13882, IMPORTRANGE(""https://docs.google.com/spreadsheets/d/1Lhp9OU0JdFf_VYSMzH5lBcEaU4o8teT1piV-SNzShjg/edit?gid=554141278#gid=554141278"", ""'Char Def. - Attributes'!C20:C2242""), 1,false)"),"ALT_UOM5_SIPI")</f>
        <v>ALT_UOM5_SIPI</v>
      </c>
      <c r="I13882" s="136"/>
      <c r="R13882" s="63" t="str">
        <f t="shared" si="60"/>
        <v>ZSI1_TABLE_STANALT_UOM5_SIPI</v>
      </c>
    </row>
    <row r="13883" ht="15.75" customHeight="1">
      <c r="A13883" s="158"/>
      <c r="B13883" s="63">
        <f t="shared" si="1"/>
        <v>15</v>
      </c>
      <c r="C13883" s="135" t="s">
        <v>322</v>
      </c>
      <c r="D13883" s="161" t="s">
        <v>74</v>
      </c>
      <c r="E13883" s="135">
        <f t="shared" si="62"/>
        <v>27</v>
      </c>
      <c r="F13883" s="134" t="s">
        <v>3817</v>
      </c>
      <c r="G13883" s="63" t="str">
        <f>VLOOKUP(C13883, 'Class Def. - General Data'!$C$20:$C$1000,1,false)</f>
        <v>ZSI1_TABLE_STAN</v>
      </c>
      <c r="H13883" s="63" t="str">
        <f>IFERROR(__xludf.DUMMYFUNCTION("VLOOKUP(F13883, IMPORTRANGE(""https://docs.google.com/spreadsheets/d/1Lhp9OU0JdFf_VYSMzH5lBcEaU4o8teT1piV-SNzShjg/edit?gid=554141278#gid=554141278"", ""'Char Def. - Attributes'!C20:C2242""), 1,false)"),"ALT_DENUM_UOM5")</f>
        <v>ALT_DENUM_UOM5</v>
      </c>
      <c r="I13883" s="136"/>
      <c r="R13883" s="63" t="str">
        <f t="shared" si="60"/>
        <v>ZSI1_TABLE_STANALT_DENUM_UOM5</v>
      </c>
    </row>
    <row r="13884" ht="15.75" customHeight="1">
      <c r="A13884" s="158"/>
      <c r="B13884" s="63">
        <f t="shared" si="1"/>
        <v>15</v>
      </c>
      <c r="C13884" s="135" t="s">
        <v>322</v>
      </c>
      <c r="D13884" s="161" t="s">
        <v>74</v>
      </c>
      <c r="E13884" s="135">
        <f t="shared" si="62"/>
        <v>28</v>
      </c>
      <c r="F13884" s="134" t="s">
        <v>3818</v>
      </c>
      <c r="G13884" s="63" t="str">
        <f>VLOOKUP(C13884, 'Class Def. - General Data'!$C$20:$C$1000,1,false)</f>
        <v>ZSI1_TABLE_STAN</v>
      </c>
      <c r="H13884" s="63" t="str">
        <f>IFERROR(__xludf.DUMMYFUNCTION("VLOOKUP(F13884, IMPORTRANGE(""https://docs.google.com/spreadsheets/d/1Lhp9OU0JdFf_VYSMzH5lBcEaU4o8teT1piV-SNzShjg/edit?gid=554141278#gid=554141278"", ""'Char Def. - Attributes'!C20:C2242""), 1,false)"),"ALT_NUM_UOM5")</f>
        <v>ALT_NUM_UOM5</v>
      </c>
      <c r="I13884" s="136"/>
      <c r="R13884" s="63" t="str">
        <f t="shared" si="60"/>
        <v>ZSI1_TABLE_STANALT_NUM_UOM5</v>
      </c>
    </row>
    <row r="13885" ht="15.75" customHeight="1">
      <c r="B13885" s="63">
        <f t="shared" si="1"/>
        <v>18</v>
      </c>
      <c r="C13885" s="135" t="s">
        <v>471</v>
      </c>
      <c r="D13885" s="161" t="s">
        <v>74</v>
      </c>
      <c r="E13885" s="135">
        <f t="shared" si="62"/>
        <v>1</v>
      </c>
      <c r="F13885" s="134" t="s">
        <v>5483</v>
      </c>
      <c r="G13885" s="63" t="str">
        <f>VLOOKUP(C13885, 'Class Def. - General Data'!$C$20:$C$1000,1,false)</f>
        <v>ZSI1_TAPE_DISPENSE</v>
      </c>
      <c r="H13885" s="63" t="str">
        <f>IFERROR(__xludf.DUMMYFUNCTION("VLOOKUP(F13885, IMPORTRANGE(""https://docs.google.com/spreadsheets/d/1Lhp9OU0JdFf_VYSMzH5lBcEaU4o8teT1piV-SNzShjg/edit?gid=554141278#gid=554141278"", ""'Char Def. - Attributes'!C20:C2242""), 1,false)"),"ITEM_NAME_TAPE_DISPENSE")</f>
        <v>ITEM_NAME_TAPE_DISPENSE</v>
      </c>
      <c r="I13885" s="136"/>
      <c r="R13885" s="63" t="str">
        <f t="shared" si="60"/>
        <v>ZSI1_TAPE_DISPENSEITEM_NAME_TAPE_DISPENSE</v>
      </c>
    </row>
    <row r="13886" ht="15.75" customHeight="1">
      <c r="B13886" s="63">
        <f t="shared" si="1"/>
        <v>18</v>
      </c>
      <c r="C13886" s="135" t="s">
        <v>471</v>
      </c>
      <c r="D13886" s="161" t="s">
        <v>74</v>
      </c>
      <c r="E13886" s="135">
        <f t="shared" si="62"/>
        <v>2</v>
      </c>
      <c r="F13886" s="134" t="s">
        <v>4062</v>
      </c>
      <c r="G13886" s="63" t="str">
        <f>VLOOKUP(C13886, 'Class Def. - General Data'!$C$20:$C$1000,1,false)</f>
        <v>ZSI1_TAPE_DISPENSE</v>
      </c>
      <c r="H13886" s="63" t="str">
        <f>IFERROR(__xludf.DUMMYFUNCTION("VLOOKUP(F13886, IMPORTRANGE(""https://docs.google.com/spreadsheets/d/1Lhp9OU0JdFf_VYSMzH5lBcEaU4o8teT1piV-SNzShjg/edit?gid=554141278#gid=554141278"", ""'Char Def. - Attributes'!C20:C2242""), 1,false)"),"#N/A")</f>
        <v>#N/A</v>
      </c>
      <c r="I13886" s="136"/>
      <c r="R13886" s="63" t="str">
        <f t="shared" si="60"/>
        <v>ZSI1_TAPE_DISPENSEADDTIONAL_SPECIFICATION</v>
      </c>
    </row>
    <row r="13887" ht="15.75" customHeight="1">
      <c r="B13887" s="63">
        <f t="shared" si="1"/>
        <v>18</v>
      </c>
      <c r="C13887" s="135" t="s">
        <v>471</v>
      </c>
      <c r="D13887" s="161" t="s">
        <v>74</v>
      </c>
      <c r="E13887" s="135">
        <f t="shared" si="62"/>
        <v>3</v>
      </c>
      <c r="F13887" s="134" t="s">
        <v>3585</v>
      </c>
      <c r="G13887" s="63" t="str">
        <f>VLOOKUP(C13887, 'Class Def. - General Data'!$C$20:$C$1000,1,false)</f>
        <v>ZSI1_TAPE_DISPENSE</v>
      </c>
      <c r="H13887" s="63" t="str">
        <f>IFERROR(__xludf.DUMMYFUNCTION("VLOOKUP(F13887, IMPORTRANGE(""https://docs.google.com/spreadsheets/d/1Lhp9OU0JdFf_VYSMzH5lBcEaU4o8teT1piV-SNzShjg/edit?gid=554141278#gid=554141278"", ""'Char Def. - Attributes'!C20:C2242""), 1,false)"),"HS_CODE")</f>
        <v>HS_CODE</v>
      </c>
      <c r="I13887" s="136"/>
      <c r="R13887" s="63" t="str">
        <f t="shared" si="60"/>
        <v>ZSI1_TAPE_DISPENSEHS_CODE</v>
      </c>
    </row>
    <row r="13888" ht="15.75" customHeight="1">
      <c r="B13888" s="63">
        <f t="shared" si="1"/>
        <v>18</v>
      </c>
      <c r="C13888" s="135" t="s">
        <v>471</v>
      </c>
      <c r="D13888" s="161" t="s">
        <v>74</v>
      </c>
      <c r="E13888" s="135">
        <f t="shared" si="62"/>
        <v>4</v>
      </c>
      <c r="F13888" s="134" t="s">
        <v>3587</v>
      </c>
      <c r="G13888" s="63" t="str">
        <f>VLOOKUP(C13888, 'Class Def. - General Data'!$C$20:$C$1000,1,false)</f>
        <v>ZSI1_TAPE_DISPENSE</v>
      </c>
      <c r="H13888" s="63" t="str">
        <f>IFERROR(__xludf.DUMMYFUNCTION("VLOOKUP(F13888, IMPORTRANGE(""https://docs.google.com/spreadsheets/d/1Lhp9OU0JdFf_VYSMzH5lBcEaU4o8teT1piV-SNzShjg/edit?gid=554141278#gid=554141278"", ""'Char Def. - Attributes'!C20:C2242""), 1,false)"),"PLANT_BUY")</f>
        <v>PLANT_BUY</v>
      </c>
      <c r="I13888" s="136"/>
      <c r="R13888" s="63" t="str">
        <f t="shared" si="60"/>
        <v>ZSI1_TAPE_DISPENSEPLANT_BUY</v>
      </c>
    </row>
    <row r="13889" ht="15.75" customHeight="1">
      <c r="B13889" s="63">
        <f t="shared" si="1"/>
        <v>18</v>
      </c>
      <c r="C13889" s="135" t="s">
        <v>471</v>
      </c>
      <c r="D13889" s="161" t="s">
        <v>74</v>
      </c>
      <c r="E13889" s="135">
        <f t="shared" si="62"/>
        <v>5</v>
      </c>
      <c r="F13889" s="134" t="s">
        <v>5484</v>
      </c>
      <c r="G13889" s="63" t="str">
        <f>VLOOKUP(C13889, 'Class Def. - General Data'!$C$20:$C$1000,1,false)</f>
        <v>ZSI1_TAPE_DISPENSE</v>
      </c>
      <c r="H13889" s="63" t="str">
        <f>IFERROR(__xludf.DUMMYFUNCTION("VLOOKUP(F13889, IMPORTRANGE(""https://docs.google.com/spreadsheets/d/1Lhp9OU0JdFf_VYSMzH5lBcEaU4o8teT1piV-SNzShjg/edit?gid=554141278#gid=554141278"", ""'Char Def. - Attributes'!C20:C2242""), 1,false)"),"BASE_UOM_TAPE_DISPENSE")</f>
        <v>BASE_UOM_TAPE_DISPENSE</v>
      </c>
      <c r="I13889" s="136"/>
      <c r="R13889" s="63" t="str">
        <f t="shared" si="60"/>
        <v>ZSI1_TAPE_DISPENSEBASE_UOM_TAPE_DISPENSE</v>
      </c>
    </row>
    <row r="13890" ht="15.75" customHeight="1">
      <c r="B13890" s="63">
        <f t="shared" si="1"/>
        <v>18</v>
      </c>
      <c r="C13890" s="135" t="s">
        <v>471</v>
      </c>
      <c r="D13890" s="161" t="s">
        <v>74</v>
      </c>
      <c r="E13890" s="135">
        <f t="shared" si="62"/>
        <v>6</v>
      </c>
      <c r="F13890" s="134" t="s">
        <v>5485</v>
      </c>
      <c r="G13890" s="63" t="str">
        <f>VLOOKUP(C13890, 'Class Def. - General Data'!$C$20:$C$1000,1,false)</f>
        <v>ZSI1_TAPE_DISPENSE</v>
      </c>
      <c r="H13890" s="63" t="str">
        <f>IFERROR(__xludf.DUMMYFUNCTION("VLOOKUP(F13890, IMPORTRANGE(""https://docs.google.com/spreadsheets/d/1Lhp9OU0JdFf_VYSMzH5lBcEaU4o8teT1piV-SNzShjg/edit?gid=554141278#gid=554141278"", ""'Char Def. - Attributes'!C20:C2242""), 1,false)"),"ORDER_UNIT_TAPE_DISPENSE")</f>
        <v>ORDER_UNIT_TAPE_DISPENSE</v>
      </c>
      <c r="I13890" s="136"/>
      <c r="R13890" s="63" t="str">
        <f t="shared" si="60"/>
        <v>ZSI1_TAPE_DISPENSEORDER_UNIT_TAPE_DISPENSE</v>
      </c>
    </row>
    <row r="13891" ht="15.75" customHeight="1">
      <c r="B13891" s="63">
        <f t="shared" si="1"/>
        <v>18</v>
      </c>
      <c r="C13891" s="135" t="s">
        <v>471</v>
      </c>
      <c r="D13891" s="161" t="s">
        <v>74</v>
      </c>
      <c r="E13891" s="135">
        <f t="shared" si="62"/>
        <v>7</v>
      </c>
      <c r="F13891" s="134" t="s">
        <v>4056</v>
      </c>
      <c r="G13891" s="63" t="str">
        <f>VLOOKUP(C13891, 'Class Def. - General Data'!$C$20:$C$1000,1,false)</f>
        <v>ZSI1_TAPE_DISPENSE</v>
      </c>
      <c r="H13891" s="63" t="str">
        <f>IFERROR(__xludf.DUMMYFUNCTION("VLOOKUP(F13891, IMPORTRANGE(""https://docs.google.com/spreadsheets/d/1Lhp9OU0JdFf_VYSMzH5lBcEaU4o8teT1piV-SNzShjg/edit?gid=554141278#gid=554141278"", ""'Char Def. - Attributes'!C20:C2242""), 1,false)"),"GROSS_WEIGHT_OPT")</f>
        <v>GROSS_WEIGHT_OPT</v>
      </c>
      <c r="I13891" s="136"/>
      <c r="R13891" s="63" t="str">
        <f t="shared" si="60"/>
        <v>ZSI1_TAPE_DISPENSEGROSS_WEIGHT_OPT</v>
      </c>
    </row>
    <row r="13892" ht="15.75" customHeight="1">
      <c r="B13892" s="63">
        <f t="shared" si="1"/>
        <v>18</v>
      </c>
      <c r="C13892" s="135" t="s">
        <v>471</v>
      </c>
      <c r="D13892" s="161" t="s">
        <v>74</v>
      </c>
      <c r="E13892" s="135">
        <f t="shared" si="62"/>
        <v>8</v>
      </c>
      <c r="F13892" s="134" t="s">
        <v>4057</v>
      </c>
      <c r="G13892" s="63" t="str">
        <f>VLOOKUP(C13892, 'Class Def. - General Data'!$C$20:$C$1000,1,false)</f>
        <v>ZSI1_TAPE_DISPENSE</v>
      </c>
      <c r="H13892" s="63" t="str">
        <f>IFERROR(__xludf.DUMMYFUNCTION("VLOOKUP(F13892, IMPORTRANGE(""https://docs.google.com/spreadsheets/d/1Lhp9OU0JdFf_VYSMzH5lBcEaU4o8teT1piV-SNzShjg/edit?gid=554141278#gid=554141278"", ""'Char Def. - Attributes'!C20:C2242""), 1,false)"),"NET_WEIGHT_OPT")</f>
        <v>NET_WEIGHT_OPT</v>
      </c>
      <c r="I13892" s="136"/>
      <c r="R13892" s="63" t="str">
        <f t="shared" si="60"/>
        <v>ZSI1_TAPE_DISPENSENET_WEIGHT_OPT</v>
      </c>
    </row>
    <row r="13893" ht="15.75" customHeight="1">
      <c r="B13893" s="63">
        <f t="shared" si="1"/>
        <v>18</v>
      </c>
      <c r="C13893" s="135" t="s">
        <v>471</v>
      </c>
      <c r="D13893" s="161" t="s">
        <v>74</v>
      </c>
      <c r="E13893" s="135">
        <f t="shared" si="62"/>
        <v>9</v>
      </c>
      <c r="F13893" s="134" t="s">
        <v>4058</v>
      </c>
      <c r="G13893" s="63" t="str">
        <f>VLOOKUP(C13893, 'Class Def. - General Data'!$C$20:$C$1000,1,false)</f>
        <v>ZSI1_TAPE_DISPENSE</v>
      </c>
      <c r="H13893" s="63" t="str">
        <f>IFERROR(__xludf.DUMMYFUNCTION("VLOOKUP(F13893, IMPORTRANGE(""https://docs.google.com/spreadsheets/d/1Lhp9OU0JdFf_VYSMzH5lBcEaU4o8teT1piV-SNzShjg/edit?gid=554141278#gid=554141278"", ""'Char Def. - Attributes'!C20:C2242""), 1,false)"),"WEIGHT_UNIT_SI")</f>
        <v>WEIGHT_UNIT_SI</v>
      </c>
      <c r="I13893" s="136"/>
      <c r="R13893" s="63" t="str">
        <f t="shared" si="60"/>
        <v>ZSI1_TAPE_DISPENSEWEIGHT_UNIT_SI</v>
      </c>
    </row>
    <row r="13894" ht="15.75" customHeight="1">
      <c r="B13894" s="63">
        <f t="shared" si="1"/>
        <v>18</v>
      </c>
      <c r="C13894" s="135" t="s">
        <v>471</v>
      </c>
      <c r="D13894" s="161" t="s">
        <v>74</v>
      </c>
      <c r="E13894" s="135">
        <f t="shared" si="62"/>
        <v>10</v>
      </c>
      <c r="F13894" s="134" t="s">
        <v>3877</v>
      </c>
      <c r="G13894" s="63" t="str">
        <f>VLOOKUP(C13894, 'Class Def. - General Data'!$C$20:$C$1000,1,false)</f>
        <v>ZSI1_TAPE_DISPENSE</v>
      </c>
      <c r="H13894" s="63" t="str">
        <f>IFERROR(__xludf.DUMMYFUNCTION("VLOOKUP(F13894, IMPORTRANGE(""https://docs.google.com/spreadsheets/d/1Lhp9OU0JdFf_VYSMzH5lBcEaU4o8teT1piV-SNzShjg/edit?gid=554141278#gid=554141278"", ""'Char Def. - Attributes'!C20:C2242""), 1,false)"),"VOLUME_OPT")</f>
        <v>VOLUME_OPT</v>
      </c>
      <c r="I13894" s="136"/>
      <c r="R13894" s="63" t="str">
        <f t="shared" si="60"/>
        <v>ZSI1_TAPE_DISPENSEVOLUME_OPT</v>
      </c>
    </row>
    <row r="13895" ht="15.75" customHeight="1">
      <c r="B13895" s="63">
        <f t="shared" si="1"/>
        <v>18</v>
      </c>
      <c r="C13895" s="135" t="s">
        <v>471</v>
      </c>
      <c r="D13895" s="161" t="s">
        <v>74</v>
      </c>
      <c r="E13895" s="135">
        <f t="shared" si="62"/>
        <v>11</v>
      </c>
      <c r="F13895" s="134" t="s">
        <v>4059</v>
      </c>
      <c r="G13895" s="63" t="str">
        <f>VLOOKUP(C13895, 'Class Def. - General Data'!$C$20:$C$1000,1,false)</f>
        <v>ZSI1_TAPE_DISPENSE</v>
      </c>
      <c r="H13895" s="63" t="str">
        <f>IFERROR(__xludf.DUMMYFUNCTION("VLOOKUP(F13895, IMPORTRANGE(""https://docs.google.com/spreadsheets/d/1Lhp9OU0JdFf_VYSMzH5lBcEaU4o8teT1piV-SNzShjg/edit?gid=554141278#gid=554141278"", ""'Char Def. - Attributes'!C20:C2242""), 1,false)"),"VOLUME_UNIT_SI")</f>
        <v>VOLUME_UNIT_SI</v>
      </c>
      <c r="I13895" s="136"/>
      <c r="R13895" s="63" t="str">
        <f t="shared" si="60"/>
        <v>ZSI1_TAPE_DISPENSEVOLUME_UNIT_SI</v>
      </c>
    </row>
    <row r="13896" ht="15.75" customHeight="1">
      <c r="B13896" s="63">
        <f t="shared" si="1"/>
        <v>18</v>
      </c>
      <c r="C13896" s="135" t="s">
        <v>471</v>
      </c>
      <c r="D13896" s="161" t="s">
        <v>74</v>
      </c>
      <c r="E13896" s="135">
        <f t="shared" si="62"/>
        <v>12</v>
      </c>
      <c r="F13896" s="134" t="s">
        <v>3804</v>
      </c>
      <c r="G13896" s="63" t="str">
        <f>VLOOKUP(C13896, 'Class Def. - General Data'!$C$20:$C$1000,1,false)</f>
        <v>ZSI1_TAPE_DISPENSE</v>
      </c>
      <c r="H13896" s="63" t="str">
        <f>IFERROR(__xludf.DUMMYFUNCTION("VLOOKUP(F13896, IMPORTRANGE(""https://docs.google.com/spreadsheets/d/1Lhp9OU0JdFf_VYSMzH5lBcEaU4o8teT1piV-SNzShjg/edit?gid=554141278#gid=554141278"", ""'Char Def. - Attributes'!C20:C2242""), 1,false)"),"ALT_UOM1_SIPI")</f>
        <v>ALT_UOM1_SIPI</v>
      </c>
      <c r="I13896" s="136"/>
      <c r="R13896" s="63" t="str">
        <f t="shared" si="60"/>
        <v>ZSI1_TAPE_DISPENSEALT_UOM1_SIPI</v>
      </c>
    </row>
    <row r="13897" ht="15.75" customHeight="1">
      <c r="B13897" s="63">
        <f t="shared" si="1"/>
        <v>18</v>
      </c>
      <c r="C13897" s="135" t="s">
        <v>471</v>
      </c>
      <c r="D13897" s="161" t="s">
        <v>74</v>
      </c>
      <c r="E13897" s="135">
        <f t="shared" si="62"/>
        <v>13</v>
      </c>
      <c r="F13897" s="134" t="s">
        <v>3805</v>
      </c>
      <c r="G13897" s="63" t="str">
        <f>VLOOKUP(C13897, 'Class Def. - General Data'!$C$20:$C$1000,1,false)</f>
        <v>ZSI1_TAPE_DISPENSE</v>
      </c>
      <c r="H13897" s="63" t="str">
        <f>IFERROR(__xludf.DUMMYFUNCTION("VLOOKUP(F13897, IMPORTRANGE(""https://docs.google.com/spreadsheets/d/1Lhp9OU0JdFf_VYSMzH5lBcEaU4o8teT1piV-SNzShjg/edit?gid=554141278#gid=554141278"", ""'Char Def. - Attributes'!C20:C2242""), 1,false)"),"ALT_DENUM_UOM1")</f>
        <v>ALT_DENUM_UOM1</v>
      </c>
      <c r="I13897" s="136"/>
      <c r="R13897" s="63" t="str">
        <f t="shared" si="60"/>
        <v>ZSI1_TAPE_DISPENSEALT_DENUM_UOM1</v>
      </c>
    </row>
    <row r="13898" ht="15.75" customHeight="1">
      <c r="B13898" s="63">
        <f t="shared" si="1"/>
        <v>18</v>
      </c>
      <c r="C13898" s="135" t="s">
        <v>471</v>
      </c>
      <c r="D13898" s="161" t="s">
        <v>74</v>
      </c>
      <c r="E13898" s="135">
        <f t="shared" si="62"/>
        <v>14</v>
      </c>
      <c r="F13898" s="134" t="s">
        <v>3806</v>
      </c>
      <c r="G13898" s="63" t="str">
        <f>VLOOKUP(C13898, 'Class Def. - General Data'!$C$20:$C$1000,1,false)</f>
        <v>ZSI1_TAPE_DISPENSE</v>
      </c>
      <c r="H13898" s="63" t="str">
        <f>IFERROR(__xludf.DUMMYFUNCTION("VLOOKUP(F13898, IMPORTRANGE(""https://docs.google.com/spreadsheets/d/1Lhp9OU0JdFf_VYSMzH5lBcEaU4o8teT1piV-SNzShjg/edit?gid=554141278#gid=554141278"", ""'Char Def. - Attributes'!C20:C2242""), 1,false)"),"ALT_NUM_UOM1")</f>
        <v>ALT_NUM_UOM1</v>
      </c>
      <c r="I13898" s="136"/>
      <c r="R13898" s="63" t="str">
        <f t="shared" si="60"/>
        <v>ZSI1_TAPE_DISPENSEALT_NUM_UOM1</v>
      </c>
    </row>
    <row r="13899" ht="15.75" customHeight="1">
      <c r="B13899" s="63">
        <f t="shared" si="1"/>
        <v>18</v>
      </c>
      <c r="C13899" s="135" t="s">
        <v>471</v>
      </c>
      <c r="D13899" s="161" t="s">
        <v>74</v>
      </c>
      <c r="E13899" s="135">
        <f t="shared" si="62"/>
        <v>15</v>
      </c>
      <c r="F13899" s="134" t="s">
        <v>3807</v>
      </c>
      <c r="G13899" s="63" t="str">
        <f>VLOOKUP(C13899, 'Class Def. - General Data'!$C$20:$C$1000,1,false)</f>
        <v>ZSI1_TAPE_DISPENSE</v>
      </c>
      <c r="H13899" s="63" t="str">
        <f>IFERROR(__xludf.DUMMYFUNCTION("VLOOKUP(F13899, IMPORTRANGE(""https://docs.google.com/spreadsheets/d/1Lhp9OU0JdFf_VYSMzH5lBcEaU4o8teT1piV-SNzShjg/edit?gid=554141278#gid=554141278"", ""'Char Def. - Attributes'!C20:C2242""), 1,false)"),"ALT_UOM2_SIPI")</f>
        <v>ALT_UOM2_SIPI</v>
      </c>
      <c r="I13899" s="136"/>
      <c r="R13899" s="63" t="str">
        <f t="shared" si="60"/>
        <v>ZSI1_TAPE_DISPENSEALT_UOM2_SIPI</v>
      </c>
    </row>
    <row r="13900" ht="15.75" customHeight="1">
      <c r="B13900" s="63">
        <f t="shared" si="1"/>
        <v>18</v>
      </c>
      <c r="C13900" s="135" t="s">
        <v>471</v>
      </c>
      <c r="D13900" s="161" t="s">
        <v>74</v>
      </c>
      <c r="E13900" s="135">
        <f t="shared" si="62"/>
        <v>16</v>
      </c>
      <c r="F13900" s="134" t="s">
        <v>3808</v>
      </c>
      <c r="G13900" s="63" t="str">
        <f>VLOOKUP(C13900, 'Class Def. - General Data'!$C$20:$C$1000,1,false)</f>
        <v>ZSI1_TAPE_DISPENSE</v>
      </c>
      <c r="H13900" s="63" t="str">
        <f>IFERROR(__xludf.DUMMYFUNCTION("VLOOKUP(F13900, IMPORTRANGE(""https://docs.google.com/spreadsheets/d/1Lhp9OU0JdFf_VYSMzH5lBcEaU4o8teT1piV-SNzShjg/edit?gid=554141278#gid=554141278"", ""'Char Def. - Attributes'!C20:C2242""), 1,false)"),"ALT_DENUM_UOM2")</f>
        <v>ALT_DENUM_UOM2</v>
      </c>
      <c r="I13900" s="136"/>
      <c r="R13900" s="63" t="str">
        <f t="shared" si="60"/>
        <v>ZSI1_TAPE_DISPENSEALT_DENUM_UOM2</v>
      </c>
    </row>
    <row r="13901" ht="15.75" customHeight="1">
      <c r="B13901" s="63">
        <f t="shared" si="1"/>
        <v>18</v>
      </c>
      <c r="C13901" s="135" t="s">
        <v>471</v>
      </c>
      <c r="D13901" s="161" t="s">
        <v>74</v>
      </c>
      <c r="E13901" s="135">
        <f t="shared" si="62"/>
        <v>17</v>
      </c>
      <c r="F13901" s="134" t="s">
        <v>3809</v>
      </c>
      <c r="G13901" s="63" t="str">
        <f>VLOOKUP(C13901, 'Class Def. - General Data'!$C$20:$C$1000,1,false)</f>
        <v>ZSI1_TAPE_DISPENSE</v>
      </c>
      <c r="H13901" s="63" t="str">
        <f>IFERROR(__xludf.DUMMYFUNCTION("VLOOKUP(F13901, IMPORTRANGE(""https://docs.google.com/spreadsheets/d/1Lhp9OU0JdFf_VYSMzH5lBcEaU4o8teT1piV-SNzShjg/edit?gid=554141278#gid=554141278"", ""'Char Def. - Attributes'!C20:C2242""), 1,false)"),"ALT_NUM_UOM2")</f>
        <v>ALT_NUM_UOM2</v>
      </c>
      <c r="I13901" s="136"/>
      <c r="R13901" s="63" t="str">
        <f t="shared" si="60"/>
        <v>ZSI1_TAPE_DISPENSEALT_NUM_UOM2</v>
      </c>
    </row>
    <row r="13902" ht="15.75" customHeight="1">
      <c r="B13902" s="63">
        <f t="shared" si="1"/>
        <v>18</v>
      </c>
      <c r="C13902" s="135" t="s">
        <v>471</v>
      </c>
      <c r="D13902" s="161" t="s">
        <v>74</v>
      </c>
      <c r="E13902" s="135">
        <f t="shared" si="62"/>
        <v>18</v>
      </c>
      <c r="F13902" s="134" t="s">
        <v>3810</v>
      </c>
      <c r="G13902" s="63" t="str">
        <f>VLOOKUP(C13902, 'Class Def. - General Data'!$C$20:$C$1000,1,false)</f>
        <v>ZSI1_TAPE_DISPENSE</v>
      </c>
      <c r="H13902" s="63" t="str">
        <f>IFERROR(__xludf.DUMMYFUNCTION("VLOOKUP(F13902, IMPORTRANGE(""https://docs.google.com/spreadsheets/d/1Lhp9OU0JdFf_VYSMzH5lBcEaU4o8teT1piV-SNzShjg/edit?gid=554141278#gid=554141278"", ""'Char Def. - Attributes'!C20:C2242""), 1,false)"),"ALT_UOM3_SIPI")</f>
        <v>ALT_UOM3_SIPI</v>
      </c>
      <c r="I13902" s="136"/>
      <c r="R13902" s="63" t="str">
        <f t="shared" si="60"/>
        <v>ZSI1_TAPE_DISPENSEALT_UOM3_SIPI</v>
      </c>
    </row>
    <row r="13903" ht="15.75" customHeight="1">
      <c r="B13903" s="63">
        <f t="shared" si="1"/>
        <v>18</v>
      </c>
      <c r="C13903" s="135" t="s">
        <v>471</v>
      </c>
      <c r="D13903" s="161" t="s">
        <v>74</v>
      </c>
      <c r="E13903" s="135">
        <f t="shared" si="62"/>
        <v>19</v>
      </c>
      <c r="F13903" s="134" t="s">
        <v>3811</v>
      </c>
      <c r="G13903" s="63" t="str">
        <f>VLOOKUP(C13903, 'Class Def. - General Data'!$C$20:$C$1000,1,false)</f>
        <v>ZSI1_TAPE_DISPENSE</v>
      </c>
      <c r="H13903" s="63" t="str">
        <f>IFERROR(__xludf.DUMMYFUNCTION("VLOOKUP(F13903, IMPORTRANGE(""https://docs.google.com/spreadsheets/d/1Lhp9OU0JdFf_VYSMzH5lBcEaU4o8teT1piV-SNzShjg/edit?gid=554141278#gid=554141278"", ""'Char Def. - Attributes'!C20:C2242""), 1,false)"),"ALT_DENUM_UOM3")</f>
        <v>ALT_DENUM_UOM3</v>
      </c>
      <c r="I13903" s="136"/>
      <c r="R13903" s="63" t="str">
        <f t="shared" si="60"/>
        <v>ZSI1_TAPE_DISPENSEALT_DENUM_UOM3</v>
      </c>
    </row>
    <row r="13904" ht="15.75" customHeight="1">
      <c r="B13904" s="63">
        <f t="shared" si="1"/>
        <v>18</v>
      </c>
      <c r="C13904" s="135" t="s">
        <v>471</v>
      </c>
      <c r="D13904" s="161" t="s">
        <v>74</v>
      </c>
      <c r="E13904" s="135">
        <f t="shared" si="62"/>
        <v>20</v>
      </c>
      <c r="F13904" s="134" t="s">
        <v>3812</v>
      </c>
      <c r="G13904" s="63" t="str">
        <f>VLOOKUP(C13904, 'Class Def. - General Data'!$C$20:$C$1000,1,false)</f>
        <v>ZSI1_TAPE_DISPENSE</v>
      </c>
      <c r="H13904" s="63" t="str">
        <f>IFERROR(__xludf.DUMMYFUNCTION("VLOOKUP(F13904, IMPORTRANGE(""https://docs.google.com/spreadsheets/d/1Lhp9OU0JdFf_VYSMzH5lBcEaU4o8teT1piV-SNzShjg/edit?gid=554141278#gid=554141278"", ""'Char Def. - Attributes'!C20:C2242""), 1,false)"),"ALT_NUM_UOM3")</f>
        <v>ALT_NUM_UOM3</v>
      </c>
      <c r="I13904" s="136"/>
      <c r="R13904" s="63" t="str">
        <f t="shared" si="60"/>
        <v>ZSI1_TAPE_DISPENSEALT_NUM_UOM3</v>
      </c>
    </row>
    <row r="13905" ht="15.75" customHeight="1">
      <c r="B13905" s="63">
        <f t="shared" si="1"/>
        <v>18</v>
      </c>
      <c r="C13905" s="135" t="s">
        <v>471</v>
      </c>
      <c r="D13905" s="161" t="s">
        <v>74</v>
      </c>
      <c r="E13905" s="135">
        <f t="shared" si="62"/>
        <v>21</v>
      </c>
      <c r="F13905" s="134" t="s">
        <v>3813</v>
      </c>
      <c r="G13905" s="63" t="str">
        <f>VLOOKUP(C13905, 'Class Def. - General Data'!$C$20:$C$1000,1,false)</f>
        <v>ZSI1_TAPE_DISPENSE</v>
      </c>
      <c r="H13905" s="63" t="str">
        <f>IFERROR(__xludf.DUMMYFUNCTION("VLOOKUP(F13905, IMPORTRANGE(""https://docs.google.com/spreadsheets/d/1Lhp9OU0JdFf_VYSMzH5lBcEaU4o8teT1piV-SNzShjg/edit?gid=554141278#gid=554141278"", ""'Char Def. - Attributes'!C20:C2242""), 1,false)"),"ALT_UOM4_SIPI")</f>
        <v>ALT_UOM4_SIPI</v>
      </c>
      <c r="I13905" s="136"/>
      <c r="R13905" s="63" t="str">
        <f t="shared" si="60"/>
        <v>ZSI1_TAPE_DISPENSEALT_UOM4_SIPI</v>
      </c>
    </row>
    <row r="13906" ht="15.75" customHeight="1">
      <c r="B13906" s="63">
        <f t="shared" si="1"/>
        <v>18</v>
      </c>
      <c r="C13906" s="135" t="s">
        <v>471</v>
      </c>
      <c r="D13906" s="161" t="s">
        <v>74</v>
      </c>
      <c r="E13906" s="135">
        <f t="shared" si="62"/>
        <v>22</v>
      </c>
      <c r="F13906" s="134" t="s">
        <v>3814</v>
      </c>
      <c r="G13906" s="63" t="str">
        <f>VLOOKUP(C13906, 'Class Def. - General Data'!$C$20:$C$1000,1,false)</f>
        <v>ZSI1_TAPE_DISPENSE</v>
      </c>
      <c r="H13906" s="63" t="str">
        <f>IFERROR(__xludf.DUMMYFUNCTION("VLOOKUP(F13906, IMPORTRANGE(""https://docs.google.com/spreadsheets/d/1Lhp9OU0JdFf_VYSMzH5lBcEaU4o8teT1piV-SNzShjg/edit?gid=554141278#gid=554141278"", ""'Char Def. - Attributes'!C20:C2242""), 1,false)"),"ALT_DENUM_UOM4")</f>
        <v>ALT_DENUM_UOM4</v>
      </c>
      <c r="I13906" s="136"/>
      <c r="R13906" s="63" t="str">
        <f t="shared" si="60"/>
        <v>ZSI1_TAPE_DISPENSEALT_DENUM_UOM4</v>
      </c>
    </row>
    <row r="13907" ht="15.75" customHeight="1">
      <c r="B13907" s="63">
        <f t="shared" si="1"/>
        <v>18</v>
      </c>
      <c r="C13907" s="135" t="s">
        <v>471</v>
      </c>
      <c r="D13907" s="161" t="s">
        <v>74</v>
      </c>
      <c r="E13907" s="135">
        <f t="shared" si="62"/>
        <v>23</v>
      </c>
      <c r="F13907" s="134" t="s">
        <v>3815</v>
      </c>
      <c r="G13907" s="63" t="str">
        <f>VLOOKUP(C13907, 'Class Def. - General Data'!$C$20:$C$1000,1,false)</f>
        <v>ZSI1_TAPE_DISPENSE</v>
      </c>
      <c r="H13907" s="63" t="str">
        <f>IFERROR(__xludf.DUMMYFUNCTION("VLOOKUP(F13907, IMPORTRANGE(""https://docs.google.com/spreadsheets/d/1Lhp9OU0JdFf_VYSMzH5lBcEaU4o8teT1piV-SNzShjg/edit?gid=554141278#gid=554141278"", ""'Char Def. - Attributes'!C20:C2242""), 1,false)"),"ALT_NUM_UOM4")</f>
        <v>ALT_NUM_UOM4</v>
      </c>
      <c r="I13907" s="136"/>
      <c r="R13907" s="63" t="str">
        <f t="shared" si="60"/>
        <v>ZSI1_TAPE_DISPENSEALT_NUM_UOM4</v>
      </c>
    </row>
    <row r="13908" ht="15.75" customHeight="1">
      <c r="B13908" s="63">
        <f t="shared" si="1"/>
        <v>18</v>
      </c>
      <c r="C13908" s="135" t="s">
        <v>471</v>
      </c>
      <c r="D13908" s="161" t="s">
        <v>74</v>
      </c>
      <c r="E13908" s="135">
        <f t="shared" si="62"/>
        <v>24</v>
      </c>
      <c r="F13908" s="134" t="s">
        <v>3816</v>
      </c>
      <c r="G13908" s="63" t="str">
        <f>VLOOKUP(C13908, 'Class Def. - General Data'!$C$20:$C$1000,1,false)</f>
        <v>ZSI1_TAPE_DISPENSE</v>
      </c>
      <c r="H13908" s="63" t="str">
        <f>IFERROR(__xludf.DUMMYFUNCTION("VLOOKUP(F13908, IMPORTRANGE(""https://docs.google.com/spreadsheets/d/1Lhp9OU0JdFf_VYSMzH5lBcEaU4o8teT1piV-SNzShjg/edit?gid=554141278#gid=554141278"", ""'Char Def. - Attributes'!C20:C2242""), 1,false)"),"ALT_UOM5_SIPI")</f>
        <v>ALT_UOM5_SIPI</v>
      </c>
      <c r="I13908" s="136"/>
      <c r="R13908" s="63" t="str">
        <f t="shared" si="60"/>
        <v>ZSI1_TAPE_DISPENSEALT_UOM5_SIPI</v>
      </c>
    </row>
    <row r="13909" ht="15.75" customHeight="1">
      <c r="B13909" s="63">
        <f t="shared" si="1"/>
        <v>18</v>
      </c>
      <c r="C13909" s="135" t="s">
        <v>471</v>
      </c>
      <c r="D13909" s="161" t="s">
        <v>74</v>
      </c>
      <c r="E13909" s="135">
        <f t="shared" si="62"/>
        <v>25</v>
      </c>
      <c r="F13909" s="134" t="s">
        <v>3817</v>
      </c>
      <c r="G13909" s="63" t="str">
        <f>VLOOKUP(C13909, 'Class Def. - General Data'!$C$20:$C$1000,1,false)</f>
        <v>ZSI1_TAPE_DISPENSE</v>
      </c>
      <c r="H13909" s="63" t="str">
        <f>IFERROR(__xludf.DUMMYFUNCTION("VLOOKUP(F13909, IMPORTRANGE(""https://docs.google.com/spreadsheets/d/1Lhp9OU0JdFf_VYSMzH5lBcEaU4o8teT1piV-SNzShjg/edit?gid=554141278#gid=554141278"", ""'Char Def. - Attributes'!C20:C2242""), 1,false)"),"ALT_DENUM_UOM5")</f>
        <v>ALT_DENUM_UOM5</v>
      </c>
      <c r="I13909" s="136"/>
      <c r="R13909" s="63" t="str">
        <f t="shared" si="60"/>
        <v>ZSI1_TAPE_DISPENSEALT_DENUM_UOM5</v>
      </c>
    </row>
    <row r="13910" ht="15.75" customHeight="1">
      <c r="B13910" s="63">
        <f t="shared" si="1"/>
        <v>18</v>
      </c>
      <c r="C13910" s="135" t="s">
        <v>471</v>
      </c>
      <c r="D13910" s="161" t="s">
        <v>74</v>
      </c>
      <c r="E13910" s="135">
        <f t="shared" si="62"/>
        <v>26</v>
      </c>
      <c r="F13910" s="134" t="s">
        <v>3818</v>
      </c>
      <c r="G13910" s="63" t="str">
        <f>VLOOKUP(C13910, 'Class Def. - General Data'!$C$20:$C$1000,1,false)</f>
        <v>ZSI1_TAPE_DISPENSE</v>
      </c>
      <c r="H13910" s="63" t="str">
        <f>IFERROR(__xludf.DUMMYFUNCTION("VLOOKUP(F13910, IMPORTRANGE(""https://docs.google.com/spreadsheets/d/1Lhp9OU0JdFf_VYSMzH5lBcEaU4o8teT1piV-SNzShjg/edit?gid=554141278#gid=554141278"", ""'Char Def. - Attributes'!C20:C2242""), 1,false)"),"ALT_NUM_UOM5")</f>
        <v>ALT_NUM_UOM5</v>
      </c>
      <c r="I13910" s="136"/>
      <c r="R13910" s="63" t="str">
        <f t="shared" si="60"/>
        <v>ZSI1_TAPE_DISPENSEALT_NUM_UOM5</v>
      </c>
    </row>
    <row r="13911" ht="15.75" customHeight="1">
      <c r="B13911" s="63">
        <f t="shared" si="1"/>
        <v>14</v>
      </c>
      <c r="C13911" s="135" t="s">
        <v>472</v>
      </c>
      <c r="D13911" s="161" t="s">
        <v>74</v>
      </c>
      <c r="E13911" s="135">
        <f t="shared" si="62"/>
        <v>1</v>
      </c>
      <c r="F13911" s="134" t="s">
        <v>5486</v>
      </c>
      <c r="G13911" s="63" t="str">
        <f>VLOOKUP(C13911, 'Class Def. - General Data'!$C$20:$C$1000,1,false)</f>
        <v>ZSI1_TENT_CARD</v>
      </c>
      <c r="H13911" s="63" t="str">
        <f>IFERROR(__xludf.DUMMYFUNCTION("VLOOKUP(F13911, IMPORTRANGE(""https://docs.google.com/spreadsheets/d/1Lhp9OU0JdFf_VYSMzH5lBcEaU4o8teT1piV-SNzShjg/edit?gid=554141278#gid=554141278"", ""'Char Def. - Attributes'!C20:C2242""), 1,false)"),"ITEM_NAME_TENT_CARD")</f>
        <v>ITEM_NAME_TENT_CARD</v>
      </c>
      <c r="I13911" s="136"/>
      <c r="R13911" s="63" t="str">
        <f t="shared" si="60"/>
        <v>ZSI1_TENT_CARDITEM_NAME_TENT_CARD</v>
      </c>
    </row>
    <row r="13912" ht="15.75" customHeight="1">
      <c r="B13912" s="63">
        <f t="shared" si="1"/>
        <v>14</v>
      </c>
      <c r="C13912" s="135" t="s">
        <v>472</v>
      </c>
      <c r="D13912" s="161" t="s">
        <v>74</v>
      </c>
      <c r="E13912" s="135">
        <f t="shared" si="62"/>
        <v>2</v>
      </c>
      <c r="F13912" s="134" t="s">
        <v>5487</v>
      </c>
      <c r="G13912" s="63" t="str">
        <f>VLOOKUP(C13912, 'Class Def. - General Data'!$C$20:$C$1000,1,false)</f>
        <v>ZSI1_TENT_CARD</v>
      </c>
      <c r="H13912" s="63" t="str">
        <f>IFERROR(__xludf.DUMMYFUNCTION("VLOOKUP(F13912, IMPORTRANGE(""https://docs.google.com/spreadsheets/d/1Lhp9OU0JdFf_VYSMzH5lBcEaU4o8teT1piV-SNzShjg/edit?gid=554141278#gid=554141278"", ""'Char Def. - Attributes'!C20:C2242""), 1,false)"),"MATERIAL_TENT_CARD")</f>
        <v>MATERIAL_TENT_CARD</v>
      </c>
      <c r="I13912" s="136"/>
      <c r="R13912" s="63" t="str">
        <f t="shared" si="60"/>
        <v>ZSI1_TENT_CARDMATERIAL_TENT_CARD</v>
      </c>
    </row>
    <row r="13913" ht="15.75" customHeight="1">
      <c r="B13913" s="63">
        <f t="shared" si="1"/>
        <v>14</v>
      </c>
      <c r="C13913" s="135" t="s">
        <v>472</v>
      </c>
      <c r="D13913" s="161" t="s">
        <v>74</v>
      </c>
      <c r="E13913" s="135">
        <f t="shared" si="62"/>
        <v>3</v>
      </c>
      <c r="F13913" s="134" t="s">
        <v>5488</v>
      </c>
      <c r="G13913" s="63" t="str">
        <f>VLOOKUP(C13913, 'Class Def. - General Data'!$C$20:$C$1000,1,false)</f>
        <v>ZSI1_TENT_CARD</v>
      </c>
      <c r="H13913" s="63" t="str">
        <f>IFERROR(__xludf.DUMMYFUNCTION("VLOOKUP(F13913, IMPORTRANGE(""https://docs.google.com/spreadsheets/d/1Lhp9OU0JdFf_VYSMzH5lBcEaU4o8teT1piV-SNzShjg/edit?gid=554141278#gid=554141278"", ""'Char Def. - Attributes'!C20:C2242""), 1,false)"),"WIDTH_MM_TENT_CARD")</f>
        <v>WIDTH_MM_TENT_CARD</v>
      </c>
      <c r="I13913" s="136"/>
      <c r="R13913" s="63" t="str">
        <f t="shared" si="60"/>
        <v>ZSI1_TENT_CARDWIDTH_MM_TENT_CARD</v>
      </c>
    </row>
    <row r="13914" ht="15.75" customHeight="1">
      <c r="B13914" s="63">
        <f t="shared" si="1"/>
        <v>14</v>
      </c>
      <c r="C13914" s="135" t="s">
        <v>472</v>
      </c>
      <c r="D13914" s="161" t="s">
        <v>74</v>
      </c>
      <c r="E13914" s="135">
        <f t="shared" si="62"/>
        <v>4</v>
      </c>
      <c r="F13914" s="134" t="s">
        <v>5489</v>
      </c>
      <c r="G13914" s="63" t="str">
        <f>VLOOKUP(C13914, 'Class Def. - General Data'!$C$20:$C$1000,1,false)</f>
        <v>ZSI1_TENT_CARD</v>
      </c>
      <c r="H13914" s="63" t="str">
        <f>IFERROR(__xludf.DUMMYFUNCTION("VLOOKUP(F13914, IMPORTRANGE(""https://docs.google.com/spreadsheets/d/1Lhp9OU0JdFf_VYSMzH5lBcEaU4o8teT1piV-SNzShjg/edit?gid=554141278#gid=554141278"", ""'Char Def. - Attributes'!C20:C2242""), 1,false)"),"LENGTH_MM_TENT_CARD")</f>
        <v>LENGTH_MM_TENT_CARD</v>
      </c>
      <c r="I13914" s="136"/>
      <c r="R13914" s="63" t="str">
        <f t="shared" si="60"/>
        <v>ZSI1_TENT_CARDLENGTH_MM_TENT_CARD</v>
      </c>
    </row>
    <row r="13915" ht="15.75" customHeight="1">
      <c r="B13915" s="63">
        <f t="shared" si="1"/>
        <v>14</v>
      </c>
      <c r="C13915" s="135" t="s">
        <v>472</v>
      </c>
      <c r="D13915" s="161" t="s">
        <v>74</v>
      </c>
      <c r="E13915" s="135">
        <f t="shared" si="62"/>
        <v>5</v>
      </c>
      <c r="F13915" s="134" t="s">
        <v>4053</v>
      </c>
      <c r="G13915" s="63" t="str">
        <f>VLOOKUP(C13915, 'Class Def. - General Data'!$C$20:$C$1000,1,false)</f>
        <v>ZSI1_TENT_CARD</v>
      </c>
      <c r="H13915" s="63" t="str">
        <f>IFERROR(__xludf.DUMMYFUNCTION("VLOOKUP(F13915, IMPORTRANGE(""https://docs.google.com/spreadsheets/d/1Lhp9OU0JdFf_VYSMzH5lBcEaU4o8teT1piV-SNzShjg/edit?gid=554141278#gid=554141278"", ""'Char Def. - Attributes'!C20:C2242""), 1,false)"),"MAINTENANCE_ORDER_TYPE")</f>
        <v>MAINTENANCE_ORDER_TYPE</v>
      </c>
      <c r="I13915" s="136"/>
      <c r="R13915" s="63" t="str">
        <f t="shared" si="60"/>
        <v>ZSI1_TENT_CARDMAINTENANCE_ORDER_TYPE</v>
      </c>
    </row>
    <row r="13916" ht="15.75" customHeight="1">
      <c r="B13916" s="63">
        <f t="shared" si="1"/>
        <v>14</v>
      </c>
      <c r="C13916" s="135" t="s">
        <v>472</v>
      </c>
      <c r="D13916" s="161" t="s">
        <v>74</v>
      </c>
      <c r="E13916" s="135">
        <f t="shared" si="62"/>
        <v>6</v>
      </c>
      <c r="F13916" s="134" t="s">
        <v>3585</v>
      </c>
      <c r="G13916" s="63" t="str">
        <f>VLOOKUP(C13916, 'Class Def. - General Data'!$C$20:$C$1000,1,false)</f>
        <v>ZSI1_TENT_CARD</v>
      </c>
      <c r="H13916" s="63" t="str">
        <f>IFERROR(__xludf.DUMMYFUNCTION("VLOOKUP(F13916, IMPORTRANGE(""https://docs.google.com/spreadsheets/d/1Lhp9OU0JdFf_VYSMzH5lBcEaU4o8teT1piV-SNzShjg/edit?gid=554141278#gid=554141278"", ""'Char Def. - Attributes'!C20:C2242""), 1,false)"),"HS_CODE")</f>
        <v>HS_CODE</v>
      </c>
      <c r="I13916" s="136"/>
      <c r="R13916" s="63" t="str">
        <f t="shared" si="60"/>
        <v>ZSI1_TENT_CARDHS_CODE</v>
      </c>
    </row>
    <row r="13917" ht="15.75" customHeight="1">
      <c r="B13917" s="63">
        <f t="shared" si="1"/>
        <v>14</v>
      </c>
      <c r="C13917" s="135" t="s">
        <v>472</v>
      </c>
      <c r="D13917" s="161" t="s">
        <v>74</v>
      </c>
      <c r="E13917" s="135">
        <f t="shared" si="62"/>
        <v>7</v>
      </c>
      <c r="F13917" s="134" t="s">
        <v>3587</v>
      </c>
      <c r="G13917" s="63" t="str">
        <f>VLOOKUP(C13917, 'Class Def. - General Data'!$C$20:$C$1000,1,false)</f>
        <v>ZSI1_TENT_CARD</v>
      </c>
      <c r="H13917" s="63" t="str">
        <f>IFERROR(__xludf.DUMMYFUNCTION("VLOOKUP(F13917, IMPORTRANGE(""https://docs.google.com/spreadsheets/d/1Lhp9OU0JdFf_VYSMzH5lBcEaU4o8teT1piV-SNzShjg/edit?gid=554141278#gid=554141278"", ""'Char Def. - Attributes'!C20:C2242""), 1,false)"),"PLANT_BUY")</f>
        <v>PLANT_BUY</v>
      </c>
      <c r="I13917" s="136"/>
      <c r="R13917" s="63" t="str">
        <f t="shared" si="60"/>
        <v>ZSI1_TENT_CARDPLANT_BUY</v>
      </c>
    </row>
    <row r="13918" ht="15.75" customHeight="1">
      <c r="B13918" s="63">
        <f t="shared" si="1"/>
        <v>14</v>
      </c>
      <c r="C13918" s="135" t="s">
        <v>472</v>
      </c>
      <c r="D13918" s="161" t="s">
        <v>74</v>
      </c>
      <c r="E13918" s="135">
        <f t="shared" si="62"/>
        <v>8</v>
      </c>
      <c r="F13918" s="134" t="s">
        <v>5490</v>
      </c>
      <c r="G13918" s="63" t="str">
        <f>VLOOKUP(C13918, 'Class Def. - General Data'!$C$20:$C$1000,1,false)</f>
        <v>ZSI1_TENT_CARD</v>
      </c>
      <c r="H13918" s="63" t="str">
        <f>IFERROR(__xludf.DUMMYFUNCTION("VLOOKUP(F13918, IMPORTRANGE(""https://docs.google.com/spreadsheets/d/1Lhp9OU0JdFf_VYSMzH5lBcEaU4o8teT1piV-SNzShjg/edit?gid=554141278#gid=554141278"", ""'Char Def. - Attributes'!C20:C2242""), 1,false)"),"BASE_UOM_TENT_CARD")</f>
        <v>BASE_UOM_TENT_CARD</v>
      </c>
      <c r="I13918" s="136"/>
      <c r="R13918" s="63" t="str">
        <f t="shared" si="60"/>
        <v>ZSI1_TENT_CARDBASE_UOM_TENT_CARD</v>
      </c>
    </row>
    <row r="13919" ht="15.75" customHeight="1">
      <c r="B13919" s="63">
        <f t="shared" si="1"/>
        <v>14</v>
      </c>
      <c r="C13919" s="135" t="s">
        <v>472</v>
      </c>
      <c r="D13919" s="161" t="s">
        <v>74</v>
      </c>
      <c r="E13919" s="135">
        <f t="shared" si="62"/>
        <v>9</v>
      </c>
      <c r="F13919" s="134" t="s">
        <v>5491</v>
      </c>
      <c r="G13919" s="63" t="str">
        <f>VLOOKUP(C13919, 'Class Def. - General Data'!$C$20:$C$1000,1,false)</f>
        <v>ZSI1_TENT_CARD</v>
      </c>
      <c r="H13919" s="63" t="str">
        <f>IFERROR(__xludf.DUMMYFUNCTION("VLOOKUP(F13919, IMPORTRANGE(""https://docs.google.com/spreadsheets/d/1Lhp9OU0JdFf_VYSMzH5lBcEaU4o8teT1piV-SNzShjg/edit?gid=554141278#gid=554141278"", ""'Char Def. - Attributes'!C20:C2242""), 1,false)"),"ORDER_UNIT_TENT_CARD")</f>
        <v>ORDER_UNIT_TENT_CARD</v>
      </c>
      <c r="I13919" s="136"/>
      <c r="R13919" s="63" t="str">
        <f t="shared" si="60"/>
        <v>ZSI1_TENT_CARDORDER_UNIT_TENT_CARD</v>
      </c>
    </row>
    <row r="13920" ht="15.75" customHeight="1">
      <c r="B13920" s="63">
        <f t="shared" si="1"/>
        <v>14</v>
      </c>
      <c r="C13920" s="135" t="s">
        <v>472</v>
      </c>
      <c r="D13920" s="161" t="s">
        <v>74</v>
      </c>
      <c r="E13920" s="135">
        <f t="shared" si="62"/>
        <v>10</v>
      </c>
      <c r="F13920" s="134" t="s">
        <v>4056</v>
      </c>
      <c r="G13920" s="63" t="str">
        <f>VLOOKUP(C13920, 'Class Def. - General Data'!$C$20:$C$1000,1,false)</f>
        <v>ZSI1_TENT_CARD</v>
      </c>
      <c r="H13920" s="63" t="str">
        <f>IFERROR(__xludf.DUMMYFUNCTION("VLOOKUP(F13920, IMPORTRANGE(""https://docs.google.com/spreadsheets/d/1Lhp9OU0JdFf_VYSMzH5lBcEaU4o8teT1piV-SNzShjg/edit?gid=554141278#gid=554141278"", ""'Char Def. - Attributes'!C20:C2242""), 1,false)"),"GROSS_WEIGHT_OPT")</f>
        <v>GROSS_WEIGHT_OPT</v>
      </c>
      <c r="I13920" s="136"/>
      <c r="R13920" s="63" t="str">
        <f t="shared" si="60"/>
        <v>ZSI1_TENT_CARDGROSS_WEIGHT_OPT</v>
      </c>
    </row>
    <row r="13921" ht="15.75" customHeight="1">
      <c r="B13921" s="63">
        <f t="shared" si="1"/>
        <v>14</v>
      </c>
      <c r="C13921" s="135" t="s">
        <v>472</v>
      </c>
      <c r="D13921" s="161" t="s">
        <v>74</v>
      </c>
      <c r="E13921" s="135">
        <f t="shared" si="62"/>
        <v>11</v>
      </c>
      <c r="F13921" s="134" t="s">
        <v>4057</v>
      </c>
      <c r="G13921" s="63" t="str">
        <f>VLOOKUP(C13921, 'Class Def. - General Data'!$C$20:$C$1000,1,false)</f>
        <v>ZSI1_TENT_CARD</v>
      </c>
      <c r="H13921" s="63" t="str">
        <f>IFERROR(__xludf.DUMMYFUNCTION("VLOOKUP(F13921, IMPORTRANGE(""https://docs.google.com/spreadsheets/d/1Lhp9OU0JdFf_VYSMzH5lBcEaU4o8teT1piV-SNzShjg/edit?gid=554141278#gid=554141278"", ""'Char Def. - Attributes'!C20:C2242""), 1,false)"),"NET_WEIGHT_OPT")</f>
        <v>NET_WEIGHT_OPT</v>
      </c>
      <c r="I13921" s="136"/>
      <c r="R13921" s="63" t="str">
        <f t="shared" si="60"/>
        <v>ZSI1_TENT_CARDNET_WEIGHT_OPT</v>
      </c>
    </row>
    <row r="13922" ht="15.75" customHeight="1">
      <c r="B13922" s="63">
        <f t="shared" si="1"/>
        <v>14</v>
      </c>
      <c r="C13922" s="135" t="s">
        <v>472</v>
      </c>
      <c r="D13922" s="161" t="s">
        <v>74</v>
      </c>
      <c r="E13922" s="135">
        <f t="shared" si="62"/>
        <v>12</v>
      </c>
      <c r="F13922" s="134" t="s">
        <v>4058</v>
      </c>
      <c r="G13922" s="63" t="str">
        <f>VLOOKUP(C13922, 'Class Def. - General Data'!$C$20:$C$1000,1,false)</f>
        <v>ZSI1_TENT_CARD</v>
      </c>
      <c r="H13922" s="63" t="str">
        <f>IFERROR(__xludf.DUMMYFUNCTION("VLOOKUP(F13922, IMPORTRANGE(""https://docs.google.com/spreadsheets/d/1Lhp9OU0JdFf_VYSMzH5lBcEaU4o8teT1piV-SNzShjg/edit?gid=554141278#gid=554141278"", ""'Char Def. - Attributes'!C20:C2242""), 1,false)"),"WEIGHT_UNIT_SI")</f>
        <v>WEIGHT_UNIT_SI</v>
      </c>
      <c r="I13922" s="136"/>
      <c r="R13922" s="63" t="str">
        <f t="shared" si="60"/>
        <v>ZSI1_TENT_CARDWEIGHT_UNIT_SI</v>
      </c>
    </row>
    <row r="13923" ht="15.75" customHeight="1">
      <c r="B13923" s="63">
        <f t="shared" si="1"/>
        <v>14</v>
      </c>
      <c r="C13923" s="135" t="s">
        <v>472</v>
      </c>
      <c r="D13923" s="161" t="s">
        <v>74</v>
      </c>
      <c r="E13923" s="135">
        <f t="shared" si="62"/>
        <v>13</v>
      </c>
      <c r="F13923" s="134" t="s">
        <v>3877</v>
      </c>
      <c r="G13923" s="63" t="str">
        <f>VLOOKUP(C13923, 'Class Def. - General Data'!$C$20:$C$1000,1,false)</f>
        <v>ZSI1_TENT_CARD</v>
      </c>
      <c r="H13923" s="63" t="str">
        <f>IFERROR(__xludf.DUMMYFUNCTION("VLOOKUP(F13923, IMPORTRANGE(""https://docs.google.com/spreadsheets/d/1Lhp9OU0JdFf_VYSMzH5lBcEaU4o8teT1piV-SNzShjg/edit?gid=554141278#gid=554141278"", ""'Char Def. - Attributes'!C20:C2242""), 1,false)"),"VOLUME_OPT")</f>
        <v>VOLUME_OPT</v>
      </c>
      <c r="I13923" s="136"/>
      <c r="R13923" s="63" t="str">
        <f t="shared" si="60"/>
        <v>ZSI1_TENT_CARDVOLUME_OPT</v>
      </c>
    </row>
    <row r="13924" ht="15.75" customHeight="1">
      <c r="B13924" s="63">
        <f t="shared" si="1"/>
        <v>14</v>
      </c>
      <c r="C13924" s="135" t="s">
        <v>472</v>
      </c>
      <c r="D13924" s="161" t="s">
        <v>74</v>
      </c>
      <c r="E13924" s="135">
        <f t="shared" si="62"/>
        <v>14</v>
      </c>
      <c r="F13924" s="134" t="s">
        <v>4059</v>
      </c>
      <c r="G13924" s="63" t="str">
        <f>VLOOKUP(C13924, 'Class Def. - General Data'!$C$20:$C$1000,1,false)</f>
        <v>ZSI1_TENT_CARD</v>
      </c>
      <c r="H13924" s="63" t="str">
        <f>IFERROR(__xludf.DUMMYFUNCTION("VLOOKUP(F13924, IMPORTRANGE(""https://docs.google.com/spreadsheets/d/1Lhp9OU0JdFf_VYSMzH5lBcEaU4o8teT1piV-SNzShjg/edit?gid=554141278#gid=554141278"", ""'Char Def. - Attributes'!C20:C2242""), 1,false)"),"VOLUME_UNIT_SI")</f>
        <v>VOLUME_UNIT_SI</v>
      </c>
      <c r="I13924" s="136"/>
      <c r="R13924" s="63" t="str">
        <f t="shared" si="60"/>
        <v>ZSI1_TENT_CARDVOLUME_UNIT_SI</v>
      </c>
    </row>
    <row r="13925" ht="15.75" customHeight="1">
      <c r="B13925" s="63">
        <f t="shared" si="1"/>
        <v>14</v>
      </c>
      <c r="C13925" s="135" t="s">
        <v>472</v>
      </c>
      <c r="D13925" s="161" t="s">
        <v>74</v>
      </c>
      <c r="E13925" s="135">
        <f t="shared" si="62"/>
        <v>15</v>
      </c>
      <c r="F13925" s="134" t="s">
        <v>3804</v>
      </c>
      <c r="G13925" s="63" t="str">
        <f>VLOOKUP(C13925, 'Class Def. - General Data'!$C$20:$C$1000,1,false)</f>
        <v>ZSI1_TENT_CARD</v>
      </c>
      <c r="H13925" s="63" t="str">
        <f>IFERROR(__xludf.DUMMYFUNCTION("VLOOKUP(F13925, IMPORTRANGE(""https://docs.google.com/spreadsheets/d/1Lhp9OU0JdFf_VYSMzH5lBcEaU4o8teT1piV-SNzShjg/edit?gid=554141278#gid=554141278"", ""'Char Def. - Attributes'!C20:C2242""), 1,false)"),"ALT_UOM1_SIPI")</f>
        <v>ALT_UOM1_SIPI</v>
      </c>
      <c r="I13925" s="136"/>
      <c r="R13925" s="63" t="str">
        <f t="shared" si="60"/>
        <v>ZSI1_TENT_CARDALT_UOM1_SIPI</v>
      </c>
    </row>
    <row r="13926" ht="15.75" customHeight="1">
      <c r="B13926" s="63">
        <f t="shared" si="1"/>
        <v>14</v>
      </c>
      <c r="C13926" s="135" t="s">
        <v>472</v>
      </c>
      <c r="D13926" s="161" t="s">
        <v>74</v>
      </c>
      <c r="E13926" s="135">
        <f t="shared" si="62"/>
        <v>16</v>
      </c>
      <c r="F13926" s="134" t="s">
        <v>3805</v>
      </c>
      <c r="G13926" s="63" t="str">
        <f>VLOOKUP(C13926, 'Class Def. - General Data'!$C$20:$C$1000,1,false)</f>
        <v>ZSI1_TENT_CARD</v>
      </c>
      <c r="H13926" s="63" t="str">
        <f>IFERROR(__xludf.DUMMYFUNCTION("VLOOKUP(F13926, IMPORTRANGE(""https://docs.google.com/spreadsheets/d/1Lhp9OU0JdFf_VYSMzH5lBcEaU4o8teT1piV-SNzShjg/edit?gid=554141278#gid=554141278"", ""'Char Def. - Attributes'!C20:C2242""), 1,false)"),"ALT_DENUM_UOM1")</f>
        <v>ALT_DENUM_UOM1</v>
      </c>
      <c r="I13926" s="136"/>
      <c r="R13926" s="63" t="str">
        <f t="shared" si="60"/>
        <v>ZSI1_TENT_CARDALT_DENUM_UOM1</v>
      </c>
    </row>
    <row r="13927" ht="15.75" customHeight="1">
      <c r="B13927" s="63">
        <f t="shared" si="1"/>
        <v>14</v>
      </c>
      <c r="C13927" s="135" t="s">
        <v>472</v>
      </c>
      <c r="D13927" s="161" t="s">
        <v>74</v>
      </c>
      <c r="E13927" s="135">
        <f t="shared" si="62"/>
        <v>17</v>
      </c>
      <c r="F13927" s="134" t="s">
        <v>3806</v>
      </c>
      <c r="G13927" s="63" t="str">
        <f>VLOOKUP(C13927, 'Class Def. - General Data'!$C$20:$C$1000,1,false)</f>
        <v>ZSI1_TENT_CARD</v>
      </c>
      <c r="H13927" s="63" t="str">
        <f>IFERROR(__xludf.DUMMYFUNCTION("VLOOKUP(F13927, IMPORTRANGE(""https://docs.google.com/spreadsheets/d/1Lhp9OU0JdFf_VYSMzH5lBcEaU4o8teT1piV-SNzShjg/edit?gid=554141278#gid=554141278"", ""'Char Def. - Attributes'!C20:C2242""), 1,false)"),"ALT_NUM_UOM1")</f>
        <v>ALT_NUM_UOM1</v>
      </c>
      <c r="I13927" s="136"/>
      <c r="R13927" s="63" t="str">
        <f t="shared" si="60"/>
        <v>ZSI1_TENT_CARDALT_NUM_UOM1</v>
      </c>
    </row>
    <row r="13928" ht="15.75" customHeight="1">
      <c r="B13928" s="63">
        <f t="shared" si="1"/>
        <v>14</v>
      </c>
      <c r="C13928" s="135" t="s">
        <v>472</v>
      </c>
      <c r="D13928" s="161" t="s">
        <v>74</v>
      </c>
      <c r="E13928" s="135">
        <f t="shared" si="62"/>
        <v>18</v>
      </c>
      <c r="F13928" s="134" t="s">
        <v>3807</v>
      </c>
      <c r="G13928" s="63" t="str">
        <f>VLOOKUP(C13928, 'Class Def. - General Data'!$C$20:$C$1000,1,false)</f>
        <v>ZSI1_TENT_CARD</v>
      </c>
      <c r="H13928" s="63" t="str">
        <f>IFERROR(__xludf.DUMMYFUNCTION("VLOOKUP(F13928, IMPORTRANGE(""https://docs.google.com/spreadsheets/d/1Lhp9OU0JdFf_VYSMzH5lBcEaU4o8teT1piV-SNzShjg/edit?gid=554141278#gid=554141278"", ""'Char Def. - Attributes'!C20:C2242""), 1,false)"),"ALT_UOM2_SIPI")</f>
        <v>ALT_UOM2_SIPI</v>
      </c>
      <c r="I13928" s="136"/>
      <c r="R13928" s="63" t="str">
        <f t="shared" si="60"/>
        <v>ZSI1_TENT_CARDALT_UOM2_SIPI</v>
      </c>
    </row>
    <row r="13929" ht="15.75" customHeight="1">
      <c r="B13929" s="63">
        <f t="shared" si="1"/>
        <v>14</v>
      </c>
      <c r="C13929" s="135" t="s">
        <v>472</v>
      </c>
      <c r="D13929" s="161" t="s">
        <v>74</v>
      </c>
      <c r="E13929" s="135">
        <f t="shared" si="62"/>
        <v>19</v>
      </c>
      <c r="F13929" s="134" t="s">
        <v>3808</v>
      </c>
      <c r="G13929" s="63" t="str">
        <f>VLOOKUP(C13929, 'Class Def. - General Data'!$C$20:$C$1000,1,false)</f>
        <v>ZSI1_TENT_CARD</v>
      </c>
      <c r="H13929" s="63" t="str">
        <f>IFERROR(__xludf.DUMMYFUNCTION("VLOOKUP(F13929, IMPORTRANGE(""https://docs.google.com/spreadsheets/d/1Lhp9OU0JdFf_VYSMzH5lBcEaU4o8teT1piV-SNzShjg/edit?gid=554141278#gid=554141278"", ""'Char Def. - Attributes'!C20:C2242""), 1,false)"),"ALT_DENUM_UOM2")</f>
        <v>ALT_DENUM_UOM2</v>
      </c>
      <c r="I13929" s="136"/>
      <c r="R13929" s="63" t="str">
        <f t="shared" si="60"/>
        <v>ZSI1_TENT_CARDALT_DENUM_UOM2</v>
      </c>
    </row>
    <row r="13930" ht="15.75" customHeight="1">
      <c r="B13930" s="63">
        <f t="shared" si="1"/>
        <v>14</v>
      </c>
      <c r="C13930" s="135" t="s">
        <v>472</v>
      </c>
      <c r="D13930" s="161" t="s">
        <v>74</v>
      </c>
      <c r="E13930" s="135">
        <f t="shared" si="62"/>
        <v>20</v>
      </c>
      <c r="F13930" s="134" t="s">
        <v>3809</v>
      </c>
      <c r="G13930" s="63" t="str">
        <f>VLOOKUP(C13930, 'Class Def. - General Data'!$C$20:$C$1000,1,false)</f>
        <v>ZSI1_TENT_CARD</v>
      </c>
      <c r="H13930" s="63" t="str">
        <f>IFERROR(__xludf.DUMMYFUNCTION("VLOOKUP(F13930, IMPORTRANGE(""https://docs.google.com/spreadsheets/d/1Lhp9OU0JdFf_VYSMzH5lBcEaU4o8teT1piV-SNzShjg/edit?gid=554141278#gid=554141278"", ""'Char Def. - Attributes'!C20:C2242""), 1,false)"),"ALT_NUM_UOM2")</f>
        <v>ALT_NUM_UOM2</v>
      </c>
      <c r="I13930" s="136"/>
      <c r="R13930" s="63" t="str">
        <f t="shared" si="60"/>
        <v>ZSI1_TENT_CARDALT_NUM_UOM2</v>
      </c>
    </row>
    <row r="13931" ht="15.75" customHeight="1">
      <c r="B13931" s="63">
        <f t="shared" si="1"/>
        <v>14</v>
      </c>
      <c r="C13931" s="135" t="s">
        <v>472</v>
      </c>
      <c r="D13931" s="161" t="s">
        <v>74</v>
      </c>
      <c r="E13931" s="135">
        <f t="shared" si="62"/>
        <v>21</v>
      </c>
      <c r="F13931" s="134" t="s">
        <v>3810</v>
      </c>
      <c r="G13931" s="63" t="str">
        <f>VLOOKUP(C13931, 'Class Def. - General Data'!$C$20:$C$1000,1,false)</f>
        <v>ZSI1_TENT_CARD</v>
      </c>
      <c r="H13931" s="63" t="str">
        <f>IFERROR(__xludf.DUMMYFUNCTION("VLOOKUP(F13931, IMPORTRANGE(""https://docs.google.com/spreadsheets/d/1Lhp9OU0JdFf_VYSMzH5lBcEaU4o8teT1piV-SNzShjg/edit?gid=554141278#gid=554141278"", ""'Char Def. - Attributes'!C20:C2242""), 1,false)"),"ALT_UOM3_SIPI")</f>
        <v>ALT_UOM3_SIPI</v>
      </c>
      <c r="I13931" s="136"/>
      <c r="R13931" s="63" t="str">
        <f t="shared" si="60"/>
        <v>ZSI1_TENT_CARDALT_UOM3_SIPI</v>
      </c>
    </row>
    <row r="13932" ht="15.75" customHeight="1">
      <c r="B13932" s="63">
        <f t="shared" si="1"/>
        <v>14</v>
      </c>
      <c r="C13932" s="135" t="s">
        <v>472</v>
      </c>
      <c r="D13932" s="161" t="s">
        <v>74</v>
      </c>
      <c r="E13932" s="135">
        <f t="shared" si="62"/>
        <v>22</v>
      </c>
      <c r="F13932" s="134" t="s">
        <v>3811</v>
      </c>
      <c r="G13932" s="63" t="str">
        <f>VLOOKUP(C13932, 'Class Def. - General Data'!$C$20:$C$1000,1,false)</f>
        <v>ZSI1_TENT_CARD</v>
      </c>
      <c r="H13932" s="63" t="str">
        <f>IFERROR(__xludf.DUMMYFUNCTION("VLOOKUP(F13932, IMPORTRANGE(""https://docs.google.com/spreadsheets/d/1Lhp9OU0JdFf_VYSMzH5lBcEaU4o8teT1piV-SNzShjg/edit?gid=554141278#gid=554141278"", ""'Char Def. - Attributes'!C20:C2242""), 1,false)"),"ALT_DENUM_UOM3")</f>
        <v>ALT_DENUM_UOM3</v>
      </c>
      <c r="I13932" s="136"/>
      <c r="R13932" s="63" t="str">
        <f t="shared" si="60"/>
        <v>ZSI1_TENT_CARDALT_DENUM_UOM3</v>
      </c>
    </row>
    <row r="13933" ht="15.75" customHeight="1">
      <c r="B13933" s="63">
        <f t="shared" si="1"/>
        <v>14</v>
      </c>
      <c r="C13933" s="135" t="s">
        <v>472</v>
      </c>
      <c r="D13933" s="161" t="s">
        <v>74</v>
      </c>
      <c r="E13933" s="135">
        <f t="shared" si="62"/>
        <v>23</v>
      </c>
      <c r="F13933" s="134" t="s">
        <v>3812</v>
      </c>
      <c r="G13933" s="63" t="str">
        <f>VLOOKUP(C13933, 'Class Def. - General Data'!$C$20:$C$1000,1,false)</f>
        <v>ZSI1_TENT_CARD</v>
      </c>
      <c r="H13933" s="63" t="str">
        <f>IFERROR(__xludf.DUMMYFUNCTION("VLOOKUP(F13933, IMPORTRANGE(""https://docs.google.com/spreadsheets/d/1Lhp9OU0JdFf_VYSMzH5lBcEaU4o8teT1piV-SNzShjg/edit?gid=554141278#gid=554141278"", ""'Char Def. - Attributes'!C20:C2242""), 1,false)"),"ALT_NUM_UOM3")</f>
        <v>ALT_NUM_UOM3</v>
      </c>
      <c r="I13933" s="136"/>
      <c r="R13933" s="63" t="str">
        <f t="shared" si="60"/>
        <v>ZSI1_TENT_CARDALT_NUM_UOM3</v>
      </c>
    </row>
    <row r="13934" ht="15.75" customHeight="1">
      <c r="B13934" s="63">
        <f t="shared" si="1"/>
        <v>14</v>
      </c>
      <c r="C13934" s="135" t="s">
        <v>472</v>
      </c>
      <c r="D13934" s="161" t="s">
        <v>74</v>
      </c>
      <c r="E13934" s="135">
        <f t="shared" si="62"/>
        <v>24</v>
      </c>
      <c r="F13934" s="134" t="s">
        <v>3813</v>
      </c>
      <c r="G13934" s="63" t="str">
        <f>VLOOKUP(C13934, 'Class Def. - General Data'!$C$20:$C$1000,1,false)</f>
        <v>ZSI1_TENT_CARD</v>
      </c>
      <c r="H13934" s="63" t="str">
        <f>IFERROR(__xludf.DUMMYFUNCTION("VLOOKUP(F13934, IMPORTRANGE(""https://docs.google.com/spreadsheets/d/1Lhp9OU0JdFf_VYSMzH5lBcEaU4o8teT1piV-SNzShjg/edit?gid=554141278#gid=554141278"", ""'Char Def. - Attributes'!C20:C2242""), 1,false)"),"ALT_UOM4_SIPI")</f>
        <v>ALT_UOM4_SIPI</v>
      </c>
      <c r="I13934" s="136"/>
      <c r="R13934" s="63" t="str">
        <f t="shared" si="60"/>
        <v>ZSI1_TENT_CARDALT_UOM4_SIPI</v>
      </c>
    </row>
    <row r="13935" ht="15.75" customHeight="1">
      <c r="B13935" s="63">
        <f t="shared" si="1"/>
        <v>14</v>
      </c>
      <c r="C13935" s="135" t="s">
        <v>472</v>
      </c>
      <c r="D13935" s="161" t="s">
        <v>74</v>
      </c>
      <c r="E13935" s="135">
        <f t="shared" si="62"/>
        <v>25</v>
      </c>
      <c r="F13935" s="134" t="s">
        <v>3814</v>
      </c>
      <c r="G13935" s="63" t="str">
        <f>VLOOKUP(C13935, 'Class Def. - General Data'!$C$20:$C$1000,1,false)</f>
        <v>ZSI1_TENT_CARD</v>
      </c>
      <c r="H13935" s="63" t="str">
        <f>IFERROR(__xludf.DUMMYFUNCTION("VLOOKUP(F13935, IMPORTRANGE(""https://docs.google.com/spreadsheets/d/1Lhp9OU0JdFf_VYSMzH5lBcEaU4o8teT1piV-SNzShjg/edit?gid=554141278#gid=554141278"", ""'Char Def. - Attributes'!C20:C2242""), 1,false)"),"ALT_DENUM_UOM4")</f>
        <v>ALT_DENUM_UOM4</v>
      </c>
      <c r="I13935" s="136"/>
      <c r="R13935" s="63" t="str">
        <f t="shared" si="60"/>
        <v>ZSI1_TENT_CARDALT_DENUM_UOM4</v>
      </c>
    </row>
    <row r="13936" ht="15.75" customHeight="1">
      <c r="B13936" s="63">
        <f t="shared" si="1"/>
        <v>14</v>
      </c>
      <c r="C13936" s="135" t="s">
        <v>472</v>
      </c>
      <c r="D13936" s="161" t="s">
        <v>74</v>
      </c>
      <c r="E13936" s="135">
        <f t="shared" si="62"/>
        <v>26</v>
      </c>
      <c r="F13936" s="134" t="s">
        <v>3815</v>
      </c>
      <c r="G13936" s="63" t="str">
        <f>VLOOKUP(C13936, 'Class Def. - General Data'!$C$20:$C$1000,1,false)</f>
        <v>ZSI1_TENT_CARD</v>
      </c>
      <c r="H13936" s="63" t="str">
        <f>IFERROR(__xludf.DUMMYFUNCTION("VLOOKUP(F13936, IMPORTRANGE(""https://docs.google.com/spreadsheets/d/1Lhp9OU0JdFf_VYSMzH5lBcEaU4o8teT1piV-SNzShjg/edit?gid=554141278#gid=554141278"", ""'Char Def. - Attributes'!C20:C2242""), 1,false)"),"ALT_NUM_UOM4")</f>
        <v>ALT_NUM_UOM4</v>
      </c>
      <c r="I13936" s="136"/>
      <c r="R13936" s="63" t="str">
        <f t="shared" si="60"/>
        <v>ZSI1_TENT_CARDALT_NUM_UOM4</v>
      </c>
    </row>
    <row r="13937" ht="15.75" customHeight="1">
      <c r="B13937" s="63">
        <f t="shared" si="1"/>
        <v>14</v>
      </c>
      <c r="C13937" s="135" t="s">
        <v>472</v>
      </c>
      <c r="D13937" s="161" t="s">
        <v>74</v>
      </c>
      <c r="E13937" s="135">
        <f t="shared" si="62"/>
        <v>27</v>
      </c>
      <c r="F13937" s="134" t="s">
        <v>3816</v>
      </c>
      <c r="G13937" s="63" t="str">
        <f>VLOOKUP(C13937, 'Class Def. - General Data'!$C$20:$C$1000,1,false)</f>
        <v>ZSI1_TENT_CARD</v>
      </c>
      <c r="H13937" s="63" t="str">
        <f>IFERROR(__xludf.DUMMYFUNCTION("VLOOKUP(F13937, IMPORTRANGE(""https://docs.google.com/spreadsheets/d/1Lhp9OU0JdFf_VYSMzH5lBcEaU4o8teT1piV-SNzShjg/edit?gid=554141278#gid=554141278"", ""'Char Def. - Attributes'!C20:C2242""), 1,false)"),"ALT_UOM5_SIPI")</f>
        <v>ALT_UOM5_SIPI</v>
      </c>
      <c r="I13937" s="136"/>
      <c r="R13937" s="63" t="str">
        <f t="shared" si="60"/>
        <v>ZSI1_TENT_CARDALT_UOM5_SIPI</v>
      </c>
    </row>
    <row r="13938" ht="15.75" customHeight="1">
      <c r="B13938" s="63">
        <f t="shared" si="1"/>
        <v>14</v>
      </c>
      <c r="C13938" s="135" t="s">
        <v>472</v>
      </c>
      <c r="D13938" s="161" t="s">
        <v>74</v>
      </c>
      <c r="E13938" s="135">
        <f t="shared" si="62"/>
        <v>28</v>
      </c>
      <c r="F13938" s="134" t="s">
        <v>3817</v>
      </c>
      <c r="G13938" s="63" t="str">
        <f>VLOOKUP(C13938, 'Class Def. - General Data'!$C$20:$C$1000,1,false)</f>
        <v>ZSI1_TENT_CARD</v>
      </c>
      <c r="H13938" s="63" t="str">
        <f>IFERROR(__xludf.DUMMYFUNCTION("VLOOKUP(F13938, IMPORTRANGE(""https://docs.google.com/spreadsheets/d/1Lhp9OU0JdFf_VYSMzH5lBcEaU4o8teT1piV-SNzShjg/edit?gid=554141278#gid=554141278"", ""'Char Def. - Attributes'!C20:C2242""), 1,false)"),"ALT_DENUM_UOM5")</f>
        <v>ALT_DENUM_UOM5</v>
      </c>
      <c r="I13938" s="136"/>
      <c r="R13938" s="63" t="str">
        <f t="shared" si="60"/>
        <v>ZSI1_TENT_CARDALT_DENUM_UOM5</v>
      </c>
    </row>
    <row r="13939" ht="15.75" customHeight="1">
      <c r="B13939" s="63">
        <f t="shared" si="1"/>
        <v>14</v>
      </c>
      <c r="C13939" s="135" t="s">
        <v>472</v>
      </c>
      <c r="D13939" s="161" t="s">
        <v>74</v>
      </c>
      <c r="E13939" s="135">
        <f t="shared" si="62"/>
        <v>29</v>
      </c>
      <c r="F13939" s="134" t="s">
        <v>3818</v>
      </c>
      <c r="G13939" s="63" t="str">
        <f>VLOOKUP(C13939, 'Class Def. - General Data'!$C$20:$C$1000,1,false)</f>
        <v>ZSI1_TENT_CARD</v>
      </c>
      <c r="H13939" s="63" t="str">
        <f>IFERROR(__xludf.DUMMYFUNCTION("VLOOKUP(F13939, IMPORTRANGE(""https://docs.google.com/spreadsheets/d/1Lhp9OU0JdFf_VYSMzH5lBcEaU4o8teT1piV-SNzShjg/edit?gid=554141278#gid=554141278"", ""'Char Def. - Attributes'!C20:C2242""), 1,false)"),"ALT_NUM_UOM5")</f>
        <v>ALT_NUM_UOM5</v>
      </c>
      <c r="I13939" s="136"/>
      <c r="R13939" s="63" t="str">
        <f t="shared" si="60"/>
        <v>ZSI1_TENT_CARDALT_NUM_UOM5</v>
      </c>
    </row>
    <row r="13940" ht="15.75" customHeight="1">
      <c r="B13940" s="63">
        <f t="shared" si="1"/>
        <v>15</v>
      </c>
      <c r="C13940" s="135" t="s">
        <v>473</v>
      </c>
      <c r="D13940" s="161" t="s">
        <v>74</v>
      </c>
      <c r="E13940" s="135">
        <f t="shared" si="62"/>
        <v>1</v>
      </c>
      <c r="F13940" s="134" t="s">
        <v>5492</v>
      </c>
      <c r="G13940" s="63" t="str">
        <f>VLOOKUP(C13940, 'Class Def. - General Data'!$C$20:$C$1000,1,false)</f>
        <v>ZSI1_TEST_PAPER</v>
      </c>
      <c r="H13940" s="63" t="str">
        <f>IFERROR(__xludf.DUMMYFUNCTION("VLOOKUP(F13940, IMPORTRANGE(""https://docs.google.com/spreadsheets/d/1Lhp9OU0JdFf_VYSMzH5lBcEaU4o8teT1piV-SNzShjg/edit?gid=554141278#gid=554141278"", ""'Char Def. - Attributes'!C20:C2242""), 1,false)"),"ITEM_NAME_TEST_PAPER")</f>
        <v>ITEM_NAME_TEST_PAPER</v>
      </c>
      <c r="I13940" s="136"/>
      <c r="R13940" s="63" t="str">
        <f t="shared" si="60"/>
        <v>ZSI1_TEST_PAPERITEM_NAME_TEST_PAPER</v>
      </c>
    </row>
    <row r="13941" ht="15.75" customHeight="1">
      <c r="B13941" s="63">
        <f t="shared" si="1"/>
        <v>15</v>
      </c>
      <c r="C13941" s="135" t="s">
        <v>473</v>
      </c>
      <c r="D13941" s="161" t="s">
        <v>74</v>
      </c>
      <c r="E13941" s="135">
        <f t="shared" si="62"/>
        <v>2</v>
      </c>
      <c r="F13941" s="134" t="s">
        <v>5493</v>
      </c>
      <c r="G13941" s="63" t="str">
        <f>VLOOKUP(C13941, 'Class Def. - General Data'!$C$20:$C$1000,1,false)</f>
        <v>ZSI1_TEST_PAPER</v>
      </c>
      <c r="H13941" s="63" t="str">
        <f>IFERROR(__xludf.DUMMYFUNCTION("VLOOKUP(F13941, IMPORTRANGE(""https://docs.google.com/spreadsheets/d/1Lhp9OU0JdFf_VYSMzH5lBcEaU4o8teT1piV-SNzShjg/edit?gid=554141278#gid=554141278"", ""'Char Def. - Attributes'!C20:C2242""), 1,false)"),"SERIES_TEST_PAPER")</f>
        <v>SERIES_TEST_PAPER</v>
      </c>
      <c r="I13941" s="136"/>
      <c r="R13941" s="63" t="str">
        <f t="shared" si="60"/>
        <v>ZSI1_TEST_PAPERSERIES_TEST_PAPER</v>
      </c>
    </row>
    <row r="13942" ht="15.75" customHeight="1">
      <c r="B13942" s="63">
        <f t="shared" si="1"/>
        <v>15</v>
      </c>
      <c r="C13942" s="135" t="s">
        <v>473</v>
      </c>
      <c r="D13942" s="161" t="s">
        <v>74</v>
      </c>
      <c r="E13942" s="135">
        <f t="shared" si="62"/>
        <v>3</v>
      </c>
      <c r="F13942" s="134" t="s">
        <v>3782</v>
      </c>
      <c r="G13942" s="63" t="str">
        <f>VLOOKUP(C13942, 'Class Def. - General Data'!$C$20:$C$1000,1,false)</f>
        <v>ZSI1_TEST_PAPER</v>
      </c>
      <c r="H13942" s="63" t="str">
        <f>IFERROR(__xludf.DUMMYFUNCTION("VLOOKUP(F13942, IMPORTRANGE(""https://docs.google.com/spreadsheets/d/1Lhp9OU0JdFf_VYSMzH5lBcEaU4o8teT1piV-SNzShjg/edit?gid=554141278#gid=554141278"", ""'Char Def. - Attributes'!C20:C2242""), 1,false)"),"BRAND_EXTERNAL")</f>
        <v>BRAND_EXTERNAL</v>
      </c>
      <c r="I13942" s="136"/>
      <c r="R13942" s="63" t="str">
        <f t="shared" si="60"/>
        <v>ZSI1_TEST_PAPERBRAND_EXTERNAL</v>
      </c>
    </row>
    <row r="13943" ht="15.75" customHeight="1">
      <c r="B13943" s="63">
        <f t="shared" si="1"/>
        <v>15</v>
      </c>
      <c r="C13943" s="135" t="s">
        <v>473</v>
      </c>
      <c r="D13943" s="161" t="s">
        <v>74</v>
      </c>
      <c r="E13943" s="135">
        <f t="shared" si="62"/>
        <v>4</v>
      </c>
      <c r="F13943" s="134" t="s">
        <v>4053</v>
      </c>
      <c r="G13943" s="63" t="str">
        <f>VLOOKUP(C13943, 'Class Def. - General Data'!$C$20:$C$1000,1,false)</f>
        <v>ZSI1_TEST_PAPER</v>
      </c>
      <c r="H13943" s="63" t="str">
        <f>IFERROR(__xludf.DUMMYFUNCTION("VLOOKUP(F13943, IMPORTRANGE(""https://docs.google.com/spreadsheets/d/1Lhp9OU0JdFf_VYSMzH5lBcEaU4o8teT1piV-SNzShjg/edit?gid=554141278#gid=554141278"", ""'Char Def. - Attributes'!C20:C2242""), 1,false)"),"MAINTENANCE_ORDER_TYPE")</f>
        <v>MAINTENANCE_ORDER_TYPE</v>
      </c>
      <c r="I13943" s="136"/>
      <c r="R13943" s="63" t="str">
        <f t="shared" si="60"/>
        <v>ZSI1_TEST_PAPERMAINTENANCE_ORDER_TYPE</v>
      </c>
    </row>
    <row r="13944" ht="15.75" customHeight="1">
      <c r="B13944" s="63">
        <f t="shared" si="1"/>
        <v>15</v>
      </c>
      <c r="C13944" s="135" t="s">
        <v>473</v>
      </c>
      <c r="D13944" s="161" t="s">
        <v>74</v>
      </c>
      <c r="E13944" s="135">
        <f t="shared" si="62"/>
        <v>5</v>
      </c>
      <c r="F13944" s="134" t="s">
        <v>3585</v>
      </c>
      <c r="G13944" s="63" t="str">
        <f>VLOOKUP(C13944, 'Class Def. - General Data'!$C$20:$C$1000,1,false)</f>
        <v>ZSI1_TEST_PAPER</v>
      </c>
      <c r="H13944" s="63" t="str">
        <f>IFERROR(__xludf.DUMMYFUNCTION("VLOOKUP(F13944, IMPORTRANGE(""https://docs.google.com/spreadsheets/d/1Lhp9OU0JdFf_VYSMzH5lBcEaU4o8teT1piV-SNzShjg/edit?gid=554141278#gid=554141278"", ""'Char Def. - Attributes'!C20:C2242""), 1,false)"),"HS_CODE")</f>
        <v>HS_CODE</v>
      </c>
      <c r="I13944" s="136"/>
      <c r="R13944" s="63" t="str">
        <f t="shared" si="60"/>
        <v>ZSI1_TEST_PAPERHS_CODE</v>
      </c>
    </row>
    <row r="13945" ht="15.75" customHeight="1">
      <c r="B13945" s="63">
        <f t="shared" si="1"/>
        <v>15</v>
      </c>
      <c r="C13945" s="135" t="s">
        <v>473</v>
      </c>
      <c r="D13945" s="161" t="s">
        <v>74</v>
      </c>
      <c r="E13945" s="135">
        <f t="shared" si="62"/>
        <v>6</v>
      </c>
      <c r="F13945" s="134" t="s">
        <v>3587</v>
      </c>
      <c r="G13945" s="63" t="str">
        <f>VLOOKUP(C13945, 'Class Def. - General Data'!$C$20:$C$1000,1,false)</f>
        <v>ZSI1_TEST_PAPER</v>
      </c>
      <c r="H13945" s="63" t="str">
        <f>IFERROR(__xludf.DUMMYFUNCTION("VLOOKUP(F13945, IMPORTRANGE(""https://docs.google.com/spreadsheets/d/1Lhp9OU0JdFf_VYSMzH5lBcEaU4o8teT1piV-SNzShjg/edit?gid=554141278#gid=554141278"", ""'Char Def. - Attributes'!C20:C2242""), 1,false)"),"PLANT_BUY")</f>
        <v>PLANT_BUY</v>
      </c>
      <c r="I13945" s="136"/>
      <c r="R13945" s="63" t="str">
        <f t="shared" si="60"/>
        <v>ZSI1_TEST_PAPERPLANT_BUY</v>
      </c>
    </row>
    <row r="13946" ht="15.75" customHeight="1">
      <c r="B13946" s="63">
        <f t="shared" si="1"/>
        <v>15</v>
      </c>
      <c r="C13946" s="135" t="s">
        <v>473</v>
      </c>
      <c r="D13946" s="161" t="s">
        <v>74</v>
      </c>
      <c r="E13946" s="135">
        <f t="shared" si="62"/>
        <v>7</v>
      </c>
      <c r="F13946" s="134" t="s">
        <v>5494</v>
      </c>
      <c r="G13946" s="63" t="str">
        <f>VLOOKUP(C13946, 'Class Def. - General Data'!$C$20:$C$1000,1,false)</f>
        <v>ZSI1_TEST_PAPER</v>
      </c>
      <c r="H13946" s="63" t="str">
        <f>IFERROR(__xludf.DUMMYFUNCTION("VLOOKUP(F13946, IMPORTRANGE(""https://docs.google.com/spreadsheets/d/1Lhp9OU0JdFf_VYSMzH5lBcEaU4o8teT1piV-SNzShjg/edit?gid=554141278#gid=554141278"", ""'Char Def. - Attributes'!C20:C2242""), 1,false)"),"BASE_UOM_TEST_PAPER")</f>
        <v>BASE_UOM_TEST_PAPER</v>
      </c>
      <c r="I13946" s="136"/>
      <c r="R13946" s="63" t="str">
        <f t="shared" si="60"/>
        <v>ZSI1_TEST_PAPERBASE_UOM_TEST_PAPER</v>
      </c>
    </row>
    <row r="13947" ht="15.75" customHeight="1">
      <c r="B13947" s="63">
        <f t="shared" si="1"/>
        <v>15</v>
      </c>
      <c r="C13947" s="135" t="s">
        <v>473</v>
      </c>
      <c r="D13947" s="161" t="s">
        <v>74</v>
      </c>
      <c r="E13947" s="135">
        <f t="shared" si="62"/>
        <v>8</v>
      </c>
      <c r="F13947" s="134" t="s">
        <v>5495</v>
      </c>
      <c r="G13947" s="63" t="str">
        <f>VLOOKUP(C13947, 'Class Def. - General Data'!$C$20:$C$1000,1,false)</f>
        <v>ZSI1_TEST_PAPER</v>
      </c>
      <c r="H13947" s="63" t="str">
        <f>IFERROR(__xludf.DUMMYFUNCTION("VLOOKUP(F13947, IMPORTRANGE(""https://docs.google.com/spreadsheets/d/1Lhp9OU0JdFf_VYSMzH5lBcEaU4o8teT1piV-SNzShjg/edit?gid=554141278#gid=554141278"", ""'Char Def. - Attributes'!C20:C2242""), 1,false)"),"ORDER_UNIT_TEST_PAPER")</f>
        <v>ORDER_UNIT_TEST_PAPER</v>
      </c>
      <c r="I13947" s="136"/>
      <c r="R13947" s="63" t="str">
        <f t="shared" si="60"/>
        <v>ZSI1_TEST_PAPERORDER_UNIT_TEST_PAPER</v>
      </c>
    </row>
    <row r="13948" ht="15.75" customHeight="1">
      <c r="B13948" s="63">
        <f t="shared" si="1"/>
        <v>15</v>
      </c>
      <c r="C13948" s="135" t="s">
        <v>473</v>
      </c>
      <c r="D13948" s="161" t="s">
        <v>74</v>
      </c>
      <c r="E13948" s="135">
        <f t="shared" si="62"/>
        <v>9</v>
      </c>
      <c r="F13948" s="134" t="s">
        <v>4056</v>
      </c>
      <c r="G13948" s="63" t="str">
        <f>VLOOKUP(C13948, 'Class Def. - General Data'!$C$20:$C$1000,1,false)</f>
        <v>ZSI1_TEST_PAPER</v>
      </c>
      <c r="H13948" s="63" t="str">
        <f>IFERROR(__xludf.DUMMYFUNCTION("VLOOKUP(F13948, IMPORTRANGE(""https://docs.google.com/spreadsheets/d/1Lhp9OU0JdFf_VYSMzH5lBcEaU4o8teT1piV-SNzShjg/edit?gid=554141278#gid=554141278"", ""'Char Def. - Attributes'!C20:C2242""), 1,false)"),"GROSS_WEIGHT_OPT")</f>
        <v>GROSS_WEIGHT_OPT</v>
      </c>
      <c r="I13948" s="136"/>
      <c r="R13948" s="63" t="str">
        <f t="shared" si="60"/>
        <v>ZSI1_TEST_PAPERGROSS_WEIGHT_OPT</v>
      </c>
    </row>
    <row r="13949" ht="15.75" customHeight="1">
      <c r="B13949" s="63">
        <f t="shared" si="1"/>
        <v>15</v>
      </c>
      <c r="C13949" s="135" t="s">
        <v>473</v>
      </c>
      <c r="D13949" s="161" t="s">
        <v>74</v>
      </c>
      <c r="E13949" s="135">
        <f t="shared" si="62"/>
        <v>10</v>
      </c>
      <c r="F13949" s="134" t="s">
        <v>4057</v>
      </c>
      <c r="G13949" s="63" t="str">
        <f>VLOOKUP(C13949, 'Class Def. - General Data'!$C$20:$C$1000,1,false)</f>
        <v>ZSI1_TEST_PAPER</v>
      </c>
      <c r="H13949" s="63" t="str">
        <f>IFERROR(__xludf.DUMMYFUNCTION("VLOOKUP(F13949, IMPORTRANGE(""https://docs.google.com/spreadsheets/d/1Lhp9OU0JdFf_VYSMzH5lBcEaU4o8teT1piV-SNzShjg/edit?gid=554141278#gid=554141278"", ""'Char Def. - Attributes'!C20:C2242""), 1,false)"),"NET_WEIGHT_OPT")</f>
        <v>NET_WEIGHT_OPT</v>
      </c>
      <c r="I13949" s="136"/>
      <c r="R13949" s="63" t="str">
        <f t="shared" si="60"/>
        <v>ZSI1_TEST_PAPERNET_WEIGHT_OPT</v>
      </c>
    </row>
    <row r="13950" ht="15.75" customHeight="1">
      <c r="B13950" s="63">
        <f t="shared" si="1"/>
        <v>15</v>
      </c>
      <c r="C13950" s="135" t="s">
        <v>473</v>
      </c>
      <c r="D13950" s="161" t="s">
        <v>74</v>
      </c>
      <c r="E13950" s="135">
        <f t="shared" si="62"/>
        <v>11</v>
      </c>
      <c r="F13950" s="134" t="s">
        <v>4058</v>
      </c>
      <c r="G13950" s="63" t="str">
        <f>VLOOKUP(C13950, 'Class Def. - General Data'!$C$20:$C$1000,1,false)</f>
        <v>ZSI1_TEST_PAPER</v>
      </c>
      <c r="H13950" s="63" t="str">
        <f>IFERROR(__xludf.DUMMYFUNCTION("VLOOKUP(F13950, IMPORTRANGE(""https://docs.google.com/spreadsheets/d/1Lhp9OU0JdFf_VYSMzH5lBcEaU4o8teT1piV-SNzShjg/edit?gid=554141278#gid=554141278"", ""'Char Def. - Attributes'!C20:C2242""), 1,false)"),"WEIGHT_UNIT_SI")</f>
        <v>WEIGHT_UNIT_SI</v>
      </c>
      <c r="I13950" s="136"/>
      <c r="R13950" s="63" t="str">
        <f t="shared" si="60"/>
        <v>ZSI1_TEST_PAPERWEIGHT_UNIT_SI</v>
      </c>
    </row>
    <row r="13951" ht="15.75" customHeight="1">
      <c r="B13951" s="63">
        <f t="shared" si="1"/>
        <v>15</v>
      </c>
      <c r="C13951" s="135" t="s">
        <v>473</v>
      </c>
      <c r="D13951" s="161" t="s">
        <v>74</v>
      </c>
      <c r="E13951" s="135">
        <f t="shared" si="62"/>
        <v>12</v>
      </c>
      <c r="F13951" s="134" t="s">
        <v>3877</v>
      </c>
      <c r="G13951" s="63" t="str">
        <f>VLOOKUP(C13951, 'Class Def. - General Data'!$C$20:$C$1000,1,false)</f>
        <v>ZSI1_TEST_PAPER</v>
      </c>
      <c r="H13951" s="63" t="str">
        <f>IFERROR(__xludf.DUMMYFUNCTION("VLOOKUP(F13951, IMPORTRANGE(""https://docs.google.com/spreadsheets/d/1Lhp9OU0JdFf_VYSMzH5lBcEaU4o8teT1piV-SNzShjg/edit?gid=554141278#gid=554141278"", ""'Char Def. - Attributes'!C20:C2242""), 1,false)"),"VOLUME_OPT")</f>
        <v>VOLUME_OPT</v>
      </c>
      <c r="I13951" s="136"/>
      <c r="R13951" s="63" t="str">
        <f t="shared" si="60"/>
        <v>ZSI1_TEST_PAPERVOLUME_OPT</v>
      </c>
    </row>
    <row r="13952" ht="15.75" customHeight="1">
      <c r="B13952" s="63">
        <f t="shared" si="1"/>
        <v>15</v>
      </c>
      <c r="C13952" s="135" t="s">
        <v>473</v>
      </c>
      <c r="D13952" s="161" t="s">
        <v>74</v>
      </c>
      <c r="E13952" s="135">
        <f t="shared" si="62"/>
        <v>13</v>
      </c>
      <c r="F13952" s="134" t="s">
        <v>4059</v>
      </c>
      <c r="G13952" s="63" t="str">
        <f>VLOOKUP(C13952, 'Class Def. - General Data'!$C$20:$C$1000,1,false)</f>
        <v>ZSI1_TEST_PAPER</v>
      </c>
      <c r="H13952" s="63" t="str">
        <f>IFERROR(__xludf.DUMMYFUNCTION("VLOOKUP(F13952, IMPORTRANGE(""https://docs.google.com/spreadsheets/d/1Lhp9OU0JdFf_VYSMzH5lBcEaU4o8teT1piV-SNzShjg/edit?gid=554141278#gid=554141278"", ""'Char Def. - Attributes'!C20:C2242""), 1,false)"),"VOLUME_UNIT_SI")</f>
        <v>VOLUME_UNIT_SI</v>
      </c>
      <c r="I13952" s="136"/>
      <c r="R13952" s="63" t="str">
        <f t="shared" si="60"/>
        <v>ZSI1_TEST_PAPERVOLUME_UNIT_SI</v>
      </c>
    </row>
    <row r="13953" ht="15.75" customHeight="1">
      <c r="B13953" s="63">
        <f t="shared" si="1"/>
        <v>15</v>
      </c>
      <c r="C13953" s="135" t="s">
        <v>473</v>
      </c>
      <c r="D13953" s="161" t="s">
        <v>74</v>
      </c>
      <c r="E13953" s="135">
        <f t="shared" si="62"/>
        <v>14</v>
      </c>
      <c r="F13953" s="134" t="s">
        <v>3804</v>
      </c>
      <c r="G13953" s="63" t="str">
        <f>VLOOKUP(C13953, 'Class Def. - General Data'!$C$20:$C$1000,1,false)</f>
        <v>ZSI1_TEST_PAPER</v>
      </c>
      <c r="H13953" s="63" t="str">
        <f>IFERROR(__xludf.DUMMYFUNCTION("VLOOKUP(F13953, IMPORTRANGE(""https://docs.google.com/spreadsheets/d/1Lhp9OU0JdFf_VYSMzH5lBcEaU4o8teT1piV-SNzShjg/edit?gid=554141278#gid=554141278"", ""'Char Def. - Attributes'!C20:C2242""), 1,false)"),"ALT_UOM1_SIPI")</f>
        <v>ALT_UOM1_SIPI</v>
      </c>
      <c r="I13953" s="136"/>
      <c r="R13953" s="63" t="str">
        <f t="shared" si="60"/>
        <v>ZSI1_TEST_PAPERALT_UOM1_SIPI</v>
      </c>
    </row>
    <row r="13954" ht="15.75" customHeight="1">
      <c r="B13954" s="63">
        <f t="shared" si="1"/>
        <v>15</v>
      </c>
      <c r="C13954" s="135" t="s">
        <v>473</v>
      </c>
      <c r="D13954" s="161" t="s">
        <v>74</v>
      </c>
      <c r="E13954" s="135">
        <f t="shared" si="62"/>
        <v>15</v>
      </c>
      <c r="F13954" s="134" t="s">
        <v>3805</v>
      </c>
      <c r="G13954" s="63" t="str">
        <f>VLOOKUP(C13954, 'Class Def. - General Data'!$C$20:$C$1000,1,false)</f>
        <v>ZSI1_TEST_PAPER</v>
      </c>
      <c r="H13954" s="63" t="str">
        <f>IFERROR(__xludf.DUMMYFUNCTION("VLOOKUP(F13954, IMPORTRANGE(""https://docs.google.com/spreadsheets/d/1Lhp9OU0JdFf_VYSMzH5lBcEaU4o8teT1piV-SNzShjg/edit?gid=554141278#gid=554141278"", ""'Char Def. - Attributes'!C20:C2242""), 1,false)"),"ALT_DENUM_UOM1")</f>
        <v>ALT_DENUM_UOM1</v>
      </c>
      <c r="I13954" s="136"/>
      <c r="R13954" s="63" t="str">
        <f t="shared" si="60"/>
        <v>ZSI1_TEST_PAPERALT_DENUM_UOM1</v>
      </c>
    </row>
    <row r="13955" ht="15.75" customHeight="1">
      <c r="B13955" s="63">
        <f t="shared" si="1"/>
        <v>15</v>
      </c>
      <c r="C13955" s="135" t="s">
        <v>473</v>
      </c>
      <c r="D13955" s="161" t="s">
        <v>74</v>
      </c>
      <c r="E13955" s="135">
        <f t="shared" si="62"/>
        <v>16</v>
      </c>
      <c r="F13955" s="134" t="s">
        <v>3806</v>
      </c>
      <c r="G13955" s="63" t="str">
        <f>VLOOKUP(C13955, 'Class Def. - General Data'!$C$20:$C$1000,1,false)</f>
        <v>ZSI1_TEST_PAPER</v>
      </c>
      <c r="H13955" s="63" t="str">
        <f>IFERROR(__xludf.DUMMYFUNCTION("VLOOKUP(F13955, IMPORTRANGE(""https://docs.google.com/spreadsheets/d/1Lhp9OU0JdFf_VYSMzH5lBcEaU4o8teT1piV-SNzShjg/edit?gid=554141278#gid=554141278"", ""'Char Def. - Attributes'!C20:C2242""), 1,false)"),"ALT_NUM_UOM1")</f>
        <v>ALT_NUM_UOM1</v>
      </c>
      <c r="I13955" s="136"/>
      <c r="R13955" s="63" t="str">
        <f t="shared" si="60"/>
        <v>ZSI1_TEST_PAPERALT_NUM_UOM1</v>
      </c>
    </row>
    <row r="13956" ht="15.75" customHeight="1">
      <c r="B13956" s="63">
        <f t="shared" si="1"/>
        <v>15</v>
      </c>
      <c r="C13956" s="135" t="s">
        <v>473</v>
      </c>
      <c r="D13956" s="161" t="s">
        <v>74</v>
      </c>
      <c r="E13956" s="135">
        <f t="shared" si="62"/>
        <v>17</v>
      </c>
      <c r="F13956" s="134" t="s">
        <v>3807</v>
      </c>
      <c r="G13956" s="63" t="str">
        <f>VLOOKUP(C13956, 'Class Def. - General Data'!$C$20:$C$1000,1,false)</f>
        <v>ZSI1_TEST_PAPER</v>
      </c>
      <c r="H13956" s="63" t="str">
        <f>IFERROR(__xludf.DUMMYFUNCTION("VLOOKUP(F13956, IMPORTRANGE(""https://docs.google.com/spreadsheets/d/1Lhp9OU0JdFf_VYSMzH5lBcEaU4o8teT1piV-SNzShjg/edit?gid=554141278#gid=554141278"", ""'Char Def. - Attributes'!C20:C2242""), 1,false)"),"ALT_UOM2_SIPI")</f>
        <v>ALT_UOM2_SIPI</v>
      </c>
      <c r="I13956" s="136"/>
      <c r="R13956" s="63" t="str">
        <f t="shared" si="60"/>
        <v>ZSI1_TEST_PAPERALT_UOM2_SIPI</v>
      </c>
    </row>
    <row r="13957" ht="15.75" customHeight="1">
      <c r="B13957" s="63">
        <f t="shared" si="1"/>
        <v>15</v>
      </c>
      <c r="C13957" s="135" t="s">
        <v>473</v>
      </c>
      <c r="D13957" s="161" t="s">
        <v>74</v>
      </c>
      <c r="E13957" s="135">
        <f t="shared" si="62"/>
        <v>18</v>
      </c>
      <c r="F13957" s="134" t="s">
        <v>3808</v>
      </c>
      <c r="G13957" s="63" t="str">
        <f>VLOOKUP(C13957, 'Class Def. - General Data'!$C$20:$C$1000,1,false)</f>
        <v>ZSI1_TEST_PAPER</v>
      </c>
      <c r="H13957" s="63" t="str">
        <f>IFERROR(__xludf.DUMMYFUNCTION("VLOOKUP(F13957, IMPORTRANGE(""https://docs.google.com/spreadsheets/d/1Lhp9OU0JdFf_VYSMzH5lBcEaU4o8teT1piV-SNzShjg/edit?gid=554141278#gid=554141278"", ""'Char Def. - Attributes'!C20:C2242""), 1,false)"),"ALT_DENUM_UOM2")</f>
        <v>ALT_DENUM_UOM2</v>
      </c>
      <c r="I13957" s="136"/>
      <c r="R13957" s="63" t="str">
        <f t="shared" si="60"/>
        <v>ZSI1_TEST_PAPERALT_DENUM_UOM2</v>
      </c>
    </row>
    <row r="13958" ht="15.75" customHeight="1">
      <c r="B13958" s="63">
        <f t="shared" si="1"/>
        <v>15</v>
      </c>
      <c r="C13958" s="135" t="s">
        <v>473</v>
      </c>
      <c r="D13958" s="161" t="s">
        <v>74</v>
      </c>
      <c r="E13958" s="135">
        <f t="shared" si="62"/>
        <v>19</v>
      </c>
      <c r="F13958" s="134" t="s">
        <v>3809</v>
      </c>
      <c r="G13958" s="63" t="str">
        <f>VLOOKUP(C13958, 'Class Def. - General Data'!$C$20:$C$1000,1,false)</f>
        <v>ZSI1_TEST_PAPER</v>
      </c>
      <c r="H13958" s="63" t="str">
        <f>IFERROR(__xludf.DUMMYFUNCTION("VLOOKUP(F13958, IMPORTRANGE(""https://docs.google.com/spreadsheets/d/1Lhp9OU0JdFf_VYSMzH5lBcEaU4o8teT1piV-SNzShjg/edit?gid=554141278#gid=554141278"", ""'Char Def. - Attributes'!C20:C2242""), 1,false)"),"ALT_NUM_UOM2")</f>
        <v>ALT_NUM_UOM2</v>
      </c>
      <c r="I13958" s="136"/>
      <c r="R13958" s="63" t="str">
        <f t="shared" si="60"/>
        <v>ZSI1_TEST_PAPERALT_NUM_UOM2</v>
      </c>
    </row>
    <row r="13959" ht="15.75" customHeight="1">
      <c r="B13959" s="63">
        <f t="shared" si="1"/>
        <v>15</v>
      </c>
      <c r="C13959" s="135" t="s">
        <v>473</v>
      </c>
      <c r="D13959" s="161" t="s">
        <v>74</v>
      </c>
      <c r="E13959" s="135">
        <f t="shared" si="62"/>
        <v>20</v>
      </c>
      <c r="F13959" s="134" t="s">
        <v>3810</v>
      </c>
      <c r="G13959" s="63" t="str">
        <f>VLOOKUP(C13959, 'Class Def. - General Data'!$C$20:$C$1000,1,false)</f>
        <v>ZSI1_TEST_PAPER</v>
      </c>
      <c r="H13959" s="63" t="str">
        <f>IFERROR(__xludf.DUMMYFUNCTION("VLOOKUP(F13959, IMPORTRANGE(""https://docs.google.com/spreadsheets/d/1Lhp9OU0JdFf_VYSMzH5lBcEaU4o8teT1piV-SNzShjg/edit?gid=554141278#gid=554141278"", ""'Char Def. - Attributes'!C20:C2242""), 1,false)"),"ALT_UOM3_SIPI")</f>
        <v>ALT_UOM3_SIPI</v>
      </c>
      <c r="I13959" s="136"/>
      <c r="R13959" s="63" t="str">
        <f t="shared" si="60"/>
        <v>ZSI1_TEST_PAPERALT_UOM3_SIPI</v>
      </c>
    </row>
    <row r="13960" ht="15.75" customHeight="1">
      <c r="B13960" s="63">
        <f t="shared" si="1"/>
        <v>15</v>
      </c>
      <c r="C13960" s="135" t="s">
        <v>473</v>
      </c>
      <c r="D13960" s="161" t="s">
        <v>74</v>
      </c>
      <c r="E13960" s="135">
        <f t="shared" si="62"/>
        <v>21</v>
      </c>
      <c r="F13960" s="134" t="s">
        <v>3811</v>
      </c>
      <c r="G13960" s="63" t="str">
        <f>VLOOKUP(C13960, 'Class Def. - General Data'!$C$20:$C$1000,1,false)</f>
        <v>ZSI1_TEST_PAPER</v>
      </c>
      <c r="H13960" s="63" t="str">
        <f>IFERROR(__xludf.DUMMYFUNCTION("VLOOKUP(F13960, IMPORTRANGE(""https://docs.google.com/spreadsheets/d/1Lhp9OU0JdFf_VYSMzH5lBcEaU4o8teT1piV-SNzShjg/edit?gid=554141278#gid=554141278"", ""'Char Def. - Attributes'!C20:C2242""), 1,false)"),"ALT_DENUM_UOM3")</f>
        <v>ALT_DENUM_UOM3</v>
      </c>
      <c r="I13960" s="136"/>
      <c r="R13960" s="63" t="str">
        <f t="shared" si="60"/>
        <v>ZSI1_TEST_PAPERALT_DENUM_UOM3</v>
      </c>
    </row>
    <row r="13961" ht="15.75" customHeight="1">
      <c r="B13961" s="63">
        <f t="shared" si="1"/>
        <v>15</v>
      </c>
      <c r="C13961" s="135" t="s">
        <v>473</v>
      </c>
      <c r="D13961" s="161" t="s">
        <v>74</v>
      </c>
      <c r="E13961" s="135">
        <f t="shared" si="62"/>
        <v>22</v>
      </c>
      <c r="F13961" s="134" t="s">
        <v>3812</v>
      </c>
      <c r="G13961" s="63" t="str">
        <f>VLOOKUP(C13961, 'Class Def. - General Data'!$C$20:$C$1000,1,false)</f>
        <v>ZSI1_TEST_PAPER</v>
      </c>
      <c r="H13961" s="63" t="str">
        <f>IFERROR(__xludf.DUMMYFUNCTION("VLOOKUP(F13961, IMPORTRANGE(""https://docs.google.com/spreadsheets/d/1Lhp9OU0JdFf_VYSMzH5lBcEaU4o8teT1piV-SNzShjg/edit?gid=554141278#gid=554141278"", ""'Char Def. - Attributes'!C20:C2242""), 1,false)"),"ALT_NUM_UOM3")</f>
        <v>ALT_NUM_UOM3</v>
      </c>
      <c r="I13961" s="136"/>
      <c r="R13961" s="63" t="str">
        <f t="shared" si="60"/>
        <v>ZSI1_TEST_PAPERALT_NUM_UOM3</v>
      </c>
    </row>
    <row r="13962" ht="15.75" customHeight="1">
      <c r="B13962" s="63">
        <f t="shared" si="1"/>
        <v>15</v>
      </c>
      <c r="C13962" s="135" t="s">
        <v>473</v>
      </c>
      <c r="D13962" s="161" t="s">
        <v>74</v>
      </c>
      <c r="E13962" s="135">
        <f t="shared" si="62"/>
        <v>23</v>
      </c>
      <c r="F13962" s="134" t="s">
        <v>3813</v>
      </c>
      <c r="G13962" s="63" t="str">
        <f>VLOOKUP(C13962, 'Class Def. - General Data'!$C$20:$C$1000,1,false)</f>
        <v>ZSI1_TEST_PAPER</v>
      </c>
      <c r="H13962" s="63" t="str">
        <f>IFERROR(__xludf.DUMMYFUNCTION("VLOOKUP(F13962, IMPORTRANGE(""https://docs.google.com/spreadsheets/d/1Lhp9OU0JdFf_VYSMzH5lBcEaU4o8teT1piV-SNzShjg/edit?gid=554141278#gid=554141278"", ""'Char Def. - Attributes'!C20:C2242""), 1,false)"),"ALT_UOM4_SIPI")</f>
        <v>ALT_UOM4_SIPI</v>
      </c>
      <c r="I13962" s="136"/>
      <c r="R13962" s="63" t="str">
        <f t="shared" si="60"/>
        <v>ZSI1_TEST_PAPERALT_UOM4_SIPI</v>
      </c>
    </row>
    <row r="13963" ht="15.75" customHeight="1">
      <c r="B13963" s="63">
        <f t="shared" si="1"/>
        <v>15</v>
      </c>
      <c r="C13963" s="135" t="s">
        <v>473</v>
      </c>
      <c r="D13963" s="161" t="s">
        <v>74</v>
      </c>
      <c r="E13963" s="135">
        <f t="shared" si="62"/>
        <v>24</v>
      </c>
      <c r="F13963" s="134" t="s">
        <v>3814</v>
      </c>
      <c r="G13963" s="63" t="str">
        <f>VLOOKUP(C13963, 'Class Def. - General Data'!$C$20:$C$1000,1,false)</f>
        <v>ZSI1_TEST_PAPER</v>
      </c>
      <c r="H13963" s="63" t="str">
        <f>IFERROR(__xludf.DUMMYFUNCTION("VLOOKUP(F13963, IMPORTRANGE(""https://docs.google.com/spreadsheets/d/1Lhp9OU0JdFf_VYSMzH5lBcEaU4o8teT1piV-SNzShjg/edit?gid=554141278#gid=554141278"", ""'Char Def. - Attributes'!C20:C2242""), 1,false)"),"ALT_DENUM_UOM4")</f>
        <v>ALT_DENUM_UOM4</v>
      </c>
      <c r="I13963" s="136"/>
      <c r="R13963" s="63" t="str">
        <f t="shared" si="60"/>
        <v>ZSI1_TEST_PAPERALT_DENUM_UOM4</v>
      </c>
    </row>
    <row r="13964" ht="15.75" customHeight="1">
      <c r="B13964" s="63">
        <f t="shared" si="1"/>
        <v>15</v>
      </c>
      <c r="C13964" s="135" t="s">
        <v>473</v>
      </c>
      <c r="D13964" s="161" t="s">
        <v>74</v>
      </c>
      <c r="E13964" s="135">
        <f t="shared" si="62"/>
        <v>25</v>
      </c>
      <c r="F13964" s="134" t="s">
        <v>3815</v>
      </c>
      <c r="G13964" s="63" t="str">
        <f>VLOOKUP(C13964, 'Class Def. - General Data'!$C$20:$C$1000,1,false)</f>
        <v>ZSI1_TEST_PAPER</v>
      </c>
      <c r="H13964" s="63" t="str">
        <f>IFERROR(__xludf.DUMMYFUNCTION("VLOOKUP(F13964, IMPORTRANGE(""https://docs.google.com/spreadsheets/d/1Lhp9OU0JdFf_VYSMzH5lBcEaU4o8teT1piV-SNzShjg/edit?gid=554141278#gid=554141278"", ""'Char Def. - Attributes'!C20:C2242""), 1,false)"),"ALT_NUM_UOM4")</f>
        <v>ALT_NUM_UOM4</v>
      </c>
      <c r="I13964" s="136"/>
      <c r="R13964" s="63" t="str">
        <f t="shared" si="60"/>
        <v>ZSI1_TEST_PAPERALT_NUM_UOM4</v>
      </c>
    </row>
    <row r="13965" ht="15.75" customHeight="1">
      <c r="B13965" s="63">
        <f t="shared" si="1"/>
        <v>15</v>
      </c>
      <c r="C13965" s="135" t="s">
        <v>473</v>
      </c>
      <c r="D13965" s="161" t="s">
        <v>74</v>
      </c>
      <c r="E13965" s="135">
        <f t="shared" si="62"/>
        <v>26</v>
      </c>
      <c r="F13965" s="134" t="s">
        <v>3816</v>
      </c>
      <c r="G13965" s="63" t="str">
        <f>VLOOKUP(C13965, 'Class Def. - General Data'!$C$20:$C$1000,1,false)</f>
        <v>ZSI1_TEST_PAPER</v>
      </c>
      <c r="H13965" s="63" t="str">
        <f>IFERROR(__xludf.DUMMYFUNCTION("VLOOKUP(F13965, IMPORTRANGE(""https://docs.google.com/spreadsheets/d/1Lhp9OU0JdFf_VYSMzH5lBcEaU4o8teT1piV-SNzShjg/edit?gid=554141278#gid=554141278"", ""'Char Def. - Attributes'!C20:C2242""), 1,false)"),"ALT_UOM5_SIPI")</f>
        <v>ALT_UOM5_SIPI</v>
      </c>
      <c r="I13965" s="136"/>
      <c r="R13965" s="63" t="str">
        <f t="shared" si="60"/>
        <v>ZSI1_TEST_PAPERALT_UOM5_SIPI</v>
      </c>
    </row>
    <row r="13966" ht="15.75" customHeight="1">
      <c r="B13966" s="63">
        <f t="shared" si="1"/>
        <v>15</v>
      </c>
      <c r="C13966" s="135" t="s">
        <v>473</v>
      </c>
      <c r="D13966" s="161" t="s">
        <v>74</v>
      </c>
      <c r="E13966" s="135">
        <f t="shared" si="62"/>
        <v>27</v>
      </c>
      <c r="F13966" s="134" t="s">
        <v>3817</v>
      </c>
      <c r="G13966" s="63" t="str">
        <f>VLOOKUP(C13966, 'Class Def. - General Data'!$C$20:$C$1000,1,false)</f>
        <v>ZSI1_TEST_PAPER</v>
      </c>
      <c r="H13966" s="63" t="str">
        <f>IFERROR(__xludf.DUMMYFUNCTION("VLOOKUP(F13966, IMPORTRANGE(""https://docs.google.com/spreadsheets/d/1Lhp9OU0JdFf_VYSMzH5lBcEaU4o8teT1piV-SNzShjg/edit?gid=554141278#gid=554141278"", ""'Char Def. - Attributes'!C20:C2242""), 1,false)"),"ALT_DENUM_UOM5")</f>
        <v>ALT_DENUM_UOM5</v>
      </c>
      <c r="I13966" s="136"/>
      <c r="R13966" s="63" t="str">
        <f t="shared" si="60"/>
        <v>ZSI1_TEST_PAPERALT_DENUM_UOM5</v>
      </c>
    </row>
    <row r="13967" ht="15.75" customHeight="1">
      <c r="B13967" s="63">
        <f t="shared" si="1"/>
        <v>15</v>
      </c>
      <c r="C13967" s="135" t="s">
        <v>473</v>
      </c>
      <c r="D13967" s="161" t="s">
        <v>74</v>
      </c>
      <c r="E13967" s="135">
        <f t="shared" si="62"/>
        <v>28</v>
      </c>
      <c r="F13967" s="134" t="s">
        <v>3818</v>
      </c>
      <c r="G13967" s="63" t="str">
        <f>VLOOKUP(C13967, 'Class Def. - General Data'!$C$20:$C$1000,1,false)</f>
        <v>ZSI1_TEST_PAPER</v>
      </c>
      <c r="H13967" s="63" t="str">
        <f>IFERROR(__xludf.DUMMYFUNCTION("VLOOKUP(F13967, IMPORTRANGE(""https://docs.google.com/spreadsheets/d/1Lhp9OU0JdFf_VYSMzH5lBcEaU4o8teT1piV-SNzShjg/edit?gid=554141278#gid=554141278"", ""'Char Def. - Attributes'!C20:C2242""), 1,false)"),"ALT_NUM_UOM5")</f>
        <v>ALT_NUM_UOM5</v>
      </c>
      <c r="I13967" s="136"/>
      <c r="R13967" s="63" t="str">
        <f t="shared" si="60"/>
        <v>ZSI1_TEST_PAPERALT_NUM_UOM5</v>
      </c>
    </row>
    <row r="13968" ht="15.75" customHeight="1">
      <c r="B13968" s="63">
        <f t="shared" si="1"/>
        <v>9</v>
      </c>
      <c r="C13968" s="135" t="s">
        <v>474</v>
      </c>
      <c r="D13968" s="161" t="s">
        <v>74</v>
      </c>
      <c r="E13968" s="135">
        <f t="shared" si="62"/>
        <v>1</v>
      </c>
      <c r="F13968" s="134" t="s">
        <v>5496</v>
      </c>
      <c r="G13968" s="63" t="str">
        <f>VLOOKUP(C13968, 'Class Def. - General Data'!$C$20:$C$1000,1,false)</f>
        <v>ZSI1_TILE</v>
      </c>
      <c r="H13968" s="63" t="str">
        <f>IFERROR(__xludf.DUMMYFUNCTION("VLOOKUP(F13968, IMPORTRANGE(""https://docs.google.com/spreadsheets/d/1Lhp9OU0JdFf_VYSMzH5lBcEaU4o8teT1piV-SNzShjg/edit?gid=554141278#gid=554141278"", ""'Char Def. - Attributes'!C20:C2242""), 1,false)"),"ITEM_NAME_TILE")</f>
        <v>ITEM_NAME_TILE</v>
      </c>
      <c r="I13968" s="136"/>
      <c r="R13968" s="63" t="str">
        <f t="shared" si="60"/>
        <v>ZSI1_TILEITEM_NAME_TILE</v>
      </c>
    </row>
    <row r="13969" ht="15.75" customHeight="1">
      <c r="B13969" s="63">
        <f t="shared" si="1"/>
        <v>9</v>
      </c>
      <c r="C13969" s="135" t="s">
        <v>474</v>
      </c>
      <c r="D13969" s="161" t="s">
        <v>74</v>
      </c>
      <c r="E13969" s="135">
        <f t="shared" si="62"/>
        <v>2</v>
      </c>
      <c r="F13969" s="134" t="s">
        <v>5497</v>
      </c>
      <c r="G13969" s="63" t="str">
        <f>VLOOKUP(C13969, 'Class Def. - General Data'!$C$20:$C$1000,1,false)</f>
        <v>ZSI1_TILE</v>
      </c>
      <c r="H13969" s="63" t="str">
        <f>IFERROR(__xludf.DUMMYFUNCTION("VLOOKUP(F13969, IMPORTRANGE(""https://docs.google.com/spreadsheets/d/1Lhp9OU0JdFf_VYSMzH5lBcEaU4o8teT1piV-SNzShjg/edit?gid=554141278#gid=554141278"", ""'Char Def. - Attributes'!C20:C2242""), 1,false)"),"DESIGN_TILE")</f>
        <v>DESIGN_TILE</v>
      </c>
      <c r="I13969" s="136"/>
      <c r="R13969" s="63" t="str">
        <f t="shared" si="60"/>
        <v>ZSI1_TILEDESIGN_TILE</v>
      </c>
    </row>
    <row r="13970" ht="15.75" customHeight="1">
      <c r="B13970" s="63">
        <f t="shared" si="1"/>
        <v>9</v>
      </c>
      <c r="C13970" s="135" t="s">
        <v>474</v>
      </c>
      <c r="D13970" s="161" t="s">
        <v>74</v>
      </c>
      <c r="E13970" s="135">
        <f t="shared" si="62"/>
        <v>3</v>
      </c>
      <c r="F13970" s="134" t="s">
        <v>5498</v>
      </c>
      <c r="G13970" s="63" t="str">
        <f>VLOOKUP(C13970, 'Class Def. - General Data'!$C$20:$C$1000,1,false)</f>
        <v>ZSI1_TILE</v>
      </c>
      <c r="H13970" s="63" t="str">
        <f>IFERROR(__xludf.DUMMYFUNCTION("VLOOKUP(F13970, IMPORTRANGE(""https://docs.google.com/spreadsheets/d/1Lhp9OU0JdFf_VYSMzH5lBcEaU4o8teT1piV-SNzShjg/edit?gid=554141278#gid=554141278"", ""'Char Def. - Attributes'!C20:C2242""), 1,false)"),"LENGTH_MM_TILE")</f>
        <v>LENGTH_MM_TILE</v>
      </c>
      <c r="I13970" s="136"/>
      <c r="R13970" s="63" t="str">
        <f t="shared" si="60"/>
        <v>ZSI1_TILELENGTH_MM_TILE</v>
      </c>
    </row>
    <row r="13971" ht="15.75" customHeight="1">
      <c r="B13971" s="63">
        <f t="shared" si="1"/>
        <v>9</v>
      </c>
      <c r="C13971" s="135" t="s">
        <v>474</v>
      </c>
      <c r="D13971" s="161" t="s">
        <v>74</v>
      </c>
      <c r="E13971" s="135">
        <f t="shared" si="62"/>
        <v>4</v>
      </c>
      <c r="F13971" s="134" t="s">
        <v>5499</v>
      </c>
      <c r="G13971" s="63" t="str">
        <f>VLOOKUP(C13971, 'Class Def. - General Data'!$C$20:$C$1000,1,false)</f>
        <v>ZSI1_TILE</v>
      </c>
      <c r="H13971" s="63" t="str">
        <f>IFERROR(__xludf.DUMMYFUNCTION("VLOOKUP(F13971, IMPORTRANGE(""https://docs.google.com/spreadsheets/d/1Lhp9OU0JdFf_VYSMzH5lBcEaU4o8teT1piV-SNzShjg/edit?gid=554141278#gid=554141278"", ""'Char Def. - Attributes'!C20:C2242""), 1,false)"),"WIDTH_MM_TILE")</f>
        <v>WIDTH_MM_TILE</v>
      </c>
      <c r="I13971" s="136"/>
      <c r="R13971" s="63" t="str">
        <f t="shared" si="60"/>
        <v>ZSI1_TILEWIDTH_MM_TILE</v>
      </c>
    </row>
    <row r="13972" ht="15.75" customHeight="1">
      <c r="B13972" s="63">
        <f t="shared" si="1"/>
        <v>9</v>
      </c>
      <c r="C13972" s="135" t="s">
        <v>474</v>
      </c>
      <c r="D13972" s="161" t="s">
        <v>74</v>
      </c>
      <c r="E13972" s="135">
        <f t="shared" si="62"/>
        <v>5</v>
      </c>
      <c r="F13972" s="134" t="s">
        <v>5500</v>
      </c>
      <c r="G13972" s="63" t="str">
        <f>VLOOKUP(C13972, 'Class Def. - General Data'!$C$20:$C$1000,1,false)</f>
        <v>ZSI1_TILE</v>
      </c>
      <c r="H13972" s="63" t="str">
        <f>IFERROR(__xludf.DUMMYFUNCTION("VLOOKUP(F13972, IMPORTRANGE(""https://docs.google.com/spreadsheets/d/1Lhp9OU0JdFf_VYSMzH5lBcEaU4o8teT1piV-SNzShjg/edit?gid=554141278#gid=554141278"", ""'Char Def. - Attributes'!C20:C2242""), 1,false)"),"GRADE_TILE")</f>
        <v>GRADE_TILE</v>
      </c>
      <c r="I13972" s="136"/>
      <c r="R13972" s="63" t="str">
        <f t="shared" si="60"/>
        <v>ZSI1_TILEGRADE_TILE</v>
      </c>
    </row>
    <row r="13973" ht="15.75" customHeight="1">
      <c r="B13973" s="63">
        <f t="shared" si="1"/>
        <v>9</v>
      </c>
      <c r="C13973" s="135" t="s">
        <v>474</v>
      </c>
      <c r="D13973" s="161" t="s">
        <v>74</v>
      </c>
      <c r="E13973" s="135">
        <f t="shared" si="62"/>
        <v>6</v>
      </c>
      <c r="F13973" s="134" t="s">
        <v>3585</v>
      </c>
      <c r="G13973" s="63" t="str">
        <f>VLOOKUP(C13973, 'Class Def. - General Data'!$C$20:$C$1000,1,false)</f>
        <v>ZSI1_TILE</v>
      </c>
      <c r="H13973" s="63" t="str">
        <f>IFERROR(__xludf.DUMMYFUNCTION("VLOOKUP(F13973, IMPORTRANGE(""https://docs.google.com/spreadsheets/d/1Lhp9OU0JdFf_VYSMzH5lBcEaU4o8teT1piV-SNzShjg/edit?gid=554141278#gid=554141278"", ""'Char Def. - Attributes'!C20:C2242""), 1,false)"),"HS_CODE")</f>
        <v>HS_CODE</v>
      </c>
      <c r="I13973" s="136"/>
      <c r="R13973" s="63" t="str">
        <f t="shared" si="60"/>
        <v>ZSI1_TILEHS_CODE</v>
      </c>
    </row>
    <row r="13974" ht="15.75" customHeight="1">
      <c r="B13974" s="63">
        <f t="shared" si="1"/>
        <v>9</v>
      </c>
      <c r="C13974" s="135" t="s">
        <v>474</v>
      </c>
      <c r="D13974" s="161" t="s">
        <v>74</v>
      </c>
      <c r="E13974" s="135">
        <f t="shared" si="62"/>
        <v>7</v>
      </c>
      <c r="F13974" s="134" t="s">
        <v>3587</v>
      </c>
      <c r="G13974" s="63" t="str">
        <f>VLOOKUP(C13974, 'Class Def. - General Data'!$C$20:$C$1000,1,false)</f>
        <v>ZSI1_TILE</v>
      </c>
      <c r="H13974" s="63" t="str">
        <f>IFERROR(__xludf.DUMMYFUNCTION("VLOOKUP(F13974, IMPORTRANGE(""https://docs.google.com/spreadsheets/d/1Lhp9OU0JdFf_VYSMzH5lBcEaU4o8teT1piV-SNzShjg/edit?gid=554141278#gid=554141278"", ""'Char Def. - Attributes'!C20:C2242""), 1,false)"),"PLANT_BUY")</f>
        <v>PLANT_BUY</v>
      </c>
      <c r="I13974" s="136"/>
      <c r="R13974" s="63" t="str">
        <f t="shared" si="60"/>
        <v>ZSI1_TILEPLANT_BUY</v>
      </c>
    </row>
    <row r="13975" ht="15.75" customHeight="1">
      <c r="B13975" s="63">
        <f t="shared" si="1"/>
        <v>9</v>
      </c>
      <c r="C13975" s="135" t="s">
        <v>474</v>
      </c>
      <c r="D13975" s="161" t="s">
        <v>74</v>
      </c>
      <c r="E13975" s="135">
        <f t="shared" si="62"/>
        <v>8</v>
      </c>
      <c r="F13975" s="134" t="s">
        <v>5501</v>
      </c>
      <c r="G13975" s="63" t="str">
        <f>VLOOKUP(C13975, 'Class Def. - General Data'!$C$20:$C$1000,1,false)</f>
        <v>ZSI1_TILE</v>
      </c>
      <c r="H13975" s="63" t="str">
        <f>IFERROR(__xludf.DUMMYFUNCTION("VLOOKUP(F13975, IMPORTRANGE(""https://docs.google.com/spreadsheets/d/1Lhp9OU0JdFf_VYSMzH5lBcEaU4o8teT1piV-SNzShjg/edit?gid=554141278#gid=554141278"", ""'Char Def. - Attributes'!C20:C2242""), 1,false)"),"BASE_UOM_TILE")</f>
        <v>BASE_UOM_TILE</v>
      </c>
      <c r="I13975" s="136"/>
      <c r="R13975" s="63" t="str">
        <f t="shared" si="60"/>
        <v>ZSI1_TILEBASE_UOM_TILE</v>
      </c>
    </row>
    <row r="13976" ht="15.75" customHeight="1">
      <c r="B13976" s="63">
        <f t="shared" si="1"/>
        <v>9</v>
      </c>
      <c r="C13976" s="135" t="s">
        <v>474</v>
      </c>
      <c r="D13976" s="161" t="s">
        <v>74</v>
      </c>
      <c r="E13976" s="135">
        <f t="shared" si="62"/>
        <v>9</v>
      </c>
      <c r="F13976" s="134" t="s">
        <v>5502</v>
      </c>
      <c r="G13976" s="63" t="str">
        <f>VLOOKUP(C13976, 'Class Def. - General Data'!$C$20:$C$1000,1,false)</f>
        <v>ZSI1_TILE</v>
      </c>
      <c r="H13976" s="63" t="str">
        <f>IFERROR(__xludf.DUMMYFUNCTION("VLOOKUP(F13976, IMPORTRANGE(""https://docs.google.com/spreadsheets/d/1Lhp9OU0JdFf_VYSMzH5lBcEaU4o8teT1piV-SNzShjg/edit?gid=554141278#gid=554141278"", ""'Char Def. - Attributes'!C20:C2242""), 1,false)"),"ORDER_UNIT_TILE")</f>
        <v>ORDER_UNIT_TILE</v>
      </c>
      <c r="I13976" s="136"/>
      <c r="R13976" s="63" t="str">
        <f t="shared" si="60"/>
        <v>ZSI1_TILEORDER_UNIT_TILE</v>
      </c>
    </row>
    <row r="13977" ht="15.75" customHeight="1">
      <c r="B13977" s="63">
        <f t="shared" si="1"/>
        <v>9</v>
      </c>
      <c r="C13977" s="135" t="s">
        <v>474</v>
      </c>
      <c r="D13977" s="161" t="s">
        <v>74</v>
      </c>
      <c r="E13977" s="135">
        <f t="shared" si="62"/>
        <v>10</v>
      </c>
      <c r="F13977" s="134" t="s">
        <v>4056</v>
      </c>
      <c r="G13977" s="63" t="str">
        <f>VLOOKUP(C13977, 'Class Def. - General Data'!$C$20:$C$1000,1,false)</f>
        <v>ZSI1_TILE</v>
      </c>
      <c r="H13977" s="63" t="str">
        <f>IFERROR(__xludf.DUMMYFUNCTION("VLOOKUP(F13977, IMPORTRANGE(""https://docs.google.com/spreadsheets/d/1Lhp9OU0JdFf_VYSMzH5lBcEaU4o8teT1piV-SNzShjg/edit?gid=554141278#gid=554141278"", ""'Char Def. - Attributes'!C20:C2242""), 1,false)"),"GROSS_WEIGHT_OPT")</f>
        <v>GROSS_WEIGHT_OPT</v>
      </c>
      <c r="I13977" s="136"/>
      <c r="R13977" s="63" t="str">
        <f t="shared" si="60"/>
        <v>ZSI1_TILEGROSS_WEIGHT_OPT</v>
      </c>
    </row>
    <row r="13978" ht="15.75" customHeight="1">
      <c r="B13978" s="63">
        <f t="shared" si="1"/>
        <v>9</v>
      </c>
      <c r="C13978" s="135" t="s">
        <v>474</v>
      </c>
      <c r="D13978" s="161" t="s">
        <v>74</v>
      </c>
      <c r="E13978" s="135">
        <f t="shared" si="62"/>
        <v>11</v>
      </c>
      <c r="F13978" s="134" t="s">
        <v>4057</v>
      </c>
      <c r="G13978" s="63" t="str">
        <f>VLOOKUP(C13978, 'Class Def. - General Data'!$C$20:$C$1000,1,false)</f>
        <v>ZSI1_TILE</v>
      </c>
      <c r="H13978" s="63" t="str">
        <f>IFERROR(__xludf.DUMMYFUNCTION("VLOOKUP(F13978, IMPORTRANGE(""https://docs.google.com/spreadsheets/d/1Lhp9OU0JdFf_VYSMzH5lBcEaU4o8teT1piV-SNzShjg/edit?gid=554141278#gid=554141278"", ""'Char Def. - Attributes'!C20:C2242""), 1,false)"),"NET_WEIGHT_OPT")</f>
        <v>NET_WEIGHT_OPT</v>
      </c>
      <c r="I13978" s="136"/>
      <c r="R13978" s="63" t="str">
        <f t="shared" si="60"/>
        <v>ZSI1_TILENET_WEIGHT_OPT</v>
      </c>
    </row>
    <row r="13979" ht="15.75" customHeight="1">
      <c r="B13979" s="63">
        <f t="shared" si="1"/>
        <v>9</v>
      </c>
      <c r="C13979" s="135" t="s">
        <v>474</v>
      </c>
      <c r="D13979" s="161" t="s">
        <v>74</v>
      </c>
      <c r="E13979" s="135">
        <f t="shared" si="62"/>
        <v>12</v>
      </c>
      <c r="F13979" s="134" t="s">
        <v>4058</v>
      </c>
      <c r="G13979" s="63" t="str">
        <f>VLOOKUP(C13979, 'Class Def. - General Data'!$C$20:$C$1000,1,false)</f>
        <v>ZSI1_TILE</v>
      </c>
      <c r="H13979" s="63" t="str">
        <f>IFERROR(__xludf.DUMMYFUNCTION("VLOOKUP(F13979, IMPORTRANGE(""https://docs.google.com/spreadsheets/d/1Lhp9OU0JdFf_VYSMzH5lBcEaU4o8teT1piV-SNzShjg/edit?gid=554141278#gid=554141278"", ""'Char Def. - Attributes'!C20:C2242""), 1,false)"),"WEIGHT_UNIT_SI")</f>
        <v>WEIGHT_UNIT_SI</v>
      </c>
      <c r="I13979" s="136"/>
      <c r="R13979" s="63" t="str">
        <f t="shared" si="60"/>
        <v>ZSI1_TILEWEIGHT_UNIT_SI</v>
      </c>
    </row>
    <row r="13980" ht="15.75" customHeight="1">
      <c r="B13980" s="63">
        <f t="shared" si="1"/>
        <v>9</v>
      </c>
      <c r="C13980" s="135" t="s">
        <v>474</v>
      </c>
      <c r="D13980" s="161" t="s">
        <v>74</v>
      </c>
      <c r="E13980" s="135">
        <f t="shared" si="62"/>
        <v>13</v>
      </c>
      <c r="F13980" s="134" t="s">
        <v>3877</v>
      </c>
      <c r="G13980" s="63" t="str">
        <f>VLOOKUP(C13980, 'Class Def. - General Data'!$C$20:$C$1000,1,false)</f>
        <v>ZSI1_TILE</v>
      </c>
      <c r="H13980" s="63" t="str">
        <f>IFERROR(__xludf.DUMMYFUNCTION("VLOOKUP(F13980, IMPORTRANGE(""https://docs.google.com/spreadsheets/d/1Lhp9OU0JdFf_VYSMzH5lBcEaU4o8teT1piV-SNzShjg/edit?gid=554141278#gid=554141278"", ""'Char Def. - Attributes'!C20:C2242""), 1,false)"),"VOLUME_OPT")</f>
        <v>VOLUME_OPT</v>
      </c>
      <c r="I13980" s="136"/>
      <c r="R13980" s="63" t="str">
        <f t="shared" si="60"/>
        <v>ZSI1_TILEVOLUME_OPT</v>
      </c>
    </row>
    <row r="13981" ht="15.75" customHeight="1">
      <c r="B13981" s="63">
        <f t="shared" si="1"/>
        <v>9</v>
      </c>
      <c r="C13981" s="135" t="s">
        <v>474</v>
      </c>
      <c r="D13981" s="161" t="s">
        <v>74</v>
      </c>
      <c r="E13981" s="135">
        <f t="shared" si="62"/>
        <v>14</v>
      </c>
      <c r="F13981" s="134" t="s">
        <v>4059</v>
      </c>
      <c r="G13981" s="63" t="str">
        <f>VLOOKUP(C13981, 'Class Def. - General Data'!$C$20:$C$1000,1,false)</f>
        <v>ZSI1_TILE</v>
      </c>
      <c r="H13981" s="63" t="str">
        <f>IFERROR(__xludf.DUMMYFUNCTION("VLOOKUP(F13981, IMPORTRANGE(""https://docs.google.com/spreadsheets/d/1Lhp9OU0JdFf_VYSMzH5lBcEaU4o8teT1piV-SNzShjg/edit?gid=554141278#gid=554141278"", ""'Char Def. - Attributes'!C20:C2242""), 1,false)"),"VOLUME_UNIT_SI")</f>
        <v>VOLUME_UNIT_SI</v>
      </c>
      <c r="I13981" s="136"/>
      <c r="R13981" s="63" t="str">
        <f t="shared" si="60"/>
        <v>ZSI1_TILEVOLUME_UNIT_SI</v>
      </c>
    </row>
    <row r="13982" ht="15.75" customHeight="1">
      <c r="B13982" s="63">
        <f t="shared" si="1"/>
        <v>9</v>
      </c>
      <c r="C13982" s="135" t="s">
        <v>474</v>
      </c>
      <c r="D13982" s="161" t="s">
        <v>74</v>
      </c>
      <c r="E13982" s="135">
        <f t="shared" si="62"/>
        <v>15</v>
      </c>
      <c r="F13982" s="134" t="s">
        <v>3804</v>
      </c>
      <c r="G13982" s="63" t="str">
        <f>VLOOKUP(C13982, 'Class Def. - General Data'!$C$20:$C$1000,1,false)</f>
        <v>ZSI1_TILE</v>
      </c>
      <c r="H13982" s="63" t="str">
        <f>IFERROR(__xludf.DUMMYFUNCTION("VLOOKUP(F13982, IMPORTRANGE(""https://docs.google.com/spreadsheets/d/1Lhp9OU0JdFf_VYSMzH5lBcEaU4o8teT1piV-SNzShjg/edit?gid=554141278#gid=554141278"", ""'Char Def. - Attributes'!C20:C2242""), 1,false)"),"ALT_UOM1_SIPI")</f>
        <v>ALT_UOM1_SIPI</v>
      </c>
      <c r="I13982" s="136"/>
      <c r="R13982" s="63" t="str">
        <f t="shared" si="60"/>
        <v>ZSI1_TILEALT_UOM1_SIPI</v>
      </c>
    </row>
    <row r="13983" ht="15.75" customHeight="1">
      <c r="B13983" s="63">
        <f t="shared" si="1"/>
        <v>9</v>
      </c>
      <c r="C13983" s="135" t="s">
        <v>474</v>
      </c>
      <c r="D13983" s="161" t="s">
        <v>74</v>
      </c>
      <c r="E13983" s="135">
        <f t="shared" si="62"/>
        <v>16</v>
      </c>
      <c r="F13983" s="134" t="s">
        <v>3805</v>
      </c>
      <c r="G13983" s="63" t="str">
        <f>VLOOKUP(C13983, 'Class Def. - General Data'!$C$20:$C$1000,1,false)</f>
        <v>ZSI1_TILE</v>
      </c>
      <c r="H13983" s="63" t="str">
        <f>IFERROR(__xludf.DUMMYFUNCTION("VLOOKUP(F13983, IMPORTRANGE(""https://docs.google.com/spreadsheets/d/1Lhp9OU0JdFf_VYSMzH5lBcEaU4o8teT1piV-SNzShjg/edit?gid=554141278#gid=554141278"", ""'Char Def. - Attributes'!C20:C2242""), 1,false)"),"ALT_DENUM_UOM1")</f>
        <v>ALT_DENUM_UOM1</v>
      </c>
      <c r="I13983" s="136"/>
      <c r="R13983" s="63" t="str">
        <f t="shared" si="60"/>
        <v>ZSI1_TILEALT_DENUM_UOM1</v>
      </c>
    </row>
    <row r="13984" ht="15.75" customHeight="1">
      <c r="B13984" s="63">
        <f t="shared" si="1"/>
        <v>9</v>
      </c>
      <c r="C13984" s="135" t="s">
        <v>474</v>
      </c>
      <c r="D13984" s="161" t="s">
        <v>74</v>
      </c>
      <c r="E13984" s="135">
        <f t="shared" si="62"/>
        <v>17</v>
      </c>
      <c r="F13984" s="134" t="s">
        <v>3806</v>
      </c>
      <c r="G13984" s="63" t="str">
        <f>VLOOKUP(C13984, 'Class Def. - General Data'!$C$20:$C$1000,1,false)</f>
        <v>ZSI1_TILE</v>
      </c>
      <c r="H13984" s="63" t="str">
        <f>IFERROR(__xludf.DUMMYFUNCTION("VLOOKUP(F13984, IMPORTRANGE(""https://docs.google.com/spreadsheets/d/1Lhp9OU0JdFf_VYSMzH5lBcEaU4o8teT1piV-SNzShjg/edit?gid=554141278#gid=554141278"", ""'Char Def. - Attributes'!C20:C2242""), 1,false)"),"ALT_NUM_UOM1")</f>
        <v>ALT_NUM_UOM1</v>
      </c>
      <c r="I13984" s="136"/>
      <c r="R13984" s="63" t="str">
        <f t="shared" si="60"/>
        <v>ZSI1_TILEALT_NUM_UOM1</v>
      </c>
    </row>
    <row r="13985" ht="15.75" customHeight="1">
      <c r="B13985" s="63">
        <f t="shared" si="1"/>
        <v>9</v>
      </c>
      <c r="C13985" s="135" t="s">
        <v>474</v>
      </c>
      <c r="D13985" s="161" t="s">
        <v>74</v>
      </c>
      <c r="E13985" s="135">
        <f t="shared" si="62"/>
        <v>18</v>
      </c>
      <c r="F13985" s="134" t="s">
        <v>3807</v>
      </c>
      <c r="G13985" s="63" t="str">
        <f>VLOOKUP(C13985, 'Class Def. - General Data'!$C$20:$C$1000,1,false)</f>
        <v>ZSI1_TILE</v>
      </c>
      <c r="H13985" s="63" t="str">
        <f>IFERROR(__xludf.DUMMYFUNCTION("VLOOKUP(F13985, IMPORTRANGE(""https://docs.google.com/spreadsheets/d/1Lhp9OU0JdFf_VYSMzH5lBcEaU4o8teT1piV-SNzShjg/edit?gid=554141278#gid=554141278"", ""'Char Def. - Attributes'!C20:C2242""), 1,false)"),"ALT_UOM2_SIPI")</f>
        <v>ALT_UOM2_SIPI</v>
      </c>
      <c r="I13985" s="136"/>
      <c r="R13985" s="63" t="str">
        <f t="shared" si="60"/>
        <v>ZSI1_TILEALT_UOM2_SIPI</v>
      </c>
    </row>
    <row r="13986" ht="15.75" customHeight="1">
      <c r="B13986" s="63">
        <f t="shared" si="1"/>
        <v>9</v>
      </c>
      <c r="C13986" s="135" t="s">
        <v>474</v>
      </c>
      <c r="D13986" s="161" t="s">
        <v>74</v>
      </c>
      <c r="E13986" s="135">
        <f t="shared" si="62"/>
        <v>19</v>
      </c>
      <c r="F13986" s="134" t="s">
        <v>3808</v>
      </c>
      <c r="G13986" s="63" t="str">
        <f>VLOOKUP(C13986, 'Class Def. - General Data'!$C$20:$C$1000,1,false)</f>
        <v>ZSI1_TILE</v>
      </c>
      <c r="H13986" s="63" t="str">
        <f>IFERROR(__xludf.DUMMYFUNCTION("VLOOKUP(F13986, IMPORTRANGE(""https://docs.google.com/spreadsheets/d/1Lhp9OU0JdFf_VYSMzH5lBcEaU4o8teT1piV-SNzShjg/edit?gid=554141278#gid=554141278"", ""'Char Def. - Attributes'!C20:C2242""), 1,false)"),"ALT_DENUM_UOM2")</f>
        <v>ALT_DENUM_UOM2</v>
      </c>
      <c r="I13986" s="136"/>
      <c r="R13986" s="63" t="str">
        <f t="shared" si="60"/>
        <v>ZSI1_TILEALT_DENUM_UOM2</v>
      </c>
    </row>
    <row r="13987" ht="15.75" customHeight="1">
      <c r="B13987" s="63">
        <f t="shared" si="1"/>
        <v>9</v>
      </c>
      <c r="C13987" s="135" t="s">
        <v>474</v>
      </c>
      <c r="D13987" s="161" t="s">
        <v>74</v>
      </c>
      <c r="E13987" s="135">
        <f t="shared" si="62"/>
        <v>20</v>
      </c>
      <c r="F13987" s="134" t="s">
        <v>3809</v>
      </c>
      <c r="G13987" s="63" t="str">
        <f>VLOOKUP(C13987, 'Class Def. - General Data'!$C$20:$C$1000,1,false)</f>
        <v>ZSI1_TILE</v>
      </c>
      <c r="H13987" s="63" t="str">
        <f>IFERROR(__xludf.DUMMYFUNCTION("VLOOKUP(F13987, IMPORTRANGE(""https://docs.google.com/spreadsheets/d/1Lhp9OU0JdFf_VYSMzH5lBcEaU4o8teT1piV-SNzShjg/edit?gid=554141278#gid=554141278"", ""'Char Def. - Attributes'!C20:C2242""), 1,false)"),"ALT_NUM_UOM2")</f>
        <v>ALT_NUM_UOM2</v>
      </c>
      <c r="I13987" s="136"/>
      <c r="R13987" s="63" t="str">
        <f t="shared" si="60"/>
        <v>ZSI1_TILEALT_NUM_UOM2</v>
      </c>
    </row>
    <row r="13988" ht="15.75" customHeight="1">
      <c r="B13988" s="63">
        <f t="shared" si="1"/>
        <v>9</v>
      </c>
      <c r="C13988" s="135" t="s">
        <v>474</v>
      </c>
      <c r="D13988" s="161" t="s">
        <v>74</v>
      </c>
      <c r="E13988" s="135">
        <f t="shared" si="62"/>
        <v>21</v>
      </c>
      <c r="F13988" s="134" t="s">
        <v>3810</v>
      </c>
      <c r="G13988" s="63" t="str">
        <f>VLOOKUP(C13988, 'Class Def. - General Data'!$C$20:$C$1000,1,false)</f>
        <v>ZSI1_TILE</v>
      </c>
      <c r="H13988" s="63" t="str">
        <f>IFERROR(__xludf.DUMMYFUNCTION("VLOOKUP(F13988, IMPORTRANGE(""https://docs.google.com/spreadsheets/d/1Lhp9OU0JdFf_VYSMzH5lBcEaU4o8teT1piV-SNzShjg/edit?gid=554141278#gid=554141278"", ""'Char Def. - Attributes'!C20:C2242""), 1,false)"),"ALT_UOM3_SIPI")</f>
        <v>ALT_UOM3_SIPI</v>
      </c>
      <c r="I13988" s="136"/>
      <c r="R13988" s="63" t="str">
        <f t="shared" si="60"/>
        <v>ZSI1_TILEALT_UOM3_SIPI</v>
      </c>
    </row>
    <row r="13989" ht="15.75" customHeight="1">
      <c r="B13989" s="63">
        <f t="shared" si="1"/>
        <v>9</v>
      </c>
      <c r="C13989" s="135" t="s">
        <v>474</v>
      </c>
      <c r="D13989" s="161" t="s">
        <v>74</v>
      </c>
      <c r="E13989" s="135">
        <f t="shared" si="62"/>
        <v>22</v>
      </c>
      <c r="F13989" s="134" t="s">
        <v>3811</v>
      </c>
      <c r="G13989" s="63" t="str">
        <f>VLOOKUP(C13989, 'Class Def. - General Data'!$C$20:$C$1000,1,false)</f>
        <v>ZSI1_TILE</v>
      </c>
      <c r="H13989" s="63" t="str">
        <f>IFERROR(__xludf.DUMMYFUNCTION("VLOOKUP(F13989, IMPORTRANGE(""https://docs.google.com/spreadsheets/d/1Lhp9OU0JdFf_VYSMzH5lBcEaU4o8teT1piV-SNzShjg/edit?gid=554141278#gid=554141278"", ""'Char Def. - Attributes'!C20:C2242""), 1,false)"),"ALT_DENUM_UOM3")</f>
        <v>ALT_DENUM_UOM3</v>
      </c>
      <c r="I13989" s="136"/>
      <c r="R13989" s="63" t="str">
        <f t="shared" si="60"/>
        <v>ZSI1_TILEALT_DENUM_UOM3</v>
      </c>
    </row>
    <row r="13990" ht="15.75" customHeight="1">
      <c r="B13990" s="63">
        <f t="shared" si="1"/>
        <v>9</v>
      </c>
      <c r="C13990" s="135" t="s">
        <v>474</v>
      </c>
      <c r="D13990" s="161" t="s">
        <v>74</v>
      </c>
      <c r="E13990" s="135">
        <f t="shared" si="62"/>
        <v>23</v>
      </c>
      <c r="F13990" s="134" t="s">
        <v>3812</v>
      </c>
      <c r="G13990" s="63" t="str">
        <f>VLOOKUP(C13990, 'Class Def. - General Data'!$C$20:$C$1000,1,false)</f>
        <v>ZSI1_TILE</v>
      </c>
      <c r="H13990" s="63" t="str">
        <f>IFERROR(__xludf.DUMMYFUNCTION("VLOOKUP(F13990, IMPORTRANGE(""https://docs.google.com/spreadsheets/d/1Lhp9OU0JdFf_VYSMzH5lBcEaU4o8teT1piV-SNzShjg/edit?gid=554141278#gid=554141278"", ""'Char Def. - Attributes'!C20:C2242""), 1,false)"),"ALT_NUM_UOM3")</f>
        <v>ALT_NUM_UOM3</v>
      </c>
      <c r="I13990" s="136"/>
      <c r="R13990" s="63" t="str">
        <f t="shared" si="60"/>
        <v>ZSI1_TILEALT_NUM_UOM3</v>
      </c>
    </row>
    <row r="13991" ht="15.75" customHeight="1">
      <c r="B13991" s="63">
        <f t="shared" si="1"/>
        <v>9</v>
      </c>
      <c r="C13991" s="135" t="s">
        <v>474</v>
      </c>
      <c r="D13991" s="161" t="s">
        <v>74</v>
      </c>
      <c r="E13991" s="135">
        <f t="shared" si="62"/>
        <v>24</v>
      </c>
      <c r="F13991" s="134" t="s">
        <v>3813</v>
      </c>
      <c r="G13991" s="63" t="str">
        <f>VLOOKUP(C13991, 'Class Def. - General Data'!$C$20:$C$1000,1,false)</f>
        <v>ZSI1_TILE</v>
      </c>
      <c r="H13991" s="63" t="str">
        <f>IFERROR(__xludf.DUMMYFUNCTION("VLOOKUP(F13991, IMPORTRANGE(""https://docs.google.com/spreadsheets/d/1Lhp9OU0JdFf_VYSMzH5lBcEaU4o8teT1piV-SNzShjg/edit?gid=554141278#gid=554141278"", ""'Char Def. - Attributes'!C20:C2242""), 1,false)"),"ALT_UOM4_SIPI")</f>
        <v>ALT_UOM4_SIPI</v>
      </c>
      <c r="I13991" s="136"/>
      <c r="R13991" s="63" t="str">
        <f t="shared" si="60"/>
        <v>ZSI1_TILEALT_UOM4_SIPI</v>
      </c>
    </row>
    <row r="13992" ht="15.75" customHeight="1">
      <c r="B13992" s="63">
        <f t="shared" si="1"/>
        <v>9</v>
      </c>
      <c r="C13992" s="135" t="s">
        <v>474</v>
      </c>
      <c r="D13992" s="161" t="s">
        <v>74</v>
      </c>
      <c r="E13992" s="135">
        <f t="shared" si="62"/>
        <v>25</v>
      </c>
      <c r="F13992" s="134" t="s">
        <v>3814</v>
      </c>
      <c r="G13992" s="63" t="str">
        <f>VLOOKUP(C13992, 'Class Def. - General Data'!$C$20:$C$1000,1,false)</f>
        <v>ZSI1_TILE</v>
      </c>
      <c r="H13992" s="63" t="str">
        <f>IFERROR(__xludf.DUMMYFUNCTION("VLOOKUP(F13992, IMPORTRANGE(""https://docs.google.com/spreadsheets/d/1Lhp9OU0JdFf_VYSMzH5lBcEaU4o8teT1piV-SNzShjg/edit?gid=554141278#gid=554141278"", ""'Char Def. - Attributes'!C20:C2242""), 1,false)"),"ALT_DENUM_UOM4")</f>
        <v>ALT_DENUM_UOM4</v>
      </c>
      <c r="I13992" s="136"/>
      <c r="R13992" s="63" t="str">
        <f t="shared" si="60"/>
        <v>ZSI1_TILEALT_DENUM_UOM4</v>
      </c>
    </row>
    <row r="13993" ht="15.75" customHeight="1">
      <c r="B13993" s="63">
        <f t="shared" si="1"/>
        <v>9</v>
      </c>
      <c r="C13993" s="135" t="s">
        <v>474</v>
      </c>
      <c r="D13993" s="161" t="s">
        <v>74</v>
      </c>
      <c r="E13993" s="135">
        <f t="shared" si="62"/>
        <v>26</v>
      </c>
      <c r="F13993" s="134" t="s">
        <v>3815</v>
      </c>
      <c r="G13993" s="63" t="str">
        <f>VLOOKUP(C13993, 'Class Def. - General Data'!$C$20:$C$1000,1,false)</f>
        <v>ZSI1_TILE</v>
      </c>
      <c r="H13993" s="63" t="str">
        <f>IFERROR(__xludf.DUMMYFUNCTION("VLOOKUP(F13993, IMPORTRANGE(""https://docs.google.com/spreadsheets/d/1Lhp9OU0JdFf_VYSMzH5lBcEaU4o8teT1piV-SNzShjg/edit?gid=554141278#gid=554141278"", ""'Char Def. - Attributes'!C20:C2242""), 1,false)"),"ALT_NUM_UOM4")</f>
        <v>ALT_NUM_UOM4</v>
      </c>
      <c r="I13993" s="136"/>
      <c r="R13993" s="63" t="str">
        <f t="shared" si="60"/>
        <v>ZSI1_TILEALT_NUM_UOM4</v>
      </c>
    </row>
    <row r="13994" ht="15.75" customHeight="1">
      <c r="B13994" s="63">
        <f t="shared" si="1"/>
        <v>9</v>
      </c>
      <c r="C13994" s="135" t="s">
        <v>474</v>
      </c>
      <c r="D13994" s="161" t="s">
        <v>74</v>
      </c>
      <c r="E13994" s="135">
        <f t="shared" si="62"/>
        <v>27</v>
      </c>
      <c r="F13994" s="134" t="s">
        <v>3816</v>
      </c>
      <c r="G13994" s="63" t="str">
        <f>VLOOKUP(C13994, 'Class Def. - General Data'!$C$20:$C$1000,1,false)</f>
        <v>ZSI1_TILE</v>
      </c>
      <c r="H13994" s="63" t="str">
        <f>IFERROR(__xludf.DUMMYFUNCTION("VLOOKUP(F13994, IMPORTRANGE(""https://docs.google.com/spreadsheets/d/1Lhp9OU0JdFf_VYSMzH5lBcEaU4o8teT1piV-SNzShjg/edit?gid=554141278#gid=554141278"", ""'Char Def. - Attributes'!C20:C2242""), 1,false)"),"ALT_UOM5_SIPI")</f>
        <v>ALT_UOM5_SIPI</v>
      </c>
      <c r="I13994" s="136"/>
      <c r="R13994" s="63" t="str">
        <f t="shared" si="60"/>
        <v>ZSI1_TILEALT_UOM5_SIPI</v>
      </c>
    </row>
    <row r="13995" ht="15.75" customHeight="1">
      <c r="B13995" s="63">
        <f t="shared" si="1"/>
        <v>9</v>
      </c>
      <c r="C13995" s="135" t="s">
        <v>474</v>
      </c>
      <c r="D13995" s="161" t="s">
        <v>74</v>
      </c>
      <c r="E13995" s="135">
        <f t="shared" si="62"/>
        <v>28</v>
      </c>
      <c r="F13995" s="134" t="s">
        <v>3817</v>
      </c>
      <c r="G13995" s="63" t="str">
        <f>VLOOKUP(C13995, 'Class Def. - General Data'!$C$20:$C$1000,1,false)</f>
        <v>ZSI1_TILE</v>
      </c>
      <c r="H13995" s="63" t="str">
        <f>IFERROR(__xludf.DUMMYFUNCTION("VLOOKUP(F13995, IMPORTRANGE(""https://docs.google.com/spreadsheets/d/1Lhp9OU0JdFf_VYSMzH5lBcEaU4o8teT1piV-SNzShjg/edit?gid=554141278#gid=554141278"", ""'Char Def. - Attributes'!C20:C2242""), 1,false)"),"ALT_DENUM_UOM5")</f>
        <v>ALT_DENUM_UOM5</v>
      </c>
      <c r="I13995" s="136"/>
      <c r="R13995" s="63" t="str">
        <f t="shared" si="60"/>
        <v>ZSI1_TILEALT_DENUM_UOM5</v>
      </c>
    </row>
    <row r="13996" ht="15.75" customHeight="1">
      <c r="B13996" s="63">
        <f t="shared" si="1"/>
        <v>9</v>
      </c>
      <c r="C13996" s="135" t="s">
        <v>474</v>
      </c>
      <c r="D13996" s="161" t="s">
        <v>74</v>
      </c>
      <c r="E13996" s="135">
        <f t="shared" si="62"/>
        <v>29</v>
      </c>
      <c r="F13996" s="134" t="s">
        <v>3818</v>
      </c>
      <c r="G13996" s="63" t="str">
        <f>VLOOKUP(C13996, 'Class Def. - General Data'!$C$20:$C$1000,1,false)</f>
        <v>ZSI1_TILE</v>
      </c>
      <c r="H13996" s="63" t="str">
        <f>IFERROR(__xludf.DUMMYFUNCTION("VLOOKUP(F13996, IMPORTRANGE(""https://docs.google.com/spreadsheets/d/1Lhp9OU0JdFf_VYSMzH5lBcEaU4o8teT1piV-SNzShjg/edit?gid=554141278#gid=554141278"", ""'Char Def. - Attributes'!C20:C2242""), 1,false)"),"ALT_NUM_UOM5")</f>
        <v>ALT_NUM_UOM5</v>
      </c>
      <c r="I13996" s="136"/>
      <c r="R13996" s="63" t="str">
        <f t="shared" si="60"/>
        <v>ZSI1_TILEALT_NUM_UOM5</v>
      </c>
    </row>
    <row r="13997" ht="15.75" customHeight="1">
      <c r="B13997" s="63">
        <f t="shared" si="1"/>
        <v>16</v>
      </c>
      <c r="C13997" s="135" t="s">
        <v>505</v>
      </c>
      <c r="D13997" s="161" t="s">
        <v>74</v>
      </c>
      <c r="E13997" s="135">
        <f t="shared" si="62"/>
        <v>1</v>
      </c>
      <c r="F13997" s="134" t="s">
        <v>5503</v>
      </c>
      <c r="G13997" s="63" t="str">
        <f>VLOOKUP(C13997, 'Class Def. - General Data'!$C$20:$C$1000,1,false)</f>
        <v>ZSI1_TIMING_BELT</v>
      </c>
      <c r="H13997" s="63" t="str">
        <f>IFERROR(__xludf.DUMMYFUNCTION("VLOOKUP(F13997, IMPORTRANGE(""https://docs.google.com/spreadsheets/d/1Lhp9OU0JdFf_VYSMzH5lBcEaU4o8teT1piV-SNzShjg/edit?gid=554141278#gid=554141278"", ""'Char Def. - Attributes'!C20:C2242""), 1,false)"),"ITEM_NAME_TIMING_BELT")</f>
        <v>ITEM_NAME_TIMING_BELT</v>
      </c>
      <c r="I13997" s="136"/>
      <c r="R13997" s="63" t="str">
        <f t="shared" si="60"/>
        <v>ZSI1_TIMING_BELTITEM_NAME_TIMING_BELT</v>
      </c>
    </row>
    <row r="13998" ht="15.75" customHeight="1">
      <c r="B13998" s="63">
        <f t="shared" si="1"/>
        <v>16</v>
      </c>
      <c r="C13998" s="135" t="s">
        <v>505</v>
      </c>
      <c r="D13998" s="161" t="s">
        <v>74</v>
      </c>
      <c r="E13998" s="135">
        <f t="shared" si="62"/>
        <v>2</v>
      </c>
      <c r="F13998" s="134" t="s">
        <v>5504</v>
      </c>
      <c r="G13998" s="63" t="str">
        <f>VLOOKUP(C13998, 'Class Def. - General Data'!$C$20:$C$1000,1,false)</f>
        <v>ZSI1_TIMING_BELT</v>
      </c>
      <c r="H13998" s="63" t="str">
        <f>IFERROR(__xludf.DUMMYFUNCTION("VLOOKUP(F13998, IMPORTRANGE(""https://docs.google.com/spreadsheets/d/1Lhp9OU0JdFf_VYSMzH5lBcEaU4o8teT1piV-SNzShjg/edit?gid=554141278#gid=554141278"", ""'Char Def. - Attributes'!C20:C2242""), 1,false)"),"BELT_NUMBER_TIMING_BELT")</f>
        <v>BELT_NUMBER_TIMING_BELT</v>
      </c>
      <c r="I13998" s="136"/>
      <c r="R13998" s="63" t="str">
        <f t="shared" si="60"/>
        <v>ZSI1_TIMING_BELTBELT_NUMBER_TIMING_BELT</v>
      </c>
    </row>
    <row r="13999" ht="15.75" customHeight="1">
      <c r="B13999" s="63">
        <f t="shared" si="1"/>
        <v>16</v>
      </c>
      <c r="C13999" s="135" t="s">
        <v>505</v>
      </c>
      <c r="D13999" s="161" t="s">
        <v>74</v>
      </c>
      <c r="E13999" s="135">
        <f t="shared" si="62"/>
        <v>3</v>
      </c>
      <c r="F13999" s="134" t="s">
        <v>3782</v>
      </c>
      <c r="G13999" s="63" t="str">
        <f>VLOOKUP(C13999, 'Class Def. - General Data'!$C$20:$C$1000,1,false)</f>
        <v>ZSI1_TIMING_BELT</v>
      </c>
      <c r="H13999" s="63" t="str">
        <f>IFERROR(__xludf.DUMMYFUNCTION("VLOOKUP(F13999, IMPORTRANGE(""https://docs.google.com/spreadsheets/d/1Lhp9OU0JdFf_VYSMzH5lBcEaU4o8teT1piV-SNzShjg/edit?gid=554141278#gid=554141278"", ""'Char Def. - Attributes'!C20:C2242""), 1,false)"),"BRAND_EXTERNAL")</f>
        <v>BRAND_EXTERNAL</v>
      </c>
      <c r="I13999" s="136"/>
      <c r="R13999" s="63" t="str">
        <f t="shared" si="60"/>
        <v>ZSI1_TIMING_BELTBRAND_EXTERNAL</v>
      </c>
    </row>
    <row r="14000" ht="15.75" customHeight="1">
      <c r="B14000" s="63">
        <f t="shared" si="1"/>
        <v>16</v>
      </c>
      <c r="C14000" s="135" t="s">
        <v>505</v>
      </c>
      <c r="D14000" s="161" t="s">
        <v>74</v>
      </c>
      <c r="E14000" s="135">
        <f t="shared" si="62"/>
        <v>4</v>
      </c>
      <c r="F14000" s="134" t="s">
        <v>4053</v>
      </c>
      <c r="G14000" s="63" t="str">
        <f>VLOOKUP(C14000, 'Class Def. - General Data'!$C$20:$C$1000,1,false)</f>
        <v>ZSI1_TIMING_BELT</v>
      </c>
      <c r="H14000" s="63" t="str">
        <f>IFERROR(__xludf.DUMMYFUNCTION("VLOOKUP(F14000, IMPORTRANGE(""https://docs.google.com/spreadsheets/d/1Lhp9OU0JdFf_VYSMzH5lBcEaU4o8teT1piV-SNzShjg/edit?gid=554141278#gid=554141278"", ""'Char Def. - Attributes'!C20:C2242""), 1,false)"),"MAINTENANCE_ORDER_TYPE")</f>
        <v>MAINTENANCE_ORDER_TYPE</v>
      </c>
      <c r="I14000" s="136"/>
      <c r="R14000" s="63" t="str">
        <f t="shared" si="60"/>
        <v>ZSI1_TIMING_BELTMAINTENANCE_ORDER_TYPE</v>
      </c>
    </row>
    <row r="14001" ht="15.75" customHeight="1">
      <c r="B14001" s="63">
        <f t="shared" si="1"/>
        <v>16</v>
      </c>
      <c r="C14001" s="135" t="s">
        <v>505</v>
      </c>
      <c r="D14001" s="161" t="s">
        <v>74</v>
      </c>
      <c r="E14001" s="135">
        <f t="shared" si="62"/>
        <v>5</v>
      </c>
      <c r="F14001" s="134" t="s">
        <v>3585</v>
      </c>
      <c r="G14001" s="63" t="str">
        <f>VLOOKUP(C14001, 'Class Def. - General Data'!$C$20:$C$1000,1,false)</f>
        <v>ZSI1_TIMING_BELT</v>
      </c>
      <c r="H14001" s="63" t="str">
        <f>IFERROR(__xludf.DUMMYFUNCTION("VLOOKUP(F14001, IMPORTRANGE(""https://docs.google.com/spreadsheets/d/1Lhp9OU0JdFf_VYSMzH5lBcEaU4o8teT1piV-SNzShjg/edit?gid=554141278#gid=554141278"", ""'Char Def. - Attributes'!C20:C2242""), 1,false)"),"HS_CODE")</f>
        <v>HS_CODE</v>
      </c>
      <c r="I14001" s="136"/>
      <c r="R14001" s="63" t="str">
        <f t="shared" si="60"/>
        <v>ZSI1_TIMING_BELTHS_CODE</v>
      </c>
    </row>
    <row r="14002" ht="15.75" customHeight="1">
      <c r="B14002" s="63">
        <f t="shared" si="1"/>
        <v>16</v>
      </c>
      <c r="C14002" s="135" t="s">
        <v>505</v>
      </c>
      <c r="D14002" s="161" t="s">
        <v>74</v>
      </c>
      <c r="E14002" s="135">
        <f t="shared" si="62"/>
        <v>6</v>
      </c>
      <c r="F14002" s="134" t="s">
        <v>3587</v>
      </c>
      <c r="G14002" s="63" t="str">
        <f>VLOOKUP(C14002, 'Class Def. - General Data'!$C$20:$C$1000,1,false)</f>
        <v>ZSI1_TIMING_BELT</v>
      </c>
      <c r="H14002" s="63" t="str">
        <f>IFERROR(__xludf.DUMMYFUNCTION("VLOOKUP(F14002, IMPORTRANGE(""https://docs.google.com/spreadsheets/d/1Lhp9OU0JdFf_VYSMzH5lBcEaU4o8teT1piV-SNzShjg/edit?gid=554141278#gid=554141278"", ""'Char Def. - Attributes'!C20:C2242""), 1,false)"),"PLANT_BUY")</f>
        <v>PLANT_BUY</v>
      </c>
      <c r="I14002" s="136"/>
      <c r="R14002" s="63" t="str">
        <f t="shared" si="60"/>
        <v>ZSI1_TIMING_BELTPLANT_BUY</v>
      </c>
    </row>
    <row r="14003" ht="15.75" customHeight="1">
      <c r="B14003" s="63">
        <f t="shared" si="1"/>
        <v>16</v>
      </c>
      <c r="C14003" s="135" t="s">
        <v>505</v>
      </c>
      <c r="D14003" s="161" t="s">
        <v>74</v>
      </c>
      <c r="E14003" s="135">
        <f t="shared" si="62"/>
        <v>7</v>
      </c>
      <c r="F14003" s="134" t="s">
        <v>5505</v>
      </c>
      <c r="G14003" s="63" t="str">
        <f>VLOOKUP(C14003, 'Class Def. - General Data'!$C$20:$C$1000,1,false)</f>
        <v>ZSI1_TIMING_BELT</v>
      </c>
      <c r="H14003" s="63" t="str">
        <f>IFERROR(__xludf.DUMMYFUNCTION("VLOOKUP(F14003, IMPORTRANGE(""https://docs.google.com/spreadsheets/d/1Lhp9OU0JdFf_VYSMzH5lBcEaU4o8teT1piV-SNzShjg/edit?gid=554141278#gid=554141278"", ""'Char Def. - Attributes'!C20:C2242""), 1,false)"),"BASE_UOM_TIMING_BELT")</f>
        <v>BASE_UOM_TIMING_BELT</v>
      </c>
      <c r="I14003" s="136"/>
      <c r="R14003" s="63" t="str">
        <f t="shared" si="60"/>
        <v>ZSI1_TIMING_BELTBASE_UOM_TIMING_BELT</v>
      </c>
    </row>
    <row r="14004" ht="15.75" customHeight="1">
      <c r="B14004" s="63">
        <f t="shared" si="1"/>
        <v>16</v>
      </c>
      <c r="C14004" s="135" t="s">
        <v>505</v>
      </c>
      <c r="D14004" s="161" t="s">
        <v>74</v>
      </c>
      <c r="E14004" s="135">
        <f t="shared" si="62"/>
        <v>8</v>
      </c>
      <c r="F14004" s="134" t="s">
        <v>5506</v>
      </c>
      <c r="G14004" s="63" t="str">
        <f>VLOOKUP(C14004, 'Class Def. - General Data'!$C$20:$C$1000,1,false)</f>
        <v>ZSI1_TIMING_BELT</v>
      </c>
      <c r="H14004" s="63" t="str">
        <f>IFERROR(__xludf.DUMMYFUNCTION("VLOOKUP(F14004, IMPORTRANGE(""https://docs.google.com/spreadsheets/d/1Lhp9OU0JdFf_VYSMzH5lBcEaU4o8teT1piV-SNzShjg/edit?gid=554141278#gid=554141278"", ""'Char Def. - Attributes'!C20:C2242""), 1,false)"),"ORDER_UNIT_TIMING_BELT")</f>
        <v>ORDER_UNIT_TIMING_BELT</v>
      </c>
      <c r="I14004" s="136"/>
      <c r="R14004" s="63" t="str">
        <f t="shared" si="60"/>
        <v>ZSI1_TIMING_BELTORDER_UNIT_TIMING_BELT</v>
      </c>
    </row>
    <row r="14005" ht="15.75" customHeight="1">
      <c r="B14005" s="63">
        <f t="shared" si="1"/>
        <v>16</v>
      </c>
      <c r="C14005" s="135" t="s">
        <v>505</v>
      </c>
      <c r="D14005" s="161" t="s">
        <v>74</v>
      </c>
      <c r="E14005" s="135">
        <f t="shared" si="62"/>
        <v>9</v>
      </c>
      <c r="F14005" s="134" t="s">
        <v>4056</v>
      </c>
      <c r="G14005" s="63" t="str">
        <f>VLOOKUP(C14005, 'Class Def. - General Data'!$C$20:$C$1000,1,false)</f>
        <v>ZSI1_TIMING_BELT</v>
      </c>
      <c r="H14005" s="63" t="str">
        <f>IFERROR(__xludf.DUMMYFUNCTION("VLOOKUP(F14005, IMPORTRANGE(""https://docs.google.com/spreadsheets/d/1Lhp9OU0JdFf_VYSMzH5lBcEaU4o8teT1piV-SNzShjg/edit?gid=554141278#gid=554141278"", ""'Char Def. - Attributes'!C20:C2242""), 1,false)"),"GROSS_WEIGHT_OPT")</f>
        <v>GROSS_WEIGHT_OPT</v>
      </c>
      <c r="I14005" s="136"/>
      <c r="R14005" s="63" t="str">
        <f t="shared" si="60"/>
        <v>ZSI1_TIMING_BELTGROSS_WEIGHT_OPT</v>
      </c>
    </row>
    <row r="14006" ht="15.75" customHeight="1">
      <c r="B14006" s="63">
        <f t="shared" si="1"/>
        <v>16</v>
      </c>
      <c r="C14006" s="135" t="s">
        <v>505</v>
      </c>
      <c r="D14006" s="161" t="s">
        <v>74</v>
      </c>
      <c r="E14006" s="135">
        <f t="shared" si="62"/>
        <v>10</v>
      </c>
      <c r="F14006" s="134" t="s">
        <v>4057</v>
      </c>
      <c r="G14006" s="63" t="str">
        <f>VLOOKUP(C14006, 'Class Def. - General Data'!$C$20:$C$1000,1,false)</f>
        <v>ZSI1_TIMING_BELT</v>
      </c>
      <c r="H14006" s="63" t="str">
        <f>IFERROR(__xludf.DUMMYFUNCTION("VLOOKUP(F14006, IMPORTRANGE(""https://docs.google.com/spreadsheets/d/1Lhp9OU0JdFf_VYSMzH5lBcEaU4o8teT1piV-SNzShjg/edit?gid=554141278#gid=554141278"", ""'Char Def. - Attributes'!C20:C2242""), 1,false)"),"NET_WEIGHT_OPT")</f>
        <v>NET_WEIGHT_OPT</v>
      </c>
      <c r="I14006" s="136"/>
      <c r="R14006" s="63" t="str">
        <f t="shared" si="60"/>
        <v>ZSI1_TIMING_BELTNET_WEIGHT_OPT</v>
      </c>
    </row>
    <row r="14007" ht="15.75" customHeight="1">
      <c r="B14007" s="63">
        <f t="shared" si="1"/>
        <v>16</v>
      </c>
      <c r="C14007" s="135" t="s">
        <v>505</v>
      </c>
      <c r="D14007" s="161" t="s">
        <v>74</v>
      </c>
      <c r="E14007" s="135">
        <f t="shared" si="62"/>
        <v>11</v>
      </c>
      <c r="F14007" s="134" t="s">
        <v>4058</v>
      </c>
      <c r="G14007" s="63" t="str">
        <f>VLOOKUP(C14007, 'Class Def. - General Data'!$C$20:$C$1000,1,false)</f>
        <v>ZSI1_TIMING_BELT</v>
      </c>
      <c r="H14007" s="63" t="str">
        <f>IFERROR(__xludf.DUMMYFUNCTION("VLOOKUP(F14007, IMPORTRANGE(""https://docs.google.com/spreadsheets/d/1Lhp9OU0JdFf_VYSMzH5lBcEaU4o8teT1piV-SNzShjg/edit?gid=554141278#gid=554141278"", ""'Char Def. - Attributes'!C20:C2242""), 1,false)"),"WEIGHT_UNIT_SI")</f>
        <v>WEIGHT_UNIT_SI</v>
      </c>
      <c r="I14007" s="136"/>
      <c r="R14007" s="63" t="str">
        <f t="shared" si="60"/>
        <v>ZSI1_TIMING_BELTWEIGHT_UNIT_SI</v>
      </c>
    </row>
    <row r="14008" ht="15.75" customHeight="1">
      <c r="B14008" s="63">
        <f t="shared" si="1"/>
        <v>16</v>
      </c>
      <c r="C14008" s="135" t="s">
        <v>505</v>
      </c>
      <c r="D14008" s="161" t="s">
        <v>74</v>
      </c>
      <c r="E14008" s="135">
        <f t="shared" si="62"/>
        <v>12</v>
      </c>
      <c r="F14008" s="134" t="s">
        <v>3877</v>
      </c>
      <c r="G14008" s="63" t="str">
        <f>VLOOKUP(C14008, 'Class Def. - General Data'!$C$20:$C$1000,1,false)</f>
        <v>ZSI1_TIMING_BELT</v>
      </c>
      <c r="H14008" s="63" t="str">
        <f>IFERROR(__xludf.DUMMYFUNCTION("VLOOKUP(F14008, IMPORTRANGE(""https://docs.google.com/spreadsheets/d/1Lhp9OU0JdFf_VYSMzH5lBcEaU4o8teT1piV-SNzShjg/edit?gid=554141278#gid=554141278"", ""'Char Def. - Attributes'!C20:C2242""), 1,false)"),"VOLUME_OPT")</f>
        <v>VOLUME_OPT</v>
      </c>
      <c r="I14008" s="136"/>
      <c r="R14008" s="63" t="str">
        <f t="shared" si="60"/>
        <v>ZSI1_TIMING_BELTVOLUME_OPT</v>
      </c>
    </row>
    <row r="14009" ht="15.75" customHeight="1">
      <c r="B14009" s="63">
        <f t="shared" si="1"/>
        <v>16</v>
      </c>
      <c r="C14009" s="135" t="s">
        <v>505</v>
      </c>
      <c r="D14009" s="161" t="s">
        <v>74</v>
      </c>
      <c r="E14009" s="135">
        <f t="shared" si="62"/>
        <v>13</v>
      </c>
      <c r="F14009" s="134" t="s">
        <v>4059</v>
      </c>
      <c r="G14009" s="63" t="str">
        <f>VLOOKUP(C14009, 'Class Def. - General Data'!$C$20:$C$1000,1,false)</f>
        <v>ZSI1_TIMING_BELT</v>
      </c>
      <c r="H14009" s="63" t="str">
        <f>IFERROR(__xludf.DUMMYFUNCTION("VLOOKUP(F14009, IMPORTRANGE(""https://docs.google.com/spreadsheets/d/1Lhp9OU0JdFf_VYSMzH5lBcEaU4o8teT1piV-SNzShjg/edit?gid=554141278#gid=554141278"", ""'Char Def. - Attributes'!C20:C2242""), 1,false)"),"VOLUME_UNIT_SI")</f>
        <v>VOLUME_UNIT_SI</v>
      </c>
      <c r="I14009" s="136"/>
      <c r="R14009" s="63" t="str">
        <f t="shared" si="60"/>
        <v>ZSI1_TIMING_BELTVOLUME_UNIT_SI</v>
      </c>
    </row>
    <row r="14010" ht="15.75" customHeight="1">
      <c r="B14010" s="63">
        <f t="shared" si="1"/>
        <v>16</v>
      </c>
      <c r="C14010" s="135" t="s">
        <v>505</v>
      </c>
      <c r="D14010" s="161" t="s">
        <v>74</v>
      </c>
      <c r="E14010" s="135">
        <f t="shared" si="62"/>
        <v>14</v>
      </c>
      <c r="F14010" s="134" t="s">
        <v>3804</v>
      </c>
      <c r="G14010" s="63" t="str">
        <f>VLOOKUP(C14010, 'Class Def. - General Data'!$C$20:$C$1000,1,false)</f>
        <v>ZSI1_TIMING_BELT</v>
      </c>
      <c r="H14010" s="63" t="str">
        <f>IFERROR(__xludf.DUMMYFUNCTION("VLOOKUP(F14010, IMPORTRANGE(""https://docs.google.com/spreadsheets/d/1Lhp9OU0JdFf_VYSMzH5lBcEaU4o8teT1piV-SNzShjg/edit?gid=554141278#gid=554141278"", ""'Char Def. - Attributes'!C20:C2242""), 1,false)"),"ALT_UOM1_SIPI")</f>
        <v>ALT_UOM1_SIPI</v>
      </c>
      <c r="I14010" s="136"/>
      <c r="R14010" s="63" t="str">
        <f t="shared" si="60"/>
        <v>ZSI1_TIMING_BELTALT_UOM1_SIPI</v>
      </c>
    </row>
    <row r="14011" ht="15.75" customHeight="1">
      <c r="B14011" s="63">
        <f t="shared" si="1"/>
        <v>16</v>
      </c>
      <c r="C14011" s="135" t="s">
        <v>505</v>
      </c>
      <c r="D14011" s="161" t="s">
        <v>74</v>
      </c>
      <c r="E14011" s="135">
        <f t="shared" si="62"/>
        <v>15</v>
      </c>
      <c r="F14011" s="134" t="s">
        <v>3805</v>
      </c>
      <c r="G14011" s="63" t="str">
        <f>VLOOKUP(C14011, 'Class Def. - General Data'!$C$20:$C$1000,1,false)</f>
        <v>ZSI1_TIMING_BELT</v>
      </c>
      <c r="H14011" s="63" t="str">
        <f>IFERROR(__xludf.DUMMYFUNCTION("VLOOKUP(F14011, IMPORTRANGE(""https://docs.google.com/spreadsheets/d/1Lhp9OU0JdFf_VYSMzH5lBcEaU4o8teT1piV-SNzShjg/edit?gid=554141278#gid=554141278"", ""'Char Def. - Attributes'!C20:C2242""), 1,false)"),"ALT_DENUM_UOM1")</f>
        <v>ALT_DENUM_UOM1</v>
      </c>
      <c r="I14011" s="136"/>
      <c r="R14011" s="63" t="str">
        <f t="shared" si="60"/>
        <v>ZSI1_TIMING_BELTALT_DENUM_UOM1</v>
      </c>
    </row>
    <row r="14012" ht="15.75" customHeight="1">
      <c r="B14012" s="63">
        <f t="shared" si="1"/>
        <v>16</v>
      </c>
      <c r="C14012" s="135" t="s">
        <v>505</v>
      </c>
      <c r="D14012" s="161" t="s">
        <v>74</v>
      </c>
      <c r="E14012" s="135">
        <f t="shared" si="62"/>
        <v>16</v>
      </c>
      <c r="F14012" s="134" t="s">
        <v>3806</v>
      </c>
      <c r="G14012" s="63" t="str">
        <f>VLOOKUP(C14012, 'Class Def. - General Data'!$C$20:$C$1000,1,false)</f>
        <v>ZSI1_TIMING_BELT</v>
      </c>
      <c r="H14012" s="63" t="str">
        <f>IFERROR(__xludf.DUMMYFUNCTION("VLOOKUP(F14012, IMPORTRANGE(""https://docs.google.com/spreadsheets/d/1Lhp9OU0JdFf_VYSMzH5lBcEaU4o8teT1piV-SNzShjg/edit?gid=554141278#gid=554141278"", ""'Char Def. - Attributes'!C20:C2242""), 1,false)"),"ALT_NUM_UOM1")</f>
        <v>ALT_NUM_UOM1</v>
      </c>
      <c r="I14012" s="136"/>
      <c r="R14012" s="63" t="str">
        <f t="shared" si="60"/>
        <v>ZSI1_TIMING_BELTALT_NUM_UOM1</v>
      </c>
    </row>
    <row r="14013" ht="15.75" customHeight="1">
      <c r="B14013" s="63">
        <f t="shared" si="1"/>
        <v>16</v>
      </c>
      <c r="C14013" s="135" t="s">
        <v>505</v>
      </c>
      <c r="D14013" s="161" t="s">
        <v>74</v>
      </c>
      <c r="E14013" s="135">
        <f t="shared" si="62"/>
        <v>17</v>
      </c>
      <c r="F14013" s="134" t="s">
        <v>3807</v>
      </c>
      <c r="G14013" s="63" t="str">
        <f>VLOOKUP(C14013, 'Class Def. - General Data'!$C$20:$C$1000,1,false)</f>
        <v>ZSI1_TIMING_BELT</v>
      </c>
      <c r="H14013" s="63" t="str">
        <f>IFERROR(__xludf.DUMMYFUNCTION("VLOOKUP(F14013, IMPORTRANGE(""https://docs.google.com/spreadsheets/d/1Lhp9OU0JdFf_VYSMzH5lBcEaU4o8teT1piV-SNzShjg/edit?gid=554141278#gid=554141278"", ""'Char Def. - Attributes'!C20:C2242""), 1,false)"),"ALT_UOM2_SIPI")</f>
        <v>ALT_UOM2_SIPI</v>
      </c>
      <c r="I14013" s="136"/>
      <c r="R14013" s="63" t="str">
        <f t="shared" si="60"/>
        <v>ZSI1_TIMING_BELTALT_UOM2_SIPI</v>
      </c>
    </row>
    <row r="14014" ht="15.75" customHeight="1">
      <c r="B14014" s="63">
        <f t="shared" si="1"/>
        <v>16</v>
      </c>
      <c r="C14014" s="135" t="s">
        <v>505</v>
      </c>
      <c r="D14014" s="161" t="s">
        <v>74</v>
      </c>
      <c r="E14014" s="135">
        <f t="shared" si="62"/>
        <v>18</v>
      </c>
      <c r="F14014" s="134" t="s">
        <v>3808</v>
      </c>
      <c r="G14014" s="63" t="str">
        <f>VLOOKUP(C14014, 'Class Def. - General Data'!$C$20:$C$1000,1,false)</f>
        <v>ZSI1_TIMING_BELT</v>
      </c>
      <c r="H14014" s="63" t="str">
        <f>IFERROR(__xludf.DUMMYFUNCTION("VLOOKUP(F14014, IMPORTRANGE(""https://docs.google.com/spreadsheets/d/1Lhp9OU0JdFf_VYSMzH5lBcEaU4o8teT1piV-SNzShjg/edit?gid=554141278#gid=554141278"", ""'Char Def. - Attributes'!C20:C2242""), 1,false)"),"ALT_DENUM_UOM2")</f>
        <v>ALT_DENUM_UOM2</v>
      </c>
      <c r="I14014" s="136"/>
      <c r="R14014" s="63" t="str">
        <f t="shared" si="60"/>
        <v>ZSI1_TIMING_BELTALT_DENUM_UOM2</v>
      </c>
    </row>
    <row r="14015" ht="15.75" customHeight="1">
      <c r="B14015" s="63">
        <f t="shared" si="1"/>
        <v>16</v>
      </c>
      <c r="C14015" s="135" t="s">
        <v>505</v>
      </c>
      <c r="D14015" s="161" t="s">
        <v>74</v>
      </c>
      <c r="E14015" s="135">
        <f t="shared" si="62"/>
        <v>19</v>
      </c>
      <c r="F14015" s="134" t="s">
        <v>3809</v>
      </c>
      <c r="G14015" s="63" t="str">
        <f>VLOOKUP(C14015, 'Class Def. - General Data'!$C$20:$C$1000,1,false)</f>
        <v>ZSI1_TIMING_BELT</v>
      </c>
      <c r="H14015" s="63" t="str">
        <f>IFERROR(__xludf.DUMMYFUNCTION("VLOOKUP(F14015, IMPORTRANGE(""https://docs.google.com/spreadsheets/d/1Lhp9OU0JdFf_VYSMzH5lBcEaU4o8teT1piV-SNzShjg/edit?gid=554141278#gid=554141278"", ""'Char Def. - Attributes'!C20:C2242""), 1,false)"),"ALT_NUM_UOM2")</f>
        <v>ALT_NUM_UOM2</v>
      </c>
      <c r="I14015" s="136"/>
      <c r="R14015" s="63" t="str">
        <f t="shared" si="60"/>
        <v>ZSI1_TIMING_BELTALT_NUM_UOM2</v>
      </c>
    </row>
    <row r="14016" ht="15.75" customHeight="1">
      <c r="B14016" s="63">
        <f t="shared" si="1"/>
        <v>16</v>
      </c>
      <c r="C14016" s="135" t="s">
        <v>505</v>
      </c>
      <c r="D14016" s="161" t="s">
        <v>74</v>
      </c>
      <c r="E14016" s="135">
        <f t="shared" si="62"/>
        <v>20</v>
      </c>
      <c r="F14016" s="134" t="s">
        <v>3810</v>
      </c>
      <c r="G14016" s="63" t="str">
        <f>VLOOKUP(C14016, 'Class Def. - General Data'!$C$20:$C$1000,1,false)</f>
        <v>ZSI1_TIMING_BELT</v>
      </c>
      <c r="H14016" s="63" t="str">
        <f>IFERROR(__xludf.DUMMYFUNCTION("VLOOKUP(F14016, IMPORTRANGE(""https://docs.google.com/spreadsheets/d/1Lhp9OU0JdFf_VYSMzH5lBcEaU4o8teT1piV-SNzShjg/edit?gid=554141278#gid=554141278"", ""'Char Def. - Attributes'!C20:C2242""), 1,false)"),"ALT_UOM3_SIPI")</f>
        <v>ALT_UOM3_SIPI</v>
      </c>
      <c r="I14016" s="136"/>
      <c r="R14016" s="63" t="str">
        <f t="shared" si="60"/>
        <v>ZSI1_TIMING_BELTALT_UOM3_SIPI</v>
      </c>
    </row>
    <row r="14017" ht="15.75" customHeight="1">
      <c r="B14017" s="63">
        <f t="shared" si="1"/>
        <v>16</v>
      </c>
      <c r="C14017" s="135" t="s">
        <v>505</v>
      </c>
      <c r="D14017" s="161" t="s">
        <v>74</v>
      </c>
      <c r="E14017" s="135">
        <f t="shared" si="62"/>
        <v>21</v>
      </c>
      <c r="F14017" s="134" t="s">
        <v>3811</v>
      </c>
      <c r="G14017" s="63" t="str">
        <f>VLOOKUP(C14017, 'Class Def. - General Data'!$C$20:$C$1000,1,false)</f>
        <v>ZSI1_TIMING_BELT</v>
      </c>
      <c r="H14017" s="63" t="str">
        <f>IFERROR(__xludf.DUMMYFUNCTION("VLOOKUP(F14017, IMPORTRANGE(""https://docs.google.com/spreadsheets/d/1Lhp9OU0JdFf_VYSMzH5lBcEaU4o8teT1piV-SNzShjg/edit?gid=554141278#gid=554141278"", ""'Char Def. - Attributes'!C20:C2242""), 1,false)"),"ALT_DENUM_UOM3")</f>
        <v>ALT_DENUM_UOM3</v>
      </c>
      <c r="I14017" s="136"/>
      <c r="R14017" s="63" t="str">
        <f t="shared" si="60"/>
        <v>ZSI1_TIMING_BELTALT_DENUM_UOM3</v>
      </c>
    </row>
    <row r="14018" ht="15.75" customHeight="1">
      <c r="B14018" s="63">
        <f t="shared" si="1"/>
        <v>16</v>
      </c>
      <c r="C14018" s="135" t="s">
        <v>505</v>
      </c>
      <c r="D14018" s="161" t="s">
        <v>74</v>
      </c>
      <c r="E14018" s="135">
        <f t="shared" si="62"/>
        <v>22</v>
      </c>
      <c r="F14018" s="134" t="s">
        <v>3812</v>
      </c>
      <c r="G14018" s="63" t="str">
        <f>VLOOKUP(C14018, 'Class Def. - General Data'!$C$20:$C$1000,1,false)</f>
        <v>ZSI1_TIMING_BELT</v>
      </c>
      <c r="H14018" s="63" t="str">
        <f>IFERROR(__xludf.DUMMYFUNCTION("VLOOKUP(F14018, IMPORTRANGE(""https://docs.google.com/spreadsheets/d/1Lhp9OU0JdFf_VYSMzH5lBcEaU4o8teT1piV-SNzShjg/edit?gid=554141278#gid=554141278"", ""'Char Def. - Attributes'!C20:C2242""), 1,false)"),"ALT_NUM_UOM3")</f>
        <v>ALT_NUM_UOM3</v>
      </c>
      <c r="I14018" s="136"/>
      <c r="R14018" s="63" t="str">
        <f t="shared" si="60"/>
        <v>ZSI1_TIMING_BELTALT_NUM_UOM3</v>
      </c>
    </row>
    <row r="14019" ht="15.75" customHeight="1">
      <c r="B14019" s="63">
        <f t="shared" si="1"/>
        <v>16</v>
      </c>
      <c r="C14019" s="135" t="s">
        <v>505</v>
      </c>
      <c r="D14019" s="161" t="s">
        <v>74</v>
      </c>
      <c r="E14019" s="135">
        <f t="shared" si="62"/>
        <v>23</v>
      </c>
      <c r="F14019" s="134" t="s">
        <v>3813</v>
      </c>
      <c r="G14019" s="63" t="str">
        <f>VLOOKUP(C14019, 'Class Def. - General Data'!$C$20:$C$1000,1,false)</f>
        <v>ZSI1_TIMING_BELT</v>
      </c>
      <c r="H14019" s="63" t="str">
        <f>IFERROR(__xludf.DUMMYFUNCTION("VLOOKUP(F14019, IMPORTRANGE(""https://docs.google.com/spreadsheets/d/1Lhp9OU0JdFf_VYSMzH5lBcEaU4o8teT1piV-SNzShjg/edit?gid=554141278#gid=554141278"", ""'Char Def. - Attributes'!C20:C2242""), 1,false)"),"ALT_UOM4_SIPI")</f>
        <v>ALT_UOM4_SIPI</v>
      </c>
      <c r="I14019" s="136"/>
      <c r="R14019" s="63" t="str">
        <f t="shared" si="60"/>
        <v>ZSI1_TIMING_BELTALT_UOM4_SIPI</v>
      </c>
    </row>
    <row r="14020" ht="15.75" customHeight="1">
      <c r="B14020" s="63">
        <f t="shared" si="1"/>
        <v>16</v>
      </c>
      <c r="C14020" s="135" t="s">
        <v>505</v>
      </c>
      <c r="D14020" s="161" t="s">
        <v>74</v>
      </c>
      <c r="E14020" s="135">
        <f t="shared" si="62"/>
        <v>24</v>
      </c>
      <c r="F14020" s="134" t="s">
        <v>3814</v>
      </c>
      <c r="G14020" s="63" t="str">
        <f>VLOOKUP(C14020, 'Class Def. - General Data'!$C$20:$C$1000,1,false)</f>
        <v>ZSI1_TIMING_BELT</v>
      </c>
      <c r="H14020" s="63" t="str">
        <f>IFERROR(__xludf.DUMMYFUNCTION("VLOOKUP(F14020, IMPORTRANGE(""https://docs.google.com/spreadsheets/d/1Lhp9OU0JdFf_VYSMzH5lBcEaU4o8teT1piV-SNzShjg/edit?gid=554141278#gid=554141278"", ""'Char Def. - Attributes'!C20:C2242""), 1,false)"),"ALT_DENUM_UOM4")</f>
        <v>ALT_DENUM_UOM4</v>
      </c>
      <c r="I14020" s="136"/>
      <c r="R14020" s="63" t="str">
        <f t="shared" si="60"/>
        <v>ZSI1_TIMING_BELTALT_DENUM_UOM4</v>
      </c>
    </row>
    <row r="14021" ht="15.75" customHeight="1">
      <c r="B14021" s="63">
        <f t="shared" si="1"/>
        <v>16</v>
      </c>
      <c r="C14021" s="135" t="s">
        <v>505</v>
      </c>
      <c r="D14021" s="161" t="s">
        <v>74</v>
      </c>
      <c r="E14021" s="135">
        <f t="shared" si="62"/>
        <v>25</v>
      </c>
      <c r="F14021" s="134" t="s">
        <v>3815</v>
      </c>
      <c r="G14021" s="63" t="str">
        <f>VLOOKUP(C14021, 'Class Def. - General Data'!$C$20:$C$1000,1,false)</f>
        <v>ZSI1_TIMING_BELT</v>
      </c>
      <c r="H14021" s="63" t="str">
        <f>IFERROR(__xludf.DUMMYFUNCTION("VLOOKUP(F14021, IMPORTRANGE(""https://docs.google.com/spreadsheets/d/1Lhp9OU0JdFf_VYSMzH5lBcEaU4o8teT1piV-SNzShjg/edit?gid=554141278#gid=554141278"", ""'Char Def. - Attributes'!C20:C2242""), 1,false)"),"ALT_NUM_UOM4")</f>
        <v>ALT_NUM_UOM4</v>
      </c>
      <c r="I14021" s="136"/>
      <c r="R14021" s="63" t="str">
        <f t="shared" si="60"/>
        <v>ZSI1_TIMING_BELTALT_NUM_UOM4</v>
      </c>
    </row>
    <row r="14022" ht="15.75" customHeight="1">
      <c r="B14022" s="63">
        <f t="shared" si="1"/>
        <v>16</v>
      </c>
      <c r="C14022" s="135" t="s">
        <v>505</v>
      </c>
      <c r="D14022" s="161" t="s">
        <v>74</v>
      </c>
      <c r="E14022" s="135">
        <f t="shared" si="62"/>
        <v>26</v>
      </c>
      <c r="F14022" s="134" t="s">
        <v>3816</v>
      </c>
      <c r="G14022" s="63" t="str">
        <f>VLOOKUP(C14022, 'Class Def. - General Data'!$C$20:$C$1000,1,false)</f>
        <v>ZSI1_TIMING_BELT</v>
      </c>
      <c r="H14022" s="63" t="str">
        <f>IFERROR(__xludf.DUMMYFUNCTION("VLOOKUP(F14022, IMPORTRANGE(""https://docs.google.com/spreadsheets/d/1Lhp9OU0JdFf_VYSMzH5lBcEaU4o8teT1piV-SNzShjg/edit?gid=554141278#gid=554141278"", ""'Char Def. - Attributes'!C20:C2242""), 1,false)"),"ALT_UOM5_SIPI")</f>
        <v>ALT_UOM5_SIPI</v>
      </c>
      <c r="I14022" s="136"/>
      <c r="R14022" s="63" t="str">
        <f t="shared" si="60"/>
        <v>ZSI1_TIMING_BELTALT_UOM5_SIPI</v>
      </c>
    </row>
    <row r="14023" ht="15.75" customHeight="1">
      <c r="B14023" s="63">
        <f t="shared" si="1"/>
        <v>16</v>
      </c>
      <c r="C14023" s="135" t="s">
        <v>505</v>
      </c>
      <c r="D14023" s="161" t="s">
        <v>74</v>
      </c>
      <c r="E14023" s="135">
        <f t="shared" si="62"/>
        <v>27</v>
      </c>
      <c r="F14023" s="134" t="s">
        <v>3817</v>
      </c>
      <c r="G14023" s="63" t="str">
        <f>VLOOKUP(C14023, 'Class Def. - General Data'!$C$20:$C$1000,1,false)</f>
        <v>ZSI1_TIMING_BELT</v>
      </c>
      <c r="H14023" s="63" t="str">
        <f>IFERROR(__xludf.DUMMYFUNCTION("VLOOKUP(F14023, IMPORTRANGE(""https://docs.google.com/spreadsheets/d/1Lhp9OU0JdFf_VYSMzH5lBcEaU4o8teT1piV-SNzShjg/edit?gid=554141278#gid=554141278"", ""'Char Def. - Attributes'!C20:C2242""), 1,false)"),"ALT_DENUM_UOM5")</f>
        <v>ALT_DENUM_UOM5</v>
      </c>
      <c r="I14023" s="136"/>
      <c r="R14023" s="63" t="str">
        <f t="shared" si="60"/>
        <v>ZSI1_TIMING_BELTALT_DENUM_UOM5</v>
      </c>
    </row>
    <row r="14024" ht="15.75" customHeight="1">
      <c r="B14024" s="63">
        <f t="shared" si="1"/>
        <v>16</v>
      </c>
      <c r="C14024" s="135" t="s">
        <v>505</v>
      </c>
      <c r="D14024" s="161" t="s">
        <v>74</v>
      </c>
      <c r="E14024" s="135">
        <f t="shared" si="62"/>
        <v>28</v>
      </c>
      <c r="F14024" s="134" t="s">
        <v>3818</v>
      </c>
      <c r="G14024" s="63" t="str">
        <f>VLOOKUP(C14024, 'Class Def. - General Data'!$C$20:$C$1000,1,false)</f>
        <v>ZSI1_TIMING_BELT</v>
      </c>
      <c r="H14024" s="63" t="str">
        <f>IFERROR(__xludf.DUMMYFUNCTION("VLOOKUP(F14024, IMPORTRANGE(""https://docs.google.com/spreadsheets/d/1Lhp9OU0JdFf_VYSMzH5lBcEaU4o8teT1piV-SNzShjg/edit?gid=554141278#gid=554141278"", ""'Char Def. - Attributes'!C20:C2242""), 1,false)"),"ALT_NUM_UOM5")</f>
        <v>ALT_NUM_UOM5</v>
      </c>
      <c r="I14024" s="136"/>
      <c r="R14024" s="63" t="str">
        <f t="shared" si="60"/>
        <v>ZSI1_TIMING_BELTALT_NUM_UOM5</v>
      </c>
    </row>
    <row r="14025" ht="15.75" customHeight="1">
      <c r="B14025" s="63">
        <f t="shared" si="1"/>
        <v>15</v>
      </c>
      <c r="C14025" s="135" t="s">
        <v>506</v>
      </c>
      <c r="D14025" s="161" t="s">
        <v>74</v>
      </c>
      <c r="E14025" s="135">
        <f t="shared" si="62"/>
        <v>1</v>
      </c>
      <c r="F14025" s="134" t="s">
        <v>5507</v>
      </c>
      <c r="G14025" s="63" t="str">
        <f>VLOOKUP(C14025, 'Class Def. - General Data'!$C$20:$C$1000,1,false)</f>
        <v>ZSI1_TIRE_OUTER</v>
      </c>
      <c r="H14025" s="63" t="str">
        <f>IFERROR(__xludf.DUMMYFUNCTION("VLOOKUP(F14025, IMPORTRANGE(""https://docs.google.com/spreadsheets/d/1Lhp9OU0JdFf_VYSMzH5lBcEaU4o8teT1piV-SNzShjg/edit?gid=554141278#gid=554141278"", ""'Char Def. - Attributes'!C20:C2242""), 1,false)"),"ITEM_NAME_TIRE_OUTER")</f>
        <v>ITEM_NAME_TIRE_OUTER</v>
      </c>
      <c r="I14025" s="136"/>
      <c r="R14025" s="63" t="str">
        <f t="shared" si="60"/>
        <v>ZSI1_TIRE_OUTERITEM_NAME_TIRE_OUTER</v>
      </c>
    </row>
    <row r="14026" ht="15.75" customHeight="1">
      <c r="B14026" s="63">
        <f t="shared" si="1"/>
        <v>15</v>
      </c>
      <c r="C14026" s="135" t="s">
        <v>506</v>
      </c>
      <c r="D14026" s="161" t="s">
        <v>74</v>
      </c>
      <c r="E14026" s="135">
        <f t="shared" si="62"/>
        <v>2</v>
      </c>
      <c r="F14026" s="134" t="s">
        <v>5508</v>
      </c>
      <c r="G14026" s="63" t="str">
        <f>VLOOKUP(C14026, 'Class Def. - General Data'!$C$20:$C$1000,1,false)</f>
        <v>ZSI1_TIRE_OUTER</v>
      </c>
      <c r="H14026" s="63" t="str">
        <f>IFERROR(__xludf.DUMMYFUNCTION("VLOOKUP(F14026, IMPORTRANGE(""https://docs.google.com/spreadsheets/d/1Lhp9OU0JdFf_VYSMzH5lBcEaU4o8teT1piV-SNzShjg/edit?gid=554141278#gid=554141278"", ""'Char Def. - Attributes'!C20:C2242""), 1,false)"),"SIZE_DESIGNATION_TIRE_OUTER")</f>
        <v>SIZE_DESIGNATION_TIRE_OUTER</v>
      </c>
      <c r="I14026" s="136"/>
      <c r="R14026" s="63" t="str">
        <f t="shared" si="60"/>
        <v>ZSI1_TIRE_OUTERSIZE_DESIGNATION_TIRE_OUTER</v>
      </c>
    </row>
    <row r="14027" ht="15.75" customHeight="1">
      <c r="B14027" s="63">
        <f t="shared" si="1"/>
        <v>15</v>
      </c>
      <c r="C14027" s="135" t="s">
        <v>506</v>
      </c>
      <c r="D14027" s="161" t="s">
        <v>74</v>
      </c>
      <c r="E14027" s="135">
        <f t="shared" si="62"/>
        <v>3</v>
      </c>
      <c r="F14027" s="134" t="s">
        <v>3782</v>
      </c>
      <c r="G14027" s="63" t="str">
        <f>VLOOKUP(C14027, 'Class Def. - General Data'!$C$20:$C$1000,1,false)</f>
        <v>ZSI1_TIRE_OUTER</v>
      </c>
      <c r="H14027" s="63" t="str">
        <f>IFERROR(__xludf.DUMMYFUNCTION("VLOOKUP(F14027, IMPORTRANGE(""https://docs.google.com/spreadsheets/d/1Lhp9OU0JdFf_VYSMzH5lBcEaU4o8teT1piV-SNzShjg/edit?gid=554141278#gid=554141278"", ""'Char Def. - Attributes'!C20:C2242""), 1,false)"),"BRAND_EXTERNAL")</f>
        <v>BRAND_EXTERNAL</v>
      </c>
      <c r="I14027" s="136"/>
      <c r="R14027" s="63" t="str">
        <f t="shared" si="60"/>
        <v>ZSI1_TIRE_OUTERBRAND_EXTERNAL</v>
      </c>
    </row>
    <row r="14028" ht="15.75" customHeight="1">
      <c r="B14028" s="63">
        <f t="shared" si="1"/>
        <v>15</v>
      </c>
      <c r="C14028" s="135" t="s">
        <v>506</v>
      </c>
      <c r="D14028" s="161" t="s">
        <v>74</v>
      </c>
      <c r="E14028" s="135">
        <f t="shared" si="62"/>
        <v>4</v>
      </c>
      <c r="F14028" s="134" t="s">
        <v>4053</v>
      </c>
      <c r="G14028" s="63" t="str">
        <f>VLOOKUP(C14028, 'Class Def. - General Data'!$C$20:$C$1000,1,false)</f>
        <v>ZSI1_TIRE_OUTER</v>
      </c>
      <c r="H14028" s="63" t="str">
        <f>IFERROR(__xludf.DUMMYFUNCTION("VLOOKUP(F14028, IMPORTRANGE(""https://docs.google.com/spreadsheets/d/1Lhp9OU0JdFf_VYSMzH5lBcEaU4o8teT1piV-SNzShjg/edit?gid=554141278#gid=554141278"", ""'Char Def. - Attributes'!C20:C2242""), 1,false)"),"MAINTENANCE_ORDER_TYPE")</f>
        <v>MAINTENANCE_ORDER_TYPE</v>
      </c>
      <c r="I14028" s="136"/>
      <c r="R14028" s="63" t="str">
        <f t="shared" si="60"/>
        <v>ZSI1_TIRE_OUTERMAINTENANCE_ORDER_TYPE</v>
      </c>
    </row>
    <row r="14029" ht="15.75" customHeight="1">
      <c r="B14029" s="63">
        <f t="shared" si="1"/>
        <v>15</v>
      </c>
      <c r="C14029" s="135" t="s">
        <v>506</v>
      </c>
      <c r="D14029" s="161" t="s">
        <v>74</v>
      </c>
      <c r="E14029" s="135">
        <f t="shared" si="62"/>
        <v>5</v>
      </c>
      <c r="F14029" s="134" t="s">
        <v>3585</v>
      </c>
      <c r="G14029" s="63" t="str">
        <f>VLOOKUP(C14029, 'Class Def. - General Data'!$C$20:$C$1000,1,false)</f>
        <v>ZSI1_TIRE_OUTER</v>
      </c>
      <c r="H14029" s="63" t="str">
        <f>IFERROR(__xludf.DUMMYFUNCTION("VLOOKUP(F14029, IMPORTRANGE(""https://docs.google.com/spreadsheets/d/1Lhp9OU0JdFf_VYSMzH5lBcEaU4o8teT1piV-SNzShjg/edit?gid=554141278#gid=554141278"", ""'Char Def. - Attributes'!C20:C2242""), 1,false)"),"HS_CODE")</f>
        <v>HS_CODE</v>
      </c>
      <c r="I14029" s="136"/>
      <c r="R14029" s="63" t="str">
        <f t="shared" si="60"/>
        <v>ZSI1_TIRE_OUTERHS_CODE</v>
      </c>
    </row>
    <row r="14030" ht="15.75" customHeight="1">
      <c r="B14030" s="63">
        <f t="shared" si="1"/>
        <v>15</v>
      </c>
      <c r="C14030" s="135" t="s">
        <v>506</v>
      </c>
      <c r="D14030" s="161" t="s">
        <v>74</v>
      </c>
      <c r="E14030" s="135">
        <f t="shared" si="62"/>
        <v>6</v>
      </c>
      <c r="F14030" s="134" t="s">
        <v>3587</v>
      </c>
      <c r="G14030" s="63" t="str">
        <f>VLOOKUP(C14030, 'Class Def. - General Data'!$C$20:$C$1000,1,false)</f>
        <v>ZSI1_TIRE_OUTER</v>
      </c>
      <c r="H14030" s="63" t="str">
        <f>IFERROR(__xludf.DUMMYFUNCTION("VLOOKUP(F14030, IMPORTRANGE(""https://docs.google.com/spreadsheets/d/1Lhp9OU0JdFf_VYSMzH5lBcEaU4o8teT1piV-SNzShjg/edit?gid=554141278#gid=554141278"", ""'Char Def. - Attributes'!C20:C2242""), 1,false)"),"PLANT_BUY")</f>
        <v>PLANT_BUY</v>
      </c>
      <c r="I14030" s="136"/>
      <c r="R14030" s="63" t="str">
        <f t="shared" si="60"/>
        <v>ZSI1_TIRE_OUTERPLANT_BUY</v>
      </c>
    </row>
    <row r="14031" ht="15.75" customHeight="1">
      <c r="B14031" s="63">
        <f t="shared" si="1"/>
        <v>15</v>
      </c>
      <c r="C14031" s="135" t="s">
        <v>506</v>
      </c>
      <c r="D14031" s="161" t="s">
        <v>74</v>
      </c>
      <c r="E14031" s="135">
        <f t="shared" si="62"/>
        <v>7</v>
      </c>
      <c r="F14031" s="134" t="s">
        <v>5509</v>
      </c>
      <c r="G14031" s="63" t="str">
        <f>VLOOKUP(C14031, 'Class Def. - General Data'!$C$20:$C$1000,1,false)</f>
        <v>ZSI1_TIRE_OUTER</v>
      </c>
      <c r="H14031" s="63" t="str">
        <f>IFERROR(__xludf.DUMMYFUNCTION("VLOOKUP(F14031, IMPORTRANGE(""https://docs.google.com/spreadsheets/d/1Lhp9OU0JdFf_VYSMzH5lBcEaU4o8teT1piV-SNzShjg/edit?gid=554141278#gid=554141278"", ""'Char Def. - Attributes'!C20:C2242""), 1,false)"),"BASE_UOM_TIRE_OUTER")</f>
        <v>BASE_UOM_TIRE_OUTER</v>
      </c>
      <c r="I14031" s="136"/>
      <c r="R14031" s="63" t="str">
        <f t="shared" si="60"/>
        <v>ZSI1_TIRE_OUTERBASE_UOM_TIRE_OUTER</v>
      </c>
    </row>
    <row r="14032" ht="15.75" customHeight="1">
      <c r="B14032" s="63">
        <f t="shared" si="1"/>
        <v>15</v>
      </c>
      <c r="C14032" s="135" t="s">
        <v>506</v>
      </c>
      <c r="D14032" s="161" t="s">
        <v>74</v>
      </c>
      <c r="E14032" s="135">
        <f t="shared" si="62"/>
        <v>8</v>
      </c>
      <c r="F14032" s="134" t="s">
        <v>5510</v>
      </c>
      <c r="G14032" s="63" t="str">
        <f>VLOOKUP(C14032, 'Class Def. - General Data'!$C$20:$C$1000,1,false)</f>
        <v>ZSI1_TIRE_OUTER</v>
      </c>
      <c r="H14032" s="63" t="str">
        <f>IFERROR(__xludf.DUMMYFUNCTION("VLOOKUP(F14032, IMPORTRANGE(""https://docs.google.com/spreadsheets/d/1Lhp9OU0JdFf_VYSMzH5lBcEaU4o8teT1piV-SNzShjg/edit?gid=554141278#gid=554141278"", ""'Char Def. - Attributes'!C20:C2242""), 1,false)"),"ORDER_UNIT_TIRE_OUTER")</f>
        <v>ORDER_UNIT_TIRE_OUTER</v>
      </c>
      <c r="I14032" s="136"/>
      <c r="R14032" s="63" t="str">
        <f t="shared" si="60"/>
        <v>ZSI1_TIRE_OUTERORDER_UNIT_TIRE_OUTER</v>
      </c>
    </row>
    <row r="14033" ht="15.75" customHeight="1">
      <c r="B14033" s="63">
        <f t="shared" si="1"/>
        <v>15</v>
      </c>
      <c r="C14033" s="135" t="s">
        <v>506</v>
      </c>
      <c r="D14033" s="161" t="s">
        <v>74</v>
      </c>
      <c r="E14033" s="135">
        <f t="shared" si="62"/>
        <v>9</v>
      </c>
      <c r="F14033" s="134" t="s">
        <v>4056</v>
      </c>
      <c r="G14033" s="63" t="str">
        <f>VLOOKUP(C14033, 'Class Def. - General Data'!$C$20:$C$1000,1,false)</f>
        <v>ZSI1_TIRE_OUTER</v>
      </c>
      <c r="H14033" s="63" t="str">
        <f>IFERROR(__xludf.DUMMYFUNCTION("VLOOKUP(F14033, IMPORTRANGE(""https://docs.google.com/spreadsheets/d/1Lhp9OU0JdFf_VYSMzH5lBcEaU4o8teT1piV-SNzShjg/edit?gid=554141278#gid=554141278"", ""'Char Def. - Attributes'!C20:C2242""), 1,false)"),"GROSS_WEIGHT_OPT")</f>
        <v>GROSS_WEIGHT_OPT</v>
      </c>
      <c r="I14033" s="136"/>
      <c r="R14033" s="63" t="str">
        <f t="shared" si="60"/>
        <v>ZSI1_TIRE_OUTERGROSS_WEIGHT_OPT</v>
      </c>
    </row>
    <row r="14034" ht="15.75" customHeight="1">
      <c r="B14034" s="63">
        <f t="shared" si="1"/>
        <v>15</v>
      </c>
      <c r="C14034" s="135" t="s">
        <v>506</v>
      </c>
      <c r="D14034" s="161" t="s">
        <v>74</v>
      </c>
      <c r="E14034" s="135">
        <f t="shared" si="62"/>
        <v>10</v>
      </c>
      <c r="F14034" s="134" t="s">
        <v>4057</v>
      </c>
      <c r="G14034" s="63" t="str">
        <f>VLOOKUP(C14034, 'Class Def. - General Data'!$C$20:$C$1000,1,false)</f>
        <v>ZSI1_TIRE_OUTER</v>
      </c>
      <c r="H14034" s="63" t="str">
        <f>IFERROR(__xludf.DUMMYFUNCTION("VLOOKUP(F14034, IMPORTRANGE(""https://docs.google.com/spreadsheets/d/1Lhp9OU0JdFf_VYSMzH5lBcEaU4o8teT1piV-SNzShjg/edit?gid=554141278#gid=554141278"", ""'Char Def. - Attributes'!C20:C2242""), 1,false)"),"NET_WEIGHT_OPT")</f>
        <v>NET_WEIGHT_OPT</v>
      </c>
      <c r="I14034" s="136"/>
      <c r="R14034" s="63" t="str">
        <f t="shared" si="60"/>
        <v>ZSI1_TIRE_OUTERNET_WEIGHT_OPT</v>
      </c>
    </row>
    <row r="14035" ht="15.75" customHeight="1">
      <c r="B14035" s="63">
        <f t="shared" si="1"/>
        <v>15</v>
      </c>
      <c r="C14035" s="135" t="s">
        <v>506</v>
      </c>
      <c r="D14035" s="161" t="s">
        <v>74</v>
      </c>
      <c r="E14035" s="135">
        <f t="shared" si="62"/>
        <v>11</v>
      </c>
      <c r="F14035" s="134" t="s">
        <v>4058</v>
      </c>
      <c r="G14035" s="63" t="str">
        <f>VLOOKUP(C14035, 'Class Def. - General Data'!$C$20:$C$1000,1,false)</f>
        <v>ZSI1_TIRE_OUTER</v>
      </c>
      <c r="H14035" s="63" t="str">
        <f>IFERROR(__xludf.DUMMYFUNCTION("VLOOKUP(F14035, IMPORTRANGE(""https://docs.google.com/spreadsheets/d/1Lhp9OU0JdFf_VYSMzH5lBcEaU4o8teT1piV-SNzShjg/edit?gid=554141278#gid=554141278"", ""'Char Def. - Attributes'!C20:C2242""), 1,false)"),"WEIGHT_UNIT_SI")</f>
        <v>WEIGHT_UNIT_SI</v>
      </c>
      <c r="I14035" s="136"/>
      <c r="R14035" s="63" t="str">
        <f t="shared" si="60"/>
        <v>ZSI1_TIRE_OUTERWEIGHT_UNIT_SI</v>
      </c>
    </row>
    <row r="14036" ht="15.75" customHeight="1">
      <c r="B14036" s="63">
        <f t="shared" si="1"/>
        <v>15</v>
      </c>
      <c r="C14036" s="135" t="s">
        <v>506</v>
      </c>
      <c r="D14036" s="161" t="s">
        <v>74</v>
      </c>
      <c r="E14036" s="135">
        <f t="shared" si="62"/>
        <v>12</v>
      </c>
      <c r="F14036" s="134" t="s">
        <v>3877</v>
      </c>
      <c r="G14036" s="63" t="str">
        <f>VLOOKUP(C14036, 'Class Def. - General Data'!$C$20:$C$1000,1,false)</f>
        <v>ZSI1_TIRE_OUTER</v>
      </c>
      <c r="H14036" s="63" t="str">
        <f>IFERROR(__xludf.DUMMYFUNCTION("VLOOKUP(F14036, IMPORTRANGE(""https://docs.google.com/spreadsheets/d/1Lhp9OU0JdFf_VYSMzH5lBcEaU4o8teT1piV-SNzShjg/edit?gid=554141278#gid=554141278"", ""'Char Def. - Attributes'!C20:C2242""), 1,false)"),"VOLUME_OPT")</f>
        <v>VOLUME_OPT</v>
      </c>
      <c r="I14036" s="136"/>
      <c r="R14036" s="63" t="str">
        <f t="shared" si="60"/>
        <v>ZSI1_TIRE_OUTERVOLUME_OPT</v>
      </c>
    </row>
    <row r="14037" ht="15.75" customHeight="1">
      <c r="B14037" s="63">
        <f t="shared" si="1"/>
        <v>15</v>
      </c>
      <c r="C14037" s="135" t="s">
        <v>506</v>
      </c>
      <c r="D14037" s="161" t="s">
        <v>74</v>
      </c>
      <c r="E14037" s="135">
        <f t="shared" si="62"/>
        <v>13</v>
      </c>
      <c r="F14037" s="134" t="s">
        <v>4059</v>
      </c>
      <c r="G14037" s="63" t="str">
        <f>VLOOKUP(C14037, 'Class Def. - General Data'!$C$20:$C$1000,1,false)</f>
        <v>ZSI1_TIRE_OUTER</v>
      </c>
      <c r="H14037" s="63" t="str">
        <f>IFERROR(__xludf.DUMMYFUNCTION("VLOOKUP(F14037, IMPORTRANGE(""https://docs.google.com/spreadsheets/d/1Lhp9OU0JdFf_VYSMzH5lBcEaU4o8teT1piV-SNzShjg/edit?gid=554141278#gid=554141278"", ""'Char Def. - Attributes'!C20:C2242""), 1,false)"),"VOLUME_UNIT_SI")</f>
        <v>VOLUME_UNIT_SI</v>
      </c>
      <c r="I14037" s="136"/>
      <c r="R14037" s="63" t="str">
        <f t="shared" si="60"/>
        <v>ZSI1_TIRE_OUTERVOLUME_UNIT_SI</v>
      </c>
    </row>
    <row r="14038" ht="15.75" customHeight="1">
      <c r="B14038" s="63">
        <f t="shared" si="1"/>
        <v>15</v>
      </c>
      <c r="C14038" s="135" t="s">
        <v>506</v>
      </c>
      <c r="D14038" s="161" t="s">
        <v>74</v>
      </c>
      <c r="E14038" s="135">
        <f t="shared" si="62"/>
        <v>14</v>
      </c>
      <c r="F14038" s="134" t="s">
        <v>3804</v>
      </c>
      <c r="G14038" s="63" t="str">
        <f>VLOOKUP(C14038, 'Class Def. - General Data'!$C$20:$C$1000,1,false)</f>
        <v>ZSI1_TIRE_OUTER</v>
      </c>
      <c r="H14038" s="63" t="str">
        <f>IFERROR(__xludf.DUMMYFUNCTION("VLOOKUP(F14038, IMPORTRANGE(""https://docs.google.com/spreadsheets/d/1Lhp9OU0JdFf_VYSMzH5lBcEaU4o8teT1piV-SNzShjg/edit?gid=554141278#gid=554141278"", ""'Char Def. - Attributes'!C20:C2242""), 1,false)"),"ALT_UOM1_SIPI")</f>
        <v>ALT_UOM1_SIPI</v>
      </c>
      <c r="I14038" s="136"/>
      <c r="R14038" s="63" t="str">
        <f t="shared" si="60"/>
        <v>ZSI1_TIRE_OUTERALT_UOM1_SIPI</v>
      </c>
    </row>
    <row r="14039" ht="15.75" customHeight="1">
      <c r="B14039" s="63">
        <f t="shared" si="1"/>
        <v>15</v>
      </c>
      <c r="C14039" s="135" t="s">
        <v>506</v>
      </c>
      <c r="D14039" s="161" t="s">
        <v>74</v>
      </c>
      <c r="E14039" s="135">
        <f t="shared" si="62"/>
        <v>15</v>
      </c>
      <c r="F14039" s="134" t="s">
        <v>3805</v>
      </c>
      <c r="G14039" s="63" t="str">
        <f>VLOOKUP(C14039, 'Class Def. - General Data'!$C$20:$C$1000,1,false)</f>
        <v>ZSI1_TIRE_OUTER</v>
      </c>
      <c r="H14039" s="63" t="str">
        <f>IFERROR(__xludf.DUMMYFUNCTION("VLOOKUP(F14039, IMPORTRANGE(""https://docs.google.com/spreadsheets/d/1Lhp9OU0JdFf_VYSMzH5lBcEaU4o8teT1piV-SNzShjg/edit?gid=554141278#gid=554141278"", ""'Char Def. - Attributes'!C20:C2242""), 1,false)"),"ALT_DENUM_UOM1")</f>
        <v>ALT_DENUM_UOM1</v>
      </c>
      <c r="I14039" s="136"/>
      <c r="R14039" s="63" t="str">
        <f t="shared" si="60"/>
        <v>ZSI1_TIRE_OUTERALT_DENUM_UOM1</v>
      </c>
    </row>
    <row r="14040" ht="15.75" customHeight="1">
      <c r="B14040" s="63">
        <f t="shared" si="1"/>
        <v>15</v>
      </c>
      <c r="C14040" s="135" t="s">
        <v>506</v>
      </c>
      <c r="D14040" s="161" t="s">
        <v>74</v>
      </c>
      <c r="E14040" s="135">
        <f t="shared" si="62"/>
        <v>16</v>
      </c>
      <c r="F14040" s="134" t="s">
        <v>3806</v>
      </c>
      <c r="G14040" s="63" t="str">
        <f>VLOOKUP(C14040, 'Class Def. - General Data'!$C$20:$C$1000,1,false)</f>
        <v>ZSI1_TIRE_OUTER</v>
      </c>
      <c r="H14040" s="63" t="str">
        <f>IFERROR(__xludf.DUMMYFUNCTION("VLOOKUP(F14040, IMPORTRANGE(""https://docs.google.com/spreadsheets/d/1Lhp9OU0JdFf_VYSMzH5lBcEaU4o8teT1piV-SNzShjg/edit?gid=554141278#gid=554141278"", ""'Char Def. - Attributes'!C20:C2242""), 1,false)"),"ALT_NUM_UOM1")</f>
        <v>ALT_NUM_UOM1</v>
      </c>
      <c r="I14040" s="136"/>
      <c r="R14040" s="63" t="str">
        <f t="shared" si="60"/>
        <v>ZSI1_TIRE_OUTERALT_NUM_UOM1</v>
      </c>
    </row>
    <row r="14041" ht="15.75" customHeight="1">
      <c r="B14041" s="63">
        <f t="shared" si="1"/>
        <v>15</v>
      </c>
      <c r="C14041" s="135" t="s">
        <v>506</v>
      </c>
      <c r="D14041" s="161" t="s">
        <v>74</v>
      </c>
      <c r="E14041" s="135">
        <f t="shared" si="62"/>
        <v>17</v>
      </c>
      <c r="F14041" s="134" t="s">
        <v>3807</v>
      </c>
      <c r="G14041" s="63" t="str">
        <f>VLOOKUP(C14041, 'Class Def. - General Data'!$C$20:$C$1000,1,false)</f>
        <v>ZSI1_TIRE_OUTER</v>
      </c>
      <c r="H14041" s="63" t="str">
        <f>IFERROR(__xludf.DUMMYFUNCTION("VLOOKUP(F14041, IMPORTRANGE(""https://docs.google.com/spreadsheets/d/1Lhp9OU0JdFf_VYSMzH5lBcEaU4o8teT1piV-SNzShjg/edit?gid=554141278#gid=554141278"", ""'Char Def. - Attributes'!C20:C2242""), 1,false)"),"ALT_UOM2_SIPI")</f>
        <v>ALT_UOM2_SIPI</v>
      </c>
      <c r="I14041" s="136"/>
      <c r="R14041" s="63" t="str">
        <f t="shared" si="60"/>
        <v>ZSI1_TIRE_OUTERALT_UOM2_SIPI</v>
      </c>
    </row>
    <row r="14042" ht="15.75" customHeight="1">
      <c r="B14042" s="63">
        <f t="shared" si="1"/>
        <v>15</v>
      </c>
      <c r="C14042" s="135" t="s">
        <v>506</v>
      </c>
      <c r="D14042" s="161" t="s">
        <v>74</v>
      </c>
      <c r="E14042" s="135">
        <f t="shared" si="62"/>
        <v>18</v>
      </c>
      <c r="F14042" s="134" t="s">
        <v>3808</v>
      </c>
      <c r="G14042" s="63" t="str">
        <f>VLOOKUP(C14042, 'Class Def. - General Data'!$C$20:$C$1000,1,false)</f>
        <v>ZSI1_TIRE_OUTER</v>
      </c>
      <c r="H14042" s="63" t="str">
        <f>IFERROR(__xludf.DUMMYFUNCTION("VLOOKUP(F14042, IMPORTRANGE(""https://docs.google.com/spreadsheets/d/1Lhp9OU0JdFf_VYSMzH5lBcEaU4o8teT1piV-SNzShjg/edit?gid=554141278#gid=554141278"", ""'Char Def. - Attributes'!C20:C2242""), 1,false)"),"ALT_DENUM_UOM2")</f>
        <v>ALT_DENUM_UOM2</v>
      </c>
      <c r="I14042" s="136"/>
      <c r="R14042" s="63" t="str">
        <f t="shared" si="60"/>
        <v>ZSI1_TIRE_OUTERALT_DENUM_UOM2</v>
      </c>
    </row>
    <row r="14043" ht="15.75" customHeight="1">
      <c r="B14043" s="63">
        <f t="shared" si="1"/>
        <v>15</v>
      </c>
      <c r="C14043" s="135" t="s">
        <v>506</v>
      </c>
      <c r="D14043" s="161" t="s">
        <v>74</v>
      </c>
      <c r="E14043" s="135">
        <f t="shared" si="62"/>
        <v>19</v>
      </c>
      <c r="F14043" s="134" t="s">
        <v>3809</v>
      </c>
      <c r="G14043" s="63" t="str">
        <f>VLOOKUP(C14043, 'Class Def. - General Data'!$C$20:$C$1000,1,false)</f>
        <v>ZSI1_TIRE_OUTER</v>
      </c>
      <c r="H14043" s="63" t="str">
        <f>IFERROR(__xludf.DUMMYFUNCTION("VLOOKUP(F14043, IMPORTRANGE(""https://docs.google.com/spreadsheets/d/1Lhp9OU0JdFf_VYSMzH5lBcEaU4o8teT1piV-SNzShjg/edit?gid=554141278#gid=554141278"", ""'Char Def. - Attributes'!C20:C2242""), 1,false)"),"ALT_NUM_UOM2")</f>
        <v>ALT_NUM_UOM2</v>
      </c>
      <c r="I14043" s="136"/>
      <c r="R14043" s="63" t="str">
        <f t="shared" si="60"/>
        <v>ZSI1_TIRE_OUTERALT_NUM_UOM2</v>
      </c>
    </row>
    <row r="14044" ht="15.75" customHeight="1">
      <c r="B14044" s="63">
        <f t="shared" si="1"/>
        <v>15</v>
      </c>
      <c r="C14044" s="135" t="s">
        <v>506</v>
      </c>
      <c r="D14044" s="161" t="s">
        <v>74</v>
      </c>
      <c r="E14044" s="135">
        <f t="shared" si="62"/>
        <v>20</v>
      </c>
      <c r="F14044" s="134" t="s">
        <v>3810</v>
      </c>
      <c r="G14044" s="63" t="str">
        <f>VLOOKUP(C14044, 'Class Def. - General Data'!$C$20:$C$1000,1,false)</f>
        <v>ZSI1_TIRE_OUTER</v>
      </c>
      <c r="H14044" s="63" t="str">
        <f>IFERROR(__xludf.DUMMYFUNCTION("VLOOKUP(F14044, IMPORTRANGE(""https://docs.google.com/spreadsheets/d/1Lhp9OU0JdFf_VYSMzH5lBcEaU4o8teT1piV-SNzShjg/edit?gid=554141278#gid=554141278"", ""'Char Def. - Attributes'!C20:C2242""), 1,false)"),"ALT_UOM3_SIPI")</f>
        <v>ALT_UOM3_SIPI</v>
      </c>
      <c r="I14044" s="136"/>
      <c r="R14044" s="63" t="str">
        <f t="shared" si="60"/>
        <v>ZSI1_TIRE_OUTERALT_UOM3_SIPI</v>
      </c>
    </row>
    <row r="14045" ht="15.75" customHeight="1">
      <c r="B14045" s="63">
        <f t="shared" si="1"/>
        <v>15</v>
      </c>
      <c r="C14045" s="135" t="s">
        <v>506</v>
      </c>
      <c r="D14045" s="161" t="s">
        <v>74</v>
      </c>
      <c r="E14045" s="135">
        <f t="shared" si="62"/>
        <v>21</v>
      </c>
      <c r="F14045" s="134" t="s">
        <v>3811</v>
      </c>
      <c r="G14045" s="63" t="str">
        <f>VLOOKUP(C14045, 'Class Def. - General Data'!$C$20:$C$1000,1,false)</f>
        <v>ZSI1_TIRE_OUTER</v>
      </c>
      <c r="H14045" s="63" t="str">
        <f>IFERROR(__xludf.DUMMYFUNCTION("VLOOKUP(F14045, IMPORTRANGE(""https://docs.google.com/spreadsheets/d/1Lhp9OU0JdFf_VYSMzH5lBcEaU4o8teT1piV-SNzShjg/edit?gid=554141278#gid=554141278"", ""'Char Def. - Attributes'!C20:C2242""), 1,false)"),"ALT_DENUM_UOM3")</f>
        <v>ALT_DENUM_UOM3</v>
      </c>
      <c r="I14045" s="136"/>
      <c r="R14045" s="63" t="str">
        <f t="shared" si="60"/>
        <v>ZSI1_TIRE_OUTERALT_DENUM_UOM3</v>
      </c>
    </row>
    <row r="14046" ht="15.75" customHeight="1">
      <c r="B14046" s="63">
        <f t="shared" si="1"/>
        <v>15</v>
      </c>
      <c r="C14046" s="135" t="s">
        <v>506</v>
      </c>
      <c r="D14046" s="161" t="s">
        <v>74</v>
      </c>
      <c r="E14046" s="135">
        <f t="shared" si="62"/>
        <v>22</v>
      </c>
      <c r="F14046" s="134" t="s">
        <v>3812</v>
      </c>
      <c r="G14046" s="63" t="str">
        <f>VLOOKUP(C14046, 'Class Def. - General Data'!$C$20:$C$1000,1,false)</f>
        <v>ZSI1_TIRE_OUTER</v>
      </c>
      <c r="H14046" s="63" t="str">
        <f>IFERROR(__xludf.DUMMYFUNCTION("VLOOKUP(F14046, IMPORTRANGE(""https://docs.google.com/spreadsheets/d/1Lhp9OU0JdFf_VYSMzH5lBcEaU4o8teT1piV-SNzShjg/edit?gid=554141278#gid=554141278"", ""'Char Def. - Attributes'!C20:C2242""), 1,false)"),"ALT_NUM_UOM3")</f>
        <v>ALT_NUM_UOM3</v>
      </c>
      <c r="I14046" s="136"/>
      <c r="R14046" s="63" t="str">
        <f t="shared" si="60"/>
        <v>ZSI1_TIRE_OUTERALT_NUM_UOM3</v>
      </c>
    </row>
    <row r="14047" ht="15.75" customHeight="1">
      <c r="B14047" s="63">
        <f t="shared" si="1"/>
        <v>15</v>
      </c>
      <c r="C14047" s="135" t="s">
        <v>506</v>
      </c>
      <c r="D14047" s="161" t="s">
        <v>74</v>
      </c>
      <c r="E14047" s="135">
        <f t="shared" si="62"/>
        <v>23</v>
      </c>
      <c r="F14047" s="134" t="s">
        <v>3813</v>
      </c>
      <c r="G14047" s="63" t="str">
        <f>VLOOKUP(C14047, 'Class Def. - General Data'!$C$20:$C$1000,1,false)</f>
        <v>ZSI1_TIRE_OUTER</v>
      </c>
      <c r="H14047" s="63" t="str">
        <f>IFERROR(__xludf.DUMMYFUNCTION("VLOOKUP(F14047, IMPORTRANGE(""https://docs.google.com/spreadsheets/d/1Lhp9OU0JdFf_VYSMzH5lBcEaU4o8teT1piV-SNzShjg/edit?gid=554141278#gid=554141278"", ""'Char Def. - Attributes'!C20:C2242""), 1,false)"),"ALT_UOM4_SIPI")</f>
        <v>ALT_UOM4_SIPI</v>
      </c>
      <c r="I14047" s="136"/>
      <c r="R14047" s="63" t="str">
        <f t="shared" si="60"/>
        <v>ZSI1_TIRE_OUTERALT_UOM4_SIPI</v>
      </c>
    </row>
    <row r="14048" ht="15.75" customHeight="1">
      <c r="B14048" s="63">
        <f t="shared" si="1"/>
        <v>15</v>
      </c>
      <c r="C14048" s="135" t="s">
        <v>506</v>
      </c>
      <c r="D14048" s="161" t="s">
        <v>74</v>
      </c>
      <c r="E14048" s="135">
        <f t="shared" si="62"/>
        <v>24</v>
      </c>
      <c r="F14048" s="134" t="s">
        <v>3814</v>
      </c>
      <c r="G14048" s="63" t="str">
        <f>VLOOKUP(C14048, 'Class Def. - General Data'!$C$20:$C$1000,1,false)</f>
        <v>ZSI1_TIRE_OUTER</v>
      </c>
      <c r="H14048" s="63" t="str">
        <f>IFERROR(__xludf.DUMMYFUNCTION("VLOOKUP(F14048, IMPORTRANGE(""https://docs.google.com/spreadsheets/d/1Lhp9OU0JdFf_VYSMzH5lBcEaU4o8teT1piV-SNzShjg/edit?gid=554141278#gid=554141278"", ""'Char Def. - Attributes'!C20:C2242""), 1,false)"),"ALT_DENUM_UOM4")</f>
        <v>ALT_DENUM_UOM4</v>
      </c>
      <c r="I14048" s="136"/>
      <c r="R14048" s="63" t="str">
        <f t="shared" si="60"/>
        <v>ZSI1_TIRE_OUTERALT_DENUM_UOM4</v>
      </c>
    </row>
    <row r="14049" ht="15.75" customHeight="1">
      <c r="B14049" s="63">
        <f t="shared" si="1"/>
        <v>15</v>
      </c>
      <c r="C14049" s="135" t="s">
        <v>506</v>
      </c>
      <c r="D14049" s="161" t="s">
        <v>74</v>
      </c>
      <c r="E14049" s="135">
        <f t="shared" si="62"/>
        <v>25</v>
      </c>
      <c r="F14049" s="134" t="s">
        <v>3815</v>
      </c>
      <c r="G14049" s="63" t="str">
        <f>VLOOKUP(C14049, 'Class Def. - General Data'!$C$20:$C$1000,1,false)</f>
        <v>ZSI1_TIRE_OUTER</v>
      </c>
      <c r="H14049" s="63" t="str">
        <f>IFERROR(__xludf.DUMMYFUNCTION("VLOOKUP(F14049, IMPORTRANGE(""https://docs.google.com/spreadsheets/d/1Lhp9OU0JdFf_VYSMzH5lBcEaU4o8teT1piV-SNzShjg/edit?gid=554141278#gid=554141278"", ""'Char Def. - Attributes'!C20:C2242""), 1,false)"),"ALT_NUM_UOM4")</f>
        <v>ALT_NUM_UOM4</v>
      </c>
      <c r="I14049" s="136"/>
      <c r="R14049" s="63" t="str">
        <f t="shared" si="60"/>
        <v>ZSI1_TIRE_OUTERALT_NUM_UOM4</v>
      </c>
    </row>
    <row r="14050" ht="15.75" customHeight="1">
      <c r="B14050" s="63">
        <f t="shared" si="1"/>
        <v>15</v>
      </c>
      <c r="C14050" s="135" t="s">
        <v>506</v>
      </c>
      <c r="D14050" s="161" t="s">
        <v>74</v>
      </c>
      <c r="E14050" s="135">
        <f t="shared" si="62"/>
        <v>26</v>
      </c>
      <c r="F14050" s="134" t="s">
        <v>3816</v>
      </c>
      <c r="G14050" s="63" t="str">
        <f>VLOOKUP(C14050, 'Class Def. - General Data'!$C$20:$C$1000,1,false)</f>
        <v>ZSI1_TIRE_OUTER</v>
      </c>
      <c r="H14050" s="63" t="str">
        <f>IFERROR(__xludf.DUMMYFUNCTION("VLOOKUP(F14050, IMPORTRANGE(""https://docs.google.com/spreadsheets/d/1Lhp9OU0JdFf_VYSMzH5lBcEaU4o8teT1piV-SNzShjg/edit?gid=554141278#gid=554141278"", ""'Char Def. - Attributes'!C20:C2242""), 1,false)"),"ALT_UOM5_SIPI")</f>
        <v>ALT_UOM5_SIPI</v>
      </c>
      <c r="I14050" s="136"/>
      <c r="R14050" s="63" t="str">
        <f t="shared" si="60"/>
        <v>ZSI1_TIRE_OUTERALT_UOM5_SIPI</v>
      </c>
    </row>
    <row r="14051" ht="15.75" customHeight="1">
      <c r="B14051" s="63">
        <f t="shared" si="1"/>
        <v>15</v>
      </c>
      <c r="C14051" s="135" t="s">
        <v>506</v>
      </c>
      <c r="D14051" s="161" t="s">
        <v>74</v>
      </c>
      <c r="E14051" s="135">
        <f t="shared" si="62"/>
        <v>27</v>
      </c>
      <c r="F14051" s="134" t="s">
        <v>3817</v>
      </c>
      <c r="G14051" s="63" t="str">
        <f>VLOOKUP(C14051, 'Class Def. - General Data'!$C$20:$C$1000,1,false)</f>
        <v>ZSI1_TIRE_OUTER</v>
      </c>
      <c r="H14051" s="63" t="str">
        <f>IFERROR(__xludf.DUMMYFUNCTION("VLOOKUP(F14051, IMPORTRANGE(""https://docs.google.com/spreadsheets/d/1Lhp9OU0JdFf_VYSMzH5lBcEaU4o8teT1piV-SNzShjg/edit?gid=554141278#gid=554141278"", ""'Char Def. - Attributes'!C20:C2242""), 1,false)"),"ALT_DENUM_UOM5")</f>
        <v>ALT_DENUM_UOM5</v>
      </c>
      <c r="I14051" s="136"/>
      <c r="R14051" s="63" t="str">
        <f t="shared" si="60"/>
        <v>ZSI1_TIRE_OUTERALT_DENUM_UOM5</v>
      </c>
    </row>
    <row r="14052" ht="15.75" customHeight="1">
      <c r="B14052" s="63">
        <f t="shared" si="1"/>
        <v>15</v>
      </c>
      <c r="C14052" s="135" t="s">
        <v>506</v>
      </c>
      <c r="D14052" s="161" t="s">
        <v>74</v>
      </c>
      <c r="E14052" s="135">
        <f t="shared" si="62"/>
        <v>28</v>
      </c>
      <c r="F14052" s="134" t="s">
        <v>3818</v>
      </c>
      <c r="G14052" s="63" t="str">
        <f>VLOOKUP(C14052, 'Class Def. - General Data'!$C$20:$C$1000,1,false)</f>
        <v>ZSI1_TIRE_OUTER</v>
      </c>
      <c r="H14052" s="63" t="str">
        <f>IFERROR(__xludf.DUMMYFUNCTION("VLOOKUP(F14052, IMPORTRANGE(""https://docs.google.com/spreadsheets/d/1Lhp9OU0JdFf_VYSMzH5lBcEaU4o8teT1piV-SNzShjg/edit?gid=554141278#gid=554141278"", ""'Char Def. - Attributes'!C20:C2242""), 1,false)"),"ALT_NUM_UOM5")</f>
        <v>ALT_NUM_UOM5</v>
      </c>
      <c r="I14052" s="136"/>
      <c r="R14052" s="63" t="str">
        <f t="shared" si="60"/>
        <v>ZSI1_TIRE_OUTERALT_NUM_UOM5</v>
      </c>
    </row>
    <row r="14053" ht="15.75" customHeight="1">
      <c r="B14053" s="63">
        <f t="shared" si="1"/>
        <v>14</v>
      </c>
      <c r="C14053" s="135" t="s">
        <v>475</v>
      </c>
      <c r="D14053" s="161" t="s">
        <v>74</v>
      </c>
      <c r="E14053" s="135">
        <f t="shared" si="62"/>
        <v>1</v>
      </c>
      <c r="F14053" s="134" t="s">
        <v>5511</v>
      </c>
      <c r="G14053" s="63" t="str">
        <f>VLOOKUP(C14053, 'Class Def. - General Data'!$C$20:$C$1000,1,false)</f>
        <v>ZSI1_TRAF_CONE</v>
      </c>
      <c r="H14053" s="63" t="str">
        <f>IFERROR(__xludf.DUMMYFUNCTION("VLOOKUP(F14053, IMPORTRANGE(""https://docs.google.com/spreadsheets/d/1Lhp9OU0JdFf_VYSMzH5lBcEaU4o8teT1piV-SNzShjg/edit?gid=554141278#gid=554141278"", ""'Char Def. - Attributes'!C20:C2242""), 1,false)"),"ITEM_NAME_TRAF_CONE")</f>
        <v>ITEM_NAME_TRAF_CONE</v>
      </c>
      <c r="I14053" s="136"/>
      <c r="R14053" s="63" t="str">
        <f t="shared" si="60"/>
        <v>ZSI1_TRAF_CONEITEM_NAME_TRAF_CONE</v>
      </c>
    </row>
    <row r="14054" ht="15.75" customHeight="1">
      <c r="B14054" s="63">
        <f t="shared" si="1"/>
        <v>14</v>
      </c>
      <c r="C14054" s="135" t="s">
        <v>475</v>
      </c>
      <c r="D14054" s="161" t="s">
        <v>74</v>
      </c>
      <c r="E14054" s="135">
        <f t="shared" si="62"/>
        <v>2</v>
      </c>
      <c r="F14054" s="134" t="s">
        <v>5512</v>
      </c>
      <c r="G14054" s="63" t="str">
        <f>VLOOKUP(C14054, 'Class Def. - General Data'!$C$20:$C$1000,1,false)</f>
        <v>ZSI1_TRAF_CONE</v>
      </c>
      <c r="H14054" s="63" t="str">
        <f>IFERROR(__xludf.DUMMYFUNCTION("VLOOKUP(F14054, IMPORTRANGE(""https://docs.google.com/spreadsheets/d/1Lhp9OU0JdFf_VYSMzH5lBcEaU4o8teT1piV-SNzShjg/edit?gid=554141278#gid=554141278"", ""'Char Def. - Attributes'!C20:C2242""), 1,false)"),"HEIGHT_MM_TRAF_CONE")</f>
        <v>HEIGHT_MM_TRAF_CONE</v>
      </c>
      <c r="I14054" s="136"/>
      <c r="R14054" s="63" t="str">
        <f t="shared" si="60"/>
        <v>ZSI1_TRAF_CONEHEIGHT_MM_TRAF_CONE</v>
      </c>
    </row>
    <row r="14055" ht="15.75" customHeight="1">
      <c r="B14055" s="63">
        <f t="shared" si="1"/>
        <v>14</v>
      </c>
      <c r="C14055" s="135" t="s">
        <v>475</v>
      </c>
      <c r="D14055" s="161" t="s">
        <v>74</v>
      </c>
      <c r="E14055" s="135">
        <f t="shared" si="62"/>
        <v>3</v>
      </c>
      <c r="F14055" s="134" t="s">
        <v>5513</v>
      </c>
      <c r="G14055" s="63" t="str">
        <f>VLOOKUP(C14055, 'Class Def. - General Data'!$C$20:$C$1000,1,false)</f>
        <v>ZSI1_TRAF_CONE</v>
      </c>
      <c r="H14055" s="63" t="str">
        <f>IFERROR(__xludf.DUMMYFUNCTION("VLOOKUP(F14055, IMPORTRANGE(""https://docs.google.com/spreadsheets/d/1Lhp9OU0JdFf_VYSMzH5lBcEaU4o8teT1piV-SNzShjg/edit?gid=554141278#gid=554141278"", ""'Char Def. - Attributes'!C20:C2242""), 1,false)"),"MATERIAL_TRAF_CONE")</f>
        <v>MATERIAL_TRAF_CONE</v>
      </c>
      <c r="I14055" s="136"/>
      <c r="R14055" s="63" t="str">
        <f t="shared" si="60"/>
        <v>ZSI1_TRAF_CONEMATERIAL_TRAF_CONE</v>
      </c>
    </row>
    <row r="14056" ht="15.75" customHeight="1">
      <c r="B14056" s="63">
        <f t="shared" si="1"/>
        <v>14</v>
      </c>
      <c r="C14056" s="135" t="s">
        <v>475</v>
      </c>
      <c r="D14056" s="161" t="s">
        <v>74</v>
      </c>
      <c r="E14056" s="135">
        <f t="shared" si="62"/>
        <v>4</v>
      </c>
      <c r="F14056" s="134" t="s">
        <v>3585</v>
      </c>
      <c r="G14056" s="63" t="str">
        <f>VLOOKUP(C14056, 'Class Def. - General Data'!$C$20:$C$1000,1,false)</f>
        <v>ZSI1_TRAF_CONE</v>
      </c>
      <c r="H14056" s="63" t="str">
        <f>IFERROR(__xludf.DUMMYFUNCTION("VLOOKUP(F14056, IMPORTRANGE(""https://docs.google.com/spreadsheets/d/1Lhp9OU0JdFf_VYSMzH5lBcEaU4o8teT1piV-SNzShjg/edit?gid=554141278#gid=554141278"", ""'Char Def. - Attributes'!C20:C2242""), 1,false)"),"HS_CODE")</f>
        <v>HS_CODE</v>
      </c>
      <c r="I14056" s="136"/>
      <c r="R14056" s="63" t="str">
        <f t="shared" si="60"/>
        <v>ZSI1_TRAF_CONEHS_CODE</v>
      </c>
    </row>
    <row r="14057" ht="15.75" customHeight="1">
      <c r="B14057" s="63">
        <f t="shared" si="1"/>
        <v>14</v>
      </c>
      <c r="C14057" s="135" t="s">
        <v>475</v>
      </c>
      <c r="D14057" s="161" t="s">
        <v>74</v>
      </c>
      <c r="E14057" s="135">
        <f t="shared" si="62"/>
        <v>5</v>
      </c>
      <c r="F14057" s="134" t="s">
        <v>3587</v>
      </c>
      <c r="G14057" s="63" t="str">
        <f>VLOOKUP(C14057, 'Class Def. - General Data'!$C$20:$C$1000,1,false)</f>
        <v>ZSI1_TRAF_CONE</v>
      </c>
      <c r="H14057" s="63" t="str">
        <f>IFERROR(__xludf.DUMMYFUNCTION("VLOOKUP(F14057, IMPORTRANGE(""https://docs.google.com/spreadsheets/d/1Lhp9OU0JdFf_VYSMzH5lBcEaU4o8teT1piV-SNzShjg/edit?gid=554141278#gid=554141278"", ""'Char Def. - Attributes'!C20:C2242""), 1,false)"),"PLANT_BUY")</f>
        <v>PLANT_BUY</v>
      </c>
      <c r="I14057" s="136"/>
      <c r="R14057" s="63" t="str">
        <f t="shared" si="60"/>
        <v>ZSI1_TRAF_CONEPLANT_BUY</v>
      </c>
    </row>
    <row r="14058" ht="15.75" customHeight="1">
      <c r="B14058" s="63">
        <f t="shared" si="1"/>
        <v>14</v>
      </c>
      <c r="C14058" s="135" t="s">
        <v>475</v>
      </c>
      <c r="D14058" s="161" t="s">
        <v>74</v>
      </c>
      <c r="E14058" s="135">
        <f t="shared" si="62"/>
        <v>6</v>
      </c>
      <c r="F14058" s="134" t="s">
        <v>5514</v>
      </c>
      <c r="G14058" s="63" t="str">
        <f>VLOOKUP(C14058, 'Class Def. - General Data'!$C$20:$C$1000,1,false)</f>
        <v>ZSI1_TRAF_CONE</v>
      </c>
      <c r="H14058" s="63" t="str">
        <f>IFERROR(__xludf.DUMMYFUNCTION("VLOOKUP(F14058, IMPORTRANGE(""https://docs.google.com/spreadsheets/d/1Lhp9OU0JdFf_VYSMzH5lBcEaU4o8teT1piV-SNzShjg/edit?gid=554141278#gid=554141278"", ""'Char Def. - Attributes'!C20:C2242""), 1,false)"),"BASE_UOM_TRAF_CONE")</f>
        <v>BASE_UOM_TRAF_CONE</v>
      </c>
      <c r="I14058" s="136"/>
      <c r="R14058" s="63" t="str">
        <f t="shared" si="60"/>
        <v>ZSI1_TRAF_CONEBASE_UOM_TRAF_CONE</v>
      </c>
    </row>
    <row r="14059" ht="15.75" customHeight="1">
      <c r="B14059" s="63">
        <f t="shared" si="1"/>
        <v>14</v>
      </c>
      <c r="C14059" s="135" t="s">
        <v>475</v>
      </c>
      <c r="D14059" s="161" t="s">
        <v>74</v>
      </c>
      <c r="E14059" s="135">
        <f t="shared" si="62"/>
        <v>7</v>
      </c>
      <c r="F14059" s="134" t="s">
        <v>5515</v>
      </c>
      <c r="G14059" s="63" t="str">
        <f>VLOOKUP(C14059, 'Class Def. - General Data'!$C$20:$C$1000,1,false)</f>
        <v>ZSI1_TRAF_CONE</v>
      </c>
      <c r="H14059" s="63" t="str">
        <f>IFERROR(__xludf.DUMMYFUNCTION("VLOOKUP(F14059, IMPORTRANGE(""https://docs.google.com/spreadsheets/d/1Lhp9OU0JdFf_VYSMzH5lBcEaU4o8teT1piV-SNzShjg/edit?gid=554141278#gid=554141278"", ""'Char Def. - Attributes'!C20:C2242""), 1,false)"),"ORDER_UNIT_TRAF_CONE")</f>
        <v>ORDER_UNIT_TRAF_CONE</v>
      </c>
      <c r="I14059" s="136"/>
      <c r="R14059" s="63" t="str">
        <f t="shared" si="60"/>
        <v>ZSI1_TRAF_CONEORDER_UNIT_TRAF_CONE</v>
      </c>
    </row>
    <row r="14060" ht="15.75" customHeight="1">
      <c r="B14060" s="63">
        <f t="shared" si="1"/>
        <v>14</v>
      </c>
      <c r="C14060" s="135" t="s">
        <v>475</v>
      </c>
      <c r="D14060" s="161" t="s">
        <v>74</v>
      </c>
      <c r="E14060" s="135">
        <f t="shared" si="62"/>
        <v>8</v>
      </c>
      <c r="F14060" s="134" t="s">
        <v>4056</v>
      </c>
      <c r="G14060" s="63" t="str">
        <f>VLOOKUP(C14060, 'Class Def. - General Data'!$C$20:$C$1000,1,false)</f>
        <v>ZSI1_TRAF_CONE</v>
      </c>
      <c r="H14060" s="63" t="str">
        <f>IFERROR(__xludf.DUMMYFUNCTION("VLOOKUP(F14060, IMPORTRANGE(""https://docs.google.com/spreadsheets/d/1Lhp9OU0JdFf_VYSMzH5lBcEaU4o8teT1piV-SNzShjg/edit?gid=554141278#gid=554141278"", ""'Char Def. - Attributes'!C20:C2242""), 1,false)"),"GROSS_WEIGHT_OPT")</f>
        <v>GROSS_WEIGHT_OPT</v>
      </c>
      <c r="I14060" s="136"/>
      <c r="R14060" s="63" t="str">
        <f t="shared" si="60"/>
        <v>ZSI1_TRAF_CONEGROSS_WEIGHT_OPT</v>
      </c>
    </row>
    <row r="14061" ht="15.75" customHeight="1">
      <c r="B14061" s="63">
        <f t="shared" si="1"/>
        <v>14</v>
      </c>
      <c r="C14061" s="135" t="s">
        <v>475</v>
      </c>
      <c r="D14061" s="161" t="s">
        <v>74</v>
      </c>
      <c r="E14061" s="135">
        <f t="shared" si="62"/>
        <v>9</v>
      </c>
      <c r="F14061" s="134" t="s">
        <v>4057</v>
      </c>
      <c r="G14061" s="63" t="str">
        <f>VLOOKUP(C14061, 'Class Def. - General Data'!$C$20:$C$1000,1,false)</f>
        <v>ZSI1_TRAF_CONE</v>
      </c>
      <c r="H14061" s="63" t="str">
        <f>IFERROR(__xludf.DUMMYFUNCTION("VLOOKUP(F14061, IMPORTRANGE(""https://docs.google.com/spreadsheets/d/1Lhp9OU0JdFf_VYSMzH5lBcEaU4o8teT1piV-SNzShjg/edit?gid=554141278#gid=554141278"", ""'Char Def. - Attributes'!C20:C2242""), 1,false)"),"NET_WEIGHT_OPT")</f>
        <v>NET_WEIGHT_OPT</v>
      </c>
      <c r="I14061" s="136"/>
      <c r="R14061" s="63" t="str">
        <f t="shared" si="60"/>
        <v>ZSI1_TRAF_CONENET_WEIGHT_OPT</v>
      </c>
    </row>
    <row r="14062" ht="15.75" customHeight="1">
      <c r="B14062" s="63">
        <f t="shared" si="1"/>
        <v>14</v>
      </c>
      <c r="C14062" s="135" t="s">
        <v>475</v>
      </c>
      <c r="D14062" s="161" t="s">
        <v>74</v>
      </c>
      <c r="E14062" s="135">
        <f t="shared" si="62"/>
        <v>10</v>
      </c>
      <c r="F14062" s="134" t="s">
        <v>4058</v>
      </c>
      <c r="G14062" s="63" t="str">
        <f>VLOOKUP(C14062, 'Class Def. - General Data'!$C$20:$C$1000,1,false)</f>
        <v>ZSI1_TRAF_CONE</v>
      </c>
      <c r="H14062" s="63" t="str">
        <f>IFERROR(__xludf.DUMMYFUNCTION("VLOOKUP(F14062, IMPORTRANGE(""https://docs.google.com/spreadsheets/d/1Lhp9OU0JdFf_VYSMzH5lBcEaU4o8teT1piV-SNzShjg/edit?gid=554141278#gid=554141278"", ""'Char Def. - Attributes'!C20:C2242""), 1,false)"),"WEIGHT_UNIT_SI")</f>
        <v>WEIGHT_UNIT_SI</v>
      </c>
      <c r="I14062" s="136"/>
      <c r="R14062" s="63" t="str">
        <f t="shared" si="60"/>
        <v>ZSI1_TRAF_CONEWEIGHT_UNIT_SI</v>
      </c>
    </row>
    <row r="14063" ht="15.75" customHeight="1">
      <c r="B14063" s="63">
        <f t="shared" si="1"/>
        <v>14</v>
      </c>
      <c r="C14063" s="135" t="s">
        <v>475</v>
      </c>
      <c r="D14063" s="161" t="s">
        <v>74</v>
      </c>
      <c r="E14063" s="135">
        <f t="shared" si="62"/>
        <v>11</v>
      </c>
      <c r="F14063" s="134" t="s">
        <v>3877</v>
      </c>
      <c r="G14063" s="63" t="str">
        <f>VLOOKUP(C14063, 'Class Def. - General Data'!$C$20:$C$1000,1,false)</f>
        <v>ZSI1_TRAF_CONE</v>
      </c>
      <c r="H14063" s="63" t="str">
        <f>IFERROR(__xludf.DUMMYFUNCTION("VLOOKUP(F14063, IMPORTRANGE(""https://docs.google.com/spreadsheets/d/1Lhp9OU0JdFf_VYSMzH5lBcEaU4o8teT1piV-SNzShjg/edit?gid=554141278#gid=554141278"", ""'Char Def. - Attributes'!C20:C2242""), 1,false)"),"VOLUME_OPT")</f>
        <v>VOLUME_OPT</v>
      </c>
      <c r="I14063" s="136"/>
      <c r="R14063" s="63" t="str">
        <f t="shared" si="60"/>
        <v>ZSI1_TRAF_CONEVOLUME_OPT</v>
      </c>
    </row>
    <row r="14064" ht="15.75" customHeight="1">
      <c r="B14064" s="63">
        <f t="shared" si="1"/>
        <v>14</v>
      </c>
      <c r="C14064" s="135" t="s">
        <v>475</v>
      </c>
      <c r="D14064" s="161" t="s">
        <v>74</v>
      </c>
      <c r="E14064" s="135">
        <f t="shared" si="62"/>
        <v>12</v>
      </c>
      <c r="F14064" s="134" t="s">
        <v>4059</v>
      </c>
      <c r="G14064" s="63" t="str">
        <f>VLOOKUP(C14064, 'Class Def. - General Data'!$C$20:$C$1000,1,false)</f>
        <v>ZSI1_TRAF_CONE</v>
      </c>
      <c r="H14064" s="63" t="str">
        <f>IFERROR(__xludf.DUMMYFUNCTION("VLOOKUP(F14064, IMPORTRANGE(""https://docs.google.com/spreadsheets/d/1Lhp9OU0JdFf_VYSMzH5lBcEaU4o8teT1piV-SNzShjg/edit?gid=554141278#gid=554141278"", ""'Char Def. - Attributes'!C20:C2242""), 1,false)"),"VOLUME_UNIT_SI")</f>
        <v>VOLUME_UNIT_SI</v>
      </c>
      <c r="I14064" s="136"/>
      <c r="R14064" s="63" t="str">
        <f t="shared" si="60"/>
        <v>ZSI1_TRAF_CONEVOLUME_UNIT_SI</v>
      </c>
    </row>
    <row r="14065" ht="15.75" customHeight="1">
      <c r="B14065" s="63">
        <f t="shared" si="1"/>
        <v>14</v>
      </c>
      <c r="C14065" s="135" t="s">
        <v>475</v>
      </c>
      <c r="D14065" s="161" t="s">
        <v>74</v>
      </c>
      <c r="E14065" s="135">
        <f t="shared" si="62"/>
        <v>13</v>
      </c>
      <c r="F14065" s="134" t="s">
        <v>3804</v>
      </c>
      <c r="G14065" s="63" t="str">
        <f>VLOOKUP(C14065, 'Class Def. - General Data'!$C$20:$C$1000,1,false)</f>
        <v>ZSI1_TRAF_CONE</v>
      </c>
      <c r="H14065" s="63" t="str">
        <f>IFERROR(__xludf.DUMMYFUNCTION("VLOOKUP(F14065, IMPORTRANGE(""https://docs.google.com/spreadsheets/d/1Lhp9OU0JdFf_VYSMzH5lBcEaU4o8teT1piV-SNzShjg/edit?gid=554141278#gid=554141278"", ""'Char Def. - Attributes'!C20:C2242""), 1,false)"),"ALT_UOM1_SIPI")</f>
        <v>ALT_UOM1_SIPI</v>
      </c>
      <c r="I14065" s="136"/>
      <c r="R14065" s="63" t="str">
        <f t="shared" si="60"/>
        <v>ZSI1_TRAF_CONEALT_UOM1_SIPI</v>
      </c>
    </row>
    <row r="14066" ht="15.75" customHeight="1">
      <c r="B14066" s="63">
        <f t="shared" si="1"/>
        <v>14</v>
      </c>
      <c r="C14066" s="135" t="s">
        <v>475</v>
      </c>
      <c r="D14066" s="161" t="s">
        <v>74</v>
      </c>
      <c r="E14066" s="135">
        <f t="shared" si="62"/>
        <v>14</v>
      </c>
      <c r="F14066" s="134" t="s">
        <v>3805</v>
      </c>
      <c r="G14066" s="63" t="str">
        <f>VLOOKUP(C14066, 'Class Def. - General Data'!$C$20:$C$1000,1,false)</f>
        <v>ZSI1_TRAF_CONE</v>
      </c>
      <c r="H14066" s="63" t="str">
        <f>IFERROR(__xludf.DUMMYFUNCTION("VLOOKUP(F14066, IMPORTRANGE(""https://docs.google.com/spreadsheets/d/1Lhp9OU0JdFf_VYSMzH5lBcEaU4o8teT1piV-SNzShjg/edit?gid=554141278#gid=554141278"", ""'Char Def. - Attributes'!C20:C2242""), 1,false)"),"ALT_DENUM_UOM1")</f>
        <v>ALT_DENUM_UOM1</v>
      </c>
      <c r="I14066" s="136"/>
      <c r="R14066" s="63" t="str">
        <f t="shared" si="60"/>
        <v>ZSI1_TRAF_CONEALT_DENUM_UOM1</v>
      </c>
    </row>
    <row r="14067" ht="15.75" customHeight="1">
      <c r="B14067" s="63">
        <f t="shared" si="1"/>
        <v>14</v>
      </c>
      <c r="C14067" s="135" t="s">
        <v>475</v>
      </c>
      <c r="D14067" s="161" t="s">
        <v>74</v>
      </c>
      <c r="E14067" s="135">
        <f t="shared" si="62"/>
        <v>15</v>
      </c>
      <c r="F14067" s="134" t="s">
        <v>3806</v>
      </c>
      <c r="G14067" s="63" t="str">
        <f>VLOOKUP(C14067, 'Class Def. - General Data'!$C$20:$C$1000,1,false)</f>
        <v>ZSI1_TRAF_CONE</v>
      </c>
      <c r="H14067" s="63" t="str">
        <f>IFERROR(__xludf.DUMMYFUNCTION("VLOOKUP(F14067, IMPORTRANGE(""https://docs.google.com/spreadsheets/d/1Lhp9OU0JdFf_VYSMzH5lBcEaU4o8teT1piV-SNzShjg/edit?gid=554141278#gid=554141278"", ""'Char Def. - Attributes'!C20:C2242""), 1,false)"),"ALT_NUM_UOM1")</f>
        <v>ALT_NUM_UOM1</v>
      </c>
      <c r="I14067" s="136"/>
      <c r="R14067" s="63" t="str">
        <f t="shared" si="60"/>
        <v>ZSI1_TRAF_CONEALT_NUM_UOM1</v>
      </c>
    </row>
    <row r="14068" ht="15.75" customHeight="1">
      <c r="B14068" s="63">
        <f t="shared" si="1"/>
        <v>14</v>
      </c>
      <c r="C14068" s="135" t="s">
        <v>475</v>
      </c>
      <c r="D14068" s="161" t="s">
        <v>74</v>
      </c>
      <c r="E14068" s="135">
        <f t="shared" si="62"/>
        <v>16</v>
      </c>
      <c r="F14068" s="134" t="s">
        <v>3807</v>
      </c>
      <c r="G14068" s="63" t="str">
        <f>VLOOKUP(C14068, 'Class Def. - General Data'!$C$20:$C$1000,1,false)</f>
        <v>ZSI1_TRAF_CONE</v>
      </c>
      <c r="H14068" s="63" t="str">
        <f>IFERROR(__xludf.DUMMYFUNCTION("VLOOKUP(F14068, IMPORTRANGE(""https://docs.google.com/spreadsheets/d/1Lhp9OU0JdFf_VYSMzH5lBcEaU4o8teT1piV-SNzShjg/edit?gid=554141278#gid=554141278"", ""'Char Def. - Attributes'!C20:C2242""), 1,false)"),"ALT_UOM2_SIPI")</f>
        <v>ALT_UOM2_SIPI</v>
      </c>
      <c r="I14068" s="136"/>
      <c r="R14068" s="63" t="str">
        <f t="shared" si="60"/>
        <v>ZSI1_TRAF_CONEALT_UOM2_SIPI</v>
      </c>
    </row>
    <row r="14069" ht="15.75" customHeight="1">
      <c r="B14069" s="63">
        <f t="shared" si="1"/>
        <v>14</v>
      </c>
      <c r="C14069" s="135" t="s">
        <v>475</v>
      </c>
      <c r="D14069" s="161" t="s">
        <v>74</v>
      </c>
      <c r="E14069" s="135">
        <f t="shared" si="62"/>
        <v>17</v>
      </c>
      <c r="F14069" s="134" t="s">
        <v>3808</v>
      </c>
      <c r="G14069" s="63" t="str">
        <f>VLOOKUP(C14069, 'Class Def. - General Data'!$C$20:$C$1000,1,false)</f>
        <v>ZSI1_TRAF_CONE</v>
      </c>
      <c r="H14069" s="63" t="str">
        <f>IFERROR(__xludf.DUMMYFUNCTION("VLOOKUP(F14069, IMPORTRANGE(""https://docs.google.com/spreadsheets/d/1Lhp9OU0JdFf_VYSMzH5lBcEaU4o8teT1piV-SNzShjg/edit?gid=554141278#gid=554141278"", ""'Char Def. - Attributes'!C20:C2242""), 1,false)"),"ALT_DENUM_UOM2")</f>
        <v>ALT_DENUM_UOM2</v>
      </c>
      <c r="I14069" s="136"/>
      <c r="R14069" s="63" t="str">
        <f t="shared" si="60"/>
        <v>ZSI1_TRAF_CONEALT_DENUM_UOM2</v>
      </c>
    </row>
    <row r="14070" ht="15.75" customHeight="1">
      <c r="B14070" s="63">
        <f t="shared" si="1"/>
        <v>14</v>
      </c>
      <c r="C14070" s="135" t="s">
        <v>475</v>
      </c>
      <c r="D14070" s="161" t="s">
        <v>74</v>
      </c>
      <c r="E14070" s="135">
        <f t="shared" si="62"/>
        <v>18</v>
      </c>
      <c r="F14070" s="134" t="s">
        <v>3809</v>
      </c>
      <c r="G14070" s="63" t="str">
        <f>VLOOKUP(C14070, 'Class Def. - General Data'!$C$20:$C$1000,1,false)</f>
        <v>ZSI1_TRAF_CONE</v>
      </c>
      <c r="H14070" s="63" t="str">
        <f>IFERROR(__xludf.DUMMYFUNCTION("VLOOKUP(F14070, IMPORTRANGE(""https://docs.google.com/spreadsheets/d/1Lhp9OU0JdFf_VYSMzH5lBcEaU4o8teT1piV-SNzShjg/edit?gid=554141278#gid=554141278"", ""'Char Def. - Attributes'!C20:C2242""), 1,false)"),"ALT_NUM_UOM2")</f>
        <v>ALT_NUM_UOM2</v>
      </c>
      <c r="I14070" s="136"/>
      <c r="R14070" s="63" t="str">
        <f t="shared" si="60"/>
        <v>ZSI1_TRAF_CONEALT_NUM_UOM2</v>
      </c>
    </row>
    <row r="14071" ht="15.75" customHeight="1">
      <c r="B14071" s="63">
        <f t="shared" si="1"/>
        <v>14</v>
      </c>
      <c r="C14071" s="135" t="s">
        <v>475</v>
      </c>
      <c r="D14071" s="161" t="s">
        <v>74</v>
      </c>
      <c r="E14071" s="135">
        <f t="shared" si="62"/>
        <v>19</v>
      </c>
      <c r="F14071" s="134" t="s">
        <v>3810</v>
      </c>
      <c r="G14071" s="63" t="str">
        <f>VLOOKUP(C14071, 'Class Def. - General Data'!$C$20:$C$1000,1,false)</f>
        <v>ZSI1_TRAF_CONE</v>
      </c>
      <c r="H14071" s="63" t="str">
        <f>IFERROR(__xludf.DUMMYFUNCTION("VLOOKUP(F14071, IMPORTRANGE(""https://docs.google.com/spreadsheets/d/1Lhp9OU0JdFf_VYSMzH5lBcEaU4o8teT1piV-SNzShjg/edit?gid=554141278#gid=554141278"", ""'Char Def. - Attributes'!C20:C2242""), 1,false)"),"ALT_UOM3_SIPI")</f>
        <v>ALT_UOM3_SIPI</v>
      </c>
      <c r="I14071" s="136"/>
      <c r="R14071" s="63" t="str">
        <f t="shared" si="60"/>
        <v>ZSI1_TRAF_CONEALT_UOM3_SIPI</v>
      </c>
    </row>
    <row r="14072" ht="15.75" customHeight="1">
      <c r="B14072" s="63">
        <f t="shared" si="1"/>
        <v>14</v>
      </c>
      <c r="C14072" s="135" t="s">
        <v>475</v>
      </c>
      <c r="D14072" s="161" t="s">
        <v>74</v>
      </c>
      <c r="E14072" s="135">
        <f t="shared" si="62"/>
        <v>20</v>
      </c>
      <c r="F14072" s="134" t="s">
        <v>3811</v>
      </c>
      <c r="G14072" s="63" t="str">
        <f>VLOOKUP(C14072, 'Class Def. - General Data'!$C$20:$C$1000,1,false)</f>
        <v>ZSI1_TRAF_CONE</v>
      </c>
      <c r="H14072" s="63" t="str">
        <f>IFERROR(__xludf.DUMMYFUNCTION("VLOOKUP(F14072, IMPORTRANGE(""https://docs.google.com/spreadsheets/d/1Lhp9OU0JdFf_VYSMzH5lBcEaU4o8teT1piV-SNzShjg/edit?gid=554141278#gid=554141278"", ""'Char Def. - Attributes'!C20:C2242""), 1,false)"),"ALT_DENUM_UOM3")</f>
        <v>ALT_DENUM_UOM3</v>
      </c>
      <c r="I14072" s="136"/>
      <c r="R14072" s="63" t="str">
        <f t="shared" si="60"/>
        <v>ZSI1_TRAF_CONEALT_DENUM_UOM3</v>
      </c>
    </row>
    <row r="14073" ht="15.75" customHeight="1">
      <c r="B14073" s="63">
        <f t="shared" si="1"/>
        <v>14</v>
      </c>
      <c r="C14073" s="135" t="s">
        <v>475</v>
      </c>
      <c r="D14073" s="161" t="s">
        <v>74</v>
      </c>
      <c r="E14073" s="135">
        <f t="shared" si="62"/>
        <v>21</v>
      </c>
      <c r="F14073" s="134" t="s">
        <v>3812</v>
      </c>
      <c r="G14073" s="63" t="str">
        <f>VLOOKUP(C14073, 'Class Def. - General Data'!$C$20:$C$1000,1,false)</f>
        <v>ZSI1_TRAF_CONE</v>
      </c>
      <c r="H14073" s="63" t="str">
        <f>IFERROR(__xludf.DUMMYFUNCTION("VLOOKUP(F14073, IMPORTRANGE(""https://docs.google.com/spreadsheets/d/1Lhp9OU0JdFf_VYSMzH5lBcEaU4o8teT1piV-SNzShjg/edit?gid=554141278#gid=554141278"", ""'Char Def. - Attributes'!C20:C2242""), 1,false)"),"ALT_NUM_UOM3")</f>
        <v>ALT_NUM_UOM3</v>
      </c>
      <c r="I14073" s="136"/>
      <c r="R14073" s="63" t="str">
        <f t="shared" si="60"/>
        <v>ZSI1_TRAF_CONEALT_NUM_UOM3</v>
      </c>
    </row>
    <row r="14074" ht="15.75" customHeight="1">
      <c r="B14074" s="63">
        <f t="shared" si="1"/>
        <v>14</v>
      </c>
      <c r="C14074" s="135" t="s">
        <v>475</v>
      </c>
      <c r="D14074" s="161" t="s">
        <v>74</v>
      </c>
      <c r="E14074" s="135">
        <f t="shared" si="62"/>
        <v>22</v>
      </c>
      <c r="F14074" s="134" t="s">
        <v>3813</v>
      </c>
      <c r="G14074" s="63" t="str">
        <f>VLOOKUP(C14074, 'Class Def. - General Data'!$C$20:$C$1000,1,false)</f>
        <v>ZSI1_TRAF_CONE</v>
      </c>
      <c r="H14074" s="63" t="str">
        <f>IFERROR(__xludf.DUMMYFUNCTION("VLOOKUP(F14074, IMPORTRANGE(""https://docs.google.com/spreadsheets/d/1Lhp9OU0JdFf_VYSMzH5lBcEaU4o8teT1piV-SNzShjg/edit?gid=554141278#gid=554141278"", ""'Char Def. - Attributes'!C20:C2242""), 1,false)"),"ALT_UOM4_SIPI")</f>
        <v>ALT_UOM4_SIPI</v>
      </c>
      <c r="I14074" s="136"/>
      <c r="R14074" s="63" t="str">
        <f t="shared" si="60"/>
        <v>ZSI1_TRAF_CONEALT_UOM4_SIPI</v>
      </c>
    </row>
    <row r="14075" ht="15.75" customHeight="1">
      <c r="B14075" s="63">
        <f t="shared" si="1"/>
        <v>14</v>
      </c>
      <c r="C14075" s="135" t="s">
        <v>475</v>
      </c>
      <c r="D14075" s="161" t="s">
        <v>74</v>
      </c>
      <c r="E14075" s="135">
        <f t="shared" si="62"/>
        <v>23</v>
      </c>
      <c r="F14075" s="134" t="s">
        <v>3814</v>
      </c>
      <c r="G14075" s="63" t="str">
        <f>VLOOKUP(C14075, 'Class Def. - General Data'!$C$20:$C$1000,1,false)</f>
        <v>ZSI1_TRAF_CONE</v>
      </c>
      <c r="H14075" s="63" t="str">
        <f>IFERROR(__xludf.DUMMYFUNCTION("VLOOKUP(F14075, IMPORTRANGE(""https://docs.google.com/spreadsheets/d/1Lhp9OU0JdFf_VYSMzH5lBcEaU4o8teT1piV-SNzShjg/edit?gid=554141278#gid=554141278"", ""'Char Def. - Attributes'!C20:C2242""), 1,false)"),"ALT_DENUM_UOM4")</f>
        <v>ALT_DENUM_UOM4</v>
      </c>
      <c r="I14075" s="136"/>
      <c r="R14075" s="63" t="str">
        <f t="shared" si="60"/>
        <v>ZSI1_TRAF_CONEALT_DENUM_UOM4</v>
      </c>
    </row>
    <row r="14076" ht="15.75" customHeight="1">
      <c r="B14076" s="63">
        <f t="shared" si="1"/>
        <v>14</v>
      </c>
      <c r="C14076" s="135" t="s">
        <v>475</v>
      </c>
      <c r="D14076" s="161" t="s">
        <v>74</v>
      </c>
      <c r="E14076" s="135">
        <f t="shared" si="62"/>
        <v>24</v>
      </c>
      <c r="F14076" s="134" t="s">
        <v>3815</v>
      </c>
      <c r="G14076" s="63" t="str">
        <f>VLOOKUP(C14076, 'Class Def. - General Data'!$C$20:$C$1000,1,false)</f>
        <v>ZSI1_TRAF_CONE</v>
      </c>
      <c r="H14076" s="63" t="str">
        <f>IFERROR(__xludf.DUMMYFUNCTION("VLOOKUP(F14076, IMPORTRANGE(""https://docs.google.com/spreadsheets/d/1Lhp9OU0JdFf_VYSMzH5lBcEaU4o8teT1piV-SNzShjg/edit?gid=554141278#gid=554141278"", ""'Char Def. - Attributes'!C20:C2242""), 1,false)"),"ALT_NUM_UOM4")</f>
        <v>ALT_NUM_UOM4</v>
      </c>
      <c r="I14076" s="136"/>
      <c r="R14076" s="63" t="str">
        <f t="shared" si="60"/>
        <v>ZSI1_TRAF_CONEALT_NUM_UOM4</v>
      </c>
    </row>
    <row r="14077" ht="15.75" customHeight="1">
      <c r="B14077" s="63">
        <f t="shared" si="1"/>
        <v>14</v>
      </c>
      <c r="C14077" s="135" t="s">
        <v>475</v>
      </c>
      <c r="D14077" s="161" t="s">
        <v>74</v>
      </c>
      <c r="E14077" s="135">
        <f t="shared" si="62"/>
        <v>25</v>
      </c>
      <c r="F14077" s="134" t="s">
        <v>3816</v>
      </c>
      <c r="G14077" s="63" t="str">
        <f>VLOOKUP(C14077, 'Class Def. - General Data'!$C$20:$C$1000,1,false)</f>
        <v>ZSI1_TRAF_CONE</v>
      </c>
      <c r="H14077" s="63" t="str">
        <f>IFERROR(__xludf.DUMMYFUNCTION("VLOOKUP(F14077, IMPORTRANGE(""https://docs.google.com/spreadsheets/d/1Lhp9OU0JdFf_VYSMzH5lBcEaU4o8teT1piV-SNzShjg/edit?gid=554141278#gid=554141278"", ""'Char Def. - Attributes'!C20:C2242""), 1,false)"),"ALT_UOM5_SIPI")</f>
        <v>ALT_UOM5_SIPI</v>
      </c>
      <c r="I14077" s="136"/>
      <c r="R14077" s="63" t="str">
        <f t="shared" si="60"/>
        <v>ZSI1_TRAF_CONEALT_UOM5_SIPI</v>
      </c>
    </row>
    <row r="14078" ht="15.75" customHeight="1">
      <c r="B14078" s="63">
        <f t="shared" si="1"/>
        <v>14</v>
      </c>
      <c r="C14078" s="135" t="s">
        <v>475</v>
      </c>
      <c r="D14078" s="161" t="s">
        <v>74</v>
      </c>
      <c r="E14078" s="135">
        <f t="shared" si="62"/>
        <v>26</v>
      </c>
      <c r="F14078" s="134" t="s">
        <v>3817</v>
      </c>
      <c r="G14078" s="63" t="str">
        <f>VLOOKUP(C14078, 'Class Def. - General Data'!$C$20:$C$1000,1,false)</f>
        <v>ZSI1_TRAF_CONE</v>
      </c>
      <c r="H14078" s="63" t="str">
        <f>IFERROR(__xludf.DUMMYFUNCTION("VLOOKUP(F14078, IMPORTRANGE(""https://docs.google.com/spreadsheets/d/1Lhp9OU0JdFf_VYSMzH5lBcEaU4o8teT1piV-SNzShjg/edit?gid=554141278#gid=554141278"", ""'Char Def. - Attributes'!C20:C2242""), 1,false)"),"ALT_DENUM_UOM5")</f>
        <v>ALT_DENUM_UOM5</v>
      </c>
      <c r="I14078" s="136"/>
      <c r="R14078" s="63" t="str">
        <f t="shared" si="60"/>
        <v>ZSI1_TRAF_CONEALT_DENUM_UOM5</v>
      </c>
    </row>
    <row r="14079" ht="15.75" customHeight="1">
      <c r="B14079" s="63">
        <f t="shared" si="1"/>
        <v>14</v>
      </c>
      <c r="C14079" s="135" t="s">
        <v>475</v>
      </c>
      <c r="D14079" s="161" t="s">
        <v>74</v>
      </c>
      <c r="E14079" s="135">
        <f t="shared" si="62"/>
        <v>27</v>
      </c>
      <c r="F14079" s="134" t="s">
        <v>3818</v>
      </c>
      <c r="G14079" s="63" t="str">
        <f>VLOOKUP(C14079, 'Class Def. - General Data'!$C$20:$C$1000,1,false)</f>
        <v>ZSI1_TRAF_CONE</v>
      </c>
      <c r="H14079" s="63" t="str">
        <f>IFERROR(__xludf.DUMMYFUNCTION("VLOOKUP(F14079, IMPORTRANGE(""https://docs.google.com/spreadsheets/d/1Lhp9OU0JdFf_VYSMzH5lBcEaU4o8teT1piV-SNzShjg/edit?gid=554141278#gid=554141278"", ""'Char Def. - Attributes'!C20:C2242""), 1,false)"),"ALT_NUM_UOM5")</f>
        <v>ALT_NUM_UOM5</v>
      </c>
      <c r="I14079" s="136"/>
      <c r="R14079" s="63" t="str">
        <f t="shared" si="60"/>
        <v>ZSI1_TRAF_CONEALT_NUM_UOM5</v>
      </c>
    </row>
    <row r="14080" ht="15.75" customHeight="1">
      <c r="B14080" s="63">
        <f t="shared" si="1"/>
        <v>15</v>
      </c>
      <c r="C14080" s="75" t="s">
        <v>5516</v>
      </c>
      <c r="D14080" s="161" t="s">
        <v>74</v>
      </c>
      <c r="E14080" s="135">
        <f t="shared" si="62"/>
        <v>1</v>
      </c>
      <c r="F14080" s="134" t="s">
        <v>5517</v>
      </c>
      <c r="G14080" s="63" t="str">
        <f>VLOOKUP(C14080, 'Class Def. - General Data'!$C$20:$C$1000,1,false)</f>
        <v>#N/A</v>
      </c>
      <c r="H14080" s="63" t="str">
        <f>IFERROR(__xludf.DUMMYFUNCTION("VLOOKUP(F14080, IMPORTRANGE(""https://docs.google.com/spreadsheets/d/1Lhp9OU0JdFf_VYSMzH5lBcEaU4o8teT1piV-SNzShjg/edit?gid=554141278#gid=554141278"", ""'Char Def. - Attributes'!C20:C2242""), 1,false)"),"#N/A")</f>
        <v>#N/A</v>
      </c>
      <c r="I14080" s="136"/>
      <c r="R14080" s="63" t="str">
        <f t="shared" si="60"/>
        <v>ZSI1_TRANSISTORITEM_NAME_TRANSISTOR</v>
      </c>
    </row>
    <row r="14081" ht="15.75" customHeight="1">
      <c r="B14081" s="63">
        <f t="shared" si="1"/>
        <v>15</v>
      </c>
      <c r="C14081" s="75" t="s">
        <v>5516</v>
      </c>
      <c r="D14081" s="161" t="s">
        <v>74</v>
      </c>
      <c r="E14081" s="135">
        <f t="shared" si="62"/>
        <v>2</v>
      </c>
      <c r="F14081" s="134" t="s">
        <v>5518</v>
      </c>
      <c r="G14081" s="63" t="str">
        <f>VLOOKUP(C14081, 'Class Def. - General Data'!$C$20:$C$1000,1,false)</f>
        <v>#N/A</v>
      </c>
      <c r="H14081" s="63" t="str">
        <f>IFERROR(__xludf.DUMMYFUNCTION("VLOOKUP(F14081, IMPORTRANGE(""https://docs.google.com/spreadsheets/d/1Lhp9OU0JdFf_VYSMzH5lBcEaU4o8teT1piV-SNzShjg/edit?gid=554141278#gid=554141278"", ""'Char Def. - Attributes'!C20:C2242""), 1,false)"),"#N/A")</f>
        <v>#N/A</v>
      </c>
      <c r="I14081" s="136"/>
      <c r="R14081" s="63" t="str">
        <f t="shared" si="60"/>
        <v>ZSI1_TRANSISTORTYPE_TRANSISTOR</v>
      </c>
    </row>
    <row r="14082" ht="15.75" customHeight="1">
      <c r="B14082" s="63">
        <f t="shared" si="1"/>
        <v>15</v>
      </c>
      <c r="C14082" s="75" t="s">
        <v>5516</v>
      </c>
      <c r="D14082" s="161" t="s">
        <v>74</v>
      </c>
      <c r="E14082" s="135">
        <f t="shared" si="62"/>
        <v>3</v>
      </c>
      <c r="F14082" s="134" t="s">
        <v>3585</v>
      </c>
      <c r="G14082" s="63" t="str">
        <f>VLOOKUP(C14082, 'Class Def. - General Data'!$C$20:$C$1000,1,false)</f>
        <v>#N/A</v>
      </c>
      <c r="H14082" s="63" t="str">
        <f>IFERROR(__xludf.DUMMYFUNCTION("VLOOKUP(F14082, IMPORTRANGE(""https://docs.google.com/spreadsheets/d/1Lhp9OU0JdFf_VYSMzH5lBcEaU4o8teT1piV-SNzShjg/edit?gid=554141278#gid=554141278"", ""'Char Def. - Attributes'!C20:C2242""), 1,false)"),"HS_CODE")</f>
        <v>HS_CODE</v>
      </c>
      <c r="I14082" s="136"/>
      <c r="R14082" s="63" t="str">
        <f t="shared" si="60"/>
        <v>ZSI1_TRANSISTORHS_CODE</v>
      </c>
    </row>
    <row r="14083" ht="15.75" customHeight="1">
      <c r="B14083" s="63">
        <f t="shared" si="1"/>
        <v>15</v>
      </c>
      <c r="C14083" s="75" t="s">
        <v>5516</v>
      </c>
      <c r="D14083" s="161" t="s">
        <v>74</v>
      </c>
      <c r="E14083" s="135">
        <f t="shared" si="62"/>
        <v>4</v>
      </c>
      <c r="F14083" s="134" t="s">
        <v>3587</v>
      </c>
      <c r="G14083" s="63" t="str">
        <f>VLOOKUP(C14083, 'Class Def. - General Data'!$C$20:$C$1000,1,false)</f>
        <v>#N/A</v>
      </c>
      <c r="H14083" s="63" t="str">
        <f>IFERROR(__xludf.DUMMYFUNCTION("VLOOKUP(F14083, IMPORTRANGE(""https://docs.google.com/spreadsheets/d/1Lhp9OU0JdFf_VYSMzH5lBcEaU4o8teT1piV-SNzShjg/edit?gid=554141278#gid=554141278"", ""'Char Def. - Attributes'!C20:C2242""), 1,false)"),"PLANT_BUY")</f>
        <v>PLANT_BUY</v>
      </c>
      <c r="I14083" s="136"/>
      <c r="R14083" s="63" t="str">
        <f t="shared" si="60"/>
        <v>ZSI1_TRANSISTORPLANT_BUY</v>
      </c>
    </row>
    <row r="14084" ht="15.75" customHeight="1">
      <c r="B14084" s="63">
        <f t="shared" si="1"/>
        <v>15</v>
      </c>
      <c r="C14084" s="75" t="s">
        <v>5516</v>
      </c>
      <c r="D14084" s="161" t="s">
        <v>74</v>
      </c>
      <c r="E14084" s="135">
        <f t="shared" si="62"/>
        <v>5</v>
      </c>
      <c r="F14084" s="134" t="s">
        <v>5519</v>
      </c>
      <c r="G14084" s="63" t="str">
        <f>VLOOKUP(C14084, 'Class Def. - General Data'!$C$20:$C$1000,1,false)</f>
        <v>#N/A</v>
      </c>
      <c r="H14084" s="63" t="str">
        <f>IFERROR(__xludf.DUMMYFUNCTION("VLOOKUP(F14084, IMPORTRANGE(""https://docs.google.com/spreadsheets/d/1Lhp9OU0JdFf_VYSMzH5lBcEaU4o8teT1piV-SNzShjg/edit?gid=554141278#gid=554141278"", ""'Char Def. - Attributes'!C20:C2242""), 1,false)"),"#N/A")</f>
        <v>#N/A</v>
      </c>
      <c r="I14084" s="136"/>
      <c r="R14084" s="63" t="str">
        <f t="shared" si="60"/>
        <v>ZSI1_TRANSISTORBASE_UOM_TRANSISTOR</v>
      </c>
    </row>
    <row r="14085" ht="15.75" customHeight="1">
      <c r="B14085" s="63">
        <f t="shared" si="1"/>
        <v>15</v>
      </c>
      <c r="C14085" s="75" t="s">
        <v>5516</v>
      </c>
      <c r="D14085" s="161" t="s">
        <v>74</v>
      </c>
      <c r="E14085" s="135">
        <f t="shared" si="62"/>
        <v>6</v>
      </c>
      <c r="F14085" s="134" t="s">
        <v>5520</v>
      </c>
      <c r="G14085" s="63" t="str">
        <f>VLOOKUP(C14085, 'Class Def. - General Data'!$C$20:$C$1000,1,false)</f>
        <v>#N/A</v>
      </c>
      <c r="H14085" s="63" t="str">
        <f>IFERROR(__xludf.DUMMYFUNCTION("VLOOKUP(F14085, IMPORTRANGE(""https://docs.google.com/spreadsheets/d/1Lhp9OU0JdFf_VYSMzH5lBcEaU4o8teT1piV-SNzShjg/edit?gid=554141278#gid=554141278"", ""'Char Def. - Attributes'!C20:C2242""), 1,false)"),"#N/A")</f>
        <v>#N/A</v>
      </c>
      <c r="I14085" s="136"/>
      <c r="R14085" s="63" t="str">
        <f t="shared" si="60"/>
        <v>ZSI1_TRANSISTORORDER_UNIT_TRANSISTOR</v>
      </c>
    </row>
    <row r="14086" ht="15.75" customHeight="1">
      <c r="B14086" s="63">
        <f t="shared" si="1"/>
        <v>15</v>
      </c>
      <c r="C14086" s="75" t="s">
        <v>5516</v>
      </c>
      <c r="D14086" s="161" t="s">
        <v>74</v>
      </c>
      <c r="E14086" s="135">
        <f t="shared" si="62"/>
        <v>7</v>
      </c>
      <c r="F14086" s="134" t="s">
        <v>4056</v>
      </c>
      <c r="G14086" s="63" t="str">
        <f>VLOOKUP(C14086, 'Class Def. - General Data'!$C$20:$C$1000,1,false)</f>
        <v>#N/A</v>
      </c>
      <c r="H14086" s="63" t="str">
        <f>IFERROR(__xludf.DUMMYFUNCTION("VLOOKUP(F14086, IMPORTRANGE(""https://docs.google.com/spreadsheets/d/1Lhp9OU0JdFf_VYSMzH5lBcEaU4o8teT1piV-SNzShjg/edit?gid=554141278#gid=554141278"", ""'Char Def. - Attributes'!C20:C2242""), 1,false)"),"GROSS_WEIGHT_OPT")</f>
        <v>GROSS_WEIGHT_OPT</v>
      </c>
      <c r="I14086" s="136"/>
      <c r="R14086" s="63" t="str">
        <f t="shared" si="60"/>
        <v>ZSI1_TRANSISTORGROSS_WEIGHT_OPT</v>
      </c>
    </row>
    <row r="14087" ht="15.75" customHeight="1">
      <c r="B14087" s="63">
        <f t="shared" si="1"/>
        <v>15</v>
      </c>
      <c r="C14087" s="75" t="s">
        <v>5516</v>
      </c>
      <c r="D14087" s="161" t="s">
        <v>74</v>
      </c>
      <c r="E14087" s="135">
        <f t="shared" si="62"/>
        <v>8</v>
      </c>
      <c r="F14087" s="134" t="s">
        <v>4057</v>
      </c>
      <c r="G14087" s="63" t="str">
        <f>VLOOKUP(C14087, 'Class Def. - General Data'!$C$20:$C$1000,1,false)</f>
        <v>#N/A</v>
      </c>
      <c r="H14087" s="63" t="str">
        <f>IFERROR(__xludf.DUMMYFUNCTION("VLOOKUP(F14087, IMPORTRANGE(""https://docs.google.com/spreadsheets/d/1Lhp9OU0JdFf_VYSMzH5lBcEaU4o8teT1piV-SNzShjg/edit?gid=554141278#gid=554141278"", ""'Char Def. - Attributes'!C20:C2242""), 1,false)"),"NET_WEIGHT_OPT")</f>
        <v>NET_WEIGHT_OPT</v>
      </c>
      <c r="I14087" s="136"/>
      <c r="R14087" s="63" t="str">
        <f t="shared" si="60"/>
        <v>ZSI1_TRANSISTORNET_WEIGHT_OPT</v>
      </c>
    </row>
    <row r="14088" ht="15.75" customHeight="1">
      <c r="B14088" s="63">
        <f t="shared" si="1"/>
        <v>15</v>
      </c>
      <c r="C14088" s="75" t="s">
        <v>5516</v>
      </c>
      <c r="D14088" s="161" t="s">
        <v>74</v>
      </c>
      <c r="E14088" s="135">
        <f t="shared" si="62"/>
        <v>9</v>
      </c>
      <c r="F14088" s="134" t="s">
        <v>4058</v>
      </c>
      <c r="G14088" s="63" t="str">
        <f>VLOOKUP(C14088, 'Class Def. - General Data'!$C$20:$C$1000,1,false)</f>
        <v>#N/A</v>
      </c>
      <c r="H14088" s="63" t="str">
        <f>IFERROR(__xludf.DUMMYFUNCTION("VLOOKUP(F14088, IMPORTRANGE(""https://docs.google.com/spreadsheets/d/1Lhp9OU0JdFf_VYSMzH5lBcEaU4o8teT1piV-SNzShjg/edit?gid=554141278#gid=554141278"", ""'Char Def. - Attributes'!C20:C2242""), 1,false)"),"WEIGHT_UNIT_SI")</f>
        <v>WEIGHT_UNIT_SI</v>
      </c>
      <c r="I14088" s="136"/>
      <c r="R14088" s="63" t="str">
        <f t="shared" si="60"/>
        <v>ZSI1_TRANSISTORWEIGHT_UNIT_SI</v>
      </c>
    </row>
    <row r="14089" ht="15.75" customHeight="1">
      <c r="B14089" s="63">
        <f t="shared" si="1"/>
        <v>15</v>
      </c>
      <c r="C14089" s="75" t="s">
        <v>5516</v>
      </c>
      <c r="D14089" s="161" t="s">
        <v>74</v>
      </c>
      <c r="E14089" s="135">
        <f t="shared" si="62"/>
        <v>10</v>
      </c>
      <c r="F14089" s="134" t="s">
        <v>3877</v>
      </c>
      <c r="G14089" s="63" t="str">
        <f>VLOOKUP(C14089, 'Class Def. - General Data'!$C$20:$C$1000,1,false)</f>
        <v>#N/A</v>
      </c>
      <c r="H14089" s="63" t="str">
        <f>IFERROR(__xludf.DUMMYFUNCTION("VLOOKUP(F14089, IMPORTRANGE(""https://docs.google.com/spreadsheets/d/1Lhp9OU0JdFf_VYSMzH5lBcEaU4o8teT1piV-SNzShjg/edit?gid=554141278#gid=554141278"", ""'Char Def. - Attributes'!C20:C2242""), 1,false)"),"VOLUME_OPT")</f>
        <v>VOLUME_OPT</v>
      </c>
      <c r="I14089" s="136"/>
      <c r="R14089" s="63" t="str">
        <f t="shared" si="60"/>
        <v>ZSI1_TRANSISTORVOLUME_OPT</v>
      </c>
    </row>
    <row r="14090" ht="15.75" customHeight="1">
      <c r="B14090" s="63">
        <f t="shared" si="1"/>
        <v>15</v>
      </c>
      <c r="C14090" s="75" t="s">
        <v>5516</v>
      </c>
      <c r="D14090" s="161" t="s">
        <v>74</v>
      </c>
      <c r="E14090" s="135">
        <f t="shared" si="62"/>
        <v>11</v>
      </c>
      <c r="F14090" s="134" t="s">
        <v>4059</v>
      </c>
      <c r="G14090" s="63" t="str">
        <f>VLOOKUP(C14090, 'Class Def. - General Data'!$C$20:$C$1000,1,false)</f>
        <v>#N/A</v>
      </c>
      <c r="H14090" s="63" t="str">
        <f>IFERROR(__xludf.DUMMYFUNCTION("VLOOKUP(F14090, IMPORTRANGE(""https://docs.google.com/spreadsheets/d/1Lhp9OU0JdFf_VYSMzH5lBcEaU4o8teT1piV-SNzShjg/edit?gid=554141278#gid=554141278"", ""'Char Def. - Attributes'!C20:C2242""), 1,false)"),"VOLUME_UNIT_SI")</f>
        <v>VOLUME_UNIT_SI</v>
      </c>
      <c r="I14090" s="136"/>
      <c r="R14090" s="63" t="str">
        <f t="shared" si="60"/>
        <v>ZSI1_TRANSISTORVOLUME_UNIT_SI</v>
      </c>
    </row>
    <row r="14091" ht="15.75" customHeight="1">
      <c r="B14091" s="63">
        <f t="shared" si="1"/>
        <v>15</v>
      </c>
      <c r="C14091" s="75" t="s">
        <v>5516</v>
      </c>
      <c r="D14091" s="161" t="s">
        <v>74</v>
      </c>
      <c r="E14091" s="135">
        <f t="shared" si="62"/>
        <v>12</v>
      </c>
      <c r="F14091" s="134" t="s">
        <v>3804</v>
      </c>
      <c r="G14091" s="63" t="str">
        <f>VLOOKUP(C14091, 'Class Def. - General Data'!$C$20:$C$1000,1,false)</f>
        <v>#N/A</v>
      </c>
      <c r="H14091" s="63" t="str">
        <f>IFERROR(__xludf.DUMMYFUNCTION("VLOOKUP(F14091, IMPORTRANGE(""https://docs.google.com/spreadsheets/d/1Lhp9OU0JdFf_VYSMzH5lBcEaU4o8teT1piV-SNzShjg/edit?gid=554141278#gid=554141278"", ""'Char Def. - Attributes'!C20:C2242""), 1,false)"),"ALT_UOM1_SIPI")</f>
        <v>ALT_UOM1_SIPI</v>
      </c>
      <c r="I14091" s="136"/>
      <c r="R14091" s="63" t="str">
        <f t="shared" si="60"/>
        <v>ZSI1_TRANSISTORALT_UOM1_SIPI</v>
      </c>
    </row>
    <row r="14092" ht="15.75" customHeight="1">
      <c r="B14092" s="63">
        <f t="shared" si="1"/>
        <v>15</v>
      </c>
      <c r="C14092" s="75" t="s">
        <v>5516</v>
      </c>
      <c r="D14092" s="161" t="s">
        <v>74</v>
      </c>
      <c r="E14092" s="135">
        <f t="shared" si="62"/>
        <v>13</v>
      </c>
      <c r="F14092" s="134" t="s">
        <v>3805</v>
      </c>
      <c r="G14092" s="63" t="str">
        <f>VLOOKUP(C14092, 'Class Def. - General Data'!$C$20:$C$1000,1,false)</f>
        <v>#N/A</v>
      </c>
      <c r="H14092" s="63" t="str">
        <f>IFERROR(__xludf.DUMMYFUNCTION("VLOOKUP(F14092, IMPORTRANGE(""https://docs.google.com/spreadsheets/d/1Lhp9OU0JdFf_VYSMzH5lBcEaU4o8teT1piV-SNzShjg/edit?gid=554141278#gid=554141278"", ""'Char Def. - Attributes'!C20:C2242""), 1,false)"),"ALT_DENUM_UOM1")</f>
        <v>ALT_DENUM_UOM1</v>
      </c>
      <c r="I14092" s="136"/>
      <c r="R14092" s="63" t="str">
        <f t="shared" si="60"/>
        <v>ZSI1_TRANSISTORALT_DENUM_UOM1</v>
      </c>
    </row>
    <row r="14093" ht="15.75" customHeight="1">
      <c r="B14093" s="63">
        <f t="shared" si="1"/>
        <v>15</v>
      </c>
      <c r="C14093" s="75" t="s">
        <v>5516</v>
      </c>
      <c r="D14093" s="161" t="s">
        <v>74</v>
      </c>
      <c r="E14093" s="135">
        <f t="shared" si="62"/>
        <v>14</v>
      </c>
      <c r="F14093" s="134" t="s">
        <v>3806</v>
      </c>
      <c r="G14093" s="63" t="str">
        <f>VLOOKUP(C14093, 'Class Def. - General Data'!$C$20:$C$1000,1,false)</f>
        <v>#N/A</v>
      </c>
      <c r="H14093" s="63" t="str">
        <f>IFERROR(__xludf.DUMMYFUNCTION("VLOOKUP(F14093, IMPORTRANGE(""https://docs.google.com/spreadsheets/d/1Lhp9OU0JdFf_VYSMzH5lBcEaU4o8teT1piV-SNzShjg/edit?gid=554141278#gid=554141278"", ""'Char Def. - Attributes'!C20:C2242""), 1,false)"),"ALT_NUM_UOM1")</f>
        <v>ALT_NUM_UOM1</v>
      </c>
      <c r="I14093" s="136"/>
      <c r="R14093" s="63" t="str">
        <f t="shared" si="60"/>
        <v>ZSI1_TRANSISTORALT_NUM_UOM1</v>
      </c>
    </row>
    <row r="14094" ht="15.75" customHeight="1">
      <c r="B14094" s="63">
        <f t="shared" si="1"/>
        <v>15</v>
      </c>
      <c r="C14094" s="75" t="s">
        <v>5516</v>
      </c>
      <c r="D14094" s="161" t="s">
        <v>74</v>
      </c>
      <c r="E14094" s="135">
        <f t="shared" si="62"/>
        <v>15</v>
      </c>
      <c r="F14094" s="134" t="s">
        <v>3807</v>
      </c>
      <c r="G14094" s="63" t="str">
        <f>VLOOKUP(C14094, 'Class Def. - General Data'!$C$20:$C$1000,1,false)</f>
        <v>#N/A</v>
      </c>
      <c r="H14094" s="63" t="str">
        <f>IFERROR(__xludf.DUMMYFUNCTION("VLOOKUP(F14094, IMPORTRANGE(""https://docs.google.com/spreadsheets/d/1Lhp9OU0JdFf_VYSMzH5lBcEaU4o8teT1piV-SNzShjg/edit?gid=554141278#gid=554141278"", ""'Char Def. - Attributes'!C20:C2242""), 1,false)"),"ALT_UOM2_SIPI")</f>
        <v>ALT_UOM2_SIPI</v>
      </c>
      <c r="I14094" s="136"/>
      <c r="R14094" s="63" t="str">
        <f t="shared" si="60"/>
        <v>ZSI1_TRANSISTORALT_UOM2_SIPI</v>
      </c>
    </row>
    <row r="14095" ht="15.75" customHeight="1">
      <c r="B14095" s="63">
        <f t="shared" si="1"/>
        <v>15</v>
      </c>
      <c r="C14095" s="75" t="s">
        <v>5516</v>
      </c>
      <c r="D14095" s="161" t="s">
        <v>74</v>
      </c>
      <c r="E14095" s="135">
        <f t="shared" si="62"/>
        <v>16</v>
      </c>
      <c r="F14095" s="134" t="s">
        <v>3808</v>
      </c>
      <c r="G14095" s="63" t="str">
        <f>VLOOKUP(C14095, 'Class Def. - General Data'!$C$20:$C$1000,1,false)</f>
        <v>#N/A</v>
      </c>
      <c r="H14095" s="63" t="str">
        <f>IFERROR(__xludf.DUMMYFUNCTION("VLOOKUP(F14095, IMPORTRANGE(""https://docs.google.com/spreadsheets/d/1Lhp9OU0JdFf_VYSMzH5lBcEaU4o8teT1piV-SNzShjg/edit?gid=554141278#gid=554141278"", ""'Char Def. - Attributes'!C20:C2242""), 1,false)"),"ALT_DENUM_UOM2")</f>
        <v>ALT_DENUM_UOM2</v>
      </c>
      <c r="I14095" s="136"/>
      <c r="R14095" s="63" t="str">
        <f t="shared" si="60"/>
        <v>ZSI1_TRANSISTORALT_DENUM_UOM2</v>
      </c>
    </row>
    <row r="14096" ht="15.75" customHeight="1">
      <c r="B14096" s="63">
        <f t="shared" si="1"/>
        <v>15</v>
      </c>
      <c r="C14096" s="75" t="s">
        <v>5516</v>
      </c>
      <c r="D14096" s="161" t="s">
        <v>74</v>
      </c>
      <c r="E14096" s="135">
        <f t="shared" si="62"/>
        <v>17</v>
      </c>
      <c r="F14096" s="134" t="s">
        <v>3809</v>
      </c>
      <c r="G14096" s="63" t="str">
        <f>VLOOKUP(C14096, 'Class Def. - General Data'!$C$20:$C$1000,1,false)</f>
        <v>#N/A</v>
      </c>
      <c r="H14096" s="63" t="str">
        <f>IFERROR(__xludf.DUMMYFUNCTION("VLOOKUP(F14096, IMPORTRANGE(""https://docs.google.com/spreadsheets/d/1Lhp9OU0JdFf_VYSMzH5lBcEaU4o8teT1piV-SNzShjg/edit?gid=554141278#gid=554141278"", ""'Char Def. - Attributes'!C20:C2242""), 1,false)"),"ALT_NUM_UOM2")</f>
        <v>ALT_NUM_UOM2</v>
      </c>
      <c r="I14096" s="136"/>
      <c r="R14096" s="63" t="str">
        <f t="shared" si="60"/>
        <v>ZSI1_TRANSISTORALT_NUM_UOM2</v>
      </c>
    </row>
    <row r="14097" ht="15.75" customHeight="1">
      <c r="B14097" s="63">
        <f t="shared" si="1"/>
        <v>15</v>
      </c>
      <c r="C14097" s="75" t="s">
        <v>5516</v>
      </c>
      <c r="D14097" s="161" t="s">
        <v>74</v>
      </c>
      <c r="E14097" s="135">
        <f t="shared" si="62"/>
        <v>18</v>
      </c>
      <c r="F14097" s="134" t="s">
        <v>3810</v>
      </c>
      <c r="G14097" s="63" t="str">
        <f>VLOOKUP(C14097, 'Class Def. - General Data'!$C$20:$C$1000,1,false)</f>
        <v>#N/A</v>
      </c>
      <c r="H14097" s="63" t="str">
        <f>IFERROR(__xludf.DUMMYFUNCTION("VLOOKUP(F14097, IMPORTRANGE(""https://docs.google.com/spreadsheets/d/1Lhp9OU0JdFf_VYSMzH5lBcEaU4o8teT1piV-SNzShjg/edit?gid=554141278#gid=554141278"", ""'Char Def. - Attributes'!C20:C2242""), 1,false)"),"ALT_UOM3_SIPI")</f>
        <v>ALT_UOM3_SIPI</v>
      </c>
      <c r="I14097" s="136"/>
      <c r="R14097" s="63" t="str">
        <f t="shared" si="60"/>
        <v>ZSI1_TRANSISTORALT_UOM3_SIPI</v>
      </c>
    </row>
    <row r="14098" ht="15.75" customHeight="1">
      <c r="B14098" s="63">
        <f t="shared" si="1"/>
        <v>15</v>
      </c>
      <c r="C14098" s="75" t="s">
        <v>5516</v>
      </c>
      <c r="D14098" s="161" t="s">
        <v>74</v>
      </c>
      <c r="E14098" s="135">
        <f t="shared" si="62"/>
        <v>19</v>
      </c>
      <c r="F14098" s="134" t="s">
        <v>3811</v>
      </c>
      <c r="G14098" s="63" t="str">
        <f>VLOOKUP(C14098, 'Class Def. - General Data'!$C$20:$C$1000,1,false)</f>
        <v>#N/A</v>
      </c>
      <c r="H14098" s="63" t="str">
        <f>IFERROR(__xludf.DUMMYFUNCTION("VLOOKUP(F14098, IMPORTRANGE(""https://docs.google.com/spreadsheets/d/1Lhp9OU0JdFf_VYSMzH5lBcEaU4o8teT1piV-SNzShjg/edit?gid=554141278#gid=554141278"", ""'Char Def. - Attributes'!C20:C2242""), 1,false)"),"ALT_DENUM_UOM3")</f>
        <v>ALT_DENUM_UOM3</v>
      </c>
      <c r="I14098" s="136"/>
      <c r="R14098" s="63" t="str">
        <f t="shared" si="60"/>
        <v>ZSI1_TRANSISTORALT_DENUM_UOM3</v>
      </c>
    </row>
    <row r="14099" ht="15.75" customHeight="1">
      <c r="B14099" s="63">
        <f t="shared" si="1"/>
        <v>15</v>
      </c>
      <c r="C14099" s="75" t="s">
        <v>5516</v>
      </c>
      <c r="D14099" s="161" t="s">
        <v>74</v>
      </c>
      <c r="E14099" s="135">
        <f t="shared" si="62"/>
        <v>20</v>
      </c>
      <c r="F14099" s="134" t="s">
        <v>3812</v>
      </c>
      <c r="G14099" s="63" t="str">
        <f>VLOOKUP(C14099, 'Class Def. - General Data'!$C$20:$C$1000,1,false)</f>
        <v>#N/A</v>
      </c>
      <c r="H14099" s="63" t="str">
        <f>IFERROR(__xludf.DUMMYFUNCTION("VLOOKUP(F14099, IMPORTRANGE(""https://docs.google.com/spreadsheets/d/1Lhp9OU0JdFf_VYSMzH5lBcEaU4o8teT1piV-SNzShjg/edit?gid=554141278#gid=554141278"", ""'Char Def. - Attributes'!C20:C2242""), 1,false)"),"ALT_NUM_UOM3")</f>
        <v>ALT_NUM_UOM3</v>
      </c>
      <c r="I14099" s="136"/>
      <c r="R14099" s="63" t="str">
        <f t="shared" si="60"/>
        <v>ZSI1_TRANSISTORALT_NUM_UOM3</v>
      </c>
    </row>
    <row r="14100" ht="15.75" customHeight="1">
      <c r="B14100" s="63">
        <f t="shared" si="1"/>
        <v>15</v>
      </c>
      <c r="C14100" s="75" t="s">
        <v>5516</v>
      </c>
      <c r="D14100" s="161" t="s">
        <v>74</v>
      </c>
      <c r="E14100" s="135">
        <f t="shared" si="62"/>
        <v>21</v>
      </c>
      <c r="F14100" s="134" t="s">
        <v>3813</v>
      </c>
      <c r="G14100" s="63" t="str">
        <f>VLOOKUP(C14100, 'Class Def. - General Data'!$C$20:$C$1000,1,false)</f>
        <v>#N/A</v>
      </c>
      <c r="H14100" s="63" t="str">
        <f>IFERROR(__xludf.DUMMYFUNCTION("VLOOKUP(F14100, IMPORTRANGE(""https://docs.google.com/spreadsheets/d/1Lhp9OU0JdFf_VYSMzH5lBcEaU4o8teT1piV-SNzShjg/edit?gid=554141278#gid=554141278"", ""'Char Def. - Attributes'!C20:C2242""), 1,false)"),"ALT_UOM4_SIPI")</f>
        <v>ALT_UOM4_SIPI</v>
      </c>
      <c r="I14100" s="136"/>
      <c r="R14100" s="63" t="str">
        <f t="shared" si="60"/>
        <v>ZSI1_TRANSISTORALT_UOM4_SIPI</v>
      </c>
    </row>
    <row r="14101" ht="15.75" customHeight="1">
      <c r="B14101" s="63">
        <f t="shared" si="1"/>
        <v>15</v>
      </c>
      <c r="C14101" s="75" t="s">
        <v>5516</v>
      </c>
      <c r="D14101" s="161" t="s">
        <v>74</v>
      </c>
      <c r="E14101" s="135">
        <f t="shared" si="62"/>
        <v>22</v>
      </c>
      <c r="F14101" s="134" t="s">
        <v>3814</v>
      </c>
      <c r="G14101" s="63" t="str">
        <f>VLOOKUP(C14101, 'Class Def. - General Data'!$C$20:$C$1000,1,false)</f>
        <v>#N/A</v>
      </c>
      <c r="H14101" s="63" t="str">
        <f>IFERROR(__xludf.DUMMYFUNCTION("VLOOKUP(F14101, IMPORTRANGE(""https://docs.google.com/spreadsheets/d/1Lhp9OU0JdFf_VYSMzH5lBcEaU4o8teT1piV-SNzShjg/edit?gid=554141278#gid=554141278"", ""'Char Def. - Attributes'!C20:C2242""), 1,false)"),"ALT_DENUM_UOM4")</f>
        <v>ALT_DENUM_UOM4</v>
      </c>
      <c r="I14101" s="136"/>
      <c r="R14101" s="63" t="str">
        <f t="shared" si="60"/>
        <v>ZSI1_TRANSISTORALT_DENUM_UOM4</v>
      </c>
    </row>
    <row r="14102" ht="15.75" customHeight="1">
      <c r="B14102" s="63">
        <f t="shared" si="1"/>
        <v>15</v>
      </c>
      <c r="C14102" s="75" t="s">
        <v>5516</v>
      </c>
      <c r="D14102" s="161" t="s">
        <v>74</v>
      </c>
      <c r="E14102" s="135">
        <f t="shared" si="62"/>
        <v>23</v>
      </c>
      <c r="F14102" s="134" t="s">
        <v>3815</v>
      </c>
      <c r="G14102" s="63" t="str">
        <f>VLOOKUP(C14102, 'Class Def. - General Data'!$C$20:$C$1000,1,false)</f>
        <v>#N/A</v>
      </c>
      <c r="H14102" s="63" t="str">
        <f>IFERROR(__xludf.DUMMYFUNCTION("VLOOKUP(F14102, IMPORTRANGE(""https://docs.google.com/spreadsheets/d/1Lhp9OU0JdFf_VYSMzH5lBcEaU4o8teT1piV-SNzShjg/edit?gid=554141278#gid=554141278"", ""'Char Def. - Attributes'!C20:C2242""), 1,false)"),"ALT_NUM_UOM4")</f>
        <v>ALT_NUM_UOM4</v>
      </c>
      <c r="I14102" s="136"/>
      <c r="R14102" s="63" t="str">
        <f t="shared" si="60"/>
        <v>ZSI1_TRANSISTORALT_NUM_UOM4</v>
      </c>
    </row>
    <row r="14103" ht="15.75" customHeight="1">
      <c r="B14103" s="63">
        <f t="shared" si="1"/>
        <v>15</v>
      </c>
      <c r="C14103" s="75" t="s">
        <v>5516</v>
      </c>
      <c r="D14103" s="161" t="s">
        <v>74</v>
      </c>
      <c r="E14103" s="135">
        <f t="shared" si="62"/>
        <v>24</v>
      </c>
      <c r="F14103" s="134" t="s">
        <v>3816</v>
      </c>
      <c r="G14103" s="63" t="str">
        <f>VLOOKUP(C14103, 'Class Def. - General Data'!$C$20:$C$1000,1,false)</f>
        <v>#N/A</v>
      </c>
      <c r="H14103" s="63" t="str">
        <f>IFERROR(__xludf.DUMMYFUNCTION("VLOOKUP(F14103, IMPORTRANGE(""https://docs.google.com/spreadsheets/d/1Lhp9OU0JdFf_VYSMzH5lBcEaU4o8teT1piV-SNzShjg/edit?gid=554141278#gid=554141278"", ""'Char Def. - Attributes'!C20:C2242""), 1,false)"),"ALT_UOM5_SIPI")</f>
        <v>ALT_UOM5_SIPI</v>
      </c>
      <c r="I14103" s="136"/>
      <c r="R14103" s="63" t="str">
        <f t="shared" si="60"/>
        <v>ZSI1_TRANSISTORALT_UOM5_SIPI</v>
      </c>
    </row>
    <row r="14104" ht="15.75" customHeight="1">
      <c r="B14104" s="63">
        <f t="shared" si="1"/>
        <v>15</v>
      </c>
      <c r="C14104" s="75" t="s">
        <v>5516</v>
      </c>
      <c r="D14104" s="161" t="s">
        <v>74</v>
      </c>
      <c r="E14104" s="135">
        <f t="shared" si="62"/>
        <v>25</v>
      </c>
      <c r="F14104" s="134" t="s">
        <v>3817</v>
      </c>
      <c r="G14104" s="63" t="str">
        <f>VLOOKUP(C14104, 'Class Def. - General Data'!$C$20:$C$1000,1,false)</f>
        <v>#N/A</v>
      </c>
      <c r="H14104" s="63" t="str">
        <f>IFERROR(__xludf.DUMMYFUNCTION("VLOOKUP(F14104, IMPORTRANGE(""https://docs.google.com/spreadsheets/d/1Lhp9OU0JdFf_VYSMzH5lBcEaU4o8teT1piV-SNzShjg/edit?gid=554141278#gid=554141278"", ""'Char Def. - Attributes'!C20:C2242""), 1,false)"),"ALT_DENUM_UOM5")</f>
        <v>ALT_DENUM_UOM5</v>
      </c>
      <c r="I14104" s="136"/>
      <c r="R14104" s="63" t="str">
        <f t="shared" si="60"/>
        <v>ZSI1_TRANSISTORALT_DENUM_UOM5</v>
      </c>
    </row>
    <row r="14105" ht="15.75" customHeight="1">
      <c r="B14105" s="63">
        <f t="shared" si="1"/>
        <v>15</v>
      </c>
      <c r="C14105" s="75" t="s">
        <v>5516</v>
      </c>
      <c r="D14105" s="161" t="s">
        <v>74</v>
      </c>
      <c r="E14105" s="135">
        <f t="shared" si="62"/>
        <v>26</v>
      </c>
      <c r="F14105" s="134" t="s">
        <v>3818</v>
      </c>
      <c r="G14105" s="63" t="str">
        <f>VLOOKUP(C14105, 'Class Def. - General Data'!$C$20:$C$1000,1,false)</f>
        <v>#N/A</v>
      </c>
      <c r="H14105" s="63" t="str">
        <f>IFERROR(__xludf.DUMMYFUNCTION("VLOOKUP(F14105, IMPORTRANGE(""https://docs.google.com/spreadsheets/d/1Lhp9OU0JdFf_VYSMzH5lBcEaU4o8teT1piV-SNzShjg/edit?gid=554141278#gid=554141278"", ""'Char Def. - Attributes'!C20:C2242""), 1,false)"),"ALT_NUM_UOM5")</f>
        <v>ALT_NUM_UOM5</v>
      </c>
      <c r="I14105" s="136"/>
      <c r="R14105" s="63" t="str">
        <f t="shared" si="60"/>
        <v>ZSI1_TRANSISTORALT_NUM_UOM5</v>
      </c>
    </row>
    <row r="14106" ht="15.75" customHeight="1">
      <c r="B14106" s="63">
        <f t="shared" si="1"/>
        <v>18</v>
      </c>
      <c r="C14106" s="135" t="s">
        <v>527</v>
      </c>
      <c r="D14106" s="161" t="s">
        <v>74</v>
      </c>
      <c r="E14106" s="135">
        <f t="shared" si="62"/>
        <v>1</v>
      </c>
      <c r="F14106" s="134" t="s">
        <v>5521</v>
      </c>
      <c r="G14106" s="63" t="str">
        <f>VLOOKUP(C14106, 'Class Def. - General Data'!$C$20:$C$1000,1,false)</f>
        <v>ZSI1_TRANSMSN_SHFT</v>
      </c>
      <c r="H14106" s="63" t="str">
        <f>IFERROR(__xludf.DUMMYFUNCTION("VLOOKUP(F14106, IMPORTRANGE(""https://docs.google.com/spreadsheets/d/1Lhp9OU0JdFf_VYSMzH5lBcEaU4o8teT1piV-SNzShjg/edit?gid=554141278#gid=554141278"", ""'Char Def. - Attributes'!C20:C2242""), 1,false)"),"ITEM_NAME_TRANSMSN_SHFT")</f>
        <v>ITEM_NAME_TRANSMSN_SHFT</v>
      </c>
      <c r="I14106" s="136"/>
      <c r="R14106" s="63" t="str">
        <f t="shared" si="60"/>
        <v>ZSI1_TRANSMSN_SHFTITEM_NAME_TRANSMSN_SHFT</v>
      </c>
    </row>
    <row r="14107" ht="15.75" customHeight="1">
      <c r="B14107" s="63">
        <f t="shared" si="1"/>
        <v>18</v>
      </c>
      <c r="C14107" s="135" t="s">
        <v>527</v>
      </c>
      <c r="D14107" s="161" t="s">
        <v>74</v>
      </c>
      <c r="E14107" s="135">
        <f t="shared" si="62"/>
        <v>2</v>
      </c>
      <c r="F14107" s="134" t="s">
        <v>5522</v>
      </c>
      <c r="G14107" s="63" t="str">
        <f>VLOOKUP(C14107, 'Class Def. - General Data'!$C$20:$C$1000,1,false)</f>
        <v>ZSI1_TRANSMSN_SHFT</v>
      </c>
      <c r="H14107" s="63" t="str">
        <f>IFERROR(__xludf.DUMMYFUNCTION("VLOOKUP(F14107, IMPORTRANGE(""https://docs.google.com/spreadsheets/d/1Lhp9OU0JdFf_VYSMzH5lBcEaU4o8teT1piV-SNzShjg/edit?gid=554141278#gid=554141278"", ""'Char Def. - Attributes'!C20:C2242""), 1,false)"),"SIZE_TRANSMSN_SHFT")</f>
        <v>SIZE_TRANSMSN_SHFT</v>
      </c>
      <c r="I14107" s="136"/>
      <c r="R14107" s="63" t="str">
        <f t="shared" si="60"/>
        <v>ZSI1_TRANSMSN_SHFTSIZE_TRANSMSN_SHFT</v>
      </c>
    </row>
    <row r="14108" ht="15.75" customHeight="1">
      <c r="B14108" s="63">
        <f t="shared" si="1"/>
        <v>18</v>
      </c>
      <c r="C14108" s="135" t="s">
        <v>527</v>
      </c>
      <c r="D14108" s="161" t="s">
        <v>74</v>
      </c>
      <c r="E14108" s="135">
        <f t="shared" si="62"/>
        <v>3</v>
      </c>
      <c r="F14108" s="134" t="s">
        <v>5523</v>
      </c>
      <c r="G14108" s="63" t="str">
        <f>VLOOKUP(C14108, 'Class Def. - General Data'!$C$20:$C$1000,1,false)</f>
        <v>ZSI1_TRANSMSN_SHFT</v>
      </c>
      <c r="H14108" s="63" t="str">
        <f>IFERROR(__xludf.DUMMYFUNCTION("VLOOKUP(F14108, IMPORTRANGE(""https://docs.google.com/spreadsheets/d/1Lhp9OU0JdFf_VYSMzH5lBcEaU4o8teT1piV-SNzShjg/edit?gid=554141278#gid=554141278"", ""'Char Def. - Attributes'!C20:C2242""), 1,false)"),"MATERIAL_TRANSMSN_SHFT")</f>
        <v>MATERIAL_TRANSMSN_SHFT</v>
      </c>
      <c r="I14108" s="136"/>
      <c r="R14108" s="63" t="str">
        <f t="shared" si="60"/>
        <v>ZSI1_TRANSMSN_SHFTMATERIAL_TRANSMSN_SHFT</v>
      </c>
    </row>
    <row r="14109" ht="15.75" customHeight="1">
      <c r="B14109" s="63">
        <f t="shared" si="1"/>
        <v>18</v>
      </c>
      <c r="C14109" s="135" t="s">
        <v>527</v>
      </c>
      <c r="D14109" s="161" t="s">
        <v>74</v>
      </c>
      <c r="E14109" s="135">
        <f t="shared" si="62"/>
        <v>4</v>
      </c>
      <c r="F14109" s="134" t="s">
        <v>5524</v>
      </c>
      <c r="G14109" s="63" t="str">
        <f>VLOOKUP(C14109, 'Class Def. - General Data'!$C$20:$C$1000,1,false)</f>
        <v>ZSI1_TRANSMSN_SHFT</v>
      </c>
      <c r="H14109" s="63" t="str">
        <f>IFERROR(__xludf.DUMMYFUNCTION("VLOOKUP(F14109, IMPORTRANGE(""https://docs.google.com/spreadsheets/d/1Lhp9OU0JdFf_VYSMzH5lBcEaU4o8teT1piV-SNzShjg/edit?gid=554141278#gid=554141278"", ""'Char Def. - Attributes'!C20:C2242""), 1,false)"),"MFR_NO_TRANSMSN_SHFT")</f>
        <v>MFR_NO_TRANSMSN_SHFT</v>
      </c>
      <c r="I14109" s="136"/>
      <c r="R14109" s="63" t="str">
        <f t="shared" si="60"/>
        <v>ZSI1_TRANSMSN_SHFTMFR_NO_TRANSMSN_SHFT</v>
      </c>
    </row>
    <row r="14110" ht="15.75" customHeight="1">
      <c r="B14110" s="63">
        <f t="shared" si="1"/>
        <v>18</v>
      </c>
      <c r="C14110" s="135" t="s">
        <v>527</v>
      </c>
      <c r="D14110" s="161" t="s">
        <v>74</v>
      </c>
      <c r="E14110" s="135">
        <f t="shared" si="62"/>
        <v>5</v>
      </c>
      <c r="F14110" s="134" t="s">
        <v>3782</v>
      </c>
      <c r="G14110" s="63" t="str">
        <f>VLOOKUP(C14110, 'Class Def. - General Data'!$C$20:$C$1000,1,false)</f>
        <v>ZSI1_TRANSMSN_SHFT</v>
      </c>
      <c r="H14110" s="63" t="str">
        <f>IFERROR(__xludf.DUMMYFUNCTION("VLOOKUP(F14110, IMPORTRANGE(""https://docs.google.com/spreadsheets/d/1Lhp9OU0JdFf_VYSMzH5lBcEaU4o8teT1piV-SNzShjg/edit?gid=554141278#gid=554141278"", ""'Char Def. - Attributes'!C20:C2242""), 1,false)"),"BRAND_EXTERNAL")</f>
        <v>BRAND_EXTERNAL</v>
      </c>
      <c r="I14110" s="136"/>
      <c r="R14110" s="63" t="str">
        <f t="shared" si="60"/>
        <v>ZSI1_TRANSMSN_SHFTBRAND_EXTERNAL</v>
      </c>
    </row>
    <row r="14111" ht="15.75" customHeight="1">
      <c r="B14111" s="63">
        <f t="shared" si="1"/>
        <v>18</v>
      </c>
      <c r="C14111" s="135" t="s">
        <v>527</v>
      </c>
      <c r="D14111" s="161" t="s">
        <v>74</v>
      </c>
      <c r="E14111" s="135">
        <f t="shared" si="62"/>
        <v>6</v>
      </c>
      <c r="F14111" s="134" t="s">
        <v>4062</v>
      </c>
      <c r="G14111" s="63" t="str">
        <f>VLOOKUP(C14111, 'Class Def. - General Data'!$C$20:$C$1000,1,false)</f>
        <v>ZSI1_TRANSMSN_SHFT</v>
      </c>
      <c r="H14111" s="63" t="str">
        <f>IFERROR(__xludf.DUMMYFUNCTION("VLOOKUP(F14111, IMPORTRANGE(""https://docs.google.com/spreadsheets/d/1Lhp9OU0JdFf_VYSMzH5lBcEaU4o8teT1piV-SNzShjg/edit?gid=554141278#gid=554141278"", ""'Char Def. - Attributes'!C20:C2242""), 1,false)"),"#N/A")</f>
        <v>#N/A</v>
      </c>
      <c r="I14111" s="136"/>
      <c r="R14111" s="63" t="str">
        <f t="shared" si="60"/>
        <v>ZSI1_TRANSMSN_SHFTADDTIONAL_SPECIFICATION</v>
      </c>
    </row>
    <row r="14112" ht="15.75" customHeight="1">
      <c r="A14112" s="59"/>
      <c r="B14112" s="63">
        <f t="shared" si="1"/>
        <v>18</v>
      </c>
      <c r="C14112" s="135" t="s">
        <v>527</v>
      </c>
      <c r="D14112" s="161" t="s">
        <v>74</v>
      </c>
      <c r="E14112" s="135">
        <f t="shared" si="62"/>
        <v>7</v>
      </c>
      <c r="F14112" s="134" t="s">
        <v>4053</v>
      </c>
      <c r="G14112" s="63" t="str">
        <f>VLOOKUP(C14112, 'Class Def. - General Data'!$C$20:$C$1000,1,false)</f>
        <v>ZSI1_TRANSMSN_SHFT</v>
      </c>
      <c r="H14112" s="63" t="str">
        <f>IFERROR(__xludf.DUMMYFUNCTION("VLOOKUP(F14112, IMPORTRANGE(""https://docs.google.com/spreadsheets/d/1Lhp9OU0JdFf_VYSMzH5lBcEaU4o8teT1piV-SNzShjg/edit?gid=554141278#gid=554141278"", ""'Char Def. - Attributes'!C20:C2242""), 1,false)"),"MAINTENANCE_ORDER_TYPE")</f>
        <v>MAINTENANCE_ORDER_TYPE</v>
      </c>
      <c r="I14112" s="136"/>
      <c r="R14112" s="63" t="str">
        <f t="shared" si="60"/>
        <v>ZSI1_TRANSMSN_SHFTMAINTENANCE_ORDER_TYPE</v>
      </c>
    </row>
    <row r="14113" ht="15.75" customHeight="1">
      <c r="A14113" s="59"/>
      <c r="B14113" s="63">
        <f t="shared" si="1"/>
        <v>18</v>
      </c>
      <c r="C14113" s="135" t="s">
        <v>527</v>
      </c>
      <c r="D14113" s="161" t="s">
        <v>74</v>
      </c>
      <c r="E14113" s="135">
        <f t="shared" si="62"/>
        <v>8</v>
      </c>
      <c r="F14113" s="134" t="s">
        <v>3585</v>
      </c>
      <c r="G14113" s="63" t="str">
        <f>VLOOKUP(C14113, 'Class Def. - General Data'!$C$20:$C$1000,1,false)</f>
        <v>ZSI1_TRANSMSN_SHFT</v>
      </c>
      <c r="H14113" s="63" t="str">
        <f>IFERROR(__xludf.DUMMYFUNCTION("VLOOKUP(F14113, IMPORTRANGE(""https://docs.google.com/spreadsheets/d/1Lhp9OU0JdFf_VYSMzH5lBcEaU4o8teT1piV-SNzShjg/edit?gid=554141278#gid=554141278"", ""'Char Def. - Attributes'!C20:C2242""), 1,false)"),"HS_CODE")</f>
        <v>HS_CODE</v>
      </c>
      <c r="I14113" s="136"/>
      <c r="R14113" s="63" t="str">
        <f t="shared" si="60"/>
        <v>ZSI1_TRANSMSN_SHFTHS_CODE</v>
      </c>
    </row>
    <row r="14114" ht="15.75" customHeight="1">
      <c r="A14114" s="59"/>
      <c r="B14114" s="63">
        <f t="shared" si="1"/>
        <v>18</v>
      </c>
      <c r="C14114" s="135" t="s">
        <v>527</v>
      </c>
      <c r="D14114" s="161" t="s">
        <v>74</v>
      </c>
      <c r="E14114" s="135">
        <f t="shared" si="62"/>
        <v>9</v>
      </c>
      <c r="F14114" s="134" t="s">
        <v>3587</v>
      </c>
      <c r="G14114" s="63" t="str">
        <f>VLOOKUP(C14114, 'Class Def. - General Data'!$C$20:$C$1000,1,false)</f>
        <v>ZSI1_TRANSMSN_SHFT</v>
      </c>
      <c r="H14114" s="63" t="str">
        <f>IFERROR(__xludf.DUMMYFUNCTION("VLOOKUP(F14114, IMPORTRANGE(""https://docs.google.com/spreadsheets/d/1Lhp9OU0JdFf_VYSMzH5lBcEaU4o8teT1piV-SNzShjg/edit?gid=554141278#gid=554141278"", ""'Char Def. - Attributes'!C20:C2242""), 1,false)"),"PLANT_BUY")</f>
        <v>PLANT_BUY</v>
      </c>
      <c r="I14114" s="136"/>
      <c r="R14114" s="63" t="str">
        <f t="shared" si="60"/>
        <v>ZSI1_TRANSMSN_SHFTPLANT_BUY</v>
      </c>
    </row>
    <row r="14115" ht="15.75" customHeight="1">
      <c r="A14115" s="59"/>
      <c r="B14115" s="63">
        <f t="shared" si="1"/>
        <v>18</v>
      </c>
      <c r="C14115" s="135" t="s">
        <v>527</v>
      </c>
      <c r="D14115" s="161" t="s">
        <v>74</v>
      </c>
      <c r="E14115" s="135">
        <f t="shared" si="62"/>
        <v>10</v>
      </c>
      <c r="F14115" s="134" t="s">
        <v>5525</v>
      </c>
      <c r="G14115" s="63" t="str">
        <f>VLOOKUP(C14115, 'Class Def. - General Data'!$C$20:$C$1000,1,false)</f>
        <v>ZSI1_TRANSMSN_SHFT</v>
      </c>
      <c r="H14115" s="63" t="str">
        <f>IFERROR(__xludf.DUMMYFUNCTION("VLOOKUP(F14115, IMPORTRANGE(""https://docs.google.com/spreadsheets/d/1Lhp9OU0JdFf_VYSMzH5lBcEaU4o8teT1piV-SNzShjg/edit?gid=554141278#gid=554141278"", ""'Char Def. - Attributes'!C20:C2242""), 1,false)"),"BASE_UOM_TRANSMSN_SHFT")</f>
        <v>BASE_UOM_TRANSMSN_SHFT</v>
      </c>
      <c r="I14115" s="136"/>
      <c r="R14115" s="63" t="str">
        <f t="shared" si="60"/>
        <v>ZSI1_TRANSMSN_SHFTBASE_UOM_TRANSMSN_SHFT</v>
      </c>
    </row>
    <row r="14116" ht="15.75" customHeight="1">
      <c r="A14116" s="59"/>
      <c r="B14116" s="63">
        <f t="shared" si="1"/>
        <v>18</v>
      </c>
      <c r="C14116" s="135" t="s">
        <v>527</v>
      </c>
      <c r="D14116" s="161" t="s">
        <v>74</v>
      </c>
      <c r="E14116" s="135">
        <f t="shared" si="62"/>
        <v>11</v>
      </c>
      <c r="F14116" s="134" t="s">
        <v>5526</v>
      </c>
      <c r="G14116" s="63" t="str">
        <f>VLOOKUP(C14116, 'Class Def. - General Data'!$C$20:$C$1000,1,false)</f>
        <v>ZSI1_TRANSMSN_SHFT</v>
      </c>
      <c r="H14116" s="63" t="str">
        <f>IFERROR(__xludf.DUMMYFUNCTION("VLOOKUP(F14116, IMPORTRANGE(""https://docs.google.com/spreadsheets/d/1Lhp9OU0JdFf_VYSMzH5lBcEaU4o8teT1piV-SNzShjg/edit?gid=554141278#gid=554141278"", ""'Char Def. - Attributes'!C20:C2242""), 1,false)"),"ORDER_UNIT_TRANSMSN_SHFT")</f>
        <v>ORDER_UNIT_TRANSMSN_SHFT</v>
      </c>
      <c r="I14116" s="136"/>
      <c r="R14116" s="63" t="str">
        <f t="shared" si="60"/>
        <v>ZSI1_TRANSMSN_SHFTORDER_UNIT_TRANSMSN_SHFT</v>
      </c>
    </row>
    <row r="14117" ht="15.75" customHeight="1">
      <c r="A14117" s="59"/>
      <c r="B14117" s="63">
        <f t="shared" si="1"/>
        <v>18</v>
      </c>
      <c r="C14117" s="135" t="s">
        <v>527</v>
      </c>
      <c r="D14117" s="161" t="s">
        <v>74</v>
      </c>
      <c r="E14117" s="135">
        <f t="shared" si="62"/>
        <v>12</v>
      </c>
      <c r="F14117" s="134" t="s">
        <v>4056</v>
      </c>
      <c r="G14117" s="63" t="str">
        <f>VLOOKUP(C14117, 'Class Def. - General Data'!$C$20:$C$1000,1,false)</f>
        <v>ZSI1_TRANSMSN_SHFT</v>
      </c>
      <c r="H14117" s="63" t="str">
        <f>IFERROR(__xludf.DUMMYFUNCTION("VLOOKUP(F14117, IMPORTRANGE(""https://docs.google.com/spreadsheets/d/1Lhp9OU0JdFf_VYSMzH5lBcEaU4o8teT1piV-SNzShjg/edit?gid=554141278#gid=554141278"", ""'Char Def. - Attributes'!C20:C2242""), 1,false)"),"GROSS_WEIGHT_OPT")</f>
        <v>GROSS_WEIGHT_OPT</v>
      </c>
      <c r="I14117" s="136"/>
      <c r="R14117" s="63" t="str">
        <f t="shared" si="60"/>
        <v>ZSI1_TRANSMSN_SHFTGROSS_WEIGHT_OPT</v>
      </c>
    </row>
    <row r="14118" ht="15.75" customHeight="1">
      <c r="A14118" s="59"/>
      <c r="B14118" s="63">
        <f t="shared" si="1"/>
        <v>18</v>
      </c>
      <c r="C14118" s="135" t="s">
        <v>527</v>
      </c>
      <c r="D14118" s="161" t="s">
        <v>74</v>
      </c>
      <c r="E14118" s="135">
        <f t="shared" si="62"/>
        <v>13</v>
      </c>
      <c r="F14118" s="134" t="s">
        <v>4057</v>
      </c>
      <c r="G14118" s="63" t="str">
        <f>VLOOKUP(C14118, 'Class Def. - General Data'!$C$20:$C$1000,1,false)</f>
        <v>ZSI1_TRANSMSN_SHFT</v>
      </c>
      <c r="H14118" s="63" t="str">
        <f>IFERROR(__xludf.DUMMYFUNCTION("VLOOKUP(F14118, IMPORTRANGE(""https://docs.google.com/spreadsheets/d/1Lhp9OU0JdFf_VYSMzH5lBcEaU4o8teT1piV-SNzShjg/edit?gid=554141278#gid=554141278"", ""'Char Def. - Attributes'!C20:C2242""), 1,false)"),"NET_WEIGHT_OPT")</f>
        <v>NET_WEIGHT_OPT</v>
      </c>
      <c r="I14118" s="136"/>
      <c r="R14118" s="63" t="str">
        <f t="shared" si="60"/>
        <v>ZSI1_TRANSMSN_SHFTNET_WEIGHT_OPT</v>
      </c>
    </row>
    <row r="14119" ht="15.75" customHeight="1">
      <c r="A14119" s="59"/>
      <c r="B14119" s="63">
        <f t="shared" si="1"/>
        <v>18</v>
      </c>
      <c r="C14119" s="135" t="s">
        <v>527</v>
      </c>
      <c r="D14119" s="161" t="s">
        <v>74</v>
      </c>
      <c r="E14119" s="135">
        <f t="shared" si="62"/>
        <v>14</v>
      </c>
      <c r="F14119" s="134" t="s">
        <v>4058</v>
      </c>
      <c r="G14119" s="63" t="str">
        <f>VLOOKUP(C14119, 'Class Def. - General Data'!$C$20:$C$1000,1,false)</f>
        <v>ZSI1_TRANSMSN_SHFT</v>
      </c>
      <c r="H14119" s="63" t="str">
        <f>IFERROR(__xludf.DUMMYFUNCTION("VLOOKUP(F14119, IMPORTRANGE(""https://docs.google.com/spreadsheets/d/1Lhp9OU0JdFf_VYSMzH5lBcEaU4o8teT1piV-SNzShjg/edit?gid=554141278#gid=554141278"", ""'Char Def. - Attributes'!C20:C2242""), 1,false)"),"WEIGHT_UNIT_SI")</f>
        <v>WEIGHT_UNIT_SI</v>
      </c>
      <c r="I14119" s="136"/>
      <c r="R14119" s="63" t="str">
        <f t="shared" si="60"/>
        <v>ZSI1_TRANSMSN_SHFTWEIGHT_UNIT_SI</v>
      </c>
    </row>
    <row r="14120" ht="15.75" customHeight="1">
      <c r="A14120" s="59"/>
      <c r="B14120" s="63">
        <f t="shared" si="1"/>
        <v>18</v>
      </c>
      <c r="C14120" s="135" t="s">
        <v>527</v>
      </c>
      <c r="D14120" s="161" t="s">
        <v>74</v>
      </c>
      <c r="E14120" s="135">
        <f t="shared" si="62"/>
        <v>15</v>
      </c>
      <c r="F14120" s="134" t="s">
        <v>3877</v>
      </c>
      <c r="G14120" s="63" t="str">
        <f>VLOOKUP(C14120, 'Class Def. - General Data'!$C$20:$C$1000,1,false)</f>
        <v>ZSI1_TRANSMSN_SHFT</v>
      </c>
      <c r="H14120" s="63" t="str">
        <f>IFERROR(__xludf.DUMMYFUNCTION("VLOOKUP(F14120, IMPORTRANGE(""https://docs.google.com/spreadsheets/d/1Lhp9OU0JdFf_VYSMzH5lBcEaU4o8teT1piV-SNzShjg/edit?gid=554141278#gid=554141278"", ""'Char Def. - Attributes'!C20:C2242""), 1,false)"),"VOLUME_OPT")</f>
        <v>VOLUME_OPT</v>
      </c>
      <c r="I14120" s="136"/>
      <c r="R14120" s="63" t="str">
        <f t="shared" si="60"/>
        <v>ZSI1_TRANSMSN_SHFTVOLUME_OPT</v>
      </c>
    </row>
    <row r="14121" ht="15.75" customHeight="1">
      <c r="A14121" s="59"/>
      <c r="B14121" s="63">
        <f t="shared" si="1"/>
        <v>18</v>
      </c>
      <c r="C14121" s="135" t="s">
        <v>527</v>
      </c>
      <c r="D14121" s="161" t="s">
        <v>74</v>
      </c>
      <c r="E14121" s="135">
        <f t="shared" si="62"/>
        <v>16</v>
      </c>
      <c r="F14121" s="134" t="s">
        <v>4059</v>
      </c>
      <c r="G14121" s="63" t="str">
        <f>VLOOKUP(C14121, 'Class Def. - General Data'!$C$20:$C$1000,1,false)</f>
        <v>ZSI1_TRANSMSN_SHFT</v>
      </c>
      <c r="H14121" s="63" t="str">
        <f>IFERROR(__xludf.DUMMYFUNCTION("VLOOKUP(F14121, IMPORTRANGE(""https://docs.google.com/spreadsheets/d/1Lhp9OU0JdFf_VYSMzH5lBcEaU4o8teT1piV-SNzShjg/edit?gid=554141278#gid=554141278"", ""'Char Def. - Attributes'!C20:C2242""), 1,false)"),"VOLUME_UNIT_SI")</f>
        <v>VOLUME_UNIT_SI</v>
      </c>
      <c r="I14121" s="136"/>
      <c r="R14121" s="63" t="str">
        <f t="shared" si="60"/>
        <v>ZSI1_TRANSMSN_SHFTVOLUME_UNIT_SI</v>
      </c>
    </row>
    <row r="14122" ht="15.75" customHeight="1">
      <c r="A14122" s="59"/>
      <c r="B14122" s="63">
        <f t="shared" si="1"/>
        <v>18</v>
      </c>
      <c r="C14122" s="135" t="s">
        <v>527</v>
      </c>
      <c r="D14122" s="161" t="s">
        <v>74</v>
      </c>
      <c r="E14122" s="135">
        <f t="shared" si="62"/>
        <v>17</v>
      </c>
      <c r="F14122" s="134" t="s">
        <v>3804</v>
      </c>
      <c r="G14122" s="63" t="str">
        <f>VLOOKUP(C14122, 'Class Def. - General Data'!$C$20:$C$1000,1,false)</f>
        <v>ZSI1_TRANSMSN_SHFT</v>
      </c>
      <c r="H14122" s="63" t="str">
        <f>IFERROR(__xludf.DUMMYFUNCTION("VLOOKUP(F14122, IMPORTRANGE(""https://docs.google.com/spreadsheets/d/1Lhp9OU0JdFf_VYSMzH5lBcEaU4o8teT1piV-SNzShjg/edit?gid=554141278#gid=554141278"", ""'Char Def. - Attributes'!C20:C2242""), 1,false)"),"ALT_UOM1_SIPI")</f>
        <v>ALT_UOM1_SIPI</v>
      </c>
      <c r="I14122" s="136"/>
      <c r="R14122" s="63" t="str">
        <f t="shared" si="60"/>
        <v>ZSI1_TRANSMSN_SHFTALT_UOM1_SIPI</v>
      </c>
    </row>
    <row r="14123" ht="15.75" customHeight="1">
      <c r="A14123" s="59"/>
      <c r="B14123" s="63">
        <f t="shared" si="1"/>
        <v>18</v>
      </c>
      <c r="C14123" s="135" t="s">
        <v>527</v>
      </c>
      <c r="D14123" s="161" t="s">
        <v>74</v>
      </c>
      <c r="E14123" s="135">
        <f t="shared" si="62"/>
        <v>18</v>
      </c>
      <c r="F14123" s="134" t="s">
        <v>3805</v>
      </c>
      <c r="G14123" s="63" t="str">
        <f>VLOOKUP(C14123, 'Class Def. - General Data'!$C$20:$C$1000,1,false)</f>
        <v>ZSI1_TRANSMSN_SHFT</v>
      </c>
      <c r="H14123" s="63" t="str">
        <f>IFERROR(__xludf.DUMMYFUNCTION("VLOOKUP(F14123, IMPORTRANGE(""https://docs.google.com/spreadsheets/d/1Lhp9OU0JdFf_VYSMzH5lBcEaU4o8teT1piV-SNzShjg/edit?gid=554141278#gid=554141278"", ""'Char Def. - Attributes'!C20:C2242""), 1,false)"),"ALT_DENUM_UOM1")</f>
        <v>ALT_DENUM_UOM1</v>
      </c>
      <c r="I14123" s="136"/>
      <c r="R14123" s="63" t="str">
        <f t="shared" si="60"/>
        <v>ZSI1_TRANSMSN_SHFTALT_DENUM_UOM1</v>
      </c>
    </row>
    <row r="14124" ht="15.75" customHeight="1">
      <c r="A14124" s="59"/>
      <c r="B14124" s="63">
        <f t="shared" si="1"/>
        <v>18</v>
      </c>
      <c r="C14124" s="135" t="s">
        <v>527</v>
      </c>
      <c r="D14124" s="161" t="s">
        <v>74</v>
      </c>
      <c r="E14124" s="135">
        <f t="shared" si="62"/>
        <v>19</v>
      </c>
      <c r="F14124" s="134" t="s">
        <v>3806</v>
      </c>
      <c r="G14124" s="63" t="str">
        <f>VLOOKUP(C14124, 'Class Def. - General Data'!$C$20:$C$1000,1,false)</f>
        <v>ZSI1_TRANSMSN_SHFT</v>
      </c>
      <c r="H14124" s="63" t="str">
        <f>IFERROR(__xludf.DUMMYFUNCTION("VLOOKUP(F14124, IMPORTRANGE(""https://docs.google.com/spreadsheets/d/1Lhp9OU0JdFf_VYSMzH5lBcEaU4o8teT1piV-SNzShjg/edit?gid=554141278#gid=554141278"", ""'Char Def. - Attributes'!C20:C2242""), 1,false)"),"ALT_NUM_UOM1")</f>
        <v>ALT_NUM_UOM1</v>
      </c>
      <c r="I14124" s="136"/>
      <c r="R14124" s="63" t="str">
        <f t="shared" si="60"/>
        <v>ZSI1_TRANSMSN_SHFTALT_NUM_UOM1</v>
      </c>
    </row>
    <row r="14125" ht="15.75" customHeight="1">
      <c r="A14125" s="59"/>
      <c r="B14125" s="63">
        <f t="shared" si="1"/>
        <v>18</v>
      </c>
      <c r="C14125" s="135" t="s">
        <v>527</v>
      </c>
      <c r="D14125" s="161" t="s">
        <v>74</v>
      </c>
      <c r="E14125" s="135">
        <f t="shared" si="62"/>
        <v>20</v>
      </c>
      <c r="F14125" s="134" t="s">
        <v>3807</v>
      </c>
      <c r="G14125" s="63" t="str">
        <f>VLOOKUP(C14125, 'Class Def. - General Data'!$C$20:$C$1000,1,false)</f>
        <v>ZSI1_TRANSMSN_SHFT</v>
      </c>
      <c r="H14125" s="63" t="str">
        <f>IFERROR(__xludf.DUMMYFUNCTION("VLOOKUP(F14125, IMPORTRANGE(""https://docs.google.com/spreadsheets/d/1Lhp9OU0JdFf_VYSMzH5lBcEaU4o8teT1piV-SNzShjg/edit?gid=554141278#gid=554141278"", ""'Char Def. - Attributes'!C20:C2242""), 1,false)"),"ALT_UOM2_SIPI")</f>
        <v>ALT_UOM2_SIPI</v>
      </c>
      <c r="I14125" s="136"/>
      <c r="R14125" s="63" t="str">
        <f t="shared" si="60"/>
        <v>ZSI1_TRANSMSN_SHFTALT_UOM2_SIPI</v>
      </c>
    </row>
    <row r="14126" ht="15.75" customHeight="1">
      <c r="A14126" s="59"/>
      <c r="B14126" s="63">
        <f t="shared" si="1"/>
        <v>18</v>
      </c>
      <c r="C14126" s="135" t="s">
        <v>527</v>
      </c>
      <c r="D14126" s="161" t="s">
        <v>74</v>
      </c>
      <c r="E14126" s="135">
        <f t="shared" si="62"/>
        <v>21</v>
      </c>
      <c r="F14126" s="134" t="s">
        <v>3808</v>
      </c>
      <c r="G14126" s="63" t="str">
        <f>VLOOKUP(C14126, 'Class Def. - General Data'!$C$20:$C$1000,1,false)</f>
        <v>ZSI1_TRANSMSN_SHFT</v>
      </c>
      <c r="H14126" s="63" t="str">
        <f>IFERROR(__xludf.DUMMYFUNCTION("VLOOKUP(F14126, IMPORTRANGE(""https://docs.google.com/spreadsheets/d/1Lhp9OU0JdFf_VYSMzH5lBcEaU4o8teT1piV-SNzShjg/edit?gid=554141278#gid=554141278"", ""'Char Def. - Attributes'!C20:C2242""), 1,false)"),"ALT_DENUM_UOM2")</f>
        <v>ALT_DENUM_UOM2</v>
      </c>
      <c r="I14126" s="136"/>
      <c r="R14126" s="63" t="str">
        <f t="shared" si="60"/>
        <v>ZSI1_TRANSMSN_SHFTALT_DENUM_UOM2</v>
      </c>
    </row>
    <row r="14127" ht="15.75" customHeight="1">
      <c r="A14127" s="59"/>
      <c r="B14127" s="63">
        <f t="shared" si="1"/>
        <v>18</v>
      </c>
      <c r="C14127" s="135" t="s">
        <v>527</v>
      </c>
      <c r="D14127" s="161" t="s">
        <v>74</v>
      </c>
      <c r="E14127" s="135">
        <f t="shared" si="62"/>
        <v>22</v>
      </c>
      <c r="F14127" s="134" t="s">
        <v>3809</v>
      </c>
      <c r="G14127" s="63" t="str">
        <f>VLOOKUP(C14127, 'Class Def. - General Data'!$C$20:$C$1000,1,false)</f>
        <v>ZSI1_TRANSMSN_SHFT</v>
      </c>
      <c r="H14127" s="63" t="str">
        <f>IFERROR(__xludf.DUMMYFUNCTION("VLOOKUP(F14127, IMPORTRANGE(""https://docs.google.com/spreadsheets/d/1Lhp9OU0JdFf_VYSMzH5lBcEaU4o8teT1piV-SNzShjg/edit?gid=554141278#gid=554141278"", ""'Char Def. - Attributes'!C20:C2242""), 1,false)"),"ALT_NUM_UOM2")</f>
        <v>ALT_NUM_UOM2</v>
      </c>
      <c r="I14127" s="136"/>
      <c r="R14127" s="63" t="str">
        <f t="shared" si="60"/>
        <v>ZSI1_TRANSMSN_SHFTALT_NUM_UOM2</v>
      </c>
    </row>
    <row r="14128" ht="15.75" customHeight="1">
      <c r="A14128" s="59"/>
      <c r="B14128" s="63">
        <f t="shared" si="1"/>
        <v>18</v>
      </c>
      <c r="C14128" s="135" t="s">
        <v>527</v>
      </c>
      <c r="D14128" s="161" t="s">
        <v>74</v>
      </c>
      <c r="E14128" s="135">
        <f t="shared" si="62"/>
        <v>23</v>
      </c>
      <c r="F14128" s="134" t="s">
        <v>3810</v>
      </c>
      <c r="G14128" s="63" t="str">
        <f>VLOOKUP(C14128, 'Class Def. - General Data'!$C$20:$C$1000,1,false)</f>
        <v>ZSI1_TRANSMSN_SHFT</v>
      </c>
      <c r="H14128" s="63" t="str">
        <f>IFERROR(__xludf.DUMMYFUNCTION("VLOOKUP(F14128, IMPORTRANGE(""https://docs.google.com/spreadsheets/d/1Lhp9OU0JdFf_VYSMzH5lBcEaU4o8teT1piV-SNzShjg/edit?gid=554141278#gid=554141278"", ""'Char Def. - Attributes'!C20:C2242""), 1,false)"),"ALT_UOM3_SIPI")</f>
        <v>ALT_UOM3_SIPI</v>
      </c>
      <c r="I14128" s="136"/>
      <c r="R14128" s="63" t="str">
        <f t="shared" si="60"/>
        <v>ZSI1_TRANSMSN_SHFTALT_UOM3_SIPI</v>
      </c>
    </row>
    <row r="14129" ht="15.75" customHeight="1">
      <c r="A14129" s="59"/>
      <c r="B14129" s="63">
        <f t="shared" si="1"/>
        <v>18</v>
      </c>
      <c r="C14129" s="135" t="s">
        <v>527</v>
      </c>
      <c r="D14129" s="161" t="s">
        <v>74</v>
      </c>
      <c r="E14129" s="135">
        <f t="shared" si="62"/>
        <v>24</v>
      </c>
      <c r="F14129" s="134" t="s">
        <v>3811</v>
      </c>
      <c r="G14129" s="63" t="str">
        <f>VLOOKUP(C14129, 'Class Def. - General Data'!$C$20:$C$1000,1,false)</f>
        <v>ZSI1_TRANSMSN_SHFT</v>
      </c>
      <c r="H14129" s="63" t="str">
        <f>IFERROR(__xludf.DUMMYFUNCTION("VLOOKUP(F14129, IMPORTRANGE(""https://docs.google.com/spreadsheets/d/1Lhp9OU0JdFf_VYSMzH5lBcEaU4o8teT1piV-SNzShjg/edit?gid=554141278#gid=554141278"", ""'Char Def. - Attributes'!C20:C2242""), 1,false)"),"ALT_DENUM_UOM3")</f>
        <v>ALT_DENUM_UOM3</v>
      </c>
      <c r="I14129" s="136"/>
      <c r="R14129" s="63" t="str">
        <f t="shared" si="60"/>
        <v>ZSI1_TRANSMSN_SHFTALT_DENUM_UOM3</v>
      </c>
    </row>
    <row r="14130" ht="15.75" customHeight="1">
      <c r="A14130" s="59"/>
      <c r="B14130" s="63">
        <f t="shared" si="1"/>
        <v>18</v>
      </c>
      <c r="C14130" s="135" t="s">
        <v>527</v>
      </c>
      <c r="D14130" s="161" t="s">
        <v>74</v>
      </c>
      <c r="E14130" s="135">
        <f t="shared" si="62"/>
        <v>25</v>
      </c>
      <c r="F14130" s="134" t="s">
        <v>3812</v>
      </c>
      <c r="G14130" s="63" t="str">
        <f>VLOOKUP(C14130, 'Class Def. - General Data'!$C$20:$C$1000,1,false)</f>
        <v>ZSI1_TRANSMSN_SHFT</v>
      </c>
      <c r="H14130" s="63" t="str">
        <f>IFERROR(__xludf.DUMMYFUNCTION("VLOOKUP(F14130, IMPORTRANGE(""https://docs.google.com/spreadsheets/d/1Lhp9OU0JdFf_VYSMzH5lBcEaU4o8teT1piV-SNzShjg/edit?gid=554141278#gid=554141278"", ""'Char Def. - Attributes'!C20:C2242""), 1,false)"),"ALT_NUM_UOM3")</f>
        <v>ALT_NUM_UOM3</v>
      </c>
      <c r="I14130" s="136"/>
      <c r="R14130" s="63" t="str">
        <f t="shared" si="60"/>
        <v>ZSI1_TRANSMSN_SHFTALT_NUM_UOM3</v>
      </c>
    </row>
    <row r="14131" ht="15.75" customHeight="1">
      <c r="A14131" s="59"/>
      <c r="B14131" s="63">
        <f t="shared" si="1"/>
        <v>18</v>
      </c>
      <c r="C14131" s="135" t="s">
        <v>527</v>
      </c>
      <c r="D14131" s="161" t="s">
        <v>74</v>
      </c>
      <c r="E14131" s="135">
        <f t="shared" si="62"/>
        <v>26</v>
      </c>
      <c r="F14131" s="134" t="s">
        <v>3813</v>
      </c>
      <c r="G14131" s="63" t="str">
        <f>VLOOKUP(C14131, 'Class Def. - General Data'!$C$20:$C$1000,1,false)</f>
        <v>ZSI1_TRANSMSN_SHFT</v>
      </c>
      <c r="H14131" s="63" t="str">
        <f>IFERROR(__xludf.DUMMYFUNCTION("VLOOKUP(F14131, IMPORTRANGE(""https://docs.google.com/spreadsheets/d/1Lhp9OU0JdFf_VYSMzH5lBcEaU4o8teT1piV-SNzShjg/edit?gid=554141278#gid=554141278"", ""'Char Def. - Attributes'!C20:C2242""), 1,false)"),"ALT_UOM4_SIPI")</f>
        <v>ALT_UOM4_SIPI</v>
      </c>
      <c r="I14131" s="136"/>
      <c r="R14131" s="63" t="str">
        <f t="shared" si="60"/>
        <v>ZSI1_TRANSMSN_SHFTALT_UOM4_SIPI</v>
      </c>
    </row>
    <row r="14132" ht="15.75" customHeight="1">
      <c r="A14132" s="59"/>
      <c r="B14132" s="63">
        <f t="shared" si="1"/>
        <v>18</v>
      </c>
      <c r="C14132" s="135" t="s">
        <v>527</v>
      </c>
      <c r="D14132" s="161" t="s">
        <v>74</v>
      </c>
      <c r="E14132" s="135">
        <f t="shared" si="62"/>
        <v>27</v>
      </c>
      <c r="F14132" s="134" t="s">
        <v>3814</v>
      </c>
      <c r="G14132" s="63" t="str">
        <f>VLOOKUP(C14132, 'Class Def. - General Data'!$C$20:$C$1000,1,false)</f>
        <v>ZSI1_TRANSMSN_SHFT</v>
      </c>
      <c r="H14132" s="63" t="str">
        <f>IFERROR(__xludf.DUMMYFUNCTION("VLOOKUP(F14132, IMPORTRANGE(""https://docs.google.com/spreadsheets/d/1Lhp9OU0JdFf_VYSMzH5lBcEaU4o8teT1piV-SNzShjg/edit?gid=554141278#gid=554141278"", ""'Char Def. - Attributes'!C20:C2242""), 1,false)"),"ALT_DENUM_UOM4")</f>
        <v>ALT_DENUM_UOM4</v>
      </c>
      <c r="I14132" s="136"/>
      <c r="R14132" s="63" t="str">
        <f t="shared" si="60"/>
        <v>ZSI1_TRANSMSN_SHFTALT_DENUM_UOM4</v>
      </c>
    </row>
    <row r="14133" ht="15.75" customHeight="1">
      <c r="A14133" s="59"/>
      <c r="B14133" s="63">
        <f t="shared" si="1"/>
        <v>18</v>
      </c>
      <c r="C14133" s="135" t="s">
        <v>527</v>
      </c>
      <c r="D14133" s="161" t="s">
        <v>74</v>
      </c>
      <c r="E14133" s="135">
        <f t="shared" si="62"/>
        <v>28</v>
      </c>
      <c r="F14133" s="134" t="s">
        <v>3815</v>
      </c>
      <c r="G14133" s="63" t="str">
        <f>VLOOKUP(C14133, 'Class Def. - General Data'!$C$20:$C$1000,1,false)</f>
        <v>ZSI1_TRANSMSN_SHFT</v>
      </c>
      <c r="H14133" s="63" t="str">
        <f>IFERROR(__xludf.DUMMYFUNCTION("VLOOKUP(F14133, IMPORTRANGE(""https://docs.google.com/spreadsheets/d/1Lhp9OU0JdFf_VYSMzH5lBcEaU4o8teT1piV-SNzShjg/edit?gid=554141278#gid=554141278"", ""'Char Def. - Attributes'!C20:C2242""), 1,false)"),"ALT_NUM_UOM4")</f>
        <v>ALT_NUM_UOM4</v>
      </c>
      <c r="I14133" s="136"/>
      <c r="R14133" s="63" t="str">
        <f t="shared" si="60"/>
        <v>ZSI1_TRANSMSN_SHFTALT_NUM_UOM4</v>
      </c>
    </row>
    <row r="14134" ht="15.75" customHeight="1">
      <c r="A14134" s="59"/>
      <c r="B14134" s="63">
        <f t="shared" si="1"/>
        <v>18</v>
      </c>
      <c r="C14134" s="135" t="s">
        <v>527</v>
      </c>
      <c r="D14134" s="161" t="s">
        <v>74</v>
      </c>
      <c r="E14134" s="135">
        <f t="shared" si="62"/>
        <v>29</v>
      </c>
      <c r="F14134" s="134" t="s">
        <v>3816</v>
      </c>
      <c r="G14134" s="63" t="str">
        <f>VLOOKUP(C14134, 'Class Def. - General Data'!$C$20:$C$1000,1,false)</f>
        <v>ZSI1_TRANSMSN_SHFT</v>
      </c>
      <c r="H14134" s="63" t="str">
        <f>IFERROR(__xludf.DUMMYFUNCTION("VLOOKUP(F14134, IMPORTRANGE(""https://docs.google.com/spreadsheets/d/1Lhp9OU0JdFf_VYSMzH5lBcEaU4o8teT1piV-SNzShjg/edit?gid=554141278#gid=554141278"", ""'Char Def. - Attributes'!C20:C2242""), 1,false)"),"ALT_UOM5_SIPI")</f>
        <v>ALT_UOM5_SIPI</v>
      </c>
      <c r="I14134" s="136"/>
      <c r="R14134" s="63" t="str">
        <f t="shared" si="60"/>
        <v>ZSI1_TRANSMSN_SHFTALT_UOM5_SIPI</v>
      </c>
    </row>
    <row r="14135" ht="15.75" customHeight="1">
      <c r="A14135" s="59"/>
      <c r="B14135" s="63">
        <f t="shared" si="1"/>
        <v>18</v>
      </c>
      <c r="C14135" s="135" t="s">
        <v>527</v>
      </c>
      <c r="D14135" s="161" t="s">
        <v>74</v>
      </c>
      <c r="E14135" s="135">
        <f t="shared" si="62"/>
        <v>30</v>
      </c>
      <c r="F14135" s="134" t="s">
        <v>3817</v>
      </c>
      <c r="G14135" s="63" t="str">
        <f>VLOOKUP(C14135, 'Class Def. - General Data'!$C$20:$C$1000,1,false)</f>
        <v>ZSI1_TRANSMSN_SHFT</v>
      </c>
      <c r="H14135" s="63" t="str">
        <f>IFERROR(__xludf.DUMMYFUNCTION("VLOOKUP(F14135, IMPORTRANGE(""https://docs.google.com/spreadsheets/d/1Lhp9OU0JdFf_VYSMzH5lBcEaU4o8teT1piV-SNzShjg/edit?gid=554141278#gid=554141278"", ""'Char Def. - Attributes'!C20:C2242""), 1,false)"),"ALT_DENUM_UOM5")</f>
        <v>ALT_DENUM_UOM5</v>
      </c>
      <c r="I14135" s="136"/>
      <c r="R14135" s="63" t="str">
        <f t="shared" si="60"/>
        <v>ZSI1_TRANSMSN_SHFTALT_DENUM_UOM5</v>
      </c>
    </row>
    <row r="14136" ht="15.75" customHeight="1">
      <c r="A14136" s="59"/>
      <c r="B14136" s="63">
        <f t="shared" si="1"/>
        <v>18</v>
      </c>
      <c r="C14136" s="135" t="s">
        <v>527</v>
      </c>
      <c r="D14136" s="161" t="s">
        <v>74</v>
      </c>
      <c r="E14136" s="135">
        <f t="shared" si="62"/>
        <v>31</v>
      </c>
      <c r="F14136" s="134" t="s">
        <v>3818</v>
      </c>
      <c r="G14136" s="63" t="str">
        <f>VLOOKUP(C14136, 'Class Def. - General Data'!$C$20:$C$1000,1,false)</f>
        <v>ZSI1_TRANSMSN_SHFT</v>
      </c>
      <c r="H14136" s="63" t="str">
        <f>IFERROR(__xludf.DUMMYFUNCTION("VLOOKUP(F14136, IMPORTRANGE(""https://docs.google.com/spreadsheets/d/1Lhp9OU0JdFf_VYSMzH5lBcEaU4o8teT1piV-SNzShjg/edit?gid=554141278#gid=554141278"", ""'Char Def. - Attributes'!C20:C2242""), 1,false)"),"ALT_NUM_UOM5")</f>
        <v>ALT_NUM_UOM5</v>
      </c>
      <c r="I14136" s="136"/>
      <c r="R14136" s="63" t="str">
        <f t="shared" si="60"/>
        <v>ZSI1_TRANSMSN_SHFTALT_NUM_UOM5</v>
      </c>
    </row>
    <row r="14137" ht="15.75" customHeight="1">
      <c r="A14137" s="59"/>
      <c r="B14137" s="63">
        <f t="shared" si="1"/>
        <v>18</v>
      </c>
      <c r="C14137" s="135" t="s">
        <v>551</v>
      </c>
      <c r="D14137" s="161" t="s">
        <v>74</v>
      </c>
      <c r="E14137" s="135">
        <f t="shared" si="62"/>
        <v>1</v>
      </c>
      <c r="F14137" s="134" t="s">
        <v>5527</v>
      </c>
      <c r="G14137" s="63" t="str">
        <f>VLOOKUP(C14137, 'Class Def. - General Data'!$C$20:$C$1000,1,false)</f>
        <v>ZSI1_TRAP_STRAINER</v>
      </c>
      <c r="H14137" s="63" t="str">
        <f>IFERROR(__xludf.DUMMYFUNCTION("VLOOKUP(F14137, IMPORTRANGE(""https://docs.google.com/spreadsheets/d/1Lhp9OU0JdFf_VYSMzH5lBcEaU4o8teT1piV-SNzShjg/edit?gid=554141278#gid=554141278"", ""'Char Def. - Attributes'!C20:C2242""), 1,false)"),"ITEM_NAME_TRAP_STRAINER")</f>
        <v>ITEM_NAME_TRAP_STRAINER</v>
      </c>
      <c r="I14137" s="136"/>
      <c r="R14137" s="63" t="str">
        <f t="shared" si="60"/>
        <v>ZSI1_TRAP_STRAINERITEM_NAME_TRAP_STRAINER</v>
      </c>
    </row>
    <row r="14138" ht="15.75" customHeight="1">
      <c r="A14138" s="59"/>
      <c r="B14138" s="63">
        <f t="shared" si="1"/>
        <v>18</v>
      </c>
      <c r="C14138" s="135" t="s">
        <v>551</v>
      </c>
      <c r="D14138" s="161" t="s">
        <v>74</v>
      </c>
      <c r="E14138" s="135">
        <f t="shared" si="62"/>
        <v>2</v>
      </c>
      <c r="F14138" s="134" t="s">
        <v>5528</v>
      </c>
      <c r="G14138" s="63" t="str">
        <f>VLOOKUP(C14138, 'Class Def. - General Data'!$C$20:$C$1000,1,false)</f>
        <v>ZSI1_TRAP_STRAINER</v>
      </c>
      <c r="H14138" s="63" t="str">
        <f>IFERROR(__xludf.DUMMYFUNCTION("VLOOKUP(F14138, IMPORTRANGE(""https://docs.google.com/spreadsheets/d/1Lhp9OU0JdFf_VYSMzH5lBcEaU4o8teT1piV-SNzShjg/edit?gid=554141278#gid=554141278"", ""'Char Def. - Attributes'!C20:C2242""), 1,false)"),"MATERIAL_TRAP_STRAINER")</f>
        <v>MATERIAL_TRAP_STRAINER</v>
      </c>
      <c r="I14138" s="136"/>
      <c r="R14138" s="63" t="str">
        <f t="shared" si="60"/>
        <v>ZSI1_TRAP_STRAINERMATERIAL_TRAP_STRAINER</v>
      </c>
    </row>
    <row r="14139" ht="15.75" customHeight="1">
      <c r="A14139" s="59"/>
      <c r="B14139" s="63">
        <f t="shared" si="1"/>
        <v>18</v>
      </c>
      <c r="C14139" s="135" t="s">
        <v>551</v>
      </c>
      <c r="D14139" s="161" t="s">
        <v>74</v>
      </c>
      <c r="E14139" s="135">
        <f t="shared" si="62"/>
        <v>3</v>
      </c>
      <c r="F14139" s="134" t="s">
        <v>5529</v>
      </c>
      <c r="G14139" s="63" t="str">
        <f>VLOOKUP(C14139, 'Class Def. - General Data'!$C$20:$C$1000,1,false)</f>
        <v>ZSI1_TRAP_STRAINER</v>
      </c>
      <c r="H14139" s="63" t="str">
        <f>IFERROR(__xludf.DUMMYFUNCTION("VLOOKUP(F14139, IMPORTRANGE(""https://docs.google.com/spreadsheets/d/1Lhp9OU0JdFf_VYSMzH5lBcEaU4o8teT1piV-SNzShjg/edit?gid=554141278#gid=554141278"", ""'Char Def. - Attributes'!C20:C2242""), 1,false)"),"SIZE_IN_TRAP_STRAINER")</f>
        <v>SIZE_IN_TRAP_STRAINER</v>
      </c>
      <c r="I14139" s="136"/>
      <c r="R14139" s="63" t="str">
        <f t="shared" si="60"/>
        <v>ZSI1_TRAP_STRAINERSIZE_IN_TRAP_STRAINER</v>
      </c>
    </row>
    <row r="14140" ht="15.75" customHeight="1">
      <c r="A14140" s="59"/>
      <c r="B14140" s="63">
        <f t="shared" si="1"/>
        <v>18</v>
      </c>
      <c r="C14140" s="135" t="s">
        <v>551</v>
      </c>
      <c r="D14140" s="161" t="s">
        <v>74</v>
      </c>
      <c r="E14140" s="135">
        <f t="shared" si="62"/>
        <v>4</v>
      </c>
      <c r="F14140" s="134" t="s">
        <v>5530</v>
      </c>
      <c r="G14140" s="63" t="str">
        <f>VLOOKUP(C14140, 'Class Def. - General Data'!$C$20:$C$1000,1,false)</f>
        <v>ZSI1_TRAP_STRAINER</v>
      </c>
      <c r="H14140" s="63" t="str">
        <f>IFERROR(__xludf.DUMMYFUNCTION("VLOOKUP(F14140, IMPORTRANGE(""https://docs.google.com/spreadsheets/d/1Lhp9OU0JdFf_VYSMzH5lBcEaU4o8teT1piV-SNzShjg/edit?gid=554141278#gid=554141278"", ""'Char Def. - Attributes'!C20:C2242""), 1,false)"),"CONNECTION_TYPE_TRAP_STRAINER")</f>
        <v>CONNECTION_TYPE_TRAP_STRAINER</v>
      </c>
      <c r="I14140" s="136"/>
      <c r="R14140" s="63" t="str">
        <f t="shared" si="60"/>
        <v>ZSI1_TRAP_STRAINERCONNECTION_TYPE_TRAP_STRAINER</v>
      </c>
    </row>
    <row r="14141" ht="15.75" customHeight="1">
      <c r="A14141" s="59"/>
      <c r="B14141" s="63">
        <f t="shared" si="1"/>
        <v>18</v>
      </c>
      <c r="C14141" s="135" t="s">
        <v>551</v>
      </c>
      <c r="D14141" s="161" t="s">
        <v>74</v>
      </c>
      <c r="E14141" s="135">
        <f t="shared" si="62"/>
        <v>5</v>
      </c>
      <c r="F14141" s="134" t="s">
        <v>5531</v>
      </c>
      <c r="G14141" s="63" t="str">
        <f>VLOOKUP(C14141, 'Class Def. - General Data'!$C$20:$C$1000,1,false)</f>
        <v>ZSI1_TRAP_STRAINER</v>
      </c>
      <c r="H14141" s="63" t="str">
        <f>IFERROR(__xludf.DUMMYFUNCTION("VLOOKUP(F14141, IMPORTRANGE(""https://docs.google.com/spreadsheets/d/1Lhp9OU0JdFf_VYSMzH5lBcEaU4o8teT1piV-SNzShjg/edit?gid=554141278#gid=554141278"", ""'Char Def. - Attributes'!C20:C2242""), 1,false)"),"PRESSURE_RATING_TRAP_STRAINER")</f>
        <v>PRESSURE_RATING_TRAP_STRAINER</v>
      </c>
      <c r="I14141" s="136"/>
      <c r="R14141" s="63" t="str">
        <f t="shared" si="60"/>
        <v>ZSI1_TRAP_STRAINERPRESSURE_RATING_TRAP_STRAINER</v>
      </c>
    </row>
    <row r="14142" ht="15.75" customHeight="1">
      <c r="A14142" s="59"/>
      <c r="B14142" s="63">
        <f t="shared" si="1"/>
        <v>18</v>
      </c>
      <c r="C14142" s="135" t="s">
        <v>551</v>
      </c>
      <c r="D14142" s="161" t="s">
        <v>74</v>
      </c>
      <c r="E14142" s="135">
        <f t="shared" si="62"/>
        <v>6</v>
      </c>
      <c r="F14142" s="134" t="s">
        <v>3585</v>
      </c>
      <c r="G14142" s="63" t="str">
        <f>VLOOKUP(C14142, 'Class Def. - General Data'!$C$20:$C$1000,1,false)</f>
        <v>ZSI1_TRAP_STRAINER</v>
      </c>
      <c r="H14142" s="63" t="str">
        <f>IFERROR(__xludf.DUMMYFUNCTION("VLOOKUP(F14142, IMPORTRANGE(""https://docs.google.com/spreadsheets/d/1Lhp9OU0JdFf_VYSMzH5lBcEaU4o8teT1piV-SNzShjg/edit?gid=554141278#gid=554141278"", ""'Char Def. - Attributes'!C20:C2242""), 1,false)"),"HS_CODE")</f>
        <v>HS_CODE</v>
      </c>
      <c r="I14142" s="136"/>
      <c r="R14142" s="63" t="str">
        <f t="shared" si="60"/>
        <v>ZSI1_TRAP_STRAINERHS_CODE</v>
      </c>
    </row>
    <row r="14143" ht="15.75" customHeight="1">
      <c r="A14143" s="59"/>
      <c r="B14143" s="63">
        <f t="shared" si="1"/>
        <v>18</v>
      </c>
      <c r="C14143" s="135" t="s">
        <v>551</v>
      </c>
      <c r="D14143" s="161" t="s">
        <v>74</v>
      </c>
      <c r="E14143" s="135">
        <f t="shared" si="62"/>
        <v>7</v>
      </c>
      <c r="F14143" s="134" t="s">
        <v>3587</v>
      </c>
      <c r="G14143" s="63" t="str">
        <f>VLOOKUP(C14143, 'Class Def. - General Data'!$C$20:$C$1000,1,false)</f>
        <v>ZSI1_TRAP_STRAINER</v>
      </c>
      <c r="H14143" s="63" t="str">
        <f>IFERROR(__xludf.DUMMYFUNCTION("VLOOKUP(F14143, IMPORTRANGE(""https://docs.google.com/spreadsheets/d/1Lhp9OU0JdFf_VYSMzH5lBcEaU4o8teT1piV-SNzShjg/edit?gid=554141278#gid=554141278"", ""'Char Def. - Attributes'!C20:C2242""), 1,false)"),"PLANT_BUY")</f>
        <v>PLANT_BUY</v>
      </c>
      <c r="I14143" s="136"/>
      <c r="R14143" s="63" t="str">
        <f t="shared" si="60"/>
        <v>ZSI1_TRAP_STRAINERPLANT_BUY</v>
      </c>
    </row>
    <row r="14144" ht="15.75" customHeight="1">
      <c r="A14144" s="59"/>
      <c r="B14144" s="63">
        <f t="shared" si="1"/>
        <v>18</v>
      </c>
      <c r="C14144" s="135" t="s">
        <v>551</v>
      </c>
      <c r="D14144" s="161" t="s">
        <v>74</v>
      </c>
      <c r="E14144" s="135">
        <f t="shared" si="62"/>
        <v>8</v>
      </c>
      <c r="F14144" s="134" t="s">
        <v>5532</v>
      </c>
      <c r="G14144" s="63" t="str">
        <f>VLOOKUP(C14144, 'Class Def. - General Data'!$C$20:$C$1000,1,false)</f>
        <v>ZSI1_TRAP_STRAINER</v>
      </c>
      <c r="H14144" s="63" t="str">
        <f>IFERROR(__xludf.DUMMYFUNCTION("VLOOKUP(F14144, IMPORTRANGE(""https://docs.google.com/spreadsheets/d/1Lhp9OU0JdFf_VYSMzH5lBcEaU4o8teT1piV-SNzShjg/edit?gid=554141278#gid=554141278"", ""'Char Def. - Attributes'!C20:C2242""), 1,false)"),"BASE_UOM_TRAP_STRAINER")</f>
        <v>BASE_UOM_TRAP_STRAINER</v>
      </c>
      <c r="I14144" s="136"/>
      <c r="R14144" s="63" t="str">
        <f t="shared" si="60"/>
        <v>ZSI1_TRAP_STRAINERBASE_UOM_TRAP_STRAINER</v>
      </c>
    </row>
    <row r="14145" ht="15.75" customHeight="1">
      <c r="A14145" s="59"/>
      <c r="B14145" s="63">
        <f t="shared" si="1"/>
        <v>18</v>
      </c>
      <c r="C14145" s="135" t="s">
        <v>551</v>
      </c>
      <c r="D14145" s="161" t="s">
        <v>74</v>
      </c>
      <c r="E14145" s="135">
        <f t="shared" si="62"/>
        <v>9</v>
      </c>
      <c r="F14145" s="134" t="s">
        <v>5533</v>
      </c>
      <c r="G14145" s="63" t="str">
        <f>VLOOKUP(C14145, 'Class Def. - General Data'!$C$20:$C$1000,1,false)</f>
        <v>ZSI1_TRAP_STRAINER</v>
      </c>
      <c r="H14145" s="63" t="str">
        <f>IFERROR(__xludf.DUMMYFUNCTION("VLOOKUP(F14145, IMPORTRANGE(""https://docs.google.com/spreadsheets/d/1Lhp9OU0JdFf_VYSMzH5lBcEaU4o8teT1piV-SNzShjg/edit?gid=554141278#gid=554141278"", ""'Char Def. - Attributes'!C20:C2242""), 1,false)"),"ORDER_UNIT_TRAP_STRAINER")</f>
        <v>ORDER_UNIT_TRAP_STRAINER</v>
      </c>
      <c r="I14145" s="136"/>
      <c r="R14145" s="63" t="str">
        <f t="shared" si="60"/>
        <v>ZSI1_TRAP_STRAINERORDER_UNIT_TRAP_STRAINER</v>
      </c>
    </row>
    <row r="14146" ht="15.75" customHeight="1">
      <c r="A14146" s="59"/>
      <c r="B14146" s="63">
        <f t="shared" si="1"/>
        <v>18</v>
      </c>
      <c r="C14146" s="135" t="s">
        <v>551</v>
      </c>
      <c r="D14146" s="161" t="s">
        <v>74</v>
      </c>
      <c r="E14146" s="135">
        <f t="shared" si="62"/>
        <v>10</v>
      </c>
      <c r="F14146" s="134" t="s">
        <v>4056</v>
      </c>
      <c r="G14146" s="63" t="str">
        <f>VLOOKUP(C14146, 'Class Def. - General Data'!$C$20:$C$1000,1,false)</f>
        <v>ZSI1_TRAP_STRAINER</v>
      </c>
      <c r="H14146" s="63" t="str">
        <f>IFERROR(__xludf.DUMMYFUNCTION("VLOOKUP(F14146, IMPORTRANGE(""https://docs.google.com/spreadsheets/d/1Lhp9OU0JdFf_VYSMzH5lBcEaU4o8teT1piV-SNzShjg/edit?gid=554141278#gid=554141278"", ""'Char Def. - Attributes'!C20:C2242""), 1,false)"),"GROSS_WEIGHT_OPT")</f>
        <v>GROSS_WEIGHT_OPT</v>
      </c>
      <c r="I14146" s="136"/>
      <c r="R14146" s="63" t="str">
        <f t="shared" si="60"/>
        <v>ZSI1_TRAP_STRAINERGROSS_WEIGHT_OPT</v>
      </c>
    </row>
    <row r="14147" ht="15.75" customHeight="1">
      <c r="A14147" s="59"/>
      <c r="B14147" s="63">
        <f t="shared" si="1"/>
        <v>18</v>
      </c>
      <c r="C14147" s="135" t="s">
        <v>551</v>
      </c>
      <c r="D14147" s="161" t="s">
        <v>74</v>
      </c>
      <c r="E14147" s="135">
        <f t="shared" si="62"/>
        <v>11</v>
      </c>
      <c r="F14147" s="134" t="s">
        <v>4057</v>
      </c>
      <c r="G14147" s="63" t="str">
        <f>VLOOKUP(C14147, 'Class Def. - General Data'!$C$20:$C$1000,1,false)</f>
        <v>ZSI1_TRAP_STRAINER</v>
      </c>
      <c r="H14147" s="63" t="str">
        <f>IFERROR(__xludf.DUMMYFUNCTION("VLOOKUP(F14147, IMPORTRANGE(""https://docs.google.com/spreadsheets/d/1Lhp9OU0JdFf_VYSMzH5lBcEaU4o8teT1piV-SNzShjg/edit?gid=554141278#gid=554141278"", ""'Char Def. - Attributes'!C20:C2242""), 1,false)"),"NET_WEIGHT_OPT")</f>
        <v>NET_WEIGHT_OPT</v>
      </c>
      <c r="I14147" s="136"/>
      <c r="R14147" s="63" t="str">
        <f t="shared" si="60"/>
        <v>ZSI1_TRAP_STRAINERNET_WEIGHT_OPT</v>
      </c>
    </row>
    <row r="14148" ht="15.75" customHeight="1">
      <c r="A14148" s="59"/>
      <c r="B14148" s="63">
        <f t="shared" si="1"/>
        <v>18</v>
      </c>
      <c r="C14148" s="135" t="s">
        <v>551</v>
      </c>
      <c r="D14148" s="161" t="s">
        <v>74</v>
      </c>
      <c r="E14148" s="135">
        <f t="shared" si="62"/>
        <v>12</v>
      </c>
      <c r="F14148" s="134" t="s">
        <v>4058</v>
      </c>
      <c r="G14148" s="63" t="str">
        <f>VLOOKUP(C14148, 'Class Def. - General Data'!$C$20:$C$1000,1,false)</f>
        <v>ZSI1_TRAP_STRAINER</v>
      </c>
      <c r="H14148" s="63" t="str">
        <f>IFERROR(__xludf.DUMMYFUNCTION("VLOOKUP(F14148, IMPORTRANGE(""https://docs.google.com/spreadsheets/d/1Lhp9OU0JdFf_VYSMzH5lBcEaU4o8teT1piV-SNzShjg/edit?gid=554141278#gid=554141278"", ""'Char Def. - Attributes'!C20:C2242""), 1,false)"),"WEIGHT_UNIT_SI")</f>
        <v>WEIGHT_UNIT_SI</v>
      </c>
      <c r="I14148" s="136"/>
      <c r="R14148" s="63" t="str">
        <f t="shared" si="60"/>
        <v>ZSI1_TRAP_STRAINERWEIGHT_UNIT_SI</v>
      </c>
    </row>
    <row r="14149" ht="15.75" customHeight="1">
      <c r="A14149" s="59"/>
      <c r="B14149" s="63">
        <f t="shared" si="1"/>
        <v>18</v>
      </c>
      <c r="C14149" s="135" t="s">
        <v>551</v>
      </c>
      <c r="D14149" s="161" t="s">
        <v>74</v>
      </c>
      <c r="E14149" s="135">
        <f t="shared" si="62"/>
        <v>13</v>
      </c>
      <c r="F14149" s="134" t="s">
        <v>3877</v>
      </c>
      <c r="G14149" s="63" t="str">
        <f>VLOOKUP(C14149, 'Class Def. - General Data'!$C$20:$C$1000,1,false)</f>
        <v>ZSI1_TRAP_STRAINER</v>
      </c>
      <c r="H14149" s="63" t="str">
        <f>IFERROR(__xludf.DUMMYFUNCTION("VLOOKUP(F14149, IMPORTRANGE(""https://docs.google.com/spreadsheets/d/1Lhp9OU0JdFf_VYSMzH5lBcEaU4o8teT1piV-SNzShjg/edit?gid=554141278#gid=554141278"", ""'Char Def. - Attributes'!C20:C2242""), 1,false)"),"VOLUME_OPT")</f>
        <v>VOLUME_OPT</v>
      </c>
      <c r="I14149" s="136"/>
      <c r="R14149" s="63" t="str">
        <f t="shared" si="60"/>
        <v>ZSI1_TRAP_STRAINERVOLUME_OPT</v>
      </c>
    </row>
    <row r="14150" ht="15.75" customHeight="1">
      <c r="A14150" s="59"/>
      <c r="B14150" s="63">
        <f t="shared" si="1"/>
        <v>18</v>
      </c>
      <c r="C14150" s="135" t="s">
        <v>551</v>
      </c>
      <c r="D14150" s="161" t="s">
        <v>74</v>
      </c>
      <c r="E14150" s="135">
        <f t="shared" si="62"/>
        <v>14</v>
      </c>
      <c r="F14150" s="134" t="s">
        <v>4059</v>
      </c>
      <c r="G14150" s="63" t="str">
        <f>VLOOKUP(C14150, 'Class Def. - General Data'!$C$20:$C$1000,1,false)</f>
        <v>ZSI1_TRAP_STRAINER</v>
      </c>
      <c r="H14150" s="63" t="str">
        <f>IFERROR(__xludf.DUMMYFUNCTION("VLOOKUP(F14150, IMPORTRANGE(""https://docs.google.com/spreadsheets/d/1Lhp9OU0JdFf_VYSMzH5lBcEaU4o8teT1piV-SNzShjg/edit?gid=554141278#gid=554141278"", ""'Char Def. - Attributes'!C20:C2242""), 1,false)"),"VOLUME_UNIT_SI")</f>
        <v>VOLUME_UNIT_SI</v>
      </c>
      <c r="I14150" s="136"/>
      <c r="R14150" s="63" t="str">
        <f t="shared" si="60"/>
        <v>ZSI1_TRAP_STRAINERVOLUME_UNIT_SI</v>
      </c>
    </row>
    <row r="14151" ht="15.75" customHeight="1">
      <c r="A14151" s="59"/>
      <c r="B14151" s="63">
        <f t="shared" si="1"/>
        <v>18</v>
      </c>
      <c r="C14151" s="135" t="s">
        <v>551</v>
      </c>
      <c r="D14151" s="161" t="s">
        <v>74</v>
      </c>
      <c r="E14151" s="135">
        <f t="shared" si="62"/>
        <v>15</v>
      </c>
      <c r="F14151" s="134" t="s">
        <v>3804</v>
      </c>
      <c r="G14151" s="63" t="str">
        <f>VLOOKUP(C14151, 'Class Def. - General Data'!$C$20:$C$1000,1,false)</f>
        <v>ZSI1_TRAP_STRAINER</v>
      </c>
      <c r="H14151" s="63" t="str">
        <f>IFERROR(__xludf.DUMMYFUNCTION("VLOOKUP(F14151, IMPORTRANGE(""https://docs.google.com/spreadsheets/d/1Lhp9OU0JdFf_VYSMzH5lBcEaU4o8teT1piV-SNzShjg/edit?gid=554141278#gid=554141278"", ""'Char Def. - Attributes'!C20:C2242""), 1,false)"),"ALT_UOM1_SIPI")</f>
        <v>ALT_UOM1_SIPI</v>
      </c>
      <c r="I14151" s="136"/>
      <c r="R14151" s="63" t="str">
        <f t="shared" si="60"/>
        <v>ZSI1_TRAP_STRAINERALT_UOM1_SIPI</v>
      </c>
    </row>
    <row r="14152" ht="15.75" customHeight="1">
      <c r="A14152" s="59"/>
      <c r="B14152" s="63">
        <f t="shared" si="1"/>
        <v>18</v>
      </c>
      <c r="C14152" s="135" t="s">
        <v>551</v>
      </c>
      <c r="D14152" s="161" t="s">
        <v>74</v>
      </c>
      <c r="E14152" s="135">
        <f t="shared" si="62"/>
        <v>16</v>
      </c>
      <c r="F14152" s="134" t="s">
        <v>3805</v>
      </c>
      <c r="G14152" s="63" t="str">
        <f>VLOOKUP(C14152, 'Class Def. - General Data'!$C$20:$C$1000,1,false)</f>
        <v>ZSI1_TRAP_STRAINER</v>
      </c>
      <c r="H14152" s="63" t="str">
        <f>IFERROR(__xludf.DUMMYFUNCTION("VLOOKUP(F14152, IMPORTRANGE(""https://docs.google.com/spreadsheets/d/1Lhp9OU0JdFf_VYSMzH5lBcEaU4o8teT1piV-SNzShjg/edit?gid=554141278#gid=554141278"", ""'Char Def. - Attributes'!C20:C2242""), 1,false)"),"ALT_DENUM_UOM1")</f>
        <v>ALT_DENUM_UOM1</v>
      </c>
      <c r="I14152" s="136"/>
      <c r="R14152" s="63" t="str">
        <f t="shared" si="60"/>
        <v>ZSI1_TRAP_STRAINERALT_DENUM_UOM1</v>
      </c>
    </row>
    <row r="14153" ht="15.75" customHeight="1">
      <c r="A14153" s="59"/>
      <c r="B14153" s="63">
        <f t="shared" si="1"/>
        <v>18</v>
      </c>
      <c r="C14153" s="135" t="s">
        <v>551</v>
      </c>
      <c r="D14153" s="161" t="s">
        <v>74</v>
      </c>
      <c r="E14153" s="135">
        <f t="shared" si="62"/>
        <v>17</v>
      </c>
      <c r="F14153" s="134" t="s">
        <v>3806</v>
      </c>
      <c r="G14153" s="63" t="str">
        <f>VLOOKUP(C14153, 'Class Def. - General Data'!$C$20:$C$1000,1,false)</f>
        <v>ZSI1_TRAP_STRAINER</v>
      </c>
      <c r="H14153" s="63" t="str">
        <f>IFERROR(__xludf.DUMMYFUNCTION("VLOOKUP(F14153, IMPORTRANGE(""https://docs.google.com/spreadsheets/d/1Lhp9OU0JdFf_VYSMzH5lBcEaU4o8teT1piV-SNzShjg/edit?gid=554141278#gid=554141278"", ""'Char Def. - Attributes'!C20:C2242""), 1,false)"),"ALT_NUM_UOM1")</f>
        <v>ALT_NUM_UOM1</v>
      </c>
      <c r="I14153" s="136"/>
      <c r="R14153" s="63" t="str">
        <f t="shared" si="60"/>
        <v>ZSI1_TRAP_STRAINERALT_NUM_UOM1</v>
      </c>
    </row>
    <row r="14154" ht="15.75" customHeight="1">
      <c r="A14154" s="59"/>
      <c r="B14154" s="63">
        <f t="shared" si="1"/>
        <v>18</v>
      </c>
      <c r="C14154" s="135" t="s">
        <v>551</v>
      </c>
      <c r="D14154" s="161" t="s">
        <v>74</v>
      </c>
      <c r="E14154" s="135">
        <f t="shared" si="62"/>
        <v>18</v>
      </c>
      <c r="F14154" s="134" t="s">
        <v>3807</v>
      </c>
      <c r="G14154" s="63" t="str">
        <f>VLOOKUP(C14154, 'Class Def. - General Data'!$C$20:$C$1000,1,false)</f>
        <v>ZSI1_TRAP_STRAINER</v>
      </c>
      <c r="H14154" s="63" t="str">
        <f>IFERROR(__xludf.DUMMYFUNCTION("VLOOKUP(F14154, IMPORTRANGE(""https://docs.google.com/spreadsheets/d/1Lhp9OU0JdFf_VYSMzH5lBcEaU4o8teT1piV-SNzShjg/edit?gid=554141278#gid=554141278"", ""'Char Def. - Attributes'!C20:C2242""), 1,false)"),"ALT_UOM2_SIPI")</f>
        <v>ALT_UOM2_SIPI</v>
      </c>
      <c r="I14154" s="136"/>
      <c r="R14154" s="63" t="str">
        <f t="shared" si="60"/>
        <v>ZSI1_TRAP_STRAINERALT_UOM2_SIPI</v>
      </c>
    </row>
    <row r="14155" ht="15.75" customHeight="1">
      <c r="A14155" s="59"/>
      <c r="B14155" s="63">
        <f t="shared" si="1"/>
        <v>18</v>
      </c>
      <c r="C14155" s="135" t="s">
        <v>551</v>
      </c>
      <c r="D14155" s="161" t="s">
        <v>74</v>
      </c>
      <c r="E14155" s="135">
        <f t="shared" si="62"/>
        <v>19</v>
      </c>
      <c r="F14155" s="134" t="s">
        <v>3808</v>
      </c>
      <c r="G14155" s="63" t="str">
        <f>VLOOKUP(C14155, 'Class Def. - General Data'!$C$20:$C$1000,1,false)</f>
        <v>ZSI1_TRAP_STRAINER</v>
      </c>
      <c r="H14155" s="63" t="str">
        <f>IFERROR(__xludf.DUMMYFUNCTION("VLOOKUP(F14155, IMPORTRANGE(""https://docs.google.com/spreadsheets/d/1Lhp9OU0JdFf_VYSMzH5lBcEaU4o8teT1piV-SNzShjg/edit?gid=554141278#gid=554141278"", ""'Char Def. - Attributes'!C20:C2242""), 1,false)"),"ALT_DENUM_UOM2")</f>
        <v>ALT_DENUM_UOM2</v>
      </c>
      <c r="I14155" s="136"/>
      <c r="R14155" s="63" t="str">
        <f t="shared" si="60"/>
        <v>ZSI1_TRAP_STRAINERALT_DENUM_UOM2</v>
      </c>
    </row>
    <row r="14156" ht="15.75" customHeight="1">
      <c r="A14156" s="59"/>
      <c r="B14156" s="63">
        <f t="shared" si="1"/>
        <v>18</v>
      </c>
      <c r="C14156" s="135" t="s">
        <v>551</v>
      </c>
      <c r="D14156" s="161" t="s">
        <v>74</v>
      </c>
      <c r="E14156" s="135">
        <f t="shared" si="62"/>
        <v>20</v>
      </c>
      <c r="F14156" s="134" t="s">
        <v>3809</v>
      </c>
      <c r="G14156" s="63" t="str">
        <f>VLOOKUP(C14156, 'Class Def. - General Data'!$C$20:$C$1000,1,false)</f>
        <v>ZSI1_TRAP_STRAINER</v>
      </c>
      <c r="H14156" s="63" t="str">
        <f>IFERROR(__xludf.DUMMYFUNCTION("VLOOKUP(F14156, IMPORTRANGE(""https://docs.google.com/spreadsheets/d/1Lhp9OU0JdFf_VYSMzH5lBcEaU4o8teT1piV-SNzShjg/edit?gid=554141278#gid=554141278"", ""'Char Def. - Attributes'!C20:C2242""), 1,false)"),"ALT_NUM_UOM2")</f>
        <v>ALT_NUM_UOM2</v>
      </c>
      <c r="I14156" s="136"/>
      <c r="R14156" s="63" t="str">
        <f t="shared" si="60"/>
        <v>ZSI1_TRAP_STRAINERALT_NUM_UOM2</v>
      </c>
    </row>
    <row r="14157" ht="15.75" customHeight="1">
      <c r="A14157" s="59"/>
      <c r="B14157" s="63">
        <f t="shared" si="1"/>
        <v>18</v>
      </c>
      <c r="C14157" s="135" t="s">
        <v>551</v>
      </c>
      <c r="D14157" s="161" t="s">
        <v>74</v>
      </c>
      <c r="E14157" s="135">
        <f t="shared" si="62"/>
        <v>21</v>
      </c>
      <c r="F14157" s="134" t="s">
        <v>3810</v>
      </c>
      <c r="G14157" s="63" t="str">
        <f>VLOOKUP(C14157, 'Class Def. - General Data'!$C$20:$C$1000,1,false)</f>
        <v>ZSI1_TRAP_STRAINER</v>
      </c>
      <c r="H14157" s="63" t="str">
        <f>IFERROR(__xludf.DUMMYFUNCTION("VLOOKUP(F14157, IMPORTRANGE(""https://docs.google.com/spreadsheets/d/1Lhp9OU0JdFf_VYSMzH5lBcEaU4o8teT1piV-SNzShjg/edit?gid=554141278#gid=554141278"", ""'Char Def. - Attributes'!C20:C2242""), 1,false)"),"ALT_UOM3_SIPI")</f>
        <v>ALT_UOM3_SIPI</v>
      </c>
      <c r="I14157" s="136"/>
      <c r="R14157" s="63" t="str">
        <f t="shared" si="60"/>
        <v>ZSI1_TRAP_STRAINERALT_UOM3_SIPI</v>
      </c>
    </row>
    <row r="14158" ht="15.75" customHeight="1">
      <c r="A14158" s="59"/>
      <c r="B14158" s="63">
        <f t="shared" si="1"/>
        <v>18</v>
      </c>
      <c r="C14158" s="135" t="s">
        <v>551</v>
      </c>
      <c r="D14158" s="161" t="s">
        <v>74</v>
      </c>
      <c r="E14158" s="135">
        <f t="shared" si="62"/>
        <v>22</v>
      </c>
      <c r="F14158" s="134" t="s">
        <v>3811</v>
      </c>
      <c r="G14158" s="63" t="str">
        <f>VLOOKUP(C14158, 'Class Def. - General Data'!$C$20:$C$1000,1,false)</f>
        <v>ZSI1_TRAP_STRAINER</v>
      </c>
      <c r="H14158" s="63" t="str">
        <f>IFERROR(__xludf.DUMMYFUNCTION("VLOOKUP(F14158, IMPORTRANGE(""https://docs.google.com/spreadsheets/d/1Lhp9OU0JdFf_VYSMzH5lBcEaU4o8teT1piV-SNzShjg/edit?gid=554141278#gid=554141278"", ""'Char Def. - Attributes'!C20:C2242""), 1,false)"),"ALT_DENUM_UOM3")</f>
        <v>ALT_DENUM_UOM3</v>
      </c>
      <c r="I14158" s="136"/>
      <c r="R14158" s="63" t="str">
        <f t="shared" si="60"/>
        <v>ZSI1_TRAP_STRAINERALT_DENUM_UOM3</v>
      </c>
    </row>
    <row r="14159" ht="15.75" customHeight="1">
      <c r="A14159" s="59"/>
      <c r="B14159" s="63">
        <f t="shared" si="1"/>
        <v>18</v>
      </c>
      <c r="C14159" s="135" t="s">
        <v>551</v>
      </c>
      <c r="D14159" s="161" t="s">
        <v>74</v>
      </c>
      <c r="E14159" s="135">
        <f t="shared" si="62"/>
        <v>23</v>
      </c>
      <c r="F14159" s="134" t="s">
        <v>3812</v>
      </c>
      <c r="G14159" s="63" t="str">
        <f>VLOOKUP(C14159, 'Class Def. - General Data'!$C$20:$C$1000,1,false)</f>
        <v>ZSI1_TRAP_STRAINER</v>
      </c>
      <c r="H14159" s="63" t="str">
        <f>IFERROR(__xludf.DUMMYFUNCTION("VLOOKUP(F14159, IMPORTRANGE(""https://docs.google.com/spreadsheets/d/1Lhp9OU0JdFf_VYSMzH5lBcEaU4o8teT1piV-SNzShjg/edit?gid=554141278#gid=554141278"", ""'Char Def. - Attributes'!C20:C2242""), 1,false)"),"ALT_NUM_UOM3")</f>
        <v>ALT_NUM_UOM3</v>
      </c>
      <c r="I14159" s="136"/>
      <c r="R14159" s="63" t="str">
        <f t="shared" si="60"/>
        <v>ZSI1_TRAP_STRAINERALT_NUM_UOM3</v>
      </c>
    </row>
    <row r="14160" ht="15.75" customHeight="1">
      <c r="A14160" s="59"/>
      <c r="B14160" s="63">
        <f t="shared" si="1"/>
        <v>18</v>
      </c>
      <c r="C14160" s="135" t="s">
        <v>551</v>
      </c>
      <c r="D14160" s="161" t="s">
        <v>74</v>
      </c>
      <c r="E14160" s="135">
        <f t="shared" si="62"/>
        <v>24</v>
      </c>
      <c r="F14160" s="134" t="s">
        <v>3813</v>
      </c>
      <c r="G14160" s="63" t="str">
        <f>VLOOKUP(C14160, 'Class Def. - General Data'!$C$20:$C$1000,1,false)</f>
        <v>ZSI1_TRAP_STRAINER</v>
      </c>
      <c r="H14160" s="63" t="str">
        <f>IFERROR(__xludf.DUMMYFUNCTION("VLOOKUP(F14160, IMPORTRANGE(""https://docs.google.com/spreadsheets/d/1Lhp9OU0JdFf_VYSMzH5lBcEaU4o8teT1piV-SNzShjg/edit?gid=554141278#gid=554141278"", ""'Char Def. - Attributes'!C20:C2242""), 1,false)"),"ALT_UOM4_SIPI")</f>
        <v>ALT_UOM4_SIPI</v>
      </c>
      <c r="I14160" s="136"/>
      <c r="R14160" s="63" t="str">
        <f t="shared" si="60"/>
        <v>ZSI1_TRAP_STRAINERALT_UOM4_SIPI</v>
      </c>
    </row>
    <row r="14161" ht="15.75" customHeight="1">
      <c r="A14161" s="59"/>
      <c r="B14161" s="63">
        <f t="shared" si="1"/>
        <v>18</v>
      </c>
      <c r="C14161" s="135" t="s">
        <v>551</v>
      </c>
      <c r="D14161" s="161" t="s">
        <v>74</v>
      </c>
      <c r="E14161" s="135">
        <f t="shared" si="62"/>
        <v>25</v>
      </c>
      <c r="F14161" s="134" t="s">
        <v>3814</v>
      </c>
      <c r="G14161" s="63" t="str">
        <f>VLOOKUP(C14161, 'Class Def. - General Data'!$C$20:$C$1000,1,false)</f>
        <v>ZSI1_TRAP_STRAINER</v>
      </c>
      <c r="H14161" s="63" t="str">
        <f>IFERROR(__xludf.DUMMYFUNCTION("VLOOKUP(F14161, IMPORTRANGE(""https://docs.google.com/spreadsheets/d/1Lhp9OU0JdFf_VYSMzH5lBcEaU4o8teT1piV-SNzShjg/edit?gid=554141278#gid=554141278"", ""'Char Def. - Attributes'!C20:C2242""), 1,false)"),"ALT_DENUM_UOM4")</f>
        <v>ALT_DENUM_UOM4</v>
      </c>
      <c r="I14161" s="136"/>
      <c r="R14161" s="63" t="str">
        <f t="shared" si="60"/>
        <v>ZSI1_TRAP_STRAINERALT_DENUM_UOM4</v>
      </c>
    </row>
    <row r="14162" ht="15.75" customHeight="1">
      <c r="A14162" s="59"/>
      <c r="B14162" s="63">
        <f t="shared" si="1"/>
        <v>18</v>
      </c>
      <c r="C14162" s="135" t="s">
        <v>551</v>
      </c>
      <c r="D14162" s="161" t="s">
        <v>74</v>
      </c>
      <c r="E14162" s="135">
        <f t="shared" si="62"/>
        <v>26</v>
      </c>
      <c r="F14162" s="134" t="s">
        <v>3815</v>
      </c>
      <c r="G14162" s="63" t="str">
        <f>VLOOKUP(C14162, 'Class Def. - General Data'!$C$20:$C$1000,1,false)</f>
        <v>ZSI1_TRAP_STRAINER</v>
      </c>
      <c r="H14162" s="63" t="str">
        <f>IFERROR(__xludf.DUMMYFUNCTION("VLOOKUP(F14162, IMPORTRANGE(""https://docs.google.com/spreadsheets/d/1Lhp9OU0JdFf_VYSMzH5lBcEaU4o8teT1piV-SNzShjg/edit?gid=554141278#gid=554141278"", ""'Char Def. - Attributes'!C20:C2242""), 1,false)"),"ALT_NUM_UOM4")</f>
        <v>ALT_NUM_UOM4</v>
      </c>
      <c r="I14162" s="136"/>
      <c r="R14162" s="63" t="str">
        <f t="shared" si="60"/>
        <v>ZSI1_TRAP_STRAINERALT_NUM_UOM4</v>
      </c>
    </row>
    <row r="14163" ht="15.75" customHeight="1">
      <c r="A14163" s="59"/>
      <c r="B14163" s="63">
        <f t="shared" si="1"/>
        <v>18</v>
      </c>
      <c r="C14163" s="135" t="s">
        <v>551</v>
      </c>
      <c r="D14163" s="161" t="s">
        <v>74</v>
      </c>
      <c r="E14163" s="135">
        <f t="shared" si="62"/>
        <v>27</v>
      </c>
      <c r="F14163" s="134" t="s">
        <v>3816</v>
      </c>
      <c r="G14163" s="63" t="str">
        <f>VLOOKUP(C14163, 'Class Def. - General Data'!$C$20:$C$1000,1,false)</f>
        <v>ZSI1_TRAP_STRAINER</v>
      </c>
      <c r="H14163" s="63" t="str">
        <f>IFERROR(__xludf.DUMMYFUNCTION("VLOOKUP(F14163, IMPORTRANGE(""https://docs.google.com/spreadsheets/d/1Lhp9OU0JdFf_VYSMzH5lBcEaU4o8teT1piV-SNzShjg/edit?gid=554141278#gid=554141278"", ""'Char Def. - Attributes'!C20:C2242""), 1,false)"),"ALT_UOM5_SIPI")</f>
        <v>ALT_UOM5_SIPI</v>
      </c>
      <c r="I14163" s="136"/>
      <c r="R14163" s="63" t="str">
        <f t="shared" si="60"/>
        <v>ZSI1_TRAP_STRAINERALT_UOM5_SIPI</v>
      </c>
    </row>
    <row r="14164" ht="15.75" customHeight="1">
      <c r="A14164" s="59"/>
      <c r="B14164" s="63">
        <f t="shared" si="1"/>
        <v>18</v>
      </c>
      <c r="C14164" s="135" t="s">
        <v>551</v>
      </c>
      <c r="D14164" s="161" t="s">
        <v>74</v>
      </c>
      <c r="E14164" s="135">
        <f t="shared" si="62"/>
        <v>28</v>
      </c>
      <c r="F14164" s="134" t="s">
        <v>3817</v>
      </c>
      <c r="G14164" s="63" t="str">
        <f>VLOOKUP(C14164, 'Class Def. - General Data'!$C$20:$C$1000,1,false)</f>
        <v>ZSI1_TRAP_STRAINER</v>
      </c>
      <c r="H14164" s="63" t="str">
        <f>IFERROR(__xludf.DUMMYFUNCTION("VLOOKUP(F14164, IMPORTRANGE(""https://docs.google.com/spreadsheets/d/1Lhp9OU0JdFf_VYSMzH5lBcEaU4o8teT1piV-SNzShjg/edit?gid=554141278#gid=554141278"", ""'Char Def. - Attributes'!C20:C2242""), 1,false)"),"ALT_DENUM_UOM5")</f>
        <v>ALT_DENUM_UOM5</v>
      </c>
      <c r="I14164" s="136"/>
      <c r="R14164" s="63" t="str">
        <f t="shared" si="60"/>
        <v>ZSI1_TRAP_STRAINERALT_DENUM_UOM5</v>
      </c>
    </row>
    <row r="14165" ht="15.75" customHeight="1">
      <c r="A14165" s="59"/>
      <c r="B14165" s="63">
        <f t="shared" si="1"/>
        <v>18</v>
      </c>
      <c r="C14165" s="135" t="s">
        <v>551</v>
      </c>
      <c r="D14165" s="161" t="s">
        <v>74</v>
      </c>
      <c r="E14165" s="135">
        <f t="shared" si="62"/>
        <v>29</v>
      </c>
      <c r="F14165" s="134" t="s">
        <v>3818</v>
      </c>
      <c r="G14165" s="63" t="str">
        <f>VLOOKUP(C14165, 'Class Def. - General Data'!$C$20:$C$1000,1,false)</f>
        <v>ZSI1_TRAP_STRAINER</v>
      </c>
      <c r="H14165" s="63" t="str">
        <f>IFERROR(__xludf.DUMMYFUNCTION("VLOOKUP(F14165, IMPORTRANGE(""https://docs.google.com/spreadsheets/d/1Lhp9OU0JdFf_VYSMzH5lBcEaU4o8teT1piV-SNzShjg/edit?gid=554141278#gid=554141278"", ""'Char Def. - Attributes'!C20:C2242""), 1,false)"),"ALT_NUM_UOM5")</f>
        <v>ALT_NUM_UOM5</v>
      </c>
      <c r="I14165" s="136"/>
      <c r="R14165" s="63" t="str">
        <f t="shared" si="60"/>
        <v>ZSI1_TRAP_STRAINERALT_NUM_UOM5</v>
      </c>
    </row>
    <row r="14166" ht="15.75" customHeight="1">
      <c r="A14166" s="59"/>
      <c r="B14166" s="63">
        <f t="shared" si="1"/>
        <v>11</v>
      </c>
      <c r="C14166" s="135" t="s">
        <v>476</v>
      </c>
      <c r="D14166" s="161" t="s">
        <v>74</v>
      </c>
      <c r="E14166" s="135">
        <f t="shared" si="62"/>
        <v>1</v>
      </c>
      <c r="F14166" s="134" t="s">
        <v>5534</v>
      </c>
      <c r="G14166" s="63" t="str">
        <f>VLOOKUP(C14166, 'Class Def. - General Data'!$C$20:$C$1000,1,false)</f>
        <v>ZSI1_TRIPOD</v>
      </c>
      <c r="H14166" s="63" t="str">
        <f>IFERROR(__xludf.DUMMYFUNCTION("VLOOKUP(F14166, IMPORTRANGE(""https://docs.google.com/spreadsheets/d/1Lhp9OU0JdFf_VYSMzH5lBcEaU4o8teT1piV-SNzShjg/edit?gid=554141278#gid=554141278"", ""'Char Def. - Attributes'!C20:C2242""), 1,false)"),"ITEM_NAME_TRIPOD")</f>
        <v>ITEM_NAME_TRIPOD</v>
      </c>
      <c r="I14166" s="136"/>
      <c r="R14166" s="63" t="str">
        <f t="shared" si="60"/>
        <v>ZSI1_TRIPODITEM_NAME_TRIPOD</v>
      </c>
    </row>
    <row r="14167" ht="15.75" customHeight="1">
      <c r="A14167" s="59"/>
      <c r="B14167" s="63">
        <f t="shared" si="1"/>
        <v>11</v>
      </c>
      <c r="C14167" s="135" t="s">
        <v>476</v>
      </c>
      <c r="D14167" s="161" t="s">
        <v>74</v>
      </c>
      <c r="E14167" s="135">
        <f t="shared" si="62"/>
        <v>2</v>
      </c>
      <c r="F14167" s="134" t="s">
        <v>5535</v>
      </c>
      <c r="G14167" s="63" t="str">
        <f>VLOOKUP(C14167, 'Class Def. - General Data'!$C$20:$C$1000,1,false)</f>
        <v>ZSI1_TRIPOD</v>
      </c>
      <c r="H14167" s="63" t="str">
        <f>IFERROR(__xludf.DUMMYFUNCTION("VLOOKUP(F14167, IMPORTRANGE(""https://docs.google.com/spreadsheets/d/1Lhp9OU0JdFf_VYSMzH5lBcEaU4o8teT1piV-SNzShjg/edit?gid=554141278#gid=554141278"", ""'Char Def. - Attributes'!C20:C2242""), 1,false)"),"MFR_NO_TRIPOD")</f>
        <v>MFR_NO_TRIPOD</v>
      </c>
      <c r="I14167" s="136"/>
      <c r="R14167" s="63" t="str">
        <f t="shared" si="60"/>
        <v>ZSI1_TRIPODMFR_NO_TRIPOD</v>
      </c>
    </row>
    <row r="14168" ht="15.75" customHeight="1">
      <c r="A14168" s="59"/>
      <c r="B14168" s="63">
        <f t="shared" si="1"/>
        <v>11</v>
      </c>
      <c r="C14168" s="135" t="s">
        <v>476</v>
      </c>
      <c r="D14168" s="161" t="s">
        <v>74</v>
      </c>
      <c r="E14168" s="135">
        <f t="shared" si="62"/>
        <v>3</v>
      </c>
      <c r="F14168" s="134" t="s">
        <v>3782</v>
      </c>
      <c r="G14168" s="63" t="str">
        <f>VLOOKUP(C14168, 'Class Def. - General Data'!$C$20:$C$1000,1,false)</f>
        <v>ZSI1_TRIPOD</v>
      </c>
      <c r="H14168" s="63" t="str">
        <f>IFERROR(__xludf.DUMMYFUNCTION("VLOOKUP(F14168, IMPORTRANGE(""https://docs.google.com/spreadsheets/d/1Lhp9OU0JdFf_VYSMzH5lBcEaU4o8teT1piV-SNzShjg/edit?gid=554141278#gid=554141278"", ""'Char Def. - Attributes'!C20:C2242""), 1,false)"),"BRAND_EXTERNAL")</f>
        <v>BRAND_EXTERNAL</v>
      </c>
      <c r="I14168" s="136"/>
      <c r="R14168" s="63" t="str">
        <f t="shared" si="60"/>
        <v>ZSI1_TRIPODBRAND_EXTERNAL</v>
      </c>
    </row>
    <row r="14169" ht="15.75" customHeight="1">
      <c r="A14169" s="59"/>
      <c r="B14169" s="63">
        <f t="shared" si="1"/>
        <v>11</v>
      </c>
      <c r="C14169" s="135" t="s">
        <v>476</v>
      </c>
      <c r="D14169" s="161" t="s">
        <v>74</v>
      </c>
      <c r="E14169" s="135">
        <f t="shared" si="62"/>
        <v>4</v>
      </c>
      <c r="F14169" s="134" t="s">
        <v>3585</v>
      </c>
      <c r="G14169" s="63" t="str">
        <f>VLOOKUP(C14169, 'Class Def. - General Data'!$C$20:$C$1000,1,false)</f>
        <v>ZSI1_TRIPOD</v>
      </c>
      <c r="H14169" s="63" t="str">
        <f>IFERROR(__xludf.DUMMYFUNCTION("VLOOKUP(F14169, IMPORTRANGE(""https://docs.google.com/spreadsheets/d/1Lhp9OU0JdFf_VYSMzH5lBcEaU4o8teT1piV-SNzShjg/edit?gid=554141278#gid=554141278"", ""'Char Def. - Attributes'!C20:C2242""), 1,false)"),"HS_CODE")</f>
        <v>HS_CODE</v>
      </c>
      <c r="I14169" s="136"/>
      <c r="R14169" s="63" t="str">
        <f t="shared" si="60"/>
        <v>ZSI1_TRIPODHS_CODE</v>
      </c>
    </row>
    <row r="14170" ht="15.75" customHeight="1">
      <c r="A14170" s="59"/>
      <c r="B14170" s="63">
        <f t="shared" si="1"/>
        <v>11</v>
      </c>
      <c r="C14170" s="135" t="s">
        <v>476</v>
      </c>
      <c r="D14170" s="161" t="s">
        <v>74</v>
      </c>
      <c r="E14170" s="135">
        <f t="shared" si="62"/>
        <v>5</v>
      </c>
      <c r="F14170" s="134" t="s">
        <v>3587</v>
      </c>
      <c r="G14170" s="63" t="str">
        <f>VLOOKUP(C14170, 'Class Def. - General Data'!$C$20:$C$1000,1,false)</f>
        <v>ZSI1_TRIPOD</v>
      </c>
      <c r="H14170" s="63" t="str">
        <f>IFERROR(__xludf.DUMMYFUNCTION("VLOOKUP(F14170, IMPORTRANGE(""https://docs.google.com/spreadsheets/d/1Lhp9OU0JdFf_VYSMzH5lBcEaU4o8teT1piV-SNzShjg/edit?gid=554141278#gid=554141278"", ""'Char Def. - Attributes'!C20:C2242""), 1,false)"),"PLANT_BUY")</f>
        <v>PLANT_BUY</v>
      </c>
      <c r="I14170" s="136"/>
      <c r="R14170" s="63" t="str">
        <f t="shared" si="60"/>
        <v>ZSI1_TRIPODPLANT_BUY</v>
      </c>
    </row>
    <row r="14171" ht="15.75" customHeight="1">
      <c r="A14171" s="59"/>
      <c r="B14171" s="63">
        <f t="shared" si="1"/>
        <v>11</v>
      </c>
      <c r="C14171" s="135" t="s">
        <v>476</v>
      </c>
      <c r="D14171" s="161" t="s">
        <v>74</v>
      </c>
      <c r="E14171" s="135">
        <f t="shared" si="62"/>
        <v>6</v>
      </c>
      <c r="F14171" s="134" t="s">
        <v>5536</v>
      </c>
      <c r="G14171" s="63" t="str">
        <f>VLOOKUP(C14171, 'Class Def. - General Data'!$C$20:$C$1000,1,false)</f>
        <v>ZSI1_TRIPOD</v>
      </c>
      <c r="H14171" s="63" t="str">
        <f>IFERROR(__xludf.DUMMYFUNCTION("VLOOKUP(F14171, IMPORTRANGE(""https://docs.google.com/spreadsheets/d/1Lhp9OU0JdFf_VYSMzH5lBcEaU4o8teT1piV-SNzShjg/edit?gid=554141278#gid=554141278"", ""'Char Def. - Attributes'!C20:C2242""), 1,false)"),"BASE_UOM_TRIPOD")</f>
        <v>BASE_UOM_TRIPOD</v>
      </c>
      <c r="I14171" s="136"/>
      <c r="R14171" s="63" t="str">
        <f t="shared" si="60"/>
        <v>ZSI1_TRIPODBASE_UOM_TRIPOD</v>
      </c>
    </row>
    <row r="14172" ht="15.75" customHeight="1">
      <c r="A14172" s="59"/>
      <c r="B14172" s="63">
        <f t="shared" si="1"/>
        <v>11</v>
      </c>
      <c r="C14172" s="135" t="s">
        <v>476</v>
      </c>
      <c r="D14172" s="161" t="s">
        <v>74</v>
      </c>
      <c r="E14172" s="135">
        <f t="shared" si="62"/>
        <v>7</v>
      </c>
      <c r="F14172" s="134" t="s">
        <v>5537</v>
      </c>
      <c r="G14172" s="63" t="str">
        <f>VLOOKUP(C14172, 'Class Def. - General Data'!$C$20:$C$1000,1,false)</f>
        <v>ZSI1_TRIPOD</v>
      </c>
      <c r="H14172" s="63" t="str">
        <f>IFERROR(__xludf.DUMMYFUNCTION("VLOOKUP(F14172, IMPORTRANGE(""https://docs.google.com/spreadsheets/d/1Lhp9OU0JdFf_VYSMzH5lBcEaU4o8teT1piV-SNzShjg/edit?gid=554141278#gid=554141278"", ""'Char Def. - Attributes'!C20:C2242""), 1,false)"),"ORDER_UNIT_TRIPOD")</f>
        <v>ORDER_UNIT_TRIPOD</v>
      </c>
      <c r="I14172" s="136"/>
      <c r="R14172" s="63" t="str">
        <f t="shared" si="60"/>
        <v>ZSI1_TRIPODORDER_UNIT_TRIPOD</v>
      </c>
    </row>
    <row r="14173" ht="15.75" customHeight="1">
      <c r="A14173" s="59"/>
      <c r="B14173" s="63">
        <f t="shared" si="1"/>
        <v>11</v>
      </c>
      <c r="C14173" s="135" t="s">
        <v>476</v>
      </c>
      <c r="D14173" s="161" t="s">
        <v>74</v>
      </c>
      <c r="E14173" s="135">
        <f t="shared" si="62"/>
        <v>8</v>
      </c>
      <c r="F14173" s="134" t="s">
        <v>4056</v>
      </c>
      <c r="G14173" s="63" t="str">
        <f>VLOOKUP(C14173, 'Class Def. - General Data'!$C$20:$C$1000,1,false)</f>
        <v>ZSI1_TRIPOD</v>
      </c>
      <c r="H14173" s="63" t="str">
        <f>IFERROR(__xludf.DUMMYFUNCTION("VLOOKUP(F14173, IMPORTRANGE(""https://docs.google.com/spreadsheets/d/1Lhp9OU0JdFf_VYSMzH5lBcEaU4o8teT1piV-SNzShjg/edit?gid=554141278#gid=554141278"", ""'Char Def. - Attributes'!C20:C2242""), 1,false)"),"GROSS_WEIGHT_OPT")</f>
        <v>GROSS_WEIGHT_OPT</v>
      </c>
      <c r="I14173" s="136"/>
      <c r="R14173" s="63" t="str">
        <f t="shared" si="60"/>
        <v>ZSI1_TRIPODGROSS_WEIGHT_OPT</v>
      </c>
    </row>
    <row r="14174" ht="15.75" customHeight="1">
      <c r="A14174" s="59"/>
      <c r="B14174" s="63">
        <f t="shared" si="1"/>
        <v>11</v>
      </c>
      <c r="C14174" s="135" t="s">
        <v>476</v>
      </c>
      <c r="D14174" s="161" t="s">
        <v>74</v>
      </c>
      <c r="E14174" s="135">
        <f t="shared" si="62"/>
        <v>9</v>
      </c>
      <c r="F14174" s="134" t="s">
        <v>4057</v>
      </c>
      <c r="G14174" s="63" t="str">
        <f>VLOOKUP(C14174, 'Class Def. - General Data'!$C$20:$C$1000,1,false)</f>
        <v>ZSI1_TRIPOD</v>
      </c>
      <c r="H14174" s="63" t="str">
        <f>IFERROR(__xludf.DUMMYFUNCTION("VLOOKUP(F14174, IMPORTRANGE(""https://docs.google.com/spreadsheets/d/1Lhp9OU0JdFf_VYSMzH5lBcEaU4o8teT1piV-SNzShjg/edit?gid=554141278#gid=554141278"", ""'Char Def. - Attributes'!C20:C2242""), 1,false)"),"NET_WEIGHT_OPT")</f>
        <v>NET_WEIGHT_OPT</v>
      </c>
      <c r="I14174" s="136"/>
      <c r="R14174" s="63" t="str">
        <f t="shared" si="60"/>
        <v>ZSI1_TRIPODNET_WEIGHT_OPT</v>
      </c>
    </row>
    <row r="14175" ht="15.75" customHeight="1">
      <c r="A14175" s="59"/>
      <c r="B14175" s="63">
        <f t="shared" si="1"/>
        <v>11</v>
      </c>
      <c r="C14175" s="135" t="s">
        <v>476</v>
      </c>
      <c r="D14175" s="161" t="s">
        <v>74</v>
      </c>
      <c r="E14175" s="135">
        <f t="shared" si="62"/>
        <v>10</v>
      </c>
      <c r="F14175" s="134" t="s">
        <v>4058</v>
      </c>
      <c r="G14175" s="63" t="str">
        <f>VLOOKUP(C14175, 'Class Def. - General Data'!$C$20:$C$1000,1,false)</f>
        <v>ZSI1_TRIPOD</v>
      </c>
      <c r="H14175" s="63" t="str">
        <f>IFERROR(__xludf.DUMMYFUNCTION("VLOOKUP(F14175, IMPORTRANGE(""https://docs.google.com/spreadsheets/d/1Lhp9OU0JdFf_VYSMzH5lBcEaU4o8teT1piV-SNzShjg/edit?gid=554141278#gid=554141278"", ""'Char Def. - Attributes'!C20:C2242""), 1,false)"),"WEIGHT_UNIT_SI")</f>
        <v>WEIGHT_UNIT_SI</v>
      </c>
      <c r="I14175" s="136"/>
      <c r="R14175" s="63" t="str">
        <f t="shared" si="60"/>
        <v>ZSI1_TRIPODWEIGHT_UNIT_SI</v>
      </c>
    </row>
    <row r="14176" ht="15.75" customHeight="1">
      <c r="A14176" s="59"/>
      <c r="B14176" s="63">
        <f t="shared" si="1"/>
        <v>11</v>
      </c>
      <c r="C14176" s="135" t="s">
        <v>476</v>
      </c>
      <c r="D14176" s="161" t="s">
        <v>74</v>
      </c>
      <c r="E14176" s="135">
        <f t="shared" si="62"/>
        <v>11</v>
      </c>
      <c r="F14176" s="134" t="s">
        <v>3877</v>
      </c>
      <c r="G14176" s="63" t="str">
        <f>VLOOKUP(C14176, 'Class Def. - General Data'!$C$20:$C$1000,1,false)</f>
        <v>ZSI1_TRIPOD</v>
      </c>
      <c r="H14176" s="63" t="str">
        <f>IFERROR(__xludf.DUMMYFUNCTION("VLOOKUP(F14176, IMPORTRANGE(""https://docs.google.com/spreadsheets/d/1Lhp9OU0JdFf_VYSMzH5lBcEaU4o8teT1piV-SNzShjg/edit?gid=554141278#gid=554141278"", ""'Char Def. - Attributes'!C20:C2242""), 1,false)"),"VOLUME_OPT")</f>
        <v>VOLUME_OPT</v>
      </c>
      <c r="I14176" s="136"/>
      <c r="R14176" s="63" t="str">
        <f t="shared" si="60"/>
        <v>ZSI1_TRIPODVOLUME_OPT</v>
      </c>
    </row>
    <row r="14177" ht="15.75" customHeight="1">
      <c r="A14177" s="59"/>
      <c r="B14177" s="63">
        <f t="shared" si="1"/>
        <v>11</v>
      </c>
      <c r="C14177" s="135" t="s">
        <v>476</v>
      </c>
      <c r="D14177" s="161" t="s">
        <v>74</v>
      </c>
      <c r="E14177" s="135">
        <f t="shared" si="62"/>
        <v>12</v>
      </c>
      <c r="F14177" s="134" t="s">
        <v>4059</v>
      </c>
      <c r="G14177" s="63" t="str">
        <f>VLOOKUP(C14177, 'Class Def. - General Data'!$C$20:$C$1000,1,false)</f>
        <v>ZSI1_TRIPOD</v>
      </c>
      <c r="H14177" s="63" t="str">
        <f>IFERROR(__xludf.DUMMYFUNCTION("VLOOKUP(F14177, IMPORTRANGE(""https://docs.google.com/spreadsheets/d/1Lhp9OU0JdFf_VYSMzH5lBcEaU4o8teT1piV-SNzShjg/edit?gid=554141278#gid=554141278"", ""'Char Def. - Attributes'!C20:C2242""), 1,false)"),"VOLUME_UNIT_SI")</f>
        <v>VOLUME_UNIT_SI</v>
      </c>
      <c r="I14177" s="136"/>
      <c r="R14177" s="63" t="str">
        <f t="shared" si="60"/>
        <v>ZSI1_TRIPODVOLUME_UNIT_SI</v>
      </c>
    </row>
    <row r="14178" ht="15.75" customHeight="1">
      <c r="A14178" s="59"/>
      <c r="B14178" s="63">
        <f t="shared" si="1"/>
        <v>11</v>
      </c>
      <c r="C14178" s="135" t="s">
        <v>476</v>
      </c>
      <c r="D14178" s="161" t="s">
        <v>74</v>
      </c>
      <c r="E14178" s="135">
        <f t="shared" si="62"/>
        <v>13</v>
      </c>
      <c r="F14178" s="134" t="s">
        <v>3804</v>
      </c>
      <c r="G14178" s="63" t="str">
        <f>VLOOKUP(C14178, 'Class Def. - General Data'!$C$20:$C$1000,1,false)</f>
        <v>ZSI1_TRIPOD</v>
      </c>
      <c r="H14178" s="63" t="str">
        <f>IFERROR(__xludf.DUMMYFUNCTION("VLOOKUP(F14178, IMPORTRANGE(""https://docs.google.com/spreadsheets/d/1Lhp9OU0JdFf_VYSMzH5lBcEaU4o8teT1piV-SNzShjg/edit?gid=554141278#gid=554141278"", ""'Char Def. - Attributes'!C20:C2242""), 1,false)"),"ALT_UOM1_SIPI")</f>
        <v>ALT_UOM1_SIPI</v>
      </c>
      <c r="I14178" s="136"/>
      <c r="R14178" s="63" t="str">
        <f t="shared" si="60"/>
        <v>ZSI1_TRIPODALT_UOM1_SIPI</v>
      </c>
    </row>
    <row r="14179" ht="15.75" customHeight="1">
      <c r="A14179" s="59"/>
      <c r="B14179" s="63">
        <f t="shared" si="1"/>
        <v>11</v>
      </c>
      <c r="C14179" s="135" t="s">
        <v>476</v>
      </c>
      <c r="D14179" s="161" t="s">
        <v>74</v>
      </c>
      <c r="E14179" s="135">
        <f t="shared" si="62"/>
        <v>14</v>
      </c>
      <c r="F14179" s="134" t="s">
        <v>3805</v>
      </c>
      <c r="G14179" s="63" t="str">
        <f>VLOOKUP(C14179, 'Class Def. - General Data'!$C$20:$C$1000,1,false)</f>
        <v>ZSI1_TRIPOD</v>
      </c>
      <c r="H14179" s="63" t="str">
        <f>IFERROR(__xludf.DUMMYFUNCTION("VLOOKUP(F14179, IMPORTRANGE(""https://docs.google.com/spreadsheets/d/1Lhp9OU0JdFf_VYSMzH5lBcEaU4o8teT1piV-SNzShjg/edit?gid=554141278#gid=554141278"", ""'Char Def. - Attributes'!C20:C2242""), 1,false)"),"ALT_DENUM_UOM1")</f>
        <v>ALT_DENUM_UOM1</v>
      </c>
      <c r="I14179" s="136"/>
      <c r="R14179" s="63" t="str">
        <f t="shared" si="60"/>
        <v>ZSI1_TRIPODALT_DENUM_UOM1</v>
      </c>
    </row>
    <row r="14180" ht="15.75" customHeight="1">
      <c r="A14180" s="59"/>
      <c r="B14180" s="63">
        <f t="shared" si="1"/>
        <v>11</v>
      </c>
      <c r="C14180" s="135" t="s">
        <v>476</v>
      </c>
      <c r="D14180" s="161" t="s">
        <v>74</v>
      </c>
      <c r="E14180" s="135">
        <f t="shared" si="62"/>
        <v>15</v>
      </c>
      <c r="F14180" s="134" t="s">
        <v>3806</v>
      </c>
      <c r="G14180" s="63" t="str">
        <f>VLOOKUP(C14180, 'Class Def. - General Data'!$C$20:$C$1000,1,false)</f>
        <v>ZSI1_TRIPOD</v>
      </c>
      <c r="H14180" s="63" t="str">
        <f>IFERROR(__xludf.DUMMYFUNCTION("VLOOKUP(F14180, IMPORTRANGE(""https://docs.google.com/spreadsheets/d/1Lhp9OU0JdFf_VYSMzH5lBcEaU4o8teT1piV-SNzShjg/edit?gid=554141278#gid=554141278"", ""'Char Def. - Attributes'!C20:C2242""), 1,false)"),"ALT_NUM_UOM1")</f>
        <v>ALT_NUM_UOM1</v>
      </c>
      <c r="I14180" s="136"/>
      <c r="R14180" s="63" t="str">
        <f t="shared" si="60"/>
        <v>ZSI1_TRIPODALT_NUM_UOM1</v>
      </c>
    </row>
    <row r="14181" ht="15.75" customHeight="1">
      <c r="A14181" s="59"/>
      <c r="B14181" s="63">
        <f t="shared" si="1"/>
        <v>11</v>
      </c>
      <c r="C14181" s="135" t="s">
        <v>476</v>
      </c>
      <c r="D14181" s="161" t="s">
        <v>74</v>
      </c>
      <c r="E14181" s="135">
        <f t="shared" si="62"/>
        <v>16</v>
      </c>
      <c r="F14181" s="134" t="s">
        <v>3807</v>
      </c>
      <c r="G14181" s="63" t="str">
        <f>VLOOKUP(C14181, 'Class Def. - General Data'!$C$20:$C$1000,1,false)</f>
        <v>ZSI1_TRIPOD</v>
      </c>
      <c r="H14181" s="63" t="str">
        <f>IFERROR(__xludf.DUMMYFUNCTION("VLOOKUP(F14181, IMPORTRANGE(""https://docs.google.com/spreadsheets/d/1Lhp9OU0JdFf_VYSMzH5lBcEaU4o8teT1piV-SNzShjg/edit?gid=554141278#gid=554141278"", ""'Char Def. - Attributes'!C20:C2242""), 1,false)"),"ALT_UOM2_SIPI")</f>
        <v>ALT_UOM2_SIPI</v>
      </c>
      <c r="I14181" s="136"/>
      <c r="R14181" s="63" t="str">
        <f t="shared" si="60"/>
        <v>ZSI1_TRIPODALT_UOM2_SIPI</v>
      </c>
    </row>
    <row r="14182" ht="15.75" customHeight="1">
      <c r="A14182" s="59"/>
      <c r="B14182" s="63">
        <f t="shared" si="1"/>
        <v>11</v>
      </c>
      <c r="C14182" s="135" t="s">
        <v>476</v>
      </c>
      <c r="D14182" s="161" t="s">
        <v>74</v>
      </c>
      <c r="E14182" s="135">
        <f t="shared" si="62"/>
        <v>17</v>
      </c>
      <c r="F14182" s="134" t="s">
        <v>3808</v>
      </c>
      <c r="G14182" s="63" t="str">
        <f>VLOOKUP(C14182, 'Class Def. - General Data'!$C$20:$C$1000,1,false)</f>
        <v>ZSI1_TRIPOD</v>
      </c>
      <c r="H14182" s="63" t="str">
        <f>IFERROR(__xludf.DUMMYFUNCTION("VLOOKUP(F14182, IMPORTRANGE(""https://docs.google.com/spreadsheets/d/1Lhp9OU0JdFf_VYSMzH5lBcEaU4o8teT1piV-SNzShjg/edit?gid=554141278#gid=554141278"", ""'Char Def. - Attributes'!C20:C2242""), 1,false)"),"ALT_DENUM_UOM2")</f>
        <v>ALT_DENUM_UOM2</v>
      </c>
      <c r="I14182" s="136"/>
      <c r="R14182" s="63" t="str">
        <f t="shared" si="60"/>
        <v>ZSI1_TRIPODALT_DENUM_UOM2</v>
      </c>
    </row>
    <row r="14183" ht="15.75" customHeight="1">
      <c r="A14183" s="59"/>
      <c r="B14183" s="63">
        <f t="shared" si="1"/>
        <v>11</v>
      </c>
      <c r="C14183" s="135" t="s">
        <v>476</v>
      </c>
      <c r="D14183" s="161" t="s">
        <v>74</v>
      </c>
      <c r="E14183" s="135">
        <f t="shared" si="62"/>
        <v>18</v>
      </c>
      <c r="F14183" s="134" t="s">
        <v>3809</v>
      </c>
      <c r="G14183" s="63" t="str">
        <f>VLOOKUP(C14183, 'Class Def. - General Data'!$C$20:$C$1000,1,false)</f>
        <v>ZSI1_TRIPOD</v>
      </c>
      <c r="H14183" s="63" t="str">
        <f>IFERROR(__xludf.DUMMYFUNCTION("VLOOKUP(F14183, IMPORTRANGE(""https://docs.google.com/spreadsheets/d/1Lhp9OU0JdFf_VYSMzH5lBcEaU4o8teT1piV-SNzShjg/edit?gid=554141278#gid=554141278"", ""'Char Def. - Attributes'!C20:C2242""), 1,false)"),"ALT_NUM_UOM2")</f>
        <v>ALT_NUM_UOM2</v>
      </c>
      <c r="I14183" s="136"/>
      <c r="R14183" s="63" t="str">
        <f t="shared" si="60"/>
        <v>ZSI1_TRIPODALT_NUM_UOM2</v>
      </c>
    </row>
    <row r="14184" ht="15.75" customHeight="1">
      <c r="A14184" s="59"/>
      <c r="B14184" s="63">
        <f t="shared" si="1"/>
        <v>11</v>
      </c>
      <c r="C14184" s="135" t="s">
        <v>476</v>
      </c>
      <c r="D14184" s="161" t="s">
        <v>74</v>
      </c>
      <c r="E14184" s="135">
        <f t="shared" si="62"/>
        <v>19</v>
      </c>
      <c r="F14184" s="134" t="s">
        <v>3810</v>
      </c>
      <c r="G14184" s="63" t="str">
        <f>VLOOKUP(C14184, 'Class Def. - General Data'!$C$20:$C$1000,1,false)</f>
        <v>ZSI1_TRIPOD</v>
      </c>
      <c r="H14184" s="63" t="str">
        <f>IFERROR(__xludf.DUMMYFUNCTION("VLOOKUP(F14184, IMPORTRANGE(""https://docs.google.com/spreadsheets/d/1Lhp9OU0JdFf_VYSMzH5lBcEaU4o8teT1piV-SNzShjg/edit?gid=554141278#gid=554141278"", ""'Char Def. - Attributes'!C20:C2242""), 1,false)"),"ALT_UOM3_SIPI")</f>
        <v>ALT_UOM3_SIPI</v>
      </c>
      <c r="I14184" s="136"/>
      <c r="R14184" s="63" t="str">
        <f t="shared" si="60"/>
        <v>ZSI1_TRIPODALT_UOM3_SIPI</v>
      </c>
    </row>
    <row r="14185" ht="15.75" customHeight="1">
      <c r="A14185" s="59"/>
      <c r="B14185" s="63">
        <f t="shared" si="1"/>
        <v>11</v>
      </c>
      <c r="C14185" s="135" t="s">
        <v>476</v>
      </c>
      <c r="D14185" s="161" t="s">
        <v>74</v>
      </c>
      <c r="E14185" s="135">
        <f t="shared" si="62"/>
        <v>20</v>
      </c>
      <c r="F14185" s="134" t="s">
        <v>3811</v>
      </c>
      <c r="G14185" s="63" t="str">
        <f>VLOOKUP(C14185, 'Class Def. - General Data'!$C$20:$C$1000,1,false)</f>
        <v>ZSI1_TRIPOD</v>
      </c>
      <c r="H14185" s="63" t="str">
        <f>IFERROR(__xludf.DUMMYFUNCTION("VLOOKUP(F14185, IMPORTRANGE(""https://docs.google.com/spreadsheets/d/1Lhp9OU0JdFf_VYSMzH5lBcEaU4o8teT1piV-SNzShjg/edit?gid=554141278#gid=554141278"", ""'Char Def. - Attributes'!C20:C2242""), 1,false)"),"ALT_DENUM_UOM3")</f>
        <v>ALT_DENUM_UOM3</v>
      </c>
      <c r="I14185" s="136"/>
      <c r="R14185" s="63" t="str">
        <f t="shared" si="60"/>
        <v>ZSI1_TRIPODALT_DENUM_UOM3</v>
      </c>
    </row>
    <row r="14186" ht="15.75" customHeight="1">
      <c r="A14186" s="59"/>
      <c r="B14186" s="63">
        <f t="shared" si="1"/>
        <v>11</v>
      </c>
      <c r="C14186" s="135" t="s">
        <v>476</v>
      </c>
      <c r="D14186" s="161" t="s">
        <v>74</v>
      </c>
      <c r="E14186" s="135">
        <f t="shared" si="62"/>
        <v>21</v>
      </c>
      <c r="F14186" s="134" t="s">
        <v>3812</v>
      </c>
      <c r="G14186" s="63" t="str">
        <f>VLOOKUP(C14186, 'Class Def. - General Data'!$C$20:$C$1000,1,false)</f>
        <v>ZSI1_TRIPOD</v>
      </c>
      <c r="H14186" s="63" t="str">
        <f>IFERROR(__xludf.DUMMYFUNCTION("VLOOKUP(F14186, IMPORTRANGE(""https://docs.google.com/spreadsheets/d/1Lhp9OU0JdFf_VYSMzH5lBcEaU4o8teT1piV-SNzShjg/edit?gid=554141278#gid=554141278"", ""'Char Def. - Attributes'!C20:C2242""), 1,false)"),"ALT_NUM_UOM3")</f>
        <v>ALT_NUM_UOM3</v>
      </c>
      <c r="I14186" s="136"/>
      <c r="R14186" s="63" t="str">
        <f t="shared" si="60"/>
        <v>ZSI1_TRIPODALT_NUM_UOM3</v>
      </c>
    </row>
    <row r="14187" ht="15.75" customHeight="1">
      <c r="A14187" s="59"/>
      <c r="B14187" s="63">
        <f t="shared" si="1"/>
        <v>11</v>
      </c>
      <c r="C14187" s="135" t="s">
        <v>476</v>
      </c>
      <c r="D14187" s="161" t="s">
        <v>74</v>
      </c>
      <c r="E14187" s="135">
        <f t="shared" si="62"/>
        <v>22</v>
      </c>
      <c r="F14187" s="134" t="s">
        <v>3813</v>
      </c>
      <c r="G14187" s="63" t="str">
        <f>VLOOKUP(C14187, 'Class Def. - General Data'!$C$20:$C$1000,1,false)</f>
        <v>ZSI1_TRIPOD</v>
      </c>
      <c r="H14187" s="63" t="str">
        <f>IFERROR(__xludf.DUMMYFUNCTION("VLOOKUP(F14187, IMPORTRANGE(""https://docs.google.com/spreadsheets/d/1Lhp9OU0JdFf_VYSMzH5lBcEaU4o8teT1piV-SNzShjg/edit?gid=554141278#gid=554141278"", ""'Char Def. - Attributes'!C20:C2242""), 1,false)"),"ALT_UOM4_SIPI")</f>
        <v>ALT_UOM4_SIPI</v>
      </c>
      <c r="I14187" s="136"/>
      <c r="R14187" s="63" t="str">
        <f t="shared" si="60"/>
        <v>ZSI1_TRIPODALT_UOM4_SIPI</v>
      </c>
    </row>
    <row r="14188" ht="15.75" customHeight="1">
      <c r="A14188" s="59"/>
      <c r="B14188" s="63">
        <f t="shared" si="1"/>
        <v>11</v>
      </c>
      <c r="C14188" s="135" t="s">
        <v>476</v>
      </c>
      <c r="D14188" s="161" t="s">
        <v>74</v>
      </c>
      <c r="E14188" s="135">
        <f t="shared" si="62"/>
        <v>23</v>
      </c>
      <c r="F14188" s="134" t="s">
        <v>3814</v>
      </c>
      <c r="G14188" s="63" t="str">
        <f>VLOOKUP(C14188, 'Class Def. - General Data'!$C$20:$C$1000,1,false)</f>
        <v>ZSI1_TRIPOD</v>
      </c>
      <c r="H14188" s="63" t="str">
        <f>IFERROR(__xludf.DUMMYFUNCTION("VLOOKUP(F14188, IMPORTRANGE(""https://docs.google.com/spreadsheets/d/1Lhp9OU0JdFf_VYSMzH5lBcEaU4o8teT1piV-SNzShjg/edit?gid=554141278#gid=554141278"", ""'Char Def. - Attributes'!C20:C2242""), 1,false)"),"ALT_DENUM_UOM4")</f>
        <v>ALT_DENUM_UOM4</v>
      </c>
      <c r="I14188" s="136"/>
      <c r="R14188" s="63" t="str">
        <f t="shared" si="60"/>
        <v>ZSI1_TRIPODALT_DENUM_UOM4</v>
      </c>
    </row>
    <row r="14189" ht="15.75" customHeight="1">
      <c r="A14189" s="59"/>
      <c r="B14189" s="63">
        <f t="shared" si="1"/>
        <v>11</v>
      </c>
      <c r="C14189" s="135" t="s">
        <v>476</v>
      </c>
      <c r="D14189" s="161" t="s">
        <v>74</v>
      </c>
      <c r="E14189" s="135">
        <f t="shared" si="62"/>
        <v>24</v>
      </c>
      <c r="F14189" s="134" t="s">
        <v>3815</v>
      </c>
      <c r="G14189" s="63" t="str">
        <f>VLOOKUP(C14189, 'Class Def. - General Data'!$C$20:$C$1000,1,false)</f>
        <v>ZSI1_TRIPOD</v>
      </c>
      <c r="H14189" s="63" t="str">
        <f>IFERROR(__xludf.DUMMYFUNCTION("VLOOKUP(F14189, IMPORTRANGE(""https://docs.google.com/spreadsheets/d/1Lhp9OU0JdFf_VYSMzH5lBcEaU4o8teT1piV-SNzShjg/edit?gid=554141278#gid=554141278"", ""'Char Def. - Attributes'!C20:C2242""), 1,false)"),"ALT_NUM_UOM4")</f>
        <v>ALT_NUM_UOM4</v>
      </c>
      <c r="I14189" s="136"/>
      <c r="R14189" s="63" t="str">
        <f t="shared" si="60"/>
        <v>ZSI1_TRIPODALT_NUM_UOM4</v>
      </c>
    </row>
    <row r="14190" ht="15.75" customHeight="1">
      <c r="A14190" s="59"/>
      <c r="B14190" s="63">
        <f t="shared" si="1"/>
        <v>11</v>
      </c>
      <c r="C14190" s="135" t="s">
        <v>476</v>
      </c>
      <c r="D14190" s="161" t="s">
        <v>74</v>
      </c>
      <c r="E14190" s="135">
        <f t="shared" si="62"/>
        <v>25</v>
      </c>
      <c r="F14190" s="134" t="s">
        <v>3816</v>
      </c>
      <c r="G14190" s="63" t="str">
        <f>VLOOKUP(C14190, 'Class Def. - General Data'!$C$20:$C$1000,1,false)</f>
        <v>ZSI1_TRIPOD</v>
      </c>
      <c r="H14190" s="63" t="str">
        <f>IFERROR(__xludf.DUMMYFUNCTION("VLOOKUP(F14190, IMPORTRANGE(""https://docs.google.com/spreadsheets/d/1Lhp9OU0JdFf_VYSMzH5lBcEaU4o8teT1piV-SNzShjg/edit?gid=554141278#gid=554141278"", ""'Char Def. - Attributes'!C20:C2242""), 1,false)"),"ALT_UOM5_SIPI")</f>
        <v>ALT_UOM5_SIPI</v>
      </c>
      <c r="I14190" s="136"/>
      <c r="R14190" s="63" t="str">
        <f t="shared" si="60"/>
        <v>ZSI1_TRIPODALT_UOM5_SIPI</v>
      </c>
    </row>
    <row r="14191" ht="15.75" customHeight="1">
      <c r="A14191" s="59"/>
      <c r="B14191" s="63">
        <f t="shared" si="1"/>
        <v>11</v>
      </c>
      <c r="C14191" s="135" t="s">
        <v>476</v>
      </c>
      <c r="D14191" s="161" t="s">
        <v>74</v>
      </c>
      <c r="E14191" s="135">
        <f t="shared" si="62"/>
        <v>26</v>
      </c>
      <c r="F14191" s="134" t="s">
        <v>3817</v>
      </c>
      <c r="G14191" s="63" t="str">
        <f>VLOOKUP(C14191, 'Class Def. - General Data'!$C$20:$C$1000,1,false)</f>
        <v>ZSI1_TRIPOD</v>
      </c>
      <c r="H14191" s="63" t="str">
        <f>IFERROR(__xludf.DUMMYFUNCTION("VLOOKUP(F14191, IMPORTRANGE(""https://docs.google.com/spreadsheets/d/1Lhp9OU0JdFf_VYSMzH5lBcEaU4o8teT1piV-SNzShjg/edit?gid=554141278#gid=554141278"", ""'Char Def. - Attributes'!C20:C2242""), 1,false)"),"ALT_DENUM_UOM5")</f>
        <v>ALT_DENUM_UOM5</v>
      </c>
      <c r="I14191" s="136"/>
      <c r="R14191" s="63" t="str">
        <f t="shared" si="60"/>
        <v>ZSI1_TRIPODALT_DENUM_UOM5</v>
      </c>
    </row>
    <row r="14192" ht="15.75" customHeight="1">
      <c r="A14192" s="59"/>
      <c r="B14192" s="63">
        <f t="shared" si="1"/>
        <v>11</v>
      </c>
      <c r="C14192" s="135" t="s">
        <v>476</v>
      </c>
      <c r="D14192" s="161" t="s">
        <v>74</v>
      </c>
      <c r="E14192" s="135">
        <f t="shared" si="62"/>
        <v>27</v>
      </c>
      <c r="F14192" s="134" t="s">
        <v>3818</v>
      </c>
      <c r="G14192" s="63" t="str">
        <f>VLOOKUP(C14192, 'Class Def. - General Data'!$C$20:$C$1000,1,false)</f>
        <v>ZSI1_TRIPOD</v>
      </c>
      <c r="H14192" s="63" t="str">
        <f>IFERROR(__xludf.DUMMYFUNCTION("VLOOKUP(F14192, IMPORTRANGE(""https://docs.google.com/spreadsheets/d/1Lhp9OU0JdFf_VYSMzH5lBcEaU4o8teT1piV-SNzShjg/edit?gid=554141278#gid=554141278"", ""'Char Def. - Attributes'!C20:C2242""), 1,false)"),"ALT_NUM_UOM5")</f>
        <v>ALT_NUM_UOM5</v>
      </c>
      <c r="I14192" s="136"/>
      <c r="R14192" s="63" t="str">
        <f t="shared" si="60"/>
        <v>ZSI1_TRIPODALT_NUM_UOM5</v>
      </c>
    </row>
    <row r="14193" ht="15.75" customHeight="1">
      <c r="A14193" s="59"/>
      <c r="B14193" s="63">
        <f t="shared" si="1"/>
        <v>13</v>
      </c>
      <c r="C14193" s="135" t="s">
        <v>5538</v>
      </c>
      <c r="D14193" s="161" t="s">
        <v>74</v>
      </c>
      <c r="E14193" s="135">
        <f t="shared" si="62"/>
        <v>1</v>
      </c>
      <c r="F14193" s="134" t="s">
        <v>5539</v>
      </c>
      <c r="G14193" s="63" t="str">
        <f>VLOOKUP(C14193, 'Class Def. - General Data'!$C$20:$C$1000,1,false)</f>
        <v>#N/A</v>
      </c>
      <c r="H14193" s="63" t="str">
        <f>IFERROR(__xludf.DUMMYFUNCTION("VLOOKUP(F14193, IMPORTRANGE(""https://docs.google.com/spreadsheets/d/1Lhp9OU0JdFf_VYSMzH5lBcEaU4o8teT1piV-SNzShjg/edit?gid=554141278#gid=554141278"", ""'Char Def. - Attributes'!C20:C2242""), 1,false)"),"ITEM_NAME_TRANSPORT_COMP")</f>
        <v>ITEM_NAME_TRANSPORT_COMP</v>
      </c>
      <c r="I14193" s="136"/>
      <c r="R14193" s="63" t="str">
        <f t="shared" si="60"/>
        <v>ZSI1_TRP_COMPITEM_NAME_TRANSPORT_COMP</v>
      </c>
    </row>
    <row r="14194" ht="15.75" customHeight="1">
      <c r="A14194" s="59"/>
      <c r="B14194" s="63">
        <f t="shared" si="1"/>
        <v>13</v>
      </c>
      <c r="C14194" s="135" t="s">
        <v>5538</v>
      </c>
      <c r="D14194" s="161" t="s">
        <v>74</v>
      </c>
      <c r="E14194" s="135">
        <f t="shared" si="62"/>
        <v>2</v>
      </c>
      <c r="F14194" s="134" t="s">
        <v>5540</v>
      </c>
      <c r="G14194" s="63" t="str">
        <f>VLOOKUP(C14194, 'Class Def. - General Data'!$C$20:$C$1000,1,false)</f>
        <v>#N/A</v>
      </c>
      <c r="H14194" s="63" t="str">
        <f>IFERROR(__xludf.DUMMYFUNCTION("VLOOKUP(F14194, IMPORTRANGE(""https://docs.google.com/spreadsheets/d/1Lhp9OU0JdFf_VYSMzH5lBcEaU4o8teT1piV-SNzShjg/edit?gid=554141278#gid=554141278"", ""'Char Def. - Attributes'!C20:C2242""), 1,false)"),"MFR_NO_TRANSPORT_COMP")</f>
        <v>MFR_NO_TRANSPORT_COMP</v>
      </c>
      <c r="I14194" s="136"/>
      <c r="R14194" s="63" t="str">
        <f t="shared" si="60"/>
        <v>ZSI1_TRP_COMPMFR_NO_TRANSPORT_COMP</v>
      </c>
    </row>
    <row r="14195" ht="15.75" customHeight="1">
      <c r="A14195" s="59"/>
      <c r="B14195" s="63">
        <f t="shared" si="1"/>
        <v>13</v>
      </c>
      <c r="C14195" s="135" t="s">
        <v>5538</v>
      </c>
      <c r="D14195" s="161" t="s">
        <v>74</v>
      </c>
      <c r="E14195" s="135">
        <f t="shared" si="62"/>
        <v>3</v>
      </c>
      <c r="F14195" s="134" t="s">
        <v>3782</v>
      </c>
      <c r="G14195" s="63" t="str">
        <f>VLOOKUP(C14195, 'Class Def. - General Data'!$C$20:$C$1000,1,false)</f>
        <v>#N/A</v>
      </c>
      <c r="H14195" s="63" t="str">
        <f>IFERROR(__xludf.DUMMYFUNCTION("VLOOKUP(F14195, IMPORTRANGE(""https://docs.google.com/spreadsheets/d/1Lhp9OU0JdFf_VYSMzH5lBcEaU4o8teT1piV-SNzShjg/edit?gid=554141278#gid=554141278"", ""'Char Def. - Attributes'!C20:C2242""), 1,false)"),"BRAND_EXTERNAL")</f>
        <v>BRAND_EXTERNAL</v>
      </c>
      <c r="I14195" s="136"/>
      <c r="R14195" s="63" t="str">
        <f t="shared" si="60"/>
        <v>ZSI1_TRP_COMPBRAND_EXTERNAL</v>
      </c>
    </row>
    <row r="14196" ht="15.75" customHeight="1">
      <c r="A14196" s="59"/>
      <c r="B14196" s="63">
        <f t="shared" si="1"/>
        <v>13</v>
      </c>
      <c r="C14196" s="135" t="s">
        <v>5538</v>
      </c>
      <c r="D14196" s="161" t="s">
        <v>74</v>
      </c>
      <c r="E14196" s="135">
        <f t="shared" si="62"/>
        <v>4</v>
      </c>
      <c r="F14196" s="134" t="s">
        <v>4062</v>
      </c>
      <c r="G14196" s="63" t="str">
        <f>VLOOKUP(C14196, 'Class Def. - General Data'!$C$20:$C$1000,1,false)</f>
        <v>#N/A</v>
      </c>
      <c r="H14196" s="63" t="str">
        <f>IFERROR(__xludf.DUMMYFUNCTION("VLOOKUP(F14196, IMPORTRANGE(""https://docs.google.com/spreadsheets/d/1Lhp9OU0JdFf_VYSMzH5lBcEaU4o8teT1piV-SNzShjg/edit?gid=554141278#gid=554141278"", ""'Char Def. - Attributes'!C20:C2242""), 1,false)"),"#N/A")</f>
        <v>#N/A</v>
      </c>
      <c r="I14196" s="136"/>
      <c r="R14196" s="63" t="str">
        <f t="shared" si="60"/>
        <v>ZSI1_TRP_COMPADDTIONAL_SPECIFICATION</v>
      </c>
    </row>
    <row r="14197" ht="15.75" customHeight="1">
      <c r="A14197" s="59"/>
      <c r="B14197" s="63">
        <f t="shared" si="1"/>
        <v>13</v>
      </c>
      <c r="C14197" s="135" t="s">
        <v>5538</v>
      </c>
      <c r="D14197" s="161" t="s">
        <v>74</v>
      </c>
      <c r="E14197" s="135">
        <f t="shared" si="62"/>
        <v>5</v>
      </c>
      <c r="F14197" s="134" t="s">
        <v>3585</v>
      </c>
      <c r="G14197" s="63" t="str">
        <f>VLOOKUP(C14197, 'Class Def. - General Data'!$C$20:$C$1000,1,false)</f>
        <v>#N/A</v>
      </c>
      <c r="H14197" s="63" t="str">
        <f>IFERROR(__xludf.DUMMYFUNCTION("VLOOKUP(F14197, IMPORTRANGE(""https://docs.google.com/spreadsheets/d/1Lhp9OU0JdFf_VYSMzH5lBcEaU4o8teT1piV-SNzShjg/edit?gid=554141278#gid=554141278"", ""'Char Def. - Attributes'!C20:C2242""), 1,false)"),"HS_CODE")</f>
        <v>HS_CODE</v>
      </c>
      <c r="I14197" s="136"/>
      <c r="R14197" s="63" t="str">
        <f t="shared" si="60"/>
        <v>ZSI1_TRP_COMPHS_CODE</v>
      </c>
    </row>
    <row r="14198" ht="15.75" customHeight="1">
      <c r="A14198" s="59"/>
      <c r="B14198" s="63">
        <f t="shared" si="1"/>
        <v>13</v>
      </c>
      <c r="C14198" s="135" t="s">
        <v>5538</v>
      </c>
      <c r="D14198" s="161" t="s">
        <v>74</v>
      </c>
      <c r="E14198" s="135">
        <f t="shared" si="62"/>
        <v>6</v>
      </c>
      <c r="F14198" s="134" t="s">
        <v>3587</v>
      </c>
      <c r="G14198" s="63" t="str">
        <f>VLOOKUP(C14198, 'Class Def. - General Data'!$C$20:$C$1000,1,false)</f>
        <v>#N/A</v>
      </c>
      <c r="H14198" s="63" t="str">
        <f>IFERROR(__xludf.DUMMYFUNCTION("VLOOKUP(F14198, IMPORTRANGE(""https://docs.google.com/spreadsheets/d/1Lhp9OU0JdFf_VYSMzH5lBcEaU4o8teT1piV-SNzShjg/edit?gid=554141278#gid=554141278"", ""'Char Def. - Attributes'!C20:C2242""), 1,false)"),"PLANT_BUY")</f>
        <v>PLANT_BUY</v>
      </c>
      <c r="I14198" s="136"/>
      <c r="R14198" s="63" t="str">
        <f t="shared" si="60"/>
        <v>ZSI1_TRP_COMPPLANT_BUY</v>
      </c>
    </row>
    <row r="14199" ht="15.75" customHeight="1">
      <c r="A14199" s="59"/>
      <c r="B14199" s="63">
        <f t="shared" si="1"/>
        <v>13</v>
      </c>
      <c r="C14199" s="135" t="s">
        <v>5538</v>
      </c>
      <c r="D14199" s="161" t="s">
        <v>74</v>
      </c>
      <c r="E14199" s="135">
        <f t="shared" si="62"/>
        <v>7</v>
      </c>
      <c r="F14199" s="134" t="s">
        <v>5541</v>
      </c>
      <c r="G14199" s="63" t="str">
        <f>VLOOKUP(C14199, 'Class Def. - General Data'!$C$20:$C$1000,1,false)</f>
        <v>#N/A</v>
      </c>
      <c r="H14199" s="63" t="str">
        <f>IFERROR(__xludf.DUMMYFUNCTION("VLOOKUP(F14199, IMPORTRANGE(""https://docs.google.com/spreadsheets/d/1Lhp9OU0JdFf_VYSMzH5lBcEaU4o8teT1piV-SNzShjg/edit?gid=554141278#gid=554141278"", ""'Char Def. - Attributes'!C20:C2242""), 1,false)"),"BASE_UOM_TRP_COMP")</f>
        <v>BASE_UOM_TRP_COMP</v>
      </c>
      <c r="I14199" s="136"/>
      <c r="R14199" s="63" t="str">
        <f t="shared" si="60"/>
        <v>ZSI1_TRP_COMPBASE_UOM_TRP_COMP</v>
      </c>
    </row>
    <row r="14200" ht="15.75" customHeight="1">
      <c r="A14200" s="59"/>
      <c r="B14200" s="63">
        <f t="shared" si="1"/>
        <v>13</v>
      </c>
      <c r="C14200" s="135" t="s">
        <v>5538</v>
      </c>
      <c r="D14200" s="161" t="s">
        <v>74</v>
      </c>
      <c r="E14200" s="135">
        <f t="shared" si="62"/>
        <v>8</v>
      </c>
      <c r="F14200" s="134" t="s">
        <v>5542</v>
      </c>
      <c r="G14200" s="63" t="str">
        <f>VLOOKUP(C14200, 'Class Def. - General Data'!$C$20:$C$1000,1,false)</f>
        <v>#N/A</v>
      </c>
      <c r="H14200" s="63" t="str">
        <f>IFERROR(__xludf.DUMMYFUNCTION("VLOOKUP(F14200, IMPORTRANGE(""https://docs.google.com/spreadsheets/d/1Lhp9OU0JdFf_VYSMzH5lBcEaU4o8teT1piV-SNzShjg/edit?gid=554141278#gid=554141278"", ""'Char Def. - Attributes'!C20:C2242""), 1,false)"),"ORDER_UNIT_TRP_COMP")</f>
        <v>ORDER_UNIT_TRP_COMP</v>
      </c>
      <c r="I14200" s="136"/>
      <c r="R14200" s="63" t="str">
        <f t="shared" si="60"/>
        <v>ZSI1_TRP_COMPORDER_UNIT_TRP_COMP</v>
      </c>
    </row>
    <row r="14201" ht="15.75" customHeight="1">
      <c r="A14201" s="59"/>
      <c r="B14201" s="63">
        <f t="shared" si="1"/>
        <v>13</v>
      </c>
      <c r="C14201" s="135" t="s">
        <v>5538</v>
      </c>
      <c r="D14201" s="161" t="s">
        <v>74</v>
      </c>
      <c r="E14201" s="135">
        <f t="shared" si="62"/>
        <v>9</v>
      </c>
      <c r="F14201" s="134" t="s">
        <v>4056</v>
      </c>
      <c r="G14201" s="63" t="str">
        <f>VLOOKUP(C14201, 'Class Def. - General Data'!$C$20:$C$1000,1,false)</f>
        <v>#N/A</v>
      </c>
      <c r="H14201" s="63" t="str">
        <f>IFERROR(__xludf.DUMMYFUNCTION("VLOOKUP(F14201, IMPORTRANGE(""https://docs.google.com/spreadsheets/d/1Lhp9OU0JdFf_VYSMzH5lBcEaU4o8teT1piV-SNzShjg/edit?gid=554141278#gid=554141278"", ""'Char Def. - Attributes'!C20:C2242""), 1,false)"),"GROSS_WEIGHT_OPT")</f>
        <v>GROSS_WEIGHT_OPT</v>
      </c>
      <c r="I14201" s="136"/>
      <c r="R14201" s="63" t="str">
        <f t="shared" si="60"/>
        <v>ZSI1_TRP_COMPGROSS_WEIGHT_OPT</v>
      </c>
    </row>
    <row r="14202" ht="15.75" customHeight="1">
      <c r="A14202" s="59"/>
      <c r="B14202" s="63">
        <f t="shared" si="1"/>
        <v>13</v>
      </c>
      <c r="C14202" s="135" t="s">
        <v>5538</v>
      </c>
      <c r="D14202" s="161" t="s">
        <v>74</v>
      </c>
      <c r="E14202" s="135">
        <f t="shared" si="62"/>
        <v>10</v>
      </c>
      <c r="F14202" s="134" t="s">
        <v>4057</v>
      </c>
      <c r="G14202" s="63" t="str">
        <f>VLOOKUP(C14202, 'Class Def. - General Data'!$C$20:$C$1000,1,false)</f>
        <v>#N/A</v>
      </c>
      <c r="H14202" s="63" t="str">
        <f>IFERROR(__xludf.DUMMYFUNCTION("VLOOKUP(F14202, IMPORTRANGE(""https://docs.google.com/spreadsheets/d/1Lhp9OU0JdFf_VYSMzH5lBcEaU4o8teT1piV-SNzShjg/edit?gid=554141278#gid=554141278"", ""'Char Def. - Attributes'!C20:C2242""), 1,false)"),"NET_WEIGHT_OPT")</f>
        <v>NET_WEIGHT_OPT</v>
      </c>
      <c r="I14202" s="136"/>
      <c r="R14202" s="63" t="str">
        <f t="shared" si="60"/>
        <v>ZSI1_TRP_COMPNET_WEIGHT_OPT</v>
      </c>
    </row>
    <row r="14203" ht="15.75" customHeight="1">
      <c r="A14203" s="59"/>
      <c r="B14203" s="63">
        <f t="shared" si="1"/>
        <v>13</v>
      </c>
      <c r="C14203" s="135" t="s">
        <v>5538</v>
      </c>
      <c r="D14203" s="161" t="s">
        <v>74</v>
      </c>
      <c r="E14203" s="135">
        <f t="shared" si="62"/>
        <v>11</v>
      </c>
      <c r="F14203" s="134" t="s">
        <v>4058</v>
      </c>
      <c r="G14203" s="63" t="str">
        <f>VLOOKUP(C14203, 'Class Def. - General Data'!$C$20:$C$1000,1,false)</f>
        <v>#N/A</v>
      </c>
      <c r="H14203" s="63" t="str">
        <f>IFERROR(__xludf.DUMMYFUNCTION("VLOOKUP(F14203, IMPORTRANGE(""https://docs.google.com/spreadsheets/d/1Lhp9OU0JdFf_VYSMzH5lBcEaU4o8teT1piV-SNzShjg/edit?gid=554141278#gid=554141278"", ""'Char Def. - Attributes'!C20:C2242""), 1,false)"),"WEIGHT_UNIT_SI")</f>
        <v>WEIGHT_UNIT_SI</v>
      </c>
      <c r="I14203" s="136"/>
      <c r="R14203" s="63" t="str">
        <f t="shared" si="60"/>
        <v>ZSI1_TRP_COMPWEIGHT_UNIT_SI</v>
      </c>
    </row>
    <row r="14204" ht="15.75" customHeight="1">
      <c r="A14204" s="59"/>
      <c r="B14204" s="63">
        <f t="shared" si="1"/>
        <v>13</v>
      </c>
      <c r="C14204" s="135" t="s">
        <v>5538</v>
      </c>
      <c r="D14204" s="161" t="s">
        <v>74</v>
      </c>
      <c r="E14204" s="135">
        <f t="shared" si="62"/>
        <v>12</v>
      </c>
      <c r="F14204" s="134" t="s">
        <v>3877</v>
      </c>
      <c r="G14204" s="63" t="str">
        <f>VLOOKUP(C14204, 'Class Def. - General Data'!$C$20:$C$1000,1,false)</f>
        <v>#N/A</v>
      </c>
      <c r="H14204" s="63" t="str">
        <f>IFERROR(__xludf.DUMMYFUNCTION("VLOOKUP(F14204, IMPORTRANGE(""https://docs.google.com/spreadsheets/d/1Lhp9OU0JdFf_VYSMzH5lBcEaU4o8teT1piV-SNzShjg/edit?gid=554141278#gid=554141278"", ""'Char Def. - Attributes'!C20:C2242""), 1,false)"),"VOLUME_OPT")</f>
        <v>VOLUME_OPT</v>
      </c>
      <c r="I14204" s="136"/>
      <c r="R14204" s="63" t="str">
        <f t="shared" si="60"/>
        <v>ZSI1_TRP_COMPVOLUME_OPT</v>
      </c>
    </row>
    <row r="14205" ht="15.75" customHeight="1">
      <c r="A14205" s="59"/>
      <c r="B14205" s="63">
        <f t="shared" si="1"/>
        <v>13</v>
      </c>
      <c r="C14205" s="135" t="s">
        <v>5538</v>
      </c>
      <c r="D14205" s="161" t="s">
        <v>74</v>
      </c>
      <c r="E14205" s="135">
        <f t="shared" si="62"/>
        <v>13</v>
      </c>
      <c r="F14205" s="134" t="s">
        <v>4059</v>
      </c>
      <c r="G14205" s="63" t="str">
        <f>VLOOKUP(C14205, 'Class Def. - General Data'!$C$20:$C$1000,1,false)</f>
        <v>#N/A</v>
      </c>
      <c r="H14205" s="63" t="str">
        <f>IFERROR(__xludf.DUMMYFUNCTION("VLOOKUP(F14205, IMPORTRANGE(""https://docs.google.com/spreadsheets/d/1Lhp9OU0JdFf_VYSMzH5lBcEaU4o8teT1piV-SNzShjg/edit?gid=554141278#gid=554141278"", ""'Char Def. - Attributes'!C20:C2242""), 1,false)"),"VOLUME_UNIT_SI")</f>
        <v>VOLUME_UNIT_SI</v>
      </c>
      <c r="I14205" s="136"/>
      <c r="R14205" s="63" t="str">
        <f t="shared" si="60"/>
        <v>ZSI1_TRP_COMPVOLUME_UNIT_SI</v>
      </c>
    </row>
    <row r="14206" ht="15.75" customHeight="1">
      <c r="A14206" s="59"/>
      <c r="B14206" s="63">
        <f t="shared" si="1"/>
        <v>13</v>
      </c>
      <c r="C14206" s="135" t="s">
        <v>5538</v>
      </c>
      <c r="D14206" s="161" t="s">
        <v>74</v>
      </c>
      <c r="E14206" s="135">
        <f t="shared" si="62"/>
        <v>14</v>
      </c>
      <c r="F14206" s="134" t="s">
        <v>3804</v>
      </c>
      <c r="G14206" s="63" t="str">
        <f>VLOOKUP(C14206, 'Class Def. - General Data'!$C$20:$C$1000,1,false)</f>
        <v>#N/A</v>
      </c>
      <c r="H14206" s="63" t="str">
        <f>IFERROR(__xludf.DUMMYFUNCTION("VLOOKUP(F14206, IMPORTRANGE(""https://docs.google.com/spreadsheets/d/1Lhp9OU0JdFf_VYSMzH5lBcEaU4o8teT1piV-SNzShjg/edit?gid=554141278#gid=554141278"", ""'Char Def. - Attributes'!C20:C2242""), 1,false)"),"ALT_UOM1_SIPI")</f>
        <v>ALT_UOM1_SIPI</v>
      </c>
      <c r="I14206" s="136"/>
      <c r="R14206" s="63" t="str">
        <f t="shared" si="60"/>
        <v>ZSI1_TRP_COMPALT_UOM1_SIPI</v>
      </c>
    </row>
    <row r="14207" ht="15.75" customHeight="1">
      <c r="A14207" s="59"/>
      <c r="B14207" s="63">
        <f t="shared" si="1"/>
        <v>13</v>
      </c>
      <c r="C14207" s="135" t="s">
        <v>5538</v>
      </c>
      <c r="D14207" s="161" t="s">
        <v>74</v>
      </c>
      <c r="E14207" s="135">
        <f t="shared" si="62"/>
        <v>15</v>
      </c>
      <c r="F14207" s="134" t="s">
        <v>3805</v>
      </c>
      <c r="G14207" s="63" t="str">
        <f>VLOOKUP(C14207, 'Class Def. - General Data'!$C$20:$C$1000,1,false)</f>
        <v>#N/A</v>
      </c>
      <c r="H14207" s="63" t="str">
        <f>IFERROR(__xludf.DUMMYFUNCTION("VLOOKUP(F14207, IMPORTRANGE(""https://docs.google.com/spreadsheets/d/1Lhp9OU0JdFf_VYSMzH5lBcEaU4o8teT1piV-SNzShjg/edit?gid=554141278#gid=554141278"", ""'Char Def. - Attributes'!C20:C2242""), 1,false)"),"ALT_DENUM_UOM1")</f>
        <v>ALT_DENUM_UOM1</v>
      </c>
      <c r="I14207" s="136"/>
      <c r="R14207" s="63" t="str">
        <f t="shared" si="60"/>
        <v>ZSI1_TRP_COMPALT_DENUM_UOM1</v>
      </c>
    </row>
    <row r="14208" ht="15.75" customHeight="1">
      <c r="A14208" s="59"/>
      <c r="B14208" s="63">
        <f t="shared" si="1"/>
        <v>13</v>
      </c>
      <c r="C14208" s="135" t="s">
        <v>5538</v>
      </c>
      <c r="D14208" s="161" t="s">
        <v>74</v>
      </c>
      <c r="E14208" s="135">
        <f t="shared" si="62"/>
        <v>16</v>
      </c>
      <c r="F14208" s="134" t="s">
        <v>3806</v>
      </c>
      <c r="G14208" s="63" t="str">
        <f>VLOOKUP(C14208, 'Class Def. - General Data'!$C$20:$C$1000,1,false)</f>
        <v>#N/A</v>
      </c>
      <c r="H14208" s="63" t="str">
        <f>IFERROR(__xludf.DUMMYFUNCTION("VLOOKUP(F14208, IMPORTRANGE(""https://docs.google.com/spreadsheets/d/1Lhp9OU0JdFf_VYSMzH5lBcEaU4o8teT1piV-SNzShjg/edit?gid=554141278#gid=554141278"", ""'Char Def. - Attributes'!C20:C2242""), 1,false)"),"ALT_NUM_UOM1")</f>
        <v>ALT_NUM_UOM1</v>
      </c>
      <c r="I14208" s="136"/>
      <c r="R14208" s="63" t="str">
        <f t="shared" si="60"/>
        <v>ZSI1_TRP_COMPALT_NUM_UOM1</v>
      </c>
    </row>
    <row r="14209" ht="15.75" customHeight="1">
      <c r="A14209" s="59"/>
      <c r="B14209" s="63">
        <f t="shared" si="1"/>
        <v>13</v>
      </c>
      <c r="C14209" s="135" t="s">
        <v>5538</v>
      </c>
      <c r="D14209" s="161" t="s">
        <v>74</v>
      </c>
      <c r="E14209" s="135">
        <f t="shared" si="62"/>
        <v>17</v>
      </c>
      <c r="F14209" s="134" t="s">
        <v>3807</v>
      </c>
      <c r="G14209" s="63" t="str">
        <f>VLOOKUP(C14209, 'Class Def. - General Data'!$C$20:$C$1000,1,false)</f>
        <v>#N/A</v>
      </c>
      <c r="H14209" s="63" t="str">
        <f>IFERROR(__xludf.DUMMYFUNCTION("VLOOKUP(F14209, IMPORTRANGE(""https://docs.google.com/spreadsheets/d/1Lhp9OU0JdFf_VYSMzH5lBcEaU4o8teT1piV-SNzShjg/edit?gid=554141278#gid=554141278"", ""'Char Def. - Attributes'!C20:C2242""), 1,false)"),"ALT_UOM2_SIPI")</f>
        <v>ALT_UOM2_SIPI</v>
      </c>
      <c r="I14209" s="136"/>
      <c r="R14209" s="63" t="str">
        <f t="shared" si="60"/>
        <v>ZSI1_TRP_COMPALT_UOM2_SIPI</v>
      </c>
    </row>
    <row r="14210" ht="15.75" customHeight="1">
      <c r="A14210" s="59"/>
      <c r="B14210" s="63">
        <f t="shared" si="1"/>
        <v>13</v>
      </c>
      <c r="C14210" s="135" t="s">
        <v>5538</v>
      </c>
      <c r="D14210" s="161" t="s">
        <v>74</v>
      </c>
      <c r="E14210" s="135">
        <f t="shared" si="62"/>
        <v>18</v>
      </c>
      <c r="F14210" s="134" t="s">
        <v>3808</v>
      </c>
      <c r="G14210" s="63" t="str">
        <f>VLOOKUP(C14210, 'Class Def. - General Data'!$C$20:$C$1000,1,false)</f>
        <v>#N/A</v>
      </c>
      <c r="H14210" s="63" t="str">
        <f>IFERROR(__xludf.DUMMYFUNCTION("VLOOKUP(F14210, IMPORTRANGE(""https://docs.google.com/spreadsheets/d/1Lhp9OU0JdFf_VYSMzH5lBcEaU4o8teT1piV-SNzShjg/edit?gid=554141278#gid=554141278"", ""'Char Def. - Attributes'!C20:C2242""), 1,false)"),"ALT_DENUM_UOM2")</f>
        <v>ALT_DENUM_UOM2</v>
      </c>
      <c r="I14210" s="136"/>
      <c r="R14210" s="63" t="str">
        <f t="shared" si="60"/>
        <v>ZSI1_TRP_COMPALT_DENUM_UOM2</v>
      </c>
    </row>
    <row r="14211" ht="15.75" customHeight="1">
      <c r="A14211" s="59"/>
      <c r="B14211" s="63">
        <f t="shared" si="1"/>
        <v>13</v>
      </c>
      <c r="C14211" s="135" t="s">
        <v>5538</v>
      </c>
      <c r="D14211" s="161" t="s">
        <v>74</v>
      </c>
      <c r="E14211" s="135">
        <f t="shared" si="62"/>
        <v>19</v>
      </c>
      <c r="F14211" s="134" t="s">
        <v>3809</v>
      </c>
      <c r="G14211" s="63" t="str">
        <f>VLOOKUP(C14211, 'Class Def. - General Data'!$C$20:$C$1000,1,false)</f>
        <v>#N/A</v>
      </c>
      <c r="H14211" s="63" t="str">
        <f>IFERROR(__xludf.DUMMYFUNCTION("VLOOKUP(F14211, IMPORTRANGE(""https://docs.google.com/spreadsheets/d/1Lhp9OU0JdFf_VYSMzH5lBcEaU4o8teT1piV-SNzShjg/edit?gid=554141278#gid=554141278"", ""'Char Def. - Attributes'!C20:C2242""), 1,false)"),"ALT_NUM_UOM2")</f>
        <v>ALT_NUM_UOM2</v>
      </c>
      <c r="I14211" s="136"/>
      <c r="R14211" s="63" t="str">
        <f t="shared" si="60"/>
        <v>ZSI1_TRP_COMPALT_NUM_UOM2</v>
      </c>
    </row>
    <row r="14212" ht="15.75" customHeight="1">
      <c r="A14212" s="59"/>
      <c r="B14212" s="63">
        <f t="shared" si="1"/>
        <v>13</v>
      </c>
      <c r="C14212" s="135" t="s">
        <v>5538</v>
      </c>
      <c r="D14212" s="161" t="s">
        <v>74</v>
      </c>
      <c r="E14212" s="135">
        <f t="shared" si="62"/>
        <v>20</v>
      </c>
      <c r="F14212" s="134" t="s">
        <v>3810</v>
      </c>
      <c r="G14212" s="63" t="str">
        <f>VLOOKUP(C14212, 'Class Def. - General Data'!$C$20:$C$1000,1,false)</f>
        <v>#N/A</v>
      </c>
      <c r="H14212" s="63" t="str">
        <f>IFERROR(__xludf.DUMMYFUNCTION("VLOOKUP(F14212, IMPORTRANGE(""https://docs.google.com/spreadsheets/d/1Lhp9OU0JdFf_VYSMzH5lBcEaU4o8teT1piV-SNzShjg/edit?gid=554141278#gid=554141278"", ""'Char Def. - Attributes'!C20:C2242""), 1,false)"),"ALT_UOM3_SIPI")</f>
        <v>ALT_UOM3_SIPI</v>
      </c>
      <c r="I14212" s="136"/>
      <c r="R14212" s="63" t="str">
        <f t="shared" si="60"/>
        <v>ZSI1_TRP_COMPALT_UOM3_SIPI</v>
      </c>
    </row>
    <row r="14213" ht="15.75" customHeight="1">
      <c r="A14213" s="59"/>
      <c r="B14213" s="63">
        <f t="shared" si="1"/>
        <v>13</v>
      </c>
      <c r="C14213" s="135" t="s">
        <v>5538</v>
      </c>
      <c r="D14213" s="161" t="s">
        <v>74</v>
      </c>
      <c r="E14213" s="135">
        <f t="shared" si="62"/>
        <v>21</v>
      </c>
      <c r="F14213" s="134" t="s">
        <v>3811</v>
      </c>
      <c r="G14213" s="63" t="str">
        <f>VLOOKUP(C14213, 'Class Def. - General Data'!$C$20:$C$1000,1,false)</f>
        <v>#N/A</v>
      </c>
      <c r="H14213" s="63" t="str">
        <f>IFERROR(__xludf.DUMMYFUNCTION("VLOOKUP(F14213, IMPORTRANGE(""https://docs.google.com/spreadsheets/d/1Lhp9OU0JdFf_VYSMzH5lBcEaU4o8teT1piV-SNzShjg/edit?gid=554141278#gid=554141278"", ""'Char Def. - Attributes'!C20:C2242""), 1,false)"),"ALT_DENUM_UOM3")</f>
        <v>ALT_DENUM_UOM3</v>
      </c>
      <c r="I14213" s="136"/>
      <c r="R14213" s="63" t="str">
        <f t="shared" si="60"/>
        <v>ZSI1_TRP_COMPALT_DENUM_UOM3</v>
      </c>
    </row>
    <row r="14214" ht="15.75" customHeight="1">
      <c r="A14214" s="59"/>
      <c r="B14214" s="63">
        <f t="shared" si="1"/>
        <v>13</v>
      </c>
      <c r="C14214" s="135" t="s">
        <v>5538</v>
      </c>
      <c r="D14214" s="161" t="s">
        <v>74</v>
      </c>
      <c r="E14214" s="135">
        <f t="shared" si="62"/>
        <v>22</v>
      </c>
      <c r="F14214" s="134" t="s">
        <v>3812</v>
      </c>
      <c r="G14214" s="63" t="str">
        <f>VLOOKUP(C14214, 'Class Def. - General Data'!$C$20:$C$1000,1,false)</f>
        <v>#N/A</v>
      </c>
      <c r="H14214" s="63" t="str">
        <f>IFERROR(__xludf.DUMMYFUNCTION("VLOOKUP(F14214, IMPORTRANGE(""https://docs.google.com/spreadsheets/d/1Lhp9OU0JdFf_VYSMzH5lBcEaU4o8teT1piV-SNzShjg/edit?gid=554141278#gid=554141278"", ""'Char Def. - Attributes'!C20:C2242""), 1,false)"),"ALT_NUM_UOM3")</f>
        <v>ALT_NUM_UOM3</v>
      </c>
      <c r="I14214" s="136"/>
      <c r="R14214" s="63" t="str">
        <f t="shared" si="60"/>
        <v>ZSI1_TRP_COMPALT_NUM_UOM3</v>
      </c>
    </row>
    <row r="14215" ht="15.75" customHeight="1">
      <c r="A14215" s="59"/>
      <c r="B14215" s="63">
        <f t="shared" si="1"/>
        <v>13</v>
      </c>
      <c r="C14215" s="135" t="s">
        <v>5538</v>
      </c>
      <c r="D14215" s="161" t="s">
        <v>74</v>
      </c>
      <c r="E14215" s="135">
        <f t="shared" si="62"/>
        <v>23</v>
      </c>
      <c r="F14215" s="134" t="s">
        <v>3813</v>
      </c>
      <c r="G14215" s="63" t="str">
        <f>VLOOKUP(C14215, 'Class Def. - General Data'!$C$20:$C$1000,1,false)</f>
        <v>#N/A</v>
      </c>
      <c r="H14215" s="63" t="str">
        <f>IFERROR(__xludf.DUMMYFUNCTION("VLOOKUP(F14215, IMPORTRANGE(""https://docs.google.com/spreadsheets/d/1Lhp9OU0JdFf_VYSMzH5lBcEaU4o8teT1piV-SNzShjg/edit?gid=554141278#gid=554141278"", ""'Char Def. - Attributes'!C20:C2242""), 1,false)"),"ALT_UOM4_SIPI")</f>
        <v>ALT_UOM4_SIPI</v>
      </c>
      <c r="I14215" s="136"/>
      <c r="R14215" s="63" t="str">
        <f t="shared" si="60"/>
        <v>ZSI1_TRP_COMPALT_UOM4_SIPI</v>
      </c>
    </row>
    <row r="14216" ht="15.75" customHeight="1">
      <c r="A14216" s="59"/>
      <c r="B14216" s="63">
        <f t="shared" si="1"/>
        <v>13</v>
      </c>
      <c r="C14216" s="135" t="s">
        <v>5538</v>
      </c>
      <c r="D14216" s="161" t="s">
        <v>74</v>
      </c>
      <c r="E14216" s="135">
        <f t="shared" si="62"/>
        <v>24</v>
      </c>
      <c r="F14216" s="134" t="s">
        <v>3814</v>
      </c>
      <c r="G14216" s="63" t="str">
        <f>VLOOKUP(C14216, 'Class Def. - General Data'!$C$20:$C$1000,1,false)</f>
        <v>#N/A</v>
      </c>
      <c r="H14216" s="63" t="str">
        <f>IFERROR(__xludf.DUMMYFUNCTION("VLOOKUP(F14216, IMPORTRANGE(""https://docs.google.com/spreadsheets/d/1Lhp9OU0JdFf_VYSMzH5lBcEaU4o8teT1piV-SNzShjg/edit?gid=554141278#gid=554141278"", ""'Char Def. - Attributes'!C20:C2242""), 1,false)"),"ALT_DENUM_UOM4")</f>
        <v>ALT_DENUM_UOM4</v>
      </c>
      <c r="I14216" s="136"/>
      <c r="R14216" s="63" t="str">
        <f t="shared" si="60"/>
        <v>ZSI1_TRP_COMPALT_DENUM_UOM4</v>
      </c>
    </row>
    <row r="14217" ht="15.75" customHeight="1">
      <c r="A14217" s="59"/>
      <c r="B14217" s="63">
        <f t="shared" si="1"/>
        <v>13</v>
      </c>
      <c r="C14217" s="135" t="s">
        <v>5538</v>
      </c>
      <c r="D14217" s="161" t="s">
        <v>74</v>
      </c>
      <c r="E14217" s="135">
        <f t="shared" si="62"/>
        <v>25</v>
      </c>
      <c r="F14217" s="134" t="s">
        <v>3815</v>
      </c>
      <c r="G14217" s="63" t="str">
        <f>VLOOKUP(C14217, 'Class Def. - General Data'!$C$20:$C$1000,1,false)</f>
        <v>#N/A</v>
      </c>
      <c r="H14217" s="63" t="str">
        <f>IFERROR(__xludf.DUMMYFUNCTION("VLOOKUP(F14217, IMPORTRANGE(""https://docs.google.com/spreadsheets/d/1Lhp9OU0JdFf_VYSMzH5lBcEaU4o8teT1piV-SNzShjg/edit?gid=554141278#gid=554141278"", ""'Char Def. - Attributes'!C20:C2242""), 1,false)"),"ALT_NUM_UOM4")</f>
        <v>ALT_NUM_UOM4</v>
      </c>
      <c r="I14217" s="136"/>
      <c r="R14217" s="63" t="str">
        <f t="shared" si="60"/>
        <v>ZSI1_TRP_COMPALT_NUM_UOM4</v>
      </c>
    </row>
    <row r="14218" ht="15.75" customHeight="1">
      <c r="A14218" s="59"/>
      <c r="B14218" s="63">
        <f t="shared" si="1"/>
        <v>13</v>
      </c>
      <c r="C14218" s="135" t="s">
        <v>5538</v>
      </c>
      <c r="D14218" s="161" t="s">
        <v>74</v>
      </c>
      <c r="E14218" s="135">
        <f t="shared" si="62"/>
        <v>26</v>
      </c>
      <c r="F14218" s="134" t="s">
        <v>3816</v>
      </c>
      <c r="G14218" s="63" t="str">
        <f>VLOOKUP(C14218, 'Class Def. - General Data'!$C$20:$C$1000,1,false)</f>
        <v>#N/A</v>
      </c>
      <c r="H14218" s="63" t="str">
        <f>IFERROR(__xludf.DUMMYFUNCTION("VLOOKUP(F14218, IMPORTRANGE(""https://docs.google.com/spreadsheets/d/1Lhp9OU0JdFf_VYSMzH5lBcEaU4o8teT1piV-SNzShjg/edit?gid=554141278#gid=554141278"", ""'Char Def. - Attributes'!C20:C2242""), 1,false)"),"ALT_UOM5_SIPI")</f>
        <v>ALT_UOM5_SIPI</v>
      </c>
      <c r="I14218" s="136"/>
      <c r="R14218" s="63" t="str">
        <f t="shared" si="60"/>
        <v>ZSI1_TRP_COMPALT_UOM5_SIPI</v>
      </c>
    </row>
    <row r="14219" ht="15.75" customHeight="1">
      <c r="A14219" s="59"/>
      <c r="B14219" s="63">
        <f t="shared" si="1"/>
        <v>13</v>
      </c>
      <c r="C14219" s="135" t="s">
        <v>5538</v>
      </c>
      <c r="D14219" s="161" t="s">
        <v>74</v>
      </c>
      <c r="E14219" s="135">
        <f t="shared" si="62"/>
        <v>27</v>
      </c>
      <c r="F14219" s="134" t="s">
        <v>3817</v>
      </c>
      <c r="G14219" s="63" t="str">
        <f>VLOOKUP(C14219, 'Class Def. - General Data'!$C$20:$C$1000,1,false)</f>
        <v>#N/A</v>
      </c>
      <c r="H14219" s="63" t="str">
        <f>IFERROR(__xludf.DUMMYFUNCTION("VLOOKUP(F14219, IMPORTRANGE(""https://docs.google.com/spreadsheets/d/1Lhp9OU0JdFf_VYSMzH5lBcEaU4o8teT1piV-SNzShjg/edit?gid=554141278#gid=554141278"", ""'Char Def. - Attributes'!C20:C2242""), 1,false)"),"ALT_DENUM_UOM5")</f>
        <v>ALT_DENUM_UOM5</v>
      </c>
      <c r="I14219" s="136"/>
      <c r="R14219" s="63" t="str">
        <f t="shared" si="60"/>
        <v>ZSI1_TRP_COMPALT_DENUM_UOM5</v>
      </c>
    </row>
    <row r="14220" ht="15.75" customHeight="1">
      <c r="A14220" s="59"/>
      <c r="B14220" s="63">
        <f t="shared" si="1"/>
        <v>13</v>
      </c>
      <c r="C14220" s="135" t="s">
        <v>5538</v>
      </c>
      <c r="D14220" s="161" t="s">
        <v>74</v>
      </c>
      <c r="E14220" s="135">
        <f t="shared" si="62"/>
        <v>28</v>
      </c>
      <c r="F14220" s="134" t="s">
        <v>3818</v>
      </c>
      <c r="G14220" s="63" t="str">
        <f>VLOOKUP(C14220, 'Class Def. - General Data'!$C$20:$C$1000,1,false)</f>
        <v>#N/A</v>
      </c>
      <c r="H14220" s="63" t="str">
        <f>IFERROR(__xludf.DUMMYFUNCTION("VLOOKUP(F14220, IMPORTRANGE(""https://docs.google.com/spreadsheets/d/1Lhp9OU0JdFf_VYSMzH5lBcEaU4o8teT1piV-SNzShjg/edit?gid=554141278#gid=554141278"", ""'Char Def. - Attributes'!C20:C2242""), 1,false)"),"ALT_NUM_UOM5")</f>
        <v>ALT_NUM_UOM5</v>
      </c>
      <c r="I14220" s="136"/>
      <c r="R14220" s="63" t="str">
        <f t="shared" si="60"/>
        <v>ZSI1_TRP_COMPALT_NUM_UOM5</v>
      </c>
    </row>
    <row r="14221" ht="15.75" customHeight="1">
      <c r="A14221" s="59"/>
      <c r="B14221" s="63">
        <f t="shared" si="1"/>
        <v>14</v>
      </c>
      <c r="C14221" s="135" t="s">
        <v>477</v>
      </c>
      <c r="D14221" s="161" t="s">
        <v>74</v>
      </c>
      <c r="E14221" s="135">
        <f t="shared" si="62"/>
        <v>1</v>
      </c>
      <c r="F14221" s="134" t="s">
        <v>5543</v>
      </c>
      <c r="G14221" s="63" t="str">
        <f>VLOOKUP(C14221, 'Class Def. - General Data'!$C$20:$C$1000,1,false)</f>
        <v>ZSI1_U_CHANNEL</v>
      </c>
      <c r="H14221" s="63" t="str">
        <f>IFERROR(__xludf.DUMMYFUNCTION("VLOOKUP(F14221, IMPORTRANGE(""https://docs.google.com/spreadsheets/d/1Lhp9OU0JdFf_VYSMzH5lBcEaU4o8teT1piV-SNzShjg/edit?gid=554141278#gid=554141278"", ""'Char Def. - Attributes'!C20:C2242""), 1,false)"),"ITEM_NAME_U_CHANNEL")</f>
        <v>ITEM_NAME_U_CHANNEL</v>
      </c>
      <c r="I14221" s="136"/>
      <c r="R14221" s="63" t="str">
        <f t="shared" si="60"/>
        <v>ZSI1_U_CHANNELITEM_NAME_U_CHANNEL</v>
      </c>
    </row>
    <row r="14222" ht="15.75" customHeight="1">
      <c r="A14222" s="59"/>
      <c r="B14222" s="63">
        <f t="shared" si="1"/>
        <v>14</v>
      </c>
      <c r="C14222" s="135" t="s">
        <v>477</v>
      </c>
      <c r="D14222" s="161" t="s">
        <v>74</v>
      </c>
      <c r="E14222" s="135">
        <f t="shared" si="62"/>
        <v>2</v>
      </c>
      <c r="F14222" s="134" t="s">
        <v>5544</v>
      </c>
      <c r="G14222" s="63" t="str">
        <f>VLOOKUP(C14222, 'Class Def. - General Data'!$C$20:$C$1000,1,false)</f>
        <v>ZSI1_U_CHANNEL</v>
      </c>
      <c r="H14222" s="63" t="str">
        <f>IFERROR(__xludf.DUMMYFUNCTION("VLOOKUP(F14222, IMPORTRANGE(""https://docs.google.com/spreadsheets/d/1Lhp9OU0JdFf_VYSMzH5lBcEaU4o8teT1piV-SNzShjg/edit?gid=554141278#gid=554141278"", ""'Char Def. - Attributes'!C20:C2242""), 1,false)"),"CHANNEL_MATERIAL_U_CHANNEL")</f>
        <v>CHANNEL_MATERIAL_U_CHANNEL</v>
      </c>
      <c r="I14222" s="136"/>
      <c r="R14222" s="63" t="str">
        <f t="shared" si="60"/>
        <v>ZSI1_U_CHANNELCHANNEL_MATERIAL_U_CHANNEL</v>
      </c>
    </row>
    <row r="14223" ht="15.75" customHeight="1">
      <c r="A14223" s="59"/>
      <c r="B14223" s="63">
        <f t="shared" si="1"/>
        <v>14</v>
      </c>
      <c r="C14223" s="135" t="s">
        <v>477</v>
      </c>
      <c r="D14223" s="161" t="s">
        <v>74</v>
      </c>
      <c r="E14223" s="135">
        <f t="shared" si="62"/>
        <v>3</v>
      </c>
      <c r="F14223" s="134" t="s">
        <v>5545</v>
      </c>
      <c r="G14223" s="63" t="str">
        <f>VLOOKUP(C14223, 'Class Def. - General Data'!$C$20:$C$1000,1,false)</f>
        <v>ZSI1_U_CHANNEL</v>
      </c>
      <c r="H14223" s="63" t="str">
        <f>IFERROR(__xludf.DUMMYFUNCTION("VLOOKUP(F14223, IMPORTRANGE(""https://docs.google.com/spreadsheets/d/1Lhp9OU0JdFf_VYSMzH5lBcEaU4o8teT1piV-SNzShjg/edit?gid=554141278#gid=554141278"", ""'Char Def. - Attributes'!C20:C2242""), 1,false)"),"LEG_HEIGHT_MM_U_CHANNEL")</f>
        <v>LEG_HEIGHT_MM_U_CHANNEL</v>
      </c>
      <c r="I14223" s="136"/>
      <c r="R14223" s="63" t="str">
        <f t="shared" si="60"/>
        <v>ZSI1_U_CHANNELLEG_HEIGHT_MM_U_CHANNEL</v>
      </c>
    </row>
    <row r="14224" ht="15.75" customHeight="1">
      <c r="A14224" s="59"/>
      <c r="B14224" s="63">
        <f t="shared" si="1"/>
        <v>14</v>
      </c>
      <c r="C14224" s="135" t="s">
        <v>477</v>
      </c>
      <c r="D14224" s="161" t="s">
        <v>74</v>
      </c>
      <c r="E14224" s="135">
        <f t="shared" si="62"/>
        <v>4</v>
      </c>
      <c r="F14224" s="134" t="s">
        <v>5546</v>
      </c>
      <c r="G14224" s="63" t="str">
        <f>VLOOKUP(C14224, 'Class Def. - General Data'!$C$20:$C$1000,1,false)</f>
        <v>ZSI1_U_CHANNEL</v>
      </c>
      <c r="H14224" s="63" t="str">
        <f>IFERROR(__xludf.DUMMYFUNCTION("VLOOKUP(F14224, IMPORTRANGE(""https://docs.google.com/spreadsheets/d/1Lhp9OU0JdFf_VYSMzH5lBcEaU4o8teT1piV-SNzShjg/edit?gid=554141278#gid=554141278"", ""'Char Def. - Attributes'!C20:C2242""), 1,false)"),"BASE_WIDTH_MM_U_CHANNEL")</f>
        <v>BASE_WIDTH_MM_U_CHANNEL</v>
      </c>
      <c r="I14224" s="136"/>
      <c r="R14224" s="63" t="str">
        <f t="shared" si="60"/>
        <v>ZSI1_U_CHANNELBASE_WIDTH_MM_U_CHANNEL</v>
      </c>
    </row>
    <row r="14225" ht="15.75" customHeight="1">
      <c r="A14225" s="59"/>
      <c r="B14225" s="63">
        <f t="shared" si="1"/>
        <v>14</v>
      </c>
      <c r="C14225" s="135" t="s">
        <v>477</v>
      </c>
      <c r="D14225" s="161" t="s">
        <v>74</v>
      </c>
      <c r="E14225" s="135">
        <f t="shared" si="62"/>
        <v>5</v>
      </c>
      <c r="F14225" s="134" t="s">
        <v>5547</v>
      </c>
      <c r="G14225" s="63" t="str">
        <f>VLOOKUP(C14225, 'Class Def. - General Data'!$C$20:$C$1000,1,false)</f>
        <v>ZSI1_U_CHANNEL</v>
      </c>
      <c r="H14225" s="63" t="str">
        <f>IFERROR(__xludf.DUMMYFUNCTION("VLOOKUP(F14225, IMPORTRANGE(""https://docs.google.com/spreadsheets/d/1Lhp9OU0JdFf_VYSMzH5lBcEaU4o8teT1piV-SNzShjg/edit?gid=554141278#gid=554141278"", ""'Char Def. - Attributes'!C20:C2242""), 1,false)"),"CHANNEL_THICKNESS_MM_U_CHANNEL")</f>
        <v>CHANNEL_THICKNESS_MM_U_CHANNEL</v>
      </c>
      <c r="I14225" s="136"/>
      <c r="R14225" s="63" t="str">
        <f t="shared" si="60"/>
        <v>ZSI1_U_CHANNELCHANNEL_THICKNESS_MM_U_CHANNEL</v>
      </c>
    </row>
    <row r="14226" ht="15.75" customHeight="1">
      <c r="A14226" s="59"/>
      <c r="B14226" s="63">
        <f t="shared" si="1"/>
        <v>14</v>
      </c>
      <c r="C14226" s="135" t="s">
        <v>477</v>
      </c>
      <c r="D14226" s="161" t="s">
        <v>74</v>
      </c>
      <c r="E14226" s="135">
        <f t="shared" si="62"/>
        <v>6</v>
      </c>
      <c r="F14226" s="134" t="s">
        <v>5548</v>
      </c>
      <c r="G14226" s="63" t="str">
        <f>VLOOKUP(C14226, 'Class Def. - General Data'!$C$20:$C$1000,1,false)</f>
        <v>ZSI1_U_CHANNEL</v>
      </c>
      <c r="H14226" s="63" t="str">
        <f>IFERROR(__xludf.DUMMYFUNCTION("VLOOKUP(F14226, IMPORTRANGE(""https://docs.google.com/spreadsheets/d/1Lhp9OU0JdFf_VYSMzH5lBcEaU4o8teT1piV-SNzShjg/edit?gid=554141278#gid=554141278"", ""'Char Def. - Attributes'!C20:C2242""), 1,false)"),"OVERALL_LENGTH_M_U_CHANNEL")</f>
        <v>OVERALL_LENGTH_M_U_CHANNEL</v>
      </c>
      <c r="I14226" s="136"/>
      <c r="R14226" s="63" t="str">
        <f t="shared" si="60"/>
        <v>ZSI1_U_CHANNELOVERALL_LENGTH_M_U_CHANNEL</v>
      </c>
    </row>
    <row r="14227" ht="15.75" customHeight="1">
      <c r="A14227" s="59"/>
      <c r="B14227" s="63">
        <f t="shared" si="1"/>
        <v>14</v>
      </c>
      <c r="C14227" s="135" t="s">
        <v>477</v>
      </c>
      <c r="D14227" s="161" t="s">
        <v>74</v>
      </c>
      <c r="E14227" s="135">
        <f t="shared" si="62"/>
        <v>7</v>
      </c>
      <c r="F14227" s="134" t="s">
        <v>4053</v>
      </c>
      <c r="G14227" s="63" t="str">
        <f>VLOOKUP(C14227, 'Class Def. - General Data'!$C$20:$C$1000,1,false)</f>
        <v>ZSI1_U_CHANNEL</v>
      </c>
      <c r="H14227" s="63" t="str">
        <f>IFERROR(__xludf.DUMMYFUNCTION("VLOOKUP(F14227, IMPORTRANGE(""https://docs.google.com/spreadsheets/d/1Lhp9OU0JdFf_VYSMzH5lBcEaU4o8teT1piV-SNzShjg/edit?gid=554141278#gid=554141278"", ""'Char Def. - Attributes'!C20:C2242""), 1,false)"),"MAINTENANCE_ORDER_TYPE")</f>
        <v>MAINTENANCE_ORDER_TYPE</v>
      </c>
      <c r="I14227" s="136"/>
      <c r="R14227" s="63" t="str">
        <f t="shared" si="60"/>
        <v>ZSI1_U_CHANNELMAINTENANCE_ORDER_TYPE</v>
      </c>
    </row>
    <row r="14228" ht="15.75" customHeight="1">
      <c r="A14228" s="59"/>
      <c r="B14228" s="63">
        <f t="shared" si="1"/>
        <v>14</v>
      </c>
      <c r="C14228" s="135" t="s">
        <v>477</v>
      </c>
      <c r="D14228" s="161" t="s">
        <v>74</v>
      </c>
      <c r="E14228" s="135">
        <f t="shared" si="62"/>
        <v>8</v>
      </c>
      <c r="F14228" s="134" t="s">
        <v>3585</v>
      </c>
      <c r="G14228" s="63" t="str">
        <f>VLOOKUP(C14228, 'Class Def. - General Data'!$C$20:$C$1000,1,false)</f>
        <v>ZSI1_U_CHANNEL</v>
      </c>
      <c r="H14228" s="63" t="str">
        <f>IFERROR(__xludf.DUMMYFUNCTION("VLOOKUP(F14228, IMPORTRANGE(""https://docs.google.com/spreadsheets/d/1Lhp9OU0JdFf_VYSMzH5lBcEaU4o8teT1piV-SNzShjg/edit?gid=554141278#gid=554141278"", ""'Char Def. - Attributes'!C20:C2242""), 1,false)"),"HS_CODE")</f>
        <v>HS_CODE</v>
      </c>
      <c r="I14228" s="136"/>
      <c r="R14228" s="63" t="str">
        <f t="shared" si="60"/>
        <v>ZSI1_U_CHANNELHS_CODE</v>
      </c>
    </row>
    <row r="14229" ht="15.75" customHeight="1">
      <c r="A14229" s="59"/>
      <c r="B14229" s="63">
        <f t="shared" si="1"/>
        <v>14</v>
      </c>
      <c r="C14229" s="135" t="s">
        <v>477</v>
      </c>
      <c r="D14229" s="161" t="s">
        <v>74</v>
      </c>
      <c r="E14229" s="135">
        <f t="shared" si="62"/>
        <v>9</v>
      </c>
      <c r="F14229" s="134" t="s">
        <v>3587</v>
      </c>
      <c r="G14229" s="63" t="str">
        <f>VLOOKUP(C14229, 'Class Def. - General Data'!$C$20:$C$1000,1,false)</f>
        <v>ZSI1_U_CHANNEL</v>
      </c>
      <c r="H14229" s="63" t="str">
        <f>IFERROR(__xludf.DUMMYFUNCTION("VLOOKUP(F14229, IMPORTRANGE(""https://docs.google.com/spreadsheets/d/1Lhp9OU0JdFf_VYSMzH5lBcEaU4o8teT1piV-SNzShjg/edit?gid=554141278#gid=554141278"", ""'Char Def. - Attributes'!C20:C2242""), 1,false)"),"PLANT_BUY")</f>
        <v>PLANT_BUY</v>
      </c>
      <c r="I14229" s="136"/>
      <c r="R14229" s="63" t="str">
        <f t="shared" si="60"/>
        <v>ZSI1_U_CHANNELPLANT_BUY</v>
      </c>
    </row>
    <row r="14230" ht="15.75" customHeight="1">
      <c r="A14230" s="59"/>
      <c r="B14230" s="63">
        <f t="shared" si="1"/>
        <v>14</v>
      </c>
      <c r="C14230" s="135" t="s">
        <v>477</v>
      </c>
      <c r="D14230" s="161" t="s">
        <v>74</v>
      </c>
      <c r="E14230" s="135">
        <f t="shared" si="62"/>
        <v>10</v>
      </c>
      <c r="F14230" s="134" t="s">
        <v>5549</v>
      </c>
      <c r="G14230" s="63" t="str">
        <f>VLOOKUP(C14230, 'Class Def. - General Data'!$C$20:$C$1000,1,false)</f>
        <v>ZSI1_U_CHANNEL</v>
      </c>
      <c r="H14230" s="63" t="str">
        <f>IFERROR(__xludf.DUMMYFUNCTION("VLOOKUP(F14230, IMPORTRANGE(""https://docs.google.com/spreadsheets/d/1Lhp9OU0JdFf_VYSMzH5lBcEaU4o8teT1piV-SNzShjg/edit?gid=554141278#gid=554141278"", ""'Char Def. - Attributes'!C20:C2242""), 1,false)"),"BASE_UOM_U_CHANNEL")</f>
        <v>BASE_UOM_U_CHANNEL</v>
      </c>
      <c r="I14230" s="136"/>
      <c r="R14230" s="63" t="str">
        <f t="shared" si="60"/>
        <v>ZSI1_U_CHANNELBASE_UOM_U_CHANNEL</v>
      </c>
    </row>
    <row r="14231" ht="15.75" customHeight="1">
      <c r="A14231" s="59"/>
      <c r="B14231" s="63">
        <f t="shared" si="1"/>
        <v>14</v>
      </c>
      <c r="C14231" s="135" t="s">
        <v>477</v>
      </c>
      <c r="D14231" s="161" t="s">
        <v>74</v>
      </c>
      <c r="E14231" s="135">
        <f t="shared" si="62"/>
        <v>11</v>
      </c>
      <c r="F14231" s="134" t="s">
        <v>5550</v>
      </c>
      <c r="G14231" s="63" t="str">
        <f>VLOOKUP(C14231, 'Class Def. - General Data'!$C$20:$C$1000,1,false)</f>
        <v>ZSI1_U_CHANNEL</v>
      </c>
      <c r="H14231" s="63" t="str">
        <f>IFERROR(__xludf.DUMMYFUNCTION("VLOOKUP(F14231, IMPORTRANGE(""https://docs.google.com/spreadsheets/d/1Lhp9OU0JdFf_VYSMzH5lBcEaU4o8teT1piV-SNzShjg/edit?gid=554141278#gid=554141278"", ""'Char Def. - Attributes'!C20:C2242""), 1,false)"),"ORDER_UNIT_U_CHANNEL")</f>
        <v>ORDER_UNIT_U_CHANNEL</v>
      </c>
      <c r="I14231" s="136"/>
      <c r="R14231" s="63" t="str">
        <f t="shared" si="60"/>
        <v>ZSI1_U_CHANNELORDER_UNIT_U_CHANNEL</v>
      </c>
    </row>
    <row r="14232" ht="15.75" customHeight="1">
      <c r="A14232" s="59"/>
      <c r="B14232" s="63">
        <f t="shared" si="1"/>
        <v>14</v>
      </c>
      <c r="C14232" s="135" t="s">
        <v>477</v>
      </c>
      <c r="D14232" s="161" t="s">
        <v>74</v>
      </c>
      <c r="E14232" s="135">
        <f t="shared" si="62"/>
        <v>12</v>
      </c>
      <c r="F14232" s="134" t="s">
        <v>4056</v>
      </c>
      <c r="G14232" s="63" t="str">
        <f>VLOOKUP(C14232, 'Class Def. - General Data'!$C$20:$C$1000,1,false)</f>
        <v>ZSI1_U_CHANNEL</v>
      </c>
      <c r="H14232" s="63" t="str">
        <f>IFERROR(__xludf.DUMMYFUNCTION("VLOOKUP(F14232, IMPORTRANGE(""https://docs.google.com/spreadsheets/d/1Lhp9OU0JdFf_VYSMzH5lBcEaU4o8teT1piV-SNzShjg/edit?gid=554141278#gid=554141278"", ""'Char Def. - Attributes'!C20:C2242""), 1,false)"),"GROSS_WEIGHT_OPT")</f>
        <v>GROSS_WEIGHT_OPT</v>
      </c>
      <c r="I14232" s="136"/>
      <c r="R14232" s="63" t="str">
        <f t="shared" si="60"/>
        <v>ZSI1_U_CHANNELGROSS_WEIGHT_OPT</v>
      </c>
    </row>
    <row r="14233" ht="15.75" customHeight="1">
      <c r="A14233" s="59"/>
      <c r="B14233" s="63">
        <f t="shared" si="1"/>
        <v>14</v>
      </c>
      <c r="C14233" s="135" t="s">
        <v>477</v>
      </c>
      <c r="D14233" s="161" t="s">
        <v>74</v>
      </c>
      <c r="E14233" s="135">
        <f t="shared" si="62"/>
        <v>13</v>
      </c>
      <c r="F14233" s="134" t="s">
        <v>4057</v>
      </c>
      <c r="G14233" s="63" t="str">
        <f>VLOOKUP(C14233, 'Class Def. - General Data'!$C$20:$C$1000,1,false)</f>
        <v>ZSI1_U_CHANNEL</v>
      </c>
      <c r="H14233" s="63" t="str">
        <f>IFERROR(__xludf.DUMMYFUNCTION("VLOOKUP(F14233, IMPORTRANGE(""https://docs.google.com/spreadsheets/d/1Lhp9OU0JdFf_VYSMzH5lBcEaU4o8teT1piV-SNzShjg/edit?gid=554141278#gid=554141278"", ""'Char Def. - Attributes'!C20:C2242""), 1,false)"),"NET_WEIGHT_OPT")</f>
        <v>NET_WEIGHT_OPT</v>
      </c>
      <c r="I14233" s="136"/>
      <c r="R14233" s="63" t="str">
        <f t="shared" si="60"/>
        <v>ZSI1_U_CHANNELNET_WEIGHT_OPT</v>
      </c>
    </row>
    <row r="14234" ht="15.75" customHeight="1">
      <c r="A14234" s="59"/>
      <c r="B14234" s="63">
        <f t="shared" si="1"/>
        <v>14</v>
      </c>
      <c r="C14234" s="135" t="s">
        <v>477</v>
      </c>
      <c r="D14234" s="161" t="s">
        <v>74</v>
      </c>
      <c r="E14234" s="135">
        <f t="shared" si="62"/>
        <v>14</v>
      </c>
      <c r="F14234" s="134" t="s">
        <v>4058</v>
      </c>
      <c r="G14234" s="63" t="str">
        <f>VLOOKUP(C14234, 'Class Def. - General Data'!$C$20:$C$1000,1,false)</f>
        <v>ZSI1_U_CHANNEL</v>
      </c>
      <c r="H14234" s="63" t="str">
        <f>IFERROR(__xludf.DUMMYFUNCTION("VLOOKUP(F14234, IMPORTRANGE(""https://docs.google.com/spreadsheets/d/1Lhp9OU0JdFf_VYSMzH5lBcEaU4o8teT1piV-SNzShjg/edit?gid=554141278#gid=554141278"", ""'Char Def. - Attributes'!C20:C2242""), 1,false)"),"WEIGHT_UNIT_SI")</f>
        <v>WEIGHT_UNIT_SI</v>
      </c>
      <c r="I14234" s="136"/>
      <c r="R14234" s="63" t="str">
        <f t="shared" si="60"/>
        <v>ZSI1_U_CHANNELWEIGHT_UNIT_SI</v>
      </c>
    </row>
    <row r="14235" ht="15.75" customHeight="1">
      <c r="A14235" s="59"/>
      <c r="B14235" s="63">
        <f t="shared" si="1"/>
        <v>14</v>
      </c>
      <c r="C14235" s="135" t="s">
        <v>477</v>
      </c>
      <c r="D14235" s="161" t="s">
        <v>74</v>
      </c>
      <c r="E14235" s="135">
        <f t="shared" si="62"/>
        <v>15</v>
      </c>
      <c r="F14235" s="134" t="s">
        <v>3877</v>
      </c>
      <c r="G14235" s="63" t="str">
        <f>VLOOKUP(C14235, 'Class Def. - General Data'!$C$20:$C$1000,1,false)</f>
        <v>ZSI1_U_CHANNEL</v>
      </c>
      <c r="H14235" s="63" t="str">
        <f>IFERROR(__xludf.DUMMYFUNCTION("VLOOKUP(F14235, IMPORTRANGE(""https://docs.google.com/spreadsheets/d/1Lhp9OU0JdFf_VYSMzH5lBcEaU4o8teT1piV-SNzShjg/edit?gid=554141278#gid=554141278"", ""'Char Def. - Attributes'!C20:C2242""), 1,false)"),"VOLUME_OPT")</f>
        <v>VOLUME_OPT</v>
      </c>
      <c r="I14235" s="136"/>
      <c r="R14235" s="63" t="str">
        <f t="shared" si="60"/>
        <v>ZSI1_U_CHANNELVOLUME_OPT</v>
      </c>
    </row>
    <row r="14236" ht="15.75" customHeight="1">
      <c r="A14236" s="59"/>
      <c r="B14236" s="63">
        <f t="shared" si="1"/>
        <v>14</v>
      </c>
      <c r="C14236" s="135" t="s">
        <v>477</v>
      </c>
      <c r="D14236" s="161" t="s">
        <v>74</v>
      </c>
      <c r="E14236" s="135">
        <f t="shared" si="62"/>
        <v>16</v>
      </c>
      <c r="F14236" s="134" t="s">
        <v>4059</v>
      </c>
      <c r="G14236" s="63" t="str">
        <f>VLOOKUP(C14236, 'Class Def. - General Data'!$C$20:$C$1000,1,false)</f>
        <v>ZSI1_U_CHANNEL</v>
      </c>
      <c r="H14236" s="63" t="str">
        <f>IFERROR(__xludf.DUMMYFUNCTION("VLOOKUP(F14236, IMPORTRANGE(""https://docs.google.com/spreadsheets/d/1Lhp9OU0JdFf_VYSMzH5lBcEaU4o8teT1piV-SNzShjg/edit?gid=554141278#gid=554141278"", ""'Char Def. - Attributes'!C20:C2242""), 1,false)"),"VOLUME_UNIT_SI")</f>
        <v>VOLUME_UNIT_SI</v>
      </c>
      <c r="I14236" s="136"/>
      <c r="R14236" s="63" t="str">
        <f t="shared" si="60"/>
        <v>ZSI1_U_CHANNELVOLUME_UNIT_SI</v>
      </c>
    </row>
    <row r="14237" ht="15.75" customHeight="1">
      <c r="A14237" s="59"/>
      <c r="B14237" s="63">
        <f t="shared" si="1"/>
        <v>14</v>
      </c>
      <c r="C14237" s="135" t="s">
        <v>477</v>
      </c>
      <c r="D14237" s="161" t="s">
        <v>74</v>
      </c>
      <c r="E14237" s="135">
        <f t="shared" si="62"/>
        <v>17</v>
      </c>
      <c r="F14237" s="134" t="s">
        <v>3804</v>
      </c>
      <c r="G14237" s="63" t="str">
        <f>VLOOKUP(C14237, 'Class Def. - General Data'!$C$20:$C$1000,1,false)</f>
        <v>ZSI1_U_CHANNEL</v>
      </c>
      <c r="H14237" s="63" t="str">
        <f>IFERROR(__xludf.DUMMYFUNCTION("VLOOKUP(F14237, IMPORTRANGE(""https://docs.google.com/spreadsheets/d/1Lhp9OU0JdFf_VYSMzH5lBcEaU4o8teT1piV-SNzShjg/edit?gid=554141278#gid=554141278"", ""'Char Def. - Attributes'!C20:C2242""), 1,false)"),"ALT_UOM1_SIPI")</f>
        <v>ALT_UOM1_SIPI</v>
      </c>
      <c r="I14237" s="136"/>
      <c r="R14237" s="63" t="str">
        <f t="shared" si="60"/>
        <v>ZSI1_U_CHANNELALT_UOM1_SIPI</v>
      </c>
    </row>
    <row r="14238" ht="15.75" customHeight="1">
      <c r="A14238" s="59"/>
      <c r="B14238" s="63">
        <f t="shared" si="1"/>
        <v>14</v>
      </c>
      <c r="C14238" s="135" t="s">
        <v>477</v>
      </c>
      <c r="D14238" s="161" t="s">
        <v>74</v>
      </c>
      <c r="E14238" s="135">
        <f t="shared" si="62"/>
        <v>18</v>
      </c>
      <c r="F14238" s="134" t="s">
        <v>3805</v>
      </c>
      <c r="G14238" s="63" t="str">
        <f>VLOOKUP(C14238, 'Class Def. - General Data'!$C$20:$C$1000,1,false)</f>
        <v>ZSI1_U_CHANNEL</v>
      </c>
      <c r="H14238" s="63" t="str">
        <f>IFERROR(__xludf.DUMMYFUNCTION("VLOOKUP(F14238, IMPORTRANGE(""https://docs.google.com/spreadsheets/d/1Lhp9OU0JdFf_VYSMzH5lBcEaU4o8teT1piV-SNzShjg/edit?gid=554141278#gid=554141278"", ""'Char Def. - Attributes'!C20:C2242""), 1,false)"),"ALT_DENUM_UOM1")</f>
        <v>ALT_DENUM_UOM1</v>
      </c>
      <c r="I14238" s="136"/>
      <c r="R14238" s="63" t="str">
        <f t="shared" si="60"/>
        <v>ZSI1_U_CHANNELALT_DENUM_UOM1</v>
      </c>
    </row>
    <row r="14239" ht="15.75" customHeight="1">
      <c r="A14239" s="59"/>
      <c r="B14239" s="63">
        <f t="shared" si="1"/>
        <v>14</v>
      </c>
      <c r="C14239" s="135" t="s">
        <v>477</v>
      </c>
      <c r="D14239" s="161" t="s">
        <v>74</v>
      </c>
      <c r="E14239" s="135">
        <f t="shared" si="62"/>
        <v>19</v>
      </c>
      <c r="F14239" s="134" t="s">
        <v>3806</v>
      </c>
      <c r="G14239" s="63" t="str">
        <f>VLOOKUP(C14239, 'Class Def. - General Data'!$C$20:$C$1000,1,false)</f>
        <v>ZSI1_U_CHANNEL</v>
      </c>
      <c r="H14239" s="63" t="str">
        <f>IFERROR(__xludf.DUMMYFUNCTION("VLOOKUP(F14239, IMPORTRANGE(""https://docs.google.com/spreadsheets/d/1Lhp9OU0JdFf_VYSMzH5lBcEaU4o8teT1piV-SNzShjg/edit?gid=554141278#gid=554141278"", ""'Char Def. - Attributes'!C20:C2242""), 1,false)"),"ALT_NUM_UOM1")</f>
        <v>ALT_NUM_UOM1</v>
      </c>
      <c r="I14239" s="136"/>
      <c r="R14239" s="63" t="str">
        <f t="shared" si="60"/>
        <v>ZSI1_U_CHANNELALT_NUM_UOM1</v>
      </c>
    </row>
    <row r="14240" ht="15.75" customHeight="1">
      <c r="A14240" s="59"/>
      <c r="B14240" s="63">
        <f t="shared" si="1"/>
        <v>14</v>
      </c>
      <c r="C14240" s="135" t="s">
        <v>477</v>
      </c>
      <c r="D14240" s="161" t="s">
        <v>74</v>
      </c>
      <c r="E14240" s="135">
        <f t="shared" si="62"/>
        <v>20</v>
      </c>
      <c r="F14240" s="134" t="s">
        <v>3807</v>
      </c>
      <c r="G14240" s="63" t="str">
        <f>VLOOKUP(C14240, 'Class Def. - General Data'!$C$20:$C$1000,1,false)</f>
        <v>ZSI1_U_CHANNEL</v>
      </c>
      <c r="H14240" s="63" t="str">
        <f>IFERROR(__xludf.DUMMYFUNCTION("VLOOKUP(F14240, IMPORTRANGE(""https://docs.google.com/spreadsheets/d/1Lhp9OU0JdFf_VYSMzH5lBcEaU4o8teT1piV-SNzShjg/edit?gid=554141278#gid=554141278"", ""'Char Def. - Attributes'!C20:C2242""), 1,false)"),"ALT_UOM2_SIPI")</f>
        <v>ALT_UOM2_SIPI</v>
      </c>
      <c r="I14240" s="136"/>
      <c r="R14240" s="63" t="str">
        <f t="shared" si="60"/>
        <v>ZSI1_U_CHANNELALT_UOM2_SIPI</v>
      </c>
    </row>
    <row r="14241" ht="15.75" customHeight="1">
      <c r="A14241" s="59"/>
      <c r="B14241" s="63">
        <f t="shared" si="1"/>
        <v>14</v>
      </c>
      <c r="C14241" s="135" t="s">
        <v>477</v>
      </c>
      <c r="D14241" s="161" t="s">
        <v>74</v>
      </c>
      <c r="E14241" s="135">
        <f t="shared" si="62"/>
        <v>21</v>
      </c>
      <c r="F14241" s="134" t="s">
        <v>3808</v>
      </c>
      <c r="G14241" s="63" t="str">
        <f>VLOOKUP(C14241, 'Class Def. - General Data'!$C$20:$C$1000,1,false)</f>
        <v>ZSI1_U_CHANNEL</v>
      </c>
      <c r="H14241" s="63" t="str">
        <f>IFERROR(__xludf.DUMMYFUNCTION("VLOOKUP(F14241, IMPORTRANGE(""https://docs.google.com/spreadsheets/d/1Lhp9OU0JdFf_VYSMzH5lBcEaU4o8teT1piV-SNzShjg/edit?gid=554141278#gid=554141278"", ""'Char Def. - Attributes'!C20:C2242""), 1,false)"),"ALT_DENUM_UOM2")</f>
        <v>ALT_DENUM_UOM2</v>
      </c>
      <c r="I14241" s="136"/>
      <c r="R14241" s="63" t="str">
        <f t="shared" si="60"/>
        <v>ZSI1_U_CHANNELALT_DENUM_UOM2</v>
      </c>
    </row>
    <row r="14242" ht="15.75" customHeight="1">
      <c r="A14242" s="59"/>
      <c r="B14242" s="63">
        <f t="shared" si="1"/>
        <v>14</v>
      </c>
      <c r="C14242" s="135" t="s">
        <v>477</v>
      </c>
      <c r="D14242" s="161" t="s">
        <v>74</v>
      </c>
      <c r="E14242" s="135">
        <f t="shared" si="62"/>
        <v>22</v>
      </c>
      <c r="F14242" s="134" t="s">
        <v>3809</v>
      </c>
      <c r="G14242" s="63" t="str">
        <f>VLOOKUP(C14242, 'Class Def. - General Data'!$C$20:$C$1000,1,false)</f>
        <v>ZSI1_U_CHANNEL</v>
      </c>
      <c r="H14242" s="63" t="str">
        <f>IFERROR(__xludf.DUMMYFUNCTION("VLOOKUP(F14242, IMPORTRANGE(""https://docs.google.com/spreadsheets/d/1Lhp9OU0JdFf_VYSMzH5lBcEaU4o8teT1piV-SNzShjg/edit?gid=554141278#gid=554141278"", ""'Char Def. - Attributes'!C20:C2242""), 1,false)"),"ALT_NUM_UOM2")</f>
        <v>ALT_NUM_UOM2</v>
      </c>
      <c r="I14242" s="136"/>
      <c r="R14242" s="63" t="str">
        <f t="shared" si="60"/>
        <v>ZSI1_U_CHANNELALT_NUM_UOM2</v>
      </c>
    </row>
    <row r="14243" ht="15.75" customHeight="1">
      <c r="A14243" s="59"/>
      <c r="B14243" s="63">
        <f t="shared" si="1"/>
        <v>14</v>
      </c>
      <c r="C14243" s="135" t="s">
        <v>477</v>
      </c>
      <c r="D14243" s="161" t="s">
        <v>74</v>
      </c>
      <c r="E14243" s="135">
        <f t="shared" si="62"/>
        <v>23</v>
      </c>
      <c r="F14243" s="134" t="s">
        <v>3810</v>
      </c>
      <c r="G14243" s="63" t="str">
        <f>VLOOKUP(C14243, 'Class Def. - General Data'!$C$20:$C$1000,1,false)</f>
        <v>ZSI1_U_CHANNEL</v>
      </c>
      <c r="H14243" s="63" t="str">
        <f>IFERROR(__xludf.DUMMYFUNCTION("VLOOKUP(F14243, IMPORTRANGE(""https://docs.google.com/spreadsheets/d/1Lhp9OU0JdFf_VYSMzH5lBcEaU4o8teT1piV-SNzShjg/edit?gid=554141278#gid=554141278"", ""'Char Def. - Attributes'!C20:C2242""), 1,false)"),"ALT_UOM3_SIPI")</f>
        <v>ALT_UOM3_SIPI</v>
      </c>
      <c r="I14243" s="136"/>
      <c r="R14243" s="63" t="str">
        <f t="shared" si="60"/>
        <v>ZSI1_U_CHANNELALT_UOM3_SIPI</v>
      </c>
    </row>
    <row r="14244" ht="15.75" customHeight="1">
      <c r="A14244" s="59"/>
      <c r="B14244" s="63">
        <f t="shared" si="1"/>
        <v>14</v>
      </c>
      <c r="C14244" s="135" t="s">
        <v>477</v>
      </c>
      <c r="D14244" s="161" t="s">
        <v>74</v>
      </c>
      <c r="E14244" s="135">
        <f t="shared" si="62"/>
        <v>24</v>
      </c>
      <c r="F14244" s="134" t="s">
        <v>3811</v>
      </c>
      <c r="G14244" s="63" t="str">
        <f>VLOOKUP(C14244, 'Class Def. - General Data'!$C$20:$C$1000,1,false)</f>
        <v>ZSI1_U_CHANNEL</v>
      </c>
      <c r="H14244" s="63" t="str">
        <f>IFERROR(__xludf.DUMMYFUNCTION("VLOOKUP(F14244, IMPORTRANGE(""https://docs.google.com/spreadsheets/d/1Lhp9OU0JdFf_VYSMzH5lBcEaU4o8teT1piV-SNzShjg/edit?gid=554141278#gid=554141278"", ""'Char Def. - Attributes'!C20:C2242""), 1,false)"),"ALT_DENUM_UOM3")</f>
        <v>ALT_DENUM_UOM3</v>
      </c>
      <c r="I14244" s="136"/>
      <c r="R14244" s="63" t="str">
        <f t="shared" si="60"/>
        <v>ZSI1_U_CHANNELALT_DENUM_UOM3</v>
      </c>
    </row>
    <row r="14245" ht="15.75" customHeight="1">
      <c r="A14245" s="59"/>
      <c r="B14245" s="63">
        <f t="shared" si="1"/>
        <v>14</v>
      </c>
      <c r="C14245" s="135" t="s">
        <v>477</v>
      </c>
      <c r="D14245" s="161" t="s">
        <v>74</v>
      </c>
      <c r="E14245" s="135">
        <f t="shared" si="62"/>
        <v>25</v>
      </c>
      <c r="F14245" s="134" t="s">
        <v>3812</v>
      </c>
      <c r="G14245" s="63" t="str">
        <f>VLOOKUP(C14245, 'Class Def. - General Data'!$C$20:$C$1000,1,false)</f>
        <v>ZSI1_U_CHANNEL</v>
      </c>
      <c r="H14245" s="63" t="str">
        <f>IFERROR(__xludf.DUMMYFUNCTION("VLOOKUP(F14245, IMPORTRANGE(""https://docs.google.com/spreadsheets/d/1Lhp9OU0JdFf_VYSMzH5lBcEaU4o8teT1piV-SNzShjg/edit?gid=554141278#gid=554141278"", ""'Char Def. - Attributes'!C20:C2242""), 1,false)"),"ALT_NUM_UOM3")</f>
        <v>ALT_NUM_UOM3</v>
      </c>
      <c r="I14245" s="136"/>
      <c r="R14245" s="63" t="str">
        <f t="shared" si="60"/>
        <v>ZSI1_U_CHANNELALT_NUM_UOM3</v>
      </c>
    </row>
    <row r="14246" ht="15.75" customHeight="1">
      <c r="A14246" s="59"/>
      <c r="B14246" s="63">
        <f t="shared" si="1"/>
        <v>14</v>
      </c>
      <c r="C14246" s="135" t="s">
        <v>477</v>
      </c>
      <c r="D14246" s="161" t="s">
        <v>74</v>
      </c>
      <c r="E14246" s="135">
        <f t="shared" si="62"/>
        <v>26</v>
      </c>
      <c r="F14246" s="134" t="s">
        <v>3813</v>
      </c>
      <c r="G14246" s="63" t="str">
        <f>VLOOKUP(C14246, 'Class Def. - General Data'!$C$20:$C$1000,1,false)</f>
        <v>ZSI1_U_CHANNEL</v>
      </c>
      <c r="H14246" s="63" t="str">
        <f>IFERROR(__xludf.DUMMYFUNCTION("VLOOKUP(F14246, IMPORTRANGE(""https://docs.google.com/spreadsheets/d/1Lhp9OU0JdFf_VYSMzH5lBcEaU4o8teT1piV-SNzShjg/edit?gid=554141278#gid=554141278"", ""'Char Def. - Attributes'!C20:C2242""), 1,false)"),"ALT_UOM4_SIPI")</f>
        <v>ALT_UOM4_SIPI</v>
      </c>
      <c r="I14246" s="136"/>
      <c r="R14246" s="63" t="str">
        <f t="shared" si="60"/>
        <v>ZSI1_U_CHANNELALT_UOM4_SIPI</v>
      </c>
    </row>
    <row r="14247" ht="15.75" customHeight="1">
      <c r="A14247" s="59"/>
      <c r="B14247" s="63">
        <f t="shared" si="1"/>
        <v>14</v>
      </c>
      <c r="C14247" s="135" t="s">
        <v>477</v>
      </c>
      <c r="D14247" s="161" t="s">
        <v>74</v>
      </c>
      <c r="E14247" s="135">
        <f t="shared" si="62"/>
        <v>27</v>
      </c>
      <c r="F14247" s="134" t="s">
        <v>3814</v>
      </c>
      <c r="G14247" s="63" t="str">
        <f>VLOOKUP(C14247, 'Class Def. - General Data'!$C$20:$C$1000,1,false)</f>
        <v>ZSI1_U_CHANNEL</v>
      </c>
      <c r="H14247" s="63" t="str">
        <f>IFERROR(__xludf.DUMMYFUNCTION("VLOOKUP(F14247, IMPORTRANGE(""https://docs.google.com/spreadsheets/d/1Lhp9OU0JdFf_VYSMzH5lBcEaU4o8teT1piV-SNzShjg/edit?gid=554141278#gid=554141278"", ""'Char Def. - Attributes'!C20:C2242""), 1,false)"),"ALT_DENUM_UOM4")</f>
        <v>ALT_DENUM_UOM4</v>
      </c>
      <c r="I14247" s="136"/>
      <c r="R14247" s="63" t="str">
        <f t="shared" si="60"/>
        <v>ZSI1_U_CHANNELALT_DENUM_UOM4</v>
      </c>
    </row>
    <row r="14248" ht="15.75" customHeight="1">
      <c r="A14248" s="59"/>
      <c r="B14248" s="63">
        <f t="shared" si="1"/>
        <v>14</v>
      </c>
      <c r="C14248" s="135" t="s">
        <v>477</v>
      </c>
      <c r="D14248" s="161" t="s">
        <v>74</v>
      </c>
      <c r="E14248" s="135">
        <f t="shared" si="62"/>
        <v>28</v>
      </c>
      <c r="F14248" s="134" t="s">
        <v>3815</v>
      </c>
      <c r="G14248" s="63" t="str">
        <f>VLOOKUP(C14248, 'Class Def. - General Data'!$C$20:$C$1000,1,false)</f>
        <v>ZSI1_U_CHANNEL</v>
      </c>
      <c r="H14248" s="63" t="str">
        <f>IFERROR(__xludf.DUMMYFUNCTION("VLOOKUP(F14248, IMPORTRANGE(""https://docs.google.com/spreadsheets/d/1Lhp9OU0JdFf_VYSMzH5lBcEaU4o8teT1piV-SNzShjg/edit?gid=554141278#gid=554141278"", ""'Char Def. - Attributes'!C20:C2242""), 1,false)"),"ALT_NUM_UOM4")</f>
        <v>ALT_NUM_UOM4</v>
      </c>
      <c r="I14248" s="136"/>
      <c r="R14248" s="63" t="str">
        <f t="shared" si="60"/>
        <v>ZSI1_U_CHANNELALT_NUM_UOM4</v>
      </c>
    </row>
    <row r="14249" ht="15.75" customHeight="1">
      <c r="A14249" s="59"/>
      <c r="B14249" s="63">
        <f t="shared" si="1"/>
        <v>14</v>
      </c>
      <c r="C14249" s="135" t="s">
        <v>477</v>
      </c>
      <c r="D14249" s="161" t="s">
        <v>74</v>
      </c>
      <c r="E14249" s="135">
        <f t="shared" si="62"/>
        <v>29</v>
      </c>
      <c r="F14249" s="134" t="s">
        <v>3816</v>
      </c>
      <c r="G14249" s="63" t="str">
        <f>VLOOKUP(C14249, 'Class Def. - General Data'!$C$20:$C$1000,1,false)</f>
        <v>ZSI1_U_CHANNEL</v>
      </c>
      <c r="H14249" s="63" t="str">
        <f>IFERROR(__xludf.DUMMYFUNCTION("VLOOKUP(F14249, IMPORTRANGE(""https://docs.google.com/spreadsheets/d/1Lhp9OU0JdFf_VYSMzH5lBcEaU4o8teT1piV-SNzShjg/edit?gid=554141278#gid=554141278"", ""'Char Def. - Attributes'!C20:C2242""), 1,false)"),"ALT_UOM5_SIPI")</f>
        <v>ALT_UOM5_SIPI</v>
      </c>
      <c r="I14249" s="136"/>
      <c r="R14249" s="63" t="str">
        <f t="shared" si="60"/>
        <v>ZSI1_U_CHANNELALT_UOM5_SIPI</v>
      </c>
    </row>
    <row r="14250" ht="15.75" customHeight="1">
      <c r="A14250" s="59"/>
      <c r="B14250" s="63">
        <f t="shared" si="1"/>
        <v>14</v>
      </c>
      <c r="C14250" s="135" t="s">
        <v>477</v>
      </c>
      <c r="D14250" s="161" t="s">
        <v>74</v>
      </c>
      <c r="E14250" s="135">
        <f t="shared" si="62"/>
        <v>30</v>
      </c>
      <c r="F14250" s="134" t="s">
        <v>3817</v>
      </c>
      <c r="G14250" s="63" t="str">
        <f>VLOOKUP(C14250, 'Class Def. - General Data'!$C$20:$C$1000,1,false)</f>
        <v>ZSI1_U_CHANNEL</v>
      </c>
      <c r="H14250" s="63" t="str">
        <f>IFERROR(__xludf.DUMMYFUNCTION("VLOOKUP(F14250, IMPORTRANGE(""https://docs.google.com/spreadsheets/d/1Lhp9OU0JdFf_VYSMzH5lBcEaU4o8teT1piV-SNzShjg/edit?gid=554141278#gid=554141278"", ""'Char Def. - Attributes'!C20:C2242""), 1,false)"),"ALT_DENUM_UOM5")</f>
        <v>ALT_DENUM_UOM5</v>
      </c>
      <c r="I14250" s="136"/>
      <c r="R14250" s="63" t="str">
        <f t="shared" si="60"/>
        <v>ZSI1_U_CHANNELALT_DENUM_UOM5</v>
      </c>
    </row>
    <row r="14251" ht="15.75" customHeight="1">
      <c r="A14251" s="59"/>
      <c r="B14251" s="63">
        <f t="shared" si="1"/>
        <v>14</v>
      </c>
      <c r="C14251" s="135" t="s">
        <v>477</v>
      </c>
      <c r="D14251" s="161" t="s">
        <v>74</v>
      </c>
      <c r="E14251" s="135">
        <f t="shared" si="62"/>
        <v>31</v>
      </c>
      <c r="F14251" s="134" t="s">
        <v>3818</v>
      </c>
      <c r="G14251" s="63" t="str">
        <f>VLOOKUP(C14251, 'Class Def. - General Data'!$C$20:$C$1000,1,false)</f>
        <v>ZSI1_U_CHANNEL</v>
      </c>
      <c r="H14251" s="63" t="str">
        <f>IFERROR(__xludf.DUMMYFUNCTION("VLOOKUP(F14251, IMPORTRANGE(""https://docs.google.com/spreadsheets/d/1Lhp9OU0JdFf_VYSMzH5lBcEaU4o8teT1piV-SNzShjg/edit?gid=554141278#gid=554141278"", ""'Char Def. - Attributes'!C20:C2242""), 1,false)"),"ALT_NUM_UOM5")</f>
        <v>ALT_NUM_UOM5</v>
      </c>
      <c r="I14251" s="136"/>
      <c r="R14251" s="63" t="str">
        <f t="shared" si="60"/>
        <v>ZSI1_U_CHANNELALT_NUM_UOM5</v>
      </c>
    </row>
    <row r="14252" ht="15.75" customHeight="1">
      <c r="A14252" s="59"/>
      <c r="B14252" s="63">
        <f t="shared" si="1"/>
        <v>11</v>
      </c>
      <c r="C14252" s="135" t="s">
        <v>507</v>
      </c>
      <c r="D14252" s="161" t="s">
        <v>74</v>
      </c>
      <c r="E14252" s="135">
        <f t="shared" si="62"/>
        <v>1</v>
      </c>
      <c r="F14252" s="134" t="s">
        <v>5551</v>
      </c>
      <c r="G14252" s="63" t="str">
        <f>VLOOKUP(C14252, 'Class Def. - General Data'!$C$20:$C$1000,1,false)</f>
        <v>ZSI1_V_BELT</v>
      </c>
      <c r="H14252" s="63" t="str">
        <f>IFERROR(__xludf.DUMMYFUNCTION("VLOOKUP(F14252, IMPORTRANGE(""https://docs.google.com/spreadsheets/d/1Lhp9OU0JdFf_VYSMzH5lBcEaU4o8teT1piV-SNzShjg/edit?gid=554141278#gid=554141278"", ""'Char Def. - Attributes'!C20:C2242""), 1,false)"),"ITEM_NAME_V_BELT")</f>
        <v>ITEM_NAME_V_BELT</v>
      </c>
      <c r="I14252" s="136"/>
      <c r="R14252" s="63" t="str">
        <f t="shared" si="60"/>
        <v>ZSI1_V_BELTITEM_NAME_V_BELT</v>
      </c>
    </row>
    <row r="14253" ht="15.75" customHeight="1">
      <c r="A14253" s="59"/>
      <c r="B14253" s="63">
        <f t="shared" si="1"/>
        <v>11</v>
      </c>
      <c r="C14253" s="135" t="s">
        <v>507</v>
      </c>
      <c r="D14253" s="161" t="s">
        <v>74</v>
      </c>
      <c r="E14253" s="135">
        <f t="shared" si="62"/>
        <v>2</v>
      </c>
      <c r="F14253" s="134" t="s">
        <v>5552</v>
      </c>
      <c r="G14253" s="63" t="str">
        <f>VLOOKUP(C14253, 'Class Def. - General Data'!$C$20:$C$1000,1,false)</f>
        <v>ZSI1_V_BELT</v>
      </c>
      <c r="H14253" s="63" t="str">
        <f>IFERROR(__xludf.DUMMYFUNCTION("VLOOKUP(F14253, IMPORTRANGE(""https://docs.google.com/spreadsheets/d/1Lhp9OU0JdFf_VYSMzH5lBcEaU4o8teT1piV-SNzShjg/edit?gid=554141278#gid=554141278"", ""'Char Def. - Attributes'!C20:C2242""), 1,false)"),"BELT_NUMBER_V_BELT")</f>
        <v>BELT_NUMBER_V_BELT</v>
      </c>
      <c r="I14253" s="136"/>
      <c r="R14253" s="63" t="str">
        <f t="shared" si="60"/>
        <v>ZSI1_V_BELTBELT_NUMBER_V_BELT</v>
      </c>
    </row>
    <row r="14254" ht="15.75" customHeight="1">
      <c r="A14254" s="59"/>
      <c r="B14254" s="63">
        <f t="shared" si="1"/>
        <v>11</v>
      </c>
      <c r="C14254" s="135" t="s">
        <v>507</v>
      </c>
      <c r="D14254" s="161" t="s">
        <v>74</v>
      </c>
      <c r="E14254" s="135">
        <f t="shared" si="62"/>
        <v>3</v>
      </c>
      <c r="F14254" s="134" t="s">
        <v>3782</v>
      </c>
      <c r="G14254" s="63" t="str">
        <f>VLOOKUP(C14254, 'Class Def. - General Data'!$C$20:$C$1000,1,false)</f>
        <v>ZSI1_V_BELT</v>
      </c>
      <c r="H14254" s="63" t="str">
        <f>IFERROR(__xludf.DUMMYFUNCTION("VLOOKUP(F14254, IMPORTRANGE(""https://docs.google.com/spreadsheets/d/1Lhp9OU0JdFf_VYSMzH5lBcEaU4o8teT1piV-SNzShjg/edit?gid=554141278#gid=554141278"", ""'Char Def. - Attributes'!C20:C2242""), 1,false)"),"BRAND_EXTERNAL")</f>
        <v>BRAND_EXTERNAL</v>
      </c>
      <c r="I14254" s="136"/>
      <c r="R14254" s="63" t="str">
        <f t="shared" si="60"/>
        <v>ZSI1_V_BELTBRAND_EXTERNAL</v>
      </c>
    </row>
    <row r="14255" ht="15.75" customHeight="1">
      <c r="A14255" s="59"/>
      <c r="B14255" s="63">
        <f t="shared" si="1"/>
        <v>11</v>
      </c>
      <c r="C14255" s="135" t="s">
        <v>507</v>
      </c>
      <c r="D14255" s="161" t="s">
        <v>74</v>
      </c>
      <c r="E14255" s="135">
        <f t="shared" si="62"/>
        <v>4</v>
      </c>
      <c r="F14255" s="134" t="s">
        <v>4053</v>
      </c>
      <c r="G14255" s="63" t="str">
        <f>VLOOKUP(C14255, 'Class Def. - General Data'!$C$20:$C$1000,1,false)</f>
        <v>ZSI1_V_BELT</v>
      </c>
      <c r="H14255" s="63" t="str">
        <f>IFERROR(__xludf.DUMMYFUNCTION("VLOOKUP(F14255, IMPORTRANGE(""https://docs.google.com/spreadsheets/d/1Lhp9OU0JdFf_VYSMzH5lBcEaU4o8teT1piV-SNzShjg/edit?gid=554141278#gid=554141278"", ""'Char Def. - Attributes'!C20:C2242""), 1,false)"),"MAINTENANCE_ORDER_TYPE")</f>
        <v>MAINTENANCE_ORDER_TYPE</v>
      </c>
      <c r="I14255" s="136"/>
      <c r="R14255" s="63" t="str">
        <f t="shared" si="60"/>
        <v>ZSI1_V_BELTMAINTENANCE_ORDER_TYPE</v>
      </c>
    </row>
    <row r="14256" ht="15.75" customHeight="1">
      <c r="A14256" s="59"/>
      <c r="B14256" s="63">
        <f t="shared" si="1"/>
        <v>11</v>
      </c>
      <c r="C14256" s="135" t="s">
        <v>507</v>
      </c>
      <c r="D14256" s="161" t="s">
        <v>74</v>
      </c>
      <c r="E14256" s="135">
        <f t="shared" si="62"/>
        <v>5</v>
      </c>
      <c r="F14256" s="134" t="s">
        <v>3585</v>
      </c>
      <c r="G14256" s="63" t="str">
        <f>VLOOKUP(C14256, 'Class Def. - General Data'!$C$20:$C$1000,1,false)</f>
        <v>ZSI1_V_BELT</v>
      </c>
      <c r="H14256" s="63" t="str">
        <f>IFERROR(__xludf.DUMMYFUNCTION("VLOOKUP(F14256, IMPORTRANGE(""https://docs.google.com/spreadsheets/d/1Lhp9OU0JdFf_VYSMzH5lBcEaU4o8teT1piV-SNzShjg/edit?gid=554141278#gid=554141278"", ""'Char Def. - Attributes'!C20:C2242""), 1,false)"),"HS_CODE")</f>
        <v>HS_CODE</v>
      </c>
      <c r="I14256" s="136"/>
      <c r="R14256" s="63" t="str">
        <f t="shared" si="60"/>
        <v>ZSI1_V_BELTHS_CODE</v>
      </c>
    </row>
    <row r="14257" ht="15.75" customHeight="1">
      <c r="A14257" s="59"/>
      <c r="B14257" s="63">
        <f t="shared" si="1"/>
        <v>11</v>
      </c>
      <c r="C14257" s="135" t="s">
        <v>507</v>
      </c>
      <c r="D14257" s="161" t="s">
        <v>74</v>
      </c>
      <c r="E14257" s="135">
        <f t="shared" si="62"/>
        <v>6</v>
      </c>
      <c r="F14257" s="134" t="s">
        <v>3587</v>
      </c>
      <c r="G14257" s="63" t="str">
        <f>VLOOKUP(C14257, 'Class Def. - General Data'!$C$20:$C$1000,1,false)</f>
        <v>ZSI1_V_BELT</v>
      </c>
      <c r="H14257" s="63" t="str">
        <f>IFERROR(__xludf.DUMMYFUNCTION("VLOOKUP(F14257, IMPORTRANGE(""https://docs.google.com/spreadsheets/d/1Lhp9OU0JdFf_VYSMzH5lBcEaU4o8teT1piV-SNzShjg/edit?gid=554141278#gid=554141278"", ""'Char Def. - Attributes'!C20:C2242""), 1,false)"),"PLANT_BUY")</f>
        <v>PLANT_BUY</v>
      </c>
      <c r="I14257" s="136"/>
      <c r="R14257" s="63" t="str">
        <f t="shared" si="60"/>
        <v>ZSI1_V_BELTPLANT_BUY</v>
      </c>
    </row>
    <row r="14258" ht="15.75" customHeight="1">
      <c r="A14258" s="59"/>
      <c r="B14258" s="63">
        <f t="shared" si="1"/>
        <v>11</v>
      </c>
      <c r="C14258" s="135" t="s">
        <v>507</v>
      </c>
      <c r="D14258" s="161" t="s">
        <v>74</v>
      </c>
      <c r="E14258" s="135">
        <f t="shared" si="62"/>
        <v>7</v>
      </c>
      <c r="F14258" s="134" t="s">
        <v>5553</v>
      </c>
      <c r="G14258" s="63" t="str">
        <f>VLOOKUP(C14258, 'Class Def. - General Data'!$C$20:$C$1000,1,false)</f>
        <v>ZSI1_V_BELT</v>
      </c>
      <c r="H14258" s="63" t="str">
        <f>IFERROR(__xludf.DUMMYFUNCTION("VLOOKUP(F14258, IMPORTRANGE(""https://docs.google.com/spreadsheets/d/1Lhp9OU0JdFf_VYSMzH5lBcEaU4o8teT1piV-SNzShjg/edit?gid=554141278#gid=554141278"", ""'Char Def. - Attributes'!C20:C2242""), 1,false)"),"BASE_UOM_V_BELT")</f>
        <v>BASE_UOM_V_BELT</v>
      </c>
      <c r="I14258" s="136"/>
      <c r="R14258" s="63" t="str">
        <f t="shared" si="60"/>
        <v>ZSI1_V_BELTBASE_UOM_V_BELT</v>
      </c>
    </row>
    <row r="14259" ht="15.75" customHeight="1">
      <c r="A14259" s="59"/>
      <c r="B14259" s="63">
        <f t="shared" si="1"/>
        <v>11</v>
      </c>
      <c r="C14259" s="135" t="s">
        <v>507</v>
      </c>
      <c r="D14259" s="161" t="s">
        <v>74</v>
      </c>
      <c r="E14259" s="135">
        <f t="shared" si="62"/>
        <v>8</v>
      </c>
      <c r="F14259" s="134" t="s">
        <v>5554</v>
      </c>
      <c r="G14259" s="63" t="str">
        <f>VLOOKUP(C14259, 'Class Def. - General Data'!$C$20:$C$1000,1,false)</f>
        <v>ZSI1_V_BELT</v>
      </c>
      <c r="H14259" s="63" t="str">
        <f>IFERROR(__xludf.DUMMYFUNCTION("VLOOKUP(F14259, IMPORTRANGE(""https://docs.google.com/spreadsheets/d/1Lhp9OU0JdFf_VYSMzH5lBcEaU4o8teT1piV-SNzShjg/edit?gid=554141278#gid=554141278"", ""'Char Def. - Attributes'!C20:C2242""), 1,false)"),"ORDER_UNIT_V_BELT")</f>
        <v>ORDER_UNIT_V_BELT</v>
      </c>
      <c r="I14259" s="136"/>
      <c r="R14259" s="63" t="str">
        <f t="shared" si="60"/>
        <v>ZSI1_V_BELTORDER_UNIT_V_BELT</v>
      </c>
    </row>
    <row r="14260" ht="15.75" customHeight="1">
      <c r="A14260" s="59"/>
      <c r="B14260" s="63">
        <f t="shared" si="1"/>
        <v>11</v>
      </c>
      <c r="C14260" s="135" t="s">
        <v>507</v>
      </c>
      <c r="D14260" s="161" t="s">
        <v>74</v>
      </c>
      <c r="E14260" s="135">
        <f t="shared" si="62"/>
        <v>9</v>
      </c>
      <c r="F14260" s="134" t="s">
        <v>4056</v>
      </c>
      <c r="G14260" s="63" t="str">
        <f>VLOOKUP(C14260, 'Class Def. - General Data'!$C$20:$C$1000,1,false)</f>
        <v>ZSI1_V_BELT</v>
      </c>
      <c r="H14260" s="63" t="str">
        <f>IFERROR(__xludf.DUMMYFUNCTION("VLOOKUP(F14260, IMPORTRANGE(""https://docs.google.com/spreadsheets/d/1Lhp9OU0JdFf_VYSMzH5lBcEaU4o8teT1piV-SNzShjg/edit?gid=554141278#gid=554141278"", ""'Char Def. - Attributes'!C20:C2242""), 1,false)"),"GROSS_WEIGHT_OPT")</f>
        <v>GROSS_WEIGHT_OPT</v>
      </c>
      <c r="I14260" s="136"/>
      <c r="R14260" s="63" t="str">
        <f t="shared" si="60"/>
        <v>ZSI1_V_BELTGROSS_WEIGHT_OPT</v>
      </c>
    </row>
    <row r="14261" ht="15.75" customHeight="1">
      <c r="A14261" s="59"/>
      <c r="B14261" s="63">
        <f t="shared" si="1"/>
        <v>11</v>
      </c>
      <c r="C14261" s="135" t="s">
        <v>507</v>
      </c>
      <c r="D14261" s="161" t="s">
        <v>74</v>
      </c>
      <c r="E14261" s="135">
        <f t="shared" si="62"/>
        <v>10</v>
      </c>
      <c r="F14261" s="134" t="s">
        <v>4057</v>
      </c>
      <c r="G14261" s="63" t="str">
        <f>VLOOKUP(C14261, 'Class Def. - General Data'!$C$20:$C$1000,1,false)</f>
        <v>ZSI1_V_BELT</v>
      </c>
      <c r="H14261" s="63" t="str">
        <f>IFERROR(__xludf.DUMMYFUNCTION("VLOOKUP(F14261, IMPORTRANGE(""https://docs.google.com/spreadsheets/d/1Lhp9OU0JdFf_VYSMzH5lBcEaU4o8teT1piV-SNzShjg/edit?gid=554141278#gid=554141278"", ""'Char Def. - Attributes'!C20:C2242""), 1,false)"),"NET_WEIGHT_OPT")</f>
        <v>NET_WEIGHT_OPT</v>
      </c>
      <c r="I14261" s="136"/>
      <c r="R14261" s="63" t="str">
        <f t="shared" si="60"/>
        <v>ZSI1_V_BELTNET_WEIGHT_OPT</v>
      </c>
    </row>
    <row r="14262" ht="15.75" customHeight="1">
      <c r="A14262" s="59"/>
      <c r="B14262" s="63">
        <f t="shared" si="1"/>
        <v>11</v>
      </c>
      <c r="C14262" s="135" t="s">
        <v>507</v>
      </c>
      <c r="D14262" s="161" t="s">
        <v>74</v>
      </c>
      <c r="E14262" s="135">
        <f t="shared" si="62"/>
        <v>11</v>
      </c>
      <c r="F14262" s="134" t="s">
        <v>4058</v>
      </c>
      <c r="G14262" s="63" t="str">
        <f>VLOOKUP(C14262, 'Class Def. - General Data'!$C$20:$C$1000,1,false)</f>
        <v>ZSI1_V_BELT</v>
      </c>
      <c r="H14262" s="63" t="str">
        <f>IFERROR(__xludf.DUMMYFUNCTION("VLOOKUP(F14262, IMPORTRANGE(""https://docs.google.com/spreadsheets/d/1Lhp9OU0JdFf_VYSMzH5lBcEaU4o8teT1piV-SNzShjg/edit?gid=554141278#gid=554141278"", ""'Char Def. - Attributes'!C20:C2242""), 1,false)"),"WEIGHT_UNIT_SI")</f>
        <v>WEIGHT_UNIT_SI</v>
      </c>
      <c r="I14262" s="136"/>
      <c r="R14262" s="63" t="str">
        <f t="shared" si="60"/>
        <v>ZSI1_V_BELTWEIGHT_UNIT_SI</v>
      </c>
    </row>
    <row r="14263" ht="15.75" customHeight="1">
      <c r="A14263" s="59"/>
      <c r="B14263" s="63">
        <f t="shared" si="1"/>
        <v>11</v>
      </c>
      <c r="C14263" s="135" t="s">
        <v>507</v>
      </c>
      <c r="D14263" s="161" t="s">
        <v>74</v>
      </c>
      <c r="E14263" s="135">
        <f t="shared" si="62"/>
        <v>12</v>
      </c>
      <c r="F14263" s="134" t="s">
        <v>3877</v>
      </c>
      <c r="G14263" s="63" t="str">
        <f>VLOOKUP(C14263, 'Class Def. - General Data'!$C$20:$C$1000,1,false)</f>
        <v>ZSI1_V_BELT</v>
      </c>
      <c r="H14263" s="63" t="str">
        <f>IFERROR(__xludf.DUMMYFUNCTION("VLOOKUP(F14263, IMPORTRANGE(""https://docs.google.com/spreadsheets/d/1Lhp9OU0JdFf_VYSMzH5lBcEaU4o8teT1piV-SNzShjg/edit?gid=554141278#gid=554141278"", ""'Char Def. - Attributes'!C20:C2242""), 1,false)"),"VOLUME_OPT")</f>
        <v>VOLUME_OPT</v>
      </c>
      <c r="I14263" s="136"/>
      <c r="R14263" s="63" t="str">
        <f t="shared" si="60"/>
        <v>ZSI1_V_BELTVOLUME_OPT</v>
      </c>
    </row>
    <row r="14264" ht="15.75" customHeight="1">
      <c r="A14264" s="59"/>
      <c r="B14264" s="63">
        <f t="shared" si="1"/>
        <v>11</v>
      </c>
      <c r="C14264" s="135" t="s">
        <v>507</v>
      </c>
      <c r="D14264" s="161" t="s">
        <v>74</v>
      </c>
      <c r="E14264" s="135">
        <f t="shared" si="62"/>
        <v>13</v>
      </c>
      <c r="F14264" s="134" t="s">
        <v>4059</v>
      </c>
      <c r="G14264" s="63" t="str">
        <f>VLOOKUP(C14264, 'Class Def. - General Data'!$C$20:$C$1000,1,false)</f>
        <v>ZSI1_V_BELT</v>
      </c>
      <c r="H14264" s="63" t="str">
        <f>IFERROR(__xludf.DUMMYFUNCTION("VLOOKUP(F14264, IMPORTRANGE(""https://docs.google.com/spreadsheets/d/1Lhp9OU0JdFf_VYSMzH5lBcEaU4o8teT1piV-SNzShjg/edit?gid=554141278#gid=554141278"", ""'Char Def. - Attributes'!C20:C2242""), 1,false)"),"VOLUME_UNIT_SI")</f>
        <v>VOLUME_UNIT_SI</v>
      </c>
      <c r="I14264" s="136"/>
      <c r="R14264" s="63" t="str">
        <f t="shared" si="60"/>
        <v>ZSI1_V_BELTVOLUME_UNIT_SI</v>
      </c>
    </row>
    <row r="14265" ht="15.75" customHeight="1">
      <c r="A14265" s="59"/>
      <c r="B14265" s="63">
        <f t="shared" si="1"/>
        <v>11</v>
      </c>
      <c r="C14265" s="135" t="s">
        <v>507</v>
      </c>
      <c r="D14265" s="161" t="s">
        <v>74</v>
      </c>
      <c r="E14265" s="135">
        <f t="shared" si="62"/>
        <v>14</v>
      </c>
      <c r="F14265" s="134" t="s">
        <v>3804</v>
      </c>
      <c r="G14265" s="63" t="str">
        <f>VLOOKUP(C14265, 'Class Def. - General Data'!$C$20:$C$1000,1,false)</f>
        <v>ZSI1_V_BELT</v>
      </c>
      <c r="H14265" s="63" t="str">
        <f>IFERROR(__xludf.DUMMYFUNCTION("VLOOKUP(F14265, IMPORTRANGE(""https://docs.google.com/spreadsheets/d/1Lhp9OU0JdFf_VYSMzH5lBcEaU4o8teT1piV-SNzShjg/edit?gid=554141278#gid=554141278"", ""'Char Def. - Attributes'!C20:C2242""), 1,false)"),"ALT_UOM1_SIPI")</f>
        <v>ALT_UOM1_SIPI</v>
      </c>
      <c r="I14265" s="136"/>
      <c r="R14265" s="63" t="str">
        <f t="shared" si="60"/>
        <v>ZSI1_V_BELTALT_UOM1_SIPI</v>
      </c>
    </row>
    <row r="14266" ht="15.75" customHeight="1">
      <c r="A14266" s="59"/>
      <c r="B14266" s="63">
        <f t="shared" si="1"/>
        <v>11</v>
      </c>
      <c r="C14266" s="135" t="s">
        <v>507</v>
      </c>
      <c r="D14266" s="161" t="s">
        <v>74</v>
      </c>
      <c r="E14266" s="135">
        <f t="shared" si="62"/>
        <v>15</v>
      </c>
      <c r="F14266" s="134" t="s">
        <v>3805</v>
      </c>
      <c r="G14266" s="63" t="str">
        <f>VLOOKUP(C14266, 'Class Def. - General Data'!$C$20:$C$1000,1,false)</f>
        <v>ZSI1_V_BELT</v>
      </c>
      <c r="H14266" s="63" t="str">
        <f>IFERROR(__xludf.DUMMYFUNCTION("VLOOKUP(F14266, IMPORTRANGE(""https://docs.google.com/spreadsheets/d/1Lhp9OU0JdFf_VYSMzH5lBcEaU4o8teT1piV-SNzShjg/edit?gid=554141278#gid=554141278"", ""'Char Def. - Attributes'!C20:C2242""), 1,false)"),"ALT_DENUM_UOM1")</f>
        <v>ALT_DENUM_UOM1</v>
      </c>
      <c r="I14266" s="136"/>
      <c r="R14266" s="63" t="str">
        <f t="shared" si="60"/>
        <v>ZSI1_V_BELTALT_DENUM_UOM1</v>
      </c>
    </row>
    <row r="14267" ht="15.75" customHeight="1">
      <c r="A14267" s="59"/>
      <c r="B14267" s="63">
        <f t="shared" si="1"/>
        <v>11</v>
      </c>
      <c r="C14267" s="135" t="s">
        <v>507</v>
      </c>
      <c r="D14267" s="161" t="s">
        <v>74</v>
      </c>
      <c r="E14267" s="135">
        <f t="shared" si="62"/>
        <v>16</v>
      </c>
      <c r="F14267" s="134" t="s">
        <v>3806</v>
      </c>
      <c r="G14267" s="63" t="str">
        <f>VLOOKUP(C14267, 'Class Def. - General Data'!$C$20:$C$1000,1,false)</f>
        <v>ZSI1_V_BELT</v>
      </c>
      <c r="H14267" s="63" t="str">
        <f>IFERROR(__xludf.DUMMYFUNCTION("VLOOKUP(F14267, IMPORTRANGE(""https://docs.google.com/spreadsheets/d/1Lhp9OU0JdFf_VYSMzH5lBcEaU4o8teT1piV-SNzShjg/edit?gid=554141278#gid=554141278"", ""'Char Def. - Attributes'!C20:C2242""), 1,false)"),"ALT_NUM_UOM1")</f>
        <v>ALT_NUM_UOM1</v>
      </c>
      <c r="I14267" s="136"/>
      <c r="R14267" s="63" t="str">
        <f t="shared" si="60"/>
        <v>ZSI1_V_BELTALT_NUM_UOM1</v>
      </c>
    </row>
    <row r="14268" ht="15.75" customHeight="1">
      <c r="A14268" s="59"/>
      <c r="B14268" s="63">
        <f t="shared" si="1"/>
        <v>11</v>
      </c>
      <c r="C14268" s="135" t="s">
        <v>507</v>
      </c>
      <c r="D14268" s="161" t="s">
        <v>74</v>
      </c>
      <c r="E14268" s="135">
        <f t="shared" si="62"/>
        <v>17</v>
      </c>
      <c r="F14268" s="134" t="s">
        <v>3807</v>
      </c>
      <c r="G14268" s="63" t="str">
        <f>VLOOKUP(C14268, 'Class Def. - General Data'!$C$20:$C$1000,1,false)</f>
        <v>ZSI1_V_BELT</v>
      </c>
      <c r="H14268" s="63" t="str">
        <f>IFERROR(__xludf.DUMMYFUNCTION("VLOOKUP(F14268, IMPORTRANGE(""https://docs.google.com/spreadsheets/d/1Lhp9OU0JdFf_VYSMzH5lBcEaU4o8teT1piV-SNzShjg/edit?gid=554141278#gid=554141278"", ""'Char Def. - Attributes'!C20:C2242""), 1,false)"),"ALT_UOM2_SIPI")</f>
        <v>ALT_UOM2_SIPI</v>
      </c>
      <c r="I14268" s="136"/>
      <c r="R14268" s="63" t="str">
        <f t="shared" si="60"/>
        <v>ZSI1_V_BELTALT_UOM2_SIPI</v>
      </c>
    </row>
    <row r="14269" ht="15.75" customHeight="1">
      <c r="A14269" s="59"/>
      <c r="B14269" s="63">
        <f t="shared" si="1"/>
        <v>11</v>
      </c>
      <c r="C14269" s="135" t="s">
        <v>507</v>
      </c>
      <c r="D14269" s="161" t="s">
        <v>74</v>
      </c>
      <c r="E14269" s="135">
        <f t="shared" si="62"/>
        <v>18</v>
      </c>
      <c r="F14269" s="134" t="s">
        <v>3808</v>
      </c>
      <c r="G14269" s="63" t="str">
        <f>VLOOKUP(C14269, 'Class Def. - General Data'!$C$20:$C$1000,1,false)</f>
        <v>ZSI1_V_BELT</v>
      </c>
      <c r="H14269" s="63" t="str">
        <f>IFERROR(__xludf.DUMMYFUNCTION("VLOOKUP(F14269, IMPORTRANGE(""https://docs.google.com/spreadsheets/d/1Lhp9OU0JdFf_VYSMzH5lBcEaU4o8teT1piV-SNzShjg/edit?gid=554141278#gid=554141278"", ""'Char Def. - Attributes'!C20:C2242""), 1,false)"),"ALT_DENUM_UOM2")</f>
        <v>ALT_DENUM_UOM2</v>
      </c>
      <c r="I14269" s="136"/>
      <c r="R14269" s="63" t="str">
        <f t="shared" si="60"/>
        <v>ZSI1_V_BELTALT_DENUM_UOM2</v>
      </c>
    </row>
    <row r="14270" ht="15.75" customHeight="1">
      <c r="A14270" s="59"/>
      <c r="B14270" s="63">
        <f t="shared" si="1"/>
        <v>11</v>
      </c>
      <c r="C14270" s="135" t="s">
        <v>507</v>
      </c>
      <c r="D14270" s="161" t="s">
        <v>74</v>
      </c>
      <c r="E14270" s="135">
        <f t="shared" si="62"/>
        <v>19</v>
      </c>
      <c r="F14270" s="134" t="s">
        <v>3809</v>
      </c>
      <c r="G14270" s="63" t="str">
        <f>VLOOKUP(C14270, 'Class Def. - General Data'!$C$20:$C$1000,1,false)</f>
        <v>ZSI1_V_BELT</v>
      </c>
      <c r="H14270" s="63" t="str">
        <f>IFERROR(__xludf.DUMMYFUNCTION("VLOOKUP(F14270, IMPORTRANGE(""https://docs.google.com/spreadsheets/d/1Lhp9OU0JdFf_VYSMzH5lBcEaU4o8teT1piV-SNzShjg/edit?gid=554141278#gid=554141278"", ""'Char Def. - Attributes'!C20:C2242""), 1,false)"),"ALT_NUM_UOM2")</f>
        <v>ALT_NUM_UOM2</v>
      </c>
      <c r="I14270" s="136"/>
      <c r="R14270" s="63" t="str">
        <f t="shared" si="60"/>
        <v>ZSI1_V_BELTALT_NUM_UOM2</v>
      </c>
    </row>
    <row r="14271" ht="15.75" customHeight="1">
      <c r="A14271" s="59"/>
      <c r="B14271" s="63">
        <f t="shared" si="1"/>
        <v>11</v>
      </c>
      <c r="C14271" s="135" t="s">
        <v>507</v>
      </c>
      <c r="D14271" s="161" t="s">
        <v>74</v>
      </c>
      <c r="E14271" s="135">
        <f t="shared" si="62"/>
        <v>20</v>
      </c>
      <c r="F14271" s="134" t="s">
        <v>3810</v>
      </c>
      <c r="G14271" s="63" t="str">
        <f>VLOOKUP(C14271, 'Class Def. - General Data'!$C$20:$C$1000,1,false)</f>
        <v>ZSI1_V_BELT</v>
      </c>
      <c r="H14271" s="63" t="str">
        <f>IFERROR(__xludf.DUMMYFUNCTION("VLOOKUP(F14271, IMPORTRANGE(""https://docs.google.com/spreadsheets/d/1Lhp9OU0JdFf_VYSMzH5lBcEaU4o8teT1piV-SNzShjg/edit?gid=554141278#gid=554141278"", ""'Char Def. - Attributes'!C20:C2242""), 1,false)"),"ALT_UOM3_SIPI")</f>
        <v>ALT_UOM3_SIPI</v>
      </c>
      <c r="I14271" s="136"/>
      <c r="R14271" s="63" t="str">
        <f t="shared" si="60"/>
        <v>ZSI1_V_BELTALT_UOM3_SIPI</v>
      </c>
    </row>
    <row r="14272" ht="15.75" customHeight="1">
      <c r="A14272" s="59"/>
      <c r="B14272" s="63">
        <f t="shared" si="1"/>
        <v>11</v>
      </c>
      <c r="C14272" s="135" t="s">
        <v>507</v>
      </c>
      <c r="D14272" s="161" t="s">
        <v>74</v>
      </c>
      <c r="E14272" s="135">
        <f t="shared" si="62"/>
        <v>21</v>
      </c>
      <c r="F14272" s="134" t="s">
        <v>3811</v>
      </c>
      <c r="G14272" s="63" t="str">
        <f>VLOOKUP(C14272, 'Class Def. - General Data'!$C$20:$C$1000,1,false)</f>
        <v>ZSI1_V_BELT</v>
      </c>
      <c r="H14272" s="63" t="str">
        <f>IFERROR(__xludf.DUMMYFUNCTION("VLOOKUP(F14272, IMPORTRANGE(""https://docs.google.com/spreadsheets/d/1Lhp9OU0JdFf_VYSMzH5lBcEaU4o8teT1piV-SNzShjg/edit?gid=554141278#gid=554141278"", ""'Char Def. - Attributes'!C20:C2242""), 1,false)"),"ALT_DENUM_UOM3")</f>
        <v>ALT_DENUM_UOM3</v>
      </c>
      <c r="I14272" s="136"/>
      <c r="R14272" s="63" t="str">
        <f t="shared" si="60"/>
        <v>ZSI1_V_BELTALT_DENUM_UOM3</v>
      </c>
    </row>
    <row r="14273" ht="15.75" customHeight="1">
      <c r="A14273" s="59"/>
      <c r="B14273" s="63">
        <f t="shared" si="1"/>
        <v>11</v>
      </c>
      <c r="C14273" s="135" t="s">
        <v>507</v>
      </c>
      <c r="D14273" s="161" t="s">
        <v>74</v>
      </c>
      <c r="E14273" s="135">
        <f t="shared" si="62"/>
        <v>22</v>
      </c>
      <c r="F14273" s="134" t="s">
        <v>3812</v>
      </c>
      <c r="G14273" s="63" t="str">
        <f>VLOOKUP(C14273, 'Class Def. - General Data'!$C$20:$C$1000,1,false)</f>
        <v>ZSI1_V_BELT</v>
      </c>
      <c r="H14273" s="63" t="str">
        <f>IFERROR(__xludf.DUMMYFUNCTION("VLOOKUP(F14273, IMPORTRANGE(""https://docs.google.com/spreadsheets/d/1Lhp9OU0JdFf_VYSMzH5lBcEaU4o8teT1piV-SNzShjg/edit?gid=554141278#gid=554141278"", ""'Char Def. - Attributes'!C20:C2242""), 1,false)"),"ALT_NUM_UOM3")</f>
        <v>ALT_NUM_UOM3</v>
      </c>
      <c r="I14273" s="136"/>
      <c r="R14273" s="63" t="str">
        <f t="shared" si="60"/>
        <v>ZSI1_V_BELTALT_NUM_UOM3</v>
      </c>
    </row>
    <row r="14274" ht="15.75" customHeight="1">
      <c r="A14274" s="59"/>
      <c r="B14274" s="63">
        <f t="shared" si="1"/>
        <v>11</v>
      </c>
      <c r="C14274" s="135" t="s">
        <v>507</v>
      </c>
      <c r="D14274" s="161" t="s">
        <v>74</v>
      </c>
      <c r="E14274" s="135">
        <f t="shared" si="62"/>
        <v>23</v>
      </c>
      <c r="F14274" s="134" t="s">
        <v>3813</v>
      </c>
      <c r="G14274" s="63" t="str">
        <f>VLOOKUP(C14274, 'Class Def. - General Data'!$C$20:$C$1000,1,false)</f>
        <v>ZSI1_V_BELT</v>
      </c>
      <c r="H14274" s="63" t="str">
        <f>IFERROR(__xludf.DUMMYFUNCTION("VLOOKUP(F14274, IMPORTRANGE(""https://docs.google.com/spreadsheets/d/1Lhp9OU0JdFf_VYSMzH5lBcEaU4o8teT1piV-SNzShjg/edit?gid=554141278#gid=554141278"", ""'Char Def. - Attributes'!C20:C2242""), 1,false)"),"ALT_UOM4_SIPI")</f>
        <v>ALT_UOM4_SIPI</v>
      </c>
      <c r="I14274" s="136"/>
      <c r="R14274" s="63" t="str">
        <f t="shared" si="60"/>
        <v>ZSI1_V_BELTALT_UOM4_SIPI</v>
      </c>
    </row>
    <row r="14275" ht="15.75" customHeight="1">
      <c r="A14275" s="59"/>
      <c r="B14275" s="63">
        <f t="shared" si="1"/>
        <v>11</v>
      </c>
      <c r="C14275" s="135" t="s">
        <v>507</v>
      </c>
      <c r="D14275" s="161" t="s">
        <v>74</v>
      </c>
      <c r="E14275" s="135">
        <f t="shared" si="62"/>
        <v>24</v>
      </c>
      <c r="F14275" s="134" t="s">
        <v>3814</v>
      </c>
      <c r="G14275" s="63" t="str">
        <f>VLOOKUP(C14275, 'Class Def. - General Data'!$C$20:$C$1000,1,false)</f>
        <v>ZSI1_V_BELT</v>
      </c>
      <c r="H14275" s="63" t="str">
        <f>IFERROR(__xludf.DUMMYFUNCTION("VLOOKUP(F14275, IMPORTRANGE(""https://docs.google.com/spreadsheets/d/1Lhp9OU0JdFf_VYSMzH5lBcEaU4o8teT1piV-SNzShjg/edit?gid=554141278#gid=554141278"", ""'Char Def. - Attributes'!C20:C2242""), 1,false)"),"ALT_DENUM_UOM4")</f>
        <v>ALT_DENUM_UOM4</v>
      </c>
      <c r="I14275" s="136"/>
      <c r="R14275" s="63" t="str">
        <f t="shared" si="60"/>
        <v>ZSI1_V_BELTALT_DENUM_UOM4</v>
      </c>
    </row>
    <row r="14276" ht="15.75" customHeight="1">
      <c r="A14276" s="59"/>
      <c r="B14276" s="63">
        <f t="shared" si="1"/>
        <v>11</v>
      </c>
      <c r="C14276" s="135" t="s">
        <v>507</v>
      </c>
      <c r="D14276" s="161" t="s">
        <v>74</v>
      </c>
      <c r="E14276" s="135">
        <f t="shared" si="62"/>
        <v>25</v>
      </c>
      <c r="F14276" s="134" t="s">
        <v>3815</v>
      </c>
      <c r="G14276" s="63" t="str">
        <f>VLOOKUP(C14276, 'Class Def. - General Data'!$C$20:$C$1000,1,false)</f>
        <v>ZSI1_V_BELT</v>
      </c>
      <c r="H14276" s="63" t="str">
        <f>IFERROR(__xludf.DUMMYFUNCTION("VLOOKUP(F14276, IMPORTRANGE(""https://docs.google.com/spreadsheets/d/1Lhp9OU0JdFf_VYSMzH5lBcEaU4o8teT1piV-SNzShjg/edit?gid=554141278#gid=554141278"", ""'Char Def. - Attributes'!C20:C2242""), 1,false)"),"ALT_NUM_UOM4")</f>
        <v>ALT_NUM_UOM4</v>
      </c>
      <c r="I14276" s="136"/>
      <c r="R14276" s="63" t="str">
        <f t="shared" si="60"/>
        <v>ZSI1_V_BELTALT_NUM_UOM4</v>
      </c>
    </row>
    <row r="14277" ht="15.75" customHeight="1">
      <c r="A14277" s="59"/>
      <c r="B14277" s="63">
        <f t="shared" si="1"/>
        <v>11</v>
      </c>
      <c r="C14277" s="135" t="s">
        <v>507</v>
      </c>
      <c r="D14277" s="161" t="s">
        <v>74</v>
      </c>
      <c r="E14277" s="135">
        <f t="shared" si="62"/>
        <v>26</v>
      </c>
      <c r="F14277" s="134" t="s">
        <v>3816</v>
      </c>
      <c r="G14277" s="63" t="str">
        <f>VLOOKUP(C14277, 'Class Def. - General Data'!$C$20:$C$1000,1,false)</f>
        <v>ZSI1_V_BELT</v>
      </c>
      <c r="H14277" s="63" t="str">
        <f>IFERROR(__xludf.DUMMYFUNCTION("VLOOKUP(F14277, IMPORTRANGE(""https://docs.google.com/spreadsheets/d/1Lhp9OU0JdFf_VYSMzH5lBcEaU4o8teT1piV-SNzShjg/edit?gid=554141278#gid=554141278"", ""'Char Def. - Attributes'!C20:C2242""), 1,false)"),"ALT_UOM5_SIPI")</f>
        <v>ALT_UOM5_SIPI</v>
      </c>
      <c r="I14277" s="136"/>
      <c r="R14277" s="63" t="str">
        <f t="shared" si="60"/>
        <v>ZSI1_V_BELTALT_UOM5_SIPI</v>
      </c>
    </row>
    <row r="14278" ht="15.75" customHeight="1">
      <c r="A14278" s="59"/>
      <c r="B14278" s="63">
        <f t="shared" si="1"/>
        <v>11</v>
      </c>
      <c r="C14278" s="135" t="s">
        <v>507</v>
      </c>
      <c r="D14278" s="161" t="s">
        <v>74</v>
      </c>
      <c r="E14278" s="135">
        <f t="shared" si="62"/>
        <v>27</v>
      </c>
      <c r="F14278" s="134" t="s">
        <v>3817</v>
      </c>
      <c r="G14278" s="63" t="str">
        <f>VLOOKUP(C14278, 'Class Def. - General Data'!$C$20:$C$1000,1,false)</f>
        <v>ZSI1_V_BELT</v>
      </c>
      <c r="H14278" s="63" t="str">
        <f>IFERROR(__xludf.DUMMYFUNCTION("VLOOKUP(F14278, IMPORTRANGE(""https://docs.google.com/spreadsheets/d/1Lhp9OU0JdFf_VYSMzH5lBcEaU4o8teT1piV-SNzShjg/edit?gid=554141278#gid=554141278"", ""'Char Def. - Attributes'!C20:C2242""), 1,false)"),"ALT_DENUM_UOM5")</f>
        <v>ALT_DENUM_UOM5</v>
      </c>
      <c r="I14278" s="136"/>
      <c r="R14278" s="63" t="str">
        <f t="shared" si="60"/>
        <v>ZSI1_V_BELTALT_DENUM_UOM5</v>
      </c>
    </row>
    <row r="14279" ht="15.75" customHeight="1">
      <c r="A14279" s="59"/>
      <c r="B14279" s="63">
        <f t="shared" si="1"/>
        <v>11</v>
      </c>
      <c r="C14279" s="135" t="s">
        <v>507</v>
      </c>
      <c r="D14279" s="161" t="s">
        <v>74</v>
      </c>
      <c r="E14279" s="135">
        <f t="shared" si="62"/>
        <v>28</v>
      </c>
      <c r="F14279" s="134" t="s">
        <v>3818</v>
      </c>
      <c r="G14279" s="63" t="str">
        <f>VLOOKUP(C14279, 'Class Def. - General Data'!$C$20:$C$1000,1,false)</f>
        <v>ZSI1_V_BELT</v>
      </c>
      <c r="H14279" s="63" t="str">
        <f>IFERROR(__xludf.DUMMYFUNCTION("VLOOKUP(F14279, IMPORTRANGE(""https://docs.google.com/spreadsheets/d/1Lhp9OU0JdFf_VYSMzH5lBcEaU4o8teT1piV-SNzShjg/edit?gid=554141278#gid=554141278"", ""'Char Def. - Attributes'!C20:C2242""), 1,false)"),"ALT_NUM_UOM5")</f>
        <v>ALT_NUM_UOM5</v>
      </c>
      <c r="I14279" s="136"/>
      <c r="R14279" s="63" t="str">
        <f t="shared" si="60"/>
        <v>ZSI1_V_BELTALT_NUM_UOM5</v>
      </c>
    </row>
    <row r="14280" ht="15.75" customHeight="1">
      <c r="A14280" s="59"/>
      <c r="B14280" s="63">
        <f t="shared" si="1"/>
        <v>14</v>
      </c>
      <c r="C14280" s="135" t="s">
        <v>478</v>
      </c>
      <c r="D14280" s="161" t="s">
        <v>74</v>
      </c>
      <c r="E14280" s="135">
        <f t="shared" si="62"/>
        <v>1</v>
      </c>
      <c r="F14280" s="134" t="s">
        <v>5555</v>
      </c>
      <c r="G14280" s="63" t="str">
        <f>VLOOKUP(C14280, 'Class Def. - General Data'!$C$20:$C$1000,1,false)</f>
        <v>ZSI1_V_PACKING</v>
      </c>
      <c r="H14280" s="63" t="str">
        <f>IFERROR(__xludf.DUMMYFUNCTION("VLOOKUP(F14280, IMPORTRANGE(""https://docs.google.com/spreadsheets/d/1Lhp9OU0JdFf_VYSMzH5lBcEaU4o8teT1piV-SNzShjg/edit?gid=554141278#gid=554141278"", ""'Char Def. - Attributes'!C20:C2242""), 1,false)"),"ITEM_NAME_V_PACKING")</f>
        <v>ITEM_NAME_V_PACKING</v>
      </c>
      <c r="I14280" s="136"/>
      <c r="R14280" s="63" t="str">
        <f t="shared" si="60"/>
        <v>ZSI1_V_PACKINGITEM_NAME_V_PACKING</v>
      </c>
    </row>
    <row r="14281" ht="15.75" customHeight="1">
      <c r="A14281" s="59"/>
      <c r="B14281" s="63">
        <f t="shared" si="1"/>
        <v>14</v>
      </c>
      <c r="C14281" s="135" t="s">
        <v>478</v>
      </c>
      <c r="D14281" s="161" t="s">
        <v>74</v>
      </c>
      <c r="E14281" s="135">
        <f t="shared" si="62"/>
        <v>2</v>
      </c>
      <c r="F14281" s="134" t="s">
        <v>5556</v>
      </c>
      <c r="G14281" s="63" t="str">
        <f>VLOOKUP(C14281, 'Class Def. - General Data'!$C$20:$C$1000,1,false)</f>
        <v>ZSI1_V_PACKING</v>
      </c>
      <c r="H14281" s="63" t="str">
        <f>IFERROR(__xludf.DUMMYFUNCTION("VLOOKUP(F14281, IMPORTRANGE(""https://docs.google.com/spreadsheets/d/1Lhp9OU0JdFf_VYSMzH5lBcEaU4o8teT1piV-SNzShjg/edit?gid=554141278#gid=554141278"", ""'Char Def. - Attributes'!C20:C2242""), 1,false)"),"INSIDE_DIAMETER_MM_V_PACKING")</f>
        <v>INSIDE_DIAMETER_MM_V_PACKING</v>
      </c>
      <c r="I14281" s="136"/>
      <c r="R14281" s="63" t="str">
        <f t="shared" si="60"/>
        <v>ZSI1_V_PACKINGINSIDE_DIAMETER_MM_V_PACKING</v>
      </c>
    </row>
    <row r="14282" ht="15.75" customHeight="1">
      <c r="A14282" s="59"/>
      <c r="B14282" s="63">
        <f t="shared" si="1"/>
        <v>14</v>
      </c>
      <c r="C14282" s="135" t="s">
        <v>478</v>
      </c>
      <c r="D14282" s="161" t="s">
        <v>74</v>
      </c>
      <c r="E14282" s="135">
        <f t="shared" si="62"/>
        <v>3</v>
      </c>
      <c r="F14282" s="134" t="s">
        <v>5557</v>
      </c>
      <c r="G14282" s="63" t="str">
        <f>VLOOKUP(C14282, 'Class Def. - General Data'!$C$20:$C$1000,1,false)</f>
        <v>ZSI1_V_PACKING</v>
      </c>
      <c r="H14282" s="63" t="str">
        <f>IFERROR(__xludf.DUMMYFUNCTION("VLOOKUP(F14282, IMPORTRANGE(""https://docs.google.com/spreadsheets/d/1Lhp9OU0JdFf_VYSMzH5lBcEaU4o8teT1piV-SNzShjg/edit?gid=554141278#gid=554141278"", ""'Char Def. - Attributes'!C20:C2242""), 1,false)"),"OUTSIDE_DIAMETER_MM_V_PACKING")</f>
        <v>OUTSIDE_DIAMETER_MM_V_PACKING</v>
      </c>
      <c r="I14282" s="136"/>
      <c r="R14282" s="63" t="str">
        <f t="shared" si="60"/>
        <v>ZSI1_V_PACKINGOUTSIDE_DIAMETER_MM_V_PACKING</v>
      </c>
    </row>
    <row r="14283" ht="15.75" customHeight="1">
      <c r="A14283" s="59"/>
      <c r="B14283" s="63">
        <f t="shared" si="1"/>
        <v>14</v>
      </c>
      <c r="C14283" s="135" t="s">
        <v>478</v>
      </c>
      <c r="D14283" s="161" t="s">
        <v>74</v>
      </c>
      <c r="E14283" s="135">
        <f t="shared" si="62"/>
        <v>4</v>
      </c>
      <c r="F14283" s="134" t="s">
        <v>5558</v>
      </c>
      <c r="G14283" s="63" t="str">
        <f>VLOOKUP(C14283, 'Class Def. - General Data'!$C$20:$C$1000,1,false)</f>
        <v>ZSI1_V_PACKING</v>
      </c>
      <c r="H14283" s="63" t="str">
        <f>IFERROR(__xludf.DUMMYFUNCTION("VLOOKUP(F14283, IMPORTRANGE(""https://docs.google.com/spreadsheets/d/1Lhp9OU0JdFf_VYSMzH5lBcEaU4o8teT1piV-SNzShjg/edit?gid=554141278#gid=554141278"", ""'Char Def. - Attributes'!C20:C2242""), 1,false)"),"HEIGHT_MM_V_PACKING")</f>
        <v>HEIGHT_MM_V_PACKING</v>
      </c>
      <c r="I14283" s="136"/>
      <c r="R14283" s="63" t="str">
        <f t="shared" si="60"/>
        <v>ZSI1_V_PACKINGHEIGHT_MM_V_PACKING</v>
      </c>
    </row>
    <row r="14284" ht="15.75" customHeight="1">
      <c r="A14284" s="59"/>
      <c r="B14284" s="63">
        <f t="shared" si="1"/>
        <v>14</v>
      </c>
      <c r="C14284" s="135" t="s">
        <v>478</v>
      </c>
      <c r="D14284" s="161" t="s">
        <v>74</v>
      </c>
      <c r="E14284" s="135">
        <f t="shared" si="62"/>
        <v>5</v>
      </c>
      <c r="F14284" s="134" t="s">
        <v>4053</v>
      </c>
      <c r="G14284" s="63" t="str">
        <f>VLOOKUP(C14284, 'Class Def. - General Data'!$C$20:$C$1000,1,false)</f>
        <v>ZSI1_V_PACKING</v>
      </c>
      <c r="H14284" s="63" t="str">
        <f>IFERROR(__xludf.DUMMYFUNCTION("VLOOKUP(F14284, IMPORTRANGE(""https://docs.google.com/spreadsheets/d/1Lhp9OU0JdFf_VYSMzH5lBcEaU4o8teT1piV-SNzShjg/edit?gid=554141278#gid=554141278"", ""'Char Def. - Attributes'!C20:C2242""), 1,false)"),"MAINTENANCE_ORDER_TYPE")</f>
        <v>MAINTENANCE_ORDER_TYPE</v>
      </c>
      <c r="I14284" s="136"/>
      <c r="R14284" s="63" t="str">
        <f t="shared" si="60"/>
        <v>ZSI1_V_PACKINGMAINTENANCE_ORDER_TYPE</v>
      </c>
    </row>
    <row r="14285" ht="15.75" customHeight="1">
      <c r="A14285" s="59"/>
      <c r="B14285" s="63">
        <f t="shared" si="1"/>
        <v>14</v>
      </c>
      <c r="C14285" s="135" t="s">
        <v>478</v>
      </c>
      <c r="D14285" s="161" t="s">
        <v>74</v>
      </c>
      <c r="E14285" s="135">
        <f t="shared" si="62"/>
        <v>6</v>
      </c>
      <c r="F14285" s="134" t="s">
        <v>3585</v>
      </c>
      <c r="G14285" s="63" t="str">
        <f>VLOOKUP(C14285, 'Class Def. - General Data'!$C$20:$C$1000,1,false)</f>
        <v>ZSI1_V_PACKING</v>
      </c>
      <c r="H14285" s="63" t="str">
        <f>IFERROR(__xludf.DUMMYFUNCTION("VLOOKUP(F14285, IMPORTRANGE(""https://docs.google.com/spreadsheets/d/1Lhp9OU0JdFf_VYSMzH5lBcEaU4o8teT1piV-SNzShjg/edit?gid=554141278#gid=554141278"", ""'Char Def. - Attributes'!C20:C2242""), 1,false)"),"HS_CODE")</f>
        <v>HS_CODE</v>
      </c>
      <c r="I14285" s="136"/>
      <c r="R14285" s="63" t="str">
        <f t="shared" si="60"/>
        <v>ZSI1_V_PACKINGHS_CODE</v>
      </c>
    </row>
    <row r="14286" ht="15.75" customHeight="1">
      <c r="A14286" s="59"/>
      <c r="B14286" s="63">
        <f t="shared" si="1"/>
        <v>14</v>
      </c>
      <c r="C14286" s="135" t="s">
        <v>478</v>
      </c>
      <c r="D14286" s="161" t="s">
        <v>74</v>
      </c>
      <c r="E14286" s="135">
        <f t="shared" si="62"/>
        <v>7</v>
      </c>
      <c r="F14286" s="134" t="s">
        <v>3587</v>
      </c>
      <c r="G14286" s="63" t="str">
        <f>VLOOKUP(C14286, 'Class Def. - General Data'!$C$20:$C$1000,1,false)</f>
        <v>ZSI1_V_PACKING</v>
      </c>
      <c r="H14286" s="63" t="str">
        <f>IFERROR(__xludf.DUMMYFUNCTION("VLOOKUP(F14286, IMPORTRANGE(""https://docs.google.com/spreadsheets/d/1Lhp9OU0JdFf_VYSMzH5lBcEaU4o8teT1piV-SNzShjg/edit?gid=554141278#gid=554141278"", ""'Char Def. - Attributes'!C20:C2242""), 1,false)"),"PLANT_BUY")</f>
        <v>PLANT_BUY</v>
      </c>
      <c r="I14286" s="136"/>
      <c r="R14286" s="63" t="str">
        <f t="shared" si="60"/>
        <v>ZSI1_V_PACKINGPLANT_BUY</v>
      </c>
    </row>
    <row r="14287" ht="15.75" customHeight="1">
      <c r="A14287" s="59"/>
      <c r="B14287" s="63">
        <f t="shared" si="1"/>
        <v>14</v>
      </c>
      <c r="C14287" s="135" t="s">
        <v>478</v>
      </c>
      <c r="D14287" s="161" t="s">
        <v>74</v>
      </c>
      <c r="E14287" s="135">
        <f t="shared" si="62"/>
        <v>8</v>
      </c>
      <c r="F14287" s="134" t="s">
        <v>5559</v>
      </c>
      <c r="G14287" s="63" t="str">
        <f>VLOOKUP(C14287, 'Class Def. - General Data'!$C$20:$C$1000,1,false)</f>
        <v>ZSI1_V_PACKING</v>
      </c>
      <c r="H14287" s="63" t="str">
        <f>IFERROR(__xludf.DUMMYFUNCTION("VLOOKUP(F14287, IMPORTRANGE(""https://docs.google.com/spreadsheets/d/1Lhp9OU0JdFf_VYSMzH5lBcEaU4o8teT1piV-SNzShjg/edit?gid=554141278#gid=554141278"", ""'Char Def. - Attributes'!C20:C2242""), 1,false)"),"BASE_UOM_V_PACKING")</f>
        <v>BASE_UOM_V_PACKING</v>
      </c>
      <c r="I14287" s="136"/>
      <c r="R14287" s="63" t="str">
        <f t="shared" si="60"/>
        <v>ZSI1_V_PACKINGBASE_UOM_V_PACKING</v>
      </c>
    </row>
    <row r="14288" ht="15.75" customHeight="1">
      <c r="A14288" s="59"/>
      <c r="B14288" s="63">
        <f t="shared" si="1"/>
        <v>14</v>
      </c>
      <c r="C14288" s="135" t="s">
        <v>478</v>
      </c>
      <c r="D14288" s="161" t="s">
        <v>74</v>
      </c>
      <c r="E14288" s="135">
        <f t="shared" si="62"/>
        <v>9</v>
      </c>
      <c r="F14288" s="134" t="s">
        <v>5560</v>
      </c>
      <c r="G14288" s="63" t="str">
        <f>VLOOKUP(C14288, 'Class Def. - General Data'!$C$20:$C$1000,1,false)</f>
        <v>ZSI1_V_PACKING</v>
      </c>
      <c r="H14288" s="63" t="str">
        <f>IFERROR(__xludf.DUMMYFUNCTION("VLOOKUP(F14288, IMPORTRANGE(""https://docs.google.com/spreadsheets/d/1Lhp9OU0JdFf_VYSMzH5lBcEaU4o8teT1piV-SNzShjg/edit?gid=554141278#gid=554141278"", ""'Char Def. - Attributes'!C20:C2242""), 1,false)"),"ORDER_UNIT_V_PACKING")</f>
        <v>ORDER_UNIT_V_PACKING</v>
      </c>
      <c r="I14288" s="136"/>
      <c r="R14288" s="63" t="str">
        <f t="shared" si="60"/>
        <v>ZSI1_V_PACKINGORDER_UNIT_V_PACKING</v>
      </c>
    </row>
    <row r="14289" ht="15.75" customHeight="1">
      <c r="A14289" s="59"/>
      <c r="B14289" s="63">
        <f t="shared" si="1"/>
        <v>14</v>
      </c>
      <c r="C14289" s="135" t="s">
        <v>478</v>
      </c>
      <c r="D14289" s="161" t="s">
        <v>74</v>
      </c>
      <c r="E14289" s="135">
        <f t="shared" si="62"/>
        <v>10</v>
      </c>
      <c r="F14289" s="134" t="s">
        <v>4056</v>
      </c>
      <c r="G14289" s="63" t="str">
        <f>VLOOKUP(C14289, 'Class Def. - General Data'!$C$20:$C$1000,1,false)</f>
        <v>ZSI1_V_PACKING</v>
      </c>
      <c r="H14289" s="63" t="str">
        <f>IFERROR(__xludf.DUMMYFUNCTION("VLOOKUP(F14289, IMPORTRANGE(""https://docs.google.com/spreadsheets/d/1Lhp9OU0JdFf_VYSMzH5lBcEaU4o8teT1piV-SNzShjg/edit?gid=554141278#gid=554141278"", ""'Char Def. - Attributes'!C20:C2242""), 1,false)"),"GROSS_WEIGHT_OPT")</f>
        <v>GROSS_WEIGHT_OPT</v>
      </c>
      <c r="I14289" s="136"/>
      <c r="R14289" s="63" t="str">
        <f t="shared" si="60"/>
        <v>ZSI1_V_PACKINGGROSS_WEIGHT_OPT</v>
      </c>
    </row>
    <row r="14290" ht="15.75" customHeight="1">
      <c r="A14290" s="59"/>
      <c r="B14290" s="63">
        <f t="shared" si="1"/>
        <v>14</v>
      </c>
      <c r="C14290" s="135" t="s">
        <v>478</v>
      </c>
      <c r="D14290" s="161" t="s">
        <v>74</v>
      </c>
      <c r="E14290" s="135">
        <f t="shared" si="62"/>
        <v>11</v>
      </c>
      <c r="F14290" s="134" t="s">
        <v>4057</v>
      </c>
      <c r="G14290" s="63" t="str">
        <f>VLOOKUP(C14290, 'Class Def. - General Data'!$C$20:$C$1000,1,false)</f>
        <v>ZSI1_V_PACKING</v>
      </c>
      <c r="H14290" s="63" t="str">
        <f>IFERROR(__xludf.DUMMYFUNCTION("VLOOKUP(F14290, IMPORTRANGE(""https://docs.google.com/spreadsheets/d/1Lhp9OU0JdFf_VYSMzH5lBcEaU4o8teT1piV-SNzShjg/edit?gid=554141278#gid=554141278"", ""'Char Def. - Attributes'!C20:C2242""), 1,false)"),"NET_WEIGHT_OPT")</f>
        <v>NET_WEIGHT_OPT</v>
      </c>
      <c r="I14290" s="136"/>
      <c r="R14290" s="63" t="str">
        <f t="shared" si="60"/>
        <v>ZSI1_V_PACKINGNET_WEIGHT_OPT</v>
      </c>
    </row>
    <row r="14291" ht="15.75" customHeight="1">
      <c r="A14291" s="59"/>
      <c r="B14291" s="63">
        <f t="shared" si="1"/>
        <v>14</v>
      </c>
      <c r="C14291" s="135" t="s">
        <v>478</v>
      </c>
      <c r="D14291" s="161" t="s">
        <v>74</v>
      </c>
      <c r="E14291" s="135">
        <f t="shared" si="62"/>
        <v>12</v>
      </c>
      <c r="F14291" s="134" t="s">
        <v>4058</v>
      </c>
      <c r="G14291" s="63" t="str">
        <f>VLOOKUP(C14291, 'Class Def. - General Data'!$C$20:$C$1000,1,false)</f>
        <v>ZSI1_V_PACKING</v>
      </c>
      <c r="H14291" s="63" t="str">
        <f>IFERROR(__xludf.DUMMYFUNCTION("VLOOKUP(F14291, IMPORTRANGE(""https://docs.google.com/spreadsheets/d/1Lhp9OU0JdFf_VYSMzH5lBcEaU4o8teT1piV-SNzShjg/edit?gid=554141278#gid=554141278"", ""'Char Def. - Attributes'!C20:C2242""), 1,false)"),"WEIGHT_UNIT_SI")</f>
        <v>WEIGHT_UNIT_SI</v>
      </c>
      <c r="I14291" s="136"/>
      <c r="R14291" s="63" t="str">
        <f t="shared" si="60"/>
        <v>ZSI1_V_PACKINGWEIGHT_UNIT_SI</v>
      </c>
    </row>
    <row r="14292" ht="15.75" customHeight="1">
      <c r="A14292" s="59"/>
      <c r="B14292" s="63">
        <f t="shared" si="1"/>
        <v>14</v>
      </c>
      <c r="C14292" s="135" t="s">
        <v>478</v>
      </c>
      <c r="D14292" s="161" t="s">
        <v>74</v>
      </c>
      <c r="E14292" s="135">
        <f t="shared" si="62"/>
        <v>13</v>
      </c>
      <c r="F14292" s="134" t="s">
        <v>3877</v>
      </c>
      <c r="G14292" s="63" t="str">
        <f>VLOOKUP(C14292, 'Class Def. - General Data'!$C$20:$C$1000,1,false)</f>
        <v>ZSI1_V_PACKING</v>
      </c>
      <c r="H14292" s="63" t="str">
        <f>IFERROR(__xludf.DUMMYFUNCTION("VLOOKUP(F14292, IMPORTRANGE(""https://docs.google.com/spreadsheets/d/1Lhp9OU0JdFf_VYSMzH5lBcEaU4o8teT1piV-SNzShjg/edit?gid=554141278#gid=554141278"", ""'Char Def. - Attributes'!C20:C2242""), 1,false)"),"VOLUME_OPT")</f>
        <v>VOLUME_OPT</v>
      </c>
      <c r="I14292" s="136"/>
      <c r="R14292" s="63" t="str">
        <f t="shared" si="60"/>
        <v>ZSI1_V_PACKINGVOLUME_OPT</v>
      </c>
    </row>
    <row r="14293" ht="15.75" customHeight="1">
      <c r="A14293" s="59"/>
      <c r="B14293" s="63">
        <f t="shared" si="1"/>
        <v>14</v>
      </c>
      <c r="C14293" s="135" t="s">
        <v>478</v>
      </c>
      <c r="D14293" s="161" t="s">
        <v>74</v>
      </c>
      <c r="E14293" s="135">
        <f t="shared" si="62"/>
        <v>14</v>
      </c>
      <c r="F14293" s="134" t="s">
        <v>4059</v>
      </c>
      <c r="G14293" s="63" t="str">
        <f>VLOOKUP(C14293, 'Class Def. - General Data'!$C$20:$C$1000,1,false)</f>
        <v>ZSI1_V_PACKING</v>
      </c>
      <c r="H14293" s="63" t="str">
        <f>IFERROR(__xludf.DUMMYFUNCTION("VLOOKUP(F14293, IMPORTRANGE(""https://docs.google.com/spreadsheets/d/1Lhp9OU0JdFf_VYSMzH5lBcEaU4o8teT1piV-SNzShjg/edit?gid=554141278#gid=554141278"", ""'Char Def. - Attributes'!C20:C2242""), 1,false)"),"VOLUME_UNIT_SI")</f>
        <v>VOLUME_UNIT_SI</v>
      </c>
      <c r="I14293" s="136"/>
      <c r="R14293" s="63" t="str">
        <f t="shared" si="60"/>
        <v>ZSI1_V_PACKINGVOLUME_UNIT_SI</v>
      </c>
    </row>
    <row r="14294" ht="15.75" customHeight="1">
      <c r="A14294" s="59"/>
      <c r="B14294" s="63">
        <f t="shared" si="1"/>
        <v>14</v>
      </c>
      <c r="C14294" s="135" t="s">
        <v>478</v>
      </c>
      <c r="D14294" s="161" t="s">
        <v>74</v>
      </c>
      <c r="E14294" s="135">
        <f t="shared" si="62"/>
        <v>15</v>
      </c>
      <c r="F14294" s="134" t="s">
        <v>3804</v>
      </c>
      <c r="G14294" s="63" t="str">
        <f>VLOOKUP(C14294, 'Class Def. - General Data'!$C$20:$C$1000,1,false)</f>
        <v>ZSI1_V_PACKING</v>
      </c>
      <c r="H14294" s="63" t="str">
        <f>IFERROR(__xludf.DUMMYFUNCTION("VLOOKUP(F14294, IMPORTRANGE(""https://docs.google.com/spreadsheets/d/1Lhp9OU0JdFf_VYSMzH5lBcEaU4o8teT1piV-SNzShjg/edit?gid=554141278#gid=554141278"", ""'Char Def. - Attributes'!C20:C2242""), 1,false)"),"ALT_UOM1_SIPI")</f>
        <v>ALT_UOM1_SIPI</v>
      </c>
      <c r="I14294" s="136"/>
      <c r="R14294" s="63" t="str">
        <f t="shared" si="60"/>
        <v>ZSI1_V_PACKINGALT_UOM1_SIPI</v>
      </c>
    </row>
    <row r="14295" ht="15.75" customHeight="1">
      <c r="A14295" s="59"/>
      <c r="B14295" s="63">
        <f t="shared" si="1"/>
        <v>14</v>
      </c>
      <c r="C14295" s="135" t="s">
        <v>478</v>
      </c>
      <c r="D14295" s="161" t="s">
        <v>74</v>
      </c>
      <c r="E14295" s="135">
        <f t="shared" si="62"/>
        <v>16</v>
      </c>
      <c r="F14295" s="134" t="s">
        <v>3805</v>
      </c>
      <c r="G14295" s="63" t="str">
        <f>VLOOKUP(C14295, 'Class Def. - General Data'!$C$20:$C$1000,1,false)</f>
        <v>ZSI1_V_PACKING</v>
      </c>
      <c r="H14295" s="63" t="str">
        <f>IFERROR(__xludf.DUMMYFUNCTION("VLOOKUP(F14295, IMPORTRANGE(""https://docs.google.com/spreadsheets/d/1Lhp9OU0JdFf_VYSMzH5lBcEaU4o8teT1piV-SNzShjg/edit?gid=554141278#gid=554141278"", ""'Char Def. - Attributes'!C20:C2242""), 1,false)"),"ALT_DENUM_UOM1")</f>
        <v>ALT_DENUM_UOM1</v>
      </c>
      <c r="I14295" s="136"/>
      <c r="R14295" s="63" t="str">
        <f t="shared" si="60"/>
        <v>ZSI1_V_PACKINGALT_DENUM_UOM1</v>
      </c>
    </row>
    <row r="14296" ht="15.75" customHeight="1">
      <c r="A14296" s="59"/>
      <c r="B14296" s="63">
        <f t="shared" si="1"/>
        <v>14</v>
      </c>
      <c r="C14296" s="135" t="s">
        <v>478</v>
      </c>
      <c r="D14296" s="161" t="s">
        <v>74</v>
      </c>
      <c r="E14296" s="135">
        <f t="shared" si="62"/>
        <v>17</v>
      </c>
      <c r="F14296" s="134" t="s">
        <v>3806</v>
      </c>
      <c r="G14296" s="63" t="str">
        <f>VLOOKUP(C14296, 'Class Def. - General Data'!$C$20:$C$1000,1,false)</f>
        <v>ZSI1_V_PACKING</v>
      </c>
      <c r="H14296" s="63" t="str">
        <f>IFERROR(__xludf.DUMMYFUNCTION("VLOOKUP(F14296, IMPORTRANGE(""https://docs.google.com/spreadsheets/d/1Lhp9OU0JdFf_VYSMzH5lBcEaU4o8teT1piV-SNzShjg/edit?gid=554141278#gid=554141278"", ""'Char Def. - Attributes'!C20:C2242""), 1,false)"),"ALT_NUM_UOM1")</f>
        <v>ALT_NUM_UOM1</v>
      </c>
      <c r="I14296" s="136"/>
      <c r="R14296" s="63" t="str">
        <f t="shared" si="60"/>
        <v>ZSI1_V_PACKINGALT_NUM_UOM1</v>
      </c>
    </row>
    <row r="14297" ht="15.75" customHeight="1">
      <c r="A14297" s="59"/>
      <c r="B14297" s="63">
        <f t="shared" si="1"/>
        <v>14</v>
      </c>
      <c r="C14297" s="135" t="s">
        <v>478</v>
      </c>
      <c r="D14297" s="161" t="s">
        <v>74</v>
      </c>
      <c r="E14297" s="135">
        <f t="shared" si="62"/>
        <v>18</v>
      </c>
      <c r="F14297" s="134" t="s">
        <v>3807</v>
      </c>
      <c r="G14297" s="63" t="str">
        <f>VLOOKUP(C14297, 'Class Def. - General Data'!$C$20:$C$1000,1,false)</f>
        <v>ZSI1_V_PACKING</v>
      </c>
      <c r="H14297" s="63" t="str">
        <f>IFERROR(__xludf.DUMMYFUNCTION("VLOOKUP(F14297, IMPORTRANGE(""https://docs.google.com/spreadsheets/d/1Lhp9OU0JdFf_VYSMzH5lBcEaU4o8teT1piV-SNzShjg/edit?gid=554141278#gid=554141278"", ""'Char Def. - Attributes'!C20:C2242""), 1,false)"),"ALT_UOM2_SIPI")</f>
        <v>ALT_UOM2_SIPI</v>
      </c>
      <c r="I14297" s="136"/>
      <c r="R14297" s="63" t="str">
        <f t="shared" si="60"/>
        <v>ZSI1_V_PACKINGALT_UOM2_SIPI</v>
      </c>
    </row>
    <row r="14298" ht="15.75" customHeight="1">
      <c r="A14298" s="59"/>
      <c r="B14298" s="63">
        <f t="shared" si="1"/>
        <v>14</v>
      </c>
      <c r="C14298" s="135" t="s">
        <v>478</v>
      </c>
      <c r="D14298" s="161" t="s">
        <v>74</v>
      </c>
      <c r="E14298" s="135">
        <f t="shared" si="62"/>
        <v>19</v>
      </c>
      <c r="F14298" s="134" t="s">
        <v>3808</v>
      </c>
      <c r="G14298" s="63" t="str">
        <f>VLOOKUP(C14298, 'Class Def. - General Data'!$C$20:$C$1000,1,false)</f>
        <v>ZSI1_V_PACKING</v>
      </c>
      <c r="H14298" s="63" t="str">
        <f>IFERROR(__xludf.DUMMYFUNCTION("VLOOKUP(F14298, IMPORTRANGE(""https://docs.google.com/spreadsheets/d/1Lhp9OU0JdFf_VYSMzH5lBcEaU4o8teT1piV-SNzShjg/edit?gid=554141278#gid=554141278"", ""'Char Def. - Attributes'!C20:C2242""), 1,false)"),"ALT_DENUM_UOM2")</f>
        <v>ALT_DENUM_UOM2</v>
      </c>
      <c r="I14298" s="136"/>
      <c r="R14298" s="63" t="str">
        <f t="shared" si="60"/>
        <v>ZSI1_V_PACKINGALT_DENUM_UOM2</v>
      </c>
    </row>
    <row r="14299" ht="15.75" customHeight="1">
      <c r="A14299" s="59"/>
      <c r="B14299" s="63">
        <f t="shared" si="1"/>
        <v>14</v>
      </c>
      <c r="C14299" s="135" t="s">
        <v>478</v>
      </c>
      <c r="D14299" s="161" t="s">
        <v>74</v>
      </c>
      <c r="E14299" s="135">
        <f t="shared" si="62"/>
        <v>20</v>
      </c>
      <c r="F14299" s="134" t="s">
        <v>3809</v>
      </c>
      <c r="G14299" s="63" t="str">
        <f>VLOOKUP(C14299, 'Class Def. - General Data'!$C$20:$C$1000,1,false)</f>
        <v>ZSI1_V_PACKING</v>
      </c>
      <c r="H14299" s="63" t="str">
        <f>IFERROR(__xludf.DUMMYFUNCTION("VLOOKUP(F14299, IMPORTRANGE(""https://docs.google.com/spreadsheets/d/1Lhp9OU0JdFf_VYSMzH5lBcEaU4o8teT1piV-SNzShjg/edit?gid=554141278#gid=554141278"", ""'Char Def. - Attributes'!C20:C2242""), 1,false)"),"ALT_NUM_UOM2")</f>
        <v>ALT_NUM_UOM2</v>
      </c>
      <c r="I14299" s="136"/>
      <c r="R14299" s="63" t="str">
        <f t="shared" si="60"/>
        <v>ZSI1_V_PACKINGALT_NUM_UOM2</v>
      </c>
    </row>
    <row r="14300" ht="15.75" customHeight="1">
      <c r="A14300" s="59"/>
      <c r="B14300" s="63">
        <f t="shared" si="1"/>
        <v>14</v>
      </c>
      <c r="C14300" s="135" t="s">
        <v>478</v>
      </c>
      <c r="D14300" s="161" t="s">
        <v>74</v>
      </c>
      <c r="E14300" s="135">
        <f t="shared" si="62"/>
        <v>21</v>
      </c>
      <c r="F14300" s="134" t="s">
        <v>3810</v>
      </c>
      <c r="G14300" s="63" t="str">
        <f>VLOOKUP(C14300, 'Class Def. - General Data'!$C$20:$C$1000,1,false)</f>
        <v>ZSI1_V_PACKING</v>
      </c>
      <c r="H14300" s="63" t="str">
        <f>IFERROR(__xludf.DUMMYFUNCTION("VLOOKUP(F14300, IMPORTRANGE(""https://docs.google.com/spreadsheets/d/1Lhp9OU0JdFf_VYSMzH5lBcEaU4o8teT1piV-SNzShjg/edit?gid=554141278#gid=554141278"", ""'Char Def. - Attributes'!C20:C2242""), 1,false)"),"ALT_UOM3_SIPI")</f>
        <v>ALT_UOM3_SIPI</v>
      </c>
      <c r="I14300" s="136"/>
      <c r="R14300" s="63" t="str">
        <f t="shared" si="60"/>
        <v>ZSI1_V_PACKINGALT_UOM3_SIPI</v>
      </c>
    </row>
    <row r="14301" ht="15.75" customHeight="1">
      <c r="A14301" s="59"/>
      <c r="B14301" s="63">
        <f t="shared" si="1"/>
        <v>14</v>
      </c>
      <c r="C14301" s="135" t="s">
        <v>478</v>
      </c>
      <c r="D14301" s="161" t="s">
        <v>74</v>
      </c>
      <c r="E14301" s="135">
        <f t="shared" si="62"/>
        <v>22</v>
      </c>
      <c r="F14301" s="134" t="s">
        <v>3811</v>
      </c>
      <c r="G14301" s="63" t="str">
        <f>VLOOKUP(C14301, 'Class Def. - General Data'!$C$20:$C$1000,1,false)</f>
        <v>ZSI1_V_PACKING</v>
      </c>
      <c r="H14301" s="63" t="str">
        <f>IFERROR(__xludf.DUMMYFUNCTION("VLOOKUP(F14301, IMPORTRANGE(""https://docs.google.com/spreadsheets/d/1Lhp9OU0JdFf_VYSMzH5lBcEaU4o8teT1piV-SNzShjg/edit?gid=554141278#gid=554141278"", ""'Char Def. - Attributes'!C20:C2242""), 1,false)"),"ALT_DENUM_UOM3")</f>
        <v>ALT_DENUM_UOM3</v>
      </c>
      <c r="I14301" s="136"/>
      <c r="R14301" s="63" t="str">
        <f t="shared" si="60"/>
        <v>ZSI1_V_PACKINGALT_DENUM_UOM3</v>
      </c>
    </row>
    <row r="14302" ht="15.75" customHeight="1">
      <c r="A14302" s="59"/>
      <c r="B14302" s="63">
        <f t="shared" si="1"/>
        <v>14</v>
      </c>
      <c r="C14302" s="135" t="s">
        <v>478</v>
      </c>
      <c r="D14302" s="161" t="s">
        <v>74</v>
      </c>
      <c r="E14302" s="135">
        <f t="shared" si="62"/>
        <v>23</v>
      </c>
      <c r="F14302" s="134" t="s">
        <v>3812</v>
      </c>
      <c r="G14302" s="63" t="str">
        <f>VLOOKUP(C14302, 'Class Def. - General Data'!$C$20:$C$1000,1,false)</f>
        <v>ZSI1_V_PACKING</v>
      </c>
      <c r="H14302" s="63" t="str">
        <f>IFERROR(__xludf.DUMMYFUNCTION("VLOOKUP(F14302, IMPORTRANGE(""https://docs.google.com/spreadsheets/d/1Lhp9OU0JdFf_VYSMzH5lBcEaU4o8teT1piV-SNzShjg/edit?gid=554141278#gid=554141278"", ""'Char Def. - Attributes'!C20:C2242""), 1,false)"),"ALT_NUM_UOM3")</f>
        <v>ALT_NUM_UOM3</v>
      </c>
      <c r="I14302" s="136"/>
      <c r="R14302" s="63" t="str">
        <f t="shared" si="60"/>
        <v>ZSI1_V_PACKINGALT_NUM_UOM3</v>
      </c>
    </row>
    <row r="14303" ht="15.75" customHeight="1">
      <c r="A14303" s="59"/>
      <c r="B14303" s="63">
        <f t="shared" si="1"/>
        <v>14</v>
      </c>
      <c r="C14303" s="135" t="s">
        <v>478</v>
      </c>
      <c r="D14303" s="161" t="s">
        <v>74</v>
      </c>
      <c r="E14303" s="135">
        <f t="shared" si="62"/>
        <v>24</v>
      </c>
      <c r="F14303" s="134" t="s">
        <v>3813</v>
      </c>
      <c r="G14303" s="63" t="str">
        <f>VLOOKUP(C14303, 'Class Def. - General Data'!$C$20:$C$1000,1,false)</f>
        <v>ZSI1_V_PACKING</v>
      </c>
      <c r="H14303" s="63" t="str">
        <f>IFERROR(__xludf.DUMMYFUNCTION("VLOOKUP(F14303, IMPORTRANGE(""https://docs.google.com/spreadsheets/d/1Lhp9OU0JdFf_VYSMzH5lBcEaU4o8teT1piV-SNzShjg/edit?gid=554141278#gid=554141278"", ""'Char Def. - Attributes'!C20:C2242""), 1,false)"),"ALT_UOM4_SIPI")</f>
        <v>ALT_UOM4_SIPI</v>
      </c>
      <c r="I14303" s="136"/>
      <c r="R14303" s="63" t="str">
        <f t="shared" si="60"/>
        <v>ZSI1_V_PACKINGALT_UOM4_SIPI</v>
      </c>
    </row>
    <row r="14304" ht="15.75" customHeight="1">
      <c r="A14304" s="59"/>
      <c r="B14304" s="63">
        <f t="shared" si="1"/>
        <v>14</v>
      </c>
      <c r="C14304" s="135" t="s">
        <v>478</v>
      </c>
      <c r="D14304" s="161" t="s">
        <v>74</v>
      </c>
      <c r="E14304" s="135">
        <f t="shared" si="62"/>
        <v>25</v>
      </c>
      <c r="F14304" s="134" t="s">
        <v>3814</v>
      </c>
      <c r="G14304" s="63" t="str">
        <f>VLOOKUP(C14304, 'Class Def. - General Data'!$C$20:$C$1000,1,false)</f>
        <v>ZSI1_V_PACKING</v>
      </c>
      <c r="H14304" s="63" t="str">
        <f>IFERROR(__xludf.DUMMYFUNCTION("VLOOKUP(F14304, IMPORTRANGE(""https://docs.google.com/spreadsheets/d/1Lhp9OU0JdFf_VYSMzH5lBcEaU4o8teT1piV-SNzShjg/edit?gid=554141278#gid=554141278"", ""'Char Def. - Attributes'!C20:C2242""), 1,false)"),"ALT_DENUM_UOM4")</f>
        <v>ALT_DENUM_UOM4</v>
      </c>
      <c r="I14304" s="136"/>
      <c r="R14304" s="63" t="str">
        <f t="shared" si="60"/>
        <v>ZSI1_V_PACKINGALT_DENUM_UOM4</v>
      </c>
    </row>
    <row r="14305" ht="15.75" customHeight="1">
      <c r="A14305" s="59"/>
      <c r="B14305" s="63">
        <f t="shared" si="1"/>
        <v>14</v>
      </c>
      <c r="C14305" s="135" t="s">
        <v>478</v>
      </c>
      <c r="D14305" s="161" t="s">
        <v>74</v>
      </c>
      <c r="E14305" s="135">
        <f t="shared" si="62"/>
        <v>26</v>
      </c>
      <c r="F14305" s="134" t="s">
        <v>3815</v>
      </c>
      <c r="G14305" s="63" t="str">
        <f>VLOOKUP(C14305, 'Class Def. - General Data'!$C$20:$C$1000,1,false)</f>
        <v>ZSI1_V_PACKING</v>
      </c>
      <c r="H14305" s="63" t="str">
        <f>IFERROR(__xludf.DUMMYFUNCTION("VLOOKUP(F14305, IMPORTRANGE(""https://docs.google.com/spreadsheets/d/1Lhp9OU0JdFf_VYSMzH5lBcEaU4o8teT1piV-SNzShjg/edit?gid=554141278#gid=554141278"", ""'Char Def. - Attributes'!C20:C2242""), 1,false)"),"ALT_NUM_UOM4")</f>
        <v>ALT_NUM_UOM4</v>
      </c>
      <c r="I14305" s="136"/>
      <c r="R14305" s="63" t="str">
        <f t="shared" si="60"/>
        <v>ZSI1_V_PACKINGALT_NUM_UOM4</v>
      </c>
    </row>
    <row r="14306" ht="15.75" customHeight="1">
      <c r="A14306" s="59"/>
      <c r="B14306" s="63">
        <f t="shared" si="1"/>
        <v>14</v>
      </c>
      <c r="C14306" s="135" t="s">
        <v>478</v>
      </c>
      <c r="D14306" s="161" t="s">
        <v>74</v>
      </c>
      <c r="E14306" s="135">
        <f t="shared" si="62"/>
        <v>27</v>
      </c>
      <c r="F14306" s="134" t="s">
        <v>3816</v>
      </c>
      <c r="G14306" s="63" t="str">
        <f>VLOOKUP(C14306, 'Class Def. - General Data'!$C$20:$C$1000,1,false)</f>
        <v>ZSI1_V_PACKING</v>
      </c>
      <c r="H14306" s="63" t="str">
        <f>IFERROR(__xludf.DUMMYFUNCTION("VLOOKUP(F14306, IMPORTRANGE(""https://docs.google.com/spreadsheets/d/1Lhp9OU0JdFf_VYSMzH5lBcEaU4o8teT1piV-SNzShjg/edit?gid=554141278#gid=554141278"", ""'Char Def. - Attributes'!C20:C2242""), 1,false)"),"ALT_UOM5_SIPI")</f>
        <v>ALT_UOM5_SIPI</v>
      </c>
      <c r="I14306" s="136"/>
      <c r="R14306" s="63" t="str">
        <f t="shared" si="60"/>
        <v>ZSI1_V_PACKINGALT_UOM5_SIPI</v>
      </c>
    </row>
    <row r="14307" ht="15.75" customHeight="1">
      <c r="A14307" s="59"/>
      <c r="B14307" s="63">
        <f t="shared" si="1"/>
        <v>14</v>
      </c>
      <c r="C14307" s="135" t="s">
        <v>478</v>
      </c>
      <c r="D14307" s="161" t="s">
        <v>74</v>
      </c>
      <c r="E14307" s="135">
        <f t="shared" si="62"/>
        <v>28</v>
      </c>
      <c r="F14307" s="134" t="s">
        <v>3817</v>
      </c>
      <c r="G14307" s="63" t="str">
        <f>VLOOKUP(C14307, 'Class Def. - General Data'!$C$20:$C$1000,1,false)</f>
        <v>ZSI1_V_PACKING</v>
      </c>
      <c r="H14307" s="63" t="str">
        <f>IFERROR(__xludf.DUMMYFUNCTION("VLOOKUP(F14307, IMPORTRANGE(""https://docs.google.com/spreadsheets/d/1Lhp9OU0JdFf_VYSMzH5lBcEaU4o8teT1piV-SNzShjg/edit?gid=554141278#gid=554141278"", ""'Char Def. - Attributes'!C20:C2242""), 1,false)"),"ALT_DENUM_UOM5")</f>
        <v>ALT_DENUM_UOM5</v>
      </c>
      <c r="I14307" s="136"/>
      <c r="R14307" s="63" t="str">
        <f t="shared" si="60"/>
        <v>ZSI1_V_PACKINGALT_DENUM_UOM5</v>
      </c>
    </row>
    <row r="14308" ht="15.75" customHeight="1">
      <c r="A14308" s="59"/>
      <c r="B14308" s="63">
        <f t="shared" si="1"/>
        <v>14</v>
      </c>
      <c r="C14308" s="135" t="s">
        <v>478</v>
      </c>
      <c r="D14308" s="161" t="s">
        <v>74</v>
      </c>
      <c r="E14308" s="135">
        <f t="shared" si="62"/>
        <v>29</v>
      </c>
      <c r="F14308" s="134" t="s">
        <v>3818</v>
      </c>
      <c r="G14308" s="63" t="str">
        <f>VLOOKUP(C14308, 'Class Def. - General Data'!$C$20:$C$1000,1,false)</f>
        <v>ZSI1_V_PACKING</v>
      </c>
      <c r="H14308" s="63" t="str">
        <f>IFERROR(__xludf.DUMMYFUNCTION("VLOOKUP(F14308, IMPORTRANGE(""https://docs.google.com/spreadsheets/d/1Lhp9OU0JdFf_VYSMzH5lBcEaU4o8teT1piV-SNzShjg/edit?gid=554141278#gid=554141278"", ""'Char Def. - Attributes'!C20:C2242""), 1,false)"),"ALT_NUM_UOM5")</f>
        <v>ALT_NUM_UOM5</v>
      </c>
      <c r="I14308" s="136"/>
      <c r="R14308" s="63" t="str">
        <f t="shared" si="60"/>
        <v>ZSI1_V_PACKINGALT_NUM_UOM5</v>
      </c>
    </row>
    <row r="14309" ht="15.75" customHeight="1">
      <c r="A14309" s="59"/>
      <c r="B14309" s="63">
        <f t="shared" si="1"/>
        <v>10</v>
      </c>
      <c r="C14309" s="135" t="s">
        <v>508</v>
      </c>
      <c r="D14309" s="161" t="s">
        <v>74</v>
      </c>
      <c r="E14309" s="135">
        <f t="shared" si="62"/>
        <v>1</v>
      </c>
      <c r="F14309" s="134" t="s">
        <v>5561</v>
      </c>
      <c r="G14309" s="63" t="str">
        <f>VLOOKUP(C14309, 'Class Def. - General Data'!$C$20:$C$1000,1,false)</f>
        <v>ZSI1_VALVE</v>
      </c>
      <c r="H14309" s="63" t="str">
        <f>IFERROR(__xludf.DUMMYFUNCTION("VLOOKUP(F14309, IMPORTRANGE(""https://docs.google.com/spreadsheets/d/1Lhp9OU0JdFf_VYSMzH5lBcEaU4o8teT1piV-SNzShjg/edit?gid=554141278#gid=554141278"", ""'Char Def. - Attributes'!C20:C2242""), 1,false)"),"ITEM_NAME_VALVE")</f>
        <v>ITEM_NAME_VALVE</v>
      </c>
      <c r="I14309" s="136"/>
      <c r="R14309" s="63" t="str">
        <f t="shared" si="60"/>
        <v>ZSI1_VALVEITEM_NAME_VALVE</v>
      </c>
    </row>
    <row r="14310" ht="15.75" customHeight="1">
      <c r="A14310" s="59"/>
      <c r="B14310" s="63">
        <f t="shared" si="1"/>
        <v>10</v>
      </c>
      <c r="C14310" s="135" t="s">
        <v>508</v>
      </c>
      <c r="D14310" s="161" t="s">
        <v>74</v>
      </c>
      <c r="E14310" s="135">
        <f t="shared" si="62"/>
        <v>2</v>
      </c>
      <c r="F14310" s="134" t="s">
        <v>5562</v>
      </c>
      <c r="G14310" s="63" t="str">
        <f>VLOOKUP(C14310, 'Class Def. - General Data'!$C$20:$C$1000,1,false)</f>
        <v>ZSI1_VALVE</v>
      </c>
      <c r="H14310" s="63" t="str">
        <f>IFERROR(__xludf.DUMMYFUNCTION("VLOOKUP(F14310, IMPORTRANGE(""https://docs.google.com/spreadsheets/d/1Lhp9OU0JdFf_VYSMzH5lBcEaU4o8teT1piV-SNzShjg/edit?gid=554141278#gid=554141278"", ""'Char Def. - Attributes'!C20:C2242""), 1,false)"),"DIMENSION_VALVE")</f>
        <v>DIMENSION_VALVE</v>
      </c>
      <c r="I14310" s="136"/>
      <c r="R14310" s="63" t="str">
        <f t="shared" si="60"/>
        <v>ZSI1_VALVEDIMENSION_VALVE</v>
      </c>
    </row>
    <row r="14311" ht="15.75" customHeight="1">
      <c r="A14311" s="59"/>
      <c r="B14311" s="63">
        <f t="shared" si="1"/>
        <v>10</v>
      </c>
      <c r="C14311" s="135" t="s">
        <v>508</v>
      </c>
      <c r="D14311" s="161" t="s">
        <v>74</v>
      </c>
      <c r="E14311" s="135">
        <f t="shared" si="62"/>
        <v>3</v>
      </c>
      <c r="F14311" s="134" t="s">
        <v>5563</v>
      </c>
      <c r="G14311" s="63" t="str">
        <f>VLOOKUP(C14311, 'Class Def. - General Data'!$C$20:$C$1000,1,false)</f>
        <v>ZSI1_VALVE</v>
      </c>
      <c r="H14311" s="63" t="str">
        <f>IFERROR(__xludf.DUMMYFUNCTION("VLOOKUP(F14311, IMPORTRANGE(""https://docs.google.com/spreadsheets/d/1Lhp9OU0JdFf_VYSMzH5lBcEaU4o8teT1piV-SNzShjg/edit?gid=554141278#gid=554141278"", ""'Char Def. - Attributes'!C20:C2242""), 1,false)"),"SIZE_IN_VALVE")</f>
        <v>SIZE_IN_VALVE</v>
      </c>
      <c r="I14311" s="136"/>
      <c r="R14311" s="63" t="str">
        <f t="shared" si="60"/>
        <v>ZSI1_VALVESIZE_IN_VALVE</v>
      </c>
    </row>
    <row r="14312" ht="15.75" customHeight="1">
      <c r="A14312" s="59"/>
      <c r="B14312" s="63">
        <f t="shared" si="1"/>
        <v>10</v>
      </c>
      <c r="C14312" s="135" t="s">
        <v>508</v>
      </c>
      <c r="D14312" s="161" t="s">
        <v>74</v>
      </c>
      <c r="E14312" s="135">
        <f t="shared" si="62"/>
        <v>4</v>
      </c>
      <c r="F14312" s="134" t="s">
        <v>5564</v>
      </c>
      <c r="G14312" s="63" t="str">
        <f>VLOOKUP(C14312, 'Class Def. - General Data'!$C$20:$C$1000,1,false)</f>
        <v>ZSI1_VALVE</v>
      </c>
      <c r="H14312" s="63" t="str">
        <f>IFERROR(__xludf.DUMMYFUNCTION("VLOOKUP(F14312, IMPORTRANGE(""https://docs.google.com/spreadsheets/d/1Lhp9OU0JdFf_VYSMzH5lBcEaU4o8teT1piV-SNzShjg/edit?gid=554141278#gid=554141278"", ""'Char Def. - Attributes'!C20:C2242""), 1,false)"),"SIZE_MM_VALVE")</f>
        <v>SIZE_MM_VALVE</v>
      </c>
      <c r="I14312" s="136"/>
      <c r="R14312" s="63" t="str">
        <f t="shared" si="60"/>
        <v>ZSI1_VALVESIZE_MM_VALVE</v>
      </c>
    </row>
    <row r="14313" ht="15.75" customHeight="1">
      <c r="A14313" s="59"/>
      <c r="B14313" s="63">
        <f t="shared" si="1"/>
        <v>10</v>
      </c>
      <c r="C14313" s="135" t="s">
        <v>508</v>
      </c>
      <c r="D14313" s="161" t="s">
        <v>74</v>
      </c>
      <c r="E14313" s="135">
        <f t="shared" si="62"/>
        <v>5</v>
      </c>
      <c r="F14313" s="134" t="s">
        <v>5565</v>
      </c>
      <c r="G14313" s="63" t="str">
        <f>VLOOKUP(C14313, 'Class Def. - General Data'!$C$20:$C$1000,1,false)</f>
        <v>ZSI1_VALVE</v>
      </c>
      <c r="H14313" s="63" t="str">
        <f>IFERROR(__xludf.DUMMYFUNCTION("VLOOKUP(F14313, IMPORTRANGE(""https://docs.google.com/spreadsheets/d/1Lhp9OU0JdFf_VYSMzH5lBcEaU4o8teT1piV-SNzShjg/edit?gid=554141278#gid=554141278"", ""'Char Def. - Attributes'!C20:C2242""), 1,false)"),"DESIGN_RATING_K_PSI_VALVE")</f>
        <v>DESIGN_RATING_K_PSI_VALVE</v>
      </c>
      <c r="I14313" s="136"/>
      <c r="R14313" s="63" t="str">
        <f t="shared" si="60"/>
        <v>ZSI1_VALVEDESIGN_RATING_K_PSI_VALVE</v>
      </c>
    </row>
    <row r="14314" ht="15.75" customHeight="1">
      <c r="A14314" s="59"/>
      <c r="B14314" s="63">
        <f t="shared" si="1"/>
        <v>10</v>
      </c>
      <c r="C14314" s="135" t="s">
        <v>508</v>
      </c>
      <c r="D14314" s="161" t="s">
        <v>74</v>
      </c>
      <c r="E14314" s="135">
        <f t="shared" si="62"/>
        <v>6</v>
      </c>
      <c r="F14314" s="134" t="s">
        <v>5566</v>
      </c>
      <c r="G14314" s="63" t="str">
        <f>VLOOKUP(C14314, 'Class Def. - General Data'!$C$20:$C$1000,1,false)</f>
        <v>ZSI1_VALVE</v>
      </c>
      <c r="H14314" s="63" t="str">
        <f>IFERROR(__xludf.DUMMYFUNCTION("VLOOKUP(F14314, IMPORTRANGE(""https://docs.google.com/spreadsheets/d/1Lhp9OU0JdFf_VYSMzH5lBcEaU4o8teT1piV-SNzShjg/edit?gid=554141278#gid=554141278"", ""'Char Def. - Attributes'!C20:C2242""), 1,false)"),"DESIGN_RATING_PN_VALVE")</f>
        <v>DESIGN_RATING_PN_VALVE</v>
      </c>
      <c r="I14314" s="136"/>
      <c r="R14314" s="63" t="str">
        <f t="shared" si="60"/>
        <v>ZSI1_VALVEDESIGN_RATING_PN_VALVE</v>
      </c>
    </row>
    <row r="14315" ht="15.75" customHeight="1">
      <c r="A14315" s="59"/>
      <c r="B14315" s="63">
        <f t="shared" si="1"/>
        <v>10</v>
      </c>
      <c r="C14315" s="135" t="s">
        <v>508</v>
      </c>
      <c r="D14315" s="161" t="s">
        <v>74</v>
      </c>
      <c r="E14315" s="135">
        <f t="shared" si="62"/>
        <v>7</v>
      </c>
      <c r="F14315" s="134" t="s">
        <v>5567</v>
      </c>
      <c r="G14315" s="63" t="str">
        <f>VLOOKUP(C14315, 'Class Def. - General Data'!$C$20:$C$1000,1,false)</f>
        <v>ZSI1_VALVE</v>
      </c>
      <c r="H14315" s="63" t="str">
        <f>IFERROR(__xludf.DUMMYFUNCTION("VLOOKUP(F14315, IMPORTRANGE(""https://docs.google.com/spreadsheets/d/1Lhp9OU0JdFf_VYSMzH5lBcEaU4o8teT1piV-SNzShjg/edit?gid=554141278#gid=554141278"", ""'Char Def. - Attributes'!C20:C2242""), 1,false)"),"CONNECTION_VALVE")</f>
        <v>CONNECTION_VALVE</v>
      </c>
      <c r="I14315" s="136"/>
      <c r="R14315" s="63" t="str">
        <f t="shared" si="60"/>
        <v>ZSI1_VALVECONNECTION_VALVE</v>
      </c>
    </row>
    <row r="14316" ht="15.75" customHeight="1">
      <c r="A14316" s="59"/>
      <c r="B14316" s="63">
        <f t="shared" si="1"/>
        <v>10</v>
      </c>
      <c r="C14316" s="135" t="s">
        <v>508</v>
      </c>
      <c r="D14316" s="161" t="s">
        <v>74</v>
      </c>
      <c r="E14316" s="135">
        <f t="shared" si="62"/>
        <v>8</v>
      </c>
      <c r="F14316" s="134" t="s">
        <v>5568</v>
      </c>
      <c r="G14316" s="63" t="str">
        <f>VLOOKUP(C14316, 'Class Def. - General Data'!$C$20:$C$1000,1,false)</f>
        <v>ZSI1_VALVE</v>
      </c>
      <c r="H14316" s="63" t="str">
        <f>IFERROR(__xludf.DUMMYFUNCTION("VLOOKUP(F14316, IMPORTRANGE(""https://docs.google.com/spreadsheets/d/1Lhp9OU0JdFf_VYSMzH5lBcEaU4o8teT1piV-SNzShjg/edit?gid=554141278#gid=554141278"", ""'Char Def. - Attributes'!C20:C2242""), 1,false)"),"OPERATED_VALVE")</f>
        <v>OPERATED_VALVE</v>
      </c>
      <c r="I14316" s="136"/>
      <c r="R14316" s="63" t="str">
        <f t="shared" si="60"/>
        <v>ZSI1_VALVEOPERATED_VALVE</v>
      </c>
    </row>
    <row r="14317" ht="15.75" customHeight="1">
      <c r="A14317" s="59"/>
      <c r="B14317" s="63">
        <f t="shared" si="1"/>
        <v>10</v>
      </c>
      <c r="C14317" s="135" t="s">
        <v>508</v>
      </c>
      <c r="D14317" s="161" t="s">
        <v>74</v>
      </c>
      <c r="E14317" s="135">
        <f t="shared" si="62"/>
        <v>9</v>
      </c>
      <c r="F14317" s="134" t="s">
        <v>5569</v>
      </c>
      <c r="G14317" s="63" t="str">
        <f>VLOOKUP(C14317, 'Class Def. - General Data'!$C$20:$C$1000,1,false)</f>
        <v>ZSI1_VALVE</v>
      </c>
      <c r="H14317" s="63" t="str">
        <f>IFERROR(__xludf.DUMMYFUNCTION("VLOOKUP(F14317, IMPORTRANGE(""https://docs.google.com/spreadsheets/d/1Lhp9OU0JdFf_VYSMzH5lBcEaU4o8teT1piV-SNzShjg/edit?gid=554141278#gid=554141278"", ""'Char Def. - Attributes'!C20:C2242""), 1,false)"),"BODY_MATERIAL_VALVE")</f>
        <v>BODY_MATERIAL_VALVE</v>
      </c>
      <c r="I14317" s="136"/>
      <c r="R14317" s="63" t="str">
        <f t="shared" si="60"/>
        <v>ZSI1_VALVEBODY_MATERIAL_VALVE</v>
      </c>
    </row>
    <row r="14318" ht="15.75" customHeight="1">
      <c r="A14318" s="59"/>
      <c r="B14318" s="63">
        <f t="shared" si="1"/>
        <v>10</v>
      </c>
      <c r="C14318" s="135" t="s">
        <v>508</v>
      </c>
      <c r="D14318" s="161" t="s">
        <v>74</v>
      </c>
      <c r="E14318" s="135">
        <f t="shared" si="62"/>
        <v>10</v>
      </c>
      <c r="F14318" s="134" t="s">
        <v>5570</v>
      </c>
      <c r="G14318" s="63" t="str">
        <f>VLOOKUP(C14318, 'Class Def. - General Data'!$C$20:$C$1000,1,false)</f>
        <v>ZSI1_VALVE</v>
      </c>
      <c r="H14318" s="63" t="str">
        <f>IFERROR(__xludf.DUMMYFUNCTION("VLOOKUP(F14318, IMPORTRANGE(""https://docs.google.com/spreadsheets/d/1Lhp9OU0JdFf_VYSMzH5lBcEaU4o8teT1piV-SNzShjg/edit?gid=554141278#gid=554141278"", ""'Char Def. - Attributes'!C20:C2242""), 1,false)"),"CONFIGURATION_VALVE")</f>
        <v>CONFIGURATION_VALVE</v>
      </c>
      <c r="I14318" s="136"/>
      <c r="R14318" s="63" t="str">
        <f t="shared" si="60"/>
        <v>ZSI1_VALVECONFIGURATION_VALVE</v>
      </c>
    </row>
    <row r="14319" ht="15.75" customHeight="1">
      <c r="A14319" s="59"/>
      <c r="B14319" s="63">
        <f t="shared" si="1"/>
        <v>10</v>
      </c>
      <c r="C14319" s="135" t="s">
        <v>508</v>
      </c>
      <c r="D14319" s="161" t="s">
        <v>74</v>
      </c>
      <c r="E14319" s="135">
        <f t="shared" si="62"/>
        <v>11</v>
      </c>
      <c r="F14319" s="134" t="s">
        <v>5571</v>
      </c>
      <c r="G14319" s="63" t="str">
        <f>VLOOKUP(C14319, 'Class Def. - General Data'!$C$20:$C$1000,1,false)</f>
        <v>ZSI1_VALVE</v>
      </c>
      <c r="H14319" s="63" t="str">
        <f>IFERROR(__xludf.DUMMYFUNCTION("VLOOKUP(F14319, IMPORTRANGE(""https://docs.google.com/spreadsheets/d/1Lhp9OU0JdFf_VYSMzH5lBcEaU4o8teT1piV-SNzShjg/edit?gid=554141278#gid=554141278"", ""'Char Def. - Attributes'!C20:C2242""), 1,false)"),"STYLE_VALVE")</f>
        <v>STYLE_VALVE</v>
      </c>
      <c r="I14319" s="136"/>
      <c r="R14319" s="63" t="str">
        <f t="shared" si="60"/>
        <v>ZSI1_VALVESTYLE_VALVE</v>
      </c>
    </row>
    <row r="14320" ht="15.75" customHeight="1">
      <c r="A14320" s="59"/>
      <c r="B14320" s="63">
        <f t="shared" si="1"/>
        <v>10</v>
      </c>
      <c r="C14320" s="135" t="s">
        <v>508</v>
      </c>
      <c r="D14320" s="161" t="s">
        <v>74</v>
      </c>
      <c r="E14320" s="135">
        <f t="shared" si="62"/>
        <v>12</v>
      </c>
      <c r="F14320" s="134" t="s">
        <v>5572</v>
      </c>
      <c r="G14320" s="63" t="str">
        <f>VLOOKUP(C14320, 'Class Def. - General Data'!$C$20:$C$1000,1,false)</f>
        <v>ZSI1_VALVE</v>
      </c>
      <c r="H14320" s="63" t="str">
        <f>IFERROR(__xludf.DUMMYFUNCTION("VLOOKUP(F14320, IMPORTRANGE(""https://docs.google.com/spreadsheets/d/1Lhp9OU0JdFf_VYSMzH5lBcEaU4o8teT1piV-SNzShjg/edit?gid=554141278#gid=554141278"", ""'Char Def. - Attributes'!C20:C2242""), 1,false)"),"MFR_NO_VALVE")</f>
        <v>MFR_NO_VALVE</v>
      </c>
      <c r="I14320" s="136"/>
      <c r="R14320" s="63" t="str">
        <f t="shared" si="60"/>
        <v>ZSI1_VALVEMFR_NO_VALVE</v>
      </c>
    </row>
    <row r="14321" ht="15.75" customHeight="1">
      <c r="A14321" s="59"/>
      <c r="B14321" s="63">
        <f t="shared" si="1"/>
        <v>10</v>
      </c>
      <c r="C14321" s="135" t="s">
        <v>508</v>
      </c>
      <c r="D14321" s="161" t="s">
        <v>74</v>
      </c>
      <c r="E14321" s="135">
        <f t="shared" si="62"/>
        <v>13</v>
      </c>
      <c r="F14321" s="134" t="s">
        <v>3782</v>
      </c>
      <c r="G14321" s="63" t="str">
        <f>VLOOKUP(C14321, 'Class Def. - General Data'!$C$20:$C$1000,1,false)</f>
        <v>ZSI1_VALVE</v>
      </c>
      <c r="H14321" s="63" t="str">
        <f>IFERROR(__xludf.DUMMYFUNCTION("VLOOKUP(F14321, IMPORTRANGE(""https://docs.google.com/spreadsheets/d/1Lhp9OU0JdFf_VYSMzH5lBcEaU4o8teT1piV-SNzShjg/edit?gid=554141278#gid=554141278"", ""'Char Def. - Attributes'!C20:C2242""), 1,false)"),"BRAND_EXTERNAL")</f>
        <v>BRAND_EXTERNAL</v>
      </c>
      <c r="I14321" s="136"/>
      <c r="R14321" s="63" t="str">
        <f t="shared" si="60"/>
        <v>ZSI1_VALVEBRAND_EXTERNAL</v>
      </c>
    </row>
    <row r="14322" ht="15.75" customHeight="1">
      <c r="A14322" s="59"/>
      <c r="B14322" s="63">
        <f t="shared" si="1"/>
        <v>10</v>
      </c>
      <c r="C14322" s="135" t="s">
        <v>508</v>
      </c>
      <c r="D14322" s="161" t="s">
        <v>74</v>
      </c>
      <c r="E14322" s="135">
        <f t="shared" si="62"/>
        <v>14</v>
      </c>
      <c r="F14322" s="134" t="s">
        <v>4053</v>
      </c>
      <c r="G14322" s="63" t="str">
        <f>VLOOKUP(C14322, 'Class Def. - General Data'!$C$20:$C$1000,1,false)</f>
        <v>ZSI1_VALVE</v>
      </c>
      <c r="H14322" s="63" t="str">
        <f>IFERROR(__xludf.DUMMYFUNCTION("VLOOKUP(F14322, IMPORTRANGE(""https://docs.google.com/spreadsheets/d/1Lhp9OU0JdFf_VYSMzH5lBcEaU4o8teT1piV-SNzShjg/edit?gid=554141278#gid=554141278"", ""'Char Def. - Attributes'!C20:C2242""), 1,false)"),"MAINTENANCE_ORDER_TYPE")</f>
        <v>MAINTENANCE_ORDER_TYPE</v>
      </c>
      <c r="I14322" s="136"/>
      <c r="R14322" s="63" t="str">
        <f t="shared" si="60"/>
        <v>ZSI1_VALVEMAINTENANCE_ORDER_TYPE</v>
      </c>
    </row>
    <row r="14323" ht="15.75" customHeight="1">
      <c r="A14323" s="59"/>
      <c r="B14323" s="63">
        <f t="shared" si="1"/>
        <v>10</v>
      </c>
      <c r="C14323" s="135" t="s">
        <v>508</v>
      </c>
      <c r="D14323" s="161" t="s">
        <v>74</v>
      </c>
      <c r="E14323" s="135">
        <f t="shared" si="62"/>
        <v>15</v>
      </c>
      <c r="F14323" s="134" t="s">
        <v>3585</v>
      </c>
      <c r="G14323" s="63" t="str">
        <f>VLOOKUP(C14323, 'Class Def. - General Data'!$C$20:$C$1000,1,false)</f>
        <v>ZSI1_VALVE</v>
      </c>
      <c r="H14323" s="63" t="str">
        <f>IFERROR(__xludf.DUMMYFUNCTION("VLOOKUP(F14323, IMPORTRANGE(""https://docs.google.com/spreadsheets/d/1Lhp9OU0JdFf_VYSMzH5lBcEaU4o8teT1piV-SNzShjg/edit?gid=554141278#gid=554141278"", ""'Char Def. - Attributes'!C20:C2242""), 1,false)"),"HS_CODE")</f>
        <v>HS_CODE</v>
      </c>
      <c r="I14323" s="136"/>
      <c r="R14323" s="63" t="str">
        <f t="shared" si="60"/>
        <v>ZSI1_VALVEHS_CODE</v>
      </c>
    </row>
    <row r="14324" ht="15.75" customHeight="1">
      <c r="A14324" s="59"/>
      <c r="B14324" s="63">
        <f t="shared" si="1"/>
        <v>10</v>
      </c>
      <c r="C14324" s="135" t="s">
        <v>508</v>
      </c>
      <c r="D14324" s="161" t="s">
        <v>74</v>
      </c>
      <c r="E14324" s="135">
        <f t="shared" si="62"/>
        <v>16</v>
      </c>
      <c r="F14324" s="134" t="s">
        <v>3587</v>
      </c>
      <c r="G14324" s="63" t="str">
        <f>VLOOKUP(C14324, 'Class Def. - General Data'!$C$20:$C$1000,1,false)</f>
        <v>ZSI1_VALVE</v>
      </c>
      <c r="H14324" s="63" t="str">
        <f>IFERROR(__xludf.DUMMYFUNCTION("VLOOKUP(F14324, IMPORTRANGE(""https://docs.google.com/spreadsheets/d/1Lhp9OU0JdFf_VYSMzH5lBcEaU4o8teT1piV-SNzShjg/edit?gid=554141278#gid=554141278"", ""'Char Def. - Attributes'!C20:C2242""), 1,false)"),"PLANT_BUY")</f>
        <v>PLANT_BUY</v>
      </c>
      <c r="I14324" s="136"/>
      <c r="R14324" s="63" t="str">
        <f t="shared" si="60"/>
        <v>ZSI1_VALVEPLANT_BUY</v>
      </c>
    </row>
    <row r="14325" ht="15.75" customHeight="1">
      <c r="A14325" s="59"/>
      <c r="B14325" s="63">
        <f t="shared" si="1"/>
        <v>10</v>
      </c>
      <c r="C14325" s="135" t="s">
        <v>508</v>
      </c>
      <c r="D14325" s="161" t="s">
        <v>74</v>
      </c>
      <c r="E14325" s="135">
        <f t="shared" si="62"/>
        <v>17</v>
      </c>
      <c r="F14325" s="134" t="s">
        <v>5573</v>
      </c>
      <c r="G14325" s="63" t="str">
        <f>VLOOKUP(C14325, 'Class Def. - General Data'!$C$20:$C$1000,1,false)</f>
        <v>ZSI1_VALVE</v>
      </c>
      <c r="H14325" s="63" t="str">
        <f>IFERROR(__xludf.DUMMYFUNCTION("VLOOKUP(F14325, IMPORTRANGE(""https://docs.google.com/spreadsheets/d/1Lhp9OU0JdFf_VYSMzH5lBcEaU4o8teT1piV-SNzShjg/edit?gid=554141278#gid=554141278"", ""'Char Def. - Attributes'!C20:C2242""), 1,false)"),"BASE_UOM_VALVE")</f>
        <v>BASE_UOM_VALVE</v>
      </c>
      <c r="I14325" s="136"/>
      <c r="R14325" s="63" t="str">
        <f t="shared" si="60"/>
        <v>ZSI1_VALVEBASE_UOM_VALVE</v>
      </c>
    </row>
    <row r="14326" ht="15.75" customHeight="1">
      <c r="A14326" s="59"/>
      <c r="B14326" s="63">
        <f t="shared" si="1"/>
        <v>10</v>
      </c>
      <c r="C14326" s="135" t="s">
        <v>508</v>
      </c>
      <c r="D14326" s="161" t="s">
        <v>74</v>
      </c>
      <c r="E14326" s="135">
        <f t="shared" si="62"/>
        <v>18</v>
      </c>
      <c r="F14326" s="134" t="s">
        <v>5574</v>
      </c>
      <c r="G14326" s="63" t="str">
        <f>VLOOKUP(C14326, 'Class Def. - General Data'!$C$20:$C$1000,1,false)</f>
        <v>ZSI1_VALVE</v>
      </c>
      <c r="H14326" s="63" t="str">
        <f>IFERROR(__xludf.DUMMYFUNCTION("VLOOKUP(F14326, IMPORTRANGE(""https://docs.google.com/spreadsheets/d/1Lhp9OU0JdFf_VYSMzH5lBcEaU4o8teT1piV-SNzShjg/edit?gid=554141278#gid=554141278"", ""'Char Def. - Attributes'!C20:C2242""), 1,false)"),"ORDER_UNIT_VALVE")</f>
        <v>ORDER_UNIT_VALVE</v>
      </c>
      <c r="I14326" s="136"/>
      <c r="R14326" s="63" t="str">
        <f t="shared" si="60"/>
        <v>ZSI1_VALVEORDER_UNIT_VALVE</v>
      </c>
    </row>
    <row r="14327" ht="15.75" customHeight="1">
      <c r="A14327" s="59"/>
      <c r="B14327" s="63">
        <f t="shared" si="1"/>
        <v>10</v>
      </c>
      <c r="C14327" s="135" t="s">
        <v>508</v>
      </c>
      <c r="D14327" s="161" t="s">
        <v>74</v>
      </c>
      <c r="E14327" s="135">
        <f t="shared" si="62"/>
        <v>19</v>
      </c>
      <c r="F14327" s="134" t="s">
        <v>4056</v>
      </c>
      <c r="G14327" s="63" t="str">
        <f>VLOOKUP(C14327, 'Class Def. - General Data'!$C$20:$C$1000,1,false)</f>
        <v>ZSI1_VALVE</v>
      </c>
      <c r="H14327" s="63" t="str">
        <f>IFERROR(__xludf.DUMMYFUNCTION("VLOOKUP(F14327, IMPORTRANGE(""https://docs.google.com/spreadsheets/d/1Lhp9OU0JdFf_VYSMzH5lBcEaU4o8teT1piV-SNzShjg/edit?gid=554141278#gid=554141278"", ""'Char Def. - Attributes'!C20:C2242""), 1,false)"),"GROSS_WEIGHT_OPT")</f>
        <v>GROSS_WEIGHT_OPT</v>
      </c>
      <c r="I14327" s="136"/>
      <c r="R14327" s="63" t="str">
        <f t="shared" si="60"/>
        <v>ZSI1_VALVEGROSS_WEIGHT_OPT</v>
      </c>
    </row>
    <row r="14328" ht="15.75" customHeight="1">
      <c r="A14328" s="59"/>
      <c r="B14328" s="63">
        <f t="shared" si="1"/>
        <v>10</v>
      </c>
      <c r="C14328" s="135" t="s">
        <v>508</v>
      </c>
      <c r="D14328" s="161" t="s">
        <v>74</v>
      </c>
      <c r="E14328" s="135">
        <f t="shared" si="62"/>
        <v>20</v>
      </c>
      <c r="F14328" s="134" t="s">
        <v>4057</v>
      </c>
      <c r="G14328" s="63" t="str">
        <f>VLOOKUP(C14328, 'Class Def. - General Data'!$C$20:$C$1000,1,false)</f>
        <v>ZSI1_VALVE</v>
      </c>
      <c r="H14328" s="63" t="str">
        <f>IFERROR(__xludf.DUMMYFUNCTION("VLOOKUP(F14328, IMPORTRANGE(""https://docs.google.com/spreadsheets/d/1Lhp9OU0JdFf_VYSMzH5lBcEaU4o8teT1piV-SNzShjg/edit?gid=554141278#gid=554141278"", ""'Char Def. - Attributes'!C20:C2242""), 1,false)"),"NET_WEIGHT_OPT")</f>
        <v>NET_WEIGHT_OPT</v>
      </c>
      <c r="I14328" s="136"/>
      <c r="R14328" s="63" t="str">
        <f t="shared" si="60"/>
        <v>ZSI1_VALVENET_WEIGHT_OPT</v>
      </c>
    </row>
    <row r="14329" ht="15.75" customHeight="1">
      <c r="A14329" s="59"/>
      <c r="B14329" s="63">
        <f t="shared" si="1"/>
        <v>10</v>
      </c>
      <c r="C14329" s="135" t="s">
        <v>508</v>
      </c>
      <c r="D14329" s="161" t="s">
        <v>74</v>
      </c>
      <c r="E14329" s="135">
        <f t="shared" si="62"/>
        <v>21</v>
      </c>
      <c r="F14329" s="134" t="s">
        <v>4058</v>
      </c>
      <c r="G14329" s="63" t="str">
        <f>VLOOKUP(C14329, 'Class Def. - General Data'!$C$20:$C$1000,1,false)</f>
        <v>ZSI1_VALVE</v>
      </c>
      <c r="H14329" s="63" t="str">
        <f>IFERROR(__xludf.DUMMYFUNCTION("VLOOKUP(F14329, IMPORTRANGE(""https://docs.google.com/spreadsheets/d/1Lhp9OU0JdFf_VYSMzH5lBcEaU4o8teT1piV-SNzShjg/edit?gid=554141278#gid=554141278"", ""'Char Def. - Attributes'!C20:C2242""), 1,false)"),"WEIGHT_UNIT_SI")</f>
        <v>WEIGHT_UNIT_SI</v>
      </c>
      <c r="I14329" s="136"/>
      <c r="R14329" s="63" t="str">
        <f t="shared" si="60"/>
        <v>ZSI1_VALVEWEIGHT_UNIT_SI</v>
      </c>
    </row>
    <row r="14330" ht="15.75" customHeight="1">
      <c r="A14330" s="59"/>
      <c r="B14330" s="63">
        <f t="shared" si="1"/>
        <v>10</v>
      </c>
      <c r="C14330" s="135" t="s">
        <v>508</v>
      </c>
      <c r="D14330" s="161" t="s">
        <v>74</v>
      </c>
      <c r="E14330" s="135">
        <f t="shared" si="62"/>
        <v>22</v>
      </c>
      <c r="F14330" s="134" t="s">
        <v>3877</v>
      </c>
      <c r="G14330" s="63" t="str">
        <f>VLOOKUP(C14330, 'Class Def. - General Data'!$C$20:$C$1000,1,false)</f>
        <v>ZSI1_VALVE</v>
      </c>
      <c r="H14330" s="63" t="str">
        <f>IFERROR(__xludf.DUMMYFUNCTION("VLOOKUP(F14330, IMPORTRANGE(""https://docs.google.com/spreadsheets/d/1Lhp9OU0JdFf_VYSMzH5lBcEaU4o8teT1piV-SNzShjg/edit?gid=554141278#gid=554141278"", ""'Char Def. - Attributes'!C20:C2242""), 1,false)"),"VOLUME_OPT")</f>
        <v>VOLUME_OPT</v>
      </c>
      <c r="I14330" s="136"/>
      <c r="R14330" s="63" t="str">
        <f t="shared" si="60"/>
        <v>ZSI1_VALVEVOLUME_OPT</v>
      </c>
    </row>
    <row r="14331" ht="15.75" customHeight="1">
      <c r="A14331" s="59"/>
      <c r="B14331" s="63">
        <f t="shared" si="1"/>
        <v>10</v>
      </c>
      <c r="C14331" s="135" t="s">
        <v>508</v>
      </c>
      <c r="D14331" s="161" t="s">
        <v>74</v>
      </c>
      <c r="E14331" s="135">
        <f t="shared" si="62"/>
        <v>23</v>
      </c>
      <c r="F14331" s="134" t="s">
        <v>4059</v>
      </c>
      <c r="G14331" s="63" t="str">
        <f>VLOOKUP(C14331, 'Class Def. - General Data'!$C$20:$C$1000,1,false)</f>
        <v>ZSI1_VALVE</v>
      </c>
      <c r="H14331" s="63" t="str">
        <f>IFERROR(__xludf.DUMMYFUNCTION("VLOOKUP(F14331, IMPORTRANGE(""https://docs.google.com/spreadsheets/d/1Lhp9OU0JdFf_VYSMzH5lBcEaU4o8teT1piV-SNzShjg/edit?gid=554141278#gid=554141278"", ""'Char Def. - Attributes'!C20:C2242""), 1,false)"),"VOLUME_UNIT_SI")</f>
        <v>VOLUME_UNIT_SI</v>
      </c>
      <c r="I14331" s="136"/>
      <c r="R14331" s="63" t="str">
        <f t="shared" si="60"/>
        <v>ZSI1_VALVEVOLUME_UNIT_SI</v>
      </c>
    </row>
    <row r="14332" ht="15.75" customHeight="1">
      <c r="A14332" s="59"/>
      <c r="B14332" s="63">
        <f t="shared" si="1"/>
        <v>10</v>
      </c>
      <c r="C14332" s="135" t="s">
        <v>508</v>
      </c>
      <c r="D14332" s="161" t="s">
        <v>74</v>
      </c>
      <c r="E14332" s="135">
        <f t="shared" si="62"/>
        <v>24</v>
      </c>
      <c r="F14332" s="134" t="s">
        <v>3804</v>
      </c>
      <c r="G14332" s="63" t="str">
        <f>VLOOKUP(C14332, 'Class Def. - General Data'!$C$20:$C$1000,1,false)</f>
        <v>ZSI1_VALVE</v>
      </c>
      <c r="H14332" s="63" t="str">
        <f>IFERROR(__xludf.DUMMYFUNCTION("VLOOKUP(F14332, IMPORTRANGE(""https://docs.google.com/spreadsheets/d/1Lhp9OU0JdFf_VYSMzH5lBcEaU4o8teT1piV-SNzShjg/edit?gid=554141278#gid=554141278"", ""'Char Def. - Attributes'!C20:C2242""), 1,false)"),"ALT_UOM1_SIPI")</f>
        <v>ALT_UOM1_SIPI</v>
      </c>
      <c r="I14332" s="136"/>
      <c r="R14332" s="63" t="str">
        <f t="shared" si="60"/>
        <v>ZSI1_VALVEALT_UOM1_SIPI</v>
      </c>
    </row>
    <row r="14333" ht="15.75" customHeight="1">
      <c r="A14333" s="59"/>
      <c r="B14333" s="63">
        <f t="shared" si="1"/>
        <v>10</v>
      </c>
      <c r="C14333" s="135" t="s">
        <v>508</v>
      </c>
      <c r="D14333" s="161" t="s">
        <v>74</v>
      </c>
      <c r="E14333" s="135">
        <f t="shared" si="62"/>
        <v>25</v>
      </c>
      <c r="F14333" s="134" t="s">
        <v>3805</v>
      </c>
      <c r="G14333" s="63" t="str">
        <f>VLOOKUP(C14333, 'Class Def. - General Data'!$C$20:$C$1000,1,false)</f>
        <v>ZSI1_VALVE</v>
      </c>
      <c r="H14333" s="63" t="str">
        <f>IFERROR(__xludf.DUMMYFUNCTION("VLOOKUP(F14333, IMPORTRANGE(""https://docs.google.com/spreadsheets/d/1Lhp9OU0JdFf_VYSMzH5lBcEaU4o8teT1piV-SNzShjg/edit?gid=554141278#gid=554141278"", ""'Char Def. - Attributes'!C20:C2242""), 1,false)"),"ALT_DENUM_UOM1")</f>
        <v>ALT_DENUM_UOM1</v>
      </c>
      <c r="I14333" s="136"/>
      <c r="R14333" s="63" t="str">
        <f t="shared" si="60"/>
        <v>ZSI1_VALVEALT_DENUM_UOM1</v>
      </c>
    </row>
    <row r="14334" ht="15.75" customHeight="1">
      <c r="A14334" s="59"/>
      <c r="B14334" s="63">
        <f t="shared" si="1"/>
        <v>10</v>
      </c>
      <c r="C14334" s="135" t="s">
        <v>508</v>
      </c>
      <c r="D14334" s="161" t="s">
        <v>74</v>
      </c>
      <c r="E14334" s="135">
        <f t="shared" si="62"/>
        <v>26</v>
      </c>
      <c r="F14334" s="134" t="s">
        <v>3806</v>
      </c>
      <c r="G14334" s="63" t="str">
        <f>VLOOKUP(C14334, 'Class Def. - General Data'!$C$20:$C$1000,1,false)</f>
        <v>ZSI1_VALVE</v>
      </c>
      <c r="H14334" s="63" t="str">
        <f>IFERROR(__xludf.DUMMYFUNCTION("VLOOKUP(F14334, IMPORTRANGE(""https://docs.google.com/spreadsheets/d/1Lhp9OU0JdFf_VYSMzH5lBcEaU4o8teT1piV-SNzShjg/edit?gid=554141278#gid=554141278"", ""'Char Def. - Attributes'!C20:C2242""), 1,false)"),"ALT_NUM_UOM1")</f>
        <v>ALT_NUM_UOM1</v>
      </c>
      <c r="I14334" s="136"/>
      <c r="R14334" s="63" t="str">
        <f t="shared" si="60"/>
        <v>ZSI1_VALVEALT_NUM_UOM1</v>
      </c>
    </row>
    <row r="14335" ht="15.75" customHeight="1">
      <c r="A14335" s="59"/>
      <c r="B14335" s="63">
        <f t="shared" si="1"/>
        <v>10</v>
      </c>
      <c r="C14335" s="135" t="s">
        <v>508</v>
      </c>
      <c r="D14335" s="161" t="s">
        <v>74</v>
      </c>
      <c r="E14335" s="135">
        <f t="shared" si="62"/>
        <v>27</v>
      </c>
      <c r="F14335" s="134" t="s">
        <v>3807</v>
      </c>
      <c r="G14335" s="63" t="str">
        <f>VLOOKUP(C14335, 'Class Def. - General Data'!$C$20:$C$1000,1,false)</f>
        <v>ZSI1_VALVE</v>
      </c>
      <c r="H14335" s="63" t="str">
        <f>IFERROR(__xludf.DUMMYFUNCTION("VLOOKUP(F14335, IMPORTRANGE(""https://docs.google.com/spreadsheets/d/1Lhp9OU0JdFf_VYSMzH5lBcEaU4o8teT1piV-SNzShjg/edit?gid=554141278#gid=554141278"", ""'Char Def. - Attributes'!C20:C2242""), 1,false)"),"ALT_UOM2_SIPI")</f>
        <v>ALT_UOM2_SIPI</v>
      </c>
      <c r="I14335" s="136"/>
      <c r="R14335" s="63" t="str">
        <f t="shared" si="60"/>
        <v>ZSI1_VALVEALT_UOM2_SIPI</v>
      </c>
    </row>
    <row r="14336" ht="15.75" customHeight="1">
      <c r="A14336" s="59"/>
      <c r="B14336" s="63">
        <f t="shared" si="1"/>
        <v>10</v>
      </c>
      <c r="C14336" s="135" t="s">
        <v>508</v>
      </c>
      <c r="D14336" s="161" t="s">
        <v>74</v>
      </c>
      <c r="E14336" s="135">
        <f t="shared" si="62"/>
        <v>28</v>
      </c>
      <c r="F14336" s="134" t="s">
        <v>3808</v>
      </c>
      <c r="G14336" s="63" t="str">
        <f>VLOOKUP(C14336, 'Class Def. - General Data'!$C$20:$C$1000,1,false)</f>
        <v>ZSI1_VALVE</v>
      </c>
      <c r="H14336" s="63" t="str">
        <f>IFERROR(__xludf.DUMMYFUNCTION("VLOOKUP(F14336, IMPORTRANGE(""https://docs.google.com/spreadsheets/d/1Lhp9OU0JdFf_VYSMzH5lBcEaU4o8teT1piV-SNzShjg/edit?gid=554141278#gid=554141278"", ""'Char Def. - Attributes'!C20:C2242""), 1,false)"),"ALT_DENUM_UOM2")</f>
        <v>ALT_DENUM_UOM2</v>
      </c>
      <c r="I14336" s="136"/>
      <c r="R14336" s="63" t="str">
        <f t="shared" si="60"/>
        <v>ZSI1_VALVEALT_DENUM_UOM2</v>
      </c>
    </row>
    <row r="14337" ht="15.75" customHeight="1">
      <c r="A14337" s="59"/>
      <c r="B14337" s="63">
        <f t="shared" si="1"/>
        <v>10</v>
      </c>
      <c r="C14337" s="135" t="s">
        <v>508</v>
      </c>
      <c r="D14337" s="161" t="s">
        <v>74</v>
      </c>
      <c r="E14337" s="135">
        <f t="shared" si="62"/>
        <v>29</v>
      </c>
      <c r="F14337" s="134" t="s">
        <v>3809</v>
      </c>
      <c r="G14337" s="63" t="str">
        <f>VLOOKUP(C14337, 'Class Def. - General Data'!$C$20:$C$1000,1,false)</f>
        <v>ZSI1_VALVE</v>
      </c>
      <c r="H14337" s="63" t="str">
        <f>IFERROR(__xludf.DUMMYFUNCTION("VLOOKUP(F14337, IMPORTRANGE(""https://docs.google.com/spreadsheets/d/1Lhp9OU0JdFf_VYSMzH5lBcEaU4o8teT1piV-SNzShjg/edit?gid=554141278#gid=554141278"", ""'Char Def. - Attributes'!C20:C2242""), 1,false)"),"ALT_NUM_UOM2")</f>
        <v>ALT_NUM_UOM2</v>
      </c>
      <c r="I14337" s="136"/>
      <c r="R14337" s="63" t="str">
        <f t="shared" si="60"/>
        <v>ZSI1_VALVEALT_NUM_UOM2</v>
      </c>
    </row>
    <row r="14338" ht="15.75" customHeight="1">
      <c r="A14338" s="59"/>
      <c r="B14338" s="63">
        <f t="shared" si="1"/>
        <v>10</v>
      </c>
      <c r="C14338" s="135" t="s">
        <v>508</v>
      </c>
      <c r="D14338" s="161" t="s">
        <v>74</v>
      </c>
      <c r="E14338" s="135">
        <f t="shared" si="62"/>
        <v>30</v>
      </c>
      <c r="F14338" s="134" t="s">
        <v>3810</v>
      </c>
      <c r="G14338" s="63" t="str">
        <f>VLOOKUP(C14338, 'Class Def. - General Data'!$C$20:$C$1000,1,false)</f>
        <v>ZSI1_VALVE</v>
      </c>
      <c r="H14338" s="63" t="str">
        <f>IFERROR(__xludf.DUMMYFUNCTION("VLOOKUP(F14338, IMPORTRANGE(""https://docs.google.com/spreadsheets/d/1Lhp9OU0JdFf_VYSMzH5lBcEaU4o8teT1piV-SNzShjg/edit?gid=554141278#gid=554141278"", ""'Char Def. - Attributes'!C20:C2242""), 1,false)"),"ALT_UOM3_SIPI")</f>
        <v>ALT_UOM3_SIPI</v>
      </c>
      <c r="I14338" s="136"/>
      <c r="R14338" s="63" t="str">
        <f t="shared" si="60"/>
        <v>ZSI1_VALVEALT_UOM3_SIPI</v>
      </c>
    </row>
    <row r="14339" ht="15.75" customHeight="1">
      <c r="A14339" s="59"/>
      <c r="B14339" s="63">
        <f t="shared" si="1"/>
        <v>10</v>
      </c>
      <c r="C14339" s="135" t="s">
        <v>508</v>
      </c>
      <c r="D14339" s="161" t="s">
        <v>74</v>
      </c>
      <c r="E14339" s="135">
        <f t="shared" si="62"/>
        <v>31</v>
      </c>
      <c r="F14339" s="134" t="s">
        <v>3811</v>
      </c>
      <c r="G14339" s="63" t="str">
        <f>VLOOKUP(C14339, 'Class Def. - General Data'!$C$20:$C$1000,1,false)</f>
        <v>ZSI1_VALVE</v>
      </c>
      <c r="H14339" s="63" t="str">
        <f>IFERROR(__xludf.DUMMYFUNCTION("VLOOKUP(F14339, IMPORTRANGE(""https://docs.google.com/spreadsheets/d/1Lhp9OU0JdFf_VYSMzH5lBcEaU4o8teT1piV-SNzShjg/edit?gid=554141278#gid=554141278"", ""'Char Def. - Attributes'!C20:C2242""), 1,false)"),"ALT_DENUM_UOM3")</f>
        <v>ALT_DENUM_UOM3</v>
      </c>
      <c r="I14339" s="136"/>
      <c r="R14339" s="63" t="str">
        <f t="shared" si="60"/>
        <v>ZSI1_VALVEALT_DENUM_UOM3</v>
      </c>
    </row>
    <row r="14340" ht="15.75" customHeight="1">
      <c r="A14340" s="59"/>
      <c r="B14340" s="63">
        <f t="shared" si="1"/>
        <v>10</v>
      </c>
      <c r="C14340" s="135" t="s">
        <v>508</v>
      </c>
      <c r="D14340" s="161" t="s">
        <v>74</v>
      </c>
      <c r="E14340" s="135">
        <f t="shared" si="62"/>
        <v>32</v>
      </c>
      <c r="F14340" s="134" t="s">
        <v>3812</v>
      </c>
      <c r="G14340" s="63" t="str">
        <f>VLOOKUP(C14340, 'Class Def. - General Data'!$C$20:$C$1000,1,false)</f>
        <v>ZSI1_VALVE</v>
      </c>
      <c r="H14340" s="63" t="str">
        <f>IFERROR(__xludf.DUMMYFUNCTION("VLOOKUP(F14340, IMPORTRANGE(""https://docs.google.com/spreadsheets/d/1Lhp9OU0JdFf_VYSMzH5lBcEaU4o8teT1piV-SNzShjg/edit?gid=554141278#gid=554141278"", ""'Char Def. - Attributes'!C20:C2242""), 1,false)"),"ALT_NUM_UOM3")</f>
        <v>ALT_NUM_UOM3</v>
      </c>
      <c r="I14340" s="136"/>
      <c r="R14340" s="63" t="str">
        <f t="shared" si="60"/>
        <v>ZSI1_VALVEALT_NUM_UOM3</v>
      </c>
    </row>
    <row r="14341" ht="15.75" customHeight="1">
      <c r="A14341" s="59"/>
      <c r="B14341" s="63">
        <f t="shared" si="1"/>
        <v>10</v>
      </c>
      <c r="C14341" s="135" t="s">
        <v>508</v>
      </c>
      <c r="D14341" s="161" t="s">
        <v>74</v>
      </c>
      <c r="E14341" s="135">
        <f t="shared" si="62"/>
        <v>33</v>
      </c>
      <c r="F14341" s="134" t="s">
        <v>3813</v>
      </c>
      <c r="G14341" s="63" t="str">
        <f>VLOOKUP(C14341, 'Class Def. - General Data'!$C$20:$C$1000,1,false)</f>
        <v>ZSI1_VALVE</v>
      </c>
      <c r="H14341" s="63" t="str">
        <f>IFERROR(__xludf.DUMMYFUNCTION("VLOOKUP(F14341, IMPORTRANGE(""https://docs.google.com/spreadsheets/d/1Lhp9OU0JdFf_VYSMzH5lBcEaU4o8teT1piV-SNzShjg/edit?gid=554141278#gid=554141278"", ""'Char Def. - Attributes'!C20:C2242""), 1,false)"),"ALT_UOM4_SIPI")</f>
        <v>ALT_UOM4_SIPI</v>
      </c>
      <c r="I14341" s="136"/>
      <c r="R14341" s="63" t="str">
        <f t="shared" si="60"/>
        <v>ZSI1_VALVEALT_UOM4_SIPI</v>
      </c>
    </row>
    <row r="14342" ht="15.75" customHeight="1">
      <c r="A14342" s="59"/>
      <c r="B14342" s="63">
        <f t="shared" si="1"/>
        <v>10</v>
      </c>
      <c r="C14342" s="135" t="s">
        <v>508</v>
      </c>
      <c r="D14342" s="161" t="s">
        <v>74</v>
      </c>
      <c r="E14342" s="135">
        <f t="shared" si="62"/>
        <v>34</v>
      </c>
      <c r="F14342" s="134" t="s">
        <v>3814</v>
      </c>
      <c r="G14342" s="63" t="str">
        <f>VLOOKUP(C14342, 'Class Def. - General Data'!$C$20:$C$1000,1,false)</f>
        <v>ZSI1_VALVE</v>
      </c>
      <c r="H14342" s="63" t="str">
        <f>IFERROR(__xludf.DUMMYFUNCTION("VLOOKUP(F14342, IMPORTRANGE(""https://docs.google.com/spreadsheets/d/1Lhp9OU0JdFf_VYSMzH5lBcEaU4o8teT1piV-SNzShjg/edit?gid=554141278#gid=554141278"", ""'Char Def. - Attributes'!C20:C2242""), 1,false)"),"ALT_DENUM_UOM4")</f>
        <v>ALT_DENUM_UOM4</v>
      </c>
      <c r="I14342" s="136"/>
      <c r="R14342" s="63" t="str">
        <f t="shared" si="60"/>
        <v>ZSI1_VALVEALT_DENUM_UOM4</v>
      </c>
    </row>
    <row r="14343" ht="15.75" customHeight="1">
      <c r="A14343" s="59"/>
      <c r="B14343" s="63">
        <f t="shared" si="1"/>
        <v>10</v>
      </c>
      <c r="C14343" s="135" t="s">
        <v>508</v>
      </c>
      <c r="D14343" s="161" t="s">
        <v>74</v>
      </c>
      <c r="E14343" s="135">
        <f t="shared" si="62"/>
        <v>35</v>
      </c>
      <c r="F14343" s="134" t="s">
        <v>3815</v>
      </c>
      <c r="G14343" s="63" t="str">
        <f>VLOOKUP(C14343, 'Class Def. - General Data'!$C$20:$C$1000,1,false)</f>
        <v>ZSI1_VALVE</v>
      </c>
      <c r="H14343" s="63" t="str">
        <f>IFERROR(__xludf.DUMMYFUNCTION("VLOOKUP(F14343, IMPORTRANGE(""https://docs.google.com/spreadsheets/d/1Lhp9OU0JdFf_VYSMzH5lBcEaU4o8teT1piV-SNzShjg/edit?gid=554141278#gid=554141278"", ""'Char Def. - Attributes'!C20:C2242""), 1,false)"),"ALT_NUM_UOM4")</f>
        <v>ALT_NUM_UOM4</v>
      </c>
      <c r="I14343" s="136"/>
      <c r="R14343" s="63" t="str">
        <f t="shared" si="60"/>
        <v>ZSI1_VALVEALT_NUM_UOM4</v>
      </c>
    </row>
    <row r="14344" ht="15.75" customHeight="1">
      <c r="A14344" s="59"/>
      <c r="B14344" s="63">
        <f t="shared" si="1"/>
        <v>10</v>
      </c>
      <c r="C14344" s="135" t="s">
        <v>508</v>
      </c>
      <c r="D14344" s="161" t="s">
        <v>74</v>
      </c>
      <c r="E14344" s="135">
        <f t="shared" si="62"/>
        <v>36</v>
      </c>
      <c r="F14344" s="134" t="s">
        <v>3816</v>
      </c>
      <c r="G14344" s="63" t="str">
        <f>VLOOKUP(C14344, 'Class Def. - General Data'!$C$20:$C$1000,1,false)</f>
        <v>ZSI1_VALVE</v>
      </c>
      <c r="H14344" s="63" t="str">
        <f>IFERROR(__xludf.DUMMYFUNCTION("VLOOKUP(F14344, IMPORTRANGE(""https://docs.google.com/spreadsheets/d/1Lhp9OU0JdFf_VYSMzH5lBcEaU4o8teT1piV-SNzShjg/edit?gid=554141278#gid=554141278"", ""'Char Def. - Attributes'!C20:C2242""), 1,false)"),"ALT_UOM5_SIPI")</f>
        <v>ALT_UOM5_SIPI</v>
      </c>
      <c r="I14344" s="136"/>
      <c r="R14344" s="63" t="str">
        <f t="shared" si="60"/>
        <v>ZSI1_VALVEALT_UOM5_SIPI</v>
      </c>
    </row>
    <row r="14345" ht="15.75" customHeight="1">
      <c r="A14345" s="59"/>
      <c r="B14345" s="63">
        <f t="shared" si="1"/>
        <v>10</v>
      </c>
      <c r="C14345" s="135" t="s">
        <v>508</v>
      </c>
      <c r="D14345" s="161" t="s">
        <v>74</v>
      </c>
      <c r="E14345" s="135">
        <f t="shared" si="62"/>
        <v>37</v>
      </c>
      <c r="F14345" s="134" t="s">
        <v>3817</v>
      </c>
      <c r="G14345" s="63" t="str">
        <f>VLOOKUP(C14345, 'Class Def. - General Data'!$C$20:$C$1000,1,false)</f>
        <v>ZSI1_VALVE</v>
      </c>
      <c r="H14345" s="63" t="str">
        <f>IFERROR(__xludf.DUMMYFUNCTION("VLOOKUP(F14345, IMPORTRANGE(""https://docs.google.com/spreadsheets/d/1Lhp9OU0JdFf_VYSMzH5lBcEaU4o8teT1piV-SNzShjg/edit?gid=554141278#gid=554141278"", ""'Char Def. - Attributes'!C20:C2242""), 1,false)"),"ALT_DENUM_UOM5")</f>
        <v>ALT_DENUM_UOM5</v>
      </c>
      <c r="I14345" s="136"/>
      <c r="R14345" s="63" t="str">
        <f t="shared" si="60"/>
        <v>ZSI1_VALVEALT_DENUM_UOM5</v>
      </c>
    </row>
    <row r="14346" ht="15.75" customHeight="1">
      <c r="A14346" s="59"/>
      <c r="B14346" s="63">
        <f t="shared" si="1"/>
        <v>10</v>
      </c>
      <c r="C14346" s="135" t="s">
        <v>508</v>
      </c>
      <c r="D14346" s="161" t="s">
        <v>74</v>
      </c>
      <c r="E14346" s="135">
        <f t="shared" si="62"/>
        <v>38</v>
      </c>
      <c r="F14346" s="134" t="s">
        <v>3818</v>
      </c>
      <c r="G14346" s="63" t="str">
        <f>VLOOKUP(C14346, 'Class Def. - General Data'!$C$20:$C$1000,1,false)</f>
        <v>ZSI1_VALVE</v>
      </c>
      <c r="H14346" s="63" t="str">
        <f>IFERROR(__xludf.DUMMYFUNCTION("VLOOKUP(F14346, IMPORTRANGE(""https://docs.google.com/spreadsheets/d/1Lhp9OU0JdFf_VYSMzH5lBcEaU4o8teT1piV-SNzShjg/edit?gid=554141278#gid=554141278"", ""'Char Def. - Attributes'!C20:C2242""), 1,false)"),"ALT_NUM_UOM5")</f>
        <v>ALT_NUM_UOM5</v>
      </c>
      <c r="I14346" s="136"/>
      <c r="R14346" s="63" t="str">
        <f t="shared" si="60"/>
        <v>ZSI1_VALVEALT_NUM_UOM5</v>
      </c>
    </row>
    <row r="14347" ht="15.75" customHeight="1">
      <c r="A14347" s="59"/>
      <c r="B14347" s="63">
        <f t="shared" si="1"/>
        <v>16</v>
      </c>
      <c r="C14347" s="135" t="s">
        <v>335</v>
      </c>
      <c r="D14347" s="161" t="s">
        <v>74</v>
      </c>
      <c r="E14347" s="135">
        <f t="shared" si="62"/>
        <v>1</v>
      </c>
      <c r="F14347" s="134" t="s">
        <v>5575</v>
      </c>
      <c r="G14347" s="63" t="str">
        <f>VLOOKUP(C14347, 'Class Def. - General Data'!$C$20:$C$1000,1,false)</f>
        <v>ZSI1_VEH_SERV_MC</v>
      </c>
      <c r="H14347" s="63" t="str">
        <f>IFERROR(__xludf.DUMMYFUNCTION("VLOOKUP(F14347, IMPORTRANGE(""https://docs.google.com/spreadsheets/d/1Lhp9OU0JdFf_VYSMzH5lBcEaU4o8teT1piV-SNzShjg/edit?gid=554141278#gid=554141278"", ""'Char Def. - Attributes'!C20:C2242""), 1,false)"),"ITEM_NAME_VEH_SERV_MC")</f>
        <v>ITEM_NAME_VEH_SERV_MC</v>
      </c>
      <c r="I14347" s="136"/>
      <c r="R14347" s="63" t="str">
        <f t="shared" si="60"/>
        <v>ZSI1_VEH_SERV_MCITEM_NAME_VEH_SERV_MC</v>
      </c>
    </row>
    <row r="14348" ht="15.75" customHeight="1">
      <c r="A14348" s="59"/>
      <c r="B14348" s="63">
        <f t="shared" si="1"/>
        <v>16</v>
      </c>
      <c r="C14348" s="135" t="s">
        <v>335</v>
      </c>
      <c r="D14348" s="161" t="s">
        <v>74</v>
      </c>
      <c r="E14348" s="135">
        <f t="shared" si="62"/>
        <v>2</v>
      </c>
      <c r="F14348" s="134" t="s">
        <v>5576</v>
      </c>
      <c r="G14348" s="63" t="str">
        <f>VLOOKUP(C14348, 'Class Def. - General Data'!$C$20:$C$1000,1,false)</f>
        <v>ZSI1_VEH_SERV_MC</v>
      </c>
      <c r="H14348" s="63" t="str">
        <f>IFERROR(__xludf.DUMMYFUNCTION("VLOOKUP(F14348, IMPORTRANGE(""https://docs.google.com/spreadsheets/d/1Lhp9OU0JdFf_VYSMzH5lBcEaU4o8teT1piV-SNzShjg/edit?gid=554141278#gid=554141278"", ""'Char Def. - Attributes'!C20:C2242""), 1,false)"),"MFR_NO_VEH_SERV_MC")</f>
        <v>MFR_NO_VEH_SERV_MC</v>
      </c>
      <c r="I14348" s="136"/>
      <c r="R14348" s="63" t="str">
        <f t="shared" si="60"/>
        <v>ZSI1_VEH_SERV_MCMFR_NO_VEH_SERV_MC</v>
      </c>
    </row>
    <row r="14349" ht="15.75" customHeight="1">
      <c r="A14349" s="59"/>
      <c r="B14349" s="63">
        <f t="shared" si="1"/>
        <v>16</v>
      </c>
      <c r="C14349" s="135" t="s">
        <v>335</v>
      </c>
      <c r="D14349" s="161" t="s">
        <v>74</v>
      </c>
      <c r="E14349" s="135">
        <f t="shared" si="62"/>
        <v>3</v>
      </c>
      <c r="F14349" s="134" t="s">
        <v>3782</v>
      </c>
      <c r="G14349" s="63" t="str">
        <f>VLOOKUP(C14349, 'Class Def. - General Data'!$C$20:$C$1000,1,false)</f>
        <v>ZSI1_VEH_SERV_MC</v>
      </c>
      <c r="H14349" s="63" t="str">
        <f>IFERROR(__xludf.DUMMYFUNCTION("VLOOKUP(F14349, IMPORTRANGE(""https://docs.google.com/spreadsheets/d/1Lhp9OU0JdFf_VYSMzH5lBcEaU4o8teT1piV-SNzShjg/edit?gid=554141278#gid=554141278"", ""'Char Def. - Attributes'!C20:C2242""), 1,false)"),"BRAND_EXTERNAL")</f>
        <v>BRAND_EXTERNAL</v>
      </c>
      <c r="I14349" s="136"/>
      <c r="R14349" s="63" t="str">
        <f t="shared" si="60"/>
        <v>ZSI1_VEH_SERV_MCBRAND_EXTERNAL</v>
      </c>
    </row>
    <row r="14350" ht="15.75" customHeight="1">
      <c r="A14350" s="59"/>
      <c r="B14350" s="63">
        <f t="shared" si="1"/>
        <v>16</v>
      </c>
      <c r="C14350" s="135" t="s">
        <v>335</v>
      </c>
      <c r="D14350" s="161" t="s">
        <v>74</v>
      </c>
      <c r="E14350" s="135">
        <f t="shared" si="62"/>
        <v>4</v>
      </c>
      <c r="F14350" s="134" t="s">
        <v>4062</v>
      </c>
      <c r="G14350" s="63" t="str">
        <f>VLOOKUP(C14350, 'Class Def. - General Data'!$C$20:$C$1000,1,false)</f>
        <v>ZSI1_VEH_SERV_MC</v>
      </c>
      <c r="H14350" s="63" t="str">
        <f>IFERROR(__xludf.DUMMYFUNCTION("VLOOKUP(F14350, IMPORTRANGE(""https://docs.google.com/spreadsheets/d/1Lhp9OU0JdFf_VYSMzH5lBcEaU4o8teT1piV-SNzShjg/edit?gid=554141278#gid=554141278"", ""'Char Def. - Attributes'!C20:C2242""), 1,false)"),"#N/A")</f>
        <v>#N/A</v>
      </c>
      <c r="I14350" s="136"/>
      <c r="R14350" s="63" t="str">
        <f t="shared" si="60"/>
        <v>ZSI1_VEH_SERV_MCADDTIONAL_SPECIFICATION</v>
      </c>
    </row>
    <row r="14351" ht="15.75" customHeight="1">
      <c r="A14351" s="59"/>
      <c r="B14351" s="63">
        <f t="shared" si="1"/>
        <v>16</v>
      </c>
      <c r="C14351" s="135" t="s">
        <v>335</v>
      </c>
      <c r="D14351" s="161" t="s">
        <v>74</v>
      </c>
      <c r="E14351" s="135">
        <f t="shared" si="62"/>
        <v>5</v>
      </c>
      <c r="F14351" s="134" t="s">
        <v>3585</v>
      </c>
      <c r="G14351" s="63" t="str">
        <f>VLOOKUP(C14351, 'Class Def. - General Data'!$C$20:$C$1000,1,false)</f>
        <v>ZSI1_VEH_SERV_MC</v>
      </c>
      <c r="H14351" s="63" t="str">
        <f>IFERROR(__xludf.DUMMYFUNCTION("VLOOKUP(F14351, IMPORTRANGE(""https://docs.google.com/spreadsheets/d/1Lhp9OU0JdFf_VYSMzH5lBcEaU4o8teT1piV-SNzShjg/edit?gid=554141278#gid=554141278"", ""'Char Def. - Attributes'!C20:C2242""), 1,false)"),"HS_CODE")</f>
        <v>HS_CODE</v>
      </c>
      <c r="I14351" s="136"/>
      <c r="R14351" s="63" t="str">
        <f t="shared" si="60"/>
        <v>ZSI1_VEH_SERV_MCHS_CODE</v>
      </c>
    </row>
    <row r="14352" ht="15.75" customHeight="1">
      <c r="A14352" s="59"/>
      <c r="B14352" s="63">
        <f t="shared" si="1"/>
        <v>16</v>
      </c>
      <c r="C14352" s="135" t="s">
        <v>335</v>
      </c>
      <c r="D14352" s="161" t="s">
        <v>74</v>
      </c>
      <c r="E14352" s="135">
        <f t="shared" si="62"/>
        <v>6</v>
      </c>
      <c r="F14352" s="134" t="s">
        <v>3587</v>
      </c>
      <c r="G14352" s="63" t="str">
        <f>VLOOKUP(C14352, 'Class Def. - General Data'!$C$20:$C$1000,1,false)</f>
        <v>ZSI1_VEH_SERV_MC</v>
      </c>
      <c r="H14352" s="63" t="str">
        <f>IFERROR(__xludf.DUMMYFUNCTION("VLOOKUP(F14352, IMPORTRANGE(""https://docs.google.com/spreadsheets/d/1Lhp9OU0JdFf_VYSMzH5lBcEaU4o8teT1piV-SNzShjg/edit?gid=554141278#gid=554141278"", ""'Char Def. - Attributes'!C20:C2242""), 1,false)"),"PLANT_BUY")</f>
        <v>PLANT_BUY</v>
      </c>
      <c r="I14352" s="136"/>
      <c r="R14352" s="63" t="str">
        <f t="shared" si="60"/>
        <v>ZSI1_VEH_SERV_MCPLANT_BUY</v>
      </c>
    </row>
    <row r="14353" ht="15.75" customHeight="1">
      <c r="A14353" s="59"/>
      <c r="B14353" s="63">
        <f t="shared" si="1"/>
        <v>16</v>
      </c>
      <c r="C14353" s="135" t="s">
        <v>335</v>
      </c>
      <c r="D14353" s="161" t="s">
        <v>74</v>
      </c>
      <c r="E14353" s="135">
        <f t="shared" si="62"/>
        <v>7</v>
      </c>
      <c r="F14353" s="134" t="s">
        <v>5577</v>
      </c>
      <c r="G14353" s="63" t="str">
        <f>VLOOKUP(C14353, 'Class Def. - General Data'!$C$20:$C$1000,1,false)</f>
        <v>ZSI1_VEH_SERV_MC</v>
      </c>
      <c r="H14353" s="63" t="str">
        <f>IFERROR(__xludf.DUMMYFUNCTION("VLOOKUP(F14353, IMPORTRANGE(""https://docs.google.com/spreadsheets/d/1Lhp9OU0JdFf_VYSMzH5lBcEaU4o8teT1piV-SNzShjg/edit?gid=554141278#gid=554141278"", ""'Char Def. - Attributes'!C20:C2242""), 1,false)"),"BASE_UOM_VEH_SERV_MC")</f>
        <v>BASE_UOM_VEH_SERV_MC</v>
      </c>
      <c r="I14353" s="136"/>
      <c r="R14353" s="63" t="str">
        <f t="shared" si="60"/>
        <v>ZSI1_VEH_SERV_MCBASE_UOM_VEH_SERV_MC</v>
      </c>
    </row>
    <row r="14354" ht="15.75" customHeight="1">
      <c r="A14354" s="59"/>
      <c r="B14354" s="63">
        <f t="shared" si="1"/>
        <v>16</v>
      </c>
      <c r="C14354" s="135" t="s">
        <v>335</v>
      </c>
      <c r="D14354" s="161" t="s">
        <v>74</v>
      </c>
      <c r="E14354" s="135">
        <f t="shared" si="62"/>
        <v>8</v>
      </c>
      <c r="F14354" s="134" t="s">
        <v>5578</v>
      </c>
      <c r="G14354" s="63" t="str">
        <f>VLOOKUP(C14354, 'Class Def. - General Data'!$C$20:$C$1000,1,false)</f>
        <v>ZSI1_VEH_SERV_MC</v>
      </c>
      <c r="H14354" s="63" t="str">
        <f>IFERROR(__xludf.DUMMYFUNCTION("VLOOKUP(F14354, IMPORTRANGE(""https://docs.google.com/spreadsheets/d/1Lhp9OU0JdFf_VYSMzH5lBcEaU4o8teT1piV-SNzShjg/edit?gid=554141278#gid=554141278"", ""'Char Def. - Attributes'!C20:C2242""), 1,false)"),"ORDER_UNIT_VEH_SERV_MC")</f>
        <v>ORDER_UNIT_VEH_SERV_MC</v>
      </c>
      <c r="I14354" s="136"/>
      <c r="R14354" s="63" t="str">
        <f t="shared" si="60"/>
        <v>ZSI1_VEH_SERV_MCORDER_UNIT_VEH_SERV_MC</v>
      </c>
    </row>
    <row r="14355" ht="15.75" customHeight="1">
      <c r="A14355" s="59"/>
      <c r="B14355" s="63">
        <f t="shared" si="1"/>
        <v>16</v>
      </c>
      <c r="C14355" s="135" t="s">
        <v>335</v>
      </c>
      <c r="D14355" s="161" t="s">
        <v>74</v>
      </c>
      <c r="E14355" s="135">
        <f t="shared" si="62"/>
        <v>9</v>
      </c>
      <c r="F14355" s="134" t="s">
        <v>4056</v>
      </c>
      <c r="G14355" s="63" t="str">
        <f>VLOOKUP(C14355, 'Class Def. - General Data'!$C$20:$C$1000,1,false)</f>
        <v>ZSI1_VEH_SERV_MC</v>
      </c>
      <c r="H14355" s="63" t="str">
        <f>IFERROR(__xludf.DUMMYFUNCTION("VLOOKUP(F14355, IMPORTRANGE(""https://docs.google.com/spreadsheets/d/1Lhp9OU0JdFf_VYSMzH5lBcEaU4o8teT1piV-SNzShjg/edit?gid=554141278#gid=554141278"", ""'Char Def. - Attributes'!C20:C2242""), 1,false)"),"GROSS_WEIGHT_OPT")</f>
        <v>GROSS_WEIGHT_OPT</v>
      </c>
      <c r="I14355" s="136"/>
      <c r="R14355" s="63" t="str">
        <f t="shared" si="60"/>
        <v>ZSI1_VEH_SERV_MCGROSS_WEIGHT_OPT</v>
      </c>
    </row>
    <row r="14356" ht="15.75" customHeight="1">
      <c r="A14356" s="59"/>
      <c r="B14356" s="63">
        <f t="shared" si="1"/>
        <v>16</v>
      </c>
      <c r="C14356" s="135" t="s">
        <v>335</v>
      </c>
      <c r="D14356" s="161" t="s">
        <v>74</v>
      </c>
      <c r="E14356" s="135">
        <f t="shared" si="62"/>
        <v>10</v>
      </c>
      <c r="F14356" s="134" t="s">
        <v>4057</v>
      </c>
      <c r="G14356" s="63" t="str">
        <f>VLOOKUP(C14356, 'Class Def. - General Data'!$C$20:$C$1000,1,false)</f>
        <v>ZSI1_VEH_SERV_MC</v>
      </c>
      <c r="H14356" s="63" t="str">
        <f>IFERROR(__xludf.DUMMYFUNCTION("VLOOKUP(F14356, IMPORTRANGE(""https://docs.google.com/spreadsheets/d/1Lhp9OU0JdFf_VYSMzH5lBcEaU4o8teT1piV-SNzShjg/edit?gid=554141278#gid=554141278"", ""'Char Def. - Attributes'!C20:C2242""), 1,false)"),"NET_WEIGHT_OPT")</f>
        <v>NET_WEIGHT_OPT</v>
      </c>
      <c r="I14356" s="136"/>
      <c r="R14356" s="63" t="str">
        <f t="shared" si="60"/>
        <v>ZSI1_VEH_SERV_MCNET_WEIGHT_OPT</v>
      </c>
    </row>
    <row r="14357" ht="15.75" customHeight="1">
      <c r="A14357" s="59"/>
      <c r="B14357" s="63">
        <f t="shared" si="1"/>
        <v>16</v>
      </c>
      <c r="C14357" s="135" t="s">
        <v>335</v>
      </c>
      <c r="D14357" s="161" t="s">
        <v>74</v>
      </c>
      <c r="E14357" s="135">
        <f t="shared" si="62"/>
        <v>11</v>
      </c>
      <c r="F14357" s="134" t="s">
        <v>4058</v>
      </c>
      <c r="G14357" s="63" t="str">
        <f>VLOOKUP(C14357, 'Class Def. - General Data'!$C$20:$C$1000,1,false)</f>
        <v>ZSI1_VEH_SERV_MC</v>
      </c>
      <c r="H14357" s="63" t="str">
        <f>IFERROR(__xludf.DUMMYFUNCTION("VLOOKUP(F14357, IMPORTRANGE(""https://docs.google.com/spreadsheets/d/1Lhp9OU0JdFf_VYSMzH5lBcEaU4o8teT1piV-SNzShjg/edit?gid=554141278#gid=554141278"", ""'Char Def. - Attributes'!C20:C2242""), 1,false)"),"WEIGHT_UNIT_SI")</f>
        <v>WEIGHT_UNIT_SI</v>
      </c>
      <c r="I14357" s="136"/>
      <c r="R14357" s="63" t="str">
        <f t="shared" si="60"/>
        <v>ZSI1_VEH_SERV_MCWEIGHT_UNIT_SI</v>
      </c>
    </row>
    <row r="14358" ht="15.75" customHeight="1">
      <c r="A14358" s="59"/>
      <c r="B14358" s="63">
        <f t="shared" si="1"/>
        <v>16</v>
      </c>
      <c r="C14358" s="135" t="s">
        <v>335</v>
      </c>
      <c r="D14358" s="161" t="s">
        <v>74</v>
      </c>
      <c r="E14358" s="135">
        <f t="shared" si="62"/>
        <v>12</v>
      </c>
      <c r="F14358" s="134" t="s">
        <v>3877</v>
      </c>
      <c r="G14358" s="63" t="str">
        <f>VLOOKUP(C14358, 'Class Def. - General Data'!$C$20:$C$1000,1,false)</f>
        <v>ZSI1_VEH_SERV_MC</v>
      </c>
      <c r="H14358" s="63" t="str">
        <f>IFERROR(__xludf.DUMMYFUNCTION("VLOOKUP(F14358, IMPORTRANGE(""https://docs.google.com/spreadsheets/d/1Lhp9OU0JdFf_VYSMzH5lBcEaU4o8teT1piV-SNzShjg/edit?gid=554141278#gid=554141278"", ""'Char Def. - Attributes'!C20:C2242""), 1,false)"),"VOLUME_OPT")</f>
        <v>VOLUME_OPT</v>
      </c>
      <c r="I14358" s="136"/>
      <c r="R14358" s="63" t="str">
        <f t="shared" si="60"/>
        <v>ZSI1_VEH_SERV_MCVOLUME_OPT</v>
      </c>
    </row>
    <row r="14359" ht="15.75" customHeight="1">
      <c r="A14359" s="59"/>
      <c r="B14359" s="63">
        <f t="shared" si="1"/>
        <v>16</v>
      </c>
      <c r="C14359" s="135" t="s">
        <v>335</v>
      </c>
      <c r="D14359" s="161" t="s">
        <v>74</v>
      </c>
      <c r="E14359" s="135">
        <f t="shared" si="62"/>
        <v>13</v>
      </c>
      <c r="F14359" s="134" t="s">
        <v>4059</v>
      </c>
      <c r="G14359" s="63" t="str">
        <f>VLOOKUP(C14359, 'Class Def. - General Data'!$C$20:$C$1000,1,false)</f>
        <v>ZSI1_VEH_SERV_MC</v>
      </c>
      <c r="H14359" s="63" t="str">
        <f>IFERROR(__xludf.DUMMYFUNCTION("VLOOKUP(F14359, IMPORTRANGE(""https://docs.google.com/spreadsheets/d/1Lhp9OU0JdFf_VYSMzH5lBcEaU4o8teT1piV-SNzShjg/edit?gid=554141278#gid=554141278"", ""'Char Def. - Attributes'!C20:C2242""), 1,false)"),"VOLUME_UNIT_SI")</f>
        <v>VOLUME_UNIT_SI</v>
      </c>
      <c r="I14359" s="136"/>
      <c r="R14359" s="63" t="str">
        <f t="shared" si="60"/>
        <v>ZSI1_VEH_SERV_MCVOLUME_UNIT_SI</v>
      </c>
    </row>
    <row r="14360" ht="15.75" customHeight="1">
      <c r="A14360" s="59"/>
      <c r="B14360" s="63">
        <f t="shared" si="1"/>
        <v>16</v>
      </c>
      <c r="C14360" s="135" t="s">
        <v>335</v>
      </c>
      <c r="D14360" s="161" t="s">
        <v>74</v>
      </c>
      <c r="E14360" s="135">
        <f t="shared" si="62"/>
        <v>14</v>
      </c>
      <c r="F14360" s="134" t="s">
        <v>3804</v>
      </c>
      <c r="G14360" s="63" t="str">
        <f>VLOOKUP(C14360, 'Class Def. - General Data'!$C$20:$C$1000,1,false)</f>
        <v>ZSI1_VEH_SERV_MC</v>
      </c>
      <c r="H14360" s="63" t="str">
        <f>IFERROR(__xludf.DUMMYFUNCTION("VLOOKUP(F14360, IMPORTRANGE(""https://docs.google.com/spreadsheets/d/1Lhp9OU0JdFf_VYSMzH5lBcEaU4o8teT1piV-SNzShjg/edit?gid=554141278#gid=554141278"", ""'Char Def. - Attributes'!C20:C2242""), 1,false)"),"ALT_UOM1_SIPI")</f>
        <v>ALT_UOM1_SIPI</v>
      </c>
      <c r="I14360" s="136"/>
      <c r="R14360" s="63" t="str">
        <f t="shared" si="60"/>
        <v>ZSI1_VEH_SERV_MCALT_UOM1_SIPI</v>
      </c>
    </row>
    <row r="14361" ht="15.75" customHeight="1">
      <c r="A14361" s="59"/>
      <c r="B14361" s="63">
        <f t="shared" si="1"/>
        <v>16</v>
      </c>
      <c r="C14361" s="135" t="s">
        <v>335</v>
      </c>
      <c r="D14361" s="161" t="s">
        <v>74</v>
      </c>
      <c r="E14361" s="135">
        <f t="shared" si="62"/>
        <v>15</v>
      </c>
      <c r="F14361" s="134" t="s">
        <v>3805</v>
      </c>
      <c r="G14361" s="63" t="str">
        <f>VLOOKUP(C14361, 'Class Def. - General Data'!$C$20:$C$1000,1,false)</f>
        <v>ZSI1_VEH_SERV_MC</v>
      </c>
      <c r="H14361" s="63" t="str">
        <f>IFERROR(__xludf.DUMMYFUNCTION("VLOOKUP(F14361, IMPORTRANGE(""https://docs.google.com/spreadsheets/d/1Lhp9OU0JdFf_VYSMzH5lBcEaU4o8teT1piV-SNzShjg/edit?gid=554141278#gid=554141278"", ""'Char Def. - Attributes'!C20:C2242""), 1,false)"),"ALT_DENUM_UOM1")</f>
        <v>ALT_DENUM_UOM1</v>
      </c>
      <c r="I14361" s="136"/>
      <c r="R14361" s="63" t="str">
        <f t="shared" si="60"/>
        <v>ZSI1_VEH_SERV_MCALT_DENUM_UOM1</v>
      </c>
    </row>
    <row r="14362" ht="15.75" customHeight="1">
      <c r="A14362" s="59"/>
      <c r="B14362" s="63">
        <f t="shared" si="1"/>
        <v>16</v>
      </c>
      <c r="C14362" s="135" t="s">
        <v>335</v>
      </c>
      <c r="D14362" s="161" t="s">
        <v>74</v>
      </c>
      <c r="E14362" s="135">
        <f t="shared" si="62"/>
        <v>16</v>
      </c>
      <c r="F14362" s="134" t="s">
        <v>3806</v>
      </c>
      <c r="G14362" s="63" t="str">
        <f>VLOOKUP(C14362, 'Class Def. - General Data'!$C$20:$C$1000,1,false)</f>
        <v>ZSI1_VEH_SERV_MC</v>
      </c>
      <c r="H14362" s="63" t="str">
        <f>IFERROR(__xludf.DUMMYFUNCTION("VLOOKUP(F14362, IMPORTRANGE(""https://docs.google.com/spreadsheets/d/1Lhp9OU0JdFf_VYSMzH5lBcEaU4o8teT1piV-SNzShjg/edit?gid=554141278#gid=554141278"", ""'Char Def. - Attributes'!C20:C2242""), 1,false)"),"ALT_NUM_UOM1")</f>
        <v>ALT_NUM_UOM1</v>
      </c>
      <c r="I14362" s="136"/>
      <c r="R14362" s="63" t="str">
        <f t="shared" si="60"/>
        <v>ZSI1_VEH_SERV_MCALT_NUM_UOM1</v>
      </c>
    </row>
    <row r="14363" ht="15.75" customHeight="1">
      <c r="A14363" s="59"/>
      <c r="B14363" s="63">
        <f t="shared" si="1"/>
        <v>16</v>
      </c>
      <c r="C14363" s="135" t="s">
        <v>335</v>
      </c>
      <c r="D14363" s="161" t="s">
        <v>74</v>
      </c>
      <c r="E14363" s="135">
        <f t="shared" si="62"/>
        <v>17</v>
      </c>
      <c r="F14363" s="134" t="s">
        <v>3807</v>
      </c>
      <c r="G14363" s="63" t="str">
        <f>VLOOKUP(C14363, 'Class Def. - General Data'!$C$20:$C$1000,1,false)</f>
        <v>ZSI1_VEH_SERV_MC</v>
      </c>
      <c r="H14363" s="63" t="str">
        <f>IFERROR(__xludf.DUMMYFUNCTION("VLOOKUP(F14363, IMPORTRANGE(""https://docs.google.com/spreadsheets/d/1Lhp9OU0JdFf_VYSMzH5lBcEaU4o8teT1piV-SNzShjg/edit?gid=554141278#gid=554141278"", ""'Char Def. - Attributes'!C20:C2242""), 1,false)"),"ALT_UOM2_SIPI")</f>
        <v>ALT_UOM2_SIPI</v>
      </c>
      <c r="I14363" s="136"/>
      <c r="R14363" s="63" t="str">
        <f t="shared" si="60"/>
        <v>ZSI1_VEH_SERV_MCALT_UOM2_SIPI</v>
      </c>
    </row>
    <row r="14364" ht="15.75" customHeight="1">
      <c r="A14364" s="59"/>
      <c r="B14364" s="63">
        <f t="shared" si="1"/>
        <v>16</v>
      </c>
      <c r="C14364" s="135" t="s">
        <v>335</v>
      </c>
      <c r="D14364" s="161" t="s">
        <v>74</v>
      </c>
      <c r="E14364" s="135">
        <f t="shared" si="62"/>
        <v>18</v>
      </c>
      <c r="F14364" s="134" t="s">
        <v>3808</v>
      </c>
      <c r="G14364" s="63" t="str">
        <f>VLOOKUP(C14364, 'Class Def. - General Data'!$C$20:$C$1000,1,false)</f>
        <v>ZSI1_VEH_SERV_MC</v>
      </c>
      <c r="H14364" s="63" t="str">
        <f>IFERROR(__xludf.DUMMYFUNCTION("VLOOKUP(F14364, IMPORTRANGE(""https://docs.google.com/spreadsheets/d/1Lhp9OU0JdFf_VYSMzH5lBcEaU4o8teT1piV-SNzShjg/edit?gid=554141278#gid=554141278"", ""'Char Def. - Attributes'!C20:C2242""), 1,false)"),"ALT_DENUM_UOM2")</f>
        <v>ALT_DENUM_UOM2</v>
      </c>
      <c r="I14364" s="136"/>
      <c r="R14364" s="63" t="str">
        <f t="shared" si="60"/>
        <v>ZSI1_VEH_SERV_MCALT_DENUM_UOM2</v>
      </c>
    </row>
    <row r="14365" ht="15.75" customHeight="1">
      <c r="A14365" s="59"/>
      <c r="B14365" s="63">
        <f t="shared" si="1"/>
        <v>16</v>
      </c>
      <c r="C14365" s="135" t="s">
        <v>335</v>
      </c>
      <c r="D14365" s="161" t="s">
        <v>74</v>
      </c>
      <c r="E14365" s="135">
        <f t="shared" si="62"/>
        <v>19</v>
      </c>
      <c r="F14365" s="134" t="s">
        <v>3809</v>
      </c>
      <c r="G14365" s="63" t="str">
        <f>VLOOKUP(C14365, 'Class Def. - General Data'!$C$20:$C$1000,1,false)</f>
        <v>ZSI1_VEH_SERV_MC</v>
      </c>
      <c r="H14365" s="63" t="str">
        <f>IFERROR(__xludf.DUMMYFUNCTION("VLOOKUP(F14365, IMPORTRANGE(""https://docs.google.com/spreadsheets/d/1Lhp9OU0JdFf_VYSMzH5lBcEaU4o8teT1piV-SNzShjg/edit?gid=554141278#gid=554141278"", ""'Char Def. - Attributes'!C20:C2242""), 1,false)"),"ALT_NUM_UOM2")</f>
        <v>ALT_NUM_UOM2</v>
      </c>
      <c r="I14365" s="136"/>
      <c r="R14365" s="63" t="str">
        <f t="shared" si="60"/>
        <v>ZSI1_VEH_SERV_MCALT_NUM_UOM2</v>
      </c>
    </row>
    <row r="14366" ht="15.75" customHeight="1">
      <c r="A14366" s="59"/>
      <c r="B14366" s="63">
        <f t="shared" si="1"/>
        <v>16</v>
      </c>
      <c r="C14366" s="135" t="s">
        <v>335</v>
      </c>
      <c r="D14366" s="161" t="s">
        <v>74</v>
      </c>
      <c r="E14366" s="135">
        <f t="shared" si="62"/>
        <v>20</v>
      </c>
      <c r="F14366" s="134" t="s">
        <v>3810</v>
      </c>
      <c r="G14366" s="63" t="str">
        <f>VLOOKUP(C14366, 'Class Def. - General Data'!$C$20:$C$1000,1,false)</f>
        <v>ZSI1_VEH_SERV_MC</v>
      </c>
      <c r="H14366" s="63" t="str">
        <f>IFERROR(__xludf.DUMMYFUNCTION("VLOOKUP(F14366, IMPORTRANGE(""https://docs.google.com/spreadsheets/d/1Lhp9OU0JdFf_VYSMzH5lBcEaU4o8teT1piV-SNzShjg/edit?gid=554141278#gid=554141278"", ""'Char Def. - Attributes'!C20:C2242""), 1,false)"),"ALT_UOM3_SIPI")</f>
        <v>ALT_UOM3_SIPI</v>
      </c>
      <c r="I14366" s="136"/>
      <c r="R14366" s="63" t="str">
        <f t="shared" si="60"/>
        <v>ZSI1_VEH_SERV_MCALT_UOM3_SIPI</v>
      </c>
    </row>
    <row r="14367" ht="15.75" customHeight="1">
      <c r="A14367" s="59"/>
      <c r="B14367" s="63">
        <f t="shared" si="1"/>
        <v>16</v>
      </c>
      <c r="C14367" s="135" t="s">
        <v>335</v>
      </c>
      <c r="D14367" s="161" t="s">
        <v>74</v>
      </c>
      <c r="E14367" s="135">
        <f t="shared" si="62"/>
        <v>21</v>
      </c>
      <c r="F14367" s="134" t="s">
        <v>3811</v>
      </c>
      <c r="G14367" s="63" t="str">
        <f>VLOOKUP(C14367, 'Class Def. - General Data'!$C$20:$C$1000,1,false)</f>
        <v>ZSI1_VEH_SERV_MC</v>
      </c>
      <c r="H14367" s="63" t="str">
        <f>IFERROR(__xludf.DUMMYFUNCTION("VLOOKUP(F14367, IMPORTRANGE(""https://docs.google.com/spreadsheets/d/1Lhp9OU0JdFf_VYSMzH5lBcEaU4o8teT1piV-SNzShjg/edit?gid=554141278#gid=554141278"", ""'Char Def. - Attributes'!C20:C2242""), 1,false)"),"ALT_DENUM_UOM3")</f>
        <v>ALT_DENUM_UOM3</v>
      </c>
      <c r="I14367" s="136"/>
      <c r="R14367" s="63" t="str">
        <f t="shared" si="60"/>
        <v>ZSI1_VEH_SERV_MCALT_DENUM_UOM3</v>
      </c>
    </row>
    <row r="14368" ht="15.75" customHeight="1">
      <c r="A14368" s="59"/>
      <c r="B14368" s="63">
        <f t="shared" si="1"/>
        <v>16</v>
      </c>
      <c r="C14368" s="135" t="s">
        <v>335</v>
      </c>
      <c r="D14368" s="161" t="s">
        <v>74</v>
      </c>
      <c r="E14368" s="135">
        <f t="shared" si="62"/>
        <v>22</v>
      </c>
      <c r="F14368" s="134" t="s">
        <v>3812</v>
      </c>
      <c r="G14368" s="63" t="str">
        <f>VLOOKUP(C14368, 'Class Def. - General Data'!$C$20:$C$1000,1,false)</f>
        <v>ZSI1_VEH_SERV_MC</v>
      </c>
      <c r="H14368" s="63" t="str">
        <f>IFERROR(__xludf.DUMMYFUNCTION("VLOOKUP(F14368, IMPORTRANGE(""https://docs.google.com/spreadsheets/d/1Lhp9OU0JdFf_VYSMzH5lBcEaU4o8teT1piV-SNzShjg/edit?gid=554141278#gid=554141278"", ""'Char Def. - Attributes'!C20:C2242""), 1,false)"),"ALT_NUM_UOM3")</f>
        <v>ALT_NUM_UOM3</v>
      </c>
      <c r="I14368" s="136"/>
      <c r="R14368" s="63" t="str">
        <f t="shared" si="60"/>
        <v>ZSI1_VEH_SERV_MCALT_NUM_UOM3</v>
      </c>
    </row>
    <row r="14369" ht="15.75" customHeight="1">
      <c r="A14369" s="59"/>
      <c r="B14369" s="63">
        <f t="shared" si="1"/>
        <v>16</v>
      </c>
      <c r="C14369" s="135" t="s">
        <v>335</v>
      </c>
      <c r="D14369" s="161" t="s">
        <v>74</v>
      </c>
      <c r="E14369" s="135">
        <f t="shared" si="62"/>
        <v>23</v>
      </c>
      <c r="F14369" s="134" t="s">
        <v>3813</v>
      </c>
      <c r="G14369" s="63" t="str">
        <f>VLOOKUP(C14369, 'Class Def. - General Data'!$C$20:$C$1000,1,false)</f>
        <v>ZSI1_VEH_SERV_MC</v>
      </c>
      <c r="H14369" s="63" t="str">
        <f>IFERROR(__xludf.DUMMYFUNCTION("VLOOKUP(F14369, IMPORTRANGE(""https://docs.google.com/spreadsheets/d/1Lhp9OU0JdFf_VYSMzH5lBcEaU4o8teT1piV-SNzShjg/edit?gid=554141278#gid=554141278"", ""'Char Def. - Attributes'!C20:C2242""), 1,false)"),"ALT_UOM4_SIPI")</f>
        <v>ALT_UOM4_SIPI</v>
      </c>
      <c r="I14369" s="136"/>
      <c r="R14369" s="63" t="str">
        <f t="shared" si="60"/>
        <v>ZSI1_VEH_SERV_MCALT_UOM4_SIPI</v>
      </c>
    </row>
    <row r="14370" ht="15.75" customHeight="1">
      <c r="A14370" s="59"/>
      <c r="B14370" s="63">
        <f t="shared" si="1"/>
        <v>16</v>
      </c>
      <c r="C14370" s="135" t="s">
        <v>335</v>
      </c>
      <c r="D14370" s="161" t="s">
        <v>74</v>
      </c>
      <c r="E14370" s="135">
        <f t="shared" si="62"/>
        <v>24</v>
      </c>
      <c r="F14370" s="134" t="s">
        <v>3814</v>
      </c>
      <c r="G14370" s="63" t="str">
        <f>VLOOKUP(C14370, 'Class Def. - General Data'!$C$20:$C$1000,1,false)</f>
        <v>ZSI1_VEH_SERV_MC</v>
      </c>
      <c r="H14370" s="63" t="str">
        <f>IFERROR(__xludf.DUMMYFUNCTION("VLOOKUP(F14370, IMPORTRANGE(""https://docs.google.com/spreadsheets/d/1Lhp9OU0JdFf_VYSMzH5lBcEaU4o8teT1piV-SNzShjg/edit?gid=554141278#gid=554141278"", ""'Char Def. - Attributes'!C20:C2242""), 1,false)"),"ALT_DENUM_UOM4")</f>
        <v>ALT_DENUM_UOM4</v>
      </c>
      <c r="I14370" s="136"/>
      <c r="R14370" s="63" t="str">
        <f t="shared" si="60"/>
        <v>ZSI1_VEH_SERV_MCALT_DENUM_UOM4</v>
      </c>
    </row>
    <row r="14371" ht="15.75" customHeight="1">
      <c r="A14371" s="59"/>
      <c r="B14371" s="63">
        <f t="shared" si="1"/>
        <v>16</v>
      </c>
      <c r="C14371" s="135" t="s">
        <v>335</v>
      </c>
      <c r="D14371" s="161" t="s">
        <v>74</v>
      </c>
      <c r="E14371" s="135">
        <f t="shared" si="62"/>
        <v>25</v>
      </c>
      <c r="F14371" s="134" t="s">
        <v>3815</v>
      </c>
      <c r="G14371" s="63" t="str">
        <f>VLOOKUP(C14371, 'Class Def. - General Data'!$C$20:$C$1000,1,false)</f>
        <v>ZSI1_VEH_SERV_MC</v>
      </c>
      <c r="H14371" s="63" t="str">
        <f>IFERROR(__xludf.DUMMYFUNCTION("VLOOKUP(F14371, IMPORTRANGE(""https://docs.google.com/spreadsheets/d/1Lhp9OU0JdFf_VYSMzH5lBcEaU4o8teT1piV-SNzShjg/edit?gid=554141278#gid=554141278"", ""'Char Def. - Attributes'!C20:C2242""), 1,false)"),"ALT_NUM_UOM4")</f>
        <v>ALT_NUM_UOM4</v>
      </c>
      <c r="I14371" s="136"/>
      <c r="R14371" s="63" t="str">
        <f t="shared" si="60"/>
        <v>ZSI1_VEH_SERV_MCALT_NUM_UOM4</v>
      </c>
    </row>
    <row r="14372" ht="15.75" customHeight="1">
      <c r="A14372" s="59"/>
      <c r="B14372" s="63">
        <f t="shared" si="1"/>
        <v>16</v>
      </c>
      <c r="C14372" s="135" t="s">
        <v>335</v>
      </c>
      <c r="D14372" s="161" t="s">
        <v>74</v>
      </c>
      <c r="E14372" s="135">
        <f t="shared" si="62"/>
        <v>26</v>
      </c>
      <c r="F14372" s="134" t="s">
        <v>3816</v>
      </c>
      <c r="G14372" s="63" t="str">
        <f>VLOOKUP(C14372, 'Class Def. - General Data'!$C$20:$C$1000,1,false)</f>
        <v>ZSI1_VEH_SERV_MC</v>
      </c>
      <c r="H14372" s="63" t="str">
        <f>IFERROR(__xludf.DUMMYFUNCTION("VLOOKUP(F14372, IMPORTRANGE(""https://docs.google.com/spreadsheets/d/1Lhp9OU0JdFf_VYSMzH5lBcEaU4o8teT1piV-SNzShjg/edit?gid=554141278#gid=554141278"", ""'Char Def. - Attributes'!C20:C2242""), 1,false)"),"ALT_UOM5_SIPI")</f>
        <v>ALT_UOM5_SIPI</v>
      </c>
      <c r="I14372" s="136"/>
      <c r="R14372" s="63" t="str">
        <f t="shared" si="60"/>
        <v>ZSI1_VEH_SERV_MCALT_UOM5_SIPI</v>
      </c>
    </row>
    <row r="14373" ht="15.75" customHeight="1">
      <c r="A14373" s="59"/>
      <c r="B14373" s="63">
        <f t="shared" si="1"/>
        <v>16</v>
      </c>
      <c r="C14373" s="135" t="s">
        <v>335</v>
      </c>
      <c r="D14373" s="161" t="s">
        <v>74</v>
      </c>
      <c r="E14373" s="135">
        <f t="shared" si="62"/>
        <v>27</v>
      </c>
      <c r="F14373" s="134" t="s">
        <v>3817</v>
      </c>
      <c r="G14373" s="63" t="str">
        <f>VLOOKUP(C14373, 'Class Def. - General Data'!$C$20:$C$1000,1,false)</f>
        <v>ZSI1_VEH_SERV_MC</v>
      </c>
      <c r="H14373" s="63" t="str">
        <f>IFERROR(__xludf.DUMMYFUNCTION("VLOOKUP(F14373, IMPORTRANGE(""https://docs.google.com/spreadsheets/d/1Lhp9OU0JdFf_VYSMzH5lBcEaU4o8teT1piV-SNzShjg/edit?gid=554141278#gid=554141278"", ""'Char Def. - Attributes'!C20:C2242""), 1,false)"),"ALT_DENUM_UOM5")</f>
        <v>ALT_DENUM_UOM5</v>
      </c>
      <c r="I14373" s="136"/>
      <c r="R14373" s="63" t="str">
        <f t="shared" si="60"/>
        <v>ZSI1_VEH_SERV_MCALT_DENUM_UOM5</v>
      </c>
    </row>
    <row r="14374" ht="15.75" customHeight="1">
      <c r="A14374" s="59"/>
      <c r="B14374" s="63">
        <f t="shared" si="1"/>
        <v>16</v>
      </c>
      <c r="C14374" s="135" t="s">
        <v>335</v>
      </c>
      <c r="D14374" s="161" t="s">
        <v>74</v>
      </c>
      <c r="E14374" s="135">
        <f t="shared" si="62"/>
        <v>28</v>
      </c>
      <c r="F14374" s="134" t="s">
        <v>3818</v>
      </c>
      <c r="G14374" s="63" t="str">
        <f>VLOOKUP(C14374, 'Class Def. - General Data'!$C$20:$C$1000,1,false)</f>
        <v>ZSI1_VEH_SERV_MC</v>
      </c>
      <c r="H14374" s="63" t="str">
        <f>IFERROR(__xludf.DUMMYFUNCTION("VLOOKUP(F14374, IMPORTRANGE(""https://docs.google.com/spreadsheets/d/1Lhp9OU0JdFf_VYSMzH5lBcEaU4o8teT1piV-SNzShjg/edit?gid=554141278#gid=554141278"", ""'Char Def. - Attributes'!C20:C2242""), 1,false)"),"ALT_NUM_UOM5")</f>
        <v>ALT_NUM_UOM5</v>
      </c>
      <c r="I14374" s="136"/>
      <c r="R14374" s="63" t="str">
        <f t="shared" si="60"/>
        <v>ZSI1_VEH_SERV_MCALT_NUM_UOM5</v>
      </c>
    </row>
    <row r="14375" ht="15.75" customHeight="1">
      <c r="A14375" s="59"/>
      <c r="B14375" s="63">
        <f t="shared" si="1"/>
        <v>12</v>
      </c>
      <c r="C14375" s="135" t="s">
        <v>523</v>
      </c>
      <c r="D14375" s="161" t="s">
        <v>74</v>
      </c>
      <c r="E14375" s="135">
        <f t="shared" si="62"/>
        <v>1</v>
      </c>
      <c r="F14375" s="134" t="s">
        <v>5579</v>
      </c>
      <c r="G14375" s="63" t="str">
        <f>VLOOKUP(C14375, 'Class Def. - General Data'!$C$20:$C$1000,1,false)</f>
        <v>ZSI1_VEHICLE</v>
      </c>
      <c r="H14375" s="63" t="str">
        <f>IFERROR(__xludf.DUMMYFUNCTION("VLOOKUP(F14375, IMPORTRANGE(""https://docs.google.com/spreadsheets/d/1Lhp9OU0JdFf_VYSMzH5lBcEaU4o8teT1piV-SNzShjg/edit?gid=554141278#gid=554141278"", ""'Char Def. - Attributes'!C20:C2242""), 1,false)"),"TYPE_VEHICLE")</f>
        <v>TYPE_VEHICLE</v>
      </c>
      <c r="I14375" s="136"/>
      <c r="R14375" s="63" t="str">
        <f t="shared" si="60"/>
        <v>ZSI1_VEHICLETYPE_VEHICLE</v>
      </c>
    </row>
    <row r="14376" ht="15.75" customHeight="1">
      <c r="A14376" s="59"/>
      <c r="B14376" s="63">
        <f t="shared" si="1"/>
        <v>12</v>
      </c>
      <c r="C14376" s="135" t="s">
        <v>523</v>
      </c>
      <c r="D14376" s="161" t="s">
        <v>74</v>
      </c>
      <c r="E14376" s="135">
        <f t="shared" si="62"/>
        <v>2</v>
      </c>
      <c r="F14376" s="134" t="s">
        <v>5580</v>
      </c>
      <c r="G14376" s="63" t="str">
        <f>VLOOKUP(C14376, 'Class Def. - General Data'!$C$20:$C$1000,1,false)</f>
        <v>ZSI1_VEHICLE</v>
      </c>
      <c r="H14376" s="63" t="str">
        <f>IFERROR(__xludf.DUMMYFUNCTION("VLOOKUP(F14376, IMPORTRANGE(""https://docs.google.com/spreadsheets/d/1Lhp9OU0JdFf_VYSMzH5lBcEaU4o8teT1piV-SNzShjg/edit?gid=554141278#gid=554141278"", ""'Char Def. - Attributes'!C20:C2242""), 1,false)"),"ITEM_NAME_VEHICLE")</f>
        <v>ITEM_NAME_VEHICLE</v>
      </c>
      <c r="I14376" s="136"/>
      <c r="R14376" s="63" t="str">
        <f t="shared" si="60"/>
        <v>ZSI1_VEHICLEITEM_NAME_VEHICLE</v>
      </c>
    </row>
    <row r="14377" ht="15.75" customHeight="1">
      <c r="A14377" s="59"/>
      <c r="B14377" s="63">
        <f t="shared" si="1"/>
        <v>12</v>
      </c>
      <c r="C14377" s="135" t="s">
        <v>523</v>
      </c>
      <c r="D14377" s="161" t="s">
        <v>74</v>
      </c>
      <c r="E14377" s="135">
        <f t="shared" si="62"/>
        <v>3</v>
      </c>
      <c r="F14377" s="134" t="s">
        <v>5581</v>
      </c>
      <c r="G14377" s="63" t="str">
        <f>VLOOKUP(C14377, 'Class Def. - General Data'!$C$20:$C$1000,1,false)</f>
        <v>ZSI1_VEHICLE</v>
      </c>
      <c r="H14377" s="63" t="str">
        <f>IFERROR(__xludf.DUMMYFUNCTION("VLOOKUP(F14377, IMPORTRANGE(""https://docs.google.com/spreadsheets/d/1Lhp9OU0JdFf_VYSMzH5lBcEaU4o8teT1piV-SNzShjg/edit?gid=554141278#gid=554141278"", ""'Char Def. - Attributes'!C20:C2242""), 1,false)"),"SERIES_VEHICLE")</f>
        <v>SERIES_VEHICLE</v>
      </c>
      <c r="I14377" s="136"/>
      <c r="R14377" s="63" t="str">
        <f t="shared" si="60"/>
        <v>ZSI1_VEHICLESERIES_VEHICLE</v>
      </c>
    </row>
    <row r="14378" ht="15.75" customHeight="1">
      <c r="A14378" s="59"/>
      <c r="B14378" s="63">
        <f t="shared" si="1"/>
        <v>12</v>
      </c>
      <c r="C14378" s="135" t="s">
        <v>523</v>
      </c>
      <c r="D14378" s="161" t="s">
        <v>74</v>
      </c>
      <c r="E14378" s="135">
        <f t="shared" si="62"/>
        <v>4</v>
      </c>
      <c r="F14378" s="134" t="s">
        <v>3782</v>
      </c>
      <c r="G14378" s="63" t="str">
        <f>VLOOKUP(C14378, 'Class Def. - General Data'!$C$20:$C$1000,1,false)</f>
        <v>ZSI1_VEHICLE</v>
      </c>
      <c r="H14378" s="63" t="str">
        <f>IFERROR(__xludf.DUMMYFUNCTION("VLOOKUP(F14378, IMPORTRANGE(""https://docs.google.com/spreadsheets/d/1Lhp9OU0JdFf_VYSMzH5lBcEaU4o8teT1piV-SNzShjg/edit?gid=554141278#gid=554141278"", ""'Char Def. - Attributes'!C20:C2242""), 1,false)"),"BRAND_EXTERNAL")</f>
        <v>BRAND_EXTERNAL</v>
      </c>
      <c r="I14378" s="136"/>
      <c r="R14378" s="63" t="str">
        <f t="shared" si="60"/>
        <v>ZSI1_VEHICLEBRAND_EXTERNAL</v>
      </c>
    </row>
    <row r="14379" ht="15.75" customHeight="1">
      <c r="A14379" s="59"/>
      <c r="B14379" s="63">
        <f t="shared" si="1"/>
        <v>12</v>
      </c>
      <c r="C14379" s="135" t="s">
        <v>523</v>
      </c>
      <c r="D14379" s="161" t="s">
        <v>74</v>
      </c>
      <c r="E14379" s="135">
        <f t="shared" si="62"/>
        <v>5</v>
      </c>
      <c r="F14379" s="134" t="s">
        <v>3778</v>
      </c>
      <c r="G14379" s="63" t="str">
        <f>VLOOKUP(C14379, 'Class Def. - General Data'!$C$20:$C$1000,1,false)</f>
        <v>ZSI1_VEHICLE</v>
      </c>
      <c r="H14379" s="63" t="str">
        <f>IFERROR(__xludf.DUMMYFUNCTION("VLOOKUP(F14379, IMPORTRANGE(""https://docs.google.com/spreadsheets/d/1Lhp9OU0JdFf_VYSMzH5lBcEaU4o8teT1piV-SNzShjg/edit?gid=554141278#gid=554141278"", ""'Char Def. - Attributes'!C20:C2242""), 1,false)"),"SPECIAL_ACTIVITY")</f>
        <v>SPECIAL_ACTIVITY</v>
      </c>
      <c r="I14379" s="136"/>
      <c r="R14379" s="63" t="str">
        <f t="shared" si="60"/>
        <v>ZSI1_VEHICLESPECIAL_ACTIVITY</v>
      </c>
    </row>
    <row r="14380" ht="15.75" customHeight="1">
      <c r="A14380" s="59"/>
      <c r="B14380" s="63">
        <f t="shared" si="1"/>
        <v>12</v>
      </c>
      <c r="C14380" s="135" t="s">
        <v>523</v>
      </c>
      <c r="D14380" s="161" t="s">
        <v>74</v>
      </c>
      <c r="E14380" s="135">
        <f t="shared" si="62"/>
        <v>6</v>
      </c>
      <c r="F14380" s="134" t="s">
        <v>3779</v>
      </c>
      <c r="G14380" s="63" t="str">
        <f>VLOOKUP(C14380, 'Class Def. - General Data'!$C$20:$C$1000,1,false)</f>
        <v>ZSI1_VEHICLE</v>
      </c>
      <c r="H14380" s="63" t="str">
        <f>IFERROR(__xludf.DUMMYFUNCTION("VLOOKUP(F14380, IMPORTRANGE(""https://docs.google.com/spreadsheets/d/1Lhp9OU0JdFf_VYSMzH5lBcEaU4o8teT1piV-SNzShjg/edit?gid=554141278#gid=554141278"", ""'Char Def. - Attributes'!C20:C2242""), 1,false)"),"EMBOSSED_BRAND_WINGS")</f>
        <v>EMBOSSED_BRAND_WINGS</v>
      </c>
      <c r="I14380" s="136"/>
      <c r="R14380" s="63" t="str">
        <f t="shared" si="60"/>
        <v>ZSI1_VEHICLEEMBOSSED_BRAND_WINGS</v>
      </c>
    </row>
    <row r="14381" ht="15.75" customHeight="1">
      <c r="A14381" s="59"/>
      <c r="B14381" s="63">
        <f t="shared" si="1"/>
        <v>12</v>
      </c>
      <c r="C14381" s="135" t="s">
        <v>523</v>
      </c>
      <c r="D14381" s="161" t="s">
        <v>74</v>
      </c>
      <c r="E14381" s="135">
        <f t="shared" si="62"/>
        <v>7</v>
      </c>
      <c r="F14381" s="134" t="s">
        <v>3780</v>
      </c>
      <c r="G14381" s="63" t="str">
        <f>VLOOKUP(C14381, 'Class Def. - General Data'!$C$20:$C$1000,1,false)</f>
        <v>ZSI1_VEHICLE</v>
      </c>
      <c r="H14381" s="63" t="str">
        <f>IFERROR(__xludf.DUMMYFUNCTION("VLOOKUP(F14381, IMPORTRANGE(""https://docs.google.com/spreadsheets/d/1Lhp9OU0JdFf_VYSMzH5lBcEaU4o8teT1piV-SNzShjg/edit?gid=554141278#gid=554141278"", ""'Char Def. - Attributes'!C20:C2242""), 1,false)"),"BRAND_WINGS_SIPI")</f>
        <v>BRAND_WINGS_SIPI</v>
      </c>
      <c r="I14381" s="136"/>
      <c r="R14381" s="63" t="str">
        <f t="shared" si="60"/>
        <v>ZSI1_VEHICLEBRAND_WINGS_SIPI</v>
      </c>
    </row>
    <row r="14382" ht="15.75" customHeight="1">
      <c r="A14382" s="59"/>
      <c r="B14382" s="63">
        <f t="shared" si="1"/>
        <v>12</v>
      </c>
      <c r="C14382" s="135" t="s">
        <v>523</v>
      </c>
      <c r="D14382" s="161" t="s">
        <v>74</v>
      </c>
      <c r="E14382" s="135">
        <f t="shared" si="62"/>
        <v>8</v>
      </c>
      <c r="F14382" s="134" t="s">
        <v>3585</v>
      </c>
      <c r="G14382" s="63" t="str">
        <f>VLOOKUP(C14382, 'Class Def. - General Data'!$C$20:$C$1000,1,false)</f>
        <v>ZSI1_VEHICLE</v>
      </c>
      <c r="H14382" s="63" t="str">
        <f>IFERROR(__xludf.DUMMYFUNCTION("VLOOKUP(F14382, IMPORTRANGE(""https://docs.google.com/spreadsheets/d/1Lhp9OU0JdFf_VYSMzH5lBcEaU4o8teT1piV-SNzShjg/edit?gid=554141278#gid=554141278"", ""'Char Def. - Attributes'!C20:C2242""), 1,false)"),"HS_CODE")</f>
        <v>HS_CODE</v>
      </c>
      <c r="I14382" s="136"/>
      <c r="R14382" s="63" t="str">
        <f t="shared" si="60"/>
        <v>ZSI1_VEHICLEHS_CODE</v>
      </c>
    </row>
    <row r="14383" ht="15.75" customHeight="1">
      <c r="A14383" s="59"/>
      <c r="B14383" s="63">
        <f t="shared" si="1"/>
        <v>12</v>
      </c>
      <c r="C14383" s="135" t="s">
        <v>523</v>
      </c>
      <c r="D14383" s="161" t="s">
        <v>74</v>
      </c>
      <c r="E14383" s="135">
        <f t="shared" si="62"/>
        <v>9</v>
      </c>
      <c r="F14383" s="134" t="s">
        <v>3587</v>
      </c>
      <c r="G14383" s="63" t="str">
        <f>VLOOKUP(C14383, 'Class Def. - General Data'!$C$20:$C$1000,1,false)</f>
        <v>ZSI1_VEHICLE</v>
      </c>
      <c r="H14383" s="63" t="str">
        <f>IFERROR(__xludf.DUMMYFUNCTION("VLOOKUP(F14383, IMPORTRANGE(""https://docs.google.com/spreadsheets/d/1Lhp9OU0JdFf_VYSMzH5lBcEaU4o8teT1piV-SNzShjg/edit?gid=554141278#gid=554141278"", ""'Char Def. - Attributes'!C20:C2242""), 1,false)"),"PLANT_BUY")</f>
        <v>PLANT_BUY</v>
      </c>
      <c r="I14383" s="136"/>
      <c r="R14383" s="63" t="str">
        <f t="shared" si="60"/>
        <v>ZSI1_VEHICLEPLANT_BUY</v>
      </c>
    </row>
    <row r="14384" ht="15.75" customHeight="1">
      <c r="A14384" s="59"/>
      <c r="B14384" s="63">
        <f t="shared" si="1"/>
        <v>12</v>
      </c>
      <c r="C14384" s="135" t="s">
        <v>523</v>
      </c>
      <c r="D14384" s="161" t="s">
        <v>74</v>
      </c>
      <c r="E14384" s="135">
        <f t="shared" si="62"/>
        <v>10</v>
      </c>
      <c r="F14384" s="134" t="s">
        <v>5582</v>
      </c>
      <c r="G14384" s="63" t="str">
        <f>VLOOKUP(C14384, 'Class Def. - General Data'!$C$20:$C$1000,1,false)</f>
        <v>ZSI1_VEHICLE</v>
      </c>
      <c r="H14384" s="63" t="str">
        <f>IFERROR(__xludf.DUMMYFUNCTION("VLOOKUP(F14384, IMPORTRANGE(""https://docs.google.com/spreadsheets/d/1Lhp9OU0JdFf_VYSMzH5lBcEaU4o8teT1piV-SNzShjg/edit?gid=554141278#gid=554141278"", ""'Char Def. - Attributes'!C20:C2242""), 1,false)"),"BASE_UOM_VEHICLE")</f>
        <v>BASE_UOM_VEHICLE</v>
      </c>
      <c r="I14384" s="136"/>
      <c r="R14384" s="63" t="str">
        <f t="shared" si="60"/>
        <v>ZSI1_VEHICLEBASE_UOM_VEHICLE</v>
      </c>
    </row>
    <row r="14385" ht="15.75" customHeight="1">
      <c r="A14385" s="59"/>
      <c r="B14385" s="63">
        <f t="shared" si="1"/>
        <v>12</v>
      </c>
      <c r="C14385" s="135" t="s">
        <v>523</v>
      </c>
      <c r="D14385" s="161" t="s">
        <v>74</v>
      </c>
      <c r="E14385" s="135">
        <f t="shared" si="62"/>
        <v>11</v>
      </c>
      <c r="F14385" s="134" t="s">
        <v>5583</v>
      </c>
      <c r="G14385" s="63" t="str">
        <f>VLOOKUP(C14385, 'Class Def. - General Data'!$C$20:$C$1000,1,false)</f>
        <v>ZSI1_VEHICLE</v>
      </c>
      <c r="H14385" s="63" t="str">
        <f>IFERROR(__xludf.DUMMYFUNCTION("VLOOKUP(F14385, IMPORTRANGE(""https://docs.google.com/spreadsheets/d/1Lhp9OU0JdFf_VYSMzH5lBcEaU4o8teT1piV-SNzShjg/edit?gid=554141278#gid=554141278"", ""'Char Def. - Attributes'!C20:C2242""), 1,false)"),"ORDER_UNIT_VEHICLE")</f>
        <v>ORDER_UNIT_VEHICLE</v>
      </c>
      <c r="I14385" s="136"/>
      <c r="R14385" s="63" t="str">
        <f t="shared" si="60"/>
        <v>ZSI1_VEHICLEORDER_UNIT_VEHICLE</v>
      </c>
    </row>
    <row r="14386" ht="15.75" customHeight="1">
      <c r="A14386" s="59"/>
      <c r="B14386" s="63">
        <f t="shared" si="1"/>
        <v>12</v>
      </c>
      <c r="C14386" s="135" t="s">
        <v>523</v>
      </c>
      <c r="D14386" s="161" t="s">
        <v>74</v>
      </c>
      <c r="E14386" s="135">
        <f t="shared" si="62"/>
        <v>12</v>
      </c>
      <c r="F14386" s="134" t="s">
        <v>4056</v>
      </c>
      <c r="G14386" s="63" t="str">
        <f>VLOOKUP(C14386, 'Class Def. - General Data'!$C$20:$C$1000,1,false)</f>
        <v>ZSI1_VEHICLE</v>
      </c>
      <c r="H14386" s="63" t="str">
        <f>IFERROR(__xludf.DUMMYFUNCTION("VLOOKUP(F14386, IMPORTRANGE(""https://docs.google.com/spreadsheets/d/1Lhp9OU0JdFf_VYSMzH5lBcEaU4o8teT1piV-SNzShjg/edit?gid=554141278#gid=554141278"", ""'Char Def. - Attributes'!C20:C2242""), 1,false)"),"GROSS_WEIGHT_OPT")</f>
        <v>GROSS_WEIGHT_OPT</v>
      </c>
      <c r="I14386" s="136"/>
      <c r="R14386" s="63" t="str">
        <f t="shared" si="60"/>
        <v>ZSI1_VEHICLEGROSS_WEIGHT_OPT</v>
      </c>
    </row>
    <row r="14387" ht="15.75" customHeight="1">
      <c r="A14387" s="59"/>
      <c r="B14387" s="63">
        <f t="shared" si="1"/>
        <v>12</v>
      </c>
      <c r="C14387" s="135" t="s">
        <v>523</v>
      </c>
      <c r="D14387" s="161" t="s">
        <v>74</v>
      </c>
      <c r="E14387" s="135">
        <f t="shared" si="62"/>
        <v>13</v>
      </c>
      <c r="F14387" s="134" t="s">
        <v>4057</v>
      </c>
      <c r="G14387" s="63" t="str">
        <f>VLOOKUP(C14387, 'Class Def. - General Data'!$C$20:$C$1000,1,false)</f>
        <v>ZSI1_VEHICLE</v>
      </c>
      <c r="H14387" s="63" t="str">
        <f>IFERROR(__xludf.DUMMYFUNCTION("VLOOKUP(F14387, IMPORTRANGE(""https://docs.google.com/spreadsheets/d/1Lhp9OU0JdFf_VYSMzH5lBcEaU4o8teT1piV-SNzShjg/edit?gid=554141278#gid=554141278"", ""'Char Def. - Attributes'!C20:C2242""), 1,false)"),"NET_WEIGHT_OPT")</f>
        <v>NET_WEIGHT_OPT</v>
      </c>
      <c r="I14387" s="136"/>
      <c r="R14387" s="63" t="str">
        <f t="shared" si="60"/>
        <v>ZSI1_VEHICLENET_WEIGHT_OPT</v>
      </c>
    </row>
    <row r="14388" ht="15.75" customHeight="1">
      <c r="A14388" s="165"/>
      <c r="B14388" s="63">
        <f t="shared" si="1"/>
        <v>12</v>
      </c>
      <c r="C14388" s="135" t="s">
        <v>523</v>
      </c>
      <c r="D14388" s="161" t="s">
        <v>74</v>
      </c>
      <c r="E14388" s="135">
        <f t="shared" si="62"/>
        <v>14</v>
      </c>
      <c r="F14388" s="134" t="s">
        <v>4058</v>
      </c>
      <c r="G14388" s="63" t="str">
        <f>VLOOKUP(C14388, 'Class Def. - General Data'!$C$20:$C$1000,1,false)</f>
        <v>ZSI1_VEHICLE</v>
      </c>
      <c r="H14388" s="63" t="str">
        <f>IFERROR(__xludf.DUMMYFUNCTION("VLOOKUP(F14388, IMPORTRANGE(""https://docs.google.com/spreadsheets/d/1Lhp9OU0JdFf_VYSMzH5lBcEaU4o8teT1piV-SNzShjg/edit?gid=554141278#gid=554141278"", ""'Char Def. - Attributes'!C20:C2242""), 1,false)"),"WEIGHT_UNIT_SI")</f>
        <v>WEIGHT_UNIT_SI</v>
      </c>
      <c r="I14388" s="166"/>
      <c r="J14388" s="138"/>
      <c r="K14388" s="138"/>
      <c r="L14388" s="138"/>
      <c r="M14388" s="138"/>
      <c r="N14388" s="138"/>
      <c r="O14388" s="138"/>
      <c r="P14388" s="138"/>
      <c r="Q14388" s="138"/>
      <c r="R14388" s="63" t="str">
        <f t="shared" si="60"/>
        <v>ZSI1_VEHICLEWEIGHT_UNIT_SI</v>
      </c>
      <c r="S14388" s="138"/>
      <c r="T14388" s="138"/>
      <c r="U14388" s="138"/>
      <c r="V14388" s="138"/>
      <c r="W14388" s="138"/>
      <c r="X14388" s="138"/>
      <c r="Y14388" s="138"/>
      <c r="Z14388" s="138"/>
      <c r="AA14388" s="138"/>
    </row>
    <row r="14389" ht="15.75" customHeight="1">
      <c r="A14389" s="165"/>
      <c r="B14389" s="63">
        <f t="shared" si="1"/>
        <v>12</v>
      </c>
      <c r="C14389" s="135" t="s">
        <v>523</v>
      </c>
      <c r="D14389" s="161" t="s">
        <v>74</v>
      </c>
      <c r="E14389" s="135">
        <f t="shared" si="62"/>
        <v>15</v>
      </c>
      <c r="F14389" s="134" t="s">
        <v>3877</v>
      </c>
      <c r="G14389" s="63" t="str">
        <f>VLOOKUP(C14389, 'Class Def. - General Data'!$C$20:$C$1000,1,false)</f>
        <v>ZSI1_VEHICLE</v>
      </c>
      <c r="H14389" s="63" t="str">
        <f>IFERROR(__xludf.DUMMYFUNCTION("VLOOKUP(F14389, IMPORTRANGE(""https://docs.google.com/spreadsheets/d/1Lhp9OU0JdFf_VYSMzH5lBcEaU4o8teT1piV-SNzShjg/edit?gid=554141278#gid=554141278"", ""'Char Def. - Attributes'!C20:C2242""), 1,false)"),"VOLUME_OPT")</f>
        <v>VOLUME_OPT</v>
      </c>
      <c r="I14389" s="166"/>
      <c r="J14389" s="138"/>
      <c r="K14389" s="138"/>
      <c r="L14389" s="138"/>
      <c r="M14389" s="138"/>
      <c r="N14389" s="138"/>
      <c r="O14389" s="138"/>
      <c r="P14389" s="138"/>
      <c r="Q14389" s="138"/>
      <c r="R14389" s="63" t="str">
        <f t="shared" si="60"/>
        <v>ZSI1_VEHICLEVOLUME_OPT</v>
      </c>
      <c r="S14389" s="138"/>
      <c r="T14389" s="138"/>
      <c r="U14389" s="138"/>
      <c r="V14389" s="138"/>
      <c r="W14389" s="138"/>
      <c r="X14389" s="138"/>
      <c r="Y14389" s="138"/>
      <c r="Z14389" s="138"/>
      <c r="AA14389" s="138"/>
    </row>
    <row r="14390" ht="15.75" customHeight="1">
      <c r="A14390" s="165"/>
      <c r="B14390" s="63">
        <f t="shared" si="1"/>
        <v>12</v>
      </c>
      <c r="C14390" s="135" t="s">
        <v>523</v>
      </c>
      <c r="D14390" s="161" t="s">
        <v>74</v>
      </c>
      <c r="E14390" s="135">
        <f t="shared" si="62"/>
        <v>16</v>
      </c>
      <c r="F14390" s="134" t="s">
        <v>4059</v>
      </c>
      <c r="G14390" s="63" t="str">
        <f>VLOOKUP(C14390, 'Class Def. - General Data'!$C$20:$C$1000,1,false)</f>
        <v>ZSI1_VEHICLE</v>
      </c>
      <c r="H14390" s="63" t="str">
        <f>IFERROR(__xludf.DUMMYFUNCTION("VLOOKUP(F14390, IMPORTRANGE(""https://docs.google.com/spreadsheets/d/1Lhp9OU0JdFf_VYSMzH5lBcEaU4o8teT1piV-SNzShjg/edit?gid=554141278#gid=554141278"", ""'Char Def. - Attributes'!C20:C2242""), 1,false)"),"VOLUME_UNIT_SI")</f>
        <v>VOLUME_UNIT_SI</v>
      </c>
      <c r="I14390" s="166"/>
      <c r="J14390" s="138"/>
      <c r="K14390" s="138"/>
      <c r="L14390" s="138"/>
      <c r="M14390" s="138"/>
      <c r="N14390" s="138"/>
      <c r="O14390" s="138"/>
      <c r="P14390" s="138"/>
      <c r="Q14390" s="138"/>
      <c r="R14390" s="63" t="str">
        <f t="shared" si="60"/>
        <v>ZSI1_VEHICLEVOLUME_UNIT_SI</v>
      </c>
      <c r="S14390" s="138"/>
      <c r="T14390" s="138"/>
      <c r="U14390" s="138"/>
      <c r="V14390" s="138"/>
      <c r="W14390" s="138"/>
      <c r="X14390" s="138"/>
      <c r="Y14390" s="138"/>
      <c r="Z14390" s="138"/>
      <c r="AA14390" s="138"/>
    </row>
    <row r="14391" ht="15.75" customHeight="1">
      <c r="A14391" s="165"/>
      <c r="B14391" s="63">
        <f t="shared" si="1"/>
        <v>12</v>
      </c>
      <c r="C14391" s="135" t="s">
        <v>523</v>
      </c>
      <c r="D14391" s="161" t="s">
        <v>74</v>
      </c>
      <c r="E14391" s="135">
        <f t="shared" si="62"/>
        <v>17</v>
      </c>
      <c r="F14391" s="134" t="s">
        <v>3804</v>
      </c>
      <c r="G14391" s="63" t="str">
        <f>VLOOKUP(C14391, 'Class Def. - General Data'!$C$20:$C$1000,1,false)</f>
        <v>ZSI1_VEHICLE</v>
      </c>
      <c r="H14391" s="63" t="str">
        <f>IFERROR(__xludf.DUMMYFUNCTION("VLOOKUP(F14391, IMPORTRANGE(""https://docs.google.com/spreadsheets/d/1Lhp9OU0JdFf_VYSMzH5lBcEaU4o8teT1piV-SNzShjg/edit?gid=554141278#gid=554141278"", ""'Char Def. - Attributes'!C20:C2242""), 1,false)"),"ALT_UOM1_SIPI")</f>
        <v>ALT_UOM1_SIPI</v>
      </c>
      <c r="I14391" s="166"/>
      <c r="J14391" s="138"/>
      <c r="K14391" s="138"/>
      <c r="L14391" s="138"/>
      <c r="M14391" s="138"/>
      <c r="N14391" s="138"/>
      <c r="O14391" s="138"/>
      <c r="P14391" s="138"/>
      <c r="Q14391" s="138"/>
      <c r="R14391" s="63" t="str">
        <f t="shared" si="60"/>
        <v>ZSI1_VEHICLEALT_UOM1_SIPI</v>
      </c>
      <c r="S14391" s="138"/>
      <c r="T14391" s="138"/>
      <c r="U14391" s="138"/>
      <c r="V14391" s="138"/>
      <c r="W14391" s="138"/>
      <c r="X14391" s="138"/>
      <c r="Y14391" s="138"/>
      <c r="Z14391" s="138"/>
      <c r="AA14391" s="138"/>
    </row>
    <row r="14392" ht="15.75" customHeight="1">
      <c r="A14392" s="165"/>
      <c r="B14392" s="63">
        <f t="shared" si="1"/>
        <v>12</v>
      </c>
      <c r="C14392" s="135" t="s">
        <v>523</v>
      </c>
      <c r="D14392" s="161" t="s">
        <v>74</v>
      </c>
      <c r="E14392" s="135">
        <f t="shared" si="62"/>
        <v>18</v>
      </c>
      <c r="F14392" s="134" t="s">
        <v>3805</v>
      </c>
      <c r="G14392" s="63" t="str">
        <f>VLOOKUP(C14392, 'Class Def. - General Data'!$C$20:$C$1000,1,false)</f>
        <v>ZSI1_VEHICLE</v>
      </c>
      <c r="H14392" s="63" t="str">
        <f>IFERROR(__xludf.DUMMYFUNCTION("VLOOKUP(F14392, IMPORTRANGE(""https://docs.google.com/spreadsheets/d/1Lhp9OU0JdFf_VYSMzH5lBcEaU4o8teT1piV-SNzShjg/edit?gid=554141278#gid=554141278"", ""'Char Def. - Attributes'!C20:C2242""), 1,false)"),"ALT_DENUM_UOM1")</f>
        <v>ALT_DENUM_UOM1</v>
      </c>
      <c r="I14392" s="166"/>
      <c r="J14392" s="138"/>
      <c r="K14392" s="138"/>
      <c r="L14392" s="138"/>
      <c r="M14392" s="138"/>
      <c r="N14392" s="138"/>
      <c r="O14392" s="138"/>
      <c r="P14392" s="138"/>
      <c r="Q14392" s="138"/>
      <c r="R14392" s="63" t="str">
        <f t="shared" si="60"/>
        <v>ZSI1_VEHICLEALT_DENUM_UOM1</v>
      </c>
      <c r="S14392" s="138"/>
      <c r="T14392" s="138"/>
      <c r="U14392" s="138"/>
      <c r="V14392" s="138"/>
      <c r="W14392" s="138"/>
      <c r="X14392" s="138"/>
      <c r="Y14392" s="138"/>
      <c r="Z14392" s="138"/>
      <c r="AA14392" s="138"/>
    </row>
    <row r="14393" ht="15.75" customHeight="1">
      <c r="A14393" s="165"/>
      <c r="B14393" s="63">
        <f t="shared" si="1"/>
        <v>12</v>
      </c>
      <c r="C14393" s="135" t="s">
        <v>523</v>
      </c>
      <c r="D14393" s="161" t="s">
        <v>74</v>
      </c>
      <c r="E14393" s="135">
        <f t="shared" si="62"/>
        <v>19</v>
      </c>
      <c r="F14393" s="134" t="s">
        <v>3806</v>
      </c>
      <c r="G14393" s="63" t="str">
        <f>VLOOKUP(C14393, 'Class Def. - General Data'!$C$20:$C$1000,1,false)</f>
        <v>ZSI1_VEHICLE</v>
      </c>
      <c r="H14393" s="63" t="str">
        <f>IFERROR(__xludf.DUMMYFUNCTION("VLOOKUP(F14393, IMPORTRANGE(""https://docs.google.com/spreadsheets/d/1Lhp9OU0JdFf_VYSMzH5lBcEaU4o8teT1piV-SNzShjg/edit?gid=554141278#gid=554141278"", ""'Char Def. - Attributes'!C20:C2242""), 1,false)"),"ALT_NUM_UOM1")</f>
        <v>ALT_NUM_UOM1</v>
      </c>
      <c r="I14393" s="166"/>
      <c r="J14393" s="138"/>
      <c r="K14393" s="138"/>
      <c r="L14393" s="138"/>
      <c r="M14393" s="138"/>
      <c r="N14393" s="138"/>
      <c r="O14393" s="138"/>
      <c r="P14393" s="138"/>
      <c r="Q14393" s="138"/>
      <c r="R14393" s="63" t="str">
        <f t="shared" si="60"/>
        <v>ZSI1_VEHICLEALT_NUM_UOM1</v>
      </c>
      <c r="S14393" s="138"/>
      <c r="T14393" s="138"/>
      <c r="U14393" s="138"/>
      <c r="V14393" s="138"/>
      <c r="W14393" s="138"/>
      <c r="X14393" s="138"/>
      <c r="Y14393" s="138"/>
      <c r="Z14393" s="138"/>
      <c r="AA14393" s="138"/>
    </row>
    <row r="14394" ht="15.75" customHeight="1">
      <c r="A14394" s="165"/>
      <c r="B14394" s="63">
        <f t="shared" si="1"/>
        <v>12</v>
      </c>
      <c r="C14394" s="135" t="s">
        <v>523</v>
      </c>
      <c r="D14394" s="161" t="s">
        <v>74</v>
      </c>
      <c r="E14394" s="135">
        <f t="shared" si="62"/>
        <v>20</v>
      </c>
      <c r="F14394" s="134" t="s">
        <v>3807</v>
      </c>
      <c r="G14394" s="63" t="str">
        <f>VLOOKUP(C14394, 'Class Def. - General Data'!$C$20:$C$1000,1,false)</f>
        <v>ZSI1_VEHICLE</v>
      </c>
      <c r="H14394" s="63" t="str">
        <f>IFERROR(__xludf.DUMMYFUNCTION("VLOOKUP(F14394, IMPORTRANGE(""https://docs.google.com/spreadsheets/d/1Lhp9OU0JdFf_VYSMzH5lBcEaU4o8teT1piV-SNzShjg/edit?gid=554141278#gid=554141278"", ""'Char Def. - Attributes'!C20:C2242""), 1,false)"),"ALT_UOM2_SIPI")</f>
        <v>ALT_UOM2_SIPI</v>
      </c>
      <c r="I14394" s="166"/>
      <c r="J14394" s="138"/>
      <c r="K14394" s="138"/>
      <c r="L14394" s="138"/>
      <c r="M14394" s="138"/>
      <c r="N14394" s="138"/>
      <c r="O14394" s="138"/>
      <c r="P14394" s="138"/>
      <c r="Q14394" s="138"/>
      <c r="R14394" s="63" t="str">
        <f t="shared" si="60"/>
        <v>ZSI1_VEHICLEALT_UOM2_SIPI</v>
      </c>
      <c r="S14394" s="138"/>
      <c r="T14394" s="138"/>
      <c r="U14394" s="138"/>
      <c r="V14394" s="138"/>
      <c r="W14394" s="138"/>
      <c r="X14394" s="138"/>
      <c r="Y14394" s="138"/>
      <c r="Z14394" s="138"/>
      <c r="AA14394" s="138"/>
    </row>
    <row r="14395" ht="15.75" customHeight="1">
      <c r="A14395" s="165"/>
      <c r="B14395" s="63">
        <f t="shared" si="1"/>
        <v>12</v>
      </c>
      <c r="C14395" s="135" t="s">
        <v>523</v>
      </c>
      <c r="D14395" s="161" t="s">
        <v>74</v>
      </c>
      <c r="E14395" s="135">
        <f t="shared" si="62"/>
        <v>21</v>
      </c>
      <c r="F14395" s="134" t="s">
        <v>3808</v>
      </c>
      <c r="G14395" s="63" t="str">
        <f>VLOOKUP(C14395, 'Class Def. - General Data'!$C$20:$C$1000,1,false)</f>
        <v>ZSI1_VEHICLE</v>
      </c>
      <c r="H14395" s="63" t="str">
        <f>IFERROR(__xludf.DUMMYFUNCTION("VLOOKUP(F14395, IMPORTRANGE(""https://docs.google.com/spreadsheets/d/1Lhp9OU0JdFf_VYSMzH5lBcEaU4o8teT1piV-SNzShjg/edit?gid=554141278#gid=554141278"", ""'Char Def. - Attributes'!C20:C2242""), 1,false)"),"ALT_DENUM_UOM2")</f>
        <v>ALT_DENUM_UOM2</v>
      </c>
      <c r="I14395" s="166"/>
      <c r="J14395" s="138"/>
      <c r="K14395" s="138"/>
      <c r="L14395" s="138"/>
      <c r="M14395" s="138"/>
      <c r="N14395" s="138"/>
      <c r="O14395" s="138"/>
      <c r="P14395" s="138"/>
      <c r="Q14395" s="138"/>
      <c r="R14395" s="63" t="str">
        <f t="shared" si="60"/>
        <v>ZSI1_VEHICLEALT_DENUM_UOM2</v>
      </c>
      <c r="S14395" s="138"/>
      <c r="T14395" s="138"/>
      <c r="U14395" s="138"/>
      <c r="V14395" s="138"/>
      <c r="W14395" s="138"/>
      <c r="X14395" s="138"/>
      <c r="Y14395" s="138"/>
      <c r="Z14395" s="138"/>
      <c r="AA14395" s="138"/>
    </row>
    <row r="14396" ht="15.75" customHeight="1">
      <c r="A14396" s="165"/>
      <c r="B14396" s="63">
        <f t="shared" si="1"/>
        <v>12</v>
      </c>
      <c r="C14396" s="135" t="s">
        <v>523</v>
      </c>
      <c r="D14396" s="161" t="s">
        <v>74</v>
      </c>
      <c r="E14396" s="135">
        <f t="shared" si="62"/>
        <v>22</v>
      </c>
      <c r="F14396" s="134" t="s">
        <v>3809</v>
      </c>
      <c r="G14396" s="63" t="str">
        <f>VLOOKUP(C14396, 'Class Def. - General Data'!$C$20:$C$1000,1,false)</f>
        <v>ZSI1_VEHICLE</v>
      </c>
      <c r="H14396" s="63" t="str">
        <f>IFERROR(__xludf.DUMMYFUNCTION("VLOOKUP(F14396, IMPORTRANGE(""https://docs.google.com/spreadsheets/d/1Lhp9OU0JdFf_VYSMzH5lBcEaU4o8teT1piV-SNzShjg/edit?gid=554141278#gid=554141278"", ""'Char Def. - Attributes'!C20:C2242""), 1,false)"),"ALT_NUM_UOM2")</f>
        <v>ALT_NUM_UOM2</v>
      </c>
      <c r="I14396" s="166"/>
      <c r="J14396" s="138"/>
      <c r="K14396" s="138"/>
      <c r="L14396" s="138"/>
      <c r="M14396" s="138"/>
      <c r="N14396" s="138"/>
      <c r="O14396" s="138"/>
      <c r="P14396" s="138"/>
      <c r="Q14396" s="138"/>
      <c r="R14396" s="63" t="str">
        <f t="shared" si="60"/>
        <v>ZSI1_VEHICLEALT_NUM_UOM2</v>
      </c>
      <c r="S14396" s="138"/>
      <c r="T14396" s="138"/>
      <c r="U14396" s="138"/>
      <c r="V14396" s="138"/>
      <c r="W14396" s="138"/>
      <c r="X14396" s="138"/>
      <c r="Y14396" s="138"/>
      <c r="Z14396" s="138"/>
      <c r="AA14396" s="138"/>
    </row>
    <row r="14397" ht="15.75" customHeight="1">
      <c r="A14397" s="165"/>
      <c r="B14397" s="63">
        <f t="shared" si="1"/>
        <v>12</v>
      </c>
      <c r="C14397" s="135" t="s">
        <v>523</v>
      </c>
      <c r="D14397" s="161" t="s">
        <v>74</v>
      </c>
      <c r="E14397" s="135">
        <f t="shared" si="62"/>
        <v>23</v>
      </c>
      <c r="F14397" s="134" t="s">
        <v>3810</v>
      </c>
      <c r="G14397" s="63" t="str">
        <f>VLOOKUP(C14397, 'Class Def. - General Data'!$C$20:$C$1000,1,false)</f>
        <v>ZSI1_VEHICLE</v>
      </c>
      <c r="H14397" s="63" t="str">
        <f>IFERROR(__xludf.DUMMYFUNCTION("VLOOKUP(F14397, IMPORTRANGE(""https://docs.google.com/spreadsheets/d/1Lhp9OU0JdFf_VYSMzH5lBcEaU4o8teT1piV-SNzShjg/edit?gid=554141278#gid=554141278"", ""'Char Def. - Attributes'!C20:C2242""), 1,false)"),"ALT_UOM3_SIPI")</f>
        <v>ALT_UOM3_SIPI</v>
      </c>
      <c r="I14397" s="166"/>
      <c r="J14397" s="138"/>
      <c r="K14397" s="138"/>
      <c r="L14397" s="138"/>
      <c r="M14397" s="138"/>
      <c r="N14397" s="138"/>
      <c r="O14397" s="138"/>
      <c r="P14397" s="138"/>
      <c r="Q14397" s="138"/>
      <c r="R14397" s="63" t="str">
        <f t="shared" si="60"/>
        <v>ZSI1_VEHICLEALT_UOM3_SIPI</v>
      </c>
      <c r="S14397" s="138"/>
      <c r="T14397" s="138"/>
      <c r="U14397" s="138"/>
      <c r="V14397" s="138"/>
      <c r="W14397" s="138"/>
      <c r="X14397" s="138"/>
      <c r="Y14397" s="138"/>
      <c r="Z14397" s="138"/>
      <c r="AA14397" s="138"/>
    </row>
    <row r="14398" ht="15.75" customHeight="1">
      <c r="A14398" s="165"/>
      <c r="B14398" s="63">
        <f t="shared" si="1"/>
        <v>12</v>
      </c>
      <c r="C14398" s="135" t="s">
        <v>523</v>
      </c>
      <c r="D14398" s="161" t="s">
        <v>74</v>
      </c>
      <c r="E14398" s="135">
        <f t="shared" si="62"/>
        <v>24</v>
      </c>
      <c r="F14398" s="134" t="s">
        <v>3811</v>
      </c>
      <c r="G14398" s="63" t="str">
        <f>VLOOKUP(C14398, 'Class Def. - General Data'!$C$20:$C$1000,1,false)</f>
        <v>ZSI1_VEHICLE</v>
      </c>
      <c r="H14398" s="63" t="str">
        <f>IFERROR(__xludf.DUMMYFUNCTION("VLOOKUP(F14398, IMPORTRANGE(""https://docs.google.com/spreadsheets/d/1Lhp9OU0JdFf_VYSMzH5lBcEaU4o8teT1piV-SNzShjg/edit?gid=554141278#gid=554141278"", ""'Char Def. - Attributes'!C20:C2242""), 1,false)"),"ALT_DENUM_UOM3")</f>
        <v>ALT_DENUM_UOM3</v>
      </c>
      <c r="I14398" s="166"/>
      <c r="J14398" s="138"/>
      <c r="K14398" s="138"/>
      <c r="L14398" s="138"/>
      <c r="M14398" s="138"/>
      <c r="N14398" s="138"/>
      <c r="O14398" s="138"/>
      <c r="P14398" s="138"/>
      <c r="Q14398" s="138"/>
      <c r="R14398" s="63" t="str">
        <f t="shared" si="60"/>
        <v>ZSI1_VEHICLEALT_DENUM_UOM3</v>
      </c>
      <c r="S14398" s="138"/>
      <c r="T14398" s="138"/>
      <c r="U14398" s="138"/>
      <c r="V14398" s="138"/>
      <c r="W14398" s="138"/>
      <c r="X14398" s="138"/>
      <c r="Y14398" s="138"/>
      <c r="Z14398" s="138"/>
      <c r="AA14398" s="138"/>
    </row>
    <row r="14399" ht="15.75" customHeight="1">
      <c r="A14399" s="165"/>
      <c r="B14399" s="63">
        <f t="shared" si="1"/>
        <v>12</v>
      </c>
      <c r="C14399" s="135" t="s">
        <v>523</v>
      </c>
      <c r="D14399" s="161" t="s">
        <v>74</v>
      </c>
      <c r="E14399" s="135">
        <f t="shared" si="62"/>
        <v>25</v>
      </c>
      <c r="F14399" s="134" t="s">
        <v>3812</v>
      </c>
      <c r="G14399" s="63" t="str">
        <f>VLOOKUP(C14399, 'Class Def. - General Data'!$C$20:$C$1000,1,false)</f>
        <v>ZSI1_VEHICLE</v>
      </c>
      <c r="H14399" s="63" t="str">
        <f>IFERROR(__xludf.DUMMYFUNCTION("VLOOKUP(F14399, IMPORTRANGE(""https://docs.google.com/spreadsheets/d/1Lhp9OU0JdFf_VYSMzH5lBcEaU4o8teT1piV-SNzShjg/edit?gid=554141278#gid=554141278"", ""'Char Def. - Attributes'!C20:C2242""), 1,false)"),"ALT_NUM_UOM3")</f>
        <v>ALT_NUM_UOM3</v>
      </c>
      <c r="I14399" s="166"/>
      <c r="J14399" s="138"/>
      <c r="K14399" s="138"/>
      <c r="L14399" s="138"/>
      <c r="M14399" s="138"/>
      <c r="N14399" s="138"/>
      <c r="O14399" s="138"/>
      <c r="P14399" s="138"/>
      <c r="Q14399" s="138"/>
      <c r="R14399" s="63" t="str">
        <f t="shared" si="60"/>
        <v>ZSI1_VEHICLEALT_NUM_UOM3</v>
      </c>
      <c r="S14399" s="138"/>
      <c r="T14399" s="138"/>
      <c r="U14399" s="138"/>
      <c r="V14399" s="138"/>
      <c r="W14399" s="138"/>
      <c r="X14399" s="138"/>
      <c r="Y14399" s="138"/>
      <c r="Z14399" s="138"/>
      <c r="AA14399" s="138"/>
    </row>
    <row r="14400" ht="15.75" customHeight="1">
      <c r="A14400" s="165"/>
      <c r="B14400" s="63">
        <f t="shared" si="1"/>
        <v>12</v>
      </c>
      <c r="C14400" s="135" t="s">
        <v>523</v>
      </c>
      <c r="D14400" s="161" t="s">
        <v>74</v>
      </c>
      <c r="E14400" s="135">
        <f t="shared" si="62"/>
        <v>26</v>
      </c>
      <c r="F14400" s="134" t="s">
        <v>3813</v>
      </c>
      <c r="G14400" s="63" t="str">
        <f>VLOOKUP(C14400, 'Class Def. - General Data'!$C$20:$C$1000,1,false)</f>
        <v>ZSI1_VEHICLE</v>
      </c>
      <c r="H14400" s="63" t="str">
        <f>IFERROR(__xludf.DUMMYFUNCTION("VLOOKUP(F14400, IMPORTRANGE(""https://docs.google.com/spreadsheets/d/1Lhp9OU0JdFf_VYSMzH5lBcEaU4o8teT1piV-SNzShjg/edit?gid=554141278#gid=554141278"", ""'Char Def. - Attributes'!C20:C2242""), 1,false)"),"ALT_UOM4_SIPI")</f>
        <v>ALT_UOM4_SIPI</v>
      </c>
      <c r="I14400" s="166"/>
      <c r="J14400" s="138"/>
      <c r="K14400" s="138"/>
      <c r="L14400" s="138"/>
      <c r="M14400" s="138"/>
      <c r="N14400" s="138"/>
      <c r="O14400" s="138"/>
      <c r="P14400" s="138"/>
      <c r="Q14400" s="138"/>
      <c r="R14400" s="63" t="str">
        <f t="shared" si="60"/>
        <v>ZSI1_VEHICLEALT_UOM4_SIPI</v>
      </c>
      <c r="S14400" s="138"/>
      <c r="T14400" s="138"/>
      <c r="U14400" s="138"/>
      <c r="V14400" s="138"/>
      <c r="W14400" s="138"/>
      <c r="X14400" s="138"/>
      <c r="Y14400" s="138"/>
      <c r="Z14400" s="138"/>
      <c r="AA14400" s="138"/>
    </row>
    <row r="14401" ht="15.75" customHeight="1">
      <c r="A14401" s="165"/>
      <c r="B14401" s="63">
        <f t="shared" si="1"/>
        <v>12</v>
      </c>
      <c r="C14401" s="135" t="s">
        <v>523</v>
      </c>
      <c r="D14401" s="161" t="s">
        <v>74</v>
      </c>
      <c r="E14401" s="135">
        <f t="shared" si="62"/>
        <v>27</v>
      </c>
      <c r="F14401" s="134" t="s">
        <v>3814</v>
      </c>
      <c r="G14401" s="63" t="str">
        <f>VLOOKUP(C14401, 'Class Def. - General Data'!$C$20:$C$1000,1,false)</f>
        <v>ZSI1_VEHICLE</v>
      </c>
      <c r="H14401" s="63" t="str">
        <f>IFERROR(__xludf.DUMMYFUNCTION("VLOOKUP(F14401, IMPORTRANGE(""https://docs.google.com/spreadsheets/d/1Lhp9OU0JdFf_VYSMzH5lBcEaU4o8teT1piV-SNzShjg/edit?gid=554141278#gid=554141278"", ""'Char Def. - Attributes'!C20:C2242""), 1,false)"),"ALT_DENUM_UOM4")</f>
        <v>ALT_DENUM_UOM4</v>
      </c>
      <c r="I14401" s="166"/>
      <c r="J14401" s="138"/>
      <c r="K14401" s="138"/>
      <c r="L14401" s="138"/>
      <c r="M14401" s="138"/>
      <c r="N14401" s="138"/>
      <c r="O14401" s="138"/>
      <c r="P14401" s="138"/>
      <c r="Q14401" s="138"/>
      <c r="R14401" s="63" t="str">
        <f t="shared" si="60"/>
        <v>ZSI1_VEHICLEALT_DENUM_UOM4</v>
      </c>
      <c r="S14401" s="138"/>
      <c r="T14401" s="138"/>
      <c r="U14401" s="138"/>
      <c r="V14401" s="138"/>
      <c r="W14401" s="138"/>
      <c r="X14401" s="138"/>
      <c r="Y14401" s="138"/>
      <c r="Z14401" s="138"/>
      <c r="AA14401" s="138"/>
    </row>
    <row r="14402" ht="15.75" customHeight="1">
      <c r="A14402" s="165"/>
      <c r="B14402" s="63">
        <f t="shared" si="1"/>
        <v>12</v>
      </c>
      <c r="C14402" s="135" t="s">
        <v>523</v>
      </c>
      <c r="D14402" s="161" t="s">
        <v>74</v>
      </c>
      <c r="E14402" s="135">
        <f t="shared" si="62"/>
        <v>28</v>
      </c>
      <c r="F14402" s="134" t="s">
        <v>3815</v>
      </c>
      <c r="G14402" s="63" t="str">
        <f>VLOOKUP(C14402, 'Class Def. - General Data'!$C$20:$C$1000,1,false)</f>
        <v>ZSI1_VEHICLE</v>
      </c>
      <c r="H14402" s="63" t="str">
        <f>IFERROR(__xludf.DUMMYFUNCTION("VLOOKUP(F14402, IMPORTRANGE(""https://docs.google.com/spreadsheets/d/1Lhp9OU0JdFf_VYSMzH5lBcEaU4o8teT1piV-SNzShjg/edit?gid=554141278#gid=554141278"", ""'Char Def. - Attributes'!C20:C2242""), 1,false)"),"ALT_NUM_UOM4")</f>
        <v>ALT_NUM_UOM4</v>
      </c>
      <c r="I14402" s="166"/>
      <c r="J14402" s="138"/>
      <c r="K14402" s="138"/>
      <c r="L14402" s="138"/>
      <c r="M14402" s="138"/>
      <c r="N14402" s="138"/>
      <c r="O14402" s="138"/>
      <c r="P14402" s="138"/>
      <c r="Q14402" s="138"/>
      <c r="R14402" s="63" t="str">
        <f t="shared" si="60"/>
        <v>ZSI1_VEHICLEALT_NUM_UOM4</v>
      </c>
      <c r="S14402" s="138"/>
      <c r="T14402" s="138"/>
      <c r="U14402" s="138"/>
      <c r="V14402" s="138"/>
      <c r="W14402" s="138"/>
      <c r="X14402" s="138"/>
      <c r="Y14402" s="138"/>
      <c r="Z14402" s="138"/>
      <c r="AA14402" s="138"/>
    </row>
    <row r="14403" ht="15.75" customHeight="1">
      <c r="A14403" s="165"/>
      <c r="B14403" s="63">
        <f t="shared" si="1"/>
        <v>12</v>
      </c>
      <c r="C14403" s="135" t="s">
        <v>523</v>
      </c>
      <c r="D14403" s="161" t="s">
        <v>74</v>
      </c>
      <c r="E14403" s="135">
        <f t="shared" si="62"/>
        <v>29</v>
      </c>
      <c r="F14403" s="134" t="s">
        <v>3816</v>
      </c>
      <c r="G14403" s="63" t="str">
        <f>VLOOKUP(C14403, 'Class Def. - General Data'!$C$20:$C$1000,1,false)</f>
        <v>ZSI1_VEHICLE</v>
      </c>
      <c r="H14403" s="63" t="str">
        <f>IFERROR(__xludf.DUMMYFUNCTION("VLOOKUP(F14403, IMPORTRANGE(""https://docs.google.com/spreadsheets/d/1Lhp9OU0JdFf_VYSMzH5lBcEaU4o8teT1piV-SNzShjg/edit?gid=554141278#gid=554141278"", ""'Char Def. - Attributes'!C20:C2242""), 1,false)"),"ALT_UOM5_SIPI")</f>
        <v>ALT_UOM5_SIPI</v>
      </c>
      <c r="I14403" s="166"/>
      <c r="J14403" s="138"/>
      <c r="K14403" s="138"/>
      <c r="L14403" s="138"/>
      <c r="M14403" s="138"/>
      <c r="N14403" s="138"/>
      <c r="O14403" s="138"/>
      <c r="P14403" s="138"/>
      <c r="Q14403" s="138"/>
      <c r="R14403" s="63" t="str">
        <f t="shared" si="60"/>
        <v>ZSI1_VEHICLEALT_UOM5_SIPI</v>
      </c>
      <c r="S14403" s="138"/>
      <c r="T14403" s="138"/>
      <c r="U14403" s="138"/>
      <c r="V14403" s="138"/>
      <c r="W14403" s="138"/>
      <c r="X14403" s="138"/>
      <c r="Y14403" s="138"/>
      <c r="Z14403" s="138"/>
      <c r="AA14403" s="138"/>
    </row>
    <row r="14404" ht="15.75" customHeight="1">
      <c r="A14404" s="165"/>
      <c r="B14404" s="63">
        <f t="shared" si="1"/>
        <v>12</v>
      </c>
      <c r="C14404" s="135" t="s">
        <v>523</v>
      </c>
      <c r="D14404" s="161" t="s">
        <v>74</v>
      </c>
      <c r="E14404" s="135">
        <f t="shared" si="62"/>
        <v>30</v>
      </c>
      <c r="F14404" s="134" t="s">
        <v>3817</v>
      </c>
      <c r="G14404" s="63" t="str">
        <f>VLOOKUP(C14404, 'Class Def. - General Data'!$C$20:$C$1000,1,false)</f>
        <v>ZSI1_VEHICLE</v>
      </c>
      <c r="H14404" s="63" t="str">
        <f>IFERROR(__xludf.DUMMYFUNCTION("VLOOKUP(F14404, IMPORTRANGE(""https://docs.google.com/spreadsheets/d/1Lhp9OU0JdFf_VYSMzH5lBcEaU4o8teT1piV-SNzShjg/edit?gid=554141278#gid=554141278"", ""'Char Def. - Attributes'!C20:C2242""), 1,false)"),"ALT_DENUM_UOM5")</f>
        <v>ALT_DENUM_UOM5</v>
      </c>
      <c r="I14404" s="166"/>
      <c r="J14404" s="138"/>
      <c r="K14404" s="138"/>
      <c r="L14404" s="138"/>
      <c r="M14404" s="138"/>
      <c r="N14404" s="138"/>
      <c r="O14404" s="138"/>
      <c r="P14404" s="138"/>
      <c r="Q14404" s="138"/>
      <c r="R14404" s="63" t="str">
        <f t="shared" si="60"/>
        <v>ZSI1_VEHICLEALT_DENUM_UOM5</v>
      </c>
      <c r="S14404" s="138"/>
      <c r="T14404" s="138"/>
      <c r="U14404" s="138"/>
      <c r="V14404" s="138"/>
      <c r="W14404" s="138"/>
      <c r="X14404" s="138"/>
      <c r="Y14404" s="138"/>
      <c r="Z14404" s="138"/>
      <c r="AA14404" s="138"/>
    </row>
    <row r="14405" ht="15.75" customHeight="1">
      <c r="A14405" s="165"/>
      <c r="B14405" s="63">
        <f t="shared" si="1"/>
        <v>12</v>
      </c>
      <c r="C14405" s="135" t="s">
        <v>523</v>
      </c>
      <c r="D14405" s="161" t="s">
        <v>74</v>
      </c>
      <c r="E14405" s="135">
        <f t="shared" si="62"/>
        <v>31</v>
      </c>
      <c r="F14405" s="134" t="s">
        <v>3818</v>
      </c>
      <c r="G14405" s="63" t="str">
        <f>VLOOKUP(C14405, 'Class Def. - General Data'!$C$20:$C$1000,1,false)</f>
        <v>ZSI1_VEHICLE</v>
      </c>
      <c r="H14405" s="63" t="str">
        <f>IFERROR(__xludf.DUMMYFUNCTION("VLOOKUP(F14405, IMPORTRANGE(""https://docs.google.com/spreadsheets/d/1Lhp9OU0JdFf_VYSMzH5lBcEaU4o8teT1piV-SNzShjg/edit?gid=554141278#gid=554141278"", ""'Char Def. - Attributes'!C20:C2242""), 1,false)"),"ALT_NUM_UOM5")</f>
        <v>ALT_NUM_UOM5</v>
      </c>
      <c r="I14405" s="166"/>
      <c r="J14405" s="138"/>
      <c r="K14405" s="138"/>
      <c r="L14405" s="138"/>
      <c r="M14405" s="138"/>
      <c r="N14405" s="138"/>
      <c r="O14405" s="138"/>
      <c r="P14405" s="138"/>
      <c r="Q14405" s="138"/>
      <c r="R14405" s="63" t="str">
        <f t="shared" si="60"/>
        <v>ZSI1_VEHICLEALT_NUM_UOM5</v>
      </c>
      <c r="S14405" s="138"/>
      <c r="T14405" s="138"/>
      <c r="U14405" s="138"/>
      <c r="V14405" s="138"/>
      <c r="W14405" s="138"/>
      <c r="X14405" s="138"/>
      <c r="Y14405" s="138"/>
      <c r="Z14405" s="138"/>
      <c r="AA14405" s="138"/>
    </row>
    <row r="14406" ht="15.75" customHeight="1">
      <c r="A14406" s="165"/>
      <c r="B14406" s="63">
        <f t="shared" si="1"/>
        <v>15</v>
      </c>
      <c r="C14406" s="135" t="s">
        <v>331</v>
      </c>
      <c r="D14406" s="161" t="s">
        <v>74</v>
      </c>
      <c r="E14406" s="135">
        <f t="shared" si="62"/>
        <v>1</v>
      </c>
      <c r="F14406" s="134" t="s">
        <v>5584</v>
      </c>
      <c r="G14406" s="63" t="str">
        <f>VLOOKUP(C14406, 'Class Def. - General Data'!$C$20:$C$1000,1,false)</f>
        <v>ZSI1_VENDING_MC</v>
      </c>
      <c r="H14406" s="63" t="str">
        <f>IFERROR(__xludf.DUMMYFUNCTION("VLOOKUP(F14406, IMPORTRANGE(""https://docs.google.com/spreadsheets/d/1Lhp9OU0JdFf_VYSMzH5lBcEaU4o8teT1piV-SNzShjg/edit?gid=554141278#gid=554141278"", ""'Char Def. - Attributes'!C20:C2242""), 1,false)"),"ITEM_NAME_VENDING_MC")</f>
        <v>ITEM_NAME_VENDING_MC</v>
      </c>
      <c r="I14406" s="166"/>
      <c r="J14406" s="138"/>
      <c r="K14406" s="138"/>
      <c r="L14406" s="138"/>
      <c r="M14406" s="138"/>
      <c r="N14406" s="138"/>
      <c r="O14406" s="138"/>
      <c r="P14406" s="138"/>
      <c r="Q14406" s="138"/>
      <c r="R14406" s="63" t="str">
        <f t="shared" si="60"/>
        <v>ZSI1_VENDING_MCITEM_NAME_VENDING_MC</v>
      </c>
      <c r="S14406" s="138"/>
      <c r="T14406" s="138"/>
      <c r="U14406" s="138"/>
      <c r="V14406" s="138"/>
      <c r="W14406" s="138"/>
      <c r="X14406" s="138"/>
      <c r="Y14406" s="138"/>
      <c r="Z14406" s="138"/>
      <c r="AA14406" s="138"/>
    </row>
    <row r="14407" ht="15.75" customHeight="1">
      <c r="A14407" s="165"/>
      <c r="B14407" s="63">
        <f t="shared" si="1"/>
        <v>15</v>
      </c>
      <c r="C14407" s="135" t="s">
        <v>331</v>
      </c>
      <c r="D14407" s="161" t="s">
        <v>74</v>
      </c>
      <c r="E14407" s="135">
        <f t="shared" si="62"/>
        <v>2</v>
      </c>
      <c r="F14407" s="134" t="s">
        <v>5585</v>
      </c>
      <c r="G14407" s="63" t="str">
        <f>VLOOKUP(C14407, 'Class Def. - General Data'!$C$20:$C$1000,1,false)</f>
        <v>ZSI1_VENDING_MC</v>
      </c>
      <c r="H14407" s="63" t="str">
        <f>IFERROR(__xludf.DUMMYFUNCTION("VLOOKUP(F14407, IMPORTRANGE(""https://docs.google.com/spreadsheets/d/1Lhp9OU0JdFf_VYSMzH5lBcEaU4o8teT1piV-SNzShjg/edit?gid=554141278#gid=554141278"", ""'Char Def. - Attributes'!C20:C2242""), 1,false)"),"MFR_NO_VENDING_MC")</f>
        <v>MFR_NO_VENDING_MC</v>
      </c>
      <c r="I14407" s="166"/>
      <c r="J14407" s="138"/>
      <c r="K14407" s="138"/>
      <c r="L14407" s="138"/>
      <c r="M14407" s="138"/>
      <c r="N14407" s="138"/>
      <c r="O14407" s="138"/>
      <c r="P14407" s="138"/>
      <c r="Q14407" s="138"/>
      <c r="R14407" s="63" t="str">
        <f t="shared" si="60"/>
        <v>ZSI1_VENDING_MCMFR_NO_VENDING_MC</v>
      </c>
      <c r="S14407" s="138"/>
      <c r="T14407" s="138"/>
      <c r="U14407" s="138"/>
      <c r="V14407" s="138"/>
      <c r="W14407" s="138"/>
      <c r="X14407" s="138"/>
      <c r="Y14407" s="138"/>
      <c r="Z14407" s="138"/>
      <c r="AA14407" s="138"/>
    </row>
    <row r="14408" ht="15.75" customHeight="1">
      <c r="A14408" s="165"/>
      <c r="B14408" s="63">
        <f t="shared" si="1"/>
        <v>15</v>
      </c>
      <c r="C14408" s="135" t="s">
        <v>331</v>
      </c>
      <c r="D14408" s="161" t="s">
        <v>74</v>
      </c>
      <c r="E14408" s="135">
        <f t="shared" si="62"/>
        <v>3</v>
      </c>
      <c r="F14408" s="134" t="s">
        <v>3782</v>
      </c>
      <c r="G14408" s="63" t="str">
        <f>VLOOKUP(C14408, 'Class Def. - General Data'!$C$20:$C$1000,1,false)</f>
        <v>ZSI1_VENDING_MC</v>
      </c>
      <c r="H14408" s="63" t="str">
        <f>IFERROR(__xludf.DUMMYFUNCTION("VLOOKUP(F14408, IMPORTRANGE(""https://docs.google.com/spreadsheets/d/1Lhp9OU0JdFf_VYSMzH5lBcEaU4o8teT1piV-SNzShjg/edit?gid=554141278#gid=554141278"", ""'Char Def. - Attributes'!C20:C2242""), 1,false)"),"BRAND_EXTERNAL")</f>
        <v>BRAND_EXTERNAL</v>
      </c>
      <c r="I14408" s="166"/>
      <c r="J14408" s="138"/>
      <c r="K14408" s="138"/>
      <c r="L14408" s="138"/>
      <c r="M14408" s="138"/>
      <c r="N14408" s="138"/>
      <c r="O14408" s="138"/>
      <c r="P14408" s="138"/>
      <c r="Q14408" s="138"/>
      <c r="R14408" s="63" t="str">
        <f t="shared" si="60"/>
        <v>ZSI1_VENDING_MCBRAND_EXTERNAL</v>
      </c>
      <c r="S14408" s="138"/>
      <c r="T14408" s="138"/>
      <c r="U14408" s="138"/>
      <c r="V14408" s="138"/>
      <c r="W14408" s="138"/>
      <c r="X14408" s="138"/>
      <c r="Y14408" s="138"/>
      <c r="Z14408" s="138"/>
      <c r="AA14408" s="138"/>
    </row>
    <row r="14409" ht="15.75" customHeight="1">
      <c r="A14409" s="165"/>
      <c r="B14409" s="63">
        <f t="shared" si="1"/>
        <v>15</v>
      </c>
      <c r="C14409" s="135" t="s">
        <v>331</v>
      </c>
      <c r="D14409" s="161" t="s">
        <v>74</v>
      </c>
      <c r="E14409" s="135">
        <f t="shared" si="62"/>
        <v>4</v>
      </c>
      <c r="F14409" s="134" t="s">
        <v>4062</v>
      </c>
      <c r="G14409" s="63" t="str">
        <f>VLOOKUP(C14409, 'Class Def. - General Data'!$C$20:$C$1000,1,false)</f>
        <v>ZSI1_VENDING_MC</v>
      </c>
      <c r="H14409" s="63" t="str">
        <f>IFERROR(__xludf.DUMMYFUNCTION("VLOOKUP(F14409, IMPORTRANGE(""https://docs.google.com/spreadsheets/d/1Lhp9OU0JdFf_VYSMzH5lBcEaU4o8teT1piV-SNzShjg/edit?gid=554141278#gid=554141278"", ""'Char Def. - Attributes'!C20:C2242""), 1,false)"),"#N/A")</f>
        <v>#N/A</v>
      </c>
      <c r="I14409" s="166"/>
      <c r="J14409" s="138"/>
      <c r="K14409" s="138"/>
      <c r="L14409" s="138"/>
      <c r="M14409" s="138"/>
      <c r="N14409" s="138"/>
      <c r="O14409" s="138"/>
      <c r="P14409" s="138"/>
      <c r="Q14409" s="138"/>
      <c r="R14409" s="63" t="str">
        <f t="shared" si="60"/>
        <v>ZSI1_VENDING_MCADDTIONAL_SPECIFICATION</v>
      </c>
      <c r="S14409" s="138"/>
      <c r="T14409" s="138"/>
      <c r="U14409" s="138"/>
      <c r="V14409" s="138"/>
      <c r="W14409" s="138"/>
      <c r="X14409" s="138"/>
      <c r="Y14409" s="138"/>
      <c r="Z14409" s="138"/>
      <c r="AA14409" s="138"/>
    </row>
    <row r="14410" ht="15.75" customHeight="1">
      <c r="A14410" s="165"/>
      <c r="B14410" s="63">
        <f t="shared" si="1"/>
        <v>15</v>
      </c>
      <c r="C14410" s="135" t="s">
        <v>331</v>
      </c>
      <c r="D14410" s="161" t="s">
        <v>74</v>
      </c>
      <c r="E14410" s="135">
        <f t="shared" si="62"/>
        <v>5</v>
      </c>
      <c r="F14410" s="134" t="s">
        <v>4053</v>
      </c>
      <c r="G14410" s="63" t="str">
        <f>VLOOKUP(C14410, 'Class Def. - General Data'!$C$20:$C$1000,1,false)</f>
        <v>ZSI1_VENDING_MC</v>
      </c>
      <c r="H14410" s="63" t="str">
        <f>IFERROR(__xludf.DUMMYFUNCTION("VLOOKUP(F14410, IMPORTRANGE(""https://docs.google.com/spreadsheets/d/1Lhp9OU0JdFf_VYSMzH5lBcEaU4o8teT1piV-SNzShjg/edit?gid=554141278#gid=554141278"", ""'Char Def. - Attributes'!C20:C2242""), 1,false)"),"MAINTENANCE_ORDER_TYPE")</f>
        <v>MAINTENANCE_ORDER_TYPE</v>
      </c>
      <c r="I14410" s="166"/>
      <c r="J14410" s="138"/>
      <c r="K14410" s="138"/>
      <c r="L14410" s="138"/>
      <c r="M14410" s="138"/>
      <c r="N14410" s="138"/>
      <c r="O14410" s="138"/>
      <c r="P14410" s="138"/>
      <c r="Q14410" s="138"/>
      <c r="R14410" s="63" t="str">
        <f t="shared" si="60"/>
        <v>ZSI1_VENDING_MCMAINTENANCE_ORDER_TYPE</v>
      </c>
      <c r="S14410" s="138"/>
      <c r="T14410" s="138"/>
      <c r="U14410" s="138"/>
      <c r="V14410" s="138"/>
      <c r="W14410" s="138"/>
      <c r="X14410" s="138"/>
      <c r="Y14410" s="138"/>
      <c r="Z14410" s="138"/>
      <c r="AA14410" s="138"/>
    </row>
    <row r="14411" ht="15.75" customHeight="1">
      <c r="A14411" s="165"/>
      <c r="B14411" s="63">
        <f t="shared" si="1"/>
        <v>15</v>
      </c>
      <c r="C14411" s="135" t="s">
        <v>331</v>
      </c>
      <c r="D14411" s="161" t="s">
        <v>74</v>
      </c>
      <c r="E14411" s="135">
        <f t="shared" si="62"/>
        <v>6</v>
      </c>
      <c r="F14411" s="134" t="s">
        <v>3585</v>
      </c>
      <c r="G14411" s="63" t="str">
        <f>VLOOKUP(C14411, 'Class Def. - General Data'!$C$20:$C$1000,1,false)</f>
        <v>ZSI1_VENDING_MC</v>
      </c>
      <c r="H14411" s="63" t="str">
        <f>IFERROR(__xludf.DUMMYFUNCTION("VLOOKUP(F14411, IMPORTRANGE(""https://docs.google.com/spreadsheets/d/1Lhp9OU0JdFf_VYSMzH5lBcEaU4o8teT1piV-SNzShjg/edit?gid=554141278#gid=554141278"", ""'Char Def. - Attributes'!C20:C2242""), 1,false)"),"HS_CODE")</f>
        <v>HS_CODE</v>
      </c>
      <c r="I14411" s="166"/>
      <c r="J14411" s="138"/>
      <c r="K14411" s="138"/>
      <c r="L14411" s="138"/>
      <c r="M14411" s="138"/>
      <c r="N14411" s="138"/>
      <c r="O14411" s="138"/>
      <c r="P14411" s="138"/>
      <c r="Q14411" s="138"/>
      <c r="R14411" s="63" t="str">
        <f t="shared" si="60"/>
        <v>ZSI1_VENDING_MCHS_CODE</v>
      </c>
      <c r="S14411" s="138"/>
      <c r="T14411" s="138"/>
      <c r="U14411" s="138"/>
      <c r="V14411" s="138"/>
      <c r="W14411" s="138"/>
      <c r="X14411" s="138"/>
      <c r="Y14411" s="138"/>
      <c r="Z14411" s="138"/>
      <c r="AA14411" s="138"/>
    </row>
    <row r="14412" ht="15.75" customHeight="1">
      <c r="A14412" s="165"/>
      <c r="B14412" s="63">
        <f t="shared" si="1"/>
        <v>15</v>
      </c>
      <c r="C14412" s="135" t="s">
        <v>331</v>
      </c>
      <c r="D14412" s="161" t="s">
        <v>74</v>
      </c>
      <c r="E14412" s="135">
        <f t="shared" si="62"/>
        <v>7</v>
      </c>
      <c r="F14412" s="134" t="s">
        <v>3587</v>
      </c>
      <c r="G14412" s="63" t="str">
        <f>VLOOKUP(C14412, 'Class Def. - General Data'!$C$20:$C$1000,1,false)</f>
        <v>ZSI1_VENDING_MC</v>
      </c>
      <c r="H14412" s="63" t="str">
        <f>IFERROR(__xludf.DUMMYFUNCTION("VLOOKUP(F14412, IMPORTRANGE(""https://docs.google.com/spreadsheets/d/1Lhp9OU0JdFf_VYSMzH5lBcEaU4o8teT1piV-SNzShjg/edit?gid=554141278#gid=554141278"", ""'Char Def. - Attributes'!C20:C2242""), 1,false)"),"PLANT_BUY")</f>
        <v>PLANT_BUY</v>
      </c>
      <c r="I14412" s="166"/>
      <c r="J14412" s="138"/>
      <c r="K14412" s="138"/>
      <c r="L14412" s="138"/>
      <c r="M14412" s="138"/>
      <c r="N14412" s="138"/>
      <c r="O14412" s="138"/>
      <c r="P14412" s="138"/>
      <c r="Q14412" s="138"/>
      <c r="R14412" s="63" t="str">
        <f t="shared" si="60"/>
        <v>ZSI1_VENDING_MCPLANT_BUY</v>
      </c>
      <c r="S14412" s="138"/>
      <c r="T14412" s="138"/>
      <c r="U14412" s="138"/>
      <c r="V14412" s="138"/>
      <c r="W14412" s="138"/>
      <c r="X14412" s="138"/>
      <c r="Y14412" s="138"/>
      <c r="Z14412" s="138"/>
      <c r="AA14412" s="138"/>
    </row>
    <row r="14413" ht="15.75" customHeight="1">
      <c r="A14413" s="165"/>
      <c r="B14413" s="63">
        <f t="shared" si="1"/>
        <v>15</v>
      </c>
      <c r="C14413" s="135" t="s">
        <v>331</v>
      </c>
      <c r="D14413" s="161" t="s">
        <v>74</v>
      </c>
      <c r="E14413" s="135">
        <f t="shared" si="62"/>
        <v>8</v>
      </c>
      <c r="F14413" s="134" t="s">
        <v>5586</v>
      </c>
      <c r="G14413" s="63" t="str">
        <f>VLOOKUP(C14413, 'Class Def. - General Data'!$C$20:$C$1000,1,false)</f>
        <v>ZSI1_VENDING_MC</v>
      </c>
      <c r="H14413" s="63" t="str">
        <f>IFERROR(__xludf.DUMMYFUNCTION("VLOOKUP(F14413, IMPORTRANGE(""https://docs.google.com/spreadsheets/d/1Lhp9OU0JdFf_VYSMzH5lBcEaU4o8teT1piV-SNzShjg/edit?gid=554141278#gid=554141278"", ""'Char Def. - Attributes'!C20:C2242""), 1,false)"),"BASE_UOM_VENDING_MC")</f>
        <v>BASE_UOM_VENDING_MC</v>
      </c>
      <c r="I14413" s="166"/>
      <c r="J14413" s="138"/>
      <c r="K14413" s="138"/>
      <c r="L14413" s="138"/>
      <c r="M14413" s="138"/>
      <c r="N14413" s="138"/>
      <c r="O14413" s="138"/>
      <c r="P14413" s="138"/>
      <c r="Q14413" s="138"/>
      <c r="R14413" s="63" t="str">
        <f t="shared" si="60"/>
        <v>ZSI1_VENDING_MCBASE_UOM_VENDING_MC</v>
      </c>
      <c r="S14413" s="138"/>
      <c r="T14413" s="138"/>
      <c r="U14413" s="138"/>
      <c r="V14413" s="138"/>
      <c r="W14413" s="138"/>
      <c r="X14413" s="138"/>
      <c r="Y14413" s="138"/>
      <c r="Z14413" s="138"/>
      <c r="AA14413" s="138"/>
    </row>
    <row r="14414" ht="15.75" customHeight="1">
      <c r="A14414" s="165"/>
      <c r="B14414" s="63">
        <f t="shared" si="1"/>
        <v>15</v>
      </c>
      <c r="C14414" s="135" t="s">
        <v>331</v>
      </c>
      <c r="D14414" s="161" t="s">
        <v>74</v>
      </c>
      <c r="E14414" s="135">
        <f t="shared" si="62"/>
        <v>9</v>
      </c>
      <c r="F14414" s="134" t="s">
        <v>5587</v>
      </c>
      <c r="G14414" s="63" t="str">
        <f>VLOOKUP(C14414, 'Class Def. - General Data'!$C$20:$C$1000,1,false)</f>
        <v>ZSI1_VENDING_MC</v>
      </c>
      <c r="H14414" s="63" t="str">
        <f>IFERROR(__xludf.DUMMYFUNCTION("VLOOKUP(F14414, IMPORTRANGE(""https://docs.google.com/spreadsheets/d/1Lhp9OU0JdFf_VYSMzH5lBcEaU4o8teT1piV-SNzShjg/edit?gid=554141278#gid=554141278"", ""'Char Def. - Attributes'!C20:C2242""), 1,false)"),"ORDER_UNIT_VENDING_MC")</f>
        <v>ORDER_UNIT_VENDING_MC</v>
      </c>
      <c r="I14414" s="166"/>
      <c r="J14414" s="138"/>
      <c r="K14414" s="138"/>
      <c r="L14414" s="138"/>
      <c r="M14414" s="138"/>
      <c r="N14414" s="138"/>
      <c r="O14414" s="138"/>
      <c r="P14414" s="138"/>
      <c r="Q14414" s="138"/>
      <c r="R14414" s="63" t="str">
        <f t="shared" si="60"/>
        <v>ZSI1_VENDING_MCORDER_UNIT_VENDING_MC</v>
      </c>
      <c r="S14414" s="138"/>
      <c r="T14414" s="138"/>
      <c r="U14414" s="138"/>
      <c r="V14414" s="138"/>
      <c r="W14414" s="138"/>
      <c r="X14414" s="138"/>
      <c r="Y14414" s="138"/>
      <c r="Z14414" s="138"/>
      <c r="AA14414" s="138"/>
    </row>
    <row r="14415" ht="15.75" customHeight="1">
      <c r="A14415" s="165"/>
      <c r="B14415" s="63">
        <f t="shared" si="1"/>
        <v>15</v>
      </c>
      <c r="C14415" s="135" t="s">
        <v>331</v>
      </c>
      <c r="D14415" s="161" t="s">
        <v>74</v>
      </c>
      <c r="E14415" s="135">
        <f t="shared" si="62"/>
        <v>10</v>
      </c>
      <c r="F14415" s="134" t="s">
        <v>4056</v>
      </c>
      <c r="G14415" s="63" t="str">
        <f>VLOOKUP(C14415, 'Class Def. - General Data'!$C$20:$C$1000,1,false)</f>
        <v>ZSI1_VENDING_MC</v>
      </c>
      <c r="H14415" s="63" t="str">
        <f>IFERROR(__xludf.DUMMYFUNCTION("VLOOKUP(F14415, IMPORTRANGE(""https://docs.google.com/spreadsheets/d/1Lhp9OU0JdFf_VYSMzH5lBcEaU4o8teT1piV-SNzShjg/edit?gid=554141278#gid=554141278"", ""'Char Def. - Attributes'!C20:C2242""), 1,false)"),"GROSS_WEIGHT_OPT")</f>
        <v>GROSS_WEIGHT_OPT</v>
      </c>
      <c r="I14415" s="166"/>
      <c r="J14415" s="138"/>
      <c r="K14415" s="138"/>
      <c r="L14415" s="138"/>
      <c r="M14415" s="138"/>
      <c r="N14415" s="138"/>
      <c r="O14415" s="138"/>
      <c r="P14415" s="138"/>
      <c r="Q14415" s="138"/>
      <c r="R14415" s="63" t="str">
        <f t="shared" si="60"/>
        <v>ZSI1_VENDING_MCGROSS_WEIGHT_OPT</v>
      </c>
      <c r="S14415" s="138"/>
      <c r="T14415" s="138"/>
      <c r="U14415" s="138"/>
      <c r="V14415" s="138"/>
      <c r="W14415" s="138"/>
      <c r="X14415" s="138"/>
      <c r="Y14415" s="138"/>
      <c r="Z14415" s="138"/>
      <c r="AA14415" s="138"/>
    </row>
    <row r="14416" ht="15.75" customHeight="1">
      <c r="A14416" s="165"/>
      <c r="B14416" s="63">
        <f t="shared" si="1"/>
        <v>15</v>
      </c>
      <c r="C14416" s="135" t="s">
        <v>331</v>
      </c>
      <c r="D14416" s="161" t="s">
        <v>74</v>
      </c>
      <c r="E14416" s="135">
        <f t="shared" si="62"/>
        <v>11</v>
      </c>
      <c r="F14416" s="134" t="s">
        <v>4057</v>
      </c>
      <c r="G14416" s="63" t="str">
        <f>VLOOKUP(C14416, 'Class Def. - General Data'!$C$20:$C$1000,1,false)</f>
        <v>ZSI1_VENDING_MC</v>
      </c>
      <c r="H14416" s="63" t="str">
        <f>IFERROR(__xludf.DUMMYFUNCTION("VLOOKUP(F14416, IMPORTRANGE(""https://docs.google.com/spreadsheets/d/1Lhp9OU0JdFf_VYSMzH5lBcEaU4o8teT1piV-SNzShjg/edit?gid=554141278#gid=554141278"", ""'Char Def. - Attributes'!C20:C2242""), 1,false)"),"NET_WEIGHT_OPT")</f>
        <v>NET_WEIGHT_OPT</v>
      </c>
      <c r="I14416" s="166"/>
      <c r="J14416" s="138"/>
      <c r="K14416" s="138"/>
      <c r="L14416" s="138"/>
      <c r="M14416" s="138"/>
      <c r="N14416" s="138"/>
      <c r="O14416" s="138"/>
      <c r="P14416" s="138"/>
      <c r="Q14416" s="138"/>
      <c r="R14416" s="63" t="str">
        <f t="shared" si="60"/>
        <v>ZSI1_VENDING_MCNET_WEIGHT_OPT</v>
      </c>
      <c r="S14416" s="138"/>
      <c r="T14416" s="138"/>
      <c r="U14416" s="138"/>
      <c r="V14416" s="138"/>
      <c r="W14416" s="138"/>
      <c r="X14416" s="138"/>
      <c r="Y14416" s="138"/>
      <c r="Z14416" s="138"/>
      <c r="AA14416" s="138"/>
    </row>
    <row r="14417" ht="15.75" customHeight="1">
      <c r="A14417" s="165"/>
      <c r="B14417" s="63">
        <f t="shared" si="1"/>
        <v>15</v>
      </c>
      <c r="C14417" s="135" t="s">
        <v>331</v>
      </c>
      <c r="D14417" s="161" t="s">
        <v>74</v>
      </c>
      <c r="E14417" s="135">
        <f t="shared" si="62"/>
        <v>12</v>
      </c>
      <c r="F14417" s="134" t="s">
        <v>4058</v>
      </c>
      <c r="G14417" s="63" t="str">
        <f>VLOOKUP(C14417, 'Class Def. - General Data'!$C$20:$C$1000,1,false)</f>
        <v>ZSI1_VENDING_MC</v>
      </c>
      <c r="H14417" s="63" t="str">
        <f>IFERROR(__xludf.DUMMYFUNCTION("VLOOKUP(F14417, IMPORTRANGE(""https://docs.google.com/spreadsheets/d/1Lhp9OU0JdFf_VYSMzH5lBcEaU4o8teT1piV-SNzShjg/edit?gid=554141278#gid=554141278"", ""'Char Def. - Attributes'!C20:C2242""), 1,false)"),"WEIGHT_UNIT_SI")</f>
        <v>WEIGHT_UNIT_SI</v>
      </c>
      <c r="I14417" s="166"/>
      <c r="J14417" s="138"/>
      <c r="K14417" s="138"/>
      <c r="L14417" s="138"/>
      <c r="M14417" s="138"/>
      <c r="N14417" s="138"/>
      <c r="O14417" s="138"/>
      <c r="P14417" s="138"/>
      <c r="Q14417" s="138"/>
      <c r="R14417" s="63" t="str">
        <f t="shared" si="60"/>
        <v>ZSI1_VENDING_MCWEIGHT_UNIT_SI</v>
      </c>
      <c r="S14417" s="138"/>
      <c r="T14417" s="138"/>
      <c r="U14417" s="138"/>
      <c r="V14417" s="138"/>
      <c r="W14417" s="138"/>
      <c r="X14417" s="138"/>
      <c r="Y14417" s="138"/>
      <c r="Z14417" s="138"/>
      <c r="AA14417" s="138"/>
    </row>
    <row r="14418" ht="15.75" customHeight="1">
      <c r="A14418" s="165"/>
      <c r="B14418" s="63">
        <f t="shared" si="1"/>
        <v>15</v>
      </c>
      <c r="C14418" s="135" t="s">
        <v>331</v>
      </c>
      <c r="D14418" s="161" t="s">
        <v>74</v>
      </c>
      <c r="E14418" s="135">
        <f t="shared" si="62"/>
        <v>13</v>
      </c>
      <c r="F14418" s="134" t="s">
        <v>3877</v>
      </c>
      <c r="G14418" s="63" t="str">
        <f>VLOOKUP(C14418, 'Class Def. - General Data'!$C$20:$C$1000,1,false)</f>
        <v>ZSI1_VENDING_MC</v>
      </c>
      <c r="H14418" s="63" t="str">
        <f>IFERROR(__xludf.DUMMYFUNCTION("VLOOKUP(F14418, IMPORTRANGE(""https://docs.google.com/spreadsheets/d/1Lhp9OU0JdFf_VYSMzH5lBcEaU4o8teT1piV-SNzShjg/edit?gid=554141278#gid=554141278"", ""'Char Def. - Attributes'!C20:C2242""), 1,false)"),"VOLUME_OPT")</f>
        <v>VOLUME_OPT</v>
      </c>
      <c r="I14418" s="166"/>
      <c r="J14418" s="138"/>
      <c r="K14418" s="138"/>
      <c r="L14418" s="138"/>
      <c r="M14418" s="138"/>
      <c r="N14418" s="138"/>
      <c r="O14418" s="138"/>
      <c r="P14418" s="138"/>
      <c r="Q14418" s="138"/>
      <c r="R14418" s="63" t="str">
        <f t="shared" si="60"/>
        <v>ZSI1_VENDING_MCVOLUME_OPT</v>
      </c>
      <c r="S14418" s="138"/>
      <c r="T14418" s="138"/>
      <c r="U14418" s="138"/>
      <c r="V14418" s="138"/>
      <c r="W14418" s="138"/>
      <c r="X14418" s="138"/>
      <c r="Y14418" s="138"/>
      <c r="Z14418" s="138"/>
      <c r="AA14418" s="138"/>
    </row>
    <row r="14419" ht="15.75" customHeight="1">
      <c r="A14419" s="165"/>
      <c r="B14419" s="63">
        <f t="shared" si="1"/>
        <v>15</v>
      </c>
      <c r="C14419" s="135" t="s">
        <v>331</v>
      </c>
      <c r="D14419" s="161" t="s">
        <v>74</v>
      </c>
      <c r="E14419" s="135">
        <f t="shared" si="62"/>
        <v>14</v>
      </c>
      <c r="F14419" s="134" t="s">
        <v>4059</v>
      </c>
      <c r="G14419" s="63" t="str">
        <f>VLOOKUP(C14419, 'Class Def. - General Data'!$C$20:$C$1000,1,false)</f>
        <v>ZSI1_VENDING_MC</v>
      </c>
      <c r="H14419" s="63" t="str">
        <f>IFERROR(__xludf.DUMMYFUNCTION("VLOOKUP(F14419, IMPORTRANGE(""https://docs.google.com/spreadsheets/d/1Lhp9OU0JdFf_VYSMzH5lBcEaU4o8teT1piV-SNzShjg/edit?gid=554141278#gid=554141278"", ""'Char Def. - Attributes'!C20:C2242""), 1,false)"),"VOLUME_UNIT_SI")</f>
        <v>VOLUME_UNIT_SI</v>
      </c>
      <c r="I14419" s="166"/>
      <c r="J14419" s="138"/>
      <c r="K14419" s="138"/>
      <c r="L14419" s="138"/>
      <c r="M14419" s="138"/>
      <c r="N14419" s="138"/>
      <c r="O14419" s="138"/>
      <c r="P14419" s="138"/>
      <c r="Q14419" s="138"/>
      <c r="R14419" s="63" t="str">
        <f t="shared" si="60"/>
        <v>ZSI1_VENDING_MCVOLUME_UNIT_SI</v>
      </c>
      <c r="S14419" s="138"/>
      <c r="T14419" s="138"/>
      <c r="U14419" s="138"/>
      <c r="V14419" s="138"/>
      <c r="W14419" s="138"/>
      <c r="X14419" s="138"/>
      <c r="Y14419" s="138"/>
      <c r="Z14419" s="138"/>
      <c r="AA14419" s="138"/>
    </row>
    <row r="14420" ht="15.75" customHeight="1">
      <c r="A14420" s="165"/>
      <c r="B14420" s="63">
        <f t="shared" si="1"/>
        <v>15</v>
      </c>
      <c r="C14420" s="135" t="s">
        <v>331</v>
      </c>
      <c r="D14420" s="161" t="s">
        <v>74</v>
      </c>
      <c r="E14420" s="135">
        <f t="shared" si="62"/>
        <v>15</v>
      </c>
      <c r="F14420" s="134" t="s">
        <v>3804</v>
      </c>
      <c r="G14420" s="63" t="str">
        <f>VLOOKUP(C14420, 'Class Def. - General Data'!$C$20:$C$1000,1,false)</f>
        <v>ZSI1_VENDING_MC</v>
      </c>
      <c r="H14420" s="63" t="str">
        <f>IFERROR(__xludf.DUMMYFUNCTION("VLOOKUP(F14420, IMPORTRANGE(""https://docs.google.com/spreadsheets/d/1Lhp9OU0JdFf_VYSMzH5lBcEaU4o8teT1piV-SNzShjg/edit?gid=554141278#gid=554141278"", ""'Char Def. - Attributes'!C20:C2242""), 1,false)"),"ALT_UOM1_SIPI")</f>
        <v>ALT_UOM1_SIPI</v>
      </c>
      <c r="I14420" s="166"/>
      <c r="J14420" s="138"/>
      <c r="K14420" s="138"/>
      <c r="L14420" s="138"/>
      <c r="M14420" s="138"/>
      <c r="N14420" s="138"/>
      <c r="O14420" s="138"/>
      <c r="P14420" s="138"/>
      <c r="Q14420" s="138"/>
      <c r="R14420" s="63" t="str">
        <f t="shared" si="60"/>
        <v>ZSI1_VENDING_MCALT_UOM1_SIPI</v>
      </c>
      <c r="S14420" s="138"/>
      <c r="T14420" s="138"/>
      <c r="U14420" s="138"/>
      <c r="V14420" s="138"/>
      <c r="W14420" s="138"/>
      <c r="X14420" s="138"/>
      <c r="Y14420" s="138"/>
      <c r="Z14420" s="138"/>
      <c r="AA14420" s="138"/>
    </row>
    <row r="14421" ht="15.75" customHeight="1">
      <c r="A14421" s="165"/>
      <c r="B14421" s="63">
        <f t="shared" si="1"/>
        <v>15</v>
      </c>
      <c r="C14421" s="135" t="s">
        <v>331</v>
      </c>
      <c r="D14421" s="161" t="s">
        <v>74</v>
      </c>
      <c r="E14421" s="135">
        <f t="shared" si="62"/>
        <v>16</v>
      </c>
      <c r="F14421" s="134" t="s">
        <v>3805</v>
      </c>
      <c r="G14421" s="63" t="str">
        <f>VLOOKUP(C14421, 'Class Def. - General Data'!$C$20:$C$1000,1,false)</f>
        <v>ZSI1_VENDING_MC</v>
      </c>
      <c r="H14421" s="63" t="str">
        <f>IFERROR(__xludf.DUMMYFUNCTION("VLOOKUP(F14421, IMPORTRANGE(""https://docs.google.com/spreadsheets/d/1Lhp9OU0JdFf_VYSMzH5lBcEaU4o8teT1piV-SNzShjg/edit?gid=554141278#gid=554141278"", ""'Char Def. - Attributes'!C20:C2242""), 1,false)"),"ALT_DENUM_UOM1")</f>
        <v>ALT_DENUM_UOM1</v>
      </c>
      <c r="I14421" s="166"/>
      <c r="J14421" s="138"/>
      <c r="K14421" s="138"/>
      <c r="L14421" s="138"/>
      <c r="M14421" s="138"/>
      <c r="N14421" s="138"/>
      <c r="O14421" s="138"/>
      <c r="P14421" s="138"/>
      <c r="Q14421" s="138"/>
      <c r="R14421" s="63" t="str">
        <f t="shared" si="60"/>
        <v>ZSI1_VENDING_MCALT_DENUM_UOM1</v>
      </c>
      <c r="S14421" s="138"/>
      <c r="T14421" s="138"/>
      <c r="U14421" s="138"/>
      <c r="V14421" s="138"/>
      <c r="W14421" s="138"/>
      <c r="X14421" s="138"/>
      <c r="Y14421" s="138"/>
      <c r="Z14421" s="138"/>
      <c r="AA14421" s="138"/>
    </row>
    <row r="14422" ht="15.75" customHeight="1">
      <c r="A14422" s="165"/>
      <c r="B14422" s="63">
        <f t="shared" si="1"/>
        <v>15</v>
      </c>
      <c r="C14422" s="135" t="s">
        <v>331</v>
      </c>
      <c r="D14422" s="161" t="s">
        <v>74</v>
      </c>
      <c r="E14422" s="135">
        <f t="shared" si="62"/>
        <v>17</v>
      </c>
      <c r="F14422" s="134" t="s">
        <v>3806</v>
      </c>
      <c r="G14422" s="63" t="str">
        <f>VLOOKUP(C14422, 'Class Def. - General Data'!$C$20:$C$1000,1,false)</f>
        <v>ZSI1_VENDING_MC</v>
      </c>
      <c r="H14422" s="63" t="str">
        <f>IFERROR(__xludf.DUMMYFUNCTION("VLOOKUP(F14422, IMPORTRANGE(""https://docs.google.com/spreadsheets/d/1Lhp9OU0JdFf_VYSMzH5lBcEaU4o8teT1piV-SNzShjg/edit?gid=554141278#gid=554141278"", ""'Char Def. - Attributes'!C20:C2242""), 1,false)"),"ALT_NUM_UOM1")</f>
        <v>ALT_NUM_UOM1</v>
      </c>
      <c r="I14422" s="166"/>
      <c r="J14422" s="138"/>
      <c r="K14422" s="138"/>
      <c r="L14422" s="138"/>
      <c r="M14422" s="138"/>
      <c r="N14422" s="138"/>
      <c r="O14422" s="138"/>
      <c r="P14422" s="138"/>
      <c r="Q14422" s="138"/>
      <c r="R14422" s="63" t="str">
        <f t="shared" si="60"/>
        <v>ZSI1_VENDING_MCALT_NUM_UOM1</v>
      </c>
      <c r="S14422" s="138"/>
      <c r="T14422" s="138"/>
      <c r="U14422" s="138"/>
      <c r="V14422" s="138"/>
      <c r="W14422" s="138"/>
      <c r="X14422" s="138"/>
      <c r="Y14422" s="138"/>
      <c r="Z14422" s="138"/>
      <c r="AA14422" s="138"/>
    </row>
    <row r="14423" ht="15.75" customHeight="1">
      <c r="A14423" s="165"/>
      <c r="B14423" s="63">
        <f t="shared" si="1"/>
        <v>15</v>
      </c>
      <c r="C14423" s="135" t="s">
        <v>331</v>
      </c>
      <c r="D14423" s="161" t="s">
        <v>74</v>
      </c>
      <c r="E14423" s="135">
        <f t="shared" si="62"/>
        <v>18</v>
      </c>
      <c r="F14423" s="134" t="s">
        <v>3807</v>
      </c>
      <c r="G14423" s="63" t="str">
        <f>VLOOKUP(C14423, 'Class Def. - General Data'!$C$20:$C$1000,1,false)</f>
        <v>ZSI1_VENDING_MC</v>
      </c>
      <c r="H14423" s="63" t="str">
        <f>IFERROR(__xludf.DUMMYFUNCTION("VLOOKUP(F14423, IMPORTRANGE(""https://docs.google.com/spreadsheets/d/1Lhp9OU0JdFf_VYSMzH5lBcEaU4o8teT1piV-SNzShjg/edit?gid=554141278#gid=554141278"", ""'Char Def. - Attributes'!C20:C2242""), 1,false)"),"ALT_UOM2_SIPI")</f>
        <v>ALT_UOM2_SIPI</v>
      </c>
      <c r="I14423" s="166"/>
      <c r="J14423" s="138"/>
      <c r="K14423" s="138"/>
      <c r="L14423" s="138"/>
      <c r="M14423" s="138"/>
      <c r="N14423" s="138"/>
      <c r="O14423" s="138"/>
      <c r="P14423" s="138"/>
      <c r="Q14423" s="138"/>
      <c r="R14423" s="63" t="str">
        <f t="shared" si="60"/>
        <v>ZSI1_VENDING_MCALT_UOM2_SIPI</v>
      </c>
      <c r="S14423" s="138"/>
      <c r="T14423" s="138"/>
      <c r="U14423" s="138"/>
      <c r="V14423" s="138"/>
      <c r="W14423" s="138"/>
      <c r="X14423" s="138"/>
      <c r="Y14423" s="138"/>
      <c r="Z14423" s="138"/>
      <c r="AA14423" s="138"/>
    </row>
    <row r="14424" ht="15.75" customHeight="1">
      <c r="A14424" s="165"/>
      <c r="B14424" s="63">
        <f t="shared" si="1"/>
        <v>15</v>
      </c>
      <c r="C14424" s="135" t="s">
        <v>331</v>
      </c>
      <c r="D14424" s="161" t="s">
        <v>74</v>
      </c>
      <c r="E14424" s="135">
        <f t="shared" si="62"/>
        <v>19</v>
      </c>
      <c r="F14424" s="134" t="s">
        <v>3808</v>
      </c>
      <c r="G14424" s="63" t="str">
        <f>VLOOKUP(C14424, 'Class Def. - General Data'!$C$20:$C$1000,1,false)</f>
        <v>ZSI1_VENDING_MC</v>
      </c>
      <c r="H14424" s="63" t="str">
        <f>IFERROR(__xludf.DUMMYFUNCTION("VLOOKUP(F14424, IMPORTRANGE(""https://docs.google.com/spreadsheets/d/1Lhp9OU0JdFf_VYSMzH5lBcEaU4o8teT1piV-SNzShjg/edit?gid=554141278#gid=554141278"", ""'Char Def. - Attributes'!C20:C2242""), 1,false)"),"ALT_DENUM_UOM2")</f>
        <v>ALT_DENUM_UOM2</v>
      </c>
      <c r="I14424" s="166"/>
      <c r="J14424" s="138"/>
      <c r="K14424" s="138"/>
      <c r="L14424" s="138"/>
      <c r="M14424" s="138"/>
      <c r="N14424" s="138"/>
      <c r="O14424" s="138"/>
      <c r="P14424" s="138"/>
      <c r="Q14424" s="138"/>
      <c r="R14424" s="63" t="str">
        <f t="shared" si="60"/>
        <v>ZSI1_VENDING_MCALT_DENUM_UOM2</v>
      </c>
      <c r="S14424" s="138"/>
      <c r="T14424" s="138"/>
      <c r="U14424" s="138"/>
      <c r="V14424" s="138"/>
      <c r="W14424" s="138"/>
      <c r="X14424" s="138"/>
      <c r="Y14424" s="138"/>
      <c r="Z14424" s="138"/>
      <c r="AA14424" s="138"/>
    </row>
    <row r="14425" ht="15.75" customHeight="1">
      <c r="A14425" s="165"/>
      <c r="B14425" s="63">
        <f t="shared" si="1"/>
        <v>15</v>
      </c>
      <c r="C14425" s="135" t="s">
        <v>331</v>
      </c>
      <c r="D14425" s="161" t="s">
        <v>74</v>
      </c>
      <c r="E14425" s="135">
        <f t="shared" si="62"/>
        <v>20</v>
      </c>
      <c r="F14425" s="134" t="s">
        <v>3809</v>
      </c>
      <c r="G14425" s="63" t="str">
        <f>VLOOKUP(C14425, 'Class Def. - General Data'!$C$20:$C$1000,1,false)</f>
        <v>ZSI1_VENDING_MC</v>
      </c>
      <c r="H14425" s="63" t="str">
        <f>IFERROR(__xludf.DUMMYFUNCTION("VLOOKUP(F14425, IMPORTRANGE(""https://docs.google.com/spreadsheets/d/1Lhp9OU0JdFf_VYSMzH5lBcEaU4o8teT1piV-SNzShjg/edit?gid=554141278#gid=554141278"", ""'Char Def. - Attributes'!C20:C2242""), 1,false)"),"ALT_NUM_UOM2")</f>
        <v>ALT_NUM_UOM2</v>
      </c>
      <c r="I14425" s="166"/>
      <c r="J14425" s="138"/>
      <c r="K14425" s="138"/>
      <c r="L14425" s="138"/>
      <c r="M14425" s="138"/>
      <c r="N14425" s="138"/>
      <c r="O14425" s="138"/>
      <c r="P14425" s="138"/>
      <c r="Q14425" s="138"/>
      <c r="R14425" s="63" t="str">
        <f t="shared" si="60"/>
        <v>ZSI1_VENDING_MCALT_NUM_UOM2</v>
      </c>
      <c r="S14425" s="138"/>
      <c r="T14425" s="138"/>
      <c r="U14425" s="138"/>
      <c r="V14425" s="138"/>
      <c r="W14425" s="138"/>
      <c r="X14425" s="138"/>
      <c r="Y14425" s="138"/>
      <c r="Z14425" s="138"/>
      <c r="AA14425" s="138"/>
    </row>
    <row r="14426" ht="15.75" customHeight="1">
      <c r="A14426" s="165"/>
      <c r="B14426" s="63">
        <f t="shared" si="1"/>
        <v>15</v>
      </c>
      <c r="C14426" s="135" t="s">
        <v>331</v>
      </c>
      <c r="D14426" s="161" t="s">
        <v>74</v>
      </c>
      <c r="E14426" s="135">
        <f t="shared" si="62"/>
        <v>21</v>
      </c>
      <c r="F14426" s="134" t="s">
        <v>3810</v>
      </c>
      <c r="G14426" s="63" t="str">
        <f>VLOOKUP(C14426, 'Class Def. - General Data'!$C$20:$C$1000,1,false)</f>
        <v>ZSI1_VENDING_MC</v>
      </c>
      <c r="H14426" s="63" t="str">
        <f>IFERROR(__xludf.DUMMYFUNCTION("VLOOKUP(F14426, IMPORTRANGE(""https://docs.google.com/spreadsheets/d/1Lhp9OU0JdFf_VYSMzH5lBcEaU4o8teT1piV-SNzShjg/edit?gid=554141278#gid=554141278"", ""'Char Def. - Attributes'!C20:C2242""), 1,false)"),"ALT_UOM3_SIPI")</f>
        <v>ALT_UOM3_SIPI</v>
      </c>
      <c r="I14426" s="166"/>
      <c r="J14426" s="138"/>
      <c r="K14426" s="138"/>
      <c r="L14426" s="138"/>
      <c r="M14426" s="138"/>
      <c r="N14426" s="138"/>
      <c r="O14426" s="138"/>
      <c r="P14426" s="138"/>
      <c r="Q14426" s="138"/>
      <c r="R14426" s="63" t="str">
        <f t="shared" si="60"/>
        <v>ZSI1_VENDING_MCALT_UOM3_SIPI</v>
      </c>
      <c r="S14426" s="138"/>
      <c r="T14426" s="138"/>
      <c r="U14426" s="138"/>
      <c r="V14426" s="138"/>
      <c r="W14426" s="138"/>
      <c r="X14426" s="138"/>
      <c r="Y14426" s="138"/>
      <c r="Z14426" s="138"/>
      <c r="AA14426" s="138"/>
    </row>
    <row r="14427" ht="15.75" customHeight="1">
      <c r="A14427" s="165"/>
      <c r="B14427" s="63">
        <f t="shared" si="1"/>
        <v>15</v>
      </c>
      <c r="C14427" s="135" t="s">
        <v>331</v>
      </c>
      <c r="D14427" s="161" t="s">
        <v>74</v>
      </c>
      <c r="E14427" s="135">
        <f t="shared" si="62"/>
        <v>22</v>
      </c>
      <c r="F14427" s="134" t="s">
        <v>3811</v>
      </c>
      <c r="G14427" s="63" t="str">
        <f>VLOOKUP(C14427, 'Class Def. - General Data'!$C$20:$C$1000,1,false)</f>
        <v>ZSI1_VENDING_MC</v>
      </c>
      <c r="H14427" s="63" t="str">
        <f>IFERROR(__xludf.DUMMYFUNCTION("VLOOKUP(F14427, IMPORTRANGE(""https://docs.google.com/spreadsheets/d/1Lhp9OU0JdFf_VYSMzH5lBcEaU4o8teT1piV-SNzShjg/edit?gid=554141278#gid=554141278"", ""'Char Def. - Attributes'!C20:C2242""), 1,false)"),"ALT_DENUM_UOM3")</f>
        <v>ALT_DENUM_UOM3</v>
      </c>
      <c r="I14427" s="166"/>
      <c r="J14427" s="138"/>
      <c r="K14427" s="138"/>
      <c r="L14427" s="138"/>
      <c r="M14427" s="138"/>
      <c r="N14427" s="138"/>
      <c r="O14427" s="138"/>
      <c r="P14427" s="138"/>
      <c r="Q14427" s="138"/>
      <c r="R14427" s="63" t="str">
        <f t="shared" si="60"/>
        <v>ZSI1_VENDING_MCALT_DENUM_UOM3</v>
      </c>
      <c r="S14427" s="138"/>
      <c r="T14427" s="138"/>
      <c r="U14427" s="138"/>
      <c r="V14427" s="138"/>
      <c r="W14427" s="138"/>
      <c r="X14427" s="138"/>
      <c r="Y14427" s="138"/>
      <c r="Z14427" s="138"/>
      <c r="AA14427" s="138"/>
    </row>
    <row r="14428" ht="15.75" customHeight="1">
      <c r="A14428" s="165"/>
      <c r="B14428" s="63">
        <f t="shared" si="1"/>
        <v>15</v>
      </c>
      <c r="C14428" s="135" t="s">
        <v>331</v>
      </c>
      <c r="D14428" s="161" t="s">
        <v>74</v>
      </c>
      <c r="E14428" s="135">
        <f t="shared" si="62"/>
        <v>23</v>
      </c>
      <c r="F14428" s="134" t="s">
        <v>3812</v>
      </c>
      <c r="G14428" s="63" t="str">
        <f>VLOOKUP(C14428, 'Class Def. - General Data'!$C$20:$C$1000,1,false)</f>
        <v>ZSI1_VENDING_MC</v>
      </c>
      <c r="H14428" s="63" t="str">
        <f>IFERROR(__xludf.DUMMYFUNCTION("VLOOKUP(F14428, IMPORTRANGE(""https://docs.google.com/spreadsheets/d/1Lhp9OU0JdFf_VYSMzH5lBcEaU4o8teT1piV-SNzShjg/edit?gid=554141278#gid=554141278"", ""'Char Def. - Attributes'!C20:C2242""), 1,false)"),"ALT_NUM_UOM3")</f>
        <v>ALT_NUM_UOM3</v>
      </c>
      <c r="I14428" s="166"/>
      <c r="J14428" s="138"/>
      <c r="K14428" s="138"/>
      <c r="L14428" s="138"/>
      <c r="M14428" s="138"/>
      <c r="N14428" s="138"/>
      <c r="O14428" s="138"/>
      <c r="P14428" s="138"/>
      <c r="Q14428" s="138"/>
      <c r="R14428" s="63" t="str">
        <f t="shared" si="60"/>
        <v>ZSI1_VENDING_MCALT_NUM_UOM3</v>
      </c>
      <c r="S14428" s="138"/>
      <c r="T14428" s="138"/>
      <c r="U14428" s="138"/>
      <c r="V14428" s="138"/>
      <c r="W14428" s="138"/>
      <c r="X14428" s="138"/>
      <c r="Y14428" s="138"/>
      <c r="Z14428" s="138"/>
      <c r="AA14428" s="138"/>
    </row>
    <row r="14429" ht="15.75" customHeight="1">
      <c r="A14429" s="165"/>
      <c r="B14429" s="63">
        <f t="shared" si="1"/>
        <v>15</v>
      </c>
      <c r="C14429" s="135" t="s">
        <v>331</v>
      </c>
      <c r="D14429" s="161" t="s">
        <v>74</v>
      </c>
      <c r="E14429" s="135">
        <f t="shared" si="62"/>
        <v>24</v>
      </c>
      <c r="F14429" s="134" t="s">
        <v>3813</v>
      </c>
      <c r="G14429" s="63" t="str">
        <f>VLOOKUP(C14429, 'Class Def. - General Data'!$C$20:$C$1000,1,false)</f>
        <v>ZSI1_VENDING_MC</v>
      </c>
      <c r="H14429" s="63" t="str">
        <f>IFERROR(__xludf.DUMMYFUNCTION("VLOOKUP(F14429, IMPORTRANGE(""https://docs.google.com/spreadsheets/d/1Lhp9OU0JdFf_VYSMzH5lBcEaU4o8teT1piV-SNzShjg/edit?gid=554141278#gid=554141278"", ""'Char Def. - Attributes'!C20:C2242""), 1,false)"),"ALT_UOM4_SIPI")</f>
        <v>ALT_UOM4_SIPI</v>
      </c>
      <c r="I14429" s="166"/>
      <c r="J14429" s="138"/>
      <c r="K14429" s="138"/>
      <c r="L14429" s="138"/>
      <c r="M14429" s="138"/>
      <c r="N14429" s="138"/>
      <c r="O14429" s="138"/>
      <c r="P14429" s="138"/>
      <c r="Q14429" s="138"/>
      <c r="R14429" s="63" t="str">
        <f t="shared" si="60"/>
        <v>ZSI1_VENDING_MCALT_UOM4_SIPI</v>
      </c>
      <c r="S14429" s="138"/>
      <c r="T14429" s="138"/>
      <c r="U14429" s="138"/>
      <c r="V14429" s="138"/>
      <c r="W14429" s="138"/>
      <c r="X14429" s="138"/>
      <c r="Y14429" s="138"/>
      <c r="Z14429" s="138"/>
      <c r="AA14429" s="138"/>
    </row>
    <row r="14430" ht="15.75" customHeight="1">
      <c r="A14430" s="165"/>
      <c r="B14430" s="63">
        <f t="shared" si="1"/>
        <v>15</v>
      </c>
      <c r="C14430" s="135" t="s">
        <v>331</v>
      </c>
      <c r="D14430" s="161" t="s">
        <v>74</v>
      </c>
      <c r="E14430" s="135">
        <f t="shared" si="62"/>
        <v>25</v>
      </c>
      <c r="F14430" s="134" t="s">
        <v>3814</v>
      </c>
      <c r="G14430" s="63" t="str">
        <f>VLOOKUP(C14430, 'Class Def. - General Data'!$C$20:$C$1000,1,false)</f>
        <v>ZSI1_VENDING_MC</v>
      </c>
      <c r="H14430" s="63" t="str">
        <f>IFERROR(__xludf.DUMMYFUNCTION("VLOOKUP(F14430, IMPORTRANGE(""https://docs.google.com/spreadsheets/d/1Lhp9OU0JdFf_VYSMzH5lBcEaU4o8teT1piV-SNzShjg/edit?gid=554141278#gid=554141278"", ""'Char Def. - Attributes'!C20:C2242""), 1,false)"),"ALT_DENUM_UOM4")</f>
        <v>ALT_DENUM_UOM4</v>
      </c>
      <c r="I14430" s="166"/>
      <c r="J14430" s="138"/>
      <c r="K14430" s="138"/>
      <c r="L14430" s="138"/>
      <c r="M14430" s="138"/>
      <c r="N14430" s="138"/>
      <c r="O14430" s="138"/>
      <c r="P14430" s="138"/>
      <c r="Q14430" s="138"/>
      <c r="R14430" s="63" t="str">
        <f t="shared" si="60"/>
        <v>ZSI1_VENDING_MCALT_DENUM_UOM4</v>
      </c>
      <c r="S14430" s="138"/>
      <c r="T14430" s="138"/>
      <c r="U14430" s="138"/>
      <c r="V14430" s="138"/>
      <c r="W14430" s="138"/>
      <c r="X14430" s="138"/>
      <c r="Y14430" s="138"/>
      <c r="Z14430" s="138"/>
      <c r="AA14430" s="138"/>
    </row>
    <row r="14431" ht="15.75" customHeight="1">
      <c r="A14431" s="165"/>
      <c r="B14431" s="63">
        <f t="shared" si="1"/>
        <v>15</v>
      </c>
      <c r="C14431" s="135" t="s">
        <v>331</v>
      </c>
      <c r="D14431" s="161" t="s">
        <v>74</v>
      </c>
      <c r="E14431" s="135">
        <f t="shared" si="62"/>
        <v>26</v>
      </c>
      <c r="F14431" s="134" t="s">
        <v>3815</v>
      </c>
      <c r="G14431" s="63" t="str">
        <f>VLOOKUP(C14431, 'Class Def. - General Data'!$C$20:$C$1000,1,false)</f>
        <v>ZSI1_VENDING_MC</v>
      </c>
      <c r="H14431" s="63" t="str">
        <f>IFERROR(__xludf.DUMMYFUNCTION("VLOOKUP(F14431, IMPORTRANGE(""https://docs.google.com/spreadsheets/d/1Lhp9OU0JdFf_VYSMzH5lBcEaU4o8teT1piV-SNzShjg/edit?gid=554141278#gid=554141278"", ""'Char Def. - Attributes'!C20:C2242""), 1,false)"),"ALT_NUM_UOM4")</f>
        <v>ALT_NUM_UOM4</v>
      </c>
      <c r="I14431" s="166"/>
      <c r="J14431" s="138"/>
      <c r="K14431" s="138"/>
      <c r="L14431" s="138"/>
      <c r="M14431" s="138"/>
      <c r="N14431" s="138"/>
      <c r="O14431" s="138"/>
      <c r="P14431" s="138"/>
      <c r="Q14431" s="138"/>
      <c r="R14431" s="63" t="str">
        <f t="shared" si="60"/>
        <v>ZSI1_VENDING_MCALT_NUM_UOM4</v>
      </c>
      <c r="S14431" s="138"/>
      <c r="T14431" s="138"/>
      <c r="U14431" s="138"/>
      <c r="V14431" s="138"/>
      <c r="W14431" s="138"/>
      <c r="X14431" s="138"/>
      <c r="Y14431" s="138"/>
      <c r="Z14431" s="138"/>
      <c r="AA14431" s="138"/>
    </row>
    <row r="14432" ht="15.75" customHeight="1">
      <c r="A14432" s="165"/>
      <c r="B14432" s="63">
        <f t="shared" si="1"/>
        <v>15</v>
      </c>
      <c r="C14432" s="135" t="s">
        <v>331</v>
      </c>
      <c r="D14432" s="161" t="s">
        <v>74</v>
      </c>
      <c r="E14432" s="135">
        <f t="shared" si="62"/>
        <v>27</v>
      </c>
      <c r="F14432" s="134" t="s">
        <v>3816</v>
      </c>
      <c r="G14432" s="63" t="str">
        <f>VLOOKUP(C14432, 'Class Def. - General Data'!$C$20:$C$1000,1,false)</f>
        <v>ZSI1_VENDING_MC</v>
      </c>
      <c r="H14432" s="63" t="str">
        <f>IFERROR(__xludf.DUMMYFUNCTION("VLOOKUP(F14432, IMPORTRANGE(""https://docs.google.com/spreadsheets/d/1Lhp9OU0JdFf_VYSMzH5lBcEaU4o8teT1piV-SNzShjg/edit?gid=554141278#gid=554141278"", ""'Char Def. - Attributes'!C20:C2242""), 1,false)"),"ALT_UOM5_SIPI")</f>
        <v>ALT_UOM5_SIPI</v>
      </c>
      <c r="I14432" s="166"/>
      <c r="J14432" s="138"/>
      <c r="K14432" s="138"/>
      <c r="L14432" s="138"/>
      <c r="M14432" s="138"/>
      <c r="N14432" s="138"/>
      <c r="O14432" s="138"/>
      <c r="P14432" s="138"/>
      <c r="Q14432" s="138"/>
      <c r="R14432" s="63" t="str">
        <f t="shared" si="60"/>
        <v>ZSI1_VENDING_MCALT_UOM5_SIPI</v>
      </c>
      <c r="S14432" s="138"/>
      <c r="T14432" s="138"/>
      <c r="U14432" s="138"/>
      <c r="V14432" s="138"/>
      <c r="W14432" s="138"/>
      <c r="X14432" s="138"/>
      <c r="Y14432" s="138"/>
      <c r="Z14432" s="138"/>
      <c r="AA14432" s="138"/>
    </row>
    <row r="14433" ht="15.75" customHeight="1">
      <c r="A14433" s="165"/>
      <c r="B14433" s="63">
        <f t="shared" si="1"/>
        <v>15</v>
      </c>
      <c r="C14433" s="135" t="s">
        <v>331</v>
      </c>
      <c r="D14433" s="161" t="s">
        <v>74</v>
      </c>
      <c r="E14433" s="135">
        <f t="shared" si="62"/>
        <v>28</v>
      </c>
      <c r="F14433" s="134" t="s">
        <v>3817</v>
      </c>
      <c r="G14433" s="63" t="str">
        <f>VLOOKUP(C14433, 'Class Def. - General Data'!$C$20:$C$1000,1,false)</f>
        <v>ZSI1_VENDING_MC</v>
      </c>
      <c r="H14433" s="63" t="str">
        <f>IFERROR(__xludf.DUMMYFUNCTION("VLOOKUP(F14433, IMPORTRANGE(""https://docs.google.com/spreadsheets/d/1Lhp9OU0JdFf_VYSMzH5lBcEaU4o8teT1piV-SNzShjg/edit?gid=554141278#gid=554141278"", ""'Char Def. - Attributes'!C20:C2242""), 1,false)"),"ALT_DENUM_UOM5")</f>
        <v>ALT_DENUM_UOM5</v>
      </c>
      <c r="I14433" s="166"/>
      <c r="J14433" s="138"/>
      <c r="K14433" s="138"/>
      <c r="L14433" s="138"/>
      <c r="M14433" s="138"/>
      <c r="N14433" s="138"/>
      <c r="O14433" s="138"/>
      <c r="P14433" s="138"/>
      <c r="Q14433" s="138"/>
      <c r="R14433" s="63" t="str">
        <f t="shared" si="60"/>
        <v>ZSI1_VENDING_MCALT_DENUM_UOM5</v>
      </c>
      <c r="S14433" s="138"/>
      <c r="T14433" s="138"/>
      <c r="U14433" s="138"/>
      <c r="V14433" s="138"/>
      <c r="W14433" s="138"/>
      <c r="X14433" s="138"/>
      <c r="Y14433" s="138"/>
      <c r="Z14433" s="138"/>
      <c r="AA14433" s="138"/>
    </row>
    <row r="14434" ht="15.75" customHeight="1">
      <c r="A14434" s="165"/>
      <c r="B14434" s="63">
        <f t="shared" si="1"/>
        <v>15</v>
      </c>
      <c r="C14434" s="135" t="s">
        <v>331</v>
      </c>
      <c r="D14434" s="161" t="s">
        <v>74</v>
      </c>
      <c r="E14434" s="135">
        <f t="shared" si="62"/>
        <v>29</v>
      </c>
      <c r="F14434" s="134" t="s">
        <v>3818</v>
      </c>
      <c r="G14434" s="63" t="str">
        <f>VLOOKUP(C14434, 'Class Def. - General Data'!$C$20:$C$1000,1,false)</f>
        <v>ZSI1_VENDING_MC</v>
      </c>
      <c r="H14434" s="63" t="str">
        <f>IFERROR(__xludf.DUMMYFUNCTION("VLOOKUP(F14434, IMPORTRANGE(""https://docs.google.com/spreadsheets/d/1Lhp9OU0JdFf_VYSMzH5lBcEaU4o8teT1piV-SNzShjg/edit?gid=554141278#gid=554141278"", ""'Char Def. - Attributes'!C20:C2242""), 1,false)"),"ALT_NUM_UOM5")</f>
        <v>ALT_NUM_UOM5</v>
      </c>
      <c r="I14434" s="166"/>
      <c r="J14434" s="138"/>
      <c r="K14434" s="138"/>
      <c r="L14434" s="138"/>
      <c r="M14434" s="138"/>
      <c r="N14434" s="138"/>
      <c r="O14434" s="138"/>
      <c r="P14434" s="138"/>
      <c r="Q14434" s="138"/>
      <c r="R14434" s="63" t="str">
        <f t="shared" si="60"/>
        <v>ZSI1_VENDING_MCALT_NUM_UOM5</v>
      </c>
      <c r="S14434" s="138"/>
      <c r="T14434" s="138"/>
      <c r="U14434" s="138"/>
      <c r="V14434" s="138"/>
      <c r="W14434" s="138"/>
      <c r="X14434" s="138"/>
      <c r="Y14434" s="138"/>
      <c r="Z14434" s="138"/>
      <c r="AA14434" s="138"/>
    </row>
    <row r="14435" ht="15.75" customHeight="1">
      <c r="A14435" s="165"/>
      <c r="B14435" s="63">
        <f t="shared" si="1"/>
        <v>16</v>
      </c>
      <c r="C14435" s="135" t="s">
        <v>479</v>
      </c>
      <c r="D14435" s="161" t="s">
        <v>74</v>
      </c>
      <c r="E14435" s="135">
        <f t="shared" si="62"/>
        <v>1</v>
      </c>
      <c r="F14435" s="134" t="s">
        <v>5588</v>
      </c>
      <c r="G14435" s="63" t="str">
        <f>VLOOKUP(C14435, 'Class Def. - General Data'!$C$20:$C$1000,1,false)</f>
        <v>ZSI1_VIS_PRESENT</v>
      </c>
      <c r="H14435" s="63" t="str">
        <f>IFERROR(__xludf.DUMMYFUNCTION("VLOOKUP(F14435, IMPORTRANGE(""https://docs.google.com/spreadsheets/d/1Lhp9OU0JdFf_VYSMzH5lBcEaU4o8teT1piV-SNzShjg/edit?gid=554141278#gid=554141278"", ""'Char Def. - Attributes'!C20:C2242""), 1,false)"),"ITEM_NAME_VIS_PRESENT")</f>
        <v>ITEM_NAME_VIS_PRESENT</v>
      </c>
      <c r="I14435" s="166"/>
      <c r="J14435" s="138"/>
      <c r="K14435" s="138"/>
      <c r="L14435" s="138"/>
      <c r="M14435" s="138"/>
      <c r="N14435" s="138"/>
      <c r="O14435" s="138"/>
      <c r="P14435" s="138"/>
      <c r="Q14435" s="138"/>
      <c r="R14435" s="63" t="str">
        <f t="shared" si="60"/>
        <v>ZSI1_VIS_PRESENTITEM_NAME_VIS_PRESENT</v>
      </c>
      <c r="S14435" s="138"/>
      <c r="T14435" s="138"/>
      <c r="U14435" s="138"/>
      <c r="V14435" s="138"/>
      <c r="W14435" s="138"/>
      <c r="X14435" s="138"/>
      <c r="Y14435" s="138"/>
      <c r="Z14435" s="138"/>
      <c r="AA14435" s="138"/>
    </row>
    <row r="14436" ht="15.75" customHeight="1">
      <c r="A14436" s="165"/>
      <c r="B14436" s="63">
        <f t="shared" si="1"/>
        <v>16</v>
      </c>
      <c r="C14436" s="135" t="s">
        <v>479</v>
      </c>
      <c r="D14436" s="161" t="s">
        <v>74</v>
      </c>
      <c r="E14436" s="135">
        <f t="shared" si="62"/>
        <v>2</v>
      </c>
      <c r="F14436" s="134" t="s">
        <v>5589</v>
      </c>
      <c r="G14436" s="63" t="str">
        <f>VLOOKUP(C14436, 'Class Def. - General Data'!$C$20:$C$1000,1,false)</f>
        <v>ZSI1_VIS_PRESENT</v>
      </c>
      <c r="H14436" s="63" t="str">
        <f>IFERROR(__xludf.DUMMYFUNCTION("VLOOKUP(F14436, IMPORTRANGE(""https://docs.google.com/spreadsheets/d/1Lhp9OU0JdFf_VYSMzH5lBcEaU4o8teT1piV-SNzShjg/edit?gid=554141278#gid=554141278"", ""'Char Def. - Attributes'!C20:C2242""), 1,false)"),"SERIES_VIS_PRESENT")</f>
        <v>SERIES_VIS_PRESENT</v>
      </c>
      <c r="I14436" s="166"/>
      <c r="J14436" s="138"/>
      <c r="K14436" s="138"/>
      <c r="L14436" s="138"/>
      <c r="M14436" s="138"/>
      <c r="N14436" s="138"/>
      <c r="O14436" s="138"/>
      <c r="P14436" s="138"/>
      <c r="Q14436" s="138"/>
      <c r="R14436" s="63" t="str">
        <f t="shared" si="60"/>
        <v>ZSI1_VIS_PRESENTSERIES_VIS_PRESENT</v>
      </c>
      <c r="S14436" s="138"/>
      <c r="T14436" s="138"/>
      <c r="U14436" s="138"/>
      <c r="V14436" s="138"/>
      <c r="W14436" s="138"/>
      <c r="X14436" s="138"/>
      <c r="Y14436" s="138"/>
      <c r="Z14436" s="138"/>
      <c r="AA14436" s="138"/>
    </row>
    <row r="14437" ht="15.75" customHeight="1">
      <c r="A14437" s="165"/>
      <c r="B14437" s="63">
        <f t="shared" si="1"/>
        <v>16</v>
      </c>
      <c r="C14437" s="135" t="s">
        <v>479</v>
      </c>
      <c r="D14437" s="161" t="s">
        <v>74</v>
      </c>
      <c r="E14437" s="135">
        <f t="shared" si="62"/>
        <v>3</v>
      </c>
      <c r="F14437" s="134" t="s">
        <v>3782</v>
      </c>
      <c r="G14437" s="63" t="str">
        <f>VLOOKUP(C14437, 'Class Def. - General Data'!$C$20:$C$1000,1,false)</f>
        <v>ZSI1_VIS_PRESENT</v>
      </c>
      <c r="H14437" s="63" t="str">
        <f>IFERROR(__xludf.DUMMYFUNCTION("VLOOKUP(F14437, IMPORTRANGE(""https://docs.google.com/spreadsheets/d/1Lhp9OU0JdFf_VYSMzH5lBcEaU4o8teT1piV-SNzShjg/edit?gid=554141278#gid=554141278"", ""'Char Def. - Attributes'!C20:C2242""), 1,false)"),"BRAND_EXTERNAL")</f>
        <v>BRAND_EXTERNAL</v>
      </c>
      <c r="I14437" s="166"/>
      <c r="J14437" s="138"/>
      <c r="K14437" s="138"/>
      <c r="L14437" s="138"/>
      <c r="M14437" s="138"/>
      <c r="N14437" s="138"/>
      <c r="O14437" s="138"/>
      <c r="P14437" s="138"/>
      <c r="Q14437" s="138"/>
      <c r="R14437" s="63" t="str">
        <f t="shared" si="60"/>
        <v>ZSI1_VIS_PRESENTBRAND_EXTERNAL</v>
      </c>
      <c r="S14437" s="138"/>
      <c r="T14437" s="138"/>
      <c r="U14437" s="138"/>
      <c r="V14437" s="138"/>
      <c r="W14437" s="138"/>
      <c r="X14437" s="138"/>
      <c r="Y14437" s="138"/>
      <c r="Z14437" s="138"/>
      <c r="AA14437" s="138"/>
    </row>
    <row r="14438" ht="15.75" customHeight="1">
      <c r="A14438" s="165"/>
      <c r="B14438" s="63">
        <f t="shared" si="1"/>
        <v>16</v>
      </c>
      <c r="C14438" s="135" t="s">
        <v>479</v>
      </c>
      <c r="D14438" s="161" t="s">
        <v>74</v>
      </c>
      <c r="E14438" s="135">
        <f t="shared" si="62"/>
        <v>4</v>
      </c>
      <c r="F14438" s="134" t="s">
        <v>5590</v>
      </c>
      <c r="G14438" s="63" t="str">
        <f>VLOOKUP(C14438, 'Class Def. - General Data'!$C$20:$C$1000,1,false)</f>
        <v>ZSI1_VIS_PRESENT</v>
      </c>
      <c r="H14438" s="63" t="str">
        <f>IFERROR(__xludf.DUMMYFUNCTION("VLOOKUP(F14438, IMPORTRANGE(""https://docs.google.com/spreadsheets/d/1Lhp9OU0JdFf_VYSMzH5lBcEaU4o8teT1piV-SNzShjg/edit?gid=554141278#gid=554141278"", ""'Char Def. - Attributes'!C20:C2242""), 1,false)"),"SCREEN_SIZE_INCH_VIS_PRESENT")</f>
        <v>SCREEN_SIZE_INCH_VIS_PRESENT</v>
      </c>
      <c r="I14438" s="166"/>
      <c r="J14438" s="138"/>
      <c r="K14438" s="138"/>
      <c r="L14438" s="138"/>
      <c r="M14438" s="138"/>
      <c r="N14438" s="138"/>
      <c r="O14438" s="138"/>
      <c r="P14438" s="138"/>
      <c r="Q14438" s="138"/>
      <c r="R14438" s="63" t="str">
        <f t="shared" si="60"/>
        <v>ZSI1_VIS_PRESENTSCREEN_SIZE_INCH_VIS_PRESENT</v>
      </c>
      <c r="S14438" s="138"/>
      <c r="T14438" s="138"/>
      <c r="U14438" s="138"/>
      <c r="V14438" s="138"/>
      <c r="W14438" s="138"/>
      <c r="X14438" s="138"/>
      <c r="Y14438" s="138"/>
      <c r="Z14438" s="138"/>
      <c r="AA14438" s="138"/>
    </row>
    <row r="14439" ht="15.75" customHeight="1">
      <c r="A14439" s="165"/>
      <c r="B14439" s="63">
        <f t="shared" si="1"/>
        <v>16</v>
      </c>
      <c r="C14439" s="135" t="s">
        <v>479</v>
      </c>
      <c r="D14439" s="161" t="s">
        <v>74</v>
      </c>
      <c r="E14439" s="135">
        <f t="shared" si="62"/>
        <v>5</v>
      </c>
      <c r="F14439" s="134" t="s">
        <v>3585</v>
      </c>
      <c r="G14439" s="63" t="str">
        <f>VLOOKUP(C14439, 'Class Def. - General Data'!$C$20:$C$1000,1,false)</f>
        <v>ZSI1_VIS_PRESENT</v>
      </c>
      <c r="H14439" s="63" t="str">
        <f>IFERROR(__xludf.DUMMYFUNCTION("VLOOKUP(F14439, IMPORTRANGE(""https://docs.google.com/spreadsheets/d/1Lhp9OU0JdFf_VYSMzH5lBcEaU4o8teT1piV-SNzShjg/edit?gid=554141278#gid=554141278"", ""'Char Def. - Attributes'!C20:C2242""), 1,false)"),"HS_CODE")</f>
        <v>HS_CODE</v>
      </c>
      <c r="I14439" s="166"/>
      <c r="J14439" s="138"/>
      <c r="K14439" s="138"/>
      <c r="L14439" s="138"/>
      <c r="M14439" s="138"/>
      <c r="N14439" s="138"/>
      <c r="O14439" s="138"/>
      <c r="P14439" s="138"/>
      <c r="Q14439" s="138"/>
      <c r="R14439" s="63" t="str">
        <f t="shared" si="60"/>
        <v>ZSI1_VIS_PRESENTHS_CODE</v>
      </c>
      <c r="S14439" s="138"/>
      <c r="T14439" s="138"/>
      <c r="U14439" s="138"/>
      <c r="V14439" s="138"/>
      <c r="W14439" s="138"/>
      <c r="X14439" s="138"/>
      <c r="Y14439" s="138"/>
      <c r="Z14439" s="138"/>
      <c r="AA14439" s="138"/>
    </row>
    <row r="14440" ht="15.75" customHeight="1">
      <c r="A14440" s="165"/>
      <c r="B14440" s="63">
        <f t="shared" si="1"/>
        <v>16</v>
      </c>
      <c r="C14440" s="135" t="s">
        <v>479</v>
      </c>
      <c r="D14440" s="161" t="s">
        <v>74</v>
      </c>
      <c r="E14440" s="135">
        <f t="shared" si="62"/>
        <v>6</v>
      </c>
      <c r="F14440" s="134" t="s">
        <v>3587</v>
      </c>
      <c r="G14440" s="63" t="str">
        <f>VLOOKUP(C14440, 'Class Def. - General Data'!$C$20:$C$1000,1,false)</f>
        <v>ZSI1_VIS_PRESENT</v>
      </c>
      <c r="H14440" s="63" t="str">
        <f>IFERROR(__xludf.DUMMYFUNCTION("VLOOKUP(F14440, IMPORTRANGE(""https://docs.google.com/spreadsheets/d/1Lhp9OU0JdFf_VYSMzH5lBcEaU4o8teT1piV-SNzShjg/edit?gid=554141278#gid=554141278"", ""'Char Def. - Attributes'!C20:C2242""), 1,false)"),"PLANT_BUY")</f>
        <v>PLANT_BUY</v>
      </c>
      <c r="I14440" s="166"/>
      <c r="J14440" s="138"/>
      <c r="K14440" s="138"/>
      <c r="L14440" s="138"/>
      <c r="M14440" s="138"/>
      <c r="N14440" s="138"/>
      <c r="O14440" s="138"/>
      <c r="P14440" s="138"/>
      <c r="Q14440" s="138"/>
      <c r="R14440" s="63" t="str">
        <f t="shared" si="60"/>
        <v>ZSI1_VIS_PRESENTPLANT_BUY</v>
      </c>
      <c r="S14440" s="138"/>
      <c r="T14440" s="138"/>
      <c r="U14440" s="138"/>
      <c r="V14440" s="138"/>
      <c r="W14440" s="138"/>
      <c r="X14440" s="138"/>
      <c r="Y14440" s="138"/>
      <c r="Z14440" s="138"/>
      <c r="AA14440" s="138"/>
    </row>
    <row r="14441" ht="15.75" customHeight="1">
      <c r="A14441" s="165"/>
      <c r="B14441" s="63">
        <f t="shared" si="1"/>
        <v>16</v>
      </c>
      <c r="C14441" s="135" t="s">
        <v>479</v>
      </c>
      <c r="D14441" s="161" t="s">
        <v>74</v>
      </c>
      <c r="E14441" s="135">
        <f t="shared" si="62"/>
        <v>7</v>
      </c>
      <c r="F14441" s="134" t="s">
        <v>5591</v>
      </c>
      <c r="G14441" s="63" t="str">
        <f>VLOOKUP(C14441, 'Class Def. - General Data'!$C$20:$C$1000,1,false)</f>
        <v>ZSI1_VIS_PRESENT</v>
      </c>
      <c r="H14441" s="63" t="str">
        <f>IFERROR(__xludf.DUMMYFUNCTION("VLOOKUP(F14441, IMPORTRANGE(""https://docs.google.com/spreadsheets/d/1Lhp9OU0JdFf_VYSMzH5lBcEaU4o8teT1piV-SNzShjg/edit?gid=554141278#gid=554141278"", ""'Char Def. - Attributes'!C20:C2242""), 1,false)"),"BASE_UOM_VIS_PRESENT")</f>
        <v>BASE_UOM_VIS_PRESENT</v>
      </c>
      <c r="I14441" s="166"/>
      <c r="J14441" s="138"/>
      <c r="K14441" s="138"/>
      <c r="L14441" s="138"/>
      <c r="M14441" s="138"/>
      <c r="N14441" s="138"/>
      <c r="O14441" s="138"/>
      <c r="P14441" s="138"/>
      <c r="Q14441" s="138"/>
      <c r="R14441" s="63" t="str">
        <f t="shared" si="60"/>
        <v>ZSI1_VIS_PRESENTBASE_UOM_VIS_PRESENT</v>
      </c>
      <c r="S14441" s="138"/>
      <c r="T14441" s="138"/>
      <c r="U14441" s="138"/>
      <c r="V14441" s="138"/>
      <c r="W14441" s="138"/>
      <c r="X14441" s="138"/>
      <c r="Y14441" s="138"/>
      <c r="Z14441" s="138"/>
      <c r="AA14441" s="138"/>
    </row>
    <row r="14442" ht="15.75" customHeight="1">
      <c r="A14442" s="165"/>
      <c r="B14442" s="63">
        <f t="shared" si="1"/>
        <v>16</v>
      </c>
      <c r="C14442" s="135" t="s">
        <v>479</v>
      </c>
      <c r="D14442" s="161" t="s">
        <v>74</v>
      </c>
      <c r="E14442" s="135">
        <f t="shared" si="62"/>
        <v>8</v>
      </c>
      <c r="F14442" s="134" t="s">
        <v>5592</v>
      </c>
      <c r="G14442" s="63" t="str">
        <f>VLOOKUP(C14442, 'Class Def. - General Data'!$C$20:$C$1000,1,false)</f>
        <v>ZSI1_VIS_PRESENT</v>
      </c>
      <c r="H14442" s="63" t="str">
        <f>IFERROR(__xludf.DUMMYFUNCTION("VLOOKUP(F14442, IMPORTRANGE(""https://docs.google.com/spreadsheets/d/1Lhp9OU0JdFf_VYSMzH5lBcEaU4o8teT1piV-SNzShjg/edit?gid=554141278#gid=554141278"", ""'Char Def. - Attributes'!C20:C2242""), 1,false)"),"ORDER_UNIT_VIS_PRESENT")</f>
        <v>ORDER_UNIT_VIS_PRESENT</v>
      </c>
      <c r="I14442" s="166"/>
      <c r="J14442" s="138"/>
      <c r="K14442" s="138"/>
      <c r="L14442" s="138"/>
      <c r="M14442" s="138"/>
      <c r="N14442" s="138"/>
      <c r="O14442" s="138"/>
      <c r="P14442" s="138"/>
      <c r="Q14442" s="138"/>
      <c r="R14442" s="63" t="str">
        <f t="shared" si="60"/>
        <v>ZSI1_VIS_PRESENTORDER_UNIT_VIS_PRESENT</v>
      </c>
      <c r="S14442" s="138"/>
      <c r="T14442" s="138"/>
      <c r="U14442" s="138"/>
      <c r="V14442" s="138"/>
      <c r="W14442" s="138"/>
      <c r="X14442" s="138"/>
      <c r="Y14442" s="138"/>
      <c r="Z14442" s="138"/>
      <c r="AA14442" s="138"/>
    </row>
    <row r="14443" ht="15.75" customHeight="1">
      <c r="A14443" s="165"/>
      <c r="B14443" s="63">
        <f t="shared" si="1"/>
        <v>16</v>
      </c>
      <c r="C14443" s="135" t="s">
        <v>479</v>
      </c>
      <c r="D14443" s="161" t="s">
        <v>74</v>
      </c>
      <c r="E14443" s="135">
        <f t="shared" si="62"/>
        <v>9</v>
      </c>
      <c r="F14443" s="134" t="s">
        <v>4056</v>
      </c>
      <c r="G14443" s="63" t="str">
        <f>VLOOKUP(C14443, 'Class Def. - General Data'!$C$20:$C$1000,1,false)</f>
        <v>ZSI1_VIS_PRESENT</v>
      </c>
      <c r="H14443" s="63" t="str">
        <f>IFERROR(__xludf.DUMMYFUNCTION("VLOOKUP(F14443, IMPORTRANGE(""https://docs.google.com/spreadsheets/d/1Lhp9OU0JdFf_VYSMzH5lBcEaU4o8teT1piV-SNzShjg/edit?gid=554141278#gid=554141278"", ""'Char Def. - Attributes'!C20:C2242""), 1,false)"),"GROSS_WEIGHT_OPT")</f>
        <v>GROSS_WEIGHT_OPT</v>
      </c>
      <c r="I14443" s="166"/>
      <c r="J14443" s="138"/>
      <c r="K14443" s="138"/>
      <c r="L14443" s="138"/>
      <c r="M14443" s="138"/>
      <c r="N14443" s="138"/>
      <c r="O14443" s="138"/>
      <c r="P14443" s="138"/>
      <c r="Q14443" s="138"/>
      <c r="R14443" s="63" t="str">
        <f t="shared" si="60"/>
        <v>ZSI1_VIS_PRESENTGROSS_WEIGHT_OPT</v>
      </c>
      <c r="S14443" s="138"/>
      <c r="T14443" s="138"/>
      <c r="U14443" s="138"/>
      <c r="V14443" s="138"/>
      <c r="W14443" s="138"/>
      <c r="X14443" s="138"/>
      <c r="Y14443" s="138"/>
      <c r="Z14443" s="138"/>
      <c r="AA14443" s="138"/>
    </row>
    <row r="14444" ht="15.75" customHeight="1">
      <c r="A14444" s="165"/>
      <c r="B14444" s="63">
        <f t="shared" si="1"/>
        <v>16</v>
      </c>
      <c r="C14444" s="135" t="s">
        <v>479</v>
      </c>
      <c r="D14444" s="161" t="s">
        <v>74</v>
      </c>
      <c r="E14444" s="135">
        <f t="shared" si="62"/>
        <v>10</v>
      </c>
      <c r="F14444" s="134" t="s">
        <v>4057</v>
      </c>
      <c r="G14444" s="63" t="str">
        <f>VLOOKUP(C14444, 'Class Def. - General Data'!$C$20:$C$1000,1,false)</f>
        <v>ZSI1_VIS_PRESENT</v>
      </c>
      <c r="H14444" s="63" t="str">
        <f>IFERROR(__xludf.DUMMYFUNCTION("VLOOKUP(F14444, IMPORTRANGE(""https://docs.google.com/spreadsheets/d/1Lhp9OU0JdFf_VYSMzH5lBcEaU4o8teT1piV-SNzShjg/edit?gid=554141278#gid=554141278"", ""'Char Def. - Attributes'!C20:C2242""), 1,false)"),"NET_WEIGHT_OPT")</f>
        <v>NET_WEIGHT_OPT</v>
      </c>
      <c r="I14444" s="166"/>
      <c r="J14444" s="138"/>
      <c r="K14444" s="138"/>
      <c r="L14444" s="138"/>
      <c r="M14444" s="138"/>
      <c r="N14444" s="138"/>
      <c r="O14444" s="138"/>
      <c r="P14444" s="138"/>
      <c r="Q14444" s="138"/>
      <c r="R14444" s="63" t="str">
        <f t="shared" si="60"/>
        <v>ZSI1_VIS_PRESENTNET_WEIGHT_OPT</v>
      </c>
      <c r="S14444" s="138"/>
      <c r="T14444" s="138"/>
      <c r="U14444" s="138"/>
      <c r="V14444" s="138"/>
      <c r="W14444" s="138"/>
      <c r="X14444" s="138"/>
      <c r="Y14444" s="138"/>
      <c r="Z14444" s="138"/>
      <c r="AA14444" s="138"/>
    </row>
    <row r="14445" ht="15.75" customHeight="1">
      <c r="A14445" s="59"/>
      <c r="B14445" s="63">
        <f t="shared" si="1"/>
        <v>16</v>
      </c>
      <c r="C14445" s="135" t="s">
        <v>479</v>
      </c>
      <c r="D14445" s="161" t="s">
        <v>74</v>
      </c>
      <c r="E14445" s="135">
        <f t="shared" si="62"/>
        <v>11</v>
      </c>
      <c r="F14445" s="134" t="s">
        <v>4058</v>
      </c>
      <c r="G14445" s="63" t="str">
        <f>VLOOKUP(C14445, 'Class Def. - General Data'!$C$20:$C$1000,1,false)</f>
        <v>ZSI1_VIS_PRESENT</v>
      </c>
      <c r="H14445" s="63" t="str">
        <f>IFERROR(__xludf.DUMMYFUNCTION("VLOOKUP(F14445, IMPORTRANGE(""https://docs.google.com/spreadsheets/d/1Lhp9OU0JdFf_VYSMzH5lBcEaU4o8teT1piV-SNzShjg/edit?gid=554141278#gid=554141278"", ""'Char Def. - Attributes'!C20:C2242""), 1,false)"),"WEIGHT_UNIT_SI")</f>
        <v>WEIGHT_UNIT_SI</v>
      </c>
      <c r="I14445" s="136"/>
      <c r="R14445" s="63" t="str">
        <f t="shared" si="60"/>
        <v>ZSI1_VIS_PRESENTWEIGHT_UNIT_SI</v>
      </c>
    </row>
    <row r="14446" ht="15.75" customHeight="1">
      <c r="A14446" s="59"/>
      <c r="B14446" s="63">
        <f t="shared" si="1"/>
        <v>16</v>
      </c>
      <c r="C14446" s="135" t="s">
        <v>479</v>
      </c>
      <c r="D14446" s="161" t="s">
        <v>74</v>
      </c>
      <c r="E14446" s="135">
        <f t="shared" si="62"/>
        <v>12</v>
      </c>
      <c r="F14446" s="134" t="s">
        <v>3877</v>
      </c>
      <c r="G14446" s="63" t="str">
        <f>VLOOKUP(C14446, 'Class Def. - General Data'!$C$20:$C$1000,1,false)</f>
        <v>ZSI1_VIS_PRESENT</v>
      </c>
      <c r="H14446" s="63" t="str">
        <f>IFERROR(__xludf.DUMMYFUNCTION("VLOOKUP(F14446, IMPORTRANGE(""https://docs.google.com/spreadsheets/d/1Lhp9OU0JdFf_VYSMzH5lBcEaU4o8teT1piV-SNzShjg/edit?gid=554141278#gid=554141278"", ""'Char Def. - Attributes'!C20:C2242""), 1,false)"),"VOLUME_OPT")</f>
        <v>VOLUME_OPT</v>
      </c>
      <c r="I14446" s="136"/>
      <c r="R14446" s="63" t="str">
        <f t="shared" si="60"/>
        <v>ZSI1_VIS_PRESENTVOLUME_OPT</v>
      </c>
    </row>
    <row r="14447" ht="15.75" customHeight="1">
      <c r="A14447" s="59"/>
      <c r="B14447" s="63">
        <f t="shared" si="1"/>
        <v>16</v>
      </c>
      <c r="C14447" s="135" t="s">
        <v>479</v>
      </c>
      <c r="D14447" s="161" t="s">
        <v>74</v>
      </c>
      <c r="E14447" s="135">
        <f t="shared" si="62"/>
        <v>13</v>
      </c>
      <c r="F14447" s="134" t="s">
        <v>4059</v>
      </c>
      <c r="G14447" s="63" t="str">
        <f>VLOOKUP(C14447, 'Class Def. - General Data'!$C$20:$C$1000,1,false)</f>
        <v>ZSI1_VIS_PRESENT</v>
      </c>
      <c r="H14447" s="63" t="str">
        <f>IFERROR(__xludf.DUMMYFUNCTION("VLOOKUP(F14447, IMPORTRANGE(""https://docs.google.com/spreadsheets/d/1Lhp9OU0JdFf_VYSMzH5lBcEaU4o8teT1piV-SNzShjg/edit?gid=554141278#gid=554141278"", ""'Char Def. - Attributes'!C20:C2242""), 1,false)"),"VOLUME_UNIT_SI")</f>
        <v>VOLUME_UNIT_SI</v>
      </c>
      <c r="I14447" s="136"/>
      <c r="R14447" s="63" t="str">
        <f t="shared" si="60"/>
        <v>ZSI1_VIS_PRESENTVOLUME_UNIT_SI</v>
      </c>
    </row>
    <row r="14448" ht="15.75" customHeight="1">
      <c r="A14448" s="59"/>
      <c r="B14448" s="63">
        <f t="shared" si="1"/>
        <v>16</v>
      </c>
      <c r="C14448" s="135" t="s">
        <v>479</v>
      </c>
      <c r="D14448" s="161" t="s">
        <v>74</v>
      </c>
      <c r="E14448" s="135">
        <f t="shared" si="62"/>
        <v>14</v>
      </c>
      <c r="F14448" s="134" t="s">
        <v>3804</v>
      </c>
      <c r="G14448" s="63" t="str">
        <f>VLOOKUP(C14448, 'Class Def. - General Data'!$C$20:$C$1000,1,false)</f>
        <v>ZSI1_VIS_PRESENT</v>
      </c>
      <c r="H14448" s="63" t="str">
        <f>IFERROR(__xludf.DUMMYFUNCTION("VLOOKUP(F14448, IMPORTRANGE(""https://docs.google.com/spreadsheets/d/1Lhp9OU0JdFf_VYSMzH5lBcEaU4o8teT1piV-SNzShjg/edit?gid=554141278#gid=554141278"", ""'Char Def. - Attributes'!C20:C2242""), 1,false)"),"ALT_UOM1_SIPI")</f>
        <v>ALT_UOM1_SIPI</v>
      </c>
      <c r="I14448" s="136"/>
      <c r="R14448" s="63" t="str">
        <f t="shared" si="60"/>
        <v>ZSI1_VIS_PRESENTALT_UOM1_SIPI</v>
      </c>
    </row>
    <row r="14449" ht="15.75" customHeight="1">
      <c r="A14449" s="59"/>
      <c r="B14449" s="63">
        <f t="shared" si="1"/>
        <v>16</v>
      </c>
      <c r="C14449" s="135" t="s">
        <v>479</v>
      </c>
      <c r="D14449" s="161" t="s">
        <v>74</v>
      </c>
      <c r="E14449" s="135">
        <f t="shared" si="62"/>
        <v>15</v>
      </c>
      <c r="F14449" s="134" t="s">
        <v>3805</v>
      </c>
      <c r="G14449" s="63" t="str">
        <f>VLOOKUP(C14449, 'Class Def. - General Data'!$C$20:$C$1000,1,false)</f>
        <v>ZSI1_VIS_PRESENT</v>
      </c>
      <c r="H14449" s="63" t="str">
        <f>IFERROR(__xludf.DUMMYFUNCTION("VLOOKUP(F14449, IMPORTRANGE(""https://docs.google.com/spreadsheets/d/1Lhp9OU0JdFf_VYSMzH5lBcEaU4o8teT1piV-SNzShjg/edit?gid=554141278#gid=554141278"", ""'Char Def. - Attributes'!C20:C2242""), 1,false)"),"ALT_DENUM_UOM1")</f>
        <v>ALT_DENUM_UOM1</v>
      </c>
      <c r="I14449" s="136"/>
      <c r="R14449" s="63" t="str">
        <f t="shared" si="60"/>
        <v>ZSI1_VIS_PRESENTALT_DENUM_UOM1</v>
      </c>
    </row>
    <row r="14450" ht="15.75" customHeight="1">
      <c r="A14450" s="59"/>
      <c r="B14450" s="63">
        <f t="shared" si="1"/>
        <v>16</v>
      </c>
      <c r="C14450" s="135" t="s">
        <v>479</v>
      </c>
      <c r="D14450" s="161" t="s">
        <v>74</v>
      </c>
      <c r="E14450" s="135">
        <f t="shared" si="62"/>
        <v>16</v>
      </c>
      <c r="F14450" s="134" t="s">
        <v>3806</v>
      </c>
      <c r="G14450" s="63" t="str">
        <f>VLOOKUP(C14450, 'Class Def. - General Data'!$C$20:$C$1000,1,false)</f>
        <v>ZSI1_VIS_PRESENT</v>
      </c>
      <c r="H14450" s="63" t="str">
        <f>IFERROR(__xludf.DUMMYFUNCTION("VLOOKUP(F14450, IMPORTRANGE(""https://docs.google.com/spreadsheets/d/1Lhp9OU0JdFf_VYSMzH5lBcEaU4o8teT1piV-SNzShjg/edit?gid=554141278#gid=554141278"", ""'Char Def. - Attributes'!C20:C2242""), 1,false)"),"ALT_NUM_UOM1")</f>
        <v>ALT_NUM_UOM1</v>
      </c>
      <c r="I14450" s="136"/>
      <c r="R14450" s="63" t="str">
        <f t="shared" si="60"/>
        <v>ZSI1_VIS_PRESENTALT_NUM_UOM1</v>
      </c>
    </row>
    <row r="14451" ht="15.75" customHeight="1">
      <c r="A14451" s="59"/>
      <c r="B14451" s="63">
        <f t="shared" si="1"/>
        <v>16</v>
      </c>
      <c r="C14451" s="135" t="s">
        <v>479</v>
      </c>
      <c r="D14451" s="161" t="s">
        <v>74</v>
      </c>
      <c r="E14451" s="135">
        <f t="shared" si="62"/>
        <v>17</v>
      </c>
      <c r="F14451" s="134" t="s">
        <v>3807</v>
      </c>
      <c r="G14451" s="63" t="str">
        <f>VLOOKUP(C14451, 'Class Def. - General Data'!$C$20:$C$1000,1,false)</f>
        <v>ZSI1_VIS_PRESENT</v>
      </c>
      <c r="H14451" s="63" t="str">
        <f>IFERROR(__xludf.DUMMYFUNCTION("VLOOKUP(F14451, IMPORTRANGE(""https://docs.google.com/spreadsheets/d/1Lhp9OU0JdFf_VYSMzH5lBcEaU4o8teT1piV-SNzShjg/edit?gid=554141278#gid=554141278"", ""'Char Def. - Attributes'!C20:C2242""), 1,false)"),"ALT_UOM2_SIPI")</f>
        <v>ALT_UOM2_SIPI</v>
      </c>
      <c r="I14451" s="136"/>
      <c r="R14451" s="63" t="str">
        <f t="shared" si="60"/>
        <v>ZSI1_VIS_PRESENTALT_UOM2_SIPI</v>
      </c>
    </row>
    <row r="14452" ht="15.75" customHeight="1">
      <c r="A14452" s="59"/>
      <c r="B14452" s="63">
        <f t="shared" si="1"/>
        <v>16</v>
      </c>
      <c r="C14452" s="135" t="s">
        <v>479</v>
      </c>
      <c r="D14452" s="161" t="s">
        <v>74</v>
      </c>
      <c r="E14452" s="135">
        <f t="shared" si="62"/>
        <v>18</v>
      </c>
      <c r="F14452" s="134" t="s">
        <v>3808</v>
      </c>
      <c r="G14452" s="63" t="str">
        <f>VLOOKUP(C14452, 'Class Def. - General Data'!$C$20:$C$1000,1,false)</f>
        <v>ZSI1_VIS_PRESENT</v>
      </c>
      <c r="H14452" s="63" t="str">
        <f>IFERROR(__xludf.DUMMYFUNCTION("VLOOKUP(F14452, IMPORTRANGE(""https://docs.google.com/spreadsheets/d/1Lhp9OU0JdFf_VYSMzH5lBcEaU4o8teT1piV-SNzShjg/edit?gid=554141278#gid=554141278"", ""'Char Def. - Attributes'!C20:C2242""), 1,false)"),"ALT_DENUM_UOM2")</f>
        <v>ALT_DENUM_UOM2</v>
      </c>
      <c r="I14452" s="136"/>
      <c r="R14452" s="63" t="str">
        <f t="shared" si="60"/>
        <v>ZSI1_VIS_PRESENTALT_DENUM_UOM2</v>
      </c>
    </row>
    <row r="14453" ht="15.75" customHeight="1">
      <c r="A14453" s="59"/>
      <c r="B14453" s="63">
        <f t="shared" si="1"/>
        <v>16</v>
      </c>
      <c r="C14453" s="135" t="s">
        <v>479</v>
      </c>
      <c r="D14453" s="161" t="s">
        <v>74</v>
      </c>
      <c r="E14453" s="135">
        <f t="shared" si="62"/>
        <v>19</v>
      </c>
      <c r="F14453" s="134" t="s">
        <v>3809</v>
      </c>
      <c r="G14453" s="63" t="str">
        <f>VLOOKUP(C14453, 'Class Def. - General Data'!$C$20:$C$1000,1,false)</f>
        <v>ZSI1_VIS_PRESENT</v>
      </c>
      <c r="H14453" s="63" t="str">
        <f>IFERROR(__xludf.DUMMYFUNCTION("VLOOKUP(F14453, IMPORTRANGE(""https://docs.google.com/spreadsheets/d/1Lhp9OU0JdFf_VYSMzH5lBcEaU4o8teT1piV-SNzShjg/edit?gid=554141278#gid=554141278"", ""'Char Def. - Attributes'!C20:C2242""), 1,false)"),"ALT_NUM_UOM2")</f>
        <v>ALT_NUM_UOM2</v>
      </c>
      <c r="I14453" s="136"/>
      <c r="R14453" s="63" t="str">
        <f t="shared" si="60"/>
        <v>ZSI1_VIS_PRESENTALT_NUM_UOM2</v>
      </c>
    </row>
    <row r="14454" ht="15.75" customHeight="1">
      <c r="A14454" s="59"/>
      <c r="B14454" s="63">
        <f t="shared" si="1"/>
        <v>16</v>
      </c>
      <c r="C14454" s="135" t="s">
        <v>479</v>
      </c>
      <c r="D14454" s="161" t="s">
        <v>74</v>
      </c>
      <c r="E14454" s="135">
        <f t="shared" si="62"/>
        <v>20</v>
      </c>
      <c r="F14454" s="134" t="s">
        <v>3810</v>
      </c>
      <c r="G14454" s="63" t="str">
        <f>VLOOKUP(C14454, 'Class Def. - General Data'!$C$20:$C$1000,1,false)</f>
        <v>ZSI1_VIS_PRESENT</v>
      </c>
      <c r="H14454" s="63" t="str">
        <f>IFERROR(__xludf.DUMMYFUNCTION("VLOOKUP(F14454, IMPORTRANGE(""https://docs.google.com/spreadsheets/d/1Lhp9OU0JdFf_VYSMzH5lBcEaU4o8teT1piV-SNzShjg/edit?gid=554141278#gid=554141278"", ""'Char Def. - Attributes'!C20:C2242""), 1,false)"),"ALT_UOM3_SIPI")</f>
        <v>ALT_UOM3_SIPI</v>
      </c>
      <c r="I14454" s="136"/>
      <c r="R14454" s="63" t="str">
        <f t="shared" si="60"/>
        <v>ZSI1_VIS_PRESENTALT_UOM3_SIPI</v>
      </c>
    </row>
    <row r="14455" ht="15.75" customHeight="1">
      <c r="A14455" s="59"/>
      <c r="B14455" s="63">
        <f t="shared" si="1"/>
        <v>16</v>
      </c>
      <c r="C14455" s="135" t="s">
        <v>479</v>
      </c>
      <c r="D14455" s="161" t="s">
        <v>74</v>
      </c>
      <c r="E14455" s="135">
        <f t="shared" si="62"/>
        <v>21</v>
      </c>
      <c r="F14455" s="134" t="s">
        <v>3811</v>
      </c>
      <c r="G14455" s="63" t="str">
        <f>VLOOKUP(C14455, 'Class Def. - General Data'!$C$20:$C$1000,1,false)</f>
        <v>ZSI1_VIS_PRESENT</v>
      </c>
      <c r="H14455" s="63" t="str">
        <f>IFERROR(__xludf.DUMMYFUNCTION("VLOOKUP(F14455, IMPORTRANGE(""https://docs.google.com/spreadsheets/d/1Lhp9OU0JdFf_VYSMzH5lBcEaU4o8teT1piV-SNzShjg/edit?gid=554141278#gid=554141278"", ""'Char Def. - Attributes'!C20:C2242""), 1,false)"),"ALT_DENUM_UOM3")</f>
        <v>ALT_DENUM_UOM3</v>
      </c>
      <c r="I14455" s="136"/>
      <c r="R14455" s="63" t="str">
        <f t="shared" si="60"/>
        <v>ZSI1_VIS_PRESENTALT_DENUM_UOM3</v>
      </c>
    </row>
    <row r="14456" ht="15.75" customHeight="1">
      <c r="A14456" s="59"/>
      <c r="B14456" s="63">
        <f t="shared" si="1"/>
        <v>16</v>
      </c>
      <c r="C14456" s="135" t="s">
        <v>479</v>
      </c>
      <c r="D14456" s="161" t="s">
        <v>74</v>
      </c>
      <c r="E14456" s="135">
        <f t="shared" si="62"/>
        <v>22</v>
      </c>
      <c r="F14456" s="134" t="s">
        <v>3812</v>
      </c>
      <c r="G14456" s="63" t="str">
        <f>VLOOKUP(C14456, 'Class Def. - General Data'!$C$20:$C$1000,1,false)</f>
        <v>ZSI1_VIS_PRESENT</v>
      </c>
      <c r="H14456" s="63" t="str">
        <f>IFERROR(__xludf.DUMMYFUNCTION("VLOOKUP(F14456, IMPORTRANGE(""https://docs.google.com/spreadsheets/d/1Lhp9OU0JdFf_VYSMzH5lBcEaU4o8teT1piV-SNzShjg/edit?gid=554141278#gid=554141278"", ""'Char Def. - Attributes'!C20:C2242""), 1,false)"),"ALT_NUM_UOM3")</f>
        <v>ALT_NUM_UOM3</v>
      </c>
      <c r="I14456" s="136"/>
      <c r="R14456" s="63" t="str">
        <f t="shared" si="60"/>
        <v>ZSI1_VIS_PRESENTALT_NUM_UOM3</v>
      </c>
    </row>
    <row r="14457" ht="15.75" customHeight="1">
      <c r="A14457" s="59"/>
      <c r="B14457" s="63">
        <f t="shared" si="1"/>
        <v>16</v>
      </c>
      <c r="C14457" s="135" t="s">
        <v>479</v>
      </c>
      <c r="D14457" s="161" t="s">
        <v>74</v>
      </c>
      <c r="E14457" s="135">
        <f t="shared" si="62"/>
        <v>23</v>
      </c>
      <c r="F14457" s="134" t="s">
        <v>3813</v>
      </c>
      <c r="G14457" s="63" t="str">
        <f>VLOOKUP(C14457, 'Class Def. - General Data'!$C$20:$C$1000,1,false)</f>
        <v>ZSI1_VIS_PRESENT</v>
      </c>
      <c r="H14457" s="63" t="str">
        <f>IFERROR(__xludf.DUMMYFUNCTION("VLOOKUP(F14457, IMPORTRANGE(""https://docs.google.com/spreadsheets/d/1Lhp9OU0JdFf_VYSMzH5lBcEaU4o8teT1piV-SNzShjg/edit?gid=554141278#gid=554141278"", ""'Char Def. - Attributes'!C20:C2242""), 1,false)"),"ALT_UOM4_SIPI")</f>
        <v>ALT_UOM4_SIPI</v>
      </c>
      <c r="I14457" s="136"/>
      <c r="R14457" s="63" t="str">
        <f t="shared" si="60"/>
        <v>ZSI1_VIS_PRESENTALT_UOM4_SIPI</v>
      </c>
    </row>
    <row r="14458" ht="15.75" customHeight="1">
      <c r="A14458" s="59"/>
      <c r="B14458" s="63">
        <f t="shared" si="1"/>
        <v>16</v>
      </c>
      <c r="C14458" s="135" t="s">
        <v>479</v>
      </c>
      <c r="D14458" s="161" t="s">
        <v>74</v>
      </c>
      <c r="E14458" s="135">
        <f t="shared" si="62"/>
        <v>24</v>
      </c>
      <c r="F14458" s="134" t="s">
        <v>3814</v>
      </c>
      <c r="G14458" s="63" t="str">
        <f>VLOOKUP(C14458, 'Class Def. - General Data'!$C$20:$C$1000,1,false)</f>
        <v>ZSI1_VIS_PRESENT</v>
      </c>
      <c r="H14458" s="63" t="str">
        <f>IFERROR(__xludf.DUMMYFUNCTION("VLOOKUP(F14458, IMPORTRANGE(""https://docs.google.com/spreadsheets/d/1Lhp9OU0JdFf_VYSMzH5lBcEaU4o8teT1piV-SNzShjg/edit?gid=554141278#gid=554141278"", ""'Char Def. - Attributes'!C20:C2242""), 1,false)"),"ALT_DENUM_UOM4")</f>
        <v>ALT_DENUM_UOM4</v>
      </c>
      <c r="I14458" s="136"/>
      <c r="R14458" s="63" t="str">
        <f t="shared" si="60"/>
        <v>ZSI1_VIS_PRESENTALT_DENUM_UOM4</v>
      </c>
    </row>
    <row r="14459" ht="15.75" customHeight="1">
      <c r="A14459" s="59"/>
      <c r="B14459" s="63">
        <f t="shared" si="1"/>
        <v>16</v>
      </c>
      <c r="C14459" s="135" t="s">
        <v>479</v>
      </c>
      <c r="D14459" s="161" t="s">
        <v>74</v>
      </c>
      <c r="E14459" s="135">
        <f t="shared" si="62"/>
        <v>25</v>
      </c>
      <c r="F14459" s="134" t="s">
        <v>3815</v>
      </c>
      <c r="G14459" s="63" t="str">
        <f>VLOOKUP(C14459, 'Class Def. - General Data'!$C$20:$C$1000,1,false)</f>
        <v>ZSI1_VIS_PRESENT</v>
      </c>
      <c r="H14459" s="63" t="str">
        <f>IFERROR(__xludf.DUMMYFUNCTION("VLOOKUP(F14459, IMPORTRANGE(""https://docs.google.com/spreadsheets/d/1Lhp9OU0JdFf_VYSMzH5lBcEaU4o8teT1piV-SNzShjg/edit?gid=554141278#gid=554141278"", ""'Char Def. - Attributes'!C20:C2242""), 1,false)"),"ALT_NUM_UOM4")</f>
        <v>ALT_NUM_UOM4</v>
      </c>
      <c r="I14459" s="136"/>
      <c r="R14459" s="63" t="str">
        <f t="shared" si="60"/>
        <v>ZSI1_VIS_PRESENTALT_NUM_UOM4</v>
      </c>
    </row>
    <row r="14460" ht="15.75" customHeight="1">
      <c r="A14460" s="59"/>
      <c r="B14460" s="63">
        <f t="shared" si="1"/>
        <v>16</v>
      </c>
      <c r="C14460" s="135" t="s">
        <v>479</v>
      </c>
      <c r="D14460" s="161" t="s">
        <v>74</v>
      </c>
      <c r="E14460" s="135">
        <f t="shared" si="62"/>
        <v>26</v>
      </c>
      <c r="F14460" s="134" t="s">
        <v>3816</v>
      </c>
      <c r="G14460" s="63" t="str">
        <f>VLOOKUP(C14460, 'Class Def. - General Data'!$C$20:$C$1000,1,false)</f>
        <v>ZSI1_VIS_PRESENT</v>
      </c>
      <c r="H14460" s="63" t="str">
        <f>IFERROR(__xludf.DUMMYFUNCTION("VLOOKUP(F14460, IMPORTRANGE(""https://docs.google.com/spreadsheets/d/1Lhp9OU0JdFf_VYSMzH5lBcEaU4o8teT1piV-SNzShjg/edit?gid=554141278#gid=554141278"", ""'Char Def. - Attributes'!C20:C2242""), 1,false)"),"ALT_UOM5_SIPI")</f>
        <v>ALT_UOM5_SIPI</v>
      </c>
      <c r="I14460" s="136"/>
      <c r="R14460" s="63" t="str">
        <f t="shared" si="60"/>
        <v>ZSI1_VIS_PRESENTALT_UOM5_SIPI</v>
      </c>
    </row>
    <row r="14461" ht="15.75" customHeight="1">
      <c r="A14461" s="59"/>
      <c r="B14461" s="63">
        <f t="shared" si="1"/>
        <v>16</v>
      </c>
      <c r="C14461" s="135" t="s">
        <v>479</v>
      </c>
      <c r="D14461" s="161" t="s">
        <v>74</v>
      </c>
      <c r="E14461" s="135">
        <f t="shared" si="62"/>
        <v>27</v>
      </c>
      <c r="F14461" s="134" t="s">
        <v>3817</v>
      </c>
      <c r="G14461" s="63" t="str">
        <f>VLOOKUP(C14461, 'Class Def. - General Data'!$C$20:$C$1000,1,false)</f>
        <v>ZSI1_VIS_PRESENT</v>
      </c>
      <c r="H14461" s="63" t="str">
        <f>IFERROR(__xludf.DUMMYFUNCTION("VLOOKUP(F14461, IMPORTRANGE(""https://docs.google.com/spreadsheets/d/1Lhp9OU0JdFf_VYSMzH5lBcEaU4o8teT1piV-SNzShjg/edit?gid=554141278#gid=554141278"", ""'Char Def. - Attributes'!C20:C2242""), 1,false)"),"ALT_DENUM_UOM5")</f>
        <v>ALT_DENUM_UOM5</v>
      </c>
      <c r="I14461" s="136"/>
      <c r="R14461" s="63" t="str">
        <f t="shared" si="60"/>
        <v>ZSI1_VIS_PRESENTALT_DENUM_UOM5</v>
      </c>
    </row>
    <row r="14462" ht="15.75" customHeight="1">
      <c r="A14462" s="59"/>
      <c r="B14462" s="63">
        <f t="shared" si="1"/>
        <v>16</v>
      </c>
      <c r="C14462" s="135" t="s">
        <v>479</v>
      </c>
      <c r="D14462" s="161" t="s">
        <v>74</v>
      </c>
      <c r="E14462" s="135">
        <f t="shared" si="62"/>
        <v>28</v>
      </c>
      <c r="F14462" s="134" t="s">
        <v>3818</v>
      </c>
      <c r="G14462" s="63" t="str">
        <f>VLOOKUP(C14462, 'Class Def. - General Data'!$C$20:$C$1000,1,false)</f>
        <v>ZSI1_VIS_PRESENT</v>
      </c>
      <c r="H14462" s="63" t="str">
        <f>IFERROR(__xludf.DUMMYFUNCTION("VLOOKUP(F14462, IMPORTRANGE(""https://docs.google.com/spreadsheets/d/1Lhp9OU0JdFf_VYSMzH5lBcEaU4o8teT1piV-SNzShjg/edit?gid=554141278#gid=554141278"", ""'Char Def. - Attributes'!C20:C2242""), 1,false)"),"ALT_NUM_UOM5")</f>
        <v>ALT_NUM_UOM5</v>
      </c>
      <c r="I14462" s="136"/>
      <c r="R14462" s="63" t="str">
        <f t="shared" si="60"/>
        <v>ZSI1_VIS_PRESENTALT_NUM_UOM5</v>
      </c>
    </row>
    <row r="14463" ht="15.75" customHeight="1">
      <c r="A14463" s="59"/>
      <c r="B14463" s="63">
        <f t="shared" si="1"/>
        <v>15</v>
      </c>
      <c r="C14463" s="135" t="s">
        <v>480</v>
      </c>
      <c r="D14463" s="161" t="s">
        <v>74</v>
      </c>
      <c r="E14463" s="135">
        <f t="shared" si="62"/>
        <v>1</v>
      </c>
      <c r="F14463" s="134" t="s">
        <v>5593</v>
      </c>
      <c r="G14463" s="63" t="str">
        <f>VLOOKUP(C14463, 'Class Def. - General Data'!$C$20:$C$1000,1,false)</f>
        <v>ZSI1_WALL_PANEL</v>
      </c>
      <c r="H14463" s="63" t="str">
        <f>IFERROR(__xludf.DUMMYFUNCTION("VLOOKUP(F14463, IMPORTRANGE(""https://docs.google.com/spreadsheets/d/1Lhp9OU0JdFf_VYSMzH5lBcEaU4o8teT1piV-SNzShjg/edit?gid=554141278#gid=554141278"", ""'Char Def. - Attributes'!C20:C2242""), 1,false)"),"ITEM_NAME_WALL_PANEL")</f>
        <v>ITEM_NAME_WALL_PANEL</v>
      </c>
      <c r="I14463" s="136"/>
      <c r="R14463" s="63" t="str">
        <f t="shared" si="60"/>
        <v>ZSI1_WALL_PANELITEM_NAME_WALL_PANEL</v>
      </c>
    </row>
    <row r="14464" ht="15.75" customHeight="1">
      <c r="A14464" s="59"/>
      <c r="B14464" s="63">
        <f t="shared" si="1"/>
        <v>15</v>
      </c>
      <c r="C14464" s="135" t="s">
        <v>480</v>
      </c>
      <c r="D14464" s="161" t="s">
        <v>74</v>
      </c>
      <c r="E14464" s="135">
        <f t="shared" si="62"/>
        <v>2</v>
      </c>
      <c r="F14464" s="134" t="s">
        <v>5594</v>
      </c>
      <c r="G14464" s="63" t="str">
        <f>VLOOKUP(C14464, 'Class Def. - General Data'!$C$20:$C$1000,1,false)</f>
        <v>ZSI1_WALL_PANEL</v>
      </c>
      <c r="H14464" s="63" t="str">
        <f>IFERROR(__xludf.DUMMYFUNCTION("VLOOKUP(F14464, IMPORTRANGE(""https://docs.google.com/spreadsheets/d/1Lhp9OU0JdFf_VYSMzH5lBcEaU4o8teT1piV-SNzShjg/edit?gid=554141278#gid=554141278"", ""'Char Def. - Attributes'!C20:C2242""), 1,false)"),"DIMENSION_WALL_PANEL")</f>
        <v>DIMENSION_WALL_PANEL</v>
      </c>
      <c r="I14464" s="136"/>
      <c r="R14464" s="63" t="str">
        <f t="shared" si="60"/>
        <v>ZSI1_WALL_PANELDIMENSION_WALL_PANEL</v>
      </c>
    </row>
    <row r="14465" ht="15.75" customHeight="1">
      <c r="A14465" s="59"/>
      <c r="B14465" s="63">
        <f t="shared" si="1"/>
        <v>15</v>
      </c>
      <c r="C14465" s="135" t="s">
        <v>480</v>
      </c>
      <c r="D14465" s="161" t="s">
        <v>74</v>
      </c>
      <c r="E14465" s="135">
        <f t="shared" si="62"/>
        <v>3</v>
      </c>
      <c r="F14465" s="134" t="s">
        <v>5595</v>
      </c>
      <c r="G14465" s="63" t="str">
        <f>VLOOKUP(C14465, 'Class Def. - General Data'!$C$20:$C$1000,1,false)</f>
        <v>ZSI1_WALL_PANEL</v>
      </c>
      <c r="H14465" s="63" t="str">
        <f>IFERROR(__xludf.DUMMYFUNCTION("VLOOKUP(F14465, IMPORTRANGE(""https://docs.google.com/spreadsheets/d/1Lhp9OU0JdFf_VYSMzH5lBcEaU4o8teT1piV-SNzShjg/edit?gid=554141278#gid=554141278"", ""'Char Def. - Attributes'!C20:C2242""), 1,false)"),"HEIGHT_MM_WALL_PANEL")</f>
        <v>HEIGHT_MM_WALL_PANEL</v>
      </c>
      <c r="I14465" s="136"/>
      <c r="R14465" s="63" t="str">
        <f t="shared" si="60"/>
        <v>ZSI1_WALL_PANELHEIGHT_MM_WALL_PANEL</v>
      </c>
    </row>
    <row r="14466" ht="15.75" customHeight="1">
      <c r="A14466" s="59"/>
      <c r="B14466" s="63">
        <f t="shared" si="1"/>
        <v>15</v>
      </c>
      <c r="C14466" s="135" t="s">
        <v>480</v>
      </c>
      <c r="D14466" s="161" t="s">
        <v>74</v>
      </c>
      <c r="E14466" s="135">
        <f t="shared" si="62"/>
        <v>4</v>
      </c>
      <c r="F14466" s="134" t="s">
        <v>5596</v>
      </c>
      <c r="G14466" s="63" t="str">
        <f>VLOOKUP(C14466, 'Class Def. - General Data'!$C$20:$C$1000,1,false)</f>
        <v>ZSI1_WALL_PANEL</v>
      </c>
      <c r="H14466" s="63" t="str">
        <f>IFERROR(__xludf.DUMMYFUNCTION("VLOOKUP(F14466, IMPORTRANGE(""https://docs.google.com/spreadsheets/d/1Lhp9OU0JdFf_VYSMzH5lBcEaU4o8teT1piV-SNzShjg/edit?gid=554141278#gid=554141278"", ""'Char Def. - Attributes'!C20:C2242""), 1,false)"),"HEIGHT_INCH_WALL_PANEL")</f>
        <v>HEIGHT_INCH_WALL_PANEL</v>
      </c>
      <c r="I14466" s="136"/>
      <c r="R14466" s="63" t="str">
        <f t="shared" si="60"/>
        <v>ZSI1_WALL_PANELHEIGHT_INCH_WALL_PANEL</v>
      </c>
    </row>
    <row r="14467" ht="15.75" customHeight="1">
      <c r="A14467" s="59"/>
      <c r="B14467" s="63">
        <f t="shared" si="1"/>
        <v>15</v>
      </c>
      <c r="C14467" s="135" t="s">
        <v>480</v>
      </c>
      <c r="D14467" s="161" t="s">
        <v>74</v>
      </c>
      <c r="E14467" s="135">
        <f t="shared" si="62"/>
        <v>5</v>
      </c>
      <c r="F14467" s="134" t="s">
        <v>5597</v>
      </c>
      <c r="G14467" s="63" t="str">
        <f>VLOOKUP(C14467, 'Class Def. - General Data'!$C$20:$C$1000,1,false)</f>
        <v>ZSI1_WALL_PANEL</v>
      </c>
      <c r="H14467" s="63" t="str">
        <f>IFERROR(__xludf.DUMMYFUNCTION("VLOOKUP(F14467, IMPORTRANGE(""https://docs.google.com/spreadsheets/d/1Lhp9OU0JdFf_VYSMzH5lBcEaU4o8teT1piV-SNzShjg/edit?gid=554141278#gid=554141278"", ""'Char Def. - Attributes'!C20:C2242""), 1,false)"),"WIDTH_MM_WALL_PANEL")</f>
        <v>WIDTH_MM_WALL_PANEL</v>
      </c>
      <c r="I14467" s="136"/>
      <c r="R14467" s="63" t="str">
        <f t="shared" si="60"/>
        <v>ZSI1_WALL_PANELWIDTH_MM_WALL_PANEL</v>
      </c>
    </row>
    <row r="14468" ht="15.75" customHeight="1">
      <c r="A14468" s="59"/>
      <c r="B14468" s="63">
        <f t="shared" si="1"/>
        <v>15</v>
      </c>
      <c r="C14468" s="135" t="s">
        <v>480</v>
      </c>
      <c r="D14468" s="161" t="s">
        <v>74</v>
      </c>
      <c r="E14468" s="135">
        <f t="shared" si="62"/>
        <v>6</v>
      </c>
      <c r="F14468" s="134" t="s">
        <v>5598</v>
      </c>
      <c r="G14468" s="63" t="str">
        <f>VLOOKUP(C14468, 'Class Def. - General Data'!$C$20:$C$1000,1,false)</f>
        <v>ZSI1_WALL_PANEL</v>
      </c>
      <c r="H14468" s="63" t="str">
        <f>IFERROR(__xludf.DUMMYFUNCTION("VLOOKUP(F14468, IMPORTRANGE(""https://docs.google.com/spreadsheets/d/1Lhp9OU0JdFf_VYSMzH5lBcEaU4o8teT1piV-SNzShjg/edit?gid=554141278#gid=554141278"", ""'Char Def. - Attributes'!C20:C2242""), 1,false)"),"WIDTH_INCH_WALL_PANEL")</f>
        <v>WIDTH_INCH_WALL_PANEL</v>
      </c>
      <c r="I14468" s="136"/>
      <c r="R14468" s="63" t="str">
        <f t="shared" si="60"/>
        <v>ZSI1_WALL_PANELWIDTH_INCH_WALL_PANEL</v>
      </c>
    </row>
    <row r="14469" ht="15.75" customHeight="1">
      <c r="A14469" s="59"/>
      <c r="B14469" s="63">
        <f t="shared" si="1"/>
        <v>15</v>
      </c>
      <c r="C14469" s="135" t="s">
        <v>480</v>
      </c>
      <c r="D14469" s="161" t="s">
        <v>74</v>
      </c>
      <c r="E14469" s="135">
        <f t="shared" si="62"/>
        <v>7</v>
      </c>
      <c r="F14469" s="134" t="s">
        <v>5599</v>
      </c>
      <c r="G14469" s="63" t="str">
        <f>VLOOKUP(C14469, 'Class Def. - General Data'!$C$20:$C$1000,1,false)</f>
        <v>ZSI1_WALL_PANEL</v>
      </c>
      <c r="H14469" s="63" t="str">
        <f>IFERROR(__xludf.DUMMYFUNCTION("VLOOKUP(F14469, IMPORTRANGE(""https://docs.google.com/spreadsheets/d/1Lhp9OU0JdFf_VYSMzH5lBcEaU4o8teT1piV-SNzShjg/edit?gid=554141278#gid=554141278"", ""'Char Def. - Attributes'!C20:C2242""), 1,false)"),"LENGTH_MM_WALL_PANEL")</f>
        <v>LENGTH_MM_WALL_PANEL</v>
      </c>
      <c r="I14469" s="136"/>
      <c r="R14469" s="63" t="str">
        <f t="shared" si="60"/>
        <v>ZSI1_WALL_PANELLENGTH_MM_WALL_PANEL</v>
      </c>
    </row>
    <row r="14470" ht="15.75" customHeight="1">
      <c r="A14470" s="59"/>
      <c r="B14470" s="63">
        <f t="shared" si="1"/>
        <v>15</v>
      </c>
      <c r="C14470" s="135" t="s">
        <v>480</v>
      </c>
      <c r="D14470" s="161" t="s">
        <v>74</v>
      </c>
      <c r="E14470" s="135">
        <f t="shared" si="62"/>
        <v>8</v>
      </c>
      <c r="F14470" s="134" t="s">
        <v>5600</v>
      </c>
      <c r="G14470" s="63" t="str">
        <f>VLOOKUP(C14470, 'Class Def. - General Data'!$C$20:$C$1000,1,false)</f>
        <v>ZSI1_WALL_PANEL</v>
      </c>
      <c r="H14470" s="63" t="str">
        <f>IFERROR(__xludf.DUMMYFUNCTION("VLOOKUP(F14470, IMPORTRANGE(""https://docs.google.com/spreadsheets/d/1Lhp9OU0JdFf_VYSMzH5lBcEaU4o8teT1piV-SNzShjg/edit?gid=554141278#gid=554141278"", ""'Char Def. - Attributes'!C20:C2242""), 1,false)"),"LENGTH_INCH_WALL_PANEL")</f>
        <v>LENGTH_INCH_WALL_PANEL</v>
      </c>
      <c r="I14470" s="136"/>
      <c r="R14470" s="63" t="str">
        <f t="shared" si="60"/>
        <v>ZSI1_WALL_PANELLENGTH_INCH_WALL_PANEL</v>
      </c>
    </row>
    <row r="14471" ht="15.75" customHeight="1">
      <c r="A14471" s="59"/>
      <c r="B14471" s="63">
        <f t="shared" si="1"/>
        <v>15</v>
      </c>
      <c r="C14471" s="135" t="s">
        <v>480</v>
      </c>
      <c r="D14471" s="161" t="s">
        <v>74</v>
      </c>
      <c r="E14471" s="135">
        <f t="shared" si="62"/>
        <v>9</v>
      </c>
      <c r="F14471" s="134" t="s">
        <v>3585</v>
      </c>
      <c r="G14471" s="63" t="str">
        <f>VLOOKUP(C14471, 'Class Def. - General Data'!$C$20:$C$1000,1,false)</f>
        <v>ZSI1_WALL_PANEL</v>
      </c>
      <c r="H14471" s="63" t="str">
        <f>IFERROR(__xludf.DUMMYFUNCTION("VLOOKUP(F14471, IMPORTRANGE(""https://docs.google.com/spreadsheets/d/1Lhp9OU0JdFf_VYSMzH5lBcEaU4o8teT1piV-SNzShjg/edit?gid=554141278#gid=554141278"", ""'Char Def. - Attributes'!C20:C2242""), 1,false)"),"HS_CODE")</f>
        <v>HS_CODE</v>
      </c>
      <c r="I14471" s="136"/>
      <c r="R14471" s="63" t="str">
        <f t="shared" si="60"/>
        <v>ZSI1_WALL_PANELHS_CODE</v>
      </c>
    </row>
    <row r="14472" ht="15.75" customHeight="1">
      <c r="A14472" s="59"/>
      <c r="B14472" s="63">
        <f t="shared" si="1"/>
        <v>15</v>
      </c>
      <c r="C14472" s="135" t="s">
        <v>480</v>
      </c>
      <c r="D14472" s="161" t="s">
        <v>74</v>
      </c>
      <c r="E14472" s="135">
        <f t="shared" si="62"/>
        <v>10</v>
      </c>
      <c r="F14472" s="134" t="s">
        <v>3587</v>
      </c>
      <c r="G14472" s="63" t="str">
        <f>VLOOKUP(C14472, 'Class Def. - General Data'!$C$20:$C$1000,1,false)</f>
        <v>ZSI1_WALL_PANEL</v>
      </c>
      <c r="H14472" s="63" t="str">
        <f>IFERROR(__xludf.DUMMYFUNCTION("VLOOKUP(F14472, IMPORTRANGE(""https://docs.google.com/spreadsheets/d/1Lhp9OU0JdFf_VYSMzH5lBcEaU4o8teT1piV-SNzShjg/edit?gid=554141278#gid=554141278"", ""'Char Def. - Attributes'!C20:C2242""), 1,false)"),"PLANT_BUY")</f>
        <v>PLANT_BUY</v>
      </c>
      <c r="I14472" s="136"/>
      <c r="R14472" s="63" t="str">
        <f t="shared" si="60"/>
        <v>ZSI1_WALL_PANELPLANT_BUY</v>
      </c>
    </row>
    <row r="14473" ht="15.75" customHeight="1">
      <c r="A14473" s="59"/>
      <c r="B14473" s="63">
        <f t="shared" si="1"/>
        <v>15</v>
      </c>
      <c r="C14473" s="135" t="s">
        <v>480</v>
      </c>
      <c r="D14473" s="161" t="s">
        <v>74</v>
      </c>
      <c r="E14473" s="135">
        <f t="shared" si="62"/>
        <v>11</v>
      </c>
      <c r="F14473" s="134" t="s">
        <v>5601</v>
      </c>
      <c r="G14473" s="63" t="str">
        <f>VLOOKUP(C14473, 'Class Def. - General Data'!$C$20:$C$1000,1,false)</f>
        <v>ZSI1_WALL_PANEL</v>
      </c>
      <c r="H14473" s="63" t="str">
        <f>IFERROR(__xludf.DUMMYFUNCTION("VLOOKUP(F14473, IMPORTRANGE(""https://docs.google.com/spreadsheets/d/1Lhp9OU0JdFf_VYSMzH5lBcEaU4o8teT1piV-SNzShjg/edit?gid=554141278#gid=554141278"", ""'Char Def. - Attributes'!C20:C2242""), 1,false)"),"BASE_UOM_WALL_PANEL")</f>
        <v>BASE_UOM_WALL_PANEL</v>
      </c>
      <c r="I14473" s="136"/>
      <c r="R14473" s="63" t="str">
        <f t="shared" si="60"/>
        <v>ZSI1_WALL_PANELBASE_UOM_WALL_PANEL</v>
      </c>
    </row>
    <row r="14474" ht="15.75" customHeight="1">
      <c r="A14474" s="59"/>
      <c r="B14474" s="63">
        <f t="shared" si="1"/>
        <v>15</v>
      </c>
      <c r="C14474" s="135" t="s">
        <v>480</v>
      </c>
      <c r="D14474" s="161" t="s">
        <v>74</v>
      </c>
      <c r="E14474" s="135">
        <f t="shared" si="62"/>
        <v>12</v>
      </c>
      <c r="F14474" s="134" t="s">
        <v>5602</v>
      </c>
      <c r="G14474" s="63" t="str">
        <f>VLOOKUP(C14474, 'Class Def. - General Data'!$C$20:$C$1000,1,false)</f>
        <v>ZSI1_WALL_PANEL</v>
      </c>
      <c r="H14474" s="63" t="str">
        <f>IFERROR(__xludf.DUMMYFUNCTION("VLOOKUP(F14474, IMPORTRANGE(""https://docs.google.com/spreadsheets/d/1Lhp9OU0JdFf_VYSMzH5lBcEaU4o8teT1piV-SNzShjg/edit?gid=554141278#gid=554141278"", ""'Char Def. - Attributes'!C20:C2242""), 1,false)"),"ORDER_UNIT_WALL_PANEL")</f>
        <v>ORDER_UNIT_WALL_PANEL</v>
      </c>
      <c r="I14474" s="136"/>
      <c r="R14474" s="63" t="str">
        <f t="shared" si="60"/>
        <v>ZSI1_WALL_PANELORDER_UNIT_WALL_PANEL</v>
      </c>
    </row>
    <row r="14475" ht="15.75" customHeight="1">
      <c r="A14475" s="59"/>
      <c r="B14475" s="63">
        <f t="shared" si="1"/>
        <v>15</v>
      </c>
      <c r="C14475" s="135" t="s">
        <v>480</v>
      </c>
      <c r="D14475" s="161" t="s">
        <v>74</v>
      </c>
      <c r="E14475" s="135">
        <f t="shared" si="62"/>
        <v>13</v>
      </c>
      <c r="F14475" s="134" t="s">
        <v>4056</v>
      </c>
      <c r="G14475" s="63" t="str">
        <f>VLOOKUP(C14475, 'Class Def. - General Data'!$C$20:$C$1000,1,false)</f>
        <v>ZSI1_WALL_PANEL</v>
      </c>
      <c r="H14475" s="63" t="str">
        <f>IFERROR(__xludf.DUMMYFUNCTION("VLOOKUP(F14475, IMPORTRANGE(""https://docs.google.com/spreadsheets/d/1Lhp9OU0JdFf_VYSMzH5lBcEaU4o8teT1piV-SNzShjg/edit?gid=554141278#gid=554141278"", ""'Char Def. - Attributes'!C20:C2242""), 1,false)"),"GROSS_WEIGHT_OPT")</f>
        <v>GROSS_WEIGHT_OPT</v>
      </c>
      <c r="I14475" s="136"/>
      <c r="R14475" s="63" t="str">
        <f t="shared" si="60"/>
        <v>ZSI1_WALL_PANELGROSS_WEIGHT_OPT</v>
      </c>
    </row>
    <row r="14476" ht="15.75" customHeight="1">
      <c r="A14476" s="59"/>
      <c r="B14476" s="63">
        <f t="shared" si="1"/>
        <v>15</v>
      </c>
      <c r="C14476" s="135" t="s">
        <v>480</v>
      </c>
      <c r="D14476" s="161" t="s">
        <v>74</v>
      </c>
      <c r="E14476" s="135">
        <f t="shared" si="62"/>
        <v>14</v>
      </c>
      <c r="F14476" s="134" t="s">
        <v>4057</v>
      </c>
      <c r="G14476" s="63" t="str">
        <f>VLOOKUP(C14476, 'Class Def. - General Data'!$C$20:$C$1000,1,false)</f>
        <v>ZSI1_WALL_PANEL</v>
      </c>
      <c r="H14476" s="63" t="str">
        <f>IFERROR(__xludf.DUMMYFUNCTION("VLOOKUP(F14476, IMPORTRANGE(""https://docs.google.com/spreadsheets/d/1Lhp9OU0JdFf_VYSMzH5lBcEaU4o8teT1piV-SNzShjg/edit?gid=554141278#gid=554141278"", ""'Char Def. - Attributes'!C20:C2242""), 1,false)"),"NET_WEIGHT_OPT")</f>
        <v>NET_WEIGHT_OPT</v>
      </c>
      <c r="I14476" s="136"/>
      <c r="R14476" s="63" t="str">
        <f t="shared" si="60"/>
        <v>ZSI1_WALL_PANELNET_WEIGHT_OPT</v>
      </c>
    </row>
    <row r="14477" ht="15.75" customHeight="1">
      <c r="A14477" s="59"/>
      <c r="B14477" s="63">
        <f t="shared" si="1"/>
        <v>15</v>
      </c>
      <c r="C14477" s="135" t="s">
        <v>480</v>
      </c>
      <c r="D14477" s="161" t="s">
        <v>74</v>
      </c>
      <c r="E14477" s="135">
        <f t="shared" si="62"/>
        <v>15</v>
      </c>
      <c r="F14477" s="134" t="s">
        <v>4058</v>
      </c>
      <c r="G14477" s="63" t="str">
        <f>VLOOKUP(C14477, 'Class Def. - General Data'!$C$20:$C$1000,1,false)</f>
        <v>ZSI1_WALL_PANEL</v>
      </c>
      <c r="H14477" s="63" t="str">
        <f>IFERROR(__xludf.DUMMYFUNCTION("VLOOKUP(F14477, IMPORTRANGE(""https://docs.google.com/spreadsheets/d/1Lhp9OU0JdFf_VYSMzH5lBcEaU4o8teT1piV-SNzShjg/edit?gid=554141278#gid=554141278"", ""'Char Def. - Attributes'!C20:C2242""), 1,false)"),"WEIGHT_UNIT_SI")</f>
        <v>WEIGHT_UNIT_SI</v>
      </c>
      <c r="I14477" s="136"/>
      <c r="R14477" s="63" t="str">
        <f t="shared" si="60"/>
        <v>ZSI1_WALL_PANELWEIGHT_UNIT_SI</v>
      </c>
    </row>
    <row r="14478" ht="15.75" customHeight="1">
      <c r="A14478" s="59"/>
      <c r="B14478" s="63">
        <f t="shared" si="1"/>
        <v>15</v>
      </c>
      <c r="C14478" s="135" t="s">
        <v>480</v>
      </c>
      <c r="D14478" s="161" t="s">
        <v>74</v>
      </c>
      <c r="E14478" s="135">
        <f t="shared" si="62"/>
        <v>16</v>
      </c>
      <c r="F14478" s="134" t="s">
        <v>3877</v>
      </c>
      <c r="G14478" s="63" t="str">
        <f>VLOOKUP(C14478, 'Class Def. - General Data'!$C$20:$C$1000,1,false)</f>
        <v>ZSI1_WALL_PANEL</v>
      </c>
      <c r="H14478" s="63" t="str">
        <f>IFERROR(__xludf.DUMMYFUNCTION("VLOOKUP(F14478, IMPORTRANGE(""https://docs.google.com/spreadsheets/d/1Lhp9OU0JdFf_VYSMzH5lBcEaU4o8teT1piV-SNzShjg/edit?gid=554141278#gid=554141278"", ""'Char Def. - Attributes'!C20:C2242""), 1,false)"),"VOLUME_OPT")</f>
        <v>VOLUME_OPT</v>
      </c>
      <c r="I14478" s="136"/>
      <c r="R14478" s="63" t="str">
        <f t="shared" si="60"/>
        <v>ZSI1_WALL_PANELVOLUME_OPT</v>
      </c>
    </row>
    <row r="14479" ht="15.75" customHeight="1">
      <c r="A14479" s="59"/>
      <c r="B14479" s="63">
        <f t="shared" si="1"/>
        <v>15</v>
      </c>
      <c r="C14479" s="135" t="s">
        <v>480</v>
      </c>
      <c r="D14479" s="161" t="s">
        <v>74</v>
      </c>
      <c r="E14479" s="135">
        <f t="shared" si="62"/>
        <v>17</v>
      </c>
      <c r="F14479" s="134" t="s">
        <v>4059</v>
      </c>
      <c r="G14479" s="63" t="str">
        <f>VLOOKUP(C14479, 'Class Def. - General Data'!$C$20:$C$1000,1,false)</f>
        <v>ZSI1_WALL_PANEL</v>
      </c>
      <c r="H14479" s="63" t="str">
        <f>IFERROR(__xludf.DUMMYFUNCTION("VLOOKUP(F14479, IMPORTRANGE(""https://docs.google.com/spreadsheets/d/1Lhp9OU0JdFf_VYSMzH5lBcEaU4o8teT1piV-SNzShjg/edit?gid=554141278#gid=554141278"", ""'Char Def. - Attributes'!C20:C2242""), 1,false)"),"VOLUME_UNIT_SI")</f>
        <v>VOLUME_UNIT_SI</v>
      </c>
      <c r="I14479" s="136"/>
      <c r="R14479" s="63" t="str">
        <f t="shared" si="60"/>
        <v>ZSI1_WALL_PANELVOLUME_UNIT_SI</v>
      </c>
    </row>
    <row r="14480" ht="15.75" customHeight="1">
      <c r="A14480" s="59"/>
      <c r="B14480" s="63">
        <f t="shared" si="1"/>
        <v>15</v>
      </c>
      <c r="C14480" s="135" t="s">
        <v>480</v>
      </c>
      <c r="D14480" s="161" t="s">
        <v>74</v>
      </c>
      <c r="E14480" s="135">
        <f t="shared" si="62"/>
        <v>18</v>
      </c>
      <c r="F14480" s="134" t="s">
        <v>3804</v>
      </c>
      <c r="G14480" s="63" t="str">
        <f>VLOOKUP(C14480, 'Class Def. - General Data'!$C$20:$C$1000,1,false)</f>
        <v>ZSI1_WALL_PANEL</v>
      </c>
      <c r="H14480" s="63" t="str">
        <f>IFERROR(__xludf.DUMMYFUNCTION("VLOOKUP(F14480, IMPORTRANGE(""https://docs.google.com/spreadsheets/d/1Lhp9OU0JdFf_VYSMzH5lBcEaU4o8teT1piV-SNzShjg/edit?gid=554141278#gid=554141278"", ""'Char Def. - Attributes'!C20:C2242""), 1,false)"),"ALT_UOM1_SIPI")</f>
        <v>ALT_UOM1_SIPI</v>
      </c>
      <c r="I14480" s="136"/>
      <c r="R14480" s="63" t="str">
        <f t="shared" si="60"/>
        <v>ZSI1_WALL_PANELALT_UOM1_SIPI</v>
      </c>
    </row>
    <row r="14481" ht="15.75" customHeight="1">
      <c r="A14481" s="59"/>
      <c r="B14481" s="63">
        <f t="shared" si="1"/>
        <v>15</v>
      </c>
      <c r="C14481" s="135" t="s">
        <v>480</v>
      </c>
      <c r="D14481" s="161" t="s">
        <v>74</v>
      </c>
      <c r="E14481" s="135">
        <f t="shared" si="62"/>
        <v>19</v>
      </c>
      <c r="F14481" s="134" t="s">
        <v>3805</v>
      </c>
      <c r="G14481" s="63" t="str">
        <f>VLOOKUP(C14481, 'Class Def. - General Data'!$C$20:$C$1000,1,false)</f>
        <v>ZSI1_WALL_PANEL</v>
      </c>
      <c r="H14481" s="63" t="str">
        <f>IFERROR(__xludf.DUMMYFUNCTION("VLOOKUP(F14481, IMPORTRANGE(""https://docs.google.com/spreadsheets/d/1Lhp9OU0JdFf_VYSMzH5lBcEaU4o8teT1piV-SNzShjg/edit?gid=554141278#gid=554141278"", ""'Char Def. - Attributes'!C20:C2242""), 1,false)"),"ALT_DENUM_UOM1")</f>
        <v>ALT_DENUM_UOM1</v>
      </c>
      <c r="I14481" s="136"/>
      <c r="R14481" s="63" t="str">
        <f t="shared" si="60"/>
        <v>ZSI1_WALL_PANELALT_DENUM_UOM1</v>
      </c>
    </row>
    <row r="14482" ht="15.75" customHeight="1">
      <c r="A14482" s="59"/>
      <c r="B14482" s="63">
        <f t="shared" si="1"/>
        <v>15</v>
      </c>
      <c r="C14482" s="135" t="s">
        <v>480</v>
      </c>
      <c r="D14482" s="161" t="s">
        <v>74</v>
      </c>
      <c r="E14482" s="135">
        <f t="shared" si="62"/>
        <v>20</v>
      </c>
      <c r="F14482" s="134" t="s">
        <v>3806</v>
      </c>
      <c r="G14482" s="63" t="str">
        <f>VLOOKUP(C14482, 'Class Def. - General Data'!$C$20:$C$1000,1,false)</f>
        <v>ZSI1_WALL_PANEL</v>
      </c>
      <c r="H14482" s="63" t="str">
        <f>IFERROR(__xludf.DUMMYFUNCTION("VLOOKUP(F14482, IMPORTRANGE(""https://docs.google.com/spreadsheets/d/1Lhp9OU0JdFf_VYSMzH5lBcEaU4o8teT1piV-SNzShjg/edit?gid=554141278#gid=554141278"", ""'Char Def. - Attributes'!C20:C2242""), 1,false)"),"ALT_NUM_UOM1")</f>
        <v>ALT_NUM_UOM1</v>
      </c>
      <c r="I14482" s="136"/>
      <c r="R14482" s="63" t="str">
        <f t="shared" si="60"/>
        <v>ZSI1_WALL_PANELALT_NUM_UOM1</v>
      </c>
    </row>
    <row r="14483" ht="15.75" customHeight="1">
      <c r="A14483" s="59"/>
      <c r="B14483" s="63">
        <f t="shared" si="1"/>
        <v>15</v>
      </c>
      <c r="C14483" s="135" t="s">
        <v>480</v>
      </c>
      <c r="D14483" s="161" t="s">
        <v>74</v>
      </c>
      <c r="E14483" s="135">
        <f t="shared" si="62"/>
        <v>21</v>
      </c>
      <c r="F14483" s="134" t="s">
        <v>3807</v>
      </c>
      <c r="G14483" s="63" t="str">
        <f>VLOOKUP(C14483, 'Class Def. - General Data'!$C$20:$C$1000,1,false)</f>
        <v>ZSI1_WALL_PANEL</v>
      </c>
      <c r="H14483" s="63" t="str">
        <f>IFERROR(__xludf.DUMMYFUNCTION("VLOOKUP(F14483, IMPORTRANGE(""https://docs.google.com/spreadsheets/d/1Lhp9OU0JdFf_VYSMzH5lBcEaU4o8teT1piV-SNzShjg/edit?gid=554141278#gid=554141278"", ""'Char Def. - Attributes'!C20:C2242""), 1,false)"),"ALT_UOM2_SIPI")</f>
        <v>ALT_UOM2_SIPI</v>
      </c>
      <c r="I14483" s="136"/>
      <c r="R14483" s="63" t="str">
        <f t="shared" si="60"/>
        <v>ZSI1_WALL_PANELALT_UOM2_SIPI</v>
      </c>
    </row>
    <row r="14484" ht="15.75" customHeight="1">
      <c r="A14484" s="59"/>
      <c r="B14484" s="63">
        <f t="shared" si="1"/>
        <v>15</v>
      </c>
      <c r="C14484" s="135" t="s">
        <v>480</v>
      </c>
      <c r="D14484" s="161" t="s">
        <v>74</v>
      </c>
      <c r="E14484" s="135">
        <f t="shared" si="62"/>
        <v>22</v>
      </c>
      <c r="F14484" s="134" t="s">
        <v>3808</v>
      </c>
      <c r="G14484" s="63" t="str">
        <f>VLOOKUP(C14484, 'Class Def. - General Data'!$C$20:$C$1000,1,false)</f>
        <v>ZSI1_WALL_PANEL</v>
      </c>
      <c r="H14484" s="63" t="str">
        <f>IFERROR(__xludf.DUMMYFUNCTION("VLOOKUP(F14484, IMPORTRANGE(""https://docs.google.com/spreadsheets/d/1Lhp9OU0JdFf_VYSMzH5lBcEaU4o8teT1piV-SNzShjg/edit?gid=554141278#gid=554141278"", ""'Char Def. - Attributes'!C20:C2242""), 1,false)"),"ALT_DENUM_UOM2")</f>
        <v>ALT_DENUM_UOM2</v>
      </c>
      <c r="I14484" s="136"/>
      <c r="R14484" s="63" t="str">
        <f t="shared" si="60"/>
        <v>ZSI1_WALL_PANELALT_DENUM_UOM2</v>
      </c>
    </row>
    <row r="14485" ht="15.75" customHeight="1">
      <c r="A14485" s="59"/>
      <c r="B14485" s="63">
        <f t="shared" si="1"/>
        <v>15</v>
      </c>
      <c r="C14485" s="135" t="s">
        <v>480</v>
      </c>
      <c r="D14485" s="161" t="s">
        <v>74</v>
      </c>
      <c r="E14485" s="135">
        <f t="shared" si="62"/>
        <v>23</v>
      </c>
      <c r="F14485" s="134" t="s">
        <v>3809</v>
      </c>
      <c r="G14485" s="63" t="str">
        <f>VLOOKUP(C14485, 'Class Def. - General Data'!$C$20:$C$1000,1,false)</f>
        <v>ZSI1_WALL_PANEL</v>
      </c>
      <c r="H14485" s="63" t="str">
        <f>IFERROR(__xludf.DUMMYFUNCTION("VLOOKUP(F14485, IMPORTRANGE(""https://docs.google.com/spreadsheets/d/1Lhp9OU0JdFf_VYSMzH5lBcEaU4o8teT1piV-SNzShjg/edit?gid=554141278#gid=554141278"", ""'Char Def. - Attributes'!C20:C2242""), 1,false)"),"ALT_NUM_UOM2")</f>
        <v>ALT_NUM_UOM2</v>
      </c>
      <c r="I14485" s="136"/>
      <c r="R14485" s="63" t="str">
        <f t="shared" si="60"/>
        <v>ZSI1_WALL_PANELALT_NUM_UOM2</v>
      </c>
    </row>
    <row r="14486" ht="15.75" customHeight="1">
      <c r="A14486" s="59"/>
      <c r="B14486" s="63">
        <f t="shared" si="1"/>
        <v>15</v>
      </c>
      <c r="C14486" s="135" t="s">
        <v>480</v>
      </c>
      <c r="D14486" s="161" t="s">
        <v>74</v>
      </c>
      <c r="E14486" s="135">
        <f t="shared" si="62"/>
        <v>24</v>
      </c>
      <c r="F14486" s="134" t="s">
        <v>3810</v>
      </c>
      <c r="G14486" s="63" t="str">
        <f>VLOOKUP(C14486, 'Class Def. - General Data'!$C$20:$C$1000,1,false)</f>
        <v>ZSI1_WALL_PANEL</v>
      </c>
      <c r="H14486" s="63" t="str">
        <f>IFERROR(__xludf.DUMMYFUNCTION("VLOOKUP(F14486, IMPORTRANGE(""https://docs.google.com/spreadsheets/d/1Lhp9OU0JdFf_VYSMzH5lBcEaU4o8teT1piV-SNzShjg/edit?gid=554141278#gid=554141278"", ""'Char Def. - Attributes'!C20:C2242""), 1,false)"),"ALT_UOM3_SIPI")</f>
        <v>ALT_UOM3_SIPI</v>
      </c>
      <c r="I14486" s="136"/>
      <c r="R14486" s="63" t="str">
        <f t="shared" si="60"/>
        <v>ZSI1_WALL_PANELALT_UOM3_SIPI</v>
      </c>
    </row>
    <row r="14487" ht="15.75" customHeight="1">
      <c r="A14487" s="59"/>
      <c r="B14487" s="63">
        <f t="shared" si="1"/>
        <v>15</v>
      </c>
      <c r="C14487" s="135" t="s">
        <v>480</v>
      </c>
      <c r="D14487" s="161" t="s">
        <v>74</v>
      </c>
      <c r="E14487" s="135">
        <f t="shared" si="62"/>
        <v>25</v>
      </c>
      <c r="F14487" s="134" t="s">
        <v>3811</v>
      </c>
      <c r="G14487" s="63" t="str">
        <f>VLOOKUP(C14487, 'Class Def. - General Data'!$C$20:$C$1000,1,false)</f>
        <v>ZSI1_WALL_PANEL</v>
      </c>
      <c r="H14487" s="63" t="str">
        <f>IFERROR(__xludf.DUMMYFUNCTION("VLOOKUP(F14487, IMPORTRANGE(""https://docs.google.com/spreadsheets/d/1Lhp9OU0JdFf_VYSMzH5lBcEaU4o8teT1piV-SNzShjg/edit?gid=554141278#gid=554141278"", ""'Char Def. - Attributes'!C20:C2242""), 1,false)"),"ALT_DENUM_UOM3")</f>
        <v>ALT_DENUM_UOM3</v>
      </c>
      <c r="I14487" s="136"/>
      <c r="R14487" s="63" t="str">
        <f t="shared" si="60"/>
        <v>ZSI1_WALL_PANELALT_DENUM_UOM3</v>
      </c>
    </row>
    <row r="14488" ht="15.75" customHeight="1">
      <c r="A14488" s="59"/>
      <c r="B14488" s="63">
        <f t="shared" si="1"/>
        <v>15</v>
      </c>
      <c r="C14488" s="135" t="s">
        <v>480</v>
      </c>
      <c r="D14488" s="161" t="s">
        <v>74</v>
      </c>
      <c r="E14488" s="135">
        <f t="shared" si="62"/>
        <v>26</v>
      </c>
      <c r="F14488" s="134" t="s">
        <v>3812</v>
      </c>
      <c r="G14488" s="63" t="str">
        <f>VLOOKUP(C14488, 'Class Def. - General Data'!$C$20:$C$1000,1,false)</f>
        <v>ZSI1_WALL_PANEL</v>
      </c>
      <c r="H14488" s="63" t="str">
        <f>IFERROR(__xludf.DUMMYFUNCTION("VLOOKUP(F14488, IMPORTRANGE(""https://docs.google.com/spreadsheets/d/1Lhp9OU0JdFf_VYSMzH5lBcEaU4o8teT1piV-SNzShjg/edit?gid=554141278#gid=554141278"", ""'Char Def. - Attributes'!C20:C2242""), 1,false)"),"ALT_NUM_UOM3")</f>
        <v>ALT_NUM_UOM3</v>
      </c>
      <c r="I14488" s="136"/>
      <c r="R14488" s="63" t="str">
        <f t="shared" si="60"/>
        <v>ZSI1_WALL_PANELALT_NUM_UOM3</v>
      </c>
    </row>
    <row r="14489" ht="15.75" customHeight="1">
      <c r="A14489" s="59"/>
      <c r="B14489" s="63">
        <f t="shared" si="1"/>
        <v>15</v>
      </c>
      <c r="C14489" s="135" t="s">
        <v>480</v>
      </c>
      <c r="D14489" s="161" t="s">
        <v>74</v>
      </c>
      <c r="E14489" s="135">
        <f t="shared" si="62"/>
        <v>27</v>
      </c>
      <c r="F14489" s="134" t="s">
        <v>3813</v>
      </c>
      <c r="G14489" s="63" t="str">
        <f>VLOOKUP(C14489, 'Class Def. - General Data'!$C$20:$C$1000,1,false)</f>
        <v>ZSI1_WALL_PANEL</v>
      </c>
      <c r="H14489" s="63" t="str">
        <f>IFERROR(__xludf.DUMMYFUNCTION("VLOOKUP(F14489, IMPORTRANGE(""https://docs.google.com/spreadsheets/d/1Lhp9OU0JdFf_VYSMzH5lBcEaU4o8teT1piV-SNzShjg/edit?gid=554141278#gid=554141278"", ""'Char Def. - Attributes'!C20:C2242""), 1,false)"),"ALT_UOM4_SIPI")</f>
        <v>ALT_UOM4_SIPI</v>
      </c>
      <c r="I14489" s="136"/>
      <c r="R14489" s="63" t="str">
        <f t="shared" si="60"/>
        <v>ZSI1_WALL_PANELALT_UOM4_SIPI</v>
      </c>
    </row>
    <row r="14490" ht="15.75" customHeight="1">
      <c r="A14490" s="59"/>
      <c r="B14490" s="63">
        <f t="shared" si="1"/>
        <v>15</v>
      </c>
      <c r="C14490" s="135" t="s">
        <v>480</v>
      </c>
      <c r="D14490" s="161" t="s">
        <v>74</v>
      </c>
      <c r="E14490" s="135">
        <f t="shared" si="62"/>
        <v>28</v>
      </c>
      <c r="F14490" s="134" t="s">
        <v>3814</v>
      </c>
      <c r="G14490" s="63" t="str">
        <f>VLOOKUP(C14490, 'Class Def. - General Data'!$C$20:$C$1000,1,false)</f>
        <v>ZSI1_WALL_PANEL</v>
      </c>
      <c r="H14490" s="63" t="str">
        <f>IFERROR(__xludf.DUMMYFUNCTION("VLOOKUP(F14490, IMPORTRANGE(""https://docs.google.com/spreadsheets/d/1Lhp9OU0JdFf_VYSMzH5lBcEaU4o8teT1piV-SNzShjg/edit?gid=554141278#gid=554141278"", ""'Char Def. - Attributes'!C20:C2242""), 1,false)"),"ALT_DENUM_UOM4")</f>
        <v>ALT_DENUM_UOM4</v>
      </c>
      <c r="I14490" s="136"/>
      <c r="R14490" s="63" t="str">
        <f t="shared" si="60"/>
        <v>ZSI1_WALL_PANELALT_DENUM_UOM4</v>
      </c>
    </row>
    <row r="14491" ht="15.75" customHeight="1">
      <c r="A14491" s="59"/>
      <c r="B14491" s="63">
        <f t="shared" si="1"/>
        <v>15</v>
      </c>
      <c r="C14491" s="135" t="s">
        <v>480</v>
      </c>
      <c r="D14491" s="161" t="s">
        <v>74</v>
      </c>
      <c r="E14491" s="135">
        <f t="shared" si="62"/>
        <v>29</v>
      </c>
      <c r="F14491" s="134" t="s">
        <v>3815</v>
      </c>
      <c r="G14491" s="63" t="str">
        <f>VLOOKUP(C14491, 'Class Def. - General Data'!$C$20:$C$1000,1,false)</f>
        <v>ZSI1_WALL_PANEL</v>
      </c>
      <c r="H14491" s="63" t="str">
        <f>IFERROR(__xludf.DUMMYFUNCTION("VLOOKUP(F14491, IMPORTRANGE(""https://docs.google.com/spreadsheets/d/1Lhp9OU0JdFf_VYSMzH5lBcEaU4o8teT1piV-SNzShjg/edit?gid=554141278#gid=554141278"", ""'Char Def. - Attributes'!C20:C2242""), 1,false)"),"ALT_NUM_UOM4")</f>
        <v>ALT_NUM_UOM4</v>
      </c>
      <c r="I14491" s="136"/>
      <c r="R14491" s="63" t="str">
        <f t="shared" si="60"/>
        <v>ZSI1_WALL_PANELALT_NUM_UOM4</v>
      </c>
    </row>
    <row r="14492" ht="15.75" customHeight="1">
      <c r="A14492" s="59"/>
      <c r="B14492" s="63">
        <f t="shared" si="1"/>
        <v>15</v>
      </c>
      <c r="C14492" s="135" t="s">
        <v>480</v>
      </c>
      <c r="D14492" s="161" t="s">
        <v>74</v>
      </c>
      <c r="E14492" s="135">
        <f t="shared" si="62"/>
        <v>30</v>
      </c>
      <c r="F14492" s="134" t="s">
        <v>3816</v>
      </c>
      <c r="G14492" s="63" t="str">
        <f>VLOOKUP(C14492, 'Class Def. - General Data'!$C$20:$C$1000,1,false)</f>
        <v>ZSI1_WALL_PANEL</v>
      </c>
      <c r="H14492" s="63" t="str">
        <f>IFERROR(__xludf.DUMMYFUNCTION("VLOOKUP(F14492, IMPORTRANGE(""https://docs.google.com/spreadsheets/d/1Lhp9OU0JdFf_VYSMzH5lBcEaU4o8teT1piV-SNzShjg/edit?gid=554141278#gid=554141278"", ""'Char Def. - Attributes'!C20:C2242""), 1,false)"),"ALT_UOM5_SIPI")</f>
        <v>ALT_UOM5_SIPI</v>
      </c>
      <c r="I14492" s="136"/>
      <c r="R14492" s="63" t="str">
        <f t="shared" si="60"/>
        <v>ZSI1_WALL_PANELALT_UOM5_SIPI</v>
      </c>
    </row>
    <row r="14493" ht="15.75" customHeight="1">
      <c r="A14493" s="59"/>
      <c r="B14493" s="63">
        <f t="shared" si="1"/>
        <v>15</v>
      </c>
      <c r="C14493" s="135" t="s">
        <v>480</v>
      </c>
      <c r="D14493" s="161" t="s">
        <v>74</v>
      </c>
      <c r="E14493" s="135">
        <f t="shared" si="62"/>
        <v>31</v>
      </c>
      <c r="F14493" s="134" t="s">
        <v>3817</v>
      </c>
      <c r="G14493" s="63" t="str">
        <f>VLOOKUP(C14493, 'Class Def. - General Data'!$C$20:$C$1000,1,false)</f>
        <v>ZSI1_WALL_PANEL</v>
      </c>
      <c r="H14493" s="63" t="str">
        <f>IFERROR(__xludf.DUMMYFUNCTION("VLOOKUP(F14493, IMPORTRANGE(""https://docs.google.com/spreadsheets/d/1Lhp9OU0JdFf_VYSMzH5lBcEaU4o8teT1piV-SNzShjg/edit?gid=554141278#gid=554141278"", ""'Char Def. - Attributes'!C20:C2242""), 1,false)"),"ALT_DENUM_UOM5")</f>
        <v>ALT_DENUM_UOM5</v>
      </c>
      <c r="I14493" s="136"/>
      <c r="R14493" s="63" t="str">
        <f t="shared" si="60"/>
        <v>ZSI1_WALL_PANELALT_DENUM_UOM5</v>
      </c>
    </row>
    <row r="14494" ht="15.75" customHeight="1">
      <c r="A14494" s="59"/>
      <c r="B14494" s="63">
        <f t="shared" si="1"/>
        <v>15</v>
      </c>
      <c r="C14494" s="135" t="s">
        <v>480</v>
      </c>
      <c r="D14494" s="161" t="s">
        <v>74</v>
      </c>
      <c r="E14494" s="135">
        <f t="shared" si="62"/>
        <v>32</v>
      </c>
      <c r="F14494" s="134" t="s">
        <v>3818</v>
      </c>
      <c r="G14494" s="63" t="str">
        <f>VLOOKUP(C14494, 'Class Def. - General Data'!$C$20:$C$1000,1,false)</f>
        <v>ZSI1_WALL_PANEL</v>
      </c>
      <c r="H14494" s="63" t="str">
        <f>IFERROR(__xludf.DUMMYFUNCTION("VLOOKUP(F14494, IMPORTRANGE(""https://docs.google.com/spreadsheets/d/1Lhp9OU0JdFf_VYSMzH5lBcEaU4o8teT1piV-SNzShjg/edit?gid=554141278#gid=554141278"", ""'Char Def. - Attributes'!C20:C2242""), 1,false)"),"ALT_NUM_UOM5")</f>
        <v>ALT_NUM_UOM5</v>
      </c>
      <c r="I14494" s="136"/>
      <c r="R14494" s="63" t="str">
        <f t="shared" si="60"/>
        <v>ZSI1_WALL_PANELALT_NUM_UOM5</v>
      </c>
    </row>
    <row r="14495" ht="15.75" customHeight="1">
      <c r="A14495" s="59"/>
      <c r="B14495" s="63">
        <f t="shared" si="1"/>
        <v>14</v>
      </c>
      <c r="C14495" s="75" t="s">
        <v>5603</v>
      </c>
      <c r="D14495" s="161" t="s">
        <v>74</v>
      </c>
      <c r="E14495" s="135">
        <f t="shared" si="62"/>
        <v>1</v>
      </c>
      <c r="F14495" s="134" t="s">
        <v>5604</v>
      </c>
      <c r="G14495" s="63" t="str">
        <f>VLOOKUP(C14495, 'Class Def. - General Data'!$C$20:$C$1000,1,false)</f>
        <v>#N/A</v>
      </c>
      <c r="H14495" s="63" t="str">
        <f>IFERROR(__xludf.DUMMYFUNCTION("VLOOKUP(F14495, IMPORTRANGE(""https://docs.google.com/spreadsheets/d/1Lhp9OU0JdFf_VYSMzH5lBcEaU4o8teT1piV-SNzShjg/edit?gid=554141278#gid=554141278"", ""'Char Def. - Attributes'!C20:C2242""), 1,false)"),"#N/A")</f>
        <v>#N/A</v>
      </c>
      <c r="I14495" s="136"/>
      <c r="R14495" s="63" t="str">
        <f t="shared" si="60"/>
        <v>ZSI1_WALLPAPERITEM_NAME_WALLPAPER</v>
      </c>
    </row>
    <row r="14496" ht="15.75" customHeight="1">
      <c r="A14496" s="59"/>
      <c r="B14496" s="63">
        <f t="shared" si="1"/>
        <v>14</v>
      </c>
      <c r="C14496" s="75" t="s">
        <v>5603</v>
      </c>
      <c r="D14496" s="161" t="s">
        <v>74</v>
      </c>
      <c r="E14496" s="135">
        <f t="shared" si="62"/>
        <v>2</v>
      </c>
      <c r="F14496" s="134" t="s">
        <v>3781</v>
      </c>
      <c r="G14496" s="63" t="str">
        <f>VLOOKUP(C14496, 'Class Def. - General Data'!$C$20:$C$1000,1,false)</f>
        <v>#N/A</v>
      </c>
      <c r="H14496" s="63" t="str">
        <f>IFERROR(__xludf.DUMMYFUNCTION("VLOOKUP(F14496, IMPORTRANGE(""https://docs.google.com/spreadsheets/d/1Lhp9OU0JdFf_VYSMzH5lBcEaU4o8teT1piV-SNzShjg/edit?gid=554141278#gid=554141278"", ""'Char Def. - Attributes'!C20:C2242""), 1,false)"),"EXTERNAL_BRAND")</f>
        <v>EXTERNAL_BRAND</v>
      </c>
      <c r="I14496" s="136"/>
      <c r="R14496" s="63" t="str">
        <f t="shared" si="60"/>
        <v>ZSI1_WALLPAPEREXTERNAL_BRAND</v>
      </c>
    </row>
    <row r="14497" ht="15.75" customHeight="1">
      <c r="A14497" s="59"/>
      <c r="B14497" s="63">
        <f t="shared" si="1"/>
        <v>14</v>
      </c>
      <c r="C14497" s="75" t="s">
        <v>5603</v>
      </c>
      <c r="D14497" s="161" t="s">
        <v>74</v>
      </c>
      <c r="E14497" s="135">
        <f t="shared" si="62"/>
        <v>3</v>
      </c>
      <c r="F14497" s="134" t="s">
        <v>5605</v>
      </c>
      <c r="G14497" s="63" t="str">
        <f>VLOOKUP(C14497, 'Class Def. - General Data'!$C$20:$C$1000,1,false)</f>
        <v>#N/A</v>
      </c>
      <c r="H14497" s="63" t="str">
        <f>IFERROR(__xludf.DUMMYFUNCTION("VLOOKUP(F14497, IMPORTRANGE(""https://docs.google.com/spreadsheets/d/1Lhp9OU0JdFf_VYSMzH5lBcEaU4o8teT1piV-SNzShjg/edit?gid=554141278#gid=554141278"", ""'Char Def. - Attributes'!C20:C2242""), 1,false)"),"#N/A")</f>
        <v>#N/A</v>
      </c>
      <c r="I14497" s="136"/>
      <c r="R14497" s="63" t="str">
        <f t="shared" si="60"/>
        <v>ZSI1_WALLPAPERTYPE_WALLPAPER</v>
      </c>
    </row>
    <row r="14498" ht="15.75" customHeight="1">
      <c r="A14498" s="59"/>
      <c r="B14498" s="63">
        <f t="shared" si="1"/>
        <v>14</v>
      </c>
      <c r="C14498" s="75" t="s">
        <v>5603</v>
      </c>
      <c r="D14498" s="161" t="s">
        <v>74</v>
      </c>
      <c r="E14498" s="135">
        <f t="shared" si="62"/>
        <v>4</v>
      </c>
      <c r="F14498" s="134" t="s">
        <v>3782</v>
      </c>
      <c r="G14498" s="63" t="str">
        <f>VLOOKUP(C14498, 'Class Def. - General Data'!$C$20:$C$1000,1,false)</f>
        <v>#N/A</v>
      </c>
      <c r="H14498" s="63" t="str">
        <f>IFERROR(__xludf.DUMMYFUNCTION("VLOOKUP(F14498, IMPORTRANGE(""https://docs.google.com/spreadsheets/d/1Lhp9OU0JdFf_VYSMzH5lBcEaU4o8teT1piV-SNzShjg/edit?gid=554141278#gid=554141278"", ""'Char Def. - Attributes'!C20:C2242""), 1,false)"),"BRAND_EXTERNAL")</f>
        <v>BRAND_EXTERNAL</v>
      </c>
      <c r="I14498" s="136"/>
      <c r="R14498" s="63" t="str">
        <f t="shared" si="60"/>
        <v>ZSI1_WALLPAPERBRAND_EXTERNAL</v>
      </c>
    </row>
    <row r="14499" ht="15.75" customHeight="1">
      <c r="A14499" s="59"/>
      <c r="B14499" s="63">
        <f t="shared" si="1"/>
        <v>14</v>
      </c>
      <c r="C14499" s="75" t="s">
        <v>5603</v>
      </c>
      <c r="D14499" s="161" t="s">
        <v>74</v>
      </c>
      <c r="E14499" s="135">
        <f t="shared" si="62"/>
        <v>5</v>
      </c>
      <c r="F14499" s="134" t="s">
        <v>4062</v>
      </c>
      <c r="G14499" s="63" t="str">
        <f>VLOOKUP(C14499, 'Class Def. - General Data'!$C$20:$C$1000,1,false)</f>
        <v>#N/A</v>
      </c>
      <c r="H14499" s="63" t="str">
        <f>IFERROR(__xludf.DUMMYFUNCTION("VLOOKUP(F14499, IMPORTRANGE(""https://docs.google.com/spreadsheets/d/1Lhp9OU0JdFf_VYSMzH5lBcEaU4o8teT1piV-SNzShjg/edit?gid=554141278#gid=554141278"", ""'Char Def. - Attributes'!C20:C2242""), 1,false)"),"#N/A")</f>
        <v>#N/A</v>
      </c>
      <c r="I14499" s="136"/>
      <c r="R14499" s="63" t="str">
        <f t="shared" si="60"/>
        <v>ZSI1_WALLPAPERADDTIONAL_SPECIFICATION</v>
      </c>
    </row>
    <row r="14500" ht="15.75" customHeight="1">
      <c r="A14500" s="59"/>
      <c r="B14500" s="63">
        <f t="shared" si="1"/>
        <v>14</v>
      </c>
      <c r="C14500" s="75" t="s">
        <v>5603</v>
      </c>
      <c r="D14500" s="161" t="s">
        <v>74</v>
      </c>
      <c r="E14500" s="135">
        <f t="shared" si="62"/>
        <v>6</v>
      </c>
      <c r="F14500" s="134" t="s">
        <v>3585</v>
      </c>
      <c r="G14500" s="63" t="str">
        <f>VLOOKUP(C14500, 'Class Def. - General Data'!$C$20:$C$1000,1,false)</f>
        <v>#N/A</v>
      </c>
      <c r="H14500" s="63" t="str">
        <f>IFERROR(__xludf.DUMMYFUNCTION("VLOOKUP(F14500, IMPORTRANGE(""https://docs.google.com/spreadsheets/d/1Lhp9OU0JdFf_VYSMzH5lBcEaU4o8teT1piV-SNzShjg/edit?gid=554141278#gid=554141278"", ""'Char Def. - Attributes'!C20:C2242""), 1,false)"),"HS_CODE")</f>
        <v>HS_CODE</v>
      </c>
      <c r="I14500" s="136"/>
      <c r="R14500" s="63" t="str">
        <f t="shared" si="60"/>
        <v>ZSI1_WALLPAPERHS_CODE</v>
      </c>
    </row>
    <row r="14501" ht="15.75" customHeight="1">
      <c r="A14501" s="59"/>
      <c r="B14501" s="63">
        <f t="shared" si="1"/>
        <v>14</v>
      </c>
      <c r="C14501" s="75" t="s">
        <v>5603</v>
      </c>
      <c r="D14501" s="161" t="s">
        <v>74</v>
      </c>
      <c r="E14501" s="135">
        <f t="shared" si="62"/>
        <v>7</v>
      </c>
      <c r="F14501" s="134" t="s">
        <v>3587</v>
      </c>
      <c r="G14501" s="63" t="str">
        <f>VLOOKUP(C14501, 'Class Def. - General Data'!$C$20:$C$1000,1,false)</f>
        <v>#N/A</v>
      </c>
      <c r="H14501" s="63" t="str">
        <f>IFERROR(__xludf.DUMMYFUNCTION("VLOOKUP(F14501, IMPORTRANGE(""https://docs.google.com/spreadsheets/d/1Lhp9OU0JdFf_VYSMzH5lBcEaU4o8teT1piV-SNzShjg/edit?gid=554141278#gid=554141278"", ""'Char Def. - Attributes'!C20:C2242""), 1,false)"),"PLANT_BUY")</f>
        <v>PLANT_BUY</v>
      </c>
      <c r="I14501" s="136"/>
      <c r="R14501" s="63" t="str">
        <f t="shared" si="60"/>
        <v>ZSI1_WALLPAPERPLANT_BUY</v>
      </c>
    </row>
    <row r="14502" ht="15.75" customHeight="1">
      <c r="A14502" s="59"/>
      <c r="B14502" s="63">
        <f t="shared" si="1"/>
        <v>14</v>
      </c>
      <c r="C14502" s="75" t="s">
        <v>5603</v>
      </c>
      <c r="D14502" s="161" t="s">
        <v>74</v>
      </c>
      <c r="E14502" s="135">
        <f t="shared" si="62"/>
        <v>8</v>
      </c>
      <c r="F14502" s="134" t="s">
        <v>5606</v>
      </c>
      <c r="G14502" s="63" t="str">
        <f>VLOOKUP(C14502, 'Class Def. - General Data'!$C$20:$C$1000,1,false)</f>
        <v>#N/A</v>
      </c>
      <c r="H14502" s="63" t="str">
        <f>IFERROR(__xludf.DUMMYFUNCTION("VLOOKUP(F14502, IMPORTRANGE(""https://docs.google.com/spreadsheets/d/1Lhp9OU0JdFf_VYSMzH5lBcEaU4o8teT1piV-SNzShjg/edit?gid=554141278#gid=554141278"", ""'Char Def. - Attributes'!C20:C2242""), 1,false)"),"#N/A")</f>
        <v>#N/A</v>
      </c>
      <c r="I14502" s="136"/>
      <c r="R14502" s="63" t="str">
        <f t="shared" si="60"/>
        <v>ZSI1_WALLPAPERBASE_UOM_WALLPAPER</v>
      </c>
    </row>
    <row r="14503" ht="15.75" customHeight="1">
      <c r="A14503" s="59"/>
      <c r="B14503" s="63">
        <f t="shared" si="1"/>
        <v>14</v>
      </c>
      <c r="C14503" s="75" t="s">
        <v>5603</v>
      </c>
      <c r="D14503" s="161" t="s">
        <v>74</v>
      </c>
      <c r="E14503" s="135">
        <f t="shared" si="62"/>
        <v>9</v>
      </c>
      <c r="F14503" s="134" t="s">
        <v>5607</v>
      </c>
      <c r="G14503" s="63" t="str">
        <f>VLOOKUP(C14503, 'Class Def. - General Data'!$C$20:$C$1000,1,false)</f>
        <v>#N/A</v>
      </c>
      <c r="H14503" s="63" t="str">
        <f>IFERROR(__xludf.DUMMYFUNCTION("VLOOKUP(F14503, IMPORTRANGE(""https://docs.google.com/spreadsheets/d/1Lhp9OU0JdFf_VYSMzH5lBcEaU4o8teT1piV-SNzShjg/edit?gid=554141278#gid=554141278"", ""'Char Def. - Attributes'!C20:C2242""), 1,false)"),"#N/A")</f>
        <v>#N/A</v>
      </c>
      <c r="I14503" s="136"/>
      <c r="R14503" s="63" t="str">
        <f t="shared" si="60"/>
        <v>ZSI1_WALLPAPERORDER_UNIT_WALLPAPER</v>
      </c>
    </row>
    <row r="14504" ht="15.75" customHeight="1">
      <c r="A14504" s="59"/>
      <c r="B14504" s="63">
        <f t="shared" si="1"/>
        <v>14</v>
      </c>
      <c r="C14504" s="75" t="s">
        <v>5603</v>
      </c>
      <c r="D14504" s="161" t="s">
        <v>74</v>
      </c>
      <c r="E14504" s="135">
        <f t="shared" si="62"/>
        <v>10</v>
      </c>
      <c r="F14504" s="134" t="s">
        <v>3804</v>
      </c>
      <c r="G14504" s="63" t="str">
        <f>VLOOKUP(C14504, 'Class Def. - General Data'!$C$20:$C$1000,1,false)</f>
        <v>#N/A</v>
      </c>
      <c r="H14504" s="63" t="str">
        <f>IFERROR(__xludf.DUMMYFUNCTION("VLOOKUP(F14504, IMPORTRANGE(""https://docs.google.com/spreadsheets/d/1Lhp9OU0JdFf_VYSMzH5lBcEaU4o8teT1piV-SNzShjg/edit?gid=554141278#gid=554141278"", ""'Char Def. - Attributes'!C20:C2242""), 1,false)"),"ALT_UOM1_SIPI")</f>
        <v>ALT_UOM1_SIPI</v>
      </c>
      <c r="I14504" s="136"/>
      <c r="R14504" s="63" t="str">
        <f t="shared" si="60"/>
        <v>ZSI1_WALLPAPERALT_UOM1_SIPI</v>
      </c>
    </row>
    <row r="14505" ht="15.75" customHeight="1">
      <c r="A14505" s="59"/>
      <c r="B14505" s="63">
        <f t="shared" si="1"/>
        <v>14</v>
      </c>
      <c r="C14505" s="75" t="s">
        <v>5603</v>
      </c>
      <c r="D14505" s="161" t="s">
        <v>74</v>
      </c>
      <c r="E14505" s="135">
        <f t="shared" si="62"/>
        <v>11</v>
      </c>
      <c r="F14505" s="134" t="s">
        <v>3805</v>
      </c>
      <c r="G14505" s="63" t="str">
        <f>VLOOKUP(C14505, 'Class Def. - General Data'!$C$20:$C$1000,1,false)</f>
        <v>#N/A</v>
      </c>
      <c r="H14505" s="63" t="str">
        <f>IFERROR(__xludf.DUMMYFUNCTION("VLOOKUP(F14505, IMPORTRANGE(""https://docs.google.com/spreadsheets/d/1Lhp9OU0JdFf_VYSMzH5lBcEaU4o8teT1piV-SNzShjg/edit?gid=554141278#gid=554141278"", ""'Char Def. - Attributes'!C20:C2242""), 1,false)"),"ALT_DENUM_UOM1")</f>
        <v>ALT_DENUM_UOM1</v>
      </c>
      <c r="I14505" s="136"/>
      <c r="R14505" s="63" t="str">
        <f t="shared" si="60"/>
        <v>ZSI1_WALLPAPERALT_DENUM_UOM1</v>
      </c>
    </row>
    <row r="14506" ht="15.75" customHeight="1">
      <c r="A14506" s="59"/>
      <c r="B14506" s="63">
        <f t="shared" si="1"/>
        <v>14</v>
      </c>
      <c r="C14506" s="75" t="s">
        <v>5603</v>
      </c>
      <c r="D14506" s="161" t="s">
        <v>74</v>
      </c>
      <c r="E14506" s="135">
        <f t="shared" si="62"/>
        <v>12</v>
      </c>
      <c r="F14506" s="134" t="s">
        <v>3806</v>
      </c>
      <c r="G14506" s="63" t="str">
        <f>VLOOKUP(C14506, 'Class Def. - General Data'!$C$20:$C$1000,1,false)</f>
        <v>#N/A</v>
      </c>
      <c r="H14506" s="63" t="str">
        <f>IFERROR(__xludf.DUMMYFUNCTION("VLOOKUP(F14506, IMPORTRANGE(""https://docs.google.com/spreadsheets/d/1Lhp9OU0JdFf_VYSMzH5lBcEaU4o8teT1piV-SNzShjg/edit?gid=554141278#gid=554141278"", ""'Char Def. - Attributes'!C20:C2242""), 1,false)"),"ALT_NUM_UOM1")</f>
        <v>ALT_NUM_UOM1</v>
      </c>
      <c r="I14506" s="136"/>
      <c r="R14506" s="63" t="str">
        <f t="shared" si="60"/>
        <v>ZSI1_WALLPAPERALT_NUM_UOM1</v>
      </c>
    </row>
    <row r="14507" ht="15.75" customHeight="1">
      <c r="A14507" s="59"/>
      <c r="B14507" s="63">
        <f t="shared" si="1"/>
        <v>14</v>
      </c>
      <c r="C14507" s="75" t="s">
        <v>5603</v>
      </c>
      <c r="D14507" s="161" t="s">
        <v>74</v>
      </c>
      <c r="E14507" s="135">
        <f t="shared" si="62"/>
        <v>13</v>
      </c>
      <c r="F14507" s="134" t="s">
        <v>3807</v>
      </c>
      <c r="G14507" s="63" t="str">
        <f>VLOOKUP(C14507, 'Class Def. - General Data'!$C$20:$C$1000,1,false)</f>
        <v>#N/A</v>
      </c>
      <c r="H14507" s="63" t="str">
        <f>IFERROR(__xludf.DUMMYFUNCTION("VLOOKUP(F14507, IMPORTRANGE(""https://docs.google.com/spreadsheets/d/1Lhp9OU0JdFf_VYSMzH5lBcEaU4o8teT1piV-SNzShjg/edit?gid=554141278#gid=554141278"", ""'Char Def. - Attributes'!C20:C2242""), 1,false)"),"ALT_UOM2_SIPI")</f>
        <v>ALT_UOM2_SIPI</v>
      </c>
      <c r="I14507" s="136"/>
      <c r="R14507" s="63" t="str">
        <f t="shared" si="60"/>
        <v>ZSI1_WALLPAPERALT_UOM2_SIPI</v>
      </c>
    </row>
    <row r="14508" ht="15.75" customHeight="1">
      <c r="A14508" s="59"/>
      <c r="B14508" s="63">
        <f t="shared" si="1"/>
        <v>14</v>
      </c>
      <c r="C14508" s="75" t="s">
        <v>5603</v>
      </c>
      <c r="D14508" s="161" t="s">
        <v>74</v>
      </c>
      <c r="E14508" s="135">
        <f t="shared" si="62"/>
        <v>14</v>
      </c>
      <c r="F14508" s="134" t="s">
        <v>3808</v>
      </c>
      <c r="G14508" s="63" t="str">
        <f>VLOOKUP(C14508, 'Class Def. - General Data'!$C$20:$C$1000,1,false)</f>
        <v>#N/A</v>
      </c>
      <c r="H14508" s="63" t="str">
        <f>IFERROR(__xludf.DUMMYFUNCTION("VLOOKUP(F14508, IMPORTRANGE(""https://docs.google.com/spreadsheets/d/1Lhp9OU0JdFf_VYSMzH5lBcEaU4o8teT1piV-SNzShjg/edit?gid=554141278#gid=554141278"", ""'Char Def. - Attributes'!C20:C2242""), 1,false)"),"ALT_DENUM_UOM2")</f>
        <v>ALT_DENUM_UOM2</v>
      </c>
      <c r="I14508" s="136"/>
      <c r="R14508" s="63" t="str">
        <f t="shared" si="60"/>
        <v>ZSI1_WALLPAPERALT_DENUM_UOM2</v>
      </c>
    </row>
    <row r="14509" ht="15.75" customHeight="1">
      <c r="A14509" s="59"/>
      <c r="B14509" s="63">
        <f t="shared" si="1"/>
        <v>14</v>
      </c>
      <c r="C14509" s="75" t="s">
        <v>5603</v>
      </c>
      <c r="D14509" s="161" t="s">
        <v>74</v>
      </c>
      <c r="E14509" s="135">
        <f t="shared" si="62"/>
        <v>15</v>
      </c>
      <c r="F14509" s="134" t="s">
        <v>3809</v>
      </c>
      <c r="G14509" s="63" t="str">
        <f>VLOOKUP(C14509, 'Class Def. - General Data'!$C$20:$C$1000,1,false)</f>
        <v>#N/A</v>
      </c>
      <c r="H14509" s="63" t="str">
        <f>IFERROR(__xludf.DUMMYFUNCTION("VLOOKUP(F14509, IMPORTRANGE(""https://docs.google.com/spreadsheets/d/1Lhp9OU0JdFf_VYSMzH5lBcEaU4o8teT1piV-SNzShjg/edit?gid=554141278#gid=554141278"", ""'Char Def. - Attributes'!C20:C2242""), 1,false)"),"ALT_NUM_UOM2")</f>
        <v>ALT_NUM_UOM2</v>
      </c>
      <c r="I14509" s="136"/>
      <c r="R14509" s="63" t="str">
        <f t="shared" si="60"/>
        <v>ZSI1_WALLPAPERALT_NUM_UOM2</v>
      </c>
    </row>
    <row r="14510" ht="15.75" customHeight="1">
      <c r="A14510" s="59"/>
      <c r="B14510" s="63">
        <f t="shared" si="1"/>
        <v>14</v>
      </c>
      <c r="C14510" s="75" t="s">
        <v>5603</v>
      </c>
      <c r="D14510" s="161" t="s">
        <v>74</v>
      </c>
      <c r="E14510" s="135">
        <f t="shared" si="62"/>
        <v>16</v>
      </c>
      <c r="F14510" s="134" t="s">
        <v>3810</v>
      </c>
      <c r="G14510" s="63" t="str">
        <f>VLOOKUP(C14510, 'Class Def. - General Data'!$C$20:$C$1000,1,false)</f>
        <v>#N/A</v>
      </c>
      <c r="H14510" s="63" t="str">
        <f>IFERROR(__xludf.DUMMYFUNCTION("VLOOKUP(F14510, IMPORTRANGE(""https://docs.google.com/spreadsheets/d/1Lhp9OU0JdFf_VYSMzH5lBcEaU4o8teT1piV-SNzShjg/edit?gid=554141278#gid=554141278"", ""'Char Def. - Attributes'!C20:C2242""), 1,false)"),"ALT_UOM3_SIPI")</f>
        <v>ALT_UOM3_SIPI</v>
      </c>
      <c r="I14510" s="136"/>
      <c r="R14510" s="63" t="str">
        <f t="shared" si="60"/>
        <v>ZSI1_WALLPAPERALT_UOM3_SIPI</v>
      </c>
    </row>
    <row r="14511" ht="15.75" customHeight="1">
      <c r="A14511" s="59"/>
      <c r="B14511" s="63">
        <f t="shared" si="1"/>
        <v>14</v>
      </c>
      <c r="C14511" s="75" t="s">
        <v>5603</v>
      </c>
      <c r="D14511" s="161" t="s">
        <v>74</v>
      </c>
      <c r="E14511" s="135">
        <f t="shared" si="62"/>
        <v>17</v>
      </c>
      <c r="F14511" s="134" t="s">
        <v>3811</v>
      </c>
      <c r="G14511" s="63" t="str">
        <f>VLOOKUP(C14511, 'Class Def. - General Data'!$C$20:$C$1000,1,false)</f>
        <v>#N/A</v>
      </c>
      <c r="H14511" s="63" t="str">
        <f>IFERROR(__xludf.DUMMYFUNCTION("VLOOKUP(F14511, IMPORTRANGE(""https://docs.google.com/spreadsheets/d/1Lhp9OU0JdFf_VYSMzH5lBcEaU4o8teT1piV-SNzShjg/edit?gid=554141278#gid=554141278"", ""'Char Def. - Attributes'!C20:C2242""), 1,false)"),"ALT_DENUM_UOM3")</f>
        <v>ALT_DENUM_UOM3</v>
      </c>
      <c r="I14511" s="136"/>
      <c r="R14511" s="63" t="str">
        <f t="shared" si="60"/>
        <v>ZSI1_WALLPAPERALT_DENUM_UOM3</v>
      </c>
    </row>
    <row r="14512" ht="15.75" customHeight="1">
      <c r="A14512" s="59"/>
      <c r="B14512" s="63">
        <f t="shared" si="1"/>
        <v>14</v>
      </c>
      <c r="C14512" s="75" t="s">
        <v>5603</v>
      </c>
      <c r="D14512" s="161" t="s">
        <v>74</v>
      </c>
      <c r="E14512" s="135">
        <f t="shared" si="62"/>
        <v>18</v>
      </c>
      <c r="F14512" s="134" t="s">
        <v>3812</v>
      </c>
      <c r="G14512" s="63" t="str">
        <f>VLOOKUP(C14512, 'Class Def. - General Data'!$C$20:$C$1000,1,false)</f>
        <v>#N/A</v>
      </c>
      <c r="H14512" s="63" t="str">
        <f>IFERROR(__xludf.DUMMYFUNCTION("VLOOKUP(F14512, IMPORTRANGE(""https://docs.google.com/spreadsheets/d/1Lhp9OU0JdFf_VYSMzH5lBcEaU4o8teT1piV-SNzShjg/edit?gid=554141278#gid=554141278"", ""'Char Def. - Attributes'!C20:C2242""), 1,false)"),"ALT_NUM_UOM3")</f>
        <v>ALT_NUM_UOM3</v>
      </c>
      <c r="I14512" s="136"/>
      <c r="R14512" s="63" t="str">
        <f t="shared" si="60"/>
        <v>ZSI1_WALLPAPERALT_NUM_UOM3</v>
      </c>
    </row>
    <row r="14513" ht="15.75" customHeight="1">
      <c r="A14513" s="59"/>
      <c r="B14513" s="63">
        <f t="shared" si="1"/>
        <v>14</v>
      </c>
      <c r="C14513" s="75" t="s">
        <v>5603</v>
      </c>
      <c r="D14513" s="161" t="s">
        <v>74</v>
      </c>
      <c r="E14513" s="135">
        <f t="shared" si="62"/>
        <v>19</v>
      </c>
      <c r="F14513" s="134" t="s">
        <v>3813</v>
      </c>
      <c r="G14513" s="63" t="str">
        <f>VLOOKUP(C14513, 'Class Def. - General Data'!$C$20:$C$1000,1,false)</f>
        <v>#N/A</v>
      </c>
      <c r="H14513" s="63" t="str">
        <f>IFERROR(__xludf.DUMMYFUNCTION("VLOOKUP(F14513, IMPORTRANGE(""https://docs.google.com/spreadsheets/d/1Lhp9OU0JdFf_VYSMzH5lBcEaU4o8teT1piV-SNzShjg/edit?gid=554141278#gid=554141278"", ""'Char Def. - Attributes'!C20:C2242""), 1,false)"),"ALT_UOM4_SIPI")</f>
        <v>ALT_UOM4_SIPI</v>
      </c>
      <c r="I14513" s="136"/>
      <c r="R14513" s="63" t="str">
        <f t="shared" si="60"/>
        <v>ZSI1_WALLPAPERALT_UOM4_SIPI</v>
      </c>
    </row>
    <row r="14514" ht="15.75" customHeight="1">
      <c r="A14514" s="59"/>
      <c r="B14514" s="63">
        <f t="shared" si="1"/>
        <v>14</v>
      </c>
      <c r="C14514" s="75" t="s">
        <v>5603</v>
      </c>
      <c r="D14514" s="161" t="s">
        <v>74</v>
      </c>
      <c r="E14514" s="135">
        <f t="shared" si="62"/>
        <v>20</v>
      </c>
      <c r="F14514" s="134" t="s">
        <v>3814</v>
      </c>
      <c r="G14514" s="63" t="str">
        <f>VLOOKUP(C14514, 'Class Def. - General Data'!$C$20:$C$1000,1,false)</f>
        <v>#N/A</v>
      </c>
      <c r="H14514" s="63" t="str">
        <f>IFERROR(__xludf.DUMMYFUNCTION("VLOOKUP(F14514, IMPORTRANGE(""https://docs.google.com/spreadsheets/d/1Lhp9OU0JdFf_VYSMzH5lBcEaU4o8teT1piV-SNzShjg/edit?gid=554141278#gid=554141278"", ""'Char Def. - Attributes'!C20:C2242""), 1,false)"),"ALT_DENUM_UOM4")</f>
        <v>ALT_DENUM_UOM4</v>
      </c>
      <c r="I14514" s="136"/>
      <c r="R14514" s="63" t="str">
        <f t="shared" si="60"/>
        <v>ZSI1_WALLPAPERALT_DENUM_UOM4</v>
      </c>
    </row>
    <row r="14515" ht="15.75" customHeight="1">
      <c r="A14515" s="59"/>
      <c r="B14515" s="63">
        <f t="shared" si="1"/>
        <v>14</v>
      </c>
      <c r="C14515" s="75" t="s">
        <v>5603</v>
      </c>
      <c r="D14515" s="161" t="s">
        <v>74</v>
      </c>
      <c r="E14515" s="135">
        <f t="shared" si="62"/>
        <v>21</v>
      </c>
      <c r="F14515" s="134" t="s">
        <v>3815</v>
      </c>
      <c r="G14515" s="63" t="str">
        <f>VLOOKUP(C14515, 'Class Def. - General Data'!$C$20:$C$1000,1,false)</f>
        <v>#N/A</v>
      </c>
      <c r="H14515" s="63" t="str">
        <f>IFERROR(__xludf.DUMMYFUNCTION("VLOOKUP(F14515, IMPORTRANGE(""https://docs.google.com/spreadsheets/d/1Lhp9OU0JdFf_VYSMzH5lBcEaU4o8teT1piV-SNzShjg/edit?gid=554141278#gid=554141278"", ""'Char Def. - Attributes'!C20:C2242""), 1,false)"),"ALT_NUM_UOM4")</f>
        <v>ALT_NUM_UOM4</v>
      </c>
      <c r="I14515" s="136"/>
      <c r="R14515" s="63" t="str">
        <f t="shared" si="60"/>
        <v>ZSI1_WALLPAPERALT_NUM_UOM4</v>
      </c>
    </row>
    <row r="14516" ht="15.75" customHeight="1">
      <c r="A14516" s="59"/>
      <c r="B14516" s="63">
        <f t="shared" si="1"/>
        <v>14</v>
      </c>
      <c r="C14516" s="75" t="s">
        <v>5603</v>
      </c>
      <c r="D14516" s="161" t="s">
        <v>74</v>
      </c>
      <c r="E14516" s="135">
        <f t="shared" si="62"/>
        <v>22</v>
      </c>
      <c r="F14516" s="134" t="s">
        <v>3816</v>
      </c>
      <c r="G14516" s="63" t="str">
        <f>VLOOKUP(C14516, 'Class Def. - General Data'!$C$20:$C$1000,1,false)</f>
        <v>#N/A</v>
      </c>
      <c r="H14516" s="63" t="str">
        <f>IFERROR(__xludf.DUMMYFUNCTION("VLOOKUP(F14516, IMPORTRANGE(""https://docs.google.com/spreadsheets/d/1Lhp9OU0JdFf_VYSMzH5lBcEaU4o8teT1piV-SNzShjg/edit?gid=554141278#gid=554141278"", ""'Char Def. - Attributes'!C20:C2242""), 1,false)"),"ALT_UOM5_SIPI")</f>
        <v>ALT_UOM5_SIPI</v>
      </c>
      <c r="I14516" s="136"/>
      <c r="R14516" s="63" t="str">
        <f t="shared" si="60"/>
        <v>ZSI1_WALLPAPERALT_UOM5_SIPI</v>
      </c>
    </row>
    <row r="14517" ht="15.75" customHeight="1">
      <c r="A14517" s="59"/>
      <c r="B14517" s="63">
        <f t="shared" si="1"/>
        <v>14</v>
      </c>
      <c r="C14517" s="75" t="s">
        <v>5603</v>
      </c>
      <c r="D14517" s="161" t="s">
        <v>74</v>
      </c>
      <c r="E14517" s="135">
        <f t="shared" si="62"/>
        <v>23</v>
      </c>
      <c r="F14517" s="134" t="s">
        <v>3817</v>
      </c>
      <c r="G14517" s="63" t="str">
        <f>VLOOKUP(C14517, 'Class Def. - General Data'!$C$20:$C$1000,1,false)</f>
        <v>#N/A</v>
      </c>
      <c r="H14517" s="63" t="str">
        <f>IFERROR(__xludf.DUMMYFUNCTION("VLOOKUP(F14517, IMPORTRANGE(""https://docs.google.com/spreadsheets/d/1Lhp9OU0JdFf_VYSMzH5lBcEaU4o8teT1piV-SNzShjg/edit?gid=554141278#gid=554141278"", ""'Char Def. - Attributes'!C20:C2242""), 1,false)"),"ALT_DENUM_UOM5")</f>
        <v>ALT_DENUM_UOM5</v>
      </c>
      <c r="I14517" s="136"/>
      <c r="R14517" s="63" t="str">
        <f t="shared" si="60"/>
        <v>ZSI1_WALLPAPERALT_DENUM_UOM5</v>
      </c>
    </row>
    <row r="14518" ht="15.75" customHeight="1">
      <c r="A14518" s="59"/>
      <c r="B14518" s="63">
        <f t="shared" si="1"/>
        <v>14</v>
      </c>
      <c r="C14518" s="75" t="s">
        <v>5603</v>
      </c>
      <c r="D14518" s="161" t="s">
        <v>74</v>
      </c>
      <c r="E14518" s="135">
        <f t="shared" si="62"/>
        <v>24</v>
      </c>
      <c r="F14518" s="134" t="s">
        <v>3818</v>
      </c>
      <c r="G14518" s="63" t="str">
        <f>VLOOKUP(C14518, 'Class Def. - General Data'!$C$20:$C$1000,1,false)</f>
        <v>#N/A</v>
      </c>
      <c r="H14518" s="63" t="str">
        <f>IFERROR(__xludf.DUMMYFUNCTION("VLOOKUP(F14518, IMPORTRANGE(""https://docs.google.com/spreadsheets/d/1Lhp9OU0JdFf_VYSMzH5lBcEaU4o8teT1piV-SNzShjg/edit?gid=554141278#gid=554141278"", ""'Char Def. - Attributes'!C20:C2242""), 1,false)"),"ALT_NUM_UOM5")</f>
        <v>ALT_NUM_UOM5</v>
      </c>
      <c r="I14518" s="136"/>
      <c r="R14518" s="63" t="str">
        <f t="shared" si="60"/>
        <v>ZSI1_WALLPAPERALT_NUM_UOM5</v>
      </c>
    </row>
    <row r="14519" ht="15.75" customHeight="1">
      <c r="A14519" s="59"/>
      <c r="B14519" s="63">
        <f t="shared" si="1"/>
        <v>18</v>
      </c>
      <c r="C14519" s="135" t="s">
        <v>330</v>
      </c>
      <c r="D14519" s="161" t="s">
        <v>74</v>
      </c>
      <c r="E14519" s="135">
        <f t="shared" si="62"/>
        <v>1</v>
      </c>
      <c r="F14519" s="134" t="s">
        <v>5608</v>
      </c>
      <c r="G14519" s="63" t="str">
        <f>VLOOKUP(C14519, 'Class Def. - General Data'!$C$20:$C$1000,1,false)</f>
        <v>ZSI1_WAREHSE_EQUIP</v>
      </c>
      <c r="H14519" s="63" t="str">
        <f>IFERROR(__xludf.DUMMYFUNCTION("VLOOKUP(F14519, IMPORTRANGE(""https://docs.google.com/spreadsheets/d/1Lhp9OU0JdFf_VYSMzH5lBcEaU4o8teT1piV-SNzShjg/edit?gid=554141278#gid=554141278"", ""'Char Def. - Attributes'!C20:C2242""), 1,false)"),"ITEM_NAME_WAREHSE_EQUIP")</f>
        <v>ITEM_NAME_WAREHSE_EQUIP</v>
      </c>
      <c r="I14519" s="136"/>
      <c r="R14519" s="63" t="str">
        <f t="shared" si="60"/>
        <v>ZSI1_WAREHSE_EQUIPITEM_NAME_WAREHSE_EQUIP</v>
      </c>
    </row>
    <row r="14520" ht="15.75" customHeight="1">
      <c r="A14520" s="59"/>
      <c r="B14520" s="63">
        <f t="shared" si="1"/>
        <v>18</v>
      </c>
      <c r="C14520" s="135" t="s">
        <v>330</v>
      </c>
      <c r="D14520" s="161" t="s">
        <v>74</v>
      </c>
      <c r="E14520" s="135">
        <f t="shared" si="62"/>
        <v>2</v>
      </c>
      <c r="F14520" s="134" t="s">
        <v>5609</v>
      </c>
      <c r="G14520" s="63" t="str">
        <f>VLOOKUP(C14520, 'Class Def. - General Data'!$C$20:$C$1000,1,false)</f>
        <v>ZSI1_WAREHSE_EQUIP</v>
      </c>
      <c r="H14520" s="63" t="str">
        <f>IFERROR(__xludf.DUMMYFUNCTION("VLOOKUP(F14520, IMPORTRANGE(""https://docs.google.com/spreadsheets/d/1Lhp9OU0JdFf_VYSMzH5lBcEaU4o8teT1piV-SNzShjg/edit?gid=554141278#gid=554141278"", ""'Char Def. - Attributes'!C20:C2242""), 1,false)"),"MFR_NO_WAREHSE_EQUIP")</f>
        <v>MFR_NO_WAREHSE_EQUIP</v>
      </c>
      <c r="I14520" s="136"/>
      <c r="R14520" s="63" t="str">
        <f t="shared" si="60"/>
        <v>ZSI1_WAREHSE_EQUIPMFR_NO_WAREHSE_EQUIP</v>
      </c>
    </row>
    <row r="14521" ht="15.75" customHeight="1">
      <c r="A14521" s="59"/>
      <c r="B14521" s="63">
        <f t="shared" si="1"/>
        <v>18</v>
      </c>
      <c r="C14521" s="135" t="s">
        <v>330</v>
      </c>
      <c r="D14521" s="161" t="s">
        <v>74</v>
      </c>
      <c r="E14521" s="135">
        <f t="shared" si="62"/>
        <v>3</v>
      </c>
      <c r="F14521" s="134" t="s">
        <v>3782</v>
      </c>
      <c r="G14521" s="63" t="str">
        <f>VLOOKUP(C14521, 'Class Def. - General Data'!$C$20:$C$1000,1,false)</f>
        <v>ZSI1_WAREHSE_EQUIP</v>
      </c>
      <c r="H14521" s="63" t="str">
        <f>IFERROR(__xludf.DUMMYFUNCTION("VLOOKUP(F14521, IMPORTRANGE(""https://docs.google.com/spreadsheets/d/1Lhp9OU0JdFf_VYSMzH5lBcEaU4o8teT1piV-SNzShjg/edit?gid=554141278#gid=554141278"", ""'Char Def. - Attributes'!C20:C2242""), 1,false)"),"BRAND_EXTERNAL")</f>
        <v>BRAND_EXTERNAL</v>
      </c>
      <c r="I14521" s="136"/>
      <c r="R14521" s="63" t="str">
        <f t="shared" si="60"/>
        <v>ZSI1_WAREHSE_EQUIPBRAND_EXTERNAL</v>
      </c>
    </row>
    <row r="14522" ht="15.75" customHeight="1">
      <c r="A14522" s="59"/>
      <c r="B14522" s="63">
        <f t="shared" si="1"/>
        <v>18</v>
      </c>
      <c r="C14522" s="135" t="s">
        <v>330</v>
      </c>
      <c r="D14522" s="161" t="s">
        <v>74</v>
      </c>
      <c r="E14522" s="135">
        <f t="shared" si="62"/>
        <v>4</v>
      </c>
      <c r="F14522" s="134" t="s">
        <v>4062</v>
      </c>
      <c r="G14522" s="63" t="str">
        <f>VLOOKUP(C14522, 'Class Def. - General Data'!$C$20:$C$1000,1,false)</f>
        <v>ZSI1_WAREHSE_EQUIP</v>
      </c>
      <c r="H14522" s="63" t="str">
        <f>IFERROR(__xludf.DUMMYFUNCTION("VLOOKUP(F14522, IMPORTRANGE(""https://docs.google.com/spreadsheets/d/1Lhp9OU0JdFf_VYSMzH5lBcEaU4o8teT1piV-SNzShjg/edit?gid=554141278#gid=554141278"", ""'Char Def. - Attributes'!C20:C2242""), 1,false)"),"#N/A")</f>
        <v>#N/A</v>
      </c>
      <c r="I14522" s="136"/>
      <c r="R14522" s="63" t="str">
        <f t="shared" si="60"/>
        <v>ZSI1_WAREHSE_EQUIPADDTIONAL_SPECIFICATION</v>
      </c>
    </row>
    <row r="14523" ht="15.75" customHeight="1">
      <c r="A14523" s="59"/>
      <c r="B14523" s="63">
        <f t="shared" si="1"/>
        <v>18</v>
      </c>
      <c r="C14523" s="135" t="s">
        <v>330</v>
      </c>
      <c r="D14523" s="161" t="s">
        <v>74</v>
      </c>
      <c r="E14523" s="135">
        <f t="shared" si="62"/>
        <v>5</v>
      </c>
      <c r="F14523" s="134" t="s">
        <v>3585</v>
      </c>
      <c r="G14523" s="63" t="str">
        <f>VLOOKUP(C14523, 'Class Def. - General Data'!$C$20:$C$1000,1,false)</f>
        <v>ZSI1_WAREHSE_EQUIP</v>
      </c>
      <c r="H14523" s="63" t="str">
        <f>IFERROR(__xludf.DUMMYFUNCTION("VLOOKUP(F14523, IMPORTRANGE(""https://docs.google.com/spreadsheets/d/1Lhp9OU0JdFf_VYSMzH5lBcEaU4o8teT1piV-SNzShjg/edit?gid=554141278#gid=554141278"", ""'Char Def. - Attributes'!C20:C2242""), 1,false)"),"HS_CODE")</f>
        <v>HS_CODE</v>
      </c>
      <c r="I14523" s="136"/>
      <c r="R14523" s="63" t="str">
        <f t="shared" si="60"/>
        <v>ZSI1_WAREHSE_EQUIPHS_CODE</v>
      </c>
    </row>
    <row r="14524" ht="15.75" customHeight="1">
      <c r="A14524" s="59"/>
      <c r="B14524" s="63">
        <f t="shared" si="1"/>
        <v>18</v>
      </c>
      <c r="C14524" s="135" t="s">
        <v>330</v>
      </c>
      <c r="D14524" s="161" t="s">
        <v>74</v>
      </c>
      <c r="E14524" s="135">
        <f t="shared" si="62"/>
        <v>6</v>
      </c>
      <c r="F14524" s="134" t="s">
        <v>3587</v>
      </c>
      <c r="G14524" s="63" t="str">
        <f>VLOOKUP(C14524, 'Class Def. - General Data'!$C$20:$C$1000,1,false)</f>
        <v>ZSI1_WAREHSE_EQUIP</v>
      </c>
      <c r="H14524" s="63" t="str">
        <f>IFERROR(__xludf.DUMMYFUNCTION("VLOOKUP(F14524, IMPORTRANGE(""https://docs.google.com/spreadsheets/d/1Lhp9OU0JdFf_VYSMzH5lBcEaU4o8teT1piV-SNzShjg/edit?gid=554141278#gid=554141278"", ""'Char Def. - Attributes'!C20:C2242""), 1,false)"),"PLANT_BUY")</f>
        <v>PLANT_BUY</v>
      </c>
      <c r="I14524" s="136"/>
      <c r="R14524" s="63" t="str">
        <f t="shared" si="60"/>
        <v>ZSI1_WAREHSE_EQUIPPLANT_BUY</v>
      </c>
    </row>
    <row r="14525" ht="15.75" customHeight="1">
      <c r="A14525" s="59"/>
      <c r="B14525" s="63">
        <f t="shared" si="1"/>
        <v>18</v>
      </c>
      <c r="C14525" s="135" t="s">
        <v>330</v>
      </c>
      <c r="D14525" s="161" t="s">
        <v>74</v>
      </c>
      <c r="E14525" s="135">
        <f t="shared" si="62"/>
        <v>7</v>
      </c>
      <c r="F14525" s="134" t="s">
        <v>5610</v>
      </c>
      <c r="G14525" s="63" t="str">
        <f>VLOOKUP(C14525, 'Class Def. - General Data'!$C$20:$C$1000,1,false)</f>
        <v>ZSI1_WAREHSE_EQUIP</v>
      </c>
      <c r="H14525" s="63" t="str">
        <f>IFERROR(__xludf.DUMMYFUNCTION("VLOOKUP(F14525, IMPORTRANGE(""https://docs.google.com/spreadsheets/d/1Lhp9OU0JdFf_VYSMzH5lBcEaU4o8teT1piV-SNzShjg/edit?gid=554141278#gid=554141278"", ""'Char Def. - Attributes'!C20:C2242""), 1,false)"),"BASE_UOM_WAREHSE_EQUIP")</f>
        <v>BASE_UOM_WAREHSE_EQUIP</v>
      </c>
      <c r="I14525" s="136"/>
      <c r="R14525" s="63" t="str">
        <f t="shared" si="60"/>
        <v>ZSI1_WAREHSE_EQUIPBASE_UOM_WAREHSE_EQUIP</v>
      </c>
    </row>
    <row r="14526" ht="15.75" customHeight="1">
      <c r="A14526" s="59"/>
      <c r="B14526" s="63">
        <f t="shared" si="1"/>
        <v>18</v>
      </c>
      <c r="C14526" s="135" t="s">
        <v>330</v>
      </c>
      <c r="D14526" s="161" t="s">
        <v>74</v>
      </c>
      <c r="E14526" s="135">
        <f t="shared" si="62"/>
        <v>8</v>
      </c>
      <c r="F14526" s="134" t="s">
        <v>5611</v>
      </c>
      <c r="G14526" s="63" t="str">
        <f>VLOOKUP(C14526, 'Class Def. - General Data'!$C$20:$C$1000,1,false)</f>
        <v>ZSI1_WAREHSE_EQUIP</v>
      </c>
      <c r="H14526" s="63" t="str">
        <f>IFERROR(__xludf.DUMMYFUNCTION("VLOOKUP(F14526, IMPORTRANGE(""https://docs.google.com/spreadsheets/d/1Lhp9OU0JdFf_VYSMzH5lBcEaU4o8teT1piV-SNzShjg/edit?gid=554141278#gid=554141278"", ""'Char Def. - Attributes'!C20:C2242""), 1,false)"),"ORDER_UNIT_WAREHSE_EQUIP")</f>
        <v>ORDER_UNIT_WAREHSE_EQUIP</v>
      </c>
      <c r="I14526" s="136"/>
      <c r="R14526" s="63" t="str">
        <f t="shared" si="60"/>
        <v>ZSI1_WAREHSE_EQUIPORDER_UNIT_WAREHSE_EQUIP</v>
      </c>
    </row>
    <row r="14527" ht="15.75" customHeight="1">
      <c r="A14527" s="59"/>
      <c r="B14527" s="63">
        <f t="shared" si="1"/>
        <v>18</v>
      </c>
      <c r="C14527" s="135" t="s">
        <v>330</v>
      </c>
      <c r="D14527" s="161" t="s">
        <v>74</v>
      </c>
      <c r="E14527" s="135">
        <f t="shared" si="62"/>
        <v>9</v>
      </c>
      <c r="F14527" s="134" t="s">
        <v>4056</v>
      </c>
      <c r="G14527" s="63" t="str">
        <f>VLOOKUP(C14527, 'Class Def. - General Data'!$C$20:$C$1000,1,false)</f>
        <v>ZSI1_WAREHSE_EQUIP</v>
      </c>
      <c r="H14527" s="63" t="str">
        <f>IFERROR(__xludf.DUMMYFUNCTION("VLOOKUP(F14527, IMPORTRANGE(""https://docs.google.com/spreadsheets/d/1Lhp9OU0JdFf_VYSMzH5lBcEaU4o8teT1piV-SNzShjg/edit?gid=554141278#gid=554141278"", ""'Char Def. - Attributes'!C20:C2242""), 1,false)"),"GROSS_WEIGHT_OPT")</f>
        <v>GROSS_WEIGHT_OPT</v>
      </c>
      <c r="I14527" s="136"/>
      <c r="R14527" s="63" t="str">
        <f t="shared" si="60"/>
        <v>ZSI1_WAREHSE_EQUIPGROSS_WEIGHT_OPT</v>
      </c>
    </row>
    <row r="14528" ht="15.75" customHeight="1">
      <c r="A14528" s="59"/>
      <c r="B14528" s="63">
        <f t="shared" si="1"/>
        <v>18</v>
      </c>
      <c r="C14528" s="135" t="s">
        <v>330</v>
      </c>
      <c r="D14528" s="161" t="s">
        <v>74</v>
      </c>
      <c r="E14528" s="135">
        <f t="shared" si="62"/>
        <v>10</v>
      </c>
      <c r="F14528" s="134" t="s">
        <v>4057</v>
      </c>
      <c r="G14528" s="63" t="str">
        <f>VLOOKUP(C14528, 'Class Def. - General Data'!$C$20:$C$1000,1,false)</f>
        <v>ZSI1_WAREHSE_EQUIP</v>
      </c>
      <c r="H14528" s="63" t="str">
        <f>IFERROR(__xludf.DUMMYFUNCTION("VLOOKUP(F14528, IMPORTRANGE(""https://docs.google.com/spreadsheets/d/1Lhp9OU0JdFf_VYSMzH5lBcEaU4o8teT1piV-SNzShjg/edit?gid=554141278#gid=554141278"", ""'Char Def. - Attributes'!C20:C2242""), 1,false)"),"NET_WEIGHT_OPT")</f>
        <v>NET_WEIGHT_OPT</v>
      </c>
      <c r="I14528" s="136"/>
      <c r="R14528" s="63" t="str">
        <f t="shared" si="60"/>
        <v>ZSI1_WAREHSE_EQUIPNET_WEIGHT_OPT</v>
      </c>
    </row>
    <row r="14529" ht="15.75" customHeight="1">
      <c r="A14529" s="59"/>
      <c r="B14529" s="63">
        <f t="shared" si="1"/>
        <v>18</v>
      </c>
      <c r="C14529" s="135" t="s">
        <v>330</v>
      </c>
      <c r="D14529" s="161" t="s">
        <v>74</v>
      </c>
      <c r="E14529" s="135">
        <f t="shared" si="62"/>
        <v>11</v>
      </c>
      <c r="F14529" s="134" t="s">
        <v>4058</v>
      </c>
      <c r="G14529" s="63" t="str">
        <f>VLOOKUP(C14529, 'Class Def. - General Data'!$C$20:$C$1000,1,false)</f>
        <v>ZSI1_WAREHSE_EQUIP</v>
      </c>
      <c r="H14529" s="63" t="str">
        <f>IFERROR(__xludf.DUMMYFUNCTION("VLOOKUP(F14529, IMPORTRANGE(""https://docs.google.com/spreadsheets/d/1Lhp9OU0JdFf_VYSMzH5lBcEaU4o8teT1piV-SNzShjg/edit?gid=554141278#gid=554141278"", ""'Char Def. - Attributes'!C20:C2242""), 1,false)"),"WEIGHT_UNIT_SI")</f>
        <v>WEIGHT_UNIT_SI</v>
      </c>
      <c r="I14529" s="136"/>
      <c r="R14529" s="63" t="str">
        <f t="shared" si="60"/>
        <v>ZSI1_WAREHSE_EQUIPWEIGHT_UNIT_SI</v>
      </c>
    </row>
    <row r="14530" ht="15.75" customHeight="1">
      <c r="A14530" s="59"/>
      <c r="B14530" s="63">
        <f t="shared" si="1"/>
        <v>18</v>
      </c>
      <c r="C14530" s="135" t="s">
        <v>330</v>
      </c>
      <c r="D14530" s="161" t="s">
        <v>74</v>
      </c>
      <c r="E14530" s="135">
        <f t="shared" si="62"/>
        <v>12</v>
      </c>
      <c r="F14530" s="134" t="s">
        <v>3877</v>
      </c>
      <c r="G14530" s="63" t="str">
        <f>VLOOKUP(C14530, 'Class Def. - General Data'!$C$20:$C$1000,1,false)</f>
        <v>ZSI1_WAREHSE_EQUIP</v>
      </c>
      <c r="H14530" s="63" t="str">
        <f>IFERROR(__xludf.DUMMYFUNCTION("VLOOKUP(F14530, IMPORTRANGE(""https://docs.google.com/spreadsheets/d/1Lhp9OU0JdFf_VYSMzH5lBcEaU4o8teT1piV-SNzShjg/edit?gid=554141278#gid=554141278"", ""'Char Def. - Attributes'!C20:C2242""), 1,false)"),"VOLUME_OPT")</f>
        <v>VOLUME_OPT</v>
      </c>
      <c r="I14530" s="136"/>
      <c r="R14530" s="63" t="str">
        <f t="shared" si="60"/>
        <v>ZSI1_WAREHSE_EQUIPVOLUME_OPT</v>
      </c>
    </row>
    <row r="14531" ht="15.75" customHeight="1">
      <c r="A14531" s="59"/>
      <c r="B14531" s="63">
        <f t="shared" si="1"/>
        <v>18</v>
      </c>
      <c r="C14531" s="135" t="s">
        <v>330</v>
      </c>
      <c r="D14531" s="161" t="s">
        <v>74</v>
      </c>
      <c r="E14531" s="135">
        <f t="shared" si="62"/>
        <v>13</v>
      </c>
      <c r="F14531" s="134" t="s">
        <v>4059</v>
      </c>
      <c r="G14531" s="63" t="str">
        <f>VLOOKUP(C14531, 'Class Def. - General Data'!$C$20:$C$1000,1,false)</f>
        <v>ZSI1_WAREHSE_EQUIP</v>
      </c>
      <c r="H14531" s="63" t="str">
        <f>IFERROR(__xludf.DUMMYFUNCTION("VLOOKUP(F14531, IMPORTRANGE(""https://docs.google.com/spreadsheets/d/1Lhp9OU0JdFf_VYSMzH5lBcEaU4o8teT1piV-SNzShjg/edit?gid=554141278#gid=554141278"", ""'Char Def. - Attributes'!C20:C2242""), 1,false)"),"VOLUME_UNIT_SI")</f>
        <v>VOLUME_UNIT_SI</v>
      </c>
      <c r="I14531" s="136"/>
      <c r="R14531" s="63" t="str">
        <f t="shared" si="60"/>
        <v>ZSI1_WAREHSE_EQUIPVOLUME_UNIT_SI</v>
      </c>
    </row>
    <row r="14532" ht="15.75" customHeight="1">
      <c r="A14532" s="59"/>
      <c r="B14532" s="63">
        <f t="shared" si="1"/>
        <v>18</v>
      </c>
      <c r="C14532" s="135" t="s">
        <v>330</v>
      </c>
      <c r="D14532" s="161" t="s">
        <v>74</v>
      </c>
      <c r="E14532" s="135">
        <f t="shared" si="62"/>
        <v>14</v>
      </c>
      <c r="F14532" s="134" t="s">
        <v>3804</v>
      </c>
      <c r="G14532" s="63" t="str">
        <f>VLOOKUP(C14532, 'Class Def. - General Data'!$C$20:$C$1000,1,false)</f>
        <v>ZSI1_WAREHSE_EQUIP</v>
      </c>
      <c r="H14532" s="63" t="str">
        <f>IFERROR(__xludf.DUMMYFUNCTION("VLOOKUP(F14532, IMPORTRANGE(""https://docs.google.com/spreadsheets/d/1Lhp9OU0JdFf_VYSMzH5lBcEaU4o8teT1piV-SNzShjg/edit?gid=554141278#gid=554141278"", ""'Char Def. - Attributes'!C20:C2242""), 1,false)"),"ALT_UOM1_SIPI")</f>
        <v>ALT_UOM1_SIPI</v>
      </c>
      <c r="I14532" s="136"/>
      <c r="R14532" s="63" t="str">
        <f t="shared" si="60"/>
        <v>ZSI1_WAREHSE_EQUIPALT_UOM1_SIPI</v>
      </c>
    </row>
    <row r="14533" ht="15.75" customHeight="1">
      <c r="A14533" s="59"/>
      <c r="B14533" s="63">
        <f t="shared" si="1"/>
        <v>18</v>
      </c>
      <c r="C14533" s="135" t="s">
        <v>330</v>
      </c>
      <c r="D14533" s="161" t="s">
        <v>74</v>
      </c>
      <c r="E14533" s="135">
        <f t="shared" si="62"/>
        <v>15</v>
      </c>
      <c r="F14533" s="134" t="s">
        <v>3805</v>
      </c>
      <c r="G14533" s="63" t="str">
        <f>VLOOKUP(C14533, 'Class Def. - General Data'!$C$20:$C$1000,1,false)</f>
        <v>ZSI1_WAREHSE_EQUIP</v>
      </c>
      <c r="H14533" s="63" t="str">
        <f>IFERROR(__xludf.DUMMYFUNCTION("VLOOKUP(F14533, IMPORTRANGE(""https://docs.google.com/spreadsheets/d/1Lhp9OU0JdFf_VYSMzH5lBcEaU4o8teT1piV-SNzShjg/edit?gid=554141278#gid=554141278"", ""'Char Def. - Attributes'!C20:C2242""), 1,false)"),"ALT_DENUM_UOM1")</f>
        <v>ALT_DENUM_UOM1</v>
      </c>
      <c r="I14533" s="136"/>
      <c r="R14533" s="63" t="str">
        <f t="shared" si="60"/>
        <v>ZSI1_WAREHSE_EQUIPALT_DENUM_UOM1</v>
      </c>
    </row>
    <row r="14534" ht="15.75" customHeight="1">
      <c r="A14534" s="59"/>
      <c r="B14534" s="63">
        <f t="shared" si="1"/>
        <v>18</v>
      </c>
      <c r="C14534" s="135" t="s">
        <v>330</v>
      </c>
      <c r="D14534" s="161" t="s">
        <v>74</v>
      </c>
      <c r="E14534" s="135">
        <f t="shared" si="62"/>
        <v>16</v>
      </c>
      <c r="F14534" s="134" t="s">
        <v>3806</v>
      </c>
      <c r="G14534" s="63" t="str">
        <f>VLOOKUP(C14534, 'Class Def. - General Data'!$C$20:$C$1000,1,false)</f>
        <v>ZSI1_WAREHSE_EQUIP</v>
      </c>
      <c r="H14534" s="63" t="str">
        <f>IFERROR(__xludf.DUMMYFUNCTION("VLOOKUP(F14534, IMPORTRANGE(""https://docs.google.com/spreadsheets/d/1Lhp9OU0JdFf_VYSMzH5lBcEaU4o8teT1piV-SNzShjg/edit?gid=554141278#gid=554141278"", ""'Char Def. - Attributes'!C20:C2242""), 1,false)"),"ALT_NUM_UOM1")</f>
        <v>ALT_NUM_UOM1</v>
      </c>
      <c r="I14534" s="136"/>
      <c r="R14534" s="63" t="str">
        <f t="shared" si="60"/>
        <v>ZSI1_WAREHSE_EQUIPALT_NUM_UOM1</v>
      </c>
    </row>
    <row r="14535" ht="15.75" customHeight="1">
      <c r="A14535" s="59"/>
      <c r="B14535" s="63">
        <f t="shared" si="1"/>
        <v>18</v>
      </c>
      <c r="C14535" s="135" t="s">
        <v>330</v>
      </c>
      <c r="D14535" s="161" t="s">
        <v>74</v>
      </c>
      <c r="E14535" s="135">
        <f t="shared" si="62"/>
        <v>17</v>
      </c>
      <c r="F14535" s="134" t="s">
        <v>3807</v>
      </c>
      <c r="G14535" s="63" t="str">
        <f>VLOOKUP(C14535, 'Class Def. - General Data'!$C$20:$C$1000,1,false)</f>
        <v>ZSI1_WAREHSE_EQUIP</v>
      </c>
      <c r="H14535" s="63" t="str">
        <f>IFERROR(__xludf.DUMMYFUNCTION("VLOOKUP(F14535, IMPORTRANGE(""https://docs.google.com/spreadsheets/d/1Lhp9OU0JdFf_VYSMzH5lBcEaU4o8teT1piV-SNzShjg/edit?gid=554141278#gid=554141278"", ""'Char Def. - Attributes'!C20:C2242""), 1,false)"),"ALT_UOM2_SIPI")</f>
        <v>ALT_UOM2_SIPI</v>
      </c>
      <c r="I14535" s="136"/>
      <c r="R14535" s="63" t="str">
        <f t="shared" si="60"/>
        <v>ZSI1_WAREHSE_EQUIPALT_UOM2_SIPI</v>
      </c>
    </row>
    <row r="14536" ht="15.75" customHeight="1">
      <c r="A14536" s="59"/>
      <c r="B14536" s="63">
        <f t="shared" si="1"/>
        <v>18</v>
      </c>
      <c r="C14536" s="135" t="s">
        <v>330</v>
      </c>
      <c r="D14536" s="161" t="s">
        <v>74</v>
      </c>
      <c r="E14536" s="135">
        <f t="shared" si="62"/>
        <v>18</v>
      </c>
      <c r="F14536" s="134" t="s">
        <v>3808</v>
      </c>
      <c r="G14536" s="63" t="str">
        <f>VLOOKUP(C14536, 'Class Def. - General Data'!$C$20:$C$1000,1,false)</f>
        <v>ZSI1_WAREHSE_EQUIP</v>
      </c>
      <c r="H14536" s="63" t="str">
        <f>IFERROR(__xludf.DUMMYFUNCTION("VLOOKUP(F14536, IMPORTRANGE(""https://docs.google.com/spreadsheets/d/1Lhp9OU0JdFf_VYSMzH5lBcEaU4o8teT1piV-SNzShjg/edit?gid=554141278#gid=554141278"", ""'Char Def. - Attributes'!C20:C2242""), 1,false)"),"ALT_DENUM_UOM2")</f>
        <v>ALT_DENUM_UOM2</v>
      </c>
      <c r="I14536" s="136"/>
      <c r="R14536" s="63" t="str">
        <f t="shared" si="60"/>
        <v>ZSI1_WAREHSE_EQUIPALT_DENUM_UOM2</v>
      </c>
    </row>
    <row r="14537" ht="15.75" customHeight="1">
      <c r="A14537" s="59"/>
      <c r="B14537" s="63">
        <f t="shared" si="1"/>
        <v>18</v>
      </c>
      <c r="C14537" s="135" t="s">
        <v>330</v>
      </c>
      <c r="D14537" s="161" t="s">
        <v>74</v>
      </c>
      <c r="E14537" s="135">
        <f t="shared" si="62"/>
        <v>19</v>
      </c>
      <c r="F14537" s="134" t="s">
        <v>3809</v>
      </c>
      <c r="G14537" s="63" t="str">
        <f>VLOOKUP(C14537, 'Class Def. - General Data'!$C$20:$C$1000,1,false)</f>
        <v>ZSI1_WAREHSE_EQUIP</v>
      </c>
      <c r="H14537" s="63" t="str">
        <f>IFERROR(__xludf.DUMMYFUNCTION("VLOOKUP(F14537, IMPORTRANGE(""https://docs.google.com/spreadsheets/d/1Lhp9OU0JdFf_VYSMzH5lBcEaU4o8teT1piV-SNzShjg/edit?gid=554141278#gid=554141278"", ""'Char Def. - Attributes'!C20:C2242""), 1,false)"),"ALT_NUM_UOM2")</f>
        <v>ALT_NUM_UOM2</v>
      </c>
      <c r="I14537" s="136"/>
      <c r="R14537" s="63" t="str">
        <f t="shared" si="60"/>
        <v>ZSI1_WAREHSE_EQUIPALT_NUM_UOM2</v>
      </c>
    </row>
    <row r="14538" ht="15.75" customHeight="1">
      <c r="A14538" s="59"/>
      <c r="B14538" s="63">
        <f t="shared" si="1"/>
        <v>18</v>
      </c>
      <c r="C14538" s="135" t="s">
        <v>330</v>
      </c>
      <c r="D14538" s="161" t="s">
        <v>74</v>
      </c>
      <c r="E14538" s="135">
        <f t="shared" si="62"/>
        <v>20</v>
      </c>
      <c r="F14538" s="134" t="s">
        <v>3810</v>
      </c>
      <c r="G14538" s="63" t="str">
        <f>VLOOKUP(C14538, 'Class Def. - General Data'!$C$20:$C$1000,1,false)</f>
        <v>ZSI1_WAREHSE_EQUIP</v>
      </c>
      <c r="H14538" s="63" t="str">
        <f>IFERROR(__xludf.DUMMYFUNCTION("VLOOKUP(F14538, IMPORTRANGE(""https://docs.google.com/spreadsheets/d/1Lhp9OU0JdFf_VYSMzH5lBcEaU4o8teT1piV-SNzShjg/edit?gid=554141278#gid=554141278"", ""'Char Def. - Attributes'!C20:C2242""), 1,false)"),"ALT_UOM3_SIPI")</f>
        <v>ALT_UOM3_SIPI</v>
      </c>
      <c r="I14538" s="136"/>
      <c r="R14538" s="63" t="str">
        <f t="shared" si="60"/>
        <v>ZSI1_WAREHSE_EQUIPALT_UOM3_SIPI</v>
      </c>
    </row>
    <row r="14539" ht="15.75" customHeight="1">
      <c r="A14539" s="59"/>
      <c r="B14539" s="63">
        <f t="shared" si="1"/>
        <v>18</v>
      </c>
      <c r="C14539" s="135" t="s">
        <v>330</v>
      </c>
      <c r="D14539" s="161" t="s">
        <v>74</v>
      </c>
      <c r="E14539" s="135">
        <f t="shared" si="62"/>
        <v>21</v>
      </c>
      <c r="F14539" s="134" t="s">
        <v>3811</v>
      </c>
      <c r="G14539" s="63" t="str">
        <f>VLOOKUP(C14539, 'Class Def. - General Data'!$C$20:$C$1000,1,false)</f>
        <v>ZSI1_WAREHSE_EQUIP</v>
      </c>
      <c r="H14539" s="63" t="str">
        <f>IFERROR(__xludf.DUMMYFUNCTION("VLOOKUP(F14539, IMPORTRANGE(""https://docs.google.com/spreadsheets/d/1Lhp9OU0JdFf_VYSMzH5lBcEaU4o8teT1piV-SNzShjg/edit?gid=554141278#gid=554141278"", ""'Char Def. - Attributes'!C20:C2242""), 1,false)"),"ALT_DENUM_UOM3")</f>
        <v>ALT_DENUM_UOM3</v>
      </c>
      <c r="I14539" s="136"/>
      <c r="R14539" s="63" t="str">
        <f t="shared" si="60"/>
        <v>ZSI1_WAREHSE_EQUIPALT_DENUM_UOM3</v>
      </c>
    </row>
    <row r="14540" ht="15.75" customHeight="1">
      <c r="A14540" s="59"/>
      <c r="B14540" s="63">
        <f t="shared" si="1"/>
        <v>18</v>
      </c>
      <c r="C14540" s="135" t="s">
        <v>330</v>
      </c>
      <c r="D14540" s="161" t="s">
        <v>74</v>
      </c>
      <c r="E14540" s="135">
        <f t="shared" si="62"/>
        <v>22</v>
      </c>
      <c r="F14540" s="134" t="s">
        <v>3812</v>
      </c>
      <c r="G14540" s="63" t="str">
        <f>VLOOKUP(C14540, 'Class Def. - General Data'!$C$20:$C$1000,1,false)</f>
        <v>ZSI1_WAREHSE_EQUIP</v>
      </c>
      <c r="H14540" s="63" t="str">
        <f>IFERROR(__xludf.DUMMYFUNCTION("VLOOKUP(F14540, IMPORTRANGE(""https://docs.google.com/spreadsheets/d/1Lhp9OU0JdFf_VYSMzH5lBcEaU4o8teT1piV-SNzShjg/edit?gid=554141278#gid=554141278"", ""'Char Def. - Attributes'!C20:C2242""), 1,false)"),"ALT_NUM_UOM3")</f>
        <v>ALT_NUM_UOM3</v>
      </c>
      <c r="I14540" s="136"/>
      <c r="R14540" s="63" t="str">
        <f t="shared" si="60"/>
        <v>ZSI1_WAREHSE_EQUIPALT_NUM_UOM3</v>
      </c>
    </row>
    <row r="14541" ht="15.75" customHeight="1">
      <c r="A14541" s="59"/>
      <c r="B14541" s="63">
        <f t="shared" si="1"/>
        <v>18</v>
      </c>
      <c r="C14541" s="135" t="s">
        <v>330</v>
      </c>
      <c r="D14541" s="161" t="s">
        <v>74</v>
      </c>
      <c r="E14541" s="135">
        <f t="shared" si="62"/>
        <v>23</v>
      </c>
      <c r="F14541" s="134" t="s">
        <v>3813</v>
      </c>
      <c r="G14541" s="63" t="str">
        <f>VLOOKUP(C14541, 'Class Def. - General Data'!$C$20:$C$1000,1,false)</f>
        <v>ZSI1_WAREHSE_EQUIP</v>
      </c>
      <c r="H14541" s="63" t="str">
        <f>IFERROR(__xludf.DUMMYFUNCTION("VLOOKUP(F14541, IMPORTRANGE(""https://docs.google.com/spreadsheets/d/1Lhp9OU0JdFf_VYSMzH5lBcEaU4o8teT1piV-SNzShjg/edit?gid=554141278#gid=554141278"", ""'Char Def. - Attributes'!C20:C2242""), 1,false)"),"ALT_UOM4_SIPI")</f>
        <v>ALT_UOM4_SIPI</v>
      </c>
      <c r="I14541" s="136"/>
      <c r="R14541" s="63" t="str">
        <f t="shared" si="60"/>
        <v>ZSI1_WAREHSE_EQUIPALT_UOM4_SIPI</v>
      </c>
    </row>
    <row r="14542" ht="15.75" customHeight="1">
      <c r="A14542" s="59"/>
      <c r="B14542" s="63">
        <f t="shared" si="1"/>
        <v>18</v>
      </c>
      <c r="C14542" s="135" t="s">
        <v>330</v>
      </c>
      <c r="D14542" s="161" t="s">
        <v>74</v>
      </c>
      <c r="E14542" s="135">
        <f t="shared" si="62"/>
        <v>24</v>
      </c>
      <c r="F14542" s="134" t="s">
        <v>3814</v>
      </c>
      <c r="G14542" s="63" t="str">
        <f>VLOOKUP(C14542, 'Class Def. - General Data'!$C$20:$C$1000,1,false)</f>
        <v>ZSI1_WAREHSE_EQUIP</v>
      </c>
      <c r="H14542" s="63" t="str">
        <f>IFERROR(__xludf.DUMMYFUNCTION("VLOOKUP(F14542, IMPORTRANGE(""https://docs.google.com/spreadsheets/d/1Lhp9OU0JdFf_VYSMzH5lBcEaU4o8teT1piV-SNzShjg/edit?gid=554141278#gid=554141278"", ""'Char Def. - Attributes'!C20:C2242""), 1,false)"),"ALT_DENUM_UOM4")</f>
        <v>ALT_DENUM_UOM4</v>
      </c>
      <c r="I14542" s="136"/>
      <c r="R14542" s="63" t="str">
        <f t="shared" si="60"/>
        <v>ZSI1_WAREHSE_EQUIPALT_DENUM_UOM4</v>
      </c>
    </row>
    <row r="14543" ht="15.75" customHeight="1">
      <c r="A14543" s="59"/>
      <c r="B14543" s="63">
        <f t="shared" si="1"/>
        <v>18</v>
      </c>
      <c r="C14543" s="135" t="s">
        <v>330</v>
      </c>
      <c r="D14543" s="161" t="s">
        <v>74</v>
      </c>
      <c r="E14543" s="135">
        <f t="shared" si="62"/>
        <v>25</v>
      </c>
      <c r="F14543" s="134" t="s">
        <v>3815</v>
      </c>
      <c r="G14543" s="63" t="str">
        <f>VLOOKUP(C14543, 'Class Def. - General Data'!$C$20:$C$1000,1,false)</f>
        <v>ZSI1_WAREHSE_EQUIP</v>
      </c>
      <c r="H14543" s="63" t="str">
        <f>IFERROR(__xludf.DUMMYFUNCTION("VLOOKUP(F14543, IMPORTRANGE(""https://docs.google.com/spreadsheets/d/1Lhp9OU0JdFf_VYSMzH5lBcEaU4o8teT1piV-SNzShjg/edit?gid=554141278#gid=554141278"", ""'Char Def. - Attributes'!C20:C2242""), 1,false)"),"ALT_NUM_UOM4")</f>
        <v>ALT_NUM_UOM4</v>
      </c>
      <c r="I14543" s="136"/>
      <c r="R14543" s="63" t="str">
        <f t="shared" si="60"/>
        <v>ZSI1_WAREHSE_EQUIPALT_NUM_UOM4</v>
      </c>
    </row>
    <row r="14544" ht="15.75" customHeight="1">
      <c r="A14544" s="59"/>
      <c r="B14544" s="63">
        <f t="shared" si="1"/>
        <v>18</v>
      </c>
      <c r="C14544" s="135" t="s">
        <v>330</v>
      </c>
      <c r="D14544" s="161" t="s">
        <v>74</v>
      </c>
      <c r="E14544" s="135">
        <f t="shared" si="62"/>
        <v>26</v>
      </c>
      <c r="F14544" s="134" t="s">
        <v>3816</v>
      </c>
      <c r="G14544" s="63" t="str">
        <f>VLOOKUP(C14544, 'Class Def. - General Data'!$C$20:$C$1000,1,false)</f>
        <v>ZSI1_WAREHSE_EQUIP</v>
      </c>
      <c r="H14544" s="63" t="str">
        <f>IFERROR(__xludf.DUMMYFUNCTION("VLOOKUP(F14544, IMPORTRANGE(""https://docs.google.com/spreadsheets/d/1Lhp9OU0JdFf_VYSMzH5lBcEaU4o8teT1piV-SNzShjg/edit?gid=554141278#gid=554141278"", ""'Char Def. - Attributes'!C20:C2242""), 1,false)"),"ALT_UOM5_SIPI")</f>
        <v>ALT_UOM5_SIPI</v>
      </c>
      <c r="I14544" s="136"/>
      <c r="R14544" s="63" t="str">
        <f t="shared" si="60"/>
        <v>ZSI1_WAREHSE_EQUIPALT_UOM5_SIPI</v>
      </c>
    </row>
    <row r="14545" ht="15.75" customHeight="1">
      <c r="A14545" s="59"/>
      <c r="B14545" s="63">
        <f t="shared" si="1"/>
        <v>18</v>
      </c>
      <c r="C14545" s="135" t="s">
        <v>330</v>
      </c>
      <c r="D14545" s="161" t="s">
        <v>74</v>
      </c>
      <c r="E14545" s="135">
        <f t="shared" si="62"/>
        <v>27</v>
      </c>
      <c r="F14545" s="134" t="s">
        <v>3817</v>
      </c>
      <c r="G14545" s="63" t="str">
        <f>VLOOKUP(C14545, 'Class Def. - General Data'!$C$20:$C$1000,1,false)</f>
        <v>ZSI1_WAREHSE_EQUIP</v>
      </c>
      <c r="H14545" s="63" t="str">
        <f>IFERROR(__xludf.DUMMYFUNCTION("VLOOKUP(F14545, IMPORTRANGE(""https://docs.google.com/spreadsheets/d/1Lhp9OU0JdFf_VYSMzH5lBcEaU4o8teT1piV-SNzShjg/edit?gid=554141278#gid=554141278"", ""'Char Def. - Attributes'!C20:C2242""), 1,false)"),"ALT_DENUM_UOM5")</f>
        <v>ALT_DENUM_UOM5</v>
      </c>
      <c r="I14545" s="136"/>
      <c r="R14545" s="63" t="str">
        <f t="shared" si="60"/>
        <v>ZSI1_WAREHSE_EQUIPALT_DENUM_UOM5</v>
      </c>
    </row>
    <row r="14546" ht="15.75" customHeight="1">
      <c r="A14546" s="59"/>
      <c r="B14546" s="63">
        <f t="shared" si="1"/>
        <v>18</v>
      </c>
      <c r="C14546" s="135" t="s">
        <v>330</v>
      </c>
      <c r="D14546" s="161" t="s">
        <v>74</v>
      </c>
      <c r="E14546" s="135">
        <f t="shared" si="62"/>
        <v>28</v>
      </c>
      <c r="F14546" s="134" t="s">
        <v>3818</v>
      </c>
      <c r="G14546" s="63" t="str">
        <f>VLOOKUP(C14546, 'Class Def. - General Data'!$C$20:$C$1000,1,false)</f>
        <v>ZSI1_WAREHSE_EQUIP</v>
      </c>
      <c r="H14546" s="63" t="str">
        <f>IFERROR(__xludf.DUMMYFUNCTION("VLOOKUP(F14546, IMPORTRANGE(""https://docs.google.com/spreadsheets/d/1Lhp9OU0JdFf_VYSMzH5lBcEaU4o8teT1piV-SNzShjg/edit?gid=554141278#gid=554141278"", ""'Char Def. - Attributes'!C20:C2242""), 1,false)"),"ALT_NUM_UOM5")</f>
        <v>ALT_NUM_UOM5</v>
      </c>
      <c r="I14546" s="136"/>
      <c r="R14546" s="63" t="str">
        <f t="shared" si="60"/>
        <v>ZSI1_WAREHSE_EQUIPALT_NUM_UOM5</v>
      </c>
    </row>
    <row r="14547" ht="15.75" customHeight="1">
      <c r="A14547" s="59"/>
      <c r="B14547" s="63">
        <f t="shared" si="1"/>
        <v>11</v>
      </c>
      <c r="C14547" s="135" t="s">
        <v>337</v>
      </c>
      <c r="D14547" s="161" t="s">
        <v>74</v>
      </c>
      <c r="E14547" s="135">
        <f t="shared" si="62"/>
        <v>1</v>
      </c>
      <c r="F14547" s="134" t="s">
        <v>5612</v>
      </c>
      <c r="G14547" s="63" t="str">
        <f>VLOOKUP(C14547, 'Class Def. - General Data'!$C$20:$C$1000,1,false)</f>
        <v>ZSI1_WASHER</v>
      </c>
      <c r="H14547" s="63" t="str">
        <f>IFERROR(__xludf.DUMMYFUNCTION("VLOOKUP(F14547, IMPORTRANGE(""https://docs.google.com/spreadsheets/d/1Lhp9OU0JdFf_VYSMzH5lBcEaU4o8teT1piV-SNzShjg/edit?gid=554141278#gid=554141278"", ""'Char Def. - Attributes'!C20:C2242""), 1,false)"),"ITEM_NAME_WASHER")</f>
        <v>ITEM_NAME_WASHER</v>
      </c>
      <c r="I14547" s="136"/>
      <c r="R14547" s="63" t="str">
        <f t="shared" si="60"/>
        <v>ZSI1_WASHERITEM_NAME_WASHER</v>
      </c>
    </row>
    <row r="14548" ht="15.75" customHeight="1">
      <c r="A14548" s="59"/>
      <c r="B14548" s="63">
        <f t="shared" si="1"/>
        <v>11</v>
      </c>
      <c r="C14548" s="135" t="s">
        <v>337</v>
      </c>
      <c r="D14548" s="161" t="s">
        <v>74</v>
      </c>
      <c r="E14548" s="135">
        <f t="shared" si="62"/>
        <v>2</v>
      </c>
      <c r="F14548" s="134" t="s">
        <v>5613</v>
      </c>
      <c r="G14548" s="63" t="str">
        <f>VLOOKUP(C14548, 'Class Def. - General Data'!$C$20:$C$1000,1,false)</f>
        <v>ZSI1_WASHER</v>
      </c>
      <c r="H14548" s="63" t="str">
        <f>IFERROR(__xludf.DUMMYFUNCTION("VLOOKUP(F14548, IMPORTRANGE(""https://docs.google.com/spreadsheets/d/1Lhp9OU0JdFf_VYSMzH5lBcEaU4o8teT1piV-SNzShjg/edit?gid=554141278#gid=554141278"", ""'Char Def. - Attributes'!C20:C2242""), 1,false)"),"DIMENSION_WASHER")</f>
        <v>DIMENSION_WASHER</v>
      </c>
      <c r="I14548" s="136"/>
      <c r="R14548" s="63" t="str">
        <f t="shared" si="60"/>
        <v>ZSI1_WASHERDIMENSION_WASHER</v>
      </c>
    </row>
    <row r="14549" ht="15.75" customHeight="1">
      <c r="A14549" s="59"/>
      <c r="B14549" s="63">
        <f t="shared" si="1"/>
        <v>11</v>
      </c>
      <c r="C14549" s="135" t="s">
        <v>337</v>
      </c>
      <c r="D14549" s="161" t="s">
        <v>74</v>
      </c>
      <c r="E14549" s="135">
        <f t="shared" si="62"/>
        <v>3</v>
      </c>
      <c r="F14549" s="134" t="s">
        <v>5614</v>
      </c>
      <c r="G14549" s="63" t="str">
        <f>VLOOKUP(C14549, 'Class Def. - General Data'!$C$20:$C$1000,1,false)</f>
        <v>ZSI1_WASHER</v>
      </c>
      <c r="H14549" s="63" t="str">
        <f>IFERROR(__xludf.DUMMYFUNCTION("VLOOKUP(F14549, IMPORTRANGE(""https://docs.google.com/spreadsheets/d/1Lhp9OU0JdFf_VYSMzH5lBcEaU4o8teT1piV-SNzShjg/edit?gid=554141278#gid=554141278"", ""'Char Def. - Attributes'!C20:C2242""), 1,false)"),"DIAMETER_INCH_WASHER")</f>
        <v>DIAMETER_INCH_WASHER</v>
      </c>
      <c r="I14549" s="136"/>
      <c r="R14549" s="63" t="str">
        <f t="shared" si="60"/>
        <v>ZSI1_WASHERDIAMETER_INCH_WASHER</v>
      </c>
    </row>
    <row r="14550" ht="15.75" customHeight="1">
      <c r="A14550" s="59"/>
      <c r="B14550" s="63">
        <f t="shared" si="1"/>
        <v>11</v>
      </c>
      <c r="C14550" s="135" t="s">
        <v>337</v>
      </c>
      <c r="D14550" s="161" t="s">
        <v>74</v>
      </c>
      <c r="E14550" s="135">
        <f t="shared" si="62"/>
        <v>4</v>
      </c>
      <c r="F14550" s="134" t="s">
        <v>5615</v>
      </c>
      <c r="G14550" s="63" t="str">
        <f>VLOOKUP(C14550, 'Class Def. - General Data'!$C$20:$C$1000,1,false)</f>
        <v>ZSI1_WASHER</v>
      </c>
      <c r="H14550" s="63" t="str">
        <f>IFERROR(__xludf.DUMMYFUNCTION("VLOOKUP(F14550, IMPORTRANGE(""https://docs.google.com/spreadsheets/d/1Lhp9OU0JdFf_VYSMzH5lBcEaU4o8teT1piV-SNzShjg/edit?gid=554141278#gid=554141278"", ""'Char Def. - Attributes'!C20:C2242""), 1,false)"),"DIAMETER_MM_WASHER")</f>
        <v>DIAMETER_MM_WASHER</v>
      </c>
      <c r="I14550" s="136"/>
      <c r="R14550" s="63" t="str">
        <f t="shared" si="60"/>
        <v>ZSI1_WASHERDIAMETER_MM_WASHER</v>
      </c>
    </row>
    <row r="14551" ht="15.75" customHeight="1">
      <c r="A14551" s="59"/>
      <c r="B14551" s="63">
        <f t="shared" si="1"/>
        <v>11</v>
      </c>
      <c r="C14551" s="135" t="s">
        <v>337</v>
      </c>
      <c r="D14551" s="161" t="s">
        <v>74</v>
      </c>
      <c r="E14551" s="135">
        <f t="shared" si="62"/>
        <v>5</v>
      </c>
      <c r="F14551" s="134" t="s">
        <v>5616</v>
      </c>
      <c r="G14551" s="63" t="str">
        <f>VLOOKUP(C14551, 'Class Def. - General Data'!$C$20:$C$1000,1,false)</f>
        <v>ZSI1_WASHER</v>
      </c>
      <c r="H14551" s="63" t="str">
        <f>IFERROR(__xludf.DUMMYFUNCTION("VLOOKUP(F14551, IMPORTRANGE(""https://docs.google.com/spreadsheets/d/1Lhp9OU0JdFf_VYSMzH5lBcEaU4o8teT1piV-SNzShjg/edit?gid=554141278#gid=554141278"", ""'Char Def. - Attributes'!C20:C2242""), 1,false)"),"MATERIAL_WASHER")</f>
        <v>MATERIAL_WASHER</v>
      </c>
      <c r="I14551" s="136"/>
      <c r="R14551" s="63" t="str">
        <f t="shared" si="60"/>
        <v>ZSI1_WASHERMATERIAL_WASHER</v>
      </c>
    </row>
    <row r="14552" ht="15.75" customHeight="1">
      <c r="A14552" s="59"/>
      <c r="B14552" s="63">
        <f t="shared" si="1"/>
        <v>11</v>
      </c>
      <c r="C14552" s="135" t="s">
        <v>337</v>
      </c>
      <c r="D14552" s="161" t="s">
        <v>74</v>
      </c>
      <c r="E14552" s="135">
        <f t="shared" si="62"/>
        <v>6</v>
      </c>
      <c r="F14552" s="134" t="s">
        <v>5617</v>
      </c>
      <c r="G14552" s="63" t="str">
        <f>VLOOKUP(C14552, 'Class Def. - General Data'!$C$20:$C$1000,1,false)</f>
        <v>ZSI1_WASHER</v>
      </c>
      <c r="H14552" s="63" t="str">
        <f>IFERROR(__xludf.DUMMYFUNCTION("VLOOKUP(F14552, IMPORTRANGE(""https://docs.google.com/spreadsheets/d/1Lhp9OU0JdFf_VYSMzH5lBcEaU4o8teT1piV-SNzShjg/edit?gid=554141278#gid=554141278"", ""'Char Def. - Attributes'!C20:C2242""), 1,false)"),"FINISHING_WASHER")</f>
        <v>FINISHING_WASHER</v>
      </c>
      <c r="I14552" s="136"/>
      <c r="R14552" s="63" t="str">
        <f t="shared" si="60"/>
        <v>ZSI1_WASHERFINISHING_WASHER</v>
      </c>
    </row>
    <row r="14553" ht="15.75" customHeight="1">
      <c r="A14553" s="59"/>
      <c r="B14553" s="63">
        <f t="shared" si="1"/>
        <v>11</v>
      </c>
      <c r="C14553" s="135" t="s">
        <v>337</v>
      </c>
      <c r="D14553" s="161" t="s">
        <v>74</v>
      </c>
      <c r="E14553" s="135">
        <f t="shared" si="62"/>
        <v>7</v>
      </c>
      <c r="F14553" s="134" t="s">
        <v>3585</v>
      </c>
      <c r="G14553" s="63" t="str">
        <f>VLOOKUP(C14553, 'Class Def. - General Data'!$C$20:$C$1000,1,false)</f>
        <v>ZSI1_WASHER</v>
      </c>
      <c r="H14553" s="63" t="str">
        <f>IFERROR(__xludf.DUMMYFUNCTION("VLOOKUP(F14553, IMPORTRANGE(""https://docs.google.com/spreadsheets/d/1Lhp9OU0JdFf_VYSMzH5lBcEaU4o8teT1piV-SNzShjg/edit?gid=554141278#gid=554141278"", ""'Char Def. - Attributes'!C20:C2242""), 1,false)"),"HS_CODE")</f>
        <v>HS_CODE</v>
      </c>
      <c r="I14553" s="136"/>
      <c r="R14553" s="63" t="str">
        <f t="shared" si="60"/>
        <v>ZSI1_WASHERHS_CODE</v>
      </c>
    </row>
    <row r="14554" ht="15.75" customHeight="1">
      <c r="A14554" s="59"/>
      <c r="B14554" s="63">
        <f t="shared" si="1"/>
        <v>11</v>
      </c>
      <c r="C14554" s="135" t="s">
        <v>337</v>
      </c>
      <c r="D14554" s="161" t="s">
        <v>74</v>
      </c>
      <c r="E14554" s="135">
        <f t="shared" si="62"/>
        <v>8</v>
      </c>
      <c r="F14554" s="134" t="s">
        <v>3587</v>
      </c>
      <c r="G14554" s="63" t="str">
        <f>VLOOKUP(C14554, 'Class Def. - General Data'!$C$20:$C$1000,1,false)</f>
        <v>ZSI1_WASHER</v>
      </c>
      <c r="H14554" s="63" t="str">
        <f>IFERROR(__xludf.DUMMYFUNCTION("VLOOKUP(F14554, IMPORTRANGE(""https://docs.google.com/spreadsheets/d/1Lhp9OU0JdFf_VYSMzH5lBcEaU4o8teT1piV-SNzShjg/edit?gid=554141278#gid=554141278"", ""'Char Def. - Attributes'!C20:C2242""), 1,false)"),"PLANT_BUY")</f>
        <v>PLANT_BUY</v>
      </c>
      <c r="I14554" s="136"/>
      <c r="R14554" s="63" t="str">
        <f t="shared" si="60"/>
        <v>ZSI1_WASHERPLANT_BUY</v>
      </c>
    </row>
    <row r="14555" ht="15.75" customHeight="1">
      <c r="A14555" s="59"/>
      <c r="B14555" s="63">
        <f t="shared" si="1"/>
        <v>11</v>
      </c>
      <c r="C14555" s="135" t="s">
        <v>337</v>
      </c>
      <c r="D14555" s="161" t="s">
        <v>74</v>
      </c>
      <c r="E14555" s="135">
        <f t="shared" si="62"/>
        <v>9</v>
      </c>
      <c r="F14555" s="134" t="s">
        <v>5618</v>
      </c>
      <c r="G14555" s="63" t="str">
        <f>VLOOKUP(C14555, 'Class Def. - General Data'!$C$20:$C$1000,1,false)</f>
        <v>ZSI1_WASHER</v>
      </c>
      <c r="H14555" s="63" t="str">
        <f>IFERROR(__xludf.DUMMYFUNCTION("VLOOKUP(F14555, IMPORTRANGE(""https://docs.google.com/spreadsheets/d/1Lhp9OU0JdFf_VYSMzH5lBcEaU4o8teT1piV-SNzShjg/edit?gid=554141278#gid=554141278"", ""'Char Def. - Attributes'!C20:C2242""), 1,false)"),"BASE_UOM_WASHER")</f>
        <v>BASE_UOM_WASHER</v>
      </c>
      <c r="I14555" s="136"/>
      <c r="R14555" s="63" t="str">
        <f t="shared" si="60"/>
        <v>ZSI1_WASHERBASE_UOM_WASHER</v>
      </c>
    </row>
    <row r="14556" ht="15.75" customHeight="1">
      <c r="A14556" s="59"/>
      <c r="B14556" s="63">
        <f t="shared" si="1"/>
        <v>11</v>
      </c>
      <c r="C14556" s="135" t="s">
        <v>337</v>
      </c>
      <c r="D14556" s="161" t="s">
        <v>74</v>
      </c>
      <c r="E14556" s="135">
        <f t="shared" si="62"/>
        <v>10</v>
      </c>
      <c r="F14556" s="134" t="s">
        <v>5619</v>
      </c>
      <c r="G14556" s="63" t="str">
        <f>VLOOKUP(C14556, 'Class Def. - General Data'!$C$20:$C$1000,1,false)</f>
        <v>ZSI1_WASHER</v>
      </c>
      <c r="H14556" s="63" t="str">
        <f>IFERROR(__xludf.DUMMYFUNCTION("VLOOKUP(F14556, IMPORTRANGE(""https://docs.google.com/spreadsheets/d/1Lhp9OU0JdFf_VYSMzH5lBcEaU4o8teT1piV-SNzShjg/edit?gid=554141278#gid=554141278"", ""'Char Def. - Attributes'!C20:C2242""), 1,false)"),"ORDER_UNIT_WASHER")</f>
        <v>ORDER_UNIT_WASHER</v>
      </c>
      <c r="I14556" s="136"/>
      <c r="R14556" s="63" t="str">
        <f t="shared" si="60"/>
        <v>ZSI1_WASHERORDER_UNIT_WASHER</v>
      </c>
    </row>
    <row r="14557" ht="15.75" customHeight="1">
      <c r="A14557" s="59"/>
      <c r="B14557" s="63">
        <f t="shared" si="1"/>
        <v>11</v>
      </c>
      <c r="C14557" s="135" t="s">
        <v>337</v>
      </c>
      <c r="D14557" s="161" t="s">
        <v>74</v>
      </c>
      <c r="E14557" s="135">
        <f t="shared" si="62"/>
        <v>11</v>
      </c>
      <c r="F14557" s="134" t="s">
        <v>4056</v>
      </c>
      <c r="G14557" s="63" t="str">
        <f>VLOOKUP(C14557, 'Class Def. - General Data'!$C$20:$C$1000,1,false)</f>
        <v>ZSI1_WASHER</v>
      </c>
      <c r="H14557" s="63" t="str">
        <f>IFERROR(__xludf.DUMMYFUNCTION("VLOOKUP(F14557, IMPORTRANGE(""https://docs.google.com/spreadsheets/d/1Lhp9OU0JdFf_VYSMzH5lBcEaU4o8teT1piV-SNzShjg/edit?gid=554141278#gid=554141278"", ""'Char Def. - Attributes'!C20:C2242""), 1,false)"),"GROSS_WEIGHT_OPT")</f>
        <v>GROSS_WEIGHT_OPT</v>
      </c>
      <c r="I14557" s="136"/>
      <c r="R14557" s="63" t="str">
        <f t="shared" si="60"/>
        <v>ZSI1_WASHERGROSS_WEIGHT_OPT</v>
      </c>
    </row>
    <row r="14558" ht="15.75" customHeight="1">
      <c r="A14558" s="59"/>
      <c r="B14558" s="63">
        <f t="shared" si="1"/>
        <v>11</v>
      </c>
      <c r="C14558" s="135" t="s">
        <v>337</v>
      </c>
      <c r="D14558" s="161" t="s">
        <v>74</v>
      </c>
      <c r="E14558" s="135">
        <f t="shared" si="62"/>
        <v>12</v>
      </c>
      <c r="F14558" s="134" t="s">
        <v>4057</v>
      </c>
      <c r="G14558" s="63" t="str">
        <f>VLOOKUP(C14558, 'Class Def. - General Data'!$C$20:$C$1000,1,false)</f>
        <v>ZSI1_WASHER</v>
      </c>
      <c r="H14558" s="63" t="str">
        <f>IFERROR(__xludf.DUMMYFUNCTION("VLOOKUP(F14558, IMPORTRANGE(""https://docs.google.com/spreadsheets/d/1Lhp9OU0JdFf_VYSMzH5lBcEaU4o8teT1piV-SNzShjg/edit?gid=554141278#gid=554141278"", ""'Char Def. - Attributes'!C20:C2242""), 1,false)"),"NET_WEIGHT_OPT")</f>
        <v>NET_WEIGHT_OPT</v>
      </c>
      <c r="I14558" s="136"/>
      <c r="R14558" s="63" t="str">
        <f t="shared" si="60"/>
        <v>ZSI1_WASHERNET_WEIGHT_OPT</v>
      </c>
    </row>
    <row r="14559" ht="15.75" customHeight="1">
      <c r="A14559" s="59"/>
      <c r="B14559" s="63">
        <f t="shared" si="1"/>
        <v>11</v>
      </c>
      <c r="C14559" s="135" t="s">
        <v>337</v>
      </c>
      <c r="D14559" s="161" t="s">
        <v>74</v>
      </c>
      <c r="E14559" s="135">
        <f t="shared" si="62"/>
        <v>13</v>
      </c>
      <c r="F14559" s="134" t="s">
        <v>4058</v>
      </c>
      <c r="G14559" s="63" t="str">
        <f>VLOOKUP(C14559, 'Class Def. - General Data'!$C$20:$C$1000,1,false)</f>
        <v>ZSI1_WASHER</v>
      </c>
      <c r="H14559" s="63" t="str">
        <f>IFERROR(__xludf.DUMMYFUNCTION("VLOOKUP(F14559, IMPORTRANGE(""https://docs.google.com/spreadsheets/d/1Lhp9OU0JdFf_VYSMzH5lBcEaU4o8teT1piV-SNzShjg/edit?gid=554141278#gid=554141278"", ""'Char Def. - Attributes'!C20:C2242""), 1,false)"),"WEIGHT_UNIT_SI")</f>
        <v>WEIGHT_UNIT_SI</v>
      </c>
      <c r="I14559" s="136"/>
      <c r="R14559" s="63" t="str">
        <f t="shared" si="60"/>
        <v>ZSI1_WASHERWEIGHT_UNIT_SI</v>
      </c>
    </row>
    <row r="14560" ht="15.75" customHeight="1">
      <c r="A14560" s="59"/>
      <c r="B14560" s="63">
        <f t="shared" si="1"/>
        <v>11</v>
      </c>
      <c r="C14560" s="135" t="s">
        <v>337</v>
      </c>
      <c r="D14560" s="161" t="s">
        <v>74</v>
      </c>
      <c r="E14560" s="135">
        <f t="shared" si="62"/>
        <v>14</v>
      </c>
      <c r="F14560" s="134" t="s">
        <v>3877</v>
      </c>
      <c r="G14560" s="63" t="str">
        <f>VLOOKUP(C14560, 'Class Def. - General Data'!$C$20:$C$1000,1,false)</f>
        <v>ZSI1_WASHER</v>
      </c>
      <c r="H14560" s="63" t="str">
        <f>IFERROR(__xludf.DUMMYFUNCTION("VLOOKUP(F14560, IMPORTRANGE(""https://docs.google.com/spreadsheets/d/1Lhp9OU0JdFf_VYSMzH5lBcEaU4o8teT1piV-SNzShjg/edit?gid=554141278#gid=554141278"", ""'Char Def. - Attributes'!C20:C2242""), 1,false)"),"VOLUME_OPT")</f>
        <v>VOLUME_OPT</v>
      </c>
      <c r="I14560" s="136"/>
      <c r="R14560" s="63" t="str">
        <f t="shared" si="60"/>
        <v>ZSI1_WASHERVOLUME_OPT</v>
      </c>
    </row>
    <row r="14561" ht="15.75" customHeight="1">
      <c r="A14561" s="59"/>
      <c r="B14561" s="63">
        <f t="shared" si="1"/>
        <v>11</v>
      </c>
      <c r="C14561" s="135" t="s">
        <v>337</v>
      </c>
      <c r="D14561" s="161" t="s">
        <v>74</v>
      </c>
      <c r="E14561" s="135">
        <f t="shared" si="62"/>
        <v>15</v>
      </c>
      <c r="F14561" s="134" t="s">
        <v>4059</v>
      </c>
      <c r="G14561" s="63" t="str">
        <f>VLOOKUP(C14561, 'Class Def. - General Data'!$C$20:$C$1000,1,false)</f>
        <v>ZSI1_WASHER</v>
      </c>
      <c r="H14561" s="63" t="str">
        <f>IFERROR(__xludf.DUMMYFUNCTION("VLOOKUP(F14561, IMPORTRANGE(""https://docs.google.com/spreadsheets/d/1Lhp9OU0JdFf_VYSMzH5lBcEaU4o8teT1piV-SNzShjg/edit?gid=554141278#gid=554141278"", ""'Char Def. - Attributes'!C20:C2242""), 1,false)"),"VOLUME_UNIT_SI")</f>
        <v>VOLUME_UNIT_SI</v>
      </c>
      <c r="I14561" s="136"/>
      <c r="R14561" s="63" t="str">
        <f t="shared" si="60"/>
        <v>ZSI1_WASHERVOLUME_UNIT_SI</v>
      </c>
    </row>
    <row r="14562" ht="15.75" customHeight="1">
      <c r="A14562" s="59"/>
      <c r="B14562" s="63">
        <f t="shared" si="1"/>
        <v>11</v>
      </c>
      <c r="C14562" s="135" t="s">
        <v>337</v>
      </c>
      <c r="D14562" s="161" t="s">
        <v>74</v>
      </c>
      <c r="E14562" s="135">
        <f t="shared" si="62"/>
        <v>16</v>
      </c>
      <c r="F14562" s="134" t="s">
        <v>3804</v>
      </c>
      <c r="G14562" s="63" t="str">
        <f>VLOOKUP(C14562, 'Class Def. - General Data'!$C$20:$C$1000,1,false)</f>
        <v>ZSI1_WASHER</v>
      </c>
      <c r="H14562" s="63" t="str">
        <f>IFERROR(__xludf.DUMMYFUNCTION("VLOOKUP(F14562, IMPORTRANGE(""https://docs.google.com/spreadsheets/d/1Lhp9OU0JdFf_VYSMzH5lBcEaU4o8teT1piV-SNzShjg/edit?gid=554141278#gid=554141278"", ""'Char Def. - Attributes'!C20:C2242""), 1,false)"),"ALT_UOM1_SIPI")</f>
        <v>ALT_UOM1_SIPI</v>
      </c>
      <c r="I14562" s="136"/>
      <c r="R14562" s="63" t="str">
        <f t="shared" si="60"/>
        <v>ZSI1_WASHERALT_UOM1_SIPI</v>
      </c>
    </row>
    <row r="14563" ht="15.75" customHeight="1">
      <c r="A14563" s="59"/>
      <c r="B14563" s="63">
        <f t="shared" si="1"/>
        <v>11</v>
      </c>
      <c r="C14563" s="135" t="s">
        <v>337</v>
      </c>
      <c r="D14563" s="161" t="s">
        <v>74</v>
      </c>
      <c r="E14563" s="135">
        <f t="shared" si="62"/>
        <v>17</v>
      </c>
      <c r="F14563" s="134" t="s">
        <v>3805</v>
      </c>
      <c r="G14563" s="63" t="str">
        <f>VLOOKUP(C14563, 'Class Def. - General Data'!$C$20:$C$1000,1,false)</f>
        <v>ZSI1_WASHER</v>
      </c>
      <c r="H14563" s="63" t="str">
        <f>IFERROR(__xludf.DUMMYFUNCTION("VLOOKUP(F14563, IMPORTRANGE(""https://docs.google.com/spreadsheets/d/1Lhp9OU0JdFf_VYSMzH5lBcEaU4o8teT1piV-SNzShjg/edit?gid=554141278#gid=554141278"", ""'Char Def. - Attributes'!C20:C2242""), 1,false)"),"ALT_DENUM_UOM1")</f>
        <v>ALT_DENUM_UOM1</v>
      </c>
      <c r="I14563" s="136"/>
      <c r="R14563" s="63" t="str">
        <f t="shared" si="60"/>
        <v>ZSI1_WASHERALT_DENUM_UOM1</v>
      </c>
    </row>
    <row r="14564" ht="15.75" customHeight="1">
      <c r="A14564" s="59"/>
      <c r="B14564" s="63">
        <f t="shared" si="1"/>
        <v>11</v>
      </c>
      <c r="C14564" s="135" t="s">
        <v>337</v>
      </c>
      <c r="D14564" s="161" t="s">
        <v>74</v>
      </c>
      <c r="E14564" s="135">
        <f t="shared" si="62"/>
        <v>18</v>
      </c>
      <c r="F14564" s="134" t="s">
        <v>3806</v>
      </c>
      <c r="G14564" s="63" t="str">
        <f>VLOOKUP(C14564, 'Class Def. - General Data'!$C$20:$C$1000,1,false)</f>
        <v>ZSI1_WASHER</v>
      </c>
      <c r="H14564" s="63" t="str">
        <f>IFERROR(__xludf.DUMMYFUNCTION("VLOOKUP(F14564, IMPORTRANGE(""https://docs.google.com/spreadsheets/d/1Lhp9OU0JdFf_VYSMzH5lBcEaU4o8teT1piV-SNzShjg/edit?gid=554141278#gid=554141278"", ""'Char Def. - Attributes'!C20:C2242""), 1,false)"),"ALT_NUM_UOM1")</f>
        <v>ALT_NUM_UOM1</v>
      </c>
      <c r="I14564" s="136"/>
      <c r="R14564" s="63" t="str">
        <f t="shared" si="60"/>
        <v>ZSI1_WASHERALT_NUM_UOM1</v>
      </c>
    </row>
    <row r="14565" ht="15.75" customHeight="1">
      <c r="A14565" s="59"/>
      <c r="B14565" s="63">
        <f t="shared" si="1"/>
        <v>11</v>
      </c>
      <c r="C14565" s="135" t="s">
        <v>337</v>
      </c>
      <c r="D14565" s="161" t="s">
        <v>74</v>
      </c>
      <c r="E14565" s="135">
        <f t="shared" si="62"/>
        <v>19</v>
      </c>
      <c r="F14565" s="134" t="s">
        <v>3807</v>
      </c>
      <c r="G14565" s="63" t="str">
        <f>VLOOKUP(C14565, 'Class Def. - General Data'!$C$20:$C$1000,1,false)</f>
        <v>ZSI1_WASHER</v>
      </c>
      <c r="H14565" s="63" t="str">
        <f>IFERROR(__xludf.DUMMYFUNCTION("VLOOKUP(F14565, IMPORTRANGE(""https://docs.google.com/spreadsheets/d/1Lhp9OU0JdFf_VYSMzH5lBcEaU4o8teT1piV-SNzShjg/edit?gid=554141278#gid=554141278"", ""'Char Def. - Attributes'!C20:C2242""), 1,false)"),"ALT_UOM2_SIPI")</f>
        <v>ALT_UOM2_SIPI</v>
      </c>
      <c r="I14565" s="136"/>
      <c r="R14565" s="63" t="str">
        <f t="shared" si="60"/>
        <v>ZSI1_WASHERALT_UOM2_SIPI</v>
      </c>
    </row>
    <row r="14566" ht="15.75" customHeight="1">
      <c r="A14566" s="59"/>
      <c r="B14566" s="63">
        <f t="shared" si="1"/>
        <v>11</v>
      </c>
      <c r="C14566" s="135" t="s">
        <v>337</v>
      </c>
      <c r="D14566" s="161" t="s">
        <v>74</v>
      </c>
      <c r="E14566" s="135">
        <f t="shared" si="62"/>
        <v>20</v>
      </c>
      <c r="F14566" s="134" t="s">
        <v>3808</v>
      </c>
      <c r="G14566" s="63" t="str">
        <f>VLOOKUP(C14566, 'Class Def. - General Data'!$C$20:$C$1000,1,false)</f>
        <v>ZSI1_WASHER</v>
      </c>
      <c r="H14566" s="63" t="str">
        <f>IFERROR(__xludf.DUMMYFUNCTION("VLOOKUP(F14566, IMPORTRANGE(""https://docs.google.com/spreadsheets/d/1Lhp9OU0JdFf_VYSMzH5lBcEaU4o8teT1piV-SNzShjg/edit?gid=554141278#gid=554141278"", ""'Char Def. - Attributes'!C20:C2242""), 1,false)"),"ALT_DENUM_UOM2")</f>
        <v>ALT_DENUM_UOM2</v>
      </c>
      <c r="I14566" s="136"/>
      <c r="R14566" s="63" t="str">
        <f t="shared" si="60"/>
        <v>ZSI1_WASHERALT_DENUM_UOM2</v>
      </c>
    </row>
    <row r="14567" ht="15.75" customHeight="1">
      <c r="A14567" s="59"/>
      <c r="B14567" s="63">
        <f t="shared" si="1"/>
        <v>11</v>
      </c>
      <c r="C14567" s="135" t="s">
        <v>337</v>
      </c>
      <c r="D14567" s="161" t="s">
        <v>74</v>
      </c>
      <c r="E14567" s="135">
        <f t="shared" si="62"/>
        <v>21</v>
      </c>
      <c r="F14567" s="134" t="s">
        <v>3809</v>
      </c>
      <c r="G14567" s="63" t="str">
        <f>VLOOKUP(C14567, 'Class Def. - General Data'!$C$20:$C$1000,1,false)</f>
        <v>ZSI1_WASHER</v>
      </c>
      <c r="H14567" s="63" t="str">
        <f>IFERROR(__xludf.DUMMYFUNCTION("VLOOKUP(F14567, IMPORTRANGE(""https://docs.google.com/spreadsheets/d/1Lhp9OU0JdFf_VYSMzH5lBcEaU4o8teT1piV-SNzShjg/edit?gid=554141278#gid=554141278"", ""'Char Def. - Attributes'!C20:C2242""), 1,false)"),"ALT_NUM_UOM2")</f>
        <v>ALT_NUM_UOM2</v>
      </c>
      <c r="I14567" s="136"/>
      <c r="R14567" s="63" t="str">
        <f t="shared" si="60"/>
        <v>ZSI1_WASHERALT_NUM_UOM2</v>
      </c>
    </row>
    <row r="14568" ht="15.75" customHeight="1">
      <c r="A14568" s="59"/>
      <c r="B14568" s="63">
        <f t="shared" si="1"/>
        <v>11</v>
      </c>
      <c r="C14568" s="135" t="s">
        <v>337</v>
      </c>
      <c r="D14568" s="161" t="s">
        <v>74</v>
      </c>
      <c r="E14568" s="135">
        <f t="shared" si="62"/>
        <v>22</v>
      </c>
      <c r="F14568" s="134" t="s">
        <v>3810</v>
      </c>
      <c r="G14568" s="63" t="str">
        <f>VLOOKUP(C14568, 'Class Def. - General Data'!$C$20:$C$1000,1,false)</f>
        <v>ZSI1_WASHER</v>
      </c>
      <c r="H14568" s="63" t="str">
        <f>IFERROR(__xludf.DUMMYFUNCTION("VLOOKUP(F14568, IMPORTRANGE(""https://docs.google.com/spreadsheets/d/1Lhp9OU0JdFf_VYSMzH5lBcEaU4o8teT1piV-SNzShjg/edit?gid=554141278#gid=554141278"", ""'Char Def. - Attributes'!C20:C2242""), 1,false)"),"ALT_UOM3_SIPI")</f>
        <v>ALT_UOM3_SIPI</v>
      </c>
      <c r="I14568" s="136"/>
      <c r="R14568" s="63" t="str">
        <f t="shared" si="60"/>
        <v>ZSI1_WASHERALT_UOM3_SIPI</v>
      </c>
    </row>
    <row r="14569" ht="15.75" customHeight="1">
      <c r="A14569" s="59"/>
      <c r="B14569" s="63">
        <f t="shared" si="1"/>
        <v>11</v>
      </c>
      <c r="C14569" s="135" t="s">
        <v>337</v>
      </c>
      <c r="D14569" s="161" t="s">
        <v>74</v>
      </c>
      <c r="E14569" s="135">
        <f t="shared" si="62"/>
        <v>23</v>
      </c>
      <c r="F14569" s="134" t="s">
        <v>3811</v>
      </c>
      <c r="G14569" s="63" t="str">
        <f>VLOOKUP(C14569, 'Class Def. - General Data'!$C$20:$C$1000,1,false)</f>
        <v>ZSI1_WASHER</v>
      </c>
      <c r="H14569" s="63" t="str">
        <f>IFERROR(__xludf.DUMMYFUNCTION("VLOOKUP(F14569, IMPORTRANGE(""https://docs.google.com/spreadsheets/d/1Lhp9OU0JdFf_VYSMzH5lBcEaU4o8teT1piV-SNzShjg/edit?gid=554141278#gid=554141278"", ""'Char Def. - Attributes'!C20:C2242""), 1,false)"),"ALT_DENUM_UOM3")</f>
        <v>ALT_DENUM_UOM3</v>
      </c>
      <c r="I14569" s="136"/>
      <c r="R14569" s="63" t="str">
        <f t="shared" si="60"/>
        <v>ZSI1_WASHERALT_DENUM_UOM3</v>
      </c>
    </row>
    <row r="14570" ht="15.75" customHeight="1">
      <c r="A14570" s="59"/>
      <c r="B14570" s="63">
        <f t="shared" si="1"/>
        <v>11</v>
      </c>
      <c r="C14570" s="135" t="s">
        <v>337</v>
      </c>
      <c r="D14570" s="161" t="s">
        <v>74</v>
      </c>
      <c r="E14570" s="135">
        <f t="shared" si="62"/>
        <v>24</v>
      </c>
      <c r="F14570" s="134" t="s">
        <v>3812</v>
      </c>
      <c r="G14570" s="63" t="str">
        <f>VLOOKUP(C14570, 'Class Def. - General Data'!$C$20:$C$1000,1,false)</f>
        <v>ZSI1_WASHER</v>
      </c>
      <c r="H14570" s="63" t="str">
        <f>IFERROR(__xludf.DUMMYFUNCTION("VLOOKUP(F14570, IMPORTRANGE(""https://docs.google.com/spreadsheets/d/1Lhp9OU0JdFf_VYSMzH5lBcEaU4o8teT1piV-SNzShjg/edit?gid=554141278#gid=554141278"", ""'Char Def. - Attributes'!C20:C2242""), 1,false)"),"ALT_NUM_UOM3")</f>
        <v>ALT_NUM_UOM3</v>
      </c>
      <c r="I14570" s="136"/>
      <c r="R14570" s="63" t="str">
        <f t="shared" si="60"/>
        <v>ZSI1_WASHERALT_NUM_UOM3</v>
      </c>
    </row>
    <row r="14571" ht="15.75" customHeight="1">
      <c r="A14571" s="59"/>
      <c r="B14571" s="63">
        <f t="shared" si="1"/>
        <v>11</v>
      </c>
      <c r="C14571" s="135" t="s">
        <v>337</v>
      </c>
      <c r="D14571" s="161" t="s">
        <v>74</v>
      </c>
      <c r="E14571" s="135">
        <f t="shared" si="62"/>
        <v>25</v>
      </c>
      <c r="F14571" s="134" t="s">
        <v>3813</v>
      </c>
      <c r="G14571" s="63" t="str">
        <f>VLOOKUP(C14571, 'Class Def. - General Data'!$C$20:$C$1000,1,false)</f>
        <v>ZSI1_WASHER</v>
      </c>
      <c r="H14571" s="63" t="str">
        <f>IFERROR(__xludf.DUMMYFUNCTION("VLOOKUP(F14571, IMPORTRANGE(""https://docs.google.com/spreadsheets/d/1Lhp9OU0JdFf_VYSMzH5lBcEaU4o8teT1piV-SNzShjg/edit?gid=554141278#gid=554141278"", ""'Char Def. - Attributes'!C20:C2242""), 1,false)"),"ALT_UOM4_SIPI")</f>
        <v>ALT_UOM4_SIPI</v>
      </c>
      <c r="I14571" s="136"/>
      <c r="R14571" s="63" t="str">
        <f t="shared" si="60"/>
        <v>ZSI1_WASHERALT_UOM4_SIPI</v>
      </c>
    </row>
    <row r="14572" ht="15.75" customHeight="1">
      <c r="A14572" s="59"/>
      <c r="B14572" s="63">
        <f t="shared" si="1"/>
        <v>11</v>
      </c>
      <c r="C14572" s="135" t="s">
        <v>337</v>
      </c>
      <c r="D14572" s="161" t="s">
        <v>74</v>
      </c>
      <c r="E14572" s="135">
        <f t="shared" si="62"/>
        <v>26</v>
      </c>
      <c r="F14572" s="134" t="s">
        <v>3814</v>
      </c>
      <c r="G14572" s="63" t="str">
        <f>VLOOKUP(C14572, 'Class Def. - General Data'!$C$20:$C$1000,1,false)</f>
        <v>ZSI1_WASHER</v>
      </c>
      <c r="H14572" s="63" t="str">
        <f>IFERROR(__xludf.DUMMYFUNCTION("VLOOKUP(F14572, IMPORTRANGE(""https://docs.google.com/spreadsheets/d/1Lhp9OU0JdFf_VYSMzH5lBcEaU4o8teT1piV-SNzShjg/edit?gid=554141278#gid=554141278"", ""'Char Def. - Attributes'!C20:C2242""), 1,false)"),"ALT_DENUM_UOM4")</f>
        <v>ALT_DENUM_UOM4</v>
      </c>
      <c r="I14572" s="136"/>
      <c r="R14572" s="63" t="str">
        <f t="shared" si="60"/>
        <v>ZSI1_WASHERALT_DENUM_UOM4</v>
      </c>
    </row>
    <row r="14573" ht="15.75" customHeight="1">
      <c r="A14573" s="59"/>
      <c r="B14573" s="63">
        <f t="shared" si="1"/>
        <v>11</v>
      </c>
      <c r="C14573" s="135" t="s">
        <v>337</v>
      </c>
      <c r="D14573" s="161" t="s">
        <v>74</v>
      </c>
      <c r="E14573" s="135">
        <f t="shared" si="62"/>
        <v>27</v>
      </c>
      <c r="F14573" s="134" t="s">
        <v>3815</v>
      </c>
      <c r="G14573" s="63" t="str">
        <f>VLOOKUP(C14573, 'Class Def. - General Data'!$C$20:$C$1000,1,false)</f>
        <v>ZSI1_WASHER</v>
      </c>
      <c r="H14573" s="63" t="str">
        <f>IFERROR(__xludf.DUMMYFUNCTION("VLOOKUP(F14573, IMPORTRANGE(""https://docs.google.com/spreadsheets/d/1Lhp9OU0JdFf_VYSMzH5lBcEaU4o8teT1piV-SNzShjg/edit?gid=554141278#gid=554141278"", ""'Char Def. - Attributes'!C20:C2242""), 1,false)"),"ALT_NUM_UOM4")</f>
        <v>ALT_NUM_UOM4</v>
      </c>
      <c r="I14573" s="136"/>
      <c r="R14573" s="63" t="str">
        <f t="shared" si="60"/>
        <v>ZSI1_WASHERALT_NUM_UOM4</v>
      </c>
    </row>
    <row r="14574" ht="15.75" customHeight="1">
      <c r="A14574" s="59"/>
      <c r="B14574" s="63">
        <f t="shared" si="1"/>
        <v>11</v>
      </c>
      <c r="C14574" s="135" t="s">
        <v>337</v>
      </c>
      <c r="D14574" s="161" t="s">
        <v>74</v>
      </c>
      <c r="E14574" s="135">
        <f t="shared" si="62"/>
        <v>28</v>
      </c>
      <c r="F14574" s="134" t="s">
        <v>3816</v>
      </c>
      <c r="G14574" s="63" t="str">
        <f>VLOOKUP(C14574, 'Class Def. - General Data'!$C$20:$C$1000,1,false)</f>
        <v>ZSI1_WASHER</v>
      </c>
      <c r="H14574" s="63" t="str">
        <f>IFERROR(__xludf.DUMMYFUNCTION("VLOOKUP(F14574, IMPORTRANGE(""https://docs.google.com/spreadsheets/d/1Lhp9OU0JdFf_VYSMzH5lBcEaU4o8teT1piV-SNzShjg/edit?gid=554141278#gid=554141278"", ""'Char Def. - Attributes'!C20:C2242""), 1,false)"),"ALT_UOM5_SIPI")</f>
        <v>ALT_UOM5_SIPI</v>
      </c>
      <c r="I14574" s="136"/>
      <c r="R14574" s="63" t="str">
        <f t="shared" si="60"/>
        <v>ZSI1_WASHERALT_UOM5_SIPI</v>
      </c>
    </row>
    <row r="14575" ht="15.75" customHeight="1">
      <c r="A14575" s="59"/>
      <c r="B14575" s="63">
        <f t="shared" si="1"/>
        <v>11</v>
      </c>
      <c r="C14575" s="135" t="s">
        <v>337</v>
      </c>
      <c r="D14575" s="161" t="s">
        <v>74</v>
      </c>
      <c r="E14575" s="135">
        <f t="shared" si="62"/>
        <v>29</v>
      </c>
      <c r="F14575" s="134" t="s">
        <v>3817</v>
      </c>
      <c r="G14575" s="63" t="str">
        <f>VLOOKUP(C14575, 'Class Def. - General Data'!$C$20:$C$1000,1,false)</f>
        <v>ZSI1_WASHER</v>
      </c>
      <c r="H14575" s="63" t="str">
        <f>IFERROR(__xludf.DUMMYFUNCTION("VLOOKUP(F14575, IMPORTRANGE(""https://docs.google.com/spreadsheets/d/1Lhp9OU0JdFf_VYSMzH5lBcEaU4o8teT1piV-SNzShjg/edit?gid=554141278#gid=554141278"", ""'Char Def. - Attributes'!C20:C2242""), 1,false)"),"ALT_DENUM_UOM5")</f>
        <v>ALT_DENUM_UOM5</v>
      </c>
      <c r="I14575" s="136"/>
      <c r="R14575" s="63" t="str">
        <f t="shared" si="60"/>
        <v>ZSI1_WASHERALT_DENUM_UOM5</v>
      </c>
    </row>
    <row r="14576" ht="15.75" customHeight="1">
      <c r="A14576" s="59"/>
      <c r="B14576" s="63">
        <f t="shared" si="1"/>
        <v>11</v>
      </c>
      <c r="C14576" s="135" t="s">
        <v>337</v>
      </c>
      <c r="D14576" s="161" t="s">
        <v>74</v>
      </c>
      <c r="E14576" s="135">
        <f t="shared" si="62"/>
        <v>30</v>
      </c>
      <c r="F14576" s="134" t="s">
        <v>3818</v>
      </c>
      <c r="G14576" s="63" t="str">
        <f>VLOOKUP(C14576, 'Class Def. - General Data'!$C$20:$C$1000,1,false)</f>
        <v>ZSI1_WASHER</v>
      </c>
      <c r="H14576" s="63" t="str">
        <f>IFERROR(__xludf.DUMMYFUNCTION("VLOOKUP(F14576, IMPORTRANGE(""https://docs.google.com/spreadsheets/d/1Lhp9OU0JdFf_VYSMzH5lBcEaU4o8teT1piV-SNzShjg/edit?gid=554141278#gid=554141278"", ""'Char Def. - Attributes'!C20:C2242""), 1,false)"),"ALT_NUM_UOM5")</f>
        <v>ALT_NUM_UOM5</v>
      </c>
      <c r="I14576" s="136"/>
      <c r="R14576" s="63" t="str">
        <f t="shared" si="60"/>
        <v>ZSI1_WASHERALT_NUM_UOM5</v>
      </c>
    </row>
    <row r="14577" ht="15.75" customHeight="1">
      <c r="A14577" s="59"/>
      <c r="B14577" s="63">
        <f t="shared" si="1"/>
        <v>15</v>
      </c>
      <c r="C14577" s="135" t="s">
        <v>343</v>
      </c>
      <c r="D14577" s="161" t="s">
        <v>74</v>
      </c>
      <c r="E14577" s="135">
        <f t="shared" si="62"/>
        <v>1</v>
      </c>
      <c r="F14577" s="134" t="s">
        <v>5620</v>
      </c>
      <c r="G14577" s="63" t="str">
        <f>VLOOKUP(C14577, 'Class Def. - General Data'!$C$20:$C$1000,1,false)</f>
        <v>ZSI1_WATER_HOSE</v>
      </c>
      <c r="H14577" s="63" t="str">
        <f>IFERROR(__xludf.DUMMYFUNCTION("VLOOKUP(F14577, IMPORTRANGE(""https://docs.google.com/spreadsheets/d/1Lhp9OU0JdFf_VYSMzH5lBcEaU4o8teT1piV-SNzShjg/edit?gid=554141278#gid=554141278"", ""'Char Def. - Attributes'!C20:C2242""), 1,false)"),"ITEM_NAME_WATER_HOSE")</f>
        <v>ITEM_NAME_WATER_HOSE</v>
      </c>
      <c r="I14577" s="136"/>
      <c r="R14577" s="63" t="str">
        <f t="shared" si="60"/>
        <v>ZSI1_WATER_HOSEITEM_NAME_WATER_HOSE</v>
      </c>
    </row>
    <row r="14578" ht="15.75" customHeight="1">
      <c r="A14578" s="59"/>
      <c r="B14578" s="63">
        <f t="shared" si="1"/>
        <v>15</v>
      </c>
      <c r="C14578" s="135" t="s">
        <v>343</v>
      </c>
      <c r="D14578" s="161" t="s">
        <v>74</v>
      </c>
      <c r="E14578" s="135">
        <f t="shared" si="62"/>
        <v>2</v>
      </c>
      <c r="F14578" s="134" t="s">
        <v>5621</v>
      </c>
      <c r="G14578" s="63" t="str">
        <f>VLOOKUP(C14578, 'Class Def. - General Data'!$C$20:$C$1000,1,false)</f>
        <v>ZSI1_WATER_HOSE</v>
      </c>
      <c r="H14578" s="63" t="str">
        <f>IFERROR(__xludf.DUMMYFUNCTION("VLOOKUP(F14578, IMPORTRANGE(""https://docs.google.com/spreadsheets/d/1Lhp9OU0JdFf_VYSMzH5lBcEaU4o8teT1piV-SNzShjg/edit?gid=554141278#gid=554141278"", ""'Char Def. - Attributes'!C20:C2242""), 1,false)"),"DIAMETER_DIMENSION_WATER_HOSE")</f>
        <v>DIAMETER_DIMENSION_WATER_HOSE</v>
      </c>
      <c r="I14578" s="136"/>
      <c r="R14578" s="63" t="str">
        <f t="shared" si="60"/>
        <v>ZSI1_WATER_HOSEDIAMETER_DIMENSION_WATER_HOSE</v>
      </c>
    </row>
    <row r="14579" ht="15.75" customHeight="1">
      <c r="A14579" s="59"/>
      <c r="B14579" s="63">
        <f t="shared" si="1"/>
        <v>15</v>
      </c>
      <c r="C14579" s="135" t="s">
        <v>343</v>
      </c>
      <c r="D14579" s="161" t="s">
        <v>74</v>
      </c>
      <c r="E14579" s="135">
        <f t="shared" si="62"/>
        <v>3</v>
      </c>
      <c r="F14579" s="134" t="s">
        <v>5622</v>
      </c>
      <c r="G14579" s="63" t="str">
        <f>VLOOKUP(C14579, 'Class Def. - General Data'!$C$20:$C$1000,1,false)</f>
        <v>ZSI1_WATER_HOSE</v>
      </c>
      <c r="H14579" s="63" t="str">
        <f>IFERROR(__xludf.DUMMYFUNCTION("VLOOKUP(F14579, IMPORTRANGE(""https://docs.google.com/spreadsheets/d/1Lhp9OU0JdFf_VYSMzH5lBcEaU4o8teT1piV-SNzShjg/edit?gid=554141278#gid=554141278"", ""'Char Def. - Attributes'!C20:C2242""), 1,false)"),"DIAMETER_MM_WATER_HOSE")</f>
        <v>DIAMETER_MM_WATER_HOSE</v>
      </c>
      <c r="I14579" s="136"/>
      <c r="R14579" s="63" t="str">
        <f t="shared" si="60"/>
        <v>ZSI1_WATER_HOSEDIAMETER_MM_WATER_HOSE</v>
      </c>
    </row>
    <row r="14580" ht="15.75" customHeight="1">
      <c r="A14580" s="59"/>
      <c r="B14580" s="63">
        <f t="shared" si="1"/>
        <v>15</v>
      </c>
      <c r="C14580" s="135" t="s">
        <v>343</v>
      </c>
      <c r="D14580" s="161" t="s">
        <v>74</v>
      </c>
      <c r="E14580" s="135">
        <f t="shared" si="62"/>
        <v>4</v>
      </c>
      <c r="F14580" s="134" t="s">
        <v>5623</v>
      </c>
      <c r="G14580" s="63" t="str">
        <f>VLOOKUP(C14580, 'Class Def. - General Data'!$C$20:$C$1000,1,false)</f>
        <v>ZSI1_WATER_HOSE</v>
      </c>
      <c r="H14580" s="63" t="str">
        <f>IFERROR(__xludf.DUMMYFUNCTION("VLOOKUP(F14580, IMPORTRANGE(""https://docs.google.com/spreadsheets/d/1Lhp9OU0JdFf_VYSMzH5lBcEaU4o8teT1piV-SNzShjg/edit?gid=554141278#gid=554141278"", ""'Char Def. - Attributes'!C20:C2242""), 1,false)"),"DIAMETER_INCH_WATER_HOSE")</f>
        <v>DIAMETER_INCH_WATER_HOSE</v>
      </c>
      <c r="I14580" s="136"/>
      <c r="R14580" s="63" t="str">
        <f t="shared" si="60"/>
        <v>ZSI1_WATER_HOSEDIAMETER_INCH_WATER_HOSE</v>
      </c>
    </row>
    <row r="14581" ht="15.75" customHeight="1">
      <c r="A14581" s="59"/>
      <c r="B14581" s="63">
        <f t="shared" si="1"/>
        <v>15</v>
      </c>
      <c r="C14581" s="135" t="s">
        <v>343</v>
      </c>
      <c r="D14581" s="161" t="s">
        <v>74</v>
      </c>
      <c r="E14581" s="135">
        <f t="shared" si="62"/>
        <v>5</v>
      </c>
      <c r="F14581" s="134" t="s">
        <v>5624</v>
      </c>
      <c r="G14581" s="63" t="str">
        <f>VLOOKUP(C14581, 'Class Def. - General Data'!$C$20:$C$1000,1,false)</f>
        <v>ZSI1_WATER_HOSE</v>
      </c>
      <c r="H14581" s="63" t="str">
        <f>IFERROR(__xludf.DUMMYFUNCTION("VLOOKUP(F14581, IMPORTRANGE(""https://docs.google.com/spreadsheets/d/1Lhp9OU0JdFf_VYSMzH5lBcEaU4o8teT1piV-SNzShjg/edit?gid=554141278#gid=554141278"", ""'Char Def. - Attributes'!C20:C2242""), 1,false)"),"LENGTH_DIMENSION_WATER_HOSE")</f>
        <v>LENGTH_DIMENSION_WATER_HOSE</v>
      </c>
      <c r="I14581" s="136"/>
      <c r="R14581" s="63" t="str">
        <f t="shared" si="60"/>
        <v>ZSI1_WATER_HOSELENGTH_DIMENSION_WATER_HOSE</v>
      </c>
    </row>
    <row r="14582" ht="15.75" customHeight="1">
      <c r="A14582" s="59"/>
      <c r="B14582" s="63">
        <f t="shared" si="1"/>
        <v>15</v>
      </c>
      <c r="C14582" s="135" t="s">
        <v>343</v>
      </c>
      <c r="D14582" s="161" t="s">
        <v>74</v>
      </c>
      <c r="E14582" s="135">
        <f t="shared" si="62"/>
        <v>6</v>
      </c>
      <c r="F14582" s="134" t="s">
        <v>5625</v>
      </c>
      <c r="G14582" s="63" t="str">
        <f>VLOOKUP(C14582, 'Class Def. - General Data'!$C$20:$C$1000,1,false)</f>
        <v>ZSI1_WATER_HOSE</v>
      </c>
      <c r="H14582" s="63" t="str">
        <f>IFERROR(__xludf.DUMMYFUNCTION("VLOOKUP(F14582, IMPORTRANGE(""https://docs.google.com/spreadsheets/d/1Lhp9OU0JdFf_VYSMzH5lBcEaU4o8teT1piV-SNzShjg/edit?gid=554141278#gid=554141278"", ""'Char Def. - Attributes'!C20:C2242""), 1,false)"),"LENGTH_MM_WATER_HOSE")</f>
        <v>LENGTH_MM_WATER_HOSE</v>
      </c>
      <c r="I14582" s="136"/>
      <c r="R14582" s="63" t="str">
        <f t="shared" si="60"/>
        <v>ZSI1_WATER_HOSELENGTH_MM_WATER_HOSE</v>
      </c>
    </row>
    <row r="14583" ht="15.75" customHeight="1">
      <c r="A14583" s="59"/>
      <c r="B14583" s="63">
        <f t="shared" si="1"/>
        <v>15</v>
      </c>
      <c r="C14583" s="135" t="s">
        <v>343</v>
      </c>
      <c r="D14583" s="161" t="s">
        <v>74</v>
      </c>
      <c r="E14583" s="135">
        <f t="shared" si="62"/>
        <v>7</v>
      </c>
      <c r="F14583" s="134" t="s">
        <v>5626</v>
      </c>
      <c r="G14583" s="63" t="str">
        <f>VLOOKUP(C14583, 'Class Def. - General Data'!$C$20:$C$1000,1,false)</f>
        <v>ZSI1_WATER_HOSE</v>
      </c>
      <c r="H14583" s="63" t="str">
        <f>IFERROR(__xludf.DUMMYFUNCTION("VLOOKUP(F14583, IMPORTRANGE(""https://docs.google.com/spreadsheets/d/1Lhp9OU0JdFf_VYSMzH5lBcEaU4o8teT1piV-SNzShjg/edit?gid=554141278#gid=554141278"", ""'Char Def. - Attributes'!C20:C2242""), 1,false)"),"LENGTH_INCH_WATER_HOSE")</f>
        <v>LENGTH_INCH_WATER_HOSE</v>
      </c>
      <c r="I14583" s="136"/>
      <c r="R14583" s="63" t="str">
        <f t="shared" si="60"/>
        <v>ZSI1_WATER_HOSELENGTH_INCH_WATER_HOSE</v>
      </c>
    </row>
    <row r="14584" ht="15.75" customHeight="1">
      <c r="A14584" s="59"/>
      <c r="B14584" s="63">
        <f t="shared" si="1"/>
        <v>15</v>
      </c>
      <c r="C14584" s="135" t="s">
        <v>343</v>
      </c>
      <c r="D14584" s="161" t="s">
        <v>74</v>
      </c>
      <c r="E14584" s="135">
        <f t="shared" si="62"/>
        <v>8</v>
      </c>
      <c r="F14584" s="134" t="s">
        <v>5627</v>
      </c>
      <c r="G14584" s="63" t="str">
        <f>VLOOKUP(C14584, 'Class Def. - General Data'!$C$20:$C$1000,1,false)</f>
        <v>ZSI1_WATER_HOSE</v>
      </c>
      <c r="H14584" s="63" t="str">
        <f>IFERROR(__xludf.DUMMYFUNCTION("VLOOKUP(F14584, IMPORTRANGE(""https://docs.google.com/spreadsheets/d/1Lhp9OU0JdFf_VYSMzH5lBcEaU4o8teT1piV-SNzShjg/edit?gid=554141278#gid=554141278"", ""'Char Def. - Attributes'!C20:C2242""), 1,false)"),"CONNECTION_WATER_HOSE")</f>
        <v>CONNECTION_WATER_HOSE</v>
      </c>
      <c r="I14584" s="136"/>
      <c r="R14584" s="63" t="str">
        <f t="shared" si="60"/>
        <v>ZSI1_WATER_HOSECONNECTION_WATER_HOSE</v>
      </c>
    </row>
    <row r="14585" ht="15.75" customHeight="1">
      <c r="A14585" s="59"/>
      <c r="B14585" s="63">
        <f t="shared" si="1"/>
        <v>15</v>
      </c>
      <c r="C14585" s="135" t="s">
        <v>343</v>
      </c>
      <c r="D14585" s="161" t="s">
        <v>74</v>
      </c>
      <c r="E14585" s="135">
        <f t="shared" si="62"/>
        <v>9</v>
      </c>
      <c r="F14585" s="134" t="s">
        <v>5628</v>
      </c>
      <c r="G14585" s="63" t="str">
        <f>VLOOKUP(C14585, 'Class Def. - General Data'!$C$20:$C$1000,1,false)</f>
        <v>ZSI1_WATER_HOSE</v>
      </c>
      <c r="H14585" s="63" t="str">
        <f>IFERROR(__xludf.DUMMYFUNCTION("VLOOKUP(F14585, IMPORTRANGE(""https://docs.google.com/spreadsheets/d/1Lhp9OU0JdFf_VYSMzH5lBcEaU4o8teT1piV-SNzShjg/edit?gid=554141278#gid=554141278"", ""'Char Def. - Attributes'!C20:C2242""), 1,false)"),"STYLE_WATER_HOSE")</f>
        <v>STYLE_WATER_HOSE</v>
      </c>
      <c r="I14585" s="136"/>
      <c r="R14585" s="63" t="str">
        <f t="shared" si="60"/>
        <v>ZSI1_WATER_HOSESTYLE_WATER_HOSE</v>
      </c>
    </row>
    <row r="14586" ht="15.75" customHeight="1">
      <c r="A14586" s="59"/>
      <c r="B14586" s="63">
        <f t="shared" si="1"/>
        <v>15</v>
      </c>
      <c r="C14586" s="135" t="s">
        <v>343</v>
      </c>
      <c r="D14586" s="161" t="s">
        <v>74</v>
      </c>
      <c r="E14586" s="135">
        <f t="shared" si="62"/>
        <v>10</v>
      </c>
      <c r="F14586" s="134" t="s">
        <v>5629</v>
      </c>
      <c r="G14586" s="63" t="str">
        <f>VLOOKUP(C14586, 'Class Def. - General Data'!$C$20:$C$1000,1,false)</f>
        <v>ZSI1_WATER_HOSE</v>
      </c>
      <c r="H14586" s="63" t="str">
        <f>IFERROR(__xludf.DUMMYFUNCTION("VLOOKUP(F14586, IMPORTRANGE(""https://docs.google.com/spreadsheets/d/1Lhp9OU0JdFf_VYSMzH5lBcEaU4o8teT1piV-SNzShjg/edit?gid=554141278#gid=554141278"", ""'Char Def. - Attributes'!C20:C2242""), 1,false)"),"MATERIAL_WATER_HOSE")</f>
        <v>MATERIAL_WATER_HOSE</v>
      </c>
      <c r="I14586" s="136"/>
      <c r="R14586" s="63" t="str">
        <f t="shared" si="60"/>
        <v>ZSI1_WATER_HOSEMATERIAL_WATER_HOSE</v>
      </c>
    </row>
    <row r="14587" ht="15.75" customHeight="1">
      <c r="A14587" s="59"/>
      <c r="B14587" s="63">
        <f t="shared" si="1"/>
        <v>15</v>
      </c>
      <c r="C14587" s="135" t="s">
        <v>343</v>
      </c>
      <c r="D14587" s="161" t="s">
        <v>74</v>
      </c>
      <c r="E14587" s="135">
        <f t="shared" si="62"/>
        <v>11</v>
      </c>
      <c r="F14587" s="134" t="s">
        <v>4053</v>
      </c>
      <c r="G14587" s="63" t="str">
        <f>VLOOKUP(C14587, 'Class Def. - General Data'!$C$20:$C$1000,1,false)</f>
        <v>ZSI1_WATER_HOSE</v>
      </c>
      <c r="H14587" s="63" t="str">
        <f>IFERROR(__xludf.DUMMYFUNCTION("VLOOKUP(F14587, IMPORTRANGE(""https://docs.google.com/spreadsheets/d/1Lhp9OU0JdFf_VYSMzH5lBcEaU4o8teT1piV-SNzShjg/edit?gid=554141278#gid=554141278"", ""'Char Def. - Attributes'!C20:C2242""), 1,false)"),"MAINTENANCE_ORDER_TYPE")</f>
        <v>MAINTENANCE_ORDER_TYPE</v>
      </c>
      <c r="I14587" s="136"/>
      <c r="R14587" s="63" t="str">
        <f t="shared" si="60"/>
        <v>ZSI1_WATER_HOSEMAINTENANCE_ORDER_TYPE</v>
      </c>
    </row>
    <row r="14588" ht="15.75" customHeight="1">
      <c r="A14588" s="59"/>
      <c r="B14588" s="63">
        <f t="shared" si="1"/>
        <v>15</v>
      </c>
      <c r="C14588" s="135" t="s">
        <v>343</v>
      </c>
      <c r="D14588" s="161" t="s">
        <v>74</v>
      </c>
      <c r="E14588" s="135">
        <f t="shared" si="62"/>
        <v>12</v>
      </c>
      <c r="F14588" s="134" t="s">
        <v>3585</v>
      </c>
      <c r="G14588" s="63" t="str">
        <f>VLOOKUP(C14588, 'Class Def. - General Data'!$C$20:$C$1000,1,false)</f>
        <v>ZSI1_WATER_HOSE</v>
      </c>
      <c r="H14588" s="63" t="str">
        <f>IFERROR(__xludf.DUMMYFUNCTION("VLOOKUP(F14588, IMPORTRANGE(""https://docs.google.com/spreadsheets/d/1Lhp9OU0JdFf_VYSMzH5lBcEaU4o8teT1piV-SNzShjg/edit?gid=554141278#gid=554141278"", ""'Char Def. - Attributes'!C20:C2242""), 1,false)"),"HS_CODE")</f>
        <v>HS_CODE</v>
      </c>
      <c r="I14588" s="136"/>
      <c r="R14588" s="63" t="str">
        <f t="shared" si="60"/>
        <v>ZSI1_WATER_HOSEHS_CODE</v>
      </c>
    </row>
    <row r="14589" ht="15.75" customHeight="1">
      <c r="A14589" s="59"/>
      <c r="B14589" s="63">
        <f t="shared" si="1"/>
        <v>15</v>
      </c>
      <c r="C14589" s="135" t="s">
        <v>343</v>
      </c>
      <c r="D14589" s="161" t="s">
        <v>74</v>
      </c>
      <c r="E14589" s="135">
        <f t="shared" si="62"/>
        <v>13</v>
      </c>
      <c r="F14589" s="134" t="s">
        <v>3587</v>
      </c>
      <c r="G14589" s="63" t="str">
        <f>VLOOKUP(C14589, 'Class Def. - General Data'!$C$20:$C$1000,1,false)</f>
        <v>ZSI1_WATER_HOSE</v>
      </c>
      <c r="H14589" s="63" t="str">
        <f>IFERROR(__xludf.DUMMYFUNCTION("VLOOKUP(F14589, IMPORTRANGE(""https://docs.google.com/spreadsheets/d/1Lhp9OU0JdFf_VYSMzH5lBcEaU4o8teT1piV-SNzShjg/edit?gid=554141278#gid=554141278"", ""'Char Def. - Attributes'!C20:C2242""), 1,false)"),"PLANT_BUY")</f>
        <v>PLANT_BUY</v>
      </c>
      <c r="I14589" s="136"/>
      <c r="R14589" s="63" t="str">
        <f t="shared" si="60"/>
        <v>ZSI1_WATER_HOSEPLANT_BUY</v>
      </c>
    </row>
    <row r="14590" ht="15.75" customHeight="1">
      <c r="A14590" s="59"/>
      <c r="B14590" s="63">
        <f t="shared" si="1"/>
        <v>15</v>
      </c>
      <c r="C14590" s="135" t="s">
        <v>343</v>
      </c>
      <c r="D14590" s="161" t="s">
        <v>74</v>
      </c>
      <c r="E14590" s="135">
        <f t="shared" si="62"/>
        <v>14</v>
      </c>
      <c r="F14590" s="134" t="s">
        <v>5630</v>
      </c>
      <c r="G14590" s="63" t="str">
        <f>VLOOKUP(C14590, 'Class Def. - General Data'!$C$20:$C$1000,1,false)</f>
        <v>ZSI1_WATER_HOSE</v>
      </c>
      <c r="H14590" s="63" t="str">
        <f>IFERROR(__xludf.DUMMYFUNCTION("VLOOKUP(F14590, IMPORTRANGE(""https://docs.google.com/spreadsheets/d/1Lhp9OU0JdFf_VYSMzH5lBcEaU4o8teT1piV-SNzShjg/edit?gid=554141278#gid=554141278"", ""'Char Def. - Attributes'!C20:C2242""), 1,false)"),"BASE_UOM_WATER_HOSE")</f>
        <v>BASE_UOM_WATER_HOSE</v>
      </c>
      <c r="I14590" s="136"/>
      <c r="R14590" s="63" t="str">
        <f t="shared" si="60"/>
        <v>ZSI1_WATER_HOSEBASE_UOM_WATER_HOSE</v>
      </c>
    </row>
    <row r="14591" ht="15.75" customHeight="1">
      <c r="A14591" s="59"/>
      <c r="B14591" s="63">
        <f t="shared" si="1"/>
        <v>15</v>
      </c>
      <c r="C14591" s="135" t="s">
        <v>343</v>
      </c>
      <c r="D14591" s="161" t="s">
        <v>74</v>
      </c>
      <c r="E14591" s="135">
        <f t="shared" si="62"/>
        <v>15</v>
      </c>
      <c r="F14591" s="134" t="s">
        <v>5631</v>
      </c>
      <c r="G14591" s="63" t="str">
        <f>VLOOKUP(C14591, 'Class Def. - General Data'!$C$20:$C$1000,1,false)</f>
        <v>ZSI1_WATER_HOSE</v>
      </c>
      <c r="H14591" s="63" t="str">
        <f>IFERROR(__xludf.DUMMYFUNCTION("VLOOKUP(F14591, IMPORTRANGE(""https://docs.google.com/spreadsheets/d/1Lhp9OU0JdFf_VYSMzH5lBcEaU4o8teT1piV-SNzShjg/edit?gid=554141278#gid=554141278"", ""'Char Def. - Attributes'!C20:C2242""), 1,false)"),"ORDER_UNIT_WATER_HOSE")</f>
        <v>ORDER_UNIT_WATER_HOSE</v>
      </c>
      <c r="I14591" s="136"/>
      <c r="R14591" s="63" t="str">
        <f t="shared" si="60"/>
        <v>ZSI1_WATER_HOSEORDER_UNIT_WATER_HOSE</v>
      </c>
    </row>
    <row r="14592" ht="15.75" customHeight="1">
      <c r="A14592" s="59"/>
      <c r="B14592" s="63">
        <f t="shared" si="1"/>
        <v>15</v>
      </c>
      <c r="C14592" s="135" t="s">
        <v>343</v>
      </c>
      <c r="D14592" s="161" t="s">
        <v>74</v>
      </c>
      <c r="E14592" s="135">
        <f t="shared" si="62"/>
        <v>16</v>
      </c>
      <c r="F14592" s="134" t="s">
        <v>4056</v>
      </c>
      <c r="G14592" s="63" t="str">
        <f>VLOOKUP(C14592, 'Class Def. - General Data'!$C$20:$C$1000,1,false)</f>
        <v>ZSI1_WATER_HOSE</v>
      </c>
      <c r="H14592" s="63" t="str">
        <f>IFERROR(__xludf.DUMMYFUNCTION("VLOOKUP(F14592, IMPORTRANGE(""https://docs.google.com/spreadsheets/d/1Lhp9OU0JdFf_VYSMzH5lBcEaU4o8teT1piV-SNzShjg/edit?gid=554141278#gid=554141278"", ""'Char Def. - Attributes'!C20:C2242""), 1,false)"),"GROSS_WEIGHT_OPT")</f>
        <v>GROSS_WEIGHT_OPT</v>
      </c>
      <c r="I14592" s="136"/>
      <c r="R14592" s="63" t="str">
        <f t="shared" si="60"/>
        <v>ZSI1_WATER_HOSEGROSS_WEIGHT_OPT</v>
      </c>
    </row>
    <row r="14593" ht="15.75" customHeight="1">
      <c r="A14593" s="59"/>
      <c r="B14593" s="63">
        <f t="shared" si="1"/>
        <v>15</v>
      </c>
      <c r="C14593" s="135" t="s">
        <v>343</v>
      </c>
      <c r="D14593" s="161" t="s">
        <v>74</v>
      </c>
      <c r="E14593" s="135">
        <f t="shared" si="62"/>
        <v>17</v>
      </c>
      <c r="F14593" s="134" t="s">
        <v>4057</v>
      </c>
      <c r="G14593" s="63" t="str">
        <f>VLOOKUP(C14593, 'Class Def. - General Data'!$C$20:$C$1000,1,false)</f>
        <v>ZSI1_WATER_HOSE</v>
      </c>
      <c r="H14593" s="63" t="str">
        <f>IFERROR(__xludf.DUMMYFUNCTION("VLOOKUP(F14593, IMPORTRANGE(""https://docs.google.com/spreadsheets/d/1Lhp9OU0JdFf_VYSMzH5lBcEaU4o8teT1piV-SNzShjg/edit?gid=554141278#gid=554141278"", ""'Char Def. - Attributes'!C20:C2242""), 1,false)"),"NET_WEIGHT_OPT")</f>
        <v>NET_WEIGHT_OPT</v>
      </c>
      <c r="I14593" s="136"/>
      <c r="R14593" s="63" t="str">
        <f t="shared" si="60"/>
        <v>ZSI1_WATER_HOSENET_WEIGHT_OPT</v>
      </c>
    </row>
    <row r="14594" ht="15.75" customHeight="1">
      <c r="A14594" s="59"/>
      <c r="B14594" s="63">
        <f t="shared" si="1"/>
        <v>15</v>
      </c>
      <c r="C14594" s="135" t="s">
        <v>343</v>
      </c>
      <c r="D14594" s="161" t="s">
        <v>74</v>
      </c>
      <c r="E14594" s="135">
        <f t="shared" si="62"/>
        <v>18</v>
      </c>
      <c r="F14594" s="134" t="s">
        <v>4058</v>
      </c>
      <c r="G14594" s="63" t="str">
        <f>VLOOKUP(C14594, 'Class Def. - General Data'!$C$20:$C$1000,1,false)</f>
        <v>ZSI1_WATER_HOSE</v>
      </c>
      <c r="H14594" s="63" t="str">
        <f>IFERROR(__xludf.DUMMYFUNCTION("VLOOKUP(F14594, IMPORTRANGE(""https://docs.google.com/spreadsheets/d/1Lhp9OU0JdFf_VYSMzH5lBcEaU4o8teT1piV-SNzShjg/edit?gid=554141278#gid=554141278"", ""'Char Def. - Attributes'!C20:C2242""), 1,false)"),"WEIGHT_UNIT_SI")</f>
        <v>WEIGHT_UNIT_SI</v>
      </c>
      <c r="I14594" s="136"/>
      <c r="R14594" s="63" t="str">
        <f t="shared" si="60"/>
        <v>ZSI1_WATER_HOSEWEIGHT_UNIT_SI</v>
      </c>
    </row>
    <row r="14595" ht="15.75" customHeight="1">
      <c r="A14595" s="59"/>
      <c r="B14595" s="63">
        <f t="shared" si="1"/>
        <v>15</v>
      </c>
      <c r="C14595" s="135" t="s">
        <v>343</v>
      </c>
      <c r="D14595" s="161" t="s">
        <v>74</v>
      </c>
      <c r="E14595" s="135">
        <f t="shared" si="62"/>
        <v>19</v>
      </c>
      <c r="F14595" s="134" t="s">
        <v>3877</v>
      </c>
      <c r="G14595" s="63" t="str">
        <f>VLOOKUP(C14595, 'Class Def. - General Data'!$C$20:$C$1000,1,false)</f>
        <v>ZSI1_WATER_HOSE</v>
      </c>
      <c r="H14595" s="63" t="str">
        <f>IFERROR(__xludf.DUMMYFUNCTION("VLOOKUP(F14595, IMPORTRANGE(""https://docs.google.com/spreadsheets/d/1Lhp9OU0JdFf_VYSMzH5lBcEaU4o8teT1piV-SNzShjg/edit?gid=554141278#gid=554141278"", ""'Char Def. - Attributes'!C20:C2242""), 1,false)"),"VOLUME_OPT")</f>
        <v>VOLUME_OPT</v>
      </c>
      <c r="I14595" s="136"/>
      <c r="R14595" s="63" t="str">
        <f t="shared" si="60"/>
        <v>ZSI1_WATER_HOSEVOLUME_OPT</v>
      </c>
    </row>
    <row r="14596" ht="15.75" customHeight="1">
      <c r="A14596" s="59"/>
      <c r="B14596" s="63">
        <f t="shared" si="1"/>
        <v>15</v>
      </c>
      <c r="C14596" s="135" t="s">
        <v>343</v>
      </c>
      <c r="D14596" s="161" t="s">
        <v>74</v>
      </c>
      <c r="E14596" s="135">
        <f t="shared" si="62"/>
        <v>20</v>
      </c>
      <c r="F14596" s="134" t="s">
        <v>4059</v>
      </c>
      <c r="G14596" s="63" t="str">
        <f>VLOOKUP(C14596, 'Class Def. - General Data'!$C$20:$C$1000,1,false)</f>
        <v>ZSI1_WATER_HOSE</v>
      </c>
      <c r="H14596" s="63" t="str">
        <f>IFERROR(__xludf.DUMMYFUNCTION("VLOOKUP(F14596, IMPORTRANGE(""https://docs.google.com/spreadsheets/d/1Lhp9OU0JdFf_VYSMzH5lBcEaU4o8teT1piV-SNzShjg/edit?gid=554141278#gid=554141278"", ""'Char Def. - Attributes'!C20:C2242""), 1,false)"),"VOLUME_UNIT_SI")</f>
        <v>VOLUME_UNIT_SI</v>
      </c>
      <c r="I14596" s="136"/>
      <c r="R14596" s="63" t="str">
        <f t="shared" si="60"/>
        <v>ZSI1_WATER_HOSEVOLUME_UNIT_SI</v>
      </c>
    </row>
    <row r="14597" ht="15.75" customHeight="1">
      <c r="A14597" s="59"/>
      <c r="B14597" s="63">
        <f t="shared" si="1"/>
        <v>15</v>
      </c>
      <c r="C14597" s="135" t="s">
        <v>343</v>
      </c>
      <c r="D14597" s="161" t="s">
        <v>74</v>
      </c>
      <c r="E14597" s="135">
        <f t="shared" si="62"/>
        <v>21</v>
      </c>
      <c r="F14597" s="134" t="s">
        <v>3804</v>
      </c>
      <c r="G14597" s="63" t="str">
        <f>VLOOKUP(C14597, 'Class Def. - General Data'!$C$20:$C$1000,1,false)</f>
        <v>ZSI1_WATER_HOSE</v>
      </c>
      <c r="H14597" s="63" t="str">
        <f>IFERROR(__xludf.DUMMYFUNCTION("VLOOKUP(F14597, IMPORTRANGE(""https://docs.google.com/spreadsheets/d/1Lhp9OU0JdFf_VYSMzH5lBcEaU4o8teT1piV-SNzShjg/edit?gid=554141278#gid=554141278"", ""'Char Def. - Attributes'!C20:C2242""), 1,false)"),"ALT_UOM1_SIPI")</f>
        <v>ALT_UOM1_SIPI</v>
      </c>
      <c r="I14597" s="136"/>
      <c r="R14597" s="63" t="str">
        <f t="shared" si="60"/>
        <v>ZSI1_WATER_HOSEALT_UOM1_SIPI</v>
      </c>
    </row>
    <row r="14598" ht="15.75" customHeight="1">
      <c r="A14598" s="59"/>
      <c r="B14598" s="63">
        <f t="shared" si="1"/>
        <v>15</v>
      </c>
      <c r="C14598" s="135" t="s">
        <v>343</v>
      </c>
      <c r="D14598" s="161" t="s">
        <v>74</v>
      </c>
      <c r="E14598" s="135">
        <f t="shared" si="62"/>
        <v>22</v>
      </c>
      <c r="F14598" s="134" t="s">
        <v>3805</v>
      </c>
      <c r="G14598" s="63" t="str">
        <f>VLOOKUP(C14598, 'Class Def. - General Data'!$C$20:$C$1000,1,false)</f>
        <v>ZSI1_WATER_HOSE</v>
      </c>
      <c r="H14598" s="63" t="str">
        <f>IFERROR(__xludf.DUMMYFUNCTION("VLOOKUP(F14598, IMPORTRANGE(""https://docs.google.com/spreadsheets/d/1Lhp9OU0JdFf_VYSMzH5lBcEaU4o8teT1piV-SNzShjg/edit?gid=554141278#gid=554141278"", ""'Char Def. - Attributes'!C20:C2242""), 1,false)"),"ALT_DENUM_UOM1")</f>
        <v>ALT_DENUM_UOM1</v>
      </c>
      <c r="I14598" s="136"/>
      <c r="R14598" s="63" t="str">
        <f t="shared" si="60"/>
        <v>ZSI1_WATER_HOSEALT_DENUM_UOM1</v>
      </c>
    </row>
    <row r="14599" ht="15.75" customHeight="1">
      <c r="A14599" s="59"/>
      <c r="B14599" s="63">
        <f t="shared" si="1"/>
        <v>15</v>
      </c>
      <c r="C14599" s="135" t="s">
        <v>343</v>
      </c>
      <c r="D14599" s="161" t="s">
        <v>74</v>
      </c>
      <c r="E14599" s="135">
        <f t="shared" si="62"/>
        <v>23</v>
      </c>
      <c r="F14599" s="134" t="s">
        <v>3806</v>
      </c>
      <c r="G14599" s="63" t="str">
        <f>VLOOKUP(C14599, 'Class Def. - General Data'!$C$20:$C$1000,1,false)</f>
        <v>ZSI1_WATER_HOSE</v>
      </c>
      <c r="H14599" s="63" t="str">
        <f>IFERROR(__xludf.DUMMYFUNCTION("VLOOKUP(F14599, IMPORTRANGE(""https://docs.google.com/spreadsheets/d/1Lhp9OU0JdFf_VYSMzH5lBcEaU4o8teT1piV-SNzShjg/edit?gid=554141278#gid=554141278"", ""'Char Def. - Attributes'!C20:C2242""), 1,false)"),"ALT_NUM_UOM1")</f>
        <v>ALT_NUM_UOM1</v>
      </c>
      <c r="I14599" s="136"/>
      <c r="R14599" s="63" t="str">
        <f t="shared" si="60"/>
        <v>ZSI1_WATER_HOSEALT_NUM_UOM1</v>
      </c>
    </row>
    <row r="14600" ht="15.75" customHeight="1">
      <c r="A14600" s="59"/>
      <c r="B14600" s="63">
        <f t="shared" si="1"/>
        <v>15</v>
      </c>
      <c r="C14600" s="135" t="s">
        <v>343</v>
      </c>
      <c r="D14600" s="161" t="s">
        <v>74</v>
      </c>
      <c r="E14600" s="135">
        <f t="shared" si="62"/>
        <v>24</v>
      </c>
      <c r="F14600" s="134" t="s">
        <v>3807</v>
      </c>
      <c r="G14600" s="63" t="str">
        <f>VLOOKUP(C14600, 'Class Def. - General Data'!$C$20:$C$1000,1,false)</f>
        <v>ZSI1_WATER_HOSE</v>
      </c>
      <c r="H14600" s="63" t="str">
        <f>IFERROR(__xludf.DUMMYFUNCTION("VLOOKUP(F14600, IMPORTRANGE(""https://docs.google.com/spreadsheets/d/1Lhp9OU0JdFf_VYSMzH5lBcEaU4o8teT1piV-SNzShjg/edit?gid=554141278#gid=554141278"", ""'Char Def. - Attributes'!C20:C2242""), 1,false)"),"ALT_UOM2_SIPI")</f>
        <v>ALT_UOM2_SIPI</v>
      </c>
      <c r="I14600" s="136"/>
      <c r="R14600" s="63" t="str">
        <f t="shared" si="60"/>
        <v>ZSI1_WATER_HOSEALT_UOM2_SIPI</v>
      </c>
    </row>
    <row r="14601" ht="15.75" customHeight="1">
      <c r="A14601" s="59"/>
      <c r="B14601" s="63">
        <f t="shared" si="1"/>
        <v>15</v>
      </c>
      <c r="C14601" s="135" t="s">
        <v>343</v>
      </c>
      <c r="D14601" s="161" t="s">
        <v>74</v>
      </c>
      <c r="E14601" s="135">
        <f t="shared" si="62"/>
        <v>25</v>
      </c>
      <c r="F14601" s="134" t="s">
        <v>3808</v>
      </c>
      <c r="G14601" s="63" t="str">
        <f>VLOOKUP(C14601, 'Class Def. - General Data'!$C$20:$C$1000,1,false)</f>
        <v>ZSI1_WATER_HOSE</v>
      </c>
      <c r="H14601" s="63" t="str">
        <f>IFERROR(__xludf.DUMMYFUNCTION("VLOOKUP(F14601, IMPORTRANGE(""https://docs.google.com/spreadsheets/d/1Lhp9OU0JdFf_VYSMzH5lBcEaU4o8teT1piV-SNzShjg/edit?gid=554141278#gid=554141278"", ""'Char Def. - Attributes'!C20:C2242""), 1,false)"),"ALT_DENUM_UOM2")</f>
        <v>ALT_DENUM_UOM2</v>
      </c>
      <c r="I14601" s="136"/>
      <c r="R14601" s="63" t="str">
        <f t="shared" si="60"/>
        <v>ZSI1_WATER_HOSEALT_DENUM_UOM2</v>
      </c>
    </row>
    <row r="14602" ht="15.75" customHeight="1">
      <c r="A14602" s="59"/>
      <c r="B14602" s="63">
        <f t="shared" si="1"/>
        <v>15</v>
      </c>
      <c r="C14602" s="135" t="s">
        <v>343</v>
      </c>
      <c r="D14602" s="161" t="s">
        <v>74</v>
      </c>
      <c r="E14602" s="135">
        <f t="shared" si="62"/>
        <v>26</v>
      </c>
      <c r="F14602" s="134" t="s">
        <v>3809</v>
      </c>
      <c r="G14602" s="63" t="str">
        <f>VLOOKUP(C14602, 'Class Def. - General Data'!$C$20:$C$1000,1,false)</f>
        <v>ZSI1_WATER_HOSE</v>
      </c>
      <c r="H14602" s="63" t="str">
        <f>IFERROR(__xludf.DUMMYFUNCTION("VLOOKUP(F14602, IMPORTRANGE(""https://docs.google.com/spreadsheets/d/1Lhp9OU0JdFf_VYSMzH5lBcEaU4o8teT1piV-SNzShjg/edit?gid=554141278#gid=554141278"", ""'Char Def. - Attributes'!C20:C2242""), 1,false)"),"ALT_NUM_UOM2")</f>
        <v>ALT_NUM_UOM2</v>
      </c>
      <c r="I14602" s="136"/>
      <c r="R14602" s="63" t="str">
        <f t="shared" si="60"/>
        <v>ZSI1_WATER_HOSEALT_NUM_UOM2</v>
      </c>
    </row>
    <row r="14603" ht="15.75" customHeight="1">
      <c r="A14603" s="59"/>
      <c r="B14603" s="63">
        <f t="shared" si="1"/>
        <v>15</v>
      </c>
      <c r="C14603" s="135" t="s">
        <v>343</v>
      </c>
      <c r="D14603" s="161" t="s">
        <v>74</v>
      </c>
      <c r="E14603" s="135">
        <f t="shared" si="62"/>
        <v>27</v>
      </c>
      <c r="F14603" s="134" t="s">
        <v>3810</v>
      </c>
      <c r="G14603" s="63" t="str">
        <f>VLOOKUP(C14603, 'Class Def. - General Data'!$C$20:$C$1000,1,false)</f>
        <v>ZSI1_WATER_HOSE</v>
      </c>
      <c r="H14603" s="63" t="str">
        <f>IFERROR(__xludf.DUMMYFUNCTION("VLOOKUP(F14603, IMPORTRANGE(""https://docs.google.com/spreadsheets/d/1Lhp9OU0JdFf_VYSMzH5lBcEaU4o8teT1piV-SNzShjg/edit?gid=554141278#gid=554141278"", ""'Char Def. - Attributes'!C20:C2242""), 1,false)"),"ALT_UOM3_SIPI")</f>
        <v>ALT_UOM3_SIPI</v>
      </c>
      <c r="I14603" s="136"/>
      <c r="R14603" s="63" t="str">
        <f t="shared" si="60"/>
        <v>ZSI1_WATER_HOSEALT_UOM3_SIPI</v>
      </c>
    </row>
    <row r="14604" ht="15.75" customHeight="1">
      <c r="A14604" s="59"/>
      <c r="B14604" s="63">
        <f t="shared" si="1"/>
        <v>15</v>
      </c>
      <c r="C14604" s="135" t="s">
        <v>343</v>
      </c>
      <c r="D14604" s="161" t="s">
        <v>74</v>
      </c>
      <c r="E14604" s="135">
        <f t="shared" si="62"/>
        <v>28</v>
      </c>
      <c r="F14604" s="134" t="s">
        <v>3811</v>
      </c>
      <c r="G14604" s="63" t="str">
        <f>VLOOKUP(C14604, 'Class Def. - General Data'!$C$20:$C$1000,1,false)</f>
        <v>ZSI1_WATER_HOSE</v>
      </c>
      <c r="H14604" s="63" t="str">
        <f>IFERROR(__xludf.DUMMYFUNCTION("VLOOKUP(F14604, IMPORTRANGE(""https://docs.google.com/spreadsheets/d/1Lhp9OU0JdFf_VYSMzH5lBcEaU4o8teT1piV-SNzShjg/edit?gid=554141278#gid=554141278"", ""'Char Def. - Attributes'!C20:C2242""), 1,false)"),"ALT_DENUM_UOM3")</f>
        <v>ALT_DENUM_UOM3</v>
      </c>
      <c r="I14604" s="136"/>
      <c r="R14604" s="63" t="str">
        <f t="shared" si="60"/>
        <v>ZSI1_WATER_HOSEALT_DENUM_UOM3</v>
      </c>
    </row>
    <row r="14605" ht="15.75" customHeight="1">
      <c r="A14605" s="59"/>
      <c r="B14605" s="63">
        <f t="shared" si="1"/>
        <v>15</v>
      </c>
      <c r="C14605" s="135" t="s">
        <v>343</v>
      </c>
      <c r="D14605" s="161" t="s">
        <v>74</v>
      </c>
      <c r="E14605" s="135">
        <f t="shared" si="62"/>
        <v>29</v>
      </c>
      <c r="F14605" s="134" t="s">
        <v>3812</v>
      </c>
      <c r="G14605" s="63" t="str">
        <f>VLOOKUP(C14605, 'Class Def. - General Data'!$C$20:$C$1000,1,false)</f>
        <v>ZSI1_WATER_HOSE</v>
      </c>
      <c r="H14605" s="63" t="str">
        <f>IFERROR(__xludf.DUMMYFUNCTION("VLOOKUP(F14605, IMPORTRANGE(""https://docs.google.com/spreadsheets/d/1Lhp9OU0JdFf_VYSMzH5lBcEaU4o8teT1piV-SNzShjg/edit?gid=554141278#gid=554141278"", ""'Char Def. - Attributes'!C20:C2242""), 1,false)"),"ALT_NUM_UOM3")</f>
        <v>ALT_NUM_UOM3</v>
      </c>
      <c r="I14605" s="136"/>
      <c r="R14605" s="63" t="str">
        <f t="shared" si="60"/>
        <v>ZSI1_WATER_HOSEALT_NUM_UOM3</v>
      </c>
    </row>
    <row r="14606" ht="15.75" customHeight="1">
      <c r="A14606" s="59"/>
      <c r="B14606" s="63">
        <f t="shared" si="1"/>
        <v>15</v>
      </c>
      <c r="C14606" s="135" t="s">
        <v>343</v>
      </c>
      <c r="D14606" s="161" t="s">
        <v>74</v>
      </c>
      <c r="E14606" s="135">
        <f t="shared" si="62"/>
        <v>30</v>
      </c>
      <c r="F14606" s="134" t="s">
        <v>3813</v>
      </c>
      <c r="G14606" s="63" t="str">
        <f>VLOOKUP(C14606, 'Class Def. - General Data'!$C$20:$C$1000,1,false)</f>
        <v>ZSI1_WATER_HOSE</v>
      </c>
      <c r="H14606" s="63" t="str">
        <f>IFERROR(__xludf.DUMMYFUNCTION("VLOOKUP(F14606, IMPORTRANGE(""https://docs.google.com/spreadsheets/d/1Lhp9OU0JdFf_VYSMzH5lBcEaU4o8teT1piV-SNzShjg/edit?gid=554141278#gid=554141278"", ""'Char Def. - Attributes'!C20:C2242""), 1,false)"),"ALT_UOM4_SIPI")</f>
        <v>ALT_UOM4_SIPI</v>
      </c>
      <c r="I14606" s="136"/>
      <c r="R14606" s="63" t="str">
        <f t="shared" si="60"/>
        <v>ZSI1_WATER_HOSEALT_UOM4_SIPI</v>
      </c>
    </row>
    <row r="14607" ht="15.75" customHeight="1">
      <c r="A14607" s="59"/>
      <c r="B14607" s="63">
        <f t="shared" si="1"/>
        <v>15</v>
      </c>
      <c r="C14607" s="135" t="s">
        <v>343</v>
      </c>
      <c r="D14607" s="161" t="s">
        <v>74</v>
      </c>
      <c r="E14607" s="135">
        <f t="shared" si="62"/>
        <v>31</v>
      </c>
      <c r="F14607" s="134" t="s">
        <v>3814</v>
      </c>
      <c r="G14607" s="63" t="str">
        <f>VLOOKUP(C14607, 'Class Def. - General Data'!$C$20:$C$1000,1,false)</f>
        <v>ZSI1_WATER_HOSE</v>
      </c>
      <c r="H14607" s="63" t="str">
        <f>IFERROR(__xludf.DUMMYFUNCTION("VLOOKUP(F14607, IMPORTRANGE(""https://docs.google.com/spreadsheets/d/1Lhp9OU0JdFf_VYSMzH5lBcEaU4o8teT1piV-SNzShjg/edit?gid=554141278#gid=554141278"", ""'Char Def. - Attributes'!C20:C2242""), 1,false)"),"ALT_DENUM_UOM4")</f>
        <v>ALT_DENUM_UOM4</v>
      </c>
      <c r="I14607" s="136"/>
      <c r="R14607" s="63" t="str">
        <f t="shared" si="60"/>
        <v>ZSI1_WATER_HOSEALT_DENUM_UOM4</v>
      </c>
    </row>
    <row r="14608" ht="15.75" customHeight="1">
      <c r="A14608" s="59"/>
      <c r="B14608" s="63">
        <f t="shared" si="1"/>
        <v>15</v>
      </c>
      <c r="C14608" s="135" t="s">
        <v>343</v>
      </c>
      <c r="D14608" s="161" t="s">
        <v>74</v>
      </c>
      <c r="E14608" s="135">
        <f t="shared" si="62"/>
        <v>32</v>
      </c>
      <c r="F14608" s="134" t="s">
        <v>3815</v>
      </c>
      <c r="G14608" s="63" t="str">
        <f>VLOOKUP(C14608, 'Class Def. - General Data'!$C$20:$C$1000,1,false)</f>
        <v>ZSI1_WATER_HOSE</v>
      </c>
      <c r="H14608" s="63" t="str">
        <f>IFERROR(__xludf.DUMMYFUNCTION("VLOOKUP(F14608, IMPORTRANGE(""https://docs.google.com/spreadsheets/d/1Lhp9OU0JdFf_VYSMzH5lBcEaU4o8teT1piV-SNzShjg/edit?gid=554141278#gid=554141278"", ""'Char Def. - Attributes'!C20:C2242""), 1,false)"),"ALT_NUM_UOM4")</f>
        <v>ALT_NUM_UOM4</v>
      </c>
      <c r="I14608" s="136"/>
      <c r="R14608" s="63" t="str">
        <f t="shared" si="60"/>
        <v>ZSI1_WATER_HOSEALT_NUM_UOM4</v>
      </c>
    </row>
    <row r="14609" ht="15.75" customHeight="1">
      <c r="A14609" s="59"/>
      <c r="B14609" s="63">
        <f t="shared" si="1"/>
        <v>15</v>
      </c>
      <c r="C14609" s="135" t="s">
        <v>343</v>
      </c>
      <c r="D14609" s="161" t="s">
        <v>74</v>
      </c>
      <c r="E14609" s="135">
        <f t="shared" si="62"/>
        <v>33</v>
      </c>
      <c r="F14609" s="134" t="s">
        <v>3816</v>
      </c>
      <c r="G14609" s="63" t="str">
        <f>VLOOKUP(C14609, 'Class Def. - General Data'!$C$20:$C$1000,1,false)</f>
        <v>ZSI1_WATER_HOSE</v>
      </c>
      <c r="H14609" s="63" t="str">
        <f>IFERROR(__xludf.DUMMYFUNCTION("VLOOKUP(F14609, IMPORTRANGE(""https://docs.google.com/spreadsheets/d/1Lhp9OU0JdFf_VYSMzH5lBcEaU4o8teT1piV-SNzShjg/edit?gid=554141278#gid=554141278"", ""'Char Def. - Attributes'!C20:C2242""), 1,false)"),"ALT_UOM5_SIPI")</f>
        <v>ALT_UOM5_SIPI</v>
      </c>
      <c r="I14609" s="136"/>
      <c r="R14609" s="63" t="str">
        <f t="shared" si="60"/>
        <v>ZSI1_WATER_HOSEALT_UOM5_SIPI</v>
      </c>
    </row>
    <row r="14610" ht="15.75" customHeight="1">
      <c r="A14610" s="59"/>
      <c r="B14610" s="63">
        <f t="shared" si="1"/>
        <v>15</v>
      </c>
      <c r="C14610" s="135" t="s">
        <v>343</v>
      </c>
      <c r="D14610" s="161" t="s">
        <v>74</v>
      </c>
      <c r="E14610" s="135">
        <f t="shared" si="62"/>
        <v>34</v>
      </c>
      <c r="F14610" s="134" t="s">
        <v>3817</v>
      </c>
      <c r="G14610" s="63" t="str">
        <f>VLOOKUP(C14610, 'Class Def. - General Data'!$C$20:$C$1000,1,false)</f>
        <v>ZSI1_WATER_HOSE</v>
      </c>
      <c r="H14610" s="63" t="str">
        <f>IFERROR(__xludf.DUMMYFUNCTION("VLOOKUP(F14610, IMPORTRANGE(""https://docs.google.com/spreadsheets/d/1Lhp9OU0JdFf_VYSMzH5lBcEaU4o8teT1piV-SNzShjg/edit?gid=554141278#gid=554141278"", ""'Char Def. - Attributes'!C20:C2242""), 1,false)"),"ALT_DENUM_UOM5")</f>
        <v>ALT_DENUM_UOM5</v>
      </c>
      <c r="I14610" s="136"/>
      <c r="R14610" s="63" t="str">
        <f t="shared" si="60"/>
        <v>ZSI1_WATER_HOSEALT_DENUM_UOM5</v>
      </c>
    </row>
    <row r="14611" ht="15.75" customHeight="1">
      <c r="A14611" s="59"/>
      <c r="B14611" s="63">
        <f t="shared" si="1"/>
        <v>15</v>
      </c>
      <c r="C14611" s="135" t="s">
        <v>343</v>
      </c>
      <c r="D14611" s="161" t="s">
        <v>74</v>
      </c>
      <c r="E14611" s="135">
        <f t="shared" si="62"/>
        <v>35</v>
      </c>
      <c r="F14611" s="134" t="s">
        <v>3818</v>
      </c>
      <c r="G14611" s="63" t="str">
        <f>VLOOKUP(C14611, 'Class Def. - General Data'!$C$20:$C$1000,1,false)</f>
        <v>ZSI1_WATER_HOSE</v>
      </c>
      <c r="H14611" s="63" t="str">
        <f>IFERROR(__xludf.DUMMYFUNCTION("VLOOKUP(F14611, IMPORTRANGE(""https://docs.google.com/spreadsheets/d/1Lhp9OU0JdFf_VYSMzH5lBcEaU4o8teT1piV-SNzShjg/edit?gid=554141278#gid=554141278"", ""'Char Def. - Attributes'!C20:C2242""), 1,false)"),"ALT_NUM_UOM5")</f>
        <v>ALT_NUM_UOM5</v>
      </c>
      <c r="I14611" s="136"/>
      <c r="R14611" s="63" t="str">
        <f t="shared" si="60"/>
        <v>ZSI1_WATER_HOSEALT_NUM_UOM5</v>
      </c>
    </row>
    <row r="14612" ht="15.75" customHeight="1">
      <c r="A14612" s="59"/>
      <c r="B14612" s="63">
        <f t="shared" si="1"/>
        <v>13</v>
      </c>
      <c r="C14612" s="135" t="s">
        <v>481</v>
      </c>
      <c r="D14612" s="161" t="s">
        <v>74</v>
      </c>
      <c r="E14612" s="135">
        <f t="shared" si="62"/>
        <v>1</v>
      </c>
      <c r="F14612" s="134" t="s">
        <v>5632</v>
      </c>
      <c r="G14612" s="63" t="str">
        <f>VLOOKUP(C14612, 'Class Def. - General Data'!$C$20:$C$1000,1,false)</f>
        <v>ZSI1_WATERMUR</v>
      </c>
      <c r="H14612" s="63" t="str">
        <f>IFERROR(__xludf.DUMMYFUNCTION("VLOOKUP(F14612, IMPORTRANGE(""https://docs.google.com/spreadsheets/d/1Lhp9OU0JdFf_VYSMzH5lBcEaU4o8teT1piV-SNzShjg/edit?gid=554141278#gid=554141278"", ""'Char Def. - Attributes'!C20:C2242""), 1,false)"),"ITEM_NAME_WATERMUR")</f>
        <v>ITEM_NAME_WATERMUR</v>
      </c>
      <c r="I14612" s="136"/>
      <c r="R14612" s="63" t="str">
        <f t="shared" si="60"/>
        <v>ZSI1_WATERMURITEM_NAME_WATERMUR</v>
      </c>
    </row>
    <row r="14613" ht="15.75" customHeight="1">
      <c r="A14613" s="59"/>
      <c r="B14613" s="63">
        <f t="shared" si="1"/>
        <v>13</v>
      </c>
      <c r="C14613" s="135" t="s">
        <v>481</v>
      </c>
      <c r="D14613" s="161" t="s">
        <v>74</v>
      </c>
      <c r="E14613" s="135">
        <f t="shared" si="62"/>
        <v>2</v>
      </c>
      <c r="F14613" s="134" t="s">
        <v>5633</v>
      </c>
      <c r="G14613" s="63" t="str">
        <f>VLOOKUP(C14613, 'Class Def. - General Data'!$C$20:$C$1000,1,false)</f>
        <v>ZSI1_WATERMUR</v>
      </c>
      <c r="H14613" s="63" t="str">
        <f>IFERROR(__xludf.DUMMYFUNCTION("VLOOKUP(F14613, IMPORTRANGE(""https://docs.google.com/spreadsheets/d/1Lhp9OU0JdFf_VYSMzH5lBcEaU4o8teT1piV-SNzShjg/edit?gid=554141278#gid=554141278"", ""'Char Def. - Attributes'!C20:C2242""), 1,false)"),"MATERIAL_WATERMUR")</f>
        <v>MATERIAL_WATERMUR</v>
      </c>
      <c r="I14613" s="136"/>
      <c r="R14613" s="63" t="str">
        <f t="shared" si="60"/>
        <v>ZSI1_WATERMURMATERIAL_WATERMUR</v>
      </c>
    </row>
    <row r="14614" ht="15.75" customHeight="1">
      <c r="A14614" s="59"/>
      <c r="B14614" s="63">
        <f t="shared" si="1"/>
        <v>13</v>
      </c>
      <c r="C14614" s="135" t="s">
        <v>481</v>
      </c>
      <c r="D14614" s="161" t="s">
        <v>74</v>
      </c>
      <c r="E14614" s="135">
        <f t="shared" si="62"/>
        <v>3</v>
      </c>
      <c r="F14614" s="134" t="s">
        <v>5634</v>
      </c>
      <c r="G14614" s="63" t="str">
        <f>VLOOKUP(C14614, 'Class Def. - General Data'!$C$20:$C$1000,1,false)</f>
        <v>ZSI1_WATERMUR</v>
      </c>
      <c r="H14614" s="63" t="str">
        <f>IFERROR(__xludf.DUMMYFUNCTION("VLOOKUP(F14614, IMPORTRANGE(""https://docs.google.com/spreadsheets/d/1Lhp9OU0JdFf_VYSMzH5lBcEaU4o8teT1piV-SNzShjg/edit?gid=554141278#gid=554141278"", ""'Char Def. - Attributes'!C20:C2242""), 1,false)"),"SIZE_INCH_WATERMUR")</f>
        <v>SIZE_INCH_WATERMUR</v>
      </c>
      <c r="I14614" s="136"/>
      <c r="R14614" s="63" t="str">
        <f t="shared" si="60"/>
        <v>ZSI1_WATERMURSIZE_INCH_WATERMUR</v>
      </c>
    </row>
    <row r="14615" ht="15.75" customHeight="1">
      <c r="A14615" s="59"/>
      <c r="B14615" s="63">
        <f t="shared" si="1"/>
        <v>13</v>
      </c>
      <c r="C14615" s="135" t="s">
        <v>481</v>
      </c>
      <c r="D14615" s="161" t="s">
        <v>74</v>
      </c>
      <c r="E14615" s="135">
        <f t="shared" si="62"/>
        <v>4</v>
      </c>
      <c r="F14615" s="134" t="s">
        <v>5635</v>
      </c>
      <c r="G14615" s="63" t="str">
        <f>VLOOKUP(C14615, 'Class Def. - General Data'!$C$20:$C$1000,1,false)</f>
        <v>ZSI1_WATERMUR</v>
      </c>
      <c r="H14615" s="63" t="str">
        <f>IFERROR(__xludf.DUMMYFUNCTION("VLOOKUP(F14615, IMPORTRANGE(""https://docs.google.com/spreadsheets/d/1Lhp9OU0JdFf_VYSMzH5lBcEaU4o8teT1piV-SNzShjg/edit?gid=554141278#gid=554141278"", ""'Char Def. - Attributes'!C20:C2242""), 1,false)"),"#N/A")</f>
        <v>#N/A</v>
      </c>
      <c r="I14615" s="136"/>
      <c r="R14615" s="63" t="str">
        <f t="shared" si="60"/>
        <v>ZSI1_WATERMURFINISHING_WATERMUR</v>
      </c>
    </row>
    <row r="14616" ht="15.75" customHeight="1">
      <c r="A14616" s="59"/>
      <c r="B14616" s="63">
        <f t="shared" si="1"/>
        <v>13</v>
      </c>
      <c r="C14616" s="135" t="s">
        <v>481</v>
      </c>
      <c r="D14616" s="161" t="s">
        <v>74</v>
      </c>
      <c r="E14616" s="135">
        <f t="shared" si="62"/>
        <v>5</v>
      </c>
      <c r="F14616" s="134" t="s">
        <v>3585</v>
      </c>
      <c r="G14616" s="63" t="str">
        <f>VLOOKUP(C14616, 'Class Def. - General Data'!$C$20:$C$1000,1,false)</f>
        <v>ZSI1_WATERMUR</v>
      </c>
      <c r="H14616" s="63" t="str">
        <f>IFERROR(__xludf.DUMMYFUNCTION("VLOOKUP(F14616, IMPORTRANGE(""https://docs.google.com/spreadsheets/d/1Lhp9OU0JdFf_VYSMzH5lBcEaU4o8teT1piV-SNzShjg/edit?gid=554141278#gid=554141278"", ""'Char Def. - Attributes'!C20:C2242""), 1,false)"),"HS_CODE")</f>
        <v>HS_CODE</v>
      </c>
      <c r="I14616" s="136"/>
      <c r="R14616" s="63" t="str">
        <f t="shared" si="60"/>
        <v>ZSI1_WATERMURHS_CODE</v>
      </c>
    </row>
    <row r="14617" ht="15.75" customHeight="1">
      <c r="A14617" s="59"/>
      <c r="B14617" s="63">
        <f t="shared" si="1"/>
        <v>13</v>
      </c>
      <c r="C14617" s="135" t="s">
        <v>481</v>
      </c>
      <c r="D14617" s="161" t="s">
        <v>74</v>
      </c>
      <c r="E14617" s="135">
        <f t="shared" si="62"/>
        <v>6</v>
      </c>
      <c r="F14617" s="134" t="s">
        <v>3587</v>
      </c>
      <c r="G14617" s="63" t="str">
        <f>VLOOKUP(C14617, 'Class Def. - General Data'!$C$20:$C$1000,1,false)</f>
        <v>ZSI1_WATERMUR</v>
      </c>
      <c r="H14617" s="63" t="str">
        <f>IFERROR(__xludf.DUMMYFUNCTION("VLOOKUP(F14617, IMPORTRANGE(""https://docs.google.com/spreadsheets/d/1Lhp9OU0JdFf_VYSMzH5lBcEaU4o8teT1piV-SNzShjg/edit?gid=554141278#gid=554141278"", ""'Char Def. - Attributes'!C20:C2242""), 1,false)"),"PLANT_BUY")</f>
        <v>PLANT_BUY</v>
      </c>
      <c r="I14617" s="136"/>
      <c r="R14617" s="63" t="str">
        <f t="shared" si="60"/>
        <v>ZSI1_WATERMURPLANT_BUY</v>
      </c>
    </row>
    <row r="14618" ht="15.75" customHeight="1">
      <c r="A14618" s="59"/>
      <c r="B14618" s="63">
        <f t="shared" si="1"/>
        <v>13</v>
      </c>
      <c r="C14618" s="135" t="s">
        <v>481</v>
      </c>
      <c r="D14618" s="161" t="s">
        <v>74</v>
      </c>
      <c r="E14618" s="135">
        <f t="shared" si="62"/>
        <v>7</v>
      </c>
      <c r="F14618" s="134" t="s">
        <v>5636</v>
      </c>
      <c r="G14618" s="63" t="str">
        <f>VLOOKUP(C14618, 'Class Def. - General Data'!$C$20:$C$1000,1,false)</f>
        <v>ZSI1_WATERMUR</v>
      </c>
      <c r="H14618" s="63" t="str">
        <f>IFERROR(__xludf.DUMMYFUNCTION("VLOOKUP(F14618, IMPORTRANGE(""https://docs.google.com/spreadsheets/d/1Lhp9OU0JdFf_VYSMzH5lBcEaU4o8teT1piV-SNzShjg/edit?gid=554141278#gid=554141278"", ""'Char Def. - Attributes'!C20:C2242""), 1,false)"),"BASE_UOM_WATERMUR")</f>
        <v>BASE_UOM_WATERMUR</v>
      </c>
      <c r="I14618" s="136"/>
      <c r="R14618" s="63" t="str">
        <f t="shared" si="60"/>
        <v>ZSI1_WATERMURBASE_UOM_WATERMUR</v>
      </c>
    </row>
    <row r="14619" ht="15.75" customHeight="1">
      <c r="A14619" s="59"/>
      <c r="B14619" s="63">
        <f t="shared" si="1"/>
        <v>13</v>
      </c>
      <c r="C14619" s="135" t="s">
        <v>481</v>
      </c>
      <c r="D14619" s="161" t="s">
        <v>74</v>
      </c>
      <c r="E14619" s="135">
        <f t="shared" si="62"/>
        <v>8</v>
      </c>
      <c r="F14619" s="134" t="s">
        <v>5637</v>
      </c>
      <c r="G14619" s="63" t="str">
        <f>VLOOKUP(C14619, 'Class Def. - General Data'!$C$20:$C$1000,1,false)</f>
        <v>ZSI1_WATERMUR</v>
      </c>
      <c r="H14619" s="63" t="str">
        <f>IFERROR(__xludf.DUMMYFUNCTION("VLOOKUP(F14619, IMPORTRANGE(""https://docs.google.com/spreadsheets/d/1Lhp9OU0JdFf_VYSMzH5lBcEaU4o8teT1piV-SNzShjg/edit?gid=554141278#gid=554141278"", ""'Char Def. - Attributes'!C20:C2242""), 1,false)"),"ORDER_UNIT_WATERMUR")</f>
        <v>ORDER_UNIT_WATERMUR</v>
      </c>
      <c r="I14619" s="136"/>
      <c r="R14619" s="63" t="str">
        <f t="shared" si="60"/>
        <v>ZSI1_WATERMURORDER_UNIT_WATERMUR</v>
      </c>
    </row>
    <row r="14620" ht="15.75" customHeight="1">
      <c r="A14620" s="59"/>
      <c r="B14620" s="63">
        <f t="shared" si="1"/>
        <v>13</v>
      </c>
      <c r="C14620" s="135" t="s">
        <v>481</v>
      </c>
      <c r="D14620" s="161" t="s">
        <v>74</v>
      </c>
      <c r="E14620" s="135">
        <f t="shared" si="62"/>
        <v>9</v>
      </c>
      <c r="F14620" s="134" t="s">
        <v>4056</v>
      </c>
      <c r="G14620" s="63" t="str">
        <f>VLOOKUP(C14620, 'Class Def. - General Data'!$C$20:$C$1000,1,false)</f>
        <v>ZSI1_WATERMUR</v>
      </c>
      <c r="H14620" s="63" t="str">
        <f>IFERROR(__xludf.DUMMYFUNCTION("VLOOKUP(F14620, IMPORTRANGE(""https://docs.google.com/spreadsheets/d/1Lhp9OU0JdFf_VYSMzH5lBcEaU4o8teT1piV-SNzShjg/edit?gid=554141278#gid=554141278"", ""'Char Def. - Attributes'!C20:C2242""), 1,false)"),"GROSS_WEIGHT_OPT")</f>
        <v>GROSS_WEIGHT_OPT</v>
      </c>
      <c r="I14620" s="136"/>
      <c r="R14620" s="63" t="str">
        <f t="shared" si="60"/>
        <v>ZSI1_WATERMURGROSS_WEIGHT_OPT</v>
      </c>
    </row>
    <row r="14621" ht="15.75" customHeight="1">
      <c r="A14621" s="59"/>
      <c r="B14621" s="63">
        <f t="shared" si="1"/>
        <v>13</v>
      </c>
      <c r="C14621" s="135" t="s">
        <v>481</v>
      </c>
      <c r="D14621" s="161" t="s">
        <v>74</v>
      </c>
      <c r="E14621" s="135">
        <f t="shared" si="62"/>
        <v>10</v>
      </c>
      <c r="F14621" s="134" t="s">
        <v>4057</v>
      </c>
      <c r="G14621" s="63" t="str">
        <f>VLOOKUP(C14621, 'Class Def. - General Data'!$C$20:$C$1000,1,false)</f>
        <v>ZSI1_WATERMUR</v>
      </c>
      <c r="H14621" s="63" t="str">
        <f>IFERROR(__xludf.DUMMYFUNCTION("VLOOKUP(F14621, IMPORTRANGE(""https://docs.google.com/spreadsheets/d/1Lhp9OU0JdFf_VYSMzH5lBcEaU4o8teT1piV-SNzShjg/edit?gid=554141278#gid=554141278"", ""'Char Def. - Attributes'!C20:C2242""), 1,false)"),"NET_WEIGHT_OPT")</f>
        <v>NET_WEIGHT_OPT</v>
      </c>
      <c r="I14621" s="136"/>
      <c r="R14621" s="63" t="str">
        <f t="shared" si="60"/>
        <v>ZSI1_WATERMURNET_WEIGHT_OPT</v>
      </c>
    </row>
    <row r="14622" ht="15.75" customHeight="1">
      <c r="A14622" s="59"/>
      <c r="B14622" s="63">
        <f t="shared" si="1"/>
        <v>13</v>
      </c>
      <c r="C14622" s="135" t="s">
        <v>481</v>
      </c>
      <c r="D14622" s="161" t="s">
        <v>74</v>
      </c>
      <c r="E14622" s="135">
        <f t="shared" si="62"/>
        <v>11</v>
      </c>
      <c r="F14622" s="134" t="s">
        <v>4058</v>
      </c>
      <c r="G14622" s="63" t="str">
        <f>VLOOKUP(C14622, 'Class Def. - General Data'!$C$20:$C$1000,1,false)</f>
        <v>ZSI1_WATERMUR</v>
      </c>
      <c r="H14622" s="63" t="str">
        <f>IFERROR(__xludf.DUMMYFUNCTION("VLOOKUP(F14622, IMPORTRANGE(""https://docs.google.com/spreadsheets/d/1Lhp9OU0JdFf_VYSMzH5lBcEaU4o8teT1piV-SNzShjg/edit?gid=554141278#gid=554141278"", ""'Char Def. - Attributes'!C20:C2242""), 1,false)"),"WEIGHT_UNIT_SI")</f>
        <v>WEIGHT_UNIT_SI</v>
      </c>
      <c r="I14622" s="136"/>
      <c r="R14622" s="63" t="str">
        <f t="shared" si="60"/>
        <v>ZSI1_WATERMURWEIGHT_UNIT_SI</v>
      </c>
    </row>
    <row r="14623" ht="15.75" customHeight="1">
      <c r="A14623" s="59"/>
      <c r="B14623" s="63">
        <f t="shared" si="1"/>
        <v>13</v>
      </c>
      <c r="C14623" s="135" t="s">
        <v>481</v>
      </c>
      <c r="D14623" s="161" t="s">
        <v>74</v>
      </c>
      <c r="E14623" s="135">
        <f t="shared" si="62"/>
        <v>12</v>
      </c>
      <c r="F14623" s="134" t="s">
        <v>3877</v>
      </c>
      <c r="G14623" s="63" t="str">
        <f>VLOOKUP(C14623, 'Class Def. - General Data'!$C$20:$C$1000,1,false)</f>
        <v>ZSI1_WATERMUR</v>
      </c>
      <c r="H14623" s="63" t="str">
        <f>IFERROR(__xludf.DUMMYFUNCTION("VLOOKUP(F14623, IMPORTRANGE(""https://docs.google.com/spreadsheets/d/1Lhp9OU0JdFf_VYSMzH5lBcEaU4o8teT1piV-SNzShjg/edit?gid=554141278#gid=554141278"", ""'Char Def. - Attributes'!C20:C2242""), 1,false)"),"VOLUME_OPT")</f>
        <v>VOLUME_OPT</v>
      </c>
      <c r="I14623" s="136"/>
      <c r="R14623" s="63" t="str">
        <f t="shared" si="60"/>
        <v>ZSI1_WATERMURVOLUME_OPT</v>
      </c>
    </row>
    <row r="14624" ht="15.75" customHeight="1">
      <c r="A14624" s="59"/>
      <c r="B14624" s="63">
        <f t="shared" si="1"/>
        <v>13</v>
      </c>
      <c r="C14624" s="135" t="s">
        <v>481</v>
      </c>
      <c r="D14624" s="161" t="s">
        <v>74</v>
      </c>
      <c r="E14624" s="135">
        <f t="shared" si="62"/>
        <v>13</v>
      </c>
      <c r="F14624" s="134" t="s">
        <v>4059</v>
      </c>
      <c r="G14624" s="63" t="str">
        <f>VLOOKUP(C14624, 'Class Def. - General Data'!$C$20:$C$1000,1,false)</f>
        <v>ZSI1_WATERMUR</v>
      </c>
      <c r="H14624" s="63" t="str">
        <f>IFERROR(__xludf.DUMMYFUNCTION("VLOOKUP(F14624, IMPORTRANGE(""https://docs.google.com/spreadsheets/d/1Lhp9OU0JdFf_VYSMzH5lBcEaU4o8teT1piV-SNzShjg/edit?gid=554141278#gid=554141278"", ""'Char Def. - Attributes'!C20:C2242""), 1,false)"),"VOLUME_UNIT_SI")</f>
        <v>VOLUME_UNIT_SI</v>
      </c>
      <c r="I14624" s="136"/>
      <c r="R14624" s="63" t="str">
        <f t="shared" si="60"/>
        <v>ZSI1_WATERMURVOLUME_UNIT_SI</v>
      </c>
    </row>
    <row r="14625" ht="15.75" customHeight="1">
      <c r="A14625" s="59"/>
      <c r="B14625" s="63">
        <f t="shared" si="1"/>
        <v>13</v>
      </c>
      <c r="C14625" s="135" t="s">
        <v>481</v>
      </c>
      <c r="D14625" s="161" t="s">
        <v>74</v>
      </c>
      <c r="E14625" s="135">
        <f t="shared" si="62"/>
        <v>14</v>
      </c>
      <c r="F14625" s="134" t="s">
        <v>3804</v>
      </c>
      <c r="G14625" s="63" t="str">
        <f>VLOOKUP(C14625, 'Class Def. - General Data'!$C$20:$C$1000,1,false)</f>
        <v>ZSI1_WATERMUR</v>
      </c>
      <c r="H14625" s="63" t="str">
        <f>IFERROR(__xludf.DUMMYFUNCTION("VLOOKUP(F14625, IMPORTRANGE(""https://docs.google.com/spreadsheets/d/1Lhp9OU0JdFf_VYSMzH5lBcEaU4o8teT1piV-SNzShjg/edit?gid=554141278#gid=554141278"", ""'Char Def. - Attributes'!C20:C2242""), 1,false)"),"ALT_UOM1_SIPI")</f>
        <v>ALT_UOM1_SIPI</v>
      </c>
      <c r="I14625" s="136"/>
      <c r="R14625" s="63" t="str">
        <f t="shared" si="60"/>
        <v>ZSI1_WATERMURALT_UOM1_SIPI</v>
      </c>
    </row>
    <row r="14626" ht="15.75" customHeight="1">
      <c r="A14626" s="59"/>
      <c r="B14626" s="63">
        <f t="shared" si="1"/>
        <v>13</v>
      </c>
      <c r="C14626" s="135" t="s">
        <v>481</v>
      </c>
      <c r="D14626" s="161" t="s">
        <v>74</v>
      </c>
      <c r="E14626" s="135">
        <f t="shared" si="62"/>
        <v>15</v>
      </c>
      <c r="F14626" s="134" t="s">
        <v>3805</v>
      </c>
      <c r="G14626" s="63" t="str">
        <f>VLOOKUP(C14626, 'Class Def. - General Data'!$C$20:$C$1000,1,false)</f>
        <v>ZSI1_WATERMUR</v>
      </c>
      <c r="H14626" s="63" t="str">
        <f>IFERROR(__xludf.DUMMYFUNCTION("VLOOKUP(F14626, IMPORTRANGE(""https://docs.google.com/spreadsheets/d/1Lhp9OU0JdFf_VYSMzH5lBcEaU4o8teT1piV-SNzShjg/edit?gid=554141278#gid=554141278"", ""'Char Def. - Attributes'!C20:C2242""), 1,false)"),"ALT_DENUM_UOM1")</f>
        <v>ALT_DENUM_UOM1</v>
      </c>
      <c r="I14626" s="136"/>
      <c r="R14626" s="63" t="str">
        <f t="shared" si="60"/>
        <v>ZSI1_WATERMURALT_DENUM_UOM1</v>
      </c>
    </row>
    <row r="14627" ht="15.75" customHeight="1">
      <c r="A14627" s="59"/>
      <c r="B14627" s="63">
        <f t="shared" si="1"/>
        <v>13</v>
      </c>
      <c r="C14627" s="135" t="s">
        <v>481</v>
      </c>
      <c r="D14627" s="161" t="s">
        <v>74</v>
      </c>
      <c r="E14627" s="135">
        <f t="shared" si="62"/>
        <v>16</v>
      </c>
      <c r="F14627" s="134" t="s">
        <v>3806</v>
      </c>
      <c r="G14627" s="63" t="str">
        <f>VLOOKUP(C14627, 'Class Def. - General Data'!$C$20:$C$1000,1,false)</f>
        <v>ZSI1_WATERMUR</v>
      </c>
      <c r="H14627" s="63" t="str">
        <f>IFERROR(__xludf.DUMMYFUNCTION("VLOOKUP(F14627, IMPORTRANGE(""https://docs.google.com/spreadsheets/d/1Lhp9OU0JdFf_VYSMzH5lBcEaU4o8teT1piV-SNzShjg/edit?gid=554141278#gid=554141278"", ""'Char Def. - Attributes'!C20:C2242""), 1,false)"),"ALT_NUM_UOM1")</f>
        <v>ALT_NUM_UOM1</v>
      </c>
      <c r="I14627" s="136"/>
      <c r="R14627" s="63" t="str">
        <f t="shared" si="60"/>
        <v>ZSI1_WATERMURALT_NUM_UOM1</v>
      </c>
    </row>
    <row r="14628" ht="15.75" customHeight="1">
      <c r="A14628" s="59"/>
      <c r="B14628" s="63">
        <f t="shared" si="1"/>
        <v>13</v>
      </c>
      <c r="C14628" s="135" t="s">
        <v>481</v>
      </c>
      <c r="D14628" s="161" t="s">
        <v>74</v>
      </c>
      <c r="E14628" s="135">
        <f t="shared" si="62"/>
        <v>17</v>
      </c>
      <c r="F14628" s="134" t="s">
        <v>3807</v>
      </c>
      <c r="G14628" s="63" t="str">
        <f>VLOOKUP(C14628, 'Class Def. - General Data'!$C$20:$C$1000,1,false)</f>
        <v>ZSI1_WATERMUR</v>
      </c>
      <c r="H14628" s="63" t="str">
        <f>IFERROR(__xludf.DUMMYFUNCTION("VLOOKUP(F14628, IMPORTRANGE(""https://docs.google.com/spreadsheets/d/1Lhp9OU0JdFf_VYSMzH5lBcEaU4o8teT1piV-SNzShjg/edit?gid=554141278#gid=554141278"", ""'Char Def. - Attributes'!C20:C2242""), 1,false)"),"ALT_UOM2_SIPI")</f>
        <v>ALT_UOM2_SIPI</v>
      </c>
      <c r="I14628" s="136"/>
      <c r="R14628" s="63" t="str">
        <f t="shared" si="60"/>
        <v>ZSI1_WATERMURALT_UOM2_SIPI</v>
      </c>
    </row>
    <row r="14629" ht="15.75" customHeight="1">
      <c r="A14629" s="59"/>
      <c r="B14629" s="63">
        <f t="shared" si="1"/>
        <v>13</v>
      </c>
      <c r="C14629" s="135" t="s">
        <v>481</v>
      </c>
      <c r="D14629" s="161" t="s">
        <v>74</v>
      </c>
      <c r="E14629" s="135">
        <f t="shared" si="62"/>
        <v>18</v>
      </c>
      <c r="F14629" s="134" t="s">
        <v>3808</v>
      </c>
      <c r="G14629" s="63" t="str">
        <f>VLOOKUP(C14629, 'Class Def. - General Data'!$C$20:$C$1000,1,false)</f>
        <v>ZSI1_WATERMUR</v>
      </c>
      <c r="H14629" s="63" t="str">
        <f>IFERROR(__xludf.DUMMYFUNCTION("VLOOKUP(F14629, IMPORTRANGE(""https://docs.google.com/spreadsheets/d/1Lhp9OU0JdFf_VYSMzH5lBcEaU4o8teT1piV-SNzShjg/edit?gid=554141278#gid=554141278"", ""'Char Def. - Attributes'!C20:C2242""), 1,false)"),"ALT_DENUM_UOM2")</f>
        <v>ALT_DENUM_UOM2</v>
      </c>
      <c r="I14629" s="136"/>
      <c r="R14629" s="63" t="str">
        <f t="shared" si="60"/>
        <v>ZSI1_WATERMURALT_DENUM_UOM2</v>
      </c>
    </row>
    <row r="14630" ht="15.75" customHeight="1">
      <c r="A14630" s="59"/>
      <c r="B14630" s="63">
        <f t="shared" si="1"/>
        <v>13</v>
      </c>
      <c r="C14630" s="135" t="s">
        <v>481</v>
      </c>
      <c r="D14630" s="161" t="s">
        <v>74</v>
      </c>
      <c r="E14630" s="135">
        <f t="shared" si="62"/>
        <v>19</v>
      </c>
      <c r="F14630" s="134" t="s">
        <v>3809</v>
      </c>
      <c r="G14630" s="63" t="str">
        <f>VLOOKUP(C14630, 'Class Def. - General Data'!$C$20:$C$1000,1,false)</f>
        <v>ZSI1_WATERMUR</v>
      </c>
      <c r="H14630" s="63" t="str">
        <f>IFERROR(__xludf.DUMMYFUNCTION("VLOOKUP(F14630, IMPORTRANGE(""https://docs.google.com/spreadsheets/d/1Lhp9OU0JdFf_VYSMzH5lBcEaU4o8teT1piV-SNzShjg/edit?gid=554141278#gid=554141278"", ""'Char Def. - Attributes'!C20:C2242""), 1,false)"),"ALT_NUM_UOM2")</f>
        <v>ALT_NUM_UOM2</v>
      </c>
      <c r="I14630" s="136"/>
      <c r="R14630" s="63" t="str">
        <f t="shared" si="60"/>
        <v>ZSI1_WATERMURALT_NUM_UOM2</v>
      </c>
    </row>
    <row r="14631" ht="15.75" customHeight="1">
      <c r="A14631" s="59"/>
      <c r="B14631" s="63">
        <f t="shared" si="1"/>
        <v>13</v>
      </c>
      <c r="C14631" s="135" t="s">
        <v>481</v>
      </c>
      <c r="D14631" s="161" t="s">
        <v>74</v>
      </c>
      <c r="E14631" s="135">
        <f t="shared" si="62"/>
        <v>20</v>
      </c>
      <c r="F14631" s="134" t="s">
        <v>3810</v>
      </c>
      <c r="G14631" s="63" t="str">
        <f>VLOOKUP(C14631, 'Class Def. - General Data'!$C$20:$C$1000,1,false)</f>
        <v>ZSI1_WATERMUR</v>
      </c>
      <c r="H14631" s="63" t="str">
        <f>IFERROR(__xludf.DUMMYFUNCTION("VLOOKUP(F14631, IMPORTRANGE(""https://docs.google.com/spreadsheets/d/1Lhp9OU0JdFf_VYSMzH5lBcEaU4o8teT1piV-SNzShjg/edit?gid=554141278#gid=554141278"", ""'Char Def. - Attributes'!C20:C2242""), 1,false)"),"ALT_UOM3_SIPI")</f>
        <v>ALT_UOM3_SIPI</v>
      </c>
      <c r="I14631" s="136"/>
      <c r="R14631" s="63" t="str">
        <f t="shared" si="60"/>
        <v>ZSI1_WATERMURALT_UOM3_SIPI</v>
      </c>
    </row>
    <row r="14632" ht="15.75" customHeight="1">
      <c r="A14632" s="59"/>
      <c r="B14632" s="63">
        <f t="shared" si="1"/>
        <v>13</v>
      </c>
      <c r="C14632" s="135" t="s">
        <v>481</v>
      </c>
      <c r="D14632" s="161" t="s">
        <v>74</v>
      </c>
      <c r="E14632" s="135">
        <f t="shared" si="62"/>
        <v>21</v>
      </c>
      <c r="F14632" s="134" t="s">
        <v>3811</v>
      </c>
      <c r="G14632" s="63" t="str">
        <f>VLOOKUP(C14632, 'Class Def. - General Data'!$C$20:$C$1000,1,false)</f>
        <v>ZSI1_WATERMUR</v>
      </c>
      <c r="H14632" s="63" t="str">
        <f>IFERROR(__xludf.DUMMYFUNCTION("VLOOKUP(F14632, IMPORTRANGE(""https://docs.google.com/spreadsheets/d/1Lhp9OU0JdFf_VYSMzH5lBcEaU4o8teT1piV-SNzShjg/edit?gid=554141278#gid=554141278"", ""'Char Def. - Attributes'!C20:C2242""), 1,false)"),"ALT_DENUM_UOM3")</f>
        <v>ALT_DENUM_UOM3</v>
      </c>
      <c r="I14632" s="136"/>
      <c r="R14632" s="63" t="str">
        <f t="shared" si="60"/>
        <v>ZSI1_WATERMURALT_DENUM_UOM3</v>
      </c>
    </row>
    <row r="14633" ht="15.75" customHeight="1">
      <c r="A14633" s="59"/>
      <c r="B14633" s="63">
        <f t="shared" si="1"/>
        <v>13</v>
      </c>
      <c r="C14633" s="135" t="s">
        <v>481</v>
      </c>
      <c r="D14633" s="161" t="s">
        <v>74</v>
      </c>
      <c r="E14633" s="135">
        <f t="shared" si="62"/>
        <v>22</v>
      </c>
      <c r="F14633" s="134" t="s">
        <v>3812</v>
      </c>
      <c r="G14633" s="63" t="str">
        <f>VLOOKUP(C14633, 'Class Def. - General Data'!$C$20:$C$1000,1,false)</f>
        <v>ZSI1_WATERMUR</v>
      </c>
      <c r="H14633" s="63" t="str">
        <f>IFERROR(__xludf.DUMMYFUNCTION("VLOOKUP(F14633, IMPORTRANGE(""https://docs.google.com/spreadsheets/d/1Lhp9OU0JdFf_VYSMzH5lBcEaU4o8teT1piV-SNzShjg/edit?gid=554141278#gid=554141278"", ""'Char Def. - Attributes'!C20:C2242""), 1,false)"),"ALT_NUM_UOM3")</f>
        <v>ALT_NUM_UOM3</v>
      </c>
      <c r="I14633" s="136"/>
      <c r="R14633" s="63" t="str">
        <f t="shared" si="60"/>
        <v>ZSI1_WATERMURALT_NUM_UOM3</v>
      </c>
    </row>
    <row r="14634" ht="15.75" customHeight="1">
      <c r="A14634" s="59"/>
      <c r="B14634" s="63">
        <f t="shared" si="1"/>
        <v>13</v>
      </c>
      <c r="C14634" s="135" t="s">
        <v>481</v>
      </c>
      <c r="D14634" s="161" t="s">
        <v>74</v>
      </c>
      <c r="E14634" s="135">
        <f t="shared" si="62"/>
        <v>23</v>
      </c>
      <c r="F14634" s="134" t="s">
        <v>3813</v>
      </c>
      <c r="G14634" s="63" t="str">
        <f>VLOOKUP(C14634, 'Class Def. - General Data'!$C$20:$C$1000,1,false)</f>
        <v>ZSI1_WATERMUR</v>
      </c>
      <c r="H14634" s="63" t="str">
        <f>IFERROR(__xludf.DUMMYFUNCTION("VLOOKUP(F14634, IMPORTRANGE(""https://docs.google.com/spreadsheets/d/1Lhp9OU0JdFf_VYSMzH5lBcEaU4o8teT1piV-SNzShjg/edit?gid=554141278#gid=554141278"", ""'Char Def. - Attributes'!C20:C2242""), 1,false)"),"ALT_UOM4_SIPI")</f>
        <v>ALT_UOM4_SIPI</v>
      </c>
      <c r="I14634" s="136"/>
      <c r="R14634" s="63" t="str">
        <f t="shared" si="60"/>
        <v>ZSI1_WATERMURALT_UOM4_SIPI</v>
      </c>
    </row>
    <row r="14635" ht="15.75" customHeight="1">
      <c r="A14635" s="59"/>
      <c r="B14635" s="63">
        <f t="shared" si="1"/>
        <v>13</v>
      </c>
      <c r="C14635" s="135" t="s">
        <v>481</v>
      </c>
      <c r="D14635" s="161" t="s">
        <v>74</v>
      </c>
      <c r="E14635" s="135">
        <f t="shared" si="62"/>
        <v>24</v>
      </c>
      <c r="F14635" s="134" t="s">
        <v>3814</v>
      </c>
      <c r="G14635" s="63" t="str">
        <f>VLOOKUP(C14635, 'Class Def. - General Data'!$C$20:$C$1000,1,false)</f>
        <v>ZSI1_WATERMUR</v>
      </c>
      <c r="H14635" s="63" t="str">
        <f>IFERROR(__xludf.DUMMYFUNCTION("VLOOKUP(F14635, IMPORTRANGE(""https://docs.google.com/spreadsheets/d/1Lhp9OU0JdFf_VYSMzH5lBcEaU4o8teT1piV-SNzShjg/edit?gid=554141278#gid=554141278"", ""'Char Def. - Attributes'!C20:C2242""), 1,false)"),"ALT_DENUM_UOM4")</f>
        <v>ALT_DENUM_UOM4</v>
      </c>
      <c r="I14635" s="136"/>
      <c r="R14635" s="63" t="str">
        <f t="shared" si="60"/>
        <v>ZSI1_WATERMURALT_DENUM_UOM4</v>
      </c>
    </row>
    <row r="14636" ht="15.75" customHeight="1">
      <c r="A14636" s="59"/>
      <c r="B14636" s="63">
        <f t="shared" si="1"/>
        <v>13</v>
      </c>
      <c r="C14636" s="135" t="s">
        <v>481</v>
      </c>
      <c r="D14636" s="161" t="s">
        <v>74</v>
      </c>
      <c r="E14636" s="135">
        <f t="shared" si="62"/>
        <v>25</v>
      </c>
      <c r="F14636" s="134" t="s">
        <v>3815</v>
      </c>
      <c r="G14636" s="63" t="str">
        <f>VLOOKUP(C14636, 'Class Def. - General Data'!$C$20:$C$1000,1,false)</f>
        <v>ZSI1_WATERMUR</v>
      </c>
      <c r="H14636" s="63" t="str">
        <f>IFERROR(__xludf.DUMMYFUNCTION("VLOOKUP(F14636, IMPORTRANGE(""https://docs.google.com/spreadsheets/d/1Lhp9OU0JdFf_VYSMzH5lBcEaU4o8teT1piV-SNzShjg/edit?gid=554141278#gid=554141278"", ""'Char Def. - Attributes'!C20:C2242""), 1,false)"),"ALT_NUM_UOM4")</f>
        <v>ALT_NUM_UOM4</v>
      </c>
      <c r="I14636" s="136"/>
      <c r="R14636" s="63" t="str">
        <f t="shared" si="60"/>
        <v>ZSI1_WATERMURALT_NUM_UOM4</v>
      </c>
    </row>
    <row r="14637" ht="15.75" customHeight="1">
      <c r="A14637" s="59"/>
      <c r="B14637" s="63">
        <f t="shared" si="1"/>
        <v>13</v>
      </c>
      <c r="C14637" s="135" t="s">
        <v>481</v>
      </c>
      <c r="D14637" s="161" t="s">
        <v>74</v>
      </c>
      <c r="E14637" s="135">
        <f t="shared" si="62"/>
        <v>26</v>
      </c>
      <c r="F14637" s="134" t="s">
        <v>3816</v>
      </c>
      <c r="G14637" s="63" t="str">
        <f>VLOOKUP(C14637, 'Class Def. - General Data'!$C$20:$C$1000,1,false)</f>
        <v>ZSI1_WATERMUR</v>
      </c>
      <c r="H14637" s="63" t="str">
        <f>IFERROR(__xludf.DUMMYFUNCTION("VLOOKUP(F14637, IMPORTRANGE(""https://docs.google.com/spreadsheets/d/1Lhp9OU0JdFf_VYSMzH5lBcEaU4o8teT1piV-SNzShjg/edit?gid=554141278#gid=554141278"", ""'Char Def. - Attributes'!C20:C2242""), 1,false)"),"ALT_UOM5_SIPI")</f>
        <v>ALT_UOM5_SIPI</v>
      </c>
      <c r="I14637" s="136"/>
      <c r="R14637" s="63" t="str">
        <f t="shared" si="60"/>
        <v>ZSI1_WATERMURALT_UOM5_SIPI</v>
      </c>
    </row>
    <row r="14638" ht="15.75" customHeight="1">
      <c r="A14638" s="59"/>
      <c r="B14638" s="63">
        <f t="shared" si="1"/>
        <v>13</v>
      </c>
      <c r="C14638" s="135" t="s">
        <v>481</v>
      </c>
      <c r="D14638" s="161" t="s">
        <v>74</v>
      </c>
      <c r="E14638" s="135">
        <f t="shared" si="62"/>
        <v>27</v>
      </c>
      <c r="F14638" s="134" t="s">
        <v>3817</v>
      </c>
      <c r="G14638" s="63" t="str">
        <f>VLOOKUP(C14638, 'Class Def. - General Data'!$C$20:$C$1000,1,false)</f>
        <v>ZSI1_WATERMUR</v>
      </c>
      <c r="H14638" s="63" t="str">
        <f>IFERROR(__xludf.DUMMYFUNCTION("VLOOKUP(F14638, IMPORTRANGE(""https://docs.google.com/spreadsheets/d/1Lhp9OU0JdFf_VYSMzH5lBcEaU4o8teT1piV-SNzShjg/edit?gid=554141278#gid=554141278"", ""'Char Def. - Attributes'!C20:C2242""), 1,false)"),"ALT_DENUM_UOM5")</f>
        <v>ALT_DENUM_UOM5</v>
      </c>
      <c r="I14638" s="136"/>
      <c r="R14638" s="63" t="str">
        <f t="shared" si="60"/>
        <v>ZSI1_WATERMURALT_DENUM_UOM5</v>
      </c>
    </row>
    <row r="14639" ht="15.75" customHeight="1">
      <c r="A14639" s="59"/>
      <c r="B14639" s="63">
        <f t="shared" si="1"/>
        <v>13</v>
      </c>
      <c r="C14639" s="135" t="s">
        <v>481</v>
      </c>
      <c r="D14639" s="161" t="s">
        <v>74</v>
      </c>
      <c r="E14639" s="135">
        <f t="shared" si="62"/>
        <v>28</v>
      </c>
      <c r="F14639" s="134" t="s">
        <v>3818</v>
      </c>
      <c r="G14639" s="63" t="str">
        <f>VLOOKUP(C14639, 'Class Def. - General Data'!$C$20:$C$1000,1,false)</f>
        <v>ZSI1_WATERMUR</v>
      </c>
      <c r="H14639" s="63" t="str">
        <f>IFERROR(__xludf.DUMMYFUNCTION("VLOOKUP(F14639, IMPORTRANGE(""https://docs.google.com/spreadsheets/d/1Lhp9OU0JdFf_VYSMzH5lBcEaU4o8teT1piV-SNzShjg/edit?gid=554141278#gid=554141278"", ""'Char Def. - Attributes'!C20:C2242""), 1,false)"),"ALT_NUM_UOM5")</f>
        <v>ALT_NUM_UOM5</v>
      </c>
      <c r="I14639" s="136"/>
      <c r="R14639" s="63" t="str">
        <f t="shared" si="60"/>
        <v>ZSI1_WATERMURALT_NUM_UOM5</v>
      </c>
    </row>
    <row r="14640" ht="15.75" customHeight="1">
      <c r="A14640" s="59"/>
      <c r="B14640" s="63">
        <f t="shared" si="1"/>
        <v>14</v>
      </c>
      <c r="C14640" s="135" t="s">
        <v>528</v>
      </c>
      <c r="D14640" s="161" t="s">
        <v>74</v>
      </c>
      <c r="E14640" s="135">
        <f t="shared" si="62"/>
        <v>1</v>
      </c>
      <c r="F14640" s="134" t="s">
        <v>5638</v>
      </c>
      <c r="G14640" s="63" t="str">
        <f>VLOOKUP(C14640, 'Class Def. - General Data'!$C$20:$C$1000,1,false)</f>
        <v>ZSI1_WEB_SLING</v>
      </c>
      <c r="H14640" s="63" t="str">
        <f>IFERROR(__xludf.DUMMYFUNCTION("VLOOKUP(F14640, IMPORTRANGE(""https://docs.google.com/spreadsheets/d/1Lhp9OU0JdFf_VYSMzH5lBcEaU4o8teT1piV-SNzShjg/edit?gid=554141278#gid=554141278"", ""'Char Def. - Attributes'!C20:C2242""), 1,false)"),"ITEM_NAME_WEB_SLING")</f>
        <v>ITEM_NAME_WEB_SLING</v>
      </c>
      <c r="I14640" s="136"/>
      <c r="R14640" s="63" t="str">
        <f t="shared" si="60"/>
        <v>ZSI1_WEB_SLINGITEM_NAME_WEB_SLING</v>
      </c>
    </row>
    <row r="14641" ht="15.75" customHeight="1">
      <c r="A14641" s="59"/>
      <c r="B14641" s="63">
        <f t="shared" si="1"/>
        <v>14</v>
      </c>
      <c r="C14641" s="135" t="s">
        <v>528</v>
      </c>
      <c r="D14641" s="161" t="s">
        <v>74</v>
      </c>
      <c r="E14641" s="135">
        <f t="shared" si="62"/>
        <v>2</v>
      </c>
      <c r="F14641" s="134" t="s">
        <v>5639</v>
      </c>
      <c r="G14641" s="63" t="str">
        <f>VLOOKUP(C14641, 'Class Def. - General Data'!$C$20:$C$1000,1,false)</f>
        <v>ZSI1_WEB_SLING</v>
      </c>
      <c r="H14641" s="63" t="str">
        <f>IFERROR(__xludf.DUMMYFUNCTION("VLOOKUP(F14641, IMPORTRANGE(""https://docs.google.com/spreadsheets/d/1Lhp9OU0JdFf_VYSMzH5lBcEaU4o8teT1piV-SNzShjg/edit?gid=554141278#gid=554141278"", ""'Char Def. - Attributes'!C20:C2242""), 1,false)"),"MFR_NO_WEB_SLING")</f>
        <v>MFR_NO_WEB_SLING</v>
      </c>
      <c r="I14641" s="136"/>
      <c r="R14641" s="63" t="str">
        <f t="shared" si="60"/>
        <v>ZSI1_WEB_SLINGMFR_NO_WEB_SLING</v>
      </c>
    </row>
    <row r="14642" ht="15.75" customHeight="1">
      <c r="A14642" s="59"/>
      <c r="B14642" s="63">
        <f t="shared" si="1"/>
        <v>14</v>
      </c>
      <c r="C14642" s="135" t="s">
        <v>528</v>
      </c>
      <c r="D14642" s="161" t="s">
        <v>74</v>
      </c>
      <c r="E14642" s="135">
        <f t="shared" si="62"/>
        <v>3</v>
      </c>
      <c r="F14642" s="134" t="s">
        <v>3782</v>
      </c>
      <c r="G14642" s="63" t="str">
        <f>VLOOKUP(C14642, 'Class Def. - General Data'!$C$20:$C$1000,1,false)</f>
        <v>ZSI1_WEB_SLING</v>
      </c>
      <c r="H14642" s="63" t="str">
        <f>IFERROR(__xludf.DUMMYFUNCTION("VLOOKUP(F14642, IMPORTRANGE(""https://docs.google.com/spreadsheets/d/1Lhp9OU0JdFf_VYSMzH5lBcEaU4o8teT1piV-SNzShjg/edit?gid=554141278#gid=554141278"", ""'Char Def. - Attributes'!C20:C2242""), 1,false)"),"BRAND_EXTERNAL")</f>
        <v>BRAND_EXTERNAL</v>
      </c>
      <c r="I14642" s="136"/>
      <c r="R14642" s="63" t="str">
        <f t="shared" si="60"/>
        <v>ZSI1_WEB_SLINGBRAND_EXTERNAL</v>
      </c>
    </row>
    <row r="14643" ht="15.75" customHeight="1">
      <c r="A14643" s="59"/>
      <c r="B14643" s="63">
        <f t="shared" si="1"/>
        <v>14</v>
      </c>
      <c r="C14643" s="135" t="s">
        <v>528</v>
      </c>
      <c r="D14643" s="161" t="s">
        <v>74</v>
      </c>
      <c r="E14643" s="135">
        <f t="shared" si="62"/>
        <v>4</v>
      </c>
      <c r="F14643" s="134" t="s">
        <v>5640</v>
      </c>
      <c r="G14643" s="63" t="str">
        <f>VLOOKUP(C14643, 'Class Def. - General Data'!$C$20:$C$1000,1,false)</f>
        <v>ZSI1_WEB_SLING</v>
      </c>
      <c r="H14643" s="63" t="str">
        <f>IFERROR(__xludf.DUMMYFUNCTION("VLOOKUP(F14643, IMPORTRANGE(""https://docs.google.com/spreadsheets/d/1Lhp9OU0JdFf_VYSMzH5lBcEaU4o8teT1piV-SNzShjg/edit?gid=554141278#gid=554141278"", ""'Char Def. - Attributes'!C20:C2242""), 1,false)"),"MAX_HEIGHT_MM_WEB_SLING")</f>
        <v>MAX_HEIGHT_MM_WEB_SLING</v>
      </c>
      <c r="I14643" s="136"/>
      <c r="R14643" s="63" t="str">
        <f t="shared" si="60"/>
        <v>ZSI1_WEB_SLINGMAX_HEIGHT_MM_WEB_SLING</v>
      </c>
    </row>
    <row r="14644" ht="15.75" customHeight="1">
      <c r="A14644" s="59"/>
      <c r="B14644" s="63">
        <f t="shared" si="1"/>
        <v>14</v>
      </c>
      <c r="C14644" s="135" t="s">
        <v>528</v>
      </c>
      <c r="D14644" s="161" t="s">
        <v>74</v>
      </c>
      <c r="E14644" s="135">
        <f t="shared" si="62"/>
        <v>5</v>
      </c>
      <c r="F14644" s="134" t="s">
        <v>5641</v>
      </c>
      <c r="G14644" s="63" t="str">
        <f>VLOOKUP(C14644, 'Class Def. - General Data'!$C$20:$C$1000,1,false)</f>
        <v>ZSI1_WEB_SLING</v>
      </c>
      <c r="H14644" s="63" t="str">
        <f>IFERROR(__xludf.DUMMYFUNCTION("VLOOKUP(F14644, IMPORTRANGE(""https://docs.google.com/spreadsheets/d/1Lhp9OU0JdFf_VYSMzH5lBcEaU4o8teT1piV-SNzShjg/edit?gid=554141278#gid=554141278"", ""'Char Def. - Attributes'!C20:C2242""), 1,false)"),"MAX_WEIGHT_T_WEB_SLING")</f>
        <v>MAX_WEIGHT_T_WEB_SLING</v>
      </c>
      <c r="I14644" s="136"/>
      <c r="R14644" s="63" t="str">
        <f t="shared" si="60"/>
        <v>ZSI1_WEB_SLINGMAX_WEIGHT_T_WEB_SLING</v>
      </c>
    </row>
    <row r="14645" ht="15.75" customHeight="1">
      <c r="A14645" s="59"/>
      <c r="B14645" s="63">
        <f t="shared" si="1"/>
        <v>14</v>
      </c>
      <c r="C14645" s="135" t="s">
        <v>528</v>
      </c>
      <c r="D14645" s="161" t="s">
        <v>74</v>
      </c>
      <c r="E14645" s="135">
        <f t="shared" si="62"/>
        <v>6</v>
      </c>
      <c r="F14645" s="134" t="s">
        <v>4053</v>
      </c>
      <c r="G14645" s="63" t="str">
        <f>VLOOKUP(C14645, 'Class Def. - General Data'!$C$20:$C$1000,1,false)</f>
        <v>ZSI1_WEB_SLING</v>
      </c>
      <c r="H14645" s="63" t="str">
        <f>IFERROR(__xludf.DUMMYFUNCTION("VLOOKUP(F14645, IMPORTRANGE(""https://docs.google.com/spreadsheets/d/1Lhp9OU0JdFf_VYSMzH5lBcEaU4o8teT1piV-SNzShjg/edit?gid=554141278#gid=554141278"", ""'Char Def. - Attributes'!C20:C2242""), 1,false)"),"MAINTENANCE_ORDER_TYPE")</f>
        <v>MAINTENANCE_ORDER_TYPE</v>
      </c>
      <c r="I14645" s="136"/>
      <c r="R14645" s="63" t="str">
        <f t="shared" si="60"/>
        <v>ZSI1_WEB_SLINGMAINTENANCE_ORDER_TYPE</v>
      </c>
    </row>
    <row r="14646" ht="15.75" customHeight="1">
      <c r="A14646" s="59"/>
      <c r="B14646" s="63">
        <f t="shared" si="1"/>
        <v>14</v>
      </c>
      <c r="C14646" s="135" t="s">
        <v>528</v>
      </c>
      <c r="D14646" s="161" t="s">
        <v>74</v>
      </c>
      <c r="E14646" s="135">
        <f t="shared" si="62"/>
        <v>7</v>
      </c>
      <c r="F14646" s="134" t="s">
        <v>3585</v>
      </c>
      <c r="G14646" s="63" t="str">
        <f>VLOOKUP(C14646, 'Class Def. - General Data'!$C$20:$C$1000,1,false)</f>
        <v>ZSI1_WEB_SLING</v>
      </c>
      <c r="H14646" s="63" t="str">
        <f>IFERROR(__xludf.DUMMYFUNCTION("VLOOKUP(F14646, IMPORTRANGE(""https://docs.google.com/spreadsheets/d/1Lhp9OU0JdFf_VYSMzH5lBcEaU4o8teT1piV-SNzShjg/edit?gid=554141278#gid=554141278"", ""'Char Def. - Attributes'!C20:C2242""), 1,false)"),"HS_CODE")</f>
        <v>HS_CODE</v>
      </c>
      <c r="I14646" s="136"/>
      <c r="R14646" s="63" t="str">
        <f t="shared" si="60"/>
        <v>ZSI1_WEB_SLINGHS_CODE</v>
      </c>
    </row>
    <row r="14647" ht="15.75" customHeight="1">
      <c r="A14647" s="59"/>
      <c r="B14647" s="63">
        <f t="shared" si="1"/>
        <v>14</v>
      </c>
      <c r="C14647" s="135" t="s">
        <v>528</v>
      </c>
      <c r="D14647" s="161" t="s">
        <v>74</v>
      </c>
      <c r="E14647" s="135">
        <f t="shared" si="62"/>
        <v>8</v>
      </c>
      <c r="F14647" s="134" t="s">
        <v>3587</v>
      </c>
      <c r="G14647" s="63" t="str">
        <f>VLOOKUP(C14647, 'Class Def. - General Data'!$C$20:$C$1000,1,false)</f>
        <v>ZSI1_WEB_SLING</v>
      </c>
      <c r="H14647" s="63" t="str">
        <f>IFERROR(__xludf.DUMMYFUNCTION("VLOOKUP(F14647, IMPORTRANGE(""https://docs.google.com/spreadsheets/d/1Lhp9OU0JdFf_VYSMzH5lBcEaU4o8teT1piV-SNzShjg/edit?gid=554141278#gid=554141278"", ""'Char Def. - Attributes'!C20:C2242""), 1,false)"),"PLANT_BUY")</f>
        <v>PLANT_BUY</v>
      </c>
      <c r="I14647" s="136"/>
      <c r="R14647" s="63" t="str">
        <f t="shared" si="60"/>
        <v>ZSI1_WEB_SLINGPLANT_BUY</v>
      </c>
    </row>
    <row r="14648" ht="15.75" customHeight="1">
      <c r="A14648" s="59"/>
      <c r="B14648" s="63">
        <f t="shared" si="1"/>
        <v>14</v>
      </c>
      <c r="C14648" s="135" t="s">
        <v>528</v>
      </c>
      <c r="D14648" s="161" t="s">
        <v>74</v>
      </c>
      <c r="E14648" s="135">
        <f t="shared" si="62"/>
        <v>9</v>
      </c>
      <c r="F14648" s="134" t="s">
        <v>5642</v>
      </c>
      <c r="G14648" s="63" t="str">
        <f>VLOOKUP(C14648, 'Class Def. - General Data'!$C$20:$C$1000,1,false)</f>
        <v>ZSI1_WEB_SLING</v>
      </c>
      <c r="H14648" s="63" t="str">
        <f>IFERROR(__xludf.DUMMYFUNCTION("VLOOKUP(F14648, IMPORTRANGE(""https://docs.google.com/spreadsheets/d/1Lhp9OU0JdFf_VYSMzH5lBcEaU4o8teT1piV-SNzShjg/edit?gid=554141278#gid=554141278"", ""'Char Def. - Attributes'!C20:C2242""), 1,false)"),"BASE_UOM_WEB_SLING")</f>
        <v>BASE_UOM_WEB_SLING</v>
      </c>
      <c r="I14648" s="136"/>
      <c r="R14648" s="63" t="str">
        <f t="shared" si="60"/>
        <v>ZSI1_WEB_SLINGBASE_UOM_WEB_SLING</v>
      </c>
    </row>
    <row r="14649" ht="15.75" customHeight="1">
      <c r="A14649" s="59"/>
      <c r="B14649" s="63">
        <f t="shared" si="1"/>
        <v>14</v>
      </c>
      <c r="C14649" s="135" t="s">
        <v>528</v>
      </c>
      <c r="D14649" s="161" t="s">
        <v>74</v>
      </c>
      <c r="E14649" s="135">
        <f t="shared" si="62"/>
        <v>10</v>
      </c>
      <c r="F14649" s="134" t="s">
        <v>5643</v>
      </c>
      <c r="G14649" s="63" t="str">
        <f>VLOOKUP(C14649, 'Class Def. - General Data'!$C$20:$C$1000,1,false)</f>
        <v>ZSI1_WEB_SLING</v>
      </c>
      <c r="H14649" s="63" t="str">
        <f>IFERROR(__xludf.DUMMYFUNCTION("VLOOKUP(F14649, IMPORTRANGE(""https://docs.google.com/spreadsheets/d/1Lhp9OU0JdFf_VYSMzH5lBcEaU4o8teT1piV-SNzShjg/edit?gid=554141278#gid=554141278"", ""'Char Def. - Attributes'!C20:C2242""), 1,false)"),"ORDER_UNIT_WEB_SLING")</f>
        <v>ORDER_UNIT_WEB_SLING</v>
      </c>
      <c r="I14649" s="136"/>
      <c r="R14649" s="63" t="str">
        <f t="shared" si="60"/>
        <v>ZSI1_WEB_SLINGORDER_UNIT_WEB_SLING</v>
      </c>
    </row>
    <row r="14650" ht="15.75" customHeight="1">
      <c r="A14650" s="59"/>
      <c r="B14650" s="63">
        <f t="shared" si="1"/>
        <v>14</v>
      </c>
      <c r="C14650" s="135" t="s">
        <v>528</v>
      </c>
      <c r="D14650" s="161" t="s">
        <v>74</v>
      </c>
      <c r="E14650" s="135">
        <f t="shared" si="62"/>
        <v>11</v>
      </c>
      <c r="F14650" s="134" t="s">
        <v>4056</v>
      </c>
      <c r="G14650" s="63" t="str">
        <f>VLOOKUP(C14650, 'Class Def. - General Data'!$C$20:$C$1000,1,false)</f>
        <v>ZSI1_WEB_SLING</v>
      </c>
      <c r="H14650" s="63" t="str">
        <f>IFERROR(__xludf.DUMMYFUNCTION("VLOOKUP(F14650, IMPORTRANGE(""https://docs.google.com/spreadsheets/d/1Lhp9OU0JdFf_VYSMzH5lBcEaU4o8teT1piV-SNzShjg/edit?gid=554141278#gid=554141278"", ""'Char Def. - Attributes'!C20:C2242""), 1,false)"),"GROSS_WEIGHT_OPT")</f>
        <v>GROSS_WEIGHT_OPT</v>
      </c>
      <c r="I14650" s="136"/>
      <c r="R14650" s="63" t="str">
        <f t="shared" si="60"/>
        <v>ZSI1_WEB_SLINGGROSS_WEIGHT_OPT</v>
      </c>
    </row>
    <row r="14651" ht="15.75" customHeight="1">
      <c r="A14651" s="59"/>
      <c r="B14651" s="63">
        <f t="shared" si="1"/>
        <v>14</v>
      </c>
      <c r="C14651" s="135" t="s">
        <v>528</v>
      </c>
      <c r="D14651" s="161" t="s">
        <v>74</v>
      </c>
      <c r="E14651" s="135">
        <f t="shared" si="62"/>
        <v>12</v>
      </c>
      <c r="F14651" s="134" t="s">
        <v>4057</v>
      </c>
      <c r="G14651" s="63" t="str">
        <f>VLOOKUP(C14651, 'Class Def. - General Data'!$C$20:$C$1000,1,false)</f>
        <v>ZSI1_WEB_SLING</v>
      </c>
      <c r="H14651" s="63" t="str">
        <f>IFERROR(__xludf.DUMMYFUNCTION("VLOOKUP(F14651, IMPORTRANGE(""https://docs.google.com/spreadsheets/d/1Lhp9OU0JdFf_VYSMzH5lBcEaU4o8teT1piV-SNzShjg/edit?gid=554141278#gid=554141278"", ""'Char Def. - Attributes'!C20:C2242""), 1,false)"),"NET_WEIGHT_OPT")</f>
        <v>NET_WEIGHT_OPT</v>
      </c>
      <c r="I14651" s="136"/>
      <c r="R14651" s="63" t="str">
        <f t="shared" si="60"/>
        <v>ZSI1_WEB_SLINGNET_WEIGHT_OPT</v>
      </c>
    </row>
    <row r="14652" ht="15.75" customHeight="1">
      <c r="A14652" s="59"/>
      <c r="B14652" s="63">
        <f t="shared" si="1"/>
        <v>14</v>
      </c>
      <c r="C14652" s="135" t="s">
        <v>528</v>
      </c>
      <c r="D14652" s="161" t="s">
        <v>74</v>
      </c>
      <c r="E14652" s="135">
        <f t="shared" si="62"/>
        <v>13</v>
      </c>
      <c r="F14652" s="134" t="s">
        <v>4058</v>
      </c>
      <c r="G14652" s="63" t="str">
        <f>VLOOKUP(C14652, 'Class Def. - General Data'!$C$20:$C$1000,1,false)</f>
        <v>ZSI1_WEB_SLING</v>
      </c>
      <c r="H14652" s="63" t="str">
        <f>IFERROR(__xludf.DUMMYFUNCTION("VLOOKUP(F14652, IMPORTRANGE(""https://docs.google.com/spreadsheets/d/1Lhp9OU0JdFf_VYSMzH5lBcEaU4o8teT1piV-SNzShjg/edit?gid=554141278#gid=554141278"", ""'Char Def. - Attributes'!C20:C2242""), 1,false)"),"WEIGHT_UNIT_SI")</f>
        <v>WEIGHT_UNIT_SI</v>
      </c>
      <c r="I14652" s="136"/>
      <c r="R14652" s="63" t="str">
        <f t="shared" si="60"/>
        <v>ZSI1_WEB_SLINGWEIGHT_UNIT_SI</v>
      </c>
    </row>
    <row r="14653" ht="15.75" customHeight="1">
      <c r="A14653" s="59"/>
      <c r="B14653" s="63">
        <f t="shared" si="1"/>
        <v>14</v>
      </c>
      <c r="C14653" s="135" t="s">
        <v>528</v>
      </c>
      <c r="D14653" s="161" t="s">
        <v>74</v>
      </c>
      <c r="E14653" s="135">
        <f t="shared" si="62"/>
        <v>14</v>
      </c>
      <c r="F14653" s="134" t="s">
        <v>3877</v>
      </c>
      <c r="G14653" s="63" t="str">
        <f>VLOOKUP(C14653, 'Class Def. - General Data'!$C$20:$C$1000,1,false)</f>
        <v>ZSI1_WEB_SLING</v>
      </c>
      <c r="H14653" s="63" t="str">
        <f>IFERROR(__xludf.DUMMYFUNCTION("VLOOKUP(F14653, IMPORTRANGE(""https://docs.google.com/spreadsheets/d/1Lhp9OU0JdFf_VYSMzH5lBcEaU4o8teT1piV-SNzShjg/edit?gid=554141278#gid=554141278"", ""'Char Def. - Attributes'!C20:C2242""), 1,false)"),"VOLUME_OPT")</f>
        <v>VOLUME_OPT</v>
      </c>
      <c r="I14653" s="136"/>
      <c r="R14653" s="63" t="str">
        <f t="shared" si="60"/>
        <v>ZSI1_WEB_SLINGVOLUME_OPT</v>
      </c>
    </row>
    <row r="14654" ht="15.75" customHeight="1">
      <c r="A14654" s="59"/>
      <c r="B14654" s="63">
        <f t="shared" si="1"/>
        <v>14</v>
      </c>
      <c r="C14654" s="135" t="s">
        <v>528</v>
      </c>
      <c r="D14654" s="161" t="s">
        <v>74</v>
      </c>
      <c r="E14654" s="135">
        <f t="shared" si="62"/>
        <v>15</v>
      </c>
      <c r="F14654" s="134" t="s">
        <v>4059</v>
      </c>
      <c r="G14654" s="63" t="str">
        <f>VLOOKUP(C14654, 'Class Def. - General Data'!$C$20:$C$1000,1,false)</f>
        <v>ZSI1_WEB_SLING</v>
      </c>
      <c r="H14654" s="63" t="str">
        <f>IFERROR(__xludf.DUMMYFUNCTION("VLOOKUP(F14654, IMPORTRANGE(""https://docs.google.com/spreadsheets/d/1Lhp9OU0JdFf_VYSMzH5lBcEaU4o8teT1piV-SNzShjg/edit?gid=554141278#gid=554141278"", ""'Char Def. - Attributes'!C20:C2242""), 1,false)"),"VOLUME_UNIT_SI")</f>
        <v>VOLUME_UNIT_SI</v>
      </c>
      <c r="I14654" s="136"/>
      <c r="R14654" s="63" t="str">
        <f t="shared" si="60"/>
        <v>ZSI1_WEB_SLINGVOLUME_UNIT_SI</v>
      </c>
    </row>
    <row r="14655" ht="15.75" customHeight="1">
      <c r="A14655" s="59"/>
      <c r="B14655" s="63">
        <f t="shared" si="1"/>
        <v>14</v>
      </c>
      <c r="C14655" s="135" t="s">
        <v>528</v>
      </c>
      <c r="D14655" s="161" t="s">
        <v>74</v>
      </c>
      <c r="E14655" s="135">
        <f t="shared" si="62"/>
        <v>16</v>
      </c>
      <c r="F14655" s="134" t="s">
        <v>3804</v>
      </c>
      <c r="G14655" s="63" t="str">
        <f>VLOOKUP(C14655, 'Class Def. - General Data'!$C$20:$C$1000,1,false)</f>
        <v>ZSI1_WEB_SLING</v>
      </c>
      <c r="H14655" s="63" t="str">
        <f>IFERROR(__xludf.DUMMYFUNCTION("VLOOKUP(F14655, IMPORTRANGE(""https://docs.google.com/spreadsheets/d/1Lhp9OU0JdFf_VYSMzH5lBcEaU4o8teT1piV-SNzShjg/edit?gid=554141278#gid=554141278"", ""'Char Def. - Attributes'!C20:C2242""), 1,false)"),"ALT_UOM1_SIPI")</f>
        <v>ALT_UOM1_SIPI</v>
      </c>
      <c r="I14655" s="136"/>
      <c r="R14655" s="63" t="str">
        <f t="shared" si="60"/>
        <v>ZSI1_WEB_SLINGALT_UOM1_SIPI</v>
      </c>
    </row>
    <row r="14656" ht="15.75" customHeight="1">
      <c r="A14656" s="59"/>
      <c r="B14656" s="63">
        <f t="shared" si="1"/>
        <v>14</v>
      </c>
      <c r="C14656" s="135" t="s">
        <v>528</v>
      </c>
      <c r="D14656" s="161" t="s">
        <v>74</v>
      </c>
      <c r="E14656" s="135">
        <f t="shared" si="62"/>
        <v>17</v>
      </c>
      <c r="F14656" s="134" t="s">
        <v>3805</v>
      </c>
      <c r="G14656" s="63" t="str">
        <f>VLOOKUP(C14656, 'Class Def. - General Data'!$C$20:$C$1000,1,false)</f>
        <v>ZSI1_WEB_SLING</v>
      </c>
      <c r="H14656" s="63" t="str">
        <f>IFERROR(__xludf.DUMMYFUNCTION("VLOOKUP(F14656, IMPORTRANGE(""https://docs.google.com/spreadsheets/d/1Lhp9OU0JdFf_VYSMzH5lBcEaU4o8teT1piV-SNzShjg/edit?gid=554141278#gid=554141278"", ""'Char Def. - Attributes'!C20:C2242""), 1,false)"),"ALT_DENUM_UOM1")</f>
        <v>ALT_DENUM_UOM1</v>
      </c>
      <c r="I14656" s="136"/>
      <c r="R14656" s="63" t="str">
        <f t="shared" si="60"/>
        <v>ZSI1_WEB_SLINGALT_DENUM_UOM1</v>
      </c>
    </row>
    <row r="14657" ht="15.75" customHeight="1">
      <c r="A14657" s="59"/>
      <c r="B14657" s="63">
        <f t="shared" si="1"/>
        <v>14</v>
      </c>
      <c r="C14657" s="135" t="s">
        <v>528</v>
      </c>
      <c r="D14657" s="161" t="s">
        <v>74</v>
      </c>
      <c r="E14657" s="135">
        <f t="shared" si="62"/>
        <v>18</v>
      </c>
      <c r="F14657" s="134" t="s">
        <v>3806</v>
      </c>
      <c r="G14657" s="63" t="str">
        <f>VLOOKUP(C14657, 'Class Def. - General Data'!$C$20:$C$1000,1,false)</f>
        <v>ZSI1_WEB_SLING</v>
      </c>
      <c r="H14657" s="63" t="str">
        <f>IFERROR(__xludf.DUMMYFUNCTION("VLOOKUP(F14657, IMPORTRANGE(""https://docs.google.com/spreadsheets/d/1Lhp9OU0JdFf_VYSMzH5lBcEaU4o8teT1piV-SNzShjg/edit?gid=554141278#gid=554141278"", ""'Char Def. - Attributes'!C20:C2242""), 1,false)"),"ALT_NUM_UOM1")</f>
        <v>ALT_NUM_UOM1</v>
      </c>
      <c r="I14657" s="136"/>
      <c r="R14657" s="63" t="str">
        <f t="shared" si="60"/>
        <v>ZSI1_WEB_SLINGALT_NUM_UOM1</v>
      </c>
    </row>
    <row r="14658" ht="15.75" customHeight="1">
      <c r="A14658" s="59"/>
      <c r="B14658" s="63">
        <f t="shared" si="1"/>
        <v>14</v>
      </c>
      <c r="C14658" s="135" t="s">
        <v>528</v>
      </c>
      <c r="D14658" s="161" t="s">
        <v>74</v>
      </c>
      <c r="E14658" s="135">
        <f t="shared" si="62"/>
        <v>19</v>
      </c>
      <c r="F14658" s="134" t="s">
        <v>3807</v>
      </c>
      <c r="G14658" s="63" t="str">
        <f>VLOOKUP(C14658, 'Class Def. - General Data'!$C$20:$C$1000,1,false)</f>
        <v>ZSI1_WEB_SLING</v>
      </c>
      <c r="H14658" s="63" t="str">
        <f>IFERROR(__xludf.DUMMYFUNCTION("VLOOKUP(F14658, IMPORTRANGE(""https://docs.google.com/spreadsheets/d/1Lhp9OU0JdFf_VYSMzH5lBcEaU4o8teT1piV-SNzShjg/edit?gid=554141278#gid=554141278"", ""'Char Def. - Attributes'!C20:C2242""), 1,false)"),"ALT_UOM2_SIPI")</f>
        <v>ALT_UOM2_SIPI</v>
      </c>
      <c r="I14658" s="136"/>
      <c r="R14658" s="63" t="str">
        <f t="shared" si="60"/>
        <v>ZSI1_WEB_SLINGALT_UOM2_SIPI</v>
      </c>
    </row>
    <row r="14659" ht="15.75" customHeight="1">
      <c r="A14659" s="59"/>
      <c r="B14659" s="63">
        <f t="shared" si="1"/>
        <v>14</v>
      </c>
      <c r="C14659" s="135" t="s">
        <v>528</v>
      </c>
      <c r="D14659" s="161" t="s">
        <v>74</v>
      </c>
      <c r="E14659" s="135">
        <f t="shared" si="62"/>
        <v>20</v>
      </c>
      <c r="F14659" s="134" t="s">
        <v>3808</v>
      </c>
      <c r="G14659" s="63" t="str">
        <f>VLOOKUP(C14659, 'Class Def. - General Data'!$C$20:$C$1000,1,false)</f>
        <v>ZSI1_WEB_SLING</v>
      </c>
      <c r="H14659" s="63" t="str">
        <f>IFERROR(__xludf.DUMMYFUNCTION("VLOOKUP(F14659, IMPORTRANGE(""https://docs.google.com/spreadsheets/d/1Lhp9OU0JdFf_VYSMzH5lBcEaU4o8teT1piV-SNzShjg/edit?gid=554141278#gid=554141278"", ""'Char Def. - Attributes'!C20:C2242""), 1,false)"),"ALT_DENUM_UOM2")</f>
        <v>ALT_DENUM_UOM2</v>
      </c>
      <c r="I14659" s="136"/>
      <c r="R14659" s="63" t="str">
        <f t="shared" si="60"/>
        <v>ZSI1_WEB_SLINGALT_DENUM_UOM2</v>
      </c>
    </row>
    <row r="14660" ht="15.75" customHeight="1">
      <c r="A14660" s="59"/>
      <c r="B14660" s="63">
        <f t="shared" si="1"/>
        <v>14</v>
      </c>
      <c r="C14660" s="135" t="s">
        <v>528</v>
      </c>
      <c r="D14660" s="161" t="s">
        <v>74</v>
      </c>
      <c r="E14660" s="135">
        <f t="shared" si="62"/>
        <v>21</v>
      </c>
      <c r="F14660" s="134" t="s">
        <v>3809</v>
      </c>
      <c r="G14660" s="63" t="str">
        <f>VLOOKUP(C14660, 'Class Def. - General Data'!$C$20:$C$1000,1,false)</f>
        <v>ZSI1_WEB_SLING</v>
      </c>
      <c r="H14660" s="63" t="str">
        <f>IFERROR(__xludf.DUMMYFUNCTION("VLOOKUP(F14660, IMPORTRANGE(""https://docs.google.com/spreadsheets/d/1Lhp9OU0JdFf_VYSMzH5lBcEaU4o8teT1piV-SNzShjg/edit?gid=554141278#gid=554141278"", ""'Char Def. - Attributes'!C20:C2242""), 1,false)"),"ALT_NUM_UOM2")</f>
        <v>ALT_NUM_UOM2</v>
      </c>
      <c r="I14660" s="136"/>
      <c r="R14660" s="63" t="str">
        <f t="shared" si="60"/>
        <v>ZSI1_WEB_SLINGALT_NUM_UOM2</v>
      </c>
    </row>
    <row r="14661" ht="15.75" customHeight="1">
      <c r="A14661" s="59"/>
      <c r="B14661" s="63">
        <f t="shared" si="1"/>
        <v>14</v>
      </c>
      <c r="C14661" s="135" t="s">
        <v>528</v>
      </c>
      <c r="D14661" s="161" t="s">
        <v>74</v>
      </c>
      <c r="E14661" s="135">
        <f t="shared" si="62"/>
        <v>22</v>
      </c>
      <c r="F14661" s="134" t="s">
        <v>3810</v>
      </c>
      <c r="G14661" s="63" t="str">
        <f>VLOOKUP(C14661, 'Class Def. - General Data'!$C$20:$C$1000,1,false)</f>
        <v>ZSI1_WEB_SLING</v>
      </c>
      <c r="H14661" s="63" t="str">
        <f>IFERROR(__xludf.DUMMYFUNCTION("VLOOKUP(F14661, IMPORTRANGE(""https://docs.google.com/spreadsheets/d/1Lhp9OU0JdFf_VYSMzH5lBcEaU4o8teT1piV-SNzShjg/edit?gid=554141278#gid=554141278"", ""'Char Def. - Attributes'!C20:C2242""), 1,false)"),"ALT_UOM3_SIPI")</f>
        <v>ALT_UOM3_SIPI</v>
      </c>
      <c r="I14661" s="136"/>
      <c r="R14661" s="63" t="str">
        <f t="shared" si="60"/>
        <v>ZSI1_WEB_SLINGALT_UOM3_SIPI</v>
      </c>
    </row>
    <row r="14662" ht="15.75" customHeight="1">
      <c r="A14662" s="59"/>
      <c r="B14662" s="63">
        <f t="shared" si="1"/>
        <v>14</v>
      </c>
      <c r="C14662" s="135" t="s">
        <v>528</v>
      </c>
      <c r="D14662" s="161" t="s">
        <v>74</v>
      </c>
      <c r="E14662" s="135">
        <f t="shared" si="62"/>
        <v>23</v>
      </c>
      <c r="F14662" s="134" t="s">
        <v>3811</v>
      </c>
      <c r="G14662" s="63" t="str">
        <f>VLOOKUP(C14662, 'Class Def. - General Data'!$C$20:$C$1000,1,false)</f>
        <v>ZSI1_WEB_SLING</v>
      </c>
      <c r="H14662" s="63" t="str">
        <f>IFERROR(__xludf.DUMMYFUNCTION("VLOOKUP(F14662, IMPORTRANGE(""https://docs.google.com/spreadsheets/d/1Lhp9OU0JdFf_VYSMzH5lBcEaU4o8teT1piV-SNzShjg/edit?gid=554141278#gid=554141278"", ""'Char Def. - Attributes'!C20:C2242""), 1,false)"),"ALT_DENUM_UOM3")</f>
        <v>ALT_DENUM_UOM3</v>
      </c>
      <c r="I14662" s="136"/>
      <c r="R14662" s="63" t="str">
        <f t="shared" si="60"/>
        <v>ZSI1_WEB_SLINGALT_DENUM_UOM3</v>
      </c>
    </row>
    <row r="14663" ht="15.75" customHeight="1">
      <c r="A14663" s="59"/>
      <c r="B14663" s="63">
        <f t="shared" si="1"/>
        <v>14</v>
      </c>
      <c r="C14663" s="135" t="s">
        <v>528</v>
      </c>
      <c r="D14663" s="161" t="s">
        <v>74</v>
      </c>
      <c r="E14663" s="135">
        <f t="shared" si="62"/>
        <v>24</v>
      </c>
      <c r="F14663" s="134" t="s">
        <v>3812</v>
      </c>
      <c r="G14663" s="63" t="str">
        <f>VLOOKUP(C14663, 'Class Def. - General Data'!$C$20:$C$1000,1,false)</f>
        <v>ZSI1_WEB_SLING</v>
      </c>
      <c r="H14663" s="63" t="str">
        <f>IFERROR(__xludf.DUMMYFUNCTION("VLOOKUP(F14663, IMPORTRANGE(""https://docs.google.com/spreadsheets/d/1Lhp9OU0JdFf_VYSMzH5lBcEaU4o8teT1piV-SNzShjg/edit?gid=554141278#gid=554141278"", ""'Char Def. - Attributes'!C20:C2242""), 1,false)"),"ALT_NUM_UOM3")</f>
        <v>ALT_NUM_UOM3</v>
      </c>
      <c r="I14663" s="136"/>
      <c r="R14663" s="63" t="str">
        <f t="shared" si="60"/>
        <v>ZSI1_WEB_SLINGALT_NUM_UOM3</v>
      </c>
    </row>
    <row r="14664" ht="15.75" customHeight="1">
      <c r="A14664" s="59"/>
      <c r="B14664" s="63">
        <f t="shared" si="1"/>
        <v>14</v>
      </c>
      <c r="C14664" s="135" t="s">
        <v>528</v>
      </c>
      <c r="D14664" s="161" t="s">
        <v>74</v>
      </c>
      <c r="E14664" s="135">
        <f t="shared" si="62"/>
        <v>25</v>
      </c>
      <c r="F14664" s="134" t="s">
        <v>3813</v>
      </c>
      <c r="G14664" s="63" t="str">
        <f>VLOOKUP(C14664, 'Class Def. - General Data'!$C$20:$C$1000,1,false)</f>
        <v>ZSI1_WEB_SLING</v>
      </c>
      <c r="H14664" s="63" t="str">
        <f>IFERROR(__xludf.DUMMYFUNCTION("VLOOKUP(F14664, IMPORTRANGE(""https://docs.google.com/spreadsheets/d/1Lhp9OU0JdFf_VYSMzH5lBcEaU4o8teT1piV-SNzShjg/edit?gid=554141278#gid=554141278"", ""'Char Def. - Attributes'!C20:C2242""), 1,false)"),"ALT_UOM4_SIPI")</f>
        <v>ALT_UOM4_SIPI</v>
      </c>
      <c r="I14664" s="136"/>
      <c r="R14664" s="63" t="str">
        <f t="shared" si="60"/>
        <v>ZSI1_WEB_SLINGALT_UOM4_SIPI</v>
      </c>
    </row>
    <row r="14665" ht="15.75" customHeight="1">
      <c r="A14665" s="59"/>
      <c r="B14665" s="63">
        <f t="shared" si="1"/>
        <v>14</v>
      </c>
      <c r="C14665" s="135" t="s">
        <v>528</v>
      </c>
      <c r="D14665" s="161" t="s">
        <v>74</v>
      </c>
      <c r="E14665" s="135">
        <f t="shared" si="62"/>
        <v>26</v>
      </c>
      <c r="F14665" s="134" t="s">
        <v>3814</v>
      </c>
      <c r="G14665" s="63" t="str">
        <f>VLOOKUP(C14665, 'Class Def. - General Data'!$C$20:$C$1000,1,false)</f>
        <v>ZSI1_WEB_SLING</v>
      </c>
      <c r="H14665" s="63" t="str">
        <f>IFERROR(__xludf.DUMMYFUNCTION("VLOOKUP(F14665, IMPORTRANGE(""https://docs.google.com/spreadsheets/d/1Lhp9OU0JdFf_VYSMzH5lBcEaU4o8teT1piV-SNzShjg/edit?gid=554141278#gid=554141278"", ""'Char Def. - Attributes'!C20:C2242""), 1,false)"),"ALT_DENUM_UOM4")</f>
        <v>ALT_DENUM_UOM4</v>
      </c>
      <c r="I14665" s="136"/>
      <c r="R14665" s="63" t="str">
        <f t="shared" si="60"/>
        <v>ZSI1_WEB_SLINGALT_DENUM_UOM4</v>
      </c>
    </row>
    <row r="14666" ht="15.75" customHeight="1">
      <c r="A14666" s="59"/>
      <c r="B14666" s="63">
        <f t="shared" si="1"/>
        <v>14</v>
      </c>
      <c r="C14666" s="135" t="s">
        <v>528</v>
      </c>
      <c r="D14666" s="161" t="s">
        <v>74</v>
      </c>
      <c r="E14666" s="135">
        <f t="shared" si="62"/>
        <v>27</v>
      </c>
      <c r="F14666" s="134" t="s">
        <v>3815</v>
      </c>
      <c r="G14666" s="63" t="str">
        <f>VLOOKUP(C14666, 'Class Def. - General Data'!$C$20:$C$1000,1,false)</f>
        <v>ZSI1_WEB_SLING</v>
      </c>
      <c r="H14666" s="63" t="str">
        <f>IFERROR(__xludf.DUMMYFUNCTION("VLOOKUP(F14666, IMPORTRANGE(""https://docs.google.com/spreadsheets/d/1Lhp9OU0JdFf_VYSMzH5lBcEaU4o8teT1piV-SNzShjg/edit?gid=554141278#gid=554141278"", ""'Char Def. - Attributes'!C20:C2242""), 1,false)"),"ALT_NUM_UOM4")</f>
        <v>ALT_NUM_UOM4</v>
      </c>
      <c r="I14666" s="136"/>
      <c r="R14666" s="63" t="str">
        <f t="shared" si="60"/>
        <v>ZSI1_WEB_SLINGALT_NUM_UOM4</v>
      </c>
    </row>
    <row r="14667" ht="15.75" customHeight="1">
      <c r="A14667" s="59"/>
      <c r="B14667" s="63">
        <f t="shared" si="1"/>
        <v>14</v>
      </c>
      <c r="C14667" s="135" t="s">
        <v>528</v>
      </c>
      <c r="D14667" s="161" t="s">
        <v>74</v>
      </c>
      <c r="E14667" s="135">
        <f t="shared" si="62"/>
        <v>28</v>
      </c>
      <c r="F14667" s="134" t="s">
        <v>3816</v>
      </c>
      <c r="G14667" s="63" t="str">
        <f>VLOOKUP(C14667, 'Class Def. - General Data'!$C$20:$C$1000,1,false)</f>
        <v>ZSI1_WEB_SLING</v>
      </c>
      <c r="H14667" s="63" t="str">
        <f>IFERROR(__xludf.DUMMYFUNCTION("VLOOKUP(F14667, IMPORTRANGE(""https://docs.google.com/spreadsheets/d/1Lhp9OU0JdFf_VYSMzH5lBcEaU4o8teT1piV-SNzShjg/edit?gid=554141278#gid=554141278"", ""'Char Def. - Attributes'!C20:C2242""), 1,false)"),"ALT_UOM5_SIPI")</f>
        <v>ALT_UOM5_SIPI</v>
      </c>
      <c r="I14667" s="136"/>
      <c r="R14667" s="63" t="str">
        <f t="shared" si="60"/>
        <v>ZSI1_WEB_SLINGALT_UOM5_SIPI</v>
      </c>
    </row>
    <row r="14668" ht="15.75" customHeight="1">
      <c r="A14668" s="59"/>
      <c r="B14668" s="63">
        <f t="shared" si="1"/>
        <v>14</v>
      </c>
      <c r="C14668" s="135" t="s">
        <v>528</v>
      </c>
      <c r="D14668" s="161" t="s">
        <v>74</v>
      </c>
      <c r="E14668" s="135">
        <f t="shared" si="62"/>
        <v>29</v>
      </c>
      <c r="F14668" s="134" t="s">
        <v>3817</v>
      </c>
      <c r="G14668" s="63" t="str">
        <f>VLOOKUP(C14668, 'Class Def. - General Data'!$C$20:$C$1000,1,false)</f>
        <v>ZSI1_WEB_SLING</v>
      </c>
      <c r="H14668" s="63" t="str">
        <f>IFERROR(__xludf.DUMMYFUNCTION("VLOOKUP(F14668, IMPORTRANGE(""https://docs.google.com/spreadsheets/d/1Lhp9OU0JdFf_VYSMzH5lBcEaU4o8teT1piV-SNzShjg/edit?gid=554141278#gid=554141278"", ""'Char Def. - Attributes'!C20:C2242""), 1,false)"),"ALT_DENUM_UOM5")</f>
        <v>ALT_DENUM_UOM5</v>
      </c>
      <c r="I14668" s="136"/>
      <c r="R14668" s="63" t="str">
        <f t="shared" si="60"/>
        <v>ZSI1_WEB_SLINGALT_DENUM_UOM5</v>
      </c>
    </row>
    <row r="14669" ht="15.75" customHeight="1">
      <c r="A14669" s="59"/>
      <c r="B14669" s="63">
        <f t="shared" si="1"/>
        <v>14</v>
      </c>
      <c r="C14669" s="135" t="s">
        <v>528</v>
      </c>
      <c r="D14669" s="161" t="s">
        <v>74</v>
      </c>
      <c r="E14669" s="135">
        <f t="shared" si="62"/>
        <v>30</v>
      </c>
      <c r="F14669" s="134" t="s">
        <v>3818</v>
      </c>
      <c r="G14669" s="63" t="str">
        <f>VLOOKUP(C14669, 'Class Def. - General Data'!$C$20:$C$1000,1,false)</f>
        <v>ZSI1_WEB_SLING</v>
      </c>
      <c r="H14669" s="63" t="str">
        <f>IFERROR(__xludf.DUMMYFUNCTION("VLOOKUP(F14669, IMPORTRANGE(""https://docs.google.com/spreadsheets/d/1Lhp9OU0JdFf_VYSMzH5lBcEaU4o8teT1piV-SNzShjg/edit?gid=554141278#gid=554141278"", ""'Char Def. - Attributes'!C20:C2242""), 1,false)"),"ALT_NUM_UOM5")</f>
        <v>ALT_NUM_UOM5</v>
      </c>
      <c r="I14669" s="136"/>
      <c r="R14669" s="63" t="str">
        <f t="shared" si="60"/>
        <v>ZSI1_WEB_SLINGALT_NUM_UOM5</v>
      </c>
    </row>
    <row r="14670" ht="15.75" customHeight="1">
      <c r="A14670" s="59"/>
      <c r="B14670" s="63">
        <f t="shared" si="1"/>
        <v>18</v>
      </c>
      <c r="C14670" s="135" t="s">
        <v>5644</v>
      </c>
      <c r="D14670" s="161" t="s">
        <v>74</v>
      </c>
      <c r="E14670" s="135">
        <f t="shared" si="62"/>
        <v>1</v>
      </c>
      <c r="F14670" s="134" t="s">
        <v>5645</v>
      </c>
      <c r="G14670" s="63" t="str">
        <f>VLOOKUP(C14670, 'Class Def. - General Data'!$C$20:$C$1000,1,false)</f>
        <v>#N/A</v>
      </c>
      <c r="H14670" s="63" t="str">
        <f>IFERROR(__xludf.DUMMYFUNCTION("VLOOKUP(F14670, IMPORTRANGE(""https://docs.google.com/spreadsheets/d/1Lhp9OU0JdFf_VYSMzH5lBcEaU4o8teT1piV-SNzShjg/edit?gid=554141278#gid=554141278"", ""'Char Def. - Attributes'!C20:C2242""), 1,false)"),"ITEM_NAME_WELDSOLDER_WIRE")</f>
        <v>ITEM_NAME_WELDSOLDER_WIRE</v>
      </c>
      <c r="I14670" s="136"/>
      <c r="R14670" s="63" t="str">
        <f t="shared" si="60"/>
        <v>ZSI1_WELDSLDR_WIREITEM_NAME_WELDSOLDER_WIRE</v>
      </c>
    </row>
    <row r="14671" ht="15.75" customHeight="1">
      <c r="A14671" s="59"/>
      <c r="B14671" s="63">
        <f t="shared" si="1"/>
        <v>18</v>
      </c>
      <c r="C14671" s="135" t="s">
        <v>5644</v>
      </c>
      <c r="D14671" s="161" t="s">
        <v>74</v>
      </c>
      <c r="E14671" s="135">
        <f t="shared" si="62"/>
        <v>2</v>
      </c>
      <c r="F14671" s="134" t="s">
        <v>5646</v>
      </c>
      <c r="G14671" s="63" t="str">
        <f>VLOOKUP(C14671, 'Class Def. - General Data'!$C$20:$C$1000,1,false)</f>
        <v>#N/A</v>
      </c>
      <c r="H14671" s="63" t="str">
        <f>IFERROR(__xludf.DUMMYFUNCTION("VLOOKUP(F14671, IMPORTRANGE(""https://docs.google.com/spreadsheets/d/1Lhp9OU0JdFf_VYSMzH5lBcEaU4o8teT1piV-SNzShjg/edit?gid=554141278#gid=554141278"", ""'Char Def. - Attributes'!C20:C2242""), 1,false)"),"MATERIAL_WELDSOLDER_WIRE")</f>
        <v>MATERIAL_WELDSOLDER_WIRE</v>
      </c>
      <c r="I14671" s="136"/>
      <c r="R14671" s="63" t="str">
        <f t="shared" si="60"/>
        <v>ZSI1_WELDSLDR_WIREMATERIAL_WELDSOLDER_WIRE</v>
      </c>
    </row>
    <row r="14672" ht="15.75" customHeight="1">
      <c r="A14672" s="59"/>
      <c r="B14672" s="63">
        <f t="shared" si="1"/>
        <v>18</v>
      </c>
      <c r="C14672" s="135" t="s">
        <v>5644</v>
      </c>
      <c r="D14672" s="161" t="s">
        <v>74</v>
      </c>
      <c r="E14672" s="135">
        <f t="shared" si="62"/>
        <v>3</v>
      </c>
      <c r="F14672" s="134" t="s">
        <v>5647</v>
      </c>
      <c r="G14672" s="63" t="str">
        <f>VLOOKUP(C14672, 'Class Def. - General Data'!$C$20:$C$1000,1,false)</f>
        <v>#N/A</v>
      </c>
      <c r="H14672" s="63" t="str">
        <f>IFERROR(__xludf.DUMMYFUNCTION("VLOOKUP(F14672, IMPORTRANGE(""https://docs.google.com/spreadsheets/d/1Lhp9OU0JdFf_VYSMzH5lBcEaU4o8teT1piV-SNzShjg/edit?gid=554141278#gid=554141278"", ""'Char Def. - Attributes'!C20:C2242""), 1,false)"),"DIAMETER_DIM_WELDSOLDER_WIRE")</f>
        <v>DIAMETER_DIM_WELDSOLDER_WIRE</v>
      </c>
      <c r="I14672" s="136"/>
      <c r="R14672" s="63" t="str">
        <f t="shared" si="60"/>
        <v>ZSI1_WELDSLDR_WIREDIAMETER_DIM_WELDSOLDER_WIRE</v>
      </c>
    </row>
    <row r="14673" ht="15.75" customHeight="1">
      <c r="A14673" s="59"/>
      <c r="B14673" s="63">
        <f t="shared" si="1"/>
        <v>18</v>
      </c>
      <c r="C14673" s="135" t="s">
        <v>5644</v>
      </c>
      <c r="D14673" s="161" t="s">
        <v>74</v>
      </c>
      <c r="E14673" s="135">
        <f t="shared" si="62"/>
        <v>4</v>
      </c>
      <c r="F14673" s="134" t="s">
        <v>5648</v>
      </c>
      <c r="G14673" s="63" t="str">
        <f>VLOOKUP(C14673, 'Class Def. - General Data'!$C$20:$C$1000,1,false)</f>
        <v>#N/A</v>
      </c>
      <c r="H14673" s="63" t="str">
        <f>IFERROR(__xludf.DUMMYFUNCTION("VLOOKUP(F14673, IMPORTRANGE(""https://docs.google.com/spreadsheets/d/1Lhp9OU0JdFf_VYSMzH5lBcEaU4o8teT1piV-SNzShjg/edit?gid=554141278#gid=554141278"", ""'Char Def. - Attributes'!C20:C2242""), 1,false)"),"DIAMETER_MM_WELDSOLDER_WIRE")</f>
        <v>DIAMETER_MM_WELDSOLDER_WIRE</v>
      </c>
      <c r="I14673" s="136"/>
      <c r="R14673" s="63" t="str">
        <f t="shared" si="60"/>
        <v>ZSI1_WELDSLDR_WIREDIAMETER_MM_WELDSOLDER_WIRE</v>
      </c>
    </row>
    <row r="14674" ht="15.75" customHeight="1">
      <c r="A14674" s="59"/>
      <c r="B14674" s="63">
        <f t="shared" si="1"/>
        <v>18</v>
      </c>
      <c r="C14674" s="135" t="s">
        <v>5644</v>
      </c>
      <c r="D14674" s="161" t="s">
        <v>74</v>
      </c>
      <c r="E14674" s="135">
        <f t="shared" si="62"/>
        <v>5</v>
      </c>
      <c r="F14674" s="134" t="s">
        <v>5649</v>
      </c>
      <c r="G14674" s="63" t="str">
        <f>VLOOKUP(C14674, 'Class Def. - General Data'!$C$20:$C$1000,1,false)</f>
        <v>#N/A</v>
      </c>
      <c r="H14674" s="63" t="str">
        <f>IFERROR(__xludf.DUMMYFUNCTION("VLOOKUP(F14674, IMPORTRANGE(""https://docs.google.com/spreadsheets/d/1Lhp9OU0JdFf_VYSMzH5lBcEaU4o8teT1piV-SNzShjg/edit?gid=554141278#gid=554141278"", ""'Char Def. - Attributes'!C20:C2242""), 1,false)"),"DIAMETER_INCH_WELDSOLDER_WIRE")</f>
        <v>DIAMETER_INCH_WELDSOLDER_WIRE</v>
      </c>
      <c r="I14674" s="136"/>
      <c r="R14674" s="63" t="str">
        <f t="shared" si="60"/>
        <v>ZSI1_WELDSLDR_WIREDIAMETER_INCH_WELDSOLDER_WIRE</v>
      </c>
    </row>
    <row r="14675" ht="15.75" customHeight="1">
      <c r="A14675" s="59"/>
      <c r="B14675" s="63">
        <f t="shared" si="1"/>
        <v>18</v>
      </c>
      <c r="C14675" s="135" t="s">
        <v>5644</v>
      </c>
      <c r="D14675" s="161" t="s">
        <v>74</v>
      </c>
      <c r="E14675" s="135">
        <f t="shared" si="62"/>
        <v>6</v>
      </c>
      <c r="F14675" s="134" t="s">
        <v>5650</v>
      </c>
      <c r="G14675" s="63" t="str">
        <f>VLOOKUP(C14675, 'Class Def. - General Data'!$C$20:$C$1000,1,false)</f>
        <v>#N/A</v>
      </c>
      <c r="H14675" s="63" t="str">
        <f>IFERROR(__xludf.DUMMYFUNCTION("VLOOKUP(F14675, IMPORTRANGE(""https://docs.google.com/spreadsheets/d/1Lhp9OU0JdFf_VYSMzH5lBcEaU4o8teT1piV-SNzShjg/edit?gid=554141278#gid=554141278"", ""'Char Def. - Attributes'!C20:C2242""), 1,false)"),"GRADE_AWS_WELDSOLDER_WIRE")</f>
        <v>GRADE_AWS_WELDSOLDER_WIRE</v>
      </c>
      <c r="I14675" s="136"/>
      <c r="R14675" s="63" t="str">
        <f t="shared" si="60"/>
        <v>ZSI1_WELDSLDR_WIREGRADE_AWS_WELDSOLDER_WIRE</v>
      </c>
    </row>
    <row r="14676" ht="15.75" customHeight="1">
      <c r="A14676" s="59"/>
      <c r="B14676" s="63">
        <f t="shared" si="1"/>
        <v>18</v>
      </c>
      <c r="C14676" s="135" t="s">
        <v>5644</v>
      </c>
      <c r="D14676" s="161" t="s">
        <v>74</v>
      </c>
      <c r="E14676" s="135">
        <f t="shared" si="62"/>
        <v>7</v>
      </c>
      <c r="F14676" s="134" t="s">
        <v>5651</v>
      </c>
      <c r="G14676" s="63" t="str">
        <f>VLOOKUP(C14676, 'Class Def. - General Data'!$C$20:$C$1000,1,false)</f>
        <v>#N/A</v>
      </c>
      <c r="H14676" s="63" t="str">
        <f>IFERROR(__xludf.DUMMYFUNCTION("VLOOKUP(F14676, IMPORTRANGE(""https://docs.google.com/spreadsheets/d/1Lhp9OU0JdFf_VYSMzH5lBcEaU4o8teT1piV-SNzShjg/edit?gid=554141278#gid=554141278"", ""'Char Def. - Attributes'!C20:C2242""), 1,false)"),"SATUAN_KEMASAN_WELDSOLDER_WIRE")</f>
        <v>SATUAN_KEMASAN_WELDSOLDER_WIRE</v>
      </c>
      <c r="I14676" s="136"/>
      <c r="R14676" s="63" t="str">
        <f t="shared" si="60"/>
        <v>ZSI1_WELDSLDR_WIRESATUAN_KEMASAN_WELDSOLDER_WIRE</v>
      </c>
    </row>
    <row r="14677" ht="15.75" customHeight="1">
      <c r="A14677" s="59"/>
      <c r="B14677" s="63">
        <f t="shared" si="1"/>
        <v>18</v>
      </c>
      <c r="C14677" s="135" t="s">
        <v>5644</v>
      </c>
      <c r="D14677" s="161" t="s">
        <v>74</v>
      </c>
      <c r="E14677" s="135">
        <f t="shared" si="62"/>
        <v>8</v>
      </c>
      <c r="F14677" s="134" t="s">
        <v>5652</v>
      </c>
      <c r="G14677" s="63" t="str">
        <f>VLOOKUP(C14677, 'Class Def. - General Data'!$C$20:$C$1000,1,false)</f>
        <v>#N/A</v>
      </c>
      <c r="H14677" s="63" t="str">
        <f>IFERROR(__xludf.DUMMYFUNCTION("VLOOKUP(F14677, IMPORTRANGE(""https://docs.google.com/spreadsheets/d/1Lhp9OU0JdFf_VYSMzH5lBcEaU4o8teT1piV-SNzShjg/edit?gid=554141278#gid=554141278"", ""'Char Def. - Attributes'!C20:C2242""), 1,false)"),"SIZE_KEMASAN_WELDSOLDER_WIRE")</f>
        <v>SIZE_KEMASAN_WELDSOLDER_WIRE</v>
      </c>
      <c r="I14677" s="136"/>
      <c r="R14677" s="63" t="str">
        <f t="shared" si="60"/>
        <v>ZSI1_WELDSLDR_WIRESIZE_KEMASAN_WELDSOLDER_WIRE</v>
      </c>
    </row>
    <row r="14678" ht="15.75" customHeight="1">
      <c r="A14678" s="59"/>
      <c r="B14678" s="63">
        <f t="shared" si="1"/>
        <v>18</v>
      </c>
      <c r="C14678" s="135" t="s">
        <v>5644</v>
      </c>
      <c r="D14678" s="161" t="s">
        <v>74</v>
      </c>
      <c r="E14678" s="135">
        <f t="shared" si="62"/>
        <v>9</v>
      </c>
      <c r="F14678" s="134" t="s">
        <v>3585</v>
      </c>
      <c r="G14678" s="63" t="str">
        <f>VLOOKUP(C14678, 'Class Def. - General Data'!$C$20:$C$1000,1,false)</f>
        <v>#N/A</v>
      </c>
      <c r="H14678" s="63" t="str">
        <f>IFERROR(__xludf.DUMMYFUNCTION("VLOOKUP(F14678, IMPORTRANGE(""https://docs.google.com/spreadsheets/d/1Lhp9OU0JdFf_VYSMzH5lBcEaU4o8teT1piV-SNzShjg/edit?gid=554141278#gid=554141278"", ""'Char Def. - Attributes'!C20:C2242""), 1,false)"),"HS_CODE")</f>
        <v>HS_CODE</v>
      </c>
      <c r="I14678" s="136"/>
      <c r="R14678" s="63" t="str">
        <f t="shared" si="60"/>
        <v>ZSI1_WELDSLDR_WIREHS_CODE</v>
      </c>
    </row>
    <row r="14679" ht="15.75" customHeight="1">
      <c r="A14679" s="59"/>
      <c r="B14679" s="63">
        <f t="shared" si="1"/>
        <v>18</v>
      </c>
      <c r="C14679" s="135" t="s">
        <v>5644</v>
      </c>
      <c r="D14679" s="161" t="s">
        <v>74</v>
      </c>
      <c r="E14679" s="135">
        <f t="shared" si="62"/>
        <v>10</v>
      </c>
      <c r="F14679" s="134" t="s">
        <v>3587</v>
      </c>
      <c r="G14679" s="63" t="str">
        <f>VLOOKUP(C14679, 'Class Def. - General Data'!$C$20:$C$1000,1,false)</f>
        <v>#N/A</v>
      </c>
      <c r="H14679" s="63" t="str">
        <f>IFERROR(__xludf.DUMMYFUNCTION("VLOOKUP(F14679, IMPORTRANGE(""https://docs.google.com/spreadsheets/d/1Lhp9OU0JdFf_VYSMzH5lBcEaU4o8teT1piV-SNzShjg/edit?gid=554141278#gid=554141278"", ""'Char Def. - Attributes'!C20:C2242""), 1,false)"),"PLANT_BUY")</f>
        <v>PLANT_BUY</v>
      </c>
      <c r="I14679" s="136"/>
      <c r="R14679" s="63" t="str">
        <f t="shared" si="60"/>
        <v>ZSI1_WELDSLDR_WIREPLANT_BUY</v>
      </c>
    </row>
    <row r="14680" ht="15.75" customHeight="1">
      <c r="A14680" s="59"/>
      <c r="B14680" s="63">
        <f t="shared" si="1"/>
        <v>18</v>
      </c>
      <c r="C14680" s="135" t="s">
        <v>5644</v>
      </c>
      <c r="D14680" s="161" t="s">
        <v>74</v>
      </c>
      <c r="E14680" s="135">
        <f t="shared" si="62"/>
        <v>11</v>
      </c>
      <c r="F14680" s="134" t="s">
        <v>5653</v>
      </c>
      <c r="G14680" s="63" t="str">
        <f>VLOOKUP(C14680, 'Class Def. - General Data'!$C$20:$C$1000,1,false)</f>
        <v>#N/A</v>
      </c>
      <c r="H14680" s="63" t="str">
        <f>IFERROR(__xludf.DUMMYFUNCTION("VLOOKUP(F14680, IMPORTRANGE(""https://docs.google.com/spreadsheets/d/1Lhp9OU0JdFf_VYSMzH5lBcEaU4o8teT1piV-SNzShjg/edit?gid=554141278#gid=554141278"", ""'Char Def. - Attributes'!C20:C2242""), 1,false)"),"BASE_UOM_WELDSOLDER")</f>
        <v>BASE_UOM_WELDSOLDER</v>
      </c>
      <c r="I14680" s="136"/>
      <c r="R14680" s="63" t="str">
        <f t="shared" si="60"/>
        <v>ZSI1_WELDSLDR_WIREBASE_UOM_WELDSOLDER</v>
      </c>
    </row>
    <row r="14681" ht="15.75" customHeight="1">
      <c r="A14681" s="59"/>
      <c r="B14681" s="63">
        <f t="shared" si="1"/>
        <v>18</v>
      </c>
      <c r="C14681" s="135" t="s">
        <v>5644</v>
      </c>
      <c r="D14681" s="161" t="s">
        <v>74</v>
      </c>
      <c r="E14681" s="135">
        <f t="shared" si="62"/>
        <v>12</v>
      </c>
      <c r="F14681" s="134" t="s">
        <v>5654</v>
      </c>
      <c r="G14681" s="63" t="str">
        <f>VLOOKUP(C14681, 'Class Def. - General Data'!$C$20:$C$1000,1,false)</f>
        <v>#N/A</v>
      </c>
      <c r="H14681" s="63" t="str">
        <f>IFERROR(__xludf.DUMMYFUNCTION("VLOOKUP(F14681, IMPORTRANGE(""https://docs.google.com/spreadsheets/d/1Lhp9OU0JdFf_VYSMzH5lBcEaU4o8teT1piV-SNzShjg/edit?gid=554141278#gid=554141278"", ""'Char Def. - Attributes'!C20:C2242""), 1,false)"),"ORDER_UNIT_WELDSOLDER")</f>
        <v>ORDER_UNIT_WELDSOLDER</v>
      </c>
      <c r="I14681" s="136"/>
      <c r="R14681" s="63" t="str">
        <f t="shared" si="60"/>
        <v>ZSI1_WELDSLDR_WIREORDER_UNIT_WELDSOLDER</v>
      </c>
    </row>
    <row r="14682" ht="15.75" customHeight="1">
      <c r="A14682" s="59"/>
      <c r="B14682" s="63">
        <f t="shared" si="1"/>
        <v>18</v>
      </c>
      <c r="C14682" s="135" t="s">
        <v>5644</v>
      </c>
      <c r="D14682" s="161" t="s">
        <v>74</v>
      </c>
      <c r="E14682" s="135">
        <f t="shared" si="62"/>
        <v>13</v>
      </c>
      <c r="F14682" s="134" t="s">
        <v>4056</v>
      </c>
      <c r="G14682" s="63" t="str">
        <f>VLOOKUP(C14682, 'Class Def. - General Data'!$C$20:$C$1000,1,false)</f>
        <v>#N/A</v>
      </c>
      <c r="H14682" s="63" t="str">
        <f>IFERROR(__xludf.DUMMYFUNCTION("VLOOKUP(F14682, IMPORTRANGE(""https://docs.google.com/spreadsheets/d/1Lhp9OU0JdFf_VYSMzH5lBcEaU4o8teT1piV-SNzShjg/edit?gid=554141278#gid=554141278"", ""'Char Def. - Attributes'!C20:C2242""), 1,false)"),"GROSS_WEIGHT_OPT")</f>
        <v>GROSS_WEIGHT_OPT</v>
      </c>
      <c r="I14682" s="136"/>
      <c r="R14682" s="63" t="str">
        <f t="shared" si="60"/>
        <v>ZSI1_WELDSLDR_WIREGROSS_WEIGHT_OPT</v>
      </c>
    </row>
    <row r="14683" ht="15.75" customHeight="1">
      <c r="A14683" s="59"/>
      <c r="B14683" s="63">
        <f t="shared" si="1"/>
        <v>18</v>
      </c>
      <c r="C14683" s="135" t="s">
        <v>5644</v>
      </c>
      <c r="D14683" s="161" t="s">
        <v>74</v>
      </c>
      <c r="E14683" s="135">
        <f t="shared" si="62"/>
        <v>14</v>
      </c>
      <c r="F14683" s="134" t="s">
        <v>4057</v>
      </c>
      <c r="G14683" s="63" t="str">
        <f>VLOOKUP(C14683, 'Class Def. - General Data'!$C$20:$C$1000,1,false)</f>
        <v>#N/A</v>
      </c>
      <c r="H14683" s="63" t="str">
        <f>IFERROR(__xludf.DUMMYFUNCTION("VLOOKUP(F14683, IMPORTRANGE(""https://docs.google.com/spreadsheets/d/1Lhp9OU0JdFf_VYSMzH5lBcEaU4o8teT1piV-SNzShjg/edit?gid=554141278#gid=554141278"", ""'Char Def. - Attributes'!C20:C2242""), 1,false)"),"NET_WEIGHT_OPT")</f>
        <v>NET_WEIGHT_OPT</v>
      </c>
      <c r="I14683" s="136"/>
      <c r="R14683" s="63" t="str">
        <f t="shared" si="60"/>
        <v>ZSI1_WELDSLDR_WIRENET_WEIGHT_OPT</v>
      </c>
    </row>
    <row r="14684" ht="15.75" customHeight="1">
      <c r="A14684" s="59"/>
      <c r="B14684" s="63">
        <f t="shared" si="1"/>
        <v>18</v>
      </c>
      <c r="C14684" s="135" t="s">
        <v>5644</v>
      </c>
      <c r="D14684" s="161" t="s">
        <v>74</v>
      </c>
      <c r="E14684" s="135">
        <f t="shared" si="62"/>
        <v>15</v>
      </c>
      <c r="F14684" s="134" t="s">
        <v>4058</v>
      </c>
      <c r="G14684" s="63" t="str">
        <f>VLOOKUP(C14684, 'Class Def. - General Data'!$C$20:$C$1000,1,false)</f>
        <v>#N/A</v>
      </c>
      <c r="H14684" s="63" t="str">
        <f>IFERROR(__xludf.DUMMYFUNCTION("VLOOKUP(F14684, IMPORTRANGE(""https://docs.google.com/spreadsheets/d/1Lhp9OU0JdFf_VYSMzH5lBcEaU4o8teT1piV-SNzShjg/edit?gid=554141278#gid=554141278"", ""'Char Def. - Attributes'!C20:C2242""), 1,false)"),"WEIGHT_UNIT_SI")</f>
        <v>WEIGHT_UNIT_SI</v>
      </c>
      <c r="I14684" s="136"/>
      <c r="R14684" s="63" t="str">
        <f t="shared" si="60"/>
        <v>ZSI1_WELDSLDR_WIREWEIGHT_UNIT_SI</v>
      </c>
    </row>
    <row r="14685" ht="15.75" customHeight="1">
      <c r="A14685" s="59"/>
      <c r="B14685" s="63">
        <f t="shared" si="1"/>
        <v>18</v>
      </c>
      <c r="C14685" s="135" t="s">
        <v>5644</v>
      </c>
      <c r="D14685" s="161" t="s">
        <v>74</v>
      </c>
      <c r="E14685" s="135">
        <f t="shared" si="62"/>
        <v>16</v>
      </c>
      <c r="F14685" s="134" t="s">
        <v>3877</v>
      </c>
      <c r="G14685" s="63" t="str">
        <f>VLOOKUP(C14685, 'Class Def. - General Data'!$C$20:$C$1000,1,false)</f>
        <v>#N/A</v>
      </c>
      <c r="H14685" s="63" t="str">
        <f>IFERROR(__xludf.DUMMYFUNCTION("VLOOKUP(F14685, IMPORTRANGE(""https://docs.google.com/spreadsheets/d/1Lhp9OU0JdFf_VYSMzH5lBcEaU4o8teT1piV-SNzShjg/edit?gid=554141278#gid=554141278"", ""'Char Def. - Attributes'!C20:C2242""), 1,false)"),"VOLUME_OPT")</f>
        <v>VOLUME_OPT</v>
      </c>
      <c r="I14685" s="136"/>
      <c r="R14685" s="63" t="str">
        <f t="shared" si="60"/>
        <v>ZSI1_WELDSLDR_WIREVOLUME_OPT</v>
      </c>
    </row>
    <row r="14686" ht="15.75" customHeight="1">
      <c r="A14686" s="59"/>
      <c r="B14686" s="63">
        <f t="shared" si="1"/>
        <v>18</v>
      </c>
      <c r="C14686" s="135" t="s">
        <v>5644</v>
      </c>
      <c r="D14686" s="161" t="s">
        <v>74</v>
      </c>
      <c r="E14686" s="135">
        <f t="shared" si="62"/>
        <v>17</v>
      </c>
      <c r="F14686" s="134" t="s">
        <v>4059</v>
      </c>
      <c r="G14686" s="63" t="str">
        <f>VLOOKUP(C14686, 'Class Def. - General Data'!$C$20:$C$1000,1,false)</f>
        <v>#N/A</v>
      </c>
      <c r="H14686" s="63" t="str">
        <f>IFERROR(__xludf.DUMMYFUNCTION("VLOOKUP(F14686, IMPORTRANGE(""https://docs.google.com/spreadsheets/d/1Lhp9OU0JdFf_VYSMzH5lBcEaU4o8teT1piV-SNzShjg/edit?gid=554141278#gid=554141278"", ""'Char Def. - Attributes'!C20:C2242""), 1,false)"),"VOLUME_UNIT_SI")</f>
        <v>VOLUME_UNIT_SI</v>
      </c>
      <c r="I14686" s="136"/>
      <c r="R14686" s="63" t="str">
        <f t="shared" si="60"/>
        <v>ZSI1_WELDSLDR_WIREVOLUME_UNIT_SI</v>
      </c>
    </row>
    <row r="14687" ht="15.75" customHeight="1">
      <c r="A14687" s="59"/>
      <c r="B14687" s="63">
        <f t="shared" si="1"/>
        <v>18</v>
      </c>
      <c r="C14687" s="135" t="s">
        <v>5644</v>
      </c>
      <c r="D14687" s="161" t="s">
        <v>74</v>
      </c>
      <c r="E14687" s="135">
        <f t="shared" si="62"/>
        <v>18</v>
      </c>
      <c r="F14687" s="134" t="s">
        <v>3804</v>
      </c>
      <c r="G14687" s="63" t="str">
        <f>VLOOKUP(C14687, 'Class Def. - General Data'!$C$20:$C$1000,1,false)</f>
        <v>#N/A</v>
      </c>
      <c r="H14687" s="63" t="str">
        <f>IFERROR(__xludf.DUMMYFUNCTION("VLOOKUP(F14687, IMPORTRANGE(""https://docs.google.com/spreadsheets/d/1Lhp9OU0JdFf_VYSMzH5lBcEaU4o8teT1piV-SNzShjg/edit?gid=554141278#gid=554141278"", ""'Char Def. - Attributes'!C20:C2242""), 1,false)"),"ALT_UOM1_SIPI")</f>
        <v>ALT_UOM1_SIPI</v>
      </c>
      <c r="I14687" s="136"/>
      <c r="R14687" s="63" t="str">
        <f t="shared" si="60"/>
        <v>ZSI1_WELDSLDR_WIREALT_UOM1_SIPI</v>
      </c>
    </row>
    <row r="14688" ht="15.75" customHeight="1">
      <c r="A14688" s="59"/>
      <c r="B14688" s="63">
        <f t="shared" si="1"/>
        <v>18</v>
      </c>
      <c r="C14688" s="135" t="s">
        <v>5644</v>
      </c>
      <c r="D14688" s="161" t="s">
        <v>74</v>
      </c>
      <c r="E14688" s="135">
        <f t="shared" si="62"/>
        <v>19</v>
      </c>
      <c r="F14688" s="134" t="s">
        <v>3805</v>
      </c>
      <c r="G14688" s="63" t="str">
        <f>VLOOKUP(C14688, 'Class Def. - General Data'!$C$20:$C$1000,1,false)</f>
        <v>#N/A</v>
      </c>
      <c r="H14688" s="63" t="str">
        <f>IFERROR(__xludf.DUMMYFUNCTION("VLOOKUP(F14688, IMPORTRANGE(""https://docs.google.com/spreadsheets/d/1Lhp9OU0JdFf_VYSMzH5lBcEaU4o8teT1piV-SNzShjg/edit?gid=554141278#gid=554141278"", ""'Char Def. - Attributes'!C20:C2242""), 1,false)"),"ALT_DENUM_UOM1")</f>
        <v>ALT_DENUM_UOM1</v>
      </c>
      <c r="I14688" s="136"/>
      <c r="R14688" s="63" t="str">
        <f t="shared" si="60"/>
        <v>ZSI1_WELDSLDR_WIREALT_DENUM_UOM1</v>
      </c>
    </row>
    <row r="14689" ht="15.75" customHeight="1">
      <c r="A14689" s="59"/>
      <c r="B14689" s="63">
        <f t="shared" si="1"/>
        <v>18</v>
      </c>
      <c r="C14689" s="135" t="s">
        <v>5644</v>
      </c>
      <c r="D14689" s="161" t="s">
        <v>74</v>
      </c>
      <c r="E14689" s="135">
        <f t="shared" si="62"/>
        <v>20</v>
      </c>
      <c r="F14689" s="134" t="s">
        <v>3806</v>
      </c>
      <c r="G14689" s="63" t="str">
        <f>VLOOKUP(C14689, 'Class Def. - General Data'!$C$20:$C$1000,1,false)</f>
        <v>#N/A</v>
      </c>
      <c r="H14689" s="63" t="str">
        <f>IFERROR(__xludf.DUMMYFUNCTION("VLOOKUP(F14689, IMPORTRANGE(""https://docs.google.com/spreadsheets/d/1Lhp9OU0JdFf_VYSMzH5lBcEaU4o8teT1piV-SNzShjg/edit?gid=554141278#gid=554141278"", ""'Char Def. - Attributes'!C20:C2242""), 1,false)"),"ALT_NUM_UOM1")</f>
        <v>ALT_NUM_UOM1</v>
      </c>
      <c r="I14689" s="136"/>
      <c r="R14689" s="63" t="str">
        <f t="shared" si="60"/>
        <v>ZSI1_WELDSLDR_WIREALT_NUM_UOM1</v>
      </c>
    </row>
    <row r="14690" ht="15.75" customHeight="1">
      <c r="A14690" s="59"/>
      <c r="B14690" s="63">
        <f t="shared" si="1"/>
        <v>18</v>
      </c>
      <c r="C14690" s="135" t="s">
        <v>5644</v>
      </c>
      <c r="D14690" s="161" t="s">
        <v>74</v>
      </c>
      <c r="E14690" s="135">
        <f t="shared" si="62"/>
        <v>21</v>
      </c>
      <c r="F14690" s="134" t="s">
        <v>3807</v>
      </c>
      <c r="G14690" s="63" t="str">
        <f>VLOOKUP(C14690, 'Class Def. - General Data'!$C$20:$C$1000,1,false)</f>
        <v>#N/A</v>
      </c>
      <c r="H14690" s="63" t="str">
        <f>IFERROR(__xludf.DUMMYFUNCTION("VLOOKUP(F14690, IMPORTRANGE(""https://docs.google.com/spreadsheets/d/1Lhp9OU0JdFf_VYSMzH5lBcEaU4o8teT1piV-SNzShjg/edit?gid=554141278#gid=554141278"", ""'Char Def. - Attributes'!C20:C2242""), 1,false)"),"ALT_UOM2_SIPI")</f>
        <v>ALT_UOM2_SIPI</v>
      </c>
      <c r="I14690" s="136"/>
      <c r="R14690" s="63" t="str">
        <f t="shared" si="60"/>
        <v>ZSI1_WELDSLDR_WIREALT_UOM2_SIPI</v>
      </c>
    </row>
    <row r="14691" ht="15.75" customHeight="1">
      <c r="A14691" s="59"/>
      <c r="B14691" s="63">
        <f t="shared" si="1"/>
        <v>18</v>
      </c>
      <c r="C14691" s="135" t="s">
        <v>5644</v>
      </c>
      <c r="D14691" s="161" t="s">
        <v>74</v>
      </c>
      <c r="E14691" s="135">
        <f t="shared" si="62"/>
        <v>22</v>
      </c>
      <c r="F14691" s="134" t="s">
        <v>3808</v>
      </c>
      <c r="G14691" s="63" t="str">
        <f>VLOOKUP(C14691, 'Class Def. - General Data'!$C$20:$C$1000,1,false)</f>
        <v>#N/A</v>
      </c>
      <c r="H14691" s="63" t="str">
        <f>IFERROR(__xludf.DUMMYFUNCTION("VLOOKUP(F14691, IMPORTRANGE(""https://docs.google.com/spreadsheets/d/1Lhp9OU0JdFf_VYSMzH5lBcEaU4o8teT1piV-SNzShjg/edit?gid=554141278#gid=554141278"", ""'Char Def. - Attributes'!C20:C2242""), 1,false)"),"ALT_DENUM_UOM2")</f>
        <v>ALT_DENUM_UOM2</v>
      </c>
      <c r="I14691" s="136"/>
      <c r="R14691" s="63" t="str">
        <f t="shared" si="60"/>
        <v>ZSI1_WELDSLDR_WIREALT_DENUM_UOM2</v>
      </c>
    </row>
    <row r="14692" ht="15.75" customHeight="1">
      <c r="A14692" s="59"/>
      <c r="B14692" s="63">
        <f t="shared" si="1"/>
        <v>18</v>
      </c>
      <c r="C14692" s="135" t="s">
        <v>5644</v>
      </c>
      <c r="D14692" s="161" t="s">
        <v>74</v>
      </c>
      <c r="E14692" s="135">
        <f t="shared" si="62"/>
        <v>23</v>
      </c>
      <c r="F14692" s="134" t="s">
        <v>3809</v>
      </c>
      <c r="G14692" s="63" t="str">
        <f>VLOOKUP(C14692, 'Class Def. - General Data'!$C$20:$C$1000,1,false)</f>
        <v>#N/A</v>
      </c>
      <c r="H14692" s="63" t="str">
        <f>IFERROR(__xludf.DUMMYFUNCTION("VLOOKUP(F14692, IMPORTRANGE(""https://docs.google.com/spreadsheets/d/1Lhp9OU0JdFf_VYSMzH5lBcEaU4o8teT1piV-SNzShjg/edit?gid=554141278#gid=554141278"", ""'Char Def. - Attributes'!C20:C2242""), 1,false)"),"ALT_NUM_UOM2")</f>
        <v>ALT_NUM_UOM2</v>
      </c>
      <c r="I14692" s="136"/>
      <c r="R14692" s="63" t="str">
        <f t="shared" si="60"/>
        <v>ZSI1_WELDSLDR_WIREALT_NUM_UOM2</v>
      </c>
    </row>
    <row r="14693" ht="15.75" customHeight="1">
      <c r="A14693" s="59"/>
      <c r="B14693" s="63">
        <f t="shared" si="1"/>
        <v>18</v>
      </c>
      <c r="C14693" s="135" t="s">
        <v>5644</v>
      </c>
      <c r="D14693" s="161" t="s">
        <v>74</v>
      </c>
      <c r="E14693" s="135">
        <f t="shared" si="62"/>
        <v>24</v>
      </c>
      <c r="F14693" s="134" t="s">
        <v>3810</v>
      </c>
      <c r="G14693" s="63" t="str">
        <f>VLOOKUP(C14693, 'Class Def. - General Data'!$C$20:$C$1000,1,false)</f>
        <v>#N/A</v>
      </c>
      <c r="H14693" s="63" t="str">
        <f>IFERROR(__xludf.DUMMYFUNCTION("VLOOKUP(F14693, IMPORTRANGE(""https://docs.google.com/spreadsheets/d/1Lhp9OU0JdFf_VYSMzH5lBcEaU4o8teT1piV-SNzShjg/edit?gid=554141278#gid=554141278"", ""'Char Def. - Attributes'!C20:C2242""), 1,false)"),"ALT_UOM3_SIPI")</f>
        <v>ALT_UOM3_SIPI</v>
      </c>
      <c r="I14693" s="136"/>
      <c r="R14693" s="63" t="str">
        <f t="shared" si="60"/>
        <v>ZSI1_WELDSLDR_WIREALT_UOM3_SIPI</v>
      </c>
    </row>
    <row r="14694" ht="15.75" customHeight="1">
      <c r="A14694" s="59"/>
      <c r="B14694" s="63">
        <f t="shared" si="1"/>
        <v>18</v>
      </c>
      <c r="C14694" s="135" t="s">
        <v>5644</v>
      </c>
      <c r="D14694" s="161" t="s">
        <v>74</v>
      </c>
      <c r="E14694" s="135">
        <f t="shared" si="62"/>
        <v>25</v>
      </c>
      <c r="F14694" s="134" t="s">
        <v>3811</v>
      </c>
      <c r="G14694" s="63" t="str">
        <f>VLOOKUP(C14694, 'Class Def. - General Data'!$C$20:$C$1000,1,false)</f>
        <v>#N/A</v>
      </c>
      <c r="H14694" s="63" t="str">
        <f>IFERROR(__xludf.DUMMYFUNCTION("VLOOKUP(F14694, IMPORTRANGE(""https://docs.google.com/spreadsheets/d/1Lhp9OU0JdFf_VYSMzH5lBcEaU4o8teT1piV-SNzShjg/edit?gid=554141278#gid=554141278"", ""'Char Def. - Attributes'!C20:C2242""), 1,false)"),"ALT_DENUM_UOM3")</f>
        <v>ALT_DENUM_UOM3</v>
      </c>
      <c r="I14694" s="136"/>
      <c r="R14694" s="63" t="str">
        <f t="shared" si="60"/>
        <v>ZSI1_WELDSLDR_WIREALT_DENUM_UOM3</v>
      </c>
    </row>
    <row r="14695" ht="15.75" customHeight="1">
      <c r="A14695" s="59"/>
      <c r="B14695" s="63">
        <f t="shared" si="1"/>
        <v>18</v>
      </c>
      <c r="C14695" s="135" t="s">
        <v>5644</v>
      </c>
      <c r="D14695" s="161" t="s">
        <v>74</v>
      </c>
      <c r="E14695" s="135">
        <f t="shared" si="62"/>
        <v>26</v>
      </c>
      <c r="F14695" s="134" t="s">
        <v>3812</v>
      </c>
      <c r="G14695" s="63" t="str">
        <f>VLOOKUP(C14695, 'Class Def. - General Data'!$C$20:$C$1000,1,false)</f>
        <v>#N/A</v>
      </c>
      <c r="H14695" s="63" t="str">
        <f>IFERROR(__xludf.DUMMYFUNCTION("VLOOKUP(F14695, IMPORTRANGE(""https://docs.google.com/spreadsheets/d/1Lhp9OU0JdFf_VYSMzH5lBcEaU4o8teT1piV-SNzShjg/edit?gid=554141278#gid=554141278"", ""'Char Def. - Attributes'!C20:C2242""), 1,false)"),"ALT_NUM_UOM3")</f>
        <v>ALT_NUM_UOM3</v>
      </c>
      <c r="I14695" s="136"/>
      <c r="R14695" s="63" t="str">
        <f t="shared" si="60"/>
        <v>ZSI1_WELDSLDR_WIREALT_NUM_UOM3</v>
      </c>
    </row>
    <row r="14696" ht="15.75" customHeight="1">
      <c r="A14696" s="59"/>
      <c r="B14696" s="63">
        <f t="shared" si="1"/>
        <v>18</v>
      </c>
      <c r="C14696" s="135" t="s">
        <v>5644</v>
      </c>
      <c r="D14696" s="161" t="s">
        <v>74</v>
      </c>
      <c r="E14696" s="135">
        <f t="shared" si="62"/>
        <v>27</v>
      </c>
      <c r="F14696" s="134" t="s">
        <v>3813</v>
      </c>
      <c r="G14696" s="63" t="str">
        <f>VLOOKUP(C14696, 'Class Def. - General Data'!$C$20:$C$1000,1,false)</f>
        <v>#N/A</v>
      </c>
      <c r="H14696" s="63" t="str">
        <f>IFERROR(__xludf.DUMMYFUNCTION("VLOOKUP(F14696, IMPORTRANGE(""https://docs.google.com/spreadsheets/d/1Lhp9OU0JdFf_VYSMzH5lBcEaU4o8teT1piV-SNzShjg/edit?gid=554141278#gid=554141278"", ""'Char Def. - Attributes'!C20:C2242""), 1,false)"),"ALT_UOM4_SIPI")</f>
        <v>ALT_UOM4_SIPI</v>
      </c>
      <c r="I14696" s="136"/>
      <c r="R14696" s="63" t="str">
        <f t="shared" si="60"/>
        <v>ZSI1_WELDSLDR_WIREALT_UOM4_SIPI</v>
      </c>
    </row>
    <row r="14697" ht="15.75" customHeight="1">
      <c r="A14697" s="59"/>
      <c r="B14697" s="63">
        <f t="shared" si="1"/>
        <v>18</v>
      </c>
      <c r="C14697" s="135" t="s">
        <v>5644</v>
      </c>
      <c r="D14697" s="161" t="s">
        <v>74</v>
      </c>
      <c r="E14697" s="135">
        <f t="shared" si="62"/>
        <v>28</v>
      </c>
      <c r="F14697" s="134" t="s">
        <v>3814</v>
      </c>
      <c r="G14697" s="63" t="str">
        <f>VLOOKUP(C14697, 'Class Def. - General Data'!$C$20:$C$1000,1,false)</f>
        <v>#N/A</v>
      </c>
      <c r="H14697" s="63" t="str">
        <f>IFERROR(__xludf.DUMMYFUNCTION("VLOOKUP(F14697, IMPORTRANGE(""https://docs.google.com/spreadsheets/d/1Lhp9OU0JdFf_VYSMzH5lBcEaU4o8teT1piV-SNzShjg/edit?gid=554141278#gid=554141278"", ""'Char Def. - Attributes'!C20:C2242""), 1,false)"),"ALT_DENUM_UOM4")</f>
        <v>ALT_DENUM_UOM4</v>
      </c>
      <c r="I14697" s="136"/>
      <c r="R14697" s="63" t="str">
        <f t="shared" si="60"/>
        <v>ZSI1_WELDSLDR_WIREALT_DENUM_UOM4</v>
      </c>
    </row>
    <row r="14698" ht="15.75" customHeight="1">
      <c r="A14698" s="59"/>
      <c r="B14698" s="63">
        <f t="shared" si="1"/>
        <v>18</v>
      </c>
      <c r="C14698" s="135" t="s">
        <v>5644</v>
      </c>
      <c r="D14698" s="161" t="s">
        <v>74</v>
      </c>
      <c r="E14698" s="135">
        <f t="shared" si="62"/>
        <v>29</v>
      </c>
      <c r="F14698" s="134" t="s">
        <v>3815</v>
      </c>
      <c r="G14698" s="63" t="str">
        <f>VLOOKUP(C14698, 'Class Def. - General Data'!$C$20:$C$1000,1,false)</f>
        <v>#N/A</v>
      </c>
      <c r="H14698" s="63" t="str">
        <f>IFERROR(__xludf.DUMMYFUNCTION("VLOOKUP(F14698, IMPORTRANGE(""https://docs.google.com/spreadsheets/d/1Lhp9OU0JdFf_VYSMzH5lBcEaU4o8teT1piV-SNzShjg/edit?gid=554141278#gid=554141278"", ""'Char Def. - Attributes'!C20:C2242""), 1,false)"),"ALT_NUM_UOM4")</f>
        <v>ALT_NUM_UOM4</v>
      </c>
      <c r="I14698" s="136"/>
      <c r="R14698" s="63" t="str">
        <f t="shared" si="60"/>
        <v>ZSI1_WELDSLDR_WIREALT_NUM_UOM4</v>
      </c>
    </row>
    <row r="14699" ht="15.75" customHeight="1">
      <c r="A14699" s="59"/>
      <c r="B14699" s="63">
        <f t="shared" si="1"/>
        <v>18</v>
      </c>
      <c r="C14699" s="135" t="s">
        <v>5644</v>
      </c>
      <c r="D14699" s="161" t="s">
        <v>74</v>
      </c>
      <c r="E14699" s="135">
        <f t="shared" si="62"/>
        <v>30</v>
      </c>
      <c r="F14699" s="134" t="s">
        <v>3816</v>
      </c>
      <c r="G14699" s="63" t="str">
        <f>VLOOKUP(C14699, 'Class Def. - General Data'!$C$20:$C$1000,1,false)</f>
        <v>#N/A</v>
      </c>
      <c r="H14699" s="63" t="str">
        <f>IFERROR(__xludf.DUMMYFUNCTION("VLOOKUP(F14699, IMPORTRANGE(""https://docs.google.com/spreadsheets/d/1Lhp9OU0JdFf_VYSMzH5lBcEaU4o8teT1piV-SNzShjg/edit?gid=554141278#gid=554141278"", ""'Char Def. - Attributes'!C20:C2242""), 1,false)"),"ALT_UOM5_SIPI")</f>
        <v>ALT_UOM5_SIPI</v>
      </c>
      <c r="I14699" s="136"/>
      <c r="R14699" s="63" t="str">
        <f t="shared" si="60"/>
        <v>ZSI1_WELDSLDR_WIREALT_UOM5_SIPI</v>
      </c>
    </row>
    <row r="14700" ht="15.75" customHeight="1">
      <c r="A14700" s="59"/>
      <c r="B14700" s="63">
        <f t="shared" si="1"/>
        <v>18</v>
      </c>
      <c r="C14700" s="135" t="s">
        <v>5644</v>
      </c>
      <c r="D14700" s="161" t="s">
        <v>74</v>
      </c>
      <c r="E14700" s="135">
        <f t="shared" si="62"/>
        <v>31</v>
      </c>
      <c r="F14700" s="134" t="s">
        <v>3817</v>
      </c>
      <c r="G14700" s="63" t="str">
        <f>VLOOKUP(C14700, 'Class Def. - General Data'!$C$20:$C$1000,1,false)</f>
        <v>#N/A</v>
      </c>
      <c r="H14700" s="63" t="str">
        <f>IFERROR(__xludf.DUMMYFUNCTION("VLOOKUP(F14700, IMPORTRANGE(""https://docs.google.com/spreadsheets/d/1Lhp9OU0JdFf_VYSMzH5lBcEaU4o8teT1piV-SNzShjg/edit?gid=554141278#gid=554141278"", ""'Char Def. - Attributes'!C20:C2242""), 1,false)"),"ALT_DENUM_UOM5")</f>
        <v>ALT_DENUM_UOM5</v>
      </c>
      <c r="I14700" s="136"/>
      <c r="R14700" s="63" t="str">
        <f t="shared" si="60"/>
        <v>ZSI1_WELDSLDR_WIREALT_DENUM_UOM5</v>
      </c>
    </row>
    <row r="14701" ht="15.75" customHeight="1">
      <c r="A14701" s="59"/>
      <c r="B14701" s="63">
        <f t="shared" si="1"/>
        <v>18</v>
      </c>
      <c r="C14701" s="135" t="s">
        <v>5644</v>
      </c>
      <c r="D14701" s="161" t="s">
        <v>74</v>
      </c>
      <c r="E14701" s="135">
        <f t="shared" si="62"/>
        <v>32</v>
      </c>
      <c r="F14701" s="134" t="s">
        <v>3818</v>
      </c>
      <c r="G14701" s="63" t="str">
        <f>VLOOKUP(C14701, 'Class Def. - General Data'!$C$20:$C$1000,1,false)</f>
        <v>#N/A</v>
      </c>
      <c r="H14701" s="63" t="str">
        <f>IFERROR(__xludf.DUMMYFUNCTION("VLOOKUP(F14701, IMPORTRANGE(""https://docs.google.com/spreadsheets/d/1Lhp9OU0JdFf_VYSMzH5lBcEaU4o8teT1piV-SNzShjg/edit?gid=554141278#gid=554141278"", ""'Char Def. - Attributes'!C20:C2242""), 1,false)"),"ALT_NUM_UOM5")</f>
        <v>ALT_NUM_UOM5</v>
      </c>
      <c r="I14701" s="136"/>
      <c r="R14701" s="63" t="str">
        <f t="shared" si="60"/>
        <v>ZSI1_WELDSLDR_WIREALT_NUM_UOM5</v>
      </c>
    </row>
    <row r="14702" ht="15.75" customHeight="1">
      <c r="A14702" s="59"/>
      <c r="B14702" s="63">
        <f t="shared" si="1"/>
        <v>14</v>
      </c>
      <c r="C14702" s="135" t="s">
        <v>530</v>
      </c>
      <c r="D14702" s="161" t="s">
        <v>74</v>
      </c>
      <c r="E14702" s="135">
        <f t="shared" si="62"/>
        <v>1</v>
      </c>
      <c r="F14702" s="134" t="s">
        <v>5655</v>
      </c>
      <c r="G14702" s="63" t="str">
        <f>VLOOKUP(C14702, 'Class Def. - General Data'!$C$20:$C$1000,1,false)</f>
        <v>ZSI1_WIRE_ROPE</v>
      </c>
      <c r="H14702" s="63" t="str">
        <f>IFERROR(__xludf.DUMMYFUNCTION("VLOOKUP(F14702, IMPORTRANGE(""https://docs.google.com/spreadsheets/d/1Lhp9OU0JdFf_VYSMzH5lBcEaU4o8teT1piV-SNzShjg/edit?gid=554141278#gid=554141278"", ""'Char Def. - Attributes'!C20:C2242""), 1,false)"),"ITEM_NAME_WIRE_ROPE")</f>
        <v>ITEM_NAME_WIRE_ROPE</v>
      </c>
      <c r="I14702" s="136"/>
      <c r="R14702" s="63" t="str">
        <f t="shared" si="60"/>
        <v>ZSI1_WIRE_ROPEITEM_NAME_WIRE_ROPE</v>
      </c>
    </row>
    <row r="14703" ht="15.75" customHeight="1">
      <c r="A14703" s="59"/>
      <c r="B14703" s="63">
        <f t="shared" si="1"/>
        <v>14</v>
      </c>
      <c r="C14703" s="135" t="s">
        <v>530</v>
      </c>
      <c r="D14703" s="161" t="s">
        <v>74</v>
      </c>
      <c r="E14703" s="135">
        <f t="shared" si="62"/>
        <v>2</v>
      </c>
      <c r="F14703" s="134" t="s">
        <v>5656</v>
      </c>
      <c r="G14703" s="63" t="str">
        <f>VLOOKUP(C14703, 'Class Def. - General Data'!$C$20:$C$1000,1,false)</f>
        <v>ZSI1_WIRE_ROPE</v>
      </c>
      <c r="H14703" s="63" t="str">
        <f>IFERROR(__xludf.DUMMYFUNCTION("VLOOKUP(F14703, IMPORTRANGE(""https://docs.google.com/spreadsheets/d/1Lhp9OU0JdFf_VYSMzH5lBcEaU4o8teT1piV-SNzShjg/edit?gid=554141278#gid=554141278"", ""'Char Def. - Attributes'!C20:C2242""), 1,false)"),"MATERIAL_WIRE_ROPE")</f>
        <v>MATERIAL_WIRE_ROPE</v>
      </c>
      <c r="I14703" s="136"/>
      <c r="R14703" s="63" t="str">
        <f t="shared" si="60"/>
        <v>ZSI1_WIRE_ROPEMATERIAL_WIRE_ROPE</v>
      </c>
    </row>
    <row r="14704" ht="15.75" customHeight="1">
      <c r="A14704" s="59"/>
      <c r="B14704" s="63">
        <f t="shared" si="1"/>
        <v>14</v>
      </c>
      <c r="C14704" s="135" t="s">
        <v>530</v>
      </c>
      <c r="D14704" s="161" t="s">
        <v>74</v>
      </c>
      <c r="E14704" s="135">
        <f t="shared" si="62"/>
        <v>3</v>
      </c>
      <c r="F14704" s="134" t="s">
        <v>5657</v>
      </c>
      <c r="G14704" s="63" t="str">
        <f>VLOOKUP(C14704, 'Class Def. - General Data'!$C$20:$C$1000,1,false)</f>
        <v>ZSI1_WIRE_ROPE</v>
      </c>
      <c r="H14704" s="63" t="str">
        <f>IFERROR(__xludf.DUMMYFUNCTION("VLOOKUP(F14704, IMPORTRANGE(""https://docs.google.com/spreadsheets/d/1Lhp9OU0JdFf_VYSMzH5lBcEaU4o8teT1piV-SNzShjg/edit?gid=554141278#gid=554141278"", ""'Char Def. - Attributes'!C20:C2242""), 1,false)"),"ROPE_DIAMETER_MM")</f>
        <v>ROPE_DIAMETER_MM</v>
      </c>
      <c r="I14704" s="136"/>
      <c r="R14704" s="63" t="str">
        <f t="shared" si="60"/>
        <v>ZSI1_WIRE_ROPEROPE_DIAMETER_MM</v>
      </c>
    </row>
    <row r="14705" ht="15.75" customHeight="1">
      <c r="A14705" s="59"/>
      <c r="B14705" s="63">
        <f t="shared" si="1"/>
        <v>14</v>
      </c>
      <c r="C14705" s="135" t="s">
        <v>530</v>
      </c>
      <c r="D14705" s="161" t="s">
        <v>74</v>
      </c>
      <c r="E14705" s="135">
        <f t="shared" si="62"/>
        <v>4</v>
      </c>
      <c r="F14705" s="134" t="s">
        <v>3585</v>
      </c>
      <c r="G14705" s="63" t="str">
        <f>VLOOKUP(C14705, 'Class Def. - General Data'!$C$20:$C$1000,1,false)</f>
        <v>ZSI1_WIRE_ROPE</v>
      </c>
      <c r="H14705" s="63" t="str">
        <f>IFERROR(__xludf.DUMMYFUNCTION("VLOOKUP(F14705, IMPORTRANGE(""https://docs.google.com/spreadsheets/d/1Lhp9OU0JdFf_VYSMzH5lBcEaU4o8teT1piV-SNzShjg/edit?gid=554141278#gid=554141278"", ""'Char Def. - Attributes'!C20:C2242""), 1,false)"),"HS_CODE")</f>
        <v>HS_CODE</v>
      </c>
      <c r="I14705" s="136"/>
      <c r="R14705" s="63" t="str">
        <f t="shared" si="60"/>
        <v>ZSI1_WIRE_ROPEHS_CODE</v>
      </c>
    </row>
    <row r="14706" ht="15.75" customHeight="1">
      <c r="A14706" s="59"/>
      <c r="B14706" s="63">
        <f t="shared" si="1"/>
        <v>14</v>
      </c>
      <c r="C14706" s="135" t="s">
        <v>530</v>
      </c>
      <c r="D14706" s="161" t="s">
        <v>74</v>
      </c>
      <c r="E14706" s="135">
        <f t="shared" si="62"/>
        <v>5</v>
      </c>
      <c r="F14706" s="134" t="s">
        <v>3587</v>
      </c>
      <c r="G14706" s="63" t="str">
        <f>VLOOKUP(C14706, 'Class Def. - General Data'!$C$20:$C$1000,1,false)</f>
        <v>ZSI1_WIRE_ROPE</v>
      </c>
      <c r="H14706" s="63" t="str">
        <f>IFERROR(__xludf.DUMMYFUNCTION("VLOOKUP(F14706, IMPORTRANGE(""https://docs.google.com/spreadsheets/d/1Lhp9OU0JdFf_VYSMzH5lBcEaU4o8teT1piV-SNzShjg/edit?gid=554141278#gid=554141278"", ""'Char Def. - Attributes'!C20:C2242""), 1,false)"),"PLANT_BUY")</f>
        <v>PLANT_BUY</v>
      </c>
      <c r="I14706" s="136"/>
      <c r="R14706" s="63" t="str">
        <f t="shared" si="60"/>
        <v>ZSI1_WIRE_ROPEPLANT_BUY</v>
      </c>
    </row>
    <row r="14707" ht="15.75" customHeight="1">
      <c r="A14707" s="59"/>
      <c r="B14707" s="63">
        <f t="shared" si="1"/>
        <v>14</v>
      </c>
      <c r="C14707" s="135" t="s">
        <v>530</v>
      </c>
      <c r="D14707" s="161" t="s">
        <v>74</v>
      </c>
      <c r="E14707" s="135">
        <f t="shared" si="62"/>
        <v>6</v>
      </c>
      <c r="F14707" s="134" t="s">
        <v>5658</v>
      </c>
      <c r="G14707" s="63" t="str">
        <f>VLOOKUP(C14707, 'Class Def. - General Data'!$C$20:$C$1000,1,false)</f>
        <v>ZSI1_WIRE_ROPE</v>
      </c>
      <c r="H14707" s="63" t="str">
        <f>IFERROR(__xludf.DUMMYFUNCTION("VLOOKUP(F14707, IMPORTRANGE(""https://docs.google.com/spreadsheets/d/1Lhp9OU0JdFf_VYSMzH5lBcEaU4o8teT1piV-SNzShjg/edit?gid=554141278#gid=554141278"", ""'Char Def. - Attributes'!C20:C2242""), 1,false)"),"BASE_UOM_WIRE_ROPE")</f>
        <v>BASE_UOM_WIRE_ROPE</v>
      </c>
      <c r="I14707" s="136"/>
      <c r="R14707" s="63" t="str">
        <f t="shared" si="60"/>
        <v>ZSI1_WIRE_ROPEBASE_UOM_WIRE_ROPE</v>
      </c>
    </row>
    <row r="14708" ht="15.75" customHeight="1">
      <c r="A14708" s="59"/>
      <c r="B14708" s="63">
        <f t="shared" si="1"/>
        <v>14</v>
      </c>
      <c r="C14708" s="135" t="s">
        <v>530</v>
      </c>
      <c r="D14708" s="161" t="s">
        <v>74</v>
      </c>
      <c r="E14708" s="135">
        <f t="shared" si="62"/>
        <v>7</v>
      </c>
      <c r="F14708" s="134" t="s">
        <v>5659</v>
      </c>
      <c r="G14708" s="63" t="str">
        <f>VLOOKUP(C14708, 'Class Def. - General Data'!$C$20:$C$1000,1,false)</f>
        <v>ZSI1_WIRE_ROPE</v>
      </c>
      <c r="H14708" s="63" t="str">
        <f>IFERROR(__xludf.DUMMYFUNCTION("VLOOKUP(F14708, IMPORTRANGE(""https://docs.google.com/spreadsheets/d/1Lhp9OU0JdFf_VYSMzH5lBcEaU4o8teT1piV-SNzShjg/edit?gid=554141278#gid=554141278"", ""'Char Def. - Attributes'!C20:C2242""), 1,false)"),"ORDER_UNIT_WIRE_ROPE")</f>
        <v>ORDER_UNIT_WIRE_ROPE</v>
      </c>
      <c r="I14708" s="136"/>
      <c r="R14708" s="63" t="str">
        <f t="shared" si="60"/>
        <v>ZSI1_WIRE_ROPEORDER_UNIT_WIRE_ROPE</v>
      </c>
    </row>
    <row r="14709" ht="15.75" customHeight="1">
      <c r="A14709" s="59"/>
      <c r="B14709" s="63">
        <f t="shared" si="1"/>
        <v>14</v>
      </c>
      <c r="C14709" s="135" t="s">
        <v>530</v>
      </c>
      <c r="D14709" s="161" t="s">
        <v>74</v>
      </c>
      <c r="E14709" s="135">
        <f t="shared" si="62"/>
        <v>8</v>
      </c>
      <c r="F14709" s="134" t="s">
        <v>4056</v>
      </c>
      <c r="G14709" s="63" t="str">
        <f>VLOOKUP(C14709, 'Class Def. - General Data'!$C$20:$C$1000,1,false)</f>
        <v>ZSI1_WIRE_ROPE</v>
      </c>
      <c r="H14709" s="63" t="str">
        <f>IFERROR(__xludf.DUMMYFUNCTION("VLOOKUP(F14709, IMPORTRANGE(""https://docs.google.com/spreadsheets/d/1Lhp9OU0JdFf_VYSMzH5lBcEaU4o8teT1piV-SNzShjg/edit?gid=554141278#gid=554141278"", ""'Char Def. - Attributes'!C20:C2242""), 1,false)"),"GROSS_WEIGHT_OPT")</f>
        <v>GROSS_WEIGHT_OPT</v>
      </c>
      <c r="I14709" s="136"/>
      <c r="R14709" s="63" t="str">
        <f t="shared" si="60"/>
        <v>ZSI1_WIRE_ROPEGROSS_WEIGHT_OPT</v>
      </c>
    </row>
    <row r="14710" ht="15.75" customHeight="1">
      <c r="A14710" s="59"/>
      <c r="B14710" s="63">
        <f t="shared" si="1"/>
        <v>14</v>
      </c>
      <c r="C14710" s="135" t="s">
        <v>530</v>
      </c>
      <c r="D14710" s="161" t="s">
        <v>74</v>
      </c>
      <c r="E14710" s="135">
        <f t="shared" si="62"/>
        <v>9</v>
      </c>
      <c r="F14710" s="134" t="s">
        <v>4057</v>
      </c>
      <c r="G14710" s="63" t="str">
        <f>VLOOKUP(C14710, 'Class Def. - General Data'!$C$20:$C$1000,1,false)</f>
        <v>ZSI1_WIRE_ROPE</v>
      </c>
      <c r="H14710" s="63" t="str">
        <f>IFERROR(__xludf.DUMMYFUNCTION("VLOOKUP(F14710, IMPORTRANGE(""https://docs.google.com/spreadsheets/d/1Lhp9OU0JdFf_VYSMzH5lBcEaU4o8teT1piV-SNzShjg/edit?gid=554141278#gid=554141278"", ""'Char Def. - Attributes'!C20:C2242""), 1,false)"),"NET_WEIGHT_OPT")</f>
        <v>NET_WEIGHT_OPT</v>
      </c>
      <c r="I14710" s="136"/>
      <c r="R14710" s="63" t="str">
        <f t="shared" si="60"/>
        <v>ZSI1_WIRE_ROPENET_WEIGHT_OPT</v>
      </c>
    </row>
    <row r="14711" ht="15.75" customHeight="1">
      <c r="A14711" s="59"/>
      <c r="B14711" s="63">
        <f t="shared" si="1"/>
        <v>14</v>
      </c>
      <c r="C14711" s="135" t="s">
        <v>530</v>
      </c>
      <c r="D14711" s="161" t="s">
        <v>74</v>
      </c>
      <c r="E14711" s="135">
        <f t="shared" si="62"/>
        <v>10</v>
      </c>
      <c r="F14711" s="134" t="s">
        <v>4058</v>
      </c>
      <c r="G14711" s="63" t="str">
        <f>VLOOKUP(C14711, 'Class Def. - General Data'!$C$20:$C$1000,1,false)</f>
        <v>ZSI1_WIRE_ROPE</v>
      </c>
      <c r="H14711" s="63" t="str">
        <f>IFERROR(__xludf.DUMMYFUNCTION("VLOOKUP(F14711, IMPORTRANGE(""https://docs.google.com/spreadsheets/d/1Lhp9OU0JdFf_VYSMzH5lBcEaU4o8teT1piV-SNzShjg/edit?gid=554141278#gid=554141278"", ""'Char Def. - Attributes'!C20:C2242""), 1,false)"),"WEIGHT_UNIT_SI")</f>
        <v>WEIGHT_UNIT_SI</v>
      </c>
      <c r="I14711" s="136"/>
      <c r="R14711" s="63" t="str">
        <f t="shared" si="60"/>
        <v>ZSI1_WIRE_ROPEWEIGHT_UNIT_SI</v>
      </c>
    </row>
    <row r="14712" ht="15.75" customHeight="1">
      <c r="A14712" s="59"/>
      <c r="B14712" s="63">
        <f t="shared" si="1"/>
        <v>14</v>
      </c>
      <c r="C14712" s="135" t="s">
        <v>530</v>
      </c>
      <c r="D14712" s="161" t="s">
        <v>74</v>
      </c>
      <c r="E14712" s="135">
        <f t="shared" si="62"/>
        <v>11</v>
      </c>
      <c r="F14712" s="134" t="s">
        <v>3877</v>
      </c>
      <c r="G14712" s="63" t="str">
        <f>VLOOKUP(C14712, 'Class Def. - General Data'!$C$20:$C$1000,1,false)</f>
        <v>ZSI1_WIRE_ROPE</v>
      </c>
      <c r="H14712" s="63" t="str">
        <f>IFERROR(__xludf.DUMMYFUNCTION("VLOOKUP(F14712, IMPORTRANGE(""https://docs.google.com/spreadsheets/d/1Lhp9OU0JdFf_VYSMzH5lBcEaU4o8teT1piV-SNzShjg/edit?gid=554141278#gid=554141278"", ""'Char Def. - Attributes'!C20:C2242""), 1,false)"),"VOLUME_OPT")</f>
        <v>VOLUME_OPT</v>
      </c>
      <c r="I14712" s="136"/>
      <c r="R14712" s="63" t="str">
        <f t="shared" si="60"/>
        <v>ZSI1_WIRE_ROPEVOLUME_OPT</v>
      </c>
    </row>
    <row r="14713" ht="15.75" customHeight="1">
      <c r="A14713" s="59"/>
      <c r="B14713" s="63">
        <f t="shared" si="1"/>
        <v>14</v>
      </c>
      <c r="C14713" s="135" t="s">
        <v>530</v>
      </c>
      <c r="D14713" s="161" t="s">
        <v>74</v>
      </c>
      <c r="E14713" s="135">
        <f t="shared" si="62"/>
        <v>12</v>
      </c>
      <c r="F14713" s="134" t="s">
        <v>4059</v>
      </c>
      <c r="G14713" s="63" t="str">
        <f>VLOOKUP(C14713, 'Class Def. - General Data'!$C$20:$C$1000,1,false)</f>
        <v>ZSI1_WIRE_ROPE</v>
      </c>
      <c r="H14713" s="63" t="str">
        <f>IFERROR(__xludf.DUMMYFUNCTION("VLOOKUP(F14713, IMPORTRANGE(""https://docs.google.com/spreadsheets/d/1Lhp9OU0JdFf_VYSMzH5lBcEaU4o8teT1piV-SNzShjg/edit?gid=554141278#gid=554141278"", ""'Char Def. - Attributes'!C20:C2242""), 1,false)"),"VOLUME_UNIT_SI")</f>
        <v>VOLUME_UNIT_SI</v>
      </c>
      <c r="I14713" s="136"/>
      <c r="R14713" s="63" t="str">
        <f t="shared" si="60"/>
        <v>ZSI1_WIRE_ROPEVOLUME_UNIT_SI</v>
      </c>
    </row>
    <row r="14714" ht="15.75" customHeight="1">
      <c r="A14714" s="59"/>
      <c r="B14714" s="63">
        <f t="shared" si="1"/>
        <v>14</v>
      </c>
      <c r="C14714" s="135" t="s">
        <v>530</v>
      </c>
      <c r="D14714" s="161" t="s">
        <v>74</v>
      </c>
      <c r="E14714" s="135">
        <f t="shared" si="62"/>
        <v>13</v>
      </c>
      <c r="F14714" s="134" t="s">
        <v>3804</v>
      </c>
      <c r="G14714" s="63" t="str">
        <f>VLOOKUP(C14714, 'Class Def. - General Data'!$C$20:$C$1000,1,false)</f>
        <v>ZSI1_WIRE_ROPE</v>
      </c>
      <c r="H14714" s="63" t="str">
        <f>IFERROR(__xludf.DUMMYFUNCTION("VLOOKUP(F14714, IMPORTRANGE(""https://docs.google.com/spreadsheets/d/1Lhp9OU0JdFf_VYSMzH5lBcEaU4o8teT1piV-SNzShjg/edit?gid=554141278#gid=554141278"", ""'Char Def. - Attributes'!C20:C2242""), 1,false)"),"ALT_UOM1_SIPI")</f>
        <v>ALT_UOM1_SIPI</v>
      </c>
      <c r="I14714" s="136"/>
      <c r="R14714" s="63" t="str">
        <f t="shared" si="60"/>
        <v>ZSI1_WIRE_ROPEALT_UOM1_SIPI</v>
      </c>
    </row>
    <row r="14715" ht="15.75" customHeight="1">
      <c r="A14715" s="59"/>
      <c r="B14715" s="63">
        <f t="shared" si="1"/>
        <v>14</v>
      </c>
      <c r="C14715" s="135" t="s">
        <v>530</v>
      </c>
      <c r="D14715" s="161" t="s">
        <v>74</v>
      </c>
      <c r="E14715" s="135">
        <f t="shared" si="62"/>
        <v>14</v>
      </c>
      <c r="F14715" s="134" t="s">
        <v>3805</v>
      </c>
      <c r="G14715" s="63" t="str">
        <f>VLOOKUP(C14715, 'Class Def. - General Data'!$C$20:$C$1000,1,false)</f>
        <v>ZSI1_WIRE_ROPE</v>
      </c>
      <c r="H14715" s="63" t="str">
        <f>IFERROR(__xludf.DUMMYFUNCTION("VLOOKUP(F14715, IMPORTRANGE(""https://docs.google.com/spreadsheets/d/1Lhp9OU0JdFf_VYSMzH5lBcEaU4o8teT1piV-SNzShjg/edit?gid=554141278#gid=554141278"", ""'Char Def. - Attributes'!C20:C2242""), 1,false)"),"ALT_DENUM_UOM1")</f>
        <v>ALT_DENUM_UOM1</v>
      </c>
      <c r="I14715" s="136"/>
      <c r="R14715" s="63" t="str">
        <f t="shared" si="60"/>
        <v>ZSI1_WIRE_ROPEALT_DENUM_UOM1</v>
      </c>
    </row>
    <row r="14716" ht="15.75" customHeight="1">
      <c r="A14716" s="59"/>
      <c r="B14716" s="63">
        <f t="shared" si="1"/>
        <v>14</v>
      </c>
      <c r="C14716" s="135" t="s">
        <v>530</v>
      </c>
      <c r="D14716" s="161" t="s">
        <v>74</v>
      </c>
      <c r="E14716" s="135">
        <f t="shared" si="62"/>
        <v>15</v>
      </c>
      <c r="F14716" s="134" t="s">
        <v>3806</v>
      </c>
      <c r="G14716" s="63" t="str">
        <f>VLOOKUP(C14716, 'Class Def. - General Data'!$C$20:$C$1000,1,false)</f>
        <v>ZSI1_WIRE_ROPE</v>
      </c>
      <c r="H14716" s="63" t="str">
        <f>IFERROR(__xludf.DUMMYFUNCTION("VLOOKUP(F14716, IMPORTRANGE(""https://docs.google.com/spreadsheets/d/1Lhp9OU0JdFf_VYSMzH5lBcEaU4o8teT1piV-SNzShjg/edit?gid=554141278#gid=554141278"", ""'Char Def. - Attributes'!C20:C2242""), 1,false)"),"ALT_NUM_UOM1")</f>
        <v>ALT_NUM_UOM1</v>
      </c>
      <c r="I14716" s="136"/>
      <c r="R14716" s="63" t="str">
        <f t="shared" si="60"/>
        <v>ZSI1_WIRE_ROPEALT_NUM_UOM1</v>
      </c>
    </row>
    <row r="14717" ht="15.75" customHeight="1">
      <c r="A14717" s="59"/>
      <c r="B14717" s="63">
        <f t="shared" si="1"/>
        <v>14</v>
      </c>
      <c r="C14717" s="135" t="s">
        <v>530</v>
      </c>
      <c r="D14717" s="161" t="s">
        <v>74</v>
      </c>
      <c r="E14717" s="135">
        <f t="shared" si="62"/>
        <v>16</v>
      </c>
      <c r="F14717" s="134" t="s">
        <v>3807</v>
      </c>
      <c r="G14717" s="63" t="str">
        <f>VLOOKUP(C14717, 'Class Def. - General Data'!$C$20:$C$1000,1,false)</f>
        <v>ZSI1_WIRE_ROPE</v>
      </c>
      <c r="H14717" s="63" t="str">
        <f>IFERROR(__xludf.DUMMYFUNCTION("VLOOKUP(F14717, IMPORTRANGE(""https://docs.google.com/spreadsheets/d/1Lhp9OU0JdFf_VYSMzH5lBcEaU4o8teT1piV-SNzShjg/edit?gid=554141278#gid=554141278"", ""'Char Def. - Attributes'!C20:C2242""), 1,false)"),"ALT_UOM2_SIPI")</f>
        <v>ALT_UOM2_SIPI</v>
      </c>
      <c r="I14717" s="136"/>
      <c r="R14717" s="63" t="str">
        <f t="shared" si="60"/>
        <v>ZSI1_WIRE_ROPEALT_UOM2_SIPI</v>
      </c>
    </row>
    <row r="14718" ht="15.75" customHeight="1">
      <c r="A14718" s="59"/>
      <c r="B14718" s="63">
        <f t="shared" si="1"/>
        <v>14</v>
      </c>
      <c r="C14718" s="135" t="s">
        <v>530</v>
      </c>
      <c r="D14718" s="161" t="s">
        <v>74</v>
      </c>
      <c r="E14718" s="135">
        <f t="shared" si="62"/>
        <v>17</v>
      </c>
      <c r="F14718" s="134" t="s">
        <v>3808</v>
      </c>
      <c r="G14718" s="63" t="str">
        <f>VLOOKUP(C14718, 'Class Def. - General Data'!$C$20:$C$1000,1,false)</f>
        <v>ZSI1_WIRE_ROPE</v>
      </c>
      <c r="H14718" s="63" t="str">
        <f>IFERROR(__xludf.DUMMYFUNCTION("VLOOKUP(F14718, IMPORTRANGE(""https://docs.google.com/spreadsheets/d/1Lhp9OU0JdFf_VYSMzH5lBcEaU4o8teT1piV-SNzShjg/edit?gid=554141278#gid=554141278"", ""'Char Def. - Attributes'!C20:C2242""), 1,false)"),"ALT_DENUM_UOM2")</f>
        <v>ALT_DENUM_UOM2</v>
      </c>
      <c r="I14718" s="136"/>
      <c r="R14718" s="63" t="str">
        <f t="shared" si="60"/>
        <v>ZSI1_WIRE_ROPEALT_DENUM_UOM2</v>
      </c>
    </row>
    <row r="14719" ht="15.75" customHeight="1">
      <c r="A14719" s="59"/>
      <c r="B14719" s="63">
        <f t="shared" si="1"/>
        <v>14</v>
      </c>
      <c r="C14719" s="135" t="s">
        <v>530</v>
      </c>
      <c r="D14719" s="161" t="s">
        <v>74</v>
      </c>
      <c r="E14719" s="135">
        <f t="shared" si="62"/>
        <v>18</v>
      </c>
      <c r="F14719" s="134" t="s">
        <v>3809</v>
      </c>
      <c r="G14719" s="63" t="str">
        <f>VLOOKUP(C14719, 'Class Def. - General Data'!$C$20:$C$1000,1,false)</f>
        <v>ZSI1_WIRE_ROPE</v>
      </c>
      <c r="H14719" s="63" t="str">
        <f>IFERROR(__xludf.DUMMYFUNCTION("VLOOKUP(F14719, IMPORTRANGE(""https://docs.google.com/spreadsheets/d/1Lhp9OU0JdFf_VYSMzH5lBcEaU4o8teT1piV-SNzShjg/edit?gid=554141278#gid=554141278"", ""'Char Def. - Attributes'!C20:C2242""), 1,false)"),"ALT_NUM_UOM2")</f>
        <v>ALT_NUM_UOM2</v>
      </c>
      <c r="I14719" s="136"/>
      <c r="R14719" s="63" t="str">
        <f t="shared" si="60"/>
        <v>ZSI1_WIRE_ROPEALT_NUM_UOM2</v>
      </c>
    </row>
    <row r="14720" ht="15.75" customHeight="1">
      <c r="A14720" s="59"/>
      <c r="B14720" s="63">
        <f t="shared" si="1"/>
        <v>14</v>
      </c>
      <c r="C14720" s="135" t="s">
        <v>530</v>
      </c>
      <c r="D14720" s="161" t="s">
        <v>74</v>
      </c>
      <c r="E14720" s="135">
        <f t="shared" si="62"/>
        <v>19</v>
      </c>
      <c r="F14720" s="134" t="s">
        <v>3810</v>
      </c>
      <c r="G14720" s="63" t="str">
        <f>VLOOKUP(C14720, 'Class Def. - General Data'!$C$20:$C$1000,1,false)</f>
        <v>ZSI1_WIRE_ROPE</v>
      </c>
      <c r="H14720" s="63" t="str">
        <f>IFERROR(__xludf.DUMMYFUNCTION("VLOOKUP(F14720, IMPORTRANGE(""https://docs.google.com/spreadsheets/d/1Lhp9OU0JdFf_VYSMzH5lBcEaU4o8teT1piV-SNzShjg/edit?gid=554141278#gid=554141278"", ""'Char Def. - Attributes'!C20:C2242""), 1,false)"),"ALT_UOM3_SIPI")</f>
        <v>ALT_UOM3_SIPI</v>
      </c>
      <c r="I14720" s="136"/>
      <c r="R14720" s="63" t="str">
        <f t="shared" si="60"/>
        <v>ZSI1_WIRE_ROPEALT_UOM3_SIPI</v>
      </c>
    </row>
    <row r="14721" ht="15.75" customHeight="1">
      <c r="A14721" s="59"/>
      <c r="B14721" s="63">
        <f t="shared" si="1"/>
        <v>14</v>
      </c>
      <c r="C14721" s="135" t="s">
        <v>530</v>
      </c>
      <c r="D14721" s="161" t="s">
        <v>74</v>
      </c>
      <c r="E14721" s="135">
        <f t="shared" si="62"/>
        <v>20</v>
      </c>
      <c r="F14721" s="134" t="s">
        <v>3811</v>
      </c>
      <c r="G14721" s="63" t="str">
        <f>VLOOKUP(C14721, 'Class Def. - General Data'!$C$20:$C$1000,1,false)</f>
        <v>ZSI1_WIRE_ROPE</v>
      </c>
      <c r="H14721" s="63" t="str">
        <f>IFERROR(__xludf.DUMMYFUNCTION("VLOOKUP(F14721, IMPORTRANGE(""https://docs.google.com/spreadsheets/d/1Lhp9OU0JdFf_VYSMzH5lBcEaU4o8teT1piV-SNzShjg/edit?gid=554141278#gid=554141278"", ""'Char Def. - Attributes'!C20:C2242""), 1,false)"),"ALT_DENUM_UOM3")</f>
        <v>ALT_DENUM_UOM3</v>
      </c>
      <c r="I14721" s="136"/>
      <c r="R14721" s="63" t="str">
        <f t="shared" si="60"/>
        <v>ZSI1_WIRE_ROPEALT_DENUM_UOM3</v>
      </c>
    </row>
    <row r="14722" ht="15.75" customHeight="1">
      <c r="A14722" s="59"/>
      <c r="B14722" s="63">
        <f t="shared" si="1"/>
        <v>14</v>
      </c>
      <c r="C14722" s="135" t="s">
        <v>530</v>
      </c>
      <c r="D14722" s="161" t="s">
        <v>74</v>
      </c>
      <c r="E14722" s="135">
        <f t="shared" si="62"/>
        <v>21</v>
      </c>
      <c r="F14722" s="134" t="s">
        <v>3812</v>
      </c>
      <c r="G14722" s="63" t="str">
        <f>VLOOKUP(C14722, 'Class Def. - General Data'!$C$20:$C$1000,1,false)</f>
        <v>ZSI1_WIRE_ROPE</v>
      </c>
      <c r="H14722" s="63" t="str">
        <f>IFERROR(__xludf.DUMMYFUNCTION("VLOOKUP(F14722, IMPORTRANGE(""https://docs.google.com/spreadsheets/d/1Lhp9OU0JdFf_VYSMzH5lBcEaU4o8teT1piV-SNzShjg/edit?gid=554141278#gid=554141278"", ""'Char Def. - Attributes'!C20:C2242""), 1,false)"),"ALT_NUM_UOM3")</f>
        <v>ALT_NUM_UOM3</v>
      </c>
      <c r="I14722" s="136"/>
      <c r="R14722" s="63" t="str">
        <f t="shared" si="60"/>
        <v>ZSI1_WIRE_ROPEALT_NUM_UOM3</v>
      </c>
    </row>
    <row r="14723" ht="15.75" customHeight="1">
      <c r="A14723" s="59"/>
      <c r="B14723" s="63">
        <f t="shared" si="1"/>
        <v>14</v>
      </c>
      <c r="C14723" s="135" t="s">
        <v>530</v>
      </c>
      <c r="D14723" s="161" t="s">
        <v>74</v>
      </c>
      <c r="E14723" s="135">
        <f t="shared" si="62"/>
        <v>22</v>
      </c>
      <c r="F14723" s="134" t="s">
        <v>3813</v>
      </c>
      <c r="G14723" s="63" t="str">
        <f>VLOOKUP(C14723, 'Class Def. - General Data'!$C$20:$C$1000,1,false)</f>
        <v>ZSI1_WIRE_ROPE</v>
      </c>
      <c r="H14723" s="63" t="str">
        <f>IFERROR(__xludf.DUMMYFUNCTION("VLOOKUP(F14723, IMPORTRANGE(""https://docs.google.com/spreadsheets/d/1Lhp9OU0JdFf_VYSMzH5lBcEaU4o8teT1piV-SNzShjg/edit?gid=554141278#gid=554141278"", ""'Char Def. - Attributes'!C20:C2242""), 1,false)"),"ALT_UOM4_SIPI")</f>
        <v>ALT_UOM4_SIPI</v>
      </c>
      <c r="I14723" s="136"/>
      <c r="R14723" s="63" t="str">
        <f t="shared" si="60"/>
        <v>ZSI1_WIRE_ROPEALT_UOM4_SIPI</v>
      </c>
    </row>
    <row r="14724" ht="15.75" customHeight="1">
      <c r="A14724" s="59"/>
      <c r="B14724" s="63">
        <f t="shared" si="1"/>
        <v>14</v>
      </c>
      <c r="C14724" s="135" t="s">
        <v>530</v>
      </c>
      <c r="D14724" s="161" t="s">
        <v>74</v>
      </c>
      <c r="E14724" s="135">
        <f t="shared" si="62"/>
        <v>23</v>
      </c>
      <c r="F14724" s="134" t="s">
        <v>3814</v>
      </c>
      <c r="G14724" s="63" t="str">
        <f>VLOOKUP(C14724, 'Class Def. - General Data'!$C$20:$C$1000,1,false)</f>
        <v>ZSI1_WIRE_ROPE</v>
      </c>
      <c r="H14724" s="63" t="str">
        <f>IFERROR(__xludf.DUMMYFUNCTION("VLOOKUP(F14724, IMPORTRANGE(""https://docs.google.com/spreadsheets/d/1Lhp9OU0JdFf_VYSMzH5lBcEaU4o8teT1piV-SNzShjg/edit?gid=554141278#gid=554141278"", ""'Char Def. - Attributes'!C20:C2242""), 1,false)"),"ALT_DENUM_UOM4")</f>
        <v>ALT_DENUM_UOM4</v>
      </c>
      <c r="I14724" s="136"/>
      <c r="R14724" s="63" t="str">
        <f t="shared" si="60"/>
        <v>ZSI1_WIRE_ROPEALT_DENUM_UOM4</v>
      </c>
    </row>
    <row r="14725" ht="15.75" customHeight="1">
      <c r="A14725" s="59"/>
      <c r="B14725" s="63">
        <f t="shared" si="1"/>
        <v>14</v>
      </c>
      <c r="C14725" s="135" t="s">
        <v>530</v>
      </c>
      <c r="D14725" s="161" t="s">
        <v>74</v>
      </c>
      <c r="E14725" s="135">
        <f t="shared" si="62"/>
        <v>24</v>
      </c>
      <c r="F14725" s="134" t="s">
        <v>3815</v>
      </c>
      <c r="G14725" s="63" t="str">
        <f>VLOOKUP(C14725, 'Class Def. - General Data'!$C$20:$C$1000,1,false)</f>
        <v>ZSI1_WIRE_ROPE</v>
      </c>
      <c r="H14725" s="63" t="str">
        <f>IFERROR(__xludf.DUMMYFUNCTION("VLOOKUP(F14725, IMPORTRANGE(""https://docs.google.com/spreadsheets/d/1Lhp9OU0JdFf_VYSMzH5lBcEaU4o8teT1piV-SNzShjg/edit?gid=554141278#gid=554141278"", ""'Char Def. - Attributes'!C20:C2242""), 1,false)"),"ALT_NUM_UOM4")</f>
        <v>ALT_NUM_UOM4</v>
      </c>
      <c r="I14725" s="136"/>
      <c r="R14725" s="63" t="str">
        <f t="shared" si="60"/>
        <v>ZSI1_WIRE_ROPEALT_NUM_UOM4</v>
      </c>
    </row>
    <row r="14726" ht="15.75" customHeight="1">
      <c r="A14726" s="59"/>
      <c r="B14726" s="63">
        <f t="shared" si="1"/>
        <v>14</v>
      </c>
      <c r="C14726" s="135" t="s">
        <v>530</v>
      </c>
      <c r="D14726" s="161" t="s">
        <v>74</v>
      </c>
      <c r="E14726" s="135">
        <f t="shared" si="62"/>
        <v>25</v>
      </c>
      <c r="F14726" s="134" t="s">
        <v>3816</v>
      </c>
      <c r="G14726" s="63" t="str">
        <f>VLOOKUP(C14726, 'Class Def. - General Data'!$C$20:$C$1000,1,false)</f>
        <v>ZSI1_WIRE_ROPE</v>
      </c>
      <c r="H14726" s="63" t="str">
        <f>IFERROR(__xludf.DUMMYFUNCTION("VLOOKUP(F14726, IMPORTRANGE(""https://docs.google.com/spreadsheets/d/1Lhp9OU0JdFf_VYSMzH5lBcEaU4o8teT1piV-SNzShjg/edit?gid=554141278#gid=554141278"", ""'Char Def. - Attributes'!C20:C2242""), 1,false)"),"ALT_UOM5_SIPI")</f>
        <v>ALT_UOM5_SIPI</v>
      </c>
      <c r="I14726" s="136"/>
      <c r="R14726" s="63" t="str">
        <f t="shared" si="60"/>
        <v>ZSI1_WIRE_ROPEALT_UOM5_SIPI</v>
      </c>
    </row>
    <row r="14727" ht="15.75" customHeight="1">
      <c r="A14727" s="59"/>
      <c r="B14727" s="63">
        <f t="shared" si="1"/>
        <v>14</v>
      </c>
      <c r="C14727" s="135" t="s">
        <v>530</v>
      </c>
      <c r="D14727" s="161" t="s">
        <v>74</v>
      </c>
      <c r="E14727" s="135">
        <f t="shared" si="62"/>
        <v>26</v>
      </c>
      <c r="F14727" s="134" t="s">
        <v>3817</v>
      </c>
      <c r="G14727" s="63" t="str">
        <f>VLOOKUP(C14727, 'Class Def. - General Data'!$C$20:$C$1000,1,false)</f>
        <v>ZSI1_WIRE_ROPE</v>
      </c>
      <c r="H14727" s="63" t="str">
        <f>IFERROR(__xludf.DUMMYFUNCTION("VLOOKUP(F14727, IMPORTRANGE(""https://docs.google.com/spreadsheets/d/1Lhp9OU0JdFf_VYSMzH5lBcEaU4o8teT1piV-SNzShjg/edit?gid=554141278#gid=554141278"", ""'Char Def. - Attributes'!C20:C2242""), 1,false)"),"ALT_DENUM_UOM5")</f>
        <v>ALT_DENUM_UOM5</v>
      </c>
      <c r="I14727" s="136"/>
      <c r="R14727" s="63" t="str">
        <f t="shared" si="60"/>
        <v>ZSI1_WIRE_ROPEALT_DENUM_UOM5</v>
      </c>
    </row>
    <row r="14728" ht="15.75" customHeight="1">
      <c r="A14728" s="59"/>
      <c r="B14728" s="63">
        <f t="shared" si="1"/>
        <v>14</v>
      </c>
      <c r="C14728" s="135" t="s">
        <v>530</v>
      </c>
      <c r="D14728" s="161" t="s">
        <v>74</v>
      </c>
      <c r="E14728" s="135">
        <f t="shared" si="62"/>
        <v>27</v>
      </c>
      <c r="F14728" s="134" t="s">
        <v>3818</v>
      </c>
      <c r="G14728" s="63" t="str">
        <f>VLOOKUP(C14728, 'Class Def. - General Data'!$C$20:$C$1000,1,false)</f>
        <v>ZSI1_WIRE_ROPE</v>
      </c>
      <c r="H14728" s="63" t="str">
        <f>IFERROR(__xludf.DUMMYFUNCTION("VLOOKUP(F14728, IMPORTRANGE(""https://docs.google.com/spreadsheets/d/1Lhp9OU0JdFf_VYSMzH5lBcEaU4o8teT1piV-SNzShjg/edit?gid=554141278#gid=554141278"", ""'Char Def. - Attributes'!C20:C2242""), 1,false)"),"ALT_NUM_UOM5")</f>
        <v>ALT_NUM_UOM5</v>
      </c>
      <c r="I14728" s="136"/>
      <c r="R14728" s="63" t="str">
        <f t="shared" si="60"/>
        <v>ZSI1_WIRE_ROPEALT_NUM_UOM5</v>
      </c>
    </row>
    <row r="14729" ht="15.75" customHeight="1">
      <c r="A14729" s="59"/>
      <c r="B14729" s="63">
        <f t="shared" si="1"/>
        <v>18</v>
      </c>
      <c r="C14729" s="135" t="s">
        <v>332</v>
      </c>
      <c r="D14729" s="161" t="s">
        <v>74</v>
      </c>
      <c r="E14729" s="135">
        <f t="shared" si="62"/>
        <v>1</v>
      </c>
      <c r="F14729" s="134" t="s">
        <v>5660</v>
      </c>
      <c r="G14729" s="63" t="str">
        <f>VLOOKUP(C14729, 'Class Def. - General Data'!$C$20:$C$1000,1,false)</f>
        <v>ZSI1_WIRING_HARNES</v>
      </c>
      <c r="H14729" s="63" t="str">
        <f>IFERROR(__xludf.DUMMYFUNCTION("VLOOKUP(F14729, IMPORTRANGE(""https://docs.google.com/spreadsheets/d/1Lhp9OU0JdFf_VYSMzH5lBcEaU4o8teT1piV-SNzShjg/edit?gid=554141278#gid=554141278"", ""'Char Def. - Attributes'!C20:C2242""), 1,false)"),"ITEM_NAME_WIRING_HARNES")</f>
        <v>ITEM_NAME_WIRING_HARNES</v>
      </c>
      <c r="I14729" s="136"/>
      <c r="R14729" s="63" t="str">
        <f t="shared" si="60"/>
        <v>ZSI1_WIRING_HARNESITEM_NAME_WIRING_HARNES</v>
      </c>
    </row>
    <row r="14730" ht="15.75" customHeight="1">
      <c r="A14730" s="59"/>
      <c r="B14730" s="63">
        <f t="shared" si="1"/>
        <v>18</v>
      </c>
      <c r="C14730" s="135" t="s">
        <v>332</v>
      </c>
      <c r="D14730" s="161" t="s">
        <v>74</v>
      </c>
      <c r="E14730" s="135">
        <f t="shared" si="62"/>
        <v>2</v>
      </c>
      <c r="F14730" s="134" t="s">
        <v>5661</v>
      </c>
      <c r="G14730" s="63" t="str">
        <f>VLOOKUP(C14730, 'Class Def. - General Data'!$C$20:$C$1000,1,false)</f>
        <v>ZSI1_WIRING_HARNES</v>
      </c>
      <c r="H14730" s="63" t="str">
        <f>IFERROR(__xludf.DUMMYFUNCTION("VLOOKUP(F14730, IMPORTRANGE(""https://docs.google.com/spreadsheets/d/1Lhp9OU0JdFf_VYSMzH5lBcEaU4o8teT1piV-SNzShjg/edit?gid=554141278#gid=554141278"", ""'Char Def. - Attributes'!C20:C2242""), 1,false)"),"MFR_NO_WIRING_HARNES")</f>
        <v>MFR_NO_WIRING_HARNES</v>
      </c>
      <c r="I14730" s="136"/>
      <c r="R14730" s="63" t="str">
        <f t="shared" si="60"/>
        <v>ZSI1_WIRING_HARNESMFR_NO_WIRING_HARNES</v>
      </c>
    </row>
    <row r="14731" ht="15.75" customHeight="1">
      <c r="A14731" s="59"/>
      <c r="B14731" s="63">
        <f t="shared" si="1"/>
        <v>18</v>
      </c>
      <c r="C14731" s="135" t="s">
        <v>332</v>
      </c>
      <c r="D14731" s="161" t="s">
        <v>74</v>
      </c>
      <c r="E14731" s="135">
        <f t="shared" si="62"/>
        <v>3</v>
      </c>
      <c r="F14731" s="134" t="s">
        <v>3782</v>
      </c>
      <c r="G14731" s="63" t="str">
        <f>VLOOKUP(C14731, 'Class Def. - General Data'!$C$20:$C$1000,1,false)</f>
        <v>ZSI1_WIRING_HARNES</v>
      </c>
      <c r="H14731" s="63" t="str">
        <f>IFERROR(__xludf.DUMMYFUNCTION("VLOOKUP(F14731, IMPORTRANGE(""https://docs.google.com/spreadsheets/d/1Lhp9OU0JdFf_VYSMzH5lBcEaU4o8teT1piV-SNzShjg/edit?gid=554141278#gid=554141278"", ""'Char Def. - Attributes'!C20:C2242""), 1,false)"),"BRAND_EXTERNAL")</f>
        <v>BRAND_EXTERNAL</v>
      </c>
      <c r="I14731" s="136"/>
      <c r="R14731" s="63" t="str">
        <f t="shared" si="60"/>
        <v>ZSI1_WIRING_HARNESBRAND_EXTERNAL</v>
      </c>
    </row>
    <row r="14732" ht="15.75" customHeight="1">
      <c r="A14732" s="59"/>
      <c r="B14732" s="63">
        <f t="shared" si="1"/>
        <v>18</v>
      </c>
      <c r="C14732" s="135" t="s">
        <v>332</v>
      </c>
      <c r="D14732" s="161" t="s">
        <v>74</v>
      </c>
      <c r="E14732" s="135">
        <f t="shared" si="62"/>
        <v>4</v>
      </c>
      <c r="F14732" s="134" t="s">
        <v>4062</v>
      </c>
      <c r="G14732" s="63" t="str">
        <f>VLOOKUP(C14732, 'Class Def. - General Data'!$C$20:$C$1000,1,false)</f>
        <v>ZSI1_WIRING_HARNES</v>
      </c>
      <c r="H14732" s="63" t="str">
        <f>IFERROR(__xludf.DUMMYFUNCTION("VLOOKUP(F14732, IMPORTRANGE(""https://docs.google.com/spreadsheets/d/1Lhp9OU0JdFf_VYSMzH5lBcEaU4o8teT1piV-SNzShjg/edit?gid=554141278#gid=554141278"", ""'Char Def. - Attributes'!C20:C2242""), 1,false)"),"#N/A")</f>
        <v>#N/A</v>
      </c>
      <c r="I14732" s="136"/>
      <c r="R14732" s="63" t="str">
        <f t="shared" si="60"/>
        <v>ZSI1_WIRING_HARNESADDTIONAL_SPECIFICATION</v>
      </c>
    </row>
    <row r="14733" ht="15.75" customHeight="1">
      <c r="A14733" s="59"/>
      <c r="B14733" s="63">
        <f t="shared" si="1"/>
        <v>18</v>
      </c>
      <c r="C14733" s="135" t="s">
        <v>332</v>
      </c>
      <c r="D14733" s="161" t="s">
        <v>74</v>
      </c>
      <c r="E14733" s="135">
        <f t="shared" si="62"/>
        <v>5</v>
      </c>
      <c r="F14733" s="134" t="s">
        <v>3585</v>
      </c>
      <c r="G14733" s="63" t="str">
        <f>VLOOKUP(C14733, 'Class Def. - General Data'!$C$20:$C$1000,1,false)</f>
        <v>ZSI1_WIRING_HARNES</v>
      </c>
      <c r="H14733" s="63" t="str">
        <f>IFERROR(__xludf.DUMMYFUNCTION("VLOOKUP(F14733, IMPORTRANGE(""https://docs.google.com/spreadsheets/d/1Lhp9OU0JdFf_VYSMzH5lBcEaU4o8teT1piV-SNzShjg/edit?gid=554141278#gid=554141278"", ""'Char Def. - Attributes'!C20:C2242""), 1,false)"),"HS_CODE")</f>
        <v>HS_CODE</v>
      </c>
      <c r="I14733" s="136"/>
      <c r="R14733" s="63" t="str">
        <f t="shared" si="60"/>
        <v>ZSI1_WIRING_HARNESHS_CODE</v>
      </c>
    </row>
    <row r="14734" ht="15.75" customHeight="1">
      <c r="A14734" s="59"/>
      <c r="B14734" s="63">
        <f t="shared" si="1"/>
        <v>18</v>
      </c>
      <c r="C14734" s="135" t="s">
        <v>332</v>
      </c>
      <c r="D14734" s="161" t="s">
        <v>74</v>
      </c>
      <c r="E14734" s="135">
        <f t="shared" si="62"/>
        <v>6</v>
      </c>
      <c r="F14734" s="134" t="s">
        <v>3587</v>
      </c>
      <c r="G14734" s="63" t="str">
        <f>VLOOKUP(C14734, 'Class Def. - General Data'!$C$20:$C$1000,1,false)</f>
        <v>ZSI1_WIRING_HARNES</v>
      </c>
      <c r="H14734" s="63" t="str">
        <f>IFERROR(__xludf.DUMMYFUNCTION("VLOOKUP(F14734, IMPORTRANGE(""https://docs.google.com/spreadsheets/d/1Lhp9OU0JdFf_VYSMzH5lBcEaU4o8teT1piV-SNzShjg/edit?gid=554141278#gid=554141278"", ""'Char Def. - Attributes'!C20:C2242""), 1,false)"),"PLANT_BUY")</f>
        <v>PLANT_BUY</v>
      </c>
      <c r="I14734" s="136"/>
      <c r="R14734" s="63" t="str">
        <f t="shared" si="60"/>
        <v>ZSI1_WIRING_HARNESPLANT_BUY</v>
      </c>
    </row>
    <row r="14735" ht="15.75" customHeight="1">
      <c r="A14735" s="59"/>
      <c r="B14735" s="63">
        <f t="shared" si="1"/>
        <v>18</v>
      </c>
      <c r="C14735" s="135" t="s">
        <v>332</v>
      </c>
      <c r="D14735" s="161" t="s">
        <v>74</v>
      </c>
      <c r="E14735" s="135">
        <f t="shared" si="62"/>
        <v>7</v>
      </c>
      <c r="F14735" s="134" t="s">
        <v>5662</v>
      </c>
      <c r="G14735" s="63" t="str">
        <f>VLOOKUP(C14735, 'Class Def. - General Data'!$C$20:$C$1000,1,false)</f>
        <v>ZSI1_WIRING_HARNES</v>
      </c>
      <c r="H14735" s="63" t="str">
        <f>IFERROR(__xludf.DUMMYFUNCTION("VLOOKUP(F14735, IMPORTRANGE(""https://docs.google.com/spreadsheets/d/1Lhp9OU0JdFf_VYSMzH5lBcEaU4o8teT1piV-SNzShjg/edit?gid=554141278#gid=554141278"", ""'Char Def. - Attributes'!C20:C2242""), 1,false)"),"BASE_UOM_WIRING_HARNES")</f>
        <v>BASE_UOM_WIRING_HARNES</v>
      </c>
      <c r="I14735" s="136"/>
      <c r="R14735" s="63" t="str">
        <f t="shared" si="60"/>
        <v>ZSI1_WIRING_HARNESBASE_UOM_WIRING_HARNES</v>
      </c>
    </row>
    <row r="14736" ht="15.75" customHeight="1">
      <c r="A14736" s="59"/>
      <c r="B14736" s="63">
        <f t="shared" si="1"/>
        <v>18</v>
      </c>
      <c r="C14736" s="135" t="s">
        <v>332</v>
      </c>
      <c r="D14736" s="161" t="s">
        <v>74</v>
      </c>
      <c r="E14736" s="135">
        <f t="shared" si="62"/>
        <v>8</v>
      </c>
      <c r="F14736" s="134" t="s">
        <v>5663</v>
      </c>
      <c r="G14736" s="63" t="str">
        <f>VLOOKUP(C14736, 'Class Def. - General Data'!$C$20:$C$1000,1,false)</f>
        <v>ZSI1_WIRING_HARNES</v>
      </c>
      <c r="H14736" s="63" t="str">
        <f>IFERROR(__xludf.DUMMYFUNCTION("VLOOKUP(F14736, IMPORTRANGE(""https://docs.google.com/spreadsheets/d/1Lhp9OU0JdFf_VYSMzH5lBcEaU4o8teT1piV-SNzShjg/edit?gid=554141278#gid=554141278"", ""'Char Def. - Attributes'!C20:C2242""), 1,false)"),"ORDER_UNIT_WIRING_HARNES")</f>
        <v>ORDER_UNIT_WIRING_HARNES</v>
      </c>
      <c r="I14736" s="136"/>
      <c r="R14736" s="63" t="str">
        <f t="shared" si="60"/>
        <v>ZSI1_WIRING_HARNESORDER_UNIT_WIRING_HARNES</v>
      </c>
    </row>
    <row r="14737" ht="15.75" customHeight="1">
      <c r="A14737" s="59"/>
      <c r="B14737" s="63">
        <f t="shared" si="1"/>
        <v>18</v>
      </c>
      <c r="C14737" s="135" t="s">
        <v>332</v>
      </c>
      <c r="D14737" s="161" t="s">
        <v>74</v>
      </c>
      <c r="E14737" s="135">
        <f t="shared" si="62"/>
        <v>9</v>
      </c>
      <c r="F14737" s="134" t="s">
        <v>4056</v>
      </c>
      <c r="G14737" s="63" t="str">
        <f>VLOOKUP(C14737, 'Class Def. - General Data'!$C$20:$C$1000,1,false)</f>
        <v>ZSI1_WIRING_HARNES</v>
      </c>
      <c r="H14737" s="63" t="str">
        <f>IFERROR(__xludf.DUMMYFUNCTION("VLOOKUP(F14737, IMPORTRANGE(""https://docs.google.com/spreadsheets/d/1Lhp9OU0JdFf_VYSMzH5lBcEaU4o8teT1piV-SNzShjg/edit?gid=554141278#gid=554141278"", ""'Char Def. - Attributes'!C20:C2242""), 1,false)"),"GROSS_WEIGHT_OPT")</f>
        <v>GROSS_WEIGHT_OPT</v>
      </c>
      <c r="I14737" s="136"/>
      <c r="R14737" s="63" t="str">
        <f t="shared" si="60"/>
        <v>ZSI1_WIRING_HARNESGROSS_WEIGHT_OPT</v>
      </c>
    </row>
    <row r="14738" ht="15.75" customHeight="1">
      <c r="A14738" s="59"/>
      <c r="B14738" s="63">
        <f t="shared" si="1"/>
        <v>18</v>
      </c>
      <c r="C14738" s="135" t="s">
        <v>332</v>
      </c>
      <c r="D14738" s="161" t="s">
        <v>74</v>
      </c>
      <c r="E14738" s="135">
        <f t="shared" si="62"/>
        <v>10</v>
      </c>
      <c r="F14738" s="134" t="s">
        <v>4057</v>
      </c>
      <c r="G14738" s="63" t="str">
        <f>VLOOKUP(C14738, 'Class Def. - General Data'!$C$20:$C$1000,1,false)</f>
        <v>ZSI1_WIRING_HARNES</v>
      </c>
      <c r="H14738" s="63" t="str">
        <f>IFERROR(__xludf.DUMMYFUNCTION("VLOOKUP(F14738, IMPORTRANGE(""https://docs.google.com/spreadsheets/d/1Lhp9OU0JdFf_VYSMzH5lBcEaU4o8teT1piV-SNzShjg/edit?gid=554141278#gid=554141278"", ""'Char Def. - Attributes'!C20:C2242""), 1,false)"),"NET_WEIGHT_OPT")</f>
        <v>NET_WEIGHT_OPT</v>
      </c>
      <c r="I14738" s="136"/>
      <c r="R14738" s="63" t="str">
        <f t="shared" si="60"/>
        <v>ZSI1_WIRING_HARNESNET_WEIGHT_OPT</v>
      </c>
    </row>
    <row r="14739" ht="15.75" customHeight="1">
      <c r="A14739" s="59"/>
      <c r="B14739" s="63">
        <f t="shared" si="1"/>
        <v>18</v>
      </c>
      <c r="C14739" s="135" t="s">
        <v>332</v>
      </c>
      <c r="D14739" s="161" t="s">
        <v>74</v>
      </c>
      <c r="E14739" s="135">
        <f t="shared" si="62"/>
        <v>11</v>
      </c>
      <c r="F14739" s="134" t="s">
        <v>4058</v>
      </c>
      <c r="G14739" s="63" t="str">
        <f>VLOOKUP(C14739, 'Class Def. - General Data'!$C$20:$C$1000,1,false)</f>
        <v>ZSI1_WIRING_HARNES</v>
      </c>
      <c r="H14739" s="63" t="str">
        <f>IFERROR(__xludf.DUMMYFUNCTION("VLOOKUP(F14739, IMPORTRANGE(""https://docs.google.com/spreadsheets/d/1Lhp9OU0JdFf_VYSMzH5lBcEaU4o8teT1piV-SNzShjg/edit?gid=554141278#gid=554141278"", ""'Char Def. - Attributes'!C20:C2242""), 1,false)"),"WEIGHT_UNIT_SI")</f>
        <v>WEIGHT_UNIT_SI</v>
      </c>
      <c r="I14739" s="136"/>
      <c r="R14739" s="63" t="str">
        <f t="shared" si="60"/>
        <v>ZSI1_WIRING_HARNESWEIGHT_UNIT_SI</v>
      </c>
    </row>
    <row r="14740" ht="15.75" customHeight="1">
      <c r="A14740" s="59"/>
      <c r="B14740" s="63">
        <f t="shared" si="1"/>
        <v>18</v>
      </c>
      <c r="C14740" s="135" t="s">
        <v>332</v>
      </c>
      <c r="D14740" s="161" t="s">
        <v>74</v>
      </c>
      <c r="E14740" s="135">
        <f t="shared" si="62"/>
        <v>12</v>
      </c>
      <c r="F14740" s="134" t="s">
        <v>3877</v>
      </c>
      <c r="G14740" s="63" t="str">
        <f>VLOOKUP(C14740, 'Class Def. - General Data'!$C$20:$C$1000,1,false)</f>
        <v>ZSI1_WIRING_HARNES</v>
      </c>
      <c r="H14740" s="63" t="str">
        <f>IFERROR(__xludf.DUMMYFUNCTION("VLOOKUP(F14740, IMPORTRANGE(""https://docs.google.com/spreadsheets/d/1Lhp9OU0JdFf_VYSMzH5lBcEaU4o8teT1piV-SNzShjg/edit?gid=554141278#gid=554141278"", ""'Char Def. - Attributes'!C20:C2242""), 1,false)"),"VOLUME_OPT")</f>
        <v>VOLUME_OPT</v>
      </c>
      <c r="I14740" s="136"/>
      <c r="R14740" s="63" t="str">
        <f t="shared" si="60"/>
        <v>ZSI1_WIRING_HARNESVOLUME_OPT</v>
      </c>
    </row>
    <row r="14741" ht="15.75" customHeight="1">
      <c r="A14741" s="59"/>
      <c r="B14741" s="63">
        <f t="shared" si="1"/>
        <v>18</v>
      </c>
      <c r="C14741" s="135" t="s">
        <v>332</v>
      </c>
      <c r="D14741" s="161" t="s">
        <v>74</v>
      </c>
      <c r="E14741" s="135">
        <f t="shared" si="62"/>
        <v>13</v>
      </c>
      <c r="F14741" s="134" t="s">
        <v>4059</v>
      </c>
      <c r="G14741" s="63" t="str">
        <f>VLOOKUP(C14741, 'Class Def. - General Data'!$C$20:$C$1000,1,false)</f>
        <v>ZSI1_WIRING_HARNES</v>
      </c>
      <c r="H14741" s="63" t="str">
        <f>IFERROR(__xludf.DUMMYFUNCTION("VLOOKUP(F14741, IMPORTRANGE(""https://docs.google.com/spreadsheets/d/1Lhp9OU0JdFf_VYSMzH5lBcEaU4o8teT1piV-SNzShjg/edit?gid=554141278#gid=554141278"", ""'Char Def. - Attributes'!C20:C2242""), 1,false)"),"VOLUME_UNIT_SI")</f>
        <v>VOLUME_UNIT_SI</v>
      </c>
      <c r="I14741" s="136"/>
      <c r="R14741" s="63" t="str">
        <f t="shared" si="60"/>
        <v>ZSI1_WIRING_HARNESVOLUME_UNIT_SI</v>
      </c>
    </row>
    <row r="14742" ht="15.75" customHeight="1">
      <c r="A14742" s="59"/>
      <c r="B14742" s="63">
        <f t="shared" si="1"/>
        <v>18</v>
      </c>
      <c r="C14742" s="135" t="s">
        <v>332</v>
      </c>
      <c r="D14742" s="161" t="s">
        <v>74</v>
      </c>
      <c r="E14742" s="135">
        <f t="shared" si="62"/>
        <v>14</v>
      </c>
      <c r="F14742" s="134" t="s">
        <v>3804</v>
      </c>
      <c r="G14742" s="63" t="str">
        <f>VLOOKUP(C14742, 'Class Def. - General Data'!$C$20:$C$1000,1,false)</f>
        <v>ZSI1_WIRING_HARNES</v>
      </c>
      <c r="H14742" s="63" t="str">
        <f>IFERROR(__xludf.DUMMYFUNCTION("VLOOKUP(F14742, IMPORTRANGE(""https://docs.google.com/spreadsheets/d/1Lhp9OU0JdFf_VYSMzH5lBcEaU4o8teT1piV-SNzShjg/edit?gid=554141278#gid=554141278"", ""'Char Def. - Attributes'!C20:C2242""), 1,false)"),"ALT_UOM1_SIPI")</f>
        <v>ALT_UOM1_SIPI</v>
      </c>
      <c r="I14742" s="136"/>
      <c r="R14742" s="63" t="str">
        <f t="shared" si="60"/>
        <v>ZSI1_WIRING_HARNESALT_UOM1_SIPI</v>
      </c>
    </row>
    <row r="14743" ht="15.75" customHeight="1">
      <c r="A14743" s="59"/>
      <c r="B14743" s="63">
        <f t="shared" si="1"/>
        <v>18</v>
      </c>
      <c r="C14743" s="135" t="s">
        <v>332</v>
      </c>
      <c r="D14743" s="161" t="s">
        <v>74</v>
      </c>
      <c r="E14743" s="135">
        <f t="shared" si="62"/>
        <v>15</v>
      </c>
      <c r="F14743" s="134" t="s">
        <v>3805</v>
      </c>
      <c r="G14743" s="63" t="str">
        <f>VLOOKUP(C14743, 'Class Def. - General Data'!$C$20:$C$1000,1,false)</f>
        <v>ZSI1_WIRING_HARNES</v>
      </c>
      <c r="H14743" s="63" t="str">
        <f>IFERROR(__xludf.DUMMYFUNCTION("VLOOKUP(F14743, IMPORTRANGE(""https://docs.google.com/spreadsheets/d/1Lhp9OU0JdFf_VYSMzH5lBcEaU4o8teT1piV-SNzShjg/edit?gid=554141278#gid=554141278"", ""'Char Def. - Attributes'!C20:C2242""), 1,false)"),"ALT_DENUM_UOM1")</f>
        <v>ALT_DENUM_UOM1</v>
      </c>
      <c r="I14743" s="136"/>
      <c r="R14743" s="63" t="str">
        <f t="shared" si="60"/>
        <v>ZSI1_WIRING_HARNESALT_DENUM_UOM1</v>
      </c>
    </row>
    <row r="14744" ht="15.75" customHeight="1">
      <c r="A14744" s="59"/>
      <c r="B14744" s="63">
        <f t="shared" si="1"/>
        <v>18</v>
      </c>
      <c r="C14744" s="135" t="s">
        <v>332</v>
      </c>
      <c r="D14744" s="161" t="s">
        <v>74</v>
      </c>
      <c r="E14744" s="135">
        <f t="shared" si="62"/>
        <v>16</v>
      </c>
      <c r="F14744" s="134" t="s">
        <v>3806</v>
      </c>
      <c r="G14744" s="63" t="str">
        <f>VLOOKUP(C14744, 'Class Def. - General Data'!$C$20:$C$1000,1,false)</f>
        <v>ZSI1_WIRING_HARNES</v>
      </c>
      <c r="H14744" s="63" t="str">
        <f>IFERROR(__xludf.DUMMYFUNCTION("VLOOKUP(F14744, IMPORTRANGE(""https://docs.google.com/spreadsheets/d/1Lhp9OU0JdFf_VYSMzH5lBcEaU4o8teT1piV-SNzShjg/edit?gid=554141278#gid=554141278"", ""'Char Def. - Attributes'!C20:C2242""), 1,false)"),"ALT_NUM_UOM1")</f>
        <v>ALT_NUM_UOM1</v>
      </c>
      <c r="I14744" s="136"/>
      <c r="R14744" s="63" t="str">
        <f t="shared" si="60"/>
        <v>ZSI1_WIRING_HARNESALT_NUM_UOM1</v>
      </c>
    </row>
    <row r="14745" ht="15.75" customHeight="1">
      <c r="A14745" s="59"/>
      <c r="B14745" s="63">
        <f t="shared" si="1"/>
        <v>18</v>
      </c>
      <c r="C14745" s="135" t="s">
        <v>332</v>
      </c>
      <c r="D14745" s="161" t="s">
        <v>74</v>
      </c>
      <c r="E14745" s="135">
        <f t="shared" si="62"/>
        <v>17</v>
      </c>
      <c r="F14745" s="134" t="s">
        <v>3807</v>
      </c>
      <c r="G14745" s="63" t="str">
        <f>VLOOKUP(C14745, 'Class Def. - General Data'!$C$20:$C$1000,1,false)</f>
        <v>ZSI1_WIRING_HARNES</v>
      </c>
      <c r="H14745" s="63" t="str">
        <f>IFERROR(__xludf.DUMMYFUNCTION("VLOOKUP(F14745, IMPORTRANGE(""https://docs.google.com/spreadsheets/d/1Lhp9OU0JdFf_VYSMzH5lBcEaU4o8teT1piV-SNzShjg/edit?gid=554141278#gid=554141278"", ""'Char Def. - Attributes'!C20:C2242""), 1,false)"),"ALT_UOM2_SIPI")</f>
        <v>ALT_UOM2_SIPI</v>
      </c>
      <c r="I14745" s="136"/>
      <c r="R14745" s="63" t="str">
        <f t="shared" si="60"/>
        <v>ZSI1_WIRING_HARNESALT_UOM2_SIPI</v>
      </c>
    </row>
    <row r="14746" ht="15.75" customHeight="1">
      <c r="A14746" s="59"/>
      <c r="B14746" s="63">
        <f t="shared" si="1"/>
        <v>18</v>
      </c>
      <c r="C14746" s="135" t="s">
        <v>332</v>
      </c>
      <c r="D14746" s="161" t="s">
        <v>74</v>
      </c>
      <c r="E14746" s="135">
        <f t="shared" si="62"/>
        <v>18</v>
      </c>
      <c r="F14746" s="134" t="s">
        <v>3808</v>
      </c>
      <c r="G14746" s="63" t="str">
        <f>VLOOKUP(C14746, 'Class Def. - General Data'!$C$20:$C$1000,1,false)</f>
        <v>ZSI1_WIRING_HARNES</v>
      </c>
      <c r="H14746" s="63" t="str">
        <f>IFERROR(__xludf.DUMMYFUNCTION("VLOOKUP(F14746, IMPORTRANGE(""https://docs.google.com/spreadsheets/d/1Lhp9OU0JdFf_VYSMzH5lBcEaU4o8teT1piV-SNzShjg/edit?gid=554141278#gid=554141278"", ""'Char Def. - Attributes'!C20:C2242""), 1,false)"),"ALT_DENUM_UOM2")</f>
        <v>ALT_DENUM_UOM2</v>
      </c>
      <c r="I14746" s="136"/>
      <c r="R14746" s="63" t="str">
        <f t="shared" si="60"/>
        <v>ZSI1_WIRING_HARNESALT_DENUM_UOM2</v>
      </c>
    </row>
    <row r="14747" ht="15.75" customHeight="1">
      <c r="A14747" s="59"/>
      <c r="B14747" s="63">
        <f t="shared" si="1"/>
        <v>18</v>
      </c>
      <c r="C14747" s="135" t="s">
        <v>332</v>
      </c>
      <c r="D14747" s="161" t="s">
        <v>74</v>
      </c>
      <c r="E14747" s="135">
        <f t="shared" si="62"/>
        <v>19</v>
      </c>
      <c r="F14747" s="134" t="s">
        <v>3809</v>
      </c>
      <c r="G14747" s="63" t="str">
        <f>VLOOKUP(C14747, 'Class Def. - General Data'!$C$20:$C$1000,1,false)</f>
        <v>ZSI1_WIRING_HARNES</v>
      </c>
      <c r="H14747" s="63" t="str">
        <f>IFERROR(__xludf.DUMMYFUNCTION("VLOOKUP(F14747, IMPORTRANGE(""https://docs.google.com/spreadsheets/d/1Lhp9OU0JdFf_VYSMzH5lBcEaU4o8teT1piV-SNzShjg/edit?gid=554141278#gid=554141278"", ""'Char Def. - Attributes'!C20:C2242""), 1,false)"),"ALT_NUM_UOM2")</f>
        <v>ALT_NUM_UOM2</v>
      </c>
      <c r="I14747" s="136"/>
      <c r="R14747" s="63" t="str">
        <f t="shared" si="60"/>
        <v>ZSI1_WIRING_HARNESALT_NUM_UOM2</v>
      </c>
    </row>
    <row r="14748" ht="15.75" customHeight="1">
      <c r="A14748" s="59"/>
      <c r="B14748" s="63">
        <f t="shared" si="1"/>
        <v>18</v>
      </c>
      <c r="C14748" s="135" t="s">
        <v>332</v>
      </c>
      <c r="D14748" s="161" t="s">
        <v>74</v>
      </c>
      <c r="E14748" s="135">
        <f t="shared" si="62"/>
        <v>20</v>
      </c>
      <c r="F14748" s="134" t="s">
        <v>3810</v>
      </c>
      <c r="G14748" s="63" t="str">
        <f>VLOOKUP(C14748, 'Class Def. - General Data'!$C$20:$C$1000,1,false)</f>
        <v>ZSI1_WIRING_HARNES</v>
      </c>
      <c r="H14748" s="63" t="str">
        <f>IFERROR(__xludf.DUMMYFUNCTION("VLOOKUP(F14748, IMPORTRANGE(""https://docs.google.com/spreadsheets/d/1Lhp9OU0JdFf_VYSMzH5lBcEaU4o8teT1piV-SNzShjg/edit?gid=554141278#gid=554141278"", ""'Char Def. - Attributes'!C20:C2242""), 1,false)"),"ALT_UOM3_SIPI")</f>
        <v>ALT_UOM3_SIPI</v>
      </c>
      <c r="I14748" s="136"/>
      <c r="R14748" s="63" t="str">
        <f t="shared" si="60"/>
        <v>ZSI1_WIRING_HARNESALT_UOM3_SIPI</v>
      </c>
    </row>
    <row r="14749" ht="15.75" customHeight="1">
      <c r="A14749" s="59"/>
      <c r="B14749" s="63">
        <f t="shared" si="1"/>
        <v>18</v>
      </c>
      <c r="C14749" s="135" t="s">
        <v>332</v>
      </c>
      <c r="D14749" s="161" t="s">
        <v>74</v>
      </c>
      <c r="E14749" s="135">
        <f t="shared" si="62"/>
        <v>21</v>
      </c>
      <c r="F14749" s="134" t="s">
        <v>3811</v>
      </c>
      <c r="G14749" s="63" t="str">
        <f>VLOOKUP(C14749, 'Class Def. - General Data'!$C$20:$C$1000,1,false)</f>
        <v>ZSI1_WIRING_HARNES</v>
      </c>
      <c r="H14749" s="63" t="str">
        <f>IFERROR(__xludf.DUMMYFUNCTION("VLOOKUP(F14749, IMPORTRANGE(""https://docs.google.com/spreadsheets/d/1Lhp9OU0JdFf_VYSMzH5lBcEaU4o8teT1piV-SNzShjg/edit?gid=554141278#gid=554141278"", ""'Char Def. - Attributes'!C20:C2242""), 1,false)"),"ALT_DENUM_UOM3")</f>
        <v>ALT_DENUM_UOM3</v>
      </c>
      <c r="I14749" s="136"/>
      <c r="R14749" s="63" t="str">
        <f t="shared" si="60"/>
        <v>ZSI1_WIRING_HARNESALT_DENUM_UOM3</v>
      </c>
    </row>
    <row r="14750" ht="15.75" customHeight="1">
      <c r="A14750" s="59"/>
      <c r="B14750" s="63">
        <f t="shared" si="1"/>
        <v>18</v>
      </c>
      <c r="C14750" s="135" t="s">
        <v>332</v>
      </c>
      <c r="D14750" s="161" t="s">
        <v>74</v>
      </c>
      <c r="E14750" s="135">
        <f t="shared" si="62"/>
        <v>22</v>
      </c>
      <c r="F14750" s="134" t="s">
        <v>3812</v>
      </c>
      <c r="G14750" s="63" t="str">
        <f>VLOOKUP(C14750, 'Class Def. - General Data'!$C$20:$C$1000,1,false)</f>
        <v>ZSI1_WIRING_HARNES</v>
      </c>
      <c r="H14750" s="63" t="str">
        <f>IFERROR(__xludf.DUMMYFUNCTION("VLOOKUP(F14750, IMPORTRANGE(""https://docs.google.com/spreadsheets/d/1Lhp9OU0JdFf_VYSMzH5lBcEaU4o8teT1piV-SNzShjg/edit?gid=554141278#gid=554141278"", ""'Char Def. - Attributes'!C20:C2242""), 1,false)"),"ALT_NUM_UOM3")</f>
        <v>ALT_NUM_UOM3</v>
      </c>
      <c r="I14750" s="136"/>
      <c r="R14750" s="63" t="str">
        <f t="shared" si="60"/>
        <v>ZSI1_WIRING_HARNESALT_NUM_UOM3</v>
      </c>
    </row>
    <row r="14751" ht="15.75" customHeight="1">
      <c r="A14751" s="59"/>
      <c r="B14751" s="63">
        <f t="shared" si="1"/>
        <v>18</v>
      </c>
      <c r="C14751" s="135" t="s">
        <v>332</v>
      </c>
      <c r="D14751" s="161" t="s">
        <v>74</v>
      </c>
      <c r="E14751" s="135">
        <f t="shared" si="62"/>
        <v>23</v>
      </c>
      <c r="F14751" s="134" t="s">
        <v>3813</v>
      </c>
      <c r="G14751" s="63" t="str">
        <f>VLOOKUP(C14751, 'Class Def. - General Data'!$C$20:$C$1000,1,false)</f>
        <v>ZSI1_WIRING_HARNES</v>
      </c>
      <c r="H14751" s="63" t="str">
        <f>IFERROR(__xludf.DUMMYFUNCTION("VLOOKUP(F14751, IMPORTRANGE(""https://docs.google.com/spreadsheets/d/1Lhp9OU0JdFf_VYSMzH5lBcEaU4o8teT1piV-SNzShjg/edit?gid=554141278#gid=554141278"", ""'Char Def. - Attributes'!C20:C2242""), 1,false)"),"ALT_UOM4_SIPI")</f>
        <v>ALT_UOM4_SIPI</v>
      </c>
      <c r="I14751" s="136"/>
      <c r="R14751" s="63" t="str">
        <f t="shared" si="60"/>
        <v>ZSI1_WIRING_HARNESALT_UOM4_SIPI</v>
      </c>
    </row>
    <row r="14752" ht="15.75" customHeight="1">
      <c r="A14752" s="59"/>
      <c r="B14752" s="63">
        <f t="shared" si="1"/>
        <v>18</v>
      </c>
      <c r="C14752" s="135" t="s">
        <v>332</v>
      </c>
      <c r="D14752" s="161" t="s">
        <v>74</v>
      </c>
      <c r="E14752" s="135">
        <f t="shared" si="62"/>
        <v>24</v>
      </c>
      <c r="F14752" s="134" t="s">
        <v>3814</v>
      </c>
      <c r="G14752" s="63" t="str">
        <f>VLOOKUP(C14752, 'Class Def. - General Data'!$C$20:$C$1000,1,false)</f>
        <v>ZSI1_WIRING_HARNES</v>
      </c>
      <c r="H14752" s="63" t="str">
        <f>IFERROR(__xludf.DUMMYFUNCTION("VLOOKUP(F14752, IMPORTRANGE(""https://docs.google.com/spreadsheets/d/1Lhp9OU0JdFf_VYSMzH5lBcEaU4o8teT1piV-SNzShjg/edit?gid=554141278#gid=554141278"", ""'Char Def. - Attributes'!C20:C2242""), 1,false)"),"ALT_DENUM_UOM4")</f>
        <v>ALT_DENUM_UOM4</v>
      </c>
      <c r="I14752" s="136"/>
      <c r="R14752" s="63" t="str">
        <f t="shared" si="60"/>
        <v>ZSI1_WIRING_HARNESALT_DENUM_UOM4</v>
      </c>
    </row>
    <row r="14753" ht="15.75" customHeight="1">
      <c r="A14753" s="59"/>
      <c r="B14753" s="63">
        <f t="shared" si="1"/>
        <v>18</v>
      </c>
      <c r="C14753" s="135" t="s">
        <v>332</v>
      </c>
      <c r="D14753" s="161" t="s">
        <v>74</v>
      </c>
      <c r="E14753" s="135">
        <f t="shared" si="62"/>
        <v>25</v>
      </c>
      <c r="F14753" s="134" t="s">
        <v>3815</v>
      </c>
      <c r="G14753" s="63" t="str">
        <f>VLOOKUP(C14753, 'Class Def. - General Data'!$C$20:$C$1000,1,false)</f>
        <v>ZSI1_WIRING_HARNES</v>
      </c>
      <c r="H14753" s="63" t="str">
        <f>IFERROR(__xludf.DUMMYFUNCTION("VLOOKUP(F14753, IMPORTRANGE(""https://docs.google.com/spreadsheets/d/1Lhp9OU0JdFf_VYSMzH5lBcEaU4o8teT1piV-SNzShjg/edit?gid=554141278#gid=554141278"", ""'Char Def. - Attributes'!C20:C2242""), 1,false)"),"ALT_NUM_UOM4")</f>
        <v>ALT_NUM_UOM4</v>
      </c>
      <c r="I14753" s="136"/>
      <c r="R14753" s="63" t="str">
        <f t="shared" si="60"/>
        <v>ZSI1_WIRING_HARNESALT_NUM_UOM4</v>
      </c>
    </row>
    <row r="14754" ht="15.75" customHeight="1">
      <c r="A14754" s="59"/>
      <c r="B14754" s="63">
        <f t="shared" si="1"/>
        <v>18</v>
      </c>
      <c r="C14754" s="135" t="s">
        <v>332</v>
      </c>
      <c r="D14754" s="161" t="s">
        <v>74</v>
      </c>
      <c r="E14754" s="135">
        <f t="shared" si="62"/>
        <v>26</v>
      </c>
      <c r="F14754" s="134" t="s">
        <v>3816</v>
      </c>
      <c r="G14754" s="63" t="str">
        <f>VLOOKUP(C14754, 'Class Def. - General Data'!$C$20:$C$1000,1,false)</f>
        <v>ZSI1_WIRING_HARNES</v>
      </c>
      <c r="H14754" s="63" t="str">
        <f>IFERROR(__xludf.DUMMYFUNCTION("VLOOKUP(F14754, IMPORTRANGE(""https://docs.google.com/spreadsheets/d/1Lhp9OU0JdFf_VYSMzH5lBcEaU4o8teT1piV-SNzShjg/edit?gid=554141278#gid=554141278"", ""'Char Def. - Attributes'!C20:C2242""), 1,false)"),"ALT_UOM5_SIPI")</f>
        <v>ALT_UOM5_SIPI</v>
      </c>
      <c r="I14754" s="136"/>
      <c r="R14754" s="63" t="str">
        <f t="shared" si="60"/>
        <v>ZSI1_WIRING_HARNESALT_UOM5_SIPI</v>
      </c>
    </row>
    <row r="14755" ht="15.75" customHeight="1">
      <c r="A14755" s="59"/>
      <c r="B14755" s="63">
        <f t="shared" si="1"/>
        <v>18</v>
      </c>
      <c r="C14755" s="135" t="s">
        <v>332</v>
      </c>
      <c r="D14755" s="161" t="s">
        <v>74</v>
      </c>
      <c r="E14755" s="135">
        <f t="shared" si="62"/>
        <v>27</v>
      </c>
      <c r="F14755" s="134" t="s">
        <v>3817</v>
      </c>
      <c r="G14755" s="63" t="str">
        <f>VLOOKUP(C14755, 'Class Def. - General Data'!$C$20:$C$1000,1,false)</f>
        <v>ZSI1_WIRING_HARNES</v>
      </c>
      <c r="H14755" s="63" t="str">
        <f>IFERROR(__xludf.DUMMYFUNCTION("VLOOKUP(F14755, IMPORTRANGE(""https://docs.google.com/spreadsheets/d/1Lhp9OU0JdFf_VYSMzH5lBcEaU4o8teT1piV-SNzShjg/edit?gid=554141278#gid=554141278"", ""'Char Def. - Attributes'!C20:C2242""), 1,false)"),"ALT_DENUM_UOM5")</f>
        <v>ALT_DENUM_UOM5</v>
      </c>
      <c r="I14755" s="136"/>
      <c r="R14755" s="63" t="str">
        <f t="shared" si="60"/>
        <v>ZSI1_WIRING_HARNESALT_DENUM_UOM5</v>
      </c>
    </row>
    <row r="14756" ht="15.75" customHeight="1">
      <c r="A14756" s="59"/>
      <c r="B14756" s="63">
        <f t="shared" si="1"/>
        <v>18</v>
      </c>
      <c r="C14756" s="135" t="s">
        <v>332</v>
      </c>
      <c r="D14756" s="161" t="s">
        <v>74</v>
      </c>
      <c r="E14756" s="135">
        <f t="shared" si="62"/>
        <v>28</v>
      </c>
      <c r="F14756" s="134" t="s">
        <v>3818</v>
      </c>
      <c r="G14756" s="63" t="str">
        <f>VLOOKUP(C14756, 'Class Def. - General Data'!$C$20:$C$1000,1,false)</f>
        <v>ZSI1_WIRING_HARNES</v>
      </c>
      <c r="H14756" s="63" t="str">
        <f>IFERROR(__xludf.DUMMYFUNCTION("VLOOKUP(F14756, IMPORTRANGE(""https://docs.google.com/spreadsheets/d/1Lhp9OU0JdFf_VYSMzH5lBcEaU4o8teT1piV-SNzShjg/edit?gid=554141278#gid=554141278"", ""'Char Def. - Attributes'!C20:C2242""), 1,false)"),"ALT_NUM_UOM5")</f>
        <v>ALT_NUM_UOM5</v>
      </c>
      <c r="I14756" s="136"/>
      <c r="R14756" s="63" t="str">
        <f t="shared" si="60"/>
        <v>ZSI1_WIRING_HARNESALT_NUM_UOM5</v>
      </c>
    </row>
    <row r="14757" ht="15.75" customHeight="1">
      <c r="A14757" s="59"/>
      <c r="B14757" s="63">
        <f t="shared" si="1"/>
        <v>16</v>
      </c>
      <c r="C14757" s="135" t="s">
        <v>482</v>
      </c>
      <c r="D14757" s="161" t="s">
        <v>74</v>
      </c>
      <c r="E14757" s="135">
        <f t="shared" si="62"/>
        <v>1</v>
      </c>
      <c r="F14757" s="134" t="s">
        <v>5664</v>
      </c>
      <c r="G14757" s="63" t="str">
        <f>VLOOKUP(C14757, 'Class Def. - General Data'!$C$20:$C$1000,1,false)</f>
        <v>ZSI1_WOOD_STRCTR</v>
      </c>
      <c r="H14757" s="63" t="str">
        <f>IFERROR(__xludf.DUMMYFUNCTION("VLOOKUP(F14757, IMPORTRANGE(""https://docs.google.com/spreadsheets/d/1Lhp9OU0JdFf_VYSMzH5lBcEaU4o8teT1piV-SNzShjg/edit?gid=554141278#gid=554141278"", ""'Char Def. - Attributes'!C20:C2242""), 1,false)"),"ITEM_NAME_WOOD_STRCTR")</f>
        <v>ITEM_NAME_WOOD_STRCTR</v>
      </c>
      <c r="I14757" s="136"/>
      <c r="R14757" s="63" t="str">
        <f t="shared" si="60"/>
        <v>ZSI1_WOOD_STRCTRITEM_NAME_WOOD_STRCTR</v>
      </c>
    </row>
    <row r="14758" ht="15.75" customHeight="1">
      <c r="A14758" s="59"/>
      <c r="B14758" s="63">
        <f t="shared" si="1"/>
        <v>16</v>
      </c>
      <c r="C14758" s="135" t="s">
        <v>482</v>
      </c>
      <c r="D14758" s="161" t="s">
        <v>74</v>
      </c>
      <c r="E14758" s="135">
        <f t="shared" si="62"/>
        <v>2</v>
      </c>
      <c r="F14758" s="134" t="s">
        <v>5665</v>
      </c>
      <c r="G14758" s="63" t="str">
        <f>VLOOKUP(C14758, 'Class Def. - General Data'!$C$20:$C$1000,1,false)</f>
        <v>ZSI1_WOOD_STRCTR</v>
      </c>
      <c r="H14758" s="63" t="str">
        <f>IFERROR(__xludf.DUMMYFUNCTION("VLOOKUP(F14758, IMPORTRANGE(""https://docs.google.com/spreadsheets/d/1Lhp9OU0JdFf_VYSMzH5lBcEaU4o8teT1piV-SNzShjg/edit?gid=554141278#gid=554141278"", ""'Char Def. - Attributes'!C20:C2242""), 1,false)"),"TYPE_WOOD_WOOD_STRCTR")</f>
        <v>TYPE_WOOD_WOOD_STRCTR</v>
      </c>
      <c r="I14758" s="136"/>
      <c r="R14758" s="63" t="str">
        <f t="shared" si="60"/>
        <v>ZSI1_WOOD_STRCTRTYPE_WOOD_WOOD_STRCTR</v>
      </c>
    </row>
    <row r="14759" ht="15.75" customHeight="1">
      <c r="A14759" s="59"/>
      <c r="B14759" s="63">
        <f t="shared" si="1"/>
        <v>16</v>
      </c>
      <c r="C14759" s="135" t="s">
        <v>482</v>
      </c>
      <c r="D14759" s="161" t="s">
        <v>74</v>
      </c>
      <c r="E14759" s="135">
        <f t="shared" si="62"/>
        <v>3</v>
      </c>
      <c r="F14759" s="134" t="s">
        <v>5666</v>
      </c>
      <c r="G14759" s="63" t="str">
        <f>VLOOKUP(C14759, 'Class Def. - General Data'!$C$20:$C$1000,1,false)</f>
        <v>ZSI1_WOOD_STRCTR</v>
      </c>
      <c r="H14759" s="63" t="str">
        <f>IFERROR(__xludf.DUMMYFUNCTION("VLOOKUP(F14759, IMPORTRANGE(""https://docs.google.com/spreadsheets/d/1Lhp9OU0JdFf_VYSMzH5lBcEaU4o8teT1piV-SNzShjg/edit?gid=554141278#gid=554141278"", ""'Char Def. - Attributes'!C20:C2242""), 1,false)"),"WIDTH_MM_WOOD_STRCTR")</f>
        <v>WIDTH_MM_WOOD_STRCTR</v>
      </c>
      <c r="I14759" s="136"/>
      <c r="R14759" s="63" t="str">
        <f t="shared" si="60"/>
        <v>ZSI1_WOOD_STRCTRWIDTH_MM_WOOD_STRCTR</v>
      </c>
    </row>
    <row r="14760" ht="15.75" customHeight="1">
      <c r="A14760" s="59"/>
      <c r="B14760" s="63">
        <f t="shared" si="1"/>
        <v>16</v>
      </c>
      <c r="C14760" s="135" t="s">
        <v>482</v>
      </c>
      <c r="D14760" s="161" t="s">
        <v>74</v>
      </c>
      <c r="E14760" s="135">
        <f t="shared" si="62"/>
        <v>4</v>
      </c>
      <c r="F14760" s="134" t="s">
        <v>5667</v>
      </c>
      <c r="G14760" s="63" t="str">
        <f>VLOOKUP(C14760, 'Class Def. - General Data'!$C$20:$C$1000,1,false)</f>
        <v>ZSI1_WOOD_STRCTR</v>
      </c>
      <c r="H14760" s="63" t="str">
        <f>IFERROR(__xludf.DUMMYFUNCTION("VLOOKUP(F14760, IMPORTRANGE(""https://docs.google.com/spreadsheets/d/1Lhp9OU0JdFf_VYSMzH5lBcEaU4o8teT1piV-SNzShjg/edit?gid=554141278#gid=554141278"", ""'Char Def. - Attributes'!C20:C2242""), 1,false)"),"LENGTH_MM_WOOD_STRCTR")</f>
        <v>LENGTH_MM_WOOD_STRCTR</v>
      </c>
      <c r="I14760" s="136"/>
      <c r="R14760" s="63" t="str">
        <f t="shared" si="60"/>
        <v>ZSI1_WOOD_STRCTRLENGTH_MM_WOOD_STRCTR</v>
      </c>
    </row>
    <row r="14761" ht="15.75" customHeight="1">
      <c r="A14761" s="59"/>
      <c r="B14761" s="63">
        <f t="shared" si="1"/>
        <v>16</v>
      </c>
      <c r="C14761" s="135" t="s">
        <v>482</v>
      </c>
      <c r="D14761" s="161" t="s">
        <v>74</v>
      </c>
      <c r="E14761" s="135">
        <f t="shared" si="62"/>
        <v>5</v>
      </c>
      <c r="F14761" s="134" t="s">
        <v>5668</v>
      </c>
      <c r="G14761" s="63" t="str">
        <f>VLOOKUP(C14761, 'Class Def. - General Data'!$C$20:$C$1000,1,false)</f>
        <v>ZSI1_WOOD_STRCTR</v>
      </c>
      <c r="H14761" s="63" t="str">
        <f>IFERROR(__xludf.DUMMYFUNCTION("VLOOKUP(F14761, IMPORTRANGE(""https://docs.google.com/spreadsheets/d/1Lhp9OU0JdFf_VYSMzH5lBcEaU4o8teT1piV-SNzShjg/edit?gid=554141278#gid=554141278"", ""'Char Def. - Attributes'!C20:C2242""), 1,false)"),"HEIGHT_MM_WOOD_STRCTR")</f>
        <v>HEIGHT_MM_WOOD_STRCTR</v>
      </c>
      <c r="I14761" s="136"/>
      <c r="R14761" s="63" t="str">
        <f t="shared" si="60"/>
        <v>ZSI1_WOOD_STRCTRHEIGHT_MM_WOOD_STRCTR</v>
      </c>
    </row>
    <row r="14762" ht="15.75" customHeight="1">
      <c r="A14762" s="59"/>
      <c r="B14762" s="63">
        <f t="shared" si="1"/>
        <v>16</v>
      </c>
      <c r="C14762" s="135" t="s">
        <v>482</v>
      </c>
      <c r="D14762" s="161" t="s">
        <v>74</v>
      </c>
      <c r="E14762" s="135">
        <f t="shared" si="62"/>
        <v>6</v>
      </c>
      <c r="F14762" s="134" t="s">
        <v>4062</v>
      </c>
      <c r="G14762" s="63" t="str">
        <f>VLOOKUP(C14762, 'Class Def. - General Data'!$C$20:$C$1000,1,false)</f>
        <v>ZSI1_WOOD_STRCTR</v>
      </c>
      <c r="H14762" s="63" t="str">
        <f>IFERROR(__xludf.DUMMYFUNCTION("VLOOKUP(F14762, IMPORTRANGE(""https://docs.google.com/spreadsheets/d/1Lhp9OU0JdFf_VYSMzH5lBcEaU4o8teT1piV-SNzShjg/edit?gid=554141278#gid=554141278"", ""'Char Def. - Attributes'!C20:C2242""), 1,false)"),"#N/A")</f>
        <v>#N/A</v>
      </c>
      <c r="I14762" s="136"/>
      <c r="R14762" s="63" t="str">
        <f t="shared" si="60"/>
        <v>ZSI1_WOOD_STRCTRADDTIONAL_SPECIFICATION</v>
      </c>
    </row>
    <row r="14763" ht="15.75" customHeight="1">
      <c r="A14763" s="59"/>
      <c r="B14763" s="63">
        <f t="shared" si="1"/>
        <v>16</v>
      </c>
      <c r="C14763" s="135" t="s">
        <v>482</v>
      </c>
      <c r="D14763" s="161" t="s">
        <v>74</v>
      </c>
      <c r="E14763" s="135">
        <f t="shared" si="62"/>
        <v>7</v>
      </c>
      <c r="F14763" s="134" t="s">
        <v>4053</v>
      </c>
      <c r="G14763" s="63" t="str">
        <f>VLOOKUP(C14763, 'Class Def. - General Data'!$C$20:$C$1000,1,false)</f>
        <v>ZSI1_WOOD_STRCTR</v>
      </c>
      <c r="H14763" s="63" t="str">
        <f>IFERROR(__xludf.DUMMYFUNCTION("VLOOKUP(F14763, IMPORTRANGE(""https://docs.google.com/spreadsheets/d/1Lhp9OU0JdFf_VYSMzH5lBcEaU4o8teT1piV-SNzShjg/edit?gid=554141278#gid=554141278"", ""'Char Def. - Attributes'!C20:C2242""), 1,false)"),"MAINTENANCE_ORDER_TYPE")</f>
        <v>MAINTENANCE_ORDER_TYPE</v>
      </c>
      <c r="I14763" s="136"/>
      <c r="R14763" s="63" t="str">
        <f t="shared" si="60"/>
        <v>ZSI1_WOOD_STRCTRMAINTENANCE_ORDER_TYPE</v>
      </c>
    </row>
    <row r="14764" ht="15.75" customHeight="1">
      <c r="A14764" s="59"/>
      <c r="B14764" s="63">
        <f t="shared" si="1"/>
        <v>16</v>
      </c>
      <c r="C14764" s="135" t="s">
        <v>482</v>
      </c>
      <c r="D14764" s="161" t="s">
        <v>74</v>
      </c>
      <c r="E14764" s="135">
        <f t="shared" si="62"/>
        <v>8</v>
      </c>
      <c r="F14764" s="134" t="s">
        <v>3585</v>
      </c>
      <c r="G14764" s="63" t="str">
        <f>VLOOKUP(C14764, 'Class Def. - General Data'!$C$20:$C$1000,1,false)</f>
        <v>ZSI1_WOOD_STRCTR</v>
      </c>
      <c r="H14764" s="63" t="str">
        <f>IFERROR(__xludf.DUMMYFUNCTION("VLOOKUP(F14764, IMPORTRANGE(""https://docs.google.com/spreadsheets/d/1Lhp9OU0JdFf_VYSMzH5lBcEaU4o8teT1piV-SNzShjg/edit?gid=554141278#gid=554141278"", ""'Char Def. - Attributes'!C20:C2242""), 1,false)"),"HS_CODE")</f>
        <v>HS_CODE</v>
      </c>
      <c r="I14764" s="136"/>
      <c r="R14764" s="63" t="str">
        <f t="shared" si="60"/>
        <v>ZSI1_WOOD_STRCTRHS_CODE</v>
      </c>
    </row>
    <row r="14765" ht="15.75" customHeight="1">
      <c r="A14765" s="59"/>
      <c r="B14765" s="63">
        <f t="shared" si="1"/>
        <v>16</v>
      </c>
      <c r="C14765" s="135" t="s">
        <v>482</v>
      </c>
      <c r="D14765" s="161" t="s">
        <v>74</v>
      </c>
      <c r="E14765" s="135">
        <f t="shared" si="62"/>
        <v>9</v>
      </c>
      <c r="F14765" s="134" t="s">
        <v>3587</v>
      </c>
      <c r="G14765" s="63" t="str">
        <f>VLOOKUP(C14765, 'Class Def. - General Data'!$C$20:$C$1000,1,false)</f>
        <v>ZSI1_WOOD_STRCTR</v>
      </c>
      <c r="H14765" s="63" t="str">
        <f>IFERROR(__xludf.DUMMYFUNCTION("VLOOKUP(F14765, IMPORTRANGE(""https://docs.google.com/spreadsheets/d/1Lhp9OU0JdFf_VYSMzH5lBcEaU4o8teT1piV-SNzShjg/edit?gid=554141278#gid=554141278"", ""'Char Def. - Attributes'!C20:C2242""), 1,false)"),"PLANT_BUY")</f>
        <v>PLANT_BUY</v>
      </c>
      <c r="I14765" s="136"/>
      <c r="R14765" s="63" t="str">
        <f t="shared" si="60"/>
        <v>ZSI1_WOOD_STRCTRPLANT_BUY</v>
      </c>
    </row>
    <row r="14766" ht="15.75" customHeight="1">
      <c r="A14766" s="59"/>
      <c r="B14766" s="63">
        <f t="shared" si="1"/>
        <v>16</v>
      </c>
      <c r="C14766" s="135" t="s">
        <v>482</v>
      </c>
      <c r="D14766" s="161" t="s">
        <v>74</v>
      </c>
      <c r="E14766" s="135">
        <f t="shared" si="62"/>
        <v>10</v>
      </c>
      <c r="F14766" s="134" t="s">
        <v>5669</v>
      </c>
      <c r="G14766" s="63" t="str">
        <f>VLOOKUP(C14766, 'Class Def. - General Data'!$C$20:$C$1000,1,false)</f>
        <v>ZSI1_WOOD_STRCTR</v>
      </c>
      <c r="H14766" s="63" t="str">
        <f>IFERROR(__xludf.DUMMYFUNCTION("VLOOKUP(F14766, IMPORTRANGE(""https://docs.google.com/spreadsheets/d/1Lhp9OU0JdFf_VYSMzH5lBcEaU4o8teT1piV-SNzShjg/edit?gid=554141278#gid=554141278"", ""'Char Def. - Attributes'!C20:C2242""), 1,false)"),"BASE_UOM_WOOD_STRCTR")</f>
        <v>BASE_UOM_WOOD_STRCTR</v>
      </c>
      <c r="I14766" s="136"/>
      <c r="R14766" s="63" t="str">
        <f t="shared" si="60"/>
        <v>ZSI1_WOOD_STRCTRBASE_UOM_WOOD_STRCTR</v>
      </c>
    </row>
    <row r="14767" ht="15.75" customHeight="1">
      <c r="A14767" s="59"/>
      <c r="B14767" s="63">
        <f t="shared" si="1"/>
        <v>16</v>
      </c>
      <c r="C14767" s="135" t="s">
        <v>482</v>
      </c>
      <c r="D14767" s="161" t="s">
        <v>74</v>
      </c>
      <c r="E14767" s="135">
        <f t="shared" si="62"/>
        <v>11</v>
      </c>
      <c r="F14767" s="134" t="s">
        <v>5670</v>
      </c>
      <c r="G14767" s="63" t="str">
        <f>VLOOKUP(C14767, 'Class Def. - General Data'!$C$20:$C$1000,1,false)</f>
        <v>ZSI1_WOOD_STRCTR</v>
      </c>
      <c r="H14767" s="63" t="str">
        <f>IFERROR(__xludf.DUMMYFUNCTION("VLOOKUP(F14767, IMPORTRANGE(""https://docs.google.com/spreadsheets/d/1Lhp9OU0JdFf_VYSMzH5lBcEaU4o8teT1piV-SNzShjg/edit?gid=554141278#gid=554141278"", ""'Char Def. - Attributes'!C20:C2242""), 1,false)"),"ORDER_UNIT_WOOD_STRCTR")</f>
        <v>ORDER_UNIT_WOOD_STRCTR</v>
      </c>
      <c r="I14767" s="136"/>
      <c r="R14767" s="63" t="str">
        <f t="shared" si="60"/>
        <v>ZSI1_WOOD_STRCTRORDER_UNIT_WOOD_STRCTR</v>
      </c>
    </row>
    <row r="14768" ht="15.75" customHeight="1">
      <c r="A14768" s="59"/>
      <c r="B14768" s="63">
        <f t="shared" si="1"/>
        <v>16</v>
      </c>
      <c r="C14768" s="135" t="s">
        <v>482</v>
      </c>
      <c r="D14768" s="161" t="s">
        <v>74</v>
      </c>
      <c r="E14768" s="135">
        <f t="shared" si="62"/>
        <v>12</v>
      </c>
      <c r="F14768" s="134" t="s">
        <v>4056</v>
      </c>
      <c r="G14768" s="63" t="str">
        <f>VLOOKUP(C14768, 'Class Def. - General Data'!$C$20:$C$1000,1,false)</f>
        <v>ZSI1_WOOD_STRCTR</v>
      </c>
      <c r="H14768" s="63" t="str">
        <f>IFERROR(__xludf.DUMMYFUNCTION("VLOOKUP(F14768, IMPORTRANGE(""https://docs.google.com/spreadsheets/d/1Lhp9OU0JdFf_VYSMzH5lBcEaU4o8teT1piV-SNzShjg/edit?gid=554141278#gid=554141278"", ""'Char Def. - Attributes'!C20:C2242""), 1,false)"),"GROSS_WEIGHT_OPT")</f>
        <v>GROSS_WEIGHT_OPT</v>
      </c>
      <c r="I14768" s="136"/>
      <c r="R14768" s="63" t="str">
        <f t="shared" si="60"/>
        <v>ZSI1_WOOD_STRCTRGROSS_WEIGHT_OPT</v>
      </c>
    </row>
    <row r="14769" ht="15.75" customHeight="1">
      <c r="A14769" s="59"/>
      <c r="B14769" s="63">
        <f t="shared" si="1"/>
        <v>16</v>
      </c>
      <c r="C14769" s="135" t="s">
        <v>482</v>
      </c>
      <c r="D14769" s="161" t="s">
        <v>74</v>
      </c>
      <c r="E14769" s="135">
        <f t="shared" si="62"/>
        <v>13</v>
      </c>
      <c r="F14769" s="134" t="s">
        <v>4057</v>
      </c>
      <c r="G14769" s="63" t="str">
        <f>VLOOKUP(C14769, 'Class Def. - General Data'!$C$20:$C$1000,1,false)</f>
        <v>ZSI1_WOOD_STRCTR</v>
      </c>
      <c r="H14769" s="63" t="str">
        <f>IFERROR(__xludf.DUMMYFUNCTION("VLOOKUP(F14769, IMPORTRANGE(""https://docs.google.com/spreadsheets/d/1Lhp9OU0JdFf_VYSMzH5lBcEaU4o8teT1piV-SNzShjg/edit?gid=554141278#gid=554141278"", ""'Char Def. - Attributes'!C20:C2242""), 1,false)"),"NET_WEIGHT_OPT")</f>
        <v>NET_WEIGHT_OPT</v>
      </c>
      <c r="I14769" s="136"/>
      <c r="R14769" s="63" t="str">
        <f t="shared" si="60"/>
        <v>ZSI1_WOOD_STRCTRNET_WEIGHT_OPT</v>
      </c>
    </row>
    <row r="14770" ht="15.75" customHeight="1">
      <c r="A14770" s="59"/>
      <c r="B14770" s="63">
        <f t="shared" si="1"/>
        <v>16</v>
      </c>
      <c r="C14770" s="135" t="s">
        <v>482</v>
      </c>
      <c r="D14770" s="161" t="s">
        <v>74</v>
      </c>
      <c r="E14770" s="135">
        <f t="shared" si="62"/>
        <v>14</v>
      </c>
      <c r="F14770" s="134" t="s">
        <v>4058</v>
      </c>
      <c r="G14770" s="63" t="str">
        <f>VLOOKUP(C14770, 'Class Def. - General Data'!$C$20:$C$1000,1,false)</f>
        <v>ZSI1_WOOD_STRCTR</v>
      </c>
      <c r="H14770" s="63" t="str">
        <f>IFERROR(__xludf.DUMMYFUNCTION("VLOOKUP(F14770, IMPORTRANGE(""https://docs.google.com/spreadsheets/d/1Lhp9OU0JdFf_VYSMzH5lBcEaU4o8teT1piV-SNzShjg/edit?gid=554141278#gid=554141278"", ""'Char Def. - Attributes'!C20:C2242""), 1,false)"),"WEIGHT_UNIT_SI")</f>
        <v>WEIGHT_UNIT_SI</v>
      </c>
      <c r="I14770" s="136"/>
      <c r="R14770" s="63" t="str">
        <f t="shared" si="60"/>
        <v>ZSI1_WOOD_STRCTRWEIGHT_UNIT_SI</v>
      </c>
    </row>
    <row r="14771" ht="15.75" customHeight="1">
      <c r="A14771" s="59"/>
      <c r="B14771" s="63">
        <f t="shared" si="1"/>
        <v>16</v>
      </c>
      <c r="C14771" s="135" t="s">
        <v>482</v>
      </c>
      <c r="D14771" s="161" t="s">
        <v>74</v>
      </c>
      <c r="E14771" s="135">
        <f t="shared" si="62"/>
        <v>15</v>
      </c>
      <c r="F14771" s="134" t="s">
        <v>3877</v>
      </c>
      <c r="G14771" s="63" t="str">
        <f>VLOOKUP(C14771, 'Class Def. - General Data'!$C$20:$C$1000,1,false)</f>
        <v>ZSI1_WOOD_STRCTR</v>
      </c>
      <c r="H14771" s="63" t="str">
        <f>IFERROR(__xludf.DUMMYFUNCTION("VLOOKUP(F14771, IMPORTRANGE(""https://docs.google.com/spreadsheets/d/1Lhp9OU0JdFf_VYSMzH5lBcEaU4o8teT1piV-SNzShjg/edit?gid=554141278#gid=554141278"", ""'Char Def. - Attributes'!C20:C2242""), 1,false)"),"VOLUME_OPT")</f>
        <v>VOLUME_OPT</v>
      </c>
      <c r="I14771" s="136"/>
      <c r="R14771" s="63" t="str">
        <f t="shared" si="60"/>
        <v>ZSI1_WOOD_STRCTRVOLUME_OPT</v>
      </c>
    </row>
    <row r="14772" ht="15.75" customHeight="1">
      <c r="A14772" s="59"/>
      <c r="B14772" s="63">
        <f t="shared" si="1"/>
        <v>16</v>
      </c>
      <c r="C14772" s="135" t="s">
        <v>482</v>
      </c>
      <c r="D14772" s="161" t="s">
        <v>74</v>
      </c>
      <c r="E14772" s="135">
        <f t="shared" si="62"/>
        <v>16</v>
      </c>
      <c r="F14772" s="134" t="s">
        <v>4059</v>
      </c>
      <c r="G14772" s="63" t="str">
        <f>VLOOKUP(C14772, 'Class Def. - General Data'!$C$20:$C$1000,1,false)</f>
        <v>ZSI1_WOOD_STRCTR</v>
      </c>
      <c r="H14772" s="63" t="str">
        <f>IFERROR(__xludf.DUMMYFUNCTION("VLOOKUP(F14772, IMPORTRANGE(""https://docs.google.com/spreadsheets/d/1Lhp9OU0JdFf_VYSMzH5lBcEaU4o8teT1piV-SNzShjg/edit?gid=554141278#gid=554141278"", ""'Char Def. - Attributes'!C20:C2242""), 1,false)"),"VOLUME_UNIT_SI")</f>
        <v>VOLUME_UNIT_SI</v>
      </c>
      <c r="I14772" s="136"/>
      <c r="R14772" s="63" t="str">
        <f t="shared" si="60"/>
        <v>ZSI1_WOOD_STRCTRVOLUME_UNIT_SI</v>
      </c>
    </row>
    <row r="14773" ht="15.75" customHeight="1">
      <c r="A14773" s="59"/>
      <c r="B14773" s="63">
        <f t="shared" si="1"/>
        <v>16</v>
      </c>
      <c r="C14773" s="135" t="s">
        <v>482</v>
      </c>
      <c r="D14773" s="161" t="s">
        <v>74</v>
      </c>
      <c r="E14773" s="135">
        <f t="shared" si="62"/>
        <v>17</v>
      </c>
      <c r="F14773" s="134" t="s">
        <v>3804</v>
      </c>
      <c r="G14773" s="63" t="str">
        <f>VLOOKUP(C14773, 'Class Def. - General Data'!$C$20:$C$1000,1,false)</f>
        <v>ZSI1_WOOD_STRCTR</v>
      </c>
      <c r="H14773" s="63" t="str">
        <f>IFERROR(__xludf.DUMMYFUNCTION("VLOOKUP(F14773, IMPORTRANGE(""https://docs.google.com/spreadsheets/d/1Lhp9OU0JdFf_VYSMzH5lBcEaU4o8teT1piV-SNzShjg/edit?gid=554141278#gid=554141278"", ""'Char Def. - Attributes'!C20:C2242""), 1,false)"),"ALT_UOM1_SIPI")</f>
        <v>ALT_UOM1_SIPI</v>
      </c>
      <c r="I14773" s="136"/>
      <c r="R14773" s="63" t="str">
        <f t="shared" si="60"/>
        <v>ZSI1_WOOD_STRCTRALT_UOM1_SIPI</v>
      </c>
    </row>
    <row r="14774" ht="15.75" customHeight="1">
      <c r="A14774" s="59"/>
      <c r="B14774" s="63">
        <f t="shared" si="1"/>
        <v>16</v>
      </c>
      <c r="C14774" s="135" t="s">
        <v>482</v>
      </c>
      <c r="D14774" s="161" t="s">
        <v>74</v>
      </c>
      <c r="E14774" s="135">
        <f t="shared" si="62"/>
        <v>18</v>
      </c>
      <c r="F14774" s="134" t="s">
        <v>3805</v>
      </c>
      <c r="G14774" s="63" t="str">
        <f>VLOOKUP(C14774, 'Class Def. - General Data'!$C$20:$C$1000,1,false)</f>
        <v>ZSI1_WOOD_STRCTR</v>
      </c>
      <c r="H14774" s="63" t="str">
        <f>IFERROR(__xludf.DUMMYFUNCTION("VLOOKUP(F14774, IMPORTRANGE(""https://docs.google.com/spreadsheets/d/1Lhp9OU0JdFf_VYSMzH5lBcEaU4o8teT1piV-SNzShjg/edit?gid=554141278#gid=554141278"", ""'Char Def. - Attributes'!C20:C2242""), 1,false)"),"ALT_DENUM_UOM1")</f>
        <v>ALT_DENUM_UOM1</v>
      </c>
      <c r="I14774" s="136"/>
      <c r="R14774" s="63" t="str">
        <f t="shared" si="60"/>
        <v>ZSI1_WOOD_STRCTRALT_DENUM_UOM1</v>
      </c>
    </row>
    <row r="14775" ht="15.75" customHeight="1">
      <c r="A14775" s="59"/>
      <c r="B14775" s="63">
        <f t="shared" si="1"/>
        <v>16</v>
      </c>
      <c r="C14775" s="135" t="s">
        <v>482</v>
      </c>
      <c r="D14775" s="161" t="s">
        <v>74</v>
      </c>
      <c r="E14775" s="135">
        <f t="shared" si="62"/>
        <v>19</v>
      </c>
      <c r="F14775" s="134" t="s">
        <v>3806</v>
      </c>
      <c r="G14775" s="63" t="str">
        <f>VLOOKUP(C14775, 'Class Def. - General Data'!$C$20:$C$1000,1,false)</f>
        <v>ZSI1_WOOD_STRCTR</v>
      </c>
      <c r="H14775" s="63" t="str">
        <f>IFERROR(__xludf.DUMMYFUNCTION("VLOOKUP(F14775, IMPORTRANGE(""https://docs.google.com/spreadsheets/d/1Lhp9OU0JdFf_VYSMzH5lBcEaU4o8teT1piV-SNzShjg/edit?gid=554141278#gid=554141278"", ""'Char Def. - Attributes'!C20:C2242""), 1,false)"),"ALT_NUM_UOM1")</f>
        <v>ALT_NUM_UOM1</v>
      </c>
      <c r="I14775" s="136"/>
      <c r="R14775" s="63" t="str">
        <f t="shared" si="60"/>
        <v>ZSI1_WOOD_STRCTRALT_NUM_UOM1</v>
      </c>
    </row>
    <row r="14776" ht="15.75" customHeight="1">
      <c r="A14776" s="59"/>
      <c r="B14776" s="63">
        <f t="shared" si="1"/>
        <v>16</v>
      </c>
      <c r="C14776" s="135" t="s">
        <v>482</v>
      </c>
      <c r="D14776" s="161" t="s">
        <v>74</v>
      </c>
      <c r="E14776" s="135">
        <f t="shared" si="62"/>
        <v>20</v>
      </c>
      <c r="F14776" s="134" t="s">
        <v>3807</v>
      </c>
      <c r="G14776" s="63" t="str">
        <f>VLOOKUP(C14776, 'Class Def. - General Data'!$C$20:$C$1000,1,false)</f>
        <v>ZSI1_WOOD_STRCTR</v>
      </c>
      <c r="H14776" s="63" t="str">
        <f>IFERROR(__xludf.DUMMYFUNCTION("VLOOKUP(F14776, IMPORTRANGE(""https://docs.google.com/spreadsheets/d/1Lhp9OU0JdFf_VYSMzH5lBcEaU4o8teT1piV-SNzShjg/edit?gid=554141278#gid=554141278"", ""'Char Def. - Attributes'!C20:C2242""), 1,false)"),"ALT_UOM2_SIPI")</f>
        <v>ALT_UOM2_SIPI</v>
      </c>
      <c r="I14776" s="136"/>
      <c r="R14776" s="63" t="str">
        <f t="shared" si="60"/>
        <v>ZSI1_WOOD_STRCTRALT_UOM2_SIPI</v>
      </c>
    </row>
    <row r="14777" ht="15.75" customHeight="1">
      <c r="A14777" s="59"/>
      <c r="B14777" s="63">
        <f t="shared" si="1"/>
        <v>16</v>
      </c>
      <c r="C14777" s="135" t="s">
        <v>482</v>
      </c>
      <c r="D14777" s="161" t="s">
        <v>74</v>
      </c>
      <c r="E14777" s="135">
        <f t="shared" si="62"/>
        <v>21</v>
      </c>
      <c r="F14777" s="134" t="s">
        <v>3808</v>
      </c>
      <c r="G14777" s="63" t="str">
        <f>VLOOKUP(C14777, 'Class Def. - General Data'!$C$20:$C$1000,1,false)</f>
        <v>ZSI1_WOOD_STRCTR</v>
      </c>
      <c r="H14777" s="63" t="str">
        <f>IFERROR(__xludf.DUMMYFUNCTION("VLOOKUP(F14777, IMPORTRANGE(""https://docs.google.com/spreadsheets/d/1Lhp9OU0JdFf_VYSMzH5lBcEaU4o8teT1piV-SNzShjg/edit?gid=554141278#gid=554141278"", ""'Char Def. - Attributes'!C20:C2242""), 1,false)"),"ALT_DENUM_UOM2")</f>
        <v>ALT_DENUM_UOM2</v>
      </c>
      <c r="I14777" s="136"/>
      <c r="R14777" s="63" t="str">
        <f t="shared" si="60"/>
        <v>ZSI1_WOOD_STRCTRALT_DENUM_UOM2</v>
      </c>
    </row>
    <row r="14778" ht="15.75" customHeight="1">
      <c r="A14778" s="59"/>
      <c r="B14778" s="63">
        <f t="shared" si="1"/>
        <v>16</v>
      </c>
      <c r="C14778" s="135" t="s">
        <v>482</v>
      </c>
      <c r="D14778" s="161" t="s">
        <v>74</v>
      </c>
      <c r="E14778" s="135">
        <f t="shared" si="62"/>
        <v>22</v>
      </c>
      <c r="F14778" s="134" t="s">
        <v>3809</v>
      </c>
      <c r="G14778" s="63" t="str">
        <f>VLOOKUP(C14778, 'Class Def. - General Data'!$C$20:$C$1000,1,false)</f>
        <v>ZSI1_WOOD_STRCTR</v>
      </c>
      <c r="H14778" s="63" t="str">
        <f>IFERROR(__xludf.DUMMYFUNCTION("VLOOKUP(F14778, IMPORTRANGE(""https://docs.google.com/spreadsheets/d/1Lhp9OU0JdFf_VYSMzH5lBcEaU4o8teT1piV-SNzShjg/edit?gid=554141278#gid=554141278"", ""'Char Def. - Attributes'!C20:C2242""), 1,false)"),"ALT_NUM_UOM2")</f>
        <v>ALT_NUM_UOM2</v>
      </c>
      <c r="I14778" s="136"/>
      <c r="R14778" s="63" t="str">
        <f t="shared" si="60"/>
        <v>ZSI1_WOOD_STRCTRALT_NUM_UOM2</v>
      </c>
    </row>
    <row r="14779" ht="15.75" customHeight="1">
      <c r="A14779" s="59"/>
      <c r="B14779" s="63">
        <f t="shared" si="1"/>
        <v>16</v>
      </c>
      <c r="C14779" s="135" t="s">
        <v>482</v>
      </c>
      <c r="D14779" s="161" t="s">
        <v>74</v>
      </c>
      <c r="E14779" s="135">
        <f t="shared" si="62"/>
        <v>23</v>
      </c>
      <c r="F14779" s="134" t="s">
        <v>3810</v>
      </c>
      <c r="G14779" s="63" t="str">
        <f>VLOOKUP(C14779, 'Class Def. - General Data'!$C$20:$C$1000,1,false)</f>
        <v>ZSI1_WOOD_STRCTR</v>
      </c>
      <c r="H14779" s="63" t="str">
        <f>IFERROR(__xludf.DUMMYFUNCTION("VLOOKUP(F14779, IMPORTRANGE(""https://docs.google.com/spreadsheets/d/1Lhp9OU0JdFf_VYSMzH5lBcEaU4o8teT1piV-SNzShjg/edit?gid=554141278#gid=554141278"", ""'Char Def. - Attributes'!C20:C2242""), 1,false)"),"ALT_UOM3_SIPI")</f>
        <v>ALT_UOM3_SIPI</v>
      </c>
      <c r="I14779" s="136"/>
      <c r="R14779" s="63" t="str">
        <f t="shared" si="60"/>
        <v>ZSI1_WOOD_STRCTRALT_UOM3_SIPI</v>
      </c>
    </row>
    <row r="14780" ht="15.75" customHeight="1">
      <c r="A14780" s="59"/>
      <c r="B14780" s="63">
        <f t="shared" si="1"/>
        <v>16</v>
      </c>
      <c r="C14780" s="135" t="s">
        <v>482</v>
      </c>
      <c r="D14780" s="161" t="s">
        <v>74</v>
      </c>
      <c r="E14780" s="135">
        <f t="shared" si="62"/>
        <v>24</v>
      </c>
      <c r="F14780" s="134" t="s">
        <v>3811</v>
      </c>
      <c r="G14780" s="63" t="str">
        <f>VLOOKUP(C14780, 'Class Def. - General Data'!$C$20:$C$1000,1,false)</f>
        <v>ZSI1_WOOD_STRCTR</v>
      </c>
      <c r="H14780" s="63" t="str">
        <f>IFERROR(__xludf.DUMMYFUNCTION("VLOOKUP(F14780, IMPORTRANGE(""https://docs.google.com/spreadsheets/d/1Lhp9OU0JdFf_VYSMzH5lBcEaU4o8teT1piV-SNzShjg/edit?gid=554141278#gid=554141278"", ""'Char Def. - Attributes'!C20:C2242""), 1,false)"),"ALT_DENUM_UOM3")</f>
        <v>ALT_DENUM_UOM3</v>
      </c>
      <c r="I14780" s="136"/>
      <c r="R14780" s="63" t="str">
        <f t="shared" si="60"/>
        <v>ZSI1_WOOD_STRCTRALT_DENUM_UOM3</v>
      </c>
    </row>
    <row r="14781" ht="15.75" customHeight="1">
      <c r="A14781" s="59"/>
      <c r="B14781" s="63">
        <f t="shared" si="1"/>
        <v>16</v>
      </c>
      <c r="C14781" s="135" t="s">
        <v>482</v>
      </c>
      <c r="D14781" s="161" t="s">
        <v>74</v>
      </c>
      <c r="E14781" s="135">
        <f t="shared" si="62"/>
        <v>25</v>
      </c>
      <c r="F14781" s="134" t="s">
        <v>3812</v>
      </c>
      <c r="G14781" s="63" t="str">
        <f>VLOOKUP(C14781, 'Class Def. - General Data'!$C$20:$C$1000,1,false)</f>
        <v>ZSI1_WOOD_STRCTR</v>
      </c>
      <c r="H14781" s="63" t="str">
        <f>IFERROR(__xludf.DUMMYFUNCTION("VLOOKUP(F14781, IMPORTRANGE(""https://docs.google.com/spreadsheets/d/1Lhp9OU0JdFf_VYSMzH5lBcEaU4o8teT1piV-SNzShjg/edit?gid=554141278#gid=554141278"", ""'Char Def. - Attributes'!C20:C2242""), 1,false)"),"ALT_NUM_UOM3")</f>
        <v>ALT_NUM_UOM3</v>
      </c>
      <c r="I14781" s="136"/>
      <c r="R14781" s="63" t="str">
        <f t="shared" si="60"/>
        <v>ZSI1_WOOD_STRCTRALT_NUM_UOM3</v>
      </c>
    </row>
    <row r="14782" ht="15.75" customHeight="1">
      <c r="A14782" s="59"/>
      <c r="B14782" s="63">
        <f t="shared" si="1"/>
        <v>16</v>
      </c>
      <c r="C14782" s="135" t="s">
        <v>482</v>
      </c>
      <c r="D14782" s="161" t="s">
        <v>74</v>
      </c>
      <c r="E14782" s="135">
        <f t="shared" si="62"/>
        <v>26</v>
      </c>
      <c r="F14782" s="134" t="s">
        <v>3813</v>
      </c>
      <c r="G14782" s="63" t="str">
        <f>VLOOKUP(C14782, 'Class Def. - General Data'!$C$20:$C$1000,1,false)</f>
        <v>ZSI1_WOOD_STRCTR</v>
      </c>
      <c r="H14782" s="63" t="str">
        <f>IFERROR(__xludf.DUMMYFUNCTION("VLOOKUP(F14782, IMPORTRANGE(""https://docs.google.com/spreadsheets/d/1Lhp9OU0JdFf_VYSMzH5lBcEaU4o8teT1piV-SNzShjg/edit?gid=554141278#gid=554141278"", ""'Char Def. - Attributes'!C20:C2242""), 1,false)"),"ALT_UOM4_SIPI")</f>
        <v>ALT_UOM4_SIPI</v>
      </c>
      <c r="I14782" s="136"/>
      <c r="R14782" s="63" t="str">
        <f t="shared" si="60"/>
        <v>ZSI1_WOOD_STRCTRALT_UOM4_SIPI</v>
      </c>
    </row>
    <row r="14783" ht="15.75" customHeight="1">
      <c r="A14783" s="59"/>
      <c r="B14783" s="63">
        <f t="shared" si="1"/>
        <v>16</v>
      </c>
      <c r="C14783" s="135" t="s">
        <v>482</v>
      </c>
      <c r="D14783" s="161" t="s">
        <v>74</v>
      </c>
      <c r="E14783" s="135">
        <f t="shared" si="62"/>
        <v>27</v>
      </c>
      <c r="F14783" s="134" t="s">
        <v>3814</v>
      </c>
      <c r="G14783" s="63" t="str">
        <f>VLOOKUP(C14783, 'Class Def. - General Data'!$C$20:$C$1000,1,false)</f>
        <v>ZSI1_WOOD_STRCTR</v>
      </c>
      <c r="H14783" s="63" t="str">
        <f>IFERROR(__xludf.DUMMYFUNCTION("VLOOKUP(F14783, IMPORTRANGE(""https://docs.google.com/spreadsheets/d/1Lhp9OU0JdFf_VYSMzH5lBcEaU4o8teT1piV-SNzShjg/edit?gid=554141278#gid=554141278"", ""'Char Def. - Attributes'!C20:C2242""), 1,false)"),"ALT_DENUM_UOM4")</f>
        <v>ALT_DENUM_UOM4</v>
      </c>
      <c r="I14783" s="136"/>
      <c r="R14783" s="63" t="str">
        <f t="shared" si="60"/>
        <v>ZSI1_WOOD_STRCTRALT_DENUM_UOM4</v>
      </c>
    </row>
    <row r="14784" ht="15.75" customHeight="1">
      <c r="A14784" s="59"/>
      <c r="B14784" s="63">
        <f t="shared" si="1"/>
        <v>16</v>
      </c>
      <c r="C14784" s="135" t="s">
        <v>482</v>
      </c>
      <c r="D14784" s="161" t="s">
        <v>74</v>
      </c>
      <c r="E14784" s="135">
        <f t="shared" si="62"/>
        <v>28</v>
      </c>
      <c r="F14784" s="134" t="s">
        <v>3815</v>
      </c>
      <c r="G14784" s="63" t="str">
        <f>VLOOKUP(C14784, 'Class Def. - General Data'!$C$20:$C$1000,1,false)</f>
        <v>ZSI1_WOOD_STRCTR</v>
      </c>
      <c r="H14784" s="63" t="str">
        <f>IFERROR(__xludf.DUMMYFUNCTION("VLOOKUP(F14784, IMPORTRANGE(""https://docs.google.com/spreadsheets/d/1Lhp9OU0JdFf_VYSMzH5lBcEaU4o8teT1piV-SNzShjg/edit?gid=554141278#gid=554141278"", ""'Char Def. - Attributes'!C20:C2242""), 1,false)"),"ALT_NUM_UOM4")</f>
        <v>ALT_NUM_UOM4</v>
      </c>
      <c r="I14784" s="136"/>
      <c r="R14784" s="63" t="str">
        <f t="shared" si="60"/>
        <v>ZSI1_WOOD_STRCTRALT_NUM_UOM4</v>
      </c>
    </row>
    <row r="14785" ht="15.75" customHeight="1">
      <c r="A14785" s="59"/>
      <c r="B14785" s="63">
        <f t="shared" si="1"/>
        <v>16</v>
      </c>
      <c r="C14785" s="135" t="s">
        <v>482</v>
      </c>
      <c r="D14785" s="161" t="s">
        <v>74</v>
      </c>
      <c r="E14785" s="135">
        <f t="shared" si="62"/>
        <v>29</v>
      </c>
      <c r="F14785" s="134" t="s">
        <v>3816</v>
      </c>
      <c r="G14785" s="63" t="str">
        <f>VLOOKUP(C14785, 'Class Def. - General Data'!$C$20:$C$1000,1,false)</f>
        <v>ZSI1_WOOD_STRCTR</v>
      </c>
      <c r="H14785" s="63" t="str">
        <f>IFERROR(__xludf.DUMMYFUNCTION("VLOOKUP(F14785, IMPORTRANGE(""https://docs.google.com/spreadsheets/d/1Lhp9OU0JdFf_VYSMzH5lBcEaU4o8teT1piV-SNzShjg/edit?gid=554141278#gid=554141278"", ""'Char Def. - Attributes'!C20:C2242""), 1,false)"),"ALT_UOM5_SIPI")</f>
        <v>ALT_UOM5_SIPI</v>
      </c>
      <c r="I14785" s="136"/>
      <c r="R14785" s="63" t="str">
        <f t="shared" si="60"/>
        <v>ZSI1_WOOD_STRCTRALT_UOM5_SIPI</v>
      </c>
    </row>
    <row r="14786" ht="15.75" customHeight="1">
      <c r="A14786" s="59"/>
      <c r="B14786" s="63">
        <f t="shared" si="1"/>
        <v>16</v>
      </c>
      <c r="C14786" s="135" t="s">
        <v>482</v>
      </c>
      <c r="D14786" s="161" t="s">
        <v>74</v>
      </c>
      <c r="E14786" s="135">
        <f t="shared" si="62"/>
        <v>30</v>
      </c>
      <c r="F14786" s="134" t="s">
        <v>3817</v>
      </c>
      <c r="G14786" s="63" t="str">
        <f>VLOOKUP(C14786, 'Class Def. - General Data'!$C$20:$C$1000,1,false)</f>
        <v>ZSI1_WOOD_STRCTR</v>
      </c>
      <c r="H14786" s="63" t="str">
        <f>IFERROR(__xludf.DUMMYFUNCTION("VLOOKUP(F14786, IMPORTRANGE(""https://docs.google.com/spreadsheets/d/1Lhp9OU0JdFf_VYSMzH5lBcEaU4o8teT1piV-SNzShjg/edit?gid=554141278#gid=554141278"", ""'Char Def. - Attributes'!C20:C2242""), 1,false)"),"ALT_DENUM_UOM5")</f>
        <v>ALT_DENUM_UOM5</v>
      </c>
      <c r="I14786" s="136"/>
      <c r="R14786" s="63" t="str">
        <f t="shared" si="60"/>
        <v>ZSI1_WOOD_STRCTRALT_DENUM_UOM5</v>
      </c>
    </row>
    <row r="14787" ht="15.75" customHeight="1">
      <c r="A14787" s="59"/>
      <c r="B14787" s="63">
        <f t="shared" si="1"/>
        <v>16</v>
      </c>
      <c r="C14787" s="135" t="s">
        <v>482</v>
      </c>
      <c r="D14787" s="161" t="s">
        <v>74</v>
      </c>
      <c r="E14787" s="135">
        <f t="shared" si="62"/>
        <v>31</v>
      </c>
      <c r="F14787" s="134" t="s">
        <v>3818</v>
      </c>
      <c r="G14787" s="63" t="str">
        <f>VLOOKUP(C14787, 'Class Def. - General Data'!$C$20:$C$1000,1,false)</f>
        <v>ZSI1_WOOD_STRCTR</v>
      </c>
      <c r="H14787" s="63" t="str">
        <f>IFERROR(__xludf.DUMMYFUNCTION("VLOOKUP(F14787, IMPORTRANGE(""https://docs.google.com/spreadsheets/d/1Lhp9OU0JdFf_VYSMzH5lBcEaU4o8teT1piV-SNzShjg/edit?gid=554141278#gid=554141278"", ""'Char Def. - Attributes'!C20:C2242""), 1,false)"),"ALT_NUM_UOM5")</f>
        <v>ALT_NUM_UOM5</v>
      </c>
      <c r="R14787" s="63" t="str">
        <f t="shared" si="60"/>
        <v>ZSI1_WOOD_STRCTRALT_NUM_UOM5</v>
      </c>
    </row>
    <row r="14788" ht="15.75" customHeight="1">
      <c r="A14788" s="59"/>
      <c r="B14788" s="63">
        <f t="shared" si="1"/>
        <v>18</v>
      </c>
      <c r="C14788" s="135" t="s">
        <v>483</v>
      </c>
      <c r="D14788" s="161" t="s">
        <v>74</v>
      </c>
      <c r="E14788" s="135">
        <f t="shared" si="62"/>
        <v>1</v>
      </c>
      <c r="F14788" s="134" t="s">
        <v>5671</v>
      </c>
      <c r="G14788" s="63" t="str">
        <f>VLOOKUP(C14788, 'Class Def. - General Data'!$C$20:$C$1000,1,false)</f>
        <v>ZSI1_WRAPPING_BAND</v>
      </c>
      <c r="H14788" s="63" t="str">
        <f>IFERROR(__xludf.DUMMYFUNCTION("VLOOKUP(F14788, IMPORTRANGE(""https://docs.google.com/spreadsheets/d/1Lhp9OU0JdFf_VYSMzH5lBcEaU4o8teT1piV-SNzShjg/edit?gid=554141278#gid=554141278"", ""'Char Def. - Attributes'!C20:C2242""), 1,false)"),"ITEM_NAME_WRAPPING_BAND")</f>
        <v>ITEM_NAME_WRAPPING_BAND</v>
      </c>
      <c r="R14788" s="63" t="str">
        <f t="shared" si="60"/>
        <v>ZSI1_WRAPPING_BANDITEM_NAME_WRAPPING_BAND</v>
      </c>
    </row>
    <row r="14789" ht="15.75" customHeight="1">
      <c r="A14789" s="59"/>
      <c r="B14789" s="63">
        <f t="shared" si="1"/>
        <v>18</v>
      </c>
      <c r="C14789" s="135" t="s">
        <v>483</v>
      </c>
      <c r="D14789" s="161" t="s">
        <v>74</v>
      </c>
      <c r="E14789" s="135">
        <f t="shared" si="62"/>
        <v>2</v>
      </c>
      <c r="F14789" s="134" t="s">
        <v>5672</v>
      </c>
      <c r="G14789" s="63" t="str">
        <f>VLOOKUP(C14789, 'Class Def. - General Data'!$C$20:$C$1000,1,false)</f>
        <v>ZSI1_WRAPPING_BAND</v>
      </c>
      <c r="H14789" s="63" t="str">
        <f>IFERROR(__xludf.DUMMYFUNCTION("VLOOKUP(F14789, IMPORTRANGE(""https://docs.google.com/spreadsheets/d/1Lhp9OU0JdFf_VYSMzH5lBcEaU4o8teT1piV-SNzShjg/edit?gid=554141278#gid=554141278"", ""'Char Def. - Attributes'!C20:C2242""), 1,false)"),"SIZE_DESIGNATION_WRAPPING_BAND")</f>
        <v>SIZE_DESIGNATION_WRAPPING_BAND</v>
      </c>
      <c r="R14789" s="63" t="str">
        <f t="shared" si="60"/>
        <v>ZSI1_WRAPPING_BANDSIZE_DESIGNATION_WRAPPING_BAND</v>
      </c>
    </row>
    <row r="14790" ht="15.75" customHeight="1">
      <c r="A14790" s="59"/>
      <c r="B14790" s="63">
        <f t="shared" si="1"/>
        <v>18</v>
      </c>
      <c r="C14790" s="135" t="s">
        <v>483</v>
      </c>
      <c r="D14790" s="161" t="s">
        <v>74</v>
      </c>
      <c r="E14790" s="135">
        <f t="shared" si="62"/>
        <v>3</v>
      </c>
      <c r="F14790" s="134" t="s">
        <v>3585</v>
      </c>
      <c r="G14790" s="63" t="str">
        <f>VLOOKUP(C14790, 'Class Def. - General Data'!$C$20:$C$1000,1,false)</f>
        <v>ZSI1_WRAPPING_BAND</v>
      </c>
      <c r="H14790" s="63" t="str">
        <f>IFERROR(__xludf.DUMMYFUNCTION("VLOOKUP(F14790, IMPORTRANGE(""https://docs.google.com/spreadsheets/d/1Lhp9OU0JdFf_VYSMzH5lBcEaU4o8teT1piV-SNzShjg/edit?gid=554141278#gid=554141278"", ""'Char Def. - Attributes'!C20:C2242""), 1,false)"),"HS_CODE")</f>
        <v>HS_CODE</v>
      </c>
      <c r="R14790" s="63" t="str">
        <f t="shared" si="60"/>
        <v>ZSI1_WRAPPING_BANDHS_CODE</v>
      </c>
    </row>
    <row r="14791" ht="15.75" customHeight="1">
      <c r="A14791" s="59"/>
      <c r="B14791" s="63">
        <f t="shared" si="1"/>
        <v>18</v>
      </c>
      <c r="C14791" s="135" t="s">
        <v>483</v>
      </c>
      <c r="D14791" s="161" t="s">
        <v>74</v>
      </c>
      <c r="E14791" s="135">
        <f t="shared" si="62"/>
        <v>4</v>
      </c>
      <c r="F14791" s="134" t="s">
        <v>3587</v>
      </c>
      <c r="G14791" s="63" t="str">
        <f>VLOOKUP(C14791, 'Class Def. - General Data'!$C$20:$C$1000,1,false)</f>
        <v>ZSI1_WRAPPING_BAND</v>
      </c>
      <c r="H14791" s="63" t="str">
        <f>IFERROR(__xludf.DUMMYFUNCTION("VLOOKUP(F14791, IMPORTRANGE(""https://docs.google.com/spreadsheets/d/1Lhp9OU0JdFf_VYSMzH5lBcEaU4o8teT1piV-SNzShjg/edit?gid=554141278#gid=554141278"", ""'Char Def. - Attributes'!C20:C2242""), 1,false)"),"PLANT_BUY")</f>
        <v>PLANT_BUY</v>
      </c>
      <c r="R14791" s="63" t="str">
        <f t="shared" si="60"/>
        <v>ZSI1_WRAPPING_BANDPLANT_BUY</v>
      </c>
    </row>
    <row r="14792" ht="15.75" customHeight="1">
      <c r="A14792" s="59"/>
      <c r="B14792" s="63">
        <f t="shared" si="1"/>
        <v>18</v>
      </c>
      <c r="C14792" s="135" t="s">
        <v>483</v>
      </c>
      <c r="D14792" s="161" t="s">
        <v>74</v>
      </c>
      <c r="E14792" s="135">
        <f t="shared" si="62"/>
        <v>5</v>
      </c>
      <c r="F14792" s="134" t="s">
        <v>5673</v>
      </c>
      <c r="G14792" s="63" t="str">
        <f>VLOOKUP(C14792, 'Class Def. - General Data'!$C$20:$C$1000,1,false)</f>
        <v>ZSI1_WRAPPING_BAND</v>
      </c>
      <c r="H14792" s="63" t="str">
        <f>IFERROR(__xludf.DUMMYFUNCTION("VLOOKUP(F14792, IMPORTRANGE(""https://docs.google.com/spreadsheets/d/1Lhp9OU0JdFf_VYSMzH5lBcEaU4o8teT1piV-SNzShjg/edit?gid=554141278#gid=554141278"", ""'Char Def. - Attributes'!C20:C2242""), 1,false)"),"BASE_UOM_WRAPPING_BAND")</f>
        <v>BASE_UOM_WRAPPING_BAND</v>
      </c>
      <c r="R14792" s="63" t="str">
        <f t="shared" si="60"/>
        <v>ZSI1_WRAPPING_BANDBASE_UOM_WRAPPING_BAND</v>
      </c>
    </row>
    <row r="14793" ht="15.75" customHeight="1">
      <c r="A14793" s="59"/>
      <c r="B14793" s="63">
        <f t="shared" si="1"/>
        <v>18</v>
      </c>
      <c r="C14793" s="135" t="s">
        <v>483</v>
      </c>
      <c r="D14793" s="161" t="s">
        <v>74</v>
      </c>
      <c r="E14793" s="135">
        <f t="shared" si="62"/>
        <v>6</v>
      </c>
      <c r="F14793" s="134" t="s">
        <v>5674</v>
      </c>
      <c r="G14793" s="63" t="str">
        <f>VLOOKUP(C14793, 'Class Def. - General Data'!$C$20:$C$1000,1,false)</f>
        <v>ZSI1_WRAPPING_BAND</v>
      </c>
      <c r="H14793" s="63" t="str">
        <f>IFERROR(__xludf.DUMMYFUNCTION("VLOOKUP(F14793, IMPORTRANGE(""https://docs.google.com/spreadsheets/d/1Lhp9OU0JdFf_VYSMzH5lBcEaU4o8teT1piV-SNzShjg/edit?gid=554141278#gid=554141278"", ""'Char Def. - Attributes'!C20:C2242""), 1,false)"),"ORDER_UNIT_WRAPPING_BAND")</f>
        <v>ORDER_UNIT_WRAPPING_BAND</v>
      </c>
      <c r="R14793" s="63" t="str">
        <f t="shared" si="60"/>
        <v>ZSI1_WRAPPING_BANDORDER_UNIT_WRAPPING_BAND</v>
      </c>
    </row>
    <row r="14794" ht="15.75" customHeight="1">
      <c r="A14794" s="59"/>
      <c r="B14794" s="63">
        <f t="shared" si="1"/>
        <v>18</v>
      </c>
      <c r="C14794" s="135" t="s">
        <v>483</v>
      </c>
      <c r="D14794" s="161" t="s">
        <v>74</v>
      </c>
      <c r="E14794" s="135">
        <f t="shared" si="62"/>
        <v>7</v>
      </c>
      <c r="F14794" s="134" t="s">
        <v>4056</v>
      </c>
      <c r="G14794" s="63" t="str">
        <f>VLOOKUP(C14794, 'Class Def. - General Data'!$C$20:$C$1000,1,false)</f>
        <v>ZSI1_WRAPPING_BAND</v>
      </c>
      <c r="H14794" s="63" t="str">
        <f>IFERROR(__xludf.DUMMYFUNCTION("VLOOKUP(F14794, IMPORTRANGE(""https://docs.google.com/spreadsheets/d/1Lhp9OU0JdFf_VYSMzH5lBcEaU4o8teT1piV-SNzShjg/edit?gid=554141278#gid=554141278"", ""'Char Def. - Attributes'!C20:C2242""), 1,false)"),"GROSS_WEIGHT_OPT")</f>
        <v>GROSS_WEIGHT_OPT</v>
      </c>
      <c r="R14794" s="63" t="str">
        <f t="shared" si="60"/>
        <v>ZSI1_WRAPPING_BANDGROSS_WEIGHT_OPT</v>
      </c>
    </row>
    <row r="14795" ht="15.75" customHeight="1">
      <c r="A14795" s="59"/>
      <c r="B14795" s="63">
        <f t="shared" si="1"/>
        <v>18</v>
      </c>
      <c r="C14795" s="135" t="s">
        <v>483</v>
      </c>
      <c r="D14795" s="161" t="s">
        <v>74</v>
      </c>
      <c r="E14795" s="135">
        <f t="shared" si="62"/>
        <v>8</v>
      </c>
      <c r="F14795" s="134" t="s">
        <v>4057</v>
      </c>
      <c r="G14795" s="63" t="str">
        <f>VLOOKUP(C14795, 'Class Def. - General Data'!$C$20:$C$1000,1,false)</f>
        <v>ZSI1_WRAPPING_BAND</v>
      </c>
      <c r="H14795" s="63" t="str">
        <f>IFERROR(__xludf.DUMMYFUNCTION("VLOOKUP(F14795, IMPORTRANGE(""https://docs.google.com/spreadsheets/d/1Lhp9OU0JdFf_VYSMzH5lBcEaU4o8teT1piV-SNzShjg/edit?gid=554141278#gid=554141278"", ""'Char Def. - Attributes'!C20:C2242""), 1,false)"),"NET_WEIGHT_OPT")</f>
        <v>NET_WEIGHT_OPT</v>
      </c>
      <c r="R14795" s="63" t="str">
        <f t="shared" si="60"/>
        <v>ZSI1_WRAPPING_BANDNET_WEIGHT_OPT</v>
      </c>
    </row>
    <row r="14796" ht="15.75" customHeight="1">
      <c r="A14796" s="59"/>
      <c r="B14796" s="63">
        <f t="shared" si="1"/>
        <v>18</v>
      </c>
      <c r="C14796" s="135" t="s">
        <v>483</v>
      </c>
      <c r="D14796" s="161" t="s">
        <v>74</v>
      </c>
      <c r="E14796" s="135">
        <f t="shared" si="62"/>
        <v>9</v>
      </c>
      <c r="F14796" s="134" t="s">
        <v>4058</v>
      </c>
      <c r="G14796" s="63" t="str">
        <f>VLOOKUP(C14796, 'Class Def. - General Data'!$C$20:$C$1000,1,false)</f>
        <v>ZSI1_WRAPPING_BAND</v>
      </c>
      <c r="H14796" s="63" t="str">
        <f>IFERROR(__xludf.DUMMYFUNCTION("VLOOKUP(F14796, IMPORTRANGE(""https://docs.google.com/spreadsheets/d/1Lhp9OU0JdFf_VYSMzH5lBcEaU4o8teT1piV-SNzShjg/edit?gid=554141278#gid=554141278"", ""'Char Def. - Attributes'!C20:C2242""), 1,false)"),"WEIGHT_UNIT_SI")</f>
        <v>WEIGHT_UNIT_SI</v>
      </c>
      <c r="R14796" s="63" t="str">
        <f t="shared" si="60"/>
        <v>ZSI1_WRAPPING_BANDWEIGHT_UNIT_SI</v>
      </c>
    </row>
    <row r="14797" ht="15.75" customHeight="1">
      <c r="A14797" s="59"/>
      <c r="B14797" s="63">
        <f t="shared" si="1"/>
        <v>18</v>
      </c>
      <c r="C14797" s="135" t="s">
        <v>483</v>
      </c>
      <c r="D14797" s="161" t="s">
        <v>74</v>
      </c>
      <c r="E14797" s="135">
        <f t="shared" si="62"/>
        <v>10</v>
      </c>
      <c r="F14797" s="134" t="s">
        <v>3877</v>
      </c>
      <c r="G14797" s="63" t="str">
        <f>VLOOKUP(C14797, 'Class Def. - General Data'!$C$20:$C$1000,1,false)</f>
        <v>ZSI1_WRAPPING_BAND</v>
      </c>
      <c r="H14797" s="63" t="str">
        <f>IFERROR(__xludf.DUMMYFUNCTION("VLOOKUP(F14797, IMPORTRANGE(""https://docs.google.com/spreadsheets/d/1Lhp9OU0JdFf_VYSMzH5lBcEaU4o8teT1piV-SNzShjg/edit?gid=554141278#gid=554141278"", ""'Char Def. - Attributes'!C20:C2242""), 1,false)"),"VOLUME_OPT")</f>
        <v>VOLUME_OPT</v>
      </c>
      <c r="R14797" s="63" t="str">
        <f t="shared" si="60"/>
        <v>ZSI1_WRAPPING_BANDVOLUME_OPT</v>
      </c>
    </row>
    <row r="14798" ht="15.75" customHeight="1">
      <c r="A14798" s="59"/>
      <c r="B14798" s="63">
        <f t="shared" si="1"/>
        <v>18</v>
      </c>
      <c r="C14798" s="135" t="s">
        <v>483</v>
      </c>
      <c r="D14798" s="161" t="s">
        <v>74</v>
      </c>
      <c r="E14798" s="135">
        <f t="shared" si="62"/>
        <v>11</v>
      </c>
      <c r="F14798" s="134" t="s">
        <v>4059</v>
      </c>
      <c r="G14798" s="63" t="str">
        <f>VLOOKUP(C14798, 'Class Def. - General Data'!$C$20:$C$1000,1,false)</f>
        <v>ZSI1_WRAPPING_BAND</v>
      </c>
      <c r="H14798" s="63" t="str">
        <f>IFERROR(__xludf.DUMMYFUNCTION("VLOOKUP(F14798, IMPORTRANGE(""https://docs.google.com/spreadsheets/d/1Lhp9OU0JdFf_VYSMzH5lBcEaU4o8teT1piV-SNzShjg/edit?gid=554141278#gid=554141278"", ""'Char Def. - Attributes'!C20:C2242""), 1,false)"),"VOLUME_UNIT_SI")</f>
        <v>VOLUME_UNIT_SI</v>
      </c>
      <c r="R14798" s="63" t="str">
        <f t="shared" si="60"/>
        <v>ZSI1_WRAPPING_BANDVOLUME_UNIT_SI</v>
      </c>
    </row>
    <row r="14799" ht="15.75" customHeight="1">
      <c r="A14799" s="59"/>
      <c r="B14799" s="63">
        <f t="shared" si="1"/>
        <v>18</v>
      </c>
      <c r="C14799" s="135" t="s">
        <v>483</v>
      </c>
      <c r="D14799" s="161" t="s">
        <v>74</v>
      </c>
      <c r="E14799" s="135">
        <f t="shared" si="62"/>
        <v>12</v>
      </c>
      <c r="F14799" s="134" t="s">
        <v>3804</v>
      </c>
      <c r="G14799" s="63" t="str">
        <f>VLOOKUP(C14799, 'Class Def. - General Data'!$C$20:$C$1000,1,false)</f>
        <v>ZSI1_WRAPPING_BAND</v>
      </c>
      <c r="H14799" s="63" t="str">
        <f>IFERROR(__xludf.DUMMYFUNCTION("VLOOKUP(F14799, IMPORTRANGE(""https://docs.google.com/spreadsheets/d/1Lhp9OU0JdFf_VYSMzH5lBcEaU4o8teT1piV-SNzShjg/edit?gid=554141278#gid=554141278"", ""'Char Def. - Attributes'!C20:C2242""), 1,false)"),"ALT_UOM1_SIPI")</f>
        <v>ALT_UOM1_SIPI</v>
      </c>
      <c r="R14799" s="63" t="str">
        <f t="shared" si="60"/>
        <v>ZSI1_WRAPPING_BANDALT_UOM1_SIPI</v>
      </c>
    </row>
    <row r="14800" ht="15.75" customHeight="1">
      <c r="A14800" s="59"/>
      <c r="B14800" s="63">
        <f t="shared" si="1"/>
        <v>18</v>
      </c>
      <c r="C14800" s="135" t="s">
        <v>483</v>
      </c>
      <c r="D14800" s="161" t="s">
        <v>74</v>
      </c>
      <c r="E14800" s="135">
        <f t="shared" si="62"/>
        <v>13</v>
      </c>
      <c r="F14800" s="134" t="s">
        <v>3805</v>
      </c>
      <c r="G14800" s="63" t="str">
        <f>VLOOKUP(C14800, 'Class Def. - General Data'!$C$20:$C$1000,1,false)</f>
        <v>ZSI1_WRAPPING_BAND</v>
      </c>
      <c r="H14800" s="63" t="str">
        <f>IFERROR(__xludf.DUMMYFUNCTION("VLOOKUP(F14800, IMPORTRANGE(""https://docs.google.com/spreadsheets/d/1Lhp9OU0JdFf_VYSMzH5lBcEaU4o8teT1piV-SNzShjg/edit?gid=554141278#gid=554141278"", ""'Char Def. - Attributes'!C20:C2242""), 1,false)"),"ALT_DENUM_UOM1")</f>
        <v>ALT_DENUM_UOM1</v>
      </c>
      <c r="R14800" s="63" t="str">
        <f t="shared" si="60"/>
        <v>ZSI1_WRAPPING_BANDALT_DENUM_UOM1</v>
      </c>
    </row>
    <row r="14801" ht="15.75" customHeight="1">
      <c r="A14801" s="59"/>
      <c r="B14801" s="63">
        <f t="shared" si="1"/>
        <v>18</v>
      </c>
      <c r="C14801" s="135" t="s">
        <v>483</v>
      </c>
      <c r="D14801" s="161" t="s">
        <v>74</v>
      </c>
      <c r="E14801" s="135">
        <f t="shared" si="62"/>
        <v>14</v>
      </c>
      <c r="F14801" s="134" t="s">
        <v>3806</v>
      </c>
      <c r="G14801" s="63" t="str">
        <f>VLOOKUP(C14801, 'Class Def. - General Data'!$C$20:$C$1000,1,false)</f>
        <v>ZSI1_WRAPPING_BAND</v>
      </c>
      <c r="H14801" s="63" t="str">
        <f>IFERROR(__xludf.DUMMYFUNCTION("VLOOKUP(F14801, IMPORTRANGE(""https://docs.google.com/spreadsheets/d/1Lhp9OU0JdFf_VYSMzH5lBcEaU4o8teT1piV-SNzShjg/edit?gid=554141278#gid=554141278"", ""'Char Def. - Attributes'!C20:C2242""), 1,false)"),"ALT_NUM_UOM1")</f>
        <v>ALT_NUM_UOM1</v>
      </c>
      <c r="R14801" s="63" t="str">
        <f t="shared" si="60"/>
        <v>ZSI1_WRAPPING_BANDALT_NUM_UOM1</v>
      </c>
    </row>
    <row r="14802" ht="15.75" customHeight="1">
      <c r="A14802" s="59"/>
      <c r="B14802" s="63">
        <f t="shared" si="1"/>
        <v>18</v>
      </c>
      <c r="C14802" s="135" t="s">
        <v>483</v>
      </c>
      <c r="D14802" s="161" t="s">
        <v>74</v>
      </c>
      <c r="E14802" s="135">
        <f t="shared" si="62"/>
        <v>15</v>
      </c>
      <c r="F14802" s="134" t="s">
        <v>3807</v>
      </c>
      <c r="G14802" s="63" t="str">
        <f>VLOOKUP(C14802, 'Class Def. - General Data'!$C$20:$C$1000,1,false)</f>
        <v>ZSI1_WRAPPING_BAND</v>
      </c>
      <c r="H14802" s="63" t="str">
        <f>IFERROR(__xludf.DUMMYFUNCTION("VLOOKUP(F14802, IMPORTRANGE(""https://docs.google.com/spreadsheets/d/1Lhp9OU0JdFf_VYSMzH5lBcEaU4o8teT1piV-SNzShjg/edit?gid=554141278#gid=554141278"", ""'Char Def. - Attributes'!C20:C2242""), 1,false)"),"ALT_UOM2_SIPI")</f>
        <v>ALT_UOM2_SIPI</v>
      </c>
      <c r="R14802" s="63" t="str">
        <f t="shared" si="60"/>
        <v>ZSI1_WRAPPING_BANDALT_UOM2_SIPI</v>
      </c>
    </row>
    <row r="14803" ht="15.75" customHeight="1">
      <c r="A14803" s="59"/>
      <c r="B14803" s="63">
        <f t="shared" si="1"/>
        <v>18</v>
      </c>
      <c r="C14803" s="135" t="s">
        <v>483</v>
      </c>
      <c r="D14803" s="161" t="s">
        <v>74</v>
      </c>
      <c r="E14803" s="135">
        <f t="shared" si="62"/>
        <v>16</v>
      </c>
      <c r="F14803" s="134" t="s">
        <v>3808</v>
      </c>
      <c r="G14803" s="63" t="str">
        <f>VLOOKUP(C14803, 'Class Def. - General Data'!$C$20:$C$1000,1,false)</f>
        <v>ZSI1_WRAPPING_BAND</v>
      </c>
      <c r="H14803" s="63" t="str">
        <f>IFERROR(__xludf.DUMMYFUNCTION("VLOOKUP(F14803, IMPORTRANGE(""https://docs.google.com/spreadsheets/d/1Lhp9OU0JdFf_VYSMzH5lBcEaU4o8teT1piV-SNzShjg/edit?gid=554141278#gid=554141278"", ""'Char Def. - Attributes'!C20:C2242""), 1,false)"),"ALT_DENUM_UOM2")</f>
        <v>ALT_DENUM_UOM2</v>
      </c>
      <c r="R14803" s="63" t="str">
        <f t="shared" si="60"/>
        <v>ZSI1_WRAPPING_BANDALT_DENUM_UOM2</v>
      </c>
    </row>
    <row r="14804" ht="15.75" customHeight="1">
      <c r="A14804" s="59"/>
      <c r="B14804" s="63">
        <f t="shared" si="1"/>
        <v>18</v>
      </c>
      <c r="C14804" s="135" t="s">
        <v>483</v>
      </c>
      <c r="D14804" s="161" t="s">
        <v>74</v>
      </c>
      <c r="E14804" s="135">
        <f t="shared" si="62"/>
        <v>17</v>
      </c>
      <c r="F14804" s="134" t="s">
        <v>3809</v>
      </c>
      <c r="G14804" s="63" t="str">
        <f>VLOOKUP(C14804, 'Class Def. - General Data'!$C$20:$C$1000,1,false)</f>
        <v>ZSI1_WRAPPING_BAND</v>
      </c>
      <c r="H14804" s="63" t="str">
        <f>IFERROR(__xludf.DUMMYFUNCTION("VLOOKUP(F14804, IMPORTRANGE(""https://docs.google.com/spreadsheets/d/1Lhp9OU0JdFf_VYSMzH5lBcEaU4o8teT1piV-SNzShjg/edit?gid=554141278#gid=554141278"", ""'Char Def. - Attributes'!C20:C2242""), 1,false)"),"ALT_NUM_UOM2")</f>
        <v>ALT_NUM_UOM2</v>
      </c>
      <c r="R14804" s="63" t="str">
        <f t="shared" si="60"/>
        <v>ZSI1_WRAPPING_BANDALT_NUM_UOM2</v>
      </c>
    </row>
    <row r="14805" ht="15.75" customHeight="1">
      <c r="A14805" s="59"/>
      <c r="B14805" s="63">
        <f t="shared" si="1"/>
        <v>18</v>
      </c>
      <c r="C14805" s="135" t="s">
        <v>483</v>
      </c>
      <c r="D14805" s="161" t="s">
        <v>74</v>
      </c>
      <c r="E14805" s="135">
        <f t="shared" si="62"/>
        <v>18</v>
      </c>
      <c r="F14805" s="134" t="s">
        <v>3810</v>
      </c>
      <c r="G14805" s="63" t="str">
        <f>VLOOKUP(C14805, 'Class Def. - General Data'!$C$20:$C$1000,1,false)</f>
        <v>ZSI1_WRAPPING_BAND</v>
      </c>
      <c r="H14805" s="63" t="str">
        <f>IFERROR(__xludf.DUMMYFUNCTION("VLOOKUP(F14805, IMPORTRANGE(""https://docs.google.com/spreadsheets/d/1Lhp9OU0JdFf_VYSMzH5lBcEaU4o8teT1piV-SNzShjg/edit?gid=554141278#gid=554141278"", ""'Char Def. - Attributes'!C20:C2242""), 1,false)"),"ALT_UOM3_SIPI")</f>
        <v>ALT_UOM3_SIPI</v>
      </c>
      <c r="R14805" s="63" t="str">
        <f t="shared" si="60"/>
        <v>ZSI1_WRAPPING_BANDALT_UOM3_SIPI</v>
      </c>
    </row>
    <row r="14806" ht="15.75" customHeight="1">
      <c r="A14806" s="59"/>
      <c r="B14806" s="63">
        <f t="shared" si="1"/>
        <v>18</v>
      </c>
      <c r="C14806" s="135" t="s">
        <v>483</v>
      </c>
      <c r="D14806" s="161" t="s">
        <v>74</v>
      </c>
      <c r="E14806" s="135">
        <f t="shared" si="62"/>
        <v>19</v>
      </c>
      <c r="F14806" s="134" t="s">
        <v>3811</v>
      </c>
      <c r="G14806" s="63" t="str">
        <f>VLOOKUP(C14806, 'Class Def. - General Data'!$C$20:$C$1000,1,false)</f>
        <v>ZSI1_WRAPPING_BAND</v>
      </c>
      <c r="H14806" s="63" t="str">
        <f>IFERROR(__xludf.DUMMYFUNCTION("VLOOKUP(F14806, IMPORTRANGE(""https://docs.google.com/spreadsheets/d/1Lhp9OU0JdFf_VYSMzH5lBcEaU4o8teT1piV-SNzShjg/edit?gid=554141278#gid=554141278"", ""'Char Def. - Attributes'!C20:C2242""), 1,false)"),"ALT_DENUM_UOM3")</f>
        <v>ALT_DENUM_UOM3</v>
      </c>
      <c r="R14806" s="63" t="str">
        <f t="shared" si="60"/>
        <v>ZSI1_WRAPPING_BANDALT_DENUM_UOM3</v>
      </c>
    </row>
    <row r="14807" ht="15.75" customHeight="1">
      <c r="A14807" s="59"/>
      <c r="B14807" s="63">
        <f t="shared" si="1"/>
        <v>18</v>
      </c>
      <c r="C14807" s="135" t="s">
        <v>483</v>
      </c>
      <c r="D14807" s="161" t="s">
        <v>74</v>
      </c>
      <c r="E14807" s="135">
        <f t="shared" si="62"/>
        <v>20</v>
      </c>
      <c r="F14807" s="134" t="s">
        <v>3812</v>
      </c>
      <c r="G14807" s="63" t="str">
        <f>VLOOKUP(C14807, 'Class Def. - General Data'!$C$20:$C$1000,1,false)</f>
        <v>ZSI1_WRAPPING_BAND</v>
      </c>
      <c r="H14807" s="63" t="str">
        <f>IFERROR(__xludf.DUMMYFUNCTION("VLOOKUP(F14807, IMPORTRANGE(""https://docs.google.com/spreadsheets/d/1Lhp9OU0JdFf_VYSMzH5lBcEaU4o8teT1piV-SNzShjg/edit?gid=554141278#gid=554141278"", ""'Char Def. - Attributes'!C20:C2242""), 1,false)"),"ALT_NUM_UOM3")</f>
        <v>ALT_NUM_UOM3</v>
      </c>
      <c r="R14807" s="63" t="str">
        <f t="shared" si="60"/>
        <v>ZSI1_WRAPPING_BANDALT_NUM_UOM3</v>
      </c>
    </row>
    <row r="14808" ht="15.75" customHeight="1">
      <c r="A14808" s="59"/>
      <c r="B14808" s="63">
        <f t="shared" si="1"/>
        <v>18</v>
      </c>
      <c r="C14808" s="135" t="s">
        <v>483</v>
      </c>
      <c r="D14808" s="161" t="s">
        <v>74</v>
      </c>
      <c r="E14808" s="135">
        <f t="shared" si="62"/>
        <v>21</v>
      </c>
      <c r="F14808" s="134" t="s">
        <v>3813</v>
      </c>
      <c r="G14808" s="63" t="str">
        <f>VLOOKUP(C14808, 'Class Def. - General Data'!$C$20:$C$1000,1,false)</f>
        <v>ZSI1_WRAPPING_BAND</v>
      </c>
      <c r="H14808" s="63" t="str">
        <f>IFERROR(__xludf.DUMMYFUNCTION("VLOOKUP(F14808, IMPORTRANGE(""https://docs.google.com/spreadsheets/d/1Lhp9OU0JdFf_VYSMzH5lBcEaU4o8teT1piV-SNzShjg/edit?gid=554141278#gid=554141278"", ""'Char Def. - Attributes'!C20:C2242""), 1,false)"),"ALT_UOM4_SIPI")</f>
        <v>ALT_UOM4_SIPI</v>
      </c>
      <c r="R14808" s="63" t="str">
        <f t="shared" si="60"/>
        <v>ZSI1_WRAPPING_BANDALT_UOM4_SIPI</v>
      </c>
    </row>
    <row r="14809" ht="15.75" customHeight="1">
      <c r="A14809" s="59"/>
      <c r="B14809" s="63">
        <f t="shared" si="1"/>
        <v>18</v>
      </c>
      <c r="C14809" s="135" t="s">
        <v>483</v>
      </c>
      <c r="D14809" s="161" t="s">
        <v>74</v>
      </c>
      <c r="E14809" s="135">
        <f t="shared" si="62"/>
        <v>22</v>
      </c>
      <c r="F14809" s="134" t="s">
        <v>3814</v>
      </c>
      <c r="G14809" s="63" t="str">
        <f>VLOOKUP(C14809, 'Class Def. - General Data'!$C$20:$C$1000,1,false)</f>
        <v>ZSI1_WRAPPING_BAND</v>
      </c>
      <c r="H14809" s="63" t="str">
        <f>IFERROR(__xludf.DUMMYFUNCTION("VLOOKUP(F14809, IMPORTRANGE(""https://docs.google.com/spreadsheets/d/1Lhp9OU0JdFf_VYSMzH5lBcEaU4o8teT1piV-SNzShjg/edit?gid=554141278#gid=554141278"", ""'Char Def. - Attributes'!C20:C2242""), 1,false)"),"ALT_DENUM_UOM4")</f>
        <v>ALT_DENUM_UOM4</v>
      </c>
      <c r="R14809" s="63" t="str">
        <f t="shared" si="60"/>
        <v>ZSI1_WRAPPING_BANDALT_DENUM_UOM4</v>
      </c>
    </row>
    <row r="14810" ht="15.75" customHeight="1">
      <c r="A14810" s="59"/>
      <c r="B14810" s="63">
        <f t="shared" si="1"/>
        <v>18</v>
      </c>
      <c r="C14810" s="135" t="s">
        <v>483</v>
      </c>
      <c r="D14810" s="161" t="s">
        <v>74</v>
      </c>
      <c r="E14810" s="135">
        <f t="shared" si="62"/>
        <v>23</v>
      </c>
      <c r="F14810" s="134" t="s">
        <v>3815</v>
      </c>
      <c r="G14810" s="63" t="str">
        <f>VLOOKUP(C14810, 'Class Def. - General Data'!$C$20:$C$1000,1,false)</f>
        <v>ZSI1_WRAPPING_BAND</v>
      </c>
      <c r="H14810" s="63" t="str">
        <f>IFERROR(__xludf.DUMMYFUNCTION("VLOOKUP(F14810, IMPORTRANGE(""https://docs.google.com/spreadsheets/d/1Lhp9OU0JdFf_VYSMzH5lBcEaU4o8teT1piV-SNzShjg/edit?gid=554141278#gid=554141278"", ""'Char Def. - Attributes'!C20:C2242""), 1,false)"),"ALT_NUM_UOM4")</f>
        <v>ALT_NUM_UOM4</v>
      </c>
      <c r="R14810" s="63" t="str">
        <f t="shared" si="60"/>
        <v>ZSI1_WRAPPING_BANDALT_NUM_UOM4</v>
      </c>
    </row>
    <row r="14811" ht="15.75" customHeight="1">
      <c r="A14811" s="59"/>
      <c r="B14811" s="63">
        <f t="shared" si="1"/>
        <v>18</v>
      </c>
      <c r="C14811" s="135" t="s">
        <v>483</v>
      </c>
      <c r="D14811" s="161" t="s">
        <v>74</v>
      </c>
      <c r="E14811" s="135">
        <f t="shared" si="62"/>
        <v>24</v>
      </c>
      <c r="F14811" s="134" t="s">
        <v>3816</v>
      </c>
      <c r="G14811" s="63" t="str">
        <f>VLOOKUP(C14811, 'Class Def. - General Data'!$C$20:$C$1000,1,false)</f>
        <v>ZSI1_WRAPPING_BAND</v>
      </c>
      <c r="H14811" s="63" t="str">
        <f>IFERROR(__xludf.DUMMYFUNCTION("VLOOKUP(F14811, IMPORTRANGE(""https://docs.google.com/spreadsheets/d/1Lhp9OU0JdFf_VYSMzH5lBcEaU4o8teT1piV-SNzShjg/edit?gid=554141278#gid=554141278"", ""'Char Def. - Attributes'!C20:C2242""), 1,false)"),"ALT_UOM5_SIPI")</f>
        <v>ALT_UOM5_SIPI</v>
      </c>
      <c r="R14811" s="63" t="str">
        <f t="shared" si="60"/>
        <v>ZSI1_WRAPPING_BANDALT_UOM5_SIPI</v>
      </c>
    </row>
    <row r="14812" ht="15.75" customHeight="1">
      <c r="A14812" s="59"/>
      <c r="B14812" s="63">
        <f t="shared" si="1"/>
        <v>18</v>
      </c>
      <c r="C14812" s="135" t="s">
        <v>483</v>
      </c>
      <c r="D14812" s="161" t="s">
        <v>74</v>
      </c>
      <c r="E14812" s="135">
        <f t="shared" si="62"/>
        <v>25</v>
      </c>
      <c r="F14812" s="134" t="s">
        <v>3817</v>
      </c>
      <c r="G14812" s="63" t="str">
        <f>VLOOKUP(C14812, 'Class Def. - General Data'!$C$20:$C$1000,1,false)</f>
        <v>ZSI1_WRAPPING_BAND</v>
      </c>
      <c r="H14812" s="63" t="str">
        <f>IFERROR(__xludf.DUMMYFUNCTION("VLOOKUP(F14812, IMPORTRANGE(""https://docs.google.com/spreadsheets/d/1Lhp9OU0JdFf_VYSMzH5lBcEaU4o8teT1piV-SNzShjg/edit?gid=554141278#gid=554141278"", ""'Char Def. - Attributes'!C20:C2242""), 1,false)"),"ALT_DENUM_UOM5")</f>
        <v>ALT_DENUM_UOM5</v>
      </c>
      <c r="R14812" s="63" t="str">
        <f t="shared" si="60"/>
        <v>ZSI1_WRAPPING_BANDALT_DENUM_UOM5</v>
      </c>
    </row>
    <row r="14813" ht="15.75" customHeight="1">
      <c r="A14813" s="59"/>
      <c r="B14813" s="63">
        <f t="shared" si="1"/>
        <v>18</v>
      </c>
      <c r="C14813" s="135" t="s">
        <v>483</v>
      </c>
      <c r="D14813" s="161" t="s">
        <v>74</v>
      </c>
      <c r="E14813" s="135">
        <f t="shared" si="62"/>
        <v>26</v>
      </c>
      <c r="F14813" s="134" t="s">
        <v>3818</v>
      </c>
      <c r="G14813" s="63" t="str">
        <f>VLOOKUP(C14813, 'Class Def. - General Data'!$C$20:$C$1000,1,false)</f>
        <v>ZSI1_WRAPPING_BAND</v>
      </c>
      <c r="H14813" s="63" t="str">
        <f>IFERROR(__xludf.DUMMYFUNCTION("VLOOKUP(F14813, IMPORTRANGE(""https://docs.google.com/spreadsheets/d/1Lhp9OU0JdFf_VYSMzH5lBcEaU4o8teT1piV-SNzShjg/edit?gid=554141278#gid=554141278"", ""'Char Def. - Attributes'!C20:C2242""), 1,false)"),"ALT_NUM_UOM5")</f>
        <v>ALT_NUM_UOM5</v>
      </c>
      <c r="R14813" s="63" t="str">
        <f t="shared" si="60"/>
        <v>ZSI1_WRAPPING_BANDALT_NUM_UOM5</v>
      </c>
    </row>
    <row r="14814" ht="15.75" customHeight="1">
      <c r="A14814" s="59"/>
      <c r="B14814" s="63">
        <f t="shared" si="1"/>
        <v>16</v>
      </c>
      <c r="C14814" s="135" t="s">
        <v>484</v>
      </c>
      <c r="D14814" s="161" t="s">
        <v>74</v>
      </c>
      <c r="E14814" s="135">
        <f t="shared" si="62"/>
        <v>1</v>
      </c>
      <c r="F14814" s="134" t="s">
        <v>5675</v>
      </c>
      <c r="G14814" s="63" t="str">
        <f>VLOOKUP(C14814, 'Class Def. - General Data'!$C$20:$C$1000,1,false)</f>
        <v>ZSI1_WRITE_ERASE</v>
      </c>
      <c r="H14814" s="63" t="str">
        <f>IFERROR(__xludf.DUMMYFUNCTION("VLOOKUP(F14814, IMPORTRANGE(""https://docs.google.com/spreadsheets/d/1Lhp9OU0JdFf_VYSMzH5lBcEaU4o8teT1piV-SNzShjg/edit?gid=554141278#gid=554141278"", ""'Char Def. - Attributes'!C20:C2242""), 1,false)"),"ITEM_NAME_WRITE_ERASE")</f>
        <v>ITEM_NAME_WRITE_ERASE</v>
      </c>
      <c r="R14814" s="63" t="str">
        <f t="shared" si="60"/>
        <v>ZSI1_WRITE_ERASEITEM_NAME_WRITE_ERASE</v>
      </c>
    </row>
    <row r="14815" ht="15.75" customHeight="1">
      <c r="A14815" s="59"/>
      <c r="B14815" s="63">
        <f t="shared" si="1"/>
        <v>16</v>
      </c>
      <c r="C14815" s="135" t="s">
        <v>484</v>
      </c>
      <c r="D14815" s="161" t="s">
        <v>74</v>
      </c>
      <c r="E14815" s="135">
        <f t="shared" si="62"/>
        <v>2</v>
      </c>
      <c r="F14815" s="134" t="s">
        <v>3779</v>
      </c>
      <c r="G14815" s="63" t="str">
        <f>VLOOKUP(C14815, 'Class Def. - General Data'!$C$20:$C$1000,1,false)</f>
        <v>ZSI1_WRITE_ERASE</v>
      </c>
      <c r="H14815" s="63" t="str">
        <f>IFERROR(__xludf.DUMMYFUNCTION("VLOOKUP(F14815, IMPORTRANGE(""https://docs.google.com/spreadsheets/d/1Lhp9OU0JdFf_VYSMzH5lBcEaU4o8teT1piV-SNzShjg/edit?gid=554141278#gid=554141278"", ""'Char Def. - Attributes'!C20:C2242""), 1,false)"),"EMBOSSED_BRAND_WINGS")</f>
        <v>EMBOSSED_BRAND_WINGS</v>
      </c>
      <c r="R14815" s="63" t="str">
        <f t="shared" si="60"/>
        <v>ZSI1_WRITE_ERASEEMBOSSED_BRAND_WINGS</v>
      </c>
    </row>
    <row r="14816" ht="15.75" customHeight="1">
      <c r="A14816" s="59"/>
      <c r="B14816" s="63">
        <f t="shared" si="1"/>
        <v>16</v>
      </c>
      <c r="C14816" s="135" t="s">
        <v>484</v>
      </c>
      <c r="D14816" s="161" t="s">
        <v>74</v>
      </c>
      <c r="E14816" s="135">
        <f t="shared" si="62"/>
        <v>3</v>
      </c>
      <c r="F14816" s="134" t="s">
        <v>3780</v>
      </c>
      <c r="G14816" s="63" t="str">
        <f>VLOOKUP(C14816, 'Class Def. - General Data'!$C$20:$C$1000,1,false)</f>
        <v>ZSI1_WRITE_ERASE</v>
      </c>
      <c r="H14816" s="63" t="str">
        <f>IFERROR(__xludf.DUMMYFUNCTION("VLOOKUP(F14816, IMPORTRANGE(""https://docs.google.com/spreadsheets/d/1Lhp9OU0JdFf_VYSMzH5lBcEaU4o8teT1piV-SNzShjg/edit?gid=554141278#gid=554141278"", ""'Char Def. - Attributes'!C20:C2242""), 1,false)"),"BRAND_WINGS_SIPI")</f>
        <v>BRAND_WINGS_SIPI</v>
      </c>
      <c r="R14816" s="63" t="str">
        <f t="shared" si="60"/>
        <v>ZSI1_WRITE_ERASEBRAND_WINGS_SIPI</v>
      </c>
    </row>
    <row r="14817" ht="15.75" customHeight="1">
      <c r="A14817" s="59"/>
      <c r="B14817" s="63">
        <f t="shared" si="1"/>
        <v>16</v>
      </c>
      <c r="C14817" s="135" t="s">
        <v>484</v>
      </c>
      <c r="D14817" s="161" t="s">
        <v>74</v>
      </c>
      <c r="E14817" s="135">
        <f t="shared" si="62"/>
        <v>4</v>
      </c>
      <c r="F14817" s="134" t="s">
        <v>3778</v>
      </c>
      <c r="G14817" s="63" t="str">
        <f>VLOOKUP(C14817, 'Class Def. - General Data'!$C$20:$C$1000,1,false)</f>
        <v>ZSI1_WRITE_ERASE</v>
      </c>
      <c r="H14817" s="63" t="str">
        <f>IFERROR(__xludf.DUMMYFUNCTION("VLOOKUP(F14817, IMPORTRANGE(""https://docs.google.com/spreadsheets/d/1Lhp9OU0JdFf_VYSMzH5lBcEaU4o8teT1piV-SNzShjg/edit?gid=554141278#gid=554141278"", ""'Char Def. - Attributes'!C20:C2242""), 1,false)"),"SPECIAL_ACTIVITY")</f>
        <v>SPECIAL_ACTIVITY</v>
      </c>
      <c r="R14817" s="63" t="str">
        <f t="shared" si="60"/>
        <v>ZSI1_WRITE_ERASESPECIAL_ACTIVITY</v>
      </c>
    </row>
    <row r="14818" ht="15.75" customHeight="1">
      <c r="A14818" s="59"/>
      <c r="B14818" s="63">
        <f t="shared" si="1"/>
        <v>16</v>
      </c>
      <c r="C14818" s="135" t="s">
        <v>484</v>
      </c>
      <c r="D14818" s="161" t="s">
        <v>74</v>
      </c>
      <c r="E14818" s="135">
        <f t="shared" si="62"/>
        <v>5</v>
      </c>
      <c r="F14818" s="134" t="s">
        <v>3782</v>
      </c>
      <c r="G14818" s="63" t="str">
        <f>VLOOKUP(C14818, 'Class Def. - General Data'!$C$20:$C$1000,1,false)</f>
        <v>ZSI1_WRITE_ERASE</v>
      </c>
      <c r="H14818" s="63" t="str">
        <f>IFERROR(__xludf.DUMMYFUNCTION("VLOOKUP(F14818, IMPORTRANGE(""https://docs.google.com/spreadsheets/d/1Lhp9OU0JdFf_VYSMzH5lBcEaU4o8teT1piV-SNzShjg/edit?gid=554141278#gid=554141278"", ""'Char Def. - Attributes'!C20:C2242""), 1,false)"),"BRAND_EXTERNAL")</f>
        <v>BRAND_EXTERNAL</v>
      </c>
      <c r="R14818" s="63" t="str">
        <f t="shared" si="60"/>
        <v>ZSI1_WRITE_ERASEBRAND_EXTERNAL</v>
      </c>
    </row>
    <row r="14819" ht="15.75" customHeight="1">
      <c r="A14819" s="59"/>
      <c r="B14819" s="63">
        <f t="shared" si="1"/>
        <v>16</v>
      </c>
      <c r="C14819" s="135" t="s">
        <v>484</v>
      </c>
      <c r="D14819" s="161" t="s">
        <v>74</v>
      </c>
      <c r="E14819" s="135">
        <f t="shared" si="62"/>
        <v>6</v>
      </c>
      <c r="F14819" s="134" t="s">
        <v>5676</v>
      </c>
      <c r="G14819" s="63" t="str">
        <f>VLOOKUP(C14819, 'Class Def. - General Data'!$C$20:$C$1000,1,false)</f>
        <v>ZSI1_WRITE_ERASE</v>
      </c>
      <c r="H14819" s="63" t="str">
        <f>IFERROR(__xludf.DUMMYFUNCTION("VLOOKUP(F14819, IMPORTRANGE(""https://docs.google.com/spreadsheets/d/1Lhp9OU0JdFf_VYSMzH5lBcEaU4o8teT1piV-SNzShjg/edit?gid=554141278#gid=554141278"", ""'Char Def. - Attributes'!C20:C2242""), 1,false)"),"SERIES_WRITE_ERASE")</f>
        <v>SERIES_WRITE_ERASE</v>
      </c>
      <c r="R14819" s="63" t="str">
        <f t="shared" si="60"/>
        <v>ZSI1_WRITE_ERASESERIES_WRITE_ERASE</v>
      </c>
    </row>
    <row r="14820" ht="15.75" customHeight="1">
      <c r="A14820" s="59"/>
      <c r="B14820" s="63">
        <f t="shared" si="1"/>
        <v>16</v>
      </c>
      <c r="C14820" s="135" t="s">
        <v>484</v>
      </c>
      <c r="D14820" s="161" t="s">
        <v>74</v>
      </c>
      <c r="E14820" s="135">
        <f t="shared" si="62"/>
        <v>7</v>
      </c>
      <c r="F14820" s="134" t="s">
        <v>4053</v>
      </c>
      <c r="G14820" s="63" t="str">
        <f>VLOOKUP(C14820, 'Class Def. - General Data'!$C$20:$C$1000,1,false)</f>
        <v>ZSI1_WRITE_ERASE</v>
      </c>
      <c r="H14820" s="63" t="str">
        <f>IFERROR(__xludf.DUMMYFUNCTION("VLOOKUP(F14820, IMPORTRANGE(""https://docs.google.com/spreadsheets/d/1Lhp9OU0JdFf_VYSMzH5lBcEaU4o8teT1piV-SNzShjg/edit?gid=554141278#gid=554141278"", ""'Char Def. - Attributes'!C20:C2242""), 1,false)"),"MAINTENANCE_ORDER_TYPE")</f>
        <v>MAINTENANCE_ORDER_TYPE</v>
      </c>
      <c r="R14820" s="63" t="str">
        <f t="shared" si="60"/>
        <v>ZSI1_WRITE_ERASEMAINTENANCE_ORDER_TYPE</v>
      </c>
    </row>
    <row r="14821" ht="15.75" customHeight="1">
      <c r="A14821" s="59"/>
      <c r="B14821" s="63">
        <f t="shared" si="1"/>
        <v>16</v>
      </c>
      <c r="C14821" s="135" t="s">
        <v>484</v>
      </c>
      <c r="D14821" s="161" t="s">
        <v>74</v>
      </c>
      <c r="E14821" s="135">
        <f t="shared" si="62"/>
        <v>8</v>
      </c>
      <c r="F14821" s="134" t="s">
        <v>3585</v>
      </c>
      <c r="G14821" s="63" t="str">
        <f>VLOOKUP(C14821, 'Class Def. - General Data'!$C$20:$C$1000,1,false)</f>
        <v>ZSI1_WRITE_ERASE</v>
      </c>
      <c r="H14821" s="63" t="str">
        <f>IFERROR(__xludf.DUMMYFUNCTION("VLOOKUP(F14821, IMPORTRANGE(""https://docs.google.com/spreadsheets/d/1Lhp9OU0JdFf_VYSMzH5lBcEaU4o8teT1piV-SNzShjg/edit?gid=554141278#gid=554141278"", ""'Char Def. - Attributes'!C20:C2242""), 1,false)"),"HS_CODE")</f>
        <v>HS_CODE</v>
      </c>
      <c r="R14821" s="63" t="str">
        <f t="shared" si="60"/>
        <v>ZSI1_WRITE_ERASEHS_CODE</v>
      </c>
    </row>
    <row r="14822" ht="15.75" customHeight="1">
      <c r="A14822" s="59"/>
      <c r="B14822" s="63">
        <f t="shared" si="1"/>
        <v>16</v>
      </c>
      <c r="C14822" s="135" t="s">
        <v>484</v>
      </c>
      <c r="D14822" s="161" t="s">
        <v>74</v>
      </c>
      <c r="E14822" s="135">
        <f t="shared" si="62"/>
        <v>9</v>
      </c>
      <c r="F14822" s="134" t="s">
        <v>3587</v>
      </c>
      <c r="G14822" s="63" t="str">
        <f>VLOOKUP(C14822, 'Class Def. - General Data'!$C$20:$C$1000,1,false)</f>
        <v>ZSI1_WRITE_ERASE</v>
      </c>
      <c r="H14822" s="63" t="str">
        <f>IFERROR(__xludf.DUMMYFUNCTION("VLOOKUP(F14822, IMPORTRANGE(""https://docs.google.com/spreadsheets/d/1Lhp9OU0JdFf_VYSMzH5lBcEaU4o8teT1piV-SNzShjg/edit?gid=554141278#gid=554141278"", ""'Char Def. - Attributes'!C20:C2242""), 1,false)"),"PLANT_BUY")</f>
        <v>PLANT_BUY</v>
      </c>
      <c r="R14822" s="63" t="str">
        <f t="shared" si="60"/>
        <v>ZSI1_WRITE_ERASEPLANT_BUY</v>
      </c>
    </row>
    <row r="14823" ht="15.75" customHeight="1">
      <c r="A14823" s="59"/>
      <c r="B14823" s="63">
        <f t="shared" si="1"/>
        <v>16</v>
      </c>
      <c r="C14823" s="135" t="s">
        <v>484</v>
      </c>
      <c r="D14823" s="161" t="s">
        <v>74</v>
      </c>
      <c r="E14823" s="135">
        <f t="shared" si="62"/>
        <v>10</v>
      </c>
      <c r="F14823" s="134" t="s">
        <v>5677</v>
      </c>
      <c r="G14823" s="63" t="str">
        <f>VLOOKUP(C14823, 'Class Def. - General Data'!$C$20:$C$1000,1,false)</f>
        <v>ZSI1_WRITE_ERASE</v>
      </c>
      <c r="H14823" s="63" t="str">
        <f>IFERROR(__xludf.DUMMYFUNCTION("VLOOKUP(F14823, IMPORTRANGE(""https://docs.google.com/spreadsheets/d/1Lhp9OU0JdFf_VYSMzH5lBcEaU4o8teT1piV-SNzShjg/edit?gid=554141278#gid=554141278"", ""'Char Def. - Attributes'!C20:C2242""), 1,false)"),"BASE_UOM_WRITE_ERASE")</f>
        <v>BASE_UOM_WRITE_ERASE</v>
      </c>
      <c r="R14823" s="63" t="str">
        <f t="shared" si="60"/>
        <v>ZSI1_WRITE_ERASEBASE_UOM_WRITE_ERASE</v>
      </c>
    </row>
    <row r="14824" ht="15.75" customHeight="1">
      <c r="A14824" s="59"/>
      <c r="B14824" s="63">
        <f t="shared" si="1"/>
        <v>16</v>
      </c>
      <c r="C14824" s="135" t="s">
        <v>484</v>
      </c>
      <c r="D14824" s="161" t="s">
        <v>74</v>
      </c>
      <c r="E14824" s="135">
        <f t="shared" si="62"/>
        <v>11</v>
      </c>
      <c r="F14824" s="134" t="s">
        <v>5678</v>
      </c>
      <c r="G14824" s="63" t="str">
        <f>VLOOKUP(C14824, 'Class Def. - General Data'!$C$20:$C$1000,1,false)</f>
        <v>ZSI1_WRITE_ERASE</v>
      </c>
      <c r="H14824" s="63" t="str">
        <f>IFERROR(__xludf.DUMMYFUNCTION("VLOOKUP(F14824, IMPORTRANGE(""https://docs.google.com/spreadsheets/d/1Lhp9OU0JdFf_VYSMzH5lBcEaU4o8teT1piV-SNzShjg/edit?gid=554141278#gid=554141278"", ""'Char Def. - Attributes'!C20:C2242""), 1,false)"),"ORDER_UNIT_WRITE_ERASE")</f>
        <v>ORDER_UNIT_WRITE_ERASE</v>
      </c>
      <c r="R14824" s="63" t="str">
        <f t="shared" si="60"/>
        <v>ZSI1_WRITE_ERASEORDER_UNIT_WRITE_ERASE</v>
      </c>
    </row>
    <row r="14825" ht="15.75" customHeight="1">
      <c r="A14825" s="59"/>
      <c r="B14825" s="63">
        <f t="shared" si="1"/>
        <v>16</v>
      </c>
      <c r="C14825" s="135" t="s">
        <v>484</v>
      </c>
      <c r="D14825" s="161" t="s">
        <v>74</v>
      </c>
      <c r="E14825" s="135">
        <f t="shared" si="62"/>
        <v>12</v>
      </c>
      <c r="F14825" s="134" t="s">
        <v>4056</v>
      </c>
      <c r="G14825" s="63" t="str">
        <f>VLOOKUP(C14825, 'Class Def. - General Data'!$C$20:$C$1000,1,false)</f>
        <v>ZSI1_WRITE_ERASE</v>
      </c>
      <c r="H14825" s="63" t="str">
        <f>IFERROR(__xludf.DUMMYFUNCTION("VLOOKUP(F14825, IMPORTRANGE(""https://docs.google.com/spreadsheets/d/1Lhp9OU0JdFf_VYSMzH5lBcEaU4o8teT1piV-SNzShjg/edit?gid=554141278#gid=554141278"", ""'Char Def. - Attributes'!C20:C2242""), 1,false)"),"GROSS_WEIGHT_OPT")</f>
        <v>GROSS_WEIGHT_OPT</v>
      </c>
      <c r="R14825" s="63" t="str">
        <f t="shared" si="60"/>
        <v>ZSI1_WRITE_ERASEGROSS_WEIGHT_OPT</v>
      </c>
    </row>
    <row r="14826" ht="15.75" customHeight="1">
      <c r="A14826" s="59"/>
      <c r="B14826" s="63">
        <f t="shared" si="1"/>
        <v>16</v>
      </c>
      <c r="C14826" s="135" t="s">
        <v>484</v>
      </c>
      <c r="D14826" s="161" t="s">
        <v>74</v>
      </c>
      <c r="E14826" s="135">
        <f t="shared" si="62"/>
        <v>13</v>
      </c>
      <c r="F14826" s="134" t="s">
        <v>4057</v>
      </c>
      <c r="G14826" s="63" t="str">
        <f>VLOOKUP(C14826, 'Class Def. - General Data'!$C$20:$C$1000,1,false)</f>
        <v>ZSI1_WRITE_ERASE</v>
      </c>
      <c r="H14826" s="63" t="str">
        <f>IFERROR(__xludf.DUMMYFUNCTION("VLOOKUP(F14826, IMPORTRANGE(""https://docs.google.com/spreadsheets/d/1Lhp9OU0JdFf_VYSMzH5lBcEaU4o8teT1piV-SNzShjg/edit?gid=554141278#gid=554141278"", ""'Char Def. - Attributes'!C20:C2242""), 1,false)"),"NET_WEIGHT_OPT")</f>
        <v>NET_WEIGHT_OPT</v>
      </c>
      <c r="R14826" s="63" t="str">
        <f t="shared" si="60"/>
        <v>ZSI1_WRITE_ERASENET_WEIGHT_OPT</v>
      </c>
    </row>
    <row r="14827" ht="15.75" customHeight="1">
      <c r="A14827" s="59"/>
      <c r="B14827" s="63">
        <f t="shared" si="1"/>
        <v>16</v>
      </c>
      <c r="C14827" s="135" t="s">
        <v>484</v>
      </c>
      <c r="D14827" s="161" t="s">
        <v>74</v>
      </c>
      <c r="E14827" s="135">
        <f t="shared" si="62"/>
        <v>14</v>
      </c>
      <c r="F14827" s="134" t="s">
        <v>4058</v>
      </c>
      <c r="G14827" s="63" t="str">
        <f>VLOOKUP(C14827, 'Class Def. - General Data'!$C$20:$C$1000,1,false)</f>
        <v>ZSI1_WRITE_ERASE</v>
      </c>
      <c r="H14827" s="63" t="str">
        <f>IFERROR(__xludf.DUMMYFUNCTION("VLOOKUP(F14827, IMPORTRANGE(""https://docs.google.com/spreadsheets/d/1Lhp9OU0JdFf_VYSMzH5lBcEaU4o8teT1piV-SNzShjg/edit?gid=554141278#gid=554141278"", ""'Char Def. - Attributes'!C20:C2242""), 1,false)"),"WEIGHT_UNIT_SI")</f>
        <v>WEIGHT_UNIT_SI</v>
      </c>
      <c r="R14827" s="63" t="str">
        <f t="shared" si="60"/>
        <v>ZSI1_WRITE_ERASEWEIGHT_UNIT_SI</v>
      </c>
    </row>
    <row r="14828" ht="15.75" customHeight="1">
      <c r="A14828" s="59"/>
      <c r="B14828" s="63">
        <f t="shared" si="1"/>
        <v>16</v>
      </c>
      <c r="C14828" s="135" t="s">
        <v>484</v>
      </c>
      <c r="D14828" s="161" t="s">
        <v>74</v>
      </c>
      <c r="E14828" s="135">
        <f t="shared" si="62"/>
        <v>15</v>
      </c>
      <c r="F14828" s="134" t="s">
        <v>3877</v>
      </c>
      <c r="G14828" s="63" t="str">
        <f>VLOOKUP(C14828, 'Class Def. - General Data'!$C$20:$C$1000,1,false)</f>
        <v>ZSI1_WRITE_ERASE</v>
      </c>
      <c r="H14828" s="63" t="str">
        <f>IFERROR(__xludf.DUMMYFUNCTION("VLOOKUP(F14828, IMPORTRANGE(""https://docs.google.com/spreadsheets/d/1Lhp9OU0JdFf_VYSMzH5lBcEaU4o8teT1piV-SNzShjg/edit?gid=554141278#gid=554141278"", ""'Char Def. - Attributes'!C20:C2242""), 1,false)"),"VOLUME_OPT")</f>
        <v>VOLUME_OPT</v>
      </c>
      <c r="R14828" s="63" t="str">
        <f t="shared" si="60"/>
        <v>ZSI1_WRITE_ERASEVOLUME_OPT</v>
      </c>
    </row>
    <row r="14829" ht="15.75" customHeight="1">
      <c r="A14829" s="59"/>
      <c r="B14829" s="63">
        <f t="shared" si="1"/>
        <v>16</v>
      </c>
      <c r="C14829" s="135" t="s">
        <v>484</v>
      </c>
      <c r="D14829" s="161" t="s">
        <v>74</v>
      </c>
      <c r="E14829" s="135">
        <f t="shared" si="62"/>
        <v>16</v>
      </c>
      <c r="F14829" s="134" t="s">
        <v>4059</v>
      </c>
      <c r="G14829" s="63" t="str">
        <f>VLOOKUP(C14829, 'Class Def. - General Data'!$C$20:$C$1000,1,false)</f>
        <v>ZSI1_WRITE_ERASE</v>
      </c>
      <c r="H14829" s="63" t="str">
        <f>IFERROR(__xludf.DUMMYFUNCTION("VLOOKUP(F14829, IMPORTRANGE(""https://docs.google.com/spreadsheets/d/1Lhp9OU0JdFf_VYSMzH5lBcEaU4o8teT1piV-SNzShjg/edit?gid=554141278#gid=554141278"", ""'Char Def. - Attributes'!C20:C2242""), 1,false)"),"VOLUME_UNIT_SI")</f>
        <v>VOLUME_UNIT_SI</v>
      </c>
      <c r="R14829" s="63" t="str">
        <f t="shared" si="60"/>
        <v>ZSI1_WRITE_ERASEVOLUME_UNIT_SI</v>
      </c>
    </row>
    <row r="14830" ht="15.75" customHeight="1">
      <c r="A14830" s="59"/>
      <c r="B14830" s="63">
        <f t="shared" si="1"/>
        <v>16</v>
      </c>
      <c r="C14830" s="135" t="s">
        <v>484</v>
      </c>
      <c r="D14830" s="161" t="s">
        <v>74</v>
      </c>
      <c r="E14830" s="135">
        <f t="shared" si="62"/>
        <v>17</v>
      </c>
      <c r="F14830" s="134" t="s">
        <v>3804</v>
      </c>
      <c r="G14830" s="63" t="str">
        <f>VLOOKUP(C14830, 'Class Def. - General Data'!$C$20:$C$1000,1,false)</f>
        <v>ZSI1_WRITE_ERASE</v>
      </c>
      <c r="H14830" s="63" t="str">
        <f>IFERROR(__xludf.DUMMYFUNCTION("VLOOKUP(F14830, IMPORTRANGE(""https://docs.google.com/spreadsheets/d/1Lhp9OU0JdFf_VYSMzH5lBcEaU4o8teT1piV-SNzShjg/edit?gid=554141278#gid=554141278"", ""'Char Def. - Attributes'!C20:C2242""), 1,false)"),"ALT_UOM1_SIPI")</f>
        <v>ALT_UOM1_SIPI</v>
      </c>
      <c r="R14830" s="63" t="str">
        <f t="shared" si="60"/>
        <v>ZSI1_WRITE_ERASEALT_UOM1_SIPI</v>
      </c>
    </row>
    <row r="14831" ht="15.75" customHeight="1">
      <c r="A14831" s="59"/>
      <c r="B14831" s="63">
        <f t="shared" si="1"/>
        <v>16</v>
      </c>
      <c r="C14831" s="135" t="s">
        <v>484</v>
      </c>
      <c r="D14831" s="161" t="s">
        <v>74</v>
      </c>
      <c r="E14831" s="135">
        <f t="shared" si="62"/>
        <v>18</v>
      </c>
      <c r="F14831" s="134" t="s">
        <v>3805</v>
      </c>
      <c r="G14831" s="63" t="str">
        <f>VLOOKUP(C14831, 'Class Def. - General Data'!$C$20:$C$1000,1,false)</f>
        <v>ZSI1_WRITE_ERASE</v>
      </c>
      <c r="H14831" s="63" t="str">
        <f>IFERROR(__xludf.DUMMYFUNCTION("VLOOKUP(F14831, IMPORTRANGE(""https://docs.google.com/spreadsheets/d/1Lhp9OU0JdFf_VYSMzH5lBcEaU4o8teT1piV-SNzShjg/edit?gid=554141278#gid=554141278"", ""'Char Def. - Attributes'!C20:C2242""), 1,false)"),"ALT_DENUM_UOM1")</f>
        <v>ALT_DENUM_UOM1</v>
      </c>
      <c r="R14831" s="63" t="str">
        <f t="shared" si="60"/>
        <v>ZSI1_WRITE_ERASEALT_DENUM_UOM1</v>
      </c>
    </row>
    <row r="14832" ht="15.75" customHeight="1">
      <c r="A14832" s="59"/>
      <c r="B14832" s="63">
        <f t="shared" si="1"/>
        <v>16</v>
      </c>
      <c r="C14832" s="135" t="s">
        <v>484</v>
      </c>
      <c r="D14832" s="161" t="s">
        <v>74</v>
      </c>
      <c r="E14832" s="135">
        <f t="shared" si="62"/>
        <v>19</v>
      </c>
      <c r="F14832" s="134" t="s">
        <v>3806</v>
      </c>
      <c r="G14832" s="63" t="str">
        <f>VLOOKUP(C14832, 'Class Def. - General Data'!$C$20:$C$1000,1,false)</f>
        <v>ZSI1_WRITE_ERASE</v>
      </c>
      <c r="H14832" s="63" t="str">
        <f>IFERROR(__xludf.DUMMYFUNCTION("VLOOKUP(F14832, IMPORTRANGE(""https://docs.google.com/spreadsheets/d/1Lhp9OU0JdFf_VYSMzH5lBcEaU4o8teT1piV-SNzShjg/edit?gid=554141278#gid=554141278"", ""'Char Def. - Attributes'!C20:C2242""), 1,false)"),"ALT_NUM_UOM1")</f>
        <v>ALT_NUM_UOM1</v>
      </c>
      <c r="R14832" s="63" t="str">
        <f t="shared" si="60"/>
        <v>ZSI1_WRITE_ERASEALT_NUM_UOM1</v>
      </c>
    </row>
    <row r="14833" ht="15.75" customHeight="1">
      <c r="A14833" s="59"/>
      <c r="B14833" s="63">
        <f t="shared" si="1"/>
        <v>16</v>
      </c>
      <c r="C14833" s="135" t="s">
        <v>484</v>
      </c>
      <c r="D14833" s="161" t="s">
        <v>74</v>
      </c>
      <c r="E14833" s="135">
        <f t="shared" si="62"/>
        <v>20</v>
      </c>
      <c r="F14833" s="134" t="s">
        <v>3807</v>
      </c>
      <c r="G14833" s="63" t="str">
        <f>VLOOKUP(C14833, 'Class Def. - General Data'!$C$20:$C$1000,1,false)</f>
        <v>ZSI1_WRITE_ERASE</v>
      </c>
      <c r="H14833" s="63" t="str">
        <f>IFERROR(__xludf.DUMMYFUNCTION("VLOOKUP(F14833, IMPORTRANGE(""https://docs.google.com/spreadsheets/d/1Lhp9OU0JdFf_VYSMzH5lBcEaU4o8teT1piV-SNzShjg/edit?gid=554141278#gid=554141278"", ""'Char Def. - Attributes'!C20:C2242""), 1,false)"),"ALT_UOM2_SIPI")</f>
        <v>ALT_UOM2_SIPI</v>
      </c>
      <c r="R14833" s="63" t="str">
        <f t="shared" si="60"/>
        <v>ZSI1_WRITE_ERASEALT_UOM2_SIPI</v>
      </c>
    </row>
    <row r="14834" ht="15.75" customHeight="1">
      <c r="A14834" s="59"/>
      <c r="B14834" s="63">
        <f t="shared" si="1"/>
        <v>16</v>
      </c>
      <c r="C14834" s="135" t="s">
        <v>484</v>
      </c>
      <c r="D14834" s="161" t="s">
        <v>74</v>
      </c>
      <c r="E14834" s="135">
        <f t="shared" si="62"/>
        <v>21</v>
      </c>
      <c r="F14834" s="134" t="s">
        <v>3808</v>
      </c>
      <c r="G14834" s="63" t="str">
        <f>VLOOKUP(C14834, 'Class Def. - General Data'!$C$20:$C$1000,1,false)</f>
        <v>ZSI1_WRITE_ERASE</v>
      </c>
      <c r="H14834" s="63" t="str">
        <f>IFERROR(__xludf.DUMMYFUNCTION("VLOOKUP(F14834, IMPORTRANGE(""https://docs.google.com/spreadsheets/d/1Lhp9OU0JdFf_VYSMzH5lBcEaU4o8teT1piV-SNzShjg/edit?gid=554141278#gid=554141278"", ""'Char Def. - Attributes'!C20:C2242""), 1,false)"),"ALT_DENUM_UOM2")</f>
        <v>ALT_DENUM_UOM2</v>
      </c>
      <c r="R14834" s="63" t="str">
        <f t="shared" si="60"/>
        <v>ZSI1_WRITE_ERASEALT_DENUM_UOM2</v>
      </c>
    </row>
    <row r="14835" ht="15.75" customHeight="1">
      <c r="A14835" s="59"/>
      <c r="B14835" s="63">
        <f t="shared" si="1"/>
        <v>16</v>
      </c>
      <c r="C14835" s="135" t="s">
        <v>484</v>
      </c>
      <c r="D14835" s="161" t="s">
        <v>74</v>
      </c>
      <c r="E14835" s="135">
        <f t="shared" si="62"/>
        <v>22</v>
      </c>
      <c r="F14835" s="134" t="s">
        <v>3809</v>
      </c>
      <c r="G14835" s="63" t="str">
        <f>VLOOKUP(C14835, 'Class Def. - General Data'!$C$20:$C$1000,1,false)</f>
        <v>ZSI1_WRITE_ERASE</v>
      </c>
      <c r="H14835" s="63" t="str">
        <f>IFERROR(__xludf.DUMMYFUNCTION("VLOOKUP(F14835, IMPORTRANGE(""https://docs.google.com/spreadsheets/d/1Lhp9OU0JdFf_VYSMzH5lBcEaU4o8teT1piV-SNzShjg/edit?gid=554141278#gid=554141278"", ""'Char Def. - Attributes'!C20:C2242""), 1,false)"),"ALT_NUM_UOM2")</f>
        <v>ALT_NUM_UOM2</v>
      </c>
      <c r="R14835" s="63" t="str">
        <f t="shared" si="60"/>
        <v>ZSI1_WRITE_ERASEALT_NUM_UOM2</v>
      </c>
    </row>
    <row r="14836" ht="15.75" customHeight="1">
      <c r="A14836" s="59"/>
      <c r="B14836" s="63">
        <f t="shared" si="1"/>
        <v>16</v>
      </c>
      <c r="C14836" s="135" t="s">
        <v>484</v>
      </c>
      <c r="D14836" s="161" t="s">
        <v>74</v>
      </c>
      <c r="E14836" s="135">
        <f t="shared" si="62"/>
        <v>23</v>
      </c>
      <c r="F14836" s="134" t="s">
        <v>3810</v>
      </c>
      <c r="G14836" s="63" t="str">
        <f>VLOOKUP(C14836, 'Class Def. - General Data'!$C$20:$C$1000,1,false)</f>
        <v>ZSI1_WRITE_ERASE</v>
      </c>
      <c r="H14836" s="63" t="str">
        <f>IFERROR(__xludf.DUMMYFUNCTION("VLOOKUP(F14836, IMPORTRANGE(""https://docs.google.com/spreadsheets/d/1Lhp9OU0JdFf_VYSMzH5lBcEaU4o8teT1piV-SNzShjg/edit?gid=554141278#gid=554141278"", ""'Char Def. - Attributes'!C20:C2242""), 1,false)"),"ALT_UOM3_SIPI")</f>
        <v>ALT_UOM3_SIPI</v>
      </c>
      <c r="R14836" s="63" t="str">
        <f t="shared" si="60"/>
        <v>ZSI1_WRITE_ERASEALT_UOM3_SIPI</v>
      </c>
    </row>
    <row r="14837" ht="15.75" customHeight="1">
      <c r="A14837" s="59"/>
      <c r="B14837" s="63">
        <f t="shared" si="1"/>
        <v>16</v>
      </c>
      <c r="C14837" s="135" t="s">
        <v>484</v>
      </c>
      <c r="D14837" s="161" t="s">
        <v>74</v>
      </c>
      <c r="E14837" s="135">
        <f t="shared" si="62"/>
        <v>24</v>
      </c>
      <c r="F14837" s="134" t="s">
        <v>3811</v>
      </c>
      <c r="G14837" s="63" t="str">
        <f>VLOOKUP(C14837, 'Class Def. - General Data'!$C$20:$C$1000,1,false)</f>
        <v>ZSI1_WRITE_ERASE</v>
      </c>
      <c r="H14837" s="63" t="str">
        <f>IFERROR(__xludf.DUMMYFUNCTION("VLOOKUP(F14837, IMPORTRANGE(""https://docs.google.com/spreadsheets/d/1Lhp9OU0JdFf_VYSMzH5lBcEaU4o8teT1piV-SNzShjg/edit?gid=554141278#gid=554141278"", ""'Char Def. - Attributes'!C20:C2242""), 1,false)"),"ALT_DENUM_UOM3")</f>
        <v>ALT_DENUM_UOM3</v>
      </c>
      <c r="R14837" s="63" t="str">
        <f t="shared" si="60"/>
        <v>ZSI1_WRITE_ERASEALT_DENUM_UOM3</v>
      </c>
    </row>
    <row r="14838" ht="15.75" customHeight="1">
      <c r="A14838" s="59"/>
      <c r="B14838" s="63">
        <f t="shared" si="1"/>
        <v>16</v>
      </c>
      <c r="C14838" s="135" t="s">
        <v>484</v>
      </c>
      <c r="D14838" s="161" t="s">
        <v>74</v>
      </c>
      <c r="E14838" s="135">
        <f t="shared" si="62"/>
        <v>25</v>
      </c>
      <c r="F14838" s="134" t="s">
        <v>3812</v>
      </c>
      <c r="G14838" s="63" t="str">
        <f>VLOOKUP(C14838, 'Class Def. - General Data'!$C$20:$C$1000,1,false)</f>
        <v>ZSI1_WRITE_ERASE</v>
      </c>
      <c r="H14838" s="63" t="str">
        <f>IFERROR(__xludf.DUMMYFUNCTION("VLOOKUP(F14838, IMPORTRANGE(""https://docs.google.com/spreadsheets/d/1Lhp9OU0JdFf_VYSMzH5lBcEaU4o8teT1piV-SNzShjg/edit?gid=554141278#gid=554141278"", ""'Char Def. - Attributes'!C20:C2242""), 1,false)"),"ALT_NUM_UOM3")</f>
        <v>ALT_NUM_UOM3</v>
      </c>
      <c r="R14838" s="63" t="str">
        <f t="shared" si="60"/>
        <v>ZSI1_WRITE_ERASEALT_NUM_UOM3</v>
      </c>
    </row>
    <row r="14839" ht="15.75" customHeight="1">
      <c r="A14839" s="59"/>
      <c r="B14839" s="63">
        <f t="shared" si="1"/>
        <v>16</v>
      </c>
      <c r="C14839" s="135" t="s">
        <v>484</v>
      </c>
      <c r="D14839" s="161" t="s">
        <v>74</v>
      </c>
      <c r="E14839" s="135">
        <f t="shared" si="62"/>
        <v>26</v>
      </c>
      <c r="F14839" s="134" t="s">
        <v>3813</v>
      </c>
      <c r="G14839" s="63" t="str">
        <f>VLOOKUP(C14839, 'Class Def. - General Data'!$C$20:$C$1000,1,false)</f>
        <v>ZSI1_WRITE_ERASE</v>
      </c>
      <c r="H14839" s="63" t="str">
        <f>IFERROR(__xludf.DUMMYFUNCTION("VLOOKUP(F14839, IMPORTRANGE(""https://docs.google.com/spreadsheets/d/1Lhp9OU0JdFf_VYSMzH5lBcEaU4o8teT1piV-SNzShjg/edit?gid=554141278#gid=554141278"", ""'Char Def. - Attributes'!C20:C2242""), 1,false)"),"ALT_UOM4_SIPI")</f>
        <v>ALT_UOM4_SIPI</v>
      </c>
      <c r="R14839" s="63" t="str">
        <f t="shared" si="60"/>
        <v>ZSI1_WRITE_ERASEALT_UOM4_SIPI</v>
      </c>
    </row>
    <row r="14840" ht="15.75" customHeight="1">
      <c r="A14840" s="59"/>
      <c r="B14840" s="63">
        <f t="shared" si="1"/>
        <v>16</v>
      </c>
      <c r="C14840" s="135" t="s">
        <v>484</v>
      </c>
      <c r="D14840" s="161" t="s">
        <v>74</v>
      </c>
      <c r="E14840" s="135">
        <f t="shared" si="62"/>
        <v>27</v>
      </c>
      <c r="F14840" s="134" t="s">
        <v>3814</v>
      </c>
      <c r="G14840" s="63" t="str">
        <f>VLOOKUP(C14840, 'Class Def. - General Data'!$C$20:$C$1000,1,false)</f>
        <v>ZSI1_WRITE_ERASE</v>
      </c>
      <c r="H14840" s="63" t="str">
        <f>IFERROR(__xludf.DUMMYFUNCTION("VLOOKUP(F14840, IMPORTRANGE(""https://docs.google.com/spreadsheets/d/1Lhp9OU0JdFf_VYSMzH5lBcEaU4o8teT1piV-SNzShjg/edit?gid=554141278#gid=554141278"", ""'Char Def. - Attributes'!C20:C2242""), 1,false)"),"ALT_DENUM_UOM4")</f>
        <v>ALT_DENUM_UOM4</v>
      </c>
      <c r="R14840" s="63" t="str">
        <f t="shared" si="60"/>
        <v>ZSI1_WRITE_ERASEALT_DENUM_UOM4</v>
      </c>
    </row>
    <row r="14841" ht="15.75" customHeight="1">
      <c r="A14841" s="59"/>
      <c r="B14841" s="63">
        <f t="shared" si="1"/>
        <v>16</v>
      </c>
      <c r="C14841" s="135" t="s">
        <v>484</v>
      </c>
      <c r="D14841" s="161" t="s">
        <v>74</v>
      </c>
      <c r="E14841" s="135">
        <f t="shared" si="62"/>
        <v>28</v>
      </c>
      <c r="F14841" s="134" t="s">
        <v>3815</v>
      </c>
      <c r="G14841" s="63" t="str">
        <f>VLOOKUP(C14841, 'Class Def. - General Data'!$C$20:$C$1000,1,false)</f>
        <v>ZSI1_WRITE_ERASE</v>
      </c>
      <c r="H14841" s="63" t="str">
        <f>IFERROR(__xludf.DUMMYFUNCTION("VLOOKUP(F14841, IMPORTRANGE(""https://docs.google.com/spreadsheets/d/1Lhp9OU0JdFf_VYSMzH5lBcEaU4o8teT1piV-SNzShjg/edit?gid=554141278#gid=554141278"", ""'Char Def. - Attributes'!C20:C2242""), 1,false)"),"ALT_NUM_UOM4")</f>
        <v>ALT_NUM_UOM4</v>
      </c>
      <c r="R14841" s="63" t="str">
        <f t="shared" si="60"/>
        <v>ZSI1_WRITE_ERASEALT_NUM_UOM4</v>
      </c>
    </row>
    <row r="14842" ht="15.75" customHeight="1">
      <c r="A14842" s="59"/>
      <c r="B14842" s="63">
        <f t="shared" si="1"/>
        <v>16</v>
      </c>
      <c r="C14842" s="135" t="s">
        <v>484</v>
      </c>
      <c r="D14842" s="161" t="s">
        <v>74</v>
      </c>
      <c r="E14842" s="135">
        <f t="shared" si="62"/>
        <v>29</v>
      </c>
      <c r="F14842" s="134" t="s">
        <v>3816</v>
      </c>
      <c r="G14842" s="63" t="str">
        <f>VLOOKUP(C14842, 'Class Def. - General Data'!$C$20:$C$1000,1,false)</f>
        <v>ZSI1_WRITE_ERASE</v>
      </c>
      <c r="H14842" s="63" t="str">
        <f>IFERROR(__xludf.DUMMYFUNCTION("VLOOKUP(F14842, IMPORTRANGE(""https://docs.google.com/spreadsheets/d/1Lhp9OU0JdFf_VYSMzH5lBcEaU4o8teT1piV-SNzShjg/edit?gid=554141278#gid=554141278"", ""'Char Def. - Attributes'!C20:C2242""), 1,false)"),"ALT_UOM5_SIPI")</f>
        <v>ALT_UOM5_SIPI</v>
      </c>
      <c r="R14842" s="63" t="str">
        <f t="shared" si="60"/>
        <v>ZSI1_WRITE_ERASEALT_UOM5_SIPI</v>
      </c>
    </row>
    <row r="14843" ht="15.75" customHeight="1">
      <c r="A14843" s="59"/>
      <c r="B14843" s="63">
        <f t="shared" si="1"/>
        <v>16</v>
      </c>
      <c r="C14843" s="135" t="s">
        <v>484</v>
      </c>
      <c r="D14843" s="161" t="s">
        <v>74</v>
      </c>
      <c r="E14843" s="135">
        <f t="shared" si="62"/>
        <v>30</v>
      </c>
      <c r="F14843" s="134" t="s">
        <v>3817</v>
      </c>
      <c r="G14843" s="63" t="str">
        <f>VLOOKUP(C14843, 'Class Def. - General Data'!$C$20:$C$1000,1,false)</f>
        <v>ZSI1_WRITE_ERASE</v>
      </c>
      <c r="H14843" s="63" t="str">
        <f>IFERROR(__xludf.DUMMYFUNCTION("VLOOKUP(F14843, IMPORTRANGE(""https://docs.google.com/spreadsheets/d/1Lhp9OU0JdFf_VYSMzH5lBcEaU4o8teT1piV-SNzShjg/edit?gid=554141278#gid=554141278"", ""'Char Def. - Attributes'!C20:C2242""), 1,false)"),"ALT_DENUM_UOM5")</f>
        <v>ALT_DENUM_UOM5</v>
      </c>
      <c r="R14843" s="63" t="str">
        <f t="shared" si="60"/>
        <v>ZSI1_WRITE_ERASEALT_DENUM_UOM5</v>
      </c>
    </row>
    <row r="14844" ht="15.75" customHeight="1">
      <c r="A14844" s="59"/>
      <c r="B14844" s="63">
        <f t="shared" si="1"/>
        <v>16</v>
      </c>
      <c r="C14844" s="135" t="s">
        <v>484</v>
      </c>
      <c r="D14844" s="161" t="s">
        <v>74</v>
      </c>
      <c r="E14844" s="135">
        <f t="shared" si="62"/>
        <v>31</v>
      </c>
      <c r="F14844" s="134" t="s">
        <v>3818</v>
      </c>
      <c r="G14844" s="63" t="str">
        <f>VLOOKUP(C14844, 'Class Def. - General Data'!$C$20:$C$1000,1,false)</f>
        <v>ZSI1_WRITE_ERASE</v>
      </c>
      <c r="H14844" s="63" t="str">
        <f>IFERROR(__xludf.DUMMYFUNCTION("VLOOKUP(F14844, IMPORTRANGE(""https://docs.google.com/spreadsheets/d/1Lhp9OU0JdFf_VYSMzH5lBcEaU4o8teT1piV-SNzShjg/edit?gid=554141278#gid=554141278"", ""'Char Def. - Attributes'!C20:C2242""), 1,false)"),"ALT_NUM_UOM5")</f>
        <v>ALT_NUM_UOM5</v>
      </c>
      <c r="R14844" s="63" t="str">
        <f t="shared" si="60"/>
        <v>ZSI1_WRITE_ERASEALT_NUM_UOM5</v>
      </c>
    </row>
    <row r="14845" ht="15.75" customHeight="1">
      <c r="A14845" s="59"/>
      <c r="B14845" s="63">
        <f t="shared" si="1"/>
        <v>15</v>
      </c>
      <c r="C14845" s="135" t="s">
        <v>485</v>
      </c>
      <c r="D14845" s="161" t="s">
        <v>74</v>
      </c>
      <c r="E14845" s="135">
        <f t="shared" si="62"/>
        <v>1</v>
      </c>
      <c r="F14845" s="134" t="s">
        <v>5679</v>
      </c>
      <c r="G14845" s="63" t="str">
        <f>VLOOKUP(C14845, 'Class Def. - General Data'!$C$20:$C$1000,1,false)</f>
        <v>ZSI1_WWT_SUPPLY</v>
      </c>
      <c r="H14845" s="63" t="str">
        <f>IFERROR(__xludf.DUMMYFUNCTION("VLOOKUP(F14845, IMPORTRANGE(""https://docs.google.com/spreadsheets/d/1Lhp9OU0JdFf_VYSMzH5lBcEaU4o8teT1piV-SNzShjg/edit?gid=554141278#gid=554141278"", ""'Char Def. - Attributes'!C20:C2242""), 1,false)"),"ITEM_NAME_WWT_SUPPLY")</f>
        <v>ITEM_NAME_WWT_SUPPLY</v>
      </c>
      <c r="R14845" s="63" t="str">
        <f t="shared" si="60"/>
        <v>ZSI1_WWT_SUPPLYITEM_NAME_WWT_SUPPLY</v>
      </c>
    </row>
    <row r="14846" ht="15.75" customHeight="1">
      <c r="A14846" s="59"/>
      <c r="B14846" s="63">
        <f t="shared" si="1"/>
        <v>15</v>
      </c>
      <c r="C14846" s="135" t="s">
        <v>485</v>
      </c>
      <c r="D14846" s="161" t="s">
        <v>74</v>
      </c>
      <c r="E14846" s="135">
        <f t="shared" si="62"/>
        <v>2</v>
      </c>
      <c r="F14846" s="134" t="s">
        <v>5680</v>
      </c>
      <c r="G14846" s="63" t="str">
        <f>VLOOKUP(C14846, 'Class Def. - General Data'!$C$20:$C$1000,1,false)</f>
        <v>ZSI1_WWT_SUPPLY</v>
      </c>
      <c r="H14846" s="63" t="str">
        <f>IFERROR(__xludf.DUMMYFUNCTION("VLOOKUP(F14846, IMPORTRANGE(""https://docs.google.com/spreadsheets/d/1Lhp9OU0JdFf_VYSMzH5lBcEaU4o8teT1piV-SNzShjg/edit?gid=554141278#gid=554141278"", ""'Char Def. - Attributes'!C20:C2242""), 1,false)"),"MFR_NO_WWT_SUPPLY")</f>
        <v>MFR_NO_WWT_SUPPLY</v>
      </c>
      <c r="R14846" s="63" t="str">
        <f t="shared" si="60"/>
        <v>ZSI1_WWT_SUPPLYMFR_NO_WWT_SUPPLY</v>
      </c>
    </row>
    <row r="14847" ht="15.75" customHeight="1">
      <c r="A14847" s="59"/>
      <c r="B14847" s="63">
        <f t="shared" si="1"/>
        <v>15</v>
      </c>
      <c r="C14847" s="135" t="s">
        <v>485</v>
      </c>
      <c r="D14847" s="161" t="s">
        <v>74</v>
      </c>
      <c r="E14847" s="135">
        <f t="shared" si="62"/>
        <v>3</v>
      </c>
      <c r="F14847" s="134" t="s">
        <v>3782</v>
      </c>
      <c r="G14847" s="63" t="str">
        <f>VLOOKUP(C14847, 'Class Def. - General Data'!$C$20:$C$1000,1,false)</f>
        <v>ZSI1_WWT_SUPPLY</v>
      </c>
      <c r="H14847" s="63" t="str">
        <f>IFERROR(__xludf.DUMMYFUNCTION("VLOOKUP(F14847, IMPORTRANGE(""https://docs.google.com/spreadsheets/d/1Lhp9OU0JdFf_VYSMzH5lBcEaU4o8teT1piV-SNzShjg/edit?gid=554141278#gid=554141278"", ""'Char Def. - Attributes'!C20:C2242""), 1,false)"),"BRAND_EXTERNAL")</f>
        <v>BRAND_EXTERNAL</v>
      </c>
      <c r="R14847" s="63" t="str">
        <f t="shared" si="60"/>
        <v>ZSI1_WWT_SUPPLYBRAND_EXTERNAL</v>
      </c>
    </row>
    <row r="14848" ht="15.75" customHeight="1">
      <c r="A14848" s="59"/>
      <c r="B14848" s="63">
        <f t="shared" si="1"/>
        <v>15</v>
      </c>
      <c r="C14848" s="135" t="s">
        <v>485</v>
      </c>
      <c r="D14848" s="161" t="s">
        <v>74</v>
      </c>
      <c r="E14848" s="135">
        <f t="shared" si="62"/>
        <v>4</v>
      </c>
      <c r="F14848" s="134" t="s">
        <v>4053</v>
      </c>
      <c r="G14848" s="63" t="str">
        <f>VLOOKUP(C14848, 'Class Def. - General Data'!$C$20:$C$1000,1,false)</f>
        <v>ZSI1_WWT_SUPPLY</v>
      </c>
      <c r="H14848" s="63" t="str">
        <f>IFERROR(__xludf.DUMMYFUNCTION("VLOOKUP(F14848, IMPORTRANGE(""https://docs.google.com/spreadsheets/d/1Lhp9OU0JdFf_VYSMzH5lBcEaU4o8teT1piV-SNzShjg/edit?gid=554141278#gid=554141278"", ""'Char Def. - Attributes'!C20:C2242""), 1,false)"),"MAINTENANCE_ORDER_TYPE")</f>
        <v>MAINTENANCE_ORDER_TYPE</v>
      </c>
      <c r="R14848" s="63" t="str">
        <f t="shared" si="60"/>
        <v>ZSI1_WWT_SUPPLYMAINTENANCE_ORDER_TYPE</v>
      </c>
    </row>
    <row r="14849" ht="15.75" customHeight="1">
      <c r="A14849" s="59"/>
      <c r="B14849" s="63">
        <f t="shared" si="1"/>
        <v>15</v>
      </c>
      <c r="C14849" s="135" t="s">
        <v>485</v>
      </c>
      <c r="D14849" s="161" t="s">
        <v>74</v>
      </c>
      <c r="E14849" s="135">
        <f t="shared" si="62"/>
        <v>5</v>
      </c>
      <c r="F14849" s="134" t="s">
        <v>3585</v>
      </c>
      <c r="G14849" s="63" t="str">
        <f>VLOOKUP(C14849, 'Class Def. - General Data'!$C$20:$C$1000,1,false)</f>
        <v>ZSI1_WWT_SUPPLY</v>
      </c>
      <c r="H14849" s="63" t="str">
        <f>IFERROR(__xludf.DUMMYFUNCTION("VLOOKUP(F14849, IMPORTRANGE(""https://docs.google.com/spreadsheets/d/1Lhp9OU0JdFf_VYSMzH5lBcEaU4o8teT1piV-SNzShjg/edit?gid=554141278#gid=554141278"", ""'Char Def. - Attributes'!C20:C2242""), 1,false)"),"HS_CODE")</f>
        <v>HS_CODE</v>
      </c>
      <c r="R14849" s="63" t="str">
        <f t="shared" si="60"/>
        <v>ZSI1_WWT_SUPPLYHS_CODE</v>
      </c>
    </row>
    <row r="14850" ht="15.75" customHeight="1">
      <c r="A14850" s="59"/>
      <c r="B14850" s="63">
        <f t="shared" si="1"/>
        <v>15</v>
      </c>
      <c r="C14850" s="135" t="s">
        <v>485</v>
      </c>
      <c r="D14850" s="161" t="s">
        <v>74</v>
      </c>
      <c r="E14850" s="135">
        <f t="shared" si="62"/>
        <v>6</v>
      </c>
      <c r="F14850" s="134" t="s">
        <v>3587</v>
      </c>
      <c r="G14850" s="63" t="str">
        <f>VLOOKUP(C14850, 'Class Def. - General Data'!$C$20:$C$1000,1,false)</f>
        <v>ZSI1_WWT_SUPPLY</v>
      </c>
      <c r="H14850" s="63" t="str">
        <f>IFERROR(__xludf.DUMMYFUNCTION("VLOOKUP(F14850, IMPORTRANGE(""https://docs.google.com/spreadsheets/d/1Lhp9OU0JdFf_VYSMzH5lBcEaU4o8teT1piV-SNzShjg/edit?gid=554141278#gid=554141278"", ""'Char Def. - Attributes'!C20:C2242""), 1,false)"),"PLANT_BUY")</f>
        <v>PLANT_BUY</v>
      </c>
      <c r="R14850" s="63" t="str">
        <f t="shared" si="60"/>
        <v>ZSI1_WWT_SUPPLYPLANT_BUY</v>
      </c>
    </row>
    <row r="14851" ht="15.75" customHeight="1">
      <c r="A14851" s="59"/>
      <c r="B14851" s="63">
        <f t="shared" si="1"/>
        <v>15</v>
      </c>
      <c r="C14851" s="135" t="s">
        <v>485</v>
      </c>
      <c r="D14851" s="161" t="s">
        <v>74</v>
      </c>
      <c r="E14851" s="135">
        <f t="shared" si="62"/>
        <v>7</v>
      </c>
      <c r="F14851" s="134" t="s">
        <v>5681</v>
      </c>
      <c r="G14851" s="63" t="str">
        <f>VLOOKUP(C14851, 'Class Def. - General Data'!$C$20:$C$1000,1,false)</f>
        <v>ZSI1_WWT_SUPPLY</v>
      </c>
      <c r="H14851" s="63" t="str">
        <f>IFERROR(__xludf.DUMMYFUNCTION("VLOOKUP(F14851, IMPORTRANGE(""https://docs.google.com/spreadsheets/d/1Lhp9OU0JdFf_VYSMzH5lBcEaU4o8teT1piV-SNzShjg/edit?gid=554141278#gid=554141278"", ""'Char Def. - Attributes'!C20:C2242""), 1,false)"),"BASE_UOM_WWT_SUPPLY")</f>
        <v>BASE_UOM_WWT_SUPPLY</v>
      </c>
      <c r="R14851" s="63" t="str">
        <f t="shared" si="60"/>
        <v>ZSI1_WWT_SUPPLYBASE_UOM_WWT_SUPPLY</v>
      </c>
    </row>
    <row r="14852" ht="15.75" customHeight="1">
      <c r="A14852" s="59"/>
      <c r="B14852" s="63">
        <f t="shared" si="1"/>
        <v>15</v>
      </c>
      <c r="C14852" s="135" t="s">
        <v>485</v>
      </c>
      <c r="D14852" s="161" t="s">
        <v>74</v>
      </c>
      <c r="E14852" s="135">
        <f t="shared" si="62"/>
        <v>8</v>
      </c>
      <c r="F14852" s="134" t="s">
        <v>5682</v>
      </c>
      <c r="G14852" s="63" t="str">
        <f>VLOOKUP(C14852, 'Class Def. - General Data'!$C$20:$C$1000,1,false)</f>
        <v>ZSI1_WWT_SUPPLY</v>
      </c>
      <c r="H14852" s="63" t="str">
        <f>IFERROR(__xludf.DUMMYFUNCTION("VLOOKUP(F14852, IMPORTRANGE(""https://docs.google.com/spreadsheets/d/1Lhp9OU0JdFf_VYSMzH5lBcEaU4o8teT1piV-SNzShjg/edit?gid=554141278#gid=554141278"", ""'Char Def. - Attributes'!C20:C2242""), 1,false)"),"ORDER_UNIT_WWT_SUPPLY")</f>
        <v>ORDER_UNIT_WWT_SUPPLY</v>
      </c>
      <c r="R14852" s="63" t="str">
        <f t="shared" si="60"/>
        <v>ZSI1_WWT_SUPPLYORDER_UNIT_WWT_SUPPLY</v>
      </c>
    </row>
    <row r="14853" ht="15.75" customHeight="1">
      <c r="A14853" s="59"/>
      <c r="B14853" s="63">
        <f t="shared" si="1"/>
        <v>15</v>
      </c>
      <c r="C14853" s="135" t="s">
        <v>485</v>
      </c>
      <c r="D14853" s="161" t="s">
        <v>74</v>
      </c>
      <c r="E14853" s="135">
        <f t="shared" si="62"/>
        <v>9</v>
      </c>
      <c r="F14853" s="134" t="s">
        <v>4056</v>
      </c>
      <c r="G14853" s="63" t="str">
        <f>VLOOKUP(C14853, 'Class Def. - General Data'!$C$20:$C$1000,1,false)</f>
        <v>ZSI1_WWT_SUPPLY</v>
      </c>
      <c r="H14853" s="63" t="str">
        <f>IFERROR(__xludf.DUMMYFUNCTION("VLOOKUP(F14853, IMPORTRANGE(""https://docs.google.com/spreadsheets/d/1Lhp9OU0JdFf_VYSMzH5lBcEaU4o8teT1piV-SNzShjg/edit?gid=554141278#gid=554141278"", ""'Char Def. - Attributes'!C20:C2242""), 1,false)"),"GROSS_WEIGHT_OPT")</f>
        <v>GROSS_WEIGHT_OPT</v>
      </c>
      <c r="R14853" s="63" t="str">
        <f t="shared" si="60"/>
        <v>ZSI1_WWT_SUPPLYGROSS_WEIGHT_OPT</v>
      </c>
    </row>
    <row r="14854" ht="15.75" customHeight="1">
      <c r="A14854" s="59"/>
      <c r="B14854" s="63">
        <f t="shared" si="1"/>
        <v>15</v>
      </c>
      <c r="C14854" s="135" t="s">
        <v>485</v>
      </c>
      <c r="D14854" s="161" t="s">
        <v>74</v>
      </c>
      <c r="E14854" s="135">
        <f t="shared" si="62"/>
        <v>10</v>
      </c>
      <c r="F14854" s="134" t="s">
        <v>4057</v>
      </c>
      <c r="G14854" s="63" t="str">
        <f>VLOOKUP(C14854, 'Class Def. - General Data'!$C$20:$C$1000,1,false)</f>
        <v>ZSI1_WWT_SUPPLY</v>
      </c>
      <c r="H14854" s="63" t="str">
        <f>IFERROR(__xludf.DUMMYFUNCTION("VLOOKUP(F14854, IMPORTRANGE(""https://docs.google.com/spreadsheets/d/1Lhp9OU0JdFf_VYSMzH5lBcEaU4o8teT1piV-SNzShjg/edit?gid=554141278#gid=554141278"", ""'Char Def. - Attributes'!C20:C2242""), 1,false)"),"NET_WEIGHT_OPT")</f>
        <v>NET_WEIGHT_OPT</v>
      </c>
      <c r="R14854" s="63" t="str">
        <f t="shared" si="60"/>
        <v>ZSI1_WWT_SUPPLYNET_WEIGHT_OPT</v>
      </c>
    </row>
    <row r="14855" ht="15.75" customHeight="1">
      <c r="A14855" s="59"/>
      <c r="B14855" s="63">
        <f t="shared" si="1"/>
        <v>15</v>
      </c>
      <c r="C14855" s="135" t="s">
        <v>485</v>
      </c>
      <c r="D14855" s="161" t="s">
        <v>74</v>
      </c>
      <c r="E14855" s="135">
        <f t="shared" si="62"/>
        <v>11</v>
      </c>
      <c r="F14855" s="134" t="s">
        <v>4058</v>
      </c>
      <c r="G14855" s="63" t="str">
        <f>VLOOKUP(C14855, 'Class Def. - General Data'!$C$20:$C$1000,1,false)</f>
        <v>ZSI1_WWT_SUPPLY</v>
      </c>
      <c r="H14855" s="63" t="str">
        <f>IFERROR(__xludf.DUMMYFUNCTION("VLOOKUP(F14855, IMPORTRANGE(""https://docs.google.com/spreadsheets/d/1Lhp9OU0JdFf_VYSMzH5lBcEaU4o8teT1piV-SNzShjg/edit?gid=554141278#gid=554141278"", ""'Char Def. - Attributes'!C20:C2242""), 1,false)"),"WEIGHT_UNIT_SI")</f>
        <v>WEIGHT_UNIT_SI</v>
      </c>
      <c r="R14855" s="63" t="str">
        <f t="shared" si="60"/>
        <v>ZSI1_WWT_SUPPLYWEIGHT_UNIT_SI</v>
      </c>
    </row>
    <row r="14856" ht="15.75" customHeight="1">
      <c r="A14856" s="59"/>
      <c r="B14856" s="63">
        <f t="shared" si="1"/>
        <v>15</v>
      </c>
      <c r="C14856" s="135" t="s">
        <v>485</v>
      </c>
      <c r="D14856" s="161" t="s">
        <v>74</v>
      </c>
      <c r="E14856" s="135">
        <f t="shared" si="62"/>
        <v>12</v>
      </c>
      <c r="F14856" s="134" t="s">
        <v>3877</v>
      </c>
      <c r="G14856" s="63" t="str">
        <f>VLOOKUP(C14856, 'Class Def. - General Data'!$C$20:$C$1000,1,false)</f>
        <v>ZSI1_WWT_SUPPLY</v>
      </c>
      <c r="H14856" s="63" t="str">
        <f>IFERROR(__xludf.DUMMYFUNCTION("VLOOKUP(F14856, IMPORTRANGE(""https://docs.google.com/spreadsheets/d/1Lhp9OU0JdFf_VYSMzH5lBcEaU4o8teT1piV-SNzShjg/edit?gid=554141278#gid=554141278"", ""'Char Def. - Attributes'!C20:C2242""), 1,false)"),"VOLUME_OPT")</f>
        <v>VOLUME_OPT</v>
      </c>
      <c r="R14856" s="63" t="str">
        <f t="shared" si="60"/>
        <v>ZSI1_WWT_SUPPLYVOLUME_OPT</v>
      </c>
    </row>
    <row r="14857" ht="15.75" customHeight="1">
      <c r="A14857" s="59"/>
      <c r="B14857" s="63">
        <f t="shared" si="1"/>
        <v>15</v>
      </c>
      <c r="C14857" s="135" t="s">
        <v>485</v>
      </c>
      <c r="D14857" s="161" t="s">
        <v>74</v>
      </c>
      <c r="E14857" s="135">
        <f t="shared" si="62"/>
        <v>13</v>
      </c>
      <c r="F14857" s="134" t="s">
        <v>4059</v>
      </c>
      <c r="G14857" s="63" t="str">
        <f>VLOOKUP(C14857, 'Class Def. - General Data'!$C$20:$C$1000,1,false)</f>
        <v>ZSI1_WWT_SUPPLY</v>
      </c>
      <c r="H14857" s="63" t="str">
        <f>IFERROR(__xludf.DUMMYFUNCTION("VLOOKUP(F14857, IMPORTRANGE(""https://docs.google.com/spreadsheets/d/1Lhp9OU0JdFf_VYSMzH5lBcEaU4o8teT1piV-SNzShjg/edit?gid=554141278#gid=554141278"", ""'Char Def. - Attributes'!C20:C2242""), 1,false)"),"VOLUME_UNIT_SI")</f>
        <v>VOLUME_UNIT_SI</v>
      </c>
      <c r="R14857" s="63" t="str">
        <f t="shared" si="60"/>
        <v>ZSI1_WWT_SUPPLYVOLUME_UNIT_SI</v>
      </c>
    </row>
    <row r="14858" ht="15.75" customHeight="1">
      <c r="A14858" s="59"/>
      <c r="B14858" s="63">
        <f t="shared" si="1"/>
        <v>15</v>
      </c>
      <c r="C14858" s="135" t="s">
        <v>485</v>
      </c>
      <c r="D14858" s="161" t="s">
        <v>74</v>
      </c>
      <c r="E14858" s="135">
        <f t="shared" si="62"/>
        <v>14</v>
      </c>
      <c r="F14858" s="134" t="s">
        <v>3804</v>
      </c>
      <c r="G14858" s="63" t="str">
        <f>VLOOKUP(C14858, 'Class Def. - General Data'!$C$20:$C$1000,1,false)</f>
        <v>ZSI1_WWT_SUPPLY</v>
      </c>
      <c r="H14858" s="63" t="str">
        <f>IFERROR(__xludf.DUMMYFUNCTION("VLOOKUP(F14858, IMPORTRANGE(""https://docs.google.com/spreadsheets/d/1Lhp9OU0JdFf_VYSMzH5lBcEaU4o8teT1piV-SNzShjg/edit?gid=554141278#gid=554141278"", ""'Char Def. - Attributes'!C20:C2242""), 1,false)"),"ALT_UOM1_SIPI")</f>
        <v>ALT_UOM1_SIPI</v>
      </c>
      <c r="R14858" s="63" t="str">
        <f t="shared" si="60"/>
        <v>ZSI1_WWT_SUPPLYALT_UOM1_SIPI</v>
      </c>
    </row>
    <row r="14859" ht="15.75" customHeight="1">
      <c r="A14859" s="59"/>
      <c r="B14859" s="63">
        <f t="shared" si="1"/>
        <v>15</v>
      </c>
      <c r="C14859" s="135" t="s">
        <v>485</v>
      </c>
      <c r="D14859" s="161" t="s">
        <v>74</v>
      </c>
      <c r="E14859" s="135">
        <f t="shared" si="62"/>
        <v>15</v>
      </c>
      <c r="F14859" s="134" t="s">
        <v>3805</v>
      </c>
      <c r="G14859" s="63" t="str">
        <f>VLOOKUP(C14859, 'Class Def. - General Data'!$C$20:$C$1000,1,false)</f>
        <v>ZSI1_WWT_SUPPLY</v>
      </c>
      <c r="H14859" s="63" t="str">
        <f>IFERROR(__xludf.DUMMYFUNCTION("VLOOKUP(F14859, IMPORTRANGE(""https://docs.google.com/spreadsheets/d/1Lhp9OU0JdFf_VYSMzH5lBcEaU4o8teT1piV-SNzShjg/edit?gid=554141278#gid=554141278"", ""'Char Def. - Attributes'!C20:C2242""), 1,false)"),"ALT_DENUM_UOM1")</f>
        <v>ALT_DENUM_UOM1</v>
      </c>
      <c r="R14859" s="63" t="str">
        <f t="shared" si="60"/>
        <v>ZSI1_WWT_SUPPLYALT_DENUM_UOM1</v>
      </c>
    </row>
    <row r="14860" ht="15.75" customHeight="1">
      <c r="A14860" s="59"/>
      <c r="B14860" s="63">
        <f t="shared" si="1"/>
        <v>15</v>
      </c>
      <c r="C14860" s="135" t="s">
        <v>485</v>
      </c>
      <c r="D14860" s="161" t="s">
        <v>74</v>
      </c>
      <c r="E14860" s="135">
        <f t="shared" si="62"/>
        <v>16</v>
      </c>
      <c r="F14860" s="134" t="s">
        <v>3806</v>
      </c>
      <c r="G14860" s="63" t="str">
        <f>VLOOKUP(C14860, 'Class Def. - General Data'!$C$20:$C$1000,1,false)</f>
        <v>ZSI1_WWT_SUPPLY</v>
      </c>
      <c r="H14860" s="63" t="str">
        <f>IFERROR(__xludf.DUMMYFUNCTION("VLOOKUP(F14860, IMPORTRANGE(""https://docs.google.com/spreadsheets/d/1Lhp9OU0JdFf_VYSMzH5lBcEaU4o8teT1piV-SNzShjg/edit?gid=554141278#gid=554141278"", ""'Char Def. - Attributes'!C20:C2242""), 1,false)"),"ALT_NUM_UOM1")</f>
        <v>ALT_NUM_UOM1</v>
      </c>
      <c r="R14860" s="63" t="str">
        <f t="shared" si="60"/>
        <v>ZSI1_WWT_SUPPLYALT_NUM_UOM1</v>
      </c>
    </row>
    <row r="14861" ht="15.75" customHeight="1">
      <c r="A14861" s="59"/>
      <c r="B14861" s="63">
        <f t="shared" si="1"/>
        <v>15</v>
      </c>
      <c r="C14861" s="135" t="s">
        <v>485</v>
      </c>
      <c r="D14861" s="161" t="s">
        <v>74</v>
      </c>
      <c r="E14861" s="135">
        <f t="shared" si="62"/>
        <v>17</v>
      </c>
      <c r="F14861" s="134" t="s">
        <v>3807</v>
      </c>
      <c r="G14861" s="63" t="str">
        <f>VLOOKUP(C14861, 'Class Def. - General Data'!$C$20:$C$1000,1,false)</f>
        <v>ZSI1_WWT_SUPPLY</v>
      </c>
      <c r="H14861" s="63" t="str">
        <f>IFERROR(__xludf.DUMMYFUNCTION("VLOOKUP(F14861, IMPORTRANGE(""https://docs.google.com/spreadsheets/d/1Lhp9OU0JdFf_VYSMzH5lBcEaU4o8teT1piV-SNzShjg/edit?gid=554141278#gid=554141278"", ""'Char Def. - Attributes'!C20:C2242""), 1,false)"),"ALT_UOM2_SIPI")</f>
        <v>ALT_UOM2_SIPI</v>
      </c>
      <c r="R14861" s="63" t="str">
        <f t="shared" si="60"/>
        <v>ZSI1_WWT_SUPPLYALT_UOM2_SIPI</v>
      </c>
    </row>
    <row r="14862" ht="15.75" customHeight="1">
      <c r="A14862" s="59"/>
      <c r="B14862" s="63">
        <f t="shared" si="1"/>
        <v>15</v>
      </c>
      <c r="C14862" s="135" t="s">
        <v>485</v>
      </c>
      <c r="D14862" s="161" t="s">
        <v>74</v>
      </c>
      <c r="E14862" s="135">
        <f t="shared" si="62"/>
        <v>18</v>
      </c>
      <c r="F14862" s="134" t="s">
        <v>3808</v>
      </c>
      <c r="G14862" s="63" t="str">
        <f>VLOOKUP(C14862, 'Class Def. - General Data'!$C$20:$C$1000,1,false)</f>
        <v>ZSI1_WWT_SUPPLY</v>
      </c>
      <c r="H14862" s="63" t="str">
        <f>IFERROR(__xludf.DUMMYFUNCTION("VLOOKUP(F14862, IMPORTRANGE(""https://docs.google.com/spreadsheets/d/1Lhp9OU0JdFf_VYSMzH5lBcEaU4o8teT1piV-SNzShjg/edit?gid=554141278#gid=554141278"", ""'Char Def. - Attributes'!C20:C2242""), 1,false)"),"ALT_DENUM_UOM2")</f>
        <v>ALT_DENUM_UOM2</v>
      </c>
      <c r="R14862" s="63" t="str">
        <f t="shared" si="60"/>
        <v>ZSI1_WWT_SUPPLYALT_DENUM_UOM2</v>
      </c>
    </row>
    <row r="14863" ht="15.75" customHeight="1">
      <c r="A14863" s="59"/>
      <c r="B14863" s="63">
        <f t="shared" si="1"/>
        <v>15</v>
      </c>
      <c r="C14863" s="135" t="s">
        <v>485</v>
      </c>
      <c r="D14863" s="161" t="s">
        <v>74</v>
      </c>
      <c r="E14863" s="135">
        <f t="shared" si="62"/>
        <v>19</v>
      </c>
      <c r="F14863" s="134" t="s">
        <v>3809</v>
      </c>
      <c r="G14863" s="63" t="str">
        <f>VLOOKUP(C14863, 'Class Def. - General Data'!$C$20:$C$1000,1,false)</f>
        <v>ZSI1_WWT_SUPPLY</v>
      </c>
      <c r="H14863" s="63" t="str">
        <f>IFERROR(__xludf.DUMMYFUNCTION("VLOOKUP(F14863, IMPORTRANGE(""https://docs.google.com/spreadsheets/d/1Lhp9OU0JdFf_VYSMzH5lBcEaU4o8teT1piV-SNzShjg/edit?gid=554141278#gid=554141278"", ""'Char Def. - Attributes'!C20:C2242""), 1,false)"),"ALT_NUM_UOM2")</f>
        <v>ALT_NUM_UOM2</v>
      </c>
      <c r="R14863" s="63" t="str">
        <f t="shared" si="60"/>
        <v>ZSI1_WWT_SUPPLYALT_NUM_UOM2</v>
      </c>
    </row>
    <row r="14864" ht="15.75" customHeight="1">
      <c r="A14864" s="59"/>
      <c r="B14864" s="63">
        <f t="shared" si="1"/>
        <v>15</v>
      </c>
      <c r="C14864" s="135" t="s">
        <v>485</v>
      </c>
      <c r="D14864" s="161" t="s">
        <v>74</v>
      </c>
      <c r="E14864" s="135">
        <f t="shared" si="62"/>
        <v>20</v>
      </c>
      <c r="F14864" s="134" t="s">
        <v>3810</v>
      </c>
      <c r="G14864" s="63" t="str">
        <f>VLOOKUP(C14864, 'Class Def. - General Data'!$C$20:$C$1000,1,false)</f>
        <v>ZSI1_WWT_SUPPLY</v>
      </c>
      <c r="H14864" s="63" t="str">
        <f>IFERROR(__xludf.DUMMYFUNCTION("VLOOKUP(F14864, IMPORTRANGE(""https://docs.google.com/spreadsheets/d/1Lhp9OU0JdFf_VYSMzH5lBcEaU4o8teT1piV-SNzShjg/edit?gid=554141278#gid=554141278"", ""'Char Def. - Attributes'!C20:C2242""), 1,false)"),"ALT_UOM3_SIPI")</f>
        <v>ALT_UOM3_SIPI</v>
      </c>
      <c r="R14864" s="63" t="str">
        <f t="shared" si="60"/>
        <v>ZSI1_WWT_SUPPLYALT_UOM3_SIPI</v>
      </c>
    </row>
    <row r="14865" ht="15.75" customHeight="1">
      <c r="A14865" s="59"/>
      <c r="B14865" s="63">
        <f t="shared" si="1"/>
        <v>15</v>
      </c>
      <c r="C14865" s="135" t="s">
        <v>485</v>
      </c>
      <c r="D14865" s="161" t="s">
        <v>74</v>
      </c>
      <c r="E14865" s="135">
        <f t="shared" si="62"/>
        <v>21</v>
      </c>
      <c r="F14865" s="134" t="s">
        <v>3811</v>
      </c>
      <c r="G14865" s="63" t="str">
        <f>VLOOKUP(C14865, 'Class Def. - General Data'!$C$20:$C$1000,1,false)</f>
        <v>ZSI1_WWT_SUPPLY</v>
      </c>
      <c r="H14865" s="63" t="str">
        <f>IFERROR(__xludf.DUMMYFUNCTION("VLOOKUP(F14865, IMPORTRANGE(""https://docs.google.com/spreadsheets/d/1Lhp9OU0JdFf_VYSMzH5lBcEaU4o8teT1piV-SNzShjg/edit?gid=554141278#gid=554141278"", ""'Char Def. - Attributes'!C20:C2242""), 1,false)"),"ALT_DENUM_UOM3")</f>
        <v>ALT_DENUM_UOM3</v>
      </c>
      <c r="R14865" s="63" t="str">
        <f t="shared" si="60"/>
        <v>ZSI1_WWT_SUPPLYALT_DENUM_UOM3</v>
      </c>
    </row>
    <row r="14866" ht="15.75" customHeight="1">
      <c r="A14866" s="59"/>
      <c r="B14866" s="63">
        <f t="shared" si="1"/>
        <v>15</v>
      </c>
      <c r="C14866" s="135" t="s">
        <v>485</v>
      </c>
      <c r="D14866" s="161" t="s">
        <v>74</v>
      </c>
      <c r="E14866" s="135">
        <f t="shared" si="62"/>
        <v>22</v>
      </c>
      <c r="F14866" s="134" t="s">
        <v>3812</v>
      </c>
      <c r="G14866" s="63" t="str">
        <f>VLOOKUP(C14866, 'Class Def. - General Data'!$C$20:$C$1000,1,false)</f>
        <v>ZSI1_WWT_SUPPLY</v>
      </c>
      <c r="H14866" s="63" t="str">
        <f>IFERROR(__xludf.DUMMYFUNCTION("VLOOKUP(F14866, IMPORTRANGE(""https://docs.google.com/spreadsheets/d/1Lhp9OU0JdFf_VYSMzH5lBcEaU4o8teT1piV-SNzShjg/edit?gid=554141278#gid=554141278"", ""'Char Def. - Attributes'!C20:C2242""), 1,false)"),"ALT_NUM_UOM3")</f>
        <v>ALT_NUM_UOM3</v>
      </c>
      <c r="I14866" s="75"/>
      <c r="J14866" s="75"/>
      <c r="R14866" s="63" t="str">
        <f t="shared" si="60"/>
        <v>ZSI1_WWT_SUPPLYALT_NUM_UOM3</v>
      </c>
    </row>
    <row r="14867" ht="15.75" customHeight="1">
      <c r="A14867" s="59"/>
      <c r="B14867" s="63">
        <f t="shared" si="1"/>
        <v>15</v>
      </c>
      <c r="C14867" s="135" t="s">
        <v>485</v>
      </c>
      <c r="D14867" s="161" t="s">
        <v>74</v>
      </c>
      <c r="E14867" s="135">
        <f t="shared" si="62"/>
        <v>23</v>
      </c>
      <c r="F14867" s="134" t="s">
        <v>3813</v>
      </c>
      <c r="G14867" s="63" t="str">
        <f>VLOOKUP(C14867, 'Class Def. - General Data'!$C$20:$C$1000,1,false)</f>
        <v>ZSI1_WWT_SUPPLY</v>
      </c>
      <c r="H14867" s="63" t="str">
        <f>IFERROR(__xludf.DUMMYFUNCTION("VLOOKUP(F14867, IMPORTRANGE(""https://docs.google.com/spreadsheets/d/1Lhp9OU0JdFf_VYSMzH5lBcEaU4o8teT1piV-SNzShjg/edit?gid=554141278#gid=554141278"", ""'Char Def. - Attributes'!C20:C2242""), 1,false)"),"ALT_UOM4_SIPI")</f>
        <v>ALT_UOM4_SIPI</v>
      </c>
      <c r="I14867" s="75" t="s">
        <v>4816</v>
      </c>
      <c r="J14867" s="75" t="s">
        <v>5683</v>
      </c>
      <c r="R14867" s="63" t="str">
        <f t="shared" si="60"/>
        <v>ZSI1_WWT_SUPPLYALT_UOM4_SIPI</v>
      </c>
    </row>
    <row r="14868" ht="15.75" customHeight="1">
      <c r="A14868" s="59"/>
      <c r="B14868" s="63">
        <f t="shared" si="1"/>
        <v>15</v>
      </c>
      <c r="C14868" s="135" t="s">
        <v>485</v>
      </c>
      <c r="D14868" s="161" t="s">
        <v>74</v>
      </c>
      <c r="E14868" s="135">
        <f t="shared" si="62"/>
        <v>24</v>
      </c>
      <c r="F14868" s="134" t="s">
        <v>3814</v>
      </c>
      <c r="G14868" s="63" t="str">
        <f>VLOOKUP(C14868, 'Class Def. - General Data'!$C$20:$C$1000,1,false)</f>
        <v>ZSI1_WWT_SUPPLY</v>
      </c>
      <c r="H14868" s="63" t="str">
        <f>IFERROR(__xludf.DUMMYFUNCTION("VLOOKUP(F14868, IMPORTRANGE(""https://docs.google.com/spreadsheets/d/1Lhp9OU0JdFf_VYSMzH5lBcEaU4o8teT1piV-SNzShjg/edit?gid=554141278#gid=554141278"", ""'Char Def. - Attributes'!C20:C2242""), 1,false)"),"ALT_DENUM_UOM4")</f>
        <v>ALT_DENUM_UOM4</v>
      </c>
      <c r="R14868" s="63" t="str">
        <f t="shared" si="60"/>
        <v>ZSI1_WWT_SUPPLYALT_DENUM_UOM4</v>
      </c>
    </row>
    <row r="14869" ht="15.75" customHeight="1">
      <c r="A14869" s="59"/>
      <c r="B14869" s="63">
        <f t="shared" si="1"/>
        <v>15</v>
      </c>
      <c r="C14869" s="135" t="s">
        <v>485</v>
      </c>
      <c r="D14869" s="161" t="s">
        <v>74</v>
      </c>
      <c r="E14869" s="135">
        <f t="shared" si="62"/>
        <v>25</v>
      </c>
      <c r="F14869" s="134" t="s">
        <v>3815</v>
      </c>
      <c r="G14869" s="63" t="str">
        <f>VLOOKUP(C14869, 'Class Def. - General Data'!$C$20:$C$1000,1,false)</f>
        <v>ZSI1_WWT_SUPPLY</v>
      </c>
      <c r="H14869" s="63" t="str">
        <f>IFERROR(__xludf.DUMMYFUNCTION("VLOOKUP(F14869, IMPORTRANGE(""https://docs.google.com/spreadsheets/d/1Lhp9OU0JdFf_VYSMzH5lBcEaU4o8teT1piV-SNzShjg/edit?gid=554141278#gid=554141278"", ""'Char Def. - Attributes'!C20:C2242""), 1,false)"),"ALT_NUM_UOM4")</f>
        <v>ALT_NUM_UOM4</v>
      </c>
      <c r="R14869" s="63" t="str">
        <f t="shared" si="60"/>
        <v>ZSI1_WWT_SUPPLYALT_NUM_UOM4</v>
      </c>
    </row>
    <row r="14870" ht="15.75" customHeight="1">
      <c r="A14870" s="59"/>
      <c r="B14870" s="63">
        <f t="shared" si="1"/>
        <v>15</v>
      </c>
      <c r="C14870" s="135" t="s">
        <v>485</v>
      </c>
      <c r="D14870" s="161" t="s">
        <v>74</v>
      </c>
      <c r="E14870" s="135">
        <f t="shared" si="62"/>
        <v>26</v>
      </c>
      <c r="F14870" s="134" t="s">
        <v>3816</v>
      </c>
      <c r="G14870" s="63" t="str">
        <f>VLOOKUP(C14870, 'Class Def. - General Data'!$C$20:$C$1000,1,false)</f>
        <v>ZSI1_WWT_SUPPLY</v>
      </c>
      <c r="H14870" s="63" t="str">
        <f>IFERROR(__xludf.DUMMYFUNCTION("VLOOKUP(F14870, IMPORTRANGE(""https://docs.google.com/spreadsheets/d/1Lhp9OU0JdFf_VYSMzH5lBcEaU4o8teT1piV-SNzShjg/edit?gid=554141278#gid=554141278"", ""'Char Def. - Attributes'!C20:C2242""), 1,false)"),"ALT_UOM5_SIPI")</f>
        <v>ALT_UOM5_SIPI</v>
      </c>
      <c r="R14870" s="63" t="str">
        <f t="shared" si="60"/>
        <v>ZSI1_WWT_SUPPLYALT_UOM5_SIPI</v>
      </c>
    </row>
    <row r="14871" ht="15.75" customHeight="1">
      <c r="A14871" s="59"/>
      <c r="B14871" s="63">
        <f t="shared" si="1"/>
        <v>15</v>
      </c>
      <c r="C14871" s="135" t="s">
        <v>485</v>
      </c>
      <c r="D14871" s="161" t="s">
        <v>74</v>
      </c>
      <c r="E14871" s="135">
        <f t="shared" si="62"/>
        <v>27</v>
      </c>
      <c r="F14871" s="134" t="s">
        <v>3817</v>
      </c>
      <c r="G14871" s="63" t="str">
        <f>VLOOKUP(C14871, 'Class Def. - General Data'!$C$20:$C$1000,1,false)</f>
        <v>ZSI1_WWT_SUPPLY</v>
      </c>
      <c r="H14871" s="63" t="str">
        <f>IFERROR(__xludf.DUMMYFUNCTION("VLOOKUP(F14871, IMPORTRANGE(""https://docs.google.com/spreadsheets/d/1Lhp9OU0JdFf_VYSMzH5lBcEaU4o8teT1piV-SNzShjg/edit?gid=554141278#gid=554141278"", ""'Char Def. - Attributes'!C20:C2242""), 1,false)"),"ALT_DENUM_UOM5")</f>
        <v>ALT_DENUM_UOM5</v>
      </c>
      <c r="R14871" s="63" t="str">
        <f t="shared" si="60"/>
        <v>ZSI1_WWT_SUPPLYALT_DENUM_UOM5</v>
      </c>
    </row>
    <row r="14872" ht="15.75" customHeight="1">
      <c r="A14872" s="59"/>
      <c r="B14872" s="63">
        <f t="shared" si="1"/>
        <v>15</v>
      </c>
      <c r="C14872" s="135" t="s">
        <v>485</v>
      </c>
      <c r="D14872" s="161" t="s">
        <v>74</v>
      </c>
      <c r="E14872" s="135">
        <f t="shared" si="62"/>
        <v>28</v>
      </c>
      <c r="F14872" s="134" t="s">
        <v>3818</v>
      </c>
      <c r="G14872" s="63" t="str">
        <f>VLOOKUP(C14872, 'Class Def. - General Data'!$C$20:$C$1000,1,false)</f>
        <v>ZSI1_WWT_SUPPLY</v>
      </c>
      <c r="H14872" s="63" t="str">
        <f>IFERROR(__xludf.DUMMYFUNCTION("VLOOKUP(F14872, IMPORTRANGE(""https://docs.google.com/spreadsheets/d/1Lhp9OU0JdFf_VYSMzH5lBcEaU4o8teT1piV-SNzShjg/edit?gid=554141278#gid=554141278"", ""'Char Def. - Attributes'!C20:C2242""), 1,false)"),"ALT_NUM_UOM5")</f>
        <v>ALT_NUM_UOM5</v>
      </c>
      <c r="R14872" s="63" t="str">
        <f t="shared" si="60"/>
        <v>ZSI1_WWT_SUPPLYALT_NUM_UOM5</v>
      </c>
    </row>
    <row r="14873" ht="15.75" customHeight="1">
      <c r="A14873" s="59"/>
      <c r="B14873" s="63">
        <f t="shared" si="1"/>
        <v>12</v>
      </c>
      <c r="C14873" s="135" t="s">
        <v>183</v>
      </c>
      <c r="D14873" s="141" t="s">
        <v>74</v>
      </c>
      <c r="E14873" s="135">
        <f t="shared" si="62"/>
        <v>1</v>
      </c>
      <c r="F14873" s="135" t="s">
        <v>5017</v>
      </c>
      <c r="G14873" s="63" t="str">
        <f>VLOOKUP(C14873, 'Class Def. - General Data'!$C$20:$C$1000,1,false)</f>
        <v>ZSI2_PALLETS</v>
      </c>
      <c r="H14873" s="63" t="str">
        <f>IFERROR(__xludf.DUMMYFUNCTION("VLOOKUP(F14873, IMPORTRANGE(""https://docs.google.com/spreadsheets/d/1Lhp9OU0JdFf_VYSMzH5lBcEaU4o8teT1piV-SNzShjg/edit?gid=554141278#gid=554141278"", ""'Char Def. - Attributes'!C20:C2242""), 1,false)"),"ITEM_NAME_PALLETS")</f>
        <v>ITEM_NAME_PALLETS</v>
      </c>
    </row>
    <row r="14874" ht="15.75" customHeight="1">
      <c r="A14874" s="59"/>
      <c r="B14874" s="63">
        <f t="shared" si="1"/>
        <v>12</v>
      </c>
      <c r="C14874" s="135" t="s">
        <v>183</v>
      </c>
      <c r="D14874" s="141" t="s">
        <v>74</v>
      </c>
      <c r="E14874" s="135">
        <f t="shared" si="62"/>
        <v>2</v>
      </c>
      <c r="F14874" s="135" t="s">
        <v>5019</v>
      </c>
      <c r="G14874" s="63" t="str">
        <f>VLOOKUP(C14874, 'Class Def. - General Data'!$C$20:$C$1000,1,false)</f>
        <v>ZSI2_PALLETS</v>
      </c>
      <c r="H14874" s="63" t="str">
        <f>IFERROR(__xludf.DUMMYFUNCTION("VLOOKUP(F14874, IMPORTRANGE(""https://docs.google.com/spreadsheets/d/1Lhp9OU0JdFf_VYSMzH5lBcEaU4o8teT1piV-SNzShjg/edit?gid=554141278#gid=554141278"", ""'Char Def. - Attributes'!C20:C2242""), 1,false)"),"ITEM_DETAILED_TYPE_PALLETS")</f>
        <v>ITEM_DETAILED_TYPE_PALLETS</v>
      </c>
    </row>
    <row r="14875" ht="15.75" customHeight="1">
      <c r="A14875" s="59"/>
      <c r="B14875" s="63">
        <f t="shared" si="1"/>
        <v>12</v>
      </c>
      <c r="C14875" s="135" t="s">
        <v>183</v>
      </c>
      <c r="D14875" s="141" t="s">
        <v>74</v>
      </c>
      <c r="E14875" s="135">
        <f t="shared" si="62"/>
        <v>3</v>
      </c>
      <c r="F14875" s="135" t="s">
        <v>5020</v>
      </c>
      <c r="G14875" s="63" t="str">
        <f>VLOOKUP(C14875, 'Class Def. - General Data'!$C$20:$C$1000,1,false)</f>
        <v>ZSI2_PALLETS</v>
      </c>
      <c r="H14875" s="63" t="str">
        <f>IFERROR(__xludf.DUMMYFUNCTION("VLOOKUP(F14875, IMPORTRANGE(""https://docs.google.com/spreadsheets/d/1Lhp9OU0JdFf_VYSMzH5lBcEaU4o8teT1piV-SNzShjg/edit?gid=554141278#gid=554141278"", ""'Char Def. - Attributes'!C20:C2242""), 1,false)"),"LENGTH_MM_PALLETS")</f>
        <v>LENGTH_MM_PALLETS</v>
      </c>
    </row>
    <row r="14876" ht="15.75" customHeight="1">
      <c r="A14876" s="59"/>
      <c r="B14876" s="63">
        <f t="shared" si="1"/>
        <v>12</v>
      </c>
      <c r="C14876" s="135" t="s">
        <v>183</v>
      </c>
      <c r="D14876" s="141" t="s">
        <v>74</v>
      </c>
      <c r="E14876" s="135">
        <f t="shared" si="62"/>
        <v>4</v>
      </c>
      <c r="F14876" s="135" t="s">
        <v>5021</v>
      </c>
      <c r="G14876" s="63" t="str">
        <f>VLOOKUP(C14876, 'Class Def. - General Data'!$C$20:$C$1000,1,false)</f>
        <v>ZSI2_PALLETS</v>
      </c>
      <c r="H14876" s="63" t="str">
        <f>IFERROR(__xludf.DUMMYFUNCTION("VLOOKUP(F14876, IMPORTRANGE(""https://docs.google.com/spreadsheets/d/1Lhp9OU0JdFf_VYSMzH5lBcEaU4o8teT1piV-SNzShjg/edit?gid=554141278#gid=554141278"", ""'Char Def. - Attributes'!C20:C2242""), 1,false)"),"WIDTH_MM_PALLETS")</f>
        <v>WIDTH_MM_PALLETS</v>
      </c>
    </row>
    <row r="14877" ht="15.75" customHeight="1">
      <c r="A14877" s="59"/>
      <c r="B14877" s="63">
        <f t="shared" si="1"/>
        <v>12</v>
      </c>
      <c r="C14877" s="135" t="s">
        <v>183</v>
      </c>
      <c r="D14877" s="141" t="s">
        <v>74</v>
      </c>
      <c r="E14877" s="135">
        <f t="shared" si="62"/>
        <v>5</v>
      </c>
      <c r="F14877" s="135" t="s">
        <v>5022</v>
      </c>
      <c r="G14877" s="63" t="str">
        <f>VLOOKUP(C14877, 'Class Def. - General Data'!$C$20:$C$1000,1,false)</f>
        <v>ZSI2_PALLETS</v>
      </c>
      <c r="H14877" s="63" t="str">
        <f>IFERROR(__xludf.DUMMYFUNCTION("VLOOKUP(F14877, IMPORTRANGE(""https://docs.google.com/spreadsheets/d/1Lhp9OU0JdFf_VYSMzH5lBcEaU4o8teT1piV-SNzShjg/edit?gid=554141278#gid=554141278"", ""'Char Def. - Attributes'!C20:C2242""), 1,false)"),"HEIGHT_MM_PALLETS")</f>
        <v>HEIGHT_MM_PALLETS</v>
      </c>
    </row>
    <row r="14878" ht="15.75" customHeight="1">
      <c r="A14878" s="59"/>
      <c r="B14878" s="63">
        <f t="shared" si="1"/>
        <v>12</v>
      </c>
      <c r="C14878" s="135" t="s">
        <v>183</v>
      </c>
      <c r="D14878" s="141" t="s">
        <v>74</v>
      </c>
      <c r="E14878" s="135">
        <f t="shared" si="62"/>
        <v>6</v>
      </c>
      <c r="F14878" s="135" t="s">
        <v>5684</v>
      </c>
      <c r="G14878" s="63" t="str">
        <f>VLOOKUP(C14878, 'Class Def. - General Data'!$C$20:$C$1000,1,false)</f>
        <v>ZSI2_PALLETS</v>
      </c>
      <c r="H14878" s="63" t="str">
        <f>IFERROR(__xludf.DUMMYFUNCTION("VLOOKUP(F14878, IMPORTRANGE(""https://docs.google.com/spreadsheets/d/1Lhp9OU0JdFf_VYSMzH5lBcEaU4o8teT1piV-SNzShjg/edit?gid=554141278#gid=554141278"", ""'Char Def. - Attributes'!C20:C2242""), 1,false)"),"ADDITIONAL_INFO_PALLETS")</f>
        <v>ADDITIONAL_INFO_PALLETS</v>
      </c>
    </row>
    <row r="14879" ht="15.75" customHeight="1">
      <c r="A14879" s="59"/>
      <c r="B14879" s="63">
        <f t="shared" si="1"/>
        <v>12</v>
      </c>
      <c r="C14879" s="135" t="s">
        <v>183</v>
      </c>
      <c r="D14879" s="141" t="s">
        <v>74</v>
      </c>
      <c r="E14879" s="135">
        <f t="shared" si="62"/>
        <v>7</v>
      </c>
      <c r="F14879" s="135" t="s">
        <v>3585</v>
      </c>
      <c r="G14879" s="63" t="str">
        <f>VLOOKUP(C14879, 'Class Def. - General Data'!$C$20:$C$1000,1,false)</f>
        <v>ZSI2_PALLETS</v>
      </c>
      <c r="H14879" s="63" t="str">
        <f>IFERROR(__xludf.DUMMYFUNCTION("VLOOKUP(F14879, IMPORTRANGE(""https://docs.google.com/spreadsheets/d/1Lhp9OU0JdFf_VYSMzH5lBcEaU4o8teT1piV-SNzShjg/edit?gid=554141278#gid=554141278"", ""'Char Def. - Attributes'!C20:C2242""), 1,false)"),"HS_CODE")</f>
        <v>HS_CODE</v>
      </c>
    </row>
    <row r="14880" ht="15.75" customHeight="1">
      <c r="A14880" s="59"/>
      <c r="B14880" s="63">
        <f t="shared" si="1"/>
        <v>12</v>
      </c>
      <c r="C14880" s="135" t="s">
        <v>183</v>
      </c>
      <c r="D14880" s="141" t="s">
        <v>74</v>
      </c>
      <c r="E14880" s="135">
        <f t="shared" si="62"/>
        <v>8</v>
      </c>
      <c r="F14880" s="135" t="s">
        <v>3587</v>
      </c>
      <c r="G14880" s="63" t="str">
        <f>VLOOKUP(C14880, 'Class Def. - General Data'!$C$20:$C$1000,1,false)</f>
        <v>ZSI2_PALLETS</v>
      </c>
      <c r="H14880" s="63" t="str">
        <f>IFERROR(__xludf.DUMMYFUNCTION("VLOOKUP(F14880, IMPORTRANGE(""https://docs.google.com/spreadsheets/d/1Lhp9OU0JdFf_VYSMzH5lBcEaU4o8teT1piV-SNzShjg/edit?gid=554141278#gid=554141278"", ""'Char Def. - Attributes'!C20:C2242""), 1,false)"),"PLANT_BUY")</f>
        <v>PLANT_BUY</v>
      </c>
    </row>
    <row r="14881" ht="15.75" customHeight="1">
      <c r="A14881" s="59"/>
      <c r="B14881" s="63">
        <f t="shared" si="1"/>
        <v>12</v>
      </c>
      <c r="C14881" s="135" t="s">
        <v>183</v>
      </c>
      <c r="D14881" s="141" t="s">
        <v>74</v>
      </c>
      <c r="E14881" s="135">
        <f t="shared" si="62"/>
        <v>9</v>
      </c>
      <c r="F14881" s="135" t="s">
        <v>5023</v>
      </c>
      <c r="G14881" s="63" t="str">
        <f>VLOOKUP(C14881, 'Class Def. - General Data'!$C$20:$C$1000,1,false)</f>
        <v>ZSI2_PALLETS</v>
      </c>
      <c r="H14881" s="63" t="str">
        <f>IFERROR(__xludf.DUMMYFUNCTION("VLOOKUP(F14881, IMPORTRANGE(""https://docs.google.com/spreadsheets/d/1Lhp9OU0JdFf_VYSMzH5lBcEaU4o8teT1piV-SNzShjg/edit?gid=554141278#gid=554141278"", ""'Char Def. - Attributes'!C20:C2242""), 1,false)"),"BASE_UOM_PALLETS")</f>
        <v>BASE_UOM_PALLETS</v>
      </c>
    </row>
    <row r="14882" ht="15.75" customHeight="1">
      <c r="A14882" s="59"/>
      <c r="B14882" s="63">
        <f t="shared" si="1"/>
        <v>12</v>
      </c>
      <c r="C14882" s="135" t="s">
        <v>183</v>
      </c>
      <c r="D14882" s="134" t="s">
        <v>74</v>
      </c>
      <c r="E14882" s="135">
        <f t="shared" si="62"/>
        <v>10</v>
      </c>
      <c r="F14882" s="135" t="s">
        <v>5024</v>
      </c>
      <c r="G14882" s="63" t="str">
        <f>VLOOKUP(C14882, 'Class Def. - General Data'!$C$20:$C$1000,1,false)</f>
        <v>ZSI2_PALLETS</v>
      </c>
      <c r="H14882" s="63" t="str">
        <f>IFERROR(__xludf.DUMMYFUNCTION("VLOOKUP(F14882, IMPORTRANGE(""https://docs.google.com/spreadsheets/d/1Lhp9OU0JdFf_VYSMzH5lBcEaU4o8teT1piV-SNzShjg/edit?gid=554141278#gid=554141278"", ""'Char Def. - Attributes'!C20:C2242""), 1,false)"),"ORDER_UNIT_PALLETS")</f>
        <v>ORDER_UNIT_PALLETS</v>
      </c>
    </row>
    <row r="14883" ht="15.75" customHeight="1">
      <c r="A14883" s="59"/>
      <c r="B14883" s="63">
        <f t="shared" si="1"/>
        <v>12</v>
      </c>
      <c r="C14883" s="135" t="s">
        <v>183</v>
      </c>
      <c r="D14883" s="141" t="s">
        <v>74</v>
      </c>
      <c r="E14883" s="135">
        <f t="shared" si="62"/>
        <v>11</v>
      </c>
      <c r="F14883" s="135" t="s">
        <v>4056</v>
      </c>
      <c r="G14883" s="63" t="str">
        <f>VLOOKUP(C14883, 'Class Def. - General Data'!$C$20:$C$1000,1,false)</f>
        <v>ZSI2_PALLETS</v>
      </c>
      <c r="H14883" s="63" t="str">
        <f>IFERROR(__xludf.DUMMYFUNCTION("VLOOKUP(F14883, IMPORTRANGE(""https://docs.google.com/spreadsheets/d/1Lhp9OU0JdFf_VYSMzH5lBcEaU4o8teT1piV-SNzShjg/edit?gid=554141278#gid=554141278"", ""'Char Def. - Attributes'!C20:C2242""), 1,false)"),"GROSS_WEIGHT_OPT")</f>
        <v>GROSS_WEIGHT_OPT</v>
      </c>
    </row>
    <row r="14884" ht="15.75" customHeight="1">
      <c r="A14884" s="59"/>
      <c r="B14884" s="63">
        <f t="shared" si="1"/>
        <v>12</v>
      </c>
      <c r="C14884" s="135" t="s">
        <v>183</v>
      </c>
      <c r="D14884" s="141" t="s">
        <v>74</v>
      </c>
      <c r="E14884" s="135">
        <f t="shared" si="62"/>
        <v>12</v>
      </c>
      <c r="F14884" s="135" t="s">
        <v>4057</v>
      </c>
      <c r="G14884" s="63" t="str">
        <f>VLOOKUP(C14884, 'Class Def. - General Data'!$C$20:$C$1000,1,false)</f>
        <v>ZSI2_PALLETS</v>
      </c>
      <c r="H14884" s="63" t="str">
        <f>IFERROR(__xludf.DUMMYFUNCTION("VLOOKUP(F14884, IMPORTRANGE(""https://docs.google.com/spreadsheets/d/1Lhp9OU0JdFf_VYSMzH5lBcEaU4o8teT1piV-SNzShjg/edit?gid=554141278#gid=554141278"", ""'Char Def. - Attributes'!C20:C2242""), 1,false)"),"NET_WEIGHT_OPT")</f>
        <v>NET_WEIGHT_OPT</v>
      </c>
    </row>
    <row r="14885" ht="15.75" customHeight="1">
      <c r="A14885" s="59"/>
      <c r="B14885" s="63">
        <f t="shared" si="1"/>
        <v>12</v>
      </c>
      <c r="C14885" s="135" t="s">
        <v>183</v>
      </c>
      <c r="D14885" s="141" t="s">
        <v>74</v>
      </c>
      <c r="E14885" s="135">
        <f t="shared" si="62"/>
        <v>13</v>
      </c>
      <c r="F14885" s="135" t="s">
        <v>4058</v>
      </c>
      <c r="G14885" s="63" t="str">
        <f>VLOOKUP(C14885, 'Class Def. - General Data'!$C$20:$C$1000,1,false)</f>
        <v>ZSI2_PALLETS</v>
      </c>
      <c r="H14885" s="63" t="str">
        <f>IFERROR(__xludf.DUMMYFUNCTION("VLOOKUP(F14885, IMPORTRANGE(""https://docs.google.com/spreadsheets/d/1Lhp9OU0JdFf_VYSMzH5lBcEaU4o8teT1piV-SNzShjg/edit?gid=554141278#gid=554141278"", ""'Char Def. - Attributes'!C20:C2242""), 1,false)"),"WEIGHT_UNIT_SI")</f>
        <v>WEIGHT_UNIT_SI</v>
      </c>
    </row>
    <row r="14886" ht="15.75" customHeight="1">
      <c r="A14886" s="59"/>
      <c r="B14886" s="63">
        <f t="shared" si="1"/>
        <v>12</v>
      </c>
      <c r="C14886" s="135" t="s">
        <v>183</v>
      </c>
      <c r="D14886" s="141" t="s">
        <v>74</v>
      </c>
      <c r="E14886" s="135">
        <f t="shared" si="62"/>
        <v>14</v>
      </c>
      <c r="F14886" s="135" t="s">
        <v>3877</v>
      </c>
      <c r="G14886" s="63" t="str">
        <f>VLOOKUP(C14886, 'Class Def. - General Data'!$C$20:$C$1000,1,false)</f>
        <v>ZSI2_PALLETS</v>
      </c>
      <c r="H14886" s="63" t="str">
        <f>IFERROR(__xludf.DUMMYFUNCTION("VLOOKUP(F14886, IMPORTRANGE(""https://docs.google.com/spreadsheets/d/1Lhp9OU0JdFf_VYSMzH5lBcEaU4o8teT1piV-SNzShjg/edit?gid=554141278#gid=554141278"", ""'Char Def. - Attributes'!C20:C2242""), 1,false)"),"VOLUME_OPT")</f>
        <v>VOLUME_OPT</v>
      </c>
    </row>
    <row r="14887" ht="15.75" customHeight="1">
      <c r="A14887" s="59"/>
      <c r="B14887" s="63">
        <f t="shared" si="1"/>
        <v>12</v>
      </c>
      <c r="C14887" s="135" t="s">
        <v>183</v>
      </c>
      <c r="D14887" s="141" t="s">
        <v>74</v>
      </c>
      <c r="E14887" s="135">
        <f t="shared" si="62"/>
        <v>15</v>
      </c>
      <c r="F14887" s="135" t="s">
        <v>4059</v>
      </c>
      <c r="G14887" s="63" t="str">
        <f>VLOOKUP(C14887, 'Class Def. - General Data'!$C$20:$C$1000,1,false)</f>
        <v>ZSI2_PALLETS</v>
      </c>
      <c r="H14887" s="63" t="str">
        <f>IFERROR(__xludf.DUMMYFUNCTION("VLOOKUP(F14887, IMPORTRANGE(""https://docs.google.com/spreadsheets/d/1Lhp9OU0JdFf_VYSMzH5lBcEaU4o8teT1piV-SNzShjg/edit?gid=554141278#gid=554141278"", ""'Char Def. - Attributes'!C20:C2242""), 1,false)"),"VOLUME_UNIT_SI")</f>
        <v>VOLUME_UNIT_SI</v>
      </c>
    </row>
    <row r="14888" ht="15.75" customHeight="1">
      <c r="A14888" s="59"/>
      <c r="B14888" s="63">
        <f t="shared" si="1"/>
        <v>12</v>
      </c>
      <c r="C14888" s="135" t="s">
        <v>183</v>
      </c>
      <c r="D14888" s="141" t="s">
        <v>74</v>
      </c>
      <c r="E14888" s="135">
        <f t="shared" si="62"/>
        <v>16</v>
      </c>
      <c r="F14888" s="135" t="s">
        <v>3804</v>
      </c>
      <c r="G14888" s="63" t="str">
        <f>VLOOKUP(C14888, 'Class Def. - General Data'!$C$20:$C$1000,1,false)</f>
        <v>ZSI2_PALLETS</v>
      </c>
      <c r="H14888" s="63" t="str">
        <f>IFERROR(__xludf.DUMMYFUNCTION("VLOOKUP(F14888, IMPORTRANGE(""https://docs.google.com/spreadsheets/d/1Lhp9OU0JdFf_VYSMzH5lBcEaU4o8teT1piV-SNzShjg/edit?gid=554141278#gid=554141278"", ""'Char Def. - Attributes'!C20:C2242""), 1,false)"),"ALT_UOM1_SIPI")</f>
        <v>ALT_UOM1_SIPI</v>
      </c>
    </row>
    <row r="14889" ht="15.75" customHeight="1">
      <c r="A14889" s="59"/>
      <c r="B14889" s="63">
        <f t="shared" si="1"/>
        <v>12</v>
      </c>
      <c r="C14889" s="135" t="s">
        <v>183</v>
      </c>
      <c r="D14889" s="141" t="s">
        <v>74</v>
      </c>
      <c r="E14889" s="135">
        <f t="shared" si="62"/>
        <v>17</v>
      </c>
      <c r="F14889" s="135" t="s">
        <v>3805</v>
      </c>
      <c r="G14889" s="63" t="str">
        <f>VLOOKUP(C14889, 'Class Def. - General Data'!$C$20:$C$1000,1,false)</f>
        <v>ZSI2_PALLETS</v>
      </c>
      <c r="H14889" s="63" t="str">
        <f>IFERROR(__xludf.DUMMYFUNCTION("VLOOKUP(F14889, IMPORTRANGE(""https://docs.google.com/spreadsheets/d/1Lhp9OU0JdFf_VYSMzH5lBcEaU4o8teT1piV-SNzShjg/edit?gid=554141278#gid=554141278"", ""'Char Def. - Attributes'!C20:C2242""), 1,false)"),"ALT_DENUM_UOM1")</f>
        <v>ALT_DENUM_UOM1</v>
      </c>
    </row>
    <row r="14890" ht="15.75" customHeight="1">
      <c r="A14890" s="59"/>
      <c r="B14890" s="63">
        <f t="shared" si="1"/>
        <v>12</v>
      </c>
      <c r="C14890" s="144" t="s">
        <v>183</v>
      </c>
      <c r="D14890" s="167" t="s">
        <v>74</v>
      </c>
      <c r="E14890" s="135">
        <f t="shared" si="62"/>
        <v>18</v>
      </c>
      <c r="F14890" s="135" t="s">
        <v>3808</v>
      </c>
      <c r="G14890" s="63" t="str">
        <f>VLOOKUP(C14890, 'Class Def. - General Data'!$C$20:$C$1000,1,false)</f>
        <v>ZSI2_PALLETS</v>
      </c>
      <c r="H14890" s="63" t="str">
        <f>IFERROR(__xludf.DUMMYFUNCTION("VLOOKUP(F14890, IMPORTRANGE(""https://docs.google.com/spreadsheets/d/1Lhp9OU0JdFf_VYSMzH5lBcEaU4o8teT1piV-SNzShjg/edit?gid=554141278#gid=554141278"", ""'Char Def. - Attributes'!C20:C2242""), 1,false)"),"ALT_DENUM_UOM2")</f>
        <v>ALT_DENUM_UOM2</v>
      </c>
    </row>
    <row r="14891" ht="15.75" customHeight="1">
      <c r="A14891" s="59"/>
      <c r="B14891" s="63">
        <f t="shared" si="1"/>
        <v>12</v>
      </c>
      <c r="C14891" s="144" t="s">
        <v>183</v>
      </c>
      <c r="D14891" s="167" t="s">
        <v>74</v>
      </c>
      <c r="E14891" s="135">
        <f t="shared" si="62"/>
        <v>19</v>
      </c>
      <c r="F14891" s="135" t="s">
        <v>3809</v>
      </c>
      <c r="G14891" s="63" t="str">
        <f>VLOOKUP(C14891, 'Class Def. - General Data'!$C$20:$C$1000,1,false)</f>
        <v>ZSI2_PALLETS</v>
      </c>
      <c r="H14891" s="63" t="str">
        <f>IFERROR(__xludf.DUMMYFUNCTION("VLOOKUP(F14891, IMPORTRANGE(""https://docs.google.com/spreadsheets/d/1Lhp9OU0JdFf_VYSMzH5lBcEaU4o8teT1piV-SNzShjg/edit?gid=554141278#gid=554141278"", ""'Char Def. - Attributes'!C20:C2242""), 1,false)"),"ALT_NUM_UOM2")</f>
        <v>ALT_NUM_UOM2</v>
      </c>
    </row>
    <row r="14892" ht="15.75" customHeight="1">
      <c r="A14892" s="59"/>
      <c r="B14892" s="63">
        <f t="shared" si="1"/>
        <v>12</v>
      </c>
      <c r="C14892" s="144" t="s">
        <v>183</v>
      </c>
      <c r="D14892" s="167" t="s">
        <v>74</v>
      </c>
      <c r="E14892" s="135">
        <f t="shared" si="62"/>
        <v>20</v>
      </c>
      <c r="F14892" s="135" t="s">
        <v>3810</v>
      </c>
      <c r="G14892" s="63" t="str">
        <f>VLOOKUP(C14892, 'Class Def. - General Data'!$C$20:$C$1000,1,false)</f>
        <v>ZSI2_PALLETS</v>
      </c>
      <c r="H14892" s="63" t="str">
        <f>IFERROR(__xludf.DUMMYFUNCTION("VLOOKUP(F14892, IMPORTRANGE(""https://docs.google.com/spreadsheets/d/1Lhp9OU0JdFf_VYSMzH5lBcEaU4o8teT1piV-SNzShjg/edit?gid=554141278#gid=554141278"", ""'Char Def. - Attributes'!C20:C2242""), 1,false)"),"ALT_UOM3_SIPI")</f>
        <v>ALT_UOM3_SIPI</v>
      </c>
    </row>
    <row r="14893" ht="15.75" customHeight="1">
      <c r="A14893" s="59"/>
      <c r="B14893" s="63">
        <f t="shared" si="1"/>
        <v>12</v>
      </c>
      <c r="C14893" s="144" t="s">
        <v>183</v>
      </c>
      <c r="D14893" s="167" t="s">
        <v>74</v>
      </c>
      <c r="E14893" s="135">
        <f t="shared" si="62"/>
        <v>21</v>
      </c>
      <c r="F14893" s="135" t="s">
        <v>3811</v>
      </c>
      <c r="G14893" s="63" t="str">
        <f>VLOOKUP(C14893, 'Class Def. - General Data'!$C$20:$C$1000,1,false)</f>
        <v>ZSI2_PALLETS</v>
      </c>
      <c r="H14893" s="63" t="str">
        <f>IFERROR(__xludf.DUMMYFUNCTION("VLOOKUP(F14893, IMPORTRANGE(""https://docs.google.com/spreadsheets/d/1Lhp9OU0JdFf_VYSMzH5lBcEaU4o8teT1piV-SNzShjg/edit?gid=554141278#gid=554141278"", ""'Char Def. - Attributes'!C20:C2242""), 1,false)"),"ALT_DENUM_UOM3")</f>
        <v>ALT_DENUM_UOM3</v>
      </c>
    </row>
    <row r="14894" ht="15.75" customHeight="1">
      <c r="A14894" s="59"/>
      <c r="B14894" s="63">
        <f t="shared" si="1"/>
        <v>12</v>
      </c>
      <c r="C14894" s="144" t="s">
        <v>183</v>
      </c>
      <c r="D14894" s="167" t="s">
        <v>74</v>
      </c>
      <c r="E14894" s="135">
        <f t="shared" si="62"/>
        <v>22</v>
      </c>
      <c r="F14894" s="135" t="s">
        <v>3812</v>
      </c>
      <c r="G14894" s="63" t="str">
        <f>VLOOKUP(C14894, 'Class Def. - General Data'!$C$20:$C$1000,1,false)</f>
        <v>ZSI2_PALLETS</v>
      </c>
      <c r="H14894" s="63" t="str">
        <f>IFERROR(__xludf.DUMMYFUNCTION("VLOOKUP(F14894, IMPORTRANGE(""https://docs.google.com/spreadsheets/d/1Lhp9OU0JdFf_VYSMzH5lBcEaU4o8teT1piV-SNzShjg/edit?gid=554141278#gid=554141278"", ""'Char Def. - Attributes'!C20:C2242""), 1,false)"),"ALT_NUM_UOM3")</f>
        <v>ALT_NUM_UOM3</v>
      </c>
    </row>
    <row r="14895" ht="15.75" customHeight="1">
      <c r="A14895" s="59"/>
      <c r="B14895" s="63">
        <f t="shared" si="1"/>
        <v>12</v>
      </c>
      <c r="C14895" s="144" t="s">
        <v>183</v>
      </c>
      <c r="D14895" s="167" t="s">
        <v>74</v>
      </c>
      <c r="E14895" s="135">
        <f t="shared" si="62"/>
        <v>23</v>
      </c>
      <c r="F14895" s="135" t="s">
        <v>3813</v>
      </c>
      <c r="G14895" s="63" t="str">
        <f>VLOOKUP(C14895, 'Class Def. - General Data'!$C$20:$C$1000,1,false)</f>
        <v>ZSI2_PALLETS</v>
      </c>
      <c r="H14895" s="63" t="str">
        <f>IFERROR(__xludf.DUMMYFUNCTION("VLOOKUP(F14895, IMPORTRANGE(""https://docs.google.com/spreadsheets/d/1Lhp9OU0JdFf_VYSMzH5lBcEaU4o8teT1piV-SNzShjg/edit?gid=554141278#gid=554141278"", ""'Char Def. - Attributes'!C20:C2242""), 1,false)"),"ALT_UOM4_SIPI")</f>
        <v>ALT_UOM4_SIPI</v>
      </c>
    </row>
    <row r="14896" ht="15.75" customHeight="1">
      <c r="A14896" s="59"/>
      <c r="B14896" s="63">
        <f t="shared" si="1"/>
        <v>12</v>
      </c>
      <c r="C14896" s="144" t="s">
        <v>183</v>
      </c>
      <c r="D14896" s="167" t="s">
        <v>74</v>
      </c>
      <c r="E14896" s="135">
        <f t="shared" si="62"/>
        <v>24</v>
      </c>
      <c r="F14896" s="135" t="s">
        <v>3814</v>
      </c>
      <c r="G14896" s="63" t="str">
        <f>VLOOKUP(C14896, 'Class Def. - General Data'!$C$20:$C$1000,1,false)</f>
        <v>ZSI2_PALLETS</v>
      </c>
      <c r="H14896" s="63" t="str">
        <f>IFERROR(__xludf.DUMMYFUNCTION("VLOOKUP(F14896, IMPORTRANGE(""https://docs.google.com/spreadsheets/d/1Lhp9OU0JdFf_VYSMzH5lBcEaU4o8teT1piV-SNzShjg/edit?gid=554141278#gid=554141278"", ""'Char Def. - Attributes'!C20:C2242""), 1,false)"),"ALT_DENUM_UOM4")</f>
        <v>ALT_DENUM_UOM4</v>
      </c>
    </row>
    <row r="14897" ht="15.75" customHeight="1">
      <c r="A14897" s="59"/>
      <c r="B14897" s="63">
        <f t="shared" si="1"/>
        <v>12</v>
      </c>
      <c r="C14897" s="144" t="s">
        <v>183</v>
      </c>
      <c r="D14897" s="167" t="s">
        <v>74</v>
      </c>
      <c r="E14897" s="135">
        <f t="shared" si="62"/>
        <v>25</v>
      </c>
      <c r="F14897" s="135" t="s">
        <v>3815</v>
      </c>
      <c r="G14897" s="63" t="str">
        <f>VLOOKUP(C14897, 'Class Def. - General Data'!$C$20:$C$1000,1,false)</f>
        <v>ZSI2_PALLETS</v>
      </c>
      <c r="H14897" s="63" t="str">
        <f>IFERROR(__xludf.DUMMYFUNCTION("VLOOKUP(F14897, IMPORTRANGE(""https://docs.google.com/spreadsheets/d/1Lhp9OU0JdFf_VYSMzH5lBcEaU4o8teT1piV-SNzShjg/edit?gid=554141278#gid=554141278"", ""'Char Def. - Attributes'!C20:C2242""), 1,false)"),"ALT_NUM_UOM4")</f>
        <v>ALT_NUM_UOM4</v>
      </c>
    </row>
    <row r="14898" ht="15.75" customHeight="1">
      <c r="A14898" s="59"/>
      <c r="B14898" s="63">
        <f t="shared" si="1"/>
        <v>12</v>
      </c>
      <c r="C14898" s="144" t="s">
        <v>183</v>
      </c>
      <c r="D14898" s="167" t="s">
        <v>74</v>
      </c>
      <c r="E14898" s="135">
        <f t="shared" si="62"/>
        <v>26</v>
      </c>
      <c r="F14898" s="135" t="s">
        <v>3816</v>
      </c>
      <c r="G14898" s="63" t="str">
        <f>VLOOKUP(C14898, 'Class Def. - General Data'!$C$20:$C$1000,1,false)</f>
        <v>ZSI2_PALLETS</v>
      </c>
      <c r="H14898" s="63" t="str">
        <f>IFERROR(__xludf.DUMMYFUNCTION("VLOOKUP(F14898, IMPORTRANGE(""https://docs.google.com/spreadsheets/d/1Lhp9OU0JdFf_VYSMzH5lBcEaU4o8teT1piV-SNzShjg/edit?gid=554141278#gid=554141278"", ""'Char Def. - Attributes'!C20:C2242""), 1,false)"),"ALT_UOM5_SIPI")</f>
        <v>ALT_UOM5_SIPI</v>
      </c>
    </row>
    <row r="14899" ht="15.75" customHeight="1">
      <c r="A14899" s="59"/>
      <c r="B14899" s="63">
        <f t="shared" si="1"/>
        <v>12</v>
      </c>
      <c r="C14899" s="144" t="s">
        <v>183</v>
      </c>
      <c r="D14899" s="167" t="s">
        <v>74</v>
      </c>
      <c r="E14899" s="135">
        <f t="shared" si="62"/>
        <v>27</v>
      </c>
      <c r="F14899" s="135" t="s">
        <v>3817</v>
      </c>
      <c r="G14899" s="63" t="str">
        <f>VLOOKUP(C14899, 'Class Def. - General Data'!$C$20:$C$1000,1,false)</f>
        <v>ZSI2_PALLETS</v>
      </c>
      <c r="H14899" s="63" t="str">
        <f>IFERROR(__xludf.DUMMYFUNCTION("VLOOKUP(F14899, IMPORTRANGE(""https://docs.google.com/spreadsheets/d/1Lhp9OU0JdFf_VYSMzH5lBcEaU4o8teT1piV-SNzShjg/edit?gid=554141278#gid=554141278"", ""'Char Def. - Attributes'!C20:C2242""), 1,false)"),"ALT_DENUM_UOM5")</f>
        <v>ALT_DENUM_UOM5</v>
      </c>
    </row>
    <row r="14900" ht="15.75" customHeight="1">
      <c r="A14900" s="59"/>
      <c r="B14900" s="63">
        <f t="shared" si="1"/>
        <v>12</v>
      </c>
      <c r="C14900" s="144" t="s">
        <v>183</v>
      </c>
      <c r="D14900" s="167" t="s">
        <v>74</v>
      </c>
      <c r="E14900" s="135">
        <f t="shared" si="62"/>
        <v>28</v>
      </c>
      <c r="F14900" s="135" t="s">
        <v>3818</v>
      </c>
      <c r="G14900" s="63" t="str">
        <f>VLOOKUP(C14900, 'Class Def. - General Data'!$C$20:$C$1000,1,false)</f>
        <v>ZSI2_PALLETS</v>
      </c>
      <c r="H14900" s="63" t="str">
        <f>IFERROR(__xludf.DUMMYFUNCTION("VLOOKUP(F14900, IMPORTRANGE(""https://docs.google.com/spreadsheets/d/1Lhp9OU0JdFf_VYSMzH5lBcEaU4o8teT1piV-SNzShjg/edit?gid=554141278#gid=554141278"", ""'Char Def. - Attributes'!C20:C2242""), 1,false)"),"ALT_NUM_UOM5")</f>
        <v>ALT_NUM_UOM5</v>
      </c>
    </row>
    <row r="14901" ht="15.75" customHeight="1">
      <c r="A14901" s="59"/>
      <c r="B14901" s="63">
        <f t="shared" si="1"/>
        <v>15</v>
      </c>
      <c r="C14901" s="144" t="s">
        <v>222</v>
      </c>
      <c r="D14901" s="167" t="s">
        <v>74</v>
      </c>
      <c r="E14901" s="135">
        <f t="shared" si="62"/>
        <v>1</v>
      </c>
      <c r="F14901" s="134" t="s">
        <v>5685</v>
      </c>
      <c r="G14901" s="63" t="str">
        <f>VLOOKUP(C14901, 'Class Def. - General Data'!$C$20:$C$1000,1,false)</f>
        <v>ZSI2_POSM_EVENT</v>
      </c>
      <c r="H14901" s="63" t="str">
        <f>IFERROR(__xludf.DUMMYFUNCTION("VLOOKUP(F14901, IMPORTRANGE(""https://docs.google.com/spreadsheets/d/1Lhp9OU0JdFf_VYSMzH5lBcEaU4o8teT1piV-SNzShjg/edit?gid=554141278#gid=554141278"", ""'Char Def. - Attributes'!C20:C2242""), 1,false)"),"ITEM_NAME_POSM_EVENT")</f>
        <v>ITEM_NAME_POSM_EVENT</v>
      </c>
    </row>
    <row r="14902" ht="15.75" customHeight="1">
      <c r="A14902" s="59"/>
      <c r="B14902" s="63">
        <f t="shared" si="1"/>
        <v>15</v>
      </c>
      <c r="C14902" s="144" t="s">
        <v>222</v>
      </c>
      <c r="D14902" s="167" t="s">
        <v>74</v>
      </c>
      <c r="E14902" s="135">
        <f t="shared" si="62"/>
        <v>2</v>
      </c>
      <c r="F14902" s="134" t="s">
        <v>3845</v>
      </c>
      <c r="G14902" s="63" t="str">
        <f>VLOOKUP(C14902, 'Class Def. - General Data'!$C$20:$C$1000,1,false)</f>
        <v>ZSI2_POSM_EVENT</v>
      </c>
      <c r="H14902" s="63" t="str">
        <f>IFERROR(__xludf.DUMMYFUNCTION("VLOOKUP(F14902, IMPORTRANGE(""https://docs.google.com/spreadsheets/d/1Lhp9OU0JdFf_VYSMzH5lBcEaU4o8teT1piV-SNzShjg/edit?gid=554141278#gid=554141278"", ""'Char Def. - Attributes'!C20:C2242""), 1,false)"),"MATERIAL_POSM")</f>
        <v>MATERIAL_POSM</v>
      </c>
    </row>
    <row r="14903" ht="15.75" customHeight="1">
      <c r="A14903" s="59"/>
      <c r="B14903" s="63">
        <f t="shared" si="1"/>
        <v>15</v>
      </c>
      <c r="C14903" s="144" t="s">
        <v>222</v>
      </c>
      <c r="D14903" s="167" t="s">
        <v>74</v>
      </c>
      <c r="E14903" s="135">
        <f t="shared" si="62"/>
        <v>3</v>
      </c>
      <c r="F14903" s="134" t="s">
        <v>3778</v>
      </c>
      <c r="G14903" s="63" t="str">
        <f>VLOOKUP(C14903, 'Class Def. - General Data'!$C$20:$C$1000,1,false)</f>
        <v>ZSI2_POSM_EVENT</v>
      </c>
      <c r="H14903" s="63" t="str">
        <f>IFERROR(__xludf.DUMMYFUNCTION("VLOOKUP(F14903, IMPORTRANGE(""https://docs.google.com/spreadsheets/d/1Lhp9OU0JdFf_VYSMzH5lBcEaU4o8teT1piV-SNzShjg/edit?gid=554141278#gid=554141278"", ""'Char Def. - Attributes'!C20:C2242""), 1,false)"),"SPECIAL_ACTIVITY")</f>
        <v>SPECIAL_ACTIVITY</v>
      </c>
    </row>
    <row r="14904" ht="15.75" customHeight="1">
      <c r="A14904" s="59"/>
      <c r="B14904" s="63">
        <f t="shared" si="1"/>
        <v>15</v>
      </c>
      <c r="C14904" s="144" t="s">
        <v>222</v>
      </c>
      <c r="D14904" s="167" t="s">
        <v>74</v>
      </c>
      <c r="E14904" s="135">
        <f t="shared" si="62"/>
        <v>4</v>
      </c>
      <c r="F14904" s="134" t="s">
        <v>3779</v>
      </c>
      <c r="G14904" s="63" t="str">
        <f>VLOOKUP(C14904, 'Class Def. - General Data'!$C$20:$C$1000,1,false)</f>
        <v>ZSI2_POSM_EVENT</v>
      </c>
      <c r="H14904" s="63" t="str">
        <f>IFERROR(__xludf.DUMMYFUNCTION("VLOOKUP(F14904, IMPORTRANGE(""https://docs.google.com/spreadsheets/d/1Lhp9OU0JdFf_VYSMzH5lBcEaU4o8teT1piV-SNzShjg/edit?gid=554141278#gid=554141278"", ""'Char Def. - Attributes'!C20:C2242""), 1,false)"),"EMBOSSED_BRAND_WINGS")</f>
        <v>EMBOSSED_BRAND_WINGS</v>
      </c>
    </row>
    <row r="14905" ht="15.75" customHeight="1">
      <c r="A14905" s="59"/>
      <c r="B14905" s="63">
        <f t="shared" si="1"/>
        <v>15</v>
      </c>
      <c r="C14905" s="144" t="s">
        <v>222</v>
      </c>
      <c r="D14905" s="167" t="s">
        <v>74</v>
      </c>
      <c r="E14905" s="135">
        <f t="shared" si="62"/>
        <v>5</v>
      </c>
      <c r="F14905" s="134" t="s">
        <v>3780</v>
      </c>
      <c r="G14905" s="63" t="str">
        <f>VLOOKUP(C14905, 'Class Def. - General Data'!$C$20:$C$1000,1,false)</f>
        <v>ZSI2_POSM_EVENT</v>
      </c>
      <c r="H14905" s="63" t="str">
        <f>IFERROR(__xludf.DUMMYFUNCTION("VLOOKUP(F14905, IMPORTRANGE(""https://docs.google.com/spreadsheets/d/1Lhp9OU0JdFf_VYSMzH5lBcEaU4o8teT1piV-SNzShjg/edit?gid=554141278#gid=554141278"", ""'Char Def. - Attributes'!C20:C2242""), 1,false)"),"BRAND_WINGS_SIPI")</f>
        <v>BRAND_WINGS_SIPI</v>
      </c>
    </row>
    <row r="14906" ht="15.75" customHeight="1">
      <c r="A14906" s="59"/>
      <c r="B14906" s="63">
        <f t="shared" si="1"/>
        <v>15</v>
      </c>
      <c r="C14906" s="144" t="s">
        <v>222</v>
      </c>
      <c r="D14906" s="167" t="s">
        <v>74</v>
      </c>
      <c r="E14906" s="135">
        <f t="shared" si="62"/>
        <v>6</v>
      </c>
      <c r="F14906" s="134" t="s">
        <v>3787</v>
      </c>
      <c r="G14906" s="63" t="str">
        <f>VLOOKUP(C14906, 'Class Def. - General Data'!$C$20:$C$1000,1,false)</f>
        <v>ZSI2_POSM_EVENT</v>
      </c>
      <c r="H14906" s="63" t="str">
        <f>IFERROR(__xludf.DUMMYFUNCTION("VLOOKUP(F14906, IMPORTRANGE(""https://docs.google.com/spreadsheets/d/1Lhp9OU0JdFf_VYSMzH5lBcEaU4o8teT1piV-SNzShjg/edit?gid=554141278#gid=554141278"", ""'Char Def. - Attributes'!C20:C2242""), 1,false)"),"DIAMETER_PCS")</f>
        <v>DIAMETER_PCS</v>
      </c>
    </row>
    <row r="14907" ht="15.75" customHeight="1">
      <c r="A14907" s="59"/>
      <c r="B14907" s="63">
        <f t="shared" si="1"/>
        <v>15</v>
      </c>
      <c r="C14907" s="144" t="s">
        <v>222</v>
      </c>
      <c r="D14907" s="167" t="s">
        <v>74</v>
      </c>
      <c r="E14907" s="135">
        <f t="shared" si="62"/>
        <v>7</v>
      </c>
      <c r="F14907" s="134" t="s">
        <v>3788</v>
      </c>
      <c r="G14907" s="63" t="str">
        <f>VLOOKUP(C14907, 'Class Def. - General Data'!$C$20:$C$1000,1,false)</f>
        <v>ZSI2_POSM_EVENT</v>
      </c>
      <c r="H14907" s="63" t="str">
        <f>IFERROR(__xludf.DUMMYFUNCTION("VLOOKUP(F14907, IMPORTRANGE(""https://docs.google.com/spreadsheets/d/1Lhp9OU0JdFf_VYSMzH5lBcEaU4o8teT1piV-SNzShjg/edit?gid=554141278#gid=554141278"", ""'Char Def. - Attributes'!C20:C2242""), 1,false)"),"LENGTH_PCS")</f>
        <v>LENGTH_PCS</v>
      </c>
    </row>
    <row r="14908" ht="15.75" customHeight="1">
      <c r="A14908" s="59"/>
      <c r="B14908" s="63">
        <f t="shared" si="1"/>
        <v>15</v>
      </c>
      <c r="C14908" s="144" t="s">
        <v>222</v>
      </c>
      <c r="D14908" s="167" t="s">
        <v>74</v>
      </c>
      <c r="E14908" s="135">
        <f t="shared" si="62"/>
        <v>8</v>
      </c>
      <c r="F14908" s="134" t="s">
        <v>3789</v>
      </c>
      <c r="G14908" s="63" t="str">
        <f>VLOOKUP(C14908, 'Class Def. - General Data'!$C$20:$C$1000,1,false)</f>
        <v>ZSI2_POSM_EVENT</v>
      </c>
      <c r="H14908" s="63" t="str">
        <f>IFERROR(__xludf.DUMMYFUNCTION("VLOOKUP(F14908, IMPORTRANGE(""https://docs.google.com/spreadsheets/d/1Lhp9OU0JdFf_VYSMzH5lBcEaU4o8teT1piV-SNzShjg/edit?gid=554141278#gid=554141278"", ""'Char Def. - Attributes'!C20:C2242""), 1,false)"),"WIDTH_PCS")</f>
        <v>WIDTH_PCS</v>
      </c>
    </row>
    <row r="14909" ht="15.75" customHeight="1">
      <c r="A14909" s="59"/>
      <c r="B14909" s="63">
        <f t="shared" si="1"/>
        <v>15</v>
      </c>
      <c r="C14909" s="144" t="s">
        <v>222</v>
      </c>
      <c r="D14909" s="167" t="s">
        <v>74</v>
      </c>
      <c r="E14909" s="135">
        <f t="shared" si="62"/>
        <v>9</v>
      </c>
      <c r="F14909" s="134" t="s">
        <v>3790</v>
      </c>
      <c r="G14909" s="63" t="str">
        <f>VLOOKUP(C14909, 'Class Def. - General Data'!$C$20:$C$1000,1,false)</f>
        <v>ZSI2_POSM_EVENT</v>
      </c>
      <c r="H14909" s="63" t="str">
        <f>IFERROR(__xludf.DUMMYFUNCTION("VLOOKUP(F14909, IMPORTRANGE(""https://docs.google.com/spreadsheets/d/1Lhp9OU0JdFf_VYSMzH5lBcEaU4o8teT1piV-SNzShjg/edit?gid=554141278#gid=554141278"", ""'Char Def. - Attributes'!C20:C2242""), 1,false)"),"HEIGHT_PCS")</f>
        <v>HEIGHT_PCS</v>
      </c>
    </row>
    <row r="14910" ht="15.75" customHeight="1">
      <c r="A14910" s="59"/>
      <c r="B14910" s="63">
        <f t="shared" si="1"/>
        <v>15</v>
      </c>
      <c r="C14910" s="144" t="s">
        <v>222</v>
      </c>
      <c r="D14910" s="167" t="s">
        <v>74</v>
      </c>
      <c r="E14910" s="135">
        <f t="shared" si="62"/>
        <v>10</v>
      </c>
      <c r="F14910" s="134" t="s">
        <v>3786</v>
      </c>
      <c r="G14910" s="63" t="str">
        <f>VLOOKUP(C14910, 'Class Def. - General Data'!$C$20:$C$1000,1,false)</f>
        <v>ZSI2_POSM_EVENT</v>
      </c>
      <c r="H14910" s="63" t="str">
        <f>IFERROR(__xludf.DUMMYFUNCTION("VLOOKUP(F14910, IMPORTRANGE(""https://docs.google.com/spreadsheets/d/1Lhp9OU0JdFf_VYSMzH5lBcEaU4o8teT1piV-SNzShjg/edit?gid=554141278#gid=554141278"", ""'Char Def. - Attributes'!C20:C2242""), 1,false)"),"SIZE_UNIT_DIMENSI")</f>
        <v>SIZE_UNIT_DIMENSI</v>
      </c>
    </row>
    <row r="14911" ht="15.75" customHeight="1">
      <c r="A14911" s="59"/>
      <c r="B14911" s="63">
        <f t="shared" si="1"/>
        <v>15</v>
      </c>
      <c r="C14911" s="144" t="s">
        <v>222</v>
      </c>
      <c r="D14911" s="167" t="s">
        <v>74</v>
      </c>
      <c r="E14911" s="135">
        <f t="shared" si="62"/>
        <v>11</v>
      </c>
      <c r="F14911" s="134" t="s">
        <v>3792</v>
      </c>
      <c r="G14911" s="63" t="str">
        <f>VLOOKUP(C14911, 'Class Def. - General Data'!$C$20:$C$1000,1,false)</f>
        <v>ZSI2_POSM_EVENT</v>
      </c>
      <c r="H14911" s="63" t="str">
        <f>IFERROR(__xludf.DUMMYFUNCTION("VLOOKUP(F14911, IMPORTRANGE(""https://docs.google.com/spreadsheets/d/1Lhp9OU0JdFf_VYSMzH5lBcEaU4o8teT1piV-SNzShjg/edit?gid=554141278#gid=554141278"", ""'Char Def. - Attributes'!C20:C2242""), 1,false)"),"COLOUR")</f>
        <v>COLOUR</v>
      </c>
    </row>
    <row r="14912" ht="15.75" customHeight="1">
      <c r="A14912" s="59"/>
      <c r="B14912" s="63">
        <f t="shared" si="1"/>
        <v>15</v>
      </c>
      <c r="C14912" s="144" t="s">
        <v>222</v>
      </c>
      <c r="D14912" s="167" t="s">
        <v>74</v>
      </c>
      <c r="E14912" s="135">
        <f t="shared" si="62"/>
        <v>12</v>
      </c>
      <c r="F14912" s="134" t="s">
        <v>3794</v>
      </c>
      <c r="G14912" s="63" t="str">
        <f>VLOOKUP(C14912, 'Class Def. - General Data'!$C$20:$C$1000,1,false)</f>
        <v>ZSI2_POSM_EVENT</v>
      </c>
      <c r="H14912" s="63" t="str">
        <f>IFERROR(__xludf.DUMMYFUNCTION("VLOOKUP(F14912, IMPORTRANGE(""https://docs.google.com/spreadsheets/d/1Lhp9OU0JdFf_VYSMzH5lBcEaU4o8teT1piV-SNzShjg/edit?gid=554141278#gid=554141278"", ""'Char Def. - Attributes'!C20:C2242""), 1,false)"),"DESAIN_NAME")</f>
        <v>DESAIN_NAME</v>
      </c>
    </row>
    <row r="14913" ht="15.75" customHeight="1">
      <c r="A14913" s="59"/>
      <c r="B14913" s="63">
        <f t="shared" si="1"/>
        <v>15</v>
      </c>
      <c r="C14913" s="144" t="s">
        <v>222</v>
      </c>
      <c r="D14913" s="167" t="s">
        <v>74</v>
      </c>
      <c r="E14913" s="135">
        <f t="shared" si="62"/>
        <v>13</v>
      </c>
      <c r="F14913" s="134" t="s">
        <v>3795</v>
      </c>
      <c r="G14913" s="63" t="str">
        <f>VLOOKUP(C14913, 'Class Def. - General Data'!$C$20:$C$1000,1,false)</f>
        <v>ZSI2_POSM_EVENT</v>
      </c>
      <c r="H14913" s="63" t="str">
        <f>IFERROR(__xludf.DUMMYFUNCTION("VLOOKUP(F14913, IMPORTRANGE(""https://docs.google.com/spreadsheets/d/1Lhp9OU0JdFf_VYSMzH5lBcEaU4o8teT1piV-SNzShjg/edit?gid=554141278#gid=554141278"", ""'Char Def. - Attributes'!C20:C2242""), 1,false)"),"DESAIN_MONTH")</f>
        <v>DESAIN_MONTH</v>
      </c>
    </row>
    <row r="14914" ht="15.75" customHeight="1">
      <c r="A14914" s="59"/>
      <c r="B14914" s="63">
        <f t="shared" si="1"/>
        <v>15</v>
      </c>
      <c r="C14914" s="135" t="s">
        <v>222</v>
      </c>
      <c r="D14914" s="141" t="s">
        <v>74</v>
      </c>
      <c r="E14914" s="135">
        <f t="shared" si="62"/>
        <v>14</v>
      </c>
      <c r="F14914" s="134" t="s">
        <v>3796</v>
      </c>
      <c r="G14914" s="63" t="str">
        <f>VLOOKUP(C14914, 'Class Def. - General Data'!$C$20:$C$1000,1,false)</f>
        <v>ZSI2_POSM_EVENT</v>
      </c>
      <c r="H14914" s="63" t="str">
        <f>IFERROR(__xludf.DUMMYFUNCTION("VLOOKUP(F14914, IMPORTRANGE(""https://docs.google.com/spreadsheets/d/1Lhp9OU0JdFf_VYSMzH5lBcEaU4o8teT1piV-SNzShjg/edit?gid=554141278#gid=554141278"", ""'Char Def. - Attributes'!C20:C2242""), 1,false)"),"DESAIN_YEAR")</f>
        <v>DESAIN_YEAR</v>
      </c>
    </row>
    <row r="14915" ht="15.75" customHeight="1">
      <c r="A14915" s="59"/>
      <c r="B14915" s="63">
        <f t="shared" si="1"/>
        <v>15</v>
      </c>
      <c r="C14915" s="135" t="s">
        <v>222</v>
      </c>
      <c r="D14915" s="141" t="s">
        <v>74</v>
      </c>
      <c r="E14915" s="135">
        <f t="shared" si="62"/>
        <v>15</v>
      </c>
      <c r="F14915" s="134" t="s">
        <v>3798</v>
      </c>
      <c r="G14915" s="63" t="str">
        <f>VLOOKUP(C14915, 'Class Def. - General Data'!$C$20:$C$1000,1,false)</f>
        <v>ZSI2_POSM_EVENT</v>
      </c>
      <c r="H14915" s="63" t="str">
        <f>IFERROR(__xludf.DUMMYFUNCTION("VLOOKUP(F14915, IMPORTRANGE(""https://docs.google.com/spreadsheets/d/1Lhp9OU0JdFf_VYSMzH5lBcEaU4o8teT1piV-SNzShjg/edit?gid=554141278#gid=554141278"", ""'Char Def. - Attributes'!C20:C2242""), 1,false)"),"QTY_IN_ONE_BUNDLE")</f>
        <v>QTY_IN_ONE_BUNDLE</v>
      </c>
    </row>
    <row r="14916" ht="15.75" customHeight="1">
      <c r="A14916" s="59"/>
      <c r="B14916" s="63">
        <f t="shared" si="1"/>
        <v>15</v>
      </c>
      <c r="C14916" s="135" t="s">
        <v>222</v>
      </c>
      <c r="D14916" s="141" t="s">
        <v>74</v>
      </c>
      <c r="E14916" s="135">
        <f t="shared" si="62"/>
        <v>16</v>
      </c>
      <c r="F14916" s="134" t="s">
        <v>3585</v>
      </c>
      <c r="G14916" s="63" t="str">
        <f>VLOOKUP(C14916, 'Class Def. - General Data'!$C$20:$C$1000,1,false)</f>
        <v>ZSI2_POSM_EVENT</v>
      </c>
      <c r="H14916" s="63" t="str">
        <f>IFERROR(__xludf.DUMMYFUNCTION("VLOOKUP(F14916, IMPORTRANGE(""https://docs.google.com/spreadsheets/d/1Lhp9OU0JdFf_VYSMzH5lBcEaU4o8teT1piV-SNzShjg/edit?gid=554141278#gid=554141278"", ""'Char Def. - Attributes'!C20:C2242""), 1,false)"),"HS_CODE")</f>
        <v>HS_CODE</v>
      </c>
    </row>
    <row r="14917" ht="15.75" customHeight="1">
      <c r="A14917" s="59"/>
      <c r="B14917" s="63">
        <f t="shared" si="1"/>
        <v>15</v>
      </c>
      <c r="C14917" s="135" t="s">
        <v>222</v>
      </c>
      <c r="D14917" s="141" t="s">
        <v>74</v>
      </c>
      <c r="E14917" s="135">
        <f t="shared" si="62"/>
        <v>17</v>
      </c>
      <c r="F14917" s="134" t="s">
        <v>3799</v>
      </c>
      <c r="G14917" s="63" t="str">
        <f>VLOOKUP(C14917, 'Class Def. - General Data'!$C$20:$C$1000,1,false)</f>
        <v>ZSI2_POSM_EVENT</v>
      </c>
      <c r="H14917" s="63" t="str">
        <f>IFERROR(__xludf.DUMMYFUNCTION("VLOOKUP(F14917, IMPORTRANGE(""https://docs.google.com/spreadsheets/d/1Lhp9OU0JdFf_VYSMzH5lBcEaU4o8teT1piV-SNzShjg/edit?gid=554141278#gid=554141278"", ""'Char Def. - Attributes'!C20:C2242""), 1,false)"),"BASE_UNIT_ZPI1")</f>
        <v>BASE_UNIT_ZPI1</v>
      </c>
    </row>
    <row r="14918" ht="15.75" customHeight="1">
      <c r="A14918" s="59"/>
      <c r="B14918" s="63">
        <f t="shared" si="1"/>
        <v>15</v>
      </c>
      <c r="C14918" s="135" t="s">
        <v>222</v>
      </c>
      <c r="D14918" s="134" t="s">
        <v>74</v>
      </c>
      <c r="E14918" s="135">
        <f t="shared" si="62"/>
        <v>18</v>
      </c>
      <c r="F14918" s="134" t="s">
        <v>5686</v>
      </c>
      <c r="G14918" s="63" t="str">
        <f>VLOOKUP(C14918, 'Class Def. - General Data'!$C$20:$C$1000,1,false)</f>
        <v>ZSI2_POSM_EVENT</v>
      </c>
      <c r="H14918" s="63" t="str">
        <f>IFERROR(__xludf.DUMMYFUNCTION("VLOOKUP(F14918, IMPORTRANGE(""https://docs.google.com/spreadsheets/d/1Lhp9OU0JdFf_VYSMzH5lBcEaU4o8teT1piV-SNzShjg/edit?gid=554141278#gid=554141278"", ""'Char Def. - Attributes'!C20:C2242""), 1,false)"),"ORDER_UNIT_POSM_EVENT")</f>
        <v>ORDER_UNIT_POSM_EVENT</v>
      </c>
    </row>
    <row r="14919" ht="15.75" customHeight="1">
      <c r="A14919" s="59"/>
      <c r="B14919" s="63">
        <f t="shared" si="1"/>
        <v>15</v>
      </c>
      <c r="C14919" s="135" t="s">
        <v>222</v>
      </c>
      <c r="D14919" s="141" t="s">
        <v>74</v>
      </c>
      <c r="E14919" s="135">
        <f t="shared" si="62"/>
        <v>19</v>
      </c>
      <c r="F14919" s="134" t="s">
        <v>3802</v>
      </c>
      <c r="G14919" s="63" t="str">
        <f>VLOOKUP(C14919, 'Class Def. - General Data'!$C$20:$C$1000,1,false)</f>
        <v>ZSI2_POSM_EVENT</v>
      </c>
      <c r="H14919" s="63" t="str">
        <f>IFERROR(__xludf.DUMMYFUNCTION("VLOOKUP(F14919, IMPORTRANGE(""https://docs.google.com/spreadsheets/d/1Lhp9OU0JdFf_VYSMzH5lBcEaU4o8teT1piV-SNzShjg/edit?gid=554141278#gid=554141278"", ""'Char Def. - Attributes'!C20:C2242""), 1,false)"),"WEIGHT_UNIT_PI")</f>
        <v>WEIGHT_UNIT_PI</v>
      </c>
    </row>
    <row r="14920" ht="15.75" customHeight="1">
      <c r="A14920" s="59"/>
      <c r="B14920" s="63">
        <f t="shared" si="1"/>
        <v>15</v>
      </c>
      <c r="C14920" s="135" t="s">
        <v>222</v>
      </c>
      <c r="D14920" s="141" t="s">
        <v>74</v>
      </c>
      <c r="E14920" s="135">
        <f t="shared" si="62"/>
        <v>20</v>
      </c>
      <c r="F14920" s="134" t="s">
        <v>3602</v>
      </c>
      <c r="G14920" s="63" t="str">
        <f>VLOOKUP(C14920, 'Class Def. - General Data'!$C$20:$C$1000,1,false)</f>
        <v>ZSI2_POSM_EVENT</v>
      </c>
      <c r="H14920" s="63" t="str">
        <f>IFERROR(__xludf.DUMMYFUNCTION("VLOOKUP(F14920, IMPORTRANGE(""https://docs.google.com/spreadsheets/d/1Lhp9OU0JdFf_VYSMzH5lBcEaU4o8teT1piV-SNzShjg/edit?gid=554141278#gid=554141278"", ""'Char Def. - Attributes'!C20:C2242""), 1,false)"),"NET_WEIGHT")</f>
        <v>NET_WEIGHT</v>
      </c>
    </row>
    <row r="14921" ht="15.75" customHeight="1">
      <c r="A14921" s="59"/>
      <c r="B14921" s="63">
        <f t="shared" si="1"/>
        <v>15</v>
      </c>
      <c r="C14921" s="135" t="s">
        <v>222</v>
      </c>
      <c r="D14921" s="141" t="s">
        <v>74</v>
      </c>
      <c r="E14921" s="135">
        <f t="shared" si="62"/>
        <v>21</v>
      </c>
      <c r="F14921" s="134" t="s">
        <v>3601</v>
      </c>
      <c r="G14921" s="63" t="str">
        <f>VLOOKUP(C14921, 'Class Def. - General Data'!$C$20:$C$1000,1,false)</f>
        <v>ZSI2_POSM_EVENT</v>
      </c>
      <c r="H14921" s="63" t="str">
        <f>IFERROR(__xludf.DUMMYFUNCTION("VLOOKUP(F14921, IMPORTRANGE(""https://docs.google.com/spreadsheets/d/1Lhp9OU0JdFf_VYSMzH5lBcEaU4o8teT1piV-SNzShjg/edit?gid=554141278#gid=554141278"", ""'Char Def. - Attributes'!C20:C2242""), 1,false)"),"GROSS_WEIGHT")</f>
        <v>GROSS_WEIGHT</v>
      </c>
    </row>
    <row r="14922" ht="15.75" customHeight="1">
      <c r="A14922" s="59"/>
      <c r="B14922" s="63">
        <f t="shared" si="1"/>
        <v>15</v>
      </c>
      <c r="C14922" s="135" t="s">
        <v>222</v>
      </c>
      <c r="D14922" s="141" t="s">
        <v>74</v>
      </c>
      <c r="E14922" s="135">
        <f t="shared" si="62"/>
        <v>22</v>
      </c>
      <c r="F14922" s="134" t="s">
        <v>3803</v>
      </c>
      <c r="G14922" s="63" t="str">
        <f>VLOOKUP(C14922, 'Class Def. - General Data'!$C$20:$C$1000,1,false)</f>
        <v>ZSI2_POSM_EVENT</v>
      </c>
      <c r="H14922" s="63" t="str">
        <f>IFERROR(__xludf.DUMMYFUNCTION("VLOOKUP(F14922, IMPORTRANGE(""https://docs.google.com/spreadsheets/d/1Lhp9OU0JdFf_VYSMzH5lBcEaU4o8teT1piV-SNzShjg/edit?gid=554141278#gid=554141278"", ""'Char Def. - Attributes'!C20:C2242""), 1,false)"),"VOLUME_UNIT_PI")</f>
        <v>VOLUME_UNIT_PI</v>
      </c>
    </row>
    <row r="14923" ht="15.75" customHeight="1">
      <c r="A14923" s="59"/>
      <c r="B14923" s="63">
        <f t="shared" si="1"/>
        <v>15</v>
      </c>
      <c r="C14923" s="135" t="s">
        <v>222</v>
      </c>
      <c r="D14923" s="141" t="s">
        <v>74</v>
      </c>
      <c r="E14923" s="135">
        <f t="shared" si="62"/>
        <v>23</v>
      </c>
      <c r="F14923" s="134" t="s">
        <v>3603</v>
      </c>
      <c r="G14923" s="63" t="str">
        <f>VLOOKUP(C14923, 'Class Def. - General Data'!$C$20:$C$1000,1,false)</f>
        <v>ZSI2_POSM_EVENT</v>
      </c>
      <c r="H14923" s="63" t="str">
        <f>IFERROR(__xludf.DUMMYFUNCTION("VLOOKUP(F14923, IMPORTRANGE(""https://docs.google.com/spreadsheets/d/1Lhp9OU0JdFf_VYSMzH5lBcEaU4o8teT1piV-SNzShjg/edit?gid=554141278#gid=554141278"", ""'Char Def. - Attributes'!C20:C2242""), 1,false)"),"VOLUME")</f>
        <v>VOLUME</v>
      </c>
    </row>
    <row r="14924" ht="15.75" customHeight="1">
      <c r="A14924" s="59"/>
      <c r="B14924" s="63">
        <f t="shared" si="1"/>
        <v>15</v>
      </c>
      <c r="C14924" s="135" t="s">
        <v>222</v>
      </c>
      <c r="D14924" s="141" t="s">
        <v>74</v>
      </c>
      <c r="E14924" s="135">
        <f t="shared" si="62"/>
        <v>24</v>
      </c>
      <c r="F14924" s="134" t="s">
        <v>3586</v>
      </c>
      <c r="G14924" s="63" t="str">
        <f>VLOOKUP(C14924, 'Class Def. - General Data'!$C$20:$C$1000,1,false)</f>
        <v>ZSI2_POSM_EVENT</v>
      </c>
      <c r="H14924" s="63" t="str">
        <f>IFERROR(__xludf.DUMMYFUNCTION("VLOOKUP(F14924, IMPORTRANGE(""https://docs.google.com/spreadsheets/d/1Lhp9OU0JdFf_VYSMzH5lBcEaU4o8teT1piV-SNzShjg/edit?gid=554141278#gid=554141278"", ""'Char Def. - Attributes'!C20:C2242""), 1,false)"),"PLANT_PROD")</f>
        <v>PLANT_PROD</v>
      </c>
    </row>
    <row r="14925" ht="15.75" customHeight="1">
      <c r="A14925" s="59"/>
      <c r="B14925" s="63">
        <f t="shared" si="1"/>
        <v>15</v>
      </c>
      <c r="C14925" s="135" t="s">
        <v>222</v>
      </c>
      <c r="D14925" s="141" t="s">
        <v>74</v>
      </c>
      <c r="E14925" s="135">
        <f t="shared" si="62"/>
        <v>25</v>
      </c>
      <c r="F14925" s="134" t="s">
        <v>3587</v>
      </c>
      <c r="G14925" s="63" t="str">
        <f>VLOOKUP(C14925, 'Class Def. - General Data'!$C$20:$C$1000,1,false)</f>
        <v>ZSI2_POSM_EVENT</v>
      </c>
      <c r="H14925" s="63" t="str">
        <f>IFERROR(__xludf.DUMMYFUNCTION("VLOOKUP(F14925, IMPORTRANGE(""https://docs.google.com/spreadsheets/d/1Lhp9OU0JdFf_VYSMzH5lBcEaU4o8teT1piV-SNzShjg/edit?gid=554141278#gid=554141278"", ""'Char Def. - Attributes'!C20:C2242""), 1,false)"),"PLANT_BUY")</f>
        <v>PLANT_BUY</v>
      </c>
    </row>
    <row r="14926" ht="15.75" customHeight="1">
      <c r="A14926" s="59"/>
      <c r="B14926" s="63">
        <f t="shared" si="1"/>
        <v>15</v>
      </c>
      <c r="C14926" s="135" t="s">
        <v>222</v>
      </c>
      <c r="D14926" s="141" t="s">
        <v>74</v>
      </c>
      <c r="E14926" s="135">
        <f t="shared" si="62"/>
        <v>26</v>
      </c>
      <c r="F14926" s="134" t="s">
        <v>3804</v>
      </c>
      <c r="G14926" s="63" t="str">
        <f>VLOOKUP(C14926, 'Class Def. - General Data'!$C$20:$C$1000,1,false)</f>
        <v>ZSI2_POSM_EVENT</v>
      </c>
      <c r="H14926" s="63" t="str">
        <f>IFERROR(__xludf.DUMMYFUNCTION("VLOOKUP(F14926, IMPORTRANGE(""https://docs.google.com/spreadsheets/d/1Lhp9OU0JdFf_VYSMzH5lBcEaU4o8teT1piV-SNzShjg/edit?gid=554141278#gid=554141278"", ""'Char Def. - Attributes'!C20:C2242""), 1,false)"),"ALT_UOM1_SIPI")</f>
        <v>ALT_UOM1_SIPI</v>
      </c>
    </row>
    <row r="14927" ht="15.75" customHeight="1">
      <c r="A14927" s="59"/>
      <c r="B14927" s="63">
        <f t="shared" si="1"/>
        <v>15</v>
      </c>
      <c r="C14927" s="135" t="s">
        <v>222</v>
      </c>
      <c r="D14927" s="141" t="s">
        <v>74</v>
      </c>
      <c r="E14927" s="135">
        <f t="shared" si="62"/>
        <v>27</v>
      </c>
      <c r="F14927" s="134" t="s">
        <v>3805</v>
      </c>
      <c r="G14927" s="63" t="str">
        <f>VLOOKUP(C14927, 'Class Def. - General Data'!$C$20:$C$1000,1,false)</f>
        <v>ZSI2_POSM_EVENT</v>
      </c>
      <c r="H14927" s="63" t="str">
        <f>IFERROR(__xludf.DUMMYFUNCTION("VLOOKUP(F14927, IMPORTRANGE(""https://docs.google.com/spreadsheets/d/1Lhp9OU0JdFf_VYSMzH5lBcEaU4o8teT1piV-SNzShjg/edit?gid=554141278#gid=554141278"", ""'Char Def. - Attributes'!C20:C2242""), 1,false)"),"ALT_DENUM_UOM1")</f>
        <v>ALT_DENUM_UOM1</v>
      </c>
    </row>
    <row r="14928" ht="15.75" customHeight="1">
      <c r="A14928" s="59"/>
      <c r="B14928" s="63">
        <f t="shared" si="1"/>
        <v>15</v>
      </c>
      <c r="C14928" s="135" t="s">
        <v>222</v>
      </c>
      <c r="D14928" s="141" t="s">
        <v>74</v>
      </c>
      <c r="E14928" s="135">
        <f t="shared" si="62"/>
        <v>28</v>
      </c>
      <c r="F14928" s="134" t="s">
        <v>3807</v>
      </c>
      <c r="G14928" s="63" t="str">
        <f>VLOOKUP(C14928, 'Class Def. - General Data'!$C$20:$C$1000,1,false)</f>
        <v>ZSI2_POSM_EVENT</v>
      </c>
      <c r="H14928" s="63" t="str">
        <f>IFERROR(__xludf.DUMMYFUNCTION("VLOOKUP(F14928, IMPORTRANGE(""https://docs.google.com/spreadsheets/d/1Lhp9OU0JdFf_VYSMzH5lBcEaU4o8teT1piV-SNzShjg/edit?gid=554141278#gid=554141278"", ""'Char Def. - Attributes'!C20:C2242""), 1,false)"),"ALT_UOM2_SIPI")</f>
        <v>ALT_UOM2_SIPI</v>
      </c>
    </row>
    <row r="14929" ht="15.75" customHeight="1">
      <c r="A14929" s="59"/>
      <c r="B14929" s="63">
        <f t="shared" si="1"/>
        <v>15</v>
      </c>
      <c r="C14929" s="135" t="s">
        <v>222</v>
      </c>
      <c r="D14929" s="141" t="s">
        <v>74</v>
      </c>
      <c r="E14929" s="135">
        <f t="shared" si="62"/>
        <v>29</v>
      </c>
      <c r="F14929" s="134" t="s">
        <v>3806</v>
      </c>
      <c r="G14929" s="63" t="str">
        <f>VLOOKUP(C14929, 'Class Def. - General Data'!$C$20:$C$1000,1,false)</f>
        <v>ZSI2_POSM_EVENT</v>
      </c>
      <c r="H14929" s="63" t="str">
        <f>IFERROR(__xludf.DUMMYFUNCTION("VLOOKUP(F14929, IMPORTRANGE(""https://docs.google.com/spreadsheets/d/1Lhp9OU0JdFf_VYSMzH5lBcEaU4o8teT1piV-SNzShjg/edit?gid=554141278#gid=554141278"", ""'Char Def. - Attributes'!C20:C2242""), 1,false)"),"ALT_NUM_UOM1")</f>
        <v>ALT_NUM_UOM1</v>
      </c>
    </row>
    <row r="14930" ht="15.75" customHeight="1">
      <c r="A14930" s="59"/>
      <c r="B14930" s="63">
        <f t="shared" si="1"/>
        <v>15</v>
      </c>
      <c r="C14930" s="135" t="s">
        <v>222</v>
      </c>
      <c r="D14930" s="141" t="s">
        <v>74</v>
      </c>
      <c r="E14930" s="135">
        <f t="shared" si="62"/>
        <v>30</v>
      </c>
      <c r="F14930" s="134" t="s">
        <v>3808</v>
      </c>
      <c r="G14930" s="63" t="str">
        <f>VLOOKUP(C14930, 'Class Def. - General Data'!$C$20:$C$1000,1,false)</f>
        <v>ZSI2_POSM_EVENT</v>
      </c>
      <c r="H14930" s="63" t="str">
        <f>IFERROR(__xludf.DUMMYFUNCTION("VLOOKUP(F14930, IMPORTRANGE(""https://docs.google.com/spreadsheets/d/1Lhp9OU0JdFf_VYSMzH5lBcEaU4o8teT1piV-SNzShjg/edit?gid=554141278#gid=554141278"", ""'Char Def. - Attributes'!C20:C2242""), 1,false)"),"ALT_DENUM_UOM2")</f>
        <v>ALT_DENUM_UOM2</v>
      </c>
    </row>
    <row r="14931" ht="15.75" customHeight="1">
      <c r="A14931" s="59"/>
      <c r="B14931" s="63">
        <f t="shared" si="1"/>
        <v>15</v>
      </c>
      <c r="C14931" s="135" t="s">
        <v>222</v>
      </c>
      <c r="D14931" s="141" t="s">
        <v>74</v>
      </c>
      <c r="E14931" s="135">
        <f t="shared" si="62"/>
        <v>31</v>
      </c>
      <c r="F14931" s="134" t="s">
        <v>3809</v>
      </c>
      <c r="G14931" s="63" t="str">
        <f>VLOOKUP(C14931, 'Class Def. - General Data'!$C$20:$C$1000,1,false)</f>
        <v>ZSI2_POSM_EVENT</v>
      </c>
      <c r="H14931" s="63" t="str">
        <f>IFERROR(__xludf.DUMMYFUNCTION("VLOOKUP(F14931, IMPORTRANGE(""https://docs.google.com/spreadsheets/d/1Lhp9OU0JdFf_VYSMzH5lBcEaU4o8teT1piV-SNzShjg/edit?gid=554141278#gid=554141278"", ""'Char Def. - Attributes'!C20:C2242""), 1,false)"),"ALT_NUM_UOM2")</f>
        <v>ALT_NUM_UOM2</v>
      </c>
    </row>
    <row r="14932" ht="15.75" customHeight="1">
      <c r="A14932" s="59"/>
      <c r="B14932" s="63">
        <f t="shared" si="1"/>
        <v>15</v>
      </c>
      <c r="C14932" s="135" t="s">
        <v>222</v>
      </c>
      <c r="D14932" s="141" t="s">
        <v>74</v>
      </c>
      <c r="E14932" s="135">
        <f t="shared" si="62"/>
        <v>32</v>
      </c>
      <c r="F14932" s="134" t="s">
        <v>3810</v>
      </c>
      <c r="G14932" s="63" t="str">
        <f>VLOOKUP(C14932, 'Class Def. - General Data'!$C$20:$C$1000,1,false)</f>
        <v>ZSI2_POSM_EVENT</v>
      </c>
      <c r="H14932" s="63" t="str">
        <f>IFERROR(__xludf.DUMMYFUNCTION("VLOOKUP(F14932, IMPORTRANGE(""https://docs.google.com/spreadsheets/d/1Lhp9OU0JdFf_VYSMzH5lBcEaU4o8teT1piV-SNzShjg/edit?gid=554141278#gid=554141278"", ""'Char Def. - Attributes'!C20:C2242""), 1,false)"),"ALT_UOM3_SIPI")</f>
        <v>ALT_UOM3_SIPI</v>
      </c>
    </row>
    <row r="14933" ht="15.75" customHeight="1">
      <c r="A14933" s="59"/>
      <c r="B14933" s="63">
        <f t="shared" si="1"/>
        <v>15</v>
      </c>
      <c r="C14933" s="135" t="s">
        <v>222</v>
      </c>
      <c r="D14933" s="141" t="s">
        <v>74</v>
      </c>
      <c r="E14933" s="135">
        <f t="shared" si="62"/>
        <v>33</v>
      </c>
      <c r="F14933" s="134" t="s">
        <v>3811</v>
      </c>
      <c r="G14933" s="63" t="str">
        <f>VLOOKUP(C14933, 'Class Def. - General Data'!$C$20:$C$1000,1,false)</f>
        <v>ZSI2_POSM_EVENT</v>
      </c>
      <c r="H14933" s="63" t="str">
        <f>IFERROR(__xludf.DUMMYFUNCTION("VLOOKUP(F14933, IMPORTRANGE(""https://docs.google.com/spreadsheets/d/1Lhp9OU0JdFf_VYSMzH5lBcEaU4o8teT1piV-SNzShjg/edit?gid=554141278#gid=554141278"", ""'Char Def. - Attributes'!C20:C2242""), 1,false)"),"ALT_DENUM_UOM3")</f>
        <v>ALT_DENUM_UOM3</v>
      </c>
    </row>
    <row r="14934" ht="15.75" customHeight="1">
      <c r="A14934" s="59"/>
      <c r="B14934" s="63">
        <f t="shared" si="1"/>
        <v>15</v>
      </c>
      <c r="C14934" s="135" t="s">
        <v>222</v>
      </c>
      <c r="D14934" s="141" t="s">
        <v>74</v>
      </c>
      <c r="E14934" s="135">
        <f t="shared" si="62"/>
        <v>34</v>
      </c>
      <c r="F14934" s="134" t="s">
        <v>3812</v>
      </c>
      <c r="G14934" s="63" t="str">
        <f>VLOOKUP(C14934, 'Class Def. - General Data'!$C$20:$C$1000,1,false)</f>
        <v>ZSI2_POSM_EVENT</v>
      </c>
      <c r="H14934" s="63" t="str">
        <f>IFERROR(__xludf.DUMMYFUNCTION("VLOOKUP(F14934, IMPORTRANGE(""https://docs.google.com/spreadsheets/d/1Lhp9OU0JdFf_VYSMzH5lBcEaU4o8teT1piV-SNzShjg/edit?gid=554141278#gid=554141278"", ""'Char Def. - Attributes'!C20:C2242""), 1,false)"),"ALT_NUM_UOM3")</f>
        <v>ALT_NUM_UOM3</v>
      </c>
    </row>
    <row r="14935" ht="15.75" customHeight="1">
      <c r="A14935" s="59"/>
      <c r="B14935" s="63">
        <f t="shared" si="1"/>
        <v>15</v>
      </c>
      <c r="C14935" s="135" t="s">
        <v>222</v>
      </c>
      <c r="D14935" s="141" t="s">
        <v>74</v>
      </c>
      <c r="E14935" s="135">
        <f t="shared" si="62"/>
        <v>35</v>
      </c>
      <c r="F14935" s="134" t="s">
        <v>3813</v>
      </c>
      <c r="G14935" s="63" t="str">
        <f>VLOOKUP(C14935, 'Class Def. - General Data'!$C$20:$C$1000,1,false)</f>
        <v>ZSI2_POSM_EVENT</v>
      </c>
      <c r="H14935" s="63" t="str">
        <f>IFERROR(__xludf.DUMMYFUNCTION("VLOOKUP(F14935, IMPORTRANGE(""https://docs.google.com/spreadsheets/d/1Lhp9OU0JdFf_VYSMzH5lBcEaU4o8teT1piV-SNzShjg/edit?gid=554141278#gid=554141278"", ""'Char Def. - Attributes'!C20:C2242""), 1,false)"),"ALT_UOM4_SIPI")</f>
        <v>ALT_UOM4_SIPI</v>
      </c>
    </row>
    <row r="14936" ht="15.75" customHeight="1">
      <c r="A14936" s="59"/>
      <c r="B14936" s="63">
        <f t="shared" si="1"/>
        <v>15</v>
      </c>
      <c r="C14936" s="135" t="s">
        <v>222</v>
      </c>
      <c r="D14936" s="141" t="s">
        <v>74</v>
      </c>
      <c r="E14936" s="135">
        <f t="shared" si="62"/>
        <v>36</v>
      </c>
      <c r="F14936" s="134" t="s">
        <v>3814</v>
      </c>
      <c r="G14936" s="63" t="str">
        <f>VLOOKUP(C14936, 'Class Def. - General Data'!$C$20:$C$1000,1,false)</f>
        <v>ZSI2_POSM_EVENT</v>
      </c>
      <c r="H14936" s="63" t="str">
        <f>IFERROR(__xludf.DUMMYFUNCTION("VLOOKUP(F14936, IMPORTRANGE(""https://docs.google.com/spreadsheets/d/1Lhp9OU0JdFf_VYSMzH5lBcEaU4o8teT1piV-SNzShjg/edit?gid=554141278#gid=554141278"", ""'Char Def. - Attributes'!C20:C2242""), 1,false)"),"ALT_DENUM_UOM4")</f>
        <v>ALT_DENUM_UOM4</v>
      </c>
    </row>
    <row r="14937" ht="15.75" customHeight="1">
      <c r="A14937" s="59"/>
      <c r="B14937" s="63">
        <f t="shared" si="1"/>
        <v>15</v>
      </c>
      <c r="C14937" s="135" t="s">
        <v>222</v>
      </c>
      <c r="D14937" s="141" t="s">
        <v>74</v>
      </c>
      <c r="E14937" s="135">
        <f t="shared" si="62"/>
        <v>37</v>
      </c>
      <c r="F14937" s="134" t="s">
        <v>3815</v>
      </c>
      <c r="G14937" s="63" t="str">
        <f>VLOOKUP(C14937, 'Class Def. - General Data'!$C$20:$C$1000,1,false)</f>
        <v>ZSI2_POSM_EVENT</v>
      </c>
      <c r="H14937" s="63" t="str">
        <f>IFERROR(__xludf.DUMMYFUNCTION("VLOOKUP(F14937, IMPORTRANGE(""https://docs.google.com/spreadsheets/d/1Lhp9OU0JdFf_VYSMzH5lBcEaU4o8teT1piV-SNzShjg/edit?gid=554141278#gid=554141278"", ""'Char Def. - Attributes'!C20:C2242""), 1,false)"),"ALT_NUM_UOM4")</f>
        <v>ALT_NUM_UOM4</v>
      </c>
    </row>
    <row r="14938" ht="15.75" customHeight="1">
      <c r="A14938" s="59"/>
      <c r="B14938" s="63">
        <f t="shared" si="1"/>
        <v>15</v>
      </c>
      <c r="C14938" s="135" t="s">
        <v>222</v>
      </c>
      <c r="D14938" s="141" t="s">
        <v>74</v>
      </c>
      <c r="E14938" s="135">
        <f t="shared" si="62"/>
        <v>38</v>
      </c>
      <c r="F14938" s="134" t="s">
        <v>3816</v>
      </c>
      <c r="G14938" s="63" t="str">
        <f>VLOOKUP(C14938, 'Class Def. - General Data'!$C$20:$C$1000,1,false)</f>
        <v>ZSI2_POSM_EVENT</v>
      </c>
      <c r="H14938" s="63" t="str">
        <f>IFERROR(__xludf.DUMMYFUNCTION("VLOOKUP(F14938, IMPORTRANGE(""https://docs.google.com/spreadsheets/d/1Lhp9OU0JdFf_VYSMzH5lBcEaU4o8teT1piV-SNzShjg/edit?gid=554141278#gid=554141278"", ""'Char Def. - Attributes'!C20:C2242""), 1,false)"),"ALT_UOM5_SIPI")</f>
        <v>ALT_UOM5_SIPI</v>
      </c>
    </row>
    <row r="14939" ht="15.75" customHeight="1">
      <c r="A14939" s="59"/>
      <c r="B14939" s="63">
        <f t="shared" si="1"/>
        <v>15</v>
      </c>
      <c r="C14939" s="135" t="s">
        <v>222</v>
      </c>
      <c r="D14939" s="141" t="s">
        <v>74</v>
      </c>
      <c r="E14939" s="135">
        <f t="shared" si="62"/>
        <v>39</v>
      </c>
      <c r="F14939" s="134" t="s">
        <v>3817</v>
      </c>
      <c r="G14939" s="63" t="str">
        <f>VLOOKUP(C14939, 'Class Def. - General Data'!$C$20:$C$1000,1,false)</f>
        <v>ZSI2_POSM_EVENT</v>
      </c>
      <c r="H14939" s="63" t="str">
        <f>IFERROR(__xludf.DUMMYFUNCTION("VLOOKUP(F14939, IMPORTRANGE(""https://docs.google.com/spreadsheets/d/1Lhp9OU0JdFf_VYSMzH5lBcEaU4o8teT1piV-SNzShjg/edit?gid=554141278#gid=554141278"", ""'Char Def. - Attributes'!C20:C2242""), 1,false)"),"ALT_DENUM_UOM5")</f>
        <v>ALT_DENUM_UOM5</v>
      </c>
    </row>
    <row r="14940" ht="15.75" customHeight="1">
      <c r="A14940" s="59"/>
      <c r="B14940" s="63">
        <f t="shared" si="1"/>
        <v>15</v>
      </c>
      <c r="C14940" s="135" t="s">
        <v>222</v>
      </c>
      <c r="D14940" s="141" t="s">
        <v>74</v>
      </c>
      <c r="E14940" s="135">
        <f t="shared" si="62"/>
        <v>40</v>
      </c>
      <c r="F14940" s="134" t="s">
        <v>3818</v>
      </c>
      <c r="G14940" s="63" t="str">
        <f>VLOOKUP(C14940, 'Class Def. - General Data'!$C$20:$C$1000,1,false)</f>
        <v>ZSI2_POSM_EVENT</v>
      </c>
      <c r="H14940" s="63" t="str">
        <f>IFERROR(__xludf.DUMMYFUNCTION("VLOOKUP(F14940, IMPORTRANGE(""https://docs.google.com/spreadsheets/d/1Lhp9OU0JdFf_VYSMzH5lBcEaU4o8teT1piV-SNzShjg/edit?gid=554141278#gid=554141278"", ""'Char Def. - Attributes'!C20:C2242""), 1,false)"),"ALT_NUM_UOM5")</f>
        <v>ALT_NUM_UOM5</v>
      </c>
    </row>
    <row r="14941" ht="15.75" customHeight="1">
      <c r="A14941" s="59"/>
      <c r="B14941" s="63">
        <f t="shared" si="1"/>
        <v>16</v>
      </c>
      <c r="C14941" s="134" t="s">
        <v>163</v>
      </c>
      <c r="D14941" s="134" t="s">
        <v>74</v>
      </c>
      <c r="E14941" s="135">
        <f t="shared" si="62"/>
        <v>1</v>
      </c>
      <c r="F14941" s="134" t="s">
        <v>5687</v>
      </c>
      <c r="G14941" s="63" t="str">
        <f>VLOOKUP(C14941, 'Class Def. - General Data'!$C$20:$C$1000,1,false)</f>
        <v>ZSR3_ADVERTISING</v>
      </c>
      <c r="H14941" s="63" t="str">
        <f>IFERROR(__xludf.DUMMYFUNCTION("VLOOKUP(F14941, IMPORTRANGE(""https://docs.google.com/spreadsheets/d/1Lhp9OU0JdFf_VYSMzH5lBcEaU4o8teT1piV-SNzShjg/edit?gid=554141278#gid=554141278"", ""'Char Def. - Attributes'!C20:C2242""), 1,false)"),"ACTIVITY_ADS")</f>
        <v>ACTIVITY_ADS</v>
      </c>
    </row>
    <row r="14942" ht="15.75" customHeight="1">
      <c r="A14942" s="59"/>
      <c r="B14942" s="63">
        <f t="shared" si="1"/>
        <v>16</v>
      </c>
      <c r="C14942" s="134" t="s">
        <v>163</v>
      </c>
      <c r="D14942" s="134" t="s">
        <v>74</v>
      </c>
      <c r="E14942" s="135">
        <f t="shared" si="62"/>
        <v>2</v>
      </c>
      <c r="F14942" s="134" t="s">
        <v>5688</v>
      </c>
      <c r="G14942" s="63" t="str">
        <f>VLOOKUP(C14942, 'Class Def. - General Data'!$C$20:$C$1000,1,false)</f>
        <v>ZSR3_ADVERTISING</v>
      </c>
      <c r="H14942" s="63" t="str">
        <f>IFERROR(__xludf.DUMMYFUNCTION("VLOOKUP(F14942, IMPORTRANGE(""https://docs.google.com/spreadsheets/d/1Lhp9OU0JdFf_VYSMzH5lBcEaU4o8teT1piV-SNzShjg/edit?gid=554141278#gid=554141278"", ""'Char Def. - Attributes'!C20:C2242""), 1,false)"),"ACTIVITY_TYPE_ADS")</f>
        <v>ACTIVITY_TYPE_ADS</v>
      </c>
    </row>
    <row r="14943" ht="15.75" customHeight="1">
      <c r="A14943" s="59"/>
      <c r="B14943" s="63">
        <f t="shared" si="1"/>
        <v>16</v>
      </c>
      <c r="C14943" s="134" t="s">
        <v>163</v>
      </c>
      <c r="D14943" s="134" t="s">
        <v>74</v>
      </c>
      <c r="E14943" s="135">
        <f t="shared" si="62"/>
        <v>3</v>
      </c>
      <c r="F14943" s="134" t="s">
        <v>5689</v>
      </c>
      <c r="G14943" s="63" t="str">
        <f>VLOOKUP(C14943, 'Class Def. - General Data'!$C$20:$C$1000,1,false)</f>
        <v>ZSR3_ADVERTISING</v>
      </c>
      <c r="H14943" s="63" t="str">
        <f>IFERROR(__xludf.DUMMYFUNCTION("VLOOKUP(F14943, IMPORTRANGE(""https://docs.google.com/spreadsheets/d/1Lhp9OU0JdFf_VYSMzH5lBcEaU4o8teT1piV-SNzShjg/edit?gid=554141278#gid=554141278"", ""'Char Def. - Attributes'!C20:C2242""), 1,false)"),"ACTIVITY_OBJECT_ADS")</f>
        <v>ACTIVITY_OBJECT_ADS</v>
      </c>
    </row>
    <row r="14944" ht="15.75" customHeight="1">
      <c r="A14944" s="59"/>
      <c r="B14944" s="63">
        <f t="shared" si="1"/>
        <v>16</v>
      </c>
      <c r="C14944" s="134" t="s">
        <v>163</v>
      </c>
      <c r="D14944" s="134" t="s">
        <v>74</v>
      </c>
      <c r="E14944" s="135">
        <f t="shared" si="62"/>
        <v>4</v>
      </c>
      <c r="F14944" s="134" t="s">
        <v>5690</v>
      </c>
      <c r="G14944" s="63" t="str">
        <f>VLOOKUP(C14944, 'Class Def. - General Data'!$C$20:$C$1000,1,false)</f>
        <v>ZSR3_ADVERTISING</v>
      </c>
      <c r="H14944" s="63" t="str">
        <f>IFERROR(__xludf.DUMMYFUNCTION("VLOOKUP(F14944, IMPORTRANGE(""https://docs.google.com/spreadsheets/d/1Lhp9OU0JdFf_VYSMzH5lBcEaU4o8teT1piV-SNzShjg/edit?gid=554141278#gid=554141278"", ""'Char Def. - Attributes'!C20:C2242""), 1,false)"),"BROADCAST_CHANNEL_ADS")</f>
        <v>BROADCAST_CHANNEL_ADS</v>
      </c>
    </row>
    <row r="14945" ht="15.75" customHeight="1">
      <c r="A14945" s="59"/>
      <c r="B14945" s="63">
        <f t="shared" si="1"/>
        <v>16</v>
      </c>
      <c r="C14945" s="134" t="s">
        <v>163</v>
      </c>
      <c r="D14945" s="134" t="s">
        <v>74</v>
      </c>
      <c r="E14945" s="135">
        <f t="shared" si="62"/>
        <v>5</v>
      </c>
      <c r="F14945" s="134" t="s">
        <v>5691</v>
      </c>
      <c r="G14945" s="63" t="str">
        <f>VLOOKUP(C14945, 'Class Def. - General Data'!$C$20:$C$1000,1,false)</f>
        <v>ZSR3_ADVERTISING</v>
      </c>
      <c r="H14945" s="63" t="str">
        <f>IFERROR(__xludf.DUMMYFUNCTION("VLOOKUP(F14945, IMPORTRANGE(""https://docs.google.com/spreadsheets/d/1Lhp9OU0JdFf_VYSMzH5lBcEaU4o8teT1piV-SNzShjg/edit?gid=554141278#gid=554141278"", ""'Char Def. - Attributes'!C20:C2242""), 1,false)"),"DETAIL_OBJECT_OF_ACTIVITY")</f>
        <v>DETAIL_OBJECT_OF_ACTIVITY</v>
      </c>
    </row>
    <row r="14946" ht="15.75" customHeight="1">
      <c r="A14946" s="59"/>
      <c r="B14946" s="63">
        <f t="shared" si="1"/>
        <v>16</v>
      </c>
      <c r="C14946" s="134" t="s">
        <v>163</v>
      </c>
      <c r="D14946" s="134" t="s">
        <v>74</v>
      </c>
      <c r="E14946" s="135">
        <f t="shared" si="62"/>
        <v>6</v>
      </c>
      <c r="F14946" s="134" t="s">
        <v>5692</v>
      </c>
      <c r="G14946" s="63" t="str">
        <f>VLOOKUP(C14946, 'Class Def. - General Data'!$C$20:$C$1000,1,false)</f>
        <v>ZSR3_ADVERTISING</v>
      </c>
      <c r="H14946" s="63" t="str">
        <f>IFERROR(__xludf.DUMMYFUNCTION("VLOOKUP(F14946, IMPORTRANGE(""https://docs.google.com/spreadsheets/d/1Lhp9OU0JdFf_VYSMzH5lBcEaU4o8teT1piV-SNzShjg/edit?gid=554141278#gid=554141278"", ""'Char Def. - Attributes'!C20:C2242""), 1,false)"),"DETAIL_OBJECT_ACTIVITY")</f>
        <v>DETAIL_OBJECT_ACTIVITY</v>
      </c>
    </row>
    <row r="14947" ht="15.75" customHeight="1">
      <c r="A14947" s="59"/>
      <c r="B14947" s="63">
        <f t="shared" si="1"/>
        <v>16</v>
      </c>
      <c r="C14947" s="134" t="s">
        <v>163</v>
      </c>
      <c r="D14947" s="134" t="s">
        <v>74</v>
      </c>
      <c r="E14947" s="135">
        <f t="shared" si="62"/>
        <v>7</v>
      </c>
      <c r="F14947" s="134" t="s">
        <v>5693</v>
      </c>
      <c r="G14947" s="63" t="str">
        <f>VLOOKUP(C14947, 'Class Def. - General Data'!$C$20:$C$1000,1,false)</f>
        <v>ZSR3_ADVERTISING</v>
      </c>
      <c r="H14947" s="63" t="str">
        <f>IFERROR(__xludf.DUMMYFUNCTION("VLOOKUP(F14947, IMPORTRANGE(""https://docs.google.com/spreadsheets/d/1Lhp9OU0JdFf_VYSMzH5lBcEaU4o8teT1piV-SNzShjg/edit?gid=554141278#gid=554141278"", ""'Char Def. - Attributes'!C20:C2242""), 1,false)"),"CATEGORY_ADS")</f>
        <v>CATEGORY_ADS</v>
      </c>
    </row>
    <row r="14948" ht="15.75" customHeight="1">
      <c r="A14948" s="59"/>
      <c r="B14948" s="63">
        <f t="shared" si="1"/>
        <v>16</v>
      </c>
      <c r="C14948" s="134" t="s">
        <v>163</v>
      </c>
      <c r="D14948" s="134" t="s">
        <v>74</v>
      </c>
      <c r="E14948" s="135">
        <f t="shared" si="62"/>
        <v>8</v>
      </c>
      <c r="F14948" s="134" t="s">
        <v>5694</v>
      </c>
      <c r="G14948" s="63" t="str">
        <f>VLOOKUP(C14948, 'Class Def. - General Data'!$C$20:$C$1000,1,false)</f>
        <v>ZSR3_ADVERTISING</v>
      </c>
      <c r="H14948" s="63" t="str">
        <f>IFERROR(__xludf.DUMMYFUNCTION("VLOOKUP(F14948, IMPORTRANGE(""https://docs.google.com/spreadsheets/d/1Lhp9OU0JdFf_VYSMzH5lBcEaU4o8teT1piV-SNzShjg/edit?gid=554141278#gid=554141278"", ""'Char Def. - Attributes'!C20:C2242""), 1,false)"),"UOM_SERVICE")</f>
        <v>UOM_SERVICE</v>
      </c>
    </row>
    <row r="14949" ht="15.75" customHeight="1">
      <c r="A14949" s="59"/>
      <c r="B14949" s="63">
        <f t="shared" si="1"/>
        <v>16</v>
      </c>
      <c r="C14949" s="134" t="s">
        <v>163</v>
      </c>
      <c r="D14949" s="134" t="s">
        <v>74</v>
      </c>
      <c r="E14949" s="135">
        <f t="shared" si="62"/>
        <v>9</v>
      </c>
      <c r="F14949" s="134" t="s">
        <v>3585</v>
      </c>
      <c r="G14949" s="63" t="str">
        <f>VLOOKUP(C14949, 'Class Def. - General Data'!$C$20:$C$1000,1,false)</f>
        <v>ZSR3_ADVERTISING</v>
      </c>
      <c r="H14949" s="63" t="str">
        <f>IFERROR(__xludf.DUMMYFUNCTION("VLOOKUP(F14949, IMPORTRANGE(""https://docs.google.com/spreadsheets/d/1Lhp9OU0JdFf_VYSMzH5lBcEaU4o8teT1piV-SNzShjg/edit?gid=554141278#gid=554141278"", ""'Char Def. - Attributes'!C20:C2242""), 1,false)"),"HS_CODE")</f>
        <v>HS_CODE</v>
      </c>
    </row>
    <row r="14950" ht="15.75" customHeight="1">
      <c r="A14950" s="59"/>
      <c r="B14950" s="63">
        <f t="shared" si="1"/>
        <v>16</v>
      </c>
      <c r="C14950" s="134" t="s">
        <v>163</v>
      </c>
      <c r="D14950" s="134" t="s">
        <v>74</v>
      </c>
      <c r="E14950" s="135">
        <f t="shared" si="62"/>
        <v>10</v>
      </c>
      <c r="F14950" s="134" t="s">
        <v>3587</v>
      </c>
      <c r="G14950" s="63" t="str">
        <f>VLOOKUP(C14950, 'Class Def. - General Data'!$C$20:$C$1000,1,false)</f>
        <v>ZSR3_ADVERTISING</v>
      </c>
      <c r="H14950" s="63" t="str">
        <f>IFERROR(__xludf.DUMMYFUNCTION("VLOOKUP(F14950, IMPORTRANGE(""https://docs.google.com/spreadsheets/d/1Lhp9OU0JdFf_VYSMzH5lBcEaU4o8teT1piV-SNzShjg/edit?gid=554141278#gid=554141278"", ""'Char Def. - Attributes'!C20:C2242""), 1,false)"),"PLANT_BUY")</f>
        <v>PLANT_BUY</v>
      </c>
    </row>
    <row r="14951" ht="15.75" customHeight="1">
      <c r="A14951" s="59"/>
      <c r="B14951" s="63">
        <f t="shared" si="1"/>
        <v>13</v>
      </c>
      <c r="C14951" s="134" t="s">
        <v>164</v>
      </c>
      <c r="D14951" s="134" t="s">
        <v>74</v>
      </c>
      <c r="E14951" s="135">
        <f t="shared" si="62"/>
        <v>1</v>
      </c>
      <c r="F14951" s="134" t="s">
        <v>5695</v>
      </c>
      <c r="G14951" s="63" t="str">
        <f>VLOOKUP(C14951, 'Class Def. - General Data'!$C$20:$C$1000,1,false)</f>
        <v>ZSR3_ASURANSI</v>
      </c>
      <c r="H14951" s="63" t="str">
        <f>IFERROR(__xludf.DUMMYFUNCTION("VLOOKUP(F14951, IMPORTRANGE(""https://docs.google.com/spreadsheets/d/1Lhp9OU0JdFf_VYSMzH5lBcEaU4o8teT1piV-SNzShjg/edit?gid=554141278#gid=554141278"", ""'Char Def. - Attributes'!C20:C2242""), 1,false)"),"ACTIVITY_ASURANSI")</f>
        <v>ACTIVITY_ASURANSI</v>
      </c>
    </row>
    <row r="14952" ht="15.75" customHeight="1">
      <c r="A14952" s="59"/>
      <c r="B14952" s="63">
        <f t="shared" si="1"/>
        <v>13</v>
      </c>
      <c r="C14952" s="134" t="s">
        <v>164</v>
      </c>
      <c r="D14952" s="134" t="s">
        <v>74</v>
      </c>
      <c r="E14952" s="135">
        <f t="shared" si="62"/>
        <v>2</v>
      </c>
      <c r="F14952" s="134" t="s">
        <v>5696</v>
      </c>
      <c r="G14952" s="63" t="str">
        <f>VLOOKUP(C14952, 'Class Def. - General Data'!$C$20:$C$1000,1,false)</f>
        <v>ZSR3_ASURANSI</v>
      </c>
      <c r="H14952" s="63" t="str">
        <f>IFERROR(__xludf.DUMMYFUNCTION("VLOOKUP(F14952, IMPORTRANGE(""https://docs.google.com/spreadsheets/d/1Lhp9OU0JdFf_VYSMzH5lBcEaU4o8teT1piV-SNzShjg/edit?gid=554141278#gid=554141278"", ""'Char Def. - Attributes'!C20:C2242""), 1,false)"),"ACTIVITY_TYPE_ASURANSI")</f>
        <v>ACTIVITY_TYPE_ASURANSI</v>
      </c>
    </row>
    <row r="14953" ht="15.75" customHeight="1">
      <c r="A14953" s="59"/>
      <c r="B14953" s="63">
        <f t="shared" si="1"/>
        <v>13</v>
      </c>
      <c r="C14953" s="134" t="s">
        <v>164</v>
      </c>
      <c r="D14953" s="134" t="s">
        <v>74</v>
      </c>
      <c r="E14953" s="135">
        <f t="shared" si="62"/>
        <v>3</v>
      </c>
      <c r="F14953" s="134" t="s">
        <v>5697</v>
      </c>
      <c r="G14953" s="63" t="str">
        <f>VLOOKUP(C14953, 'Class Def. - General Data'!$C$20:$C$1000,1,false)</f>
        <v>ZSR3_ASURANSI</v>
      </c>
      <c r="H14953" s="63" t="str">
        <f>IFERROR(__xludf.DUMMYFUNCTION("VLOOKUP(F14953, IMPORTRANGE(""https://docs.google.com/spreadsheets/d/1Lhp9OU0JdFf_VYSMzH5lBcEaU4o8teT1piV-SNzShjg/edit?gid=554141278#gid=554141278"", ""'Char Def. - Attributes'!C20:C2242""), 1,false)"),"ACTIVITY_OBJECT_ASURANSI")</f>
        <v>ACTIVITY_OBJECT_ASURANSI</v>
      </c>
    </row>
    <row r="14954" ht="15.75" customHeight="1">
      <c r="A14954" s="59"/>
      <c r="B14954" s="63">
        <f t="shared" si="1"/>
        <v>13</v>
      </c>
      <c r="C14954" s="134" t="s">
        <v>164</v>
      </c>
      <c r="D14954" s="134" t="s">
        <v>74</v>
      </c>
      <c r="E14954" s="135">
        <f t="shared" si="62"/>
        <v>4</v>
      </c>
      <c r="F14954" s="134" t="s">
        <v>5691</v>
      </c>
      <c r="G14954" s="63" t="str">
        <f>VLOOKUP(C14954, 'Class Def. - General Data'!$C$20:$C$1000,1,false)</f>
        <v>ZSR3_ASURANSI</v>
      </c>
      <c r="H14954" s="63" t="str">
        <f>IFERROR(__xludf.DUMMYFUNCTION("VLOOKUP(F14954, IMPORTRANGE(""https://docs.google.com/spreadsheets/d/1Lhp9OU0JdFf_VYSMzH5lBcEaU4o8teT1piV-SNzShjg/edit?gid=554141278#gid=554141278"", ""'Char Def. - Attributes'!C20:C2242""), 1,false)"),"DETAIL_OBJECT_OF_ACTIVITY")</f>
        <v>DETAIL_OBJECT_OF_ACTIVITY</v>
      </c>
    </row>
    <row r="14955" ht="15.75" customHeight="1">
      <c r="A14955" s="59"/>
      <c r="B14955" s="63">
        <f t="shared" si="1"/>
        <v>13</v>
      </c>
      <c r="C14955" s="134" t="s">
        <v>164</v>
      </c>
      <c r="D14955" s="134" t="s">
        <v>74</v>
      </c>
      <c r="E14955" s="135">
        <f t="shared" si="62"/>
        <v>5</v>
      </c>
      <c r="F14955" s="134" t="s">
        <v>5692</v>
      </c>
      <c r="G14955" s="63" t="str">
        <f>VLOOKUP(C14955, 'Class Def. - General Data'!$C$20:$C$1000,1,false)</f>
        <v>ZSR3_ASURANSI</v>
      </c>
      <c r="H14955" s="63" t="str">
        <f>IFERROR(__xludf.DUMMYFUNCTION("VLOOKUP(F14955, IMPORTRANGE(""https://docs.google.com/spreadsheets/d/1Lhp9OU0JdFf_VYSMzH5lBcEaU4o8teT1piV-SNzShjg/edit?gid=554141278#gid=554141278"", ""'Char Def. - Attributes'!C20:C2242""), 1,false)"),"DETAIL_OBJECT_ACTIVITY")</f>
        <v>DETAIL_OBJECT_ACTIVITY</v>
      </c>
    </row>
    <row r="14956" ht="15.75" customHeight="1">
      <c r="A14956" s="59"/>
      <c r="B14956" s="63">
        <f t="shared" si="1"/>
        <v>13</v>
      </c>
      <c r="C14956" s="134" t="s">
        <v>164</v>
      </c>
      <c r="D14956" s="134" t="s">
        <v>74</v>
      </c>
      <c r="E14956" s="135">
        <f t="shared" si="62"/>
        <v>6</v>
      </c>
      <c r="F14956" s="134" t="s">
        <v>5694</v>
      </c>
      <c r="G14956" s="63" t="str">
        <f>VLOOKUP(C14956, 'Class Def. - General Data'!$C$20:$C$1000,1,false)</f>
        <v>ZSR3_ASURANSI</v>
      </c>
      <c r="H14956" s="63" t="str">
        <f>IFERROR(__xludf.DUMMYFUNCTION("VLOOKUP(F14956, IMPORTRANGE(""https://docs.google.com/spreadsheets/d/1Lhp9OU0JdFf_VYSMzH5lBcEaU4o8teT1piV-SNzShjg/edit?gid=554141278#gid=554141278"", ""'Char Def. - Attributes'!C20:C2242""), 1,false)"),"UOM_SERVICE")</f>
        <v>UOM_SERVICE</v>
      </c>
    </row>
    <row r="14957" ht="15.75" customHeight="1">
      <c r="A14957" s="59"/>
      <c r="B14957" s="63">
        <f t="shared" si="1"/>
        <v>13</v>
      </c>
      <c r="C14957" s="134" t="s">
        <v>164</v>
      </c>
      <c r="D14957" s="134" t="s">
        <v>74</v>
      </c>
      <c r="E14957" s="135">
        <f t="shared" si="62"/>
        <v>7</v>
      </c>
      <c r="F14957" s="134" t="s">
        <v>3585</v>
      </c>
      <c r="G14957" s="63" t="str">
        <f>VLOOKUP(C14957, 'Class Def. - General Data'!$C$20:$C$1000,1,false)</f>
        <v>ZSR3_ASURANSI</v>
      </c>
      <c r="H14957" s="63" t="str">
        <f>IFERROR(__xludf.DUMMYFUNCTION("VLOOKUP(F14957, IMPORTRANGE(""https://docs.google.com/spreadsheets/d/1Lhp9OU0JdFf_VYSMzH5lBcEaU4o8teT1piV-SNzShjg/edit?gid=554141278#gid=554141278"", ""'Char Def. - Attributes'!C20:C2242""), 1,false)"),"HS_CODE")</f>
        <v>HS_CODE</v>
      </c>
    </row>
    <row r="14958" ht="15.75" customHeight="1">
      <c r="A14958" s="59"/>
      <c r="B14958" s="63">
        <f t="shared" si="1"/>
        <v>13</v>
      </c>
      <c r="C14958" s="134" t="s">
        <v>164</v>
      </c>
      <c r="D14958" s="134" t="s">
        <v>74</v>
      </c>
      <c r="E14958" s="135">
        <f t="shared" si="62"/>
        <v>8</v>
      </c>
      <c r="F14958" s="134" t="s">
        <v>3587</v>
      </c>
      <c r="G14958" s="63" t="str">
        <f>VLOOKUP(C14958, 'Class Def. - General Data'!$C$20:$C$1000,1,false)</f>
        <v>ZSR3_ASURANSI</v>
      </c>
      <c r="H14958" s="63" t="str">
        <f>IFERROR(__xludf.DUMMYFUNCTION("VLOOKUP(F14958, IMPORTRANGE(""https://docs.google.com/spreadsheets/d/1Lhp9OU0JdFf_VYSMzH5lBcEaU4o8teT1piV-SNzShjg/edit?gid=554141278#gid=554141278"", ""'Char Def. - Attributes'!C20:C2242""), 1,false)"),"PLANT_BUY")</f>
        <v>PLANT_BUY</v>
      </c>
    </row>
    <row r="14959" ht="15.75" customHeight="1">
      <c r="A14959" s="59"/>
      <c r="B14959" s="63">
        <f t="shared" si="1"/>
        <v>16</v>
      </c>
      <c r="C14959" s="134" t="s">
        <v>165</v>
      </c>
      <c r="D14959" s="134" t="s">
        <v>74</v>
      </c>
      <c r="E14959" s="135">
        <f t="shared" si="62"/>
        <v>1</v>
      </c>
      <c r="F14959" s="134" t="s">
        <v>5698</v>
      </c>
      <c r="G14959" s="63" t="str">
        <f>VLOOKUP(C14959, 'Class Def. - General Data'!$C$20:$C$1000,1,false)</f>
        <v>ZSR3_BUSS_TRAVEL</v>
      </c>
      <c r="H14959" s="63" t="str">
        <f>IFERROR(__xludf.DUMMYFUNCTION("VLOOKUP(F14959, IMPORTRANGE(""https://docs.google.com/spreadsheets/d/1Lhp9OU0JdFf_VYSMzH5lBcEaU4o8teT1piV-SNzShjg/edit?gid=554141278#gid=554141278"", ""'Char Def. - Attributes'!C20:C2242""), 1,false)"),"ACTIVITY_BUSS_TRAVEL")</f>
        <v>ACTIVITY_BUSS_TRAVEL</v>
      </c>
    </row>
    <row r="14960" ht="15.75" customHeight="1">
      <c r="A14960" s="59"/>
      <c r="B14960" s="63">
        <f t="shared" si="1"/>
        <v>16</v>
      </c>
      <c r="C14960" s="134" t="s">
        <v>165</v>
      </c>
      <c r="D14960" s="134" t="s">
        <v>74</v>
      </c>
      <c r="E14960" s="135">
        <f t="shared" si="62"/>
        <v>2</v>
      </c>
      <c r="F14960" s="134" t="s">
        <v>5699</v>
      </c>
      <c r="G14960" s="63" t="str">
        <f>VLOOKUP(C14960, 'Class Def. - General Data'!$C$20:$C$1000,1,false)</f>
        <v>ZSR3_BUSS_TRAVEL</v>
      </c>
      <c r="H14960" s="63" t="str">
        <f>IFERROR(__xludf.DUMMYFUNCTION("VLOOKUP(F14960, IMPORTRANGE(""https://docs.google.com/spreadsheets/d/1Lhp9OU0JdFf_VYSMzH5lBcEaU4o8teT1piV-SNzShjg/edit?gid=554141278#gid=554141278"", ""'Char Def. - Attributes'!C20:C2242""), 1,false)"),"ACTIVITY_TYPE_BUSS_TRAVEL")</f>
        <v>ACTIVITY_TYPE_BUSS_TRAVEL</v>
      </c>
    </row>
    <row r="14961" ht="15.75" customHeight="1">
      <c r="A14961" s="59"/>
      <c r="B14961" s="63">
        <f t="shared" si="1"/>
        <v>16</v>
      </c>
      <c r="C14961" s="134" t="s">
        <v>165</v>
      </c>
      <c r="D14961" s="134" t="s">
        <v>74</v>
      </c>
      <c r="E14961" s="135">
        <f t="shared" si="62"/>
        <v>3</v>
      </c>
      <c r="F14961" s="134" t="s">
        <v>5700</v>
      </c>
      <c r="G14961" s="63" t="str">
        <f>VLOOKUP(C14961, 'Class Def. - General Data'!$C$20:$C$1000,1,false)</f>
        <v>ZSR3_BUSS_TRAVEL</v>
      </c>
      <c r="H14961" s="63" t="str">
        <f>IFERROR(__xludf.DUMMYFUNCTION("VLOOKUP(F14961, IMPORTRANGE(""https://docs.google.com/spreadsheets/d/1Lhp9OU0JdFf_VYSMzH5lBcEaU4o8teT1piV-SNzShjg/edit?gid=554141278#gid=554141278"", ""'Char Def. - Attributes'!C20:C2242""), 1,false)"),"ACTIVITY_OBJECT_BUSS_TRAVEL")</f>
        <v>ACTIVITY_OBJECT_BUSS_TRAVEL</v>
      </c>
    </row>
    <row r="14962" ht="15.75" customHeight="1">
      <c r="A14962" s="59"/>
      <c r="B14962" s="63">
        <f t="shared" si="1"/>
        <v>16</v>
      </c>
      <c r="C14962" s="134" t="s">
        <v>165</v>
      </c>
      <c r="D14962" s="134" t="s">
        <v>74</v>
      </c>
      <c r="E14962" s="135">
        <f t="shared" si="62"/>
        <v>4</v>
      </c>
      <c r="F14962" s="134" t="s">
        <v>5691</v>
      </c>
      <c r="G14962" s="63" t="str">
        <f>VLOOKUP(C14962, 'Class Def. - General Data'!$C$20:$C$1000,1,false)</f>
        <v>ZSR3_BUSS_TRAVEL</v>
      </c>
      <c r="H14962" s="63" t="str">
        <f>IFERROR(__xludf.DUMMYFUNCTION("VLOOKUP(F14962, IMPORTRANGE(""https://docs.google.com/spreadsheets/d/1Lhp9OU0JdFf_VYSMzH5lBcEaU4o8teT1piV-SNzShjg/edit?gid=554141278#gid=554141278"", ""'Char Def. - Attributes'!C20:C2242""), 1,false)"),"DETAIL_OBJECT_OF_ACTIVITY")</f>
        <v>DETAIL_OBJECT_OF_ACTIVITY</v>
      </c>
    </row>
    <row r="14963" ht="15.75" customHeight="1">
      <c r="A14963" s="59"/>
      <c r="B14963" s="63">
        <f t="shared" si="1"/>
        <v>16</v>
      </c>
      <c r="C14963" s="134" t="s">
        <v>165</v>
      </c>
      <c r="D14963" s="134" t="s">
        <v>74</v>
      </c>
      <c r="E14963" s="135">
        <f t="shared" si="62"/>
        <v>5</v>
      </c>
      <c r="F14963" s="134" t="s">
        <v>5692</v>
      </c>
      <c r="G14963" s="63" t="str">
        <f>VLOOKUP(C14963, 'Class Def. - General Data'!$C$20:$C$1000,1,false)</f>
        <v>ZSR3_BUSS_TRAVEL</v>
      </c>
      <c r="H14963" s="63" t="str">
        <f>IFERROR(__xludf.DUMMYFUNCTION("VLOOKUP(F14963, IMPORTRANGE(""https://docs.google.com/spreadsheets/d/1Lhp9OU0JdFf_VYSMzH5lBcEaU4o8teT1piV-SNzShjg/edit?gid=554141278#gid=554141278"", ""'Char Def. - Attributes'!C20:C2242""), 1,false)"),"DETAIL_OBJECT_ACTIVITY")</f>
        <v>DETAIL_OBJECT_ACTIVITY</v>
      </c>
    </row>
    <row r="14964" ht="15.75" customHeight="1">
      <c r="A14964" s="59"/>
      <c r="B14964" s="63">
        <f t="shared" si="1"/>
        <v>16</v>
      </c>
      <c r="C14964" s="134" t="s">
        <v>165</v>
      </c>
      <c r="D14964" s="134" t="s">
        <v>74</v>
      </c>
      <c r="E14964" s="135">
        <f t="shared" si="62"/>
        <v>6</v>
      </c>
      <c r="F14964" s="134" t="s">
        <v>5694</v>
      </c>
      <c r="G14964" s="63" t="str">
        <f>VLOOKUP(C14964, 'Class Def. - General Data'!$C$20:$C$1000,1,false)</f>
        <v>ZSR3_BUSS_TRAVEL</v>
      </c>
      <c r="H14964" s="63" t="str">
        <f>IFERROR(__xludf.DUMMYFUNCTION("VLOOKUP(F14964, IMPORTRANGE(""https://docs.google.com/spreadsheets/d/1Lhp9OU0JdFf_VYSMzH5lBcEaU4o8teT1piV-SNzShjg/edit?gid=554141278#gid=554141278"", ""'Char Def. - Attributes'!C20:C2242""), 1,false)"),"UOM_SERVICE")</f>
        <v>UOM_SERVICE</v>
      </c>
    </row>
    <row r="14965" ht="15.75" customHeight="1">
      <c r="A14965" s="59"/>
      <c r="B14965" s="63">
        <f t="shared" si="1"/>
        <v>16</v>
      </c>
      <c r="C14965" s="134" t="s">
        <v>165</v>
      </c>
      <c r="D14965" s="134" t="s">
        <v>74</v>
      </c>
      <c r="E14965" s="135">
        <f t="shared" si="62"/>
        <v>7</v>
      </c>
      <c r="F14965" s="134" t="s">
        <v>3585</v>
      </c>
      <c r="G14965" s="63" t="str">
        <f>VLOOKUP(C14965, 'Class Def. - General Data'!$C$20:$C$1000,1,false)</f>
        <v>ZSR3_BUSS_TRAVEL</v>
      </c>
      <c r="H14965" s="63" t="str">
        <f>IFERROR(__xludf.DUMMYFUNCTION("VLOOKUP(F14965, IMPORTRANGE(""https://docs.google.com/spreadsheets/d/1Lhp9OU0JdFf_VYSMzH5lBcEaU4o8teT1piV-SNzShjg/edit?gid=554141278#gid=554141278"", ""'Char Def. - Attributes'!C20:C2242""), 1,false)"),"HS_CODE")</f>
        <v>HS_CODE</v>
      </c>
    </row>
    <row r="14966" ht="15.75" customHeight="1">
      <c r="A14966" s="59"/>
      <c r="B14966" s="63">
        <f t="shared" si="1"/>
        <v>16</v>
      </c>
      <c r="C14966" s="134" t="s">
        <v>165</v>
      </c>
      <c r="D14966" s="134" t="s">
        <v>74</v>
      </c>
      <c r="E14966" s="135">
        <f t="shared" si="62"/>
        <v>8</v>
      </c>
      <c r="F14966" s="134" t="s">
        <v>3587</v>
      </c>
      <c r="G14966" s="63" t="str">
        <f>VLOOKUP(C14966, 'Class Def. - General Data'!$C$20:$C$1000,1,false)</f>
        <v>ZSR3_BUSS_TRAVEL</v>
      </c>
      <c r="H14966" s="63" t="str">
        <f>IFERROR(__xludf.DUMMYFUNCTION("VLOOKUP(F14966, IMPORTRANGE(""https://docs.google.com/spreadsheets/d/1Lhp9OU0JdFf_VYSMzH5lBcEaU4o8teT1piV-SNzShjg/edit?gid=554141278#gid=554141278"", ""'Char Def. - Attributes'!C20:C2242""), 1,false)"),"PLANT_BUY")</f>
        <v>PLANT_BUY</v>
      </c>
    </row>
    <row r="14967" ht="15.75" customHeight="1">
      <c r="A14967" s="59"/>
      <c r="B14967" s="63">
        <f t="shared" si="1"/>
        <v>18</v>
      </c>
      <c r="C14967" s="134" t="s">
        <v>166</v>
      </c>
      <c r="D14967" s="134" t="s">
        <v>74</v>
      </c>
      <c r="E14967" s="135">
        <f t="shared" si="62"/>
        <v>1</v>
      </c>
      <c r="F14967" s="134" t="s">
        <v>5701</v>
      </c>
      <c r="G14967" s="63" t="str">
        <f>VLOOKUP(C14967, 'Class Def. - General Data'!$C$20:$C$1000,1,false)</f>
        <v>ZSR3_EMP_RWD_INCTV</v>
      </c>
      <c r="H14967" s="63" t="str">
        <f>IFERROR(__xludf.DUMMYFUNCTION("VLOOKUP(F14967, IMPORTRANGE(""https://docs.google.com/spreadsheets/d/1Lhp9OU0JdFf_VYSMzH5lBcEaU4o8teT1piV-SNzShjg/edit?gid=554141278#gid=554141278"", ""'Char Def. - Attributes'!C20:C2242""), 1,false)"),"ACTIVITY_EMPLOYEE_REWRD")</f>
        <v>ACTIVITY_EMPLOYEE_REWRD</v>
      </c>
    </row>
    <row r="14968" ht="15.75" customHeight="1">
      <c r="A14968" s="59"/>
      <c r="B14968" s="63">
        <f t="shared" si="1"/>
        <v>18</v>
      </c>
      <c r="C14968" s="134" t="s">
        <v>166</v>
      </c>
      <c r="D14968" s="134" t="s">
        <v>74</v>
      </c>
      <c r="E14968" s="135">
        <f t="shared" si="62"/>
        <v>2</v>
      </c>
      <c r="F14968" s="134" t="s">
        <v>5702</v>
      </c>
      <c r="G14968" s="63" t="str">
        <f>VLOOKUP(C14968, 'Class Def. - General Data'!$C$20:$C$1000,1,false)</f>
        <v>ZSR3_EMP_RWD_INCTV</v>
      </c>
      <c r="H14968" s="63" t="str">
        <f>IFERROR(__xludf.DUMMYFUNCTION("VLOOKUP(F14968, IMPORTRANGE(""https://docs.google.com/spreadsheets/d/1Lhp9OU0JdFf_VYSMzH5lBcEaU4o8teT1piV-SNzShjg/edit?gid=554141278#gid=554141278"", ""'Char Def. - Attributes'!C20:C2242""), 1,false)"),"ACTIVITY_TYPE_EMPLOYEE_REWRD")</f>
        <v>ACTIVITY_TYPE_EMPLOYEE_REWRD</v>
      </c>
    </row>
    <row r="14969" ht="15.75" customHeight="1">
      <c r="A14969" s="59"/>
      <c r="B14969" s="63">
        <f t="shared" si="1"/>
        <v>18</v>
      </c>
      <c r="C14969" s="134" t="s">
        <v>166</v>
      </c>
      <c r="D14969" s="134" t="s">
        <v>74</v>
      </c>
      <c r="E14969" s="135">
        <f t="shared" si="62"/>
        <v>3</v>
      </c>
      <c r="F14969" s="134" t="s">
        <v>5703</v>
      </c>
      <c r="G14969" s="63" t="str">
        <f>VLOOKUP(C14969, 'Class Def. - General Data'!$C$20:$C$1000,1,false)</f>
        <v>ZSR3_EMP_RWD_INCTV</v>
      </c>
      <c r="H14969" s="63" t="str">
        <f>IFERROR(__xludf.DUMMYFUNCTION("VLOOKUP(F14969, IMPORTRANGE(""https://docs.google.com/spreadsheets/d/1Lhp9OU0JdFf_VYSMzH5lBcEaU4o8teT1piV-SNzShjg/edit?gid=554141278#gid=554141278"", ""'Char Def. - Attributes'!C20:C2242""), 1,false)"),"ACTIVITY_OBJECT_EMPLOYEE_REWRD")</f>
        <v>ACTIVITY_OBJECT_EMPLOYEE_REWRD</v>
      </c>
    </row>
    <row r="14970" ht="15.75" customHeight="1">
      <c r="A14970" s="59"/>
      <c r="B14970" s="63">
        <f t="shared" si="1"/>
        <v>18</v>
      </c>
      <c r="C14970" s="134" t="s">
        <v>166</v>
      </c>
      <c r="D14970" s="134" t="s">
        <v>74</v>
      </c>
      <c r="E14970" s="135">
        <f t="shared" si="62"/>
        <v>4</v>
      </c>
      <c r="F14970" s="134" t="s">
        <v>5691</v>
      </c>
      <c r="G14970" s="63" t="str">
        <f>VLOOKUP(C14970, 'Class Def. - General Data'!$C$20:$C$1000,1,false)</f>
        <v>ZSR3_EMP_RWD_INCTV</v>
      </c>
      <c r="H14970" s="63" t="str">
        <f>IFERROR(__xludf.DUMMYFUNCTION("VLOOKUP(F14970, IMPORTRANGE(""https://docs.google.com/spreadsheets/d/1Lhp9OU0JdFf_VYSMzH5lBcEaU4o8teT1piV-SNzShjg/edit?gid=554141278#gid=554141278"", ""'Char Def. - Attributes'!C20:C2242""), 1,false)"),"DETAIL_OBJECT_OF_ACTIVITY")</f>
        <v>DETAIL_OBJECT_OF_ACTIVITY</v>
      </c>
    </row>
    <row r="14971" ht="15.75" customHeight="1">
      <c r="A14971" s="59"/>
      <c r="B14971" s="63">
        <f t="shared" si="1"/>
        <v>18</v>
      </c>
      <c r="C14971" s="134" t="s">
        <v>166</v>
      </c>
      <c r="D14971" s="134" t="s">
        <v>74</v>
      </c>
      <c r="E14971" s="135">
        <f t="shared" si="62"/>
        <v>5</v>
      </c>
      <c r="F14971" s="134" t="s">
        <v>5692</v>
      </c>
      <c r="G14971" s="63" t="str">
        <f>VLOOKUP(C14971, 'Class Def. - General Data'!$C$20:$C$1000,1,false)</f>
        <v>ZSR3_EMP_RWD_INCTV</v>
      </c>
      <c r="H14971" s="63" t="str">
        <f>IFERROR(__xludf.DUMMYFUNCTION("VLOOKUP(F14971, IMPORTRANGE(""https://docs.google.com/spreadsheets/d/1Lhp9OU0JdFf_VYSMzH5lBcEaU4o8teT1piV-SNzShjg/edit?gid=554141278#gid=554141278"", ""'Char Def. - Attributes'!C20:C2242""), 1,false)"),"DETAIL_OBJECT_ACTIVITY")</f>
        <v>DETAIL_OBJECT_ACTIVITY</v>
      </c>
    </row>
    <row r="14972" ht="15.75" customHeight="1">
      <c r="A14972" s="59"/>
      <c r="B14972" s="63">
        <f t="shared" si="1"/>
        <v>18</v>
      </c>
      <c r="C14972" s="134" t="s">
        <v>166</v>
      </c>
      <c r="D14972" s="134" t="s">
        <v>74</v>
      </c>
      <c r="E14972" s="135">
        <f t="shared" si="62"/>
        <v>6</v>
      </c>
      <c r="F14972" s="134" t="s">
        <v>5694</v>
      </c>
      <c r="G14972" s="63" t="str">
        <f>VLOOKUP(C14972, 'Class Def. - General Data'!$C$20:$C$1000,1,false)</f>
        <v>ZSR3_EMP_RWD_INCTV</v>
      </c>
      <c r="H14972" s="63" t="str">
        <f>IFERROR(__xludf.DUMMYFUNCTION("VLOOKUP(F14972, IMPORTRANGE(""https://docs.google.com/spreadsheets/d/1Lhp9OU0JdFf_VYSMzH5lBcEaU4o8teT1piV-SNzShjg/edit?gid=554141278#gid=554141278"", ""'Char Def. - Attributes'!C20:C2242""), 1,false)"),"UOM_SERVICE")</f>
        <v>UOM_SERVICE</v>
      </c>
    </row>
    <row r="14973" ht="15.75" customHeight="1">
      <c r="A14973" s="59"/>
      <c r="B14973" s="63">
        <f t="shared" si="1"/>
        <v>18</v>
      </c>
      <c r="C14973" s="134" t="s">
        <v>166</v>
      </c>
      <c r="D14973" s="134" t="s">
        <v>74</v>
      </c>
      <c r="E14973" s="135">
        <f t="shared" si="62"/>
        <v>7</v>
      </c>
      <c r="F14973" s="134" t="s">
        <v>3585</v>
      </c>
      <c r="G14973" s="63" t="str">
        <f>VLOOKUP(C14973, 'Class Def. - General Data'!$C$20:$C$1000,1,false)</f>
        <v>ZSR3_EMP_RWD_INCTV</v>
      </c>
      <c r="H14973" s="63" t="str">
        <f>IFERROR(__xludf.DUMMYFUNCTION("VLOOKUP(F14973, IMPORTRANGE(""https://docs.google.com/spreadsheets/d/1Lhp9OU0JdFf_VYSMzH5lBcEaU4o8teT1piV-SNzShjg/edit?gid=554141278#gid=554141278"", ""'Char Def. - Attributes'!C20:C2242""), 1,false)"),"HS_CODE")</f>
        <v>HS_CODE</v>
      </c>
    </row>
    <row r="14974" ht="15.75" customHeight="1">
      <c r="A14974" s="59"/>
      <c r="B14974" s="63">
        <f t="shared" si="1"/>
        <v>18</v>
      </c>
      <c r="C14974" s="134" t="s">
        <v>166</v>
      </c>
      <c r="D14974" s="134" t="s">
        <v>74</v>
      </c>
      <c r="E14974" s="135">
        <f t="shared" si="62"/>
        <v>8</v>
      </c>
      <c r="F14974" s="134" t="s">
        <v>3587</v>
      </c>
      <c r="G14974" s="63" t="str">
        <f>VLOOKUP(C14974, 'Class Def. - General Data'!$C$20:$C$1000,1,false)</f>
        <v>ZSR3_EMP_RWD_INCTV</v>
      </c>
      <c r="H14974" s="63" t="str">
        <f>IFERROR(__xludf.DUMMYFUNCTION("VLOOKUP(F14974, IMPORTRANGE(""https://docs.google.com/spreadsheets/d/1Lhp9OU0JdFf_VYSMzH5lBcEaU4o8teT1piV-SNzShjg/edit?gid=554141278#gid=554141278"", ""'Char Def. - Attributes'!C20:C2242""), 1,false)"),"PLANT_BUY")</f>
        <v>PLANT_BUY</v>
      </c>
    </row>
    <row r="14975" ht="15.75" customHeight="1">
      <c r="A14975" s="59"/>
      <c r="B14975" s="63">
        <f t="shared" si="1"/>
        <v>14</v>
      </c>
      <c r="C14975" s="134" t="s">
        <v>167</v>
      </c>
      <c r="D14975" s="134" t="s">
        <v>74</v>
      </c>
      <c r="E14975" s="135">
        <f t="shared" si="62"/>
        <v>1</v>
      </c>
      <c r="F14975" s="134" t="s">
        <v>5704</v>
      </c>
      <c r="G14975" s="63" t="str">
        <f>VLOOKUP(C14975, 'Class Def. - General Data'!$C$20:$C$1000,1,false)</f>
        <v>ZSR3_FABRIKASI</v>
      </c>
      <c r="H14975" s="63" t="str">
        <f>IFERROR(__xludf.DUMMYFUNCTION("VLOOKUP(F14975, IMPORTRANGE(""https://docs.google.com/spreadsheets/d/1Lhp9OU0JdFf_VYSMzH5lBcEaU4o8teT1piV-SNzShjg/edit?gid=554141278#gid=554141278"", ""'Char Def. - Attributes'!C20:C2242""), 1,false)"),"ACTIVITY_FABRIKASI")</f>
        <v>ACTIVITY_FABRIKASI</v>
      </c>
    </row>
    <row r="14976" ht="15.75" customHeight="1">
      <c r="A14976" s="59"/>
      <c r="B14976" s="63">
        <f t="shared" si="1"/>
        <v>14</v>
      </c>
      <c r="C14976" s="134" t="s">
        <v>167</v>
      </c>
      <c r="D14976" s="134" t="s">
        <v>74</v>
      </c>
      <c r="E14976" s="135">
        <f t="shared" si="62"/>
        <v>2</v>
      </c>
      <c r="F14976" s="134" t="s">
        <v>5705</v>
      </c>
      <c r="G14976" s="63" t="str">
        <f>VLOOKUP(C14976, 'Class Def. - General Data'!$C$20:$C$1000,1,false)</f>
        <v>ZSR3_FABRIKASI</v>
      </c>
      <c r="H14976" s="63" t="str">
        <f>IFERROR(__xludf.DUMMYFUNCTION("VLOOKUP(F14976, IMPORTRANGE(""https://docs.google.com/spreadsheets/d/1Lhp9OU0JdFf_VYSMzH5lBcEaU4o8teT1piV-SNzShjg/edit?gid=554141278#gid=554141278"", ""'Char Def. - Attributes'!C20:C2242""), 1,false)"),"ACTIVITY_TYPE_FABRIKASI")</f>
        <v>ACTIVITY_TYPE_FABRIKASI</v>
      </c>
    </row>
    <row r="14977" ht="15.75" customHeight="1">
      <c r="A14977" s="59"/>
      <c r="B14977" s="63">
        <f t="shared" si="1"/>
        <v>14</v>
      </c>
      <c r="C14977" s="134" t="s">
        <v>167</v>
      </c>
      <c r="D14977" s="134" t="s">
        <v>74</v>
      </c>
      <c r="E14977" s="135">
        <f t="shared" si="62"/>
        <v>3</v>
      </c>
      <c r="F14977" s="134" t="s">
        <v>5706</v>
      </c>
      <c r="G14977" s="63" t="str">
        <f>VLOOKUP(C14977, 'Class Def. - General Data'!$C$20:$C$1000,1,false)</f>
        <v>ZSR3_FABRIKASI</v>
      </c>
      <c r="H14977" s="63" t="str">
        <f>IFERROR(__xludf.DUMMYFUNCTION("VLOOKUP(F14977, IMPORTRANGE(""https://docs.google.com/spreadsheets/d/1Lhp9OU0JdFf_VYSMzH5lBcEaU4o8teT1piV-SNzShjg/edit?gid=554141278#gid=554141278"", ""'Char Def. - Attributes'!C20:C2242""), 1,false)"),"ACTIVITY_OBJECT_FABRIKASI")</f>
        <v>ACTIVITY_OBJECT_FABRIKASI</v>
      </c>
    </row>
    <row r="14978" ht="15.75" customHeight="1">
      <c r="A14978" s="59"/>
      <c r="B14978" s="63">
        <f t="shared" si="1"/>
        <v>14</v>
      </c>
      <c r="C14978" s="134" t="s">
        <v>167</v>
      </c>
      <c r="D14978" s="134" t="s">
        <v>74</v>
      </c>
      <c r="E14978" s="135">
        <f t="shared" si="62"/>
        <v>4</v>
      </c>
      <c r="F14978" s="134" t="s">
        <v>5691</v>
      </c>
      <c r="G14978" s="63" t="str">
        <f>VLOOKUP(C14978, 'Class Def. - General Data'!$C$20:$C$1000,1,false)</f>
        <v>ZSR3_FABRIKASI</v>
      </c>
      <c r="H14978" s="63" t="str">
        <f>IFERROR(__xludf.DUMMYFUNCTION("VLOOKUP(F14978, IMPORTRANGE(""https://docs.google.com/spreadsheets/d/1Lhp9OU0JdFf_VYSMzH5lBcEaU4o8teT1piV-SNzShjg/edit?gid=554141278#gid=554141278"", ""'Char Def. - Attributes'!C20:C2242""), 1,false)"),"DETAIL_OBJECT_OF_ACTIVITY")</f>
        <v>DETAIL_OBJECT_OF_ACTIVITY</v>
      </c>
    </row>
    <row r="14979" ht="15.75" customHeight="1">
      <c r="A14979" s="59"/>
      <c r="B14979" s="63">
        <f t="shared" si="1"/>
        <v>14</v>
      </c>
      <c r="C14979" s="134" t="s">
        <v>167</v>
      </c>
      <c r="D14979" s="134" t="s">
        <v>74</v>
      </c>
      <c r="E14979" s="135">
        <f t="shared" si="62"/>
        <v>5</v>
      </c>
      <c r="F14979" s="134" t="s">
        <v>5692</v>
      </c>
      <c r="G14979" s="63" t="str">
        <f>VLOOKUP(C14979, 'Class Def. - General Data'!$C$20:$C$1000,1,false)</f>
        <v>ZSR3_FABRIKASI</v>
      </c>
      <c r="H14979" s="63" t="str">
        <f>IFERROR(__xludf.DUMMYFUNCTION("VLOOKUP(F14979, IMPORTRANGE(""https://docs.google.com/spreadsheets/d/1Lhp9OU0JdFf_VYSMzH5lBcEaU4o8teT1piV-SNzShjg/edit?gid=554141278#gid=554141278"", ""'Char Def. - Attributes'!C20:C2242""), 1,false)"),"DETAIL_OBJECT_ACTIVITY")</f>
        <v>DETAIL_OBJECT_ACTIVITY</v>
      </c>
    </row>
    <row r="14980" ht="15.75" customHeight="1">
      <c r="A14980" s="59"/>
      <c r="B14980" s="63">
        <f t="shared" si="1"/>
        <v>14</v>
      </c>
      <c r="C14980" s="134" t="s">
        <v>167</v>
      </c>
      <c r="D14980" s="134" t="s">
        <v>74</v>
      </c>
      <c r="E14980" s="135">
        <f t="shared" si="62"/>
        <v>6</v>
      </c>
      <c r="F14980" s="134" t="s">
        <v>5694</v>
      </c>
      <c r="G14980" s="63" t="str">
        <f>VLOOKUP(C14980, 'Class Def. - General Data'!$C$20:$C$1000,1,false)</f>
        <v>ZSR3_FABRIKASI</v>
      </c>
      <c r="H14980" s="63" t="str">
        <f>IFERROR(__xludf.DUMMYFUNCTION("VLOOKUP(F14980, IMPORTRANGE(""https://docs.google.com/spreadsheets/d/1Lhp9OU0JdFf_VYSMzH5lBcEaU4o8teT1piV-SNzShjg/edit?gid=554141278#gid=554141278"", ""'Char Def. - Attributes'!C20:C2242""), 1,false)"),"UOM_SERVICE")</f>
        <v>UOM_SERVICE</v>
      </c>
    </row>
    <row r="14981" ht="15.75" customHeight="1">
      <c r="A14981" s="59"/>
      <c r="B14981" s="63">
        <f t="shared" si="1"/>
        <v>14</v>
      </c>
      <c r="C14981" s="134" t="s">
        <v>167</v>
      </c>
      <c r="D14981" s="134" t="s">
        <v>74</v>
      </c>
      <c r="E14981" s="135">
        <f t="shared" si="62"/>
        <v>7</v>
      </c>
      <c r="F14981" s="134" t="s">
        <v>3585</v>
      </c>
      <c r="G14981" s="63" t="str">
        <f>VLOOKUP(C14981, 'Class Def. - General Data'!$C$20:$C$1000,1,false)</f>
        <v>ZSR3_FABRIKASI</v>
      </c>
      <c r="H14981" s="63" t="str">
        <f>IFERROR(__xludf.DUMMYFUNCTION("VLOOKUP(F14981, IMPORTRANGE(""https://docs.google.com/spreadsheets/d/1Lhp9OU0JdFf_VYSMzH5lBcEaU4o8teT1piV-SNzShjg/edit?gid=554141278#gid=554141278"", ""'Char Def. - Attributes'!C20:C2242""), 1,false)"),"HS_CODE")</f>
        <v>HS_CODE</v>
      </c>
    </row>
    <row r="14982" ht="15.75" customHeight="1">
      <c r="A14982" s="59"/>
      <c r="B14982" s="63">
        <f t="shared" si="1"/>
        <v>14</v>
      </c>
      <c r="C14982" s="134" t="s">
        <v>167</v>
      </c>
      <c r="D14982" s="134" t="s">
        <v>74</v>
      </c>
      <c r="E14982" s="135">
        <f t="shared" si="62"/>
        <v>8</v>
      </c>
      <c r="F14982" s="134" t="s">
        <v>3587</v>
      </c>
      <c r="G14982" s="63" t="str">
        <f>VLOOKUP(C14982, 'Class Def. - General Data'!$C$20:$C$1000,1,false)</f>
        <v>ZSR3_FABRIKASI</v>
      </c>
      <c r="H14982" s="63" t="str">
        <f>IFERROR(__xludf.DUMMYFUNCTION("VLOOKUP(F14982, IMPORTRANGE(""https://docs.google.com/spreadsheets/d/1Lhp9OU0JdFf_VYSMzH5lBcEaU4o8teT1piV-SNzShjg/edit?gid=554141278#gid=554141278"", ""'Char Def. - Attributes'!C20:C2242""), 1,false)"),"PLANT_BUY")</f>
        <v>PLANT_BUY</v>
      </c>
    </row>
    <row r="14983" ht="15.75" customHeight="1">
      <c r="A14983" s="59"/>
      <c r="B14983" s="63">
        <f t="shared" si="1"/>
        <v>18</v>
      </c>
      <c r="C14983" s="134" t="s">
        <v>168</v>
      </c>
      <c r="D14983" s="134" t="s">
        <v>74</v>
      </c>
      <c r="E14983" s="135">
        <f t="shared" si="62"/>
        <v>1</v>
      </c>
      <c r="F14983" s="134" t="s">
        <v>5707</v>
      </c>
      <c r="G14983" s="63" t="str">
        <f>VLOOKUP(C14983, 'Class Def. - General Data'!$C$20:$C$1000,1,false)</f>
        <v>ZSR3_HR_DEVLOPMENT</v>
      </c>
      <c r="H14983" s="63" t="str">
        <f>IFERROR(__xludf.DUMMYFUNCTION("VLOOKUP(F14983, IMPORTRANGE(""https://docs.google.com/spreadsheets/d/1Lhp9OU0JdFf_VYSMzH5lBcEaU4o8teT1piV-SNzShjg/edit?gid=554141278#gid=554141278"", ""'Char Def. - Attributes'!C20:C2242""), 1,false)"),"ACTIVITY_HR_DEVELOPMENT")</f>
        <v>ACTIVITY_HR_DEVELOPMENT</v>
      </c>
    </row>
    <row r="14984" ht="15.75" customHeight="1">
      <c r="A14984" s="59"/>
      <c r="B14984" s="63">
        <f t="shared" si="1"/>
        <v>18</v>
      </c>
      <c r="C14984" s="134" t="s">
        <v>168</v>
      </c>
      <c r="D14984" s="134" t="s">
        <v>74</v>
      </c>
      <c r="E14984" s="135">
        <f t="shared" si="62"/>
        <v>2</v>
      </c>
      <c r="F14984" s="134" t="s">
        <v>5708</v>
      </c>
      <c r="G14984" s="63" t="str">
        <f>VLOOKUP(C14984, 'Class Def. - General Data'!$C$20:$C$1000,1,false)</f>
        <v>ZSR3_HR_DEVLOPMENT</v>
      </c>
      <c r="H14984" s="63" t="str">
        <f>IFERROR(__xludf.DUMMYFUNCTION("VLOOKUP(F14984, IMPORTRANGE(""https://docs.google.com/spreadsheets/d/1Lhp9OU0JdFf_VYSMzH5lBcEaU4o8teT1piV-SNzShjg/edit?gid=554141278#gid=554141278"", ""'Char Def. - Attributes'!C20:C2242""), 1,false)"),"ACTIVITY_TYPE_HR_DEVELOPMENT")</f>
        <v>ACTIVITY_TYPE_HR_DEVELOPMENT</v>
      </c>
    </row>
    <row r="14985" ht="15.75" customHeight="1">
      <c r="A14985" s="59"/>
      <c r="B14985" s="63">
        <f t="shared" si="1"/>
        <v>18</v>
      </c>
      <c r="C14985" s="134" t="s">
        <v>168</v>
      </c>
      <c r="D14985" s="134" t="s">
        <v>74</v>
      </c>
      <c r="E14985" s="135">
        <f t="shared" si="62"/>
        <v>3</v>
      </c>
      <c r="F14985" s="134" t="s">
        <v>5709</v>
      </c>
      <c r="G14985" s="63" t="str">
        <f>VLOOKUP(C14985, 'Class Def. - General Data'!$C$20:$C$1000,1,false)</f>
        <v>ZSR3_HR_DEVLOPMENT</v>
      </c>
      <c r="H14985" s="63" t="str">
        <f>IFERROR(__xludf.DUMMYFUNCTION("VLOOKUP(F14985, IMPORTRANGE(""https://docs.google.com/spreadsheets/d/1Lhp9OU0JdFf_VYSMzH5lBcEaU4o8teT1piV-SNzShjg/edit?gid=554141278#gid=554141278"", ""'Char Def. - Attributes'!C20:C2242""), 1,false)"),"ACTIVITY_OBJECT_HR_DEVELOPMENT")</f>
        <v>ACTIVITY_OBJECT_HR_DEVELOPMENT</v>
      </c>
    </row>
    <row r="14986" ht="15.75" customHeight="1">
      <c r="A14986" s="59"/>
      <c r="B14986" s="63">
        <f t="shared" si="1"/>
        <v>18</v>
      </c>
      <c r="C14986" s="134" t="s">
        <v>168</v>
      </c>
      <c r="D14986" s="134" t="s">
        <v>74</v>
      </c>
      <c r="E14986" s="135">
        <f t="shared" si="62"/>
        <v>4</v>
      </c>
      <c r="F14986" s="134" t="s">
        <v>5691</v>
      </c>
      <c r="G14986" s="63" t="str">
        <f>VLOOKUP(C14986, 'Class Def. - General Data'!$C$20:$C$1000,1,false)</f>
        <v>ZSR3_HR_DEVLOPMENT</v>
      </c>
      <c r="H14986" s="63" t="str">
        <f>IFERROR(__xludf.DUMMYFUNCTION("VLOOKUP(F14986, IMPORTRANGE(""https://docs.google.com/spreadsheets/d/1Lhp9OU0JdFf_VYSMzH5lBcEaU4o8teT1piV-SNzShjg/edit?gid=554141278#gid=554141278"", ""'Char Def. - Attributes'!C20:C2242""), 1,false)"),"DETAIL_OBJECT_OF_ACTIVITY")</f>
        <v>DETAIL_OBJECT_OF_ACTIVITY</v>
      </c>
    </row>
    <row r="14987" ht="15.75" customHeight="1">
      <c r="A14987" s="59"/>
      <c r="B14987" s="63">
        <f t="shared" si="1"/>
        <v>18</v>
      </c>
      <c r="C14987" s="134" t="s">
        <v>168</v>
      </c>
      <c r="D14987" s="134" t="s">
        <v>74</v>
      </c>
      <c r="E14987" s="135">
        <f t="shared" si="62"/>
        <v>5</v>
      </c>
      <c r="F14987" s="134" t="s">
        <v>5692</v>
      </c>
      <c r="G14987" s="63" t="str">
        <f>VLOOKUP(C14987, 'Class Def. - General Data'!$C$20:$C$1000,1,false)</f>
        <v>ZSR3_HR_DEVLOPMENT</v>
      </c>
      <c r="H14987" s="63" t="str">
        <f>IFERROR(__xludf.DUMMYFUNCTION("VLOOKUP(F14987, IMPORTRANGE(""https://docs.google.com/spreadsheets/d/1Lhp9OU0JdFf_VYSMzH5lBcEaU4o8teT1piV-SNzShjg/edit?gid=554141278#gid=554141278"", ""'Char Def. - Attributes'!C20:C2242""), 1,false)"),"DETAIL_OBJECT_ACTIVITY")</f>
        <v>DETAIL_OBJECT_ACTIVITY</v>
      </c>
    </row>
    <row r="14988" ht="15.75" customHeight="1">
      <c r="A14988" s="59"/>
      <c r="B14988" s="63">
        <f t="shared" si="1"/>
        <v>18</v>
      </c>
      <c r="C14988" s="134" t="s">
        <v>168</v>
      </c>
      <c r="D14988" s="134" t="s">
        <v>74</v>
      </c>
      <c r="E14988" s="135">
        <f t="shared" si="62"/>
        <v>6</v>
      </c>
      <c r="F14988" s="134" t="s">
        <v>5694</v>
      </c>
      <c r="G14988" s="63" t="str">
        <f>VLOOKUP(C14988, 'Class Def. - General Data'!$C$20:$C$1000,1,false)</f>
        <v>ZSR3_HR_DEVLOPMENT</v>
      </c>
      <c r="H14988" s="63" t="str">
        <f>IFERROR(__xludf.DUMMYFUNCTION("VLOOKUP(F14988, IMPORTRANGE(""https://docs.google.com/spreadsheets/d/1Lhp9OU0JdFf_VYSMzH5lBcEaU4o8teT1piV-SNzShjg/edit?gid=554141278#gid=554141278"", ""'Char Def. - Attributes'!C20:C2242""), 1,false)"),"UOM_SERVICE")</f>
        <v>UOM_SERVICE</v>
      </c>
    </row>
    <row r="14989" ht="15.75" customHeight="1">
      <c r="A14989" s="59"/>
      <c r="B14989" s="63">
        <f t="shared" si="1"/>
        <v>18</v>
      </c>
      <c r="C14989" s="134" t="s">
        <v>168</v>
      </c>
      <c r="D14989" s="134" t="s">
        <v>74</v>
      </c>
      <c r="E14989" s="135">
        <f t="shared" si="62"/>
        <v>7</v>
      </c>
      <c r="F14989" s="134" t="s">
        <v>3585</v>
      </c>
      <c r="G14989" s="63" t="str">
        <f>VLOOKUP(C14989, 'Class Def. - General Data'!$C$20:$C$1000,1,false)</f>
        <v>ZSR3_HR_DEVLOPMENT</v>
      </c>
      <c r="H14989" s="63" t="str">
        <f>IFERROR(__xludf.DUMMYFUNCTION("VLOOKUP(F14989, IMPORTRANGE(""https://docs.google.com/spreadsheets/d/1Lhp9OU0JdFf_VYSMzH5lBcEaU4o8teT1piV-SNzShjg/edit?gid=554141278#gid=554141278"", ""'Char Def. - Attributes'!C20:C2242""), 1,false)"),"HS_CODE")</f>
        <v>HS_CODE</v>
      </c>
    </row>
    <row r="14990" ht="15.75" customHeight="1">
      <c r="A14990" s="59"/>
      <c r="B14990" s="63">
        <f t="shared" si="1"/>
        <v>18</v>
      </c>
      <c r="C14990" s="134" t="s">
        <v>168</v>
      </c>
      <c r="D14990" s="134" t="s">
        <v>74</v>
      </c>
      <c r="E14990" s="135">
        <f t="shared" si="62"/>
        <v>8</v>
      </c>
      <c r="F14990" s="134" t="s">
        <v>3587</v>
      </c>
      <c r="G14990" s="63" t="str">
        <f>VLOOKUP(C14990, 'Class Def. - General Data'!$C$20:$C$1000,1,false)</f>
        <v>ZSR3_HR_DEVLOPMENT</v>
      </c>
      <c r="H14990" s="63" t="str">
        <f>IFERROR(__xludf.DUMMYFUNCTION("VLOOKUP(F14990, IMPORTRANGE(""https://docs.google.com/spreadsheets/d/1Lhp9OU0JdFf_VYSMzH5lBcEaU4o8teT1piV-SNzShjg/edit?gid=554141278#gid=554141278"", ""'Char Def. - Attributes'!C20:C2242""), 1,false)"),"PLANT_BUY")</f>
        <v>PLANT_BUY</v>
      </c>
    </row>
    <row r="14991" ht="15.75" customHeight="1">
      <c r="A14991" s="59"/>
      <c r="B14991" s="63">
        <f t="shared" si="1"/>
        <v>14</v>
      </c>
      <c r="C14991" s="134" t="s">
        <v>169</v>
      </c>
      <c r="D14991" s="134" t="s">
        <v>74</v>
      </c>
      <c r="E14991" s="135">
        <f t="shared" si="62"/>
        <v>1</v>
      </c>
      <c r="F14991" s="134" t="s">
        <v>5710</v>
      </c>
      <c r="G14991" s="63" t="str">
        <f>VLOOKUP(C14991, 'Class Def. - General Data'!$C$20:$C$1000,1,false)</f>
        <v>ZSR3_INSTALASI</v>
      </c>
      <c r="H14991" s="63" t="str">
        <f>IFERROR(__xludf.DUMMYFUNCTION("VLOOKUP(F14991, IMPORTRANGE(""https://docs.google.com/spreadsheets/d/1Lhp9OU0JdFf_VYSMzH5lBcEaU4o8teT1piV-SNzShjg/edit?gid=554141278#gid=554141278"", ""'Char Def. - Attributes'!C20:C2242""), 1,false)"),"ACTIVITY_INSTALASI")</f>
        <v>ACTIVITY_INSTALASI</v>
      </c>
    </row>
    <row r="14992" ht="15.75" customHeight="1">
      <c r="A14992" s="59"/>
      <c r="B14992" s="63">
        <f t="shared" si="1"/>
        <v>14</v>
      </c>
      <c r="C14992" s="134" t="s">
        <v>169</v>
      </c>
      <c r="D14992" s="134" t="s">
        <v>74</v>
      </c>
      <c r="E14992" s="135">
        <f t="shared" si="62"/>
        <v>2</v>
      </c>
      <c r="F14992" s="134" t="s">
        <v>5711</v>
      </c>
      <c r="G14992" s="63" t="str">
        <f>VLOOKUP(C14992, 'Class Def. - General Data'!$C$20:$C$1000,1,false)</f>
        <v>ZSR3_INSTALASI</v>
      </c>
      <c r="H14992" s="63" t="str">
        <f>IFERROR(__xludf.DUMMYFUNCTION("VLOOKUP(F14992, IMPORTRANGE(""https://docs.google.com/spreadsheets/d/1Lhp9OU0JdFf_VYSMzH5lBcEaU4o8teT1piV-SNzShjg/edit?gid=554141278#gid=554141278"", ""'Char Def. - Attributes'!C20:C2242""), 1,false)"),"ACTIVITY_TYPE_INSTALASI")</f>
        <v>ACTIVITY_TYPE_INSTALASI</v>
      </c>
    </row>
    <row r="14993" ht="15.75" customHeight="1">
      <c r="A14993" s="59"/>
      <c r="B14993" s="63">
        <f t="shared" si="1"/>
        <v>14</v>
      </c>
      <c r="C14993" s="134" t="s">
        <v>169</v>
      </c>
      <c r="D14993" s="134" t="s">
        <v>74</v>
      </c>
      <c r="E14993" s="135">
        <f t="shared" si="62"/>
        <v>3</v>
      </c>
      <c r="F14993" s="134" t="s">
        <v>5712</v>
      </c>
      <c r="G14993" s="63" t="str">
        <f>VLOOKUP(C14993, 'Class Def. - General Data'!$C$20:$C$1000,1,false)</f>
        <v>ZSR3_INSTALASI</v>
      </c>
      <c r="H14993" s="63" t="str">
        <f>IFERROR(__xludf.DUMMYFUNCTION("VLOOKUP(F14993, IMPORTRANGE(""https://docs.google.com/spreadsheets/d/1Lhp9OU0JdFf_VYSMzH5lBcEaU4o8teT1piV-SNzShjg/edit?gid=554141278#gid=554141278"", ""'Char Def. - Attributes'!C20:C2242""), 1,false)"),"ACTIVITY_OBJECT_INSTALASI")</f>
        <v>ACTIVITY_OBJECT_INSTALASI</v>
      </c>
    </row>
    <row r="14994" ht="15.75" customHeight="1">
      <c r="A14994" s="59"/>
      <c r="B14994" s="63">
        <f t="shared" si="1"/>
        <v>14</v>
      </c>
      <c r="C14994" s="134" t="s">
        <v>169</v>
      </c>
      <c r="D14994" s="134" t="s">
        <v>74</v>
      </c>
      <c r="E14994" s="135">
        <f t="shared" si="62"/>
        <v>4</v>
      </c>
      <c r="F14994" s="134" t="s">
        <v>5691</v>
      </c>
      <c r="G14994" s="63" t="str">
        <f>VLOOKUP(C14994, 'Class Def. - General Data'!$C$20:$C$1000,1,false)</f>
        <v>ZSR3_INSTALASI</v>
      </c>
      <c r="H14994" s="63" t="str">
        <f>IFERROR(__xludf.DUMMYFUNCTION("VLOOKUP(F14994, IMPORTRANGE(""https://docs.google.com/spreadsheets/d/1Lhp9OU0JdFf_VYSMzH5lBcEaU4o8teT1piV-SNzShjg/edit?gid=554141278#gid=554141278"", ""'Char Def. - Attributes'!C20:C2242""), 1,false)"),"DETAIL_OBJECT_OF_ACTIVITY")</f>
        <v>DETAIL_OBJECT_OF_ACTIVITY</v>
      </c>
    </row>
    <row r="14995" ht="15.75" customHeight="1">
      <c r="A14995" s="59"/>
      <c r="B14995" s="63">
        <f t="shared" si="1"/>
        <v>14</v>
      </c>
      <c r="C14995" s="134" t="s">
        <v>169</v>
      </c>
      <c r="D14995" s="134" t="s">
        <v>74</v>
      </c>
      <c r="E14995" s="135">
        <f t="shared" si="62"/>
        <v>5</v>
      </c>
      <c r="F14995" s="134" t="s">
        <v>5692</v>
      </c>
      <c r="G14995" s="63" t="str">
        <f>VLOOKUP(C14995, 'Class Def. - General Data'!$C$20:$C$1000,1,false)</f>
        <v>ZSR3_INSTALASI</v>
      </c>
      <c r="H14995" s="63" t="str">
        <f>IFERROR(__xludf.DUMMYFUNCTION("VLOOKUP(F14995, IMPORTRANGE(""https://docs.google.com/spreadsheets/d/1Lhp9OU0JdFf_VYSMzH5lBcEaU4o8teT1piV-SNzShjg/edit?gid=554141278#gid=554141278"", ""'Char Def. - Attributes'!C20:C2242""), 1,false)"),"DETAIL_OBJECT_ACTIVITY")</f>
        <v>DETAIL_OBJECT_ACTIVITY</v>
      </c>
    </row>
    <row r="14996" ht="15.75" customHeight="1">
      <c r="A14996" s="59"/>
      <c r="B14996" s="63">
        <f t="shared" si="1"/>
        <v>14</v>
      </c>
      <c r="C14996" s="134" t="s">
        <v>169</v>
      </c>
      <c r="D14996" s="134" t="s">
        <v>74</v>
      </c>
      <c r="E14996" s="135">
        <f t="shared" si="62"/>
        <v>6</v>
      </c>
      <c r="F14996" s="134" t="s">
        <v>5694</v>
      </c>
      <c r="G14996" s="63" t="str">
        <f>VLOOKUP(C14996, 'Class Def. - General Data'!$C$20:$C$1000,1,false)</f>
        <v>ZSR3_INSTALASI</v>
      </c>
      <c r="H14996" s="63" t="str">
        <f>IFERROR(__xludf.DUMMYFUNCTION("VLOOKUP(F14996, IMPORTRANGE(""https://docs.google.com/spreadsheets/d/1Lhp9OU0JdFf_VYSMzH5lBcEaU4o8teT1piV-SNzShjg/edit?gid=554141278#gid=554141278"", ""'Char Def. - Attributes'!C20:C2242""), 1,false)"),"UOM_SERVICE")</f>
        <v>UOM_SERVICE</v>
      </c>
    </row>
    <row r="14997" ht="15.75" customHeight="1">
      <c r="A14997" s="59"/>
      <c r="B14997" s="63">
        <f t="shared" si="1"/>
        <v>14</v>
      </c>
      <c r="C14997" s="134" t="s">
        <v>169</v>
      </c>
      <c r="D14997" s="134" t="s">
        <v>74</v>
      </c>
      <c r="E14997" s="135">
        <f t="shared" si="62"/>
        <v>7</v>
      </c>
      <c r="F14997" s="134" t="s">
        <v>3585</v>
      </c>
      <c r="G14997" s="63" t="str">
        <f>VLOOKUP(C14997, 'Class Def. - General Data'!$C$20:$C$1000,1,false)</f>
        <v>ZSR3_INSTALASI</v>
      </c>
      <c r="H14997" s="63" t="str">
        <f>IFERROR(__xludf.DUMMYFUNCTION("VLOOKUP(F14997, IMPORTRANGE(""https://docs.google.com/spreadsheets/d/1Lhp9OU0JdFf_VYSMzH5lBcEaU4o8teT1piV-SNzShjg/edit?gid=554141278#gid=554141278"", ""'Char Def. - Attributes'!C20:C2242""), 1,false)"),"HS_CODE")</f>
        <v>HS_CODE</v>
      </c>
    </row>
    <row r="14998" ht="15.75" customHeight="1">
      <c r="A14998" s="59"/>
      <c r="B14998" s="63">
        <f t="shared" si="1"/>
        <v>14</v>
      </c>
      <c r="C14998" s="134" t="s">
        <v>169</v>
      </c>
      <c r="D14998" s="134" t="s">
        <v>74</v>
      </c>
      <c r="E14998" s="135">
        <f t="shared" si="62"/>
        <v>8</v>
      </c>
      <c r="F14998" s="134" t="s">
        <v>3587</v>
      </c>
      <c r="G14998" s="63" t="str">
        <f>VLOOKUP(C14998, 'Class Def. - General Data'!$C$20:$C$1000,1,false)</f>
        <v>ZSR3_INSTALASI</v>
      </c>
      <c r="H14998" s="63" t="str">
        <f>IFERROR(__xludf.DUMMYFUNCTION("VLOOKUP(F14998, IMPORTRANGE(""https://docs.google.com/spreadsheets/d/1Lhp9OU0JdFf_VYSMzH5lBcEaU4o8teT1piV-SNzShjg/edit?gid=554141278#gid=554141278"", ""'Char Def. - Attributes'!C20:C2242""), 1,false)"),"PLANT_BUY")</f>
        <v>PLANT_BUY</v>
      </c>
    </row>
    <row r="14999" ht="15.75" customHeight="1">
      <c r="A14999" s="59"/>
      <c r="B14999" s="63">
        <f t="shared" si="1"/>
        <v>16</v>
      </c>
      <c r="C14999" s="134" t="s">
        <v>170</v>
      </c>
      <c r="D14999" s="134" t="s">
        <v>74</v>
      </c>
      <c r="E14999" s="135">
        <f t="shared" si="62"/>
        <v>1</v>
      </c>
      <c r="F14999" s="134" t="s">
        <v>5713</v>
      </c>
      <c r="G14999" s="63" t="str">
        <f>VLOOKUP(C14999, 'Class Def. - General Data'!$C$20:$C$1000,1,false)</f>
        <v>ZSR3_JASA_DESAIN</v>
      </c>
      <c r="H14999" s="63" t="str">
        <f>IFERROR(__xludf.DUMMYFUNCTION("VLOOKUP(F14999, IMPORTRANGE(""https://docs.google.com/spreadsheets/d/1Lhp9OU0JdFf_VYSMzH5lBcEaU4o8teT1piV-SNzShjg/edit?gid=554141278#gid=554141278"", ""'Char Def. - Attributes'!C20:C2242""), 1,false)"),"ACTIVITY_JASA_DESAIN")</f>
        <v>ACTIVITY_JASA_DESAIN</v>
      </c>
    </row>
    <row r="15000" ht="15.75" customHeight="1">
      <c r="A15000" s="59"/>
      <c r="B15000" s="63">
        <f t="shared" si="1"/>
        <v>16</v>
      </c>
      <c r="C15000" s="134" t="s">
        <v>170</v>
      </c>
      <c r="D15000" s="134" t="s">
        <v>74</v>
      </c>
      <c r="E15000" s="135">
        <f t="shared" si="62"/>
        <v>2</v>
      </c>
      <c r="F15000" s="134" t="s">
        <v>5714</v>
      </c>
      <c r="G15000" s="63" t="str">
        <f>VLOOKUP(C15000, 'Class Def. - General Data'!$C$20:$C$1000,1,false)</f>
        <v>ZSR3_JASA_DESAIN</v>
      </c>
      <c r="H15000" s="63" t="str">
        <f>IFERROR(__xludf.DUMMYFUNCTION("VLOOKUP(F15000, IMPORTRANGE(""https://docs.google.com/spreadsheets/d/1Lhp9OU0JdFf_VYSMzH5lBcEaU4o8teT1piV-SNzShjg/edit?gid=554141278#gid=554141278"", ""'Char Def. - Attributes'!C20:C2242""), 1,false)"),"ACTIVITY_TYPE_JASA_DESAIN")</f>
        <v>ACTIVITY_TYPE_JASA_DESAIN</v>
      </c>
    </row>
    <row r="15001" ht="15.75" customHeight="1">
      <c r="A15001" s="59"/>
      <c r="B15001" s="63">
        <f t="shared" si="1"/>
        <v>16</v>
      </c>
      <c r="C15001" s="134" t="s">
        <v>170</v>
      </c>
      <c r="D15001" s="134" t="s">
        <v>74</v>
      </c>
      <c r="E15001" s="135">
        <f t="shared" si="62"/>
        <v>3</v>
      </c>
      <c r="F15001" s="134" t="s">
        <v>5715</v>
      </c>
      <c r="G15001" s="63" t="str">
        <f>VLOOKUP(C15001, 'Class Def. - General Data'!$C$20:$C$1000,1,false)</f>
        <v>ZSR3_JASA_DESAIN</v>
      </c>
      <c r="H15001" s="63" t="str">
        <f>IFERROR(__xludf.DUMMYFUNCTION("VLOOKUP(F15001, IMPORTRANGE(""https://docs.google.com/spreadsheets/d/1Lhp9OU0JdFf_VYSMzH5lBcEaU4o8teT1piV-SNzShjg/edit?gid=554141278#gid=554141278"", ""'Char Def. - Attributes'!C20:C2242""), 1,false)"),"ACTIVITY_OBJECT_JASA_DESAIN")</f>
        <v>ACTIVITY_OBJECT_JASA_DESAIN</v>
      </c>
    </row>
    <row r="15002" ht="15.75" customHeight="1">
      <c r="A15002" s="59"/>
      <c r="B15002" s="63">
        <f t="shared" si="1"/>
        <v>16</v>
      </c>
      <c r="C15002" s="134" t="s">
        <v>170</v>
      </c>
      <c r="D15002" s="134" t="s">
        <v>74</v>
      </c>
      <c r="E15002" s="135">
        <f t="shared" si="62"/>
        <v>4</v>
      </c>
      <c r="F15002" s="134" t="s">
        <v>5691</v>
      </c>
      <c r="G15002" s="63" t="str">
        <f>VLOOKUP(C15002, 'Class Def. - General Data'!$C$20:$C$1000,1,false)</f>
        <v>ZSR3_JASA_DESAIN</v>
      </c>
      <c r="H15002" s="63" t="str">
        <f>IFERROR(__xludf.DUMMYFUNCTION("VLOOKUP(F15002, IMPORTRANGE(""https://docs.google.com/spreadsheets/d/1Lhp9OU0JdFf_VYSMzH5lBcEaU4o8teT1piV-SNzShjg/edit?gid=554141278#gid=554141278"", ""'Char Def. - Attributes'!C20:C2242""), 1,false)"),"DETAIL_OBJECT_OF_ACTIVITY")</f>
        <v>DETAIL_OBJECT_OF_ACTIVITY</v>
      </c>
    </row>
    <row r="15003" ht="15.75" customHeight="1">
      <c r="A15003" s="59"/>
      <c r="B15003" s="63">
        <f t="shared" si="1"/>
        <v>16</v>
      </c>
      <c r="C15003" s="134" t="s">
        <v>170</v>
      </c>
      <c r="D15003" s="134" t="s">
        <v>74</v>
      </c>
      <c r="E15003" s="135">
        <f t="shared" si="62"/>
        <v>5</v>
      </c>
      <c r="F15003" s="134" t="s">
        <v>5692</v>
      </c>
      <c r="G15003" s="63" t="str">
        <f>VLOOKUP(C15003, 'Class Def. - General Data'!$C$20:$C$1000,1,false)</f>
        <v>ZSR3_JASA_DESAIN</v>
      </c>
      <c r="H15003" s="63" t="str">
        <f>IFERROR(__xludf.DUMMYFUNCTION("VLOOKUP(F15003, IMPORTRANGE(""https://docs.google.com/spreadsheets/d/1Lhp9OU0JdFf_VYSMzH5lBcEaU4o8teT1piV-SNzShjg/edit?gid=554141278#gid=554141278"", ""'Char Def. - Attributes'!C20:C2242""), 1,false)"),"DETAIL_OBJECT_ACTIVITY")</f>
        <v>DETAIL_OBJECT_ACTIVITY</v>
      </c>
    </row>
    <row r="15004" ht="15.75" customHeight="1">
      <c r="A15004" s="59"/>
      <c r="B15004" s="63">
        <f t="shared" si="1"/>
        <v>16</v>
      </c>
      <c r="C15004" s="134" t="s">
        <v>170</v>
      </c>
      <c r="D15004" s="134" t="s">
        <v>74</v>
      </c>
      <c r="E15004" s="135">
        <f t="shared" si="62"/>
        <v>6</v>
      </c>
      <c r="F15004" s="134" t="s">
        <v>5694</v>
      </c>
      <c r="G15004" s="63" t="str">
        <f>VLOOKUP(C15004, 'Class Def. - General Data'!$C$20:$C$1000,1,false)</f>
        <v>ZSR3_JASA_DESAIN</v>
      </c>
      <c r="H15004" s="63" t="str">
        <f>IFERROR(__xludf.DUMMYFUNCTION("VLOOKUP(F15004, IMPORTRANGE(""https://docs.google.com/spreadsheets/d/1Lhp9OU0JdFf_VYSMzH5lBcEaU4o8teT1piV-SNzShjg/edit?gid=554141278#gid=554141278"", ""'Char Def. - Attributes'!C20:C2242""), 1,false)"),"UOM_SERVICE")</f>
        <v>UOM_SERVICE</v>
      </c>
    </row>
    <row r="15005" ht="15.75" customHeight="1">
      <c r="A15005" s="59"/>
      <c r="B15005" s="63">
        <f t="shared" si="1"/>
        <v>16</v>
      </c>
      <c r="C15005" s="134" t="s">
        <v>170</v>
      </c>
      <c r="D15005" s="134" t="s">
        <v>74</v>
      </c>
      <c r="E15005" s="135">
        <f t="shared" si="62"/>
        <v>7</v>
      </c>
      <c r="F15005" s="134" t="s">
        <v>3585</v>
      </c>
      <c r="G15005" s="63" t="str">
        <f>VLOOKUP(C15005, 'Class Def. - General Data'!$C$20:$C$1000,1,false)</f>
        <v>ZSR3_JASA_DESAIN</v>
      </c>
      <c r="H15005" s="63" t="str">
        <f>IFERROR(__xludf.DUMMYFUNCTION("VLOOKUP(F15005, IMPORTRANGE(""https://docs.google.com/spreadsheets/d/1Lhp9OU0JdFf_VYSMzH5lBcEaU4o8teT1piV-SNzShjg/edit?gid=554141278#gid=554141278"", ""'Char Def. - Attributes'!C20:C2242""), 1,false)"),"HS_CODE")</f>
        <v>HS_CODE</v>
      </c>
    </row>
    <row r="15006" ht="15.75" customHeight="1">
      <c r="A15006" s="59"/>
      <c r="B15006" s="63">
        <f t="shared" si="1"/>
        <v>16</v>
      </c>
      <c r="C15006" s="134" t="s">
        <v>170</v>
      </c>
      <c r="D15006" s="134" t="s">
        <v>74</v>
      </c>
      <c r="E15006" s="135">
        <f t="shared" si="62"/>
        <v>8</v>
      </c>
      <c r="F15006" s="134" t="s">
        <v>3587</v>
      </c>
      <c r="G15006" s="63" t="str">
        <f>VLOOKUP(C15006, 'Class Def. - General Data'!$C$20:$C$1000,1,false)</f>
        <v>ZSR3_JASA_DESAIN</v>
      </c>
      <c r="H15006" s="63" t="str">
        <f>IFERROR(__xludf.DUMMYFUNCTION("VLOOKUP(F15006, IMPORTRANGE(""https://docs.google.com/spreadsheets/d/1Lhp9OU0JdFf_VYSMzH5lBcEaU4o8teT1piV-SNzShjg/edit?gid=554141278#gid=554141278"", ""'Char Def. - Attributes'!C20:C2242""), 1,false)"),"PLANT_BUY")</f>
        <v>PLANT_BUY</v>
      </c>
    </row>
    <row r="15007" ht="15.75" customHeight="1">
      <c r="A15007" s="59"/>
      <c r="B15007" s="63">
        <f t="shared" si="1"/>
        <v>18</v>
      </c>
      <c r="C15007" s="134" t="s">
        <v>171</v>
      </c>
      <c r="D15007" s="134" t="s">
        <v>74</v>
      </c>
      <c r="E15007" s="135">
        <f t="shared" si="62"/>
        <v>1</v>
      </c>
      <c r="F15007" s="134" t="s">
        <v>5716</v>
      </c>
      <c r="G15007" s="63" t="str">
        <f>VLOOKUP(C15007, 'Class Def. - General Data'!$C$20:$C$1000,1,false)</f>
        <v>ZSR3_JSA_PROFSIONL</v>
      </c>
      <c r="H15007" s="63" t="str">
        <f>IFERROR(__xludf.DUMMYFUNCTION("VLOOKUP(F15007, IMPORTRANGE(""https://docs.google.com/spreadsheets/d/1Lhp9OU0JdFf_VYSMzH5lBcEaU4o8teT1piV-SNzShjg/edit?gid=554141278#gid=554141278"", ""'Char Def. - Attributes'!C20:C2242""), 1,false)"),"ACTIVITY_JASA_PROFESINL")</f>
        <v>ACTIVITY_JASA_PROFESINL</v>
      </c>
    </row>
    <row r="15008" ht="15.75" customHeight="1">
      <c r="A15008" s="59"/>
      <c r="B15008" s="63">
        <f t="shared" si="1"/>
        <v>18</v>
      </c>
      <c r="C15008" s="134" t="s">
        <v>171</v>
      </c>
      <c r="D15008" s="134" t="s">
        <v>74</v>
      </c>
      <c r="E15008" s="135">
        <f t="shared" si="62"/>
        <v>2</v>
      </c>
      <c r="F15008" s="134" t="s">
        <v>5717</v>
      </c>
      <c r="G15008" s="63" t="str">
        <f>VLOOKUP(C15008, 'Class Def. - General Data'!$C$20:$C$1000,1,false)</f>
        <v>ZSR3_JSA_PROFSIONL</v>
      </c>
      <c r="H15008" s="63" t="str">
        <f>IFERROR(__xludf.DUMMYFUNCTION("VLOOKUP(F15008, IMPORTRANGE(""https://docs.google.com/spreadsheets/d/1Lhp9OU0JdFf_VYSMzH5lBcEaU4o8teT1piV-SNzShjg/edit?gid=554141278#gid=554141278"", ""'Char Def. - Attributes'!C20:C2242""), 1,false)"),"ACTIVITY_TYPE_JASA_PROFESINL")</f>
        <v>ACTIVITY_TYPE_JASA_PROFESINL</v>
      </c>
    </row>
    <row r="15009" ht="15.75" customHeight="1">
      <c r="A15009" s="59"/>
      <c r="B15009" s="63">
        <f t="shared" si="1"/>
        <v>18</v>
      </c>
      <c r="C15009" s="134" t="s">
        <v>171</v>
      </c>
      <c r="D15009" s="134" t="s">
        <v>74</v>
      </c>
      <c r="E15009" s="135">
        <f t="shared" si="62"/>
        <v>3</v>
      </c>
      <c r="F15009" s="134" t="s">
        <v>5718</v>
      </c>
      <c r="G15009" s="63" t="str">
        <f>VLOOKUP(C15009, 'Class Def. - General Data'!$C$20:$C$1000,1,false)</f>
        <v>ZSR3_JSA_PROFSIONL</v>
      </c>
      <c r="H15009" s="63" t="str">
        <f>IFERROR(__xludf.DUMMYFUNCTION("VLOOKUP(F15009, IMPORTRANGE(""https://docs.google.com/spreadsheets/d/1Lhp9OU0JdFf_VYSMzH5lBcEaU4o8teT1piV-SNzShjg/edit?gid=554141278#gid=554141278"", ""'Char Def. - Attributes'!C20:C2242""), 1,false)"),"ACTIVITY_OBJECT_JASA_PROFESINL")</f>
        <v>ACTIVITY_OBJECT_JASA_PROFESINL</v>
      </c>
    </row>
    <row r="15010" ht="15.75" customHeight="1">
      <c r="A15010" s="59"/>
      <c r="B15010" s="63">
        <f t="shared" si="1"/>
        <v>18</v>
      </c>
      <c r="C15010" s="134" t="s">
        <v>171</v>
      </c>
      <c r="D15010" s="134" t="s">
        <v>74</v>
      </c>
      <c r="E15010" s="135">
        <f t="shared" si="62"/>
        <v>4</v>
      </c>
      <c r="F15010" s="134" t="s">
        <v>5691</v>
      </c>
      <c r="G15010" s="63" t="str">
        <f>VLOOKUP(C15010, 'Class Def. - General Data'!$C$20:$C$1000,1,false)</f>
        <v>ZSR3_JSA_PROFSIONL</v>
      </c>
      <c r="H15010" s="63" t="str">
        <f>IFERROR(__xludf.DUMMYFUNCTION("VLOOKUP(F15010, IMPORTRANGE(""https://docs.google.com/spreadsheets/d/1Lhp9OU0JdFf_VYSMzH5lBcEaU4o8teT1piV-SNzShjg/edit?gid=554141278#gid=554141278"", ""'Char Def. - Attributes'!C20:C2242""), 1,false)"),"DETAIL_OBJECT_OF_ACTIVITY")</f>
        <v>DETAIL_OBJECT_OF_ACTIVITY</v>
      </c>
    </row>
    <row r="15011" ht="15.75" customHeight="1">
      <c r="A15011" s="59"/>
      <c r="B15011" s="63">
        <f t="shared" si="1"/>
        <v>18</v>
      </c>
      <c r="C15011" s="134" t="s">
        <v>171</v>
      </c>
      <c r="D15011" s="134" t="s">
        <v>74</v>
      </c>
      <c r="E15011" s="135">
        <f t="shared" si="62"/>
        <v>5</v>
      </c>
      <c r="F15011" s="134" t="s">
        <v>5692</v>
      </c>
      <c r="G15011" s="63" t="str">
        <f>VLOOKUP(C15011, 'Class Def. - General Data'!$C$20:$C$1000,1,false)</f>
        <v>ZSR3_JSA_PROFSIONL</v>
      </c>
      <c r="H15011" s="63" t="str">
        <f>IFERROR(__xludf.DUMMYFUNCTION("VLOOKUP(F15011, IMPORTRANGE(""https://docs.google.com/spreadsheets/d/1Lhp9OU0JdFf_VYSMzH5lBcEaU4o8teT1piV-SNzShjg/edit?gid=554141278#gid=554141278"", ""'Char Def. - Attributes'!C20:C2242""), 1,false)"),"DETAIL_OBJECT_ACTIVITY")</f>
        <v>DETAIL_OBJECT_ACTIVITY</v>
      </c>
    </row>
    <row r="15012" ht="15.75" customHeight="1">
      <c r="A15012" s="59"/>
      <c r="B15012" s="63">
        <f t="shared" si="1"/>
        <v>18</v>
      </c>
      <c r="C15012" s="134" t="s">
        <v>171</v>
      </c>
      <c r="D15012" s="134" t="s">
        <v>74</v>
      </c>
      <c r="E15012" s="135">
        <f t="shared" si="62"/>
        <v>6</v>
      </c>
      <c r="F15012" s="134" t="s">
        <v>5694</v>
      </c>
      <c r="G15012" s="63" t="str">
        <f>VLOOKUP(C15012, 'Class Def. - General Data'!$C$20:$C$1000,1,false)</f>
        <v>ZSR3_JSA_PROFSIONL</v>
      </c>
      <c r="H15012" s="63" t="str">
        <f>IFERROR(__xludf.DUMMYFUNCTION("VLOOKUP(F15012, IMPORTRANGE(""https://docs.google.com/spreadsheets/d/1Lhp9OU0JdFf_VYSMzH5lBcEaU4o8teT1piV-SNzShjg/edit?gid=554141278#gid=554141278"", ""'Char Def. - Attributes'!C20:C2242""), 1,false)"),"UOM_SERVICE")</f>
        <v>UOM_SERVICE</v>
      </c>
    </row>
    <row r="15013" ht="15.75" customHeight="1">
      <c r="A15013" s="59"/>
      <c r="B15013" s="63">
        <f t="shared" si="1"/>
        <v>18</v>
      </c>
      <c r="C15013" s="134" t="s">
        <v>171</v>
      </c>
      <c r="D15013" s="134" t="s">
        <v>74</v>
      </c>
      <c r="E15013" s="135">
        <f t="shared" si="62"/>
        <v>7</v>
      </c>
      <c r="F15013" s="134" t="s">
        <v>3585</v>
      </c>
      <c r="G15013" s="63" t="str">
        <f>VLOOKUP(C15013, 'Class Def. - General Data'!$C$20:$C$1000,1,false)</f>
        <v>ZSR3_JSA_PROFSIONL</v>
      </c>
      <c r="H15013" s="63" t="str">
        <f>IFERROR(__xludf.DUMMYFUNCTION("VLOOKUP(F15013, IMPORTRANGE(""https://docs.google.com/spreadsheets/d/1Lhp9OU0JdFf_VYSMzH5lBcEaU4o8teT1piV-SNzShjg/edit?gid=554141278#gid=554141278"", ""'Char Def. - Attributes'!C20:C2242""), 1,false)"),"HS_CODE")</f>
        <v>HS_CODE</v>
      </c>
    </row>
    <row r="15014" ht="15.75" customHeight="1">
      <c r="A15014" s="59"/>
      <c r="B15014" s="63">
        <f t="shared" si="1"/>
        <v>18</v>
      </c>
      <c r="C15014" s="134" t="s">
        <v>171</v>
      </c>
      <c r="D15014" s="134" t="s">
        <v>74</v>
      </c>
      <c r="E15014" s="135">
        <f t="shared" si="62"/>
        <v>8</v>
      </c>
      <c r="F15014" s="134" t="s">
        <v>3587</v>
      </c>
      <c r="G15014" s="63" t="str">
        <f>VLOOKUP(C15014, 'Class Def. - General Data'!$C$20:$C$1000,1,false)</f>
        <v>ZSR3_JSA_PROFSIONL</v>
      </c>
      <c r="H15014" s="63" t="str">
        <f>IFERROR(__xludf.DUMMYFUNCTION("VLOOKUP(F15014, IMPORTRANGE(""https://docs.google.com/spreadsheets/d/1Lhp9OU0JdFf_VYSMzH5lBcEaU4o8teT1piV-SNzShjg/edit?gid=554141278#gid=554141278"", ""'Char Def. - Attributes'!C20:C2242""), 1,false)"),"PLANT_BUY")</f>
        <v>PLANT_BUY</v>
      </c>
    </row>
    <row r="15015" ht="15.75" customHeight="1">
      <c r="A15015" s="59"/>
      <c r="B15015" s="63">
        <f t="shared" si="1"/>
        <v>18</v>
      </c>
      <c r="C15015" s="134" t="s">
        <v>172</v>
      </c>
      <c r="D15015" s="134" t="s">
        <v>74</v>
      </c>
      <c r="E15015" s="135">
        <f t="shared" si="62"/>
        <v>1</v>
      </c>
      <c r="F15015" s="134" t="s">
        <v>5719</v>
      </c>
      <c r="G15015" s="63" t="str">
        <f>VLOOKUP(C15015, 'Class Def. - General Data'!$C$20:$C$1000,1,false)</f>
        <v>ZSR3_LEGAL_LICENSE</v>
      </c>
      <c r="H15015" s="63" t="str">
        <f>IFERROR(__xludf.DUMMYFUNCTION("VLOOKUP(F15015, IMPORTRANGE(""https://docs.google.com/spreadsheets/d/1Lhp9OU0JdFf_VYSMzH5lBcEaU4o8teT1piV-SNzShjg/edit?gid=554141278#gid=554141278"", ""'Char Def. - Attributes'!C20:C2242""), 1,false)"),"ACTIVITY_LEGAL_LICENSE")</f>
        <v>ACTIVITY_LEGAL_LICENSE</v>
      </c>
    </row>
    <row r="15016" ht="15.75" customHeight="1">
      <c r="A15016" s="59"/>
      <c r="B15016" s="63">
        <f t="shared" si="1"/>
        <v>18</v>
      </c>
      <c r="C15016" s="134" t="s">
        <v>172</v>
      </c>
      <c r="D15016" s="134" t="s">
        <v>74</v>
      </c>
      <c r="E15016" s="135">
        <f t="shared" si="62"/>
        <v>2</v>
      </c>
      <c r="F15016" s="134" t="s">
        <v>5720</v>
      </c>
      <c r="G15016" s="63" t="str">
        <f>VLOOKUP(C15016, 'Class Def. - General Data'!$C$20:$C$1000,1,false)</f>
        <v>ZSR3_LEGAL_LICENSE</v>
      </c>
      <c r="H15016" s="63" t="str">
        <f>IFERROR(__xludf.DUMMYFUNCTION("VLOOKUP(F15016, IMPORTRANGE(""https://docs.google.com/spreadsheets/d/1Lhp9OU0JdFf_VYSMzH5lBcEaU4o8teT1piV-SNzShjg/edit?gid=554141278#gid=554141278"", ""'Char Def. - Attributes'!C20:C2242""), 1,false)"),"ACTIVITY_TYPE_LEGAL_LICENSE")</f>
        <v>ACTIVITY_TYPE_LEGAL_LICENSE</v>
      </c>
    </row>
    <row r="15017" ht="15.75" customHeight="1">
      <c r="A15017" s="59"/>
      <c r="B15017" s="63">
        <f t="shared" si="1"/>
        <v>18</v>
      </c>
      <c r="C15017" s="134" t="s">
        <v>172</v>
      </c>
      <c r="D15017" s="134" t="s">
        <v>74</v>
      </c>
      <c r="E15017" s="135">
        <f t="shared" si="62"/>
        <v>3</v>
      </c>
      <c r="F15017" s="134" t="s">
        <v>5721</v>
      </c>
      <c r="G15017" s="63" t="str">
        <f>VLOOKUP(C15017, 'Class Def. - General Data'!$C$20:$C$1000,1,false)</f>
        <v>ZSR3_LEGAL_LICENSE</v>
      </c>
      <c r="H15017" s="63" t="str">
        <f>IFERROR(__xludf.DUMMYFUNCTION("VLOOKUP(F15017, IMPORTRANGE(""https://docs.google.com/spreadsheets/d/1Lhp9OU0JdFf_VYSMzH5lBcEaU4o8teT1piV-SNzShjg/edit?gid=554141278#gid=554141278"", ""'Char Def. - Attributes'!C20:C2242""), 1,false)"),"ACTIVITY_OBJECT_LEGAL_LICENSE")</f>
        <v>ACTIVITY_OBJECT_LEGAL_LICENSE</v>
      </c>
    </row>
    <row r="15018" ht="15.75" customHeight="1">
      <c r="A15018" s="59"/>
      <c r="B15018" s="63">
        <f t="shared" si="1"/>
        <v>18</v>
      </c>
      <c r="C15018" s="134" t="s">
        <v>172</v>
      </c>
      <c r="D15018" s="134" t="s">
        <v>74</v>
      </c>
      <c r="E15018" s="135">
        <f t="shared" si="62"/>
        <v>4</v>
      </c>
      <c r="F15018" s="134" t="s">
        <v>5691</v>
      </c>
      <c r="G15018" s="63" t="str">
        <f>VLOOKUP(C15018, 'Class Def. - General Data'!$C$20:$C$1000,1,false)</f>
        <v>ZSR3_LEGAL_LICENSE</v>
      </c>
      <c r="H15018" s="63" t="str">
        <f>IFERROR(__xludf.DUMMYFUNCTION("VLOOKUP(F15018, IMPORTRANGE(""https://docs.google.com/spreadsheets/d/1Lhp9OU0JdFf_VYSMzH5lBcEaU4o8teT1piV-SNzShjg/edit?gid=554141278#gid=554141278"", ""'Char Def. - Attributes'!C20:C2242""), 1,false)"),"DETAIL_OBJECT_OF_ACTIVITY")</f>
        <v>DETAIL_OBJECT_OF_ACTIVITY</v>
      </c>
    </row>
    <row r="15019" ht="15.75" customHeight="1">
      <c r="A15019" s="59"/>
      <c r="B15019" s="63">
        <f t="shared" si="1"/>
        <v>18</v>
      </c>
      <c r="C15019" s="134" t="s">
        <v>172</v>
      </c>
      <c r="D15019" s="134" t="s">
        <v>74</v>
      </c>
      <c r="E15019" s="135">
        <f t="shared" si="62"/>
        <v>5</v>
      </c>
      <c r="F15019" s="134" t="s">
        <v>5692</v>
      </c>
      <c r="G15019" s="63" t="str">
        <f>VLOOKUP(C15019, 'Class Def. - General Data'!$C$20:$C$1000,1,false)</f>
        <v>ZSR3_LEGAL_LICENSE</v>
      </c>
      <c r="H15019" s="63" t="str">
        <f>IFERROR(__xludf.DUMMYFUNCTION("VLOOKUP(F15019, IMPORTRANGE(""https://docs.google.com/spreadsheets/d/1Lhp9OU0JdFf_VYSMzH5lBcEaU4o8teT1piV-SNzShjg/edit?gid=554141278#gid=554141278"", ""'Char Def. - Attributes'!C20:C2242""), 1,false)"),"DETAIL_OBJECT_ACTIVITY")</f>
        <v>DETAIL_OBJECT_ACTIVITY</v>
      </c>
    </row>
    <row r="15020" ht="15.75" customHeight="1">
      <c r="A15020" s="59"/>
      <c r="B15020" s="63">
        <f t="shared" si="1"/>
        <v>18</v>
      </c>
      <c r="C15020" s="134" t="s">
        <v>172</v>
      </c>
      <c r="D15020" s="134" t="s">
        <v>74</v>
      </c>
      <c r="E15020" s="135">
        <f t="shared" si="62"/>
        <v>6</v>
      </c>
      <c r="F15020" s="134" t="s">
        <v>5694</v>
      </c>
      <c r="G15020" s="63" t="str">
        <f>VLOOKUP(C15020, 'Class Def. - General Data'!$C$20:$C$1000,1,false)</f>
        <v>ZSR3_LEGAL_LICENSE</v>
      </c>
      <c r="H15020" s="63" t="str">
        <f>IFERROR(__xludf.DUMMYFUNCTION("VLOOKUP(F15020, IMPORTRANGE(""https://docs.google.com/spreadsheets/d/1Lhp9OU0JdFf_VYSMzH5lBcEaU4o8teT1piV-SNzShjg/edit?gid=554141278#gid=554141278"", ""'Char Def. - Attributes'!C20:C2242""), 1,false)"),"UOM_SERVICE")</f>
        <v>UOM_SERVICE</v>
      </c>
    </row>
    <row r="15021" ht="15.75" customHeight="1">
      <c r="A15021" s="59"/>
      <c r="B15021" s="63">
        <f t="shared" si="1"/>
        <v>18</v>
      </c>
      <c r="C15021" s="134" t="s">
        <v>172</v>
      </c>
      <c r="D15021" s="134" t="s">
        <v>74</v>
      </c>
      <c r="E15021" s="135">
        <f t="shared" si="62"/>
        <v>7</v>
      </c>
      <c r="F15021" s="134" t="s">
        <v>3585</v>
      </c>
      <c r="G15021" s="63" t="str">
        <f>VLOOKUP(C15021, 'Class Def. - General Data'!$C$20:$C$1000,1,false)</f>
        <v>ZSR3_LEGAL_LICENSE</v>
      </c>
      <c r="H15021" s="63" t="str">
        <f>IFERROR(__xludf.DUMMYFUNCTION("VLOOKUP(F15021, IMPORTRANGE(""https://docs.google.com/spreadsheets/d/1Lhp9OU0JdFf_VYSMzH5lBcEaU4o8teT1piV-SNzShjg/edit?gid=554141278#gid=554141278"", ""'Char Def. - Attributes'!C20:C2242""), 1,false)"),"HS_CODE")</f>
        <v>HS_CODE</v>
      </c>
    </row>
    <row r="15022" ht="15.75" customHeight="1">
      <c r="A15022" s="59"/>
      <c r="B15022" s="63">
        <f t="shared" si="1"/>
        <v>18</v>
      </c>
      <c r="C15022" s="134" t="s">
        <v>172</v>
      </c>
      <c r="D15022" s="134" t="s">
        <v>74</v>
      </c>
      <c r="E15022" s="135">
        <f t="shared" si="62"/>
        <v>8</v>
      </c>
      <c r="F15022" s="134" t="s">
        <v>3587</v>
      </c>
      <c r="G15022" s="63" t="str">
        <f>VLOOKUP(C15022, 'Class Def. - General Data'!$C$20:$C$1000,1,false)</f>
        <v>ZSR3_LEGAL_LICENSE</v>
      </c>
      <c r="H15022" s="63" t="str">
        <f>IFERROR(__xludf.DUMMYFUNCTION("VLOOKUP(F15022, IMPORTRANGE(""https://docs.google.com/spreadsheets/d/1Lhp9OU0JdFf_VYSMzH5lBcEaU4o8teT1piV-SNzShjg/edit?gid=554141278#gid=554141278"", ""'Char Def. - Attributes'!C20:C2242""), 1,false)"),"PLANT_BUY")</f>
        <v>PLANT_BUY</v>
      </c>
    </row>
    <row r="15023" ht="15.75" customHeight="1">
      <c r="A15023" s="59"/>
      <c r="B15023" s="63">
        <f t="shared" si="1"/>
        <v>18</v>
      </c>
      <c r="C15023" s="134" t="s">
        <v>173</v>
      </c>
      <c r="D15023" s="134" t="s">
        <v>74</v>
      </c>
      <c r="E15023" s="135">
        <f t="shared" si="62"/>
        <v>1</v>
      </c>
      <c r="F15023" s="134" t="s">
        <v>5722</v>
      </c>
      <c r="G15023" s="63" t="str">
        <f>VLOOKUP(C15023, 'Class Def. - General Data'!$C$20:$C$1000,1,false)</f>
        <v>ZSR3_LOGST_TRASNPT</v>
      </c>
      <c r="H15023" s="63" t="str">
        <f>IFERROR(__xludf.DUMMYFUNCTION("VLOOKUP(F15023, IMPORTRANGE(""https://docs.google.com/spreadsheets/d/1Lhp9OU0JdFf_VYSMzH5lBcEaU4o8teT1piV-SNzShjg/edit?gid=554141278#gid=554141278"", ""'Char Def. - Attributes'!C20:C2242""), 1,false)"),"ACTIVITY_LOGIST_TRANSPT")</f>
        <v>ACTIVITY_LOGIST_TRANSPT</v>
      </c>
    </row>
    <row r="15024" ht="15.75" customHeight="1">
      <c r="A15024" s="59"/>
      <c r="B15024" s="63">
        <f t="shared" si="1"/>
        <v>18</v>
      </c>
      <c r="C15024" s="134" t="s">
        <v>173</v>
      </c>
      <c r="D15024" s="134" t="s">
        <v>74</v>
      </c>
      <c r="E15024" s="135">
        <f t="shared" si="62"/>
        <v>2</v>
      </c>
      <c r="F15024" s="134" t="s">
        <v>5723</v>
      </c>
      <c r="G15024" s="63" t="str">
        <f>VLOOKUP(C15024, 'Class Def. - General Data'!$C$20:$C$1000,1,false)</f>
        <v>ZSR3_LOGST_TRASNPT</v>
      </c>
      <c r="H15024" s="63" t="str">
        <f>IFERROR(__xludf.DUMMYFUNCTION("VLOOKUP(F15024, IMPORTRANGE(""https://docs.google.com/spreadsheets/d/1Lhp9OU0JdFf_VYSMzH5lBcEaU4o8teT1piV-SNzShjg/edit?gid=554141278#gid=554141278"", ""'Char Def. - Attributes'!C20:C2242""), 1,false)"),"ACTIVITY_TYPE_LOGIST_TRANSPT")</f>
        <v>ACTIVITY_TYPE_LOGIST_TRANSPT</v>
      </c>
    </row>
    <row r="15025" ht="15.75" customHeight="1">
      <c r="A15025" s="59"/>
      <c r="B15025" s="63">
        <f t="shared" si="1"/>
        <v>18</v>
      </c>
      <c r="C15025" s="134" t="s">
        <v>173</v>
      </c>
      <c r="D15025" s="134" t="s">
        <v>74</v>
      </c>
      <c r="E15025" s="135">
        <f t="shared" si="62"/>
        <v>3</v>
      </c>
      <c r="F15025" s="134" t="s">
        <v>5724</v>
      </c>
      <c r="G15025" s="63" t="str">
        <f>VLOOKUP(C15025, 'Class Def. - General Data'!$C$20:$C$1000,1,false)</f>
        <v>ZSR3_LOGST_TRASNPT</v>
      </c>
      <c r="H15025" s="63" t="str">
        <f>IFERROR(__xludf.DUMMYFUNCTION("VLOOKUP(F15025, IMPORTRANGE(""https://docs.google.com/spreadsheets/d/1Lhp9OU0JdFf_VYSMzH5lBcEaU4o8teT1piV-SNzShjg/edit?gid=554141278#gid=554141278"", ""'Char Def. - Attributes'!C20:C2242""), 1,false)"),"ACTIVITY_OBJECT_LOGIST_TRANSPT")</f>
        <v>ACTIVITY_OBJECT_LOGIST_TRANSPT</v>
      </c>
    </row>
    <row r="15026" ht="15.75" customHeight="1">
      <c r="A15026" s="59"/>
      <c r="B15026" s="63">
        <f t="shared" si="1"/>
        <v>18</v>
      </c>
      <c r="C15026" s="134" t="s">
        <v>173</v>
      </c>
      <c r="D15026" s="134" t="s">
        <v>74</v>
      </c>
      <c r="E15026" s="135">
        <f t="shared" si="62"/>
        <v>4</v>
      </c>
      <c r="F15026" s="134" t="s">
        <v>5691</v>
      </c>
      <c r="G15026" s="63" t="str">
        <f>VLOOKUP(C15026, 'Class Def. - General Data'!$C$20:$C$1000,1,false)</f>
        <v>ZSR3_LOGST_TRASNPT</v>
      </c>
      <c r="H15026" s="63" t="str">
        <f>IFERROR(__xludf.DUMMYFUNCTION("VLOOKUP(F15026, IMPORTRANGE(""https://docs.google.com/spreadsheets/d/1Lhp9OU0JdFf_VYSMzH5lBcEaU4o8teT1piV-SNzShjg/edit?gid=554141278#gid=554141278"", ""'Char Def. - Attributes'!C20:C2242""), 1,false)"),"DETAIL_OBJECT_OF_ACTIVITY")</f>
        <v>DETAIL_OBJECT_OF_ACTIVITY</v>
      </c>
    </row>
    <row r="15027" ht="15.75" customHeight="1">
      <c r="A15027" s="59"/>
      <c r="B15027" s="63">
        <f t="shared" si="1"/>
        <v>18</v>
      </c>
      <c r="C15027" s="134" t="s">
        <v>173</v>
      </c>
      <c r="D15027" s="134" t="s">
        <v>74</v>
      </c>
      <c r="E15027" s="135">
        <f t="shared" si="62"/>
        <v>5</v>
      </c>
      <c r="F15027" s="134" t="s">
        <v>5692</v>
      </c>
      <c r="G15027" s="63" t="str">
        <f>VLOOKUP(C15027, 'Class Def. - General Data'!$C$20:$C$1000,1,false)</f>
        <v>ZSR3_LOGST_TRASNPT</v>
      </c>
      <c r="H15027" s="63" t="str">
        <f>IFERROR(__xludf.DUMMYFUNCTION("VLOOKUP(F15027, IMPORTRANGE(""https://docs.google.com/spreadsheets/d/1Lhp9OU0JdFf_VYSMzH5lBcEaU4o8teT1piV-SNzShjg/edit?gid=554141278#gid=554141278"", ""'Char Def. - Attributes'!C20:C2242""), 1,false)"),"DETAIL_OBJECT_ACTIVITY")</f>
        <v>DETAIL_OBJECT_ACTIVITY</v>
      </c>
    </row>
    <row r="15028" ht="15.75" customHeight="1">
      <c r="A15028" s="59"/>
      <c r="B15028" s="63">
        <f t="shared" si="1"/>
        <v>18</v>
      </c>
      <c r="C15028" s="134" t="s">
        <v>173</v>
      </c>
      <c r="D15028" s="134" t="s">
        <v>74</v>
      </c>
      <c r="E15028" s="135">
        <f t="shared" si="62"/>
        <v>6</v>
      </c>
      <c r="F15028" s="134" t="s">
        <v>5694</v>
      </c>
      <c r="G15028" s="63" t="str">
        <f>VLOOKUP(C15028, 'Class Def. - General Data'!$C$20:$C$1000,1,false)</f>
        <v>ZSR3_LOGST_TRASNPT</v>
      </c>
      <c r="H15028" s="63" t="str">
        <f>IFERROR(__xludf.DUMMYFUNCTION("VLOOKUP(F15028, IMPORTRANGE(""https://docs.google.com/spreadsheets/d/1Lhp9OU0JdFf_VYSMzH5lBcEaU4o8teT1piV-SNzShjg/edit?gid=554141278#gid=554141278"", ""'Char Def. - Attributes'!C20:C2242""), 1,false)"),"UOM_SERVICE")</f>
        <v>UOM_SERVICE</v>
      </c>
    </row>
    <row r="15029" ht="15.75" customHeight="1">
      <c r="A15029" s="59"/>
      <c r="B15029" s="63">
        <f t="shared" si="1"/>
        <v>18</v>
      </c>
      <c r="C15029" s="134" t="s">
        <v>173</v>
      </c>
      <c r="D15029" s="134" t="s">
        <v>74</v>
      </c>
      <c r="E15029" s="135">
        <f t="shared" si="62"/>
        <v>7</v>
      </c>
      <c r="F15029" s="134" t="s">
        <v>3585</v>
      </c>
      <c r="G15029" s="63" t="str">
        <f>VLOOKUP(C15029, 'Class Def. - General Data'!$C$20:$C$1000,1,false)</f>
        <v>ZSR3_LOGST_TRASNPT</v>
      </c>
      <c r="H15029" s="63" t="str">
        <f>IFERROR(__xludf.DUMMYFUNCTION("VLOOKUP(F15029, IMPORTRANGE(""https://docs.google.com/spreadsheets/d/1Lhp9OU0JdFf_VYSMzH5lBcEaU4o8teT1piV-SNzShjg/edit?gid=554141278#gid=554141278"", ""'Char Def. - Attributes'!C20:C2242""), 1,false)"),"HS_CODE")</f>
        <v>HS_CODE</v>
      </c>
    </row>
    <row r="15030" ht="15.75" customHeight="1">
      <c r="A15030" s="59"/>
      <c r="B15030" s="63">
        <f t="shared" si="1"/>
        <v>18</v>
      </c>
      <c r="C15030" s="134" t="s">
        <v>173</v>
      </c>
      <c r="D15030" s="134" t="s">
        <v>74</v>
      </c>
      <c r="E15030" s="135">
        <f t="shared" si="62"/>
        <v>8</v>
      </c>
      <c r="F15030" s="134" t="s">
        <v>3587</v>
      </c>
      <c r="G15030" s="63" t="str">
        <f>VLOOKUP(C15030, 'Class Def. - General Data'!$C$20:$C$1000,1,false)</f>
        <v>ZSR3_LOGST_TRASNPT</v>
      </c>
      <c r="H15030" s="63" t="str">
        <f>IFERROR(__xludf.DUMMYFUNCTION("VLOOKUP(F15030, IMPORTRANGE(""https://docs.google.com/spreadsheets/d/1Lhp9OU0JdFf_VYSMzH5lBcEaU4o8teT1piV-SNzShjg/edit?gid=554141278#gid=554141278"", ""'Char Def. - Attributes'!C20:C2242""), 1,false)"),"PLANT_BUY")</f>
        <v>PLANT_BUY</v>
      </c>
    </row>
    <row r="15031" ht="15.75" customHeight="1">
      <c r="A15031" s="59"/>
      <c r="B15031" s="63">
        <f t="shared" si="1"/>
        <v>13</v>
      </c>
      <c r="C15031" s="134" t="s">
        <v>174</v>
      </c>
      <c r="D15031" s="134" t="s">
        <v>74</v>
      </c>
      <c r="E15031" s="135">
        <f t="shared" si="62"/>
        <v>1</v>
      </c>
      <c r="F15031" s="134" t="s">
        <v>5725</v>
      </c>
      <c r="G15031" s="63" t="str">
        <f>VLOOKUP(C15031, 'Class Def. - General Data'!$C$20:$C$1000,1,false)</f>
        <v>ZSR3_MAINTAIN</v>
      </c>
      <c r="H15031" s="63" t="str">
        <f>IFERROR(__xludf.DUMMYFUNCTION("VLOOKUP(F15031, IMPORTRANGE(""https://docs.google.com/spreadsheets/d/1Lhp9OU0JdFf_VYSMzH5lBcEaU4o8teT1piV-SNzShjg/edit?gid=554141278#gid=554141278"", ""'Char Def. - Attributes'!C20:C2242""), 1,false)"),"ACTIVITY_MAINTAIN")</f>
        <v>ACTIVITY_MAINTAIN</v>
      </c>
    </row>
    <row r="15032" ht="15.75" customHeight="1">
      <c r="A15032" s="59"/>
      <c r="B15032" s="63">
        <f t="shared" si="1"/>
        <v>13</v>
      </c>
      <c r="C15032" s="134" t="s">
        <v>174</v>
      </c>
      <c r="D15032" s="134" t="s">
        <v>74</v>
      </c>
      <c r="E15032" s="135">
        <f t="shared" si="62"/>
        <v>2</v>
      </c>
      <c r="F15032" s="134" t="s">
        <v>5726</v>
      </c>
      <c r="G15032" s="63" t="str">
        <f>VLOOKUP(C15032, 'Class Def. - General Data'!$C$20:$C$1000,1,false)</f>
        <v>ZSR3_MAINTAIN</v>
      </c>
      <c r="H15032" s="63" t="str">
        <f>IFERROR(__xludf.DUMMYFUNCTION("VLOOKUP(F15032, IMPORTRANGE(""https://docs.google.com/spreadsheets/d/1Lhp9OU0JdFf_VYSMzH5lBcEaU4o8teT1piV-SNzShjg/edit?gid=554141278#gid=554141278"", ""'Char Def. - Attributes'!C20:C2242""), 1,false)"),"ACTIVITY_TYPE_MAINTAIN")</f>
        <v>ACTIVITY_TYPE_MAINTAIN</v>
      </c>
    </row>
    <row r="15033" ht="15.75" customHeight="1">
      <c r="A15033" s="59"/>
      <c r="B15033" s="63">
        <f t="shared" si="1"/>
        <v>13</v>
      </c>
      <c r="C15033" s="134" t="s">
        <v>174</v>
      </c>
      <c r="D15033" s="134" t="s">
        <v>74</v>
      </c>
      <c r="E15033" s="135">
        <f t="shared" si="62"/>
        <v>3</v>
      </c>
      <c r="F15033" s="134" t="s">
        <v>5727</v>
      </c>
      <c r="G15033" s="63" t="str">
        <f>VLOOKUP(C15033, 'Class Def. - General Data'!$C$20:$C$1000,1,false)</f>
        <v>ZSR3_MAINTAIN</v>
      </c>
      <c r="H15033" s="63" t="str">
        <f>IFERROR(__xludf.DUMMYFUNCTION("VLOOKUP(F15033, IMPORTRANGE(""https://docs.google.com/spreadsheets/d/1Lhp9OU0JdFf_VYSMzH5lBcEaU4o8teT1piV-SNzShjg/edit?gid=554141278#gid=554141278"", ""'Char Def. - Attributes'!C20:C2242""), 1,false)"),"ACTIVITY_OBJECT_MAINTAIN")</f>
        <v>ACTIVITY_OBJECT_MAINTAIN</v>
      </c>
    </row>
    <row r="15034" ht="15.75" customHeight="1">
      <c r="A15034" s="59"/>
      <c r="B15034" s="63">
        <f t="shared" si="1"/>
        <v>13</v>
      </c>
      <c r="C15034" s="134" t="s">
        <v>174</v>
      </c>
      <c r="D15034" s="134" t="s">
        <v>74</v>
      </c>
      <c r="E15034" s="135">
        <f t="shared" si="62"/>
        <v>4</v>
      </c>
      <c r="F15034" s="134" t="s">
        <v>5691</v>
      </c>
      <c r="G15034" s="63" t="str">
        <f>VLOOKUP(C15034, 'Class Def. - General Data'!$C$20:$C$1000,1,false)</f>
        <v>ZSR3_MAINTAIN</v>
      </c>
      <c r="H15034" s="63" t="str">
        <f>IFERROR(__xludf.DUMMYFUNCTION("VLOOKUP(F15034, IMPORTRANGE(""https://docs.google.com/spreadsheets/d/1Lhp9OU0JdFf_VYSMzH5lBcEaU4o8teT1piV-SNzShjg/edit?gid=554141278#gid=554141278"", ""'Char Def. - Attributes'!C20:C2242""), 1,false)"),"DETAIL_OBJECT_OF_ACTIVITY")</f>
        <v>DETAIL_OBJECT_OF_ACTIVITY</v>
      </c>
    </row>
    <row r="15035" ht="15.75" customHeight="1">
      <c r="A15035" s="59"/>
      <c r="B15035" s="63">
        <f t="shared" si="1"/>
        <v>13</v>
      </c>
      <c r="C15035" s="134" t="s">
        <v>174</v>
      </c>
      <c r="D15035" s="134" t="s">
        <v>74</v>
      </c>
      <c r="E15035" s="135">
        <f t="shared" si="62"/>
        <v>5</v>
      </c>
      <c r="F15035" s="134" t="s">
        <v>5692</v>
      </c>
      <c r="G15035" s="63" t="str">
        <f>VLOOKUP(C15035, 'Class Def. - General Data'!$C$20:$C$1000,1,false)</f>
        <v>ZSR3_MAINTAIN</v>
      </c>
      <c r="H15035" s="63" t="str">
        <f>IFERROR(__xludf.DUMMYFUNCTION("VLOOKUP(F15035, IMPORTRANGE(""https://docs.google.com/spreadsheets/d/1Lhp9OU0JdFf_VYSMzH5lBcEaU4o8teT1piV-SNzShjg/edit?gid=554141278#gid=554141278"", ""'Char Def. - Attributes'!C20:C2242""), 1,false)"),"DETAIL_OBJECT_ACTIVITY")</f>
        <v>DETAIL_OBJECT_ACTIVITY</v>
      </c>
    </row>
    <row r="15036" ht="15.75" customHeight="1">
      <c r="A15036" s="59"/>
      <c r="B15036" s="63">
        <f t="shared" si="1"/>
        <v>13</v>
      </c>
      <c r="C15036" s="134" t="s">
        <v>174</v>
      </c>
      <c r="D15036" s="134" t="s">
        <v>74</v>
      </c>
      <c r="E15036" s="135">
        <f t="shared" si="62"/>
        <v>6</v>
      </c>
      <c r="F15036" s="134" t="s">
        <v>5694</v>
      </c>
      <c r="G15036" s="63" t="str">
        <f>VLOOKUP(C15036, 'Class Def. - General Data'!$C$20:$C$1000,1,false)</f>
        <v>ZSR3_MAINTAIN</v>
      </c>
      <c r="H15036" s="63" t="str">
        <f>IFERROR(__xludf.DUMMYFUNCTION("VLOOKUP(F15036, IMPORTRANGE(""https://docs.google.com/spreadsheets/d/1Lhp9OU0JdFf_VYSMzH5lBcEaU4o8teT1piV-SNzShjg/edit?gid=554141278#gid=554141278"", ""'Char Def. - Attributes'!C20:C2242""), 1,false)"),"UOM_SERVICE")</f>
        <v>UOM_SERVICE</v>
      </c>
    </row>
    <row r="15037" ht="15.75" customHeight="1">
      <c r="A15037" s="59"/>
      <c r="B15037" s="63">
        <f t="shared" si="1"/>
        <v>13</v>
      </c>
      <c r="C15037" s="134" t="s">
        <v>174</v>
      </c>
      <c r="D15037" s="134" t="s">
        <v>74</v>
      </c>
      <c r="E15037" s="135">
        <f t="shared" si="62"/>
        <v>7</v>
      </c>
      <c r="F15037" s="134" t="s">
        <v>3585</v>
      </c>
      <c r="G15037" s="63" t="str">
        <f>VLOOKUP(C15037, 'Class Def. - General Data'!$C$20:$C$1000,1,false)</f>
        <v>ZSR3_MAINTAIN</v>
      </c>
      <c r="H15037" s="63" t="str">
        <f>IFERROR(__xludf.DUMMYFUNCTION("VLOOKUP(F15037, IMPORTRANGE(""https://docs.google.com/spreadsheets/d/1Lhp9OU0JdFf_VYSMzH5lBcEaU4o8teT1piV-SNzShjg/edit?gid=554141278#gid=554141278"", ""'Char Def. - Attributes'!C20:C2242""), 1,false)"),"HS_CODE")</f>
        <v>HS_CODE</v>
      </c>
    </row>
    <row r="15038" ht="15.75" customHeight="1">
      <c r="A15038" s="59"/>
      <c r="B15038" s="63">
        <f t="shared" si="1"/>
        <v>13</v>
      </c>
      <c r="C15038" s="134" t="s">
        <v>174</v>
      </c>
      <c r="D15038" s="134" t="s">
        <v>74</v>
      </c>
      <c r="E15038" s="135">
        <f t="shared" si="62"/>
        <v>8</v>
      </c>
      <c r="F15038" s="134" t="s">
        <v>3587</v>
      </c>
      <c r="G15038" s="63" t="str">
        <f>VLOOKUP(C15038, 'Class Def. - General Data'!$C$20:$C$1000,1,false)</f>
        <v>ZSR3_MAINTAIN</v>
      </c>
      <c r="H15038" s="63" t="str">
        <f>IFERROR(__xludf.DUMMYFUNCTION("VLOOKUP(F15038, IMPORTRANGE(""https://docs.google.com/spreadsheets/d/1Lhp9OU0JdFf_VYSMzH5lBcEaU4o8teT1piV-SNzShjg/edit?gid=554141278#gid=554141278"", ""'Char Def. - Attributes'!C20:C2242""), 1,false)"),"PLANT_BUY")</f>
        <v>PLANT_BUY</v>
      </c>
    </row>
    <row r="15039" ht="15.75" customHeight="1">
      <c r="A15039" s="59"/>
      <c r="B15039" s="63">
        <f t="shared" si="1"/>
        <v>16</v>
      </c>
      <c r="C15039" s="134" t="s">
        <v>175</v>
      </c>
      <c r="D15039" s="134" t="s">
        <v>74</v>
      </c>
      <c r="E15039" s="135">
        <f t="shared" si="62"/>
        <v>1</v>
      </c>
      <c r="F15039" s="134" t="s">
        <v>5728</v>
      </c>
      <c r="G15039" s="63" t="str">
        <f>VLOOKUP(C15039, 'Class Def. - General Data'!$C$20:$C$1000,1,false)</f>
        <v>ZSR3_OPS_SUPPORT</v>
      </c>
      <c r="H15039" s="63" t="str">
        <f>IFERROR(__xludf.DUMMYFUNCTION("VLOOKUP(F15039, IMPORTRANGE(""https://docs.google.com/spreadsheets/d/1Lhp9OU0JdFf_VYSMzH5lBcEaU4o8teT1piV-SNzShjg/edit?gid=554141278#gid=554141278"", ""'Char Def. - Attributes'!C20:C2242""), 1,false)"),"ACTIVITY_OPS_SUPPORT")</f>
        <v>ACTIVITY_OPS_SUPPORT</v>
      </c>
    </row>
    <row r="15040" ht="15.75" customHeight="1">
      <c r="A15040" s="59"/>
      <c r="B15040" s="63">
        <f t="shared" si="1"/>
        <v>16</v>
      </c>
      <c r="C15040" s="134" t="s">
        <v>175</v>
      </c>
      <c r="D15040" s="134" t="s">
        <v>74</v>
      </c>
      <c r="E15040" s="135">
        <f t="shared" si="62"/>
        <v>2</v>
      </c>
      <c r="F15040" s="134" t="s">
        <v>5729</v>
      </c>
      <c r="G15040" s="63" t="str">
        <f>VLOOKUP(C15040, 'Class Def. - General Data'!$C$20:$C$1000,1,false)</f>
        <v>ZSR3_OPS_SUPPORT</v>
      </c>
      <c r="H15040" s="63" t="str">
        <f>IFERROR(__xludf.DUMMYFUNCTION("VLOOKUP(F15040, IMPORTRANGE(""https://docs.google.com/spreadsheets/d/1Lhp9OU0JdFf_VYSMzH5lBcEaU4o8teT1piV-SNzShjg/edit?gid=554141278#gid=554141278"", ""'Char Def. - Attributes'!C20:C2242""), 1,false)"),"ACTIVITY_TYPE_OPS_SUPPORT")</f>
        <v>ACTIVITY_TYPE_OPS_SUPPORT</v>
      </c>
    </row>
    <row r="15041" ht="15.75" customHeight="1">
      <c r="A15041" s="59"/>
      <c r="B15041" s="63">
        <f t="shared" si="1"/>
        <v>16</v>
      </c>
      <c r="C15041" s="134" t="s">
        <v>175</v>
      </c>
      <c r="D15041" s="134" t="s">
        <v>74</v>
      </c>
      <c r="E15041" s="135">
        <f t="shared" si="62"/>
        <v>3</v>
      </c>
      <c r="F15041" s="134" t="s">
        <v>5730</v>
      </c>
      <c r="G15041" s="63" t="str">
        <f>VLOOKUP(C15041, 'Class Def. - General Data'!$C$20:$C$1000,1,false)</f>
        <v>ZSR3_OPS_SUPPORT</v>
      </c>
      <c r="H15041" s="63" t="str">
        <f>IFERROR(__xludf.DUMMYFUNCTION("VLOOKUP(F15041, IMPORTRANGE(""https://docs.google.com/spreadsheets/d/1Lhp9OU0JdFf_VYSMzH5lBcEaU4o8teT1piV-SNzShjg/edit?gid=554141278#gid=554141278"", ""'Char Def. - Attributes'!C20:C2242""), 1,false)"),"ACTIVITY_OBJECT_OPS_SUPPORT")</f>
        <v>ACTIVITY_OBJECT_OPS_SUPPORT</v>
      </c>
    </row>
    <row r="15042" ht="15.75" customHeight="1">
      <c r="A15042" s="59"/>
      <c r="B15042" s="63">
        <f t="shared" si="1"/>
        <v>16</v>
      </c>
      <c r="C15042" s="134" t="s">
        <v>175</v>
      </c>
      <c r="D15042" s="134" t="s">
        <v>74</v>
      </c>
      <c r="E15042" s="135">
        <f t="shared" si="62"/>
        <v>4</v>
      </c>
      <c r="F15042" s="134" t="s">
        <v>5691</v>
      </c>
      <c r="G15042" s="63" t="str">
        <f>VLOOKUP(C15042, 'Class Def. - General Data'!$C$20:$C$1000,1,false)</f>
        <v>ZSR3_OPS_SUPPORT</v>
      </c>
      <c r="H15042" s="63" t="str">
        <f>IFERROR(__xludf.DUMMYFUNCTION("VLOOKUP(F15042, IMPORTRANGE(""https://docs.google.com/spreadsheets/d/1Lhp9OU0JdFf_VYSMzH5lBcEaU4o8teT1piV-SNzShjg/edit?gid=554141278#gid=554141278"", ""'Char Def. - Attributes'!C20:C2242""), 1,false)"),"DETAIL_OBJECT_OF_ACTIVITY")</f>
        <v>DETAIL_OBJECT_OF_ACTIVITY</v>
      </c>
    </row>
    <row r="15043" ht="15.75" customHeight="1">
      <c r="A15043" s="59"/>
      <c r="B15043" s="63">
        <f t="shared" si="1"/>
        <v>16</v>
      </c>
      <c r="C15043" s="134" t="s">
        <v>175</v>
      </c>
      <c r="D15043" s="134" t="s">
        <v>74</v>
      </c>
      <c r="E15043" s="135">
        <f t="shared" si="62"/>
        <v>5</v>
      </c>
      <c r="F15043" s="134" t="s">
        <v>5692</v>
      </c>
      <c r="G15043" s="63" t="str">
        <f>VLOOKUP(C15043, 'Class Def. - General Data'!$C$20:$C$1000,1,false)</f>
        <v>ZSR3_OPS_SUPPORT</v>
      </c>
      <c r="H15043" s="63" t="str">
        <f>IFERROR(__xludf.DUMMYFUNCTION("VLOOKUP(F15043, IMPORTRANGE(""https://docs.google.com/spreadsheets/d/1Lhp9OU0JdFf_VYSMzH5lBcEaU4o8teT1piV-SNzShjg/edit?gid=554141278#gid=554141278"", ""'Char Def. - Attributes'!C20:C2242""), 1,false)"),"DETAIL_OBJECT_ACTIVITY")</f>
        <v>DETAIL_OBJECT_ACTIVITY</v>
      </c>
    </row>
    <row r="15044" ht="15.75" customHeight="1">
      <c r="A15044" s="59"/>
      <c r="B15044" s="63">
        <f t="shared" si="1"/>
        <v>16</v>
      </c>
      <c r="C15044" s="134" t="s">
        <v>175</v>
      </c>
      <c r="D15044" s="134" t="s">
        <v>74</v>
      </c>
      <c r="E15044" s="135">
        <f t="shared" si="62"/>
        <v>6</v>
      </c>
      <c r="F15044" s="134" t="s">
        <v>5694</v>
      </c>
      <c r="G15044" s="63" t="str">
        <f>VLOOKUP(C15044, 'Class Def. - General Data'!$C$20:$C$1000,1,false)</f>
        <v>ZSR3_OPS_SUPPORT</v>
      </c>
      <c r="H15044" s="63" t="str">
        <f>IFERROR(__xludf.DUMMYFUNCTION("VLOOKUP(F15044, IMPORTRANGE(""https://docs.google.com/spreadsheets/d/1Lhp9OU0JdFf_VYSMzH5lBcEaU4o8teT1piV-SNzShjg/edit?gid=554141278#gid=554141278"", ""'Char Def. - Attributes'!C20:C2242""), 1,false)"),"UOM_SERVICE")</f>
        <v>UOM_SERVICE</v>
      </c>
    </row>
    <row r="15045" ht="15.75" customHeight="1">
      <c r="A15045" s="59"/>
      <c r="B15045" s="63">
        <f t="shared" si="1"/>
        <v>16</v>
      </c>
      <c r="C15045" s="134" t="s">
        <v>175</v>
      </c>
      <c r="D15045" s="134" t="s">
        <v>74</v>
      </c>
      <c r="E15045" s="135">
        <f t="shared" si="62"/>
        <v>7</v>
      </c>
      <c r="F15045" s="134" t="s">
        <v>3585</v>
      </c>
      <c r="G15045" s="63" t="str">
        <f>VLOOKUP(C15045, 'Class Def. - General Data'!$C$20:$C$1000,1,false)</f>
        <v>ZSR3_OPS_SUPPORT</v>
      </c>
      <c r="H15045" s="63" t="str">
        <f>IFERROR(__xludf.DUMMYFUNCTION("VLOOKUP(F15045, IMPORTRANGE(""https://docs.google.com/spreadsheets/d/1Lhp9OU0JdFf_VYSMzH5lBcEaU4o8teT1piV-SNzShjg/edit?gid=554141278#gid=554141278"", ""'Char Def. - Attributes'!C20:C2242""), 1,false)"),"HS_CODE")</f>
        <v>HS_CODE</v>
      </c>
    </row>
    <row r="15046" ht="15.75" customHeight="1">
      <c r="A15046" s="59"/>
      <c r="B15046" s="63">
        <f t="shared" si="1"/>
        <v>16</v>
      </c>
      <c r="C15046" s="134" t="s">
        <v>175</v>
      </c>
      <c r="D15046" s="134" t="s">
        <v>74</v>
      </c>
      <c r="E15046" s="135">
        <f t="shared" si="62"/>
        <v>8</v>
      </c>
      <c r="F15046" s="134" t="s">
        <v>3587</v>
      </c>
      <c r="G15046" s="63" t="str">
        <f>VLOOKUP(C15046, 'Class Def. - General Data'!$C$20:$C$1000,1,false)</f>
        <v>ZSR3_OPS_SUPPORT</v>
      </c>
      <c r="H15046" s="63" t="str">
        <f>IFERROR(__xludf.DUMMYFUNCTION("VLOOKUP(F15046, IMPORTRANGE(""https://docs.google.com/spreadsheets/d/1Lhp9OU0JdFf_VYSMzH5lBcEaU4o8teT1piV-SNzShjg/edit?gid=554141278#gid=554141278"", ""'Char Def. - Attributes'!C20:C2242""), 1,false)"),"PLANT_BUY")</f>
        <v>PLANT_BUY</v>
      </c>
    </row>
    <row r="15047" ht="15.75" customHeight="1">
      <c r="A15047" s="59"/>
      <c r="B15047" s="63">
        <f t="shared" si="1"/>
        <v>18</v>
      </c>
      <c r="C15047" s="134" t="s">
        <v>176</v>
      </c>
      <c r="D15047" s="134" t="s">
        <v>74</v>
      </c>
      <c r="E15047" s="135">
        <f t="shared" si="62"/>
        <v>1</v>
      </c>
      <c r="F15047" s="134" t="s">
        <v>5731</v>
      </c>
      <c r="G15047" s="63" t="str">
        <f>VLOOKUP(C15047, 'Class Def. - General Data'!$C$20:$C$1000,1,false)</f>
        <v>ZSR3_OUTSRC_MANPWR</v>
      </c>
      <c r="H15047" s="63" t="str">
        <f>IFERROR(__xludf.DUMMYFUNCTION("VLOOKUP(F15047, IMPORTRANGE(""https://docs.google.com/spreadsheets/d/1Lhp9OU0JdFf_VYSMzH5lBcEaU4o8teT1piV-SNzShjg/edit?gid=554141278#gid=554141278"", ""'Char Def. - Attributes'!C20:C2242""), 1,false)"),"ACTIVITY_OUTSRCD_MANPWR")</f>
        <v>ACTIVITY_OUTSRCD_MANPWR</v>
      </c>
    </row>
    <row r="15048" ht="15.75" customHeight="1">
      <c r="A15048" s="59"/>
      <c r="B15048" s="63">
        <f t="shared" si="1"/>
        <v>18</v>
      </c>
      <c r="C15048" s="134" t="s">
        <v>176</v>
      </c>
      <c r="D15048" s="134" t="s">
        <v>74</v>
      </c>
      <c r="E15048" s="135">
        <f t="shared" si="62"/>
        <v>2</v>
      </c>
      <c r="F15048" s="134" t="s">
        <v>5732</v>
      </c>
      <c r="G15048" s="63" t="str">
        <f>VLOOKUP(C15048, 'Class Def. - General Data'!$C$20:$C$1000,1,false)</f>
        <v>ZSR3_OUTSRC_MANPWR</v>
      </c>
      <c r="H15048" s="63" t="str">
        <f>IFERROR(__xludf.DUMMYFUNCTION("VLOOKUP(F15048, IMPORTRANGE(""https://docs.google.com/spreadsheets/d/1Lhp9OU0JdFf_VYSMzH5lBcEaU4o8teT1piV-SNzShjg/edit?gid=554141278#gid=554141278"", ""'Char Def. - Attributes'!C20:C2242""), 1,false)"),"ACTIVITY_TYPE_OUTSRCD_MANPWR")</f>
        <v>ACTIVITY_TYPE_OUTSRCD_MANPWR</v>
      </c>
    </row>
    <row r="15049" ht="15.75" customHeight="1">
      <c r="A15049" s="59"/>
      <c r="B15049" s="63">
        <f t="shared" si="1"/>
        <v>18</v>
      </c>
      <c r="C15049" s="134" t="s">
        <v>176</v>
      </c>
      <c r="D15049" s="134" t="s">
        <v>74</v>
      </c>
      <c r="E15049" s="135">
        <f t="shared" si="62"/>
        <v>3</v>
      </c>
      <c r="F15049" s="134" t="s">
        <v>5733</v>
      </c>
      <c r="G15049" s="63" t="str">
        <f>VLOOKUP(C15049, 'Class Def. - General Data'!$C$20:$C$1000,1,false)</f>
        <v>ZSR3_OUTSRC_MANPWR</v>
      </c>
      <c r="H15049" s="63" t="str">
        <f>IFERROR(__xludf.DUMMYFUNCTION("VLOOKUP(F15049, IMPORTRANGE(""https://docs.google.com/spreadsheets/d/1Lhp9OU0JdFf_VYSMzH5lBcEaU4o8teT1piV-SNzShjg/edit?gid=554141278#gid=554141278"", ""'Char Def. - Attributes'!C20:C2242""), 1,false)"),"ACTIVITY_OBJECT_OUTSRCD_MANPWR")</f>
        <v>ACTIVITY_OBJECT_OUTSRCD_MANPWR</v>
      </c>
    </row>
    <row r="15050" ht="15.75" customHeight="1">
      <c r="A15050" s="59"/>
      <c r="B15050" s="63">
        <f t="shared" si="1"/>
        <v>18</v>
      </c>
      <c r="C15050" s="134" t="s">
        <v>176</v>
      </c>
      <c r="D15050" s="134" t="s">
        <v>74</v>
      </c>
      <c r="E15050" s="135">
        <f t="shared" si="62"/>
        <v>4</v>
      </c>
      <c r="F15050" s="134" t="s">
        <v>5691</v>
      </c>
      <c r="G15050" s="63" t="str">
        <f>VLOOKUP(C15050, 'Class Def. - General Data'!$C$20:$C$1000,1,false)</f>
        <v>ZSR3_OUTSRC_MANPWR</v>
      </c>
      <c r="H15050" s="63" t="str">
        <f>IFERROR(__xludf.DUMMYFUNCTION("VLOOKUP(F15050, IMPORTRANGE(""https://docs.google.com/spreadsheets/d/1Lhp9OU0JdFf_VYSMzH5lBcEaU4o8teT1piV-SNzShjg/edit?gid=554141278#gid=554141278"", ""'Char Def. - Attributes'!C20:C2242""), 1,false)"),"DETAIL_OBJECT_OF_ACTIVITY")</f>
        <v>DETAIL_OBJECT_OF_ACTIVITY</v>
      </c>
    </row>
    <row r="15051" ht="15.75" customHeight="1">
      <c r="A15051" s="59"/>
      <c r="B15051" s="63">
        <f t="shared" si="1"/>
        <v>18</v>
      </c>
      <c r="C15051" s="134" t="s">
        <v>176</v>
      </c>
      <c r="D15051" s="134" t="s">
        <v>74</v>
      </c>
      <c r="E15051" s="135">
        <f t="shared" si="62"/>
        <v>5</v>
      </c>
      <c r="F15051" s="134" t="s">
        <v>5692</v>
      </c>
      <c r="G15051" s="63" t="str">
        <f>VLOOKUP(C15051, 'Class Def. - General Data'!$C$20:$C$1000,1,false)</f>
        <v>ZSR3_OUTSRC_MANPWR</v>
      </c>
      <c r="H15051" s="63" t="str">
        <f>IFERROR(__xludf.DUMMYFUNCTION("VLOOKUP(F15051, IMPORTRANGE(""https://docs.google.com/spreadsheets/d/1Lhp9OU0JdFf_VYSMzH5lBcEaU4o8teT1piV-SNzShjg/edit?gid=554141278#gid=554141278"", ""'Char Def. - Attributes'!C20:C2242""), 1,false)"),"DETAIL_OBJECT_ACTIVITY")</f>
        <v>DETAIL_OBJECT_ACTIVITY</v>
      </c>
    </row>
    <row r="15052" ht="15.75" customHeight="1">
      <c r="A15052" s="59"/>
      <c r="B15052" s="63">
        <f t="shared" si="1"/>
        <v>18</v>
      </c>
      <c r="C15052" s="134" t="s">
        <v>176</v>
      </c>
      <c r="D15052" s="134" t="s">
        <v>74</v>
      </c>
      <c r="E15052" s="135">
        <f t="shared" si="62"/>
        <v>6</v>
      </c>
      <c r="F15052" s="134" t="s">
        <v>5694</v>
      </c>
      <c r="G15052" s="63" t="str">
        <f>VLOOKUP(C15052, 'Class Def. - General Data'!$C$20:$C$1000,1,false)</f>
        <v>ZSR3_OUTSRC_MANPWR</v>
      </c>
      <c r="H15052" s="63" t="str">
        <f>IFERROR(__xludf.DUMMYFUNCTION("VLOOKUP(F15052, IMPORTRANGE(""https://docs.google.com/spreadsheets/d/1Lhp9OU0JdFf_VYSMzH5lBcEaU4o8teT1piV-SNzShjg/edit?gid=554141278#gid=554141278"", ""'Char Def. - Attributes'!C20:C2242""), 1,false)"),"UOM_SERVICE")</f>
        <v>UOM_SERVICE</v>
      </c>
    </row>
    <row r="15053" ht="15.75" customHeight="1">
      <c r="A15053" s="59"/>
      <c r="B15053" s="63">
        <f t="shared" si="1"/>
        <v>18</v>
      </c>
      <c r="C15053" s="134" t="s">
        <v>176</v>
      </c>
      <c r="D15053" s="134" t="s">
        <v>74</v>
      </c>
      <c r="E15053" s="135">
        <f t="shared" si="62"/>
        <v>7</v>
      </c>
      <c r="F15053" s="134" t="s">
        <v>3585</v>
      </c>
      <c r="G15053" s="63" t="str">
        <f>VLOOKUP(C15053, 'Class Def. - General Data'!$C$20:$C$1000,1,false)</f>
        <v>ZSR3_OUTSRC_MANPWR</v>
      </c>
      <c r="H15053" s="63" t="str">
        <f>IFERROR(__xludf.DUMMYFUNCTION("VLOOKUP(F15053, IMPORTRANGE(""https://docs.google.com/spreadsheets/d/1Lhp9OU0JdFf_VYSMzH5lBcEaU4o8teT1piV-SNzShjg/edit?gid=554141278#gid=554141278"", ""'Char Def. - Attributes'!C20:C2242""), 1,false)"),"HS_CODE")</f>
        <v>HS_CODE</v>
      </c>
    </row>
    <row r="15054" ht="15.75" customHeight="1">
      <c r="A15054" s="59"/>
      <c r="B15054" s="63">
        <f t="shared" si="1"/>
        <v>18</v>
      </c>
      <c r="C15054" s="134" t="s">
        <v>176</v>
      </c>
      <c r="D15054" s="134" t="s">
        <v>74</v>
      </c>
      <c r="E15054" s="135">
        <f t="shared" si="62"/>
        <v>8</v>
      </c>
      <c r="F15054" s="134" t="s">
        <v>3587</v>
      </c>
      <c r="G15054" s="63" t="str">
        <f>VLOOKUP(C15054, 'Class Def. - General Data'!$C$20:$C$1000,1,false)</f>
        <v>ZSR3_OUTSRC_MANPWR</v>
      </c>
      <c r="H15054" s="63" t="str">
        <f>IFERROR(__xludf.DUMMYFUNCTION("VLOOKUP(F15054, IMPORTRANGE(""https://docs.google.com/spreadsheets/d/1Lhp9OU0JdFf_VYSMzH5lBcEaU4o8teT1piV-SNzShjg/edit?gid=554141278#gid=554141278"", ""'Char Def. - Attributes'!C20:C2242""), 1,false)"),"PLANT_BUY")</f>
        <v>PLANT_BUY</v>
      </c>
    </row>
    <row r="15055" ht="15.75" customHeight="1">
      <c r="A15055" s="59"/>
      <c r="B15055" s="63">
        <f t="shared" si="1"/>
        <v>16</v>
      </c>
      <c r="C15055" s="134" t="s">
        <v>177</v>
      </c>
      <c r="D15055" s="134" t="s">
        <v>74</v>
      </c>
      <c r="E15055" s="135">
        <f t="shared" si="62"/>
        <v>1</v>
      </c>
      <c r="F15055" s="134" t="s">
        <v>5734</v>
      </c>
      <c r="G15055" s="63" t="str">
        <f>VLOOKUP(C15055, 'Class Def. - General Data'!$C$20:$C$1000,1,false)</f>
        <v>ZSR3_PEMBANGUNAN</v>
      </c>
      <c r="H15055" s="63" t="str">
        <f>IFERROR(__xludf.DUMMYFUNCTION("VLOOKUP(F15055, IMPORTRANGE(""https://docs.google.com/spreadsheets/d/1Lhp9OU0JdFf_VYSMzH5lBcEaU4o8teT1piV-SNzShjg/edit?gid=554141278#gid=554141278"", ""'Char Def. - Attributes'!C20:C2242""), 1,false)"),"ACTIVITY_PEMBANGUNAN")</f>
        <v>ACTIVITY_PEMBANGUNAN</v>
      </c>
    </row>
    <row r="15056" ht="15.75" customHeight="1">
      <c r="A15056" s="59"/>
      <c r="B15056" s="63">
        <f t="shared" si="1"/>
        <v>16</v>
      </c>
      <c r="C15056" s="134" t="s">
        <v>177</v>
      </c>
      <c r="D15056" s="134" t="s">
        <v>74</v>
      </c>
      <c r="E15056" s="135">
        <f t="shared" si="62"/>
        <v>2</v>
      </c>
      <c r="F15056" s="134" t="s">
        <v>5735</v>
      </c>
      <c r="G15056" s="63" t="str">
        <f>VLOOKUP(C15056, 'Class Def. - General Data'!$C$20:$C$1000,1,false)</f>
        <v>ZSR3_PEMBANGUNAN</v>
      </c>
      <c r="H15056" s="63" t="str">
        <f>IFERROR(__xludf.DUMMYFUNCTION("VLOOKUP(F15056, IMPORTRANGE(""https://docs.google.com/spreadsheets/d/1Lhp9OU0JdFf_VYSMzH5lBcEaU4o8teT1piV-SNzShjg/edit?gid=554141278#gid=554141278"", ""'Char Def. - Attributes'!C20:C2242""), 1,false)"),"ACTIVITY_TYPE_PEMBANGUNAN")</f>
        <v>ACTIVITY_TYPE_PEMBANGUNAN</v>
      </c>
    </row>
    <row r="15057" ht="15.75" customHeight="1">
      <c r="A15057" s="59"/>
      <c r="B15057" s="63">
        <f t="shared" si="1"/>
        <v>16</v>
      </c>
      <c r="C15057" s="134" t="s">
        <v>177</v>
      </c>
      <c r="D15057" s="134" t="s">
        <v>74</v>
      </c>
      <c r="E15057" s="135">
        <f t="shared" si="62"/>
        <v>3</v>
      </c>
      <c r="F15057" s="134" t="s">
        <v>5736</v>
      </c>
      <c r="G15057" s="63" t="str">
        <f>VLOOKUP(C15057, 'Class Def. - General Data'!$C$20:$C$1000,1,false)</f>
        <v>ZSR3_PEMBANGUNAN</v>
      </c>
      <c r="H15057" s="63" t="str">
        <f>IFERROR(__xludf.DUMMYFUNCTION("VLOOKUP(F15057, IMPORTRANGE(""https://docs.google.com/spreadsheets/d/1Lhp9OU0JdFf_VYSMzH5lBcEaU4o8teT1piV-SNzShjg/edit?gid=554141278#gid=554141278"", ""'Char Def. - Attributes'!C20:C2242""), 1,false)"),"ACTIVITY_OBJECT_PEMBANGUNAN")</f>
        <v>ACTIVITY_OBJECT_PEMBANGUNAN</v>
      </c>
    </row>
    <row r="15058" ht="15.75" customHeight="1">
      <c r="A15058" s="59"/>
      <c r="B15058" s="63">
        <f t="shared" si="1"/>
        <v>16</v>
      </c>
      <c r="C15058" s="134" t="s">
        <v>177</v>
      </c>
      <c r="D15058" s="134" t="s">
        <v>74</v>
      </c>
      <c r="E15058" s="135">
        <f t="shared" si="62"/>
        <v>4</v>
      </c>
      <c r="F15058" s="134" t="s">
        <v>5691</v>
      </c>
      <c r="G15058" s="63" t="str">
        <f>VLOOKUP(C15058, 'Class Def. - General Data'!$C$20:$C$1000,1,false)</f>
        <v>ZSR3_PEMBANGUNAN</v>
      </c>
      <c r="H15058" s="63" t="str">
        <f>IFERROR(__xludf.DUMMYFUNCTION("VLOOKUP(F15058, IMPORTRANGE(""https://docs.google.com/spreadsheets/d/1Lhp9OU0JdFf_VYSMzH5lBcEaU4o8teT1piV-SNzShjg/edit?gid=554141278#gid=554141278"", ""'Char Def. - Attributes'!C20:C2242""), 1,false)"),"DETAIL_OBJECT_OF_ACTIVITY")</f>
        <v>DETAIL_OBJECT_OF_ACTIVITY</v>
      </c>
    </row>
    <row r="15059" ht="15.75" customHeight="1">
      <c r="A15059" s="59"/>
      <c r="B15059" s="63">
        <f t="shared" si="1"/>
        <v>16</v>
      </c>
      <c r="C15059" s="134" t="s">
        <v>177</v>
      </c>
      <c r="D15059" s="134" t="s">
        <v>74</v>
      </c>
      <c r="E15059" s="135">
        <f t="shared" si="62"/>
        <v>5</v>
      </c>
      <c r="F15059" s="134" t="s">
        <v>5692</v>
      </c>
      <c r="G15059" s="63" t="str">
        <f>VLOOKUP(C15059, 'Class Def. - General Data'!$C$20:$C$1000,1,false)</f>
        <v>ZSR3_PEMBANGUNAN</v>
      </c>
      <c r="H15059" s="63" t="str">
        <f>IFERROR(__xludf.DUMMYFUNCTION("VLOOKUP(F15059, IMPORTRANGE(""https://docs.google.com/spreadsheets/d/1Lhp9OU0JdFf_VYSMzH5lBcEaU4o8teT1piV-SNzShjg/edit?gid=554141278#gid=554141278"", ""'Char Def. - Attributes'!C20:C2242""), 1,false)"),"DETAIL_OBJECT_ACTIVITY")</f>
        <v>DETAIL_OBJECT_ACTIVITY</v>
      </c>
    </row>
    <row r="15060" ht="15.75" customHeight="1">
      <c r="A15060" s="59"/>
      <c r="B15060" s="63">
        <f t="shared" si="1"/>
        <v>16</v>
      </c>
      <c r="C15060" s="134" t="s">
        <v>177</v>
      </c>
      <c r="D15060" s="134" t="s">
        <v>74</v>
      </c>
      <c r="E15060" s="135">
        <f t="shared" si="62"/>
        <v>6</v>
      </c>
      <c r="F15060" s="134" t="s">
        <v>5694</v>
      </c>
      <c r="G15060" s="63" t="str">
        <f>VLOOKUP(C15060, 'Class Def. - General Data'!$C$20:$C$1000,1,false)</f>
        <v>ZSR3_PEMBANGUNAN</v>
      </c>
      <c r="H15060" s="63" t="str">
        <f>IFERROR(__xludf.DUMMYFUNCTION("VLOOKUP(F15060, IMPORTRANGE(""https://docs.google.com/spreadsheets/d/1Lhp9OU0JdFf_VYSMzH5lBcEaU4o8teT1piV-SNzShjg/edit?gid=554141278#gid=554141278"", ""'Char Def. - Attributes'!C20:C2242""), 1,false)"),"UOM_SERVICE")</f>
        <v>UOM_SERVICE</v>
      </c>
    </row>
    <row r="15061" ht="15.75" customHeight="1">
      <c r="A15061" s="59"/>
      <c r="B15061" s="63">
        <f t="shared" si="1"/>
        <v>16</v>
      </c>
      <c r="C15061" s="134" t="s">
        <v>177</v>
      </c>
      <c r="D15061" s="134" t="s">
        <v>74</v>
      </c>
      <c r="E15061" s="135">
        <f t="shared" si="62"/>
        <v>7</v>
      </c>
      <c r="F15061" s="134" t="s">
        <v>3585</v>
      </c>
      <c r="G15061" s="63" t="str">
        <f>VLOOKUP(C15061, 'Class Def. - General Data'!$C$20:$C$1000,1,false)</f>
        <v>ZSR3_PEMBANGUNAN</v>
      </c>
      <c r="H15061" s="63" t="str">
        <f>IFERROR(__xludf.DUMMYFUNCTION("VLOOKUP(F15061, IMPORTRANGE(""https://docs.google.com/spreadsheets/d/1Lhp9OU0JdFf_VYSMzH5lBcEaU4o8teT1piV-SNzShjg/edit?gid=554141278#gid=554141278"", ""'Char Def. - Attributes'!C20:C2242""), 1,false)"),"HS_CODE")</f>
        <v>HS_CODE</v>
      </c>
    </row>
    <row r="15062" ht="15.75" customHeight="1">
      <c r="A15062" s="59"/>
      <c r="B15062" s="63">
        <f t="shared" si="1"/>
        <v>16</v>
      </c>
      <c r="C15062" s="134" t="s">
        <v>177</v>
      </c>
      <c r="D15062" s="134" t="s">
        <v>74</v>
      </c>
      <c r="E15062" s="135">
        <f t="shared" si="62"/>
        <v>8</v>
      </c>
      <c r="F15062" s="134" t="s">
        <v>3587</v>
      </c>
      <c r="G15062" s="63" t="str">
        <f>VLOOKUP(C15062, 'Class Def. - General Data'!$C$20:$C$1000,1,false)</f>
        <v>ZSR3_PEMBANGUNAN</v>
      </c>
      <c r="H15062" s="63" t="str">
        <f>IFERROR(__xludf.DUMMYFUNCTION("VLOOKUP(F15062, IMPORTRANGE(""https://docs.google.com/spreadsheets/d/1Lhp9OU0JdFf_VYSMzH5lBcEaU4o8teT1piV-SNzShjg/edit?gid=554141278#gid=554141278"", ""'Char Def. - Attributes'!C20:C2242""), 1,false)"),"PLANT_BUY")</f>
        <v>PLANT_BUY</v>
      </c>
    </row>
    <row r="15063" ht="15.75" customHeight="1">
      <c r="A15063" s="59"/>
      <c r="B15063" s="63">
        <f t="shared" si="1"/>
        <v>18</v>
      </c>
      <c r="C15063" s="134" t="s">
        <v>178</v>
      </c>
      <c r="D15063" s="134" t="s">
        <v>74</v>
      </c>
      <c r="E15063" s="135">
        <f t="shared" si="62"/>
        <v>1</v>
      </c>
      <c r="F15063" s="134" t="s">
        <v>5737</v>
      </c>
      <c r="G15063" s="63" t="str">
        <f>VLOOKUP(C15063, 'Class Def. - General Data'!$C$20:$C$1000,1,false)</f>
        <v>ZSR3_PENGJN_INSPKS</v>
      </c>
      <c r="H15063" s="63" t="str">
        <f>IFERROR(__xludf.DUMMYFUNCTION("VLOOKUP(F15063, IMPORTRANGE(""https://docs.google.com/spreadsheets/d/1Lhp9OU0JdFf_VYSMzH5lBcEaU4o8teT1piV-SNzShjg/edit?gid=554141278#gid=554141278"", ""'Char Def. - Attributes'!C20:C2242""), 1,false)"),"ACTIVITY_PENGUJIAN")</f>
        <v>ACTIVITY_PENGUJIAN</v>
      </c>
    </row>
    <row r="15064" ht="15.75" customHeight="1">
      <c r="A15064" s="59"/>
      <c r="B15064" s="63">
        <f t="shared" si="1"/>
        <v>18</v>
      </c>
      <c r="C15064" s="134" t="s">
        <v>178</v>
      </c>
      <c r="D15064" s="134" t="s">
        <v>74</v>
      </c>
      <c r="E15064" s="135">
        <f t="shared" si="62"/>
        <v>2</v>
      </c>
      <c r="F15064" s="134" t="s">
        <v>5738</v>
      </c>
      <c r="G15064" s="63" t="str">
        <f>VLOOKUP(C15064, 'Class Def. - General Data'!$C$20:$C$1000,1,false)</f>
        <v>ZSR3_PENGJN_INSPKS</v>
      </c>
      <c r="H15064" s="63" t="str">
        <f>IFERROR(__xludf.DUMMYFUNCTION("VLOOKUP(F15064, IMPORTRANGE(""https://docs.google.com/spreadsheets/d/1Lhp9OU0JdFf_VYSMzH5lBcEaU4o8teT1piV-SNzShjg/edit?gid=554141278#gid=554141278"", ""'Char Def. - Attributes'!C20:C2242""), 1,false)"),"ACTIVITY_TYPE_PENGUJIAN")</f>
        <v>ACTIVITY_TYPE_PENGUJIAN</v>
      </c>
    </row>
    <row r="15065" ht="15.75" customHeight="1">
      <c r="A15065" s="59"/>
      <c r="B15065" s="63">
        <f t="shared" si="1"/>
        <v>18</v>
      </c>
      <c r="C15065" s="134" t="s">
        <v>178</v>
      </c>
      <c r="D15065" s="134" t="s">
        <v>74</v>
      </c>
      <c r="E15065" s="135">
        <f t="shared" si="62"/>
        <v>3</v>
      </c>
      <c r="F15065" s="134" t="s">
        <v>5739</v>
      </c>
      <c r="G15065" s="63" t="str">
        <f>VLOOKUP(C15065, 'Class Def. - General Data'!$C$20:$C$1000,1,false)</f>
        <v>ZSR3_PENGJN_INSPKS</v>
      </c>
      <c r="H15065" s="63" t="str">
        <f>IFERROR(__xludf.DUMMYFUNCTION("VLOOKUP(F15065, IMPORTRANGE(""https://docs.google.com/spreadsheets/d/1Lhp9OU0JdFf_VYSMzH5lBcEaU4o8teT1piV-SNzShjg/edit?gid=554141278#gid=554141278"", ""'Char Def. - Attributes'!C20:C2242""), 1,false)"),"ACTIVITY_OBJECT_PENGUJIAN")</f>
        <v>ACTIVITY_OBJECT_PENGUJIAN</v>
      </c>
    </row>
    <row r="15066" ht="15.75" customHeight="1">
      <c r="A15066" s="59"/>
      <c r="B15066" s="63">
        <f t="shared" si="1"/>
        <v>18</v>
      </c>
      <c r="C15066" s="134" t="s">
        <v>178</v>
      </c>
      <c r="D15066" s="134" t="s">
        <v>74</v>
      </c>
      <c r="E15066" s="135">
        <f t="shared" si="62"/>
        <v>4</v>
      </c>
      <c r="F15066" s="134" t="s">
        <v>5691</v>
      </c>
      <c r="G15066" s="63" t="str">
        <f>VLOOKUP(C15066, 'Class Def. - General Data'!$C$20:$C$1000,1,false)</f>
        <v>ZSR3_PENGJN_INSPKS</v>
      </c>
      <c r="H15066" s="63" t="str">
        <f>IFERROR(__xludf.DUMMYFUNCTION("VLOOKUP(F15066, IMPORTRANGE(""https://docs.google.com/spreadsheets/d/1Lhp9OU0JdFf_VYSMzH5lBcEaU4o8teT1piV-SNzShjg/edit?gid=554141278#gid=554141278"", ""'Char Def. - Attributes'!C20:C2242""), 1,false)"),"DETAIL_OBJECT_OF_ACTIVITY")</f>
        <v>DETAIL_OBJECT_OF_ACTIVITY</v>
      </c>
    </row>
    <row r="15067" ht="15.75" customHeight="1">
      <c r="A15067" s="59"/>
      <c r="B15067" s="63">
        <f t="shared" si="1"/>
        <v>18</v>
      </c>
      <c r="C15067" s="134" t="s">
        <v>178</v>
      </c>
      <c r="D15067" s="134" t="s">
        <v>74</v>
      </c>
      <c r="E15067" s="135">
        <f t="shared" si="62"/>
        <v>5</v>
      </c>
      <c r="F15067" s="134" t="s">
        <v>5692</v>
      </c>
      <c r="G15067" s="63" t="str">
        <f>VLOOKUP(C15067, 'Class Def. - General Data'!$C$20:$C$1000,1,false)</f>
        <v>ZSR3_PENGJN_INSPKS</v>
      </c>
      <c r="H15067" s="63" t="str">
        <f>IFERROR(__xludf.DUMMYFUNCTION("VLOOKUP(F15067, IMPORTRANGE(""https://docs.google.com/spreadsheets/d/1Lhp9OU0JdFf_VYSMzH5lBcEaU4o8teT1piV-SNzShjg/edit?gid=554141278#gid=554141278"", ""'Char Def. - Attributes'!C20:C2242""), 1,false)"),"DETAIL_OBJECT_ACTIVITY")</f>
        <v>DETAIL_OBJECT_ACTIVITY</v>
      </c>
    </row>
    <row r="15068" ht="15.75" customHeight="1">
      <c r="A15068" s="59"/>
      <c r="B15068" s="63">
        <f t="shared" si="1"/>
        <v>18</v>
      </c>
      <c r="C15068" s="134" t="s">
        <v>178</v>
      </c>
      <c r="D15068" s="134" t="s">
        <v>74</v>
      </c>
      <c r="E15068" s="135">
        <f t="shared" si="62"/>
        <v>6</v>
      </c>
      <c r="F15068" s="134" t="s">
        <v>5694</v>
      </c>
      <c r="G15068" s="63" t="str">
        <f>VLOOKUP(C15068, 'Class Def. - General Data'!$C$20:$C$1000,1,false)</f>
        <v>ZSR3_PENGJN_INSPKS</v>
      </c>
      <c r="H15068" s="63" t="str">
        <f>IFERROR(__xludf.DUMMYFUNCTION("VLOOKUP(F15068, IMPORTRANGE(""https://docs.google.com/spreadsheets/d/1Lhp9OU0JdFf_VYSMzH5lBcEaU4o8teT1piV-SNzShjg/edit?gid=554141278#gid=554141278"", ""'Char Def. - Attributes'!C20:C2242""), 1,false)"),"UOM_SERVICE")</f>
        <v>UOM_SERVICE</v>
      </c>
    </row>
    <row r="15069" ht="15.75" customHeight="1">
      <c r="A15069" s="59"/>
      <c r="B15069" s="63">
        <f t="shared" si="1"/>
        <v>18</v>
      </c>
      <c r="C15069" s="134" t="s">
        <v>178</v>
      </c>
      <c r="D15069" s="134" t="s">
        <v>74</v>
      </c>
      <c r="E15069" s="135">
        <f t="shared" si="62"/>
        <v>7</v>
      </c>
      <c r="F15069" s="134" t="s">
        <v>3585</v>
      </c>
      <c r="G15069" s="63" t="str">
        <f>VLOOKUP(C15069, 'Class Def. - General Data'!$C$20:$C$1000,1,false)</f>
        <v>ZSR3_PENGJN_INSPKS</v>
      </c>
      <c r="H15069" s="63" t="str">
        <f>IFERROR(__xludf.DUMMYFUNCTION("VLOOKUP(F15069, IMPORTRANGE(""https://docs.google.com/spreadsheets/d/1Lhp9OU0JdFf_VYSMzH5lBcEaU4o8teT1piV-SNzShjg/edit?gid=554141278#gid=554141278"", ""'Char Def. - Attributes'!C20:C2242""), 1,false)"),"HS_CODE")</f>
        <v>HS_CODE</v>
      </c>
    </row>
    <row r="15070" ht="15.75" customHeight="1">
      <c r="A15070" s="59"/>
      <c r="B15070" s="63">
        <f t="shared" si="1"/>
        <v>18</v>
      </c>
      <c r="C15070" s="134" t="s">
        <v>178</v>
      </c>
      <c r="D15070" s="134" t="s">
        <v>74</v>
      </c>
      <c r="E15070" s="135">
        <f t="shared" si="62"/>
        <v>8</v>
      </c>
      <c r="F15070" s="134" t="s">
        <v>3587</v>
      </c>
      <c r="G15070" s="63" t="str">
        <f>VLOOKUP(C15070, 'Class Def. - General Data'!$C$20:$C$1000,1,false)</f>
        <v>ZSR3_PENGJN_INSPKS</v>
      </c>
      <c r="H15070" s="63" t="str">
        <f>IFERROR(__xludf.DUMMYFUNCTION("VLOOKUP(F15070, IMPORTRANGE(""https://docs.google.com/spreadsheets/d/1Lhp9OU0JdFf_VYSMzH5lBcEaU4o8teT1piV-SNzShjg/edit?gid=554141278#gid=554141278"", ""'Char Def. - Attributes'!C20:C2242""), 1,false)"),"PLANT_BUY")</f>
        <v>PLANT_BUY</v>
      </c>
    </row>
    <row r="15071" ht="15.75" customHeight="1">
      <c r="A15071" s="59"/>
      <c r="B15071" s="63">
        <f t="shared" si="1"/>
        <v>15</v>
      </c>
      <c r="C15071" s="134" t="s">
        <v>179</v>
      </c>
      <c r="D15071" s="134" t="s">
        <v>74</v>
      </c>
      <c r="E15071" s="135">
        <f t="shared" si="62"/>
        <v>1</v>
      </c>
      <c r="F15071" s="134" t="s">
        <v>5740</v>
      </c>
      <c r="G15071" s="63" t="str">
        <f>VLOOKUP(C15071, 'Class Def. - General Data'!$C$20:$C$1000,1,false)</f>
        <v>ZSR3_PERPAJAKAN</v>
      </c>
      <c r="H15071" s="63" t="str">
        <f>IFERROR(__xludf.DUMMYFUNCTION("VLOOKUP(F15071, IMPORTRANGE(""https://docs.google.com/spreadsheets/d/1Lhp9OU0JdFf_VYSMzH5lBcEaU4o8teT1piV-SNzShjg/edit?gid=554141278#gid=554141278"", ""'Char Def. - Attributes'!C20:C2242""), 1,false)"),"ACTIVITY_PERPAJAKAN")</f>
        <v>ACTIVITY_PERPAJAKAN</v>
      </c>
    </row>
    <row r="15072" ht="15.75" customHeight="1">
      <c r="A15072" s="59"/>
      <c r="B15072" s="63">
        <f t="shared" si="1"/>
        <v>15</v>
      </c>
      <c r="C15072" s="134" t="s">
        <v>179</v>
      </c>
      <c r="D15072" s="134" t="s">
        <v>74</v>
      </c>
      <c r="E15072" s="135">
        <f t="shared" si="62"/>
        <v>2</v>
      </c>
      <c r="F15072" s="134" t="s">
        <v>5741</v>
      </c>
      <c r="G15072" s="63" t="str">
        <f>VLOOKUP(C15072, 'Class Def. - General Data'!$C$20:$C$1000,1,false)</f>
        <v>ZSR3_PERPAJAKAN</v>
      </c>
      <c r="H15072" s="63" t="str">
        <f>IFERROR(__xludf.DUMMYFUNCTION("VLOOKUP(F15072, IMPORTRANGE(""https://docs.google.com/spreadsheets/d/1Lhp9OU0JdFf_VYSMzH5lBcEaU4o8teT1piV-SNzShjg/edit?gid=554141278#gid=554141278"", ""'Char Def. - Attributes'!C20:C2242""), 1,false)"),"ACTIVITY_TYPE_PERPAJAKAN")</f>
        <v>ACTIVITY_TYPE_PERPAJAKAN</v>
      </c>
    </row>
    <row r="15073" ht="15.75" customHeight="1">
      <c r="A15073" s="59"/>
      <c r="B15073" s="63">
        <f t="shared" si="1"/>
        <v>15</v>
      </c>
      <c r="C15073" s="134" t="s">
        <v>179</v>
      </c>
      <c r="D15073" s="134" t="s">
        <v>74</v>
      </c>
      <c r="E15073" s="135">
        <f t="shared" si="62"/>
        <v>3</v>
      </c>
      <c r="F15073" s="134" t="s">
        <v>5742</v>
      </c>
      <c r="G15073" s="63" t="str">
        <f>VLOOKUP(C15073, 'Class Def. - General Data'!$C$20:$C$1000,1,false)</f>
        <v>ZSR3_PERPAJAKAN</v>
      </c>
      <c r="H15073" s="63" t="str">
        <f>IFERROR(__xludf.DUMMYFUNCTION("VLOOKUP(F15073, IMPORTRANGE(""https://docs.google.com/spreadsheets/d/1Lhp9OU0JdFf_VYSMzH5lBcEaU4o8teT1piV-SNzShjg/edit?gid=554141278#gid=554141278"", ""'Char Def. - Attributes'!C20:C2242""), 1,false)"),"ACTIVITY_OBJECT_PERPAJAKAN")</f>
        <v>ACTIVITY_OBJECT_PERPAJAKAN</v>
      </c>
    </row>
    <row r="15074" ht="15.75" customHeight="1">
      <c r="A15074" s="59"/>
      <c r="B15074" s="63">
        <f t="shared" si="1"/>
        <v>15</v>
      </c>
      <c r="C15074" s="134" t="s">
        <v>179</v>
      </c>
      <c r="D15074" s="134" t="s">
        <v>74</v>
      </c>
      <c r="E15074" s="135">
        <f t="shared" si="62"/>
        <v>4</v>
      </c>
      <c r="F15074" s="134" t="s">
        <v>5691</v>
      </c>
      <c r="G15074" s="63" t="str">
        <f>VLOOKUP(C15074, 'Class Def. - General Data'!$C$20:$C$1000,1,false)</f>
        <v>ZSR3_PERPAJAKAN</v>
      </c>
      <c r="H15074" s="63" t="str">
        <f>IFERROR(__xludf.DUMMYFUNCTION("VLOOKUP(F15074, IMPORTRANGE(""https://docs.google.com/spreadsheets/d/1Lhp9OU0JdFf_VYSMzH5lBcEaU4o8teT1piV-SNzShjg/edit?gid=554141278#gid=554141278"", ""'Char Def. - Attributes'!C20:C2242""), 1,false)"),"DETAIL_OBJECT_OF_ACTIVITY")</f>
        <v>DETAIL_OBJECT_OF_ACTIVITY</v>
      </c>
    </row>
    <row r="15075" ht="15.75" customHeight="1">
      <c r="A15075" s="59"/>
      <c r="B15075" s="63">
        <f t="shared" si="1"/>
        <v>15</v>
      </c>
      <c r="C15075" s="134" t="s">
        <v>179</v>
      </c>
      <c r="D15075" s="134" t="s">
        <v>74</v>
      </c>
      <c r="E15075" s="135">
        <f t="shared" si="62"/>
        <v>5</v>
      </c>
      <c r="F15075" s="134" t="s">
        <v>5692</v>
      </c>
      <c r="G15075" s="63" t="str">
        <f>VLOOKUP(C15075, 'Class Def. - General Data'!$C$20:$C$1000,1,false)</f>
        <v>ZSR3_PERPAJAKAN</v>
      </c>
      <c r="H15075" s="63" t="str">
        <f>IFERROR(__xludf.DUMMYFUNCTION("VLOOKUP(F15075, IMPORTRANGE(""https://docs.google.com/spreadsheets/d/1Lhp9OU0JdFf_VYSMzH5lBcEaU4o8teT1piV-SNzShjg/edit?gid=554141278#gid=554141278"", ""'Char Def. - Attributes'!C20:C2242""), 1,false)"),"DETAIL_OBJECT_ACTIVITY")</f>
        <v>DETAIL_OBJECT_ACTIVITY</v>
      </c>
    </row>
    <row r="15076" ht="15.75" customHeight="1">
      <c r="A15076" s="59"/>
      <c r="B15076" s="63">
        <f t="shared" si="1"/>
        <v>15</v>
      </c>
      <c r="C15076" s="134" t="s">
        <v>179</v>
      </c>
      <c r="D15076" s="134" t="s">
        <v>74</v>
      </c>
      <c r="E15076" s="135">
        <f t="shared" si="62"/>
        <v>6</v>
      </c>
      <c r="F15076" s="134" t="s">
        <v>5694</v>
      </c>
      <c r="G15076" s="63" t="str">
        <f>VLOOKUP(C15076, 'Class Def. - General Data'!$C$20:$C$1000,1,false)</f>
        <v>ZSR3_PERPAJAKAN</v>
      </c>
      <c r="H15076" s="63" t="str">
        <f>IFERROR(__xludf.DUMMYFUNCTION("VLOOKUP(F15076, IMPORTRANGE(""https://docs.google.com/spreadsheets/d/1Lhp9OU0JdFf_VYSMzH5lBcEaU4o8teT1piV-SNzShjg/edit?gid=554141278#gid=554141278"", ""'Char Def. - Attributes'!C20:C2242""), 1,false)"),"UOM_SERVICE")</f>
        <v>UOM_SERVICE</v>
      </c>
    </row>
    <row r="15077" ht="15.75" customHeight="1">
      <c r="A15077" s="59"/>
      <c r="B15077" s="63">
        <f t="shared" si="1"/>
        <v>15</v>
      </c>
      <c r="C15077" s="134" t="s">
        <v>179</v>
      </c>
      <c r="D15077" s="134" t="s">
        <v>74</v>
      </c>
      <c r="E15077" s="135">
        <f t="shared" si="62"/>
        <v>7</v>
      </c>
      <c r="F15077" s="134" t="s">
        <v>3585</v>
      </c>
      <c r="G15077" s="63" t="str">
        <f>VLOOKUP(C15077, 'Class Def. - General Data'!$C$20:$C$1000,1,false)</f>
        <v>ZSR3_PERPAJAKAN</v>
      </c>
      <c r="H15077" s="63" t="str">
        <f>IFERROR(__xludf.DUMMYFUNCTION("VLOOKUP(F15077, IMPORTRANGE(""https://docs.google.com/spreadsheets/d/1Lhp9OU0JdFf_VYSMzH5lBcEaU4o8teT1piV-SNzShjg/edit?gid=554141278#gid=554141278"", ""'Char Def. - Attributes'!C20:C2242""), 1,false)"),"HS_CODE")</f>
        <v>HS_CODE</v>
      </c>
    </row>
    <row r="15078" ht="15.75" customHeight="1">
      <c r="A15078" s="59"/>
      <c r="B15078" s="63">
        <f t="shared" si="1"/>
        <v>15</v>
      </c>
      <c r="C15078" s="134" t="s">
        <v>179</v>
      </c>
      <c r="D15078" s="134" t="s">
        <v>74</v>
      </c>
      <c r="E15078" s="135">
        <f t="shared" si="62"/>
        <v>8</v>
      </c>
      <c r="F15078" s="134" t="s">
        <v>3587</v>
      </c>
      <c r="G15078" s="63" t="str">
        <f>VLOOKUP(C15078, 'Class Def. - General Data'!$C$20:$C$1000,1,false)</f>
        <v>ZSR3_PERPAJAKAN</v>
      </c>
      <c r="H15078" s="63" t="str">
        <f>IFERROR(__xludf.DUMMYFUNCTION("VLOOKUP(F15078, IMPORTRANGE(""https://docs.google.com/spreadsheets/d/1Lhp9OU0JdFf_VYSMzH5lBcEaU4o8teT1piV-SNzShjg/edit?gid=554141278#gid=554141278"", ""'Char Def. - Attributes'!C20:C2242""), 1,false)"),"PLANT_BUY")</f>
        <v>PLANT_BUY</v>
      </c>
    </row>
    <row r="15079" ht="15.75" customHeight="1">
      <c r="A15079" s="59"/>
      <c r="B15079" s="63">
        <f t="shared" si="1"/>
        <v>11</v>
      </c>
      <c r="C15079" s="134" t="s">
        <v>180</v>
      </c>
      <c r="D15079" s="134" t="s">
        <v>74</v>
      </c>
      <c r="E15079" s="135">
        <f t="shared" si="62"/>
        <v>1</v>
      </c>
      <c r="F15079" s="134" t="s">
        <v>5743</v>
      </c>
      <c r="G15079" s="63" t="str">
        <f>VLOOKUP(C15079, 'Class Def. - General Data'!$C$20:$C$1000,1,false)</f>
        <v>ZSR3_REPAIR</v>
      </c>
      <c r="H15079" s="63" t="str">
        <f>IFERROR(__xludf.DUMMYFUNCTION("VLOOKUP(F15079, IMPORTRANGE(""https://docs.google.com/spreadsheets/d/1Lhp9OU0JdFf_VYSMzH5lBcEaU4o8teT1piV-SNzShjg/edit?gid=554141278#gid=554141278"", ""'Char Def. - Attributes'!C20:C2242""), 1,false)"),"ACTIVITY_REPAIR")</f>
        <v>ACTIVITY_REPAIR</v>
      </c>
    </row>
    <row r="15080" ht="15.75" customHeight="1">
      <c r="A15080" s="59"/>
      <c r="B15080" s="63">
        <f t="shared" si="1"/>
        <v>11</v>
      </c>
      <c r="C15080" s="134" t="s">
        <v>180</v>
      </c>
      <c r="D15080" s="134" t="s">
        <v>74</v>
      </c>
      <c r="E15080" s="135">
        <f t="shared" si="62"/>
        <v>2</v>
      </c>
      <c r="F15080" s="134" t="s">
        <v>5744</v>
      </c>
      <c r="G15080" s="63" t="str">
        <f>VLOOKUP(C15080, 'Class Def. - General Data'!$C$20:$C$1000,1,false)</f>
        <v>ZSR3_REPAIR</v>
      </c>
      <c r="H15080" s="63" t="str">
        <f>IFERROR(__xludf.DUMMYFUNCTION("VLOOKUP(F15080, IMPORTRANGE(""https://docs.google.com/spreadsheets/d/1Lhp9OU0JdFf_VYSMzH5lBcEaU4o8teT1piV-SNzShjg/edit?gid=554141278#gid=554141278"", ""'Char Def. - Attributes'!C20:C2242""), 1,false)"),"ACTIVITY_TYPE_REPAIR")</f>
        <v>ACTIVITY_TYPE_REPAIR</v>
      </c>
    </row>
    <row r="15081" ht="15.75" customHeight="1">
      <c r="A15081" s="59"/>
      <c r="B15081" s="63">
        <f t="shared" si="1"/>
        <v>11</v>
      </c>
      <c r="C15081" s="134" t="s">
        <v>180</v>
      </c>
      <c r="D15081" s="134" t="s">
        <v>74</v>
      </c>
      <c r="E15081" s="135">
        <f t="shared" si="62"/>
        <v>3</v>
      </c>
      <c r="F15081" s="134" t="s">
        <v>5745</v>
      </c>
      <c r="G15081" s="63" t="str">
        <f>VLOOKUP(C15081, 'Class Def. - General Data'!$C$20:$C$1000,1,false)</f>
        <v>ZSR3_REPAIR</v>
      </c>
      <c r="H15081" s="63" t="str">
        <f>IFERROR(__xludf.DUMMYFUNCTION("VLOOKUP(F15081, IMPORTRANGE(""https://docs.google.com/spreadsheets/d/1Lhp9OU0JdFf_VYSMzH5lBcEaU4o8teT1piV-SNzShjg/edit?gid=554141278#gid=554141278"", ""'Char Def. - Attributes'!C20:C2242""), 1,false)"),"ACTIVITY_OBJECT_REPAIR")</f>
        <v>ACTIVITY_OBJECT_REPAIR</v>
      </c>
    </row>
    <row r="15082" ht="15.75" customHeight="1">
      <c r="A15082" s="59"/>
      <c r="B15082" s="63">
        <f t="shared" si="1"/>
        <v>11</v>
      </c>
      <c r="C15082" s="134" t="s">
        <v>180</v>
      </c>
      <c r="D15082" s="134" t="s">
        <v>74</v>
      </c>
      <c r="E15082" s="135">
        <f t="shared" si="62"/>
        <v>4</v>
      </c>
      <c r="F15082" s="134" t="s">
        <v>5691</v>
      </c>
      <c r="G15082" s="63" t="str">
        <f>VLOOKUP(C15082, 'Class Def. - General Data'!$C$20:$C$1000,1,false)</f>
        <v>ZSR3_REPAIR</v>
      </c>
      <c r="H15082" s="63" t="str">
        <f>IFERROR(__xludf.DUMMYFUNCTION("VLOOKUP(F15082, IMPORTRANGE(""https://docs.google.com/spreadsheets/d/1Lhp9OU0JdFf_VYSMzH5lBcEaU4o8teT1piV-SNzShjg/edit?gid=554141278#gid=554141278"", ""'Char Def. - Attributes'!C20:C2242""), 1,false)"),"DETAIL_OBJECT_OF_ACTIVITY")</f>
        <v>DETAIL_OBJECT_OF_ACTIVITY</v>
      </c>
    </row>
    <row r="15083" ht="15.75" customHeight="1">
      <c r="A15083" s="59"/>
      <c r="B15083" s="63">
        <f t="shared" si="1"/>
        <v>11</v>
      </c>
      <c r="C15083" s="134" t="s">
        <v>180</v>
      </c>
      <c r="D15083" s="134" t="s">
        <v>74</v>
      </c>
      <c r="E15083" s="135">
        <f t="shared" si="62"/>
        <v>5</v>
      </c>
      <c r="F15083" s="134" t="s">
        <v>5692</v>
      </c>
      <c r="G15083" s="63" t="str">
        <f>VLOOKUP(C15083, 'Class Def. - General Data'!$C$20:$C$1000,1,false)</f>
        <v>ZSR3_REPAIR</v>
      </c>
      <c r="H15083" s="63" t="str">
        <f>IFERROR(__xludf.DUMMYFUNCTION("VLOOKUP(F15083, IMPORTRANGE(""https://docs.google.com/spreadsheets/d/1Lhp9OU0JdFf_VYSMzH5lBcEaU4o8teT1piV-SNzShjg/edit?gid=554141278#gid=554141278"", ""'Char Def. - Attributes'!C20:C2242""), 1,false)"),"DETAIL_OBJECT_ACTIVITY")</f>
        <v>DETAIL_OBJECT_ACTIVITY</v>
      </c>
    </row>
    <row r="15084" ht="15.75" customHeight="1">
      <c r="A15084" s="59"/>
      <c r="B15084" s="63">
        <f t="shared" si="1"/>
        <v>11</v>
      </c>
      <c r="C15084" s="134" t="s">
        <v>180</v>
      </c>
      <c r="D15084" s="134" t="s">
        <v>74</v>
      </c>
      <c r="E15084" s="135">
        <f t="shared" si="62"/>
        <v>6</v>
      </c>
      <c r="F15084" s="134" t="s">
        <v>5694</v>
      </c>
      <c r="G15084" s="63" t="str">
        <f>VLOOKUP(C15084, 'Class Def. - General Data'!$C$20:$C$1000,1,false)</f>
        <v>ZSR3_REPAIR</v>
      </c>
      <c r="H15084" s="63" t="str">
        <f>IFERROR(__xludf.DUMMYFUNCTION("VLOOKUP(F15084, IMPORTRANGE(""https://docs.google.com/spreadsheets/d/1Lhp9OU0JdFf_VYSMzH5lBcEaU4o8teT1piV-SNzShjg/edit?gid=554141278#gid=554141278"", ""'Char Def. - Attributes'!C20:C2242""), 1,false)"),"UOM_SERVICE")</f>
        <v>UOM_SERVICE</v>
      </c>
    </row>
    <row r="15085" ht="15.75" customHeight="1">
      <c r="A15085" s="59"/>
      <c r="B15085" s="63">
        <f t="shared" si="1"/>
        <v>11</v>
      </c>
      <c r="C15085" s="134" t="s">
        <v>180</v>
      </c>
      <c r="D15085" s="134" t="s">
        <v>74</v>
      </c>
      <c r="E15085" s="135">
        <f t="shared" si="62"/>
        <v>7</v>
      </c>
      <c r="F15085" s="134" t="s">
        <v>3585</v>
      </c>
      <c r="G15085" s="63" t="str">
        <f>VLOOKUP(C15085, 'Class Def. - General Data'!$C$20:$C$1000,1,false)</f>
        <v>ZSR3_REPAIR</v>
      </c>
      <c r="H15085" s="63" t="str">
        <f>IFERROR(__xludf.DUMMYFUNCTION("VLOOKUP(F15085, IMPORTRANGE(""https://docs.google.com/spreadsheets/d/1Lhp9OU0JdFf_VYSMzH5lBcEaU4o8teT1piV-SNzShjg/edit?gid=554141278#gid=554141278"", ""'Char Def. - Attributes'!C20:C2242""), 1,false)"),"HS_CODE")</f>
        <v>HS_CODE</v>
      </c>
    </row>
    <row r="15086" ht="15.75" customHeight="1">
      <c r="A15086" s="59"/>
      <c r="B15086" s="63">
        <f t="shared" si="1"/>
        <v>11</v>
      </c>
      <c r="C15086" s="134" t="s">
        <v>180</v>
      </c>
      <c r="D15086" s="134" t="s">
        <v>74</v>
      </c>
      <c r="E15086" s="135">
        <f t="shared" si="62"/>
        <v>8</v>
      </c>
      <c r="F15086" s="134" t="s">
        <v>3587</v>
      </c>
      <c r="G15086" s="63" t="str">
        <f>VLOOKUP(C15086, 'Class Def. - General Data'!$C$20:$C$1000,1,false)</f>
        <v>ZSR3_REPAIR</v>
      </c>
      <c r="H15086" s="63" t="str">
        <f>IFERROR(__xludf.DUMMYFUNCTION("VLOOKUP(F15086, IMPORTRANGE(""https://docs.google.com/spreadsheets/d/1Lhp9OU0JdFf_VYSMzH5lBcEaU4o8teT1piV-SNzShjg/edit?gid=554141278#gid=554141278"", ""'Char Def. - Attributes'!C20:C2242""), 1,false)"),"PLANT_BUY")</f>
        <v>PLANT_BUY</v>
      </c>
    </row>
    <row r="15087" ht="15.75" customHeight="1">
      <c r="A15087" s="59"/>
      <c r="B15087" s="63">
        <f t="shared" si="1"/>
        <v>9</v>
      </c>
      <c r="C15087" s="134" t="s">
        <v>181</v>
      </c>
      <c r="D15087" s="134" t="s">
        <v>74</v>
      </c>
      <c r="E15087" s="135">
        <f t="shared" si="62"/>
        <v>1</v>
      </c>
      <c r="F15087" s="134" t="s">
        <v>5746</v>
      </c>
      <c r="G15087" s="63" t="str">
        <f>VLOOKUP(C15087, 'Class Def. - General Data'!$C$20:$C$1000,1,false)</f>
        <v>ZSR3_SEWA</v>
      </c>
      <c r="H15087" s="63" t="str">
        <f>IFERROR(__xludf.DUMMYFUNCTION("VLOOKUP(F15087, IMPORTRANGE(""https://docs.google.com/spreadsheets/d/1Lhp9OU0JdFf_VYSMzH5lBcEaU4o8teT1piV-SNzShjg/edit?gid=554141278#gid=554141278"", ""'Char Def. - Attributes'!C20:C2242""), 1,false)"),"ACTIVITY_SEWA")</f>
        <v>ACTIVITY_SEWA</v>
      </c>
    </row>
    <row r="15088" ht="15.75" customHeight="1">
      <c r="A15088" s="59"/>
      <c r="B15088" s="63">
        <f t="shared" si="1"/>
        <v>9</v>
      </c>
      <c r="C15088" s="134" t="s">
        <v>181</v>
      </c>
      <c r="D15088" s="134" t="s">
        <v>74</v>
      </c>
      <c r="E15088" s="135">
        <f t="shared" si="62"/>
        <v>2</v>
      </c>
      <c r="F15088" s="134" t="s">
        <v>5747</v>
      </c>
      <c r="G15088" s="63" t="str">
        <f>VLOOKUP(C15088, 'Class Def. - General Data'!$C$20:$C$1000,1,false)</f>
        <v>ZSR3_SEWA</v>
      </c>
      <c r="H15088" s="63" t="str">
        <f>IFERROR(__xludf.DUMMYFUNCTION("VLOOKUP(F15088, IMPORTRANGE(""https://docs.google.com/spreadsheets/d/1Lhp9OU0JdFf_VYSMzH5lBcEaU4o8teT1piV-SNzShjg/edit?gid=554141278#gid=554141278"", ""'Char Def. - Attributes'!C20:C2242""), 1,false)"),"ACTIVITY_TYPE_SEWA")</f>
        <v>ACTIVITY_TYPE_SEWA</v>
      </c>
    </row>
    <row r="15089" ht="15.75" customHeight="1">
      <c r="A15089" s="59"/>
      <c r="B15089" s="63">
        <f t="shared" si="1"/>
        <v>9</v>
      </c>
      <c r="C15089" s="134" t="s">
        <v>181</v>
      </c>
      <c r="D15089" s="134" t="s">
        <v>74</v>
      </c>
      <c r="E15089" s="135">
        <f t="shared" si="62"/>
        <v>3</v>
      </c>
      <c r="F15089" s="134" t="s">
        <v>5748</v>
      </c>
      <c r="G15089" s="63" t="str">
        <f>VLOOKUP(C15089, 'Class Def. - General Data'!$C$20:$C$1000,1,false)</f>
        <v>ZSR3_SEWA</v>
      </c>
      <c r="H15089" s="63" t="str">
        <f>IFERROR(__xludf.DUMMYFUNCTION("VLOOKUP(F15089, IMPORTRANGE(""https://docs.google.com/spreadsheets/d/1Lhp9OU0JdFf_VYSMzH5lBcEaU4o8teT1piV-SNzShjg/edit?gid=554141278#gid=554141278"", ""'Char Def. - Attributes'!C20:C2242""), 1,false)"),"ACTIVITY_OBJECT_SEWA")</f>
        <v>ACTIVITY_OBJECT_SEWA</v>
      </c>
    </row>
    <row r="15090" ht="15.75" customHeight="1">
      <c r="A15090" s="59"/>
      <c r="B15090" s="63">
        <f t="shared" si="1"/>
        <v>9</v>
      </c>
      <c r="C15090" s="134" t="s">
        <v>181</v>
      </c>
      <c r="D15090" s="134" t="s">
        <v>74</v>
      </c>
      <c r="E15090" s="135">
        <f t="shared" si="62"/>
        <v>4</v>
      </c>
      <c r="F15090" s="134" t="s">
        <v>5691</v>
      </c>
      <c r="G15090" s="63" t="str">
        <f>VLOOKUP(C15090, 'Class Def. - General Data'!$C$20:$C$1000,1,false)</f>
        <v>ZSR3_SEWA</v>
      </c>
      <c r="H15090" s="63" t="str">
        <f>IFERROR(__xludf.DUMMYFUNCTION("VLOOKUP(F15090, IMPORTRANGE(""https://docs.google.com/spreadsheets/d/1Lhp9OU0JdFf_VYSMzH5lBcEaU4o8teT1piV-SNzShjg/edit?gid=554141278#gid=554141278"", ""'Char Def. - Attributes'!C20:C2242""), 1,false)"),"DETAIL_OBJECT_OF_ACTIVITY")</f>
        <v>DETAIL_OBJECT_OF_ACTIVITY</v>
      </c>
    </row>
    <row r="15091" ht="15.75" customHeight="1">
      <c r="A15091" s="59"/>
      <c r="B15091" s="63">
        <f t="shared" si="1"/>
        <v>9</v>
      </c>
      <c r="C15091" s="134" t="s">
        <v>181</v>
      </c>
      <c r="D15091" s="134" t="s">
        <v>74</v>
      </c>
      <c r="E15091" s="135">
        <f t="shared" si="62"/>
        <v>5</v>
      </c>
      <c r="F15091" s="134" t="s">
        <v>5692</v>
      </c>
      <c r="G15091" s="63" t="str">
        <f>VLOOKUP(C15091, 'Class Def. - General Data'!$C$20:$C$1000,1,false)</f>
        <v>ZSR3_SEWA</v>
      </c>
      <c r="H15091" s="63" t="str">
        <f>IFERROR(__xludf.DUMMYFUNCTION("VLOOKUP(F15091, IMPORTRANGE(""https://docs.google.com/spreadsheets/d/1Lhp9OU0JdFf_VYSMzH5lBcEaU4o8teT1piV-SNzShjg/edit?gid=554141278#gid=554141278"", ""'Char Def. - Attributes'!C20:C2242""), 1,false)"),"DETAIL_OBJECT_ACTIVITY")</f>
        <v>DETAIL_OBJECT_ACTIVITY</v>
      </c>
    </row>
    <row r="15092" ht="15.75" customHeight="1">
      <c r="A15092" s="59"/>
      <c r="B15092" s="63">
        <f t="shared" si="1"/>
        <v>9</v>
      </c>
      <c r="C15092" s="134" t="s">
        <v>181</v>
      </c>
      <c r="D15092" s="134" t="s">
        <v>74</v>
      </c>
      <c r="E15092" s="135">
        <f t="shared" si="62"/>
        <v>6</v>
      </c>
      <c r="F15092" s="134" t="s">
        <v>5694</v>
      </c>
      <c r="G15092" s="63" t="str">
        <f>VLOOKUP(C15092, 'Class Def. - General Data'!$C$20:$C$1000,1,false)</f>
        <v>ZSR3_SEWA</v>
      </c>
      <c r="H15092" s="63" t="str">
        <f>IFERROR(__xludf.DUMMYFUNCTION("VLOOKUP(F15092, IMPORTRANGE(""https://docs.google.com/spreadsheets/d/1Lhp9OU0JdFf_VYSMzH5lBcEaU4o8teT1piV-SNzShjg/edit?gid=554141278#gid=554141278"", ""'Char Def. - Attributes'!C20:C2242""), 1,false)"),"UOM_SERVICE")</f>
        <v>UOM_SERVICE</v>
      </c>
    </row>
    <row r="15093" ht="15.75" customHeight="1">
      <c r="A15093" s="59"/>
      <c r="B15093" s="63">
        <f t="shared" si="1"/>
        <v>9</v>
      </c>
      <c r="C15093" s="134" t="s">
        <v>181</v>
      </c>
      <c r="D15093" s="134" t="s">
        <v>74</v>
      </c>
      <c r="E15093" s="135">
        <f t="shared" si="62"/>
        <v>7</v>
      </c>
      <c r="F15093" s="134" t="s">
        <v>3585</v>
      </c>
      <c r="G15093" s="63" t="str">
        <f>VLOOKUP(C15093, 'Class Def. - General Data'!$C$20:$C$1000,1,false)</f>
        <v>ZSR3_SEWA</v>
      </c>
      <c r="H15093" s="63" t="str">
        <f>IFERROR(__xludf.DUMMYFUNCTION("VLOOKUP(F15093, IMPORTRANGE(""https://docs.google.com/spreadsheets/d/1Lhp9OU0JdFf_VYSMzH5lBcEaU4o8teT1piV-SNzShjg/edit?gid=554141278#gid=554141278"", ""'Char Def. - Attributes'!C20:C2242""), 1,false)"),"HS_CODE")</f>
        <v>HS_CODE</v>
      </c>
    </row>
    <row r="15094" ht="15.75" customHeight="1">
      <c r="A15094" s="59"/>
      <c r="B15094" s="63">
        <f t="shared" si="1"/>
        <v>9</v>
      </c>
      <c r="C15094" s="134" t="s">
        <v>181</v>
      </c>
      <c r="D15094" s="134" t="s">
        <v>74</v>
      </c>
      <c r="E15094" s="135">
        <f t="shared" si="62"/>
        <v>8</v>
      </c>
      <c r="F15094" s="134" t="s">
        <v>3587</v>
      </c>
      <c r="G15094" s="63" t="str">
        <f>VLOOKUP(C15094, 'Class Def. - General Data'!$C$20:$C$1000,1,false)</f>
        <v>ZSR3_SEWA</v>
      </c>
      <c r="H15094" s="63" t="str">
        <f>IFERROR(__xludf.DUMMYFUNCTION("VLOOKUP(F15094, IMPORTRANGE(""https://docs.google.com/spreadsheets/d/1Lhp9OU0JdFf_VYSMzH5lBcEaU4o8teT1piV-SNzShjg/edit?gid=554141278#gid=554141278"", ""'Char Def. - Attributes'!C20:C2242""), 1,false)"),"PLANT_BUY")</f>
        <v>PLANT_BUY</v>
      </c>
    </row>
    <row r="15095" ht="15.75" customHeight="1">
      <c r="A15095" s="59"/>
      <c r="B15095" s="63">
        <f t="shared" si="1"/>
        <v>18</v>
      </c>
      <c r="C15095" s="134" t="s">
        <v>182</v>
      </c>
      <c r="D15095" s="134" t="s">
        <v>74</v>
      </c>
      <c r="E15095" s="135">
        <f t="shared" si="62"/>
        <v>1</v>
      </c>
      <c r="F15095" s="134" t="s">
        <v>5749</v>
      </c>
      <c r="G15095" s="63" t="str">
        <f>VLOOKUP(C15095, 'Class Def. - General Data'!$C$20:$C$1000,1,false)</f>
        <v>ZSR3_WASTE_MANGMNT</v>
      </c>
      <c r="H15095" s="63" t="str">
        <f>IFERROR(__xludf.DUMMYFUNCTION("VLOOKUP(F15095, IMPORTRANGE(""https://docs.google.com/spreadsheets/d/1Lhp9OU0JdFf_VYSMzH5lBcEaU4o8teT1piV-SNzShjg/edit?gid=554141278#gid=554141278"", ""'Char Def. - Attributes'!C20:C2242""), 1,false)"),"ACTIVITY_WASTE_MANGEMNT")</f>
        <v>ACTIVITY_WASTE_MANGEMNT</v>
      </c>
    </row>
    <row r="15096" ht="15.75" customHeight="1">
      <c r="A15096" s="59"/>
      <c r="B15096" s="63">
        <f t="shared" si="1"/>
        <v>18</v>
      </c>
      <c r="C15096" s="134" t="s">
        <v>182</v>
      </c>
      <c r="D15096" s="134" t="s">
        <v>74</v>
      </c>
      <c r="E15096" s="135">
        <f t="shared" si="62"/>
        <v>2</v>
      </c>
      <c r="F15096" s="134" t="s">
        <v>5750</v>
      </c>
      <c r="G15096" s="63" t="str">
        <f>VLOOKUP(C15096, 'Class Def. - General Data'!$C$20:$C$1000,1,false)</f>
        <v>ZSR3_WASTE_MANGMNT</v>
      </c>
      <c r="H15096" s="63" t="str">
        <f>IFERROR(__xludf.DUMMYFUNCTION("VLOOKUP(F15096, IMPORTRANGE(""https://docs.google.com/spreadsheets/d/1Lhp9OU0JdFf_VYSMzH5lBcEaU4o8teT1piV-SNzShjg/edit?gid=554141278#gid=554141278"", ""'Char Def. - Attributes'!C20:C2242""), 1,false)"),"ACTIVITY_TYPE_WASTE_MANGEMNT")</f>
        <v>ACTIVITY_TYPE_WASTE_MANGEMNT</v>
      </c>
    </row>
    <row r="15097" ht="15.75" customHeight="1">
      <c r="A15097" s="59"/>
      <c r="B15097" s="63">
        <f t="shared" si="1"/>
        <v>18</v>
      </c>
      <c r="C15097" s="134" t="s">
        <v>182</v>
      </c>
      <c r="D15097" s="134" t="s">
        <v>74</v>
      </c>
      <c r="E15097" s="135">
        <f t="shared" si="62"/>
        <v>3</v>
      </c>
      <c r="F15097" s="134" t="s">
        <v>5751</v>
      </c>
      <c r="G15097" s="63" t="str">
        <f>VLOOKUP(C15097, 'Class Def. - General Data'!$C$20:$C$1000,1,false)</f>
        <v>ZSR3_WASTE_MANGMNT</v>
      </c>
      <c r="H15097" s="63" t="str">
        <f>IFERROR(__xludf.DUMMYFUNCTION("VLOOKUP(F15097, IMPORTRANGE(""https://docs.google.com/spreadsheets/d/1Lhp9OU0JdFf_VYSMzH5lBcEaU4o8teT1piV-SNzShjg/edit?gid=554141278#gid=554141278"", ""'Char Def. - Attributes'!C20:C2242""), 1,false)"),"ACTIVITY_OBJECT_WASTE_MANGEMNT")</f>
        <v>ACTIVITY_OBJECT_WASTE_MANGEMNT</v>
      </c>
    </row>
    <row r="15098" ht="15.75" customHeight="1">
      <c r="A15098" s="59"/>
      <c r="B15098" s="63">
        <f t="shared" si="1"/>
        <v>18</v>
      </c>
      <c r="C15098" s="134" t="s">
        <v>182</v>
      </c>
      <c r="D15098" s="134" t="s">
        <v>74</v>
      </c>
      <c r="E15098" s="135">
        <f t="shared" si="62"/>
        <v>4</v>
      </c>
      <c r="F15098" s="134" t="s">
        <v>5691</v>
      </c>
      <c r="G15098" s="63" t="str">
        <f>VLOOKUP(C15098, 'Class Def. - General Data'!$C$20:$C$1000,1,false)</f>
        <v>ZSR3_WASTE_MANGMNT</v>
      </c>
      <c r="H15098" s="63" t="str">
        <f>IFERROR(__xludf.DUMMYFUNCTION("VLOOKUP(F15098, IMPORTRANGE(""https://docs.google.com/spreadsheets/d/1Lhp9OU0JdFf_VYSMzH5lBcEaU4o8teT1piV-SNzShjg/edit?gid=554141278#gid=554141278"", ""'Char Def. - Attributes'!C20:C2242""), 1,false)"),"DETAIL_OBJECT_OF_ACTIVITY")</f>
        <v>DETAIL_OBJECT_OF_ACTIVITY</v>
      </c>
    </row>
    <row r="15099" ht="15.75" customHeight="1">
      <c r="A15099" s="59"/>
      <c r="B15099" s="63">
        <f t="shared" si="1"/>
        <v>18</v>
      </c>
      <c r="C15099" s="134" t="s">
        <v>182</v>
      </c>
      <c r="D15099" s="134" t="s">
        <v>74</v>
      </c>
      <c r="E15099" s="135">
        <f t="shared" si="62"/>
        <v>5</v>
      </c>
      <c r="F15099" s="134" t="s">
        <v>5692</v>
      </c>
      <c r="G15099" s="63" t="str">
        <f>VLOOKUP(C15099, 'Class Def. - General Data'!$C$20:$C$1000,1,false)</f>
        <v>ZSR3_WASTE_MANGMNT</v>
      </c>
      <c r="H15099" s="63" t="str">
        <f>IFERROR(__xludf.DUMMYFUNCTION("VLOOKUP(F15099, IMPORTRANGE(""https://docs.google.com/spreadsheets/d/1Lhp9OU0JdFf_VYSMzH5lBcEaU4o8teT1piV-SNzShjg/edit?gid=554141278#gid=554141278"", ""'Char Def. - Attributes'!C20:C2242""), 1,false)"),"DETAIL_OBJECT_ACTIVITY")</f>
        <v>DETAIL_OBJECT_ACTIVITY</v>
      </c>
    </row>
    <row r="15100" ht="15.75" customHeight="1">
      <c r="A15100" s="59"/>
      <c r="B15100" s="63">
        <f t="shared" si="1"/>
        <v>18</v>
      </c>
      <c r="C15100" s="134" t="s">
        <v>182</v>
      </c>
      <c r="D15100" s="134" t="s">
        <v>74</v>
      </c>
      <c r="E15100" s="135">
        <f t="shared" si="62"/>
        <v>6</v>
      </c>
      <c r="F15100" s="134" t="s">
        <v>5694</v>
      </c>
      <c r="G15100" s="63" t="str">
        <f>VLOOKUP(C15100, 'Class Def. - General Data'!$C$20:$C$1000,1,false)</f>
        <v>ZSR3_WASTE_MANGMNT</v>
      </c>
      <c r="H15100" s="63" t="str">
        <f>IFERROR(__xludf.DUMMYFUNCTION("VLOOKUP(F15100, IMPORTRANGE(""https://docs.google.com/spreadsheets/d/1Lhp9OU0JdFf_VYSMzH5lBcEaU4o8teT1piV-SNzShjg/edit?gid=554141278#gid=554141278"", ""'Char Def. - Attributes'!C20:C2242""), 1,false)"),"UOM_SERVICE")</f>
        <v>UOM_SERVICE</v>
      </c>
    </row>
    <row r="15101" ht="15.75" customHeight="1">
      <c r="A15101" s="59"/>
      <c r="B15101" s="63">
        <f t="shared" si="1"/>
        <v>18</v>
      </c>
      <c r="C15101" s="134" t="s">
        <v>182</v>
      </c>
      <c r="D15101" s="134" t="s">
        <v>74</v>
      </c>
      <c r="E15101" s="135">
        <f t="shared" si="62"/>
        <v>7</v>
      </c>
      <c r="F15101" s="134" t="s">
        <v>3585</v>
      </c>
      <c r="G15101" s="63" t="str">
        <f>VLOOKUP(C15101, 'Class Def. - General Data'!$C$20:$C$1000,1,false)</f>
        <v>ZSR3_WASTE_MANGMNT</v>
      </c>
      <c r="H15101" s="63" t="str">
        <f>IFERROR(__xludf.DUMMYFUNCTION("VLOOKUP(F15101, IMPORTRANGE(""https://docs.google.com/spreadsheets/d/1Lhp9OU0JdFf_VYSMzH5lBcEaU4o8teT1piV-SNzShjg/edit?gid=554141278#gid=554141278"", ""'Char Def. - Attributes'!C20:C2242""), 1,false)"),"HS_CODE")</f>
        <v>HS_CODE</v>
      </c>
    </row>
    <row r="15102" ht="15.75" customHeight="1">
      <c r="A15102" s="59"/>
      <c r="B15102" s="63">
        <f t="shared" si="1"/>
        <v>18</v>
      </c>
      <c r="C15102" s="134" t="s">
        <v>182</v>
      </c>
      <c r="D15102" s="134" t="s">
        <v>74</v>
      </c>
      <c r="E15102" s="135">
        <f t="shared" si="62"/>
        <v>8</v>
      </c>
      <c r="F15102" s="134" t="s">
        <v>3587</v>
      </c>
      <c r="G15102" s="63" t="str">
        <f>VLOOKUP(C15102, 'Class Def. - General Data'!$C$20:$C$1000,1,false)</f>
        <v>ZSR3_WASTE_MANGMNT</v>
      </c>
      <c r="H15102" s="63" t="str">
        <f>IFERROR(__xludf.DUMMYFUNCTION("VLOOKUP(F15102, IMPORTRANGE(""https://docs.google.com/spreadsheets/d/1Lhp9OU0JdFf_VYSMzH5lBcEaU4o8teT1piV-SNzShjg/edit?gid=554141278#gid=554141278"", ""'Char Def. - Attributes'!C20:C2242""), 1,false)"),"PLANT_BUY")</f>
        <v>PLANT_BUY</v>
      </c>
    </row>
    <row r="15103" ht="15.75" customHeight="1">
      <c r="A15103" s="59"/>
      <c r="B15103" s="63">
        <f t="shared" si="1"/>
        <v>10</v>
      </c>
      <c r="C15103" s="148" t="s">
        <v>277</v>
      </c>
      <c r="D15103" s="159" t="s">
        <v>74</v>
      </c>
      <c r="E15103" s="135">
        <f t="shared" si="62"/>
        <v>1</v>
      </c>
      <c r="F15103" s="148" t="s">
        <v>5752</v>
      </c>
      <c r="G15103" s="63" t="str">
        <f>VLOOKUP(C15103, 'Class Def. - General Data'!$C$20:$C$1000,1,false)</f>
        <v>ZWS2_Waste</v>
      </c>
      <c r="H15103" s="63" t="str">
        <f>IFERROR(__xludf.DUMMYFUNCTION("VLOOKUP(F15103, IMPORTRANGE(""https://docs.google.com/spreadsheets/d/1Lhp9OU0JdFf_VYSMzH5lBcEaU4o8teT1piV-SNzShjg/edit?gid=554141278#gid=554141278"", ""'Char Def. - Attributes'!C20:C2242""), 1,false)"),"WASTE_SPEC")</f>
        <v>WASTE_SPEC</v>
      </c>
    </row>
    <row r="15104" ht="15.75" customHeight="1">
      <c r="A15104" s="59"/>
      <c r="B15104" s="63">
        <f t="shared" si="1"/>
        <v>10</v>
      </c>
      <c r="C15104" s="148" t="s">
        <v>277</v>
      </c>
      <c r="D15104" s="159" t="s">
        <v>74</v>
      </c>
      <c r="E15104" s="135">
        <f t="shared" si="62"/>
        <v>2</v>
      </c>
      <c r="F15104" s="148" t="s">
        <v>5753</v>
      </c>
      <c r="G15104" s="63" t="str">
        <f>VLOOKUP(C15104, 'Class Def. - General Data'!$C$20:$C$1000,1,false)</f>
        <v>ZWS2_Waste</v>
      </c>
      <c r="H15104" s="63" t="str">
        <f>IFERROR(__xludf.DUMMYFUNCTION("VLOOKUP(F15104, IMPORTRANGE(""https://docs.google.com/spreadsheets/d/1Lhp9OU0JdFf_VYSMzH5lBcEaU4o8teT1piV-SNzShjg/edit?gid=554141278#gid=554141278"", ""'Char Def. - Attributes'!C20:C2242""), 1,false)"),"MATERIAL_CODE_WST")</f>
        <v>MATERIAL_CODE_WST</v>
      </c>
    </row>
    <row r="15105" ht="15.75" customHeight="1">
      <c r="A15105" s="59"/>
      <c r="B15105" s="63">
        <f t="shared" si="1"/>
        <v>10</v>
      </c>
      <c r="C15105" s="148" t="s">
        <v>277</v>
      </c>
      <c r="D15105" s="159" t="s">
        <v>74</v>
      </c>
      <c r="E15105" s="135">
        <f t="shared" si="62"/>
        <v>3</v>
      </c>
      <c r="F15105" s="148" t="s">
        <v>5754</v>
      </c>
      <c r="G15105" s="63" t="str">
        <f>VLOOKUP(C15105, 'Class Def. - General Data'!$C$20:$C$1000,1,false)</f>
        <v>ZWS2_Waste</v>
      </c>
      <c r="H15105" s="63" t="str">
        <f>IFERROR(__xludf.DUMMYFUNCTION("VLOOKUP(F15105, IMPORTRANGE(""https://docs.google.com/spreadsheets/d/1Lhp9OU0JdFf_VYSMzH5lBcEaU4o8teT1piV-SNzShjg/edit?gid=554141278#gid=554141278"", ""'Char Def. - Attributes'!C20:C2242""), 1,false)"),"WASTE_FORM_BAG")</f>
        <v>WASTE_FORM_BAG</v>
      </c>
    </row>
    <row r="15106" ht="15.75" customHeight="1">
      <c r="A15106" s="59"/>
      <c r="B15106" s="63">
        <f t="shared" si="1"/>
        <v>10</v>
      </c>
      <c r="C15106" s="148" t="s">
        <v>277</v>
      </c>
      <c r="D15106" s="159" t="s">
        <v>74</v>
      </c>
      <c r="E15106" s="135">
        <f t="shared" si="62"/>
        <v>4</v>
      </c>
      <c r="F15106" s="148" t="s">
        <v>5755</v>
      </c>
      <c r="G15106" s="63" t="str">
        <f>VLOOKUP(C15106, 'Class Def. - General Data'!$C$20:$C$1000,1,false)</f>
        <v>ZWS2_Waste</v>
      </c>
      <c r="H15106" s="63" t="str">
        <f>IFERROR(__xludf.DUMMYFUNCTION("VLOOKUP(F15106, IMPORTRANGE(""https://docs.google.com/spreadsheets/d/1Lhp9OU0JdFf_VYSMzH5lBcEaU4o8teT1piV-SNzShjg/edit?gid=554141278#gid=554141278"", ""'Char Def. - Attributes'!C20:C2242""), 1,false)"),"WASTE_FORM_OIL")</f>
        <v>WASTE_FORM_OIL</v>
      </c>
    </row>
    <row r="15107" ht="15.75" customHeight="1">
      <c r="A15107" s="59"/>
      <c r="B15107" s="63">
        <f t="shared" si="1"/>
        <v>10</v>
      </c>
      <c r="C15107" s="148" t="s">
        <v>277</v>
      </c>
      <c r="D15107" s="159" t="s">
        <v>74</v>
      </c>
      <c r="E15107" s="135">
        <f t="shared" si="62"/>
        <v>5</v>
      </c>
      <c r="F15107" s="148" t="s">
        <v>5756</v>
      </c>
      <c r="G15107" s="63" t="str">
        <f>VLOOKUP(C15107, 'Class Def. - General Data'!$C$20:$C$1000,1,false)</f>
        <v>ZWS2_Waste</v>
      </c>
      <c r="H15107" s="63" t="str">
        <f>IFERROR(__xludf.DUMMYFUNCTION("VLOOKUP(F15107, IMPORTRANGE(""https://docs.google.com/spreadsheets/d/1Lhp9OU0JdFf_VYSMzH5lBcEaU4o8teT1piV-SNzShjg/edit?gid=554141278#gid=554141278"", ""'Char Def. - Attributes'!C20:C2242""), 1,false)"),"WASTE_FORM")</f>
        <v>WASTE_FORM</v>
      </c>
    </row>
    <row r="15108" ht="15.75" customHeight="1">
      <c r="A15108" s="59"/>
      <c r="B15108" s="63">
        <f t="shared" si="1"/>
        <v>10</v>
      </c>
      <c r="C15108" s="148" t="s">
        <v>277</v>
      </c>
      <c r="D15108" s="159" t="s">
        <v>74</v>
      </c>
      <c r="E15108" s="135">
        <f t="shared" si="62"/>
        <v>6</v>
      </c>
      <c r="F15108" s="148" t="s">
        <v>5757</v>
      </c>
      <c r="G15108" s="63" t="str">
        <f>VLOOKUP(C15108, 'Class Def. - General Data'!$C$20:$C$1000,1,false)</f>
        <v>ZWS2_Waste</v>
      </c>
      <c r="H15108" s="63" t="str">
        <f>IFERROR(__xludf.DUMMYFUNCTION("VLOOKUP(F15108, IMPORTRANGE(""https://docs.google.com/spreadsheets/d/1Lhp9OU0JdFf_VYSMzH5lBcEaU4o8teT1piV-SNzShjg/edit?gid=554141278#gid=554141278"", ""'Char Def. - Attributes'!C20:C2242""), 1,false)"),"ADDITIONAL_INFO_WST")</f>
        <v>ADDITIONAL_INFO_WST</v>
      </c>
    </row>
    <row r="15109" ht="15.75" customHeight="1">
      <c r="A15109" s="59"/>
      <c r="B15109" s="63">
        <f t="shared" si="1"/>
        <v>10</v>
      </c>
      <c r="C15109" s="148" t="s">
        <v>277</v>
      </c>
      <c r="D15109" s="159" t="s">
        <v>74</v>
      </c>
      <c r="E15109" s="135">
        <f t="shared" si="62"/>
        <v>7</v>
      </c>
      <c r="F15109" s="148" t="s">
        <v>5758</v>
      </c>
      <c r="G15109" s="63" t="str">
        <f>VLOOKUP(C15109, 'Class Def. - General Data'!$C$20:$C$1000,1,false)</f>
        <v>ZWS2_Waste</v>
      </c>
      <c r="H15109" s="63" t="str">
        <f>IFERROR(__xludf.DUMMYFUNCTION("VLOOKUP(F15109, IMPORTRANGE(""https://docs.google.com/spreadsheets/d/1Lhp9OU0JdFf_VYSMzH5lBcEaU4o8teT1piV-SNzShjg/edit?gid=554141278#gid=554141278"", ""'Char Def. - Attributes'!C20:C2242""), 1,false)"),"SELLING_UNIT")</f>
        <v>SELLING_UNIT</v>
      </c>
    </row>
    <row r="15110" ht="15.75" customHeight="1">
      <c r="A15110" s="59"/>
      <c r="B15110" s="63">
        <f t="shared" si="1"/>
        <v>10</v>
      </c>
      <c r="C15110" s="148" t="s">
        <v>277</v>
      </c>
      <c r="D15110" s="159" t="s">
        <v>74</v>
      </c>
      <c r="E15110" s="135">
        <f t="shared" si="62"/>
        <v>8</v>
      </c>
      <c r="F15110" s="149" t="s">
        <v>3865</v>
      </c>
      <c r="G15110" s="63" t="str">
        <f>VLOOKUP(C15110, 'Class Def. - General Data'!$C$20:$C$1000,1,false)</f>
        <v>ZWS2_Waste</v>
      </c>
      <c r="H15110" s="63" t="str">
        <f>IFERROR(__xludf.DUMMYFUNCTION("VLOOKUP(F15110, IMPORTRANGE(""https://docs.google.com/spreadsheets/d/1Lhp9OU0JdFf_VYSMzH5lBcEaU4o8teT1piV-SNzShjg/edit?gid=554141278#gid=554141278"", ""'Char Def. - Attributes'!C20:C2242""), 1,false)"),"PLANT_PROD_OPT")</f>
        <v>PLANT_PROD_OPT</v>
      </c>
    </row>
    <row r="15111" ht="15.75" customHeight="1">
      <c r="A15111" s="59"/>
      <c r="B15111" s="63">
        <f t="shared" si="1"/>
        <v>10</v>
      </c>
      <c r="C15111" s="148" t="s">
        <v>277</v>
      </c>
      <c r="D15111" s="159" t="s">
        <v>74</v>
      </c>
      <c r="E15111" s="135">
        <f t="shared" si="62"/>
        <v>9</v>
      </c>
      <c r="F15111" s="168" t="s">
        <v>5759</v>
      </c>
      <c r="G15111" s="63" t="str">
        <f>VLOOKUP(C15111, 'Class Def. - General Data'!$C$20:$C$1000,1,false)</f>
        <v>ZWS2_Waste</v>
      </c>
      <c r="H15111" s="63" t="str">
        <f>IFERROR(__xludf.DUMMYFUNCTION("VLOOKUP(F15111, IMPORTRANGE(""https://docs.google.com/spreadsheets/d/1Lhp9OU0JdFf_VYSMzH5lBcEaU4o8teT1piV-SNzShjg/edit?gid=554141278#gid=554141278"", ""'Char Def. - Attributes'!C20:C2242""), 1,false)"),"BASIC_UOM_WST")</f>
        <v>BASIC_UOM_WST</v>
      </c>
    </row>
    <row r="15112" ht="15.75" customHeight="1">
      <c r="A15112" s="59"/>
      <c r="B15112" s="63">
        <f t="shared" si="1"/>
        <v>10</v>
      </c>
      <c r="C15112" s="148" t="s">
        <v>277</v>
      </c>
      <c r="D15112" s="159" t="s">
        <v>74</v>
      </c>
      <c r="E15112" s="135">
        <f t="shared" si="62"/>
        <v>10</v>
      </c>
      <c r="F15112" s="152" t="s">
        <v>3869</v>
      </c>
      <c r="G15112" s="63" t="str">
        <f>VLOOKUP(C15112, 'Class Def. - General Data'!$C$20:$C$1000,1,false)</f>
        <v>ZWS2_Waste</v>
      </c>
      <c r="H15112" s="63" t="str">
        <f>IFERROR(__xludf.DUMMYFUNCTION("VLOOKUP(F15112, IMPORTRANGE(""https://docs.google.com/spreadsheets/d/1Lhp9OU0JdFf_VYSMzH5lBcEaU4o8teT1piV-SNzShjg/edit?gid=554141278#gid=554141278"", ""'Char Def. - Attributes'!C20:C2242""), 1,false)"),"ALT_UOM1_RMPM")</f>
        <v>ALT_UOM1_RMPM</v>
      </c>
    </row>
    <row r="15113" ht="15.75" customHeight="1">
      <c r="A15113" s="59"/>
      <c r="B15113" s="63">
        <f t="shared" si="1"/>
        <v>10</v>
      </c>
      <c r="C15113" s="148" t="s">
        <v>277</v>
      </c>
      <c r="D15113" s="159" t="s">
        <v>74</v>
      </c>
      <c r="E15113" s="135">
        <f t="shared" si="62"/>
        <v>11</v>
      </c>
      <c r="F15113" s="152" t="s">
        <v>3805</v>
      </c>
      <c r="G15113" s="63" t="str">
        <f>VLOOKUP(C15113, 'Class Def. - General Data'!$C$20:$C$1000,1,false)</f>
        <v>ZWS2_Waste</v>
      </c>
      <c r="H15113" s="63" t="str">
        <f>IFERROR(__xludf.DUMMYFUNCTION("VLOOKUP(F15113, IMPORTRANGE(""https://docs.google.com/spreadsheets/d/1Lhp9OU0JdFf_VYSMzH5lBcEaU4o8teT1piV-SNzShjg/edit?gid=554141278#gid=554141278"", ""'Char Def. - Attributes'!C20:C2242""), 1,false)"),"ALT_DENUM_UOM1")</f>
        <v>ALT_DENUM_UOM1</v>
      </c>
    </row>
    <row r="15114" ht="15.75" customHeight="1">
      <c r="A15114" s="59"/>
      <c r="B15114" s="63">
        <f t="shared" si="1"/>
        <v>10</v>
      </c>
      <c r="C15114" s="148" t="s">
        <v>277</v>
      </c>
      <c r="D15114" s="159" t="s">
        <v>74</v>
      </c>
      <c r="E15114" s="135">
        <f t="shared" si="62"/>
        <v>12</v>
      </c>
      <c r="F15114" s="152" t="s">
        <v>3806</v>
      </c>
      <c r="G15114" s="63" t="str">
        <f>VLOOKUP(C15114, 'Class Def. - General Data'!$C$20:$C$1000,1,false)</f>
        <v>ZWS2_Waste</v>
      </c>
      <c r="H15114" s="63" t="str">
        <f>IFERROR(__xludf.DUMMYFUNCTION("VLOOKUP(F15114, IMPORTRANGE(""https://docs.google.com/spreadsheets/d/1Lhp9OU0JdFf_VYSMzH5lBcEaU4o8teT1piV-SNzShjg/edit?gid=554141278#gid=554141278"", ""'Char Def. - Attributes'!C20:C2242""), 1,false)"),"ALT_NUM_UOM1")</f>
        <v>ALT_NUM_UOM1</v>
      </c>
    </row>
    <row r="15115" ht="15.75" customHeight="1">
      <c r="A15115" s="59"/>
      <c r="B15115" s="63">
        <f t="shared" si="1"/>
        <v>10</v>
      </c>
      <c r="C15115" s="148" t="s">
        <v>277</v>
      </c>
      <c r="D15115" s="159" t="s">
        <v>74</v>
      </c>
      <c r="E15115" s="135">
        <f t="shared" si="62"/>
        <v>13</v>
      </c>
      <c r="F15115" s="152" t="s">
        <v>3870</v>
      </c>
      <c r="G15115" s="63" t="str">
        <f>VLOOKUP(C15115, 'Class Def. - General Data'!$C$20:$C$1000,1,false)</f>
        <v>ZWS2_Waste</v>
      </c>
      <c r="H15115" s="63" t="str">
        <f>IFERROR(__xludf.DUMMYFUNCTION("VLOOKUP(F15115, IMPORTRANGE(""https://docs.google.com/spreadsheets/d/1Lhp9OU0JdFf_VYSMzH5lBcEaU4o8teT1piV-SNzShjg/edit?gid=554141278#gid=554141278"", ""'Char Def. - Attributes'!C20:C2242""), 1,false)"),"ALT_UOM2_RMPM")</f>
        <v>ALT_UOM2_RMPM</v>
      </c>
    </row>
    <row r="15116" ht="15.75" customHeight="1">
      <c r="A15116" s="59"/>
      <c r="B15116" s="63">
        <f t="shared" si="1"/>
        <v>10</v>
      </c>
      <c r="C15116" s="148" t="s">
        <v>277</v>
      </c>
      <c r="D15116" s="159" t="s">
        <v>74</v>
      </c>
      <c r="E15116" s="135">
        <f t="shared" si="62"/>
        <v>14</v>
      </c>
      <c r="F15116" s="152" t="s">
        <v>3808</v>
      </c>
      <c r="G15116" s="63" t="str">
        <f>VLOOKUP(C15116, 'Class Def. - General Data'!$C$20:$C$1000,1,false)</f>
        <v>ZWS2_Waste</v>
      </c>
      <c r="H15116" s="63" t="str">
        <f>IFERROR(__xludf.DUMMYFUNCTION("VLOOKUP(F15116, IMPORTRANGE(""https://docs.google.com/spreadsheets/d/1Lhp9OU0JdFf_VYSMzH5lBcEaU4o8teT1piV-SNzShjg/edit?gid=554141278#gid=554141278"", ""'Char Def. - Attributes'!C20:C2242""), 1,false)"),"ALT_DENUM_UOM2")</f>
        <v>ALT_DENUM_UOM2</v>
      </c>
    </row>
    <row r="15117" ht="15.75" customHeight="1">
      <c r="A15117" s="59"/>
      <c r="B15117" s="63">
        <f t="shared" si="1"/>
        <v>10</v>
      </c>
      <c r="C15117" s="148" t="s">
        <v>277</v>
      </c>
      <c r="D15117" s="159" t="s">
        <v>74</v>
      </c>
      <c r="E15117" s="135">
        <f t="shared" si="62"/>
        <v>15</v>
      </c>
      <c r="F15117" s="152" t="s">
        <v>3809</v>
      </c>
      <c r="G15117" s="63" t="str">
        <f>VLOOKUP(C15117, 'Class Def. - General Data'!$C$20:$C$1000,1,false)</f>
        <v>ZWS2_Waste</v>
      </c>
      <c r="H15117" s="63" t="str">
        <f>IFERROR(__xludf.DUMMYFUNCTION("VLOOKUP(F15117, IMPORTRANGE(""https://docs.google.com/spreadsheets/d/1Lhp9OU0JdFf_VYSMzH5lBcEaU4o8teT1piV-SNzShjg/edit?gid=554141278#gid=554141278"", ""'Char Def. - Attributes'!C20:C2242""), 1,false)"),"ALT_NUM_UOM2")</f>
        <v>ALT_NUM_UOM2</v>
      </c>
    </row>
    <row r="15118" ht="15.75" customHeight="1">
      <c r="A15118" s="59"/>
      <c r="B15118" s="63">
        <f t="shared" si="1"/>
        <v>10</v>
      </c>
      <c r="C15118" s="148" t="s">
        <v>277</v>
      </c>
      <c r="D15118" s="159" t="s">
        <v>74</v>
      </c>
      <c r="E15118" s="135">
        <f t="shared" si="62"/>
        <v>16</v>
      </c>
      <c r="F15118" s="152" t="s">
        <v>3871</v>
      </c>
      <c r="G15118" s="63" t="str">
        <f>VLOOKUP(C15118, 'Class Def. - General Data'!$C$20:$C$1000,1,false)</f>
        <v>ZWS2_Waste</v>
      </c>
      <c r="H15118" s="63" t="str">
        <f>IFERROR(__xludf.DUMMYFUNCTION("VLOOKUP(F15118, IMPORTRANGE(""https://docs.google.com/spreadsheets/d/1Lhp9OU0JdFf_VYSMzH5lBcEaU4o8teT1piV-SNzShjg/edit?gid=554141278#gid=554141278"", ""'Char Def. - Attributes'!C20:C2242""), 1,false)"),"ALT_UOM3_RMPM")</f>
        <v>ALT_UOM3_RMPM</v>
      </c>
    </row>
    <row r="15119" ht="15.75" customHeight="1">
      <c r="A15119" s="59"/>
      <c r="B15119" s="63">
        <f t="shared" si="1"/>
        <v>10</v>
      </c>
      <c r="C15119" s="148" t="s">
        <v>277</v>
      </c>
      <c r="D15119" s="159" t="s">
        <v>74</v>
      </c>
      <c r="E15119" s="135">
        <f t="shared" si="62"/>
        <v>17</v>
      </c>
      <c r="F15119" s="152" t="s">
        <v>3811</v>
      </c>
      <c r="G15119" s="63" t="str">
        <f>VLOOKUP(C15119, 'Class Def. - General Data'!$C$20:$C$1000,1,false)</f>
        <v>ZWS2_Waste</v>
      </c>
      <c r="H15119" s="63" t="str">
        <f>IFERROR(__xludf.DUMMYFUNCTION("VLOOKUP(F15119, IMPORTRANGE(""https://docs.google.com/spreadsheets/d/1Lhp9OU0JdFf_VYSMzH5lBcEaU4o8teT1piV-SNzShjg/edit?gid=554141278#gid=554141278"", ""'Char Def. - Attributes'!C20:C2242""), 1,false)"),"ALT_DENUM_UOM3")</f>
        <v>ALT_DENUM_UOM3</v>
      </c>
    </row>
    <row r="15120" ht="15.75" customHeight="1">
      <c r="A15120" s="59"/>
      <c r="B15120" s="63">
        <f t="shared" si="1"/>
        <v>10</v>
      </c>
      <c r="C15120" s="148" t="s">
        <v>277</v>
      </c>
      <c r="D15120" s="159" t="s">
        <v>74</v>
      </c>
      <c r="E15120" s="135">
        <f t="shared" si="62"/>
        <v>18</v>
      </c>
      <c r="F15120" s="152" t="s">
        <v>3812</v>
      </c>
      <c r="G15120" s="63" t="str">
        <f>VLOOKUP(C15120, 'Class Def. - General Data'!$C$20:$C$1000,1,false)</f>
        <v>ZWS2_Waste</v>
      </c>
      <c r="H15120" s="63" t="str">
        <f>IFERROR(__xludf.DUMMYFUNCTION("VLOOKUP(F15120, IMPORTRANGE(""https://docs.google.com/spreadsheets/d/1Lhp9OU0JdFf_VYSMzH5lBcEaU4o8teT1piV-SNzShjg/edit?gid=554141278#gid=554141278"", ""'Char Def. - Attributes'!C20:C2242""), 1,false)"),"ALT_NUM_UOM3")</f>
        <v>ALT_NUM_UOM3</v>
      </c>
    </row>
    <row r="15121" ht="15.75" customHeight="1">
      <c r="A15121" s="59"/>
      <c r="B15121" s="63">
        <f t="shared" si="1"/>
        <v>10</v>
      </c>
      <c r="C15121" s="148" t="s">
        <v>277</v>
      </c>
      <c r="D15121" s="159" t="s">
        <v>74</v>
      </c>
      <c r="E15121" s="135">
        <f t="shared" si="62"/>
        <v>19</v>
      </c>
      <c r="F15121" s="152" t="s">
        <v>3872</v>
      </c>
      <c r="G15121" s="63" t="str">
        <f>VLOOKUP(C15121, 'Class Def. - General Data'!$C$20:$C$1000,1,false)</f>
        <v>ZWS2_Waste</v>
      </c>
      <c r="H15121" s="63" t="str">
        <f>IFERROR(__xludf.DUMMYFUNCTION("VLOOKUP(F15121, IMPORTRANGE(""https://docs.google.com/spreadsheets/d/1Lhp9OU0JdFf_VYSMzH5lBcEaU4o8teT1piV-SNzShjg/edit?gid=554141278#gid=554141278"", ""'Char Def. - Attributes'!C20:C2242""), 1,false)"),"ALT_UOM4_RMPM")</f>
        <v>ALT_UOM4_RMPM</v>
      </c>
    </row>
    <row r="15122" ht="15.75" customHeight="1">
      <c r="A15122" s="59"/>
      <c r="B15122" s="63">
        <f t="shared" si="1"/>
        <v>10</v>
      </c>
      <c r="C15122" s="148" t="s">
        <v>277</v>
      </c>
      <c r="D15122" s="159" t="s">
        <v>74</v>
      </c>
      <c r="E15122" s="135">
        <f t="shared" si="62"/>
        <v>20</v>
      </c>
      <c r="F15122" s="148" t="s">
        <v>3814</v>
      </c>
      <c r="G15122" s="63" t="str">
        <f>VLOOKUP(C15122, 'Class Def. - General Data'!$C$20:$C$1000,1,false)</f>
        <v>ZWS2_Waste</v>
      </c>
      <c r="H15122" s="63" t="str">
        <f>IFERROR(__xludf.DUMMYFUNCTION("VLOOKUP(F15122, IMPORTRANGE(""https://docs.google.com/spreadsheets/d/1Lhp9OU0JdFf_VYSMzH5lBcEaU4o8teT1piV-SNzShjg/edit?gid=554141278#gid=554141278"", ""'Char Def. - Attributes'!C20:C2242""), 1,false)"),"ALT_DENUM_UOM4")</f>
        <v>ALT_DENUM_UOM4</v>
      </c>
    </row>
    <row r="15123" ht="15.75" customHeight="1">
      <c r="A15123" s="59"/>
      <c r="B15123" s="63">
        <f t="shared" si="1"/>
        <v>10</v>
      </c>
      <c r="C15123" s="148" t="s">
        <v>277</v>
      </c>
      <c r="D15123" s="159" t="s">
        <v>74</v>
      </c>
      <c r="E15123" s="135">
        <f t="shared" si="62"/>
        <v>21</v>
      </c>
      <c r="F15123" s="152" t="s">
        <v>3815</v>
      </c>
      <c r="G15123" s="63" t="str">
        <f>VLOOKUP(C15123, 'Class Def. - General Data'!$C$20:$C$1000,1,false)</f>
        <v>ZWS2_Waste</v>
      </c>
      <c r="H15123" s="63" t="str">
        <f>IFERROR(__xludf.DUMMYFUNCTION("VLOOKUP(F15123, IMPORTRANGE(""https://docs.google.com/spreadsheets/d/1Lhp9OU0JdFf_VYSMzH5lBcEaU4o8teT1piV-SNzShjg/edit?gid=554141278#gid=554141278"", ""'Char Def. - Attributes'!C20:C2242""), 1,false)"),"ALT_NUM_UOM4")</f>
        <v>ALT_NUM_UOM4</v>
      </c>
    </row>
    <row r="15124" ht="15.75" customHeight="1">
      <c r="A15124" s="59"/>
      <c r="B15124" s="63">
        <f t="shared" si="1"/>
        <v>10</v>
      </c>
      <c r="C15124" s="148" t="s">
        <v>277</v>
      </c>
      <c r="D15124" s="159" t="s">
        <v>74</v>
      </c>
      <c r="E15124" s="135">
        <f t="shared" si="62"/>
        <v>22</v>
      </c>
      <c r="F15124" s="152" t="s">
        <v>3873</v>
      </c>
      <c r="G15124" s="63" t="str">
        <f>VLOOKUP(C15124, 'Class Def. - General Data'!$C$20:$C$1000,1,false)</f>
        <v>ZWS2_Waste</v>
      </c>
      <c r="H15124" s="63" t="str">
        <f>IFERROR(__xludf.DUMMYFUNCTION("VLOOKUP(F15124, IMPORTRANGE(""https://docs.google.com/spreadsheets/d/1Lhp9OU0JdFf_VYSMzH5lBcEaU4o8teT1piV-SNzShjg/edit?gid=554141278#gid=554141278"", ""'Char Def. - Attributes'!C20:C2242""), 1,false)"),"ALT_UOM5_RMPM")</f>
        <v>ALT_UOM5_RMPM</v>
      </c>
    </row>
    <row r="15125" ht="15.75" customHeight="1">
      <c r="A15125" s="59"/>
      <c r="B15125" s="63">
        <f t="shared" si="1"/>
        <v>10</v>
      </c>
      <c r="C15125" s="148" t="s">
        <v>277</v>
      </c>
      <c r="D15125" s="159" t="s">
        <v>74</v>
      </c>
      <c r="E15125" s="135">
        <f t="shared" si="62"/>
        <v>23</v>
      </c>
      <c r="F15125" s="152" t="s">
        <v>3817</v>
      </c>
      <c r="G15125" s="63" t="str">
        <f>VLOOKUP(C15125, 'Class Def. - General Data'!$C$20:$C$1000,1,false)</f>
        <v>ZWS2_Waste</v>
      </c>
      <c r="H15125" s="63" t="str">
        <f>IFERROR(__xludf.DUMMYFUNCTION("VLOOKUP(F15125, IMPORTRANGE(""https://docs.google.com/spreadsheets/d/1Lhp9OU0JdFf_VYSMzH5lBcEaU4o8teT1piV-SNzShjg/edit?gid=554141278#gid=554141278"", ""'Char Def. - Attributes'!C20:C2242""), 1,false)"),"ALT_DENUM_UOM5")</f>
        <v>ALT_DENUM_UOM5</v>
      </c>
    </row>
    <row r="15126" ht="15.75" customHeight="1">
      <c r="A15126" s="59"/>
      <c r="B15126" s="63">
        <f t="shared" si="1"/>
        <v>10</v>
      </c>
      <c r="C15126" s="148" t="s">
        <v>277</v>
      </c>
      <c r="D15126" s="159" t="s">
        <v>74</v>
      </c>
      <c r="E15126" s="135">
        <f t="shared" si="62"/>
        <v>24</v>
      </c>
      <c r="F15126" s="152" t="s">
        <v>3818</v>
      </c>
      <c r="G15126" s="63" t="str">
        <f>VLOOKUP(C15126, 'Class Def. - General Data'!$C$20:$C$1000,1,false)</f>
        <v>ZWS2_Waste</v>
      </c>
      <c r="H15126" s="63" t="str">
        <f>IFERROR(__xludf.DUMMYFUNCTION("VLOOKUP(F15126, IMPORTRANGE(""https://docs.google.com/spreadsheets/d/1Lhp9OU0JdFf_VYSMzH5lBcEaU4o8teT1piV-SNzShjg/edit?gid=554141278#gid=554141278"", ""'Char Def. - Attributes'!C20:C2242""), 1,false)"),"ALT_NUM_UOM5")</f>
        <v>ALT_NUM_UOM5</v>
      </c>
    </row>
    <row r="15127" ht="15.75" customHeight="1">
      <c r="A15127" s="59"/>
      <c r="B15127" s="63">
        <f t="shared" si="1"/>
        <v>10</v>
      </c>
      <c r="C15127" s="148" t="s">
        <v>277</v>
      </c>
      <c r="D15127" s="159" t="s">
        <v>74</v>
      </c>
      <c r="E15127" s="135">
        <f t="shared" si="62"/>
        <v>25</v>
      </c>
      <c r="F15127" s="151" t="s">
        <v>3602</v>
      </c>
      <c r="G15127" s="63" t="str">
        <f>VLOOKUP(C15127, 'Class Def. - General Data'!$C$20:$C$1000,1,false)</f>
        <v>ZWS2_Waste</v>
      </c>
      <c r="H15127" s="63" t="str">
        <f>IFERROR(__xludf.DUMMYFUNCTION("VLOOKUP(F15127, IMPORTRANGE(""https://docs.google.com/spreadsheets/d/1Lhp9OU0JdFf_VYSMzH5lBcEaU4o8teT1piV-SNzShjg/edit?gid=554141278#gid=554141278"", ""'Char Def. - Attributes'!C20:C2242""), 1,false)"),"NET_WEIGHT")</f>
        <v>NET_WEIGHT</v>
      </c>
    </row>
    <row r="15128" ht="15.75" customHeight="1">
      <c r="A15128" s="59"/>
      <c r="B15128" s="63">
        <f t="shared" si="1"/>
        <v>10</v>
      </c>
      <c r="C15128" s="148" t="s">
        <v>277</v>
      </c>
      <c r="D15128" s="159" t="s">
        <v>74</v>
      </c>
      <c r="E15128" s="135">
        <f t="shared" si="62"/>
        <v>26</v>
      </c>
      <c r="F15128" s="151" t="s">
        <v>3601</v>
      </c>
      <c r="G15128" s="63" t="str">
        <f>VLOOKUP(C15128, 'Class Def. - General Data'!$C$20:$C$1000,1,false)</f>
        <v>ZWS2_Waste</v>
      </c>
      <c r="H15128" s="63" t="str">
        <f>IFERROR(__xludf.DUMMYFUNCTION("VLOOKUP(F15128, IMPORTRANGE(""https://docs.google.com/spreadsheets/d/1Lhp9OU0JdFf_VYSMzH5lBcEaU4o8teT1piV-SNzShjg/edit?gid=554141278#gid=554141278"", ""'Char Def. - Attributes'!C20:C2242""), 1,false)"),"GROSS_WEIGHT")</f>
        <v>GROSS_WEIGHT</v>
      </c>
    </row>
    <row r="15129" ht="15.75" customHeight="1">
      <c r="A15129" s="59"/>
      <c r="B15129" s="63">
        <f t="shared" si="1"/>
        <v>10</v>
      </c>
      <c r="C15129" s="148" t="s">
        <v>277</v>
      </c>
      <c r="D15129" s="159" t="s">
        <v>74</v>
      </c>
      <c r="E15129" s="135">
        <f t="shared" si="62"/>
        <v>27</v>
      </c>
      <c r="F15129" s="134" t="s">
        <v>3996</v>
      </c>
      <c r="G15129" s="63" t="str">
        <f>VLOOKUP(C15129, 'Class Def. - General Data'!$C$20:$C$1000,1,false)</f>
        <v>ZWS2_Waste</v>
      </c>
      <c r="H15129" s="63" t="str">
        <f>IFERROR(__xludf.DUMMYFUNCTION("VLOOKUP(F15129, IMPORTRANGE(""https://docs.google.com/spreadsheets/d/1Lhp9OU0JdFf_VYSMzH5lBcEaU4o8teT1piV-SNzShjg/edit?gid=554141278#gid=554141278"", ""'Char Def. - Attributes'!C20:C2242""), 1,false)"),"WEIGHT_UNIT")</f>
        <v>WEIGHT_UNIT</v>
      </c>
    </row>
    <row r="15130" ht="15.75" customHeight="1">
      <c r="A15130" s="59"/>
      <c r="B15130" s="63">
        <f t="shared" si="1"/>
        <v>10</v>
      </c>
      <c r="C15130" s="148" t="s">
        <v>277</v>
      </c>
      <c r="D15130" s="159" t="s">
        <v>74</v>
      </c>
      <c r="E15130" s="135">
        <f t="shared" si="62"/>
        <v>28</v>
      </c>
      <c r="F15130" s="151" t="s">
        <v>3877</v>
      </c>
      <c r="G15130" s="63" t="str">
        <f>VLOOKUP(C15130, 'Class Def. - General Data'!$C$20:$C$1000,1,false)</f>
        <v>ZWS2_Waste</v>
      </c>
      <c r="H15130" s="63" t="str">
        <f>IFERROR(__xludf.DUMMYFUNCTION("VLOOKUP(F15130, IMPORTRANGE(""https://docs.google.com/spreadsheets/d/1Lhp9OU0JdFf_VYSMzH5lBcEaU4o8teT1piV-SNzShjg/edit?gid=554141278#gid=554141278"", ""'Char Def. - Attributes'!C20:C2242""), 1,false)"),"VOLUME_OPT")</f>
        <v>VOLUME_OPT</v>
      </c>
    </row>
    <row r="15131" ht="15.75" customHeight="1">
      <c r="A15131" s="59"/>
      <c r="B15131" s="63">
        <f t="shared" si="1"/>
        <v>10</v>
      </c>
      <c r="C15131" s="148" t="s">
        <v>277</v>
      </c>
      <c r="D15131" s="159" t="s">
        <v>74</v>
      </c>
      <c r="E15131" s="135">
        <f t="shared" si="62"/>
        <v>29</v>
      </c>
      <c r="F15131" s="152" t="s">
        <v>3878</v>
      </c>
      <c r="G15131" s="63" t="str">
        <f>VLOOKUP(C15131, 'Class Def. - General Data'!$C$20:$C$1000,1,false)</f>
        <v>ZWS2_Waste</v>
      </c>
      <c r="H15131" s="63" t="str">
        <f>IFERROR(__xludf.DUMMYFUNCTION("VLOOKUP(F15131, IMPORTRANGE(""https://docs.google.com/spreadsheets/d/1Lhp9OU0JdFf_VYSMzH5lBcEaU4o8teT1piV-SNzShjg/edit?gid=554141278#gid=554141278"", ""'Char Def. - Attributes'!C20:C2242""), 1,false)"),"VOLUME_UNIT")</f>
        <v>VOLUME_UNIT</v>
      </c>
    </row>
    <row r="15132" ht="15.75" customHeight="1">
      <c r="A15132" s="59"/>
      <c r="C15132" s="75"/>
      <c r="D15132" s="134"/>
      <c r="E15132" s="135"/>
      <c r="F15132" s="135"/>
    </row>
    <row r="15133" ht="15.75" customHeight="1">
      <c r="A15133" s="59"/>
      <c r="C15133" s="75"/>
      <c r="D15133" s="134"/>
      <c r="E15133" s="135"/>
      <c r="F15133" s="135"/>
    </row>
    <row r="15134" ht="15.75" customHeight="1">
      <c r="A15134" s="59"/>
      <c r="C15134" s="75"/>
      <c r="D15134" s="134"/>
      <c r="E15134" s="135"/>
      <c r="F15134" s="135"/>
    </row>
    <row r="15135" ht="15.75" customHeight="1">
      <c r="A15135" s="59"/>
      <c r="C15135" s="75"/>
      <c r="D15135" s="134"/>
      <c r="E15135" s="135"/>
      <c r="F15135" s="135"/>
    </row>
    <row r="15136" ht="15.75" customHeight="1">
      <c r="A15136" s="59"/>
      <c r="C15136" s="75"/>
      <c r="D15136" s="134"/>
      <c r="E15136" s="135"/>
      <c r="F15136" s="135"/>
    </row>
    <row r="15137" ht="15.75" customHeight="1">
      <c r="A15137" s="59"/>
      <c r="C15137" s="75"/>
      <c r="D15137" s="134"/>
      <c r="E15137" s="135"/>
      <c r="F15137" s="135"/>
    </row>
    <row r="15138" ht="15.75" customHeight="1">
      <c r="A15138" s="59"/>
      <c r="C15138" s="75"/>
      <c r="D15138" s="134"/>
      <c r="E15138" s="135"/>
      <c r="F15138" s="135"/>
    </row>
    <row r="15139" ht="15.75" customHeight="1">
      <c r="A15139" s="59"/>
      <c r="C15139" s="75"/>
      <c r="D15139" s="134"/>
      <c r="E15139" s="135"/>
      <c r="F15139" s="135"/>
    </row>
    <row r="15140" ht="15.75" customHeight="1">
      <c r="A15140" s="59"/>
      <c r="C15140" s="75"/>
      <c r="D15140" s="134"/>
      <c r="E15140" s="135"/>
      <c r="F15140" s="135"/>
    </row>
    <row r="15141" ht="15.75" customHeight="1">
      <c r="A15141" s="59"/>
      <c r="C15141" s="75"/>
      <c r="D15141" s="134"/>
      <c r="E15141" s="135"/>
      <c r="F15141" s="135"/>
    </row>
    <row r="15142" ht="15.75" customHeight="1">
      <c r="A15142" s="59"/>
      <c r="C15142" s="75"/>
      <c r="D15142" s="134"/>
      <c r="E15142" s="135"/>
      <c r="F15142" s="135"/>
    </row>
    <row r="15143" ht="15.75" customHeight="1">
      <c r="A15143" s="59"/>
      <c r="C15143" s="75"/>
      <c r="D15143" s="134"/>
      <c r="E15143" s="135"/>
      <c r="F15143" s="135"/>
    </row>
    <row r="15144" ht="15.75" customHeight="1">
      <c r="A15144" s="59"/>
      <c r="C15144" s="75"/>
      <c r="D15144" s="134"/>
      <c r="E15144" s="135"/>
      <c r="F15144" s="135"/>
    </row>
    <row r="15145" ht="15.75" customHeight="1">
      <c r="A15145" s="59"/>
      <c r="C15145" s="75"/>
      <c r="D15145" s="134"/>
      <c r="E15145" s="135"/>
      <c r="F15145" s="135"/>
    </row>
    <row r="15146" ht="15.75" customHeight="1">
      <c r="A15146" s="59"/>
      <c r="C15146" s="75"/>
      <c r="D15146" s="134"/>
      <c r="E15146" s="135"/>
      <c r="F15146" s="135"/>
    </row>
    <row r="15147" ht="15.75" customHeight="1">
      <c r="A15147" s="59"/>
      <c r="C15147" s="75"/>
      <c r="D15147" s="134"/>
      <c r="E15147" s="135"/>
      <c r="F15147" s="135"/>
    </row>
    <row r="15148" ht="15.75" customHeight="1">
      <c r="A15148" s="59"/>
      <c r="C15148" s="75"/>
      <c r="D15148" s="134"/>
      <c r="E15148" s="135"/>
      <c r="F15148" s="135"/>
    </row>
    <row r="15149" ht="15.75" customHeight="1">
      <c r="A15149" s="59"/>
      <c r="C15149" s="75"/>
      <c r="D15149" s="134"/>
      <c r="E15149" s="135"/>
      <c r="F15149" s="135"/>
    </row>
    <row r="15150" ht="15.75" customHeight="1">
      <c r="A15150" s="59"/>
      <c r="C15150" s="75"/>
      <c r="D15150" s="134"/>
      <c r="E15150" s="135"/>
      <c r="F15150" s="135"/>
    </row>
    <row r="15151" ht="15.75" customHeight="1">
      <c r="A15151" s="59"/>
      <c r="C15151" s="75"/>
      <c r="D15151" s="134"/>
      <c r="E15151" s="135"/>
      <c r="F15151" s="135"/>
    </row>
    <row r="15152" ht="15.75" customHeight="1">
      <c r="A15152" s="59"/>
      <c r="C15152" s="75"/>
      <c r="D15152" s="134"/>
      <c r="E15152" s="135"/>
      <c r="F15152" s="135"/>
    </row>
    <row r="15153" ht="15.75" customHeight="1">
      <c r="A15153" s="59"/>
      <c r="C15153" s="75"/>
      <c r="D15153" s="134"/>
      <c r="E15153" s="135"/>
      <c r="F15153" s="135"/>
    </row>
    <row r="15154" ht="15.75" customHeight="1">
      <c r="A15154" s="59"/>
      <c r="C15154" s="75"/>
      <c r="D15154" s="134"/>
      <c r="E15154" s="135"/>
      <c r="F15154" s="135"/>
    </row>
    <row r="15155" ht="15.75" customHeight="1">
      <c r="A15155" s="59"/>
      <c r="C15155" s="75"/>
      <c r="D15155" s="134"/>
      <c r="E15155" s="135"/>
      <c r="F15155" s="135"/>
    </row>
    <row r="15156" ht="15.75" customHeight="1">
      <c r="A15156" s="59"/>
      <c r="C15156" s="75"/>
      <c r="D15156" s="134"/>
      <c r="E15156" s="135"/>
      <c r="F15156" s="135"/>
    </row>
    <row r="15157" ht="15.75" customHeight="1">
      <c r="A15157" s="59"/>
      <c r="C15157" s="75"/>
      <c r="D15157" s="134"/>
      <c r="E15157" s="135"/>
      <c r="F15157" s="135"/>
    </row>
    <row r="15158" ht="15.75" customHeight="1">
      <c r="A15158" s="59"/>
      <c r="C15158" s="75"/>
      <c r="D15158" s="134"/>
      <c r="E15158" s="135"/>
      <c r="F15158" s="135"/>
    </row>
    <row r="15159" ht="15.75" customHeight="1">
      <c r="A15159" s="59"/>
      <c r="C15159" s="75"/>
      <c r="D15159" s="134"/>
      <c r="E15159" s="135"/>
      <c r="F15159" s="135"/>
    </row>
    <row r="15160" ht="15.75" customHeight="1">
      <c r="A15160" s="59"/>
      <c r="C15160" s="75"/>
      <c r="D15160" s="134"/>
      <c r="E15160" s="135"/>
      <c r="F15160" s="135"/>
    </row>
    <row r="15161" ht="15.75" customHeight="1">
      <c r="A15161" s="59"/>
      <c r="C15161" s="75"/>
      <c r="D15161" s="134"/>
      <c r="E15161" s="135"/>
      <c r="F15161" s="135"/>
    </row>
    <row r="15162" ht="15.75" customHeight="1">
      <c r="A15162" s="59"/>
      <c r="C15162" s="75"/>
      <c r="D15162" s="134"/>
      <c r="E15162" s="135"/>
      <c r="F15162" s="135"/>
    </row>
    <row r="15163" ht="15.75" customHeight="1">
      <c r="A15163" s="59"/>
      <c r="C15163" s="75"/>
      <c r="D15163" s="134"/>
      <c r="E15163" s="135"/>
      <c r="F15163" s="135"/>
    </row>
    <row r="15164" ht="15.75" customHeight="1">
      <c r="A15164" s="59"/>
      <c r="C15164" s="75"/>
      <c r="D15164" s="134"/>
      <c r="E15164" s="135"/>
      <c r="F15164" s="135"/>
    </row>
    <row r="15165" ht="15.75" customHeight="1">
      <c r="A15165" s="59"/>
      <c r="C15165" s="75"/>
      <c r="D15165" s="134"/>
      <c r="E15165" s="135"/>
      <c r="F15165" s="135"/>
    </row>
    <row r="15166" ht="15.75" customHeight="1">
      <c r="A15166" s="59"/>
      <c r="C15166" s="75"/>
      <c r="D15166" s="134"/>
      <c r="E15166" s="135"/>
      <c r="F15166" s="135"/>
    </row>
    <row r="15167" ht="15.75" customHeight="1">
      <c r="A15167" s="59"/>
      <c r="C15167" s="75"/>
      <c r="D15167" s="134"/>
      <c r="E15167" s="135"/>
      <c r="F15167" s="135"/>
    </row>
    <row r="15168" ht="15.75" customHeight="1">
      <c r="A15168" s="59"/>
      <c r="C15168" s="75"/>
      <c r="D15168" s="134"/>
      <c r="E15168" s="135"/>
      <c r="F15168" s="135"/>
    </row>
    <row r="15169" ht="15.75" customHeight="1">
      <c r="A15169" s="59"/>
      <c r="C15169" s="75"/>
      <c r="D15169" s="134"/>
      <c r="E15169" s="135"/>
      <c r="F15169" s="135"/>
    </row>
    <row r="15170" ht="15.75" customHeight="1">
      <c r="A15170" s="59"/>
      <c r="C15170" s="75"/>
      <c r="D15170" s="134"/>
      <c r="E15170" s="135"/>
      <c r="F15170" s="135"/>
    </row>
    <row r="15171" ht="15.75" customHeight="1">
      <c r="A15171" s="59"/>
      <c r="C15171" s="75"/>
      <c r="D15171" s="134"/>
      <c r="E15171" s="135"/>
      <c r="F15171" s="135"/>
    </row>
    <row r="15172" ht="15.75" customHeight="1">
      <c r="A15172" s="59"/>
      <c r="C15172" s="75"/>
      <c r="D15172" s="134"/>
      <c r="E15172" s="135"/>
      <c r="F15172" s="135"/>
    </row>
    <row r="15173" ht="15.75" customHeight="1">
      <c r="A15173" s="59"/>
      <c r="C15173" s="75"/>
      <c r="D15173" s="134"/>
      <c r="E15173" s="135"/>
      <c r="F15173" s="135"/>
    </row>
    <row r="15174" ht="15.75" customHeight="1">
      <c r="A15174" s="59"/>
      <c r="C15174" s="75"/>
      <c r="D15174" s="134"/>
      <c r="E15174" s="135"/>
      <c r="F15174" s="135"/>
    </row>
    <row r="15175" ht="15.75" customHeight="1">
      <c r="A15175" s="59"/>
      <c r="C15175" s="75"/>
      <c r="D15175" s="134"/>
      <c r="E15175" s="135"/>
      <c r="F15175" s="135"/>
    </row>
    <row r="15176" ht="15.75" customHeight="1">
      <c r="A15176" s="59"/>
      <c r="C15176" s="75"/>
      <c r="D15176" s="134"/>
      <c r="E15176" s="135"/>
      <c r="F15176" s="135"/>
    </row>
    <row r="15177" ht="15.75" customHeight="1">
      <c r="A15177" s="59"/>
      <c r="C15177" s="75"/>
      <c r="D15177" s="134"/>
      <c r="E15177" s="135"/>
      <c r="F15177" s="135"/>
    </row>
    <row r="15178" ht="15.75" customHeight="1">
      <c r="A15178" s="59"/>
      <c r="C15178" s="75"/>
      <c r="D15178" s="134"/>
      <c r="E15178" s="135"/>
      <c r="F15178" s="135"/>
    </row>
    <row r="15179" ht="15.75" customHeight="1">
      <c r="A15179" s="59"/>
      <c r="C15179" s="75"/>
      <c r="D15179" s="134"/>
      <c r="E15179" s="135"/>
      <c r="F15179" s="135"/>
    </row>
    <row r="15180" ht="15.75" customHeight="1">
      <c r="A15180" s="59"/>
      <c r="C15180" s="75"/>
      <c r="D15180" s="134"/>
      <c r="E15180" s="135"/>
      <c r="F15180" s="135"/>
    </row>
    <row r="15181" ht="15.75" customHeight="1">
      <c r="A15181" s="59"/>
      <c r="C15181" s="75"/>
      <c r="D15181" s="134"/>
      <c r="E15181" s="135"/>
      <c r="F15181" s="135"/>
    </row>
    <row r="15182" ht="15.75" customHeight="1">
      <c r="A15182" s="59"/>
      <c r="C15182" s="75"/>
      <c r="D15182" s="134"/>
      <c r="E15182" s="135"/>
      <c r="F15182" s="135"/>
    </row>
    <row r="15183" ht="15.75" customHeight="1">
      <c r="A15183" s="59"/>
      <c r="C15183" s="75"/>
      <c r="D15183" s="134"/>
      <c r="E15183" s="135"/>
      <c r="F15183" s="135"/>
    </row>
    <row r="15184" ht="15.75" customHeight="1">
      <c r="A15184" s="59"/>
      <c r="C15184" s="75"/>
      <c r="D15184" s="134"/>
      <c r="E15184" s="135"/>
      <c r="F15184" s="135"/>
    </row>
    <row r="15185" ht="15.75" customHeight="1">
      <c r="A15185" s="59"/>
      <c r="C15185" s="75"/>
      <c r="D15185" s="134"/>
      <c r="E15185" s="135"/>
      <c r="F15185" s="135"/>
    </row>
    <row r="15186" ht="15.75" customHeight="1">
      <c r="A15186" s="59"/>
      <c r="C15186" s="75"/>
      <c r="D15186" s="134"/>
      <c r="E15186" s="135"/>
      <c r="F15186" s="135"/>
    </row>
    <row r="15187" ht="15.75" customHeight="1">
      <c r="A15187" s="59"/>
      <c r="C15187" s="75"/>
      <c r="D15187" s="134"/>
      <c r="E15187" s="135"/>
      <c r="F15187" s="135"/>
    </row>
    <row r="15188" ht="15.75" customHeight="1">
      <c r="A15188" s="59"/>
      <c r="C15188" s="75"/>
      <c r="D15188" s="134"/>
      <c r="E15188" s="135"/>
      <c r="F15188" s="135"/>
    </row>
    <row r="15189" ht="15.75" customHeight="1">
      <c r="A15189" s="59"/>
      <c r="C15189" s="75"/>
      <c r="D15189" s="134"/>
      <c r="E15189" s="135"/>
      <c r="F15189" s="135"/>
    </row>
    <row r="15190" ht="15.75" customHeight="1">
      <c r="A15190" s="59"/>
      <c r="C15190" s="75"/>
      <c r="D15190" s="134"/>
      <c r="E15190" s="135"/>
      <c r="F15190" s="135"/>
    </row>
    <row r="15191" ht="15.75" customHeight="1">
      <c r="A15191" s="59"/>
      <c r="C15191" s="75"/>
      <c r="D15191" s="134"/>
      <c r="E15191" s="135"/>
      <c r="F15191" s="135"/>
    </row>
    <row r="15192" ht="15.75" customHeight="1">
      <c r="A15192" s="59"/>
      <c r="C15192" s="75"/>
      <c r="D15192" s="134"/>
      <c r="E15192" s="135"/>
      <c r="F15192" s="135"/>
    </row>
    <row r="15193" ht="15.75" customHeight="1">
      <c r="A15193" s="59"/>
      <c r="C15193" s="75"/>
      <c r="D15193" s="134"/>
      <c r="E15193" s="135"/>
      <c r="F15193" s="135"/>
    </row>
    <row r="15194" ht="15.75" customHeight="1">
      <c r="A15194" s="59"/>
      <c r="C15194" s="75"/>
      <c r="D15194" s="134"/>
      <c r="E15194" s="135"/>
      <c r="F15194" s="135"/>
    </row>
    <row r="15195" ht="15.75" customHeight="1">
      <c r="A15195" s="59"/>
      <c r="C15195" s="75"/>
      <c r="D15195" s="134"/>
      <c r="E15195" s="135"/>
      <c r="F15195" s="135"/>
    </row>
    <row r="15196" ht="15.75" customHeight="1">
      <c r="A15196" s="59"/>
      <c r="C15196" s="75"/>
      <c r="D15196" s="134"/>
      <c r="E15196" s="135"/>
      <c r="F15196" s="135"/>
    </row>
    <row r="15197" ht="15.75" customHeight="1">
      <c r="A15197" s="59"/>
      <c r="C15197" s="75"/>
      <c r="D15197" s="134"/>
      <c r="E15197" s="135"/>
      <c r="F15197" s="135"/>
    </row>
    <row r="15198" ht="15.75" customHeight="1">
      <c r="A15198" s="59"/>
      <c r="C15198" s="75"/>
      <c r="D15198" s="134"/>
      <c r="E15198" s="135"/>
      <c r="F15198" s="135"/>
    </row>
    <row r="15199" ht="15.75" customHeight="1">
      <c r="A15199" s="59"/>
      <c r="C15199" s="75"/>
      <c r="D15199" s="134"/>
      <c r="E15199" s="135"/>
      <c r="F15199" s="135"/>
    </row>
    <row r="15200" ht="15.75" customHeight="1">
      <c r="A15200" s="59"/>
      <c r="C15200" s="75"/>
      <c r="D15200" s="134"/>
      <c r="E15200" s="135"/>
      <c r="F15200" s="135"/>
    </row>
    <row r="15201" ht="15.75" customHeight="1">
      <c r="A15201" s="59"/>
      <c r="C15201" s="75"/>
      <c r="D15201" s="134"/>
      <c r="E15201" s="135"/>
      <c r="F15201" s="135"/>
    </row>
    <row r="15202" ht="15.75" customHeight="1">
      <c r="A15202" s="59"/>
      <c r="C15202" s="75"/>
      <c r="D15202" s="134"/>
      <c r="E15202" s="135"/>
      <c r="F15202" s="135"/>
    </row>
    <row r="15203" ht="15.75" customHeight="1">
      <c r="A15203" s="59"/>
      <c r="C15203" s="75"/>
      <c r="D15203" s="134"/>
      <c r="E15203" s="135"/>
      <c r="F15203" s="135"/>
    </row>
    <row r="15204" ht="15.75" customHeight="1">
      <c r="A15204" s="59"/>
      <c r="C15204" s="75"/>
      <c r="D15204" s="134"/>
      <c r="E15204" s="135"/>
      <c r="F15204" s="135"/>
    </row>
    <row r="15205" ht="15.75" customHeight="1">
      <c r="A15205" s="59"/>
      <c r="C15205" s="75"/>
      <c r="D15205" s="134"/>
      <c r="E15205" s="135"/>
      <c r="F15205" s="135"/>
    </row>
    <row r="15206" ht="15.75" customHeight="1">
      <c r="A15206" s="59"/>
      <c r="C15206" s="75"/>
      <c r="D15206" s="134"/>
      <c r="E15206" s="135"/>
      <c r="F15206" s="135"/>
    </row>
    <row r="15207" ht="15.75" customHeight="1">
      <c r="A15207" s="59"/>
      <c r="C15207" s="75"/>
      <c r="D15207" s="134"/>
      <c r="E15207" s="135"/>
      <c r="F15207" s="135"/>
    </row>
    <row r="15208" ht="15.75" customHeight="1">
      <c r="A15208" s="59"/>
      <c r="C15208" s="75"/>
      <c r="D15208" s="134"/>
      <c r="E15208" s="135"/>
      <c r="F15208" s="135"/>
    </row>
    <row r="15209" ht="15.75" customHeight="1">
      <c r="A15209" s="59"/>
      <c r="C15209" s="75"/>
      <c r="D15209" s="134"/>
      <c r="E15209" s="135"/>
      <c r="F15209" s="135"/>
    </row>
    <row r="15210" ht="15.75" customHeight="1">
      <c r="A15210" s="59"/>
      <c r="C15210" s="75"/>
      <c r="D15210" s="134"/>
      <c r="E15210" s="135"/>
      <c r="F15210" s="135"/>
    </row>
    <row r="15211" ht="15.75" customHeight="1">
      <c r="A15211" s="59"/>
      <c r="C15211" s="75"/>
      <c r="D15211" s="134"/>
      <c r="E15211" s="135"/>
      <c r="F15211" s="135"/>
    </row>
    <row r="15212" ht="15.75" customHeight="1">
      <c r="A15212" s="59"/>
      <c r="C15212" s="75"/>
      <c r="D15212" s="134"/>
      <c r="E15212" s="135"/>
      <c r="F15212" s="135"/>
    </row>
    <row r="15213" ht="15.75" customHeight="1">
      <c r="A15213" s="59"/>
      <c r="C15213" s="75"/>
      <c r="D15213" s="134"/>
      <c r="E15213" s="135"/>
      <c r="F15213" s="135"/>
    </row>
    <row r="15214" ht="15.75" customHeight="1">
      <c r="A15214" s="59"/>
      <c r="C15214" s="75"/>
      <c r="D15214" s="134"/>
      <c r="E15214" s="135"/>
      <c r="F15214" s="135"/>
    </row>
    <row r="15215" ht="15.75" customHeight="1">
      <c r="A15215" s="59"/>
      <c r="C15215" s="75"/>
      <c r="D15215" s="134"/>
      <c r="E15215" s="135"/>
      <c r="F15215" s="135"/>
    </row>
    <row r="15216" ht="15.75" customHeight="1">
      <c r="A15216" s="59"/>
      <c r="C15216" s="75"/>
      <c r="D15216" s="134"/>
      <c r="E15216" s="135"/>
      <c r="F15216" s="135"/>
    </row>
    <row r="15217" ht="15.75" customHeight="1">
      <c r="A15217" s="59"/>
      <c r="C15217" s="75"/>
      <c r="D15217" s="134"/>
      <c r="E15217" s="135"/>
      <c r="F15217" s="135"/>
    </row>
    <row r="15218" ht="15.75" customHeight="1">
      <c r="A15218" s="59"/>
      <c r="C15218" s="75"/>
      <c r="D15218" s="134"/>
      <c r="E15218" s="135"/>
      <c r="F15218" s="135"/>
    </row>
    <row r="15219" ht="15.75" customHeight="1">
      <c r="A15219" s="59"/>
      <c r="C15219" s="75"/>
      <c r="D15219" s="134"/>
      <c r="E15219" s="135"/>
      <c r="F15219" s="135"/>
    </row>
    <row r="15220" ht="15.75" customHeight="1">
      <c r="A15220" s="59"/>
      <c r="C15220" s="75"/>
      <c r="D15220" s="134"/>
      <c r="E15220" s="135"/>
      <c r="F15220" s="135"/>
    </row>
    <row r="15221" ht="15.75" customHeight="1">
      <c r="A15221" s="59"/>
      <c r="C15221" s="75"/>
      <c r="D15221" s="134"/>
      <c r="E15221" s="135"/>
      <c r="F15221" s="135"/>
    </row>
    <row r="15222" ht="15.75" customHeight="1">
      <c r="A15222" s="59"/>
      <c r="C15222" s="75"/>
      <c r="D15222" s="134"/>
      <c r="E15222" s="135"/>
      <c r="F15222" s="135"/>
    </row>
    <row r="15223" ht="15.75" customHeight="1">
      <c r="A15223" s="59"/>
      <c r="C15223" s="75"/>
      <c r="D15223" s="134"/>
      <c r="E15223" s="135"/>
      <c r="F15223" s="135"/>
    </row>
    <row r="15224" ht="15.75" customHeight="1">
      <c r="A15224" s="59"/>
      <c r="C15224" s="75"/>
      <c r="D15224" s="134"/>
      <c r="E15224" s="135"/>
      <c r="F15224" s="135"/>
    </row>
    <row r="15225" ht="15.75" customHeight="1">
      <c r="A15225" s="59"/>
      <c r="C15225" s="75"/>
      <c r="D15225" s="134"/>
      <c r="E15225" s="135"/>
      <c r="F15225" s="135"/>
    </row>
    <row r="15226" ht="15.75" customHeight="1">
      <c r="A15226" s="59"/>
      <c r="C15226" s="75"/>
      <c r="D15226" s="134"/>
      <c r="E15226" s="135"/>
      <c r="F15226" s="135"/>
    </row>
    <row r="15227" ht="15.75" customHeight="1">
      <c r="A15227" s="59"/>
      <c r="C15227" s="75"/>
      <c r="D15227" s="134"/>
      <c r="E15227" s="135"/>
      <c r="F15227" s="135"/>
    </row>
    <row r="15228" ht="15.75" customHeight="1">
      <c r="A15228" s="59"/>
      <c r="C15228" s="75"/>
      <c r="D15228" s="134"/>
      <c r="E15228" s="135"/>
      <c r="F15228" s="135"/>
    </row>
    <row r="15229" ht="15.75" customHeight="1">
      <c r="A15229" s="59"/>
      <c r="C15229" s="75"/>
      <c r="D15229" s="134"/>
      <c r="E15229" s="135"/>
      <c r="F15229" s="135"/>
    </row>
    <row r="15230" ht="15.75" customHeight="1">
      <c r="A15230" s="59"/>
      <c r="C15230" s="75"/>
      <c r="D15230" s="134"/>
      <c r="E15230" s="135"/>
      <c r="F15230" s="135"/>
    </row>
    <row r="15231" ht="15.75" customHeight="1">
      <c r="A15231" s="59"/>
      <c r="C15231" s="75"/>
      <c r="D15231" s="134"/>
      <c r="E15231" s="135"/>
      <c r="F15231" s="135"/>
    </row>
    <row r="15232" ht="15.75" customHeight="1">
      <c r="A15232" s="59"/>
      <c r="C15232" s="75"/>
      <c r="D15232" s="134"/>
      <c r="E15232" s="135"/>
      <c r="F15232" s="135"/>
    </row>
    <row r="15233" ht="15.75" customHeight="1">
      <c r="A15233" s="59"/>
      <c r="C15233" s="75"/>
      <c r="D15233" s="134"/>
      <c r="E15233" s="135"/>
      <c r="F15233" s="135"/>
    </row>
    <row r="15234" ht="15.75" customHeight="1">
      <c r="A15234" s="59"/>
      <c r="C15234" s="75"/>
      <c r="D15234" s="134"/>
      <c r="E15234" s="135"/>
      <c r="F15234" s="135"/>
    </row>
    <row r="15235" ht="15.75" customHeight="1">
      <c r="A15235" s="59"/>
      <c r="C15235" s="75"/>
      <c r="D15235" s="134"/>
      <c r="E15235" s="135"/>
      <c r="F15235" s="135"/>
    </row>
    <row r="15236" ht="15.75" customHeight="1">
      <c r="A15236" s="59"/>
      <c r="C15236" s="75"/>
      <c r="D15236" s="134"/>
      <c r="E15236" s="135"/>
      <c r="F15236" s="135"/>
    </row>
    <row r="15237" ht="15.75" customHeight="1">
      <c r="A15237" s="59"/>
      <c r="C15237" s="75"/>
      <c r="D15237" s="134"/>
      <c r="E15237" s="135"/>
      <c r="F15237" s="135"/>
    </row>
    <row r="15238" ht="15.75" customHeight="1">
      <c r="A15238" s="59"/>
      <c r="C15238" s="75"/>
      <c r="D15238" s="134"/>
      <c r="E15238" s="135"/>
      <c r="F15238" s="135"/>
    </row>
    <row r="15239" ht="15.75" customHeight="1">
      <c r="A15239" s="59"/>
      <c r="C15239" s="75"/>
      <c r="D15239" s="134"/>
      <c r="E15239" s="135"/>
      <c r="F15239" s="135"/>
    </row>
    <row r="15240" ht="15.75" customHeight="1">
      <c r="A15240" s="59"/>
      <c r="C15240" s="75"/>
      <c r="D15240" s="134"/>
      <c r="E15240" s="135"/>
      <c r="F15240" s="135"/>
    </row>
    <row r="15241" ht="15.75" customHeight="1">
      <c r="A15241" s="59"/>
      <c r="C15241" s="75"/>
      <c r="D15241" s="134"/>
      <c r="E15241" s="135"/>
      <c r="F15241" s="135"/>
    </row>
    <row r="15242" ht="15.75" customHeight="1">
      <c r="A15242" s="59"/>
      <c r="C15242" s="75"/>
      <c r="D15242" s="134"/>
      <c r="E15242" s="135"/>
      <c r="F15242" s="135"/>
    </row>
    <row r="15243" ht="15.75" customHeight="1">
      <c r="A15243" s="59"/>
      <c r="C15243" s="75"/>
      <c r="D15243" s="134"/>
      <c r="E15243" s="135"/>
      <c r="F15243" s="135"/>
    </row>
    <row r="15244" ht="15.75" customHeight="1">
      <c r="A15244" s="59"/>
      <c r="C15244" s="75"/>
      <c r="D15244" s="134"/>
      <c r="E15244" s="135"/>
      <c r="F15244" s="135"/>
    </row>
    <row r="15245" ht="15.75" customHeight="1">
      <c r="A15245" s="59"/>
      <c r="C15245" s="75"/>
      <c r="D15245" s="134"/>
      <c r="E15245" s="135"/>
      <c r="F15245" s="135"/>
    </row>
    <row r="15246" ht="15.75" customHeight="1">
      <c r="A15246" s="59"/>
      <c r="C15246" s="75"/>
      <c r="D15246" s="134"/>
      <c r="E15246" s="135"/>
      <c r="F15246" s="135"/>
    </row>
    <row r="15247" ht="15.75" customHeight="1">
      <c r="A15247" s="59"/>
      <c r="C15247" s="75"/>
      <c r="D15247" s="134"/>
      <c r="E15247" s="135"/>
      <c r="F15247" s="135"/>
    </row>
    <row r="15248" ht="15.75" customHeight="1">
      <c r="A15248" s="59"/>
      <c r="C15248" s="75"/>
      <c r="D15248" s="134"/>
      <c r="E15248" s="135"/>
      <c r="F15248" s="135"/>
    </row>
    <row r="15249" ht="15.75" customHeight="1">
      <c r="A15249" s="59"/>
      <c r="C15249" s="75"/>
      <c r="D15249" s="134"/>
      <c r="E15249" s="135"/>
      <c r="F15249" s="135"/>
    </row>
    <row r="15250" ht="15.75" customHeight="1">
      <c r="A15250" s="59"/>
      <c r="C15250" s="75"/>
      <c r="D15250" s="134"/>
      <c r="E15250" s="135"/>
      <c r="F15250" s="135"/>
    </row>
    <row r="15251" ht="15.75" customHeight="1">
      <c r="A15251" s="59"/>
      <c r="C15251" s="75"/>
      <c r="D15251" s="134"/>
      <c r="E15251" s="135"/>
      <c r="F15251" s="135"/>
    </row>
    <row r="15252" ht="15.75" customHeight="1">
      <c r="A15252" s="59"/>
      <c r="C15252" s="75"/>
      <c r="D15252" s="134"/>
      <c r="E15252" s="135"/>
      <c r="F15252" s="135"/>
    </row>
    <row r="15253" ht="15.75" customHeight="1">
      <c r="A15253" s="59"/>
      <c r="C15253" s="75"/>
      <c r="D15253" s="134"/>
      <c r="E15253" s="135"/>
      <c r="F15253" s="135"/>
    </row>
    <row r="15254" ht="15.75" customHeight="1">
      <c r="A15254" s="59"/>
      <c r="C15254" s="75"/>
      <c r="D15254" s="134"/>
      <c r="E15254" s="135"/>
      <c r="F15254" s="135"/>
    </row>
    <row r="15255" ht="15.75" customHeight="1">
      <c r="A15255" s="59"/>
      <c r="C15255" s="75"/>
      <c r="D15255" s="134"/>
      <c r="E15255" s="135"/>
      <c r="F15255" s="135"/>
    </row>
    <row r="15256" ht="15.75" customHeight="1">
      <c r="A15256" s="59"/>
      <c r="C15256" s="75"/>
      <c r="D15256" s="134"/>
      <c r="E15256" s="135"/>
      <c r="F15256" s="135"/>
    </row>
    <row r="15257" ht="15.75" customHeight="1">
      <c r="A15257" s="59"/>
      <c r="C15257" s="75"/>
      <c r="D15257" s="134"/>
      <c r="E15257" s="135"/>
      <c r="F15257" s="135"/>
    </row>
    <row r="15258" ht="15.75" customHeight="1">
      <c r="A15258" s="59"/>
      <c r="C15258" s="75"/>
      <c r="D15258" s="134"/>
      <c r="E15258" s="135"/>
      <c r="F15258" s="135"/>
    </row>
    <row r="15259" ht="15.75" customHeight="1">
      <c r="A15259" s="59"/>
      <c r="C15259" s="75"/>
      <c r="D15259" s="134"/>
      <c r="E15259" s="135"/>
      <c r="F15259" s="135"/>
    </row>
    <row r="15260" ht="15.75" customHeight="1">
      <c r="A15260" s="59"/>
      <c r="C15260" s="75"/>
      <c r="D15260" s="134"/>
      <c r="E15260" s="135"/>
      <c r="F15260" s="135"/>
    </row>
    <row r="15261" ht="15.75" customHeight="1">
      <c r="A15261" s="59"/>
      <c r="C15261" s="75"/>
      <c r="D15261" s="134"/>
      <c r="E15261" s="135"/>
      <c r="F15261" s="135"/>
    </row>
    <row r="15262" ht="15.75" customHeight="1">
      <c r="A15262" s="59"/>
      <c r="C15262" s="75"/>
      <c r="D15262" s="134"/>
      <c r="E15262" s="135"/>
      <c r="F15262" s="135"/>
    </row>
    <row r="15263" ht="15.75" customHeight="1">
      <c r="A15263" s="59"/>
      <c r="C15263" s="75"/>
      <c r="D15263" s="134"/>
      <c r="E15263" s="135"/>
      <c r="F15263" s="135"/>
    </row>
    <row r="15264" ht="15.75" customHeight="1">
      <c r="A15264" s="59"/>
      <c r="C15264" s="75"/>
      <c r="D15264" s="134"/>
      <c r="E15264" s="135"/>
      <c r="F15264" s="135"/>
    </row>
    <row r="15265" ht="15.75" customHeight="1">
      <c r="A15265" s="59"/>
      <c r="C15265" s="75"/>
      <c r="D15265" s="134"/>
      <c r="E15265" s="135"/>
      <c r="F15265" s="135"/>
    </row>
    <row r="15266" ht="15.75" customHeight="1">
      <c r="A15266" s="59"/>
      <c r="C15266" s="75"/>
      <c r="D15266" s="134"/>
      <c r="E15266" s="135"/>
      <c r="F15266" s="135"/>
    </row>
    <row r="15267" ht="15.75" customHeight="1">
      <c r="A15267" s="59"/>
      <c r="C15267" s="75"/>
      <c r="D15267" s="134"/>
      <c r="E15267" s="135"/>
      <c r="F15267" s="135"/>
    </row>
    <row r="15268" ht="15.75" customHeight="1">
      <c r="A15268" s="59"/>
      <c r="C15268" s="75"/>
      <c r="D15268" s="134"/>
      <c r="E15268" s="135"/>
      <c r="F15268" s="135"/>
    </row>
    <row r="15269" ht="15.75" customHeight="1">
      <c r="A15269" s="59"/>
      <c r="C15269" s="75"/>
      <c r="D15269" s="134"/>
      <c r="E15269" s="135"/>
      <c r="F15269" s="135"/>
    </row>
    <row r="15270" ht="15.75" customHeight="1">
      <c r="A15270" s="59"/>
      <c r="C15270" s="75"/>
      <c r="D15270" s="134"/>
      <c r="E15270" s="135"/>
      <c r="F15270" s="135"/>
    </row>
    <row r="15271" ht="15.75" customHeight="1">
      <c r="A15271" s="59"/>
      <c r="C15271" s="75"/>
      <c r="D15271" s="134"/>
      <c r="E15271" s="135"/>
      <c r="F15271" s="135"/>
    </row>
    <row r="15272" ht="15.75" customHeight="1">
      <c r="A15272" s="59"/>
      <c r="C15272" s="75"/>
      <c r="D15272" s="134"/>
      <c r="E15272" s="135"/>
      <c r="F15272" s="135"/>
    </row>
    <row r="15273" ht="15.75" customHeight="1">
      <c r="A15273" s="59"/>
      <c r="C15273" s="75"/>
      <c r="D15273" s="134"/>
      <c r="E15273" s="135"/>
      <c r="F15273" s="135"/>
    </row>
    <row r="15274" ht="15.75" customHeight="1">
      <c r="A15274" s="59"/>
      <c r="C15274" s="75"/>
      <c r="D15274" s="134"/>
      <c r="E15274" s="135"/>
      <c r="F15274" s="135"/>
    </row>
    <row r="15275" ht="15.75" customHeight="1">
      <c r="A15275" s="59"/>
      <c r="C15275" s="75"/>
      <c r="D15275" s="134"/>
      <c r="E15275" s="135"/>
      <c r="F15275" s="135"/>
    </row>
    <row r="15276" ht="15.75" customHeight="1">
      <c r="A15276" s="59"/>
      <c r="C15276" s="75"/>
      <c r="D15276" s="134"/>
      <c r="E15276" s="135"/>
      <c r="F15276" s="135"/>
    </row>
    <row r="15277" ht="15.75" customHeight="1">
      <c r="A15277" s="59"/>
      <c r="C15277" s="75"/>
      <c r="D15277" s="134"/>
      <c r="E15277" s="135"/>
      <c r="F15277" s="135"/>
    </row>
    <row r="15278" ht="15.75" customHeight="1">
      <c r="A15278" s="59"/>
      <c r="C15278" s="75"/>
      <c r="D15278" s="134"/>
      <c r="E15278" s="135"/>
      <c r="F15278" s="135"/>
    </row>
    <row r="15279" ht="15.75" customHeight="1">
      <c r="A15279" s="59"/>
      <c r="C15279" s="75"/>
      <c r="D15279" s="134"/>
      <c r="E15279" s="135"/>
      <c r="F15279" s="135"/>
    </row>
    <row r="15280" ht="15.75" customHeight="1">
      <c r="A15280" s="59"/>
      <c r="C15280" s="75"/>
      <c r="D15280" s="134"/>
      <c r="E15280" s="135"/>
      <c r="F15280" s="135"/>
    </row>
    <row r="15281" ht="15.75" customHeight="1">
      <c r="A15281" s="59"/>
      <c r="C15281" s="75"/>
      <c r="D15281" s="134"/>
      <c r="E15281" s="135"/>
      <c r="F15281" s="135"/>
    </row>
    <row r="15282" ht="15.75" customHeight="1">
      <c r="A15282" s="59"/>
      <c r="C15282" s="75"/>
      <c r="D15282" s="134"/>
      <c r="E15282" s="135"/>
      <c r="F15282" s="135"/>
    </row>
    <row r="15283" ht="15.75" customHeight="1">
      <c r="A15283" s="59"/>
      <c r="C15283" s="75"/>
      <c r="D15283" s="134"/>
      <c r="E15283" s="135"/>
      <c r="F15283" s="135"/>
    </row>
    <row r="15284" ht="15.75" customHeight="1">
      <c r="A15284" s="59"/>
      <c r="C15284" s="75"/>
      <c r="D15284" s="134"/>
      <c r="E15284" s="135"/>
      <c r="F15284" s="135"/>
    </row>
    <row r="15285" ht="15.75" customHeight="1">
      <c r="A15285" s="59"/>
      <c r="C15285" s="75"/>
      <c r="D15285" s="134"/>
      <c r="E15285" s="135"/>
      <c r="F15285" s="135"/>
    </row>
    <row r="15286" ht="15.75" customHeight="1">
      <c r="A15286" s="59"/>
      <c r="C15286" s="75"/>
      <c r="D15286" s="134"/>
      <c r="E15286" s="135"/>
      <c r="F15286" s="135"/>
    </row>
    <row r="15287" ht="15.75" customHeight="1">
      <c r="A15287" s="59"/>
      <c r="C15287" s="75"/>
      <c r="D15287" s="134"/>
      <c r="E15287" s="135"/>
      <c r="F15287" s="135"/>
    </row>
    <row r="15288" ht="15.75" customHeight="1">
      <c r="A15288" s="59"/>
      <c r="C15288" s="75"/>
      <c r="D15288" s="134"/>
      <c r="E15288" s="135"/>
      <c r="F15288" s="135"/>
    </row>
    <row r="15289" ht="15.75" customHeight="1">
      <c r="A15289" s="59"/>
      <c r="C15289" s="75"/>
      <c r="D15289" s="134"/>
      <c r="E15289" s="135"/>
      <c r="F15289" s="135"/>
    </row>
    <row r="15290" ht="15.75" customHeight="1">
      <c r="A15290" s="59"/>
      <c r="C15290" s="75"/>
      <c r="D15290" s="134"/>
      <c r="E15290" s="135"/>
      <c r="F15290" s="135"/>
    </row>
    <row r="15291" ht="15.75" customHeight="1">
      <c r="A15291" s="59"/>
      <c r="C15291" s="75"/>
      <c r="D15291" s="134"/>
      <c r="E15291" s="135"/>
      <c r="F15291" s="135"/>
    </row>
    <row r="15292" ht="15.75" customHeight="1">
      <c r="A15292" s="59"/>
      <c r="C15292" s="75"/>
      <c r="D15292" s="134"/>
      <c r="E15292" s="135"/>
      <c r="F15292" s="135"/>
    </row>
    <row r="15293" ht="15.75" customHeight="1">
      <c r="A15293" s="59"/>
      <c r="C15293" s="75"/>
      <c r="D15293" s="134"/>
      <c r="E15293" s="135"/>
      <c r="F15293" s="135"/>
    </row>
    <row r="15294" ht="15.75" customHeight="1">
      <c r="A15294" s="59"/>
      <c r="C15294" s="75"/>
      <c r="D15294" s="134"/>
      <c r="E15294" s="135"/>
      <c r="F15294" s="135"/>
    </row>
    <row r="15295" ht="15.75" customHeight="1">
      <c r="A15295" s="59"/>
      <c r="C15295" s="75"/>
      <c r="D15295" s="134"/>
      <c r="E15295" s="135"/>
      <c r="F15295" s="135"/>
    </row>
    <row r="15296" ht="15.75" customHeight="1">
      <c r="A15296" s="59"/>
      <c r="C15296" s="75"/>
      <c r="D15296" s="134"/>
      <c r="E15296" s="135"/>
      <c r="F15296" s="135"/>
    </row>
    <row r="15297" ht="15.75" customHeight="1">
      <c r="A15297" s="59"/>
      <c r="C15297" s="75"/>
      <c r="D15297" s="134"/>
      <c r="E15297" s="135"/>
      <c r="F15297" s="135"/>
    </row>
    <row r="15298" ht="15.75" customHeight="1">
      <c r="A15298" s="59"/>
      <c r="C15298" s="75"/>
      <c r="D15298" s="134"/>
      <c r="E15298" s="135"/>
      <c r="F15298" s="135"/>
    </row>
    <row r="15299" ht="15.75" customHeight="1">
      <c r="A15299" s="59"/>
      <c r="C15299" s="75"/>
      <c r="D15299" s="134"/>
      <c r="E15299" s="135"/>
      <c r="F15299" s="135"/>
    </row>
    <row r="15300" ht="15.75" customHeight="1">
      <c r="A15300" s="59"/>
      <c r="C15300" s="75"/>
      <c r="D15300" s="134"/>
      <c r="E15300" s="135"/>
      <c r="F15300" s="135"/>
    </row>
    <row r="15301" ht="15.75" customHeight="1">
      <c r="A15301" s="59"/>
      <c r="C15301" s="75"/>
      <c r="D15301" s="134"/>
      <c r="E15301" s="135"/>
      <c r="F15301" s="135"/>
    </row>
    <row r="15302" ht="15.75" customHeight="1">
      <c r="A15302" s="59"/>
      <c r="C15302" s="75"/>
      <c r="D15302" s="134"/>
      <c r="E15302" s="135"/>
      <c r="F15302" s="135"/>
    </row>
    <row r="15303" ht="15.75" customHeight="1">
      <c r="A15303" s="59"/>
      <c r="C15303" s="75"/>
      <c r="D15303" s="134"/>
      <c r="E15303" s="135"/>
      <c r="F15303" s="135"/>
    </row>
    <row r="15304" ht="15.75" customHeight="1">
      <c r="A15304" s="59"/>
      <c r="C15304" s="75"/>
      <c r="D15304" s="134"/>
      <c r="E15304" s="135"/>
      <c r="F15304" s="135"/>
    </row>
    <row r="15305" ht="15.75" customHeight="1">
      <c r="A15305" s="59"/>
      <c r="C15305" s="75"/>
      <c r="D15305" s="134"/>
      <c r="E15305" s="135"/>
      <c r="F15305" s="135"/>
    </row>
    <row r="15306" ht="15.75" customHeight="1">
      <c r="A15306" s="59"/>
      <c r="C15306" s="75"/>
      <c r="D15306" s="134"/>
      <c r="E15306" s="135"/>
      <c r="F15306" s="135"/>
    </row>
    <row r="15307" ht="15.75" customHeight="1">
      <c r="A15307" s="59"/>
      <c r="C15307" s="75"/>
      <c r="D15307" s="134"/>
      <c r="E15307" s="135"/>
      <c r="F15307" s="135"/>
    </row>
    <row r="15308" ht="15.75" customHeight="1">
      <c r="A15308" s="59"/>
      <c r="C15308" s="75"/>
      <c r="D15308" s="134"/>
      <c r="E15308" s="135"/>
      <c r="F15308" s="135"/>
    </row>
    <row r="15309" ht="15.75" customHeight="1">
      <c r="A15309" s="59"/>
      <c r="C15309" s="75"/>
      <c r="D15309" s="134"/>
      <c r="E15309" s="135"/>
      <c r="F15309" s="135"/>
    </row>
    <row r="15310" ht="15.75" customHeight="1">
      <c r="A15310" s="59"/>
      <c r="C15310" s="75"/>
      <c r="D15310" s="134"/>
      <c r="E15310" s="135"/>
      <c r="F15310" s="135"/>
    </row>
    <row r="15311" ht="15.75" customHeight="1">
      <c r="A15311" s="59"/>
      <c r="C15311" s="75"/>
      <c r="D15311" s="134"/>
      <c r="E15311" s="135"/>
      <c r="F15311" s="135"/>
    </row>
    <row r="15312" ht="15.75" customHeight="1">
      <c r="A15312" s="59"/>
      <c r="C15312" s="75"/>
      <c r="D15312" s="134"/>
      <c r="E15312" s="135"/>
      <c r="F15312" s="135"/>
    </row>
    <row r="15313" ht="15.75" customHeight="1">
      <c r="A15313" s="59"/>
      <c r="C15313" s="75"/>
      <c r="D15313" s="134"/>
      <c r="E15313" s="135"/>
      <c r="F15313" s="135"/>
    </row>
    <row r="15314" ht="15.75" customHeight="1">
      <c r="A15314" s="59"/>
      <c r="C15314" s="75"/>
      <c r="D15314" s="134"/>
      <c r="E15314" s="135"/>
      <c r="F15314" s="135"/>
    </row>
    <row r="15315" ht="15.75" customHeight="1">
      <c r="A15315" s="59"/>
      <c r="C15315" s="75"/>
      <c r="D15315" s="134"/>
      <c r="E15315" s="135"/>
      <c r="F15315" s="135"/>
    </row>
    <row r="15316" ht="15.75" customHeight="1">
      <c r="A15316" s="59"/>
      <c r="C15316" s="75"/>
      <c r="D15316" s="134"/>
      <c r="E15316" s="135"/>
      <c r="F15316" s="135"/>
    </row>
    <row r="15317" ht="15.75" customHeight="1">
      <c r="A15317" s="59"/>
      <c r="C15317" s="75"/>
      <c r="D15317" s="134"/>
      <c r="E15317" s="135"/>
      <c r="F15317" s="135"/>
    </row>
    <row r="15318" ht="15.75" customHeight="1">
      <c r="A15318" s="59"/>
      <c r="C15318" s="75"/>
      <c r="D15318" s="134"/>
      <c r="E15318" s="135"/>
      <c r="F15318" s="135"/>
    </row>
    <row r="15319" ht="15.75" customHeight="1">
      <c r="A15319" s="59"/>
      <c r="C15319" s="75"/>
      <c r="D15319" s="134"/>
      <c r="E15319" s="135"/>
      <c r="F15319" s="135"/>
    </row>
    <row r="15320" ht="15.75" customHeight="1">
      <c r="A15320" s="59"/>
      <c r="C15320" s="75"/>
      <c r="D15320" s="134"/>
      <c r="E15320" s="135"/>
      <c r="F15320" s="135"/>
    </row>
    <row r="15321" ht="15.75" customHeight="1">
      <c r="A15321" s="59"/>
      <c r="C15321" s="75"/>
      <c r="D15321" s="134"/>
      <c r="E15321" s="135"/>
      <c r="F15321" s="135"/>
    </row>
    <row r="15322" ht="15.75" customHeight="1">
      <c r="A15322" s="59"/>
      <c r="C15322" s="75"/>
      <c r="D15322" s="134"/>
      <c r="E15322" s="135"/>
      <c r="F15322" s="135"/>
    </row>
    <row r="15323" ht="15.75" customHeight="1">
      <c r="A15323" s="59"/>
      <c r="C15323" s="75"/>
      <c r="D15323" s="134"/>
      <c r="E15323" s="135"/>
      <c r="F15323" s="135"/>
    </row>
    <row r="15324" ht="15.75" customHeight="1">
      <c r="A15324" s="59"/>
      <c r="C15324" s="75"/>
      <c r="D15324" s="134"/>
      <c r="E15324" s="135"/>
      <c r="F15324" s="135"/>
    </row>
    <row r="15325" ht="15.75" customHeight="1">
      <c r="A15325" s="59"/>
      <c r="C15325" s="75"/>
      <c r="D15325" s="134"/>
      <c r="E15325" s="135"/>
      <c r="F15325" s="135"/>
    </row>
    <row r="15326" ht="15.75" customHeight="1">
      <c r="A15326" s="59"/>
      <c r="C15326" s="75"/>
      <c r="D15326" s="134"/>
      <c r="E15326" s="135"/>
      <c r="F15326" s="135"/>
    </row>
    <row r="15327" ht="15.75" customHeight="1">
      <c r="A15327" s="59"/>
      <c r="C15327" s="75"/>
      <c r="D15327" s="134"/>
      <c r="E15327" s="135"/>
      <c r="F15327" s="135"/>
    </row>
    <row r="15328" ht="15.75" customHeight="1">
      <c r="A15328" s="59"/>
      <c r="C15328" s="75"/>
      <c r="D15328" s="134"/>
      <c r="E15328" s="135"/>
      <c r="F15328" s="135"/>
    </row>
    <row r="15329" ht="15.75" customHeight="1">
      <c r="A15329" s="59"/>
      <c r="C15329" s="75"/>
      <c r="D15329" s="134"/>
      <c r="E15329" s="135"/>
      <c r="F15329" s="135"/>
    </row>
    <row r="15330" ht="15.75" customHeight="1">
      <c r="A15330" s="59"/>
      <c r="C15330" s="75"/>
      <c r="D15330" s="134"/>
      <c r="E15330" s="135"/>
      <c r="F15330" s="135"/>
    </row>
    <row r="15331" ht="15.75" customHeight="1">
      <c r="A15331" s="59"/>
      <c r="C15331" s="75"/>
      <c r="D15331" s="134"/>
      <c r="E15331" s="135"/>
      <c r="F15331" s="135"/>
    </row>
    <row r="15332" ht="15.75" customHeight="1">
      <c r="A15332" s="59"/>
      <c r="C15332" s="75"/>
      <c r="D15332" s="134"/>
      <c r="E15332" s="135"/>
      <c r="F15332" s="135"/>
    </row>
    <row r="15333" ht="15.75" customHeight="1">
      <c r="A15333" s="59"/>
      <c r="C15333" s="75"/>
      <c r="D15333" s="134"/>
      <c r="E15333" s="135"/>
      <c r="F15333" s="135"/>
    </row>
    <row r="15334" ht="15.75" customHeight="1">
      <c r="A15334" s="59"/>
      <c r="C15334" s="75"/>
      <c r="D15334" s="134"/>
      <c r="E15334" s="135"/>
      <c r="F15334" s="135"/>
    </row>
    <row r="15335" ht="15.75" customHeight="1">
      <c r="A15335" s="59"/>
      <c r="C15335" s="75"/>
      <c r="D15335" s="134"/>
      <c r="E15335" s="135"/>
      <c r="F15335" s="135"/>
    </row>
    <row r="15336" ht="15.75" customHeight="1">
      <c r="A15336" s="59"/>
      <c r="C15336" s="75"/>
      <c r="D15336" s="134"/>
      <c r="E15336" s="135"/>
      <c r="F15336" s="135"/>
    </row>
    <row r="15337" ht="15.75" customHeight="1">
      <c r="A15337" s="59"/>
      <c r="C15337" s="75"/>
      <c r="D15337" s="134"/>
      <c r="E15337" s="135"/>
      <c r="F15337" s="135"/>
    </row>
    <row r="15338" ht="15.75" customHeight="1">
      <c r="A15338" s="59"/>
      <c r="C15338" s="75"/>
      <c r="D15338" s="134"/>
      <c r="E15338" s="135"/>
      <c r="F15338" s="135"/>
    </row>
    <row r="15339" ht="15.75" customHeight="1">
      <c r="A15339" s="59"/>
      <c r="C15339" s="75"/>
      <c r="D15339" s="134"/>
      <c r="E15339" s="135"/>
      <c r="F15339" s="135"/>
    </row>
    <row r="15340" ht="15.75" customHeight="1">
      <c r="A15340" s="59"/>
      <c r="C15340" s="75"/>
      <c r="D15340" s="134"/>
      <c r="E15340" s="135"/>
      <c r="F15340" s="135"/>
    </row>
    <row r="15341" ht="15.75" customHeight="1">
      <c r="A15341" s="59"/>
      <c r="C15341" s="75"/>
      <c r="D15341" s="134"/>
      <c r="E15341" s="135"/>
      <c r="F15341" s="135"/>
    </row>
    <row r="15342" ht="15.75" customHeight="1">
      <c r="A15342" s="59"/>
      <c r="C15342" s="75"/>
      <c r="D15342" s="134"/>
      <c r="E15342" s="135"/>
      <c r="F15342" s="135"/>
    </row>
    <row r="15343" ht="15.75" customHeight="1">
      <c r="A15343" s="59"/>
      <c r="C15343" s="75"/>
      <c r="D15343" s="134"/>
      <c r="E15343" s="135"/>
      <c r="F15343" s="135"/>
    </row>
    <row r="15344" ht="15.75" customHeight="1">
      <c r="A15344" s="59"/>
      <c r="C15344" s="75"/>
      <c r="D15344" s="134"/>
      <c r="E15344" s="135"/>
      <c r="F15344" s="135"/>
    </row>
    <row r="15345" ht="15.75" customHeight="1">
      <c r="A15345" s="59"/>
      <c r="C15345" s="75"/>
      <c r="D15345" s="134"/>
      <c r="E15345" s="135"/>
      <c r="F15345" s="135"/>
    </row>
    <row r="15346" ht="15.75" customHeight="1">
      <c r="A15346" s="59"/>
      <c r="C15346" s="75"/>
      <c r="D15346" s="134"/>
      <c r="E15346" s="135"/>
      <c r="F15346" s="135"/>
    </row>
    <row r="15347" ht="15.75" customHeight="1">
      <c r="A15347" s="59"/>
      <c r="C15347" s="75"/>
      <c r="D15347" s="134"/>
      <c r="E15347" s="135"/>
      <c r="F15347" s="135"/>
    </row>
    <row r="15348" ht="15.75" customHeight="1">
      <c r="A15348" s="59"/>
      <c r="C15348" s="75"/>
      <c r="D15348" s="134"/>
      <c r="E15348" s="135"/>
      <c r="F15348" s="135"/>
    </row>
    <row r="15349" ht="15.75" customHeight="1">
      <c r="A15349" s="59"/>
      <c r="C15349" s="75"/>
      <c r="D15349" s="134"/>
      <c r="E15349" s="135"/>
      <c r="F15349" s="135"/>
    </row>
    <row r="15350" ht="15.75" customHeight="1">
      <c r="A15350" s="59"/>
      <c r="C15350" s="75"/>
      <c r="D15350" s="134"/>
      <c r="E15350" s="135"/>
      <c r="F15350" s="135"/>
    </row>
    <row r="15351" ht="15.75" customHeight="1">
      <c r="A15351" s="59"/>
      <c r="C15351" s="75"/>
      <c r="D15351" s="134"/>
      <c r="E15351" s="135"/>
      <c r="F15351" s="135"/>
    </row>
    <row r="15352" ht="15.75" customHeight="1">
      <c r="A15352" s="59"/>
      <c r="C15352" s="75"/>
      <c r="D15352" s="134"/>
      <c r="E15352" s="135"/>
      <c r="F15352" s="135"/>
    </row>
    <row r="15353" ht="15.75" customHeight="1">
      <c r="A15353" s="59"/>
      <c r="C15353" s="75"/>
      <c r="D15353" s="134"/>
      <c r="E15353" s="135"/>
      <c r="F15353" s="135"/>
    </row>
    <row r="15354" ht="15.75" customHeight="1">
      <c r="A15354" s="59"/>
      <c r="C15354" s="75"/>
      <c r="D15354" s="134"/>
      <c r="E15354" s="135"/>
      <c r="F15354" s="135"/>
    </row>
    <row r="15355" ht="15.75" customHeight="1">
      <c r="A15355" s="59"/>
      <c r="C15355" s="75"/>
      <c r="D15355" s="134"/>
      <c r="E15355" s="135"/>
      <c r="F15355" s="135"/>
    </row>
    <row r="15356" ht="15.75" customHeight="1">
      <c r="A15356" s="59"/>
      <c r="C15356" s="75"/>
      <c r="D15356" s="134"/>
      <c r="E15356" s="135"/>
      <c r="F15356" s="135"/>
    </row>
    <row r="15357" ht="15.75" customHeight="1">
      <c r="A15357" s="59"/>
      <c r="C15357" s="75"/>
      <c r="D15357" s="134"/>
      <c r="E15357" s="135"/>
      <c r="F15357" s="135"/>
    </row>
    <row r="15358" ht="15.75" customHeight="1">
      <c r="A15358" s="59"/>
      <c r="C15358" s="75"/>
      <c r="D15358" s="134"/>
      <c r="E15358" s="135"/>
      <c r="F15358" s="135"/>
    </row>
    <row r="15359" ht="15.75" customHeight="1">
      <c r="A15359" s="59"/>
      <c r="C15359" s="75"/>
      <c r="D15359" s="134"/>
      <c r="E15359" s="135"/>
      <c r="F15359" s="135"/>
    </row>
    <row r="15360" ht="15.75" customHeight="1">
      <c r="A15360" s="59"/>
      <c r="C15360" s="75"/>
      <c r="D15360" s="134"/>
      <c r="E15360" s="135"/>
      <c r="F15360" s="135"/>
    </row>
    <row r="15361" ht="15.75" customHeight="1">
      <c r="A15361" s="59"/>
      <c r="C15361" s="75"/>
      <c r="D15361" s="134"/>
      <c r="E15361" s="135"/>
      <c r="F15361" s="135"/>
    </row>
    <row r="15362" ht="15.75" customHeight="1">
      <c r="A15362" s="59"/>
      <c r="C15362" s="75"/>
      <c r="D15362" s="134"/>
      <c r="E15362" s="135"/>
      <c r="F15362" s="135"/>
    </row>
    <row r="15363" ht="15.75" customHeight="1">
      <c r="A15363" s="59"/>
      <c r="C15363" s="75"/>
      <c r="D15363" s="134"/>
      <c r="E15363" s="135"/>
      <c r="F15363" s="135"/>
    </row>
    <row r="15364" ht="15.75" customHeight="1">
      <c r="A15364" s="59"/>
      <c r="C15364" s="75"/>
      <c r="D15364" s="134"/>
      <c r="E15364" s="135"/>
      <c r="F15364" s="135"/>
    </row>
    <row r="15365" ht="15.75" customHeight="1">
      <c r="A15365" s="59"/>
      <c r="C15365" s="75"/>
      <c r="D15365" s="134"/>
      <c r="E15365" s="135"/>
      <c r="F15365" s="135"/>
    </row>
    <row r="15366" ht="15.75" customHeight="1">
      <c r="A15366" s="59"/>
      <c r="C15366" s="75"/>
      <c r="D15366" s="134"/>
      <c r="E15366" s="135"/>
      <c r="F15366" s="135"/>
    </row>
    <row r="15367" ht="15.75" customHeight="1">
      <c r="A15367" s="59"/>
      <c r="C15367" s="75"/>
      <c r="D15367" s="134"/>
      <c r="E15367" s="135"/>
      <c r="F15367" s="135"/>
    </row>
    <row r="15368" ht="15.75" customHeight="1">
      <c r="A15368" s="59"/>
      <c r="C15368" s="75"/>
      <c r="D15368" s="134"/>
      <c r="E15368" s="135"/>
      <c r="F15368" s="135"/>
    </row>
    <row r="15369" ht="15.75" customHeight="1">
      <c r="A15369" s="59"/>
      <c r="C15369" s="75"/>
      <c r="D15369" s="134"/>
      <c r="E15369" s="135"/>
      <c r="F15369" s="135"/>
    </row>
    <row r="15370" ht="15.75" customHeight="1">
      <c r="A15370" s="59"/>
      <c r="C15370" s="75"/>
      <c r="D15370" s="134"/>
      <c r="E15370" s="135"/>
      <c r="F15370" s="135"/>
    </row>
    <row r="15371" ht="15.75" customHeight="1">
      <c r="A15371" s="59"/>
      <c r="C15371" s="75"/>
      <c r="D15371" s="134"/>
      <c r="E15371" s="135"/>
      <c r="F15371" s="135"/>
    </row>
    <row r="15372" ht="15.75" customHeight="1">
      <c r="A15372" s="59"/>
      <c r="C15372" s="75"/>
      <c r="D15372" s="134"/>
      <c r="E15372" s="135"/>
      <c r="F15372" s="135"/>
    </row>
    <row r="15373" ht="15.75" customHeight="1">
      <c r="A15373" s="59"/>
      <c r="C15373" s="75"/>
      <c r="D15373" s="134"/>
      <c r="E15373" s="135"/>
      <c r="F15373" s="135"/>
    </row>
    <row r="15374" ht="15.75" customHeight="1">
      <c r="A15374" s="59"/>
      <c r="C15374" s="75"/>
      <c r="D15374" s="134"/>
      <c r="E15374" s="135"/>
      <c r="F15374" s="135"/>
    </row>
    <row r="15375" ht="15.75" customHeight="1">
      <c r="A15375" s="59"/>
      <c r="C15375" s="75"/>
      <c r="D15375" s="134"/>
      <c r="E15375" s="135"/>
      <c r="F15375" s="135"/>
    </row>
    <row r="15376" ht="15.75" customHeight="1">
      <c r="A15376" s="59"/>
      <c r="C15376" s="75"/>
      <c r="D15376" s="134"/>
      <c r="E15376" s="135"/>
      <c r="F15376" s="135"/>
    </row>
    <row r="15377" ht="15.75" customHeight="1">
      <c r="A15377" s="59"/>
      <c r="C15377" s="75"/>
      <c r="D15377" s="134"/>
      <c r="E15377" s="135"/>
      <c r="F15377" s="135"/>
    </row>
    <row r="15378" ht="15.75" customHeight="1">
      <c r="A15378" s="59"/>
      <c r="C15378" s="75"/>
      <c r="D15378" s="134"/>
      <c r="E15378" s="135"/>
      <c r="F15378" s="135"/>
    </row>
    <row r="15379" ht="15.75" customHeight="1">
      <c r="A15379" s="59"/>
      <c r="C15379" s="75"/>
      <c r="D15379" s="134"/>
      <c r="E15379" s="135"/>
      <c r="F15379" s="135"/>
    </row>
    <row r="15380" ht="15.75" customHeight="1">
      <c r="A15380" s="59"/>
      <c r="C15380" s="75"/>
      <c r="D15380" s="134"/>
      <c r="E15380" s="135"/>
      <c r="F15380" s="135"/>
    </row>
    <row r="15381" ht="15.75" customHeight="1">
      <c r="A15381" s="59"/>
      <c r="C15381" s="75"/>
      <c r="D15381" s="134"/>
      <c r="E15381" s="135"/>
      <c r="F15381" s="135"/>
    </row>
    <row r="15382" ht="15.75" customHeight="1">
      <c r="A15382" s="59"/>
      <c r="C15382" s="75"/>
      <c r="D15382" s="134"/>
      <c r="E15382" s="135"/>
      <c r="F15382" s="135"/>
    </row>
    <row r="15383" ht="15.75" customHeight="1">
      <c r="A15383" s="59"/>
      <c r="C15383" s="75"/>
      <c r="D15383" s="134"/>
      <c r="E15383" s="135"/>
      <c r="F15383" s="135"/>
    </row>
    <row r="15384" ht="15.75" customHeight="1">
      <c r="A15384" s="59"/>
      <c r="C15384" s="75"/>
      <c r="D15384" s="134"/>
      <c r="E15384" s="135"/>
      <c r="F15384" s="135"/>
    </row>
    <row r="15385" ht="15.75" customHeight="1">
      <c r="A15385" s="59"/>
      <c r="C15385" s="75"/>
      <c r="D15385" s="134"/>
      <c r="E15385" s="135"/>
      <c r="F15385" s="135"/>
    </row>
    <row r="15386" ht="15.75" customHeight="1">
      <c r="A15386" s="59"/>
      <c r="C15386" s="75"/>
      <c r="D15386" s="134"/>
      <c r="E15386" s="135"/>
      <c r="F15386" s="135"/>
    </row>
    <row r="15387" ht="15.75" customHeight="1">
      <c r="A15387" s="59"/>
      <c r="C15387" s="75"/>
      <c r="D15387" s="134"/>
      <c r="E15387" s="135"/>
      <c r="F15387" s="135"/>
    </row>
    <row r="15388" ht="15.75" customHeight="1">
      <c r="A15388" s="59"/>
      <c r="C15388" s="75"/>
      <c r="D15388" s="134"/>
      <c r="E15388" s="135"/>
      <c r="F15388" s="135"/>
    </row>
    <row r="15389" ht="15.75" customHeight="1">
      <c r="A15389" s="59"/>
      <c r="C15389" s="75"/>
      <c r="D15389" s="134"/>
      <c r="E15389" s="135"/>
      <c r="F15389" s="135"/>
    </row>
    <row r="15390" ht="15.75" customHeight="1">
      <c r="A15390" s="59"/>
      <c r="C15390" s="75"/>
      <c r="D15390" s="134"/>
      <c r="E15390" s="135"/>
      <c r="F15390" s="135"/>
    </row>
    <row r="15391" ht="15.75" customHeight="1">
      <c r="A15391" s="59"/>
      <c r="C15391" s="75"/>
      <c r="D15391" s="134"/>
      <c r="E15391" s="135"/>
      <c r="F15391" s="135"/>
    </row>
    <row r="15392" ht="15.75" customHeight="1">
      <c r="A15392" s="59"/>
      <c r="C15392" s="75"/>
      <c r="D15392" s="134"/>
      <c r="E15392" s="135"/>
      <c r="F15392" s="135"/>
    </row>
    <row r="15393" ht="15.75" customHeight="1">
      <c r="A15393" s="59"/>
      <c r="C15393" s="75"/>
      <c r="D15393" s="134"/>
      <c r="E15393" s="135"/>
      <c r="F15393" s="135"/>
    </row>
    <row r="15394" ht="15.75" customHeight="1">
      <c r="A15394" s="59"/>
      <c r="C15394" s="75"/>
      <c r="D15394" s="134"/>
      <c r="E15394" s="135"/>
      <c r="F15394" s="135"/>
    </row>
    <row r="15395" ht="15.75" customHeight="1">
      <c r="A15395" s="59"/>
      <c r="C15395" s="75"/>
      <c r="D15395" s="134"/>
      <c r="E15395" s="135"/>
      <c r="F15395" s="135"/>
    </row>
    <row r="15396" ht="15.75" customHeight="1">
      <c r="A15396" s="59"/>
      <c r="C15396" s="75"/>
      <c r="D15396" s="134"/>
      <c r="E15396" s="135"/>
      <c r="F15396" s="135"/>
    </row>
    <row r="15397" ht="15.75" customHeight="1">
      <c r="A15397" s="59"/>
      <c r="C15397" s="75"/>
      <c r="D15397" s="134"/>
      <c r="E15397" s="135"/>
      <c r="F15397" s="135"/>
    </row>
    <row r="15398" ht="15.75" customHeight="1">
      <c r="A15398" s="59"/>
      <c r="C15398" s="75"/>
      <c r="D15398" s="134"/>
      <c r="E15398" s="135"/>
      <c r="F15398" s="135"/>
    </row>
    <row r="15399" ht="15.75" customHeight="1">
      <c r="A15399" s="59"/>
      <c r="C15399" s="75"/>
      <c r="D15399" s="134"/>
      <c r="E15399" s="135"/>
      <c r="F15399" s="135"/>
    </row>
    <row r="15400" ht="15.75" customHeight="1">
      <c r="A15400" s="59"/>
      <c r="C15400" s="75"/>
      <c r="D15400" s="134"/>
      <c r="E15400" s="135"/>
      <c r="F15400" s="135"/>
    </row>
    <row r="15401" ht="15.75" customHeight="1">
      <c r="A15401" s="59"/>
      <c r="C15401" s="75"/>
      <c r="D15401" s="134"/>
      <c r="E15401" s="135"/>
      <c r="F15401" s="135"/>
    </row>
    <row r="15402" ht="15.75" customHeight="1">
      <c r="A15402" s="59"/>
      <c r="C15402" s="75"/>
      <c r="D15402" s="134"/>
      <c r="E15402" s="135"/>
      <c r="F15402" s="135"/>
    </row>
    <row r="15403" ht="15.75" customHeight="1">
      <c r="A15403" s="59"/>
      <c r="C15403" s="75"/>
      <c r="D15403" s="134"/>
      <c r="E15403" s="135"/>
      <c r="F15403" s="135"/>
    </row>
    <row r="15404" ht="15.75" customHeight="1">
      <c r="A15404" s="59"/>
      <c r="C15404" s="75"/>
      <c r="D15404" s="134"/>
      <c r="E15404" s="135"/>
      <c r="F15404" s="135"/>
    </row>
    <row r="15405" ht="15.75" customHeight="1">
      <c r="A15405" s="59"/>
      <c r="C15405" s="75"/>
      <c r="D15405" s="134"/>
      <c r="E15405" s="135"/>
      <c r="F15405" s="135"/>
    </row>
    <row r="15406" ht="15.75" customHeight="1">
      <c r="A15406" s="59"/>
      <c r="C15406" s="75"/>
      <c r="D15406" s="134"/>
      <c r="E15406" s="135"/>
      <c r="F15406" s="135"/>
    </row>
    <row r="15407" ht="15.75" customHeight="1">
      <c r="A15407" s="59"/>
      <c r="C15407" s="75"/>
      <c r="D15407" s="134"/>
      <c r="E15407" s="135"/>
      <c r="F15407" s="135"/>
    </row>
    <row r="15408" ht="15.75" customHeight="1">
      <c r="A15408" s="59"/>
      <c r="C15408" s="75"/>
      <c r="D15408" s="134"/>
      <c r="E15408" s="135"/>
      <c r="F15408" s="135"/>
    </row>
    <row r="15409" ht="15.75" customHeight="1">
      <c r="A15409" s="59"/>
      <c r="C15409" s="75"/>
      <c r="D15409" s="134"/>
      <c r="E15409" s="135"/>
      <c r="F15409" s="135"/>
    </row>
    <row r="15410" ht="15.75" customHeight="1">
      <c r="A15410" s="59"/>
      <c r="C15410" s="75"/>
      <c r="D15410" s="134"/>
      <c r="E15410" s="135"/>
      <c r="F15410" s="135"/>
    </row>
    <row r="15411" ht="15.75" customHeight="1">
      <c r="A15411" s="59"/>
      <c r="C15411" s="75"/>
      <c r="D15411" s="134"/>
      <c r="E15411" s="135"/>
      <c r="F15411" s="135"/>
    </row>
    <row r="15412" ht="15.75" customHeight="1">
      <c r="A15412" s="59"/>
      <c r="C15412" s="75"/>
      <c r="D15412" s="134"/>
      <c r="E15412" s="135"/>
      <c r="F15412" s="135"/>
    </row>
    <row r="15413" ht="15.75" customHeight="1">
      <c r="A15413" s="59"/>
      <c r="C15413" s="75"/>
      <c r="D15413" s="134"/>
      <c r="E15413" s="135"/>
      <c r="F15413" s="135"/>
    </row>
    <row r="15414" ht="15.75" customHeight="1">
      <c r="A15414" s="59"/>
      <c r="C15414" s="75"/>
      <c r="D15414" s="134"/>
      <c r="E15414" s="135"/>
      <c r="F15414" s="135"/>
    </row>
    <row r="15415" ht="15.75" customHeight="1">
      <c r="A15415" s="59"/>
      <c r="C15415" s="75"/>
      <c r="D15415" s="134"/>
      <c r="E15415" s="135"/>
      <c r="F15415" s="135"/>
    </row>
    <row r="15416" ht="15.75" customHeight="1">
      <c r="A15416" s="59"/>
      <c r="C15416" s="75"/>
      <c r="D15416" s="134"/>
      <c r="E15416" s="135"/>
      <c r="F15416" s="135"/>
    </row>
    <row r="15417" ht="15.75" customHeight="1">
      <c r="A15417" s="59"/>
      <c r="C15417" s="75"/>
      <c r="D15417" s="134"/>
      <c r="E15417" s="135"/>
      <c r="F15417" s="135"/>
    </row>
    <row r="15418" ht="15.75" customHeight="1">
      <c r="A15418" s="59"/>
      <c r="C15418" s="75"/>
      <c r="D15418" s="134"/>
      <c r="E15418" s="135"/>
      <c r="F15418" s="135"/>
    </row>
    <row r="15419" ht="15.75" customHeight="1">
      <c r="A15419" s="59"/>
      <c r="C15419" s="75"/>
      <c r="D15419" s="134"/>
      <c r="E15419" s="135"/>
      <c r="F15419" s="135"/>
    </row>
    <row r="15420" ht="15.75" customHeight="1">
      <c r="A15420" s="59"/>
      <c r="C15420" s="75"/>
      <c r="D15420" s="134"/>
      <c r="E15420" s="135"/>
      <c r="F15420" s="135"/>
    </row>
    <row r="15421" ht="15.75" customHeight="1">
      <c r="A15421" s="59"/>
      <c r="C15421" s="75"/>
      <c r="D15421" s="134"/>
      <c r="E15421" s="135"/>
      <c r="F15421" s="135"/>
    </row>
    <row r="15422" ht="15.75" customHeight="1">
      <c r="A15422" s="59"/>
      <c r="C15422" s="75"/>
      <c r="D15422" s="134"/>
      <c r="E15422" s="135"/>
      <c r="F15422" s="135"/>
    </row>
    <row r="15423" ht="15.75" customHeight="1">
      <c r="A15423" s="59"/>
      <c r="C15423" s="75"/>
      <c r="D15423" s="134"/>
      <c r="E15423" s="135"/>
      <c r="F15423" s="135"/>
    </row>
    <row r="15424" ht="15.75" customHeight="1">
      <c r="A15424" s="59"/>
      <c r="C15424" s="75"/>
      <c r="D15424" s="134"/>
      <c r="E15424" s="135"/>
      <c r="F15424" s="135"/>
    </row>
    <row r="15425" ht="15.75" customHeight="1">
      <c r="A15425" s="59"/>
      <c r="C15425" s="75"/>
      <c r="D15425" s="134"/>
      <c r="E15425" s="135"/>
      <c r="F15425" s="135"/>
    </row>
    <row r="15426" ht="15.75" customHeight="1">
      <c r="A15426" s="59"/>
      <c r="C15426" s="75"/>
      <c r="D15426" s="134"/>
      <c r="E15426" s="135"/>
      <c r="F15426" s="135"/>
    </row>
    <row r="15427" ht="15.75" customHeight="1">
      <c r="A15427" s="59"/>
      <c r="C15427" s="75"/>
      <c r="D15427" s="134"/>
      <c r="E15427" s="135"/>
      <c r="F15427" s="135"/>
    </row>
    <row r="15428" ht="15.75" customHeight="1">
      <c r="A15428" s="59"/>
      <c r="C15428" s="75"/>
      <c r="D15428" s="134"/>
      <c r="E15428" s="135"/>
      <c r="F15428" s="135"/>
    </row>
    <row r="15429" ht="15.75" customHeight="1">
      <c r="A15429" s="59"/>
      <c r="C15429" s="75"/>
      <c r="D15429" s="134"/>
      <c r="E15429" s="135"/>
      <c r="F15429" s="135"/>
    </row>
    <row r="15430" ht="15.75" customHeight="1">
      <c r="A15430" s="59"/>
      <c r="C15430" s="75"/>
      <c r="D15430" s="134"/>
      <c r="E15430" s="135"/>
      <c r="F15430" s="135"/>
    </row>
    <row r="15431" ht="15.75" customHeight="1">
      <c r="A15431" s="59"/>
      <c r="C15431" s="75"/>
      <c r="D15431" s="134"/>
      <c r="E15431" s="135"/>
      <c r="F15431" s="135"/>
    </row>
    <row r="15432" ht="15.75" customHeight="1">
      <c r="A15432" s="59"/>
      <c r="C15432" s="75"/>
      <c r="D15432" s="134"/>
      <c r="E15432" s="135"/>
      <c r="F15432" s="135"/>
    </row>
    <row r="15433" ht="15.75" customHeight="1">
      <c r="A15433" s="59"/>
      <c r="C15433" s="75"/>
      <c r="D15433" s="134"/>
      <c r="E15433" s="135"/>
      <c r="F15433" s="135"/>
    </row>
    <row r="15434" ht="15.75" customHeight="1">
      <c r="A15434" s="59"/>
      <c r="C15434" s="75"/>
      <c r="D15434" s="134"/>
      <c r="E15434" s="135"/>
      <c r="F15434" s="135"/>
    </row>
    <row r="15435" ht="15.75" customHeight="1">
      <c r="A15435" s="59"/>
      <c r="C15435" s="75"/>
      <c r="D15435" s="134"/>
      <c r="E15435" s="135"/>
      <c r="F15435" s="135"/>
    </row>
    <row r="15436" ht="15.75" customHeight="1">
      <c r="A15436" s="59"/>
      <c r="C15436" s="75"/>
      <c r="D15436" s="134"/>
      <c r="E15436" s="135"/>
      <c r="F15436" s="135"/>
    </row>
    <row r="15437" ht="15.75" customHeight="1">
      <c r="A15437" s="59"/>
      <c r="C15437" s="75"/>
      <c r="D15437" s="134"/>
      <c r="E15437" s="135"/>
      <c r="F15437" s="135"/>
    </row>
    <row r="15438" ht="15.75" customHeight="1">
      <c r="A15438" s="59"/>
      <c r="C15438" s="75"/>
      <c r="D15438" s="134"/>
      <c r="E15438" s="135"/>
      <c r="F15438" s="135"/>
    </row>
    <row r="15439" ht="15.75" customHeight="1">
      <c r="A15439" s="59"/>
      <c r="C15439" s="75"/>
      <c r="D15439" s="134"/>
      <c r="E15439" s="135"/>
      <c r="F15439" s="135"/>
    </row>
    <row r="15440" ht="15.75" customHeight="1">
      <c r="A15440" s="59"/>
      <c r="C15440" s="75"/>
      <c r="D15440" s="134"/>
      <c r="E15440" s="135"/>
      <c r="F15440" s="135"/>
    </row>
    <row r="15441" ht="15.75" customHeight="1">
      <c r="A15441" s="59"/>
      <c r="C15441" s="75"/>
      <c r="D15441" s="134"/>
      <c r="E15441" s="135"/>
      <c r="F15441" s="135"/>
    </row>
    <row r="15442" ht="15.75" customHeight="1">
      <c r="A15442" s="59"/>
      <c r="C15442" s="75"/>
      <c r="D15442" s="134"/>
      <c r="E15442" s="135"/>
      <c r="F15442" s="135"/>
    </row>
    <row r="15443" ht="15.75" customHeight="1">
      <c r="A15443" s="59"/>
      <c r="C15443" s="75"/>
      <c r="D15443" s="134"/>
      <c r="E15443" s="135"/>
      <c r="F15443" s="135"/>
    </row>
    <row r="15444" ht="15.75" customHeight="1">
      <c r="A15444" s="59"/>
      <c r="C15444" s="75"/>
      <c r="D15444" s="134"/>
      <c r="E15444" s="135"/>
      <c r="F15444" s="135"/>
    </row>
    <row r="15445" ht="15.75" customHeight="1">
      <c r="A15445" s="59"/>
      <c r="C15445" s="75"/>
      <c r="D15445" s="134"/>
      <c r="E15445" s="135"/>
      <c r="F15445" s="135"/>
    </row>
    <row r="15446" ht="15.75" customHeight="1">
      <c r="A15446" s="59"/>
      <c r="C15446" s="75"/>
      <c r="D15446" s="134"/>
      <c r="E15446" s="135"/>
      <c r="F15446" s="135"/>
    </row>
    <row r="15447" ht="15.75" customHeight="1">
      <c r="A15447" s="59"/>
      <c r="C15447" s="75"/>
      <c r="D15447" s="134"/>
      <c r="E15447" s="135"/>
      <c r="F15447" s="135"/>
    </row>
    <row r="15448" ht="15.75" customHeight="1">
      <c r="A15448" s="59"/>
      <c r="C15448" s="75"/>
      <c r="D15448" s="134"/>
      <c r="E15448" s="135"/>
      <c r="F15448" s="135"/>
    </row>
    <row r="15449" ht="15.75" customHeight="1">
      <c r="A15449" s="59"/>
      <c r="C15449" s="75"/>
      <c r="D15449" s="134"/>
      <c r="E15449" s="135"/>
      <c r="F15449" s="135"/>
    </row>
    <row r="15450" ht="15.75" customHeight="1">
      <c r="A15450" s="59"/>
      <c r="C15450" s="75"/>
      <c r="D15450" s="134"/>
      <c r="E15450" s="135"/>
      <c r="F15450" s="135"/>
    </row>
    <row r="15451" ht="15.75" customHeight="1">
      <c r="A15451" s="59"/>
      <c r="C15451" s="75"/>
      <c r="D15451" s="134"/>
      <c r="E15451" s="135"/>
      <c r="F15451" s="135"/>
    </row>
    <row r="15452" ht="15.75" customHeight="1">
      <c r="A15452" s="59"/>
      <c r="C15452" s="75"/>
      <c r="D15452" s="134"/>
      <c r="E15452" s="135"/>
      <c r="F15452" s="135"/>
    </row>
    <row r="15453" ht="15.75" customHeight="1">
      <c r="A15453" s="59"/>
      <c r="C15453" s="75"/>
      <c r="D15453" s="134"/>
      <c r="E15453" s="135"/>
      <c r="F15453" s="135"/>
    </row>
    <row r="15454" ht="15.75" customHeight="1">
      <c r="A15454" s="59"/>
      <c r="C15454" s="75"/>
      <c r="D15454" s="134"/>
      <c r="E15454" s="135"/>
      <c r="F15454" s="135"/>
    </row>
    <row r="15455" ht="15.75" customHeight="1">
      <c r="A15455" s="59"/>
      <c r="C15455" s="75"/>
      <c r="D15455" s="134"/>
      <c r="E15455" s="135"/>
      <c r="F15455" s="135"/>
    </row>
    <row r="15456" ht="15.75" customHeight="1">
      <c r="A15456" s="59"/>
      <c r="C15456" s="75"/>
      <c r="D15456" s="134"/>
      <c r="E15456" s="135"/>
      <c r="F15456" s="135"/>
    </row>
    <row r="15457" ht="15.75" customHeight="1">
      <c r="A15457" s="59"/>
      <c r="C15457" s="75"/>
      <c r="D15457" s="134"/>
      <c r="E15457" s="135"/>
      <c r="F15457" s="135"/>
    </row>
    <row r="15458" ht="15.75" customHeight="1">
      <c r="A15458" s="59"/>
      <c r="C15458" s="75"/>
      <c r="D15458" s="134"/>
      <c r="E15458" s="135"/>
      <c r="F15458" s="135"/>
    </row>
    <row r="15459" ht="15.75" customHeight="1">
      <c r="A15459" s="59"/>
      <c r="C15459" s="75"/>
      <c r="D15459" s="134"/>
      <c r="E15459" s="135"/>
      <c r="F15459" s="135"/>
    </row>
    <row r="15460" ht="15.75" customHeight="1">
      <c r="A15460" s="59"/>
      <c r="C15460" s="75"/>
      <c r="D15460" s="134"/>
      <c r="E15460" s="135"/>
      <c r="F15460" s="135"/>
    </row>
    <row r="15461" ht="15.75" customHeight="1">
      <c r="A15461" s="59"/>
      <c r="C15461" s="75"/>
      <c r="D15461" s="134"/>
      <c r="E15461" s="135"/>
      <c r="F15461" s="135"/>
    </row>
    <row r="15462" ht="15.75" customHeight="1">
      <c r="A15462" s="59"/>
      <c r="C15462" s="75"/>
      <c r="D15462" s="134"/>
      <c r="E15462" s="135"/>
      <c r="F15462" s="135"/>
    </row>
    <row r="15463" ht="15.75" customHeight="1">
      <c r="A15463" s="59"/>
      <c r="C15463" s="75"/>
      <c r="D15463" s="134"/>
      <c r="E15463" s="135"/>
      <c r="F15463" s="135"/>
    </row>
    <row r="15464" ht="15.75" customHeight="1">
      <c r="A15464" s="59"/>
      <c r="C15464" s="75"/>
      <c r="D15464" s="134"/>
      <c r="E15464" s="135"/>
      <c r="F15464" s="135"/>
    </row>
    <row r="15465" ht="15.75" customHeight="1">
      <c r="A15465" s="59"/>
      <c r="C15465" s="75"/>
      <c r="D15465" s="134"/>
      <c r="E15465" s="135"/>
      <c r="F15465" s="135"/>
    </row>
    <row r="15466" ht="15.75" customHeight="1">
      <c r="A15466" s="59"/>
      <c r="C15466" s="75"/>
      <c r="D15466" s="134"/>
      <c r="E15466" s="135"/>
      <c r="F15466" s="135"/>
    </row>
    <row r="15467" ht="15.75" customHeight="1">
      <c r="A15467" s="59"/>
      <c r="C15467" s="75"/>
      <c r="D15467" s="134"/>
      <c r="E15467" s="135"/>
      <c r="F15467" s="135"/>
    </row>
    <row r="15468" ht="15.75" customHeight="1">
      <c r="A15468" s="59"/>
      <c r="C15468" s="75"/>
      <c r="D15468" s="134"/>
      <c r="E15468" s="135"/>
      <c r="F15468" s="135"/>
    </row>
    <row r="15469" ht="15.75" customHeight="1">
      <c r="A15469" s="59"/>
      <c r="C15469" s="75"/>
      <c r="D15469" s="134"/>
      <c r="E15469" s="135"/>
      <c r="F15469" s="135"/>
    </row>
    <row r="15470" ht="15.75" customHeight="1">
      <c r="A15470" s="59"/>
      <c r="C15470" s="75"/>
      <c r="D15470" s="134"/>
      <c r="E15470" s="135"/>
      <c r="F15470" s="135"/>
    </row>
    <row r="15471" ht="15.75" customHeight="1">
      <c r="A15471" s="59"/>
      <c r="C15471" s="75"/>
      <c r="D15471" s="134"/>
      <c r="E15471" s="135"/>
      <c r="F15471" s="135"/>
    </row>
    <row r="15472" ht="15.75" customHeight="1">
      <c r="A15472" s="59"/>
      <c r="C15472" s="75"/>
      <c r="D15472" s="134"/>
      <c r="E15472" s="135"/>
      <c r="F15472" s="135"/>
    </row>
    <row r="15473" ht="15.75" customHeight="1">
      <c r="A15473" s="59"/>
      <c r="C15473" s="75"/>
      <c r="D15473" s="134"/>
      <c r="E15473" s="135"/>
      <c r="F15473" s="135"/>
    </row>
    <row r="15474" ht="15.75" customHeight="1">
      <c r="A15474" s="59"/>
      <c r="C15474" s="75"/>
      <c r="D15474" s="134"/>
      <c r="E15474" s="135"/>
      <c r="F15474" s="135"/>
    </row>
    <row r="15475" ht="15.75" customHeight="1">
      <c r="A15475" s="59"/>
      <c r="C15475" s="75"/>
      <c r="D15475" s="134"/>
      <c r="E15475" s="135"/>
      <c r="F15475" s="135"/>
    </row>
    <row r="15476" ht="15.75" customHeight="1">
      <c r="A15476" s="59"/>
      <c r="C15476" s="75"/>
      <c r="D15476" s="134"/>
      <c r="E15476" s="135"/>
      <c r="F15476" s="135"/>
    </row>
    <row r="15477" ht="15.75" customHeight="1">
      <c r="A15477" s="59"/>
      <c r="C15477" s="75"/>
      <c r="D15477" s="134"/>
      <c r="E15477" s="135"/>
      <c r="F15477" s="135"/>
    </row>
    <row r="15478" ht="15.75" customHeight="1">
      <c r="A15478" s="59"/>
      <c r="C15478" s="75"/>
      <c r="D15478" s="134"/>
      <c r="E15478" s="135"/>
      <c r="F15478" s="135"/>
    </row>
    <row r="15479" ht="15.75" customHeight="1">
      <c r="A15479" s="59"/>
      <c r="C15479" s="75"/>
      <c r="D15479" s="134"/>
      <c r="E15479" s="135"/>
      <c r="F15479" s="135"/>
    </row>
    <row r="15480" ht="15.75" customHeight="1">
      <c r="A15480" s="59"/>
      <c r="C15480" s="75"/>
      <c r="D15480" s="134"/>
      <c r="E15480" s="135"/>
      <c r="F15480" s="135"/>
    </row>
    <row r="15481" ht="15.75" customHeight="1">
      <c r="A15481" s="59"/>
      <c r="C15481" s="75"/>
      <c r="D15481" s="134"/>
      <c r="E15481" s="135"/>
      <c r="F15481" s="135"/>
    </row>
    <row r="15482" ht="15.75" customHeight="1">
      <c r="A15482" s="59"/>
      <c r="C15482" s="75"/>
      <c r="D15482" s="134"/>
      <c r="E15482" s="135"/>
      <c r="F15482" s="135"/>
    </row>
    <row r="15483" ht="15.75" customHeight="1">
      <c r="A15483" s="59"/>
      <c r="C15483" s="75"/>
      <c r="D15483" s="134"/>
      <c r="E15483" s="135"/>
      <c r="F15483" s="135"/>
    </row>
    <row r="15484" ht="15.75" customHeight="1">
      <c r="A15484" s="59"/>
      <c r="C15484" s="75"/>
      <c r="D15484" s="134"/>
      <c r="E15484" s="135"/>
      <c r="F15484" s="135"/>
    </row>
    <row r="15485" ht="15.75" customHeight="1">
      <c r="A15485" s="59"/>
      <c r="C15485" s="75"/>
      <c r="D15485" s="134"/>
      <c r="E15485" s="135"/>
      <c r="F15485" s="135"/>
    </row>
    <row r="15486" ht="15.75" customHeight="1">
      <c r="A15486" s="59"/>
      <c r="C15486" s="75"/>
      <c r="D15486" s="134"/>
      <c r="E15486" s="135"/>
      <c r="F15486" s="135"/>
    </row>
    <row r="15487" ht="15.75" customHeight="1">
      <c r="A15487" s="59"/>
      <c r="C15487" s="75"/>
      <c r="D15487" s="134"/>
      <c r="E15487" s="135"/>
      <c r="F15487" s="135"/>
    </row>
    <row r="15488" ht="15.75" customHeight="1">
      <c r="A15488" s="59"/>
      <c r="C15488" s="75"/>
      <c r="D15488" s="134"/>
      <c r="E15488" s="135"/>
      <c r="F15488" s="135"/>
    </row>
    <row r="15489" ht="15.75" customHeight="1">
      <c r="A15489" s="59"/>
      <c r="C15489" s="75"/>
      <c r="D15489" s="134"/>
      <c r="E15489" s="135"/>
      <c r="F15489" s="135"/>
    </row>
    <row r="15490" ht="15.75" customHeight="1">
      <c r="A15490" s="59"/>
      <c r="C15490" s="75"/>
      <c r="D15490" s="134"/>
      <c r="E15490" s="135"/>
      <c r="F15490" s="135"/>
    </row>
    <row r="15491" ht="15.75" customHeight="1">
      <c r="A15491" s="59"/>
      <c r="C15491" s="75"/>
      <c r="D15491" s="134"/>
      <c r="E15491" s="135"/>
      <c r="F15491" s="135"/>
    </row>
    <row r="15492" ht="15.75" customHeight="1">
      <c r="A15492" s="59"/>
      <c r="C15492" s="75"/>
      <c r="D15492" s="134"/>
      <c r="E15492" s="135"/>
      <c r="F15492" s="135"/>
    </row>
    <row r="15493" ht="15.75" customHeight="1">
      <c r="A15493" s="59"/>
      <c r="C15493" s="75"/>
      <c r="D15493" s="134"/>
      <c r="E15493" s="135"/>
      <c r="F15493" s="135"/>
    </row>
    <row r="15494" ht="15.75" customHeight="1">
      <c r="A15494" s="59"/>
      <c r="C15494" s="75"/>
      <c r="D15494" s="134"/>
      <c r="E15494" s="135"/>
      <c r="F15494" s="135"/>
    </row>
    <row r="15495" ht="15.75" customHeight="1">
      <c r="A15495" s="59"/>
      <c r="C15495" s="75"/>
      <c r="D15495" s="134"/>
      <c r="E15495" s="135"/>
      <c r="F15495" s="135"/>
    </row>
    <row r="15496" ht="15.75" customHeight="1">
      <c r="A15496" s="59"/>
      <c r="C15496" s="75"/>
      <c r="D15496" s="134"/>
      <c r="E15496" s="135"/>
      <c r="F15496" s="135"/>
    </row>
    <row r="15497" ht="15.75" customHeight="1">
      <c r="A15497" s="59"/>
      <c r="C15497" s="75"/>
      <c r="D15497" s="134"/>
      <c r="E15497" s="135"/>
      <c r="F15497" s="135"/>
    </row>
    <row r="15498" ht="15.75" customHeight="1">
      <c r="A15498" s="59"/>
      <c r="C15498" s="75"/>
      <c r="D15498" s="134"/>
      <c r="E15498" s="135"/>
      <c r="F15498" s="135"/>
    </row>
    <row r="15499" ht="15.75" customHeight="1">
      <c r="A15499" s="59"/>
      <c r="C15499" s="75"/>
      <c r="D15499" s="134"/>
      <c r="E15499" s="135"/>
      <c r="F15499" s="135"/>
    </row>
    <row r="15500" ht="15.75" customHeight="1">
      <c r="A15500" s="59"/>
      <c r="C15500" s="75"/>
      <c r="D15500" s="134"/>
      <c r="E15500" s="135"/>
      <c r="F15500" s="135"/>
    </row>
    <row r="15501" ht="15.75" customHeight="1">
      <c r="A15501" s="59"/>
      <c r="C15501" s="75"/>
      <c r="D15501" s="134"/>
      <c r="E15501" s="135"/>
      <c r="F15501" s="135"/>
    </row>
    <row r="15502" ht="15.75" customHeight="1">
      <c r="A15502" s="59"/>
      <c r="C15502" s="75"/>
      <c r="D15502" s="134"/>
      <c r="E15502" s="135"/>
      <c r="F15502" s="135"/>
    </row>
    <row r="15503" ht="15.75" customHeight="1">
      <c r="A15503" s="59"/>
      <c r="C15503" s="75"/>
      <c r="D15503" s="134"/>
      <c r="E15503" s="135"/>
      <c r="F15503" s="135"/>
    </row>
    <row r="15504" ht="15.75" customHeight="1">
      <c r="A15504" s="59"/>
      <c r="C15504" s="75"/>
      <c r="D15504" s="134"/>
      <c r="E15504" s="135"/>
      <c r="F15504" s="135"/>
    </row>
    <row r="15505" ht="15.75" customHeight="1">
      <c r="A15505" s="59"/>
      <c r="C15505" s="75"/>
      <c r="D15505" s="134"/>
      <c r="E15505" s="135"/>
      <c r="F15505" s="135"/>
    </row>
    <row r="15506" ht="15.75" customHeight="1">
      <c r="A15506" s="59"/>
      <c r="C15506" s="75"/>
      <c r="D15506" s="134"/>
      <c r="E15506" s="135"/>
      <c r="F15506" s="135"/>
    </row>
    <row r="15507" ht="15.75" customHeight="1">
      <c r="A15507" s="59"/>
      <c r="C15507" s="75"/>
      <c r="D15507" s="134"/>
      <c r="E15507" s="135"/>
      <c r="F15507" s="135"/>
    </row>
    <row r="15508" ht="15.75" customHeight="1">
      <c r="A15508" s="59"/>
      <c r="C15508" s="75"/>
      <c r="D15508" s="134"/>
      <c r="E15508" s="135"/>
      <c r="F15508" s="135"/>
    </row>
    <row r="15509" ht="15.75" customHeight="1">
      <c r="A15509" s="59"/>
      <c r="C15509" s="75"/>
      <c r="D15509" s="134"/>
      <c r="E15509" s="135"/>
      <c r="F15509" s="135"/>
    </row>
    <row r="15510" ht="15.75" customHeight="1">
      <c r="A15510" s="59"/>
      <c r="C15510" s="75"/>
      <c r="D15510" s="134"/>
      <c r="E15510" s="135"/>
      <c r="F15510" s="135"/>
    </row>
    <row r="15511" ht="15.75" customHeight="1">
      <c r="A15511" s="59"/>
      <c r="C15511" s="75"/>
      <c r="D15511" s="134"/>
      <c r="E15511" s="135"/>
      <c r="F15511" s="135"/>
    </row>
    <row r="15512" ht="15.75" customHeight="1">
      <c r="A15512" s="59"/>
      <c r="C15512" s="75"/>
      <c r="D15512" s="134"/>
      <c r="E15512" s="135"/>
      <c r="F15512" s="135"/>
    </row>
    <row r="15513" ht="15.75" customHeight="1">
      <c r="A15513" s="59"/>
      <c r="C15513" s="75"/>
      <c r="D15513" s="134"/>
      <c r="E15513" s="135"/>
      <c r="F15513" s="135"/>
    </row>
    <row r="15514" ht="15.75" customHeight="1">
      <c r="A15514" s="59"/>
      <c r="C15514" s="75"/>
      <c r="D15514" s="134"/>
      <c r="E15514" s="135"/>
      <c r="F15514" s="135"/>
    </row>
    <row r="15515" ht="15.75" customHeight="1">
      <c r="A15515" s="59"/>
      <c r="C15515" s="75"/>
      <c r="D15515" s="134"/>
      <c r="E15515" s="135"/>
      <c r="F15515" s="135"/>
    </row>
    <row r="15516" ht="15.75" customHeight="1">
      <c r="A15516" s="59"/>
      <c r="C15516" s="75"/>
      <c r="D15516" s="134"/>
      <c r="E15516" s="135"/>
      <c r="F15516" s="135"/>
    </row>
    <row r="15517" ht="15.75" customHeight="1">
      <c r="A15517" s="59"/>
      <c r="C15517" s="75"/>
      <c r="D15517" s="134"/>
      <c r="E15517" s="135"/>
      <c r="F15517" s="135"/>
    </row>
    <row r="15518" ht="15.75" customHeight="1">
      <c r="A15518" s="59"/>
      <c r="C15518" s="75"/>
      <c r="D15518" s="134"/>
      <c r="E15518" s="135"/>
      <c r="F15518" s="135"/>
    </row>
    <row r="15519" ht="15.75" customHeight="1">
      <c r="A15519" s="59"/>
      <c r="C15519" s="75"/>
      <c r="D15519" s="134"/>
      <c r="E15519" s="135"/>
      <c r="F15519" s="135"/>
    </row>
    <row r="15520" ht="15.75" customHeight="1">
      <c r="A15520" s="59"/>
      <c r="C15520" s="75"/>
      <c r="D15520" s="134"/>
      <c r="E15520" s="135"/>
      <c r="F15520" s="135"/>
    </row>
    <row r="15521" ht="15.75" customHeight="1">
      <c r="A15521" s="59"/>
      <c r="C15521" s="75"/>
      <c r="D15521" s="134"/>
      <c r="E15521" s="135"/>
      <c r="F15521" s="135"/>
    </row>
    <row r="15522" ht="15.75" customHeight="1">
      <c r="A15522" s="59"/>
      <c r="C15522" s="75"/>
      <c r="D15522" s="134"/>
      <c r="E15522" s="135"/>
      <c r="F15522" s="135"/>
    </row>
    <row r="15523" ht="15.75" customHeight="1">
      <c r="A15523" s="59"/>
      <c r="C15523" s="75"/>
      <c r="D15523" s="134"/>
      <c r="E15523" s="135"/>
      <c r="F15523" s="135"/>
    </row>
    <row r="15524" ht="15.75" customHeight="1">
      <c r="A15524" s="59"/>
      <c r="C15524" s="75"/>
      <c r="D15524" s="134"/>
      <c r="E15524" s="135"/>
      <c r="F15524" s="135"/>
    </row>
    <row r="15525" ht="15.75" customHeight="1">
      <c r="A15525" s="59"/>
      <c r="C15525" s="75"/>
      <c r="D15525" s="134"/>
      <c r="E15525" s="135"/>
      <c r="F15525" s="135"/>
    </row>
    <row r="15526" ht="15.75" customHeight="1">
      <c r="A15526" s="59"/>
      <c r="C15526" s="75"/>
      <c r="D15526" s="134"/>
      <c r="E15526" s="135"/>
      <c r="F15526" s="135"/>
    </row>
    <row r="15527" ht="15.75" customHeight="1">
      <c r="A15527" s="59"/>
      <c r="C15527" s="75"/>
      <c r="D15527" s="134"/>
      <c r="E15527" s="135"/>
      <c r="F15527" s="135"/>
    </row>
    <row r="15528" ht="15.75" customHeight="1">
      <c r="A15528" s="59"/>
      <c r="C15528" s="75"/>
      <c r="D15528" s="134"/>
      <c r="E15528" s="135"/>
      <c r="F15528" s="135"/>
    </row>
    <row r="15529" ht="15.75" customHeight="1">
      <c r="A15529" s="59"/>
      <c r="C15529" s="75"/>
      <c r="D15529" s="134"/>
      <c r="E15529" s="135"/>
      <c r="F15529" s="135"/>
    </row>
    <row r="15530" ht="15.75" customHeight="1">
      <c r="A15530" s="59"/>
      <c r="C15530" s="75"/>
      <c r="D15530" s="134"/>
      <c r="E15530" s="135"/>
      <c r="F15530" s="135"/>
    </row>
    <row r="15531" ht="15.75" customHeight="1">
      <c r="A15531" s="59"/>
      <c r="C15531" s="75"/>
      <c r="D15531" s="134"/>
      <c r="E15531" s="135"/>
      <c r="F15531" s="135"/>
    </row>
    <row r="15532" ht="15.75" customHeight="1">
      <c r="A15532" s="59"/>
      <c r="C15532" s="75"/>
      <c r="D15532" s="134"/>
      <c r="E15532" s="135"/>
      <c r="F15532" s="135"/>
    </row>
    <row r="15533" ht="15.75" customHeight="1">
      <c r="A15533" s="59"/>
      <c r="C15533" s="75"/>
      <c r="D15533" s="134"/>
      <c r="E15533" s="135"/>
      <c r="F15533" s="135"/>
    </row>
    <row r="15534" ht="15.75" customHeight="1">
      <c r="A15534" s="59"/>
      <c r="C15534" s="75"/>
      <c r="D15534" s="134"/>
      <c r="E15534" s="135"/>
      <c r="F15534" s="135"/>
    </row>
    <row r="15535" ht="15.75" customHeight="1">
      <c r="A15535" s="59"/>
      <c r="C15535" s="75"/>
      <c r="D15535" s="134"/>
      <c r="E15535" s="135"/>
      <c r="F15535" s="135"/>
    </row>
    <row r="15536" ht="15.75" customHeight="1">
      <c r="A15536" s="59"/>
      <c r="C15536" s="75"/>
      <c r="D15536" s="134"/>
      <c r="E15536" s="135"/>
      <c r="F15536" s="135"/>
    </row>
    <row r="15537" ht="15.75" customHeight="1">
      <c r="A15537" s="59"/>
      <c r="C15537" s="75"/>
      <c r="D15537" s="134"/>
      <c r="E15537" s="135"/>
      <c r="F15537" s="135"/>
    </row>
    <row r="15538" ht="15.75" customHeight="1">
      <c r="A15538" s="59"/>
      <c r="C15538" s="75"/>
      <c r="D15538" s="134"/>
      <c r="E15538" s="135"/>
      <c r="F15538" s="135"/>
    </row>
    <row r="15539" ht="15.75" customHeight="1">
      <c r="A15539" s="59"/>
      <c r="C15539" s="75"/>
      <c r="D15539" s="134"/>
      <c r="E15539" s="135"/>
      <c r="F15539" s="135"/>
    </row>
    <row r="15540" ht="15.75" customHeight="1">
      <c r="A15540" s="59"/>
      <c r="C15540" s="75"/>
      <c r="D15540" s="134"/>
      <c r="E15540" s="135"/>
      <c r="F15540" s="135"/>
    </row>
    <row r="15541" ht="15.75" customHeight="1">
      <c r="A15541" s="59"/>
      <c r="C15541" s="75"/>
      <c r="D15541" s="134"/>
      <c r="E15541" s="135"/>
      <c r="F15541" s="135"/>
    </row>
    <row r="15542" ht="15.75" customHeight="1">
      <c r="A15542" s="59"/>
      <c r="C15542" s="75"/>
      <c r="D15542" s="134"/>
      <c r="E15542" s="135"/>
      <c r="F15542" s="135"/>
    </row>
    <row r="15543" ht="15.75" customHeight="1">
      <c r="A15543" s="59"/>
      <c r="C15543" s="75"/>
      <c r="D15543" s="134"/>
      <c r="E15543" s="135"/>
      <c r="F15543" s="135"/>
    </row>
    <row r="15544" ht="15.75" customHeight="1">
      <c r="A15544" s="59"/>
      <c r="C15544" s="75"/>
      <c r="D15544" s="134"/>
      <c r="E15544" s="135"/>
      <c r="F15544" s="135"/>
    </row>
    <row r="15545" ht="15.75" customHeight="1">
      <c r="A15545" s="59"/>
      <c r="C15545" s="75"/>
      <c r="D15545" s="134"/>
      <c r="E15545" s="135"/>
      <c r="F15545" s="135"/>
    </row>
    <row r="15546" ht="15.75" customHeight="1">
      <c r="A15546" s="59"/>
      <c r="C15546" s="75"/>
      <c r="D15546" s="134"/>
      <c r="E15546" s="135"/>
      <c r="F15546" s="135"/>
    </row>
    <row r="15547" ht="15.75" customHeight="1">
      <c r="A15547" s="59"/>
      <c r="C15547" s="75"/>
      <c r="D15547" s="134"/>
      <c r="E15547" s="135"/>
      <c r="F15547" s="135"/>
    </row>
    <row r="15548" ht="15.75" customHeight="1">
      <c r="A15548" s="59"/>
      <c r="C15548" s="75"/>
      <c r="D15548" s="134"/>
      <c r="E15548" s="135"/>
      <c r="F15548" s="135"/>
    </row>
    <row r="15549" ht="15.75" customHeight="1">
      <c r="A15549" s="59"/>
      <c r="C15549" s="75"/>
      <c r="D15549" s="134"/>
      <c r="E15549" s="135"/>
      <c r="F15549" s="135"/>
    </row>
    <row r="15550" ht="15.75" customHeight="1">
      <c r="A15550" s="59"/>
      <c r="C15550" s="75"/>
      <c r="D15550" s="134"/>
      <c r="E15550" s="135"/>
      <c r="F15550" s="135"/>
    </row>
    <row r="15551" ht="15.75" customHeight="1">
      <c r="A15551" s="59"/>
      <c r="C15551" s="75"/>
      <c r="D15551" s="134"/>
      <c r="E15551" s="135"/>
      <c r="F15551" s="135"/>
    </row>
    <row r="15552" ht="15.75" customHeight="1">
      <c r="A15552" s="59"/>
      <c r="C15552" s="75"/>
      <c r="D15552" s="134"/>
      <c r="E15552" s="135"/>
      <c r="F15552" s="135"/>
    </row>
    <row r="15553" ht="15.75" customHeight="1">
      <c r="A15553" s="59"/>
      <c r="C15553" s="75"/>
      <c r="D15553" s="134"/>
      <c r="E15553" s="135"/>
      <c r="F15553" s="135"/>
    </row>
    <row r="15554" ht="15.75" customHeight="1">
      <c r="A15554" s="59"/>
      <c r="C15554" s="75"/>
      <c r="D15554" s="134"/>
      <c r="E15554" s="135"/>
      <c r="F15554" s="135"/>
    </row>
    <row r="15555" ht="15.75" customHeight="1">
      <c r="A15555" s="59"/>
      <c r="C15555" s="75"/>
      <c r="D15555" s="134"/>
      <c r="E15555" s="135"/>
      <c r="F15555" s="135"/>
    </row>
    <row r="15556" ht="15.75" customHeight="1">
      <c r="A15556" s="59"/>
      <c r="C15556" s="75"/>
      <c r="D15556" s="134"/>
      <c r="E15556" s="135"/>
      <c r="F15556" s="135"/>
    </row>
    <row r="15557" ht="15.75" customHeight="1">
      <c r="A15557" s="59"/>
      <c r="C15557" s="75"/>
      <c r="D15557" s="134"/>
      <c r="E15557" s="135"/>
      <c r="F15557" s="135"/>
    </row>
    <row r="15558" ht="15.75" customHeight="1">
      <c r="A15558" s="59"/>
      <c r="C15558" s="75"/>
      <c r="D15558" s="134"/>
      <c r="E15558" s="135"/>
      <c r="F15558" s="135"/>
    </row>
    <row r="15559" ht="15.75" customHeight="1">
      <c r="A15559" s="59"/>
      <c r="C15559" s="75"/>
      <c r="D15559" s="134"/>
      <c r="E15559" s="135"/>
      <c r="F15559" s="135"/>
    </row>
    <row r="15560" ht="15.75" customHeight="1">
      <c r="A15560" s="59"/>
      <c r="C15560" s="75"/>
      <c r="D15560" s="134"/>
      <c r="E15560" s="135"/>
      <c r="F15560" s="135"/>
    </row>
    <row r="15561" ht="15.75" customHeight="1">
      <c r="A15561" s="59"/>
      <c r="C15561" s="75"/>
      <c r="D15561" s="134"/>
      <c r="E15561" s="135"/>
      <c r="F15561" s="135"/>
    </row>
    <row r="15562" ht="15.75" customHeight="1">
      <c r="A15562" s="59"/>
      <c r="C15562" s="75"/>
      <c r="D15562" s="134"/>
      <c r="E15562" s="135"/>
      <c r="F15562" s="135"/>
    </row>
    <row r="15563" ht="15.75" customHeight="1">
      <c r="A15563" s="59"/>
      <c r="C15563" s="75"/>
      <c r="D15563" s="134"/>
      <c r="E15563" s="135"/>
      <c r="F15563" s="135"/>
    </row>
    <row r="15564" ht="15.75" customHeight="1">
      <c r="A15564" s="59"/>
      <c r="C15564" s="75"/>
      <c r="D15564" s="134"/>
      <c r="E15564" s="135"/>
      <c r="F15564" s="135"/>
    </row>
    <row r="15565" ht="15.75" customHeight="1">
      <c r="A15565" s="59"/>
      <c r="C15565" s="75"/>
      <c r="D15565" s="134"/>
      <c r="E15565" s="135"/>
      <c r="F15565" s="135"/>
    </row>
    <row r="15566" ht="15.75" customHeight="1">
      <c r="A15566" s="59"/>
      <c r="C15566" s="75"/>
      <c r="D15566" s="134"/>
      <c r="E15566" s="135"/>
      <c r="F15566" s="135"/>
    </row>
    <row r="15567" ht="15.75" customHeight="1">
      <c r="A15567" s="59"/>
      <c r="C15567" s="75"/>
      <c r="D15567" s="134"/>
      <c r="E15567" s="135"/>
      <c r="F15567" s="135"/>
    </row>
    <row r="15568" ht="15.75" customHeight="1">
      <c r="A15568" s="59"/>
      <c r="C15568" s="75"/>
      <c r="D15568" s="134"/>
      <c r="E15568" s="135"/>
      <c r="F15568" s="135"/>
    </row>
    <row r="15569" ht="15.75" customHeight="1">
      <c r="A15569" s="59"/>
      <c r="C15569" s="75"/>
      <c r="D15569" s="134"/>
      <c r="E15569" s="135"/>
      <c r="F15569" s="135"/>
    </row>
    <row r="15570" ht="15.75" customHeight="1">
      <c r="A15570" s="59"/>
      <c r="C15570" s="75"/>
      <c r="D15570" s="134"/>
      <c r="E15570" s="135"/>
      <c r="F15570" s="135"/>
    </row>
    <row r="15571" ht="15.75" customHeight="1">
      <c r="A15571" s="59"/>
      <c r="C15571" s="75"/>
      <c r="D15571" s="134"/>
      <c r="E15571" s="135"/>
      <c r="F15571" s="135"/>
    </row>
    <row r="15572" ht="15.75" customHeight="1">
      <c r="A15572" s="59"/>
      <c r="C15572" s="75"/>
      <c r="D15572" s="134"/>
      <c r="E15572" s="135"/>
      <c r="F15572" s="135"/>
    </row>
    <row r="15573" ht="15.75" customHeight="1">
      <c r="A15573" s="59"/>
      <c r="C15573" s="75"/>
      <c r="D15573" s="134"/>
      <c r="E15573" s="135"/>
      <c r="F15573" s="135"/>
    </row>
    <row r="15574" ht="15.75" customHeight="1">
      <c r="A15574" s="59"/>
      <c r="C15574" s="75"/>
      <c r="D15574" s="134"/>
      <c r="E15574" s="135"/>
      <c r="F15574" s="135"/>
    </row>
    <row r="15575" ht="15.75" customHeight="1">
      <c r="A15575" s="59"/>
      <c r="C15575" s="75"/>
      <c r="D15575" s="134"/>
      <c r="E15575" s="135"/>
      <c r="F15575" s="135"/>
    </row>
    <row r="15576" ht="15.75" customHeight="1">
      <c r="A15576" s="59"/>
      <c r="C15576" s="75"/>
      <c r="D15576" s="134"/>
      <c r="E15576" s="135"/>
      <c r="F15576" s="135"/>
    </row>
    <row r="15577" ht="15.75" customHeight="1">
      <c r="A15577" s="59"/>
      <c r="C15577" s="75"/>
      <c r="D15577" s="134"/>
      <c r="E15577" s="135"/>
      <c r="F15577" s="135"/>
    </row>
    <row r="15578" ht="15.75" customHeight="1">
      <c r="A15578" s="59"/>
      <c r="C15578" s="75"/>
      <c r="D15578" s="134"/>
      <c r="E15578" s="135"/>
      <c r="F15578" s="135"/>
    </row>
    <row r="15579" ht="15.75" customHeight="1">
      <c r="A15579" s="59"/>
      <c r="C15579" s="75"/>
      <c r="D15579" s="134"/>
      <c r="E15579" s="135"/>
      <c r="F15579" s="135"/>
    </row>
    <row r="15580" ht="15.75" customHeight="1">
      <c r="A15580" s="59"/>
      <c r="C15580" s="75"/>
      <c r="D15580" s="134"/>
      <c r="E15580" s="135"/>
      <c r="F15580" s="135"/>
    </row>
    <row r="15581" ht="15.75" customHeight="1">
      <c r="A15581" s="59"/>
      <c r="C15581" s="75"/>
      <c r="D15581" s="134"/>
      <c r="E15581" s="135"/>
      <c r="F15581" s="135"/>
    </row>
    <row r="15582" ht="15.75" customHeight="1">
      <c r="A15582" s="59"/>
      <c r="C15582" s="75"/>
      <c r="D15582" s="134"/>
      <c r="E15582" s="135"/>
      <c r="F15582" s="135"/>
    </row>
    <row r="15583" ht="15.75" customHeight="1">
      <c r="A15583" s="59"/>
      <c r="C15583" s="75"/>
      <c r="D15583" s="134"/>
      <c r="E15583" s="135"/>
      <c r="F15583" s="135"/>
    </row>
    <row r="15584" ht="15.75" customHeight="1">
      <c r="A15584" s="59"/>
      <c r="C15584" s="75"/>
      <c r="D15584" s="134"/>
      <c r="E15584" s="135"/>
      <c r="F15584" s="135"/>
    </row>
    <row r="15585" ht="15.75" customHeight="1">
      <c r="A15585" s="59"/>
      <c r="C15585" s="75"/>
      <c r="D15585" s="134"/>
      <c r="E15585" s="135"/>
      <c r="F15585" s="135"/>
    </row>
    <row r="15586" ht="15.75" customHeight="1">
      <c r="A15586" s="59"/>
      <c r="C15586" s="75"/>
      <c r="D15586" s="134"/>
      <c r="E15586" s="135"/>
      <c r="F15586" s="135"/>
    </row>
    <row r="15587" ht="15.75" customHeight="1">
      <c r="A15587" s="59"/>
      <c r="C15587" s="75"/>
      <c r="D15587" s="134"/>
      <c r="E15587" s="135"/>
      <c r="F15587" s="135"/>
    </row>
    <row r="15588" ht="15.75" customHeight="1">
      <c r="A15588" s="59"/>
      <c r="C15588" s="75"/>
      <c r="D15588" s="134"/>
      <c r="E15588" s="135"/>
      <c r="F15588" s="135"/>
    </row>
    <row r="15589" ht="15.75" customHeight="1">
      <c r="A15589" s="59"/>
      <c r="C15589" s="75"/>
      <c r="D15589" s="134"/>
      <c r="E15589" s="135"/>
      <c r="F15589" s="135"/>
    </row>
    <row r="15590" ht="15.75" customHeight="1">
      <c r="A15590" s="59"/>
      <c r="C15590" s="75"/>
      <c r="D15590" s="134"/>
      <c r="E15590" s="135"/>
      <c r="F15590" s="135"/>
    </row>
    <row r="15591" ht="15.75" customHeight="1">
      <c r="A15591" s="59"/>
      <c r="C15591" s="75"/>
      <c r="D15591" s="134"/>
      <c r="E15591" s="135"/>
      <c r="F15591" s="135"/>
    </row>
    <row r="15592" ht="15.75" customHeight="1">
      <c r="A15592" s="59"/>
      <c r="C15592" s="75"/>
      <c r="D15592" s="134"/>
      <c r="E15592" s="135"/>
      <c r="F15592" s="135"/>
    </row>
    <row r="15593" ht="15.75" customHeight="1">
      <c r="A15593" s="59"/>
      <c r="C15593" s="75"/>
      <c r="D15593" s="134"/>
      <c r="E15593" s="135"/>
      <c r="F15593" s="135"/>
    </row>
    <row r="15594" ht="15.75" customHeight="1">
      <c r="A15594" s="59"/>
      <c r="C15594" s="75"/>
      <c r="D15594" s="134"/>
      <c r="E15594" s="135"/>
      <c r="F15594" s="135"/>
    </row>
    <row r="15595" ht="15.75" customHeight="1">
      <c r="A15595" s="59"/>
      <c r="C15595" s="75"/>
      <c r="D15595" s="134"/>
      <c r="E15595" s="135"/>
      <c r="F15595" s="135"/>
    </row>
    <row r="15596" ht="15.75" customHeight="1">
      <c r="A15596" s="59"/>
      <c r="C15596" s="75"/>
      <c r="D15596" s="134"/>
      <c r="E15596" s="135"/>
      <c r="F15596" s="135"/>
    </row>
    <row r="15597" ht="15.75" customHeight="1">
      <c r="A15597" s="59"/>
      <c r="C15597" s="75"/>
      <c r="D15597" s="134"/>
      <c r="E15597" s="135"/>
      <c r="F15597" s="135"/>
    </row>
    <row r="15598" ht="15.75" customHeight="1">
      <c r="A15598" s="59"/>
      <c r="C15598" s="75"/>
      <c r="D15598" s="134"/>
      <c r="E15598" s="135"/>
      <c r="F15598" s="135"/>
    </row>
    <row r="15599" ht="15.75" customHeight="1">
      <c r="A15599" s="59"/>
      <c r="C15599" s="75"/>
      <c r="D15599" s="134"/>
      <c r="E15599" s="135"/>
      <c r="F15599" s="135"/>
    </row>
    <row r="15600" ht="15.75" customHeight="1">
      <c r="A15600" s="59"/>
      <c r="C15600" s="75"/>
      <c r="D15600" s="134"/>
      <c r="E15600" s="135"/>
      <c r="F15600" s="135"/>
    </row>
    <row r="15601" ht="15.75" customHeight="1">
      <c r="A15601" s="59"/>
      <c r="C15601" s="75"/>
      <c r="D15601" s="134"/>
      <c r="E15601" s="135"/>
      <c r="F15601" s="135"/>
    </row>
    <row r="15602" ht="15.75" customHeight="1">
      <c r="A15602" s="59"/>
      <c r="C15602" s="75"/>
      <c r="D15602" s="134"/>
      <c r="E15602" s="135"/>
      <c r="F15602" s="135"/>
    </row>
    <row r="15603" ht="15.75" customHeight="1">
      <c r="A15603" s="59"/>
      <c r="C15603" s="75"/>
      <c r="D15603" s="134"/>
      <c r="E15603" s="135"/>
      <c r="F15603" s="135"/>
    </row>
    <row r="15604" ht="15.75" customHeight="1">
      <c r="A15604" s="59"/>
      <c r="C15604" s="75"/>
      <c r="D15604" s="134"/>
      <c r="E15604" s="135"/>
      <c r="F15604" s="135"/>
    </row>
    <row r="15605" ht="15.75" customHeight="1">
      <c r="A15605" s="59"/>
      <c r="C15605" s="75"/>
      <c r="D15605" s="134"/>
      <c r="E15605" s="135"/>
      <c r="F15605" s="135"/>
    </row>
    <row r="15606" ht="15.75" customHeight="1">
      <c r="A15606" s="59"/>
      <c r="C15606" s="75"/>
      <c r="D15606" s="134"/>
      <c r="E15606" s="135"/>
      <c r="F15606" s="135"/>
    </row>
    <row r="15607" ht="15.75" customHeight="1">
      <c r="A15607" s="59"/>
      <c r="C15607" s="75"/>
      <c r="D15607" s="134"/>
      <c r="E15607" s="135"/>
      <c r="F15607" s="135"/>
    </row>
    <row r="15608" ht="15.75" customHeight="1">
      <c r="A15608" s="59"/>
      <c r="C15608" s="75"/>
      <c r="D15608" s="134"/>
      <c r="E15608" s="135"/>
      <c r="F15608" s="135"/>
    </row>
    <row r="15609" ht="15.75" customHeight="1">
      <c r="A15609" s="59"/>
      <c r="C15609" s="75"/>
      <c r="D15609" s="134"/>
      <c r="E15609" s="135"/>
      <c r="F15609" s="135"/>
    </row>
    <row r="15610" ht="15.75" customHeight="1">
      <c r="A15610" s="59"/>
      <c r="C15610" s="75"/>
      <c r="D15610" s="134"/>
      <c r="E15610" s="135"/>
      <c r="F15610" s="135"/>
    </row>
    <row r="15611" ht="15.75" customHeight="1">
      <c r="A15611" s="59"/>
      <c r="C15611" s="75"/>
      <c r="D15611" s="134"/>
      <c r="E15611" s="135"/>
      <c r="F15611" s="135"/>
    </row>
    <row r="15612" ht="15.75" customHeight="1">
      <c r="A15612" s="59"/>
      <c r="C15612" s="75"/>
      <c r="D15612" s="134"/>
      <c r="E15612" s="135"/>
      <c r="F15612" s="135"/>
    </row>
    <row r="15613" ht="15.75" customHeight="1">
      <c r="A15613" s="59"/>
      <c r="C15613" s="75"/>
      <c r="D15613" s="134"/>
      <c r="E15613" s="135"/>
      <c r="F15613" s="135"/>
    </row>
    <row r="15614" ht="15.75" customHeight="1">
      <c r="A15614" s="59"/>
      <c r="C15614" s="75"/>
      <c r="D15614" s="134"/>
      <c r="E15614" s="135"/>
      <c r="F15614" s="135"/>
    </row>
    <row r="15615" ht="15.75" customHeight="1">
      <c r="A15615" s="59"/>
      <c r="C15615" s="75"/>
      <c r="D15615" s="134"/>
      <c r="E15615" s="135"/>
      <c r="F15615" s="135"/>
    </row>
    <row r="15616" ht="15.75" customHeight="1">
      <c r="A15616" s="59"/>
      <c r="C15616" s="75"/>
      <c r="D15616" s="134"/>
      <c r="E15616" s="135"/>
      <c r="F15616" s="135"/>
    </row>
    <row r="15617" ht="15.75" customHeight="1">
      <c r="A15617" s="59"/>
      <c r="C15617" s="75"/>
      <c r="D15617" s="134"/>
      <c r="E15617" s="135"/>
      <c r="F15617" s="135"/>
    </row>
    <row r="15618" ht="15.75" customHeight="1">
      <c r="A15618" s="59"/>
      <c r="C15618" s="75"/>
      <c r="D15618" s="134"/>
      <c r="E15618" s="135"/>
      <c r="F15618" s="135"/>
    </row>
    <row r="15619" ht="15.75" customHeight="1">
      <c r="A15619" s="59"/>
      <c r="C15619" s="75"/>
      <c r="D15619" s="134"/>
      <c r="E15619" s="135"/>
      <c r="F15619" s="135"/>
    </row>
    <row r="15620" ht="15.75" customHeight="1">
      <c r="A15620" s="59"/>
      <c r="C15620" s="75"/>
      <c r="D15620" s="134"/>
      <c r="E15620" s="135"/>
      <c r="F15620" s="135"/>
    </row>
    <row r="15621" ht="15.75" customHeight="1">
      <c r="A15621" s="59"/>
      <c r="C15621" s="75"/>
      <c r="D15621" s="134"/>
      <c r="E15621" s="135"/>
      <c r="F15621" s="135"/>
    </row>
    <row r="15622" ht="15.75" customHeight="1">
      <c r="A15622" s="59"/>
      <c r="C15622" s="75"/>
      <c r="D15622" s="134"/>
      <c r="E15622" s="135"/>
      <c r="F15622" s="135"/>
    </row>
    <row r="15623" ht="15.75" customHeight="1">
      <c r="A15623" s="59"/>
      <c r="C15623" s="75"/>
      <c r="D15623" s="134"/>
      <c r="E15623" s="135"/>
      <c r="F15623" s="135"/>
    </row>
    <row r="15624" ht="15.75" customHeight="1">
      <c r="A15624" s="59"/>
      <c r="C15624" s="75"/>
      <c r="D15624" s="134"/>
      <c r="E15624" s="135"/>
      <c r="F15624" s="135"/>
    </row>
    <row r="15625" ht="15.75" customHeight="1">
      <c r="A15625" s="59"/>
      <c r="C15625" s="75"/>
      <c r="D15625" s="134"/>
      <c r="E15625" s="135"/>
      <c r="F15625" s="135"/>
    </row>
    <row r="15626" ht="15.75" customHeight="1">
      <c r="A15626" s="59"/>
      <c r="C15626" s="75"/>
      <c r="D15626" s="134"/>
      <c r="E15626" s="135"/>
      <c r="F15626" s="135"/>
    </row>
    <row r="15627" ht="15.75" customHeight="1">
      <c r="A15627" s="59"/>
      <c r="C15627" s="75"/>
      <c r="D15627" s="134"/>
      <c r="E15627" s="135"/>
      <c r="F15627" s="135"/>
    </row>
    <row r="15628" ht="15.75" customHeight="1">
      <c r="A15628" s="59"/>
      <c r="C15628" s="75"/>
      <c r="D15628" s="134"/>
      <c r="E15628" s="135"/>
      <c r="F15628" s="135"/>
    </row>
    <row r="15629" ht="15.75" customHeight="1">
      <c r="A15629" s="59"/>
      <c r="C15629" s="75"/>
      <c r="D15629" s="134"/>
      <c r="E15629" s="135"/>
      <c r="F15629" s="135"/>
    </row>
    <row r="15630" ht="15.75" customHeight="1">
      <c r="A15630" s="59"/>
      <c r="C15630" s="75"/>
      <c r="D15630" s="134"/>
      <c r="E15630" s="135"/>
      <c r="F15630" s="135"/>
    </row>
    <row r="15631" ht="15.75" customHeight="1">
      <c r="A15631" s="59"/>
      <c r="C15631" s="75"/>
      <c r="D15631" s="134"/>
      <c r="E15631" s="135"/>
      <c r="F15631" s="135"/>
    </row>
    <row r="15632" ht="15.75" customHeight="1">
      <c r="A15632" s="59"/>
      <c r="C15632" s="75"/>
      <c r="D15632" s="134"/>
      <c r="E15632" s="135"/>
      <c r="F15632" s="135"/>
    </row>
    <row r="15633" ht="15.75" customHeight="1">
      <c r="A15633" s="59"/>
      <c r="C15633" s="75"/>
      <c r="D15633" s="134"/>
      <c r="E15633" s="135"/>
      <c r="F15633" s="135"/>
    </row>
    <row r="15634" ht="15.75" customHeight="1">
      <c r="A15634" s="59"/>
      <c r="C15634" s="75"/>
      <c r="D15634" s="134"/>
      <c r="E15634" s="135"/>
      <c r="F15634" s="135"/>
    </row>
    <row r="15635" ht="15.75" customHeight="1">
      <c r="A15635" s="59"/>
      <c r="C15635" s="75"/>
      <c r="D15635" s="134"/>
      <c r="E15635" s="135"/>
      <c r="F15635" s="135"/>
    </row>
    <row r="15636" ht="15.75" customHeight="1">
      <c r="A15636" s="59"/>
      <c r="C15636" s="75"/>
      <c r="D15636" s="134"/>
      <c r="E15636" s="135"/>
      <c r="F15636" s="135"/>
    </row>
    <row r="15637" ht="15.75" customHeight="1">
      <c r="A15637" s="59"/>
      <c r="C15637" s="75"/>
      <c r="D15637" s="134"/>
      <c r="E15637" s="135"/>
      <c r="F15637" s="135"/>
    </row>
    <row r="15638" ht="15.75" customHeight="1">
      <c r="A15638" s="59"/>
      <c r="C15638" s="75"/>
      <c r="D15638" s="134"/>
      <c r="E15638" s="135"/>
      <c r="F15638" s="135"/>
    </row>
    <row r="15639" ht="15.75" customHeight="1">
      <c r="A15639" s="59"/>
      <c r="C15639" s="75"/>
      <c r="D15639" s="134"/>
      <c r="E15639" s="135"/>
      <c r="F15639" s="135"/>
    </row>
    <row r="15640" ht="15.75" customHeight="1">
      <c r="A15640" s="59"/>
      <c r="C15640" s="75"/>
      <c r="D15640" s="134"/>
      <c r="E15640" s="135"/>
      <c r="F15640" s="135"/>
    </row>
    <row r="15641" ht="15.75" customHeight="1">
      <c r="A15641" s="59"/>
      <c r="C15641" s="75"/>
      <c r="D15641" s="134"/>
      <c r="E15641" s="135"/>
      <c r="F15641" s="135"/>
    </row>
    <row r="15642" ht="15.75" customHeight="1">
      <c r="A15642" s="59"/>
      <c r="C15642" s="75"/>
      <c r="D15642" s="134"/>
      <c r="E15642" s="135"/>
      <c r="F15642" s="135"/>
    </row>
    <row r="15643" ht="15.75" customHeight="1">
      <c r="A15643" s="59"/>
      <c r="C15643" s="75"/>
      <c r="D15643" s="134"/>
      <c r="E15643" s="135"/>
      <c r="F15643" s="135"/>
    </row>
    <row r="15644" ht="15.75" customHeight="1">
      <c r="A15644" s="59"/>
      <c r="C15644" s="75"/>
      <c r="D15644" s="134"/>
      <c r="E15644" s="135"/>
      <c r="F15644" s="135"/>
    </row>
    <row r="15645" ht="15.75" customHeight="1">
      <c r="A15645" s="59"/>
      <c r="C15645" s="75"/>
      <c r="D15645" s="134"/>
      <c r="E15645" s="135"/>
      <c r="F15645" s="135"/>
    </row>
    <row r="15646" ht="15.75" customHeight="1">
      <c r="A15646" s="59"/>
      <c r="C15646" s="75"/>
      <c r="D15646" s="134"/>
      <c r="E15646" s="135"/>
      <c r="F15646" s="135"/>
    </row>
    <row r="15647" ht="15.75" customHeight="1">
      <c r="A15647" s="59"/>
      <c r="C15647" s="75"/>
      <c r="D15647" s="134"/>
      <c r="E15647" s="135"/>
      <c r="F15647" s="135"/>
    </row>
    <row r="15648" ht="15.75" customHeight="1">
      <c r="A15648" s="59"/>
      <c r="C15648" s="75"/>
      <c r="D15648" s="134"/>
      <c r="E15648" s="135"/>
      <c r="F15648" s="135"/>
    </row>
    <row r="15649" ht="15.75" customHeight="1">
      <c r="A15649" s="59"/>
      <c r="C15649" s="75"/>
      <c r="D15649" s="134"/>
      <c r="E15649" s="135"/>
      <c r="F15649" s="135"/>
    </row>
    <row r="15650" ht="15.75" customHeight="1">
      <c r="A15650" s="59"/>
      <c r="C15650" s="75"/>
      <c r="D15650" s="134"/>
      <c r="E15650" s="135"/>
      <c r="F15650" s="135"/>
    </row>
    <row r="15651" ht="15.75" customHeight="1">
      <c r="A15651" s="59"/>
      <c r="C15651" s="75"/>
      <c r="D15651" s="134"/>
      <c r="E15651" s="135"/>
      <c r="F15651" s="135"/>
    </row>
    <row r="15652" ht="15.75" customHeight="1">
      <c r="A15652" s="59"/>
      <c r="C15652" s="75"/>
      <c r="D15652" s="134"/>
      <c r="E15652" s="135"/>
      <c r="F15652" s="135"/>
    </row>
    <row r="15653" ht="15.75" customHeight="1">
      <c r="A15653" s="59"/>
      <c r="C15653" s="75"/>
      <c r="D15653" s="134"/>
      <c r="E15653" s="135"/>
      <c r="F15653" s="135"/>
    </row>
    <row r="15654" ht="15.75" customHeight="1">
      <c r="A15654" s="59"/>
      <c r="C15654" s="75"/>
      <c r="D15654" s="134"/>
      <c r="E15654" s="135"/>
      <c r="F15654" s="135"/>
    </row>
    <row r="15655" ht="15.75" customHeight="1">
      <c r="A15655" s="59"/>
      <c r="C15655" s="75"/>
      <c r="D15655" s="134"/>
      <c r="E15655" s="135"/>
      <c r="F15655" s="135"/>
    </row>
    <row r="15656" ht="15.75" customHeight="1">
      <c r="A15656" s="59"/>
      <c r="C15656" s="75"/>
      <c r="D15656" s="134"/>
      <c r="E15656" s="135"/>
      <c r="F15656" s="135"/>
    </row>
    <row r="15657" ht="15.75" customHeight="1">
      <c r="A15657" s="59"/>
      <c r="C15657" s="75"/>
      <c r="D15657" s="134"/>
      <c r="E15657" s="135"/>
      <c r="F15657" s="135"/>
    </row>
    <row r="15658" ht="15.75" customHeight="1">
      <c r="A15658" s="59"/>
      <c r="C15658" s="75"/>
      <c r="D15658" s="134"/>
      <c r="E15658" s="135"/>
      <c r="F15658" s="135"/>
    </row>
    <row r="15659" ht="15.75" customHeight="1">
      <c r="A15659" s="59"/>
      <c r="C15659" s="75"/>
      <c r="D15659" s="134"/>
      <c r="E15659" s="135"/>
      <c r="F15659" s="135"/>
    </row>
    <row r="15660" ht="15.75" customHeight="1">
      <c r="A15660" s="59"/>
      <c r="C15660" s="75"/>
      <c r="D15660" s="134"/>
      <c r="E15660" s="135"/>
      <c r="F15660" s="135"/>
    </row>
    <row r="15661" ht="15.75" customHeight="1">
      <c r="A15661" s="59"/>
      <c r="C15661" s="75"/>
      <c r="D15661" s="134"/>
      <c r="E15661" s="135"/>
      <c r="F15661" s="135"/>
    </row>
    <row r="15662" ht="15.75" customHeight="1">
      <c r="A15662" s="59"/>
      <c r="C15662" s="75"/>
      <c r="D15662" s="134"/>
      <c r="E15662" s="135"/>
      <c r="F15662" s="135"/>
    </row>
    <row r="15663" ht="15.75" customHeight="1">
      <c r="A15663" s="59"/>
      <c r="C15663" s="75"/>
      <c r="D15663" s="134"/>
      <c r="E15663" s="135"/>
      <c r="F15663" s="135"/>
    </row>
    <row r="15664" ht="15.75" customHeight="1">
      <c r="A15664" s="59"/>
      <c r="C15664" s="75"/>
      <c r="D15664" s="134"/>
      <c r="E15664" s="135"/>
      <c r="F15664" s="135"/>
    </row>
    <row r="15665" ht="15.75" customHeight="1">
      <c r="A15665" s="59"/>
      <c r="C15665" s="75"/>
      <c r="D15665" s="134"/>
      <c r="E15665" s="135"/>
      <c r="F15665" s="135"/>
    </row>
    <row r="15666" ht="15.75" customHeight="1">
      <c r="A15666" s="59"/>
      <c r="C15666" s="75"/>
      <c r="D15666" s="134"/>
      <c r="E15666" s="135"/>
      <c r="F15666" s="135"/>
    </row>
    <row r="15667" ht="15.75" customHeight="1">
      <c r="A15667" s="59"/>
      <c r="C15667" s="75"/>
      <c r="D15667" s="134"/>
      <c r="E15667" s="135"/>
      <c r="F15667" s="135"/>
    </row>
    <row r="15668" ht="15.75" customHeight="1">
      <c r="A15668" s="59"/>
      <c r="C15668" s="75"/>
      <c r="D15668" s="134"/>
      <c r="E15668" s="135"/>
      <c r="F15668" s="135"/>
    </row>
    <row r="15669" ht="15.75" customHeight="1">
      <c r="A15669" s="59"/>
      <c r="C15669" s="75"/>
      <c r="D15669" s="134"/>
      <c r="E15669" s="135"/>
      <c r="F15669" s="135"/>
    </row>
    <row r="15670" ht="15.75" customHeight="1">
      <c r="A15670" s="59"/>
      <c r="C15670" s="75"/>
      <c r="D15670" s="134"/>
      <c r="E15670" s="135"/>
      <c r="F15670" s="135"/>
    </row>
    <row r="15671" ht="15.75" customHeight="1">
      <c r="A15671" s="59"/>
      <c r="C15671" s="75"/>
      <c r="D15671" s="134"/>
      <c r="E15671" s="135"/>
      <c r="F15671" s="135"/>
    </row>
    <row r="15672" ht="15.75" customHeight="1">
      <c r="A15672" s="59"/>
      <c r="C15672" s="75"/>
      <c r="D15672" s="134"/>
      <c r="E15672" s="135"/>
      <c r="F15672" s="135"/>
    </row>
    <row r="15673" ht="15.75" customHeight="1">
      <c r="A15673" s="59"/>
      <c r="C15673" s="75"/>
      <c r="D15673" s="134"/>
      <c r="E15673" s="135"/>
      <c r="F15673" s="135"/>
    </row>
    <row r="15674" ht="15.75" customHeight="1">
      <c r="A15674" s="59"/>
      <c r="C15674" s="75"/>
      <c r="D15674" s="134"/>
      <c r="E15674" s="135"/>
      <c r="F15674" s="135"/>
    </row>
    <row r="15675" ht="15.75" customHeight="1">
      <c r="A15675" s="59"/>
      <c r="C15675" s="75"/>
      <c r="D15675" s="134"/>
      <c r="E15675" s="135"/>
      <c r="F15675" s="135"/>
    </row>
    <row r="15676" ht="15.75" customHeight="1">
      <c r="A15676" s="59"/>
      <c r="C15676" s="75"/>
      <c r="D15676" s="134"/>
      <c r="E15676" s="135"/>
      <c r="F15676" s="135"/>
    </row>
    <row r="15677" ht="15.75" customHeight="1">
      <c r="A15677" s="59"/>
      <c r="C15677" s="75"/>
      <c r="D15677" s="134"/>
      <c r="E15677" s="135"/>
      <c r="F15677" s="135"/>
    </row>
    <row r="15678" ht="15.75" customHeight="1">
      <c r="A15678" s="59"/>
      <c r="C15678" s="75"/>
      <c r="D15678" s="134"/>
      <c r="E15678" s="135"/>
      <c r="F15678" s="135"/>
    </row>
    <row r="15679" ht="15.75" customHeight="1">
      <c r="A15679" s="59"/>
      <c r="C15679" s="75"/>
      <c r="D15679" s="134"/>
      <c r="E15679" s="135"/>
      <c r="F15679" s="135"/>
    </row>
    <row r="15680" ht="15.75" customHeight="1">
      <c r="A15680" s="59"/>
      <c r="C15680" s="75"/>
      <c r="D15680" s="134"/>
      <c r="E15680" s="135"/>
      <c r="F15680" s="135"/>
    </row>
    <row r="15681" ht="15.75" customHeight="1">
      <c r="A15681" s="59"/>
      <c r="C15681" s="75"/>
      <c r="D15681" s="134"/>
      <c r="E15681" s="135"/>
      <c r="F15681" s="135"/>
    </row>
    <row r="15682" ht="15.75" customHeight="1">
      <c r="A15682" s="59"/>
      <c r="C15682" s="75"/>
      <c r="D15682" s="134"/>
      <c r="E15682" s="135"/>
      <c r="F15682" s="135"/>
    </row>
    <row r="15683" ht="15.75" customHeight="1">
      <c r="A15683" s="59"/>
      <c r="C15683" s="75"/>
      <c r="D15683" s="134"/>
      <c r="E15683" s="135"/>
      <c r="F15683" s="135"/>
    </row>
    <row r="15684" ht="15.75" customHeight="1">
      <c r="A15684" s="59"/>
      <c r="C15684" s="75"/>
      <c r="D15684" s="134"/>
      <c r="E15684" s="135"/>
      <c r="F15684" s="135"/>
    </row>
    <row r="15685" ht="15.75" customHeight="1">
      <c r="A15685" s="59"/>
      <c r="C15685" s="75"/>
      <c r="D15685" s="134"/>
      <c r="E15685" s="135"/>
      <c r="F15685" s="135"/>
    </row>
    <row r="15686" ht="15.75" customHeight="1">
      <c r="A15686" s="59"/>
      <c r="C15686" s="75"/>
      <c r="D15686" s="134"/>
      <c r="E15686" s="135"/>
      <c r="F15686" s="135"/>
    </row>
    <row r="15687" ht="15.75" customHeight="1">
      <c r="A15687" s="59"/>
      <c r="C15687" s="75"/>
      <c r="D15687" s="134"/>
      <c r="E15687" s="135"/>
      <c r="F15687" s="135"/>
    </row>
    <row r="15688" ht="15.75" customHeight="1">
      <c r="A15688" s="59"/>
      <c r="C15688" s="75"/>
      <c r="D15688" s="134"/>
      <c r="E15688" s="135"/>
      <c r="F15688" s="135"/>
    </row>
    <row r="15689" ht="15.75" customHeight="1">
      <c r="A15689" s="59"/>
      <c r="C15689" s="75"/>
      <c r="D15689" s="134"/>
      <c r="E15689" s="135"/>
      <c r="F15689" s="135"/>
    </row>
    <row r="15690" ht="15.75" customHeight="1">
      <c r="A15690" s="59"/>
      <c r="C15690" s="75"/>
      <c r="D15690" s="134"/>
      <c r="E15690" s="135"/>
      <c r="F15690" s="135"/>
    </row>
    <row r="15691" ht="15.75" customHeight="1">
      <c r="A15691" s="59"/>
      <c r="C15691" s="75"/>
      <c r="D15691" s="134"/>
      <c r="E15691" s="135"/>
      <c r="F15691" s="135"/>
    </row>
    <row r="15692" ht="15.75" customHeight="1">
      <c r="A15692" s="59"/>
      <c r="C15692" s="75"/>
      <c r="D15692" s="134"/>
      <c r="E15692" s="135"/>
      <c r="F15692" s="135"/>
    </row>
    <row r="15693" ht="15.75" customHeight="1">
      <c r="A15693" s="59"/>
      <c r="C15693" s="75"/>
      <c r="D15693" s="134"/>
      <c r="E15693" s="135"/>
      <c r="F15693" s="135"/>
    </row>
    <row r="15694" ht="15.75" customHeight="1">
      <c r="A15694" s="59"/>
      <c r="C15694" s="75"/>
      <c r="D15694" s="134"/>
      <c r="E15694" s="135"/>
      <c r="F15694" s="135"/>
    </row>
    <row r="15695" ht="15.75" customHeight="1">
      <c r="A15695" s="59"/>
      <c r="C15695" s="75"/>
      <c r="D15695" s="134"/>
      <c r="E15695" s="135"/>
      <c r="F15695" s="135"/>
    </row>
    <row r="15696" ht="15.75" customHeight="1">
      <c r="A15696" s="59"/>
      <c r="C15696" s="75"/>
      <c r="D15696" s="134"/>
      <c r="E15696" s="135"/>
      <c r="F15696" s="135"/>
    </row>
    <row r="15697" ht="15.75" customHeight="1">
      <c r="A15697" s="59"/>
      <c r="C15697" s="75"/>
      <c r="D15697" s="134"/>
      <c r="E15697" s="135"/>
      <c r="F15697" s="135"/>
    </row>
    <row r="15698" ht="15.75" customHeight="1">
      <c r="A15698" s="59"/>
      <c r="C15698" s="75"/>
      <c r="D15698" s="134"/>
      <c r="E15698" s="135"/>
      <c r="F15698" s="135"/>
    </row>
    <row r="15699" ht="15.75" customHeight="1">
      <c r="A15699" s="59"/>
      <c r="C15699" s="75"/>
      <c r="D15699" s="134"/>
      <c r="E15699" s="135"/>
      <c r="F15699" s="135"/>
    </row>
    <row r="15700" ht="15.75" customHeight="1">
      <c r="A15700" s="59"/>
      <c r="C15700" s="75"/>
      <c r="D15700" s="134"/>
      <c r="E15700" s="135"/>
      <c r="F15700" s="135"/>
    </row>
    <row r="15701" ht="15.75" customHeight="1">
      <c r="A15701" s="59"/>
      <c r="C15701" s="75"/>
      <c r="D15701" s="134"/>
      <c r="E15701" s="135"/>
      <c r="F15701" s="135"/>
    </row>
    <row r="15702" ht="15.75" customHeight="1">
      <c r="A15702" s="59"/>
      <c r="C15702" s="75"/>
      <c r="D15702" s="134"/>
      <c r="E15702" s="135"/>
      <c r="F15702" s="135"/>
    </row>
    <row r="15703" ht="15.75" customHeight="1">
      <c r="A15703" s="59"/>
      <c r="C15703" s="75"/>
      <c r="D15703" s="134"/>
      <c r="E15703" s="135"/>
      <c r="F15703" s="135"/>
    </row>
    <row r="15704" ht="15.75" customHeight="1">
      <c r="A15704" s="59"/>
      <c r="C15704" s="75"/>
      <c r="D15704" s="134"/>
      <c r="E15704" s="135"/>
      <c r="F15704" s="135"/>
    </row>
    <row r="15705" ht="15.75" customHeight="1">
      <c r="A15705" s="59"/>
      <c r="C15705" s="75"/>
      <c r="D15705" s="134"/>
      <c r="E15705" s="135"/>
      <c r="F15705" s="135"/>
    </row>
    <row r="15706" ht="15.75" customHeight="1">
      <c r="A15706" s="59"/>
      <c r="C15706" s="75"/>
      <c r="D15706" s="134"/>
      <c r="E15706" s="135"/>
      <c r="F15706" s="135"/>
    </row>
    <row r="15707" ht="15.75" customHeight="1">
      <c r="A15707" s="59"/>
      <c r="C15707" s="75"/>
      <c r="D15707" s="134"/>
      <c r="E15707" s="135"/>
      <c r="F15707" s="135"/>
    </row>
    <row r="15708" ht="15.75" customHeight="1">
      <c r="A15708" s="59"/>
      <c r="C15708" s="75"/>
      <c r="D15708" s="134"/>
      <c r="E15708" s="135"/>
      <c r="F15708" s="135"/>
    </row>
    <row r="15709" ht="15.75" customHeight="1">
      <c r="A15709" s="59"/>
      <c r="C15709" s="75"/>
      <c r="D15709" s="134"/>
      <c r="E15709" s="135"/>
      <c r="F15709" s="135"/>
    </row>
    <row r="15710" ht="15.75" customHeight="1">
      <c r="A15710" s="59"/>
      <c r="C15710" s="75"/>
      <c r="D15710" s="134"/>
      <c r="E15710" s="135"/>
      <c r="F15710" s="135"/>
    </row>
    <row r="15711" ht="15.75" customHeight="1">
      <c r="A15711" s="59"/>
      <c r="C15711" s="75"/>
      <c r="D15711" s="134"/>
      <c r="E15711" s="135"/>
      <c r="F15711" s="135"/>
    </row>
    <row r="15712" ht="15.75" customHeight="1">
      <c r="A15712" s="59"/>
      <c r="C15712" s="75"/>
      <c r="D15712" s="134"/>
      <c r="E15712" s="135"/>
      <c r="F15712" s="135"/>
    </row>
    <row r="15713" ht="15.75" customHeight="1">
      <c r="A15713" s="59"/>
      <c r="C15713" s="75"/>
      <c r="D15713" s="134"/>
      <c r="E15713" s="135"/>
      <c r="F15713" s="135"/>
    </row>
    <row r="15714" ht="15.75" customHeight="1">
      <c r="A15714" s="59"/>
      <c r="C15714" s="75"/>
      <c r="D15714" s="134"/>
      <c r="E15714" s="135"/>
      <c r="F15714" s="135"/>
    </row>
    <row r="15715" ht="15.75" customHeight="1">
      <c r="A15715" s="59"/>
      <c r="C15715" s="75"/>
      <c r="D15715" s="134"/>
      <c r="E15715" s="135"/>
      <c r="F15715" s="135"/>
    </row>
    <row r="15716" ht="15.75" customHeight="1">
      <c r="A15716" s="59"/>
      <c r="C15716" s="75"/>
      <c r="D15716" s="134"/>
      <c r="E15716" s="135"/>
      <c r="F15716" s="135"/>
    </row>
    <row r="15717" ht="15.75" customHeight="1">
      <c r="A15717" s="59"/>
      <c r="C15717" s="75"/>
      <c r="D15717" s="134"/>
      <c r="E15717" s="135"/>
      <c r="F15717" s="135"/>
    </row>
    <row r="15718" ht="15.75" customHeight="1">
      <c r="A15718" s="59"/>
      <c r="C15718" s="75"/>
      <c r="D15718" s="134"/>
      <c r="E15718" s="135"/>
      <c r="F15718" s="135"/>
    </row>
    <row r="15719" ht="15.75" customHeight="1">
      <c r="A15719" s="59"/>
      <c r="C15719" s="75"/>
      <c r="D15719" s="134"/>
      <c r="E15719" s="135"/>
      <c r="F15719" s="135"/>
    </row>
    <row r="15720" ht="15.75" customHeight="1">
      <c r="A15720" s="59"/>
      <c r="C15720" s="75"/>
      <c r="D15720" s="134"/>
      <c r="E15720" s="135"/>
      <c r="F15720" s="135"/>
    </row>
    <row r="15721" ht="15.75" customHeight="1">
      <c r="A15721" s="59"/>
      <c r="C15721" s="75"/>
      <c r="D15721" s="134"/>
      <c r="E15721" s="135"/>
      <c r="F15721" s="135"/>
    </row>
    <row r="15722" ht="15.75" customHeight="1">
      <c r="A15722" s="59"/>
      <c r="C15722" s="75"/>
      <c r="D15722" s="134"/>
      <c r="E15722" s="135"/>
      <c r="F15722" s="135"/>
    </row>
    <row r="15723" ht="15.75" customHeight="1">
      <c r="A15723" s="59"/>
      <c r="C15723" s="75"/>
      <c r="D15723" s="134"/>
      <c r="E15723" s="135"/>
      <c r="F15723" s="135"/>
    </row>
    <row r="15724" ht="15.75" customHeight="1">
      <c r="A15724" s="59"/>
      <c r="C15724" s="75"/>
      <c r="D15724" s="134"/>
      <c r="E15724" s="135"/>
      <c r="F15724" s="135"/>
    </row>
    <row r="15725" ht="15.75" customHeight="1">
      <c r="A15725" s="59"/>
      <c r="C15725" s="75"/>
      <c r="D15725" s="134"/>
      <c r="E15725" s="135"/>
      <c r="F15725" s="135"/>
    </row>
    <row r="15726" ht="15.75" customHeight="1">
      <c r="A15726" s="59"/>
      <c r="C15726" s="75"/>
      <c r="D15726" s="134"/>
      <c r="E15726" s="135"/>
      <c r="F15726" s="135"/>
    </row>
    <row r="15727" ht="15.75" customHeight="1">
      <c r="A15727" s="59"/>
      <c r="C15727" s="75"/>
      <c r="D15727" s="134"/>
      <c r="E15727" s="135"/>
      <c r="F15727" s="135"/>
    </row>
    <row r="15728" ht="15.75" customHeight="1">
      <c r="A15728" s="59"/>
      <c r="C15728" s="75"/>
      <c r="D15728" s="134"/>
      <c r="E15728" s="135"/>
      <c r="F15728" s="135"/>
    </row>
    <row r="15729" ht="15.75" customHeight="1">
      <c r="A15729" s="59"/>
      <c r="C15729" s="75"/>
      <c r="D15729" s="134"/>
      <c r="E15729" s="135"/>
      <c r="F15729" s="135"/>
    </row>
    <row r="15730" ht="15.75" customHeight="1">
      <c r="A15730" s="59"/>
      <c r="C15730" s="75"/>
      <c r="D15730" s="134"/>
      <c r="E15730" s="135"/>
      <c r="F15730" s="135"/>
    </row>
    <row r="15731" ht="15.75" customHeight="1">
      <c r="A15731" s="59"/>
      <c r="C15731" s="75"/>
      <c r="D15731" s="134"/>
      <c r="E15731" s="135"/>
      <c r="F15731" s="135"/>
    </row>
    <row r="15732" ht="15.75" customHeight="1">
      <c r="A15732" s="59"/>
      <c r="C15732" s="75"/>
      <c r="D15732" s="134"/>
      <c r="E15732" s="135"/>
      <c r="F15732" s="135"/>
    </row>
    <row r="15733" ht="15.75" customHeight="1">
      <c r="A15733" s="59"/>
      <c r="C15733" s="75"/>
      <c r="D15733" s="134"/>
      <c r="E15733" s="135"/>
      <c r="F15733" s="135"/>
    </row>
    <row r="15734" ht="15.75" customHeight="1">
      <c r="A15734" s="59"/>
      <c r="C15734" s="75"/>
      <c r="D15734" s="134"/>
      <c r="E15734" s="135"/>
      <c r="F15734" s="135"/>
    </row>
    <row r="15735" ht="15.75" customHeight="1">
      <c r="A15735" s="59"/>
      <c r="C15735" s="75"/>
      <c r="D15735" s="134"/>
      <c r="E15735" s="135"/>
      <c r="F15735" s="135"/>
    </row>
    <row r="15736" ht="15.75" customHeight="1">
      <c r="A15736" s="59"/>
      <c r="C15736" s="75"/>
      <c r="D15736" s="134"/>
      <c r="E15736" s="135"/>
      <c r="F15736" s="135"/>
    </row>
    <row r="15737" ht="15.75" customHeight="1">
      <c r="A15737" s="59"/>
      <c r="C15737" s="75"/>
      <c r="D15737" s="134"/>
      <c r="E15737" s="135"/>
      <c r="F15737" s="135"/>
    </row>
    <row r="15738" ht="15.75" customHeight="1">
      <c r="A15738" s="59"/>
      <c r="C15738" s="75"/>
      <c r="D15738" s="134"/>
      <c r="E15738" s="135"/>
      <c r="F15738" s="135"/>
    </row>
    <row r="15739" ht="15.75" customHeight="1">
      <c r="A15739" s="59"/>
      <c r="C15739" s="75"/>
      <c r="D15739" s="134"/>
      <c r="E15739" s="135"/>
      <c r="F15739" s="135"/>
    </row>
    <row r="15740" ht="15.75" customHeight="1">
      <c r="A15740" s="59"/>
      <c r="C15740" s="75"/>
      <c r="D15740" s="134"/>
      <c r="E15740" s="135"/>
      <c r="F15740" s="135"/>
    </row>
    <row r="15741" ht="15.75" customHeight="1">
      <c r="A15741" s="59"/>
      <c r="C15741" s="75"/>
      <c r="D15741" s="134"/>
      <c r="E15741" s="135"/>
      <c r="F15741" s="135"/>
    </row>
    <row r="15742" ht="15.75" customHeight="1">
      <c r="A15742" s="59"/>
      <c r="C15742" s="75"/>
      <c r="D15742" s="134"/>
      <c r="E15742" s="135"/>
      <c r="F15742" s="135"/>
    </row>
    <row r="15743" ht="15.75" customHeight="1">
      <c r="A15743" s="59"/>
      <c r="C15743" s="75"/>
      <c r="D15743" s="134"/>
      <c r="E15743" s="135"/>
      <c r="F15743" s="135"/>
    </row>
    <row r="15744" ht="15.75" customHeight="1">
      <c r="A15744" s="59"/>
      <c r="C15744" s="75"/>
      <c r="D15744" s="134"/>
      <c r="E15744" s="135"/>
      <c r="F15744" s="135"/>
    </row>
    <row r="15745" ht="15.75" customHeight="1">
      <c r="A15745" s="59"/>
      <c r="C15745" s="75"/>
      <c r="D15745" s="134"/>
      <c r="E15745" s="135"/>
      <c r="F15745" s="135"/>
    </row>
    <row r="15746" ht="15.75" customHeight="1">
      <c r="A15746" s="59"/>
      <c r="C15746" s="75"/>
      <c r="D15746" s="134"/>
      <c r="E15746" s="135"/>
      <c r="F15746" s="135"/>
    </row>
    <row r="15747" ht="15.75" customHeight="1">
      <c r="A15747" s="59"/>
      <c r="C15747" s="75"/>
      <c r="D15747" s="134"/>
      <c r="E15747" s="135"/>
      <c r="F15747" s="135"/>
    </row>
    <row r="15748" ht="15.75" customHeight="1">
      <c r="A15748" s="59"/>
      <c r="C15748" s="75"/>
      <c r="D15748" s="134"/>
      <c r="E15748" s="135"/>
      <c r="F15748" s="135"/>
    </row>
    <row r="15749" ht="15.75" customHeight="1">
      <c r="A15749" s="59"/>
      <c r="C15749" s="75"/>
      <c r="D15749" s="134"/>
      <c r="E15749" s="135"/>
      <c r="F15749" s="135"/>
    </row>
    <row r="15750" ht="15.75" customHeight="1">
      <c r="A15750" s="59"/>
      <c r="C15750" s="75"/>
      <c r="D15750" s="134"/>
      <c r="E15750" s="135"/>
      <c r="F15750" s="135"/>
    </row>
    <row r="15751" ht="15.75" customHeight="1">
      <c r="A15751" s="59"/>
      <c r="C15751" s="75"/>
      <c r="D15751" s="134"/>
      <c r="E15751" s="135"/>
      <c r="F15751" s="135"/>
    </row>
    <row r="15752" ht="15.75" customHeight="1">
      <c r="A15752" s="59"/>
      <c r="C15752" s="75"/>
      <c r="D15752" s="134"/>
      <c r="E15752" s="135"/>
      <c r="F15752" s="135"/>
    </row>
    <row r="15753" ht="15.75" customHeight="1">
      <c r="A15753" s="59"/>
      <c r="C15753" s="75"/>
      <c r="D15753" s="134"/>
      <c r="E15753" s="135"/>
      <c r="F15753" s="135"/>
    </row>
    <row r="15754" ht="15.75" customHeight="1">
      <c r="A15754" s="59"/>
      <c r="C15754" s="75"/>
      <c r="D15754" s="134"/>
      <c r="E15754" s="135"/>
      <c r="F15754" s="135"/>
    </row>
    <row r="15755" ht="15.75" customHeight="1">
      <c r="A15755" s="59"/>
      <c r="C15755" s="75"/>
      <c r="D15755" s="134"/>
      <c r="E15755" s="135"/>
      <c r="F15755" s="135"/>
    </row>
    <row r="15756" ht="15.75" customHeight="1">
      <c r="A15756" s="59"/>
      <c r="C15756" s="75"/>
      <c r="D15756" s="134"/>
      <c r="E15756" s="135"/>
      <c r="F15756" s="135"/>
    </row>
    <row r="15757" ht="15.75" customHeight="1">
      <c r="A15757" s="59"/>
      <c r="C15757" s="75"/>
      <c r="D15757" s="134"/>
      <c r="E15757" s="135"/>
      <c r="F15757" s="135"/>
    </row>
    <row r="15758" ht="15.75" customHeight="1">
      <c r="A15758" s="59"/>
      <c r="C15758" s="75"/>
      <c r="D15758" s="134"/>
      <c r="E15758" s="135"/>
      <c r="F15758" s="135"/>
    </row>
    <row r="15759" ht="15.75" customHeight="1">
      <c r="A15759" s="59"/>
      <c r="C15759" s="75"/>
      <c r="D15759" s="134"/>
      <c r="E15759" s="135"/>
      <c r="F15759" s="135"/>
    </row>
    <row r="15760" ht="15.75" customHeight="1">
      <c r="A15760" s="59"/>
      <c r="C15760" s="75"/>
      <c r="D15760" s="134"/>
      <c r="E15760" s="135"/>
      <c r="F15760" s="135"/>
    </row>
    <row r="15761" ht="15.75" customHeight="1">
      <c r="A15761" s="59"/>
      <c r="C15761" s="75"/>
      <c r="D15761" s="134"/>
      <c r="E15761" s="135"/>
      <c r="F15761" s="135"/>
    </row>
    <row r="15762" ht="15.75" customHeight="1">
      <c r="A15762" s="59"/>
      <c r="C15762" s="75"/>
      <c r="D15762" s="134"/>
      <c r="E15762" s="135"/>
      <c r="F15762" s="135"/>
    </row>
    <row r="15763" ht="15.75" customHeight="1">
      <c r="A15763" s="59"/>
      <c r="C15763" s="75"/>
      <c r="D15763" s="134"/>
      <c r="E15763" s="135"/>
      <c r="F15763" s="135"/>
    </row>
    <row r="15764" ht="15.75" customHeight="1">
      <c r="A15764" s="59"/>
      <c r="C15764" s="75"/>
      <c r="D15764" s="134"/>
      <c r="E15764" s="135"/>
      <c r="F15764" s="135"/>
    </row>
    <row r="15765" ht="15.75" customHeight="1">
      <c r="A15765" s="59"/>
      <c r="C15765" s="75"/>
      <c r="D15765" s="134"/>
      <c r="E15765" s="135"/>
      <c r="F15765" s="135"/>
    </row>
    <row r="15766" ht="15.75" customHeight="1">
      <c r="A15766" s="59"/>
      <c r="C15766" s="75"/>
      <c r="D15766" s="134"/>
      <c r="E15766" s="135"/>
      <c r="F15766" s="135"/>
    </row>
    <row r="15767" ht="15.75" customHeight="1">
      <c r="A15767" s="59"/>
      <c r="C15767" s="75"/>
      <c r="D15767" s="134"/>
      <c r="E15767" s="135"/>
      <c r="F15767" s="135"/>
    </row>
    <row r="15768" ht="15.75" customHeight="1">
      <c r="A15768" s="59"/>
      <c r="C15768" s="75"/>
      <c r="D15768" s="134"/>
      <c r="E15768" s="135"/>
      <c r="F15768" s="135"/>
    </row>
    <row r="15769" ht="15.75" customHeight="1">
      <c r="A15769" s="59"/>
      <c r="C15769" s="75"/>
      <c r="D15769" s="134"/>
      <c r="E15769" s="135"/>
      <c r="F15769" s="135"/>
    </row>
    <row r="15770" ht="15.75" customHeight="1">
      <c r="A15770" s="59"/>
      <c r="C15770" s="75"/>
      <c r="D15770" s="134"/>
      <c r="E15770" s="135"/>
      <c r="F15770" s="135"/>
    </row>
    <row r="15771" ht="15.75" customHeight="1">
      <c r="A15771" s="59"/>
      <c r="C15771" s="75"/>
      <c r="D15771" s="134"/>
      <c r="E15771" s="135"/>
      <c r="F15771" s="135"/>
    </row>
    <row r="15772" ht="15.75" customHeight="1">
      <c r="A15772" s="59"/>
      <c r="C15772" s="75"/>
      <c r="D15772" s="134"/>
      <c r="E15772" s="135"/>
      <c r="F15772" s="135"/>
    </row>
    <row r="15773" ht="15.75" customHeight="1">
      <c r="A15773" s="59"/>
      <c r="C15773" s="75"/>
      <c r="D15773" s="134"/>
      <c r="E15773" s="135"/>
      <c r="F15773" s="135"/>
    </row>
    <row r="15774" ht="15.75" customHeight="1">
      <c r="A15774" s="59"/>
      <c r="C15774" s="75"/>
      <c r="D15774" s="134"/>
      <c r="E15774" s="135"/>
      <c r="F15774" s="135"/>
    </row>
    <row r="15775" ht="15.75" customHeight="1">
      <c r="A15775" s="59"/>
      <c r="C15775" s="75"/>
      <c r="D15775" s="134"/>
      <c r="E15775" s="135"/>
      <c r="F15775" s="135"/>
    </row>
    <row r="15776" ht="15.75" customHeight="1">
      <c r="A15776" s="59"/>
      <c r="C15776" s="75"/>
      <c r="D15776" s="134"/>
      <c r="E15776" s="135"/>
      <c r="F15776" s="135"/>
    </row>
    <row r="15777" ht="15.75" customHeight="1">
      <c r="A15777" s="59"/>
      <c r="C15777" s="75"/>
      <c r="D15777" s="134"/>
      <c r="E15777" s="135"/>
      <c r="F15777" s="135"/>
    </row>
    <row r="15778" ht="15.75" customHeight="1">
      <c r="A15778" s="59"/>
      <c r="C15778" s="75"/>
      <c r="D15778" s="134"/>
      <c r="E15778" s="135"/>
      <c r="F15778" s="135"/>
    </row>
    <row r="15779" ht="15.75" customHeight="1">
      <c r="A15779" s="59"/>
      <c r="C15779" s="75"/>
      <c r="D15779" s="134"/>
      <c r="E15779" s="135"/>
      <c r="F15779" s="135"/>
    </row>
    <row r="15780" ht="15.75" customHeight="1">
      <c r="A15780" s="59"/>
      <c r="C15780" s="75"/>
      <c r="D15780" s="134"/>
      <c r="E15780" s="135"/>
      <c r="F15780" s="135"/>
    </row>
    <row r="15781" ht="15.75" customHeight="1">
      <c r="A15781" s="59"/>
      <c r="C15781" s="75"/>
      <c r="D15781" s="134"/>
      <c r="E15781" s="135"/>
      <c r="F15781" s="135"/>
    </row>
    <row r="15782" ht="15.75" customHeight="1">
      <c r="A15782" s="59"/>
      <c r="C15782" s="75"/>
      <c r="D15782" s="134"/>
      <c r="E15782" s="135"/>
      <c r="F15782" s="135"/>
    </row>
    <row r="15783" ht="15.75" customHeight="1">
      <c r="A15783" s="59"/>
      <c r="C15783" s="75"/>
      <c r="D15783" s="134"/>
      <c r="E15783" s="135"/>
      <c r="F15783" s="135"/>
    </row>
    <row r="15784" ht="15.75" customHeight="1">
      <c r="A15784" s="59"/>
      <c r="C15784" s="75"/>
      <c r="D15784" s="134"/>
      <c r="E15784" s="135"/>
      <c r="F15784" s="135"/>
    </row>
    <row r="15785" ht="15.75" customHeight="1">
      <c r="A15785" s="59"/>
      <c r="C15785" s="75"/>
      <c r="D15785" s="134"/>
      <c r="E15785" s="135"/>
      <c r="F15785" s="135"/>
    </row>
    <row r="15786" ht="15.75" customHeight="1">
      <c r="A15786" s="59"/>
      <c r="C15786" s="75"/>
      <c r="D15786" s="134"/>
      <c r="E15786" s="135"/>
      <c r="F15786" s="135"/>
    </row>
    <row r="15787" ht="15.75" customHeight="1">
      <c r="A15787" s="59"/>
      <c r="C15787" s="75"/>
      <c r="D15787" s="134"/>
      <c r="E15787" s="135"/>
      <c r="F15787" s="135"/>
    </row>
    <row r="15788" ht="15.75" customHeight="1">
      <c r="A15788" s="59"/>
      <c r="C15788" s="75"/>
      <c r="D15788" s="134"/>
      <c r="E15788" s="135"/>
      <c r="F15788" s="135"/>
    </row>
    <row r="15789" ht="15.75" customHeight="1">
      <c r="A15789" s="59"/>
      <c r="C15789" s="75"/>
      <c r="D15789" s="134"/>
      <c r="E15789" s="135"/>
      <c r="F15789" s="135"/>
    </row>
    <row r="15790" ht="15.75" customHeight="1">
      <c r="A15790" s="59"/>
      <c r="C15790" s="75"/>
      <c r="D15790" s="134"/>
      <c r="E15790" s="135"/>
      <c r="F15790" s="135"/>
    </row>
    <row r="15791" ht="15.75" customHeight="1">
      <c r="A15791" s="59"/>
      <c r="C15791" s="75"/>
      <c r="D15791" s="134"/>
      <c r="E15791" s="135"/>
      <c r="F15791" s="135"/>
    </row>
    <row r="15792" ht="15.75" customHeight="1">
      <c r="A15792" s="59"/>
      <c r="C15792" s="75"/>
      <c r="D15792" s="134"/>
      <c r="E15792" s="135"/>
      <c r="F15792" s="135"/>
    </row>
    <row r="15793" ht="15.75" customHeight="1">
      <c r="A15793" s="59"/>
      <c r="C15793" s="75"/>
      <c r="D15793" s="134"/>
      <c r="E15793" s="135"/>
      <c r="F15793" s="135"/>
    </row>
    <row r="15794" ht="15.75" customHeight="1">
      <c r="A15794" s="59"/>
      <c r="C15794" s="75"/>
      <c r="D15794" s="134"/>
      <c r="E15794" s="135"/>
      <c r="F15794" s="135"/>
    </row>
    <row r="15795" ht="15.75" customHeight="1">
      <c r="A15795" s="59"/>
      <c r="C15795" s="75"/>
      <c r="D15795" s="134"/>
      <c r="E15795" s="135"/>
      <c r="F15795" s="135"/>
    </row>
    <row r="15796" ht="15.75" customHeight="1">
      <c r="A15796" s="59"/>
      <c r="C15796" s="75"/>
      <c r="D15796" s="134"/>
      <c r="E15796" s="135"/>
      <c r="F15796" s="135"/>
    </row>
    <row r="15797" ht="15.75" customHeight="1">
      <c r="A15797" s="59"/>
      <c r="C15797" s="75"/>
      <c r="D15797" s="134"/>
      <c r="E15797" s="135"/>
      <c r="F15797" s="135"/>
    </row>
    <row r="15798" ht="15.75" customHeight="1">
      <c r="A15798" s="59"/>
      <c r="C15798" s="75"/>
      <c r="D15798" s="134"/>
      <c r="E15798" s="135"/>
      <c r="F15798" s="135"/>
    </row>
    <row r="15799" ht="15.75" customHeight="1">
      <c r="A15799" s="59"/>
      <c r="C15799" s="75"/>
      <c r="D15799" s="134"/>
      <c r="E15799" s="135"/>
      <c r="F15799" s="135"/>
    </row>
    <row r="15800" ht="15.75" customHeight="1">
      <c r="A15800" s="59"/>
      <c r="C15800" s="75"/>
      <c r="D15800" s="134"/>
      <c r="E15800" s="135"/>
      <c r="F15800" s="135"/>
    </row>
    <row r="15801" ht="15.75" customHeight="1">
      <c r="A15801" s="59"/>
      <c r="C15801" s="75"/>
      <c r="D15801" s="134"/>
      <c r="E15801" s="135"/>
      <c r="F15801" s="135"/>
    </row>
    <row r="15802" ht="15.75" customHeight="1">
      <c r="A15802" s="59"/>
      <c r="C15802" s="75"/>
      <c r="D15802" s="134"/>
      <c r="E15802" s="135"/>
      <c r="F15802" s="135"/>
    </row>
    <row r="15803" ht="15.75" customHeight="1">
      <c r="A15803" s="59"/>
      <c r="C15803" s="75"/>
      <c r="D15803" s="134"/>
      <c r="E15803" s="135"/>
      <c r="F15803" s="135"/>
    </row>
    <row r="15804" ht="15.75" customHeight="1">
      <c r="A15804" s="59"/>
      <c r="C15804" s="75"/>
      <c r="D15804" s="134"/>
      <c r="E15804" s="135"/>
      <c r="F15804" s="135"/>
    </row>
    <row r="15805" ht="15.75" customHeight="1">
      <c r="A15805" s="59"/>
      <c r="C15805" s="75"/>
      <c r="D15805" s="134"/>
      <c r="E15805" s="135"/>
      <c r="F15805" s="135"/>
    </row>
    <row r="15806" ht="15.75" customHeight="1">
      <c r="A15806" s="59"/>
      <c r="C15806" s="75"/>
      <c r="D15806" s="134"/>
      <c r="E15806" s="135"/>
      <c r="F15806" s="135"/>
    </row>
    <row r="15807" ht="15.75" customHeight="1">
      <c r="A15807" s="59"/>
      <c r="C15807" s="75"/>
      <c r="D15807" s="134"/>
      <c r="E15807" s="135"/>
      <c r="F15807" s="135"/>
    </row>
    <row r="15808" ht="15.75" customHeight="1">
      <c r="A15808" s="59"/>
      <c r="C15808" s="75"/>
      <c r="D15808" s="134"/>
      <c r="E15808" s="135"/>
      <c r="F15808" s="135"/>
    </row>
    <row r="15809" ht="15.75" customHeight="1">
      <c r="A15809" s="59"/>
      <c r="C15809" s="75"/>
      <c r="D15809" s="134"/>
      <c r="E15809" s="135"/>
      <c r="F15809" s="135"/>
    </row>
    <row r="15810" ht="15.75" customHeight="1">
      <c r="A15810" s="59"/>
      <c r="C15810" s="75"/>
      <c r="D15810" s="134"/>
      <c r="E15810" s="135"/>
      <c r="F15810" s="135"/>
    </row>
    <row r="15811" ht="15.75" customHeight="1">
      <c r="A15811" s="59"/>
      <c r="C15811" s="75"/>
      <c r="D15811" s="134"/>
      <c r="E15811" s="135"/>
      <c r="F15811" s="135"/>
    </row>
    <row r="15812" ht="15.75" customHeight="1">
      <c r="A15812" s="59"/>
      <c r="C15812" s="75"/>
      <c r="D15812" s="134"/>
      <c r="E15812" s="135"/>
      <c r="F15812" s="135"/>
    </row>
    <row r="15813" ht="15.75" customHeight="1">
      <c r="A15813" s="59"/>
      <c r="C15813" s="75"/>
      <c r="D15813" s="134"/>
      <c r="E15813" s="135"/>
      <c r="F15813" s="135"/>
    </row>
    <row r="15814" ht="15.75" customHeight="1">
      <c r="A15814" s="59"/>
      <c r="C15814" s="75"/>
      <c r="D15814" s="134"/>
      <c r="E15814" s="135"/>
      <c r="F15814" s="135"/>
    </row>
    <row r="15815" ht="15.75" customHeight="1">
      <c r="A15815" s="59"/>
      <c r="C15815" s="75"/>
      <c r="D15815" s="134"/>
      <c r="E15815" s="135"/>
      <c r="F15815" s="135"/>
    </row>
    <row r="15816" ht="15.75" customHeight="1">
      <c r="A15816" s="59"/>
      <c r="C15816" s="75"/>
      <c r="D15816" s="134"/>
      <c r="E15816" s="135"/>
      <c r="F15816" s="135"/>
    </row>
    <row r="15817" ht="15.75" customHeight="1">
      <c r="A15817" s="59"/>
      <c r="C15817" s="75"/>
      <c r="D15817" s="134"/>
      <c r="E15817" s="135"/>
      <c r="F15817" s="135"/>
    </row>
    <row r="15818" ht="15.75" customHeight="1">
      <c r="A15818" s="59"/>
      <c r="C15818" s="75"/>
      <c r="D15818" s="134"/>
      <c r="E15818" s="135"/>
      <c r="F15818" s="135"/>
    </row>
  </sheetData>
  <mergeCells count="1">
    <mergeCell ref="C13:F13"/>
  </mergeCells>
  <conditionalFormatting sqref="G20:H15818">
    <cfRule type="expression" dxfId="0" priority="1">
      <formula>"countif(B"</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0.0"/>
  </cols>
  <sheetData>
    <row r="2">
      <c r="A2" s="75" t="s">
        <v>105</v>
      </c>
      <c r="B2" s="63" t="str">
        <f>VLOOKUP(A2,'Class Def. - General Data'!C:C,1,FALSE)</f>
        <v>ZFG1_COOKINGOIL</v>
      </c>
    </row>
    <row r="3">
      <c r="A3" s="75" t="s">
        <v>122</v>
      </c>
      <c r="B3" s="63" t="str">
        <f>VLOOKUP(A3,'Class Def. - General Data'!C:C,1,FALSE)</f>
        <v>ZFG1_KECAP</v>
      </c>
    </row>
    <row r="4">
      <c r="A4" s="75" t="s">
        <v>127</v>
      </c>
      <c r="B4" s="63" t="str">
        <f>VLOOKUP(A4,'Class Def. - General Data'!C:C,1,FALSE)</f>
        <v>ZFG1_NOODLES</v>
      </c>
    </row>
    <row r="5">
      <c r="A5" s="75" t="s">
        <v>136</v>
      </c>
      <c r="B5" s="63" t="str">
        <f>VLOOKUP(A5,'Class Def. - General Data'!C:C,1,FALSE)</f>
        <v>ZFG1_SAVORYSNACK</v>
      </c>
    </row>
    <row r="6">
      <c r="A6" s="75" t="s">
        <v>137</v>
      </c>
      <c r="B6" s="63" t="str">
        <f>VLOOKUP(A6,'Class Def. - General Data'!C:C,1,FALSE)</f>
        <v>ZFG1_SEASONING</v>
      </c>
    </row>
    <row r="7">
      <c r="A7" s="75" t="s">
        <v>107</v>
      </c>
      <c r="B7" s="63" t="str">
        <f>VLOOKUP(A7,'Class Def. - General Data'!C:C,1,FALSE)</f>
        <v>ZFG1_CUPRTD</v>
      </c>
    </row>
    <row r="8">
      <c r="A8" s="75" t="s">
        <v>103</v>
      </c>
      <c r="B8" s="63" t="str">
        <f>VLOOKUP(A8,'Class Def. - General Data'!C:C,1,FALSE)</f>
        <v>ZFG1_COFFEE</v>
      </c>
    </row>
    <row r="9">
      <c r="A9" s="75" t="s">
        <v>129</v>
      </c>
      <c r="B9" s="63" t="str">
        <f>VLOOKUP(A9,'Class Def. - General Data'!C:C,1,FALSE)</f>
        <v>ZFG1_PETRTD</v>
      </c>
    </row>
    <row r="10">
      <c r="A10" s="75" t="s">
        <v>133</v>
      </c>
      <c r="B10" s="63" t="str">
        <f>VLOOKUP(A10,'Class Def. - General Data'!C:C,1,FALSE)</f>
        <v>ZFG1_POWDRINK</v>
      </c>
    </row>
    <row r="11">
      <c r="A11" s="75" t="s">
        <v>94</v>
      </c>
      <c r="B11" s="63" t="str">
        <f>VLOOKUP(A11,'Class Def. - General Data'!C:C,1,FALSE)</f>
        <v>ZFG1_AIRFRESHENER</v>
      </c>
    </row>
    <row r="12">
      <c r="A12" s="75" t="s">
        <v>101</v>
      </c>
      <c r="B12" s="63" t="str">
        <f>VLOOKUP(A12,'Class Def. - General Data'!C:C,1,FALSE)</f>
        <v>ZFG1_CANDLEAROMA</v>
      </c>
    </row>
    <row r="13">
      <c r="A13" s="75" t="s">
        <v>102</v>
      </c>
      <c r="B13" s="63" t="str">
        <f>VLOOKUP(A13,'Class Def. - General Data'!C:C,1,FALSE)</f>
        <v>ZFG1_CARBOL</v>
      </c>
    </row>
    <row r="14">
      <c r="A14" s="75" t="s">
        <v>109</v>
      </c>
      <c r="B14" s="63" t="str">
        <f>VLOOKUP(A14,'Class Def. - General Data'!C:C,1,FALSE)</f>
        <v>ZFG1_DISHWASHLIQ</v>
      </c>
    </row>
    <row r="15">
      <c r="A15" s="75" t="s">
        <v>110</v>
      </c>
      <c r="B15" s="63" t="str">
        <f>VLOOKUP(A15,'Class Def. - General Data'!C:C,1,FALSE)</f>
        <v>ZFG1_DISINFECTANT</v>
      </c>
    </row>
    <row r="16">
      <c r="A16" s="75" t="s">
        <v>115</v>
      </c>
      <c r="B16" s="63" t="str">
        <f>VLOOKUP(A16,'Class Def. - General Data'!C:C,1,FALSE)</f>
        <v>ZFG1_FLOORCLEANER</v>
      </c>
    </row>
    <row r="17">
      <c r="A17" s="75" t="s">
        <v>116</v>
      </c>
      <c r="B17" s="63" t="str">
        <f>VLOOKUP(A17,'Class Def. - General Data'!C:C,1,FALSE)</f>
        <v>ZFG1_GLASSCLEANER</v>
      </c>
    </row>
    <row r="18">
      <c r="A18" s="75" t="s">
        <v>131</v>
      </c>
      <c r="B18" s="63" t="str">
        <f>VLOOKUP(A18,'Class Def. - General Data'!C:C,1,FALSE)</f>
        <v>ZFG1_PORCCLEANER</v>
      </c>
    </row>
    <row r="19">
      <c r="A19" s="75" t="s">
        <v>134</v>
      </c>
      <c r="B19" s="63" t="str">
        <f>VLOOKUP(A19,'Class Def. - General Data'!C:C,1,FALSE)</f>
        <v>ZFG1_REEDDIFFUSER</v>
      </c>
    </row>
    <row r="20">
      <c r="A20" s="75" t="s">
        <v>141</v>
      </c>
      <c r="B20" s="63" t="str">
        <f>VLOOKUP(A20,'Class Def. - General Data'!C:C,1,FALSE)</f>
        <v>ZFG1_TOILETCLNR</v>
      </c>
    </row>
    <row r="21">
      <c r="A21" s="75" t="s">
        <v>99</v>
      </c>
      <c r="B21" s="63" t="str">
        <f>VLOOKUP(A21,'Class Def. - General Data'!C:C,1,FALSE)</f>
        <v>ZFG1_BODYBARSOAP</v>
      </c>
    </row>
    <row r="22">
      <c r="A22" s="75" t="s">
        <v>104</v>
      </c>
      <c r="B22" s="63" t="str">
        <f>VLOOKUP(A22,'Class Def. - General Data'!C:C,1,FALSE)</f>
        <v>ZFG1_COLOGNE</v>
      </c>
    </row>
    <row r="23">
      <c r="A23" s="75" t="s">
        <v>111</v>
      </c>
      <c r="B23" s="63" t="str">
        <f>VLOOKUP(A23,'Class Def. - General Data'!C:C,1,FALSE)</f>
        <v>ZFG1_DISPOSMASK</v>
      </c>
    </row>
    <row r="24">
      <c r="A24" s="75" t="s">
        <v>112</v>
      </c>
      <c r="B24" s="63" t="str">
        <f>VLOOKUP(A24,'Class Def. - General Data'!C:C,1,FALSE)</f>
        <v>ZFG1_ESSENTIALOIL</v>
      </c>
    </row>
    <row r="25">
      <c r="A25" s="75" t="s">
        <v>118</v>
      </c>
      <c r="B25" s="63" t="str">
        <f>VLOOKUP(A25,'Class Def. - General Data'!C:C,1,FALSE)</f>
        <v>ZFG1_HANDLIQSOAP</v>
      </c>
    </row>
    <row r="26">
      <c r="A26" s="75" t="s">
        <v>119</v>
      </c>
      <c r="B26" s="63" t="str">
        <f>VLOOKUP(A26,'Class Def. - General Data'!C:C,1,FALSE)</f>
        <v>ZFG1_HANDSAN</v>
      </c>
    </row>
    <row r="27">
      <c r="A27" s="75" t="s">
        <v>126</v>
      </c>
      <c r="B27" s="63" t="str">
        <f>VLOOKUP(A27,'Class Def. - General Data'!C:C,1,FALSE)</f>
        <v>ZFG1_MOSQUITOREPEL</v>
      </c>
    </row>
    <row r="28">
      <c r="A28" s="75" t="s">
        <v>135</v>
      </c>
      <c r="B28" s="63" t="str">
        <f>VLOOKUP(A28,'Class Def. - General Data'!C:C,1,FALSE)</f>
        <v>ZFG1_SANITARYGEL</v>
      </c>
    </row>
    <row r="29">
      <c r="A29" s="75" t="s">
        <v>138</v>
      </c>
      <c r="B29" s="63" t="str">
        <f>VLOOKUP(A29,'Class Def. - General Data'!C:C,1,FALSE)</f>
        <v>ZFG1_SKINCARE</v>
      </c>
    </row>
    <row r="30">
      <c r="A30" s="75" t="s">
        <v>100</v>
      </c>
      <c r="B30" s="63" t="str">
        <f>VLOOKUP(A30,'Class Def. - General Data'!C:C,1,FALSE)</f>
        <v>ZFG1_BODYLIQSOAP</v>
      </c>
    </row>
    <row r="31">
      <c r="A31" s="75" t="s">
        <v>117</v>
      </c>
      <c r="B31" s="63" t="str">
        <f>VLOOKUP(A31,'Class Def. - General Data'!C:C,1,FALSE)</f>
        <v>ZFG1_HAIRCARE</v>
      </c>
    </row>
    <row r="32">
      <c r="A32" s="75" t="s">
        <v>128</v>
      </c>
      <c r="B32" s="63" t="str">
        <f>VLOOKUP(A32,'Class Def. - General Data'!C:C,1,FALSE)</f>
        <v>ZFG1_ORALCARE</v>
      </c>
    </row>
    <row r="33">
      <c r="A33" s="75" t="s">
        <v>142</v>
      </c>
      <c r="B33" s="63" t="str">
        <f>VLOOKUP(A33,'Class Def. - General Data'!C:C,1,FALSE)</f>
        <v>ZFG1_TOOTHBRUSH</v>
      </c>
    </row>
    <row r="34">
      <c r="A34" s="75" t="s">
        <v>144</v>
      </c>
      <c r="B34" s="63" t="str">
        <f>VLOOKUP(A34,'Class Def. - General Data'!C:C,1,FALSE)</f>
        <v>ZFG1_WETWIPES</v>
      </c>
    </row>
    <row r="35">
      <c r="A35" s="75" t="s">
        <v>97</v>
      </c>
      <c r="B35" s="63" t="str">
        <f>VLOOKUP(A35,'Class Def. - General Data'!C:C,1,FALSE)</f>
        <v>ZFG1_BARDET</v>
      </c>
    </row>
    <row r="36">
      <c r="A36" s="75" t="s">
        <v>98</v>
      </c>
      <c r="B36" s="63" t="str">
        <f>VLOOKUP(A36,'Class Def. - General Data'!C:C,1,FALSE)</f>
        <v>ZFG1_BLEACHING</v>
      </c>
    </row>
    <row r="37">
      <c r="A37" s="75" t="s">
        <v>106</v>
      </c>
      <c r="B37" s="63" t="str">
        <f>VLOOKUP(A37,'Class Def. - General Data'!C:C,1,FALSE)</f>
        <v>ZFG1_CREAMDET</v>
      </c>
    </row>
    <row r="38">
      <c r="A38" s="75" t="s">
        <v>121</v>
      </c>
      <c r="B38" s="63" t="str">
        <f>VLOOKUP(A38,'Class Def. - General Data'!C:C,1,FALSE)</f>
        <v>ZFG1_IRONINGAID</v>
      </c>
    </row>
    <row r="39">
      <c r="A39" s="75" t="s">
        <v>125</v>
      </c>
      <c r="B39" s="63" t="str">
        <f>VLOOKUP(A39,'Class Def. - General Data'!C:C,1,FALSE)</f>
        <v>ZFG1_LIQDET</v>
      </c>
    </row>
    <row r="40">
      <c r="A40" s="75" t="s">
        <v>130</v>
      </c>
      <c r="B40" s="63" t="str">
        <f>VLOOKUP(A40,'Class Def. - General Data'!C:C,1,FALSE)</f>
        <v>ZFG1_PEWANGI</v>
      </c>
    </row>
    <row r="41">
      <c r="A41" s="75" t="s">
        <v>132</v>
      </c>
      <c r="B41" s="63" t="str">
        <f>VLOOKUP(A41,'Class Def. - General Data'!C:C,1,FALSE)</f>
        <v>ZFG1_POWDET</v>
      </c>
    </row>
    <row r="42">
      <c r="A42" s="75" t="s">
        <v>139</v>
      </c>
      <c r="B42" s="63" t="str">
        <f>VLOOKUP(A42,'Class Def. - General Data'!C:C,1,FALSE)</f>
        <v>ZFG1_SOFTENER</v>
      </c>
    </row>
    <row r="43">
      <c r="A43" s="75" t="s">
        <v>140</v>
      </c>
      <c r="B43" s="63" t="str">
        <f>VLOOKUP(A43,'Class Def. - General Data'!C:C,1,FALSE)</f>
        <v>ZFG1_STAINREMOVER</v>
      </c>
    </row>
    <row r="44">
      <c r="A44" s="75" t="s">
        <v>95</v>
      </c>
      <c r="B44" s="63" t="str">
        <f>VLOOKUP(A44,'Class Def. - General Data'!C:C,1,FALSE)</f>
        <v>ZFG1_BABYDIAPERS</v>
      </c>
    </row>
    <row r="45">
      <c r="A45" s="75" t="s">
        <v>96</v>
      </c>
      <c r="B45" s="63" t="str">
        <f>VLOOKUP(A45,'Class Def. - General Data'!C:C,1,FALSE)</f>
        <v>ZFG1_BABYPOWDER</v>
      </c>
    </row>
    <row r="46">
      <c r="A46" s="75" t="s">
        <v>143</v>
      </c>
      <c r="B46" s="63" t="str">
        <f>VLOOKUP(A46,'Class Def. - General Data'!C:C,1,FALSE)</f>
        <v>ZFG1_TOPTOTOE</v>
      </c>
    </row>
    <row r="47">
      <c r="A47" s="75" t="s">
        <v>114</v>
      </c>
      <c r="B47" s="63" t="str">
        <f>VLOOKUP(A47,'Class Def. - General Data'!C:C,1,FALSE)</f>
        <v>ZFG1_FACEMAKEUP</v>
      </c>
    </row>
    <row r="48">
      <c r="A48" s="75" t="s">
        <v>124</v>
      </c>
      <c r="B48" s="63" t="str">
        <f>VLOOKUP(A48,'Class Def. - General Data'!C:C,1,FALSE)</f>
        <v>ZFG1_LIPSMAKEUP</v>
      </c>
    </row>
    <row r="49">
      <c r="A49" s="75" t="s">
        <v>113</v>
      </c>
      <c r="B49" s="63" t="str">
        <f>VLOOKUP(A49,'Class Def. - General Data'!C:C,1,FALSE)</f>
        <v>ZFG1_EYESMAKEUP</v>
      </c>
    </row>
    <row r="50">
      <c r="A50" s="75" t="s">
        <v>120</v>
      </c>
      <c r="B50" s="63" t="str">
        <f>VLOOKUP(A50,'Class Def. - General Data'!C:C,1,FALSE)</f>
        <v>ZFG1_ICECREAM</v>
      </c>
    </row>
    <row r="51">
      <c r="A51" s="75" t="s">
        <v>5760</v>
      </c>
      <c r="B51" s="63" t="str">
        <f>VLOOKUP(A51,'Class Def. - General Data'!C:C,1,FALSE)</f>
        <v>#N/A</v>
      </c>
    </row>
    <row r="52">
      <c r="A52" s="75" t="s">
        <v>5761</v>
      </c>
      <c r="B52" s="63" t="str">
        <f>VLOOKUP(A52,'Class Def. - General Data'!C:C,1,FALSE)</f>
        <v>#N/A</v>
      </c>
    </row>
    <row r="53">
      <c r="A53" s="75" t="s">
        <v>145</v>
      </c>
      <c r="B53" s="63" t="str">
        <f>VLOOKUP(A53,'Class Def. - General Data'!C:C,1,FALSE)</f>
        <v>ZBL1_PAKET</v>
      </c>
    </row>
    <row r="54">
      <c r="A54" s="75" t="s">
        <v>108</v>
      </c>
      <c r="B54" s="63" t="str">
        <f>VLOOKUP(A54,'Class Def. - General Data'!C:C,1,FALSE)</f>
        <v>ZFG1_DISHWASHBAR</v>
      </c>
    </row>
    <row r="55">
      <c r="A55" s="75" t="s">
        <v>123</v>
      </c>
      <c r="B55" s="63" t="str">
        <f>VLOOKUP(A55,'Class Def. - General Data'!C:C,1,FALSE)</f>
        <v>ZFG1_KOPI</v>
      </c>
    </row>
    <row r="56">
      <c r="A56" s="75" t="s">
        <v>211</v>
      </c>
      <c r="B56" s="63" t="str">
        <f>VLOOKUP(A56,'Class Def. - General Data'!C:C,1,FALSE)</f>
        <v>ZBM1_ATAPMATTE</v>
      </c>
    </row>
    <row r="57">
      <c r="A57" s="75" t="s">
        <v>210</v>
      </c>
      <c r="B57" s="63" t="str">
        <f>VLOOKUP(A57,'Class Def. - General Data'!C:C,1,FALSE)</f>
        <v>ZBM1_ATAPGLOSSY</v>
      </c>
    </row>
    <row r="58">
      <c r="A58" s="75" t="s">
        <v>206</v>
      </c>
      <c r="B58" s="63" t="str">
        <f>VLOOKUP(A58,'Class Def. - General Data'!C:C,1,FALSE)</f>
        <v>ZBM1_ACCATAPGLOSSY</v>
      </c>
    </row>
    <row r="59">
      <c r="A59" s="75" t="s">
        <v>221</v>
      </c>
      <c r="B59" s="63" t="str">
        <f>VLOOKUP(A59,'Class Def. - General Data'!C:C,1,FALSE)</f>
        <v>ZBM1_FIBERCEMACC</v>
      </c>
    </row>
    <row r="60">
      <c r="A60" s="75" t="s">
        <v>5762</v>
      </c>
      <c r="B60" s="63" t="str">
        <f>VLOOKUP(A60,'Class Def. - General Data'!C:C,1,FALSE)</f>
        <v>#N/A</v>
      </c>
    </row>
    <row r="61">
      <c r="A61" s="75" t="s">
        <v>214</v>
      </c>
      <c r="B61" s="63" t="str">
        <f>VLOOKUP(A61,'Class Def. - General Data'!C:C,1,FALSE)</f>
        <v>ZBM1_GYPSUMBOARD</v>
      </c>
    </row>
    <row r="62">
      <c r="A62" s="75" t="s">
        <v>217</v>
      </c>
      <c r="B62" s="63" t="str">
        <f>VLOOKUP(A62,'Class Def. - General Data'!C:C,1,FALSE)</f>
        <v>ZBM1_GYPSUMFRAME</v>
      </c>
    </row>
    <row r="63">
      <c r="A63" s="75" t="s">
        <v>212</v>
      </c>
      <c r="B63" s="63" t="str">
        <f>VLOOKUP(A63,'Class Def. - General Data'!C:C,1,FALSE)</f>
        <v>ZBM1_ATAPSMALLC</v>
      </c>
    </row>
    <row r="64">
      <c r="A64" s="75" t="s">
        <v>220</v>
      </c>
      <c r="B64" s="63" t="str">
        <f>VLOOKUP(A64,'Class Def. - General Data'!C:C,1,FALSE)</f>
        <v>ZBM1_TEXTUREPLANK</v>
      </c>
    </row>
    <row r="65">
      <c r="A65" s="75" t="s">
        <v>219</v>
      </c>
      <c r="B65" s="63" t="str">
        <f>VLOOKUP(A65,'Class Def. - General Data'!C:C,1,FALSE)</f>
        <v>ZBM1_PLAINPLANK</v>
      </c>
    </row>
    <row r="66">
      <c r="A66" s="75" t="s">
        <v>208</v>
      </c>
      <c r="B66" s="63" t="str">
        <f>VLOOKUP(A66,'Class Def. - General Data'!C:C,1,FALSE)</f>
        <v>ZBM1_ACCATAPSMALLC</v>
      </c>
    </row>
    <row r="67">
      <c r="A67" s="75" t="s">
        <v>215</v>
      </c>
      <c r="B67" s="63" t="str">
        <f>VLOOKUP(A67,'Class Def. - General Data'!C:C,1,FALSE)</f>
        <v>ZBM1_GYPSUMCASTING</v>
      </c>
    </row>
    <row r="68">
      <c r="A68" s="75" t="s">
        <v>216</v>
      </c>
      <c r="B68" s="63" t="str">
        <f>VLOOKUP(A68,'Class Def. - General Data'!C:C,1,FALSE)</f>
        <v>ZBM1_GYPSUMCOMPOND</v>
      </c>
    </row>
    <row r="69">
      <c r="A69" s="75" t="s">
        <v>207</v>
      </c>
      <c r="B69" s="63" t="str">
        <f>VLOOKUP(A69,'Class Def. - General Data'!C:C,1,FALSE)</f>
        <v>ZBM1_ACCATAPMATTE</v>
      </c>
    </row>
    <row r="70">
      <c r="A70" s="75" t="s">
        <v>218</v>
      </c>
      <c r="B70" s="63" t="str">
        <f>VLOOKUP(A70,'Class Def. - General Data'!C:C,1,FALSE)</f>
        <v>ZBM1_GYPTILE</v>
      </c>
    </row>
    <row r="71">
      <c r="A71" s="75" t="s">
        <v>213</v>
      </c>
      <c r="B71" s="63" t="str">
        <f>VLOOKUP(A71,'Class Def. - General Data'!C:C,1,FALSE)</f>
        <v>ZBM1_ATAPUNGLAZED</v>
      </c>
    </row>
    <row r="72">
      <c r="A72" s="75" t="s">
        <v>209</v>
      </c>
      <c r="B72" s="63" t="str">
        <f>VLOOKUP(A72,'Class Def. - General Data'!C:C,1,FALSE)</f>
        <v>ZBM1_ACCATAPUNGLZD</v>
      </c>
    </row>
    <row r="73">
      <c r="A73" s="75" t="s">
        <v>184</v>
      </c>
      <c r="B73" s="63" t="str">
        <f>VLOOKUP(A73,'Class Def. - General Data'!C:C,1,FALSE)</f>
        <v>ZSF1_COPRODUCT</v>
      </c>
    </row>
    <row r="74">
      <c r="A74" s="75" t="s">
        <v>203</v>
      </c>
      <c r="B74" s="63" t="str">
        <f>VLOOKUP(A74,'Class Def. - General Data'!C:C,1,FALSE)</f>
        <v>ZSF1_SECONDARY</v>
      </c>
    </row>
    <row r="75">
      <c r="A75" s="75" t="s">
        <v>187</v>
      </c>
      <c r="B75" s="63" t="str">
        <f>VLOOKUP(A75,'Class Def. - General Data'!C:C,1,FALSE)</f>
        <v>ZSF1_INTD_GOODS</v>
      </c>
    </row>
    <row r="76">
      <c r="A76" s="75" t="s">
        <v>186</v>
      </c>
      <c r="B76" s="63" t="str">
        <f>VLOOKUP(A76,'Class Def. - General Data'!C:C,1,FALSE)</f>
        <v>ZSF1_INTD_GARNISH</v>
      </c>
    </row>
    <row r="77">
      <c r="A77" s="75" t="s">
        <v>197</v>
      </c>
      <c r="B77" s="63" t="str">
        <f>VLOOKUP(A77,'Class Def. - General Data'!C:C,1,FALSE)</f>
        <v>ZSF1_PINTD_FRESMAT</v>
      </c>
    </row>
    <row r="78">
      <c r="A78" s="75" t="s">
        <v>193</v>
      </c>
      <c r="B78" s="63" t="str">
        <f>VLOOKUP(A78,'Class Def. - General Data'!C:C,1,FALSE)</f>
        <v>ZSF1_PACK_POWDER</v>
      </c>
    </row>
    <row r="79">
      <c r="A79" s="75" t="s">
        <v>188</v>
      </c>
      <c r="B79" s="63" t="str">
        <f>VLOOKUP(A79,'Class Def. - General Data'!C:C,1,FALSE)</f>
        <v>ZSF1_INTD_OIL</v>
      </c>
    </row>
    <row r="80">
      <c r="A80" s="75" t="s">
        <v>199</v>
      </c>
      <c r="B80" s="63" t="str">
        <f>VLOOKUP(A80,'Class Def. - General Data'!C:C,1,FALSE)</f>
        <v>ZSF1_PINTD_OIL</v>
      </c>
    </row>
    <row r="81">
      <c r="A81" s="75" t="s">
        <v>190</v>
      </c>
      <c r="B81" s="63" t="str">
        <f>VLOOKUP(A81,'Class Def. - General Data'!C:C,1,FALSE)</f>
        <v>ZSF1_INTD_RAWMAT</v>
      </c>
    </row>
    <row r="82">
      <c r="A82" s="75" t="s">
        <v>195</v>
      </c>
      <c r="B82" s="63" t="str">
        <f>VLOOKUP(A82,'Class Def. - General Data'!C:C,1,FALSE)</f>
        <v>ZSF1_PACK_GARNISH</v>
      </c>
    </row>
    <row r="83">
      <c r="A83" s="75" t="s">
        <v>198</v>
      </c>
      <c r="B83" s="63" t="str">
        <f>VLOOKUP(A83,'Class Def. - General Data'!C:C,1,FALSE)</f>
        <v>ZSF1_PINTD_GARNISH</v>
      </c>
    </row>
    <row r="84">
      <c r="A84" s="75" t="s">
        <v>202</v>
      </c>
      <c r="B84" s="63" t="str">
        <f>VLOOKUP(A84,'Class Def. - General Data'!C:C,1,FALSE)</f>
        <v>ZSF1_REUSEABLE_PCK</v>
      </c>
    </row>
    <row r="85">
      <c r="A85" s="75" t="s">
        <v>200</v>
      </c>
      <c r="B85" s="63" t="str">
        <f>VLOOKUP(A85,'Class Def. - General Data'!C:C,1,FALSE)</f>
        <v>ZSF1_PINTD_PREMIX</v>
      </c>
    </row>
    <row r="86">
      <c r="A86" s="75" t="s">
        <v>189</v>
      </c>
      <c r="B86" s="63" t="str">
        <f>VLOOKUP(A86,'Class Def. - General Data'!C:C,1,FALSE)</f>
        <v>ZSF1_INTD_POWDER</v>
      </c>
    </row>
    <row r="87">
      <c r="A87" s="75" t="s">
        <v>196</v>
      </c>
      <c r="B87" s="63" t="str">
        <f>VLOOKUP(A87,'Class Def. - General Data'!C:C,1,FALSE)</f>
        <v>ZSF1_PACK_OIL</v>
      </c>
    </row>
    <row r="88">
      <c r="A88" s="75" t="s">
        <v>185</v>
      </c>
      <c r="B88" s="63" t="str">
        <f>VLOOKUP(A88,'Class Def. - General Data'!C:C,1,FALSE)</f>
        <v>ZSF1_INTD_DRYVEG</v>
      </c>
    </row>
    <row r="89">
      <c r="A89" s="75" t="s">
        <v>194</v>
      </c>
      <c r="B89" s="63" t="str">
        <f>VLOOKUP(A89,'Class Def. - General Data'!C:C,1,FALSE)</f>
        <v>ZSF1_PACK_SAMBAL</v>
      </c>
    </row>
    <row r="90">
      <c r="A90" s="75" t="s">
        <v>191</v>
      </c>
      <c r="B90" s="63" t="str">
        <f>VLOOKUP(A90,'Class Def. - General Data'!C:C,1,FALSE)</f>
        <v>ZSF1_INTD_SAMBAL</v>
      </c>
    </row>
    <row r="91">
      <c r="A91" s="75" t="s">
        <v>192</v>
      </c>
      <c r="B91" s="63" t="str">
        <f>VLOOKUP(A91,'Class Def. - General Data'!C:C,1,FALSE)</f>
        <v>ZSF1_PACK_DRYVEG</v>
      </c>
    </row>
    <row r="92">
      <c r="A92" s="75" t="s">
        <v>204</v>
      </c>
      <c r="B92" s="63" t="str">
        <f>VLOOKUP(A92,'Class Def. - General Data'!C:C,1,FALSE)</f>
        <v>ZSF1_SIDEPRODUCT</v>
      </c>
    </row>
    <row r="93">
      <c r="B93" s="63" t="str">
        <f>VLOOKUP(A93,'Class Def. - General Data'!C:C,1,FALSE)</f>
        <v>#N/A</v>
      </c>
    </row>
    <row r="94">
      <c r="B94" s="63" t="str">
        <f>VLOOKUP(A94,'Class Def. - General Data'!C:C,1,FALSE)</f>
        <v>#N/A</v>
      </c>
    </row>
    <row r="95">
      <c r="B95" s="63" t="str">
        <f>VLOOKUP(A95,'Class Def. - General Data'!C:C,1,FALSE)</f>
        <v>#N/A</v>
      </c>
    </row>
    <row r="96">
      <c r="B96" s="63" t="str">
        <f>VLOOKUP(A96,'Class Def. - General Data'!C:C,1,FALSE)</f>
        <v>#N/A</v>
      </c>
    </row>
    <row r="97">
      <c r="B97" s="63" t="str">
        <f>VLOOKUP(A97,'Class Def. - General Data'!C:C,1,FALSE)</f>
        <v>#N/A</v>
      </c>
    </row>
    <row r="98">
      <c r="B98" s="63" t="str">
        <f>VLOOKUP(A98,'Class Def. - General Data'!C:C,1,FALSE)</f>
        <v>#N/A</v>
      </c>
    </row>
    <row r="99">
      <c r="B99" s="63" t="str">
        <f>VLOOKUP(A99,'Class Def. - General Data'!C:C,1,FALSE)</f>
        <v>#N/A</v>
      </c>
    </row>
    <row r="100">
      <c r="B100" s="63" t="str">
        <f>VLOOKUP(A100,'Class Def. - General Data'!C:C,1,FALSE)</f>
        <v>#N/A</v>
      </c>
    </row>
    <row r="101">
      <c r="B101" s="63" t="str">
        <f>VLOOKUP(A101,'Class Def. - General Data'!C:C,1,FALSE)</f>
        <v>#N/A</v>
      </c>
    </row>
    <row r="102">
      <c r="B102" s="63" t="str">
        <f>VLOOKUP(A102,'Class Def. - General Data'!C:C,1,FALSE)</f>
        <v>#N/A</v>
      </c>
    </row>
    <row r="103">
      <c r="B103" s="63" t="str">
        <f>VLOOKUP(A103,'Class Def. - General Data'!C:C,1,FALSE)</f>
        <v>#N/A</v>
      </c>
    </row>
    <row r="104">
      <c r="B104" s="63" t="str">
        <f>VLOOKUP(A104,'Class Def. - General Data'!C:C,1,FALSE)</f>
        <v>#N/A</v>
      </c>
    </row>
    <row r="105">
      <c r="B105" s="63" t="str">
        <f>VLOOKUP(A105,'Class Def. - General Data'!C:C,1,FALSE)</f>
        <v>#N/A</v>
      </c>
    </row>
    <row r="106">
      <c r="B106" s="63" t="str">
        <f>VLOOKUP(A106,'Class Def. - General Data'!C:C,1,FALSE)</f>
        <v>#N/A</v>
      </c>
    </row>
    <row r="107">
      <c r="B107" s="63" t="str">
        <f>VLOOKUP(A107,'Class Def. - General Data'!C:C,1,FALSE)</f>
        <v>#N/A</v>
      </c>
    </row>
    <row r="108">
      <c r="B108" s="63" t="str">
        <f>VLOOKUP(A108,'Class Def. - General Data'!C:C,1,FALSE)</f>
        <v>#N/A</v>
      </c>
    </row>
    <row r="109">
      <c r="B109" s="63" t="str">
        <f>VLOOKUP(A109,'Class Def. - General Data'!C:C,1,FALSE)</f>
        <v>#N/A</v>
      </c>
    </row>
    <row r="110">
      <c r="B110" s="63" t="str">
        <f>VLOOKUP(A110,'Class Def. - General Data'!C:C,1,FALSE)</f>
        <v>#N/A</v>
      </c>
    </row>
    <row r="111">
      <c r="B111" s="63" t="str">
        <f>VLOOKUP(A111,'Class Def. - General Data'!C:C,1,FALSE)</f>
        <v>#N/A</v>
      </c>
    </row>
    <row r="112">
      <c r="B112" s="63" t="str">
        <f>VLOOKUP(A112,'Class Def. - General Data'!C:C,1,FALSE)</f>
        <v>#N/A</v>
      </c>
    </row>
    <row r="113">
      <c r="B113" s="63" t="str">
        <f>VLOOKUP(A113,'Class Def. - General Data'!C:C,1,FALSE)</f>
        <v>#N/A</v>
      </c>
    </row>
    <row r="114">
      <c r="B114" s="63" t="str">
        <f>VLOOKUP(A114,'Class Def. - General Data'!C:C,1,FALSE)</f>
        <v>#N/A</v>
      </c>
    </row>
    <row r="115">
      <c r="B115" s="63" t="str">
        <f>VLOOKUP(A115,'Class Def. - General Data'!C:C,1,FALSE)</f>
        <v>#N/A</v>
      </c>
    </row>
    <row r="116">
      <c r="B116" s="63" t="str">
        <f>VLOOKUP(A116,'Class Def. - General Data'!C:C,1,FALSE)</f>
        <v>#N/A</v>
      </c>
    </row>
    <row r="117">
      <c r="B117" s="63" t="str">
        <f>VLOOKUP(A117,'Class Def. - General Data'!C:C,1,FALSE)</f>
        <v>#N/A</v>
      </c>
    </row>
    <row r="118">
      <c r="B118" s="63" t="str">
        <f>VLOOKUP(A118,'Class Def. - General Data'!C:C,1,FALSE)</f>
        <v>#N/A</v>
      </c>
    </row>
    <row r="119">
      <c r="B119" s="63" t="str">
        <f>VLOOKUP(A119,'Class Def. - General Data'!C:C,1,FALSE)</f>
        <v>#N/A</v>
      </c>
    </row>
    <row r="120">
      <c r="B120" s="63" t="str">
        <f>VLOOKUP(A120,'Class Def. - General Data'!C:C,1,FALSE)</f>
        <v>#N/A</v>
      </c>
    </row>
    <row r="121">
      <c r="B121" s="63" t="str">
        <f>VLOOKUP(A121,'Class Def. - General Data'!C:C,1,FALSE)</f>
        <v>#N/A</v>
      </c>
    </row>
    <row r="122">
      <c r="B122" s="63" t="str">
        <f>VLOOKUP(A122,'Class Def. - General Data'!C:C,1,FALSE)</f>
        <v>#N/A</v>
      </c>
    </row>
    <row r="123">
      <c r="B123" s="63" t="str">
        <f>VLOOKUP(A123,'Class Def. - General Data'!C:C,1,FALSE)</f>
        <v>#N/A</v>
      </c>
    </row>
    <row r="124">
      <c r="B124" s="63" t="str">
        <f>VLOOKUP(A124,'Class Def. - General Data'!C:C,1,FALSE)</f>
        <v>#N/A</v>
      </c>
    </row>
    <row r="125">
      <c r="B125" s="63" t="str">
        <f>VLOOKUP(A125,'Class Def. - General Data'!C:C,1,FALSE)</f>
        <v>#N/A</v>
      </c>
    </row>
    <row r="126">
      <c r="B126" s="63" t="str">
        <f>VLOOKUP(A126,'Class Def. - General Data'!C:C,1,FALSE)</f>
        <v>#N/A</v>
      </c>
    </row>
    <row r="127">
      <c r="B127" s="63" t="str">
        <f>VLOOKUP(A127,'Class Def. - General Data'!C:C,1,FALSE)</f>
        <v>#N/A</v>
      </c>
    </row>
    <row r="128">
      <c r="B128" s="63" t="str">
        <f>VLOOKUP(A128,'Class Def. - General Data'!C:C,1,FALSE)</f>
        <v>#N/A</v>
      </c>
    </row>
    <row r="129">
      <c r="B129" s="63" t="str">
        <f>VLOOKUP(A129,'Class Def. - General Data'!C:C,1,FALSE)</f>
        <v>#N/A</v>
      </c>
    </row>
    <row r="130">
      <c r="B130" s="63" t="str">
        <f>VLOOKUP(A130,'Class Def. - General Data'!C:C,1,FALSE)</f>
        <v>#N/A</v>
      </c>
    </row>
    <row r="131">
      <c r="B131" s="63" t="str">
        <f>VLOOKUP(A131,'Class Def. - General Data'!C:C,1,FALSE)</f>
        <v>#N/A</v>
      </c>
    </row>
    <row r="132">
      <c r="B132" s="63" t="str">
        <f>VLOOKUP(A132,'Class Def. - General Data'!C:C,1,FALSE)</f>
        <v>#N/A</v>
      </c>
    </row>
    <row r="133">
      <c r="B133" s="63" t="str">
        <f>VLOOKUP(A133,'Class Def. - General Data'!C:C,1,FALSE)</f>
        <v>#N/A</v>
      </c>
    </row>
    <row r="134">
      <c r="B134" s="63" t="str">
        <f>VLOOKUP(A134,'Class Def. - General Data'!C:C,1,FALSE)</f>
        <v>#N/A</v>
      </c>
    </row>
    <row r="135">
      <c r="B135" s="63" t="str">
        <f>VLOOKUP(A135,'Class Def. - General Data'!C:C,1,FALSE)</f>
        <v>#N/A</v>
      </c>
    </row>
    <row r="136">
      <c r="B136" s="63" t="str">
        <f>VLOOKUP(A136,'Class Def. - General Data'!C:C,1,FALSE)</f>
        <v>#N/A</v>
      </c>
    </row>
    <row r="137">
      <c r="B137" s="63" t="str">
        <f>VLOOKUP(A137,'Class Def. - General Data'!C:C,1,FALSE)</f>
        <v>#N/A</v>
      </c>
    </row>
    <row r="138">
      <c r="B138" s="63" t="str">
        <f>VLOOKUP(A138,'Class Def. - General Data'!C:C,1,FALSE)</f>
        <v>#N/A</v>
      </c>
    </row>
    <row r="139">
      <c r="B139" s="63" t="str">
        <f>VLOOKUP(A139,'Class Def. - General Data'!C:C,1,FALSE)</f>
        <v>#N/A</v>
      </c>
    </row>
    <row r="140">
      <c r="B140" s="63" t="str">
        <f>VLOOKUP(A140,'Class Def. - General Data'!C:C,1,FALSE)</f>
        <v>#N/A</v>
      </c>
    </row>
    <row r="141">
      <c r="B141" s="63" t="str">
        <f>VLOOKUP(A141,'Class Def. - General Data'!C:C,1,FALSE)</f>
        <v>#N/A</v>
      </c>
    </row>
    <row r="142">
      <c r="B142" s="63" t="str">
        <f>VLOOKUP(A142,'Class Def. - General Data'!C:C,1,FALSE)</f>
        <v>#N/A</v>
      </c>
    </row>
    <row r="143">
      <c r="B143" s="63" t="str">
        <f>VLOOKUP(A143,'Class Def. - General Data'!C:C,1,FALSE)</f>
        <v>#N/A</v>
      </c>
    </row>
    <row r="144">
      <c r="B144" s="63" t="str">
        <f>VLOOKUP(A144,'Class Def. - General Data'!C:C,1,FALSE)</f>
        <v>#N/A</v>
      </c>
    </row>
    <row r="145">
      <c r="B145" s="63" t="str">
        <f>VLOOKUP(A145,'Class Def. - General Data'!C:C,1,FALSE)</f>
        <v>#N/A</v>
      </c>
    </row>
    <row r="146">
      <c r="B146" s="63" t="str">
        <f>VLOOKUP(A146,'Class Def. - General Data'!C:C,1,FALSE)</f>
        <v>#N/A</v>
      </c>
    </row>
    <row r="147">
      <c r="B147" s="63" t="str">
        <f>VLOOKUP(A147,'Class Def. - General Data'!C:C,1,FALSE)</f>
        <v>#N/A</v>
      </c>
    </row>
    <row r="148">
      <c r="B148" s="63" t="str">
        <f>VLOOKUP(A148,'Class Def. - General Data'!C:C,1,FALSE)</f>
        <v>#N/A</v>
      </c>
    </row>
    <row r="149">
      <c r="B149" s="63" t="str">
        <f>VLOOKUP(A149,'Class Def. - General Data'!C:C,1,FALSE)</f>
        <v>#N/A</v>
      </c>
    </row>
    <row r="150">
      <c r="B150" s="63" t="str">
        <f>VLOOKUP(A150,'Class Def. - General Data'!C:C,1,FALSE)</f>
        <v>#N/A</v>
      </c>
    </row>
    <row r="151">
      <c r="B151" s="63" t="str">
        <f>VLOOKUP(A151,'Class Def. - General Data'!C:C,1,FALSE)</f>
        <v>#N/A</v>
      </c>
    </row>
    <row r="152">
      <c r="B152" s="63" t="str">
        <f>VLOOKUP(A152,'Class Def. - General Data'!C:C,1,FALSE)</f>
        <v>#N/A</v>
      </c>
    </row>
    <row r="153">
      <c r="B153" s="63" t="str">
        <f>VLOOKUP(A153,'Class Def. - General Data'!C:C,1,FALSE)</f>
        <v>#N/A</v>
      </c>
    </row>
    <row r="154">
      <c r="B154" s="63" t="str">
        <f>VLOOKUP(A154,'Class Def. - General Data'!C:C,1,FALSE)</f>
        <v>#N/A</v>
      </c>
    </row>
    <row r="155">
      <c r="B155" s="63" t="str">
        <f>VLOOKUP(A155,'Class Def. - General Data'!C:C,1,FALSE)</f>
        <v>#N/A</v>
      </c>
    </row>
    <row r="156">
      <c r="B156" s="63" t="str">
        <f>VLOOKUP(A156,'Class Def. - General Data'!C:C,1,FALSE)</f>
        <v>#N/A</v>
      </c>
    </row>
    <row r="157">
      <c r="B157" s="63" t="str">
        <f>VLOOKUP(A157,'Class Def. - General Data'!C:C,1,FALSE)</f>
        <v>#N/A</v>
      </c>
    </row>
    <row r="158">
      <c r="B158" s="63" t="str">
        <f>VLOOKUP(A158,'Class Def. - General Data'!C:C,1,FALSE)</f>
        <v>#N/A</v>
      </c>
    </row>
    <row r="159">
      <c r="B159" s="63" t="str">
        <f>VLOOKUP(A159,'Class Def. - General Data'!C:C,1,FALSE)</f>
        <v>#N/A</v>
      </c>
    </row>
    <row r="160">
      <c r="B160" s="63" t="str">
        <f>VLOOKUP(A160,'Class Def. - General Data'!C:C,1,FALSE)</f>
        <v>#N/A</v>
      </c>
    </row>
    <row r="161">
      <c r="B161" s="63" t="str">
        <f>VLOOKUP(A161,'Class Def. - General Data'!C:C,1,FALSE)</f>
        <v>#N/A</v>
      </c>
    </row>
    <row r="162">
      <c r="B162" s="63" t="str">
        <f>VLOOKUP(A162,'Class Def. - General Data'!C:C,1,FALSE)</f>
        <v>#N/A</v>
      </c>
    </row>
    <row r="163">
      <c r="B163" s="63" t="str">
        <f>VLOOKUP(A163,'Class Def. - General Data'!C:C,1,FALSE)</f>
        <v>#N/A</v>
      </c>
    </row>
    <row r="164">
      <c r="B164" s="63" t="str">
        <f>VLOOKUP(A164,'Class Def. - General Data'!C:C,1,FALSE)</f>
        <v>#N/A</v>
      </c>
    </row>
    <row r="165">
      <c r="B165" s="63" t="str">
        <f>VLOOKUP(A165,'Class Def. - General Data'!C:C,1,FALSE)</f>
        <v>#N/A</v>
      </c>
    </row>
    <row r="166">
      <c r="B166" s="63" t="str">
        <f>VLOOKUP(A166,'Class Def. - General Data'!C:C,1,FALSE)</f>
        <v>#N/A</v>
      </c>
    </row>
    <row r="167">
      <c r="B167" s="63" t="str">
        <f>VLOOKUP(A167,'Class Def. - General Data'!C:C,1,FALSE)</f>
        <v>#N/A</v>
      </c>
    </row>
    <row r="168">
      <c r="B168" s="63" t="str">
        <f>VLOOKUP(A168,'Class Def. - General Data'!C:C,1,FALSE)</f>
        <v>#N/A</v>
      </c>
    </row>
    <row r="169">
      <c r="B169" s="63" t="str">
        <f>VLOOKUP(A169,'Class Def. - General Data'!C:C,1,FALSE)</f>
        <v>#N/A</v>
      </c>
    </row>
    <row r="170">
      <c r="B170" s="63" t="str">
        <f>VLOOKUP(A170,'Class Def. - General Data'!C:C,1,FALSE)</f>
        <v>#N/A</v>
      </c>
    </row>
    <row r="171">
      <c r="B171" s="63" t="str">
        <f>VLOOKUP(A171,'Class Def. - General Data'!C:C,1,FALSE)</f>
        <v>#N/A</v>
      </c>
    </row>
    <row r="172">
      <c r="B172" s="63" t="str">
        <f>VLOOKUP(A172,'Class Def. - General Data'!C:C,1,FALSE)</f>
        <v>#N/A</v>
      </c>
    </row>
    <row r="173">
      <c r="B173" s="63" t="str">
        <f>VLOOKUP(A173,'Class Def. - General Data'!C:C,1,FALSE)</f>
        <v>#N/A</v>
      </c>
    </row>
    <row r="174">
      <c r="B174" s="63" t="str">
        <f>VLOOKUP(A174,'Class Def. - General Data'!C:C,1,FALSE)</f>
        <v>#N/A</v>
      </c>
    </row>
    <row r="175">
      <c r="B175" s="63" t="str">
        <f>VLOOKUP(A175,'Class Def. - General Data'!C:C,1,FALSE)</f>
        <v>#N/A</v>
      </c>
    </row>
    <row r="176">
      <c r="B176" s="63" t="str">
        <f>VLOOKUP(A176,'Class Def. - General Data'!C:C,1,FALSE)</f>
        <v>#N/A</v>
      </c>
    </row>
    <row r="177">
      <c r="B177" s="63" t="str">
        <f>VLOOKUP(A177,'Class Def. - General Data'!C:C,1,FALSE)</f>
        <v>#N/A</v>
      </c>
    </row>
    <row r="178">
      <c r="B178" s="63" t="str">
        <f>VLOOKUP(A178,'Class Def. - General Data'!C:C,1,FALSE)</f>
        <v>#N/A</v>
      </c>
    </row>
    <row r="179">
      <c r="B179" s="63" t="str">
        <f>VLOOKUP(A179,'Class Def. - General Data'!C:C,1,FALSE)</f>
        <v>#N/A</v>
      </c>
    </row>
    <row r="180">
      <c r="B180" s="63" t="str">
        <f>VLOOKUP(A180,'Class Def. - General Data'!C:C,1,FALSE)</f>
        <v>#N/A</v>
      </c>
    </row>
    <row r="181">
      <c r="B181" s="63" t="str">
        <f>VLOOKUP(A181,'Class Def. - General Data'!C:C,1,FALSE)</f>
        <v>#N/A</v>
      </c>
    </row>
    <row r="182">
      <c r="B182" s="63" t="str">
        <f>VLOOKUP(A182,'Class Def. - General Data'!C:C,1,FALSE)</f>
        <v>#N/A</v>
      </c>
    </row>
    <row r="183">
      <c r="B183" s="63" t="str">
        <f>VLOOKUP(A183,'Class Def. - General Data'!C:C,1,FALSE)</f>
        <v>#N/A</v>
      </c>
    </row>
    <row r="184">
      <c r="B184" s="63" t="str">
        <f>VLOOKUP(A184,'Class Def. - General Data'!C:C,1,FALSE)</f>
        <v>#N/A</v>
      </c>
    </row>
    <row r="185">
      <c r="B185" s="63" t="str">
        <f>VLOOKUP(A185,'Class Def. - General Data'!C:C,1,FALSE)</f>
        <v>#N/A</v>
      </c>
    </row>
    <row r="186">
      <c r="B186" s="63" t="str">
        <f>VLOOKUP(A186,'Class Def. - General Data'!C:C,1,FALSE)</f>
        <v>#N/A</v>
      </c>
    </row>
    <row r="187">
      <c r="B187" s="63" t="str">
        <f>VLOOKUP(A187,'Class Def. - General Data'!C:C,1,FALSE)</f>
        <v>#N/A</v>
      </c>
    </row>
    <row r="188">
      <c r="B188" s="63" t="str">
        <f>VLOOKUP(A188,'Class Def. - General Data'!C:C,1,FALSE)</f>
        <v>#N/A</v>
      </c>
    </row>
    <row r="189">
      <c r="B189" s="63" t="str">
        <f>VLOOKUP(A189,'Class Def. - General Data'!C:C,1,FALSE)</f>
        <v>#N/A</v>
      </c>
    </row>
    <row r="190">
      <c r="B190" s="63" t="str">
        <f>VLOOKUP(A190,'Class Def. - General Data'!C:C,1,FALSE)</f>
        <v>#N/A</v>
      </c>
    </row>
    <row r="191">
      <c r="B191" s="63" t="str">
        <f>VLOOKUP(A191,'Class Def. - General Data'!C:C,1,FALSE)</f>
        <v>#N/A</v>
      </c>
    </row>
    <row r="192">
      <c r="B192" s="63" t="str">
        <f>VLOOKUP(A192,'Class Def. - General Data'!C:C,1,FALSE)</f>
        <v>#N/A</v>
      </c>
    </row>
    <row r="193">
      <c r="B193" s="63" t="str">
        <f>VLOOKUP(A193,'Class Def. - General Data'!C:C,1,FALSE)</f>
        <v>#N/A</v>
      </c>
    </row>
    <row r="194">
      <c r="B194" s="63" t="str">
        <f>VLOOKUP(A194,'Class Def. - General Data'!C:C,1,FALSE)</f>
        <v>#N/A</v>
      </c>
    </row>
    <row r="195">
      <c r="B195" s="63" t="str">
        <f>VLOOKUP(A195,'Class Def. - General Data'!C:C,1,FALSE)</f>
        <v>#N/A</v>
      </c>
    </row>
    <row r="196">
      <c r="B196" s="63" t="str">
        <f>VLOOKUP(A196,'Class Def. - General Data'!C:C,1,FALSE)</f>
        <v>#N/A</v>
      </c>
    </row>
    <row r="197">
      <c r="B197" s="63" t="str">
        <f>VLOOKUP(A197,'Class Def. - General Data'!C:C,1,FALSE)</f>
        <v>#N/A</v>
      </c>
    </row>
    <row r="198">
      <c r="B198" s="63" t="str">
        <f>VLOOKUP(A198,'Class Def. - General Data'!C:C,1,FALSE)</f>
        <v>#N/A</v>
      </c>
    </row>
    <row r="199">
      <c r="B199" s="63" t="str">
        <f>VLOOKUP(A199,'Class Def. - General Data'!C:C,1,FALSE)</f>
        <v>#N/A</v>
      </c>
    </row>
    <row r="200">
      <c r="B200" s="63" t="str">
        <f>VLOOKUP(A200,'Class Def. - General Data'!C:C,1,FALSE)</f>
        <v>#N/A</v>
      </c>
    </row>
    <row r="201">
      <c r="B201" s="63" t="str">
        <f>VLOOKUP(A201,'Class Def. - General Data'!C:C,1,FALSE)</f>
        <v>#N/A</v>
      </c>
    </row>
    <row r="202">
      <c r="B202" s="63" t="str">
        <f>VLOOKUP(A202,'Class Def. - General Data'!C:C,1,FALSE)</f>
        <v>#N/A</v>
      </c>
    </row>
    <row r="203">
      <c r="B203" s="63" t="str">
        <f>VLOOKUP(A203,'Class Def. - General Data'!C:C,1,FALSE)</f>
        <v>#N/A</v>
      </c>
    </row>
    <row r="204">
      <c r="B204" s="63" t="str">
        <f>VLOOKUP(A204,'Class Def. - General Data'!C:C,1,FALSE)</f>
        <v>#N/A</v>
      </c>
    </row>
    <row r="205">
      <c r="B205" s="63" t="str">
        <f>VLOOKUP(A205,'Class Def. - General Data'!C:C,1,FALSE)</f>
        <v>#N/A</v>
      </c>
    </row>
    <row r="206">
      <c r="B206" s="63" t="str">
        <f>VLOOKUP(A206,'Class Def. - General Data'!C:C,1,FALSE)</f>
        <v>#N/A</v>
      </c>
    </row>
    <row r="207">
      <c r="B207" s="63" t="str">
        <f>VLOOKUP(A207,'Class Def. - General Data'!C:C,1,FALSE)</f>
        <v>#N/A</v>
      </c>
    </row>
    <row r="208">
      <c r="B208" s="63" t="str">
        <f>VLOOKUP(A208,'Class Def. - General Data'!C:C,1,FALSE)</f>
        <v>#N/A</v>
      </c>
    </row>
    <row r="209">
      <c r="B209" s="63" t="str">
        <f>VLOOKUP(A209,'Class Def. - General Data'!C:C,1,FALSE)</f>
        <v>#N/A</v>
      </c>
    </row>
    <row r="210">
      <c r="B210" s="63" t="str">
        <f>VLOOKUP(A210,'Class Def. - General Data'!C:C,1,FALSE)</f>
        <v>#N/A</v>
      </c>
    </row>
    <row r="211">
      <c r="B211" s="63" t="str">
        <f>VLOOKUP(A211,'Class Def. - General Data'!C:C,1,FALSE)</f>
        <v>#N/A</v>
      </c>
    </row>
    <row r="212">
      <c r="B212" s="63" t="str">
        <f>VLOOKUP(A212,'Class Def. - General Data'!C:C,1,FALSE)</f>
        <v>#N/A</v>
      </c>
    </row>
    <row r="213">
      <c r="B213" s="63" t="str">
        <f>VLOOKUP(A213,'Class Def. - General Data'!C:C,1,FALSE)</f>
        <v>#N/A</v>
      </c>
    </row>
    <row r="214">
      <c r="B214" s="63" t="str">
        <f>VLOOKUP(A214,'Class Def. - General Data'!C:C,1,FALSE)</f>
        <v>#N/A</v>
      </c>
    </row>
    <row r="215">
      <c r="B215" s="63" t="str">
        <f>VLOOKUP(A215,'Class Def. - General Data'!C:C,1,FALSE)</f>
        <v>#N/A</v>
      </c>
    </row>
    <row r="216">
      <c r="B216" s="63" t="str">
        <f>VLOOKUP(A216,'Class Def. - General Data'!C:C,1,FALSE)</f>
        <v>#N/A</v>
      </c>
    </row>
    <row r="217">
      <c r="B217" s="63" t="str">
        <f>VLOOKUP(A217,'Class Def. - General Data'!C:C,1,FALSE)</f>
        <v>#N/A</v>
      </c>
    </row>
    <row r="218">
      <c r="B218" s="63" t="str">
        <f>VLOOKUP(A218,'Class Def. - General Data'!C:C,1,FALSE)</f>
        <v>#N/A</v>
      </c>
    </row>
    <row r="219">
      <c r="B219" s="63" t="str">
        <f>VLOOKUP(A219,'Class Def. - General Data'!C:C,1,FALSE)</f>
        <v>#N/A</v>
      </c>
    </row>
    <row r="220">
      <c r="B220" s="63" t="str">
        <f>VLOOKUP(A220,'Class Def. - General Data'!C:C,1,FALSE)</f>
        <v>#N/A</v>
      </c>
    </row>
    <row r="221">
      <c r="B221" s="63" t="str">
        <f>VLOOKUP(A221,'Class Def. - General Data'!C:C,1,FALSE)</f>
        <v>#N/A</v>
      </c>
    </row>
    <row r="222">
      <c r="B222" s="63" t="str">
        <f>VLOOKUP(A222,'Class Def. - General Data'!C:C,1,FALSE)</f>
        <v>#N/A</v>
      </c>
    </row>
    <row r="223">
      <c r="B223" s="63" t="str">
        <f>VLOOKUP(A223,'Class Def. - General Data'!C:C,1,FALSE)</f>
        <v>#N/A</v>
      </c>
    </row>
    <row r="224">
      <c r="B224" s="63" t="str">
        <f>VLOOKUP(A224,'Class Def. - General Data'!C:C,1,FALSE)</f>
        <v>#N/A</v>
      </c>
    </row>
    <row r="225">
      <c r="B225" s="63" t="str">
        <f>VLOOKUP(A225,'Class Def. - General Data'!C:C,1,FALSE)</f>
        <v>#N/A</v>
      </c>
    </row>
    <row r="226">
      <c r="B226" s="63" t="str">
        <f>VLOOKUP(A226,'Class Def. - General Data'!C:C,1,FALSE)</f>
        <v>#N/A</v>
      </c>
    </row>
    <row r="227">
      <c r="B227" s="63" t="str">
        <f>VLOOKUP(A227,'Class Def. - General Data'!C:C,1,FALSE)</f>
        <v>#N/A</v>
      </c>
    </row>
    <row r="228">
      <c r="B228" s="63" t="str">
        <f>VLOOKUP(A228,'Class Def. - General Data'!C:C,1,FALSE)</f>
        <v>#N/A</v>
      </c>
    </row>
    <row r="229">
      <c r="B229" s="63" t="str">
        <f>VLOOKUP(A229,'Class Def. - General Data'!C:C,1,FALSE)</f>
        <v>#N/A</v>
      </c>
    </row>
    <row r="230">
      <c r="B230" s="63" t="str">
        <f>VLOOKUP(A230,'Class Def. - General Data'!C:C,1,FALSE)</f>
        <v>#N/A</v>
      </c>
    </row>
    <row r="231">
      <c r="B231" s="63" t="str">
        <f>VLOOKUP(A231,'Class Def. - General Data'!C:C,1,FALSE)</f>
        <v>#N/A</v>
      </c>
    </row>
    <row r="232">
      <c r="B232" s="63" t="str">
        <f>VLOOKUP(A232,'Class Def. - General Data'!C:C,1,FALSE)</f>
        <v>#N/A</v>
      </c>
    </row>
    <row r="233">
      <c r="B233" s="63" t="str">
        <f>VLOOKUP(A233,'Class Def. - General Data'!C:C,1,FALSE)</f>
        <v>#N/A</v>
      </c>
    </row>
    <row r="234">
      <c r="B234" s="63" t="str">
        <f>VLOOKUP(A234,'Class Def. - General Data'!C:C,1,FALSE)</f>
        <v>#N/A</v>
      </c>
    </row>
    <row r="235">
      <c r="B235" s="63" t="str">
        <f>VLOOKUP(A235,'Class Def. - General Data'!C:C,1,FALSE)</f>
        <v>#N/A</v>
      </c>
    </row>
    <row r="236">
      <c r="B236" s="63" t="str">
        <f>VLOOKUP(A236,'Class Def. - General Data'!C:C,1,FALSE)</f>
        <v>#N/A</v>
      </c>
    </row>
    <row r="237">
      <c r="B237" s="63" t="str">
        <f>VLOOKUP(A237,'Class Def. - General Data'!C:C,1,FALSE)</f>
        <v>#N/A</v>
      </c>
    </row>
    <row r="238">
      <c r="B238" s="63" t="str">
        <f>VLOOKUP(A238,'Class Def. - General Data'!C:C,1,FALSE)</f>
        <v>#N/A</v>
      </c>
    </row>
    <row r="239">
      <c r="B239" s="63" t="str">
        <f>VLOOKUP(A239,'Class Def. - General Data'!C:C,1,FALSE)</f>
        <v>#N/A</v>
      </c>
    </row>
    <row r="240">
      <c r="B240" s="63" t="str">
        <f>VLOOKUP(A240,'Class Def. - General Data'!C:C,1,FALSE)</f>
        <v>#N/A</v>
      </c>
    </row>
    <row r="241">
      <c r="B241" s="63" t="str">
        <f>VLOOKUP(A241,'Class Def. - General Data'!C:C,1,FALSE)</f>
        <v>#N/A</v>
      </c>
    </row>
    <row r="242">
      <c r="B242" s="63" t="str">
        <f>VLOOKUP(A242,'Class Def. - General Data'!C:C,1,FALSE)</f>
        <v>#N/A</v>
      </c>
    </row>
    <row r="243">
      <c r="B243" s="63" t="str">
        <f>VLOOKUP(A243,'Class Def. - General Data'!C:C,1,FALSE)</f>
        <v>#N/A</v>
      </c>
    </row>
    <row r="244">
      <c r="B244" s="63" t="str">
        <f>VLOOKUP(A244,'Class Def. - General Data'!C:C,1,FALSE)</f>
        <v>#N/A</v>
      </c>
    </row>
    <row r="245">
      <c r="B245" s="63" t="str">
        <f>VLOOKUP(A245,'Class Def. - General Data'!C:C,1,FALSE)</f>
        <v>#N/A</v>
      </c>
    </row>
    <row r="246">
      <c r="B246" s="63" t="str">
        <f>VLOOKUP(A246,'Class Def. - General Data'!C:C,1,FALSE)</f>
        <v>#N/A</v>
      </c>
    </row>
    <row r="247">
      <c r="B247" s="63" t="str">
        <f>VLOOKUP(A247,'Class Def. - General Data'!C:C,1,FALSE)</f>
        <v>#N/A</v>
      </c>
    </row>
    <row r="248">
      <c r="B248" s="63" t="str">
        <f>VLOOKUP(A248,'Class Def. - General Data'!C:C,1,FALSE)</f>
        <v>#N/A</v>
      </c>
    </row>
    <row r="249">
      <c r="B249" s="63" t="str">
        <f>VLOOKUP(A249,'Class Def. - General Data'!C:C,1,FALSE)</f>
        <v>#N/A</v>
      </c>
    </row>
    <row r="250">
      <c r="B250" s="63" t="str">
        <f>VLOOKUP(A250,'Class Def. - General Data'!C:C,1,FALSE)</f>
        <v>#N/A</v>
      </c>
    </row>
    <row r="251">
      <c r="B251" s="63" t="str">
        <f>VLOOKUP(A251,'Class Def. - General Data'!C:C,1,FALSE)</f>
        <v>#N/A</v>
      </c>
    </row>
    <row r="252">
      <c r="B252" s="63" t="str">
        <f>VLOOKUP(A252,'Class Def. - General Data'!C:C,1,FALSE)</f>
        <v>#N/A</v>
      </c>
    </row>
    <row r="253">
      <c r="B253" s="63" t="str">
        <f>VLOOKUP(A253,'Class Def. - General Data'!C:C,1,FALSE)</f>
        <v>#N/A</v>
      </c>
    </row>
    <row r="254">
      <c r="B254" s="63" t="str">
        <f>VLOOKUP(A254,'Class Def. - General Data'!C:C,1,FALSE)</f>
        <v>#N/A</v>
      </c>
    </row>
    <row r="255">
      <c r="B255" s="63" t="str">
        <f>VLOOKUP(A255,'Class Def. - General Data'!C:C,1,FALSE)</f>
        <v>#N/A</v>
      </c>
    </row>
    <row r="256">
      <c r="B256" s="63" t="str">
        <f>VLOOKUP(A256,'Class Def. - General Data'!C:C,1,FALSE)</f>
        <v>#N/A</v>
      </c>
    </row>
    <row r="257">
      <c r="B257" s="63" t="str">
        <f>VLOOKUP(A257,'Class Def. - General Data'!C:C,1,FALSE)</f>
        <v>#N/A</v>
      </c>
    </row>
    <row r="258">
      <c r="B258" s="63" t="str">
        <f>VLOOKUP(A258,'Class Def. - General Data'!C:C,1,FALSE)</f>
        <v>#N/A</v>
      </c>
    </row>
    <row r="259">
      <c r="B259" s="63" t="str">
        <f>VLOOKUP(A259,'Class Def. - General Data'!C:C,1,FALSE)</f>
        <v>#N/A</v>
      </c>
    </row>
    <row r="260">
      <c r="B260" s="63" t="str">
        <f>VLOOKUP(A260,'Class Def. - General Data'!C:C,1,FALSE)</f>
        <v>#N/A</v>
      </c>
    </row>
    <row r="261">
      <c r="B261" s="63" t="str">
        <f>VLOOKUP(A261,'Class Def. - General Data'!C:C,1,FALSE)</f>
        <v>#N/A</v>
      </c>
    </row>
    <row r="262">
      <c r="B262" s="63" t="str">
        <f>VLOOKUP(A262,'Class Def. - General Data'!C:C,1,FALSE)</f>
        <v>#N/A</v>
      </c>
    </row>
    <row r="263">
      <c r="B263" s="63" t="str">
        <f>VLOOKUP(A263,'Class Def. - General Data'!C:C,1,FALSE)</f>
        <v>#N/A</v>
      </c>
    </row>
    <row r="264">
      <c r="B264" s="63" t="str">
        <f>VLOOKUP(A264,'Class Def. - General Data'!C:C,1,FALSE)</f>
        <v>#N/A</v>
      </c>
    </row>
    <row r="265">
      <c r="B265" s="63" t="str">
        <f>VLOOKUP(A265,'Class Def. - General Data'!C:C,1,FALSE)</f>
        <v>#N/A</v>
      </c>
    </row>
    <row r="266">
      <c r="B266" s="63" t="str">
        <f>VLOOKUP(A266,'Class Def. - General Data'!C:C,1,FALSE)</f>
        <v>#N/A</v>
      </c>
    </row>
    <row r="267">
      <c r="B267" s="63" t="str">
        <f>VLOOKUP(A267,'Class Def. - General Data'!C:C,1,FALSE)</f>
        <v>#N/A</v>
      </c>
    </row>
    <row r="268">
      <c r="B268" s="63" t="str">
        <f>VLOOKUP(A268,'Class Def. - General Data'!C:C,1,FALSE)</f>
        <v>#N/A</v>
      </c>
    </row>
    <row r="269">
      <c r="B269" s="63" t="str">
        <f>VLOOKUP(A269,'Class Def. - General Data'!C:C,1,FALSE)</f>
        <v>#N/A</v>
      </c>
    </row>
    <row r="270">
      <c r="B270" s="63" t="str">
        <f>VLOOKUP(A270,'Class Def. - General Data'!C:C,1,FALSE)</f>
        <v>#N/A</v>
      </c>
    </row>
    <row r="271">
      <c r="B271" s="63" t="str">
        <f>VLOOKUP(A271,'Class Def. - General Data'!C:C,1,FALSE)</f>
        <v>#N/A</v>
      </c>
    </row>
    <row r="272">
      <c r="B272" s="63" t="str">
        <f>VLOOKUP(A272,'Class Def. - General Data'!C:C,1,FALSE)</f>
        <v>#N/A</v>
      </c>
    </row>
    <row r="273">
      <c r="B273" s="63" t="str">
        <f>VLOOKUP(A273,'Class Def. - General Data'!C:C,1,FALSE)</f>
        <v>#N/A</v>
      </c>
    </row>
    <row r="274">
      <c r="B274" s="63" t="str">
        <f>VLOOKUP(A274,'Class Def. - General Data'!C:C,1,FALSE)</f>
        <v>#N/A</v>
      </c>
    </row>
    <row r="275">
      <c r="B275" s="63" t="str">
        <f>VLOOKUP(A275,'Class Def. - General Data'!C:C,1,FALSE)</f>
        <v>#N/A</v>
      </c>
    </row>
    <row r="276">
      <c r="B276" s="63" t="str">
        <f>VLOOKUP(A276,'Class Def. - General Data'!C:C,1,FALSE)</f>
        <v>#N/A</v>
      </c>
    </row>
    <row r="277">
      <c r="B277" s="63" t="str">
        <f>VLOOKUP(A277,'Class Def. - General Data'!C:C,1,FALSE)</f>
        <v>#N/A</v>
      </c>
    </row>
    <row r="278">
      <c r="B278" s="63" t="str">
        <f>VLOOKUP(A278,'Class Def. - General Data'!C:C,1,FALSE)</f>
        <v>#N/A</v>
      </c>
    </row>
    <row r="279">
      <c r="B279" s="63" t="str">
        <f>VLOOKUP(A279,'Class Def. - General Data'!C:C,1,FALSE)</f>
        <v>#N/A</v>
      </c>
    </row>
    <row r="280">
      <c r="B280" s="63" t="str">
        <f>VLOOKUP(A280,'Class Def. - General Data'!C:C,1,FALSE)</f>
        <v>#N/A</v>
      </c>
    </row>
    <row r="281">
      <c r="B281" s="63" t="str">
        <f>VLOOKUP(A281,'Class Def. - General Data'!C:C,1,FALSE)</f>
        <v>#N/A</v>
      </c>
    </row>
    <row r="282">
      <c r="B282" s="63" t="str">
        <f>VLOOKUP(A282,'Class Def. - General Data'!C:C,1,FALSE)</f>
        <v>#N/A</v>
      </c>
    </row>
    <row r="283">
      <c r="B283" s="63" t="str">
        <f>VLOOKUP(A283,'Class Def. - General Data'!C:C,1,FALSE)</f>
        <v>#N/A</v>
      </c>
    </row>
    <row r="284">
      <c r="B284" s="63" t="str">
        <f>VLOOKUP(A284,'Class Def. - General Data'!C:C,1,FALSE)</f>
        <v>#N/A</v>
      </c>
    </row>
    <row r="285">
      <c r="B285" s="63" t="str">
        <f>VLOOKUP(A285,'Class Def. - General Data'!C:C,1,FALSE)</f>
        <v>#N/A</v>
      </c>
    </row>
    <row r="286">
      <c r="B286" s="63" t="str">
        <f>VLOOKUP(A286,'Class Def. - General Data'!C:C,1,FALSE)</f>
        <v>#N/A</v>
      </c>
    </row>
    <row r="287">
      <c r="B287" s="63" t="str">
        <f>VLOOKUP(A287,'Class Def. - General Data'!C:C,1,FALSE)</f>
        <v>#N/A</v>
      </c>
    </row>
    <row r="288">
      <c r="B288" s="63" t="str">
        <f>VLOOKUP(A288,'Class Def. - General Data'!C:C,1,FALSE)</f>
        <v>#N/A</v>
      </c>
    </row>
    <row r="289">
      <c r="B289" s="63" t="str">
        <f>VLOOKUP(A289,'Class Def. - General Data'!C:C,1,FALSE)</f>
        <v>#N/A</v>
      </c>
    </row>
    <row r="290">
      <c r="B290" s="63" t="str">
        <f>VLOOKUP(A290,'Class Def. - General Data'!C:C,1,FALSE)</f>
        <v>#N/A</v>
      </c>
    </row>
    <row r="291">
      <c r="B291" s="63" t="str">
        <f>VLOOKUP(A291,'Class Def. - General Data'!C:C,1,FALSE)</f>
        <v>#N/A</v>
      </c>
    </row>
    <row r="292">
      <c r="B292" s="63" t="str">
        <f>VLOOKUP(A292,'Class Def. - General Data'!C:C,1,FALSE)</f>
        <v>#N/A</v>
      </c>
    </row>
    <row r="293">
      <c r="B293" s="63" t="str">
        <f>VLOOKUP(A293,'Class Def. - General Data'!C:C,1,FALSE)</f>
        <v>#N/A</v>
      </c>
    </row>
    <row r="294">
      <c r="B294" s="63" t="str">
        <f>VLOOKUP(A294,'Class Def. - General Data'!C:C,1,FALSE)</f>
        <v>#N/A</v>
      </c>
    </row>
    <row r="295">
      <c r="B295" s="63" t="str">
        <f>VLOOKUP(A295,'Class Def. - General Data'!C:C,1,FALSE)</f>
        <v>#N/A</v>
      </c>
    </row>
    <row r="296">
      <c r="B296" s="63" t="str">
        <f>VLOOKUP(A296,'Class Def. - General Data'!C:C,1,FALSE)</f>
        <v>#N/A</v>
      </c>
    </row>
    <row r="297">
      <c r="B297" s="63" t="str">
        <f>VLOOKUP(A297,'Class Def. - General Data'!C:C,1,FALSE)</f>
        <v>#N/A</v>
      </c>
    </row>
    <row r="298">
      <c r="B298" s="63" t="str">
        <f>VLOOKUP(A298,'Class Def. - General Data'!C:C,1,FALSE)</f>
        <v>#N/A</v>
      </c>
    </row>
    <row r="299">
      <c r="B299" s="63" t="str">
        <f>VLOOKUP(A299,'Class Def. - General Data'!C:C,1,FALSE)</f>
        <v>#N/A</v>
      </c>
    </row>
    <row r="300">
      <c r="B300" s="63" t="str">
        <f>VLOOKUP(A300,'Class Def. - General Data'!C:C,1,FALSE)</f>
        <v>#N/A</v>
      </c>
    </row>
    <row r="301">
      <c r="B301" s="63" t="str">
        <f>VLOOKUP(A301,'Class Def. - General Data'!C:C,1,FALSE)</f>
        <v>#N/A</v>
      </c>
    </row>
    <row r="302">
      <c r="B302" s="63" t="str">
        <f>VLOOKUP(A302,'Class Def. - General Data'!C:C,1,FALSE)</f>
        <v>#N/A</v>
      </c>
    </row>
    <row r="303">
      <c r="B303" s="63" t="str">
        <f>VLOOKUP(A303,'Class Def. - General Data'!C:C,1,FALSE)</f>
        <v>#N/A</v>
      </c>
    </row>
    <row r="304">
      <c r="B304" s="63" t="str">
        <f>VLOOKUP(A304,'Class Def. - General Data'!C:C,1,FALSE)</f>
        <v>#N/A</v>
      </c>
    </row>
    <row r="305">
      <c r="B305" s="63" t="str">
        <f>VLOOKUP(A305,'Class Def. - General Data'!C:C,1,FALSE)</f>
        <v>#N/A</v>
      </c>
    </row>
    <row r="306">
      <c r="B306" s="63" t="str">
        <f>VLOOKUP(A306,'Class Def. - General Data'!C:C,1,FALSE)</f>
        <v>#N/A</v>
      </c>
    </row>
    <row r="307">
      <c r="B307" s="63" t="str">
        <f>VLOOKUP(A307,'Class Def. - General Data'!C:C,1,FALSE)</f>
        <v>#N/A</v>
      </c>
    </row>
    <row r="308">
      <c r="B308" s="63" t="str">
        <f>VLOOKUP(A308,'Class Def. - General Data'!C:C,1,FALSE)</f>
        <v>#N/A</v>
      </c>
    </row>
    <row r="309">
      <c r="B309" s="63" t="str">
        <f>VLOOKUP(A309,'Class Def. - General Data'!C:C,1,FALSE)</f>
        <v>#N/A</v>
      </c>
    </row>
    <row r="310">
      <c r="B310" s="63" t="str">
        <f>VLOOKUP(A310,'Class Def. - General Data'!C:C,1,FALSE)</f>
        <v>#N/A</v>
      </c>
    </row>
    <row r="311">
      <c r="B311" s="63" t="str">
        <f>VLOOKUP(A311,'Class Def. - General Data'!C:C,1,FALSE)</f>
        <v>#N/A</v>
      </c>
    </row>
    <row r="312">
      <c r="B312" s="63" t="str">
        <f>VLOOKUP(A312,'Class Def. - General Data'!C:C,1,FALSE)</f>
        <v>#N/A</v>
      </c>
    </row>
    <row r="313">
      <c r="B313" s="63" t="str">
        <f>VLOOKUP(A313,'Class Def. - General Data'!C:C,1,FALSE)</f>
        <v>#N/A</v>
      </c>
    </row>
    <row r="314">
      <c r="B314" s="63" t="str">
        <f>VLOOKUP(A314,'Class Def. - General Data'!C:C,1,FALSE)</f>
        <v>#N/A</v>
      </c>
    </row>
    <row r="315">
      <c r="B315" s="63" t="str">
        <f>VLOOKUP(A315,'Class Def. - General Data'!C:C,1,FALSE)</f>
        <v>#N/A</v>
      </c>
    </row>
    <row r="316">
      <c r="B316" s="63" t="str">
        <f>VLOOKUP(A316,'Class Def. - General Data'!C:C,1,FALSE)</f>
        <v>#N/A</v>
      </c>
    </row>
    <row r="317">
      <c r="B317" s="63" t="str">
        <f>VLOOKUP(A317,'Class Def. - General Data'!C:C,1,FALSE)</f>
        <v>#N/A</v>
      </c>
    </row>
    <row r="318">
      <c r="B318" s="63" t="str">
        <f>VLOOKUP(A318,'Class Def. - General Data'!C:C,1,FALSE)</f>
        <v>#N/A</v>
      </c>
    </row>
    <row r="319">
      <c r="B319" s="63" t="str">
        <f>VLOOKUP(A319,'Class Def. - General Data'!C:C,1,FALSE)</f>
        <v>#N/A</v>
      </c>
    </row>
    <row r="320">
      <c r="B320" s="63" t="str">
        <f>VLOOKUP(A320,'Class Def. - General Data'!C:C,1,FALSE)</f>
        <v>#N/A</v>
      </c>
    </row>
    <row r="321">
      <c r="B321" s="63" t="str">
        <f>VLOOKUP(A321,'Class Def. - General Data'!C:C,1,FALSE)</f>
        <v>#N/A</v>
      </c>
    </row>
    <row r="322">
      <c r="B322" s="63" t="str">
        <f>VLOOKUP(A322,'Class Def. - General Data'!C:C,1,FALSE)</f>
        <v>#N/A</v>
      </c>
    </row>
    <row r="323">
      <c r="B323" s="63" t="str">
        <f>VLOOKUP(A323,'Class Def. - General Data'!C:C,1,FALSE)</f>
        <v>#N/A</v>
      </c>
    </row>
    <row r="324">
      <c r="B324" s="63" t="str">
        <f>VLOOKUP(A324,'Class Def. - General Data'!C:C,1,FALSE)</f>
        <v>#N/A</v>
      </c>
    </row>
    <row r="325">
      <c r="B325" s="63" t="str">
        <f>VLOOKUP(A325,'Class Def. - General Data'!C:C,1,FALSE)</f>
        <v>#N/A</v>
      </c>
    </row>
    <row r="326">
      <c r="B326" s="63" t="str">
        <f>VLOOKUP(A326,'Class Def. - General Data'!C:C,1,FALSE)</f>
        <v>#N/A</v>
      </c>
    </row>
    <row r="327">
      <c r="B327" s="63" t="str">
        <f>VLOOKUP(A327,'Class Def. - General Data'!C:C,1,FALSE)</f>
        <v>#N/A</v>
      </c>
    </row>
    <row r="328">
      <c r="B328" s="63" t="str">
        <f>VLOOKUP(A328,'Class Def. - General Data'!C:C,1,FALSE)</f>
        <v>#N/A</v>
      </c>
    </row>
    <row r="329">
      <c r="B329" s="63" t="str">
        <f>VLOOKUP(A329,'Class Def. - General Data'!C:C,1,FALSE)</f>
        <v>#N/A</v>
      </c>
    </row>
    <row r="330">
      <c r="B330" s="63" t="str">
        <f>VLOOKUP(A330,'Class Def. - General Data'!C:C,1,FALSE)</f>
        <v>#N/A</v>
      </c>
    </row>
    <row r="331">
      <c r="B331" s="63" t="str">
        <f>VLOOKUP(A331,'Class Def. - General Data'!C:C,1,FALSE)</f>
        <v>#N/A</v>
      </c>
    </row>
    <row r="332">
      <c r="B332" s="63" t="str">
        <f>VLOOKUP(A332,'Class Def. - General Data'!C:C,1,FALSE)</f>
        <v>#N/A</v>
      </c>
    </row>
    <row r="333">
      <c r="B333" s="63" t="str">
        <f>VLOOKUP(A333,'Class Def. - General Data'!C:C,1,FALSE)</f>
        <v>#N/A</v>
      </c>
    </row>
    <row r="334">
      <c r="B334" s="63" t="str">
        <f>VLOOKUP(A334,'Class Def. - General Data'!C:C,1,FALSE)</f>
        <v>#N/A</v>
      </c>
    </row>
    <row r="335">
      <c r="B335" s="63" t="str">
        <f>VLOOKUP(A335,'Class Def. - General Data'!C:C,1,FALSE)</f>
        <v>#N/A</v>
      </c>
    </row>
    <row r="336">
      <c r="B336" s="63" t="str">
        <f>VLOOKUP(A336,'Class Def. - General Data'!C:C,1,FALSE)</f>
        <v>#N/A</v>
      </c>
    </row>
    <row r="337">
      <c r="B337" s="63" t="str">
        <f>VLOOKUP(A337,'Class Def. - General Data'!C:C,1,FALSE)</f>
        <v>#N/A</v>
      </c>
    </row>
    <row r="338">
      <c r="B338" s="63" t="str">
        <f>VLOOKUP(A338,'Class Def. - General Data'!C:C,1,FALSE)</f>
        <v>#N/A</v>
      </c>
    </row>
    <row r="339">
      <c r="B339" s="63" t="str">
        <f>VLOOKUP(A339,'Class Def. - General Data'!C:C,1,FALSE)</f>
        <v>#N/A</v>
      </c>
    </row>
    <row r="340">
      <c r="B340" s="63" t="str">
        <f>VLOOKUP(A340,'Class Def. - General Data'!C:C,1,FALSE)</f>
        <v>#N/A</v>
      </c>
    </row>
    <row r="341">
      <c r="B341" s="63" t="str">
        <f>VLOOKUP(A341,'Class Def. - General Data'!C:C,1,FALSE)</f>
        <v>#N/A</v>
      </c>
    </row>
    <row r="342">
      <c r="B342" s="63" t="str">
        <f>VLOOKUP(A342,'Class Def. - General Data'!C:C,1,FALSE)</f>
        <v>#N/A</v>
      </c>
    </row>
    <row r="343">
      <c r="B343" s="63" t="str">
        <f>VLOOKUP(A343,'Class Def. - General Data'!C:C,1,FALSE)</f>
        <v>#N/A</v>
      </c>
    </row>
    <row r="344">
      <c r="B344" s="63" t="str">
        <f>VLOOKUP(A344,'Class Def. - General Data'!C:C,1,FALSE)</f>
        <v>#N/A</v>
      </c>
    </row>
    <row r="345">
      <c r="B345" s="63" t="str">
        <f>VLOOKUP(A345,'Class Def. - General Data'!C:C,1,FALSE)</f>
        <v>#N/A</v>
      </c>
    </row>
    <row r="346">
      <c r="B346" s="63" t="str">
        <f>VLOOKUP(A346,'Class Def. - General Data'!C:C,1,FALSE)</f>
        <v>#N/A</v>
      </c>
    </row>
    <row r="347">
      <c r="B347" s="63" t="str">
        <f>VLOOKUP(A347,'Class Def. - General Data'!C:C,1,FALSE)</f>
        <v>#N/A</v>
      </c>
    </row>
    <row r="348">
      <c r="B348" s="63" t="str">
        <f>VLOOKUP(A348,'Class Def. - General Data'!C:C,1,FALSE)</f>
        <v>#N/A</v>
      </c>
    </row>
    <row r="349">
      <c r="B349" s="63" t="str">
        <f>VLOOKUP(A349,'Class Def. - General Data'!C:C,1,FALSE)</f>
        <v>#N/A</v>
      </c>
    </row>
    <row r="350">
      <c r="B350" s="63" t="str">
        <f>VLOOKUP(A350,'Class Def. - General Data'!C:C,1,FALSE)</f>
        <v>#N/A</v>
      </c>
    </row>
    <row r="351">
      <c r="B351" s="63" t="str">
        <f>VLOOKUP(A351,'Class Def. - General Data'!C:C,1,FALSE)</f>
        <v>#N/A</v>
      </c>
    </row>
    <row r="352">
      <c r="B352" s="63" t="str">
        <f>VLOOKUP(A352,'Class Def. - General Data'!C:C,1,FALSE)</f>
        <v>#N/A</v>
      </c>
    </row>
    <row r="353">
      <c r="B353" s="63" t="str">
        <f>VLOOKUP(A353,'Class Def. - General Data'!C:C,1,FALSE)</f>
        <v>#N/A</v>
      </c>
    </row>
    <row r="354">
      <c r="B354" s="63" t="str">
        <f>VLOOKUP(A354,'Class Def. - General Data'!C:C,1,FALSE)</f>
        <v>#N/A</v>
      </c>
    </row>
    <row r="355">
      <c r="B355" s="63" t="str">
        <f>VLOOKUP(A355,'Class Def. - General Data'!C:C,1,FALSE)</f>
        <v>#N/A</v>
      </c>
    </row>
    <row r="356">
      <c r="B356" s="63" t="str">
        <f>VLOOKUP(A356,'Class Def. - General Data'!C:C,1,FALSE)</f>
        <v>#N/A</v>
      </c>
    </row>
    <row r="357">
      <c r="B357" s="63" t="str">
        <f>VLOOKUP(A357,'Class Def. - General Data'!C:C,1,FALSE)</f>
        <v>#N/A</v>
      </c>
    </row>
    <row r="358">
      <c r="B358" s="63" t="str">
        <f>VLOOKUP(A358,'Class Def. - General Data'!C:C,1,FALSE)</f>
        <v>#N/A</v>
      </c>
    </row>
    <row r="359">
      <c r="B359" s="63" t="str">
        <f>VLOOKUP(A359,'Class Def. - General Data'!C:C,1,FALSE)</f>
        <v>#N/A</v>
      </c>
    </row>
    <row r="360">
      <c r="B360" s="63" t="str">
        <f>VLOOKUP(A360,'Class Def. - General Data'!C:C,1,FALSE)</f>
        <v>#N/A</v>
      </c>
    </row>
    <row r="361">
      <c r="B361" s="63" t="str">
        <f>VLOOKUP(A361,'Class Def. - General Data'!C:C,1,FALSE)</f>
        <v>#N/A</v>
      </c>
    </row>
    <row r="362">
      <c r="B362" s="63" t="str">
        <f>VLOOKUP(A362,'Class Def. - General Data'!C:C,1,FALSE)</f>
        <v>#N/A</v>
      </c>
    </row>
    <row r="363">
      <c r="B363" s="63" t="str">
        <f>VLOOKUP(A363,'Class Def. - General Data'!C:C,1,FALSE)</f>
        <v>#N/A</v>
      </c>
    </row>
    <row r="364">
      <c r="B364" s="63" t="str">
        <f>VLOOKUP(A364,'Class Def. - General Data'!C:C,1,FALSE)</f>
        <v>#N/A</v>
      </c>
    </row>
    <row r="365">
      <c r="B365" s="63" t="str">
        <f>VLOOKUP(A365,'Class Def. - General Data'!C:C,1,FALSE)</f>
        <v>#N/A</v>
      </c>
    </row>
    <row r="366">
      <c r="B366" s="63" t="str">
        <f>VLOOKUP(A366,'Class Def. - General Data'!C:C,1,FALSE)</f>
        <v>#N/A</v>
      </c>
    </row>
    <row r="367">
      <c r="B367" s="63" t="str">
        <f>VLOOKUP(A367,'Class Def. - General Data'!C:C,1,FALSE)</f>
        <v>#N/A</v>
      </c>
    </row>
    <row r="368">
      <c r="B368" s="63" t="str">
        <f>VLOOKUP(A368,'Class Def. - General Data'!C:C,1,FALSE)</f>
        <v>#N/A</v>
      </c>
    </row>
    <row r="369">
      <c r="B369" s="63" t="str">
        <f>VLOOKUP(A369,'Class Def. - General Data'!C:C,1,FALSE)</f>
        <v>#N/A</v>
      </c>
    </row>
    <row r="370">
      <c r="B370" s="63" t="str">
        <f>VLOOKUP(A370,'Class Def. - General Data'!C:C,1,FALSE)</f>
        <v>#N/A</v>
      </c>
    </row>
    <row r="371">
      <c r="B371" s="63" t="str">
        <f>VLOOKUP(A371,'Class Def. - General Data'!C:C,1,FALSE)</f>
        <v>#N/A</v>
      </c>
    </row>
    <row r="372">
      <c r="B372" s="63" t="str">
        <f>VLOOKUP(A372,'Class Def. - General Data'!C:C,1,FALSE)</f>
        <v>#N/A</v>
      </c>
    </row>
    <row r="373">
      <c r="B373" s="63" t="str">
        <f>VLOOKUP(A373,'Class Def. - General Data'!C:C,1,FALSE)</f>
        <v>#N/A</v>
      </c>
    </row>
    <row r="374">
      <c r="B374" s="63" t="str">
        <f>VLOOKUP(A374,'Class Def. - General Data'!C:C,1,FALSE)</f>
        <v>#N/A</v>
      </c>
    </row>
    <row r="375">
      <c r="B375" s="63" t="str">
        <f>VLOOKUP(A375,'Class Def. - General Data'!C:C,1,FALSE)</f>
        <v>#N/A</v>
      </c>
    </row>
    <row r="376">
      <c r="B376" s="63" t="str">
        <f>VLOOKUP(A376,'Class Def. - General Data'!C:C,1,FALSE)</f>
        <v>#N/A</v>
      </c>
    </row>
    <row r="377">
      <c r="B377" s="63" t="str">
        <f>VLOOKUP(A377,'Class Def. - General Data'!C:C,1,FALSE)</f>
        <v>#N/A</v>
      </c>
    </row>
    <row r="378">
      <c r="B378" s="63" t="str">
        <f>VLOOKUP(A378,'Class Def. - General Data'!C:C,1,FALSE)</f>
        <v>#N/A</v>
      </c>
    </row>
    <row r="379">
      <c r="B379" s="63" t="str">
        <f>VLOOKUP(A379,'Class Def. - General Data'!C:C,1,FALSE)</f>
        <v>#N/A</v>
      </c>
    </row>
    <row r="380">
      <c r="B380" s="63" t="str">
        <f>VLOOKUP(A380,'Class Def. - General Data'!C:C,1,FALSE)</f>
        <v>#N/A</v>
      </c>
    </row>
    <row r="381">
      <c r="B381" s="63" t="str">
        <f>VLOOKUP(A381,'Class Def. - General Data'!C:C,1,FALSE)</f>
        <v>#N/A</v>
      </c>
    </row>
    <row r="382">
      <c r="B382" s="63" t="str">
        <f>VLOOKUP(A382,'Class Def. - General Data'!C:C,1,FALSE)</f>
        <v>#N/A</v>
      </c>
    </row>
    <row r="383">
      <c r="B383" s="63" t="str">
        <f>VLOOKUP(A383,'Class Def. - General Data'!C:C,1,FALSE)</f>
        <v>#N/A</v>
      </c>
    </row>
    <row r="384">
      <c r="B384" s="63" t="str">
        <f>VLOOKUP(A384,'Class Def. - General Data'!C:C,1,FALSE)</f>
        <v>#N/A</v>
      </c>
    </row>
    <row r="385">
      <c r="B385" s="63" t="str">
        <f>VLOOKUP(A385,'Class Def. - General Data'!C:C,1,FALSE)</f>
        <v>#N/A</v>
      </c>
    </row>
    <row r="386">
      <c r="B386" s="63" t="str">
        <f>VLOOKUP(A386,'Class Def. - General Data'!C:C,1,FALSE)</f>
        <v>#N/A</v>
      </c>
    </row>
    <row r="387">
      <c r="B387" s="63" t="str">
        <f>VLOOKUP(A387,'Class Def. - General Data'!C:C,1,FALSE)</f>
        <v>#N/A</v>
      </c>
    </row>
    <row r="388">
      <c r="B388" s="63" t="str">
        <f>VLOOKUP(A388,'Class Def. - General Data'!C:C,1,FALSE)</f>
        <v>#N/A</v>
      </c>
    </row>
    <row r="389">
      <c r="B389" s="63" t="str">
        <f>VLOOKUP(A389,'Class Def. - General Data'!C:C,1,FALSE)</f>
        <v>#N/A</v>
      </c>
    </row>
    <row r="390">
      <c r="B390" s="63" t="str">
        <f>VLOOKUP(A390,'Class Def. - General Data'!C:C,1,FALSE)</f>
        <v>#N/A</v>
      </c>
    </row>
    <row r="391">
      <c r="B391" s="63" t="str">
        <f>VLOOKUP(A391,'Class Def. - General Data'!C:C,1,FALSE)</f>
        <v>#N/A</v>
      </c>
    </row>
    <row r="392">
      <c r="B392" s="63" t="str">
        <f>VLOOKUP(A392,'Class Def. - General Data'!C:C,1,FALSE)</f>
        <v>#N/A</v>
      </c>
    </row>
    <row r="393">
      <c r="B393" s="63" t="str">
        <f>VLOOKUP(A393,'Class Def. - General Data'!C:C,1,FALSE)</f>
        <v>#N/A</v>
      </c>
    </row>
    <row r="394">
      <c r="B394" s="63" t="str">
        <f>VLOOKUP(A394,'Class Def. - General Data'!C:C,1,FALSE)</f>
        <v>#N/A</v>
      </c>
    </row>
    <row r="395">
      <c r="B395" s="63" t="str">
        <f>VLOOKUP(A395,'Class Def. - General Data'!C:C,1,FALSE)</f>
        <v>#N/A</v>
      </c>
    </row>
    <row r="396">
      <c r="B396" s="63" t="str">
        <f>VLOOKUP(A396,'Class Def. - General Data'!C:C,1,FALSE)</f>
        <v>#N/A</v>
      </c>
    </row>
    <row r="397">
      <c r="B397" s="63" t="str">
        <f>VLOOKUP(A397,'Class Def. - General Data'!C:C,1,FALSE)</f>
        <v>#N/A</v>
      </c>
    </row>
    <row r="398">
      <c r="B398" s="63" t="str">
        <f>VLOOKUP(A398,'Class Def. - General Data'!C:C,1,FALSE)</f>
        <v>#N/A</v>
      </c>
    </row>
    <row r="399">
      <c r="B399" s="63" t="str">
        <f>VLOOKUP(A399,'Class Def. - General Data'!C:C,1,FALSE)</f>
        <v>#N/A</v>
      </c>
    </row>
    <row r="400">
      <c r="B400" s="63" t="str">
        <f>VLOOKUP(A400,'Class Def. - General Data'!C:C,1,FALSE)</f>
        <v>#N/A</v>
      </c>
    </row>
    <row r="401">
      <c r="B401" s="63" t="str">
        <f>VLOOKUP(A401,'Class Def. - General Data'!C:C,1,FALSE)</f>
        <v>#N/A</v>
      </c>
    </row>
    <row r="402">
      <c r="B402" s="63" t="str">
        <f>VLOOKUP(A402,'Class Def. - General Data'!C:C,1,FALSE)</f>
        <v>#N/A</v>
      </c>
    </row>
    <row r="403">
      <c r="B403" s="63" t="str">
        <f>VLOOKUP(A403,'Class Def. - General Data'!C:C,1,FALSE)</f>
        <v>#N/A</v>
      </c>
    </row>
    <row r="404">
      <c r="B404" s="63" t="str">
        <f>VLOOKUP(A404,'Class Def. - General Data'!C:C,1,FALSE)</f>
        <v>#N/A</v>
      </c>
    </row>
    <row r="405">
      <c r="B405" s="63" t="str">
        <f>VLOOKUP(A405,'Class Def. - General Data'!C:C,1,FALSE)</f>
        <v>#N/A</v>
      </c>
    </row>
    <row r="406">
      <c r="B406" s="63" t="str">
        <f>VLOOKUP(A406,'Class Def. - General Data'!C:C,1,FALSE)</f>
        <v>#N/A</v>
      </c>
    </row>
    <row r="407">
      <c r="B407" s="63" t="str">
        <f>VLOOKUP(A407,'Class Def. - General Data'!C:C,1,FALSE)</f>
        <v>#N/A</v>
      </c>
    </row>
    <row r="408">
      <c r="B408" s="63" t="str">
        <f>VLOOKUP(A408,'Class Def. - General Data'!C:C,1,FALSE)</f>
        <v>#N/A</v>
      </c>
    </row>
    <row r="409">
      <c r="B409" s="63" t="str">
        <f>VLOOKUP(A409,'Class Def. - General Data'!C:C,1,FALSE)</f>
        <v>#N/A</v>
      </c>
    </row>
    <row r="410">
      <c r="B410" s="63" t="str">
        <f>VLOOKUP(A410,'Class Def. - General Data'!C:C,1,FALSE)</f>
        <v>#N/A</v>
      </c>
    </row>
    <row r="411">
      <c r="B411" s="63" t="str">
        <f>VLOOKUP(A411,'Class Def. - General Data'!C:C,1,FALSE)</f>
        <v>#N/A</v>
      </c>
    </row>
    <row r="412">
      <c r="B412" s="63" t="str">
        <f>VLOOKUP(A412,'Class Def. - General Data'!C:C,1,FALSE)</f>
        <v>#N/A</v>
      </c>
    </row>
    <row r="413">
      <c r="B413" s="63" t="str">
        <f>VLOOKUP(A413,'Class Def. - General Data'!C:C,1,FALSE)</f>
        <v>#N/A</v>
      </c>
    </row>
    <row r="414">
      <c r="B414" s="63" t="str">
        <f>VLOOKUP(A414,'Class Def. - General Data'!C:C,1,FALSE)</f>
        <v>#N/A</v>
      </c>
    </row>
    <row r="415">
      <c r="B415" s="63" t="str">
        <f>VLOOKUP(A415,'Class Def. - General Data'!C:C,1,FALSE)</f>
        <v>#N/A</v>
      </c>
    </row>
    <row r="416">
      <c r="B416" s="63" t="str">
        <f>VLOOKUP(A416,'Class Def. - General Data'!C:C,1,FALSE)</f>
        <v>#N/A</v>
      </c>
    </row>
    <row r="417">
      <c r="B417" s="63" t="str">
        <f>VLOOKUP(A417,'Class Def. - General Data'!C:C,1,FALSE)</f>
        <v>#N/A</v>
      </c>
    </row>
    <row r="418">
      <c r="B418" s="63" t="str">
        <f>VLOOKUP(A418,'Class Def. - General Data'!C:C,1,FALSE)</f>
        <v>#N/A</v>
      </c>
    </row>
    <row r="419">
      <c r="B419" s="63" t="str">
        <f>VLOOKUP(A419,'Class Def. - General Data'!C:C,1,FALSE)</f>
        <v>#N/A</v>
      </c>
    </row>
    <row r="420">
      <c r="B420" s="63" t="str">
        <f>VLOOKUP(A420,'Class Def. - General Data'!C:C,1,FALSE)</f>
        <v>#N/A</v>
      </c>
    </row>
    <row r="421">
      <c r="B421" s="63" t="str">
        <f>VLOOKUP(A421,'Class Def. - General Data'!C:C,1,FALSE)</f>
        <v>#N/A</v>
      </c>
    </row>
    <row r="422">
      <c r="B422" s="63" t="str">
        <f>VLOOKUP(A422,'Class Def. - General Data'!C:C,1,FALSE)</f>
        <v>#N/A</v>
      </c>
    </row>
    <row r="423">
      <c r="B423" s="63" t="str">
        <f>VLOOKUP(A423,'Class Def. - General Data'!C:C,1,FALSE)</f>
        <v>#N/A</v>
      </c>
    </row>
    <row r="424">
      <c r="B424" s="63" t="str">
        <f>VLOOKUP(A424,'Class Def. - General Data'!C:C,1,FALSE)</f>
        <v>#N/A</v>
      </c>
    </row>
    <row r="425">
      <c r="B425" s="63" t="str">
        <f>VLOOKUP(A425,'Class Def. - General Data'!C:C,1,FALSE)</f>
        <v>#N/A</v>
      </c>
    </row>
    <row r="426">
      <c r="B426" s="63" t="str">
        <f>VLOOKUP(A426,'Class Def. - General Data'!C:C,1,FALSE)</f>
        <v>#N/A</v>
      </c>
    </row>
    <row r="427">
      <c r="B427" s="63" t="str">
        <f>VLOOKUP(A427,'Class Def. - General Data'!C:C,1,FALSE)</f>
        <v>#N/A</v>
      </c>
    </row>
    <row r="428">
      <c r="B428" s="63" t="str">
        <f>VLOOKUP(A428,'Class Def. - General Data'!C:C,1,FALSE)</f>
        <v>#N/A</v>
      </c>
    </row>
    <row r="429">
      <c r="B429" s="63" t="str">
        <f>VLOOKUP(A429,'Class Def. - General Data'!C:C,1,FALSE)</f>
        <v>#N/A</v>
      </c>
    </row>
    <row r="430">
      <c r="B430" s="63" t="str">
        <f>VLOOKUP(A430,'Class Def. - General Data'!C:C,1,FALSE)</f>
        <v>#N/A</v>
      </c>
    </row>
    <row r="431">
      <c r="B431" s="63" t="str">
        <f>VLOOKUP(A431,'Class Def. - General Data'!C:C,1,FALSE)</f>
        <v>#N/A</v>
      </c>
    </row>
    <row r="432">
      <c r="B432" s="63" t="str">
        <f>VLOOKUP(A432,'Class Def. - General Data'!C:C,1,FALSE)</f>
        <v>#N/A</v>
      </c>
    </row>
    <row r="433">
      <c r="B433" s="63" t="str">
        <f>VLOOKUP(A433,'Class Def. - General Data'!C:C,1,FALSE)</f>
        <v>#N/A</v>
      </c>
    </row>
    <row r="434">
      <c r="B434" s="63" t="str">
        <f>VLOOKUP(A434,'Class Def. - General Data'!C:C,1,FALSE)</f>
        <v>#N/A</v>
      </c>
    </row>
    <row r="435">
      <c r="B435" s="63" t="str">
        <f>VLOOKUP(A435,'Class Def. - General Data'!C:C,1,FALSE)</f>
        <v>#N/A</v>
      </c>
    </row>
    <row r="436">
      <c r="B436" s="63" t="str">
        <f>VLOOKUP(A436,'Class Def. - General Data'!C:C,1,FALSE)</f>
        <v>#N/A</v>
      </c>
    </row>
    <row r="437">
      <c r="B437" s="63" t="str">
        <f>VLOOKUP(A437,'Class Def. - General Data'!C:C,1,FALSE)</f>
        <v>#N/A</v>
      </c>
    </row>
    <row r="438">
      <c r="B438" s="63" t="str">
        <f>VLOOKUP(A438,'Class Def. - General Data'!C:C,1,FALSE)</f>
        <v>#N/A</v>
      </c>
    </row>
    <row r="439">
      <c r="B439" s="63" t="str">
        <f>VLOOKUP(A439,'Class Def. - General Data'!C:C,1,FALSE)</f>
        <v>#N/A</v>
      </c>
    </row>
    <row r="440">
      <c r="B440" s="63" t="str">
        <f>VLOOKUP(A440,'Class Def. - General Data'!C:C,1,FALSE)</f>
        <v>#N/A</v>
      </c>
    </row>
    <row r="441">
      <c r="B441" s="63" t="str">
        <f>VLOOKUP(A441,'Class Def. - General Data'!C:C,1,FALSE)</f>
        <v>#N/A</v>
      </c>
    </row>
    <row r="442">
      <c r="B442" s="63" t="str">
        <f>VLOOKUP(A442,'Class Def. - General Data'!C:C,1,FALSE)</f>
        <v>#N/A</v>
      </c>
    </row>
    <row r="443">
      <c r="B443" s="63" t="str">
        <f>VLOOKUP(A443,'Class Def. - General Data'!C:C,1,FALSE)</f>
        <v>#N/A</v>
      </c>
    </row>
    <row r="444">
      <c r="B444" s="63" t="str">
        <f>VLOOKUP(A444,'Class Def. - General Data'!C:C,1,FALSE)</f>
        <v>#N/A</v>
      </c>
    </row>
    <row r="445">
      <c r="B445" s="63" t="str">
        <f>VLOOKUP(A445,'Class Def. - General Data'!C:C,1,FALSE)</f>
        <v>#N/A</v>
      </c>
    </row>
    <row r="446">
      <c r="B446" s="63" t="str">
        <f>VLOOKUP(A446,'Class Def. - General Data'!C:C,1,FALSE)</f>
        <v>#N/A</v>
      </c>
    </row>
    <row r="447">
      <c r="B447" s="63" t="str">
        <f>VLOOKUP(A447,'Class Def. - General Data'!C:C,1,FALSE)</f>
        <v>#N/A</v>
      </c>
    </row>
    <row r="448">
      <c r="B448" s="63" t="str">
        <f>VLOOKUP(A448,'Class Def. - General Data'!C:C,1,FALSE)</f>
        <v>#N/A</v>
      </c>
    </row>
    <row r="449">
      <c r="B449" s="63" t="str">
        <f>VLOOKUP(A449,'Class Def. - General Data'!C:C,1,FALSE)</f>
        <v>#N/A</v>
      </c>
    </row>
    <row r="450">
      <c r="B450" s="63" t="str">
        <f>VLOOKUP(A450,'Class Def. - General Data'!C:C,1,FALSE)</f>
        <v>#N/A</v>
      </c>
    </row>
    <row r="451">
      <c r="B451" s="63" t="str">
        <f>VLOOKUP(A451,'Class Def. - General Data'!C:C,1,FALSE)</f>
        <v>#N/A</v>
      </c>
    </row>
    <row r="452">
      <c r="B452" s="63" t="str">
        <f>VLOOKUP(A452,'Class Def. - General Data'!C:C,1,FALSE)</f>
        <v>#N/A</v>
      </c>
    </row>
    <row r="453">
      <c r="B453" s="63" t="str">
        <f>VLOOKUP(A453,'Class Def. - General Data'!C:C,1,FALSE)</f>
        <v>#N/A</v>
      </c>
    </row>
    <row r="454">
      <c r="B454" s="63" t="str">
        <f>VLOOKUP(A454,'Class Def. - General Data'!C:C,1,FALSE)</f>
        <v>#N/A</v>
      </c>
    </row>
    <row r="455">
      <c r="B455" s="63" t="str">
        <f>VLOOKUP(A455,'Class Def. - General Data'!C:C,1,FALSE)</f>
        <v>#N/A</v>
      </c>
    </row>
    <row r="456">
      <c r="B456" s="63" t="str">
        <f>VLOOKUP(A456,'Class Def. - General Data'!C:C,1,FALSE)</f>
        <v>#N/A</v>
      </c>
    </row>
    <row r="457">
      <c r="B457" s="63" t="str">
        <f>VLOOKUP(A457,'Class Def. - General Data'!C:C,1,FALSE)</f>
        <v>#N/A</v>
      </c>
    </row>
    <row r="458">
      <c r="B458" s="63" t="str">
        <f>VLOOKUP(A458,'Class Def. - General Data'!C:C,1,FALSE)</f>
        <v>#N/A</v>
      </c>
    </row>
    <row r="459">
      <c r="B459" s="63" t="str">
        <f>VLOOKUP(A459,'Class Def. - General Data'!C:C,1,FALSE)</f>
        <v>#N/A</v>
      </c>
    </row>
    <row r="460">
      <c r="B460" s="63" t="str">
        <f>VLOOKUP(A460,'Class Def. - General Data'!C:C,1,FALSE)</f>
        <v>#N/A</v>
      </c>
    </row>
    <row r="461">
      <c r="B461" s="63" t="str">
        <f>VLOOKUP(A461,'Class Def. - General Data'!C:C,1,FALSE)</f>
        <v>#N/A</v>
      </c>
    </row>
    <row r="462">
      <c r="B462" s="63" t="str">
        <f>VLOOKUP(A462,'Class Def. - General Data'!C:C,1,FALSE)</f>
        <v>#N/A</v>
      </c>
    </row>
    <row r="463">
      <c r="B463" s="63" t="str">
        <f>VLOOKUP(A463,'Class Def. - General Data'!C:C,1,FALSE)</f>
        <v>#N/A</v>
      </c>
    </row>
    <row r="464">
      <c r="B464" s="63" t="str">
        <f>VLOOKUP(A464,'Class Def. - General Data'!C:C,1,FALSE)</f>
        <v>#N/A</v>
      </c>
    </row>
    <row r="465">
      <c r="B465" s="63" t="str">
        <f>VLOOKUP(A465,'Class Def. - General Data'!C:C,1,FALSE)</f>
        <v>#N/A</v>
      </c>
    </row>
    <row r="466">
      <c r="B466" s="63" t="str">
        <f>VLOOKUP(A466,'Class Def. - General Data'!C:C,1,FALSE)</f>
        <v>#N/A</v>
      </c>
    </row>
    <row r="467">
      <c r="B467" s="63" t="str">
        <f>VLOOKUP(A467,'Class Def. - General Data'!C:C,1,FALSE)</f>
        <v>#N/A</v>
      </c>
    </row>
    <row r="468">
      <c r="B468" s="63" t="str">
        <f>VLOOKUP(A468,'Class Def. - General Data'!C:C,1,FALSE)</f>
        <v>#N/A</v>
      </c>
    </row>
    <row r="469">
      <c r="B469" s="63" t="str">
        <f>VLOOKUP(A469,'Class Def. - General Data'!C:C,1,FALSE)</f>
        <v>#N/A</v>
      </c>
    </row>
    <row r="470">
      <c r="B470" s="63" t="str">
        <f>VLOOKUP(A470,'Class Def. - General Data'!C:C,1,FALSE)</f>
        <v>#N/A</v>
      </c>
    </row>
    <row r="471">
      <c r="B471" s="63" t="str">
        <f>VLOOKUP(A471,'Class Def. - General Data'!C:C,1,FALSE)</f>
        <v>#N/A</v>
      </c>
    </row>
    <row r="472">
      <c r="B472" s="63" t="str">
        <f>VLOOKUP(A472,'Class Def. - General Data'!C:C,1,FALSE)</f>
        <v>#N/A</v>
      </c>
    </row>
    <row r="473">
      <c r="B473" s="63" t="str">
        <f>VLOOKUP(A473,'Class Def. - General Data'!C:C,1,FALSE)</f>
        <v>#N/A</v>
      </c>
    </row>
    <row r="474">
      <c r="B474" s="63" t="str">
        <f>VLOOKUP(A474,'Class Def. - General Data'!C:C,1,FALSE)</f>
        <v>#N/A</v>
      </c>
    </row>
    <row r="475">
      <c r="B475" s="63" t="str">
        <f>VLOOKUP(A475,'Class Def. - General Data'!C:C,1,FALSE)</f>
        <v>#N/A</v>
      </c>
    </row>
    <row r="476">
      <c r="B476" s="63" t="str">
        <f>VLOOKUP(A476,'Class Def. - General Data'!C:C,1,FALSE)</f>
        <v>#N/A</v>
      </c>
    </row>
    <row r="477">
      <c r="B477" s="63" t="str">
        <f>VLOOKUP(A477,'Class Def. - General Data'!C:C,1,FALSE)</f>
        <v>#N/A</v>
      </c>
    </row>
    <row r="478">
      <c r="B478" s="63" t="str">
        <f>VLOOKUP(A478,'Class Def. - General Data'!C:C,1,FALSE)</f>
        <v>#N/A</v>
      </c>
    </row>
    <row r="479">
      <c r="B479" s="63" t="str">
        <f>VLOOKUP(A479,'Class Def. - General Data'!C:C,1,FALSE)</f>
        <v>#N/A</v>
      </c>
    </row>
    <row r="480">
      <c r="B480" s="63" t="str">
        <f>VLOOKUP(A480,'Class Def. - General Data'!C:C,1,FALSE)</f>
        <v>#N/A</v>
      </c>
    </row>
    <row r="481">
      <c r="B481" s="63" t="str">
        <f>VLOOKUP(A481,'Class Def. - General Data'!C:C,1,FALSE)</f>
        <v>#N/A</v>
      </c>
    </row>
    <row r="482">
      <c r="B482" s="63" t="str">
        <f>VLOOKUP(A482,'Class Def. - General Data'!C:C,1,FALSE)</f>
        <v>#N/A</v>
      </c>
    </row>
    <row r="483">
      <c r="B483" s="63" t="str">
        <f>VLOOKUP(A483,'Class Def. - General Data'!C:C,1,FALSE)</f>
        <v>#N/A</v>
      </c>
    </row>
    <row r="484">
      <c r="B484" s="63" t="str">
        <f>VLOOKUP(A484,'Class Def. - General Data'!C:C,1,FALSE)</f>
        <v>#N/A</v>
      </c>
    </row>
    <row r="485">
      <c r="B485" s="63" t="str">
        <f>VLOOKUP(A485,'Class Def. - General Data'!C:C,1,FALSE)</f>
        <v>#N/A</v>
      </c>
    </row>
    <row r="486">
      <c r="B486" s="63" t="str">
        <f>VLOOKUP(A486,'Class Def. - General Data'!C:C,1,FALSE)</f>
        <v>#N/A</v>
      </c>
    </row>
    <row r="487">
      <c r="B487" s="63" t="str">
        <f>VLOOKUP(A487,'Class Def. - General Data'!C:C,1,FALSE)</f>
        <v>#N/A</v>
      </c>
    </row>
    <row r="488">
      <c r="B488" s="63" t="str">
        <f>VLOOKUP(A488,'Class Def. - General Data'!C:C,1,FALSE)</f>
        <v>#N/A</v>
      </c>
    </row>
    <row r="489">
      <c r="B489" s="63" t="str">
        <f>VLOOKUP(A489,'Class Def. - General Data'!C:C,1,FALSE)</f>
        <v>#N/A</v>
      </c>
    </row>
    <row r="490">
      <c r="B490" s="63" t="str">
        <f>VLOOKUP(A490,'Class Def. - General Data'!C:C,1,FALSE)</f>
        <v>#N/A</v>
      </c>
    </row>
    <row r="491">
      <c r="B491" s="63" t="str">
        <f>VLOOKUP(A491,'Class Def. - General Data'!C:C,1,FALSE)</f>
        <v>#N/A</v>
      </c>
    </row>
    <row r="492">
      <c r="B492" s="63" t="str">
        <f>VLOOKUP(A492,'Class Def. - General Data'!C:C,1,FALSE)</f>
        <v>#N/A</v>
      </c>
    </row>
    <row r="493">
      <c r="B493" s="63" t="str">
        <f>VLOOKUP(A493,'Class Def. - General Data'!C:C,1,FALSE)</f>
        <v>#N/A</v>
      </c>
    </row>
    <row r="494">
      <c r="B494" s="63" t="str">
        <f>VLOOKUP(A494,'Class Def. - General Data'!C:C,1,FALSE)</f>
        <v>#N/A</v>
      </c>
    </row>
    <row r="495">
      <c r="B495" s="63" t="str">
        <f>VLOOKUP(A495,'Class Def. - General Data'!C:C,1,FALSE)</f>
        <v>#N/A</v>
      </c>
    </row>
    <row r="496">
      <c r="B496" s="63" t="str">
        <f>VLOOKUP(A496,'Class Def. - General Data'!C:C,1,FALSE)</f>
        <v>#N/A</v>
      </c>
    </row>
    <row r="497">
      <c r="B497" s="63" t="str">
        <f>VLOOKUP(A497,'Class Def. - General Data'!C:C,1,FALSE)</f>
        <v>#N/A</v>
      </c>
    </row>
    <row r="498">
      <c r="B498" s="63" t="str">
        <f>VLOOKUP(A498,'Class Def. - General Data'!C:C,1,FALSE)</f>
        <v>#N/A</v>
      </c>
    </row>
    <row r="499">
      <c r="B499" s="63" t="str">
        <f>VLOOKUP(A499,'Class Def. - General Data'!C:C,1,FALSE)</f>
        <v>#N/A</v>
      </c>
    </row>
    <row r="500">
      <c r="B500" s="63" t="str">
        <f>VLOOKUP(A500,'Class Def. - General Data'!C:C,1,FALSE)</f>
        <v>#N/A</v>
      </c>
    </row>
    <row r="501">
      <c r="B501" s="63" t="str">
        <f>VLOOKUP(A501,'Class Def. - General Data'!C:C,1,FALSE)</f>
        <v>#N/A</v>
      </c>
    </row>
    <row r="502">
      <c r="B502" s="63" t="str">
        <f>VLOOKUP(A502,'Class Def. - General Data'!C:C,1,FALSE)</f>
        <v>#N/A</v>
      </c>
    </row>
    <row r="503">
      <c r="B503" s="63" t="str">
        <f>VLOOKUP(A503,'Class Def. - General Data'!C:C,1,FALSE)</f>
        <v>#N/A</v>
      </c>
    </row>
    <row r="504">
      <c r="B504" s="63" t="str">
        <f>VLOOKUP(A504,'Class Def. - General Data'!C:C,1,FALSE)</f>
        <v>#N/A</v>
      </c>
    </row>
    <row r="505">
      <c r="B505" s="63" t="str">
        <f>VLOOKUP(A505,'Class Def. - General Data'!C:C,1,FALSE)</f>
        <v>#N/A</v>
      </c>
    </row>
    <row r="506">
      <c r="B506" s="63" t="str">
        <f>VLOOKUP(A506,'Class Def. - General Data'!C:C,1,FALSE)</f>
        <v>#N/A</v>
      </c>
    </row>
    <row r="507">
      <c r="B507" s="63" t="str">
        <f>VLOOKUP(A507,'Class Def. - General Data'!C:C,1,FALSE)</f>
        <v>#N/A</v>
      </c>
    </row>
    <row r="508">
      <c r="B508" s="63" t="str">
        <f>VLOOKUP(A508,'Class Def. - General Data'!C:C,1,FALSE)</f>
        <v>#N/A</v>
      </c>
    </row>
    <row r="509">
      <c r="B509" s="63" t="str">
        <f>VLOOKUP(A509,'Class Def. - General Data'!C:C,1,FALSE)</f>
        <v>#N/A</v>
      </c>
    </row>
    <row r="510">
      <c r="B510" s="63" t="str">
        <f>VLOOKUP(A510,'Class Def. - General Data'!C:C,1,FALSE)</f>
        <v>#N/A</v>
      </c>
    </row>
    <row r="511">
      <c r="B511" s="63" t="str">
        <f>VLOOKUP(A511,'Class Def. - General Data'!C:C,1,FALSE)</f>
        <v>#N/A</v>
      </c>
    </row>
    <row r="512">
      <c r="B512" s="63" t="str">
        <f>VLOOKUP(A512,'Class Def. - General Data'!C:C,1,FALSE)</f>
        <v>#N/A</v>
      </c>
    </row>
    <row r="513">
      <c r="B513" s="63" t="str">
        <f>VLOOKUP(A513,'Class Def. - General Data'!C:C,1,FALSE)</f>
        <v>#N/A</v>
      </c>
    </row>
    <row r="514">
      <c r="B514" s="63" t="str">
        <f>VLOOKUP(A514,'Class Def. - General Data'!C:C,1,FALSE)</f>
        <v>#N/A</v>
      </c>
    </row>
    <row r="515">
      <c r="B515" s="63" t="str">
        <f>VLOOKUP(A515,'Class Def. - General Data'!C:C,1,FALSE)</f>
        <v>#N/A</v>
      </c>
    </row>
    <row r="516">
      <c r="B516" s="63" t="str">
        <f>VLOOKUP(A516,'Class Def. - General Data'!C:C,1,FALSE)</f>
        <v>#N/A</v>
      </c>
    </row>
    <row r="517">
      <c r="B517" s="63" t="str">
        <f>VLOOKUP(A517,'Class Def. - General Data'!C:C,1,FALSE)</f>
        <v>#N/A</v>
      </c>
    </row>
    <row r="518">
      <c r="B518" s="63" t="str">
        <f>VLOOKUP(A518,'Class Def. - General Data'!C:C,1,FALSE)</f>
        <v>#N/A</v>
      </c>
    </row>
    <row r="519">
      <c r="B519" s="63" t="str">
        <f>VLOOKUP(A519,'Class Def. - General Data'!C:C,1,FALSE)</f>
        <v>#N/A</v>
      </c>
    </row>
    <row r="520">
      <c r="B520" s="63" t="str">
        <f>VLOOKUP(A520,'Class Def. - General Data'!C:C,1,FALSE)</f>
        <v>#N/A</v>
      </c>
    </row>
    <row r="521">
      <c r="B521" s="63" t="str">
        <f>VLOOKUP(A521,'Class Def. - General Data'!C:C,1,FALSE)</f>
        <v>#N/A</v>
      </c>
    </row>
    <row r="522">
      <c r="B522" s="63" t="str">
        <f>VLOOKUP(A522,'Class Def. - General Data'!C:C,1,FALSE)</f>
        <v>#N/A</v>
      </c>
    </row>
    <row r="523">
      <c r="B523" s="63" t="str">
        <f>VLOOKUP(A523,'Class Def. - General Data'!C:C,1,FALSE)</f>
        <v>#N/A</v>
      </c>
    </row>
    <row r="524">
      <c r="B524" s="63" t="str">
        <f>VLOOKUP(A524,'Class Def. - General Data'!C:C,1,FALSE)</f>
        <v>#N/A</v>
      </c>
    </row>
    <row r="525">
      <c r="B525" s="63" t="str">
        <f>VLOOKUP(A525,'Class Def. - General Data'!C:C,1,FALSE)</f>
        <v>#N/A</v>
      </c>
    </row>
    <row r="526">
      <c r="B526" s="63" t="str">
        <f>VLOOKUP(A526,'Class Def. - General Data'!C:C,1,FALSE)</f>
        <v>#N/A</v>
      </c>
    </row>
    <row r="527">
      <c r="B527" s="63" t="str">
        <f>VLOOKUP(A527,'Class Def. - General Data'!C:C,1,FALSE)</f>
        <v>#N/A</v>
      </c>
    </row>
    <row r="528">
      <c r="B528" s="63" t="str">
        <f>VLOOKUP(A528,'Class Def. - General Data'!C:C,1,FALSE)</f>
        <v>#N/A</v>
      </c>
    </row>
    <row r="529">
      <c r="B529" s="63" t="str">
        <f>VLOOKUP(A529,'Class Def. - General Data'!C:C,1,FALSE)</f>
        <v>#N/A</v>
      </c>
    </row>
    <row r="530">
      <c r="B530" s="63" t="str">
        <f>VLOOKUP(A530,'Class Def. - General Data'!C:C,1,FALSE)</f>
        <v>#N/A</v>
      </c>
    </row>
    <row r="531">
      <c r="B531" s="63" t="str">
        <f>VLOOKUP(A531,'Class Def. - General Data'!C:C,1,FALSE)</f>
        <v>#N/A</v>
      </c>
    </row>
    <row r="532">
      <c r="B532" s="63" t="str">
        <f>VLOOKUP(A532,'Class Def. - General Data'!C:C,1,FALSE)</f>
        <v>#N/A</v>
      </c>
    </row>
    <row r="533">
      <c r="B533" s="63" t="str">
        <f>VLOOKUP(A533,'Class Def. - General Data'!C:C,1,FALSE)</f>
        <v>#N/A</v>
      </c>
    </row>
    <row r="534">
      <c r="B534" s="63" t="str">
        <f>VLOOKUP(A534,'Class Def. - General Data'!C:C,1,FALSE)</f>
        <v>#N/A</v>
      </c>
    </row>
    <row r="535">
      <c r="B535" s="63" t="str">
        <f>VLOOKUP(A535,'Class Def. - General Data'!C:C,1,FALSE)</f>
        <v>#N/A</v>
      </c>
    </row>
    <row r="536">
      <c r="B536" s="63" t="str">
        <f>VLOOKUP(A536,'Class Def. - General Data'!C:C,1,FALSE)</f>
        <v>#N/A</v>
      </c>
    </row>
    <row r="537">
      <c r="B537" s="63" t="str">
        <f>VLOOKUP(A537,'Class Def. - General Data'!C:C,1,FALSE)</f>
        <v>#N/A</v>
      </c>
    </row>
    <row r="538">
      <c r="B538" s="63" t="str">
        <f>VLOOKUP(A538,'Class Def. - General Data'!C:C,1,FALSE)</f>
        <v>#N/A</v>
      </c>
    </row>
    <row r="539">
      <c r="B539" s="63" t="str">
        <f>VLOOKUP(A539,'Class Def. - General Data'!C:C,1,FALSE)</f>
        <v>#N/A</v>
      </c>
    </row>
    <row r="540">
      <c r="B540" s="63" t="str">
        <f>VLOOKUP(A540,'Class Def. - General Data'!C:C,1,FALSE)</f>
        <v>#N/A</v>
      </c>
    </row>
    <row r="541">
      <c r="B541" s="63" t="str">
        <f>VLOOKUP(A541,'Class Def. - General Data'!C:C,1,FALSE)</f>
        <v>#N/A</v>
      </c>
    </row>
    <row r="542">
      <c r="B542" s="63" t="str">
        <f>VLOOKUP(A542,'Class Def. - General Data'!C:C,1,FALSE)</f>
        <v>#N/A</v>
      </c>
    </row>
    <row r="543">
      <c r="B543" s="63" t="str">
        <f>VLOOKUP(A543,'Class Def. - General Data'!C:C,1,FALSE)</f>
        <v>#N/A</v>
      </c>
    </row>
    <row r="544">
      <c r="B544" s="63" t="str">
        <f>VLOOKUP(A544,'Class Def. - General Data'!C:C,1,FALSE)</f>
        <v>#N/A</v>
      </c>
    </row>
    <row r="545">
      <c r="B545" s="63" t="str">
        <f>VLOOKUP(A545,'Class Def. - General Data'!C:C,1,FALSE)</f>
        <v>#N/A</v>
      </c>
    </row>
    <row r="546">
      <c r="B546" s="63" t="str">
        <f>VLOOKUP(A546,'Class Def. - General Data'!C:C,1,FALSE)</f>
        <v>#N/A</v>
      </c>
    </row>
    <row r="547">
      <c r="B547" s="63" t="str">
        <f>VLOOKUP(A547,'Class Def. - General Data'!C:C,1,FALSE)</f>
        <v>#N/A</v>
      </c>
    </row>
    <row r="548">
      <c r="B548" s="63" t="str">
        <f>VLOOKUP(A548,'Class Def. - General Data'!C:C,1,FALSE)</f>
        <v>#N/A</v>
      </c>
    </row>
    <row r="549">
      <c r="B549" s="63" t="str">
        <f>VLOOKUP(A549,'Class Def. - General Data'!C:C,1,FALSE)</f>
        <v>#N/A</v>
      </c>
    </row>
    <row r="550">
      <c r="B550" s="63" t="str">
        <f>VLOOKUP(A550,'Class Def. - General Data'!C:C,1,FALSE)</f>
        <v>#N/A</v>
      </c>
    </row>
    <row r="551">
      <c r="B551" s="63" t="str">
        <f>VLOOKUP(A551,'Class Def. - General Data'!C:C,1,FALSE)</f>
        <v>#N/A</v>
      </c>
    </row>
    <row r="552">
      <c r="B552" s="63" t="str">
        <f>VLOOKUP(A552,'Class Def. - General Data'!C:C,1,FALSE)</f>
        <v>#N/A</v>
      </c>
    </row>
    <row r="553">
      <c r="B553" s="63" t="str">
        <f>VLOOKUP(A553,'Class Def. - General Data'!C:C,1,FALSE)</f>
        <v>#N/A</v>
      </c>
    </row>
    <row r="554">
      <c r="B554" s="63" t="str">
        <f>VLOOKUP(A554,'Class Def. - General Data'!C:C,1,FALSE)</f>
        <v>#N/A</v>
      </c>
    </row>
    <row r="555">
      <c r="B555" s="63" t="str">
        <f>VLOOKUP(A555,'Class Def. - General Data'!C:C,1,FALSE)</f>
        <v>#N/A</v>
      </c>
    </row>
    <row r="556">
      <c r="B556" s="63" t="str">
        <f>VLOOKUP(A556,'Class Def. - General Data'!C:C,1,FALSE)</f>
        <v>#N/A</v>
      </c>
    </row>
    <row r="557">
      <c r="B557" s="63" t="str">
        <f>VLOOKUP(A557,'Class Def. - General Data'!C:C,1,FALSE)</f>
        <v>#N/A</v>
      </c>
    </row>
    <row r="558">
      <c r="B558" s="63" t="str">
        <f>VLOOKUP(A558,'Class Def. - General Data'!C:C,1,FALSE)</f>
        <v>#N/A</v>
      </c>
    </row>
    <row r="559">
      <c r="B559" s="63" t="str">
        <f>VLOOKUP(A559,'Class Def. - General Data'!C:C,1,FALSE)</f>
        <v>#N/A</v>
      </c>
    </row>
    <row r="560">
      <c r="B560" s="63" t="str">
        <f>VLOOKUP(A560,'Class Def. - General Data'!C:C,1,FALSE)</f>
        <v>#N/A</v>
      </c>
    </row>
    <row r="561">
      <c r="B561" s="63" t="str">
        <f>VLOOKUP(A561,'Class Def. - General Data'!C:C,1,FALSE)</f>
        <v>#N/A</v>
      </c>
    </row>
    <row r="562">
      <c r="B562" s="63" t="str">
        <f>VLOOKUP(A562,'Class Def. - General Data'!C:C,1,FALSE)</f>
        <v>#N/A</v>
      </c>
    </row>
    <row r="563">
      <c r="B563" s="63" t="str">
        <f>VLOOKUP(A563,'Class Def. - General Data'!C:C,1,FALSE)</f>
        <v>#N/A</v>
      </c>
    </row>
    <row r="564">
      <c r="B564" s="63" t="str">
        <f>VLOOKUP(A564,'Class Def. - General Data'!C:C,1,FALSE)</f>
        <v>#N/A</v>
      </c>
    </row>
    <row r="565">
      <c r="B565" s="63" t="str">
        <f>VLOOKUP(A565,'Class Def. - General Data'!C:C,1,FALSE)</f>
        <v>#N/A</v>
      </c>
    </row>
    <row r="566">
      <c r="B566" s="63" t="str">
        <f>VLOOKUP(A566,'Class Def. - General Data'!C:C,1,FALSE)</f>
        <v>#N/A</v>
      </c>
    </row>
    <row r="567">
      <c r="B567" s="63" t="str">
        <f>VLOOKUP(A567,'Class Def. - General Data'!C:C,1,FALSE)</f>
        <v>#N/A</v>
      </c>
    </row>
    <row r="568">
      <c r="B568" s="63" t="str">
        <f>VLOOKUP(A568,'Class Def. - General Data'!C:C,1,FALSE)</f>
        <v>#N/A</v>
      </c>
    </row>
    <row r="569">
      <c r="B569" s="63" t="str">
        <f>VLOOKUP(A569,'Class Def. - General Data'!C:C,1,FALSE)</f>
        <v>#N/A</v>
      </c>
    </row>
    <row r="570">
      <c r="B570" s="63" t="str">
        <f>VLOOKUP(A570,'Class Def. - General Data'!C:C,1,FALSE)</f>
        <v>#N/A</v>
      </c>
    </row>
    <row r="571">
      <c r="B571" s="63" t="str">
        <f>VLOOKUP(A571,'Class Def. - General Data'!C:C,1,FALSE)</f>
        <v>#N/A</v>
      </c>
    </row>
    <row r="572">
      <c r="B572" s="63" t="str">
        <f>VLOOKUP(A572,'Class Def. - General Data'!C:C,1,FALSE)</f>
        <v>#N/A</v>
      </c>
    </row>
    <row r="573">
      <c r="B573" s="63" t="str">
        <f>VLOOKUP(A573,'Class Def. - General Data'!C:C,1,FALSE)</f>
        <v>#N/A</v>
      </c>
    </row>
    <row r="574">
      <c r="B574" s="63" t="str">
        <f>VLOOKUP(A574,'Class Def. - General Data'!C:C,1,FALSE)</f>
        <v>#N/A</v>
      </c>
    </row>
    <row r="575">
      <c r="B575" s="63" t="str">
        <f>VLOOKUP(A575,'Class Def. - General Data'!C:C,1,FALSE)</f>
        <v>#N/A</v>
      </c>
    </row>
    <row r="576">
      <c r="B576" s="63" t="str">
        <f>VLOOKUP(A576,'Class Def. - General Data'!C:C,1,FALSE)</f>
        <v>#N/A</v>
      </c>
    </row>
    <row r="577">
      <c r="B577" s="63" t="str">
        <f>VLOOKUP(A577,'Class Def. - General Data'!C:C,1,FALSE)</f>
        <v>#N/A</v>
      </c>
    </row>
    <row r="578">
      <c r="B578" s="63" t="str">
        <f>VLOOKUP(A578,'Class Def. - General Data'!C:C,1,FALSE)</f>
        <v>#N/A</v>
      </c>
    </row>
    <row r="579">
      <c r="B579" s="63" t="str">
        <f>VLOOKUP(A579,'Class Def. - General Data'!C:C,1,FALSE)</f>
        <v>#N/A</v>
      </c>
    </row>
    <row r="580">
      <c r="B580" s="63" t="str">
        <f>VLOOKUP(A580,'Class Def. - General Data'!C:C,1,FALSE)</f>
        <v>#N/A</v>
      </c>
    </row>
    <row r="581">
      <c r="B581" s="63" t="str">
        <f>VLOOKUP(A581,'Class Def. - General Data'!C:C,1,FALSE)</f>
        <v>#N/A</v>
      </c>
    </row>
    <row r="582">
      <c r="B582" s="63" t="str">
        <f>VLOOKUP(A582,'Class Def. - General Data'!C:C,1,FALSE)</f>
        <v>#N/A</v>
      </c>
    </row>
    <row r="583">
      <c r="B583" s="63" t="str">
        <f>VLOOKUP(A583,'Class Def. - General Data'!C:C,1,FALSE)</f>
        <v>#N/A</v>
      </c>
    </row>
    <row r="584">
      <c r="B584" s="63" t="str">
        <f>VLOOKUP(A584,'Class Def. - General Data'!C:C,1,FALSE)</f>
        <v>#N/A</v>
      </c>
    </row>
    <row r="585">
      <c r="B585" s="63" t="str">
        <f>VLOOKUP(A585,'Class Def. - General Data'!C:C,1,FALSE)</f>
        <v>#N/A</v>
      </c>
    </row>
    <row r="586">
      <c r="B586" s="63" t="str">
        <f>VLOOKUP(A586,'Class Def. - General Data'!C:C,1,FALSE)</f>
        <v>#N/A</v>
      </c>
    </row>
    <row r="587">
      <c r="B587" s="63" t="str">
        <f>VLOOKUP(A587,'Class Def. - General Data'!C:C,1,FALSE)</f>
        <v>#N/A</v>
      </c>
    </row>
    <row r="588">
      <c r="B588" s="63" t="str">
        <f>VLOOKUP(A588,'Class Def. - General Data'!C:C,1,FALSE)</f>
        <v>#N/A</v>
      </c>
    </row>
    <row r="589">
      <c r="B589" s="63" t="str">
        <f>VLOOKUP(A589,'Class Def. - General Data'!C:C,1,FALSE)</f>
        <v>#N/A</v>
      </c>
    </row>
    <row r="590">
      <c r="B590" s="63" t="str">
        <f>VLOOKUP(A590,'Class Def. - General Data'!C:C,1,FALSE)</f>
        <v>#N/A</v>
      </c>
    </row>
    <row r="591">
      <c r="B591" s="63" t="str">
        <f>VLOOKUP(A591,'Class Def. - General Data'!C:C,1,FALSE)</f>
        <v>#N/A</v>
      </c>
    </row>
    <row r="592">
      <c r="B592" s="63" t="str">
        <f>VLOOKUP(A592,'Class Def. - General Data'!C:C,1,FALSE)</f>
        <v>#N/A</v>
      </c>
    </row>
    <row r="593">
      <c r="B593" s="63" t="str">
        <f>VLOOKUP(A593,'Class Def. - General Data'!C:C,1,FALSE)</f>
        <v>#N/A</v>
      </c>
    </row>
    <row r="594">
      <c r="B594" s="63" t="str">
        <f>VLOOKUP(A594,'Class Def. - General Data'!C:C,1,FALSE)</f>
        <v>#N/A</v>
      </c>
    </row>
    <row r="595">
      <c r="B595" s="63" t="str">
        <f>VLOOKUP(A595,'Class Def. - General Data'!C:C,1,FALSE)</f>
        <v>#N/A</v>
      </c>
    </row>
    <row r="596">
      <c r="B596" s="63" t="str">
        <f>VLOOKUP(A596,'Class Def. - General Data'!C:C,1,FALSE)</f>
        <v>#N/A</v>
      </c>
    </row>
    <row r="597">
      <c r="B597" s="63" t="str">
        <f>VLOOKUP(A597,'Class Def. - General Data'!C:C,1,FALSE)</f>
        <v>#N/A</v>
      </c>
    </row>
    <row r="598">
      <c r="B598" s="63" t="str">
        <f>VLOOKUP(A598,'Class Def. - General Data'!C:C,1,FALSE)</f>
        <v>#N/A</v>
      </c>
    </row>
    <row r="599">
      <c r="B599" s="63" t="str">
        <f>VLOOKUP(A599,'Class Def. - General Data'!C:C,1,FALSE)</f>
        <v>#N/A</v>
      </c>
    </row>
    <row r="600">
      <c r="B600" s="63" t="str">
        <f>VLOOKUP(A600,'Class Def. - General Data'!C:C,1,FALSE)</f>
        <v>#N/A</v>
      </c>
    </row>
    <row r="601">
      <c r="B601" s="63" t="str">
        <f>VLOOKUP(A601,'Class Def. - General Data'!C:C,1,FALSE)</f>
        <v>#N/A</v>
      </c>
    </row>
    <row r="602">
      <c r="B602" s="63" t="str">
        <f>VLOOKUP(A602,'Class Def. - General Data'!C:C,1,FALSE)</f>
        <v>#N/A</v>
      </c>
    </row>
    <row r="603">
      <c r="B603" s="63" t="str">
        <f>VLOOKUP(A603,'Class Def. - General Data'!C:C,1,FALSE)</f>
        <v>#N/A</v>
      </c>
    </row>
    <row r="604">
      <c r="B604" s="63" t="str">
        <f>VLOOKUP(A604,'Class Def. - General Data'!C:C,1,FALSE)</f>
        <v>#N/A</v>
      </c>
    </row>
    <row r="605">
      <c r="B605" s="63" t="str">
        <f>VLOOKUP(A605,'Class Def. - General Data'!C:C,1,FALSE)</f>
        <v>#N/A</v>
      </c>
    </row>
    <row r="606">
      <c r="B606" s="63" t="str">
        <f>VLOOKUP(A606,'Class Def. - General Data'!C:C,1,FALSE)</f>
        <v>#N/A</v>
      </c>
    </row>
    <row r="607">
      <c r="B607" s="63" t="str">
        <f>VLOOKUP(A607,'Class Def. - General Data'!C:C,1,FALSE)</f>
        <v>#N/A</v>
      </c>
    </row>
    <row r="608">
      <c r="B608" s="63" t="str">
        <f>VLOOKUP(A608,'Class Def. - General Data'!C:C,1,FALSE)</f>
        <v>#N/A</v>
      </c>
    </row>
    <row r="609">
      <c r="B609" s="63" t="str">
        <f>VLOOKUP(A609,'Class Def. - General Data'!C:C,1,FALSE)</f>
        <v>#N/A</v>
      </c>
    </row>
    <row r="610">
      <c r="B610" s="63" t="str">
        <f>VLOOKUP(A610,'Class Def. - General Data'!C:C,1,FALSE)</f>
        <v>#N/A</v>
      </c>
    </row>
    <row r="611">
      <c r="B611" s="63" t="str">
        <f>VLOOKUP(A611,'Class Def. - General Data'!C:C,1,FALSE)</f>
        <v>#N/A</v>
      </c>
    </row>
    <row r="612">
      <c r="B612" s="63" t="str">
        <f>VLOOKUP(A612,'Class Def. - General Data'!C:C,1,FALSE)</f>
        <v>#N/A</v>
      </c>
    </row>
    <row r="613">
      <c r="B613" s="63" t="str">
        <f>VLOOKUP(A613,'Class Def. - General Data'!C:C,1,FALSE)</f>
        <v>#N/A</v>
      </c>
    </row>
    <row r="614">
      <c r="B614" s="63" t="str">
        <f>VLOOKUP(A614,'Class Def. - General Data'!C:C,1,FALSE)</f>
        <v>#N/A</v>
      </c>
    </row>
    <row r="615">
      <c r="B615" s="63" t="str">
        <f>VLOOKUP(A615,'Class Def. - General Data'!C:C,1,FALSE)</f>
        <v>#N/A</v>
      </c>
    </row>
    <row r="616">
      <c r="B616" s="63" t="str">
        <f>VLOOKUP(A616,'Class Def. - General Data'!C:C,1,FALSE)</f>
        <v>#N/A</v>
      </c>
    </row>
    <row r="617">
      <c r="B617" s="63" t="str">
        <f>VLOOKUP(A617,'Class Def. - General Data'!C:C,1,FALSE)</f>
        <v>#N/A</v>
      </c>
    </row>
    <row r="618">
      <c r="B618" s="63" t="str">
        <f>VLOOKUP(A618,'Class Def. - General Data'!C:C,1,FALSE)</f>
        <v>#N/A</v>
      </c>
    </row>
    <row r="619">
      <c r="B619" s="63" t="str">
        <f>VLOOKUP(A619,'Class Def. - General Data'!C:C,1,FALSE)</f>
        <v>#N/A</v>
      </c>
    </row>
    <row r="620">
      <c r="B620" s="63" t="str">
        <f>VLOOKUP(A620,'Class Def. - General Data'!C:C,1,FALSE)</f>
        <v>#N/A</v>
      </c>
    </row>
    <row r="621">
      <c r="B621" s="63" t="str">
        <f>VLOOKUP(A621,'Class Def. - General Data'!C:C,1,FALSE)</f>
        <v>#N/A</v>
      </c>
    </row>
    <row r="622">
      <c r="B622" s="63" t="str">
        <f>VLOOKUP(A622,'Class Def. - General Data'!C:C,1,FALSE)</f>
        <v>#N/A</v>
      </c>
    </row>
    <row r="623">
      <c r="B623" s="63" t="str">
        <f>VLOOKUP(A623,'Class Def. - General Data'!C:C,1,FALSE)</f>
        <v>#N/A</v>
      </c>
    </row>
    <row r="624">
      <c r="B624" s="63" t="str">
        <f>VLOOKUP(A624,'Class Def. - General Data'!C:C,1,FALSE)</f>
        <v>#N/A</v>
      </c>
    </row>
    <row r="625">
      <c r="B625" s="63" t="str">
        <f>VLOOKUP(A625,'Class Def. - General Data'!C:C,1,FALSE)</f>
        <v>#N/A</v>
      </c>
    </row>
    <row r="626">
      <c r="B626" s="63" t="str">
        <f>VLOOKUP(A626,'Class Def. - General Data'!C:C,1,FALSE)</f>
        <v>#N/A</v>
      </c>
    </row>
    <row r="627">
      <c r="B627" s="63" t="str">
        <f>VLOOKUP(A627,'Class Def. - General Data'!C:C,1,FALSE)</f>
        <v>#N/A</v>
      </c>
    </row>
    <row r="628">
      <c r="B628" s="63" t="str">
        <f>VLOOKUP(A628,'Class Def. - General Data'!C:C,1,FALSE)</f>
        <v>#N/A</v>
      </c>
    </row>
    <row r="629">
      <c r="B629" s="63" t="str">
        <f>VLOOKUP(A629,'Class Def. - General Data'!C:C,1,FALSE)</f>
        <v>#N/A</v>
      </c>
    </row>
    <row r="630">
      <c r="B630" s="63" t="str">
        <f>VLOOKUP(A630,'Class Def. - General Data'!C:C,1,FALSE)</f>
        <v>#N/A</v>
      </c>
    </row>
    <row r="631">
      <c r="B631" s="63" t="str">
        <f>VLOOKUP(A631,'Class Def. - General Data'!C:C,1,FALSE)</f>
        <v>#N/A</v>
      </c>
    </row>
    <row r="632">
      <c r="B632" s="63" t="str">
        <f>VLOOKUP(A632,'Class Def. - General Data'!C:C,1,FALSE)</f>
        <v>#N/A</v>
      </c>
    </row>
    <row r="633">
      <c r="B633" s="63" t="str">
        <f>VLOOKUP(A633,'Class Def. - General Data'!C:C,1,FALSE)</f>
        <v>#N/A</v>
      </c>
    </row>
    <row r="634">
      <c r="B634" s="63" t="str">
        <f>VLOOKUP(A634,'Class Def. - General Data'!C:C,1,FALSE)</f>
        <v>#N/A</v>
      </c>
    </row>
    <row r="635">
      <c r="B635" s="63" t="str">
        <f>VLOOKUP(A635,'Class Def. - General Data'!C:C,1,FALSE)</f>
        <v>#N/A</v>
      </c>
    </row>
    <row r="636">
      <c r="B636" s="63" t="str">
        <f>VLOOKUP(A636,'Class Def. - General Data'!C:C,1,FALSE)</f>
        <v>#N/A</v>
      </c>
    </row>
    <row r="637">
      <c r="B637" s="63" t="str">
        <f>VLOOKUP(A637,'Class Def. - General Data'!C:C,1,FALSE)</f>
        <v>#N/A</v>
      </c>
    </row>
    <row r="638">
      <c r="B638" s="63" t="str">
        <f>VLOOKUP(A638,'Class Def. - General Data'!C:C,1,FALSE)</f>
        <v>#N/A</v>
      </c>
    </row>
    <row r="639">
      <c r="B639" s="63" t="str">
        <f>VLOOKUP(A639,'Class Def. - General Data'!C:C,1,FALSE)</f>
        <v>#N/A</v>
      </c>
    </row>
    <row r="640">
      <c r="B640" s="63" t="str">
        <f>VLOOKUP(A640,'Class Def. - General Data'!C:C,1,FALSE)</f>
        <v>#N/A</v>
      </c>
    </row>
    <row r="641">
      <c r="B641" s="63" t="str">
        <f>VLOOKUP(A641,'Class Def. - General Data'!C:C,1,FALSE)</f>
        <v>#N/A</v>
      </c>
    </row>
    <row r="642">
      <c r="B642" s="63" t="str">
        <f>VLOOKUP(A642,'Class Def. - General Data'!C:C,1,FALSE)</f>
        <v>#N/A</v>
      </c>
    </row>
    <row r="643">
      <c r="B643" s="63" t="str">
        <f>VLOOKUP(A643,'Class Def. - General Data'!C:C,1,FALSE)</f>
        <v>#N/A</v>
      </c>
    </row>
    <row r="644">
      <c r="B644" s="63" t="str">
        <f>VLOOKUP(A644,'Class Def. - General Data'!C:C,1,FALSE)</f>
        <v>#N/A</v>
      </c>
    </row>
    <row r="645">
      <c r="B645" s="63" t="str">
        <f>VLOOKUP(A645,'Class Def. - General Data'!C:C,1,FALSE)</f>
        <v>#N/A</v>
      </c>
    </row>
    <row r="646">
      <c r="B646" s="63" t="str">
        <f>VLOOKUP(A646,'Class Def. - General Data'!C:C,1,FALSE)</f>
        <v>#N/A</v>
      </c>
    </row>
    <row r="647">
      <c r="B647" s="63" t="str">
        <f>VLOOKUP(A647,'Class Def. - General Data'!C:C,1,FALSE)</f>
        <v>#N/A</v>
      </c>
    </row>
    <row r="648">
      <c r="B648" s="63" t="str">
        <f>VLOOKUP(A648,'Class Def. - General Data'!C:C,1,FALSE)</f>
        <v>#N/A</v>
      </c>
    </row>
    <row r="649">
      <c r="B649" s="63" t="str">
        <f>VLOOKUP(A649,'Class Def. - General Data'!C:C,1,FALSE)</f>
        <v>#N/A</v>
      </c>
    </row>
    <row r="650">
      <c r="B650" s="63" t="str">
        <f>VLOOKUP(A650,'Class Def. - General Data'!C:C,1,FALSE)</f>
        <v>#N/A</v>
      </c>
    </row>
    <row r="651">
      <c r="B651" s="63" t="str">
        <f>VLOOKUP(A651,'Class Def. - General Data'!C:C,1,FALSE)</f>
        <v>#N/A</v>
      </c>
    </row>
    <row r="652">
      <c r="B652" s="63" t="str">
        <f>VLOOKUP(A652,'Class Def. - General Data'!C:C,1,FALSE)</f>
        <v>#N/A</v>
      </c>
    </row>
    <row r="653">
      <c r="B653" s="63" t="str">
        <f>VLOOKUP(A653,'Class Def. - General Data'!C:C,1,FALSE)</f>
        <v>#N/A</v>
      </c>
    </row>
    <row r="654">
      <c r="B654" s="63" t="str">
        <f>VLOOKUP(A654,'Class Def. - General Data'!C:C,1,FALSE)</f>
        <v>#N/A</v>
      </c>
    </row>
    <row r="655">
      <c r="B655" s="63" t="str">
        <f>VLOOKUP(A655,'Class Def. - General Data'!C:C,1,FALSE)</f>
        <v>#N/A</v>
      </c>
    </row>
    <row r="656">
      <c r="B656" s="63" t="str">
        <f>VLOOKUP(A656,'Class Def. - General Data'!C:C,1,FALSE)</f>
        <v>#N/A</v>
      </c>
    </row>
    <row r="657">
      <c r="B657" s="63" t="str">
        <f>VLOOKUP(A657,'Class Def. - General Data'!C:C,1,FALSE)</f>
        <v>#N/A</v>
      </c>
    </row>
    <row r="658">
      <c r="B658" s="63" t="str">
        <f>VLOOKUP(A658,'Class Def. - General Data'!C:C,1,FALSE)</f>
        <v>#N/A</v>
      </c>
    </row>
    <row r="659">
      <c r="B659" s="63" t="str">
        <f>VLOOKUP(A659,'Class Def. - General Data'!C:C,1,FALSE)</f>
        <v>#N/A</v>
      </c>
    </row>
    <row r="660">
      <c r="B660" s="63" t="str">
        <f>VLOOKUP(A660,'Class Def. - General Data'!C:C,1,FALSE)</f>
        <v>#N/A</v>
      </c>
    </row>
    <row r="661">
      <c r="B661" s="63" t="str">
        <f>VLOOKUP(A661,'Class Def. - General Data'!C:C,1,FALSE)</f>
        <v>#N/A</v>
      </c>
    </row>
    <row r="662">
      <c r="B662" s="63" t="str">
        <f>VLOOKUP(A662,'Class Def. - General Data'!C:C,1,FALSE)</f>
        <v>#N/A</v>
      </c>
    </row>
    <row r="663">
      <c r="B663" s="63" t="str">
        <f>VLOOKUP(A663,'Class Def. - General Data'!C:C,1,FALSE)</f>
        <v>#N/A</v>
      </c>
    </row>
    <row r="664">
      <c r="B664" s="63" t="str">
        <f>VLOOKUP(A664,'Class Def. - General Data'!C:C,1,FALSE)</f>
        <v>#N/A</v>
      </c>
    </row>
    <row r="665">
      <c r="B665" s="63" t="str">
        <f>VLOOKUP(A665,'Class Def. - General Data'!C:C,1,FALSE)</f>
        <v>#N/A</v>
      </c>
    </row>
    <row r="666">
      <c r="B666" s="63" t="str">
        <f>VLOOKUP(A666,'Class Def. - General Data'!C:C,1,FALSE)</f>
        <v>#N/A</v>
      </c>
    </row>
    <row r="667">
      <c r="B667" s="63" t="str">
        <f>VLOOKUP(A667,'Class Def. - General Data'!C:C,1,FALSE)</f>
        <v>#N/A</v>
      </c>
    </row>
    <row r="668">
      <c r="B668" s="63" t="str">
        <f>VLOOKUP(A668,'Class Def. - General Data'!C:C,1,FALSE)</f>
        <v>#N/A</v>
      </c>
    </row>
    <row r="669">
      <c r="B669" s="63" t="str">
        <f>VLOOKUP(A669,'Class Def. - General Data'!C:C,1,FALSE)</f>
        <v>#N/A</v>
      </c>
    </row>
    <row r="670">
      <c r="B670" s="63" t="str">
        <f>VLOOKUP(A670,'Class Def. - General Data'!C:C,1,FALSE)</f>
        <v>#N/A</v>
      </c>
    </row>
    <row r="671">
      <c r="B671" s="63" t="str">
        <f>VLOOKUP(A671,'Class Def. - General Data'!C:C,1,FALSE)</f>
        <v>#N/A</v>
      </c>
    </row>
    <row r="672">
      <c r="B672" s="63" t="str">
        <f>VLOOKUP(A672,'Class Def. - General Data'!C:C,1,FALSE)</f>
        <v>#N/A</v>
      </c>
    </row>
    <row r="673">
      <c r="B673" s="63" t="str">
        <f>VLOOKUP(A673,'Class Def. - General Data'!C:C,1,FALSE)</f>
        <v>#N/A</v>
      </c>
    </row>
    <row r="674">
      <c r="B674" s="63" t="str">
        <f>VLOOKUP(A674,'Class Def. - General Data'!C:C,1,FALSE)</f>
        <v>#N/A</v>
      </c>
    </row>
    <row r="675">
      <c r="B675" s="63" t="str">
        <f>VLOOKUP(A675,'Class Def. - General Data'!C:C,1,FALSE)</f>
        <v>#N/A</v>
      </c>
    </row>
    <row r="676">
      <c r="B676" s="63" t="str">
        <f>VLOOKUP(A676,'Class Def. - General Data'!C:C,1,FALSE)</f>
        <v>#N/A</v>
      </c>
    </row>
    <row r="677">
      <c r="B677" s="63" t="str">
        <f>VLOOKUP(A677,'Class Def. - General Data'!C:C,1,FALSE)</f>
        <v>#N/A</v>
      </c>
    </row>
    <row r="678">
      <c r="B678" s="63" t="str">
        <f>VLOOKUP(A678,'Class Def. - General Data'!C:C,1,FALSE)</f>
        <v>#N/A</v>
      </c>
    </row>
    <row r="679">
      <c r="B679" s="63" t="str">
        <f>VLOOKUP(A679,'Class Def. - General Data'!C:C,1,FALSE)</f>
        <v>#N/A</v>
      </c>
    </row>
    <row r="680">
      <c r="B680" s="63" t="str">
        <f>VLOOKUP(A680,'Class Def. - General Data'!C:C,1,FALSE)</f>
        <v>#N/A</v>
      </c>
    </row>
    <row r="681">
      <c r="B681" s="63" t="str">
        <f>VLOOKUP(A681,'Class Def. - General Data'!C:C,1,FALSE)</f>
        <v>#N/A</v>
      </c>
    </row>
    <row r="682">
      <c r="B682" s="63" t="str">
        <f>VLOOKUP(A682,'Class Def. - General Data'!C:C,1,FALSE)</f>
        <v>#N/A</v>
      </c>
    </row>
    <row r="683">
      <c r="B683" s="63" t="str">
        <f>VLOOKUP(A683,'Class Def. - General Data'!C:C,1,FALSE)</f>
        <v>#N/A</v>
      </c>
    </row>
    <row r="684">
      <c r="B684" s="63" t="str">
        <f>VLOOKUP(A684,'Class Def. - General Data'!C:C,1,FALSE)</f>
        <v>#N/A</v>
      </c>
    </row>
    <row r="685">
      <c r="B685" s="63" t="str">
        <f>VLOOKUP(A685,'Class Def. - General Data'!C:C,1,FALSE)</f>
        <v>#N/A</v>
      </c>
    </row>
    <row r="686">
      <c r="B686" s="63" t="str">
        <f>VLOOKUP(A686,'Class Def. - General Data'!C:C,1,FALSE)</f>
        <v>#N/A</v>
      </c>
    </row>
    <row r="687">
      <c r="B687" s="63" t="str">
        <f>VLOOKUP(A687,'Class Def. - General Data'!C:C,1,FALSE)</f>
        <v>#N/A</v>
      </c>
    </row>
    <row r="688">
      <c r="B688" s="63" t="str">
        <f>VLOOKUP(A688,'Class Def. - General Data'!C:C,1,FALSE)</f>
        <v>#N/A</v>
      </c>
    </row>
    <row r="689">
      <c r="B689" s="63" t="str">
        <f>VLOOKUP(A689,'Class Def. - General Data'!C:C,1,FALSE)</f>
        <v>#N/A</v>
      </c>
    </row>
    <row r="690">
      <c r="B690" s="63" t="str">
        <f>VLOOKUP(A690,'Class Def. - General Data'!C:C,1,FALSE)</f>
        <v>#N/A</v>
      </c>
    </row>
    <row r="691">
      <c r="B691" s="63" t="str">
        <f>VLOOKUP(A691,'Class Def. - General Data'!C:C,1,FALSE)</f>
        <v>#N/A</v>
      </c>
    </row>
    <row r="692">
      <c r="B692" s="63" t="str">
        <f>VLOOKUP(A692,'Class Def. - General Data'!C:C,1,FALSE)</f>
        <v>#N/A</v>
      </c>
    </row>
    <row r="693">
      <c r="B693" s="63" t="str">
        <f>VLOOKUP(A693,'Class Def. - General Data'!C:C,1,FALSE)</f>
        <v>#N/A</v>
      </c>
    </row>
    <row r="694">
      <c r="B694" s="63" t="str">
        <f>VLOOKUP(A694,'Class Def. - General Data'!C:C,1,FALSE)</f>
        <v>#N/A</v>
      </c>
    </row>
    <row r="695">
      <c r="B695" s="63" t="str">
        <f>VLOOKUP(A695,'Class Def. - General Data'!C:C,1,FALSE)</f>
        <v>#N/A</v>
      </c>
    </row>
    <row r="696">
      <c r="B696" s="63" t="str">
        <f>VLOOKUP(A696,'Class Def. - General Data'!C:C,1,FALSE)</f>
        <v>#N/A</v>
      </c>
    </row>
    <row r="697">
      <c r="B697" s="63" t="str">
        <f>VLOOKUP(A697,'Class Def. - General Data'!C:C,1,FALSE)</f>
        <v>#N/A</v>
      </c>
    </row>
    <row r="698">
      <c r="B698" s="63" t="str">
        <f>VLOOKUP(A698,'Class Def. - General Data'!C:C,1,FALSE)</f>
        <v>#N/A</v>
      </c>
    </row>
    <row r="699">
      <c r="B699" s="63" t="str">
        <f>VLOOKUP(A699,'Class Def. - General Data'!C:C,1,FALSE)</f>
        <v>#N/A</v>
      </c>
    </row>
    <row r="700">
      <c r="B700" s="63" t="str">
        <f>VLOOKUP(A700,'Class Def. - General Data'!C:C,1,FALSE)</f>
        <v>#N/A</v>
      </c>
    </row>
    <row r="701">
      <c r="B701" s="63" t="str">
        <f>VLOOKUP(A701,'Class Def. - General Data'!C:C,1,FALSE)</f>
        <v>#N/A</v>
      </c>
    </row>
    <row r="702">
      <c r="B702" s="63" t="str">
        <f>VLOOKUP(A702,'Class Def. - General Data'!C:C,1,FALSE)</f>
        <v>#N/A</v>
      </c>
    </row>
    <row r="703">
      <c r="B703" s="63" t="str">
        <f>VLOOKUP(A703,'Class Def. - General Data'!C:C,1,FALSE)</f>
        <v>#N/A</v>
      </c>
    </row>
    <row r="704">
      <c r="B704" s="63" t="str">
        <f>VLOOKUP(A704,'Class Def. - General Data'!C:C,1,FALSE)</f>
        <v>#N/A</v>
      </c>
    </row>
    <row r="705">
      <c r="B705" s="63" t="str">
        <f>VLOOKUP(A705,'Class Def. - General Data'!C:C,1,FALSE)</f>
        <v>#N/A</v>
      </c>
    </row>
    <row r="706">
      <c r="B706" s="63" t="str">
        <f>VLOOKUP(A706,'Class Def. - General Data'!C:C,1,FALSE)</f>
        <v>#N/A</v>
      </c>
    </row>
    <row r="707">
      <c r="B707" s="63" t="str">
        <f>VLOOKUP(A707,'Class Def. - General Data'!C:C,1,FALSE)</f>
        <v>#N/A</v>
      </c>
    </row>
    <row r="708">
      <c r="B708" s="63" t="str">
        <f>VLOOKUP(A708,'Class Def. - General Data'!C:C,1,FALSE)</f>
        <v>#N/A</v>
      </c>
    </row>
    <row r="709">
      <c r="B709" s="63" t="str">
        <f>VLOOKUP(A709,'Class Def. - General Data'!C:C,1,FALSE)</f>
        <v>#N/A</v>
      </c>
    </row>
    <row r="710">
      <c r="B710" s="63" t="str">
        <f>VLOOKUP(A710,'Class Def. - General Data'!C:C,1,FALSE)</f>
        <v>#N/A</v>
      </c>
    </row>
    <row r="711">
      <c r="B711" s="63" t="str">
        <f>VLOOKUP(A711,'Class Def. - General Data'!C:C,1,FALSE)</f>
        <v>#N/A</v>
      </c>
    </row>
    <row r="712">
      <c r="B712" s="63" t="str">
        <f>VLOOKUP(A712,'Class Def. - General Data'!C:C,1,FALSE)</f>
        <v>#N/A</v>
      </c>
    </row>
    <row r="713">
      <c r="B713" s="63" t="str">
        <f>VLOOKUP(A713,'Class Def. - General Data'!C:C,1,FALSE)</f>
        <v>#N/A</v>
      </c>
    </row>
    <row r="714">
      <c r="B714" s="63" t="str">
        <f>VLOOKUP(A714,'Class Def. - General Data'!C:C,1,FALSE)</f>
        <v>#N/A</v>
      </c>
    </row>
    <row r="715">
      <c r="B715" s="63" t="str">
        <f>VLOOKUP(A715,'Class Def. - General Data'!C:C,1,FALSE)</f>
        <v>#N/A</v>
      </c>
    </row>
    <row r="716">
      <c r="B716" s="63" t="str">
        <f>VLOOKUP(A716,'Class Def. - General Data'!C:C,1,FALSE)</f>
        <v>#N/A</v>
      </c>
    </row>
    <row r="717">
      <c r="B717" s="63" t="str">
        <f>VLOOKUP(A717,'Class Def. - General Data'!C:C,1,FALSE)</f>
        <v>#N/A</v>
      </c>
    </row>
    <row r="718">
      <c r="B718" s="63" t="str">
        <f>VLOOKUP(A718,'Class Def. - General Data'!C:C,1,FALSE)</f>
        <v>#N/A</v>
      </c>
    </row>
    <row r="719">
      <c r="B719" s="63" t="str">
        <f>VLOOKUP(A719,'Class Def. - General Data'!C:C,1,FALSE)</f>
        <v>#N/A</v>
      </c>
    </row>
    <row r="720">
      <c r="B720" s="63" t="str">
        <f>VLOOKUP(A720,'Class Def. - General Data'!C:C,1,FALSE)</f>
        <v>#N/A</v>
      </c>
    </row>
    <row r="721">
      <c r="B721" s="63" t="str">
        <f>VLOOKUP(A721,'Class Def. - General Data'!C:C,1,FALSE)</f>
        <v>#N/A</v>
      </c>
    </row>
    <row r="722">
      <c r="B722" s="63" t="str">
        <f>VLOOKUP(A722,'Class Def. - General Data'!C:C,1,FALSE)</f>
        <v>#N/A</v>
      </c>
    </row>
    <row r="723">
      <c r="B723" s="63" t="str">
        <f>VLOOKUP(A723,'Class Def. - General Data'!C:C,1,FALSE)</f>
        <v>#N/A</v>
      </c>
    </row>
    <row r="724">
      <c r="B724" s="63" t="str">
        <f>VLOOKUP(A724,'Class Def. - General Data'!C:C,1,FALSE)</f>
        <v>#N/A</v>
      </c>
    </row>
    <row r="725">
      <c r="B725" s="63" t="str">
        <f>VLOOKUP(A725,'Class Def. - General Data'!C:C,1,FALSE)</f>
        <v>#N/A</v>
      </c>
    </row>
    <row r="726">
      <c r="B726" s="63" t="str">
        <f>VLOOKUP(A726,'Class Def. - General Data'!C:C,1,FALSE)</f>
        <v>#N/A</v>
      </c>
    </row>
    <row r="727">
      <c r="B727" s="63" t="str">
        <f>VLOOKUP(A727,'Class Def. - General Data'!C:C,1,FALSE)</f>
        <v>#N/A</v>
      </c>
    </row>
    <row r="728">
      <c r="B728" s="63" t="str">
        <f>VLOOKUP(A728,'Class Def. - General Data'!C:C,1,FALSE)</f>
        <v>#N/A</v>
      </c>
    </row>
    <row r="729">
      <c r="B729" s="63" t="str">
        <f>VLOOKUP(A729,'Class Def. - General Data'!C:C,1,FALSE)</f>
        <v>#N/A</v>
      </c>
    </row>
    <row r="730">
      <c r="B730" s="63" t="str">
        <f>VLOOKUP(A730,'Class Def. - General Data'!C:C,1,FALSE)</f>
        <v>#N/A</v>
      </c>
    </row>
    <row r="731">
      <c r="B731" s="63" t="str">
        <f>VLOOKUP(A731,'Class Def. - General Data'!C:C,1,FALSE)</f>
        <v>#N/A</v>
      </c>
    </row>
    <row r="732">
      <c r="B732" s="63" t="str">
        <f>VLOOKUP(A732,'Class Def. - General Data'!C:C,1,FALSE)</f>
        <v>#N/A</v>
      </c>
    </row>
    <row r="733">
      <c r="B733" s="63" t="str">
        <f>VLOOKUP(A733,'Class Def. - General Data'!C:C,1,FALSE)</f>
        <v>#N/A</v>
      </c>
    </row>
    <row r="734">
      <c r="B734" s="63" t="str">
        <f>VLOOKUP(A734,'Class Def. - General Data'!C:C,1,FALSE)</f>
        <v>#N/A</v>
      </c>
    </row>
    <row r="735">
      <c r="B735" s="63" t="str">
        <f>VLOOKUP(A735,'Class Def. - General Data'!C:C,1,FALSE)</f>
        <v>#N/A</v>
      </c>
    </row>
    <row r="736">
      <c r="B736" s="63" t="str">
        <f>VLOOKUP(A736,'Class Def. - General Data'!C:C,1,FALSE)</f>
        <v>#N/A</v>
      </c>
    </row>
    <row r="737">
      <c r="B737" s="63" t="str">
        <f>VLOOKUP(A737,'Class Def. - General Data'!C:C,1,FALSE)</f>
        <v>#N/A</v>
      </c>
    </row>
    <row r="738">
      <c r="B738" s="63" t="str">
        <f>VLOOKUP(A738,'Class Def. - General Data'!C:C,1,FALSE)</f>
        <v>#N/A</v>
      </c>
    </row>
    <row r="739">
      <c r="B739" s="63" t="str">
        <f>VLOOKUP(A739,'Class Def. - General Data'!C:C,1,FALSE)</f>
        <v>#N/A</v>
      </c>
    </row>
    <row r="740">
      <c r="B740" s="63" t="str">
        <f>VLOOKUP(A740,'Class Def. - General Data'!C:C,1,FALSE)</f>
        <v>#N/A</v>
      </c>
    </row>
    <row r="741">
      <c r="B741" s="63" t="str">
        <f>VLOOKUP(A741,'Class Def. - General Data'!C:C,1,FALSE)</f>
        <v>#N/A</v>
      </c>
    </row>
    <row r="742">
      <c r="B742" s="63" t="str">
        <f>VLOOKUP(A742,'Class Def. - General Data'!C:C,1,FALSE)</f>
        <v>#N/A</v>
      </c>
    </row>
    <row r="743">
      <c r="B743" s="63" t="str">
        <f>VLOOKUP(A743,'Class Def. - General Data'!C:C,1,FALSE)</f>
        <v>#N/A</v>
      </c>
    </row>
    <row r="744">
      <c r="B744" s="63" t="str">
        <f>VLOOKUP(A744,'Class Def. - General Data'!C:C,1,FALSE)</f>
        <v>#N/A</v>
      </c>
    </row>
    <row r="745">
      <c r="B745" s="63" t="str">
        <f>VLOOKUP(A745,'Class Def. - General Data'!C:C,1,FALSE)</f>
        <v>#N/A</v>
      </c>
    </row>
    <row r="746">
      <c r="B746" s="63" t="str">
        <f>VLOOKUP(A746,'Class Def. - General Data'!C:C,1,FALSE)</f>
        <v>#N/A</v>
      </c>
    </row>
    <row r="747">
      <c r="B747" s="63" t="str">
        <f>VLOOKUP(A747,'Class Def. - General Data'!C:C,1,FALSE)</f>
        <v>#N/A</v>
      </c>
    </row>
    <row r="748">
      <c r="B748" s="63" t="str">
        <f>VLOOKUP(A748,'Class Def. - General Data'!C:C,1,FALSE)</f>
        <v>#N/A</v>
      </c>
    </row>
    <row r="749">
      <c r="B749" s="63" t="str">
        <f>VLOOKUP(A749,'Class Def. - General Data'!C:C,1,FALSE)</f>
        <v>#N/A</v>
      </c>
    </row>
    <row r="750">
      <c r="B750" s="63" t="str">
        <f>VLOOKUP(A750,'Class Def. - General Data'!C:C,1,FALSE)</f>
        <v>#N/A</v>
      </c>
    </row>
    <row r="751">
      <c r="B751" s="63" t="str">
        <f>VLOOKUP(A751,'Class Def. - General Data'!C:C,1,FALSE)</f>
        <v>#N/A</v>
      </c>
    </row>
    <row r="752">
      <c r="B752" s="63" t="str">
        <f>VLOOKUP(A752,'Class Def. - General Data'!C:C,1,FALSE)</f>
        <v>#N/A</v>
      </c>
    </row>
    <row r="753">
      <c r="B753" s="63" t="str">
        <f>VLOOKUP(A753,'Class Def. - General Data'!C:C,1,FALSE)</f>
        <v>#N/A</v>
      </c>
    </row>
    <row r="754">
      <c r="B754" s="63" t="str">
        <f>VLOOKUP(A754,'Class Def. - General Data'!C:C,1,FALSE)</f>
        <v>#N/A</v>
      </c>
    </row>
    <row r="755">
      <c r="B755" s="63" t="str">
        <f>VLOOKUP(A755,'Class Def. - General Data'!C:C,1,FALSE)</f>
        <v>#N/A</v>
      </c>
    </row>
    <row r="756">
      <c r="B756" s="63" t="str">
        <f>VLOOKUP(A756,'Class Def. - General Data'!C:C,1,FALSE)</f>
        <v>#N/A</v>
      </c>
    </row>
    <row r="757">
      <c r="B757" s="63" t="str">
        <f>VLOOKUP(A757,'Class Def. - General Data'!C:C,1,FALSE)</f>
        <v>#N/A</v>
      </c>
    </row>
    <row r="758">
      <c r="B758" s="63" t="str">
        <f>VLOOKUP(A758,'Class Def. - General Data'!C:C,1,FALSE)</f>
        <v>#N/A</v>
      </c>
    </row>
    <row r="759">
      <c r="B759" s="63" t="str">
        <f>VLOOKUP(A759,'Class Def. - General Data'!C:C,1,FALSE)</f>
        <v>#N/A</v>
      </c>
    </row>
    <row r="760">
      <c r="B760" s="63" t="str">
        <f>VLOOKUP(A760,'Class Def. - General Data'!C:C,1,FALSE)</f>
        <v>#N/A</v>
      </c>
    </row>
    <row r="761">
      <c r="B761" s="63" t="str">
        <f>VLOOKUP(A761,'Class Def. - General Data'!C:C,1,FALSE)</f>
        <v>#N/A</v>
      </c>
    </row>
    <row r="762">
      <c r="B762" s="63" t="str">
        <f>VLOOKUP(A762,'Class Def. - General Data'!C:C,1,FALSE)</f>
        <v>#N/A</v>
      </c>
    </row>
    <row r="763">
      <c r="B763" s="63" t="str">
        <f>VLOOKUP(A763,'Class Def. - General Data'!C:C,1,FALSE)</f>
        <v>#N/A</v>
      </c>
    </row>
    <row r="764">
      <c r="B764" s="63" t="str">
        <f>VLOOKUP(A764,'Class Def. - General Data'!C:C,1,FALSE)</f>
        <v>#N/A</v>
      </c>
    </row>
    <row r="765">
      <c r="B765" s="63" t="str">
        <f>VLOOKUP(A765,'Class Def. - General Data'!C:C,1,FALSE)</f>
        <v>#N/A</v>
      </c>
    </row>
    <row r="766">
      <c r="B766" s="63" t="str">
        <f>VLOOKUP(A766,'Class Def. - General Data'!C:C,1,FALSE)</f>
        <v>#N/A</v>
      </c>
    </row>
    <row r="767">
      <c r="B767" s="63" t="str">
        <f>VLOOKUP(A767,'Class Def. - General Data'!C:C,1,FALSE)</f>
        <v>#N/A</v>
      </c>
    </row>
    <row r="768">
      <c r="B768" s="63" t="str">
        <f>VLOOKUP(A768,'Class Def. - General Data'!C:C,1,FALSE)</f>
        <v>#N/A</v>
      </c>
    </row>
    <row r="769">
      <c r="B769" s="63" t="str">
        <f>VLOOKUP(A769,'Class Def. - General Data'!C:C,1,FALSE)</f>
        <v>#N/A</v>
      </c>
    </row>
    <row r="770">
      <c r="B770" s="63" t="str">
        <f>VLOOKUP(A770,'Class Def. - General Data'!C:C,1,FALSE)</f>
        <v>#N/A</v>
      </c>
    </row>
    <row r="771">
      <c r="B771" s="63" t="str">
        <f>VLOOKUP(A771,'Class Def. - General Data'!C:C,1,FALSE)</f>
        <v>#N/A</v>
      </c>
    </row>
    <row r="772">
      <c r="B772" s="63" t="str">
        <f>VLOOKUP(A772,'Class Def. - General Data'!C:C,1,FALSE)</f>
        <v>#N/A</v>
      </c>
    </row>
    <row r="773">
      <c r="B773" s="63" t="str">
        <f>VLOOKUP(A773,'Class Def. - General Data'!C:C,1,FALSE)</f>
        <v>#N/A</v>
      </c>
    </row>
    <row r="774">
      <c r="B774" s="63" t="str">
        <f>VLOOKUP(A774,'Class Def. - General Data'!C:C,1,FALSE)</f>
        <v>#N/A</v>
      </c>
    </row>
    <row r="775">
      <c r="B775" s="63" t="str">
        <f>VLOOKUP(A775,'Class Def. - General Data'!C:C,1,FALSE)</f>
        <v>#N/A</v>
      </c>
    </row>
    <row r="776">
      <c r="B776" s="63" t="str">
        <f>VLOOKUP(A776,'Class Def. - General Data'!C:C,1,FALSE)</f>
        <v>#N/A</v>
      </c>
    </row>
    <row r="777">
      <c r="B777" s="63" t="str">
        <f>VLOOKUP(A777,'Class Def. - General Data'!C:C,1,FALSE)</f>
        <v>#N/A</v>
      </c>
    </row>
    <row r="778">
      <c r="B778" s="63" t="str">
        <f>VLOOKUP(A778,'Class Def. - General Data'!C:C,1,FALSE)</f>
        <v>#N/A</v>
      </c>
    </row>
    <row r="779">
      <c r="B779" s="63" t="str">
        <f>VLOOKUP(A779,'Class Def. - General Data'!C:C,1,FALSE)</f>
        <v>#N/A</v>
      </c>
    </row>
    <row r="780">
      <c r="B780" s="63" t="str">
        <f>VLOOKUP(A780,'Class Def. - General Data'!C:C,1,FALSE)</f>
        <v>#N/A</v>
      </c>
    </row>
    <row r="781">
      <c r="B781" s="63" t="str">
        <f>VLOOKUP(A781,'Class Def. - General Data'!C:C,1,FALSE)</f>
        <v>#N/A</v>
      </c>
    </row>
    <row r="782">
      <c r="B782" s="63" t="str">
        <f>VLOOKUP(A782,'Class Def. - General Data'!C:C,1,FALSE)</f>
        <v>#N/A</v>
      </c>
    </row>
    <row r="783">
      <c r="B783" s="63" t="str">
        <f>VLOOKUP(A783,'Class Def. - General Data'!C:C,1,FALSE)</f>
        <v>#N/A</v>
      </c>
    </row>
    <row r="784">
      <c r="B784" s="63" t="str">
        <f>VLOOKUP(A784,'Class Def. - General Data'!C:C,1,FALSE)</f>
        <v>#N/A</v>
      </c>
    </row>
    <row r="785">
      <c r="B785" s="63" t="str">
        <f>VLOOKUP(A785,'Class Def. - General Data'!C:C,1,FALSE)</f>
        <v>#N/A</v>
      </c>
    </row>
    <row r="786">
      <c r="B786" s="63" t="str">
        <f>VLOOKUP(A786,'Class Def. - General Data'!C:C,1,FALSE)</f>
        <v>#N/A</v>
      </c>
    </row>
    <row r="787">
      <c r="B787" s="63" t="str">
        <f>VLOOKUP(A787,'Class Def. - General Data'!C:C,1,FALSE)</f>
        <v>#N/A</v>
      </c>
    </row>
    <row r="788">
      <c r="B788" s="63" t="str">
        <f>VLOOKUP(A788,'Class Def. - General Data'!C:C,1,FALSE)</f>
        <v>#N/A</v>
      </c>
    </row>
    <row r="789">
      <c r="B789" s="63" t="str">
        <f>VLOOKUP(A789,'Class Def. - General Data'!C:C,1,FALSE)</f>
        <v>#N/A</v>
      </c>
    </row>
    <row r="790">
      <c r="B790" s="63" t="str">
        <f>VLOOKUP(A790,'Class Def. - General Data'!C:C,1,FALSE)</f>
        <v>#N/A</v>
      </c>
    </row>
    <row r="791">
      <c r="B791" s="63" t="str">
        <f>VLOOKUP(A791,'Class Def. - General Data'!C:C,1,FALSE)</f>
        <v>#N/A</v>
      </c>
    </row>
    <row r="792">
      <c r="B792" s="63" t="str">
        <f>VLOOKUP(A792,'Class Def. - General Data'!C:C,1,FALSE)</f>
        <v>#N/A</v>
      </c>
    </row>
    <row r="793">
      <c r="B793" s="63" t="str">
        <f>VLOOKUP(A793,'Class Def. - General Data'!C:C,1,FALSE)</f>
        <v>#N/A</v>
      </c>
    </row>
    <row r="794">
      <c r="B794" s="63" t="str">
        <f>VLOOKUP(A794,'Class Def. - General Data'!C:C,1,FALSE)</f>
        <v>#N/A</v>
      </c>
    </row>
    <row r="795">
      <c r="B795" s="63" t="str">
        <f>VLOOKUP(A795,'Class Def. - General Data'!C:C,1,FALSE)</f>
        <v>#N/A</v>
      </c>
    </row>
    <row r="796">
      <c r="B796" s="63" t="str">
        <f>VLOOKUP(A796,'Class Def. - General Data'!C:C,1,FALSE)</f>
        <v>#N/A</v>
      </c>
    </row>
    <row r="797">
      <c r="B797" s="63" t="str">
        <f>VLOOKUP(A797,'Class Def. - General Data'!C:C,1,FALSE)</f>
        <v>#N/A</v>
      </c>
    </row>
    <row r="798">
      <c r="B798" s="63" t="str">
        <f>VLOOKUP(A798,'Class Def. - General Data'!C:C,1,FALSE)</f>
        <v>#N/A</v>
      </c>
    </row>
    <row r="799">
      <c r="B799" s="63" t="str">
        <f>VLOOKUP(A799,'Class Def. - General Data'!C:C,1,FALSE)</f>
        <v>#N/A</v>
      </c>
    </row>
    <row r="800">
      <c r="B800" s="63" t="str">
        <f>VLOOKUP(A800,'Class Def. - General Data'!C:C,1,FALSE)</f>
        <v>#N/A</v>
      </c>
    </row>
    <row r="801">
      <c r="B801" s="63" t="str">
        <f>VLOOKUP(A801,'Class Def. - General Data'!C:C,1,FALSE)</f>
        <v>#N/A</v>
      </c>
    </row>
    <row r="802">
      <c r="B802" s="63" t="str">
        <f>VLOOKUP(A802,'Class Def. - General Data'!C:C,1,FALSE)</f>
        <v>#N/A</v>
      </c>
    </row>
    <row r="803">
      <c r="B803" s="63" t="str">
        <f>VLOOKUP(A803,'Class Def. - General Data'!C:C,1,FALSE)</f>
        <v>#N/A</v>
      </c>
    </row>
    <row r="804">
      <c r="B804" s="63" t="str">
        <f>VLOOKUP(A804,'Class Def. - General Data'!C:C,1,FALSE)</f>
        <v>#N/A</v>
      </c>
    </row>
    <row r="805">
      <c r="B805" s="63" t="str">
        <f>VLOOKUP(A805,'Class Def. - General Data'!C:C,1,FALSE)</f>
        <v>#N/A</v>
      </c>
    </row>
    <row r="806">
      <c r="B806" s="63" t="str">
        <f>VLOOKUP(A806,'Class Def. - General Data'!C:C,1,FALSE)</f>
        <v>#N/A</v>
      </c>
    </row>
    <row r="807">
      <c r="B807" s="63" t="str">
        <f>VLOOKUP(A807,'Class Def. - General Data'!C:C,1,FALSE)</f>
        <v>#N/A</v>
      </c>
    </row>
    <row r="808">
      <c r="B808" s="63" t="str">
        <f>VLOOKUP(A808,'Class Def. - General Data'!C:C,1,FALSE)</f>
        <v>#N/A</v>
      </c>
    </row>
    <row r="809">
      <c r="B809" s="63" t="str">
        <f>VLOOKUP(A809,'Class Def. - General Data'!C:C,1,FALSE)</f>
        <v>#N/A</v>
      </c>
    </row>
    <row r="810">
      <c r="B810" s="63" t="str">
        <f>VLOOKUP(A810,'Class Def. - General Data'!C:C,1,FALSE)</f>
        <v>#N/A</v>
      </c>
    </row>
    <row r="811">
      <c r="B811" s="63" t="str">
        <f>VLOOKUP(A811,'Class Def. - General Data'!C:C,1,FALSE)</f>
        <v>#N/A</v>
      </c>
    </row>
    <row r="812">
      <c r="B812" s="63" t="str">
        <f>VLOOKUP(A812,'Class Def. - General Data'!C:C,1,FALSE)</f>
        <v>#N/A</v>
      </c>
    </row>
    <row r="813">
      <c r="B813" s="63" t="str">
        <f>VLOOKUP(A813,'Class Def. - General Data'!C:C,1,FALSE)</f>
        <v>#N/A</v>
      </c>
    </row>
    <row r="814">
      <c r="B814" s="63" t="str">
        <f>VLOOKUP(A814,'Class Def. - General Data'!C:C,1,FALSE)</f>
        <v>#N/A</v>
      </c>
    </row>
    <row r="815">
      <c r="B815" s="63" t="str">
        <f>VLOOKUP(A815,'Class Def. - General Data'!C:C,1,FALSE)</f>
        <v>#N/A</v>
      </c>
    </row>
    <row r="816">
      <c r="B816" s="63" t="str">
        <f>VLOOKUP(A816,'Class Def. - General Data'!C:C,1,FALSE)</f>
        <v>#N/A</v>
      </c>
    </row>
    <row r="817">
      <c r="B817" s="63" t="str">
        <f>VLOOKUP(A817,'Class Def. - General Data'!C:C,1,FALSE)</f>
        <v>#N/A</v>
      </c>
    </row>
    <row r="818">
      <c r="B818" s="63" t="str">
        <f>VLOOKUP(A818,'Class Def. - General Data'!C:C,1,FALSE)</f>
        <v>#N/A</v>
      </c>
    </row>
    <row r="819">
      <c r="B819" s="63" t="str">
        <f>VLOOKUP(A819,'Class Def. - General Data'!C:C,1,FALSE)</f>
        <v>#N/A</v>
      </c>
    </row>
    <row r="820">
      <c r="B820" s="63" t="str">
        <f>VLOOKUP(A820,'Class Def. - General Data'!C:C,1,FALSE)</f>
        <v>#N/A</v>
      </c>
    </row>
    <row r="821">
      <c r="B821" s="63" t="str">
        <f>VLOOKUP(A821,'Class Def. - General Data'!C:C,1,FALSE)</f>
        <v>#N/A</v>
      </c>
    </row>
    <row r="822">
      <c r="B822" s="63" t="str">
        <f>VLOOKUP(A822,'Class Def. - General Data'!C:C,1,FALSE)</f>
        <v>#N/A</v>
      </c>
    </row>
    <row r="823">
      <c r="B823" s="63" t="str">
        <f>VLOOKUP(A823,'Class Def. - General Data'!C:C,1,FALSE)</f>
        <v>#N/A</v>
      </c>
    </row>
    <row r="824">
      <c r="B824" s="63" t="str">
        <f>VLOOKUP(A824,'Class Def. - General Data'!C:C,1,FALSE)</f>
        <v>#N/A</v>
      </c>
    </row>
    <row r="825">
      <c r="B825" s="63" t="str">
        <f>VLOOKUP(A825,'Class Def. - General Data'!C:C,1,FALSE)</f>
        <v>#N/A</v>
      </c>
    </row>
    <row r="826">
      <c r="B826" s="63" t="str">
        <f>VLOOKUP(A826,'Class Def. - General Data'!C:C,1,FALSE)</f>
        <v>#N/A</v>
      </c>
    </row>
    <row r="827">
      <c r="B827" s="63" t="str">
        <f>VLOOKUP(A827,'Class Def. - General Data'!C:C,1,FALSE)</f>
        <v>#N/A</v>
      </c>
    </row>
    <row r="828">
      <c r="B828" s="63" t="str">
        <f>VLOOKUP(A828,'Class Def. - General Data'!C:C,1,FALSE)</f>
        <v>#N/A</v>
      </c>
    </row>
    <row r="829">
      <c r="B829" s="63" t="str">
        <f>VLOOKUP(A829,'Class Def. - General Data'!C:C,1,FALSE)</f>
        <v>#N/A</v>
      </c>
    </row>
    <row r="830">
      <c r="B830" s="63" t="str">
        <f>VLOOKUP(A830,'Class Def. - General Data'!C:C,1,FALSE)</f>
        <v>#N/A</v>
      </c>
    </row>
    <row r="831">
      <c r="B831" s="63" t="str">
        <f>VLOOKUP(A831,'Class Def. - General Data'!C:C,1,FALSE)</f>
        <v>#N/A</v>
      </c>
    </row>
    <row r="832">
      <c r="B832" s="63" t="str">
        <f>VLOOKUP(A832,'Class Def. - General Data'!C:C,1,FALSE)</f>
        <v>#N/A</v>
      </c>
    </row>
    <row r="833">
      <c r="B833" s="63" t="str">
        <f>VLOOKUP(A833,'Class Def. - General Data'!C:C,1,FALSE)</f>
        <v>#N/A</v>
      </c>
    </row>
    <row r="834">
      <c r="B834" s="63" t="str">
        <f>VLOOKUP(A834,'Class Def. - General Data'!C:C,1,FALSE)</f>
        <v>#N/A</v>
      </c>
    </row>
    <row r="835">
      <c r="B835" s="63" t="str">
        <f>VLOOKUP(A835,'Class Def. - General Data'!C:C,1,FALSE)</f>
        <v>#N/A</v>
      </c>
    </row>
    <row r="836">
      <c r="B836" s="63" t="str">
        <f>VLOOKUP(A836,'Class Def. - General Data'!C:C,1,FALSE)</f>
        <v>#N/A</v>
      </c>
    </row>
    <row r="837">
      <c r="B837" s="63" t="str">
        <f>VLOOKUP(A837,'Class Def. - General Data'!C:C,1,FALSE)</f>
        <v>#N/A</v>
      </c>
    </row>
    <row r="838">
      <c r="B838" s="63" t="str">
        <f>VLOOKUP(A838,'Class Def. - General Data'!C:C,1,FALSE)</f>
        <v>#N/A</v>
      </c>
    </row>
    <row r="839">
      <c r="B839" s="63" t="str">
        <f>VLOOKUP(A839,'Class Def. - General Data'!C:C,1,FALSE)</f>
        <v>#N/A</v>
      </c>
    </row>
    <row r="840">
      <c r="B840" s="63" t="str">
        <f>VLOOKUP(A840,'Class Def. - General Data'!C:C,1,FALSE)</f>
        <v>#N/A</v>
      </c>
    </row>
    <row r="841">
      <c r="B841" s="63" t="str">
        <f>VLOOKUP(A841,'Class Def. - General Data'!C:C,1,FALSE)</f>
        <v>#N/A</v>
      </c>
    </row>
    <row r="842">
      <c r="B842" s="63" t="str">
        <f>VLOOKUP(A842,'Class Def. - General Data'!C:C,1,FALSE)</f>
        <v>#N/A</v>
      </c>
    </row>
    <row r="843">
      <c r="B843" s="63" t="str">
        <f>VLOOKUP(A843,'Class Def. - General Data'!C:C,1,FALSE)</f>
        <v>#N/A</v>
      </c>
    </row>
    <row r="844">
      <c r="B844" s="63" t="str">
        <f>VLOOKUP(A844,'Class Def. - General Data'!C:C,1,FALSE)</f>
        <v>#N/A</v>
      </c>
    </row>
    <row r="845">
      <c r="B845" s="63" t="str">
        <f>VLOOKUP(A845,'Class Def. - General Data'!C:C,1,FALSE)</f>
        <v>#N/A</v>
      </c>
    </row>
    <row r="846">
      <c r="B846" s="63" t="str">
        <f>VLOOKUP(A846,'Class Def. - General Data'!C:C,1,FALSE)</f>
        <v>#N/A</v>
      </c>
    </row>
    <row r="847">
      <c r="B847" s="63" t="str">
        <f>VLOOKUP(A847,'Class Def. - General Data'!C:C,1,FALSE)</f>
        <v>#N/A</v>
      </c>
    </row>
    <row r="848">
      <c r="B848" s="63" t="str">
        <f>VLOOKUP(A848,'Class Def. - General Data'!C:C,1,FALSE)</f>
        <v>#N/A</v>
      </c>
    </row>
    <row r="849">
      <c r="B849" s="63" t="str">
        <f>VLOOKUP(A849,'Class Def. - General Data'!C:C,1,FALSE)</f>
        <v>#N/A</v>
      </c>
    </row>
    <row r="850">
      <c r="B850" s="63" t="str">
        <f>VLOOKUP(A850,'Class Def. - General Data'!C:C,1,FALSE)</f>
        <v>#N/A</v>
      </c>
    </row>
    <row r="851">
      <c r="B851" s="63" t="str">
        <f>VLOOKUP(A851,'Class Def. - General Data'!C:C,1,FALSE)</f>
        <v>#N/A</v>
      </c>
    </row>
    <row r="852">
      <c r="B852" s="63" t="str">
        <f>VLOOKUP(A852,'Class Def. - General Data'!C:C,1,FALSE)</f>
        <v>#N/A</v>
      </c>
    </row>
    <row r="853">
      <c r="B853" s="63" t="str">
        <f>VLOOKUP(A853,'Class Def. - General Data'!C:C,1,FALSE)</f>
        <v>#N/A</v>
      </c>
    </row>
    <row r="854">
      <c r="B854" s="63" t="str">
        <f>VLOOKUP(A854,'Class Def. - General Data'!C:C,1,FALSE)</f>
        <v>#N/A</v>
      </c>
    </row>
    <row r="855">
      <c r="B855" s="63" t="str">
        <f>VLOOKUP(A855,'Class Def. - General Data'!C:C,1,FALSE)</f>
        <v>#N/A</v>
      </c>
    </row>
    <row r="856">
      <c r="B856" s="63" t="str">
        <f>VLOOKUP(A856,'Class Def. - General Data'!C:C,1,FALSE)</f>
        <v>#N/A</v>
      </c>
    </row>
    <row r="857">
      <c r="B857" s="63" t="str">
        <f>VLOOKUP(A857,'Class Def. - General Data'!C:C,1,FALSE)</f>
        <v>#N/A</v>
      </c>
    </row>
    <row r="858">
      <c r="B858" s="63" t="str">
        <f>VLOOKUP(A858,'Class Def. - General Data'!C:C,1,FALSE)</f>
        <v>#N/A</v>
      </c>
    </row>
    <row r="859">
      <c r="B859" s="63" t="str">
        <f>VLOOKUP(A859,'Class Def. - General Data'!C:C,1,FALSE)</f>
        <v>#N/A</v>
      </c>
    </row>
    <row r="860">
      <c r="B860" s="63" t="str">
        <f>VLOOKUP(A860,'Class Def. - General Data'!C:C,1,FALSE)</f>
        <v>#N/A</v>
      </c>
    </row>
    <row r="861">
      <c r="B861" s="63" t="str">
        <f>VLOOKUP(A861,'Class Def. - General Data'!C:C,1,FALSE)</f>
        <v>#N/A</v>
      </c>
    </row>
    <row r="862">
      <c r="B862" s="63" t="str">
        <f>VLOOKUP(A862,'Class Def. - General Data'!C:C,1,FALSE)</f>
        <v>#N/A</v>
      </c>
    </row>
    <row r="863">
      <c r="B863" s="63" t="str">
        <f>VLOOKUP(A863,'Class Def. - General Data'!C:C,1,FALSE)</f>
        <v>#N/A</v>
      </c>
    </row>
    <row r="864">
      <c r="B864" s="63" t="str">
        <f>VLOOKUP(A864,'Class Def. - General Data'!C:C,1,FALSE)</f>
        <v>#N/A</v>
      </c>
    </row>
    <row r="865">
      <c r="B865" s="63" t="str">
        <f>VLOOKUP(A865,'Class Def. - General Data'!C:C,1,FALSE)</f>
        <v>#N/A</v>
      </c>
    </row>
    <row r="866">
      <c r="B866" s="63" t="str">
        <f>VLOOKUP(A866,'Class Def. - General Data'!C:C,1,FALSE)</f>
        <v>#N/A</v>
      </c>
    </row>
    <row r="867">
      <c r="B867" s="63" t="str">
        <f>VLOOKUP(A867,'Class Def. - General Data'!C:C,1,FALSE)</f>
        <v>#N/A</v>
      </c>
    </row>
    <row r="868">
      <c r="B868" s="63" t="str">
        <f>VLOOKUP(A868,'Class Def. - General Data'!C:C,1,FALSE)</f>
        <v>#N/A</v>
      </c>
    </row>
    <row r="869">
      <c r="B869" s="63" t="str">
        <f>VLOOKUP(A869,'Class Def. - General Data'!C:C,1,FALSE)</f>
        <v>#N/A</v>
      </c>
    </row>
    <row r="870">
      <c r="B870" s="63" t="str">
        <f>VLOOKUP(A870,'Class Def. - General Data'!C:C,1,FALSE)</f>
        <v>#N/A</v>
      </c>
    </row>
    <row r="871">
      <c r="B871" s="63" t="str">
        <f>VLOOKUP(A871,'Class Def. - General Data'!C:C,1,FALSE)</f>
        <v>#N/A</v>
      </c>
    </row>
    <row r="872">
      <c r="B872" s="63" t="str">
        <f>VLOOKUP(A872,'Class Def. - General Data'!C:C,1,FALSE)</f>
        <v>#N/A</v>
      </c>
    </row>
    <row r="873">
      <c r="B873" s="63" t="str">
        <f>VLOOKUP(A873,'Class Def. - General Data'!C:C,1,FALSE)</f>
        <v>#N/A</v>
      </c>
    </row>
    <row r="874">
      <c r="B874" s="63" t="str">
        <f>VLOOKUP(A874,'Class Def. - General Data'!C:C,1,FALSE)</f>
        <v>#N/A</v>
      </c>
    </row>
    <row r="875">
      <c r="B875" s="63" t="str">
        <f>VLOOKUP(A875,'Class Def. - General Data'!C:C,1,FALSE)</f>
        <v>#N/A</v>
      </c>
    </row>
    <row r="876">
      <c r="B876" s="63" t="str">
        <f>VLOOKUP(A876,'Class Def. - General Data'!C:C,1,FALSE)</f>
        <v>#N/A</v>
      </c>
    </row>
    <row r="877">
      <c r="B877" s="63" t="str">
        <f>VLOOKUP(A877,'Class Def. - General Data'!C:C,1,FALSE)</f>
        <v>#N/A</v>
      </c>
    </row>
    <row r="878">
      <c r="B878" s="63" t="str">
        <f>VLOOKUP(A878,'Class Def. - General Data'!C:C,1,FALSE)</f>
        <v>#N/A</v>
      </c>
    </row>
    <row r="879">
      <c r="B879" s="63" t="str">
        <f>VLOOKUP(A879,'Class Def. - General Data'!C:C,1,FALSE)</f>
        <v>#N/A</v>
      </c>
    </row>
    <row r="880">
      <c r="B880" s="63" t="str">
        <f>VLOOKUP(A880,'Class Def. - General Data'!C:C,1,FALSE)</f>
        <v>#N/A</v>
      </c>
    </row>
    <row r="881">
      <c r="B881" s="63" t="str">
        <f>VLOOKUP(A881,'Class Def. - General Data'!C:C,1,FALSE)</f>
        <v>#N/A</v>
      </c>
    </row>
    <row r="882">
      <c r="B882" s="63" t="str">
        <f>VLOOKUP(A882,'Class Def. - General Data'!C:C,1,FALSE)</f>
        <v>#N/A</v>
      </c>
    </row>
    <row r="883">
      <c r="B883" s="63" t="str">
        <f>VLOOKUP(A883,'Class Def. - General Data'!C:C,1,FALSE)</f>
        <v>#N/A</v>
      </c>
    </row>
    <row r="884">
      <c r="B884" s="63" t="str">
        <f>VLOOKUP(A884,'Class Def. - General Data'!C:C,1,FALSE)</f>
        <v>#N/A</v>
      </c>
    </row>
    <row r="885">
      <c r="B885" s="63" t="str">
        <f>VLOOKUP(A885,'Class Def. - General Data'!C:C,1,FALSE)</f>
        <v>#N/A</v>
      </c>
    </row>
    <row r="886">
      <c r="B886" s="63" t="str">
        <f>VLOOKUP(A886,'Class Def. - General Data'!C:C,1,FALSE)</f>
        <v>#N/A</v>
      </c>
    </row>
    <row r="887">
      <c r="B887" s="63" t="str">
        <f>VLOOKUP(A887,'Class Def. - General Data'!C:C,1,FALSE)</f>
        <v>#N/A</v>
      </c>
    </row>
    <row r="888">
      <c r="B888" s="63" t="str">
        <f>VLOOKUP(A888,'Class Def. - General Data'!C:C,1,FALSE)</f>
        <v>#N/A</v>
      </c>
    </row>
    <row r="889">
      <c r="B889" s="63" t="str">
        <f>VLOOKUP(A889,'Class Def. - General Data'!C:C,1,FALSE)</f>
        <v>#N/A</v>
      </c>
    </row>
    <row r="890">
      <c r="B890" s="63" t="str">
        <f>VLOOKUP(A890,'Class Def. - General Data'!C:C,1,FALSE)</f>
        <v>#N/A</v>
      </c>
    </row>
    <row r="891">
      <c r="B891" s="63" t="str">
        <f>VLOOKUP(A891,'Class Def. - General Data'!C:C,1,FALSE)</f>
        <v>#N/A</v>
      </c>
    </row>
    <row r="892">
      <c r="B892" s="63" t="str">
        <f>VLOOKUP(A892,'Class Def. - General Data'!C:C,1,FALSE)</f>
        <v>#N/A</v>
      </c>
    </row>
    <row r="893">
      <c r="B893" s="63" t="str">
        <f>VLOOKUP(A893,'Class Def. - General Data'!C:C,1,FALSE)</f>
        <v>#N/A</v>
      </c>
    </row>
    <row r="894">
      <c r="B894" s="63" t="str">
        <f>VLOOKUP(A894,'Class Def. - General Data'!C:C,1,FALSE)</f>
        <v>#N/A</v>
      </c>
    </row>
    <row r="895">
      <c r="B895" s="63" t="str">
        <f>VLOOKUP(A895,'Class Def. - General Data'!C:C,1,FALSE)</f>
        <v>#N/A</v>
      </c>
    </row>
    <row r="896">
      <c r="B896" s="63" t="str">
        <f>VLOOKUP(A896,'Class Def. - General Data'!C:C,1,FALSE)</f>
        <v>#N/A</v>
      </c>
    </row>
    <row r="897">
      <c r="B897" s="63" t="str">
        <f>VLOOKUP(A897,'Class Def. - General Data'!C:C,1,FALSE)</f>
        <v>#N/A</v>
      </c>
    </row>
    <row r="898">
      <c r="B898" s="63" t="str">
        <f>VLOOKUP(A898,'Class Def. - General Data'!C:C,1,FALSE)</f>
        <v>#N/A</v>
      </c>
    </row>
    <row r="899">
      <c r="B899" s="63" t="str">
        <f>VLOOKUP(A899,'Class Def. - General Data'!C:C,1,FALSE)</f>
        <v>#N/A</v>
      </c>
    </row>
    <row r="900">
      <c r="B900" s="63" t="str">
        <f>VLOOKUP(A900,'Class Def. - General Data'!C:C,1,FALSE)</f>
        <v>#N/A</v>
      </c>
    </row>
    <row r="901">
      <c r="B901" s="63" t="str">
        <f>VLOOKUP(A901,'Class Def. - General Data'!C:C,1,FALSE)</f>
        <v>#N/A</v>
      </c>
    </row>
    <row r="902">
      <c r="B902" s="63" t="str">
        <f>VLOOKUP(A902,'Class Def. - General Data'!C:C,1,FALSE)</f>
        <v>#N/A</v>
      </c>
    </row>
    <row r="903">
      <c r="B903" s="63" t="str">
        <f>VLOOKUP(A903,'Class Def. - General Data'!C:C,1,FALSE)</f>
        <v>#N/A</v>
      </c>
    </row>
    <row r="904">
      <c r="B904" s="63" t="str">
        <f>VLOOKUP(A904,'Class Def. - General Data'!C:C,1,FALSE)</f>
        <v>#N/A</v>
      </c>
    </row>
    <row r="905">
      <c r="B905" s="63" t="str">
        <f>VLOOKUP(A905,'Class Def. - General Data'!C:C,1,FALSE)</f>
        <v>#N/A</v>
      </c>
    </row>
    <row r="906">
      <c r="B906" s="63" t="str">
        <f>VLOOKUP(A906,'Class Def. - General Data'!C:C,1,FALSE)</f>
        <v>#N/A</v>
      </c>
    </row>
    <row r="907">
      <c r="B907" s="63" t="str">
        <f>VLOOKUP(A907,'Class Def. - General Data'!C:C,1,FALSE)</f>
        <v>#N/A</v>
      </c>
    </row>
    <row r="908">
      <c r="B908" s="63" t="str">
        <f>VLOOKUP(A908,'Class Def. - General Data'!C:C,1,FALSE)</f>
        <v>#N/A</v>
      </c>
    </row>
    <row r="909">
      <c r="B909" s="63" t="str">
        <f>VLOOKUP(A909,'Class Def. - General Data'!C:C,1,FALSE)</f>
        <v>#N/A</v>
      </c>
    </row>
    <row r="910">
      <c r="B910" s="63" t="str">
        <f>VLOOKUP(A910,'Class Def. - General Data'!C:C,1,FALSE)</f>
        <v>#N/A</v>
      </c>
    </row>
    <row r="911">
      <c r="B911" s="63" t="str">
        <f>VLOOKUP(A911,'Class Def. - General Data'!C:C,1,FALSE)</f>
        <v>#N/A</v>
      </c>
    </row>
    <row r="912">
      <c r="B912" s="63" t="str">
        <f>VLOOKUP(A912,'Class Def. - General Data'!C:C,1,FALSE)</f>
        <v>#N/A</v>
      </c>
    </row>
    <row r="913">
      <c r="B913" s="63" t="str">
        <f>VLOOKUP(A913,'Class Def. - General Data'!C:C,1,FALSE)</f>
        <v>#N/A</v>
      </c>
    </row>
    <row r="914">
      <c r="B914" s="63" t="str">
        <f>VLOOKUP(A914,'Class Def. - General Data'!C:C,1,FALSE)</f>
        <v>#N/A</v>
      </c>
    </row>
    <row r="915">
      <c r="B915" s="63" t="str">
        <f>VLOOKUP(A915,'Class Def. - General Data'!C:C,1,FALSE)</f>
        <v>#N/A</v>
      </c>
    </row>
    <row r="916">
      <c r="B916" s="63" t="str">
        <f>VLOOKUP(A916,'Class Def. - General Data'!C:C,1,FALSE)</f>
        <v>#N/A</v>
      </c>
    </row>
    <row r="917">
      <c r="B917" s="63" t="str">
        <f>VLOOKUP(A917,'Class Def. - General Data'!C:C,1,FALSE)</f>
        <v>#N/A</v>
      </c>
    </row>
    <row r="918">
      <c r="B918" s="63" t="str">
        <f>VLOOKUP(A918,'Class Def. - General Data'!C:C,1,FALSE)</f>
        <v>#N/A</v>
      </c>
    </row>
    <row r="919">
      <c r="B919" s="63" t="str">
        <f>VLOOKUP(A919,'Class Def. - General Data'!C:C,1,FALSE)</f>
        <v>#N/A</v>
      </c>
    </row>
    <row r="920">
      <c r="B920" s="63" t="str">
        <f>VLOOKUP(A920,'Class Def. - General Data'!C:C,1,FALSE)</f>
        <v>#N/A</v>
      </c>
    </row>
    <row r="921">
      <c r="B921" s="63" t="str">
        <f>VLOOKUP(A921,'Class Def. - General Data'!C:C,1,FALSE)</f>
        <v>#N/A</v>
      </c>
    </row>
    <row r="922">
      <c r="B922" s="63" t="str">
        <f>VLOOKUP(A922,'Class Def. - General Data'!C:C,1,FALSE)</f>
        <v>#N/A</v>
      </c>
    </row>
    <row r="923">
      <c r="B923" s="63" t="str">
        <f>VLOOKUP(A923,'Class Def. - General Data'!C:C,1,FALSE)</f>
        <v>#N/A</v>
      </c>
    </row>
    <row r="924">
      <c r="B924" s="63" t="str">
        <f>VLOOKUP(A924,'Class Def. - General Data'!C:C,1,FALSE)</f>
        <v>#N/A</v>
      </c>
    </row>
    <row r="925">
      <c r="B925" s="63" t="str">
        <f>VLOOKUP(A925,'Class Def. - General Data'!C:C,1,FALSE)</f>
        <v>#N/A</v>
      </c>
    </row>
    <row r="926">
      <c r="B926" s="63" t="str">
        <f>VLOOKUP(A926,'Class Def. - General Data'!C:C,1,FALSE)</f>
        <v>#N/A</v>
      </c>
    </row>
    <row r="927">
      <c r="B927" s="63" t="str">
        <f>VLOOKUP(A927,'Class Def. - General Data'!C:C,1,FALSE)</f>
        <v>#N/A</v>
      </c>
    </row>
    <row r="928">
      <c r="B928" s="63" t="str">
        <f>VLOOKUP(A928,'Class Def. - General Data'!C:C,1,FALSE)</f>
        <v>#N/A</v>
      </c>
    </row>
    <row r="929">
      <c r="B929" s="63" t="str">
        <f>VLOOKUP(A929,'Class Def. - General Data'!C:C,1,FALSE)</f>
        <v>#N/A</v>
      </c>
    </row>
    <row r="930">
      <c r="B930" s="63" t="str">
        <f>VLOOKUP(A930,'Class Def. - General Data'!C:C,1,FALSE)</f>
        <v>#N/A</v>
      </c>
    </row>
    <row r="931">
      <c r="B931" s="63" t="str">
        <f>VLOOKUP(A931,'Class Def. - General Data'!C:C,1,FALSE)</f>
        <v>#N/A</v>
      </c>
    </row>
    <row r="932">
      <c r="B932" s="63" t="str">
        <f>VLOOKUP(A932,'Class Def. - General Data'!C:C,1,FALSE)</f>
        <v>#N/A</v>
      </c>
    </row>
    <row r="933">
      <c r="B933" s="63" t="str">
        <f>VLOOKUP(A933,'Class Def. - General Data'!C:C,1,FALSE)</f>
        <v>#N/A</v>
      </c>
    </row>
    <row r="934">
      <c r="B934" s="63" t="str">
        <f>VLOOKUP(A934,'Class Def. - General Data'!C:C,1,FALSE)</f>
        <v>#N/A</v>
      </c>
    </row>
    <row r="935">
      <c r="B935" s="63" t="str">
        <f>VLOOKUP(A935,'Class Def. - General Data'!C:C,1,FALSE)</f>
        <v>#N/A</v>
      </c>
    </row>
    <row r="936">
      <c r="B936" s="63" t="str">
        <f>VLOOKUP(A936,'Class Def. - General Data'!C:C,1,FALSE)</f>
        <v>#N/A</v>
      </c>
    </row>
    <row r="937">
      <c r="B937" s="63" t="str">
        <f>VLOOKUP(A937,'Class Def. - General Data'!C:C,1,FALSE)</f>
        <v>#N/A</v>
      </c>
    </row>
    <row r="938">
      <c r="B938" s="63" t="str">
        <f>VLOOKUP(A938,'Class Def. - General Data'!C:C,1,FALSE)</f>
        <v>#N/A</v>
      </c>
    </row>
    <row r="939">
      <c r="B939" s="63" t="str">
        <f>VLOOKUP(A939,'Class Def. - General Data'!C:C,1,FALSE)</f>
        <v>#N/A</v>
      </c>
    </row>
    <row r="940">
      <c r="B940" s="63" t="str">
        <f>VLOOKUP(A940,'Class Def. - General Data'!C:C,1,FALSE)</f>
        <v>#N/A</v>
      </c>
    </row>
    <row r="941">
      <c r="B941" s="63" t="str">
        <f>VLOOKUP(A941,'Class Def. - General Data'!C:C,1,FALSE)</f>
        <v>#N/A</v>
      </c>
    </row>
    <row r="942">
      <c r="B942" s="63" t="str">
        <f>VLOOKUP(A942,'Class Def. - General Data'!C:C,1,FALSE)</f>
        <v>#N/A</v>
      </c>
    </row>
    <row r="943">
      <c r="B943" s="63" t="str">
        <f>VLOOKUP(A943,'Class Def. - General Data'!C:C,1,FALSE)</f>
        <v>#N/A</v>
      </c>
    </row>
    <row r="944">
      <c r="B944" s="63" t="str">
        <f>VLOOKUP(A944,'Class Def. - General Data'!C:C,1,FALSE)</f>
        <v>#N/A</v>
      </c>
    </row>
    <row r="945">
      <c r="B945" s="63" t="str">
        <f>VLOOKUP(A945,'Class Def. - General Data'!C:C,1,FALSE)</f>
        <v>#N/A</v>
      </c>
    </row>
    <row r="946">
      <c r="B946" s="63" t="str">
        <f>VLOOKUP(A946,'Class Def. - General Data'!C:C,1,FALSE)</f>
        <v>#N/A</v>
      </c>
    </row>
    <row r="947">
      <c r="B947" s="63" t="str">
        <f>VLOOKUP(A947,'Class Def. - General Data'!C:C,1,FALSE)</f>
        <v>#N/A</v>
      </c>
    </row>
    <row r="948">
      <c r="B948" s="63" t="str">
        <f>VLOOKUP(A948,'Class Def. - General Data'!C:C,1,FALSE)</f>
        <v>#N/A</v>
      </c>
    </row>
    <row r="949">
      <c r="B949" s="63" t="str">
        <f>VLOOKUP(A949,'Class Def. - General Data'!C:C,1,FALSE)</f>
        <v>#N/A</v>
      </c>
    </row>
    <row r="950">
      <c r="B950" s="63" t="str">
        <f>VLOOKUP(A950,'Class Def. - General Data'!C:C,1,FALSE)</f>
        <v>#N/A</v>
      </c>
    </row>
    <row r="951">
      <c r="B951" s="63" t="str">
        <f>VLOOKUP(A951,'Class Def. - General Data'!C:C,1,FALSE)</f>
        <v>#N/A</v>
      </c>
    </row>
    <row r="952">
      <c r="B952" s="63" t="str">
        <f>VLOOKUP(A952,'Class Def. - General Data'!C:C,1,FALSE)</f>
        <v>#N/A</v>
      </c>
    </row>
    <row r="953">
      <c r="B953" s="63" t="str">
        <f>VLOOKUP(A953,'Class Def. - General Data'!C:C,1,FALSE)</f>
        <v>#N/A</v>
      </c>
    </row>
    <row r="954">
      <c r="B954" s="63" t="str">
        <f>VLOOKUP(A954,'Class Def. - General Data'!C:C,1,FALSE)</f>
        <v>#N/A</v>
      </c>
    </row>
    <row r="955">
      <c r="B955" s="63" t="str">
        <f>VLOOKUP(A955,'Class Def. - General Data'!C:C,1,FALSE)</f>
        <v>#N/A</v>
      </c>
    </row>
    <row r="956">
      <c r="B956" s="63" t="str">
        <f>VLOOKUP(A956,'Class Def. - General Data'!C:C,1,FALSE)</f>
        <v>#N/A</v>
      </c>
    </row>
    <row r="957">
      <c r="B957" s="63" t="str">
        <f>VLOOKUP(A957,'Class Def. - General Data'!C:C,1,FALSE)</f>
        <v>#N/A</v>
      </c>
    </row>
    <row r="958">
      <c r="B958" s="63" t="str">
        <f>VLOOKUP(A958,'Class Def. - General Data'!C:C,1,FALSE)</f>
        <v>#N/A</v>
      </c>
    </row>
    <row r="959">
      <c r="B959" s="63" t="str">
        <f>VLOOKUP(A959,'Class Def. - General Data'!C:C,1,FALSE)</f>
        <v>#N/A</v>
      </c>
    </row>
    <row r="960">
      <c r="B960" s="63" t="str">
        <f>VLOOKUP(A960,'Class Def. - General Data'!C:C,1,FALSE)</f>
        <v>#N/A</v>
      </c>
    </row>
    <row r="961">
      <c r="B961" s="63" t="str">
        <f>VLOOKUP(A961,'Class Def. - General Data'!C:C,1,FALSE)</f>
        <v>#N/A</v>
      </c>
    </row>
    <row r="962">
      <c r="B962" s="63" t="str">
        <f>VLOOKUP(A962,'Class Def. - General Data'!C:C,1,FALSE)</f>
        <v>#N/A</v>
      </c>
    </row>
    <row r="963">
      <c r="B963" s="63" t="str">
        <f>VLOOKUP(A963,'Class Def. - General Data'!C:C,1,FALSE)</f>
        <v>#N/A</v>
      </c>
    </row>
    <row r="964">
      <c r="B964" s="63" t="str">
        <f>VLOOKUP(A964,'Class Def. - General Data'!C:C,1,FALSE)</f>
        <v>#N/A</v>
      </c>
    </row>
    <row r="965">
      <c r="B965" s="63" t="str">
        <f>VLOOKUP(A965,'Class Def. - General Data'!C:C,1,FALSE)</f>
        <v>#N/A</v>
      </c>
    </row>
    <row r="966">
      <c r="B966" s="63" t="str">
        <f>VLOOKUP(A966,'Class Def. - General Data'!C:C,1,FALSE)</f>
        <v>#N/A</v>
      </c>
    </row>
    <row r="967">
      <c r="B967" s="63" t="str">
        <f>VLOOKUP(A967,'Class Def. - General Data'!C:C,1,FALSE)</f>
        <v>#N/A</v>
      </c>
    </row>
    <row r="968">
      <c r="B968" s="63" t="str">
        <f>VLOOKUP(A968,'Class Def. - General Data'!C:C,1,FALSE)</f>
        <v>#N/A</v>
      </c>
    </row>
    <row r="969">
      <c r="B969" s="63" t="str">
        <f>VLOOKUP(A969,'Class Def. - General Data'!C:C,1,FALSE)</f>
        <v>#N/A</v>
      </c>
    </row>
    <row r="970">
      <c r="B970" s="63" t="str">
        <f>VLOOKUP(A970,'Class Def. - General Data'!C:C,1,FALSE)</f>
        <v>#N/A</v>
      </c>
    </row>
    <row r="971">
      <c r="B971" s="63" t="str">
        <f>VLOOKUP(A971,'Class Def. - General Data'!C:C,1,FALSE)</f>
        <v>#N/A</v>
      </c>
    </row>
    <row r="972">
      <c r="B972" s="63" t="str">
        <f>VLOOKUP(A972,'Class Def. - General Data'!C:C,1,FALSE)</f>
        <v>#N/A</v>
      </c>
    </row>
    <row r="973">
      <c r="B973" s="63" t="str">
        <f>VLOOKUP(A973,'Class Def. - General Data'!C:C,1,FALSE)</f>
        <v>#N/A</v>
      </c>
    </row>
    <row r="974">
      <c r="B974" s="63" t="str">
        <f>VLOOKUP(A974,'Class Def. - General Data'!C:C,1,FALSE)</f>
        <v>#N/A</v>
      </c>
    </row>
    <row r="975">
      <c r="B975" s="63" t="str">
        <f>VLOOKUP(A975,'Class Def. - General Data'!C:C,1,FALSE)</f>
        <v>#N/A</v>
      </c>
    </row>
    <row r="976">
      <c r="B976" s="63" t="str">
        <f>VLOOKUP(A976,'Class Def. - General Data'!C:C,1,FALSE)</f>
        <v>#N/A</v>
      </c>
    </row>
    <row r="977">
      <c r="B977" s="63" t="str">
        <f>VLOOKUP(A977,'Class Def. - General Data'!C:C,1,FALSE)</f>
        <v>#N/A</v>
      </c>
    </row>
    <row r="978">
      <c r="B978" s="63" t="str">
        <f>VLOOKUP(A978,'Class Def. - General Data'!C:C,1,FALSE)</f>
        <v>#N/A</v>
      </c>
    </row>
    <row r="979">
      <c r="B979" s="63" t="str">
        <f>VLOOKUP(A979,'Class Def. - General Data'!C:C,1,FALSE)</f>
        <v>#N/A</v>
      </c>
    </row>
    <row r="980">
      <c r="B980" s="63" t="str">
        <f>VLOOKUP(A980,'Class Def. - General Data'!C:C,1,FALSE)</f>
        <v>#N/A</v>
      </c>
    </row>
    <row r="981">
      <c r="B981" s="63" t="str">
        <f>VLOOKUP(A981,'Class Def. - General Data'!C:C,1,FALSE)</f>
        <v>#N/A</v>
      </c>
    </row>
    <row r="982">
      <c r="B982" s="63" t="str">
        <f>VLOOKUP(A982,'Class Def. - General Data'!C:C,1,FALSE)</f>
        <v>#N/A</v>
      </c>
    </row>
    <row r="983">
      <c r="B983" s="63" t="str">
        <f>VLOOKUP(A983,'Class Def. - General Data'!C:C,1,FALSE)</f>
        <v>#N/A</v>
      </c>
    </row>
    <row r="984">
      <c r="B984" s="63" t="str">
        <f>VLOOKUP(A984,'Class Def. - General Data'!C:C,1,FALSE)</f>
        <v>#N/A</v>
      </c>
    </row>
    <row r="985">
      <c r="B985" s="63" t="str">
        <f>VLOOKUP(A985,'Class Def. - General Data'!C:C,1,FALSE)</f>
        <v>#N/A</v>
      </c>
    </row>
    <row r="986">
      <c r="B986" s="63" t="str">
        <f>VLOOKUP(A986,'Class Def. - General Data'!C:C,1,FALSE)</f>
        <v>#N/A</v>
      </c>
    </row>
    <row r="987">
      <c r="B987" s="63" t="str">
        <f>VLOOKUP(A987,'Class Def. - General Data'!C:C,1,FALSE)</f>
        <v>#N/A</v>
      </c>
    </row>
    <row r="988">
      <c r="B988" s="63" t="str">
        <f>VLOOKUP(A988,'Class Def. - General Data'!C:C,1,FALSE)</f>
        <v>#N/A</v>
      </c>
    </row>
    <row r="989">
      <c r="B989" s="63" t="str">
        <f>VLOOKUP(A989,'Class Def. - General Data'!C:C,1,FALSE)</f>
        <v>#N/A</v>
      </c>
    </row>
    <row r="990">
      <c r="B990" s="63" t="str">
        <f>VLOOKUP(A990,'Class Def. - General Data'!C:C,1,FALSE)</f>
        <v>#N/A</v>
      </c>
    </row>
    <row r="991">
      <c r="B991" s="63" t="str">
        <f>VLOOKUP(A991,'Class Def. - General Data'!C:C,1,FALSE)</f>
        <v>#N/A</v>
      </c>
    </row>
    <row r="992">
      <c r="B992" s="63" t="str">
        <f>VLOOKUP(A992,'Class Def. - General Data'!C:C,1,FALSE)</f>
        <v>#N/A</v>
      </c>
    </row>
    <row r="993">
      <c r="B993" s="63" t="str">
        <f>VLOOKUP(A993,'Class Def. - General Data'!C:C,1,FALSE)</f>
        <v>#N/A</v>
      </c>
    </row>
    <row r="994">
      <c r="B994" s="63" t="str">
        <f>VLOOKUP(A994,'Class Def. - General Data'!C:C,1,FALSE)</f>
        <v>#N/A</v>
      </c>
    </row>
    <row r="995">
      <c r="B995" s="63" t="str">
        <f>VLOOKUP(A995,'Class Def. - General Data'!C:C,1,FALSE)</f>
        <v>#N/A</v>
      </c>
    </row>
    <row r="996">
      <c r="B996" s="63" t="str">
        <f>VLOOKUP(A996,'Class Def. - General Data'!C:C,1,FALSE)</f>
        <v>#N/A</v>
      </c>
    </row>
    <row r="997">
      <c r="B997" s="63" t="str">
        <f>VLOOKUP(A997,'Class Def. - General Data'!C:C,1,FALSE)</f>
        <v>#N/A</v>
      </c>
    </row>
    <row r="998">
      <c r="B998" s="63" t="str">
        <f>VLOOKUP(A998,'Class Def. - General Data'!C:C,1,FALSE)</f>
        <v>#N/A</v>
      </c>
    </row>
    <row r="999">
      <c r="B999" s="63" t="str">
        <f>VLOOKUP(A999,'Class Def. - General Data'!C:C,1,FALSE)</f>
        <v>#N/A</v>
      </c>
    </row>
    <row r="1000">
      <c r="B1000" s="63" t="str">
        <f>VLOOKUP(A1000,'Class Def. - General Data'!C:C,1,FALSE)</f>
        <v>#N/A</v>
      </c>
    </row>
    <row r="1001">
      <c r="B1001" s="63" t="str">
        <f>VLOOKUP(A1001,'Class Def. - General Data'!C:C,1,FALSE)</f>
        <v>#N/A</v>
      </c>
    </row>
    <row r="1002">
      <c r="B1002" s="63" t="str">
        <f>VLOOKUP(A1002,'Class Def. - General Data'!C:C,1,FALSE)</f>
        <v>#N/A</v>
      </c>
    </row>
    <row r="1003">
      <c r="B1003" s="63" t="str">
        <f>VLOOKUP(A1003,'Class Def. - General Data'!C:C,1,FALSE)</f>
        <v>#N/A</v>
      </c>
    </row>
    <row r="1004">
      <c r="B1004" s="63" t="str">
        <f>VLOOKUP(A1004,'Class Def. - General Data'!C:C,1,FALSE)</f>
        <v>#N/A</v>
      </c>
    </row>
    <row r="1005">
      <c r="B1005" s="63" t="str">
        <f>VLOOKUP(A1005,'Class Def. - General Data'!C:C,1,FALSE)</f>
        <v>#N/A</v>
      </c>
    </row>
    <row r="1006">
      <c r="B1006" s="63" t="str">
        <f>VLOOKUP(A1006,'Class Def. - General Data'!C:C,1,FALSE)</f>
        <v>#N/A</v>
      </c>
    </row>
    <row r="1007">
      <c r="B1007" s="63" t="str">
        <f>VLOOKUP(A1007,'Class Def. - General Data'!C:C,1,FALSE)</f>
        <v>#N/A</v>
      </c>
    </row>
    <row r="1008">
      <c r="B1008" s="63" t="str">
        <f>VLOOKUP(A1008,'Class Def. - General Data'!C:C,1,FALSE)</f>
        <v>#N/A</v>
      </c>
    </row>
    <row r="1009">
      <c r="B1009" s="63" t="str">
        <f>VLOOKUP(A1009,'Class Def. - General Data'!C:C,1,FALSE)</f>
        <v>#N/A</v>
      </c>
    </row>
    <row r="1010">
      <c r="B1010" s="63" t="str">
        <f>VLOOKUP(A1010,'Class Def. - General Data'!C:C,1,FALSE)</f>
        <v>#N/A</v>
      </c>
    </row>
    <row r="1011">
      <c r="B1011" s="63" t="str">
        <f>VLOOKUP(A1011,'Class Def. - General Data'!C:C,1,FALSE)</f>
        <v>#N/A</v>
      </c>
    </row>
    <row r="1012">
      <c r="B1012" s="63" t="str">
        <f>VLOOKUP(A1012,'Class Def. - General Data'!C:C,1,FALSE)</f>
        <v>#N/A</v>
      </c>
    </row>
    <row r="1013">
      <c r="B1013" s="63" t="str">
        <f>VLOOKUP(A1013,'Class Def. - General Data'!C:C,1,FALSE)</f>
        <v>#N/A</v>
      </c>
    </row>
    <row r="1014">
      <c r="B1014" s="63" t="str">
        <f>VLOOKUP(A1014,'Class Def. - General Data'!C:C,1,FALSE)</f>
        <v>#N/A</v>
      </c>
    </row>
    <row r="1015">
      <c r="B1015" s="63" t="str">
        <f>VLOOKUP(A1015,'Class Def. - General Data'!C:C,1,FALSE)</f>
        <v>#N/A</v>
      </c>
    </row>
    <row r="1016">
      <c r="B1016" s="63" t="str">
        <f>VLOOKUP(A1016,'Class Def. - General Data'!C:C,1,FALSE)</f>
        <v>#N/A</v>
      </c>
    </row>
  </sheetData>
  <autoFilter ref="$A$1:$Z$1016"/>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6" width="14.43"/>
  </cols>
  <sheetData>
    <row r="1">
      <c r="A1" s="169" t="s">
        <v>5763</v>
      </c>
      <c r="B1" s="169" t="s">
        <v>1</v>
      </c>
      <c r="C1" s="169" t="s">
        <v>1</v>
      </c>
      <c r="D1" s="169" t="s">
        <v>1</v>
      </c>
      <c r="E1" s="169" t="s">
        <v>5764</v>
      </c>
      <c r="F1" s="169" t="s">
        <v>1</v>
      </c>
      <c r="G1" s="169" t="s">
        <v>1</v>
      </c>
      <c r="H1" s="169" t="s">
        <v>1</v>
      </c>
      <c r="I1" s="169" t="s">
        <v>5765</v>
      </c>
      <c r="J1" s="169" t="s">
        <v>1</v>
      </c>
      <c r="K1" s="169" t="s">
        <v>1</v>
      </c>
      <c r="L1" s="169" t="s">
        <v>1</v>
      </c>
      <c r="M1" s="169" t="s">
        <v>5766</v>
      </c>
      <c r="N1" s="169" t="s">
        <v>1</v>
      </c>
      <c r="O1" s="169" t="s">
        <v>1</v>
      </c>
      <c r="P1" s="169" t="s">
        <v>1</v>
      </c>
      <c r="Q1" s="169" t="s">
        <v>5767</v>
      </c>
      <c r="R1" s="169" t="s">
        <v>1</v>
      </c>
      <c r="S1" s="169" t="s">
        <v>1</v>
      </c>
      <c r="T1" s="169" t="s">
        <v>1</v>
      </c>
      <c r="U1" s="169" t="s">
        <v>5768</v>
      </c>
      <c r="V1" s="169" t="s">
        <v>1</v>
      </c>
      <c r="W1" s="169" t="s">
        <v>1</v>
      </c>
      <c r="X1" s="169" t="s">
        <v>1</v>
      </c>
      <c r="Y1" s="169" t="s">
        <v>5769</v>
      </c>
      <c r="Z1" s="169" t="s">
        <v>1</v>
      </c>
      <c r="AA1" s="169" t="s">
        <v>1</v>
      </c>
      <c r="AB1" s="169" t="s">
        <v>1</v>
      </c>
      <c r="AC1" s="169" t="s">
        <v>5770</v>
      </c>
      <c r="AD1" s="169" t="s">
        <v>1</v>
      </c>
      <c r="AE1" s="169" t="s">
        <v>1</v>
      </c>
      <c r="AF1" s="169" t="s">
        <v>1</v>
      </c>
      <c r="AG1" s="169" t="s">
        <v>5771</v>
      </c>
      <c r="AH1" s="169" t="s">
        <v>1</v>
      </c>
      <c r="AI1" s="169" t="s">
        <v>1</v>
      </c>
    </row>
    <row r="2">
      <c r="A2" s="170" t="s">
        <v>5763</v>
      </c>
      <c r="B2" s="170" t="s">
        <v>5772</v>
      </c>
      <c r="C2" s="170" t="s">
        <v>5773</v>
      </c>
      <c r="E2" s="170" t="s">
        <v>5764</v>
      </c>
      <c r="F2" s="170" t="s">
        <v>5772</v>
      </c>
      <c r="G2" s="170" t="s">
        <v>5773</v>
      </c>
      <c r="I2" s="170" t="s">
        <v>5765</v>
      </c>
      <c r="J2" s="170" t="s">
        <v>5772</v>
      </c>
      <c r="K2" s="170" t="s">
        <v>5773</v>
      </c>
      <c r="M2" s="170" t="s">
        <v>5766</v>
      </c>
      <c r="N2" s="170" t="s">
        <v>5772</v>
      </c>
      <c r="O2" s="170" t="s">
        <v>5773</v>
      </c>
      <c r="Q2" s="170" t="s">
        <v>5767</v>
      </c>
      <c r="R2" s="170" t="s">
        <v>5772</v>
      </c>
      <c r="S2" s="170" t="s">
        <v>5773</v>
      </c>
      <c r="U2" s="170" t="s">
        <v>5768</v>
      </c>
      <c r="V2" s="170" t="s">
        <v>5772</v>
      </c>
      <c r="W2" s="170" t="s">
        <v>5773</v>
      </c>
      <c r="Y2" s="170" t="s">
        <v>5769</v>
      </c>
      <c r="Z2" s="170" t="s">
        <v>5772</v>
      </c>
      <c r="AA2" s="170" t="s">
        <v>5773</v>
      </c>
      <c r="AC2" s="170" t="s">
        <v>5770</v>
      </c>
      <c r="AD2" s="170" t="s">
        <v>5772</v>
      </c>
      <c r="AE2" s="170" t="s">
        <v>5773</v>
      </c>
      <c r="AG2" s="170" t="s">
        <v>5771</v>
      </c>
      <c r="AH2" s="170" t="s">
        <v>5772</v>
      </c>
      <c r="AI2" s="170" t="s">
        <v>5773</v>
      </c>
    </row>
    <row r="3">
      <c r="A3" s="28">
        <v>0.0</v>
      </c>
      <c r="B3" s="28" t="s">
        <v>5774</v>
      </c>
      <c r="C3" s="28" t="str">
        <f t="shared" ref="C3:C5" si="1">A3 &amp; " - " &amp; B3</f>
        <v>0 - In Preparation</v>
      </c>
      <c r="E3" s="28" t="s">
        <v>5775</v>
      </c>
      <c r="F3" s="28" t="s">
        <v>5776</v>
      </c>
      <c r="G3" s="28" t="str">
        <f t="shared" ref="G3:G8" si="2">E3 &amp; " - " &amp; F3</f>
        <v>CHAR  - Character Forma</v>
      </c>
      <c r="I3" s="28">
        <v>0.0</v>
      </c>
      <c r="J3" s="28" t="s">
        <v>5777</v>
      </c>
      <c r="K3" s="28" t="str">
        <f t="shared" ref="K3:K6" si="3">I3 &amp; " - " &amp; J3</f>
        <v>0 - Display w/o an exponent</v>
      </c>
      <c r="M3" s="28" t="s">
        <v>5778</v>
      </c>
      <c r="N3" s="28" t="s">
        <v>5779</v>
      </c>
      <c r="O3" s="28" t="str">
        <f t="shared" ref="O3:O4" si="4">M3 &amp; " - " &amp; N3</f>
        <v>S - Single Value</v>
      </c>
      <c r="Q3" s="171" t="s">
        <v>5780</v>
      </c>
      <c r="R3" s="171" t="s">
        <v>5780</v>
      </c>
      <c r="S3" s="28" t="str">
        <f t="shared" ref="S3:S410" si="5">Q3&amp;" - "&amp;R3</f>
        <v>% - %</v>
      </c>
      <c r="U3" s="28" t="s">
        <v>5781</v>
      </c>
      <c r="V3" s="28" t="s">
        <v>5782</v>
      </c>
      <c r="W3" s="28" t="str">
        <f t="shared" ref="W3:W213" si="6">U3&amp;" - "&amp;V3</f>
        <v>ADP - Peseta</v>
      </c>
      <c r="Y3" s="55" t="s">
        <v>24</v>
      </c>
      <c r="Z3" s="28" t="s">
        <v>5783</v>
      </c>
      <c r="AA3" s="28" t="str">
        <f t="shared" ref="AA3:AA11" si="7">Y3&amp;" - "&amp;Z3</f>
        <v>1 - EQ = </v>
      </c>
      <c r="AC3" s="28" t="s">
        <v>5784</v>
      </c>
      <c r="AD3" s="28" t="s">
        <v>5785</v>
      </c>
      <c r="AE3" s="28" t="str">
        <f t="shared" ref="AE3:AE46" si="8">AC3&amp;" - "&amp;AD3</f>
        <v>SR - Serbian</v>
      </c>
      <c r="AG3" s="28">
        <v>1.0</v>
      </c>
      <c r="AH3" s="28" t="s">
        <v>5786</v>
      </c>
      <c r="AI3" s="28" t="str">
        <f t="shared" ref="AI3:AI5" si="9">AG3&amp;" - "&amp;AH3</f>
        <v>1 - Released</v>
      </c>
    </row>
    <row r="4">
      <c r="A4" s="28">
        <v>1.0</v>
      </c>
      <c r="B4" s="28" t="s">
        <v>5786</v>
      </c>
      <c r="C4" s="28" t="str">
        <f t="shared" si="1"/>
        <v>1 - Released</v>
      </c>
      <c r="E4" s="28" t="s">
        <v>5787</v>
      </c>
      <c r="F4" s="28" t="s">
        <v>5788</v>
      </c>
      <c r="G4" s="28" t="str">
        <f t="shared" si="2"/>
        <v>CURR  - Currency Forma</v>
      </c>
      <c r="I4" s="28">
        <v>1.0</v>
      </c>
      <c r="J4" s="28" t="s">
        <v>5789</v>
      </c>
      <c r="K4" s="28" t="str">
        <f t="shared" si="3"/>
        <v>1 - Exponent set automatically</v>
      </c>
      <c r="M4" s="28" t="s">
        <v>5790</v>
      </c>
      <c r="N4" s="28" t="s">
        <v>5791</v>
      </c>
      <c r="O4" s="28" t="str">
        <f t="shared" si="4"/>
        <v>M - Multiple Value</v>
      </c>
      <c r="Q4" s="171" t="s">
        <v>5792</v>
      </c>
      <c r="R4" s="172">
        <v>0.0</v>
      </c>
      <c r="S4" s="28" t="str">
        <f t="shared" si="5"/>
        <v>%O - 0</v>
      </c>
      <c r="U4" s="28" t="s">
        <v>5793</v>
      </c>
      <c r="V4" s="28" t="s">
        <v>5794</v>
      </c>
      <c r="W4" s="28" t="str">
        <f t="shared" si="6"/>
        <v>AED - UAE Dirham</v>
      </c>
      <c r="Y4" s="55" t="s">
        <v>1899</v>
      </c>
      <c r="Z4" s="28" t="s">
        <v>5795</v>
      </c>
      <c r="AA4" s="28" t="str">
        <f t="shared" si="7"/>
        <v>2 - GE &gt;= LT &lt;</v>
      </c>
      <c r="AC4" s="28" t="s">
        <v>5796</v>
      </c>
      <c r="AD4" s="28" t="s">
        <v>5797</v>
      </c>
      <c r="AE4" s="28" t="str">
        <f t="shared" si="8"/>
        <v>ZH - Chinese</v>
      </c>
      <c r="AG4" s="28">
        <v>2.0</v>
      </c>
      <c r="AH4" s="28" t="s">
        <v>5774</v>
      </c>
      <c r="AI4" s="28" t="str">
        <f t="shared" si="9"/>
        <v>2 - In Preparation</v>
      </c>
    </row>
    <row r="5">
      <c r="A5" s="28">
        <v>2.0</v>
      </c>
      <c r="B5" s="28" t="s">
        <v>5798</v>
      </c>
      <c r="C5" s="28" t="str">
        <f t="shared" si="1"/>
        <v>2 - Locked</v>
      </c>
      <c r="E5" s="28" t="s">
        <v>5799</v>
      </c>
      <c r="F5" s="28" t="s">
        <v>5800</v>
      </c>
      <c r="G5" s="28" t="str">
        <f t="shared" si="2"/>
        <v>DATE  - Date Forma</v>
      </c>
      <c r="I5" s="28">
        <v>2.0</v>
      </c>
      <c r="J5" s="28" t="s">
        <v>5801</v>
      </c>
      <c r="K5" s="28" t="str">
        <f t="shared" si="3"/>
        <v>2 - Display w/ exponent</v>
      </c>
      <c r="Q5" s="171" t="s">
        <v>5802</v>
      </c>
      <c r="R5" s="171" t="s">
        <v>5803</v>
      </c>
      <c r="S5" s="28" t="str">
        <f t="shared" si="5"/>
        <v>ONE - One</v>
      </c>
      <c r="U5" s="28" t="s">
        <v>5804</v>
      </c>
      <c r="V5" s="28" t="s">
        <v>5805</v>
      </c>
      <c r="W5" s="28" t="str">
        <f t="shared" si="6"/>
        <v>AFA - Afghani</v>
      </c>
      <c r="Y5" s="55" t="s">
        <v>20</v>
      </c>
      <c r="Z5" s="28" t="s">
        <v>5806</v>
      </c>
      <c r="AA5" s="28" t="str">
        <f t="shared" si="7"/>
        <v>3 - GE &gt;= LE &lt;=</v>
      </c>
      <c r="AC5" s="28" t="s">
        <v>5807</v>
      </c>
      <c r="AD5" s="28" t="s">
        <v>5808</v>
      </c>
      <c r="AE5" s="28" t="str">
        <f t="shared" si="8"/>
        <v>TH - Thai</v>
      </c>
      <c r="AG5" s="28">
        <v>3.0</v>
      </c>
      <c r="AH5" s="28" t="s">
        <v>5798</v>
      </c>
      <c r="AI5" s="28" t="str">
        <f t="shared" si="9"/>
        <v>3 - Locked</v>
      </c>
    </row>
    <row r="6">
      <c r="E6" s="28" t="s">
        <v>5809</v>
      </c>
      <c r="F6" s="28" t="s">
        <v>5810</v>
      </c>
      <c r="G6" s="28" t="str">
        <f t="shared" si="2"/>
        <v>NUM  - Numeric Forma</v>
      </c>
      <c r="I6" s="28">
        <v>3.0</v>
      </c>
      <c r="J6" s="28" t="s">
        <v>5811</v>
      </c>
      <c r="K6" s="28" t="str">
        <f t="shared" si="3"/>
        <v>3 - Display in scientific format (3, 6 , 9)</v>
      </c>
      <c r="Q6" s="171" t="s">
        <v>5812</v>
      </c>
      <c r="R6" s="171" t="s">
        <v>5813</v>
      </c>
      <c r="S6" s="28" t="str">
        <f t="shared" si="5"/>
        <v>D - Days</v>
      </c>
      <c r="U6" s="28" t="s">
        <v>5814</v>
      </c>
      <c r="V6" s="28" t="s">
        <v>5805</v>
      </c>
      <c r="W6" s="28" t="str">
        <f t="shared" si="6"/>
        <v>AFN - Afghani</v>
      </c>
      <c r="Y6" s="55" t="s">
        <v>564</v>
      </c>
      <c r="Z6" s="28" t="s">
        <v>5815</v>
      </c>
      <c r="AA6" s="28" t="str">
        <f t="shared" si="7"/>
        <v>4 - GT &gt; LT &lt;</v>
      </c>
      <c r="AC6" s="28" t="s">
        <v>5816</v>
      </c>
      <c r="AD6" s="28" t="s">
        <v>5817</v>
      </c>
      <c r="AE6" s="28" t="str">
        <f t="shared" si="8"/>
        <v>KO - Korean</v>
      </c>
    </row>
    <row r="7">
      <c r="E7" s="28" t="s">
        <v>5818</v>
      </c>
      <c r="F7" s="28" t="s">
        <v>5819</v>
      </c>
      <c r="G7" s="28" t="str">
        <f t="shared" si="2"/>
        <v>TIME  - Time Forma</v>
      </c>
      <c r="Q7" s="173" t="s">
        <v>5820</v>
      </c>
      <c r="R7" s="171" t="s">
        <v>5821</v>
      </c>
      <c r="S7" s="28" t="str">
        <f t="shared" si="5"/>
        <v>026 - Week</v>
      </c>
      <c r="U7" s="28" t="s">
        <v>5822</v>
      </c>
      <c r="V7" s="28" t="s">
        <v>5823</v>
      </c>
      <c r="W7" s="28" t="str">
        <f t="shared" si="6"/>
        <v>ALL - Albanian Lek</v>
      </c>
      <c r="Y7" s="55" t="s">
        <v>1896</v>
      </c>
      <c r="Z7" s="28" t="s">
        <v>5824</v>
      </c>
      <c r="AA7" s="28" t="str">
        <f t="shared" si="7"/>
        <v>5 - GT &gt; LE &lt;=</v>
      </c>
      <c r="AC7" s="28" t="s">
        <v>5825</v>
      </c>
      <c r="AD7" s="28" t="s">
        <v>5826</v>
      </c>
      <c r="AE7" s="28" t="str">
        <f t="shared" si="8"/>
        <v>RO - Romanian</v>
      </c>
    </row>
    <row r="8">
      <c r="E8" s="28" t="s">
        <v>5827</v>
      </c>
      <c r="F8" s="28" t="s">
        <v>5828</v>
      </c>
      <c r="G8" s="28" t="str">
        <f t="shared" si="2"/>
        <v>UDEF  - User-Defined Data Typ</v>
      </c>
      <c r="Q8" s="173" t="s">
        <v>5829</v>
      </c>
      <c r="R8" s="171" t="s">
        <v>5830</v>
      </c>
      <c r="S8" s="28" t="str">
        <f t="shared" si="5"/>
        <v>025 - Month</v>
      </c>
      <c r="U8" s="28" t="s">
        <v>5831</v>
      </c>
      <c r="V8" s="28" t="s">
        <v>5832</v>
      </c>
      <c r="W8" s="28" t="str">
        <f t="shared" si="6"/>
        <v>AMD - Armenian Dram</v>
      </c>
      <c r="Y8" s="55" t="s">
        <v>1998</v>
      </c>
      <c r="Z8" s="28" t="s">
        <v>5833</v>
      </c>
      <c r="AA8" s="28" t="str">
        <f t="shared" si="7"/>
        <v>6 - LT &lt;</v>
      </c>
      <c r="AC8" s="28" t="s">
        <v>5834</v>
      </c>
      <c r="AD8" s="28" t="s">
        <v>5835</v>
      </c>
      <c r="AE8" s="28" t="str">
        <f t="shared" si="8"/>
        <v>SL - Slovenian</v>
      </c>
    </row>
    <row r="9">
      <c r="Q9" s="173" t="s">
        <v>5836</v>
      </c>
      <c r="R9" s="171" t="s">
        <v>5837</v>
      </c>
      <c r="S9" s="28" t="str">
        <f t="shared" si="5"/>
        <v>024 - Year</v>
      </c>
      <c r="U9" s="28" t="s">
        <v>5838</v>
      </c>
      <c r="V9" s="28" t="s">
        <v>5839</v>
      </c>
      <c r="W9" s="28" t="str">
        <f t="shared" si="6"/>
        <v>ANG - N. Ant. Guilder</v>
      </c>
      <c r="Y9" s="55" t="s">
        <v>2031</v>
      </c>
      <c r="Z9" s="28" t="s">
        <v>5840</v>
      </c>
      <c r="AA9" s="28" t="str">
        <f t="shared" si="7"/>
        <v>7 - LE &lt;=</v>
      </c>
      <c r="AC9" s="28" t="s">
        <v>1238</v>
      </c>
      <c r="AD9" s="28" t="s">
        <v>5841</v>
      </c>
      <c r="AE9" s="28" t="str">
        <f t="shared" si="8"/>
        <v>HR - Croatian</v>
      </c>
    </row>
    <row r="10">
      <c r="Q10" s="171" t="s">
        <v>5842</v>
      </c>
      <c r="R10" s="171" t="s">
        <v>5821</v>
      </c>
      <c r="S10" s="28" t="str">
        <f t="shared" si="5"/>
        <v>WEK - Week</v>
      </c>
      <c r="U10" s="28" t="s">
        <v>5843</v>
      </c>
      <c r="V10" s="28" t="s">
        <v>5844</v>
      </c>
      <c r="W10" s="28" t="str">
        <f t="shared" si="6"/>
        <v>AOA - Angolan Kwanza</v>
      </c>
      <c r="Y10" s="55" t="s">
        <v>2033</v>
      </c>
      <c r="Z10" s="28" t="s">
        <v>5845</v>
      </c>
      <c r="AA10" s="28" t="str">
        <f t="shared" si="7"/>
        <v>8 - GT &gt;</v>
      </c>
      <c r="AC10" s="28" t="s">
        <v>5846</v>
      </c>
      <c r="AD10" s="28" t="s">
        <v>5847</v>
      </c>
      <c r="AE10" s="28" t="str">
        <f t="shared" si="8"/>
        <v>MS - Malay</v>
      </c>
    </row>
    <row r="11">
      <c r="Q11" s="171" t="s">
        <v>5848</v>
      </c>
      <c r="R11" s="171" t="s">
        <v>5849</v>
      </c>
      <c r="S11" s="28" t="str">
        <f t="shared" si="5"/>
        <v>DEC - Decade</v>
      </c>
      <c r="U11" s="28" t="s">
        <v>5850</v>
      </c>
      <c r="V11" s="28" t="s">
        <v>5851</v>
      </c>
      <c r="W11" s="28" t="str">
        <f t="shared" si="6"/>
        <v>AON - New Kwanza</v>
      </c>
      <c r="Y11" s="55" t="s">
        <v>2035</v>
      </c>
      <c r="Z11" s="28" t="s">
        <v>5852</v>
      </c>
      <c r="AA11" s="28" t="str">
        <f t="shared" si="7"/>
        <v>9 - GE &gt;=</v>
      </c>
      <c r="AC11" s="28" t="s">
        <v>5853</v>
      </c>
      <c r="AD11" s="28" t="s">
        <v>5854</v>
      </c>
      <c r="AE11" s="28" t="str">
        <f t="shared" si="8"/>
        <v>UK - Ukrainian</v>
      </c>
    </row>
    <row r="12">
      <c r="Q12" s="171" t="s">
        <v>5855</v>
      </c>
      <c r="R12" s="171" t="s">
        <v>5856</v>
      </c>
      <c r="S12" s="28" t="str">
        <f t="shared" si="5"/>
        <v>22S - mm2/s</v>
      </c>
      <c r="U12" s="28" t="s">
        <v>5857</v>
      </c>
      <c r="V12" s="28" t="s">
        <v>5858</v>
      </c>
      <c r="W12" s="28" t="str">
        <f t="shared" si="6"/>
        <v>AOR - Kwanza Reajust.</v>
      </c>
      <c r="AC12" s="28" t="s">
        <v>5859</v>
      </c>
      <c r="AD12" s="28" t="s">
        <v>5860</v>
      </c>
      <c r="AE12" s="28" t="str">
        <f t="shared" si="8"/>
        <v>ET - Estonian</v>
      </c>
    </row>
    <row r="13">
      <c r="Q13" s="171" t="s">
        <v>5861</v>
      </c>
      <c r="R13" s="171" t="s">
        <v>5862</v>
      </c>
      <c r="S13" s="28" t="str">
        <f t="shared" si="5"/>
        <v>CMS - cm/s</v>
      </c>
      <c r="U13" s="28" t="s">
        <v>5863</v>
      </c>
      <c r="V13" s="28" t="s">
        <v>5864</v>
      </c>
      <c r="W13" s="28" t="str">
        <f t="shared" si="6"/>
        <v>ARS - Argentine Peso</v>
      </c>
      <c r="AC13" s="28" t="s">
        <v>5865</v>
      </c>
      <c r="AD13" s="28" t="s">
        <v>5866</v>
      </c>
      <c r="AE13" s="28" t="str">
        <f t="shared" si="8"/>
        <v>AR - Arabic</v>
      </c>
    </row>
    <row r="14">
      <c r="Q14" s="171" t="s">
        <v>5867</v>
      </c>
      <c r="R14" s="171" t="s">
        <v>5868</v>
      </c>
      <c r="S14" s="28" t="str">
        <f t="shared" si="5"/>
        <v>MMI - m/min</v>
      </c>
      <c r="U14" s="28" t="s">
        <v>5869</v>
      </c>
      <c r="V14" s="28" t="s">
        <v>5870</v>
      </c>
      <c r="W14" s="28" t="str">
        <f t="shared" si="6"/>
        <v>ATS - Shilling</v>
      </c>
      <c r="AC14" s="28" t="s">
        <v>5871</v>
      </c>
      <c r="AD14" s="28" t="s">
        <v>5872</v>
      </c>
      <c r="AE14" s="28" t="str">
        <f t="shared" si="8"/>
        <v>HE - Hebrew</v>
      </c>
    </row>
    <row r="15">
      <c r="Q15" s="171" t="s">
        <v>5873</v>
      </c>
      <c r="R15" s="171" t="s">
        <v>5874</v>
      </c>
      <c r="S15" s="28" t="str">
        <f t="shared" si="5"/>
        <v>µL - µl</v>
      </c>
      <c r="U15" s="28" t="s">
        <v>5875</v>
      </c>
      <c r="V15" s="28" t="s">
        <v>5876</v>
      </c>
      <c r="W15" s="28" t="str">
        <f t="shared" si="6"/>
        <v>AUD - Austr. Dollar</v>
      </c>
      <c r="AC15" s="28" t="s">
        <v>5877</v>
      </c>
      <c r="AD15" s="28" t="s">
        <v>5878</v>
      </c>
      <c r="AE15" s="28" t="str">
        <f t="shared" si="8"/>
        <v>CS - Czech</v>
      </c>
    </row>
    <row r="16">
      <c r="Q16" s="171" t="s">
        <v>5879</v>
      </c>
      <c r="R16" s="171" t="s">
        <v>5879</v>
      </c>
      <c r="S16" s="28" t="str">
        <f t="shared" si="5"/>
        <v>µF - µF</v>
      </c>
      <c r="U16" s="28" t="s">
        <v>5880</v>
      </c>
      <c r="V16" s="28" t="s">
        <v>5881</v>
      </c>
      <c r="W16" s="28" t="str">
        <f t="shared" si="6"/>
        <v>AWG - Aruban Florin</v>
      </c>
      <c r="AC16" s="28" t="s">
        <v>5882</v>
      </c>
      <c r="AD16" s="28" t="s">
        <v>5883</v>
      </c>
      <c r="AE16" s="28" t="str">
        <f t="shared" si="8"/>
        <v>DE - German</v>
      </c>
    </row>
    <row r="17">
      <c r="Q17" s="171" t="s">
        <v>5884</v>
      </c>
      <c r="R17" s="171" t="s">
        <v>5885</v>
      </c>
      <c r="S17" s="28" t="str">
        <f t="shared" si="5"/>
        <v>PF - pF</v>
      </c>
      <c r="U17" s="28" t="s">
        <v>5886</v>
      </c>
      <c r="V17" s="28" t="s">
        <v>5887</v>
      </c>
      <c r="W17" s="28" t="str">
        <f t="shared" si="6"/>
        <v>AZM - Manat</v>
      </c>
      <c r="AC17" s="28" t="s">
        <v>566</v>
      </c>
      <c r="AD17" s="28" t="s">
        <v>5888</v>
      </c>
      <c r="AE17" s="28" t="str">
        <f t="shared" si="8"/>
        <v>EN - English</v>
      </c>
    </row>
    <row r="18">
      <c r="Q18" s="171" t="s">
        <v>5889</v>
      </c>
      <c r="R18" s="171" t="s">
        <v>5889</v>
      </c>
      <c r="S18" s="28" t="str">
        <f t="shared" si="5"/>
        <v>A - A</v>
      </c>
      <c r="U18" s="28" t="s">
        <v>5890</v>
      </c>
      <c r="V18" s="28" t="s">
        <v>5891</v>
      </c>
      <c r="W18" s="28" t="str">
        <f t="shared" si="6"/>
        <v>AZN - Azerb. Manat</v>
      </c>
      <c r="AC18" s="28" t="s">
        <v>5892</v>
      </c>
      <c r="AD18" s="28" t="s">
        <v>5893</v>
      </c>
      <c r="AE18" s="28" t="str">
        <f t="shared" si="8"/>
        <v>FR - French</v>
      </c>
    </row>
    <row r="19">
      <c r="Q19" s="171" t="s">
        <v>5894</v>
      </c>
      <c r="R19" s="171" t="s">
        <v>5895</v>
      </c>
      <c r="S19" s="28" t="str">
        <f t="shared" si="5"/>
        <v>GOH - GOhm</v>
      </c>
      <c r="U19" s="28" t="s">
        <v>5896</v>
      </c>
      <c r="V19" s="28" t="s">
        <v>5897</v>
      </c>
      <c r="W19" s="28" t="str">
        <f t="shared" si="6"/>
        <v>BAM - B. + H. C. Mark</v>
      </c>
      <c r="AC19" s="28" t="s">
        <v>5898</v>
      </c>
      <c r="AD19" s="28" t="s">
        <v>5899</v>
      </c>
      <c r="AE19" s="28" t="str">
        <f t="shared" si="8"/>
        <v>EL - Greek</v>
      </c>
    </row>
    <row r="20">
      <c r="Q20" s="171" t="s">
        <v>5900</v>
      </c>
      <c r="R20" s="171" t="s">
        <v>5901</v>
      </c>
      <c r="S20" s="28" t="str">
        <f t="shared" si="5"/>
        <v>GM3 - g/m3</v>
      </c>
      <c r="U20" s="28" t="s">
        <v>5902</v>
      </c>
      <c r="V20" s="28" t="s">
        <v>5903</v>
      </c>
      <c r="W20" s="28" t="str">
        <f t="shared" si="6"/>
        <v>BBD - Barbados Dollar</v>
      </c>
      <c r="AC20" s="28" t="s">
        <v>5904</v>
      </c>
      <c r="AD20" s="28" t="s">
        <v>5905</v>
      </c>
      <c r="AE20" s="28" t="str">
        <f t="shared" si="8"/>
        <v>HU - Hungarian</v>
      </c>
    </row>
    <row r="21" ht="15.75" customHeight="1">
      <c r="Q21" s="171" t="s">
        <v>5906</v>
      </c>
      <c r="R21" s="171" t="s">
        <v>5907</v>
      </c>
      <c r="S21" s="28" t="str">
        <f t="shared" si="5"/>
        <v>ACR - Acre</v>
      </c>
      <c r="U21" s="28" t="s">
        <v>5908</v>
      </c>
      <c r="V21" s="28" t="s">
        <v>5909</v>
      </c>
      <c r="W21" s="28" t="str">
        <f t="shared" si="6"/>
        <v>BDT - Bangladesh Taka</v>
      </c>
      <c r="AC21" s="28" t="s">
        <v>5910</v>
      </c>
      <c r="AD21" s="28" t="s">
        <v>5911</v>
      </c>
      <c r="AE21" s="28" t="str">
        <f t="shared" si="8"/>
        <v>IT - Italian</v>
      </c>
    </row>
    <row r="22" ht="15.75" customHeight="1">
      <c r="Q22" s="171" t="s">
        <v>5912</v>
      </c>
      <c r="R22" s="171" t="s">
        <v>5913</v>
      </c>
      <c r="S22" s="28" t="str">
        <f t="shared" si="5"/>
        <v>KD3 - kg/dm3</v>
      </c>
      <c r="U22" s="28" t="s">
        <v>5914</v>
      </c>
      <c r="V22" s="28" t="s">
        <v>5915</v>
      </c>
      <c r="W22" s="28" t="str">
        <f t="shared" si="6"/>
        <v>BEF - Belgian Franc</v>
      </c>
      <c r="AC22" s="28" t="s">
        <v>5916</v>
      </c>
      <c r="AD22" s="28" t="s">
        <v>5917</v>
      </c>
      <c r="AE22" s="28" t="str">
        <f t="shared" si="8"/>
        <v>JA - Japanese</v>
      </c>
    </row>
    <row r="23" ht="15.75" customHeight="1">
      <c r="Q23" s="171" t="s">
        <v>5918</v>
      </c>
      <c r="R23" s="171" t="s">
        <v>5919</v>
      </c>
      <c r="S23" s="28" t="str">
        <f t="shared" si="5"/>
        <v>KML - kmol</v>
      </c>
      <c r="U23" s="28" t="s">
        <v>5920</v>
      </c>
      <c r="V23" s="28" t="s">
        <v>5921</v>
      </c>
      <c r="W23" s="28" t="str">
        <f t="shared" si="6"/>
        <v>BGN - Bulgarian Lev</v>
      </c>
      <c r="AC23" s="28" t="s">
        <v>5922</v>
      </c>
      <c r="AD23" s="28" t="s">
        <v>5923</v>
      </c>
      <c r="AE23" s="28" t="str">
        <f t="shared" si="8"/>
        <v>DA - Danish</v>
      </c>
    </row>
    <row r="24" ht="15.75" customHeight="1">
      <c r="Q24" s="171" t="s">
        <v>5924</v>
      </c>
      <c r="R24" s="171" t="s">
        <v>1571</v>
      </c>
      <c r="S24" s="28" t="str">
        <f t="shared" si="5"/>
        <v>NI - ND</v>
      </c>
      <c r="U24" s="28" t="s">
        <v>5925</v>
      </c>
      <c r="V24" s="28" t="s">
        <v>5926</v>
      </c>
      <c r="W24" s="28" t="str">
        <f t="shared" si="6"/>
        <v>BHD - Bahrain Dinar</v>
      </c>
      <c r="AC24" s="28" t="s">
        <v>5927</v>
      </c>
      <c r="AD24" s="28" t="s">
        <v>5928</v>
      </c>
      <c r="AE24" s="28" t="str">
        <f t="shared" si="8"/>
        <v>PL - Polish</v>
      </c>
    </row>
    <row r="25" ht="15.75" customHeight="1">
      <c r="Q25" s="171" t="s">
        <v>5929</v>
      </c>
      <c r="R25" s="171" t="s">
        <v>5929</v>
      </c>
      <c r="S25" s="28" t="str">
        <f t="shared" si="5"/>
        <v>MN - MN</v>
      </c>
      <c r="U25" s="28" t="s">
        <v>5930</v>
      </c>
      <c r="V25" s="28" t="s">
        <v>5931</v>
      </c>
      <c r="W25" s="28" t="str">
        <f t="shared" si="6"/>
        <v>BIF - Burundi Franc</v>
      </c>
      <c r="AC25" s="28" t="s">
        <v>5932</v>
      </c>
      <c r="AD25" s="28" t="s">
        <v>5933</v>
      </c>
      <c r="AE25" s="28" t="str">
        <f t="shared" si="8"/>
        <v>ZF - Chinese trad.</v>
      </c>
    </row>
    <row r="26" ht="15.75" customHeight="1">
      <c r="Q26" s="171" t="s">
        <v>5934</v>
      </c>
      <c r="R26" s="171" t="s">
        <v>5935</v>
      </c>
      <c r="S26" s="28" t="str">
        <f t="shared" si="5"/>
        <v>MGO - MOhm</v>
      </c>
      <c r="U26" s="28" t="s">
        <v>5936</v>
      </c>
      <c r="V26" s="28" t="s">
        <v>5937</v>
      </c>
      <c r="W26" s="28" t="str">
        <f t="shared" si="6"/>
        <v>BMD - Bermudan Dollar</v>
      </c>
      <c r="AC26" s="28" t="s">
        <v>5938</v>
      </c>
      <c r="AD26" s="28" t="s">
        <v>5939</v>
      </c>
      <c r="AE26" s="28" t="str">
        <f t="shared" si="8"/>
        <v>NL - Dutch</v>
      </c>
    </row>
    <row r="27" ht="15.75" customHeight="1">
      <c r="Q27" s="171" t="s">
        <v>5940</v>
      </c>
      <c r="R27" s="171" t="s">
        <v>5941</v>
      </c>
      <c r="S27" s="28" t="str">
        <f t="shared" si="5"/>
        <v>MHV - MV</v>
      </c>
      <c r="U27" s="28" t="s">
        <v>5942</v>
      </c>
      <c r="V27" s="28" t="s">
        <v>5943</v>
      </c>
      <c r="W27" s="28" t="str">
        <f t="shared" si="6"/>
        <v>BND - Brunei Dollar</v>
      </c>
      <c r="AC27" s="28" t="s">
        <v>5944</v>
      </c>
      <c r="AD27" s="28" t="s">
        <v>5945</v>
      </c>
      <c r="AE27" s="28" t="str">
        <f t="shared" si="8"/>
        <v>NO - Norwegian</v>
      </c>
    </row>
    <row r="28" ht="15.75" customHeight="1">
      <c r="Q28" s="171" t="s">
        <v>5946</v>
      </c>
      <c r="R28" s="171" t="s">
        <v>5946</v>
      </c>
      <c r="S28" s="28" t="str">
        <f t="shared" si="5"/>
        <v>µA - µA</v>
      </c>
      <c r="U28" s="28" t="s">
        <v>5947</v>
      </c>
      <c r="V28" s="28" t="s">
        <v>5948</v>
      </c>
      <c r="W28" s="28" t="str">
        <f t="shared" si="6"/>
        <v>BOB - Boliviano</v>
      </c>
      <c r="AC28" s="28" t="s">
        <v>5949</v>
      </c>
      <c r="AD28" s="28" t="s">
        <v>5950</v>
      </c>
      <c r="AE28" s="28" t="str">
        <f t="shared" si="8"/>
        <v>PT - Portuguese</v>
      </c>
    </row>
    <row r="29" ht="15.75" customHeight="1">
      <c r="Q29" s="171" t="s">
        <v>5951</v>
      </c>
      <c r="R29" s="171" t="s">
        <v>1705</v>
      </c>
      <c r="S29" s="28" t="str">
        <f t="shared" si="5"/>
        <v>BAG - Bag</v>
      </c>
      <c r="U29" s="28" t="s">
        <v>5952</v>
      </c>
      <c r="V29" s="28" t="s">
        <v>5953</v>
      </c>
      <c r="W29" s="28" t="str">
        <f t="shared" si="6"/>
        <v>BRL - Brazilian Real</v>
      </c>
      <c r="AC29" s="28" t="s">
        <v>5954</v>
      </c>
      <c r="AD29" s="28" t="s">
        <v>5955</v>
      </c>
      <c r="AE29" s="28" t="str">
        <f t="shared" si="8"/>
        <v>SK - Slovak</v>
      </c>
    </row>
    <row r="30" ht="15.75" customHeight="1">
      <c r="Q30" s="171" t="s">
        <v>5956</v>
      </c>
      <c r="R30" s="171" t="s">
        <v>5957</v>
      </c>
      <c r="S30" s="28" t="str">
        <f t="shared" si="5"/>
        <v>BAR - bar</v>
      </c>
      <c r="U30" s="28" t="s">
        <v>5958</v>
      </c>
      <c r="V30" s="28" t="s">
        <v>5959</v>
      </c>
      <c r="W30" s="28" t="str">
        <f t="shared" si="6"/>
        <v>BSD - Bahaman Dollar</v>
      </c>
      <c r="AC30" s="28" t="s">
        <v>5960</v>
      </c>
      <c r="AD30" s="28" t="s">
        <v>5961</v>
      </c>
      <c r="AE30" s="28" t="str">
        <f t="shared" si="8"/>
        <v>RU - Russian</v>
      </c>
    </row>
    <row r="31" ht="15.75" customHeight="1">
      <c r="Q31" s="171" t="s">
        <v>5962</v>
      </c>
      <c r="R31" s="171" t="s">
        <v>5963</v>
      </c>
      <c r="S31" s="28" t="str">
        <f t="shared" si="5"/>
        <v>BB6 - Barrel 60F</v>
      </c>
      <c r="U31" s="28" t="s">
        <v>5964</v>
      </c>
      <c r="V31" s="28" t="s">
        <v>5965</v>
      </c>
      <c r="W31" s="28" t="str">
        <f t="shared" si="6"/>
        <v>BTN - Bhutan Ngultrum</v>
      </c>
      <c r="AC31" s="28" t="s">
        <v>5966</v>
      </c>
      <c r="AD31" s="28" t="s">
        <v>5967</v>
      </c>
      <c r="AE31" s="28" t="str">
        <f t="shared" si="8"/>
        <v>ES - Spanish</v>
      </c>
    </row>
    <row r="32" ht="15.75" customHeight="1">
      <c r="Q32" s="171" t="s">
        <v>5968</v>
      </c>
      <c r="R32" s="171" t="s">
        <v>5969</v>
      </c>
      <c r="S32" s="28" t="str">
        <f t="shared" si="5"/>
        <v>BBL - Barrels</v>
      </c>
      <c r="U32" s="28" t="s">
        <v>5970</v>
      </c>
      <c r="V32" s="28" t="s">
        <v>5971</v>
      </c>
      <c r="W32" s="28" t="str">
        <f t="shared" si="6"/>
        <v>BWP - Botswana Pula</v>
      </c>
      <c r="AC32" s="28" t="s">
        <v>5972</v>
      </c>
      <c r="AD32" s="28" t="s">
        <v>5973</v>
      </c>
      <c r="AE32" s="28" t="str">
        <f t="shared" si="8"/>
        <v>TR - Turkish</v>
      </c>
    </row>
    <row r="33" ht="15.75" customHeight="1">
      <c r="Q33" s="171" t="s">
        <v>5974</v>
      </c>
      <c r="R33" s="171" t="s">
        <v>5975</v>
      </c>
      <c r="S33" s="28" t="str">
        <f t="shared" si="5"/>
        <v>BC1 - BTUCF1502D</v>
      </c>
      <c r="U33" s="28" t="s">
        <v>5976</v>
      </c>
      <c r="V33" s="28" t="s">
        <v>5977</v>
      </c>
      <c r="W33" s="28" t="str">
        <f t="shared" si="6"/>
        <v>BYB - Belarus. Ruble</v>
      </c>
      <c r="AC33" s="28" t="s">
        <v>5978</v>
      </c>
      <c r="AD33" s="28" t="s">
        <v>5979</v>
      </c>
      <c r="AE33" s="28" t="str">
        <f t="shared" si="8"/>
        <v>FI - Finnish</v>
      </c>
    </row>
    <row r="34" ht="15.75" customHeight="1">
      <c r="Q34" s="171" t="s">
        <v>5980</v>
      </c>
      <c r="R34" s="171" t="s">
        <v>5981</v>
      </c>
      <c r="S34" s="28" t="str">
        <f t="shared" si="5"/>
        <v>BC2 - BTUCF1473D</v>
      </c>
      <c r="U34" s="28" t="s">
        <v>5982</v>
      </c>
      <c r="V34" s="28" t="s">
        <v>5977</v>
      </c>
      <c r="W34" s="28" t="str">
        <f t="shared" si="6"/>
        <v>BYN - Belarus. Ruble</v>
      </c>
      <c r="AC34" s="28" t="s">
        <v>5983</v>
      </c>
      <c r="AD34" s="28" t="s">
        <v>5984</v>
      </c>
      <c r="AE34" s="28" t="str">
        <f t="shared" si="8"/>
        <v>SV - Swedish</v>
      </c>
    </row>
    <row r="35" ht="15.75" customHeight="1">
      <c r="Q35" s="171" t="s">
        <v>5985</v>
      </c>
      <c r="R35" s="171" t="s">
        <v>5986</v>
      </c>
      <c r="S35" s="28" t="str">
        <f t="shared" si="5"/>
        <v>BC3 - BTUCF1465D</v>
      </c>
      <c r="U35" s="28" t="s">
        <v>5987</v>
      </c>
      <c r="V35" s="28" t="s">
        <v>5988</v>
      </c>
      <c r="W35" s="28" t="str">
        <f t="shared" si="6"/>
        <v>BYR - Belorus. Ruble</v>
      </c>
      <c r="AC35" s="28" t="s">
        <v>5989</v>
      </c>
      <c r="AD35" s="28" t="s">
        <v>5990</v>
      </c>
      <c r="AE35" s="28" t="str">
        <f t="shared" si="8"/>
        <v>BG - Bulgarian</v>
      </c>
    </row>
    <row r="36" ht="15.75" customHeight="1">
      <c r="Q36" s="171" t="s">
        <v>5991</v>
      </c>
      <c r="R36" s="171" t="s">
        <v>5992</v>
      </c>
      <c r="S36" s="28" t="str">
        <f t="shared" si="5"/>
        <v>BM2 - Bq/m2</v>
      </c>
      <c r="U36" s="28" t="s">
        <v>5993</v>
      </c>
      <c r="V36" s="28" t="s">
        <v>5994</v>
      </c>
      <c r="W36" s="28" t="str">
        <f t="shared" si="6"/>
        <v>BZD - Belize Dollar</v>
      </c>
      <c r="AC36" s="28" t="s">
        <v>5995</v>
      </c>
      <c r="AD36" s="28" t="s">
        <v>5996</v>
      </c>
      <c r="AE36" s="28" t="str">
        <f t="shared" si="8"/>
        <v>LT - Lithuanian</v>
      </c>
    </row>
    <row r="37" ht="15.75" customHeight="1">
      <c r="Q37" s="171" t="s">
        <v>5997</v>
      </c>
      <c r="R37" s="171" t="s">
        <v>5997</v>
      </c>
      <c r="S37" s="28" t="str">
        <f t="shared" si="5"/>
        <v>BOE - BOE</v>
      </c>
      <c r="U37" s="28" t="s">
        <v>5998</v>
      </c>
      <c r="V37" s="28" t="s">
        <v>5999</v>
      </c>
      <c r="W37" s="28" t="str">
        <f t="shared" si="6"/>
        <v>CAD - Canadian Dollar</v>
      </c>
      <c r="AC37" s="28" t="s">
        <v>6000</v>
      </c>
      <c r="AD37" s="28" t="s">
        <v>6001</v>
      </c>
      <c r="AE37" s="28" t="str">
        <f t="shared" si="8"/>
        <v>LV - Latvian</v>
      </c>
    </row>
    <row r="38" ht="15.75" customHeight="1">
      <c r="Q38" s="171" t="s">
        <v>6002</v>
      </c>
      <c r="R38" s="171" t="s">
        <v>6003</v>
      </c>
      <c r="S38" s="28" t="str">
        <f t="shared" si="5"/>
        <v>BT - Bottle</v>
      </c>
      <c r="U38" s="28" t="s">
        <v>6004</v>
      </c>
      <c r="V38" s="28" t="s">
        <v>6005</v>
      </c>
      <c r="W38" s="28" t="str">
        <f t="shared" si="6"/>
        <v>CDF - Congolese Franc</v>
      </c>
      <c r="AC38" s="28" t="s">
        <v>6006</v>
      </c>
      <c r="AD38" s="28" t="s">
        <v>6007</v>
      </c>
      <c r="AE38" s="28" t="str">
        <f t="shared" si="8"/>
        <v>Z1 - Customer reserve</v>
      </c>
    </row>
    <row r="39" ht="15.75" customHeight="1">
      <c r="Q39" s="171" t="s">
        <v>6008</v>
      </c>
      <c r="R39" s="171" t="s">
        <v>6009</v>
      </c>
      <c r="S39" s="28" t="str">
        <f t="shared" si="5"/>
        <v>BQ - Bq</v>
      </c>
      <c r="U39" s="28" t="s">
        <v>6010</v>
      </c>
      <c r="V39" s="28" t="s">
        <v>6011</v>
      </c>
      <c r="W39" s="28" t="str">
        <f t="shared" si="6"/>
        <v>XPF - Fr. Franc (Pac)</v>
      </c>
      <c r="AC39" s="28" t="s">
        <v>6012</v>
      </c>
      <c r="AD39" s="28" t="s">
        <v>6013</v>
      </c>
      <c r="AE39" s="28" t="str">
        <f t="shared" si="8"/>
        <v>AF - Afrikaans</v>
      </c>
    </row>
    <row r="40" ht="15.75" customHeight="1">
      <c r="Q40" s="171" t="s">
        <v>6014</v>
      </c>
      <c r="R40" s="171" t="s">
        <v>6015</v>
      </c>
      <c r="S40" s="28" t="str">
        <f t="shared" si="5"/>
        <v>BQ2 - Bq/cm2</v>
      </c>
      <c r="U40" s="28" t="s">
        <v>6016</v>
      </c>
      <c r="V40" s="28" t="s">
        <v>6017</v>
      </c>
      <c r="W40" s="28" t="str">
        <f t="shared" si="6"/>
        <v>CHF - Swiss Franc</v>
      </c>
      <c r="AC40" s="28" t="s">
        <v>6018</v>
      </c>
      <c r="AD40" s="28" t="s">
        <v>6019</v>
      </c>
      <c r="AE40" s="28" t="str">
        <f t="shared" si="8"/>
        <v>IS - Icelandic</v>
      </c>
    </row>
    <row r="41" ht="15.75" customHeight="1">
      <c r="Q41" s="171" t="s">
        <v>6020</v>
      </c>
      <c r="R41" s="171" t="s">
        <v>6021</v>
      </c>
      <c r="S41" s="28" t="str">
        <f t="shared" si="5"/>
        <v>BQG - Bq/g</v>
      </c>
      <c r="U41" s="28" t="s">
        <v>6022</v>
      </c>
      <c r="V41" s="28" t="s">
        <v>6023</v>
      </c>
      <c r="W41" s="28" t="str">
        <f t="shared" si="6"/>
        <v>CLF - Unidad Fomento</v>
      </c>
      <c r="AC41" s="28" t="s">
        <v>6024</v>
      </c>
      <c r="AD41" s="28" t="s">
        <v>6025</v>
      </c>
      <c r="AE41" s="28" t="str">
        <f t="shared" si="8"/>
        <v>CA - Catalan</v>
      </c>
    </row>
    <row r="42" ht="15.75" customHeight="1">
      <c r="Q42" s="171" t="s">
        <v>6026</v>
      </c>
      <c r="R42" s="171" t="s">
        <v>6027</v>
      </c>
      <c r="S42" s="28" t="str">
        <f t="shared" si="5"/>
        <v>BQK - Bq/kg</v>
      </c>
      <c r="U42" s="28" t="s">
        <v>6028</v>
      </c>
      <c r="V42" s="28" t="s">
        <v>6029</v>
      </c>
      <c r="W42" s="28" t="str">
        <f t="shared" si="6"/>
        <v>CLP - Chilean Peso</v>
      </c>
      <c r="AC42" s="28" t="s">
        <v>6030</v>
      </c>
      <c r="AD42" s="28" t="s">
        <v>6031</v>
      </c>
      <c r="AE42" s="28" t="str">
        <f t="shared" si="8"/>
        <v>SH - Serbian (Latin)</v>
      </c>
    </row>
    <row r="43" ht="15.75" customHeight="1">
      <c r="Q43" s="171" t="s">
        <v>6032</v>
      </c>
      <c r="R43" s="171" t="s">
        <v>6032</v>
      </c>
      <c r="S43" s="28" t="str">
        <f t="shared" si="5"/>
        <v>BTU - BTU</v>
      </c>
      <c r="U43" s="28" t="s">
        <v>6033</v>
      </c>
      <c r="V43" s="28" t="s">
        <v>6034</v>
      </c>
      <c r="W43" s="28" t="str">
        <f t="shared" si="6"/>
        <v>CNY - Chinese Yuan</v>
      </c>
      <c r="AC43" s="28" t="s">
        <v>6035</v>
      </c>
      <c r="AD43" s="28" t="s">
        <v>6036</v>
      </c>
      <c r="AE43" s="28" t="str">
        <f t="shared" si="8"/>
        <v>ID - Indonesian</v>
      </c>
    </row>
    <row r="44" ht="15.75" customHeight="1">
      <c r="Q44" s="171" t="s">
        <v>6037</v>
      </c>
      <c r="R44" s="171" t="s">
        <v>6038</v>
      </c>
      <c r="S44" s="28" t="str">
        <f t="shared" si="5"/>
        <v>Bqm - Bq/m3</v>
      </c>
      <c r="U44" s="28" t="s">
        <v>6039</v>
      </c>
      <c r="V44" s="28" t="s">
        <v>6040</v>
      </c>
      <c r="W44" s="28" t="str">
        <f t="shared" si="6"/>
        <v>COP - Colombian Peso</v>
      </c>
      <c r="AC44" s="28" t="s">
        <v>6041</v>
      </c>
      <c r="AD44" s="28" t="s">
        <v>6042</v>
      </c>
      <c r="AE44" s="28" t="str">
        <f t="shared" si="8"/>
        <v>HI - Hindi</v>
      </c>
    </row>
    <row r="45" ht="15.75" customHeight="1">
      <c r="Q45" s="171" t="s">
        <v>6043</v>
      </c>
      <c r="R45" s="171" t="s">
        <v>6044</v>
      </c>
      <c r="S45" s="28" t="str">
        <f t="shared" si="5"/>
        <v>RF - mF</v>
      </c>
      <c r="U45" s="28" t="s">
        <v>6045</v>
      </c>
      <c r="V45" s="28" t="s">
        <v>6046</v>
      </c>
      <c r="W45" s="28" t="str">
        <f t="shared" si="6"/>
        <v>CRC - Cost.Rica Colon</v>
      </c>
      <c r="AC45" s="28" t="s">
        <v>6047</v>
      </c>
      <c r="AD45" s="28" t="s">
        <v>6048</v>
      </c>
      <c r="AE45" s="28" t="str">
        <f t="shared" si="8"/>
        <v>KK - Kazakh</v>
      </c>
    </row>
    <row r="46" ht="15.75" customHeight="1">
      <c r="Q46" s="171" t="s">
        <v>6049</v>
      </c>
      <c r="R46" s="171" t="s">
        <v>6050</v>
      </c>
      <c r="S46" s="28" t="str">
        <f t="shared" si="5"/>
        <v>M/M - Mo/m3</v>
      </c>
      <c r="U46" s="28" t="s">
        <v>6051</v>
      </c>
      <c r="V46" s="28" t="s">
        <v>6052</v>
      </c>
      <c r="W46" s="28" t="str">
        <f t="shared" si="6"/>
        <v>CSD - Serbian Dinar</v>
      </c>
      <c r="AC46" s="28" t="s">
        <v>6053</v>
      </c>
      <c r="AD46" s="28" t="s">
        <v>6054</v>
      </c>
      <c r="AE46" s="28" t="str">
        <f t="shared" si="8"/>
        <v>VI - Vietnamese</v>
      </c>
    </row>
    <row r="47" ht="15.75" customHeight="1">
      <c r="Q47" s="171" t="s">
        <v>6055</v>
      </c>
      <c r="R47" s="171" t="s">
        <v>6056</v>
      </c>
      <c r="S47" s="28" t="str">
        <f t="shared" si="5"/>
        <v>M/L - Mol/Liter</v>
      </c>
      <c r="U47" s="28" t="s">
        <v>6057</v>
      </c>
      <c r="V47" s="28" t="s">
        <v>6058</v>
      </c>
      <c r="W47" s="28" t="str">
        <f t="shared" si="6"/>
        <v>CUC - Peso Convertib.</v>
      </c>
    </row>
    <row r="48" ht="15.75" customHeight="1">
      <c r="Q48" s="171" t="s">
        <v>6059</v>
      </c>
      <c r="R48" s="171" t="s">
        <v>6060</v>
      </c>
      <c r="S48" s="28" t="str">
        <f t="shared" si="5"/>
        <v>NA - nA</v>
      </c>
      <c r="U48" s="28" t="s">
        <v>6061</v>
      </c>
      <c r="V48" s="28" t="s">
        <v>6062</v>
      </c>
      <c r="W48" s="28" t="str">
        <f t="shared" si="6"/>
        <v>CUP - Cuban Peso</v>
      </c>
    </row>
    <row r="49" ht="15.75" customHeight="1">
      <c r="Q49" s="171" t="s">
        <v>6063</v>
      </c>
      <c r="R49" s="171" t="s">
        <v>6064</v>
      </c>
      <c r="S49" s="28" t="str">
        <f t="shared" si="5"/>
        <v>C3S - cm3/s</v>
      </c>
      <c r="U49" s="28" t="s">
        <v>6065</v>
      </c>
      <c r="V49" s="28" t="s">
        <v>6066</v>
      </c>
      <c r="W49" s="28" t="str">
        <f t="shared" si="6"/>
        <v>CVE - Cape V. Escudo</v>
      </c>
    </row>
    <row r="50" ht="15.75" customHeight="1">
      <c r="Q50" s="171" t="s">
        <v>6067</v>
      </c>
      <c r="R50" s="171" t="s">
        <v>6068</v>
      </c>
      <c r="S50" s="28" t="str">
        <f t="shared" si="5"/>
        <v>R-U - nF</v>
      </c>
      <c r="U50" s="28" t="s">
        <v>6069</v>
      </c>
      <c r="V50" s="28" t="s">
        <v>6070</v>
      </c>
      <c r="W50" s="28" t="str">
        <f t="shared" si="6"/>
        <v>CYP - Cyprus Pound</v>
      </c>
    </row>
    <row r="51" ht="15.75" customHeight="1">
      <c r="Q51" s="171" t="s">
        <v>6071</v>
      </c>
      <c r="R51" s="171" t="s">
        <v>6072</v>
      </c>
      <c r="S51" s="28" t="str">
        <f t="shared" si="5"/>
        <v>NMM - N/mm2</v>
      </c>
      <c r="U51" s="28" t="s">
        <v>6073</v>
      </c>
      <c r="V51" s="28" t="s">
        <v>6074</v>
      </c>
      <c r="W51" s="28" t="str">
        <f t="shared" si="6"/>
        <v>CZK - Czech Krona</v>
      </c>
    </row>
    <row r="52" ht="15.75" customHeight="1">
      <c r="Q52" s="171" t="s">
        <v>6075</v>
      </c>
      <c r="R52" s="171" t="s">
        <v>6076</v>
      </c>
      <c r="S52" s="28" t="str">
        <f t="shared" si="5"/>
        <v>CCK - CCM/KG</v>
      </c>
      <c r="U52" s="28" t="s">
        <v>6077</v>
      </c>
      <c r="V52" s="28" t="s">
        <v>6078</v>
      </c>
      <c r="W52" s="28" t="str">
        <f t="shared" si="6"/>
        <v>DEM - German Mark</v>
      </c>
    </row>
    <row r="53" ht="15.75" customHeight="1">
      <c r="Q53" s="171" t="s">
        <v>6079</v>
      </c>
      <c r="R53" s="171" t="s">
        <v>6080</v>
      </c>
      <c r="S53" s="28" t="str">
        <f t="shared" si="5"/>
        <v>CCM - cm3</v>
      </c>
      <c r="U53" s="28" t="s">
        <v>6081</v>
      </c>
      <c r="V53" s="28" t="s">
        <v>6082</v>
      </c>
      <c r="W53" s="28" t="str">
        <f t="shared" si="6"/>
        <v>DJF - Djibouti Franc</v>
      </c>
    </row>
    <row r="54" ht="15.75" customHeight="1">
      <c r="Q54" s="171" t="s">
        <v>6083</v>
      </c>
      <c r="R54" s="171" t="s">
        <v>6084</v>
      </c>
      <c r="S54" s="28" t="str">
        <f t="shared" si="5"/>
        <v>CD - cd</v>
      </c>
      <c r="U54" s="28" t="s">
        <v>6085</v>
      </c>
      <c r="V54" s="28" t="s">
        <v>6086</v>
      </c>
      <c r="W54" s="28" t="str">
        <f t="shared" si="6"/>
        <v>DKK - Danish Krone</v>
      </c>
    </row>
    <row r="55" ht="15.75" customHeight="1">
      <c r="Q55" s="171" t="s">
        <v>6087</v>
      </c>
      <c r="R55" s="171" t="s">
        <v>6088</v>
      </c>
      <c r="S55" s="28" t="str">
        <f t="shared" si="5"/>
        <v>CD3 - Cubic dec.</v>
      </c>
      <c r="U55" s="28" t="s">
        <v>6089</v>
      </c>
      <c r="V55" s="28" t="s">
        <v>6090</v>
      </c>
      <c r="W55" s="28" t="str">
        <f t="shared" si="6"/>
        <v>DOP - Dominican Peso</v>
      </c>
    </row>
    <row r="56" ht="15.75" customHeight="1">
      <c r="Q56" s="171" t="s">
        <v>6091</v>
      </c>
      <c r="R56" s="171" t="s">
        <v>6092</v>
      </c>
      <c r="S56" s="28" t="str">
        <f t="shared" si="5"/>
        <v>CM - cm</v>
      </c>
      <c r="U56" s="28" t="s">
        <v>6093</v>
      </c>
      <c r="V56" s="28" t="s">
        <v>6094</v>
      </c>
      <c r="W56" s="28" t="str">
        <f t="shared" si="6"/>
        <v>DZD - Algerian Dinar</v>
      </c>
    </row>
    <row r="57" ht="15.75" customHeight="1">
      <c r="Q57" s="171" t="s">
        <v>6095</v>
      </c>
      <c r="R57" s="171" t="s">
        <v>6096</v>
      </c>
      <c r="S57" s="28" t="str">
        <f t="shared" si="5"/>
        <v>CM2 - cm2</v>
      </c>
      <c r="U57" s="28" t="s">
        <v>6097</v>
      </c>
      <c r="V57" s="28" t="s">
        <v>6098</v>
      </c>
      <c r="W57" s="28" t="str">
        <f t="shared" si="6"/>
        <v>ECS - Sucre</v>
      </c>
    </row>
    <row r="58" ht="15.75" customHeight="1">
      <c r="Q58" s="171" t="s">
        <v>6099</v>
      </c>
      <c r="R58" s="171" t="s">
        <v>6100</v>
      </c>
      <c r="S58" s="28" t="str">
        <f t="shared" si="5"/>
        <v>CMH - cm/h</v>
      </c>
      <c r="U58" s="28" t="s">
        <v>6101</v>
      </c>
      <c r="V58" s="28" t="s">
        <v>6102</v>
      </c>
      <c r="W58" s="28" t="str">
        <f t="shared" si="6"/>
        <v>EEK - Krona</v>
      </c>
    </row>
    <row r="59" ht="15.75" customHeight="1">
      <c r="Q59" s="171" t="s">
        <v>6039</v>
      </c>
      <c r="R59" s="171" t="s">
        <v>6103</v>
      </c>
      <c r="S59" s="28" t="str">
        <f t="shared" si="5"/>
        <v>COP - Copies</v>
      </c>
      <c r="U59" s="28" t="s">
        <v>6104</v>
      </c>
      <c r="V59" s="28" t="s">
        <v>6105</v>
      </c>
      <c r="W59" s="28" t="str">
        <f t="shared" si="6"/>
        <v>EGP - Egyptian Pound</v>
      </c>
    </row>
    <row r="60" ht="15.75" customHeight="1">
      <c r="Q60" s="171" t="s">
        <v>6106</v>
      </c>
      <c r="R60" s="171" t="s">
        <v>6107</v>
      </c>
      <c r="S60" s="28" t="str">
        <f t="shared" si="5"/>
        <v>CV - Case</v>
      </c>
      <c r="U60" s="28" t="s">
        <v>6108</v>
      </c>
      <c r="V60" s="28" t="s">
        <v>6109</v>
      </c>
      <c r="W60" s="28" t="str">
        <f t="shared" si="6"/>
        <v>ERN - Eritrean Nafka</v>
      </c>
    </row>
    <row r="61" ht="15.75" customHeight="1">
      <c r="Q61" s="171" t="s">
        <v>6110</v>
      </c>
      <c r="R61" s="171" t="s">
        <v>6111</v>
      </c>
      <c r="S61" s="28" t="str">
        <f t="shared" si="5"/>
        <v>CL - Centiliter</v>
      </c>
      <c r="U61" s="28" t="s">
        <v>6112</v>
      </c>
      <c r="V61" s="28" t="s">
        <v>5782</v>
      </c>
      <c r="W61" s="28" t="str">
        <f t="shared" si="6"/>
        <v>ESP - Peseta</v>
      </c>
    </row>
    <row r="62" ht="15.75" customHeight="1">
      <c r="Q62" s="171" t="s">
        <v>6113</v>
      </c>
      <c r="R62" s="171" t="s">
        <v>6114</v>
      </c>
      <c r="S62" s="28" t="str">
        <f t="shared" si="5"/>
        <v>S/M - Siemens/m</v>
      </c>
      <c r="U62" s="28" t="s">
        <v>6115</v>
      </c>
      <c r="V62" s="28" t="s">
        <v>6116</v>
      </c>
      <c r="W62" s="28" t="str">
        <f t="shared" si="6"/>
        <v>ETB - Ethiopian Birr</v>
      </c>
    </row>
    <row r="63" ht="15.75" customHeight="1">
      <c r="Q63" s="171" t="s">
        <v>6117</v>
      </c>
      <c r="R63" s="171" t="s">
        <v>6118</v>
      </c>
      <c r="S63" s="28" t="str">
        <f t="shared" si="5"/>
        <v>TOM - t/m3</v>
      </c>
      <c r="U63" s="28" t="s">
        <v>6119</v>
      </c>
      <c r="V63" s="28" t="s">
        <v>6120</v>
      </c>
      <c r="W63" s="28" t="str">
        <f t="shared" si="6"/>
        <v>EUR - Euro</v>
      </c>
    </row>
    <row r="64" ht="15.75" customHeight="1">
      <c r="Q64" s="171" t="s">
        <v>6121</v>
      </c>
      <c r="R64" s="171" t="s">
        <v>6122</v>
      </c>
      <c r="S64" s="28" t="str">
        <f t="shared" si="5"/>
        <v>VAM - VA</v>
      </c>
      <c r="U64" s="28" t="s">
        <v>6123</v>
      </c>
      <c r="V64" s="28"/>
      <c r="W64" s="28" t="str">
        <f t="shared" si="6"/>
        <v>EU4 - </v>
      </c>
    </row>
    <row r="65" ht="15.75" customHeight="1">
      <c r="Q65" s="171" t="s">
        <v>6124</v>
      </c>
      <c r="R65" s="171" t="s">
        <v>6125</v>
      </c>
      <c r="S65" s="28" t="str">
        <f t="shared" si="5"/>
        <v>JG - J/G</v>
      </c>
      <c r="U65" s="28" t="s">
        <v>6126</v>
      </c>
      <c r="V65" s="28" t="s">
        <v>6127</v>
      </c>
      <c r="W65" s="28" t="str">
        <f t="shared" si="6"/>
        <v>FIM - Finnish markka</v>
      </c>
    </row>
    <row r="66" ht="15.75" customHeight="1">
      <c r="Q66" s="171" t="s">
        <v>6128</v>
      </c>
      <c r="R66" s="171" t="s">
        <v>6129</v>
      </c>
      <c r="S66" s="28" t="str">
        <f t="shared" si="5"/>
        <v>dBA - db(A)</v>
      </c>
      <c r="U66" s="28" t="s">
        <v>6130</v>
      </c>
      <c r="V66" s="28" t="s">
        <v>6131</v>
      </c>
      <c r="W66" s="28" t="str">
        <f t="shared" si="6"/>
        <v>FJD - Fiji Dollar</v>
      </c>
    </row>
    <row r="67" ht="15.75" customHeight="1">
      <c r="Q67" s="171" t="s">
        <v>6132</v>
      </c>
      <c r="R67" s="171" t="s">
        <v>6133</v>
      </c>
      <c r="S67" s="28" t="str">
        <f t="shared" si="5"/>
        <v>dBC - dB(C)</v>
      </c>
      <c r="U67" s="28" t="s">
        <v>6134</v>
      </c>
      <c r="V67" s="28" t="s">
        <v>6135</v>
      </c>
      <c r="W67" s="28" t="str">
        <f t="shared" si="6"/>
        <v>FKP - Falkland Pound</v>
      </c>
    </row>
    <row r="68" ht="15.75" customHeight="1">
      <c r="Q68" s="171" t="s">
        <v>6136</v>
      </c>
      <c r="R68" s="171" t="s">
        <v>6137</v>
      </c>
      <c r="S68" s="28" t="str">
        <f t="shared" si="5"/>
        <v>DEG - Degree</v>
      </c>
      <c r="U68" s="28" t="s">
        <v>6138</v>
      </c>
      <c r="V68" s="28" t="s">
        <v>6139</v>
      </c>
      <c r="W68" s="28" t="str">
        <f t="shared" si="6"/>
        <v>FRF - French Franc</v>
      </c>
    </row>
    <row r="69" ht="15.75" customHeight="1">
      <c r="Q69" s="171" t="s">
        <v>6140</v>
      </c>
      <c r="R69" s="171" t="s">
        <v>6141</v>
      </c>
      <c r="S69" s="28" t="str">
        <f t="shared" si="5"/>
        <v>DGP - ADR Points</v>
      </c>
      <c r="U69" s="28" t="s">
        <v>6142</v>
      </c>
      <c r="V69" s="28" t="s">
        <v>6143</v>
      </c>
      <c r="W69" s="28" t="str">
        <f t="shared" si="6"/>
        <v>GBP - British Pound</v>
      </c>
    </row>
    <row r="70" ht="15.75" customHeight="1">
      <c r="Q70" s="171" t="s">
        <v>6144</v>
      </c>
      <c r="R70" s="171" t="s">
        <v>6145</v>
      </c>
      <c r="S70" s="28" t="str">
        <f t="shared" si="5"/>
        <v>DM - dm</v>
      </c>
      <c r="U70" s="28" t="s">
        <v>6146</v>
      </c>
      <c r="V70" s="28" t="s">
        <v>6147</v>
      </c>
      <c r="W70" s="28" t="str">
        <f t="shared" si="6"/>
        <v>GEL - Georgian Lari</v>
      </c>
    </row>
    <row r="71" ht="15.75" customHeight="1">
      <c r="Q71" s="171" t="s">
        <v>6148</v>
      </c>
      <c r="R71" s="171" t="s">
        <v>1688</v>
      </c>
      <c r="S71" s="28" t="str">
        <f t="shared" si="5"/>
        <v>DR - Drum</v>
      </c>
      <c r="U71" s="28" t="s">
        <v>6149</v>
      </c>
      <c r="V71" s="28" t="s">
        <v>6150</v>
      </c>
      <c r="W71" s="28" t="str">
        <f t="shared" si="6"/>
        <v>GHC - Cedi</v>
      </c>
    </row>
    <row r="72" ht="15.75" customHeight="1">
      <c r="Q72" s="171" t="s">
        <v>6151</v>
      </c>
      <c r="R72" s="171" t="s">
        <v>6152</v>
      </c>
      <c r="S72" s="28" t="str">
        <f t="shared" si="5"/>
        <v>DZ - Dozen</v>
      </c>
      <c r="U72" s="28" t="s">
        <v>6153</v>
      </c>
      <c r="V72" s="28" t="s">
        <v>6154</v>
      </c>
      <c r="W72" s="28" t="str">
        <f t="shared" si="6"/>
        <v>GHS - Ghanian Cedi</v>
      </c>
    </row>
    <row r="73" ht="15.75" customHeight="1">
      <c r="Q73" s="171" t="s">
        <v>6155</v>
      </c>
      <c r="R73" s="171" t="s">
        <v>6156</v>
      </c>
      <c r="S73" s="28" t="str">
        <f t="shared" si="5"/>
        <v>EA - Each</v>
      </c>
      <c r="U73" s="28" t="s">
        <v>6157</v>
      </c>
      <c r="V73" s="28" t="s">
        <v>6158</v>
      </c>
      <c r="W73" s="28" t="str">
        <f t="shared" si="6"/>
        <v>GIP - Gibraltar Pound</v>
      </c>
    </row>
    <row r="74" ht="15.75" customHeight="1">
      <c r="Q74" s="171" t="s">
        <v>6159</v>
      </c>
      <c r="R74" s="171" t="s">
        <v>6160</v>
      </c>
      <c r="S74" s="28" t="str">
        <f t="shared" si="5"/>
        <v>EU - Enzy.Units</v>
      </c>
      <c r="U74" s="28" t="s">
        <v>6161</v>
      </c>
      <c r="V74" s="28" t="s">
        <v>6162</v>
      </c>
      <c r="W74" s="28" t="str">
        <f t="shared" si="6"/>
        <v>GMD - Gambian Dalasi</v>
      </c>
    </row>
    <row r="75" ht="15.75" customHeight="1">
      <c r="Q75" s="171" t="s">
        <v>6163</v>
      </c>
      <c r="R75" s="171" t="s">
        <v>6164</v>
      </c>
      <c r="S75" s="28" t="str">
        <f t="shared" si="5"/>
        <v>EML - Enzyme/ml</v>
      </c>
      <c r="U75" s="28" t="s">
        <v>6165</v>
      </c>
      <c r="V75" s="28" t="s">
        <v>6166</v>
      </c>
      <c r="W75" s="28" t="str">
        <f t="shared" si="6"/>
        <v>GNF - Guinean Franc</v>
      </c>
    </row>
    <row r="76" ht="15.75" customHeight="1">
      <c r="Q76" s="171" t="s">
        <v>6167</v>
      </c>
      <c r="R76" s="171" t="s">
        <v>6168</v>
      </c>
      <c r="S76" s="28" t="str">
        <f t="shared" si="5"/>
        <v>EXR - Ex.Rate</v>
      </c>
      <c r="U76" s="28" t="s">
        <v>6169</v>
      </c>
      <c r="V76" s="28" t="s">
        <v>6170</v>
      </c>
      <c r="W76" s="28" t="str">
        <f t="shared" si="6"/>
        <v>GRD - Drachma</v>
      </c>
    </row>
    <row r="77" ht="15.75" customHeight="1">
      <c r="Q77" s="171" t="s">
        <v>6171</v>
      </c>
      <c r="R77" s="171" t="s">
        <v>6171</v>
      </c>
      <c r="S77" s="28" t="str">
        <f t="shared" si="5"/>
        <v>F - F</v>
      </c>
      <c r="U77" s="28" t="s">
        <v>6172</v>
      </c>
      <c r="V77" s="28" t="s">
        <v>6173</v>
      </c>
      <c r="W77" s="28" t="str">
        <f t="shared" si="6"/>
        <v>GTQ - Guatem. Quetzal</v>
      </c>
    </row>
    <row r="78" ht="15.75" customHeight="1">
      <c r="Q78" s="171" t="s">
        <v>6174</v>
      </c>
      <c r="R78" s="171" t="s">
        <v>6174</v>
      </c>
      <c r="S78" s="28" t="str">
        <f t="shared" si="5"/>
        <v>°F - °F</v>
      </c>
      <c r="U78" s="28" t="s">
        <v>6175</v>
      </c>
      <c r="V78" s="28" t="s">
        <v>6176</v>
      </c>
      <c r="W78" s="28" t="str">
        <f t="shared" si="6"/>
        <v>GWP - Guinea Peso</v>
      </c>
    </row>
    <row r="79" ht="15.75" customHeight="1">
      <c r="Q79" s="171" t="s">
        <v>6177</v>
      </c>
      <c r="R79" s="171" t="s">
        <v>6178</v>
      </c>
      <c r="S79" s="28" t="str">
        <f t="shared" si="5"/>
        <v>FAH - Fahrenheit</v>
      </c>
      <c r="U79" s="28" t="s">
        <v>6179</v>
      </c>
      <c r="V79" s="28" t="s">
        <v>6180</v>
      </c>
      <c r="W79" s="28" t="str">
        <f t="shared" si="6"/>
        <v>GYD - Guyana Dollar</v>
      </c>
    </row>
    <row r="80" ht="15.75" customHeight="1">
      <c r="Q80" s="171" t="s">
        <v>6181</v>
      </c>
      <c r="R80" s="171" t="s">
        <v>6182</v>
      </c>
      <c r="S80" s="28" t="str">
        <f t="shared" si="5"/>
        <v>FT - Foot</v>
      </c>
      <c r="U80" s="28" t="s">
        <v>6183</v>
      </c>
      <c r="V80" s="28" t="s">
        <v>6184</v>
      </c>
      <c r="W80" s="28" t="str">
        <f t="shared" si="6"/>
        <v>HKD - H.K.Dollar</v>
      </c>
    </row>
    <row r="81" ht="15.75" customHeight="1">
      <c r="Q81" s="171" t="s">
        <v>6185</v>
      </c>
      <c r="R81" s="171" t="s">
        <v>6186</v>
      </c>
      <c r="S81" s="28" t="str">
        <f t="shared" si="5"/>
        <v>FT2 - Square ft</v>
      </c>
      <c r="U81" s="28" t="s">
        <v>6187</v>
      </c>
      <c r="V81" s="28" t="s">
        <v>6188</v>
      </c>
      <c r="W81" s="28" t="str">
        <f t="shared" si="6"/>
        <v>HNL - Hond. Lempira</v>
      </c>
    </row>
    <row r="82" ht="15.75" customHeight="1">
      <c r="Q82" s="171" t="s">
        <v>6189</v>
      </c>
      <c r="R82" s="171" t="s">
        <v>6190</v>
      </c>
      <c r="S82" s="28" t="str">
        <f t="shared" si="5"/>
        <v>FT3 - Cubic ft</v>
      </c>
      <c r="U82" s="28" t="s">
        <v>6191</v>
      </c>
      <c r="V82" s="28" t="s">
        <v>6192</v>
      </c>
      <c r="W82" s="28" t="str">
        <f t="shared" si="6"/>
        <v>HRK - Croatian Kuna</v>
      </c>
    </row>
    <row r="83" ht="15.75" customHeight="1">
      <c r="Q83" s="171" t="s">
        <v>6193</v>
      </c>
      <c r="R83" s="171" t="s">
        <v>6194</v>
      </c>
      <c r="S83" s="28" t="str">
        <f t="shared" si="5"/>
        <v>G - g</v>
      </c>
      <c r="U83" s="28" t="s">
        <v>6195</v>
      </c>
      <c r="V83" s="28" t="s">
        <v>6196</v>
      </c>
      <c r="W83" s="28" t="str">
        <f t="shared" si="6"/>
        <v>HTG - Haitian Gourde</v>
      </c>
    </row>
    <row r="84" ht="15.75" customHeight="1">
      <c r="Q84" s="171" t="s">
        <v>6197</v>
      </c>
      <c r="R84" s="171" t="s">
        <v>6198</v>
      </c>
      <c r="S84" s="28" t="str">
        <f t="shared" si="5"/>
        <v>G/L - gai/liter</v>
      </c>
      <c r="U84" s="28" t="s">
        <v>6199</v>
      </c>
      <c r="V84" s="28" t="s">
        <v>6200</v>
      </c>
      <c r="W84" s="28" t="str">
        <f t="shared" si="6"/>
        <v>HUF - Hung. Forint</v>
      </c>
    </row>
    <row r="85" ht="15.75" customHeight="1">
      <c r="Q85" s="171" t="s">
        <v>6201</v>
      </c>
      <c r="R85" s="171" t="s">
        <v>6202</v>
      </c>
      <c r="S85" s="28" t="str">
        <f t="shared" si="5"/>
        <v>GAU - Gram Gold</v>
      </c>
      <c r="U85" s="28" t="s">
        <v>6203</v>
      </c>
      <c r="V85" s="28" t="s">
        <v>6204</v>
      </c>
      <c r="W85" s="28" t="str">
        <f t="shared" si="6"/>
        <v>IDR - ID Rupiah</v>
      </c>
    </row>
    <row r="86" ht="15.75" customHeight="1">
      <c r="Q86" s="171" t="s">
        <v>6205</v>
      </c>
      <c r="R86" s="171" t="s">
        <v>6206</v>
      </c>
      <c r="S86" s="28" t="str">
        <f t="shared" si="5"/>
        <v>GBQ - GBq</v>
      </c>
      <c r="U86" s="28" t="s">
        <v>6207</v>
      </c>
      <c r="V86" s="28" t="s">
        <v>6208</v>
      </c>
      <c r="W86" s="28" t="str">
        <f t="shared" si="6"/>
        <v>IEP - Irish Punt</v>
      </c>
    </row>
    <row r="87" ht="15.75" customHeight="1">
      <c r="Q87" s="171" t="s">
        <v>6209</v>
      </c>
      <c r="R87" s="171" t="s">
        <v>6209</v>
      </c>
      <c r="S87" s="28" t="str">
        <f t="shared" si="5"/>
        <v>°C - °C</v>
      </c>
      <c r="U87" s="28" t="s">
        <v>6210</v>
      </c>
      <c r="V87" s="28" t="s">
        <v>6211</v>
      </c>
      <c r="W87" s="28" t="str">
        <f t="shared" si="6"/>
        <v>ILS - Israel Shekel</v>
      </c>
    </row>
    <row r="88" ht="15.75" customHeight="1">
      <c r="Q88" s="171" t="s">
        <v>6212</v>
      </c>
      <c r="R88" s="171" t="s">
        <v>6213</v>
      </c>
      <c r="S88" s="28" t="str">
        <f t="shared" si="5"/>
        <v>GGL - g/gal</v>
      </c>
      <c r="U88" s="28" t="s">
        <v>6214</v>
      </c>
      <c r="V88" s="28" t="s">
        <v>6215</v>
      </c>
      <c r="W88" s="28" t="str">
        <f t="shared" si="6"/>
        <v>INR - Indian Rupee</v>
      </c>
    </row>
    <row r="89" ht="15.75" customHeight="1">
      <c r="Q89" s="171" t="s">
        <v>6216</v>
      </c>
      <c r="R89" s="171" t="s">
        <v>6217</v>
      </c>
      <c r="S89" s="28" t="str">
        <f t="shared" si="5"/>
        <v>GHG - g/hg</v>
      </c>
      <c r="U89" s="28" t="s">
        <v>6218</v>
      </c>
      <c r="V89" s="28" t="s">
        <v>6219</v>
      </c>
      <c r="W89" s="28" t="str">
        <f t="shared" si="6"/>
        <v>IQD - Iraqui Dinar</v>
      </c>
    </row>
    <row r="90" ht="15.75" customHeight="1">
      <c r="Q90" s="171" t="s">
        <v>6220</v>
      </c>
      <c r="R90" s="171" t="s">
        <v>6221</v>
      </c>
      <c r="S90" s="28" t="str">
        <f t="shared" si="5"/>
        <v>GJ - Gigajoule</v>
      </c>
      <c r="U90" s="28" t="s">
        <v>6222</v>
      </c>
      <c r="V90" s="28" t="s">
        <v>6223</v>
      </c>
      <c r="W90" s="28" t="str">
        <f t="shared" si="6"/>
        <v>IRR - Iranian Rial</v>
      </c>
    </row>
    <row r="91" ht="15.75" customHeight="1">
      <c r="Q91" s="171" t="s">
        <v>6224</v>
      </c>
      <c r="R91" s="171" t="s">
        <v>6225</v>
      </c>
      <c r="S91" s="28" t="str">
        <f t="shared" si="5"/>
        <v>GJC - GJ/kl</v>
      </c>
      <c r="U91" s="28" t="s">
        <v>6226</v>
      </c>
      <c r="V91" s="28" t="s">
        <v>6227</v>
      </c>
      <c r="W91" s="28" t="str">
        <f t="shared" si="6"/>
        <v>ISK - Iceland Krona</v>
      </c>
    </row>
    <row r="92" ht="15.75" customHeight="1">
      <c r="Q92" s="171" t="s">
        <v>6228</v>
      </c>
      <c r="R92" s="171" t="s">
        <v>6229</v>
      </c>
      <c r="S92" s="28" t="str">
        <f t="shared" si="5"/>
        <v>GJT - GJ/t</v>
      </c>
      <c r="U92" s="28" t="s">
        <v>6230</v>
      </c>
      <c r="V92" s="28" t="s">
        <v>6231</v>
      </c>
      <c r="W92" s="28" t="str">
        <f t="shared" si="6"/>
        <v>ITL - Lire</v>
      </c>
    </row>
    <row r="93" ht="15.75" customHeight="1">
      <c r="Q93" s="171" t="s">
        <v>6232</v>
      </c>
      <c r="R93" s="171" t="s">
        <v>6233</v>
      </c>
      <c r="S93" s="28" t="str">
        <f t="shared" si="5"/>
        <v>GKG - g/kg</v>
      </c>
      <c r="U93" s="28" t="s">
        <v>6234</v>
      </c>
      <c r="V93" s="28" t="s">
        <v>6235</v>
      </c>
      <c r="W93" s="28" t="str">
        <f t="shared" si="6"/>
        <v>JMD - Jamaican Dollar</v>
      </c>
    </row>
    <row r="94" ht="15.75" customHeight="1">
      <c r="Q94" s="171" t="s">
        <v>6236</v>
      </c>
      <c r="R94" s="171" t="s">
        <v>6237</v>
      </c>
      <c r="S94" s="28" t="str">
        <f t="shared" si="5"/>
        <v>GKH - g/KWh</v>
      </c>
      <c r="U94" s="28" t="s">
        <v>6238</v>
      </c>
      <c r="V94" s="28" t="s">
        <v>6239</v>
      </c>
      <c r="W94" s="28" t="str">
        <f t="shared" si="6"/>
        <v>JOD - Jordanian Dinar</v>
      </c>
    </row>
    <row r="95" ht="15.75" customHeight="1">
      <c r="Q95" s="171" t="s">
        <v>6240</v>
      </c>
      <c r="R95" s="171" t="s">
        <v>6241</v>
      </c>
      <c r="S95" s="28" t="str">
        <f t="shared" si="5"/>
        <v>GLI - g/l</v>
      </c>
      <c r="U95" s="28" t="s">
        <v>6242</v>
      </c>
      <c r="V95" s="28" t="s">
        <v>6243</v>
      </c>
      <c r="W95" s="28" t="str">
        <f t="shared" si="6"/>
        <v>JPY - Japanese Yen</v>
      </c>
    </row>
    <row r="96" ht="15.75" customHeight="1">
      <c r="Q96" s="171" t="s">
        <v>6244</v>
      </c>
      <c r="R96" s="171" t="s">
        <v>6245</v>
      </c>
      <c r="S96" s="28" t="str">
        <f t="shared" si="5"/>
        <v>GAL - US Gallon</v>
      </c>
      <c r="U96" s="28" t="s">
        <v>6246</v>
      </c>
      <c r="V96" s="28" t="s">
        <v>6247</v>
      </c>
      <c r="W96" s="28" t="str">
        <f t="shared" si="6"/>
        <v>KES - Keny. Shilling</v>
      </c>
    </row>
    <row r="97" ht="15.75" customHeight="1">
      <c r="Q97" s="171" t="s">
        <v>6248</v>
      </c>
      <c r="R97" s="171" t="s">
        <v>6249</v>
      </c>
      <c r="S97" s="28" t="str">
        <f t="shared" si="5"/>
        <v>GPM - Gal/Mi(US)</v>
      </c>
      <c r="U97" s="28" t="s">
        <v>6250</v>
      </c>
      <c r="V97" s="28" t="s">
        <v>6251</v>
      </c>
      <c r="W97" s="28" t="str">
        <f t="shared" si="6"/>
        <v>KGS - Kyrgyzstan Som</v>
      </c>
    </row>
    <row r="98" ht="15.75" customHeight="1">
      <c r="Q98" s="171" t="s">
        <v>6252</v>
      </c>
      <c r="R98" s="171" t="s">
        <v>6253</v>
      </c>
      <c r="S98" s="28" t="str">
        <f t="shared" si="5"/>
        <v>GM - g/mol</v>
      </c>
      <c r="U98" s="28" t="s">
        <v>6254</v>
      </c>
      <c r="V98" s="28" t="s">
        <v>6255</v>
      </c>
      <c r="W98" s="28" t="str">
        <f t="shared" si="6"/>
        <v>KHR - Cambodian Riel</v>
      </c>
    </row>
    <row r="99" ht="15.75" customHeight="1">
      <c r="Q99" s="171" t="s">
        <v>6256</v>
      </c>
      <c r="R99" s="171" t="s">
        <v>6257</v>
      </c>
      <c r="S99" s="28" t="str">
        <f t="shared" si="5"/>
        <v>GM2 - g/m2</v>
      </c>
      <c r="U99" s="28" t="s">
        <v>6258</v>
      </c>
      <c r="V99" s="28" t="s">
        <v>6259</v>
      </c>
      <c r="W99" s="28" t="str">
        <f t="shared" si="6"/>
        <v>KMF - Comoros Franc</v>
      </c>
    </row>
    <row r="100" ht="15.75" customHeight="1">
      <c r="Q100" s="171" t="s">
        <v>6260</v>
      </c>
      <c r="R100" s="171" t="s">
        <v>6261</v>
      </c>
      <c r="S100" s="28" t="str">
        <f t="shared" si="5"/>
        <v>GMB - g/MMBt</v>
      </c>
      <c r="U100" s="28" t="s">
        <v>6262</v>
      </c>
      <c r="V100" s="28" t="s">
        <v>6263</v>
      </c>
      <c r="W100" s="28" t="str">
        <f t="shared" si="6"/>
        <v>KPW - N. Korean Won</v>
      </c>
    </row>
    <row r="101" ht="15.75" customHeight="1">
      <c r="Q101" s="171" t="s">
        <v>6264</v>
      </c>
      <c r="R101" s="171" t="s">
        <v>6265</v>
      </c>
      <c r="S101" s="28" t="str">
        <f t="shared" si="5"/>
        <v>GPH - Gal/hr US</v>
      </c>
      <c r="U101" s="28" t="s">
        <v>6266</v>
      </c>
      <c r="V101" s="28" t="s">
        <v>6267</v>
      </c>
      <c r="W101" s="28" t="str">
        <f t="shared" si="6"/>
        <v>KRW - S. Korean Won</v>
      </c>
    </row>
    <row r="102" ht="15.75" customHeight="1">
      <c r="Q102" s="171" t="s">
        <v>6268</v>
      </c>
      <c r="R102" s="171" t="s">
        <v>6269</v>
      </c>
      <c r="S102" s="28" t="str">
        <f t="shared" si="5"/>
        <v>µGQ - µg/m3</v>
      </c>
      <c r="U102" s="28" t="s">
        <v>6270</v>
      </c>
      <c r="V102" s="28" t="s">
        <v>6271</v>
      </c>
      <c r="W102" s="28" t="str">
        <f t="shared" si="6"/>
        <v>KWD - Kuwaiti Dinar</v>
      </c>
    </row>
    <row r="103" ht="15.75" customHeight="1">
      <c r="Q103" s="171" t="s">
        <v>6272</v>
      </c>
      <c r="R103" s="171" t="s">
        <v>6273</v>
      </c>
      <c r="S103" s="28" t="str">
        <f t="shared" si="5"/>
        <v>GRO - Gross</v>
      </c>
      <c r="U103" s="28" t="s">
        <v>6274</v>
      </c>
      <c r="V103" s="28" t="s">
        <v>6275</v>
      </c>
      <c r="W103" s="28" t="str">
        <f t="shared" si="6"/>
        <v>KYD - Cayman Dollar</v>
      </c>
    </row>
    <row r="104" ht="15.75" customHeight="1">
      <c r="Q104" s="171" t="s">
        <v>6276</v>
      </c>
      <c r="R104" s="171" t="s">
        <v>6277</v>
      </c>
      <c r="S104" s="28" t="str">
        <f t="shared" si="5"/>
        <v>GT - g/t</v>
      </c>
      <c r="U104" s="28" t="s">
        <v>6278</v>
      </c>
      <c r="V104" s="28" t="s">
        <v>6279</v>
      </c>
      <c r="W104" s="28" t="str">
        <f t="shared" si="6"/>
        <v>KZT - Kazakst. Tenge</v>
      </c>
    </row>
    <row r="105" ht="15.75" customHeight="1">
      <c r="Q105" s="171" t="s">
        <v>6280</v>
      </c>
      <c r="R105" s="171" t="s">
        <v>6281</v>
      </c>
      <c r="S105" s="28" t="str">
        <f t="shared" si="5"/>
        <v>GUT - g/ton</v>
      </c>
      <c r="U105" s="28" t="s">
        <v>6282</v>
      </c>
      <c r="V105" s="28" t="s">
        <v>6283</v>
      </c>
      <c r="W105" s="28" t="str">
        <f t="shared" si="6"/>
        <v>LAK - Laotian Kip</v>
      </c>
    </row>
    <row r="106" ht="15.75" customHeight="1">
      <c r="Q106" s="171" t="s">
        <v>6284</v>
      </c>
      <c r="R106" s="171" t="s">
        <v>6285</v>
      </c>
      <c r="S106" s="28" t="str">
        <f t="shared" si="5"/>
        <v>GAI - g act.ing.</v>
      </c>
      <c r="U106" s="28" t="s">
        <v>6286</v>
      </c>
      <c r="V106" s="28" t="s">
        <v>6287</v>
      </c>
      <c r="W106" s="28" t="str">
        <f t="shared" si="6"/>
        <v>LBP - Lebanese Pound</v>
      </c>
    </row>
    <row r="107" ht="15.75" customHeight="1">
      <c r="Q107" s="171" t="s">
        <v>6288</v>
      </c>
      <c r="R107" s="171" t="s">
        <v>6289</v>
      </c>
      <c r="S107" s="28" t="str">
        <f t="shared" si="5"/>
        <v>H - Hours</v>
      </c>
      <c r="U107" s="28" t="s">
        <v>6290</v>
      </c>
      <c r="V107" s="28" t="s">
        <v>6291</v>
      </c>
      <c r="W107" s="28" t="str">
        <f t="shared" si="6"/>
        <v>LKR - Sri Lanka Rupee</v>
      </c>
    </row>
    <row r="108" ht="15.75" customHeight="1">
      <c r="Q108" s="171" t="s">
        <v>6292</v>
      </c>
      <c r="R108" s="171" t="s">
        <v>6293</v>
      </c>
      <c r="S108" s="28" t="str">
        <f t="shared" si="5"/>
        <v>HA - Hectare</v>
      </c>
      <c r="U108" s="28" t="s">
        <v>6294</v>
      </c>
      <c r="V108" s="28" t="s">
        <v>6295</v>
      </c>
      <c r="W108" s="28" t="str">
        <f t="shared" si="6"/>
        <v>LRD - Liberian Dollar</v>
      </c>
    </row>
    <row r="109" ht="15.75" customHeight="1">
      <c r="Q109" s="171" t="s">
        <v>6296</v>
      </c>
      <c r="R109" s="171" t="s">
        <v>6297</v>
      </c>
      <c r="S109" s="28" t="str">
        <f t="shared" si="5"/>
        <v>HL - hl</v>
      </c>
      <c r="U109" s="28" t="s">
        <v>6298</v>
      </c>
      <c r="V109" s="28" t="s">
        <v>6299</v>
      </c>
      <c r="W109" s="28" t="str">
        <f t="shared" si="6"/>
        <v>LSL - Lesotho Loti</v>
      </c>
    </row>
    <row r="110" ht="15.75" customHeight="1">
      <c r="Q110" s="171" t="s">
        <v>6300</v>
      </c>
      <c r="R110" s="171" t="s">
        <v>6301</v>
      </c>
      <c r="S110" s="28" t="str">
        <f t="shared" si="5"/>
        <v>HPA - hPa</v>
      </c>
      <c r="U110" s="28" t="s">
        <v>6302</v>
      </c>
      <c r="V110" s="28" t="s">
        <v>6303</v>
      </c>
      <c r="W110" s="28" t="str">
        <f t="shared" si="6"/>
        <v>LTL - Lita</v>
      </c>
    </row>
    <row r="111" ht="15.75" customHeight="1">
      <c r="Q111" s="171" t="s">
        <v>6304</v>
      </c>
      <c r="R111" s="171" t="s">
        <v>6305</v>
      </c>
      <c r="S111" s="28" t="str">
        <f t="shared" si="5"/>
        <v>HZ - Hz</v>
      </c>
      <c r="U111" s="28" t="s">
        <v>6306</v>
      </c>
      <c r="V111" s="28" t="s">
        <v>6307</v>
      </c>
      <c r="W111" s="28" t="str">
        <f t="shared" si="6"/>
        <v>LUF - Lux. Franc</v>
      </c>
    </row>
    <row r="112" ht="15.75" customHeight="1">
      <c r="Q112" s="171" t="s">
        <v>6308</v>
      </c>
      <c r="R112" s="171" t="s">
        <v>6309</v>
      </c>
      <c r="S112" s="28" t="str">
        <f t="shared" si="5"/>
        <v>" - Inches</v>
      </c>
      <c r="U112" s="28" t="s">
        <v>6310</v>
      </c>
      <c r="V112" s="28" t="s">
        <v>6311</v>
      </c>
      <c r="W112" s="28" t="str">
        <f t="shared" si="6"/>
        <v>LVL - Lat</v>
      </c>
    </row>
    <row r="113" ht="15.75" customHeight="1">
      <c r="Q113" s="171" t="s">
        <v>6312</v>
      </c>
      <c r="R113" s="171" t="s">
        <v>6313</v>
      </c>
      <c r="S113" s="28" t="str">
        <f t="shared" si="5"/>
        <v>"2 - Inch2</v>
      </c>
      <c r="U113" s="28" t="s">
        <v>6314</v>
      </c>
      <c r="V113" s="28" t="s">
        <v>6315</v>
      </c>
      <c r="W113" s="28" t="str">
        <f t="shared" si="6"/>
        <v>LYD - Libyan Dinar</v>
      </c>
    </row>
    <row r="114" ht="15.75" customHeight="1">
      <c r="Q114" s="171" t="s">
        <v>6316</v>
      </c>
      <c r="R114" s="171" t="s">
        <v>6317</v>
      </c>
      <c r="S114" s="28" t="str">
        <f t="shared" si="5"/>
        <v>"3 - Cubic inch</v>
      </c>
      <c r="U114" s="28" t="s">
        <v>6318</v>
      </c>
      <c r="V114" s="28" t="s">
        <v>6319</v>
      </c>
      <c r="W114" s="28" t="str">
        <f t="shared" si="6"/>
        <v>MAD - Moroccan Dirham</v>
      </c>
    </row>
    <row r="115" ht="15.75" customHeight="1">
      <c r="Q115" s="171" t="s">
        <v>6320</v>
      </c>
      <c r="R115" s="171" t="s">
        <v>6320</v>
      </c>
      <c r="S115" s="28" t="str">
        <f t="shared" si="5"/>
        <v>J - J</v>
      </c>
      <c r="U115" s="28" t="s">
        <v>6321</v>
      </c>
      <c r="V115" s="28" t="s">
        <v>6322</v>
      </c>
      <c r="W115" s="28" t="str">
        <f t="shared" si="6"/>
        <v>MDL - Moldavian Leu</v>
      </c>
    </row>
    <row r="116" ht="15.75" customHeight="1">
      <c r="Q116" s="171" t="s">
        <v>6323</v>
      </c>
      <c r="R116" s="171" t="s">
        <v>5837</v>
      </c>
      <c r="S116" s="28" t="str">
        <f t="shared" si="5"/>
        <v>YR - Year</v>
      </c>
      <c r="U116" s="28" t="s">
        <v>6324</v>
      </c>
      <c r="V116" s="28" t="s">
        <v>6325</v>
      </c>
      <c r="W116" s="28" t="str">
        <f t="shared" si="6"/>
        <v>MGA - Madagasc.Ariary</v>
      </c>
    </row>
    <row r="117" ht="15.75" customHeight="1">
      <c r="Q117" s="171" t="s">
        <v>6326</v>
      </c>
      <c r="R117" s="171" t="s">
        <v>6327</v>
      </c>
      <c r="S117" s="28" t="str">
        <f t="shared" si="5"/>
        <v>JKG - J/kg</v>
      </c>
      <c r="U117" s="28" t="s">
        <v>6328</v>
      </c>
      <c r="V117" s="28" t="s">
        <v>6329</v>
      </c>
      <c r="W117" s="28" t="str">
        <f t="shared" si="6"/>
        <v>MGF - Madagascan Fr.</v>
      </c>
    </row>
    <row r="118" ht="15.75" customHeight="1">
      <c r="Q118" s="171" t="s">
        <v>6330</v>
      </c>
      <c r="R118" s="171" t="s">
        <v>6331</v>
      </c>
      <c r="S118" s="28" t="str">
        <f t="shared" si="5"/>
        <v>JKK - J/(kg*K)</v>
      </c>
      <c r="U118" s="28" t="s">
        <v>6332</v>
      </c>
      <c r="V118" s="28" t="s">
        <v>6333</v>
      </c>
      <c r="W118" s="28" t="str">
        <f t="shared" si="6"/>
        <v>MKD - Maced. Denar</v>
      </c>
    </row>
    <row r="119" ht="15.75" customHeight="1">
      <c r="Q119" s="171" t="s">
        <v>6334</v>
      </c>
      <c r="R119" s="171" t="s">
        <v>6335</v>
      </c>
      <c r="S119" s="28" t="str">
        <f t="shared" si="5"/>
        <v>JM3 - Joule/m3</v>
      </c>
      <c r="U119" s="28" t="s">
        <v>6336</v>
      </c>
      <c r="V119" s="28" t="s">
        <v>6337</v>
      </c>
      <c r="W119" s="28" t="str">
        <f t="shared" si="6"/>
        <v>MMK - Myanmar Kyat</v>
      </c>
    </row>
    <row r="120" ht="15.75" customHeight="1">
      <c r="Q120" s="171" t="s">
        <v>6338</v>
      </c>
      <c r="R120" s="171" t="s">
        <v>6339</v>
      </c>
      <c r="S120" s="28" t="str">
        <f t="shared" si="5"/>
        <v>JMO - J/mol</v>
      </c>
      <c r="U120" s="28" t="s">
        <v>6340</v>
      </c>
      <c r="V120" s="28" t="s">
        <v>6341</v>
      </c>
      <c r="W120" s="28" t="str">
        <f t="shared" si="6"/>
        <v>MNT - Mong. Tugrik</v>
      </c>
    </row>
    <row r="121" ht="15.75" customHeight="1">
      <c r="Q121" s="171" t="s">
        <v>6342</v>
      </c>
      <c r="R121" s="171" t="s">
        <v>6342</v>
      </c>
      <c r="S121" s="28" t="str">
        <f t="shared" si="5"/>
        <v>K - K</v>
      </c>
      <c r="U121" s="28" t="s">
        <v>6343</v>
      </c>
      <c r="V121" s="28" t="s">
        <v>6344</v>
      </c>
      <c r="W121" s="28" t="str">
        <f t="shared" si="6"/>
        <v>MOP - Macao Pataca</v>
      </c>
    </row>
    <row r="122" ht="15.75" customHeight="1">
      <c r="Q122" s="171" t="s">
        <v>6345</v>
      </c>
      <c r="R122" s="171" t="s">
        <v>6346</v>
      </c>
      <c r="S122" s="28" t="str">
        <f t="shared" si="5"/>
        <v>KA - kA</v>
      </c>
      <c r="U122" s="28" t="s">
        <v>6347</v>
      </c>
      <c r="V122" s="28" t="s">
        <v>6348</v>
      </c>
      <c r="W122" s="28" t="str">
        <f t="shared" si="6"/>
        <v>MRO - Maurit. Ouguiya</v>
      </c>
    </row>
    <row r="123" ht="15.75" customHeight="1">
      <c r="Q123" s="171" t="s">
        <v>6349</v>
      </c>
      <c r="R123" s="171" t="s">
        <v>6350</v>
      </c>
      <c r="S123" s="28" t="str">
        <f t="shared" si="5"/>
        <v>CAN - Canister</v>
      </c>
      <c r="U123" s="28" t="s">
        <v>6351</v>
      </c>
      <c r="V123" s="28" t="s">
        <v>6348</v>
      </c>
      <c r="W123" s="28" t="str">
        <f t="shared" si="6"/>
        <v>MRU - Maurit. Ouguiya</v>
      </c>
    </row>
    <row r="124" ht="15.75" customHeight="1">
      <c r="Q124" s="171" t="s">
        <v>2320</v>
      </c>
      <c r="R124" s="171" t="s">
        <v>1677</v>
      </c>
      <c r="S124" s="28" t="str">
        <f t="shared" si="5"/>
        <v>CAR - Carton</v>
      </c>
      <c r="U124" s="28" t="s">
        <v>6352</v>
      </c>
      <c r="V124" s="28" t="s">
        <v>6353</v>
      </c>
      <c r="W124" s="28" t="str">
        <f t="shared" si="6"/>
        <v>MTL - Lira</v>
      </c>
    </row>
    <row r="125" ht="15.75" customHeight="1">
      <c r="Q125" s="171" t="s">
        <v>6354</v>
      </c>
      <c r="R125" s="171" t="s">
        <v>6355</v>
      </c>
      <c r="S125" s="28" t="str">
        <f t="shared" si="5"/>
        <v>KB2 - kBq/c2</v>
      </c>
      <c r="U125" s="28" t="s">
        <v>2204</v>
      </c>
      <c r="V125" s="28" t="s">
        <v>6356</v>
      </c>
      <c r="W125" s="28" t="str">
        <f t="shared" si="6"/>
        <v>MUR - Mauritian Rupee</v>
      </c>
    </row>
    <row r="126" ht="15.75" customHeight="1">
      <c r="Q126" s="171" t="s">
        <v>6357</v>
      </c>
      <c r="R126" s="171" t="s">
        <v>6358</v>
      </c>
      <c r="S126" s="28" t="str">
        <f t="shared" si="5"/>
        <v>KBG - kBq/g</v>
      </c>
      <c r="U126" s="28" t="s">
        <v>6359</v>
      </c>
      <c r="V126" s="28" t="s">
        <v>6360</v>
      </c>
      <c r="W126" s="28" t="str">
        <f t="shared" si="6"/>
        <v>MVR - Maldive Rufiyaa</v>
      </c>
    </row>
    <row r="127" ht="15.75" customHeight="1">
      <c r="Q127" s="171" t="s">
        <v>6361</v>
      </c>
      <c r="R127" s="171" t="s">
        <v>6362</v>
      </c>
      <c r="S127" s="28" t="str">
        <f t="shared" si="5"/>
        <v>KBK - kBq/kg</v>
      </c>
      <c r="U127" s="28" t="s">
        <v>6363</v>
      </c>
      <c r="V127" s="28" t="s">
        <v>6364</v>
      </c>
      <c r="W127" s="28" t="str">
        <f t="shared" si="6"/>
        <v>MWK - Malawi Kwacha</v>
      </c>
    </row>
    <row r="128" ht="15.75" customHeight="1">
      <c r="Q128" s="171" t="s">
        <v>6365</v>
      </c>
      <c r="R128" s="171" t="s">
        <v>6366</v>
      </c>
      <c r="S128" s="28" t="str">
        <f t="shared" si="5"/>
        <v>KBQ - kBq</v>
      </c>
      <c r="U128" s="28" t="s">
        <v>6367</v>
      </c>
      <c r="V128" s="28" t="s">
        <v>6368</v>
      </c>
      <c r="W128" s="28" t="str">
        <f t="shared" si="6"/>
        <v>MXN - Mexican Pesos</v>
      </c>
    </row>
    <row r="129" ht="15.75" customHeight="1">
      <c r="Q129" s="171" t="s">
        <v>6369</v>
      </c>
      <c r="R129" s="171" t="s">
        <v>6370</v>
      </c>
      <c r="S129" s="28" t="str">
        <f t="shared" si="5"/>
        <v>KEL - kg/KWh</v>
      </c>
      <c r="U129" s="28" t="s">
        <v>6371</v>
      </c>
      <c r="V129" s="28" t="s">
        <v>6372</v>
      </c>
      <c r="W129" s="28" t="str">
        <f t="shared" si="6"/>
        <v>MXV - Mexic Uni. Inv.</v>
      </c>
    </row>
    <row r="130" ht="15.75" customHeight="1">
      <c r="Q130" s="171" t="s">
        <v>6373</v>
      </c>
      <c r="R130" s="171" t="s">
        <v>6374</v>
      </c>
      <c r="S130" s="28" t="str">
        <f t="shared" si="5"/>
        <v>KG - kg</v>
      </c>
      <c r="U130" s="28" t="s">
        <v>6375</v>
      </c>
      <c r="V130" s="28" t="s">
        <v>6376</v>
      </c>
      <c r="W130" s="28" t="str">
        <f t="shared" si="6"/>
        <v>MYR - Mal. Ringgit</v>
      </c>
    </row>
    <row r="131" ht="15.75" customHeight="1">
      <c r="Q131" s="171" t="s">
        <v>6377</v>
      </c>
      <c r="R131" s="171" t="s">
        <v>6378</v>
      </c>
      <c r="S131" s="28" t="str">
        <f t="shared" si="5"/>
        <v>KGF - kg/m2</v>
      </c>
      <c r="U131" s="28" t="s">
        <v>6379</v>
      </c>
      <c r="V131" s="28" t="s">
        <v>6380</v>
      </c>
      <c r="W131" s="28" t="str">
        <f t="shared" si="6"/>
        <v>MZM - Metical</v>
      </c>
    </row>
    <row r="132" ht="15.75" customHeight="1">
      <c r="Q132" s="171" t="s">
        <v>6381</v>
      </c>
      <c r="R132" s="171" t="s">
        <v>6382</v>
      </c>
      <c r="S132" s="28" t="str">
        <f t="shared" si="5"/>
        <v>KGH - kg/h</v>
      </c>
      <c r="U132" s="28" t="s">
        <v>6383</v>
      </c>
      <c r="V132" s="28" t="s">
        <v>6384</v>
      </c>
      <c r="W132" s="28" t="str">
        <f t="shared" si="6"/>
        <v>MZN - Mozamb. Metical</v>
      </c>
    </row>
    <row r="133" ht="15.75" customHeight="1">
      <c r="Q133" s="171" t="s">
        <v>6385</v>
      </c>
      <c r="R133" s="171" t="s">
        <v>6386</v>
      </c>
      <c r="S133" s="28" t="str">
        <f t="shared" si="5"/>
        <v>KGJ - kg/GJ</v>
      </c>
      <c r="U133" s="28" t="s">
        <v>6387</v>
      </c>
      <c r="V133" s="28" t="s">
        <v>6388</v>
      </c>
      <c r="W133" s="28" t="str">
        <f t="shared" si="6"/>
        <v>NAD - Namibian Dollar</v>
      </c>
    </row>
    <row r="134" ht="15.75" customHeight="1">
      <c r="Q134" s="171" t="s">
        <v>6389</v>
      </c>
      <c r="R134" s="171" t="s">
        <v>6390</v>
      </c>
      <c r="S134" s="28" t="str">
        <f t="shared" si="5"/>
        <v>KGK - kg/kg</v>
      </c>
      <c r="U134" s="28" t="s">
        <v>6391</v>
      </c>
      <c r="V134" s="28" t="s">
        <v>6392</v>
      </c>
      <c r="W134" s="28" t="str">
        <f t="shared" si="6"/>
        <v>NGN - Nigerian Naira</v>
      </c>
    </row>
    <row r="135" ht="15.75" customHeight="1">
      <c r="Q135" s="171" t="s">
        <v>6393</v>
      </c>
      <c r="R135" s="171" t="s">
        <v>6394</v>
      </c>
      <c r="S135" s="28" t="str">
        <f t="shared" si="5"/>
        <v>KGM - kg/mol</v>
      </c>
      <c r="U135" s="28" t="s">
        <v>6395</v>
      </c>
      <c r="V135" s="28" t="s">
        <v>6396</v>
      </c>
      <c r="W135" s="28" t="str">
        <f t="shared" si="6"/>
        <v>NIO - Nicar. Cor. Oro</v>
      </c>
    </row>
    <row r="136" ht="15.75" customHeight="1">
      <c r="Q136" s="171" t="s">
        <v>6250</v>
      </c>
      <c r="R136" s="171" t="s">
        <v>6397</v>
      </c>
      <c r="S136" s="28" t="str">
        <f t="shared" si="5"/>
        <v>KGS - kg/s</v>
      </c>
      <c r="U136" s="28" t="s">
        <v>6398</v>
      </c>
      <c r="V136" s="28" t="s">
        <v>6399</v>
      </c>
      <c r="W136" s="28" t="str">
        <f t="shared" si="6"/>
        <v>NLG - Guilder</v>
      </c>
    </row>
    <row r="137" ht="15.75" customHeight="1">
      <c r="Q137" s="171" t="s">
        <v>6400</v>
      </c>
      <c r="R137" s="171" t="s">
        <v>6401</v>
      </c>
      <c r="S137" s="28" t="str">
        <f t="shared" si="5"/>
        <v>KGT - kg/t</v>
      </c>
      <c r="U137" s="28" t="s">
        <v>6402</v>
      </c>
      <c r="V137" s="28" t="s">
        <v>6403</v>
      </c>
      <c r="W137" s="28" t="str">
        <f t="shared" si="6"/>
        <v>NOK - Norwegian Krone</v>
      </c>
    </row>
    <row r="138" ht="15.75" customHeight="1">
      <c r="Q138" s="171" t="s">
        <v>6404</v>
      </c>
      <c r="R138" s="171" t="s">
        <v>6405</v>
      </c>
      <c r="S138" s="28" t="str">
        <f t="shared" si="5"/>
        <v>KGV - kg/m3</v>
      </c>
      <c r="U138" s="28" t="s">
        <v>6406</v>
      </c>
      <c r="V138" s="28" t="s">
        <v>6407</v>
      </c>
      <c r="W138" s="28" t="str">
        <f t="shared" si="6"/>
        <v>NPR - Nepalese Rupee</v>
      </c>
    </row>
    <row r="139" ht="15.75" customHeight="1">
      <c r="Q139" s="171" t="s">
        <v>6408</v>
      </c>
      <c r="R139" s="171" t="s">
        <v>6409</v>
      </c>
      <c r="S139" s="28" t="str">
        <f t="shared" si="5"/>
        <v>KAI - kg ac.ing.</v>
      </c>
      <c r="U139" s="28" t="s">
        <v>6410</v>
      </c>
      <c r="V139" s="28" t="s">
        <v>6411</v>
      </c>
      <c r="W139" s="28" t="str">
        <f t="shared" si="6"/>
        <v>NZD - N. Zeal. Dollar</v>
      </c>
    </row>
    <row r="140" ht="15.75" customHeight="1">
      <c r="Q140" s="171" t="s">
        <v>6412</v>
      </c>
      <c r="R140" s="171" t="s">
        <v>6413</v>
      </c>
      <c r="S140" s="28" t="str">
        <f t="shared" si="5"/>
        <v>KHZ - kHz</v>
      </c>
      <c r="U140" s="28" t="s">
        <v>6414</v>
      </c>
      <c r="V140" s="28" t="s">
        <v>6415</v>
      </c>
      <c r="W140" s="28" t="str">
        <f t="shared" si="6"/>
        <v>OMR - Omani Rial</v>
      </c>
    </row>
    <row r="141" ht="15.75" customHeight="1">
      <c r="Q141" s="171" t="s">
        <v>6416</v>
      </c>
      <c r="R141" s="171" t="s">
        <v>6417</v>
      </c>
      <c r="S141" s="28" t="str">
        <f t="shared" si="5"/>
        <v>CRT - Crate</v>
      </c>
      <c r="U141" s="28" t="s">
        <v>6418</v>
      </c>
      <c r="V141" s="28" t="s">
        <v>6419</v>
      </c>
      <c r="W141" s="28" t="str">
        <f t="shared" si="6"/>
        <v>PAB - Panam. Balboa</v>
      </c>
    </row>
    <row r="142" ht="15.75" customHeight="1">
      <c r="Q142" s="171" t="s">
        <v>6420</v>
      </c>
      <c r="R142" s="171" t="s">
        <v>6421</v>
      </c>
      <c r="S142" s="28" t="str">
        <f t="shared" si="5"/>
        <v>KJ - kJ</v>
      </c>
      <c r="U142" s="28" t="s">
        <v>2342</v>
      </c>
      <c r="V142" s="28" t="s">
        <v>6422</v>
      </c>
      <c r="W142" s="28" t="str">
        <f t="shared" si="6"/>
        <v>PEN - Peruvian Sol</v>
      </c>
    </row>
    <row r="143" ht="15.75" customHeight="1">
      <c r="Q143" s="171" t="s">
        <v>6423</v>
      </c>
      <c r="R143" s="171" t="s">
        <v>6424</v>
      </c>
      <c r="S143" s="28" t="str">
        <f t="shared" si="5"/>
        <v>KJG - kJ/g</v>
      </c>
      <c r="U143" s="28" t="s">
        <v>6425</v>
      </c>
      <c r="V143" s="28" t="s">
        <v>6426</v>
      </c>
      <c r="W143" s="28" t="str">
        <f t="shared" si="6"/>
        <v>PGK - Papua NG Kina</v>
      </c>
    </row>
    <row r="144" ht="15.75" customHeight="1">
      <c r="Q144" s="171" t="s">
        <v>6427</v>
      </c>
      <c r="R144" s="171" t="s">
        <v>6428</v>
      </c>
      <c r="S144" s="28" t="str">
        <f t="shared" si="5"/>
        <v>KJK - KJ/kg</v>
      </c>
      <c r="U144" s="28" t="s">
        <v>6429</v>
      </c>
      <c r="V144" s="28" t="s">
        <v>6430</v>
      </c>
      <c r="W144" s="28" t="str">
        <f t="shared" si="6"/>
        <v>PHP - Philippine Peso</v>
      </c>
    </row>
    <row r="145" ht="15.75" customHeight="1">
      <c r="Q145" s="171" t="s">
        <v>6431</v>
      </c>
      <c r="R145" s="171" t="s">
        <v>6432</v>
      </c>
      <c r="S145" s="28" t="str">
        <f t="shared" si="5"/>
        <v>KJM - KJ/mol</v>
      </c>
      <c r="U145" s="28" t="s">
        <v>6433</v>
      </c>
      <c r="V145" s="28" t="s">
        <v>6434</v>
      </c>
      <c r="W145" s="28" t="str">
        <f t="shared" si="6"/>
        <v>PKR - Pakistani Rupee</v>
      </c>
    </row>
    <row r="146" ht="15.75" customHeight="1">
      <c r="Q146" s="171" t="s">
        <v>6435</v>
      </c>
      <c r="R146" s="171" t="s">
        <v>6436</v>
      </c>
      <c r="S146" s="28" t="str">
        <f t="shared" si="5"/>
        <v>KKW - kg/MWh</v>
      </c>
      <c r="U146" s="28" t="s">
        <v>6437</v>
      </c>
      <c r="V146" s="28" t="s">
        <v>6438</v>
      </c>
      <c r="W146" s="28" t="str">
        <f t="shared" si="6"/>
        <v>PLN - Polish Zloty</v>
      </c>
    </row>
    <row r="147" ht="15.75" customHeight="1">
      <c r="Q147" s="171" t="s">
        <v>6439</v>
      </c>
      <c r="R147" s="171" t="s">
        <v>6440</v>
      </c>
      <c r="S147" s="28" t="str">
        <f t="shared" si="5"/>
        <v>KM - km</v>
      </c>
      <c r="U147" s="28" t="s">
        <v>6441</v>
      </c>
      <c r="V147" s="28" t="s">
        <v>6442</v>
      </c>
      <c r="W147" s="28" t="str">
        <f t="shared" si="6"/>
        <v>PTE - Escudo</v>
      </c>
    </row>
    <row r="148" ht="15.75" customHeight="1">
      <c r="Q148" s="171" t="s">
        <v>6443</v>
      </c>
      <c r="R148" s="171" t="s">
        <v>6444</v>
      </c>
      <c r="S148" s="28" t="str">
        <f t="shared" si="5"/>
        <v>KM2 - km2</v>
      </c>
      <c r="U148" s="28" t="s">
        <v>6445</v>
      </c>
      <c r="V148" s="28" t="s">
        <v>6446</v>
      </c>
      <c r="W148" s="28" t="str">
        <f t="shared" si="6"/>
        <v>PYG - Parag. Guarani</v>
      </c>
    </row>
    <row r="149" ht="15.75" customHeight="1">
      <c r="Q149" s="171" t="s">
        <v>6447</v>
      </c>
      <c r="R149" s="171" t="s">
        <v>6448</v>
      </c>
      <c r="S149" s="28" t="str">
        <f t="shared" si="5"/>
        <v>KMH - km/h</v>
      </c>
      <c r="U149" s="28" t="s">
        <v>6449</v>
      </c>
      <c r="V149" s="28" t="s">
        <v>6450</v>
      </c>
      <c r="W149" s="28" t="str">
        <f t="shared" si="6"/>
        <v>QAR - Qatar Rial</v>
      </c>
    </row>
    <row r="150" ht="15.75" customHeight="1">
      <c r="Q150" s="171" t="s">
        <v>6451</v>
      </c>
      <c r="R150" s="171" t="s">
        <v>6452</v>
      </c>
      <c r="S150" s="28" t="str">
        <f t="shared" si="5"/>
        <v>KMI - kg/min</v>
      </c>
      <c r="U150" s="28" t="s">
        <v>6453</v>
      </c>
      <c r="V150" s="28" t="s">
        <v>6454</v>
      </c>
      <c r="W150" s="28" t="str">
        <f t="shared" si="6"/>
        <v>ROL - Leu (Old)</v>
      </c>
    </row>
    <row r="151" ht="15.75" customHeight="1">
      <c r="Q151" s="171" t="s">
        <v>6455</v>
      </c>
      <c r="R151" s="171" t="s">
        <v>6456</v>
      </c>
      <c r="S151" s="28" t="str">
        <f t="shared" si="5"/>
        <v>KMK - m3/m3</v>
      </c>
      <c r="U151" s="28" t="s">
        <v>6457</v>
      </c>
      <c r="V151" s="28" t="s">
        <v>6458</v>
      </c>
      <c r="W151" s="28" t="str">
        <f t="shared" si="6"/>
        <v>RON - Romanian Leu</v>
      </c>
    </row>
    <row r="152" ht="15.75" customHeight="1">
      <c r="Q152" s="171" t="s">
        <v>6459</v>
      </c>
      <c r="R152" s="171" t="s">
        <v>6460</v>
      </c>
      <c r="S152" s="28" t="str">
        <f t="shared" si="5"/>
        <v>KMN - K/min</v>
      </c>
      <c r="U152" s="28" t="s">
        <v>6461</v>
      </c>
      <c r="V152" s="28" t="s">
        <v>6052</v>
      </c>
      <c r="W152" s="28" t="str">
        <f t="shared" si="6"/>
        <v>RSD - Serbian Dinar</v>
      </c>
    </row>
    <row r="153" ht="15.75" customHeight="1">
      <c r="Q153" s="171" t="s">
        <v>6462</v>
      </c>
      <c r="R153" s="171" t="s">
        <v>6463</v>
      </c>
      <c r="S153" s="28" t="str">
        <f t="shared" si="5"/>
        <v>KMS - K/s</v>
      </c>
      <c r="U153" s="28" t="s">
        <v>6464</v>
      </c>
      <c r="V153" s="28" t="s">
        <v>6465</v>
      </c>
      <c r="W153" s="28" t="str">
        <f t="shared" si="6"/>
        <v>RUB - Russian Ruble</v>
      </c>
    </row>
    <row r="154" ht="15.75" customHeight="1">
      <c r="Q154" s="171" t="s">
        <v>6466</v>
      </c>
      <c r="R154" s="171" t="s">
        <v>6467</v>
      </c>
      <c r="S154" s="28" t="str">
        <f t="shared" si="5"/>
        <v>KOH - kOhm</v>
      </c>
      <c r="U154" s="28" t="s">
        <v>6468</v>
      </c>
      <c r="V154" s="28" t="s">
        <v>6469</v>
      </c>
      <c r="W154" s="28" t="str">
        <f t="shared" si="6"/>
        <v>RWF - Rwandan Franc</v>
      </c>
    </row>
    <row r="155" ht="15.75" customHeight="1">
      <c r="Q155" s="171" t="s">
        <v>6470</v>
      </c>
      <c r="R155" s="171" t="s">
        <v>6471</v>
      </c>
      <c r="S155" s="28" t="str">
        <f t="shared" si="5"/>
        <v>KPA - kPa</v>
      </c>
      <c r="U155" s="28" t="s">
        <v>6472</v>
      </c>
      <c r="V155" s="28" t="s">
        <v>6473</v>
      </c>
      <c r="W155" s="28" t="str">
        <f t="shared" si="6"/>
        <v>SAR - Saudi Riyal</v>
      </c>
    </row>
    <row r="156" ht="15.75" customHeight="1">
      <c r="Q156" s="171" t="s">
        <v>6474</v>
      </c>
      <c r="R156" s="171" t="s">
        <v>6475</v>
      </c>
      <c r="S156" s="28" t="str">
        <f t="shared" si="5"/>
        <v>KT - kt</v>
      </c>
      <c r="U156" s="28" t="s">
        <v>6476</v>
      </c>
      <c r="V156" s="28" t="s">
        <v>6477</v>
      </c>
      <c r="W156" s="28" t="str">
        <f t="shared" si="6"/>
        <v>SBD - Sol.Isl. Dollar</v>
      </c>
    </row>
    <row r="157" ht="15.75" customHeight="1">
      <c r="Q157" s="171" t="s">
        <v>6478</v>
      </c>
      <c r="R157" s="171" t="s">
        <v>6479</v>
      </c>
      <c r="S157" s="28" t="str">
        <f t="shared" si="5"/>
        <v>KV - kV</v>
      </c>
      <c r="U157" s="28" t="s">
        <v>6480</v>
      </c>
      <c r="V157" s="28" t="s">
        <v>6481</v>
      </c>
      <c r="W157" s="28" t="str">
        <f t="shared" si="6"/>
        <v>SCR - Seychel. Rupee</v>
      </c>
    </row>
    <row r="158" ht="15.75" customHeight="1">
      <c r="Q158" s="171" t="s">
        <v>6482</v>
      </c>
      <c r="R158" s="171" t="s">
        <v>6483</v>
      </c>
      <c r="S158" s="28" t="str">
        <f t="shared" si="5"/>
        <v>KVA - kVA</v>
      </c>
      <c r="U158" s="28" t="s">
        <v>6484</v>
      </c>
      <c r="V158" s="28" t="s">
        <v>6485</v>
      </c>
      <c r="W158" s="28" t="str">
        <f t="shared" si="6"/>
        <v>SDD - Dinar</v>
      </c>
    </row>
    <row r="159" ht="15.75" customHeight="1">
      <c r="Q159" s="171" t="s">
        <v>6486</v>
      </c>
      <c r="R159" s="171" t="s">
        <v>6486</v>
      </c>
      <c r="S159" s="28" t="str">
        <f t="shared" si="5"/>
        <v>KW - KW</v>
      </c>
      <c r="U159" s="28" t="s">
        <v>6487</v>
      </c>
      <c r="V159" s="28" t="s">
        <v>6488</v>
      </c>
      <c r="W159" s="28" t="str">
        <f t="shared" si="6"/>
        <v>SDG - Sudanese Pound</v>
      </c>
    </row>
    <row r="160" ht="15.75" customHeight="1">
      <c r="Q160" s="171" t="s">
        <v>6489</v>
      </c>
      <c r="R160" s="171" t="s">
        <v>6490</v>
      </c>
      <c r="S160" s="28" t="str">
        <f t="shared" si="5"/>
        <v>KWH - kWh</v>
      </c>
      <c r="U160" s="28" t="s">
        <v>6491</v>
      </c>
      <c r="V160" s="28" t="s">
        <v>6492</v>
      </c>
      <c r="W160" s="28" t="str">
        <f t="shared" si="6"/>
        <v>SDP - Pound</v>
      </c>
    </row>
    <row r="161" ht="15.75" customHeight="1">
      <c r="Q161" s="171" t="s">
        <v>6493</v>
      </c>
      <c r="R161" s="171" t="s">
        <v>6494</v>
      </c>
      <c r="S161" s="28" t="str">
        <f t="shared" si="5"/>
        <v>KIK - kai/kg</v>
      </c>
      <c r="U161" s="28" t="s">
        <v>6495</v>
      </c>
      <c r="V161" s="28" t="s">
        <v>6496</v>
      </c>
      <c r="W161" s="28" t="str">
        <f t="shared" si="6"/>
        <v>SEK - Swedish Krona</v>
      </c>
    </row>
    <row r="162" ht="15.75" customHeight="1">
      <c r="Q162" s="171" t="s">
        <v>6497</v>
      </c>
      <c r="R162" s="171" t="s">
        <v>6498</v>
      </c>
      <c r="S162" s="28" t="str">
        <f t="shared" si="5"/>
        <v>KWM - kWh/m3</v>
      </c>
      <c r="U162" s="28" t="s">
        <v>6499</v>
      </c>
      <c r="V162" s="28" t="s">
        <v>6500</v>
      </c>
      <c r="W162" s="28" t="str">
        <f t="shared" si="6"/>
        <v>SGD - Sing. Dollar</v>
      </c>
    </row>
    <row r="163" ht="15.75" customHeight="1">
      <c r="Q163" s="171" t="s">
        <v>6501</v>
      </c>
      <c r="R163" s="171" t="s">
        <v>6502</v>
      </c>
      <c r="S163" s="28" t="str">
        <f t="shared" si="5"/>
        <v>Kcl - kcal</v>
      </c>
      <c r="U163" s="28" t="s">
        <v>6503</v>
      </c>
      <c r="V163" s="28" t="s">
        <v>6504</v>
      </c>
      <c r="W163" s="28" t="str">
        <f t="shared" si="6"/>
        <v>SHP - St.Helena Pound</v>
      </c>
    </row>
    <row r="164" ht="15.75" customHeight="1">
      <c r="Q164" s="171" t="s">
        <v>6505</v>
      </c>
      <c r="R164" s="171" t="s">
        <v>6506</v>
      </c>
      <c r="S164" s="28" t="str">
        <f t="shared" si="5"/>
        <v>L - l</v>
      </c>
      <c r="U164" s="28" t="s">
        <v>6507</v>
      </c>
      <c r="V164" s="28" t="s">
        <v>6508</v>
      </c>
      <c r="W164" s="28" t="str">
        <f t="shared" si="6"/>
        <v>SIT - Tolar</v>
      </c>
    </row>
    <row r="165" ht="15.75" customHeight="1">
      <c r="Q165" s="171" t="s">
        <v>6509</v>
      </c>
      <c r="R165" s="171" t="s">
        <v>6510</v>
      </c>
      <c r="S165" s="28" t="str">
        <f t="shared" si="5"/>
        <v>LMI - l/min</v>
      </c>
      <c r="U165" s="28" t="s">
        <v>6511</v>
      </c>
      <c r="V165" s="28" t="s">
        <v>6102</v>
      </c>
      <c r="W165" s="28" t="str">
        <f t="shared" si="6"/>
        <v>SKK - Krona</v>
      </c>
    </row>
    <row r="166" ht="15.75" customHeight="1">
      <c r="Q166" s="171" t="s">
        <v>6512</v>
      </c>
      <c r="R166" s="171" t="s">
        <v>6512</v>
      </c>
      <c r="S166" s="28" t="str">
        <f t="shared" si="5"/>
        <v>LA - LA</v>
      </c>
      <c r="U166" s="28" t="s">
        <v>6513</v>
      </c>
      <c r="V166" s="28" t="s">
        <v>6514</v>
      </c>
      <c r="W166" s="28" t="str">
        <f t="shared" si="6"/>
        <v>SLL - Sierra L. Leone</v>
      </c>
    </row>
    <row r="167" ht="15.75" customHeight="1">
      <c r="Q167" s="171" t="s">
        <v>6515</v>
      </c>
      <c r="R167" s="171" t="s">
        <v>6492</v>
      </c>
      <c r="S167" s="28" t="str">
        <f t="shared" si="5"/>
        <v>LB - Pound</v>
      </c>
      <c r="U167" s="28" t="s">
        <v>6516</v>
      </c>
      <c r="V167" s="28" t="s">
        <v>6517</v>
      </c>
      <c r="W167" s="28" t="str">
        <f t="shared" si="6"/>
        <v>SOS - Soma. Shilling</v>
      </c>
    </row>
    <row r="168" ht="15.75" customHeight="1">
      <c r="Q168" s="171" t="s">
        <v>6518</v>
      </c>
      <c r="R168" s="171" t="s">
        <v>6519</v>
      </c>
      <c r="S168" s="28" t="str">
        <f t="shared" si="5"/>
        <v>DYr - Pound/Year</v>
      </c>
      <c r="U168" s="28" t="s">
        <v>6520</v>
      </c>
      <c r="V168" s="28" t="s">
        <v>6521</v>
      </c>
      <c r="W168" s="28" t="str">
        <f t="shared" si="6"/>
        <v>SRD - Surinam Dollar</v>
      </c>
    </row>
    <row r="169" ht="15.75" customHeight="1">
      <c r="Q169" s="171" t="s">
        <v>6522</v>
      </c>
      <c r="R169" s="171" t="s">
        <v>6523</v>
      </c>
      <c r="S169" s="28" t="str">
        <f t="shared" si="5"/>
        <v>lbM - Pound/Mon</v>
      </c>
      <c r="U169" s="28" t="s">
        <v>6524</v>
      </c>
      <c r="V169" s="28" t="s">
        <v>6525</v>
      </c>
      <c r="W169" s="28" t="str">
        <f t="shared" si="6"/>
        <v>SRG - Surinam Guilder</v>
      </c>
    </row>
    <row r="170" ht="15.75" customHeight="1">
      <c r="Q170" s="171" t="s">
        <v>6526</v>
      </c>
      <c r="R170" s="171" t="s">
        <v>6526</v>
      </c>
      <c r="S170" s="28" t="str">
        <f t="shared" si="5"/>
        <v>AU - AU</v>
      </c>
      <c r="U170" s="28" t="s">
        <v>6527</v>
      </c>
      <c r="V170" s="28" t="s">
        <v>6528</v>
      </c>
      <c r="W170" s="28" t="str">
        <f t="shared" si="6"/>
        <v>SSP - S. Sudan Pound</v>
      </c>
    </row>
    <row r="171" ht="15.75" customHeight="1">
      <c r="Q171" s="171" t="s">
        <v>6529</v>
      </c>
      <c r="R171" s="171" t="s">
        <v>6530</v>
      </c>
      <c r="S171" s="28" t="str">
        <f t="shared" si="5"/>
        <v>LHK - l/100 km</v>
      </c>
      <c r="U171" s="28" t="s">
        <v>6531</v>
      </c>
      <c r="V171" s="28" t="s">
        <v>6532</v>
      </c>
      <c r="W171" s="28" t="str">
        <f t="shared" si="6"/>
        <v>STD - Sao Tome Dobra</v>
      </c>
    </row>
    <row r="172" ht="15.75" customHeight="1">
      <c r="Q172" s="171" t="s">
        <v>942</v>
      </c>
      <c r="R172" s="171" t="s">
        <v>6533</v>
      </c>
      <c r="S172" s="28" t="str">
        <f t="shared" si="5"/>
        <v>LM - m/Piece</v>
      </c>
      <c r="U172" s="28" t="s">
        <v>6534</v>
      </c>
      <c r="V172" s="28" t="s">
        <v>6532</v>
      </c>
      <c r="W172" s="28" t="str">
        <f t="shared" si="6"/>
        <v>STN - Sao Tome Dobra</v>
      </c>
    </row>
    <row r="173" ht="15.75" customHeight="1">
      <c r="Q173" s="171" t="s">
        <v>6535</v>
      </c>
      <c r="R173" s="171" t="s">
        <v>6536</v>
      </c>
      <c r="S173" s="28" t="str">
        <f t="shared" si="5"/>
        <v>LMH - lb/MWh</v>
      </c>
      <c r="U173" s="28" t="s">
        <v>6537</v>
      </c>
      <c r="V173" s="28" t="s">
        <v>6538</v>
      </c>
      <c r="W173" s="28" t="str">
        <f t="shared" si="6"/>
        <v>SVC - El Salv. Colon</v>
      </c>
    </row>
    <row r="174" ht="15.75" customHeight="1">
      <c r="Q174" s="171" t="s">
        <v>6539</v>
      </c>
      <c r="R174" s="171" t="s">
        <v>6540</v>
      </c>
      <c r="S174" s="28" t="str">
        <f t="shared" si="5"/>
        <v>LMS - l/mol.s</v>
      </c>
      <c r="U174" s="28" t="s">
        <v>6541</v>
      </c>
      <c r="V174" s="28" t="s">
        <v>6542</v>
      </c>
      <c r="W174" s="28" t="str">
        <f t="shared" si="6"/>
        <v>SYP - Syrian Pound</v>
      </c>
    </row>
    <row r="175" ht="15.75" customHeight="1">
      <c r="Q175" s="171" t="s">
        <v>6543</v>
      </c>
      <c r="R175" s="171" t="s">
        <v>6544</v>
      </c>
      <c r="S175" s="28" t="str">
        <f t="shared" si="5"/>
        <v>LPH - Liter/hr</v>
      </c>
      <c r="U175" s="28" t="s">
        <v>6545</v>
      </c>
      <c r="V175" s="28" t="s">
        <v>6546</v>
      </c>
      <c r="W175" s="28" t="str">
        <f t="shared" si="6"/>
        <v>SZL - Swaz. Lilangeni</v>
      </c>
    </row>
    <row r="176" ht="15.75" customHeight="1">
      <c r="Q176" s="171" t="s">
        <v>5790</v>
      </c>
      <c r="R176" s="171" t="s">
        <v>6547</v>
      </c>
      <c r="S176" s="28" t="str">
        <f t="shared" si="5"/>
        <v>M - m</v>
      </c>
      <c r="U176" s="28" t="s">
        <v>6548</v>
      </c>
      <c r="V176" s="28" t="s">
        <v>6549</v>
      </c>
      <c r="W176" s="28" t="str">
        <f t="shared" si="6"/>
        <v>THB - Baht</v>
      </c>
    </row>
    <row r="177" ht="15.75" customHeight="1">
      <c r="Q177" s="171" t="s">
        <v>6550</v>
      </c>
      <c r="R177" s="171" t="s">
        <v>6551</v>
      </c>
      <c r="S177" s="28" t="str">
        <f t="shared" si="5"/>
        <v>M% - %(m)</v>
      </c>
      <c r="U177" s="28" t="s">
        <v>6552</v>
      </c>
      <c r="V177" s="28" t="s">
        <v>6553</v>
      </c>
      <c r="W177" s="28" t="str">
        <f t="shared" si="6"/>
        <v>TJR - Ruble</v>
      </c>
    </row>
    <row r="178" ht="15.75" customHeight="1">
      <c r="Q178" s="171" t="s">
        <v>6554</v>
      </c>
      <c r="R178" s="171" t="s">
        <v>6555</v>
      </c>
      <c r="S178" s="28" t="str">
        <f t="shared" si="5"/>
        <v>M%O - %0(mass)</v>
      </c>
      <c r="U178" s="28" t="s">
        <v>6556</v>
      </c>
      <c r="V178" s="28" t="s">
        <v>6557</v>
      </c>
      <c r="W178" s="28" t="str">
        <f t="shared" si="6"/>
        <v>TJS - Tajik. Somoni</v>
      </c>
    </row>
    <row r="179" ht="15.75" customHeight="1">
      <c r="Q179" s="171" t="s">
        <v>6558</v>
      </c>
      <c r="R179" s="171" t="s">
        <v>6559</v>
      </c>
      <c r="S179" s="28" t="str">
        <f t="shared" si="5"/>
        <v>M/S - m/s</v>
      </c>
      <c r="U179" s="28" t="s">
        <v>6560</v>
      </c>
      <c r="V179" s="28" t="s">
        <v>6561</v>
      </c>
      <c r="W179" s="28" t="str">
        <f t="shared" si="6"/>
        <v>TMM - Manat (Old)</v>
      </c>
    </row>
    <row r="180" ht="15.75" customHeight="1">
      <c r="Q180" s="171" t="s">
        <v>6562</v>
      </c>
      <c r="R180" s="171" t="s">
        <v>6563</v>
      </c>
      <c r="S180" s="28" t="str">
        <f t="shared" si="5"/>
        <v>M2 - m2</v>
      </c>
      <c r="U180" s="28" t="s">
        <v>6564</v>
      </c>
      <c r="V180" s="28" t="s">
        <v>6565</v>
      </c>
      <c r="W180" s="28" t="str">
        <f t="shared" si="6"/>
        <v>TMT - Turkmen. Manat</v>
      </c>
    </row>
    <row r="181" ht="15.75" customHeight="1">
      <c r="Q181" s="171" t="s">
        <v>6566</v>
      </c>
      <c r="R181" s="171" t="s">
        <v>6567</v>
      </c>
      <c r="S181" s="28" t="str">
        <f t="shared" si="5"/>
        <v>M2C - m2/cm3</v>
      </c>
      <c r="U181" s="28" t="s">
        <v>6568</v>
      </c>
      <c r="V181" s="28" t="s">
        <v>6569</v>
      </c>
      <c r="W181" s="28" t="str">
        <f t="shared" si="6"/>
        <v>TND - Tunisian Dinar</v>
      </c>
    </row>
    <row r="182" ht="15.75" customHeight="1">
      <c r="Q182" s="171" t="s">
        <v>6570</v>
      </c>
      <c r="R182" s="171" t="s">
        <v>6571</v>
      </c>
      <c r="S182" s="28" t="str">
        <f t="shared" si="5"/>
        <v>M2G - m2/g</v>
      </c>
      <c r="U182" s="28" t="s">
        <v>6572</v>
      </c>
      <c r="V182" s="28" t="s">
        <v>6573</v>
      </c>
      <c r="W182" s="28" t="str">
        <f t="shared" si="6"/>
        <v>TOP - Tongan Pa'anga</v>
      </c>
    </row>
    <row r="183" ht="15.75" customHeight="1">
      <c r="Q183" s="171" t="s">
        <v>6574</v>
      </c>
      <c r="R183" s="171" t="s">
        <v>6575</v>
      </c>
      <c r="S183" s="28" t="str">
        <f t="shared" si="5"/>
        <v>M-2 - 1/M2</v>
      </c>
      <c r="U183" s="28" t="s">
        <v>6576</v>
      </c>
      <c r="V183" s="28" t="s">
        <v>6577</v>
      </c>
      <c r="W183" s="28" t="str">
        <f t="shared" si="6"/>
        <v>TPE - Timor Escudo</v>
      </c>
    </row>
    <row r="184" ht="15.75" customHeight="1">
      <c r="Q184" s="171" t="s">
        <v>6578</v>
      </c>
      <c r="R184" s="171" t="s">
        <v>6579</v>
      </c>
      <c r="S184" s="28" t="str">
        <f t="shared" si="5"/>
        <v>M2K - m2/kg</v>
      </c>
      <c r="U184" s="28" t="s">
        <v>6580</v>
      </c>
      <c r="V184" s="28" t="s">
        <v>6581</v>
      </c>
      <c r="W184" s="28" t="str">
        <f t="shared" si="6"/>
        <v>TRL - Lira (Old)</v>
      </c>
    </row>
    <row r="185" ht="15.75" customHeight="1">
      <c r="Q185" s="171" t="s">
        <v>6582</v>
      </c>
      <c r="R185" s="171" t="s">
        <v>6583</v>
      </c>
      <c r="S185" s="28" t="str">
        <f t="shared" si="5"/>
        <v>M2M - m2/m3</v>
      </c>
      <c r="U185" s="28" t="s">
        <v>6584</v>
      </c>
      <c r="V185" s="28" t="s">
        <v>6585</v>
      </c>
      <c r="W185" s="28" t="str">
        <f t="shared" si="6"/>
        <v>TRY - Turkish Lira</v>
      </c>
    </row>
    <row r="186" ht="15.75" customHeight="1">
      <c r="Q186" s="171" t="s">
        <v>6586</v>
      </c>
      <c r="R186" s="171" t="s">
        <v>6587</v>
      </c>
      <c r="S186" s="28" t="str">
        <f t="shared" si="5"/>
        <v>M2S - m2/s</v>
      </c>
      <c r="U186" s="28" t="s">
        <v>6588</v>
      </c>
      <c r="V186" s="28" t="s">
        <v>6589</v>
      </c>
      <c r="W186" s="28" t="str">
        <f t="shared" si="6"/>
        <v>TTD - T. + T. Dollar</v>
      </c>
    </row>
    <row r="187" ht="15.75" customHeight="1">
      <c r="Q187" s="171" t="s">
        <v>6590</v>
      </c>
      <c r="R187" s="171" t="s">
        <v>6591</v>
      </c>
      <c r="S187" s="28" t="str">
        <f t="shared" si="5"/>
        <v>M3 - m3</v>
      </c>
      <c r="U187" s="28" t="s">
        <v>6592</v>
      </c>
      <c r="V187" s="28" t="s">
        <v>6593</v>
      </c>
      <c r="W187" s="28" t="str">
        <f t="shared" si="6"/>
        <v>TWD - Taiwan Dollar</v>
      </c>
    </row>
    <row r="188" ht="15.75" customHeight="1">
      <c r="Q188" s="171" t="s">
        <v>6594</v>
      </c>
      <c r="R188" s="171" t="s">
        <v>6595</v>
      </c>
      <c r="S188" s="28" t="str">
        <f t="shared" si="5"/>
        <v>M3D - m3/day</v>
      </c>
      <c r="U188" s="28" t="s">
        <v>6596</v>
      </c>
      <c r="V188" s="28" t="s">
        <v>6597</v>
      </c>
      <c r="W188" s="28" t="str">
        <f t="shared" si="6"/>
        <v>TZS - Tanz. Shilling</v>
      </c>
    </row>
    <row r="189" ht="15.75" customHeight="1">
      <c r="Q189" s="171" t="s">
        <v>6598</v>
      </c>
      <c r="R189" s="171" t="s">
        <v>6599</v>
      </c>
      <c r="S189" s="28" t="str">
        <f t="shared" si="5"/>
        <v>M3S - m3/s</v>
      </c>
      <c r="U189" s="28" t="s">
        <v>6600</v>
      </c>
      <c r="V189" s="28" t="s">
        <v>6601</v>
      </c>
      <c r="W189" s="28" t="str">
        <f t="shared" si="6"/>
        <v>UAH - Ukraine Hryvnia</v>
      </c>
    </row>
    <row r="190" ht="15.75" customHeight="1">
      <c r="Q190" s="171" t="s">
        <v>6602</v>
      </c>
      <c r="R190" s="171" t="s">
        <v>6603</v>
      </c>
      <c r="S190" s="28" t="str">
        <f t="shared" si="5"/>
        <v>MA - mA</v>
      </c>
      <c r="U190" s="28" t="s">
        <v>6604</v>
      </c>
      <c r="V190" s="28" t="s">
        <v>6605</v>
      </c>
      <c r="W190" s="28" t="str">
        <f t="shared" si="6"/>
        <v>UGX - Ugan. Shilling</v>
      </c>
    </row>
    <row r="191" ht="15.75" customHeight="1">
      <c r="Q191" s="171" t="s">
        <v>6606</v>
      </c>
      <c r="R191" s="171" t="s">
        <v>6607</v>
      </c>
      <c r="S191" s="28" t="str">
        <f t="shared" si="5"/>
        <v>MB2 - MBq/c2</v>
      </c>
      <c r="U191" s="28" t="s">
        <v>6608</v>
      </c>
      <c r="V191" s="28" t="s">
        <v>6609</v>
      </c>
      <c r="W191" s="28" t="str">
        <f t="shared" si="6"/>
        <v>USD - US Dollar</v>
      </c>
    </row>
    <row r="192" ht="15.75" customHeight="1">
      <c r="Q192" s="171" t="s">
        <v>6610</v>
      </c>
      <c r="R192" s="171" t="s">
        <v>6611</v>
      </c>
      <c r="S192" s="28" t="str">
        <f t="shared" si="5"/>
        <v>MBA - mbar</v>
      </c>
      <c r="U192" s="28" t="s">
        <v>6612</v>
      </c>
      <c r="V192" s="28" t="s">
        <v>6613</v>
      </c>
      <c r="W192" s="28" t="str">
        <f t="shared" si="6"/>
        <v>UYU - Uruguayan Peso</v>
      </c>
    </row>
    <row r="193" ht="15.75" customHeight="1">
      <c r="Q193" s="171" t="s">
        <v>6614</v>
      </c>
      <c r="R193" s="171" t="s">
        <v>6615</v>
      </c>
      <c r="S193" s="28" t="str">
        <f t="shared" si="5"/>
        <v>MBD - MMBTU (SD)</v>
      </c>
      <c r="U193" s="28" t="s">
        <v>6616</v>
      </c>
      <c r="V193" s="28" t="s">
        <v>6617</v>
      </c>
      <c r="W193" s="28" t="str">
        <f t="shared" si="6"/>
        <v>UZS - Uzbekistan Som</v>
      </c>
    </row>
    <row r="194" ht="15.75" customHeight="1">
      <c r="Q194" s="171" t="s">
        <v>6618</v>
      </c>
      <c r="R194" s="171" t="s">
        <v>6619</v>
      </c>
      <c r="S194" s="28" t="str">
        <f t="shared" si="5"/>
        <v>MBG - MBq/g</v>
      </c>
      <c r="U194" s="28" t="s">
        <v>6620</v>
      </c>
      <c r="V194" s="28" t="s">
        <v>6621</v>
      </c>
      <c r="W194" s="28" t="str">
        <f t="shared" si="6"/>
        <v>VEB - Bolivar (Old)</v>
      </c>
    </row>
    <row r="195" ht="15.75" customHeight="1">
      <c r="Q195" s="171" t="s">
        <v>6622</v>
      </c>
      <c r="R195" s="171" t="s">
        <v>6623</v>
      </c>
      <c r="S195" s="28" t="str">
        <f t="shared" si="5"/>
        <v>MBQ - MBq</v>
      </c>
      <c r="U195" s="28" t="s">
        <v>6624</v>
      </c>
      <c r="V195" s="28" t="s">
        <v>6625</v>
      </c>
      <c r="W195" s="28" t="str">
        <f t="shared" si="6"/>
        <v>VEF - Venez. Bolivar</v>
      </c>
    </row>
    <row r="196" ht="15.75" customHeight="1">
      <c r="Q196" s="171" t="s">
        <v>6626</v>
      </c>
      <c r="R196" s="171" t="s">
        <v>6627</v>
      </c>
      <c r="S196" s="28" t="str">
        <f t="shared" si="5"/>
        <v>MBZ - m.bar/s</v>
      </c>
      <c r="U196" s="28" t="s">
        <v>6628</v>
      </c>
      <c r="V196" s="28" t="s">
        <v>6629</v>
      </c>
      <c r="W196" s="28" t="str">
        <f t="shared" si="6"/>
        <v>VES - Bolivar Sober.</v>
      </c>
    </row>
    <row r="197" ht="15.75" customHeight="1">
      <c r="Q197" s="171" t="s">
        <v>6630</v>
      </c>
      <c r="R197" s="171" t="s">
        <v>6631</v>
      </c>
      <c r="S197" s="28" t="str">
        <f t="shared" si="5"/>
        <v>MC1 - MC1 15,025</v>
      </c>
      <c r="U197" s="28" t="s">
        <v>6632</v>
      </c>
      <c r="V197" s="28" t="s">
        <v>6633</v>
      </c>
      <c r="W197" s="28" t="str">
        <f t="shared" si="6"/>
        <v>VND - Vietnamese Dong</v>
      </c>
    </row>
    <row r="198" ht="15.75" customHeight="1">
      <c r="Q198" s="171" t="s">
        <v>6634</v>
      </c>
      <c r="R198" s="171" t="s">
        <v>6635</v>
      </c>
      <c r="S198" s="28" t="str">
        <f t="shared" si="5"/>
        <v>MC2 - MC2 14,730</v>
      </c>
      <c r="U198" s="28" t="s">
        <v>6636</v>
      </c>
      <c r="V198" s="28" t="s">
        <v>6637</v>
      </c>
      <c r="W198" s="28" t="str">
        <f t="shared" si="6"/>
        <v>VUV - Vanuatu Vatu</v>
      </c>
    </row>
    <row r="199" ht="15.75" customHeight="1">
      <c r="Q199" s="171" t="s">
        <v>6638</v>
      </c>
      <c r="R199" s="171" t="s">
        <v>6639</v>
      </c>
      <c r="S199" s="28" t="str">
        <f t="shared" si="5"/>
        <v>MC3 - MC3 14,650</v>
      </c>
      <c r="U199" s="28" t="s">
        <v>6640</v>
      </c>
      <c r="V199" s="28" t="s">
        <v>6641</v>
      </c>
      <c r="W199" s="28" t="str">
        <f t="shared" si="6"/>
        <v>WST - Samoan Tala</v>
      </c>
    </row>
    <row r="200" ht="15.75" customHeight="1">
      <c r="Q200" s="171" t="s">
        <v>6642</v>
      </c>
      <c r="R200" s="171" t="s">
        <v>6642</v>
      </c>
      <c r="S200" s="28" t="str">
        <f t="shared" si="5"/>
        <v>MCF - MCF</v>
      </c>
      <c r="U200" s="28" t="s">
        <v>6643</v>
      </c>
      <c r="V200" s="28" t="s">
        <v>6644</v>
      </c>
      <c r="W200" s="28" t="str">
        <f t="shared" si="6"/>
        <v>XAF - CFA Franc BEAC</v>
      </c>
    </row>
    <row r="201" ht="15.75" customHeight="1">
      <c r="Q201" s="171" t="s">
        <v>6645</v>
      </c>
      <c r="R201" s="171" t="s">
        <v>6646</v>
      </c>
      <c r="S201" s="28" t="str">
        <f t="shared" si="5"/>
        <v>MEJ - MJ</v>
      </c>
      <c r="U201" s="28" t="s">
        <v>6647</v>
      </c>
      <c r="V201" s="28" t="s">
        <v>6648</v>
      </c>
      <c r="W201" s="28" t="str">
        <f t="shared" si="6"/>
        <v>XCD - E. Carrib. Doll</v>
      </c>
    </row>
    <row r="202" ht="15.75" customHeight="1">
      <c r="Q202" s="171" t="s">
        <v>1757</v>
      </c>
      <c r="R202" s="171" t="s">
        <v>6649</v>
      </c>
      <c r="S202" s="28" t="str">
        <f t="shared" si="5"/>
        <v>MG - mg</v>
      </c>
      <c r="U202" s="28" t="s">
        <v>6650</v>
      </c>
      <c r="V202" s="28" t="s">
        <v>6651</v>
      </c>
      <c r="W202" s="28" t="str">
        <f t="shared" si="6"/>
        <v>XEU - E.C.U.</v>
      </c>
    </row>
    <row r="203" ht="15.75" customHeight="1">
      <c r="Q203" s="171" t="s">
        <v>6652</v>
      </c>
      <c r="R203" s="171" t="s">
        <v>6653</v>
      </c>
      <c r="S203" s="28" t="str">
        <f t="shared" si="5"/>
        <v>MGE - mg/cm2</v>
      </c>
      <c r="U203" s="28" t="s">
        <v>6654</v>
      </c>
      <c r="V203" s="28" t="s">
        <v>6655</v>
      </c>
      <c r="W203" s="28" t="str">
        <f t="shared" si="6"/>
        <v>XOF - CFA Franc BCEAO</v>
      </c>
    </row>
    <row r="204" ht="15.75" customHeight="1">
      <c r="Q204" s="171" t="s">
        <v>6656</v>
      </c>
      <c r="R204" s="171" t="s">
        <v>6657</v>
      </c>
      <c r="S204" s="28" t="str">
        <f t="shared" si="5"/>
        <v>MGG - mg/g</v>
      </c>
      <c r="U204" s="28" t="s">
        <v>6658</v>
      </c>
      <c r="V204" s="28" t="s">
        <v>6659</v>
      </c>
      <c r="W204" s="28" t="str">
        <f t="shared" si="6"/>
        <v>YER - Yemeni Ryal</v>
      </c>
    </row>
    <row r="205" ht="15.75" customHeight="1">
      <c r="Q205" s="171" t="s">
        <v>6660</v>
      </c>
      <c r="R205" s="171" t="s">
        <v>6661</v>
      </c>
      <c r="S205" s="28" t="str">
        <f t="shared" si="5"/>
        <v>MGJ - g/m3/kpa</v>
      </c>
      <c r="U205" s="28" t="s">
        <v>6662</v>
      </c>
      <c r="V205" s="28" t="s">
        <v>6663</v>
      </c>
      <c r="W205" s="28" t="str">
        <f t="shared" si="6"/>
        <v>YUM - New Dinar</v>
      </c>
    </row>
    <row r="206" ht="15.75" customHeight="1">
      <c r="Q206" s="171" t="s">
        <v>6664</v>
      </c>
      <c r="R206" s="171" t="s">
        <v>6665</v>
      </c>
      <c r="S206" s="28" t="str">
        <f t="shared" si="5"/>
        <v>MGK - mg/kg</v>
      </c>
      <c r="U206" s="28" t="s">
        <v>6666</v>
      </c>
      <c r="V206" s="28" t="s">
        <v>6667</v>
      </c>
      <c r="W206" s="28" t="str">
        <f t="shared" si="6"/>
        <v>ZAR - S. Africa Rand</v>
      </c>
    </row>
    <row r="207" ht="15.75" customHeight="1">
      <c r="Q207" s="171" t="s">
        <v>6668</v>
      </c>
      <c r="R207" s="171" t="s">
        <v>6669</v>
      </c>
      <c r="S207" s="28" t="str">
        <f t="shared" si="5"/>
        <v>MGL - mg/l</v>
      </c>
      <c r="U207" s="28" t="s">
        <v>6670</v>
      </c>
      <c r="V207" s="28" t="s">
        <v>6671</v>
      </c>
      <c r="W207" s="28" t="str">
        <f t="shared" si="6"/>
        <v>ZMK - Kwacha</v>
      </c>
    </row>
    <row r="208" ht="15.75" customHeight="1">
      <c r="Q208" s="171" t="s">
        <v>6672</v>
      </c>
      <c r="R208" s="171" t="s">
        <v>6673</v>
      </c>
      <c r="S208" s="28" t="str">
        <f t="shared" si="5"/>
        <v>MGQ - mg/m3</v>
      </c>
      <c r="U208" s="28" t="s">
        <v>6674</v>
      </c>
      <c r="V208" s="28" t="s">
        <v>6675</v>
      </c>
      <c r="W208" s="28" t="str">
        <f t="shared" si="6"/>
        <v>ZMW - Zambian Kwacha</v>
      </c>
    </row>
    <row r="209" ht="15.75" customHeight="1">
      <c r="Q209" s="171" t="s">
        <v>6676</v>
      </c>
      <c r="R209" s="171" t="s">
        <v>6677</v>
      </c>
      <c r="S209" s="28" t="str">
        <f t="shared" si="5"/>
        <v>MGT - mg/t</v>
      </c>
      <c r="U209" s="28" t="s">
        <v>6678</v>
      </c>
      <c r="V209" s="28" t="s">
        <v>6679</v>
      </c>
      <c r="W209" s="28" t="str">
        <f t="shared" si="6"/>
        <v>ZRN - Zaire</v>
      </c>
    </row>
    <row r="210" ht="15.75" customHeight="1">
      <c r="Q210" s="171" t="s">
        <v>6680</v>
      </c>
      <c r="R210" s="171" t="s">
        <v>6681</v>
      </c>
      <c r="S210" s="28" t="str">
        <f t="shared" si="5"/>
        <v>MGW - MW</v>
      </c>
      <c r="U210" s="28" t="s">
        <v>6682</v>
      </c>
      <c r="V210" s="28" t="s">
        <v>6683</v>
      </c>
      <c r="W210" s="28" t="str">
        <f t="shared" si="6"/>
        <v>ZWD - Zimbabwe Dollar</v>
      </c>
    </row>
    <row r="211" ht="15.75" customHeight="1">
      <c r="Q211" s="171" t="s">
        <v>6684</v>
      </c>
      <c r="R211" s="171" t="s">
        <v>6685</v>
      </c>
      <c r="S211" s="28" t="str">
        <f t="shared" si="5"/>
        <v>MGq - mg/10m3</v>
      </c>
      <c r="U211" s="28" t="s">
        <v>6686</v>
      </c>
      <c r="V211" s="28" t="s">
        <v>6683</v>
      </c>
      <c r="W211" s="28" t="str">
        <f t="shared" si="6"/>
        <v>ZWL - Zimbabwe Dollar</v>
      </c>
    </row>
    <row r="212" ht="15.75" customHeight="1">
      <c r="Q212" s="171" t="s">
        <v>6687</v>
      </c>
      <c r="R212" s="171" t="s">
        <v>6688</v>
      </c>
      <c r="S212" s="28" t="str">
        <f t="shared" si="5"/>
        <v>MHZ - MHz</v>
      </c>
      <c r="U212" s="28" t="s">
        <v>6689</v>
      </c>
      <c r="V212" s="28" t="s">
        <v>6683</v>
      </c>
      <c r="W212" s="28" t="str">
        <f t="shared" si="6"/>
        <v>ZWN - Zimbabwe Dollar</v>
      </c>
    </row>
    <row r="213" ht="15.75" customHeight="1">
      <c r="Q213" s="171" t="s">
        <v>6690</v>
      </c>
      <c r="R213" s="171" t="s">
        <v>6691</v>
      </c>
      <c r="S213" s="28" t="str">
        <f t="shared" si="5"/>
        <v>MI - Mile</v>
      </c>
      <c r="U213" s="28" t="s">
        <v>6692</v>
      </c>
      <c r="V213" s="28" t="s">
        <v>6683</v>
      </c>
      <c r="W213" s="28" t="str">
        <f t="shared" si="6"/>
        <v>ZWR - Zimbabwe Dollar</v>
      </c>
    </row>
    <row r="214" ht="15.75" customHeight="1">
      <c r="Q214" s="171" t="s">
        <v>6693</v>
      </c>
      <c r="R214" s="171" t="s">
        <v>6694</v>
      </c>
      <c r="S214" s="28" t="str">
        <f t="shared" si="5"/>
        <v>MI2 - Mile2</v>
      </c>
    </row>
    <row r="215" ht="15.75" customHeight="1">
      <c r="Q215" s="171" t="s">
        <v>6695</v>
      </c>
      <c r="R215" s="171" t="s">
        <v>6696</v>
      </c>
      <c r="S215" s="28" t="str">
        <f t="shared" si="5"/>
        <v>mil - Milliinch</v>
      </c>
    </row>
    <row r="216" ht="15.75" customHeight="1">
      <c r="Q216" s="171" t="s">
        <v>6697</v>
      </c>
      <c r="R216" s="171" t="s">
        <v>6698</v>
      </c>
      <c r="S216" s="28" t="str">
        <f t="shared" si="5"/>
        <v>µM - µm</v>
      </c>
    </row>
    <row r="217" ht="15.75" customHeight="1">
      <c r="Q217" s="171" t="s">
        <v>6699</v>
      </c>
      <c r="R217" s="171" t="s">
        <v>6700</v>
      </c>
      <c r="S217" s="28" t="str">
        <f t="shared" si="5"/>
        <v>MIN - Minutes</v>
      </c>
    </row>
    <row r="218" ht="15.75" customHeight="1">
      <c r="Q218" s="171" t="s">
        <v>6701</v>
      </c>
      <c r="R218" s="171" t="s">
        <v>6702</v>
      </c>
      <c r="S218" s="28" t="str">
        <f t="shared" si="5"/>
        <v>MIS - µs</v>
      </c>
    </row>
    <row r="219" ht="15.75" customHeight="1">
      <c r="Q219" s="171" t="s">
        <v>6703</v>
      </c>
      <c r="R219" s="171" t="s">
        <v>6704</v>
      </c>
      <c r="S219" s="28" t="str">
        <f t="shared" si="5"/>
        <v>MIJ - mJ</v>
      </c>
    </row>
    <row r="220" ht="15.75" customHeight="1">
      <c r="Q220" s="171" t="s">
        <v>6705</v>
      </c>
      <c r="R220" s="171" t="s">
        <v>6706</v>
      </c>
      <c r="S220" s="28" t="str">
        <f t="shared" si="5"/>
        <v>MJK - MJ/kg</v>
      </c>
    </row>
    <row r="221" ht="15.75" customHeight="1">
      <c r="Q221" s="171" t="s">
        <v>6707</v>
      </c>
      <c r="R221" s="171" t="s">
        <v>6708</v>
      </c>
      <c r="S221" s="28" t="str">
        <f t="shared" si="5"/>
        <v>ML - ml</v>
      </c>
    </row>
    <row r="222" ht="15.75" customHeight="1">
      <c r="Q222" s="171" t="s">
        <v>6709</v>
      </c>
      <c r="R222" s="171" t="s">
        <v>6710</v>
      </c>
      <c r="S222" s="28" t="str">
        <f t="shared" si="5"/>
        <v>MLK - ml/m3</v>
      </c>
    </row>
    <row r="223" ht="15.75" customHeight="1">
      <c r="Q223" s="171" t="s">
        <v>6711</v>
      </c>
      <c r="R223" s="171" t="s">
        <v>6712</v>
      </c>
      <c r="S223" s="28" t="str">
        <f t="shared" si="5"/>
        <v>MLR - Mega Liter</v>
      </c>
    </row>
    <row r="224" ht="15.75" customHeight="1">
      <c r="Q224" s="171" t="s">
        <v>6713</v>
      </c>
      <c r="R224" s="171" t="s">
        <v>6714</v>
      </c>
      <c r="S224" s="28" t="str">
        <f t="shared" si="5"/>
        <v>MLI - ml act.in.</v>
      </c>
    </row>
    <row r="225" ht="15.75" customHeight="1">
      <c r="Q225" s="171" t="s">
        <v>6715</v>
      </c>
      <c r="R225" s="171" t="s">
        <v>6716</v>
      </c>
      <c r="S225" s="28" t="str">
        <f t="shared" si="5"/>
        <v>MM - mm</v>
      </c>
    </row>
    <row r="226" ht="15.75" customHeight="1">
      <c r="Q226" s="171" t="s">
        <v>6717</v>
      </c>
      <c r="R226" s="171" t="s">
        <v>6718</v>
      </c>
      <c r="S226" s="28" t="str">
        <f t="shared" si="5"/>
        <v>MM2 - mm2</v>
      </c>
    </row>
    <row r="227" ht="15.75" customHeight="1">
      <c r="Q227" s="171" t="s">
        <v>6719</v>
      </c>
      <c r="R227" s="171" t="s">
        <v>6720</v>
      </c>
      <c r="S227" s="28" t="str">
        <f t="shared" si="5"/>
        <v>MMA - mm/a</v>
      </c>
    </row>
    <row r="228" ht="15.75" customHeight="1">
      <c r="Q228" s="171" t="s">
        <v>6721</v>
      </c>
      <c r="R228" s="171" t="s">
        <v>6722</v>
      </c>
      <c r="S228" s="28" t="str">
        <f t="shared" si="5"/>
        <v>MMG - mmol/g</v>
      </c>
    </row>
    <row r="229" ht="15.75" customHeight="1">
      <c r="Q229" s="171" t="s">
        <v>6723</v>
      </c>
      <c r="R229" s="171" t="s">
        <v>6724</v>
      </c>
      <c r="S229" s="28" t="str">
        <f t="shared" si="5"/>
        <v>MMH - mm/h</v>
      </c>
    </row>
    <row r="230" ht="15.75" customHeight="1">
      <c r="Q230" s="171" t="s">
        <v>6336</v>
      </c>
      <c r="R230" s="171" t="s">
        <v>6725</v>
      </c>
      <c r="S230" s="28" t="str">
        <f t="shared" si="5"/>
        <v>MMK - mmol/kg</v>
      </c>
    </row>
    <row r="231" ht="15.75" customHeight="1">
      <c r="Q231" s="171" t="s">
        <v>6726</v>
      </c>
      <c r="R231" s="171" t="s">
        <v>6727</v>
      </c>
      <c r="S231" s="28" t="str">
        <f t="shared" si="5"/>
        <v>MMO - mmol</v>
      </c>
    </row>
    <row r="232" ht="15.75" customHeight="1">
      <c r="Q232" s="171" t="s">
        <v>6728</v>
      </c>
      <c r="R232" s="171" t="s">
        <v>6729</v>
      </c>
      <c r="S232" s="28" t="str">
        <f t="shared" si="5"/>
        <v>MM3 - mm3</v>
      </c>
    </row>
    <row r="233" ht="15.75" customHeight="1">
      <c r="Q233" s="171" t="s">
        <v>6730</v>
      </c>
      <c r="R233" s="171" t="s">
        <v>6731</v>
      </c>
      <c r="S233" s="28" t="str">
        <f t="shared" si="5"/>
        <v>MMS - mm/s</v>
      </c>
    </row>
    <row r="234" ht="15.75" customHeight="1">
      <c r="Q234" s="171" t="s">
        <v>6732</v>
      </c>
      <c r="R234" s="171" t="s">
        <v>6733</v>
      </c>
      <c r="S234" s="28" t="str">
        <f t="shared" si="5"/>
        <v>MNM - mN/m</v>
      </c>
    </row>
    <row r="235" ht="15.75" customHeight="1">
      <c r="Q235" s="171" t="s">
        <v>6734</v>
      </c>
      <c r="R235" s="171" t="s">
        <v>6735</v>
      </c>
      <c r="S235" s="28" t="str">
        <f t="shared" si="5"/>
        <v>MOK - mol/kg</v>
      </c>
    </row>
    <row r="236" ht="15.75" customHeight="1">
      <c r="Q236" s="171" t="s">
        <v>6736</v>
      </c>
      <c r="R236" s="171" t="s">
        <v>6737</v>
      </c>
      <c r="S236" s="28" t="str">
        <f t="shared" si="5"/>
        <v>MOL - mol</v>
      </c>
    </row>
    <row r="237" ht="15.75" customHeight="1">
      <c r="Q237" s="171" t="s">
        <v>6738</v>
      </c>
      <c r="R237" s="171" t="s">
        <v>6739</v>
      </c>
      <c r="S237" s="28" t="str">
        <f t="shared" si="5"/>
        <v>MON - Months</v>
      </c>
    </row>
    <row r="238" ht="15.75" customHeight="1">
      <c r="Q238" s="171" t="s">
        <v>6740</v>
      </c>
      <c r="R238" s="171" t="s">
        <v>6741</v>
      </c>
      <c r="S238" s="28" t="str">
        <f t="shared" si="5"/>
        <v>MPA - MPa</v>
      </c>
    </row>
    <row r="239" ht="15.75" customHeight="1">
      <c r="Q239" s="171" t="s">
        <v>6742</v>
      </c>
      <c r="R239" s="171" t="s">
        <v>6743</v>
      </c>
      <c r="S239" s="28" t="str">
        <f t="shared" si="5"/>
        <v>MPB - ppb(m)</v>
      </c>
    </row>
    <row r="240" ht="15.75" customHeight="1">
      <c r="Q240" s="171" t="s">
        <v>6744</v>
      </c>
      <c r="R240" s="171" t="s">
        <v>6745</v>
      </c>
      <c r="S240" s="28" t="str">
        <f t="shared" si="5"/>
        <v>MPG - Mi/Gal(US)</v>
      </c>
    </row>
    <row r="241" ht="15.75" customHeight="1">
      <c r="Q241" s="171" t="s">
        <v>6746</v>
      </c>
      <c r="R241" s="171" t="s">
        <v>6747</v>
      </c>
      <c r="S241" s="28" t="str">
        <f t="shared" si="5"/>
        <v>MPM - ppm(m)</v>
      </c>
    </row>
    <row r="242" ht="15.75" customHeight="1">
      <c r="Q242" s="171" t="s">
        <v>6748</v>
      </c>
      <c r="R242" s="171" t="s">
        <v>6749</v>
      </c>
      <c r="S242" s="28" t="str">
        <f t="shared" si="5"/>
        <v>MPS - mPa.s</v>
      </c>
    </row>
    <row r="243" ht="15.75" customHeight="1">
      <c r="Q243" s="171" t="s">
        <v>6750</v>
      </c>
      <c r="R243" s="171" t="s">
        <v>6751</v>
      </c>
      <c r="S243" s="28" t="str">
        <f t="shared" si="5"/>
        <v>MPT - ppt(m)</v>
      </c>
    </row>
    <row r="244" ht="15.75" customHeight="1">
      <c r="Q244" s="171" t="s">
        <v>6752</v>
      </c>
      <c r="R244" s="174" t="s">
        <v>6753</v>
      </c>
      <c r="S244" s="28" t="str">
        <f t="shared" si="5"/>
        <v>MPZ - m.Pa/s</v>
      </c>
    </row>
    <row r="245" ht="15.75" customHeight="1">
      <c r="Q245" s="171" t="s">
        <v>6754</v>
      </c>
      <c r="R245" s="171" t="s">
        <v>6755</v>
      </c>
      <c r="S245" s="28" t="str">
        <f t="shared" si="5"/>
        <v>M3H - m3/h</v>
      </c>
    </row>
    <row r="246" ht="15.75" customHeight="1">
      <c r="Q246" s="171" t="s">
        <v>6756</v>
      </c>
      <c r="R246" s="171" t="s">
        <v>6757</v>
      </c>
      <c r="S246" s="28" t="str">
        <f t="shared" si="5"/>
        <v>MSE - ms</v>
      </c>
    </row>
    <row r="247" ht="15.75" customHeight="1">
      <c r="Q247" s="171" t="s">
        <v>6758</v>
      </c>
      <c r="R247" s="171" t="s">
        <v>6759</v>
      </c>
      <c r="S247" s="28" t="str">
        <f t="shared" si="5"/>
        <v>MS2 - m/s2</v>
      </c>
    </row>
    <row r="248" ht="15.75" customHeight="1">
      <c r="Q248" s="171" t="s">
        <v>6760</v>
      </c>
      <c r="R248" s="171" t="s">
        <v>6761</v>
      </c>
      <c r="S248" s="28" t="str">
        <f t="shared" si="5"/>
        <v>MSH - mSv/h</v>
      </c>
    </row>
    <row r="249" ht="15.75" customHeight="1">
      <c r="Q249" s="171" t="s">
        <v>6762</v>
      </c>
      <c r="R249" s="171" t="s">
        <v>6763</v>
      </c>
      <c r="S249" s="28" t="str">
        <f t="shared" si="5"/>
        <v>MTE - mT</v>
      </c>
    </row>
    <row r="250" ht="15.75" customHeight="1">
      <c r="Q250" s="171" t="s">
        <v>6764</v>
      </c>
      <c r="R250" s="171" t="s">
        <v>6765</v>
      </c>
      <c r="S250" s="28" t="str">
        <f t="shared" si="5"/>
        <v>MTM - Mppcm</v>
      </c>
    </row>
    <row r="251" ht="15.75" customHeight="1">
      <c r="Q251" s="171" t="s">
        <v>6766</v>
      </c>
      <c r="R251" s="171" t="s">
        <v>6767</v>
      </c>
      <c r="S251" s="28" t="str">
        <f t="shared" si="5"/>
        <v>M/H - m/h</v>
      </c>
    </row>
    <row r="252" ht="15.75" customHeight="1">
      <c r="Q252" s="171" t="s">
        <v>6768</v>
      </c>
      <c r="R252" s="171" t="s">
        <v>6769</v>
      </c>
      <c r="S252" s="28" t="str">
        <f t="shared" si="5"/>
        <v>MTf - Mppcf</v>
      </c>
    </row>
    <row r="253" ht="15.75" customHeight="1">
      <c r="Q253" s="171" t="s">
        <v>5941</v>
      </c>
      <c r="R253" s="171" t="s">
        <v>6770</v>
      </c>
      <c r="S253" s="28" t="str">
        <f t="shared" si="5"/>
        <v>MV - mV</v>
      </c>
    </row>
    <row r="254" ht="15.75" customHeight="1">
      <c r="Q254" s="171" t="s">
        <v>6771</v>
      </c>
      <c r="R254" s="171" t="s">
        <v>6771</v>
      </c>
      <c r="S254" s="28" t="str">
        <f t="shared" si="5"/>
        <v>MVA - MVA</v>
      </c>
    </row>
    <row r="255" ht="15.75" customHeight="1">
      <c r="Q255" s="171" t="s">
        <v>6681</v>
      </c>
      <c r="R255" s="171" t="s">
        <v>6772</v>
      </c>
      <c r="S255" s="28" t="str">
        <f t="shared" si="5"/>
        <v>MW - mW</v>
      </c>
    </row>
    <row r="256" ht="15.75" customHeight="1">
      <c r="Q256" s="171" t="s">
        <v>6773</v>
      </c>
      <c r="R256" s="171" t="s">
        <v>6774</v>
      </c>
      <c r="S256" s="28" t="str">
        <f t="shared" si="5"/>
        <v>MWH - Mwh</v>
      </c>
    </row>
    <row r="257" ht="15.75" customHeight="1">
      <c r="Q257" s="171" t="s">
        <v>6775</v>
      </c>
      <c r="R257" s="171" t="s">
        <v>6775</v>
      </c>
      <c r="S257" s="28" t="str">
        <f t="shared" si="5"/>
        <v>N - N</v>
      </c>
    </row>
    <row r="258" ht="15.75" customHeight="1">
      <c r="Q258" s="171" t="s">
        <v>6776</v>
      </c>
      <c r="R258" s="171" t="s">
        <v>6777</v>
      </c>
      <c r="S258" s="28" t="str">
        <f t="shared" si="5"/>
        <v>NAM - nm</v>
      </c>
    </row>
    <row r="259" ht="15.75" customHeight="1">
      <c r="Q259" s="171" t="s">
        <v>6778</v>
      </c>
      <c r="R259" s="171" t="s">
        <v>6779</v>
      </c>
      <c r="S259" s="28" t="str">
        <f t="shared" si="5"/>
        <v>NCH - ng/(cm2*h)</v>
      </c>
    </row>
    <row r="260" ht="15.75" customHeight="1">
      <c r="Q260" s="171" t="s">
        <v>6780</v>
      </c>
      <c r="R260" s="171" t="s">
        <v>6781</v>
      </c>
      <c r="S260" s="28" t="str">
        <f t="shared" si="5"/>
        <v>NGT - ng/t</v>
      </c>
    </row>
    <row r="261" ht="15.75" customHeight="1">
      <c r="Q261" s="171" t="s">
        <v>6782</v>
      </c>
      <c r="R261" s="171" t="s">
        <v>6783</v>
      </c>
      <c r="S261" s="28" t="str">
        <f t="shared" si="5"/>
        <v>NM - N/m</v>
      </c>
    </row>
    <row r="262" ht="15.75" customHeight="1">
      <c r="Q262" s="171" t="s">
        <v>6784</v>
      </c>
      <c r="R262" s="171" t="s">
        <v>6785</v>
      </c>
      <c r="S262" s="28" t="str">
        <f t="shared" si="5"/>
        <v>NS - ns</v>
      </c>
    </row>
    <row r="263" ht="15.75" customHeight="1">
      <c r="Q263" s="171" t="s">
        <v>6786</v>
      </c>
      <c r="R263" s="171" t="s">
        <v>6787</v>
      </c>
      <c r="S263" s="28" t="str">
        <f t="shared" si="5"/>
        <v>OCM - Ohm*cm</v>
      </c>
    </row>
    <row r="264" ht="15.75" customHeight="1">
      <c r="Q264" s="171" t="s">
        <v>6788</v>
      </c>
      <c r="R264" s="171" t="s">
        <v>6789</v>
      </c>
      <c r="S264" s="28" t="str">
        <f t="shared" si="5"/>
        <v>OHM - Ohm</v>
      </c>
    </row>
    <row r="265" ht="15.75" customHeight="1">
      <c r="Q265" s="171" t="s">
        <v>6790</v>
      </c>
      <c r="R265" s="171" t="s">
        <v>6791</v>
      </c>
      <c r="S265" s="28" t="str">
        <f t="shared" si="5"/>
        <v>OM - Ohm*m</v>
      </c>
    </row>
    <row r="266" ht="15.75" customHeight="1">
      <c r="Q266" s="171" t="s">
        <v>6792</v>
      </c>
      <c r="R266" s="171" t="s">
        <v>6793</v>
      </c>
      <c r="S266" s="28" t="str">
        <f t="shared" si="5"/>
        <v>OZ - Ounce</v>
      </c>
    </row>
    <row r="267" ht="15.75" customHeight="1">
      <c r="Q267" s="171" t="s">
        <v>6794</v>
      </c>
      <c r="R267" s="171" t="s">
        <v>6795</v>
      </c>
      <c r="S267" s="28" t="str">
        <f t="shared" si="5"/>
        <v>FOZ - Fld.oz US</v>
      </c>
    </row>
    <row r="268" ht="15.75" customHeight="1">
      <c r="Q268" s="171" t="s">
        <v>6796</v>
      </c>
      <c r="R268" s="171" t="s">
        <v>6797</v>
      </c>
      <c r="S268" s="28" t="str">
        <f t="shared" si="5"/>
        <v>P - Points</v>
      </c>
    </row>
    <row r="269" ht="15.75" customHeight="1">
      <c r="Q269" s="171" t="s">
        <v>6798</v>
      </c>
      <c r="R269" s="171" t="s">
        <v>6799</v>
      </c>
      <c r="S269" s="28" t="str">
        <f t="shared" si="5"/>
        <v>PA - Pa</v>
      </c>
    </row>
    <row r="270" ht="15.75" customHeight="1">
      <c r="Q270" s="171" t="s">
        <v>6800</v>
      </c>
      <c r="R270" s="171" t="s">
        <v>6801</v>
      </c>
      <c r="S270" s="28" t="str">
        <f t="shared" si="5"/>
        <v>PAA - Pair</v>
      </c>
    </row>
    <row r="271" ht="15.75" customHeight="1">
      <c r="Q271" s="171" t="s">
        <v>6802</v>
      </c>
      <c r="R271" s="171" t="s">
        <v>6803</v>
      </c>
      <c r="S271" s="28" t="str">
        <f t="shared" si="5"/>
        <v>PAC - Pack</v>
      </c>
    </row>
    <row r="272" ht="15.75" customHeight="1">
      <c r="Q272" s="171" t="s">
        <v>6804</v>
      </c>
      <c r="R272" s="171" t="s">
        <v>6805</v>
      </c>
      <c r="S272" s="28" t="str">
        <f t="shared" si="5"/>
        <v>PAL - Pallet</v>
      </c>
    </row>
    <row r="273" ht="15.75" customHeight="1">
      <c r="Q273" s="171" t="s">
        <v>6806</v>
      </c>
      <c r="R273" s="171" t="s">
        <v>6807</v>
      </c>
      <c r="S273" s="28" t="str">
        <f t="shared" si="5"/>
        <v>PAS - Pascal sec</v>
      </c>
    </row>
    <row r="274" ht="15.75" customHeight="1">
      <c r="Q274" s="171" t="s">
        <v>6808</v>
      </c>
      <c r="R274" s="171" t="s">
        <v>6809</v>
      </c>
      <c r="S274" s="28" t="str">
        <f t="shared" si="5"/>
        <v>PRC - Group prop</v>
      </c>
    </row>
    <row r="275" ht="15.75" customHeight="1">
      <c r="Q275" s="171" t="s">
        <v>6810</v>
      </c>
      <c r="R275" s="171" t="s">
        <v>6811</v>
      </c>
      <c r="S275" s="28" t="str">
        <f t="shared" si="5"/>
        <v>PDA - Cons. Days</v>
      </c>
    </row>
    <row r="276" ht="15.75" customHeight="1">
      <c r="Q276" s="171" t="s">
        <v>6812</v>
      </c>
      <c r="R276" s="171" t="s">
        <v>6813</v>
      </c>
      <c r="S276" s="28" t="str">
        <f t="shared" si="5"/>
        <v>PMI - 1/min</v>
      </c>
    </row>
    <row r="277" ht="15.75" customHeight="1">
      <c r="Q277" s="171" t="s">
        <v>6814</v>
      </c>
      <c r="R277" s="171" t="s">
        <v>6815</v>
      </c>
      <c r="S277" s="28" t="str">
        <f t="shared" si="5"/>
        <v>PMR - kg/m2*s</v>
      </c>
    </row>
    <row r="278" ht="15.75" customHeight="1">
      <c r="Q278" s="171" t="s">
        <v>6816</v>
      </c>
      <c r="R278" s="171" t="s">
        <v>6817</v>
      </c>
      <c r="S278" s="28" t="str">
        <f t="shared" si="5"/>
        <v>PPB - ppb</v>
      </c>
    </row>
    <row r="279" ht="15.75" customHeight="1">
      <c r="Q279" s="171" t="s">
        <v>6818</v>
      </c>
      <c r="R279" s="171" t="s">
        <v>6819</v>
      </c>
      <c r="S279" s="28" t="str">
        <f t="shared" si="5"/>
        <v>PPM - ppm</v>
      </c>
    </row>
    <row r="280" ht="15.75" customHeight="1">
      <c r="Q280" s="171" t="s">
        <v>6820</v>
      </c>
      <c r="R280" s="171" t="s">
        <v>6821</v>
      </c>
      <c r="S280" s="28" t="str">
        <f t="shared" si="5"/>
        <v>PPT - ppt</v>
      </c>
    </row>
    <row r="281" ht="15.75" customHeight="1">
      <c r="Q281" s="171" t="s">
        <v>6822</v>
      </c>
      <c r="R281" s="171" t="s">
        <v>6823</v>
      </c>
      <c r="S281" s="28" t="str">
        <f t="shared" si="5"/>
        <v>PRM - ug/cm2*min</v>
      </c>
    </row>
    <row r="282" ht="15.75" customHeight="1">
      <c r="Q282" s="171" t="s">
        <v>6824</v>
      </c>
      <c r="R282" s="171" t="s">
        <v>6825</v>
      </c>
      <c r="S282" s="28" t="str">
        <f t="shared" si="5"/>
        <v>PRS - Persons</v>
      </c>
    </row>
    <row r="283" ht="15.75" customHeight="1">
      <c r="Q283" s="171" t="s">
        <v>1575</v>
      </c>
      <c r="R283" s="171" t="s">
        <v>6826</v>
      </c>
      <c r="S283" s="28" t="str">
        <f t="shared" si="5"/>
        <v>PS - ps</v>
      </c>
    </row>
    <row r="284" ht="15.75" customHeight="1">
      <c r="Q284" s="171" t="s">
        <v>6827</v>
      </c>
      <c r="R284" s="171" t="s">
        <v>6827</v>
      </c>
      <c r="S284" s="28" t="str">
        <f t="shared" si="5"/>
        <v>PSI - PSI</v>
      </c>
    </row>
    <row r="285" ht="15.75" customHeight="1">
      <c r="Q285" s="171" t="s">
        <v>5949</v>
      </c>
      <c r="R285" s="171" t="s">
        <v>6828</v>
      </c>
      <c r="S285" s="28" t="str">
        <f t="shared" si="5"/>
        <v>PT - Pint US l</v>
      </c>
    </row>
    <row r="286" ht="15.75" customHeight="1">
      <c r="Q286" s="171" t="s">
        <v>6829</v>
      </c>
      <c r="R286" s="171" t="s">
        <v>6830</v>
      </c>
      <c r="S286" s="28" t="str">
        <f t="shared" si="5"/>
        <v>QMM - cbm per m</v>
      </c>
    </row>
    <row r="287" ht="15.75" customHeight="1">
      <c r="Q287" s="171" t="s">
        <v>6831</v>
      </c>
      <c r="R287" s="171" t="s">
        <v>6832</v>
      </c>
      <c r="S287" s="28" t="str">
        <f t="shared" si="5"/>
        <v>QT - Quart US l</v>
      </c>
    </row>
    <row r="288" ht="15.75" customHeight="1">
      <c r="Q288" s="171" t="s">
        <v>6833</v>
      </c>
      <c r="R288" s="171" t="s">
        <v>6834</v>
      </c>
      <c r="S288" s="28" t="str">
        <f t="shared" si="5"/>
        <v>RHO - g/cm3</v>
      </c>
    </row>
    <row r="289" ht="15.75" customHeight="1">
      <c r="Q289" s="171" t="s">
        <v>6835</v>
      </c>
      <c r="R289" s="171" t="s">
        <v>6836</v>
      </c>
      <c r="S289" s="28" t="str">
        <f t="shared" si="5"/>
        <v>RKG - 1/kg</v>
      </c>
    </row>
    <row r="290" ht="15.75" customHeight="1">
      <c r="Q290" s="171" t="s">
        <v>6837</v>
      </c>
      <c r="R290" s="171" t="s">
        <v>6838</v>
      </c>
      <c r="S290" s="28" t="str">
        <f t="shared" si="5"/>
        <v>RQt - 1/mg</v>
      </c>
    </row>
    <row r="291" ht="15.75" customHeight="1">
      <c r="Q291" s="171" t="s">
        <v>6453</v>
      </c>
      <c r="R291" s="171" t="s">
        <v>6839</v>
      </c>
      <c r="S291" s="28" t="str">
        <f t="shared" si="5"/>
        <v>ROL - Roll</v>
      </c>
    </row>
    <row r="292" ht="15.75" customHeight="1">
      <c r="Q292" s="171" t="s">
        <v>5778</v>
      </c>
      <c r="R292" s="171" t="s">
        <v>6840</v>
      </c>
      <c r="S292" s="28" t="str">
        <f t="shared" si="5"/>
        <v>S - Seconds</v>
      </c>
    </row>
    <row r="293" ht="15.75" customHeight="1">
      <c r="Q293" s="171" t="s">
        <v>1573</v>
      </c>
      <c r="R293" s="171" t="s">
        <v>6841</v>
      </c>
      <c r="S293" s="28" t="str">
        <f t="shared" si="5"/>
        <v>PC - Piece</v>
      </c>
    </row>
    <row r="294" ht="15.75" customHeight="1">
      <c r="Q294" s="171" t="s">
        <v>1238</v>
      </c>
      <c r="R294" s="171" t="s">
        <v>6289</v>
      </c>
      <c r="S294" s="28" t="str">
        <f t="shared" si="5"/>
        <v>HR - Hours</v>
      </c>
    </row>
    <row r="295" ht="15.75" customHeight="1">
      <c r="Q295" s="171" t="s">
        <v>6842</v>
      </c>
      <c r="R295" s="171" t="s">
        <v>6843</v>
      </c>
      <c r="S295" s="28" t="str">
        <f t="shared" si="5"/>
        <v>SVH - Sv/h</v>
      </c>
    </row>
    <row r="296" ht="15.75" customHeight="1">
      <c r="Q296" s="171" t="s">
        <v>6844</v>
      </c>
      <c r="R296" s="171" t="s">
        <v>6845</v>
      </c>
      <c r="S296" s="28" t="str">
        <f t="shared" si="5"/>
        <v>SVS - Sv/s</v>
      </c>
    </row>
    <row r="297" ht="15.75" customHeight="1">
      <c r="Q297" s="171" t="s">
        <v>6846</v>
      </c>
      <c r="R297" s="171" t="s">
        <v>5813</v>
      </c>
      <c r="S297" s="28" t="str">
        <f t="shared" si="5"/>
        <v>DAY - Days</v>
      </c>
    </row>
    <row r="298" ht="15.75" customHeight="1">
      <c r="Q298" s="171" t="s">
        <v>6847</v>
      </c>
      <c r="R298" s="171" t="s">
        <v>6848</v>
      </c>
      <c r="S298" s="28" t="str">
        <f t="shared" si="5"/>
        <v>TBQ - TBq</v>
      </c>
    </row>
    <row r="299" ht="15.75" customHeight="1">
      <c r="Q299" s="171" t="s">
        <v>6849</v>
      </c>
      <c r="R299" s="171" t="s">
        <v>6850</v>
      </c>
      <c r="S299" s="28" t="str">
        <f t="shared" si="5"/>
        <v>TC3 - 1/cm3</v>
      </c>
    </row>
    <row r="300" ht="15.75" customHeight="1">
      <c r="Q300" s="171" t="s">
        <v>6851</v>
      </c>
      <c r="R300" s="171" t="s">
        <v>6852</v>
      </c>
      <c r="S300" s="28" t="str">
        <f t="shared" si="5"/>
        <v>TCM - ppcm3</v>
      </c>
    </row>
    <row r="301" ht="15.75" customHeight="1">
      <c r="Q301" s="171" t="s">
        <v>6853</v>
      </c>
      <c r="R301" s="171" t="s">
        <v>5812</v>
      </c>
      <c r="S301" s="28" t="str">
        <f t="shared" si="5"/>
        <v>TES - D</v>
      </c>
    </row>
    <row r="302" ht="15.75" customHeight="1">
      <c r="Q302" s="171" t="s">
        <v>6854</v>
      </c>
      <c r="R302" s="171" t="s">
        <v>6854</v>
      </c>
      <c r="S302" s="28" t="str">
        <f t="shared" si="5"/>
        <v>TEU - TEU</v>
      </c>
    </row>
    <row r="303" ht="15.75" customHeight="1">
      <c r="Q303" s="171" t="s">
        <v>6855</v>
      </c>
      <c r="R303" s="171" t="s">
        <v>6856</v>
      </c>
      <c r="S303" s="28" t="str">
        <f t="shared" si="5"/>
        <v>TS - Thousands</v>
      </c>
    </row>
    <row r="304" ht="15.75" customHeight="1">
      <c r="Q304" s="171" t="s">
        <v>6857</v>
      </c>
      <c r="R304" s="171" t="s">
        <v>6858</v>
      </c>
      <c r="S304" s="28" t="str">
        <f t="shared" si="5"/>
        <v>tha - t/ha</v>
      </c>
    </row>
    <row r="305" ht="15.75" customHeight="1">
      <c r="Q305" s="171" t="s">
        <v>6859</v>
      </c>
      <c r="R305" s="171" t="s">
        <v>6860</v>
      </c>
      <c r="S305" s="28" t="str">
        <f t="shared" si="5"/>
        <v>TYR - t/Year</v>
      </c>
    </row>
    <row r="306" ht="15.75" customHeight="1">
      <c r="Q306" s="171" t="s">
        <v>6861</v>
      </c>
      <c r="R306" s="171" t="s">
        <v>6862</v>
      </c>
      <c r="S306" s="28" t="str">
        <f t="shared" si="5"/>
        <v>tkl - t/kl</v>
      </c>
    </row>
    <row r="307" ht="15.75" customHeight="1">
      <c r="Q307" s="171" t="s">
        <v>6863</v>
      </c>
      <c r="R307" s="171" t="s">
        <v>6864</v>
      </c>
      <c r="S307" s="28" t="str">
        <f t="shared" si="5"/>
        <v>TKT - t/kt</v>
      </c>
    </row>
    <row r="308" ht="15.75" customHeight="1">
      <c r="Q308" s="171" t="s">
        <v>6865</v>
      </c>
      <c r="R308" s="171" t="s">
        <v>6866</v>
      </c>
      <c r="S308" s="28" t="str">
        <f t="shared" si="5"/>
        <v>TM3 - 1/m3</v>
      </c>
    </row>
    <row r="309" ht="15.75" customHeight="1">
      <c r="Q309" s="171" t="s">
        <v>6867</v>
      </c>
      <c r="R309" s="171" t="s">
        <v>6868</v>
      </c>
      <c r="S309" s="28" t="str">
        <f t="shared" si="5"/>
        <v>TO - t</v>
      </c>
    </row>
    <row r="310" ht="15.75" customHeight="1">
      <c r="Q310" s="171" t="s">
        <v>6869</v>
      </c>
      <c r="R310" s="171" t="s">
        <v>6870</v>
      </c>
      <c r="S310" s="28" t="str">
        <f t="shared" si="5"/>
        <v>TON - US Ton</v>
      </c>
    </row>
    <row r="311" ht="15.75" customHeight="1">
      <c r="Q311" s="171" t="s">
        <v>6871</v>
      </c>
      <c r="R311" s="171" t="s">
        <v>6872</v>
      </c>
      <c r="S311" s="28" t="str">
        <f t="shared" si="5"/>
        <v>TMO - t/Month</v>
      </c>
    </row>
    <row r="312" ht="15.75" customHeight="1">
      <c r="Q312" s="171" t="s">
        <v>6873</v>
      </c>
      <c r="R312" s="171" t="s">
        <v>6874</v>
      </c>
      <c r="S312" s="28" t="str">
        <f t="shared" si="5"/>
        <v>TPH - t/h</v>
      </c>
    </row>
    <row r="313" ht="15.75" customHeight="1">
      <c r="Q313" s="171" t="s">
        <v>6875</v>
      </c>
      <c r="R313" s="171" t="s">
        <v>6876</v>
      </c>
      <c r="S313" s="28" t="str">
        <f t="shared" si="5"/>
        <v>Tot - t/ton</v>
      </c>
    </row>
    <row r="314" ht="15.75" customHeight="1">
      <c r="Q314" s="171" t="s">
        <v>6877</v>
      </c>
      <c r="R314" s="171" t="s">
        <v>6878</v>
      </c>
      <c r="S314" s="28" t="str">
        <f t="shared" si="5"/>
        <v>UG - µg</v>
      </c>
    </row>
    <row r="315" ht="15.75" customHeight="1">
      <c r="Q315" s="171" t="s">
        <v>6879</v>
      </c>
      <c r="R315" s="171" t="s">
        <v>6880</v>
      </c>
      <c r="S315" s="28" t="str">
        <f t="shared" si="5"/>
        <v>UG6 - US Gal 60F</v>
      </c>
    </row>
    <row r="316" ht="15.75" customHeight="1">
      <c r="Q316" s="171" t="s">
        <v>6881</v>
      </c>
      <c r="R316" s="171" t="s">
        <v>6882</v>
      </c>
      <c r="S316" s="28" t="str">
        <f t="shared" si="5"/>
        <v>µGL - µg/l</v>
      </c>
    </row>
    <row r="317" ht="15.75" customHeight="1">
      <c r="Q317" s="171" t="s">
        <v>6883</v>
      </c>
      <c r="R317" s="171" t="s">
        <v>6884</v>
      </c>
      <c r="S317" s="28" t="str">
        <f t="shared" si="5"/>
        <v>USH - uSv/h</v>
      </c>
    </row>
    <row r="318" ht="15.75" customHeight="1">
      <c r="Q318" s="171" t="s">
        <v>3769</v>
      </c>
      <c r="R318" s="171" t="s">
        <v>3769</v>
      </c>
      <c r="S318" s="28" t="str">
        <f t="shared" si="5"/>
        <v>V - V</v>
      </c>
    </row>
    <row r="319" ht="15.75" customHeight="1">
      <c r="Q319" s="171" t="s">
        <v>6885</v>
      </c>
      <c r="R319" s="171" t="s">
        <v>6886</v>
      </c>
      <c r="S319" s="28" t="str">
        <f t="shared" si="5"/>
        <v>V% - %(V)</v>
      </c>
    </row>
    <row r="320" ht="15.75" customHeight="1">
      <c r="Q320" s="171" t="s">
        <v>6887</v>
      </c>
      <c r="R320" s="171" t="s">
        <v>6888</v>
      </c>
      <c r="S320" s="28" t="str">
        <f t="shared" si="5"/>
        <v>V%O - %O(V)</v>
      </c>
    </row>
    <row r="321" ht="15.75" customHeight="1">
      <c r="Q321" s="171" t="s">
        <v>6889</v>
      </c>
      <c r="R321" s="171" t="s">
        <v>6890</v>
      </c>
      <c r="S321" s="28" t="str">
        <f t="shared" si="5"/>
        <v>MSC - µS/cm</v>
      </c>
    </row>
    <row r="322" ht="15.75" customHeight="1">
      <c r="Q322" s="171" t="s">
        <v>6891</v>
      </c>
      <c r="R322" s="171" t="s">
        <v>6892</v>
      </c>
      <c r="S322" s="28" t="str">
        <f t="shared" si="5"/>
        <v>MPL - Millimol/l</v>
      </c>
    </row>
    <row r="323" ht="15.75" customHeight="1">
      <c r="Q323" s="171" t="s">
        <v>6893</v>
      </c>
      <c r="R323" s="171" t="s">
        <v>6894</v>
      </c>
      <c r="S323" s="28" t="str">
        <f t="shared" si="5"/>
        <v>VAL - Value</v>
      </c>
    </row>
    <row r="324" ht="15.75" customHeight="1">
      <c r="Q324" s="171" t="s">
        <v>6895</v>
      </c>
      <c r="R324" s="171" t="s">
        <v>6896</v>
      </c>
      <c r="S324" s="28" t="str">
        <f t="shared" si="5"/>
        <v>VPB - ppb(V)</v>
      </c>
    </row>
    <row r="325" ht="15.75" customHeight="1">
      <c r="Q325" s="171" t="s">
        <v>6897</v>
      </c>
      <c r="R325" s="171" t="s">
        <v>6898</v>
      </c>
      <c r="S325" s="28" t="str">
        <f t="shared" si="5"/>
        <v>VPM - ppm(V)</v>
      </c>
    </row>
    <row r="326" ht="15.75" customHeight="1">
      <c r="Q326" s="171" t="s">
        <v>6899</v>
      </c>
      <c r="R326" s="171" t="s">
        <v>6900</v>
      </c>
      <c r="S326" s="28" t="str">
        <f t="shared" si="5"/>
        <v>VPT - ppt(V)</v>
      </c>
    </row>
    <row r="327" ht="15.75" customHeight="1">
      <c r="Q327" s="171" t="s">
        <v>6901</v>
      </c>
      <c r="R327" s="171" t="s">
        <v>6901</v>
      </c>
      <c r="S327" s="28" t="str">
        <f t="shared" si="5"/>
        <v>W - W</v>
      </c>
    </row>
    <row r="328" ht="15.75" customHeight="1">
      <c r="Q328" s="171" t="s">
        <v>6902</v>
      </c>
      <c r="R328" s="171" t="s">
        <v>6903</v>
      </c>
      <c r="S328" s="28" t="str">
        <f t="shared" si="5"/>
        <v>WK - Weeks</v>
      </c>
    </row>
    <row r="329" ht="15.75" customHeight="1">
      <c r="Q329" s="171" t="s">
        <v>6904</v>
      </c>
      <c r="R329" s="171" t="s">
        <v>6905</v>
      </c>
      <c r="S329" s="28" t="str">
        <f t="shared" si="5"/>
        <v>WMK - W/(m*K)</v>
      </c>
    </row>
    <row r="330" ht="15.75" customHeight="1">
      <c r="Q330" s="171" t="s">
        <v>6906</v>
      </c>
      <c r="R330" s="171" t="s">
        <v>6907</v>
      </c>
      <c r="S330" s="28" t="str">
        <f t="shared" si="5"/>
        <v>WMP - Wm-2 ppb-1</v>
      </c>
    </row>
    <row r="331" ht="15.75" customHeight="1">
      <c r="Q331" s="171" t="s">
        <v>6908</v>
      </c>
      <c r="R331" s="171" t="s">
        <v>6909</v>
      </c>
      <c r="S331" s="28" t="str">
        <f t="shared" si="5"/>
        <v>WKY - kg/s*m2</v>
      </c>
    </row>
    <row r="332" ht="15.75" customHeight="1">
      <c r="Q332" s="171" t="s">
        <v>6910</v>
      </c>
      <c r="R332" s="171" t="s">
        <v>6911</v>
      </c>
      <c r="S332" s="28" t="str">
        <f t="shared" si="5"/>
        <v>YD - Yards</v>
      </c>
    </row>
    <row r="333" ht="15.75" customHeight="1">
      <c r="Q333" s="171" t="s">
        <v>6912</v>
      </c>
      <c r="R333" s="171" t="s">
        <v>6913</v>
      </c>
      <c r="S333" s="28" t="str">
        <f t="shared" si="5"/>
        <v>YD2 - Yard2</v>
      </c>
    </row>
    <row r="334" ht="15.75" customHeight="1">
      <c r="Q334" s="171" t="s">
        <v>6914</v>
      </c>
      <c r="R334" s="171" t="s">
        <v>6915</v>
      </c>
      <c r="S334" s="28" t="str">
        <f t="shared" si="5"/>
        <v>YD3 - Cubic yard</v>
      </c>
    </row>
    <row r="335" ht="15.75" customHeight="1">
      <c r="Q335" s="171" t="s">
        <v>6916</v>
      </c>
      <c r="R335" s="171" t="s">
        <v>6917</v>
      </c>
      <c r="S335" s="28" t="str">
        <f t="shared" si="5"/>
        <v>BYr - BTU/Year</v>
      </c>
    </row>
    <row r="336" ht="15.75" customHeight="1">
      <c r="Q336" s="171" t="s">
        <v>6918</v>
      </c>
      <c r="R336" s="171" t="s">
        <v>6919</v>
      </c>
      <c r="S336" s="28" t="str">
        <f t="shared" si="5"/>
        <v>Bmo - BTU/Month</v>
      </c>
    </row>
    <row r="337" ht="15.75" customHeight="1">
      <c r="Q337" s="171" t="s">
        <v>6920</v>
      </c>
      <c r="R337" s="171" t="s">
        <v>6921</v>
      </c>
      <c r="S337" s="28" t="str">
        <f t="shared" si="5"/>
        <v>bbl - Btu/bbl</v>
      </c>
    </row>
    <row r="338" ht="15.75" customHeight="1">
      <c r="Q338" s="171" t="s">
        <v>6922</v>
      </c>
      <c r="R338" s="171" t="s">
        <v>6923</v>
      </c>
      <c r="S338" s="28" t="str">
        <f t="shared" si="5"/>
        <v>bft - Btu/ft3</v>
      </c>
    </row>
    <row r="339" ht="15.75" customHeight="1">
      <c r="Q339" s="171" t="s">
        <v>6924</v>
      </c>
      <c r="R339" s="171" t="s">
        <v>6925</v>
      </c>
      <c r="S339" s="28" t="str">
        <f t="shared" si="5"/>
        <v>bgl - Btu/gal</v>
      </c>
    </row>
    <row r="340" ht="15.75" customHeight="1">
      <c r="Q340" s="171" t="s">
        <v>6926</v>
      </c>
      <c r="R340" s="171" t="s">
        <v>6927</v>
      </c>
      <c r="S340" s="28" t="str">
        <f t="shared" si="5"/>
        <v>BSC - BTU/SCF</v>
      </c>
    </row>
    <row r="341" ht="15.75" customHeight="1">
      <c r="Q341" s="171" t="s">
        <v>6928</v>
      </c>
      <c r="R341" s="171" t="s">
        <v>6929</v>
      </c>
      <c r="S341" s="28" t="str">
        <f t="shared" si="5"/>
        <v>btl - Btu/lb</v>
      </c>
    </row>
    <row r="342" ht="15.75" customHeight="1">
      <c r="Q342" s="171" t="s">
        <v>6930</v>
      </c>
      <c r="R342" s="171" t="s">
        <v>6931</v>
      </c>
      <c r="S342" s="28" t="str">
        <f t="shared" si="5"/>
        <v>fcm - Fibers/cm3</v>
      </c>
    </row>
    <row r="343" ht="15.75" customHeight="1">
      <c r="Q343" s="171" t="s">
        <v>6932</v>
      </c>
      <c r="R343" s="171" t="s">
        <v>6933</v>
      </c>
      <c r="S343" s="28" t="str">
        <f t="shared" si="5"/>
        <v>fm3 - Fibers/m3</v>
      </c>
    </row>
    <row r="344" ht="15.75" customHeight="1">
      <c r="Q344" s="171" t="s">
        <v>6934</v>
      </c>
      <c r="R344" s="171" t="s">
        <v>6935</v>
      </c>
      <c r="S344" s="28" t="str">
        <f t="shared" si="5"/>
        <v>fml - Fibers/ml</v>
      </c>
    </row>
    <row r="345" ht="15.75" customHeight="1">
      <c r="Q345" s="171" t="s">
        <v>6936</v>
      </c>
      <c r="R345" s="171" t="s">
        <v>6937</v>
      </c>
      <c r="S345" s="28" t="str">
        <f t="shared" si="5"/>
        <v>gGJ - g/GJ</v>
      </c>
    </row>
    <row r="346" ht="15.75" customHeight="1">
      <c r="Q346" s="171" t="s">
        <v>6938</v>
      </c>
      <c r="R346" s="171" t="s">
        <v>6939</v>
      </c>
      <c r="S346" s="28" t="str">
        <f t="shared" si="5"/>
        <v>gj3 - GJ/1000m3</v>
      </c>
    </row>
    <row r="347" ht="15.75" customHeight="1">
      <c r="Q347" s="171" t="s">
        <v>6940</v>
      </c>
      <c r="R347" s="171" t="s">
        <v>6941</v>
      </c>
      <c r="S347" s="28" t="str">
        <f t="shared" si="5"/>
        <v>gjm - GJ/m3</v>
      </c>
    </row>
    <row r="348" ht="15.75" customHeight="1">
      <c r="Q348" s="171" t="s">
        <v>6942</v>
      </c>
      <c r="R348" s="171" t="s">
        <v>6943</v>
      </c>
      <c r="S348" s="28" t="str">
        <f t="shared" si="5"/>
        <v>gjt - GJ/ton</v>
      </c>
    </row>
    <row r="349" ht="15.75" customHeight="1">
      <c r="Q349" s="171" t="s">
        <v>6944</v>
      </c>
      <c r="R349" s="171" t="s">
        <v>6945</v>
      </c>
      <c r="S349" s="28" t="str">
        <f t="shared" si="5"/>
        <v>GML - g/mile</v>
      </c>
    </row>
    <row r="350" ht="15.75" customHeight="1">
      <c r="Q350" s="171" t="s">
        <v>6946</v>
      </c>
      <c r="R350" s="171" t="s">
        <v>6947</v>
      </c>
      <c r="S350" s="28" t="str">
        <f t="shared" si="5"/>
        <v>GRH - g/h</v>
      </c>
    </row>
    <row r="351" ht="15.75" customHeight="1">
      <c r="Q351" s="171" t="s">
        <v>6948</v>
      </c>
      <c r="R351" s="171" t="s">
        <v>6949</v>
      </c>
      <c r="S351" s="28" t="str">
        <f t="shared" si="5"/>
        <v>jm3 - J/m3</v>
      </c>
    </row>
    <row r="352" ht="15.75" customHeight="1">
      <c r="Q352" s="171" t="s">
        <v>6950</v>
      </c>
      <c r="R352" s="171" t="s">
        <v>6951</v>
      </c>
      <c r="S352" s="28" t="str">
        <f t="shared" si="5"/>
        <v>kgb - kg/bbl</v>
      </c>
    </row>
    <row r="353" ht="15.75" customHeight="1">
      <c r="Q353" s="171" t="s">
        <v>6952</v>
      </c>
      <c r="R353" s="171" t="s">
        <v>6953</v>
      </c>
      <c r="S353" s="28" t="str">
        <f t="shared" si="5"/>
        <v>kgg - kg/gal</v>
      </c>
    </row>
    <row r="354" ht="15.75" customHeight="1">
      <c r="Q354" s="171" t="s">
        <v>6954</v>
      </c>
      <c r="R354" s="171" t="s">
        <v>6955</v>
      </c>
      <c r="S354" s="28" t="str">
        <f t="shared" si="5"/>
        <v>kgj - kg/J</v>
      </c>
    </row>
    <row r="355" ht="15.75" customHeight="1">
      <c r="Q355" s="171" t="s">
        <v>6956</v>
      </c>
      <c r="R355" s="171" t="s">
        <v>6957</v>
      </c>
      <c r="S355" s="28" t="str">
        <f t="shared" si="5"/>
        <v>KGL - kg/mile</v>
      </c>
    </row>
    <row r="356" ht="15.75" customHeight="1">
      <c r="Q356" s="171" t="s">
        <v>6958</v>
      </c>
      <c r="R356" s="171" t="s">
        <v>6959</v>
      </c>
      <c r="S356" s="28" t="str">
        <f t="shared" si="5"/>
        <v>kgm - kg/MMBtu</v>
      </c>
    </row>
    <row r="357" ht="15.75" customHeight="1">
      <c r="Q357" s="171" t="s">
        <v>6960</v>
      </c>
      <c r="R357" s="171" t="s">
        <v>6961</v>
      </c>
      <c r="S357" s="28" t="str">
        <f t="shared" si="5"/>
        <v>kgs - kg/scf</v>
      </c>
    </row>
    <row r="358" ht="15.75" customHeight="1">
      <c r="Q358" s="171" t="s">
        <v>6962</v>
      </c>
      <c r="R358" s="171" t="s">
        <v>6963</v>
      </c>
      <c r="S358" s="28" t="str">
        <f t="shared" si="5"/>
        <v>kgt - kg/ton</v>
      </c>
    </row>
    <row r="359" ht="15.75" customHeight="1">
      <c r="Q359" s="171" t="s">
        <v>6964</v>
      </c>
      <c r="R359" s="171" t="s">
        <v>6965</v>
      </c>
      <c r="S359" s="28" t="str">
        <f t="shared" si="5"/>
        <v>kml - kg/kg mole</v>
      </c>
    </row>
    <row r="360" ht="15.75" customHeight="1">
      <c r="Q360" s="171" t="s">
        <v>6966</v>
      </c>
      <c r="R360" s="171" t="s">
        <v>6967</v>
      </c>
      <c r="S360" s="28" t="str">
        <f t="shared" si="5"/>
        <v>KMT - kg/m</v>
      </c>
    </row>
    <row r="361" ht="15.75" customHeight="1">
      <c r="Q361" s="171" t="s">
        <v>6968</v>
      </c>
      <c r="R361" s="171" t="s">
        <v>6969</v>
      </c>
      <c r="S361" s="28" t="str">
        <f t="shared" si="5"/>
        <v>kwk - kWh/kg</v>
      </c>
    </row>
    <row r="362" ht="15.75" customHeight="1">
      <c r="Q362" s="171" t="s">
        <v>6970</v>
      </c>
      <c r="R362" s="171" t="s">
        <v>6971</v>
      </c>
      <c r="S362" s="28" t="str">
        <f t="shared" si="5"/>
        <v>lbb - lb/Btu</v>
      </c>
    </row>
    <row r="363" ht="15.75" customHeight="1">
      <c r="Q363" s="171" t="s">
        <v>6972</v>
      </c>
      <c r="R363" s="171" t="s">
        <v>6973</v>
      </c>
      <c r="S363" s="28" t="str">
        <f t="shared" si="5"/>
        <v>lbg - lb/gal</v>
      </c>
    </row>
    <row r="364" ht="15.75" customHeight="1">
      <c r="Q364" s="171" t="s">
        <v>6974</v>
      </c>
      <c r="R364" s="171" t="s">
        <v>6975</v>
      </c>
      <c r="S364" s="28" t="str">
        <f t="shared" si="5"/>
        <v>lbl - lb/lb mol</v>
      </c>
    </row>
    <row r="365" ht="15.75" customHeight="1">
      <c r="Q365" s="171" t="s">
        <v>6976</v>
      </c>
      <c r="R365" s="171" t="s">
        <v>6977</v>
      </c>
      <c r="S365" s="28" t="str">
        <f t="shared" si="5"/>
        <v>lbm - lb/MMBtu</v>
      </c>
    </row>
    <row r="366" ht="15.75" customHeight="1">
      <c r="Q366" s="171" t="s">
        <v>6978</v>
      </c>
      <c r="R366" s="171" t="s">
        <v>6979</v>
      </c>
      <c r="S366" s="28" t="str">
        <f t="shared" si="5"/>
        <v>lbs - lb/scf</v>
      </c>
    </row>
    <row r="367" ht="15.75" customHeight="1">
      <c r="Q367" s="171" t="s">
        <v>6980</v>
      </c>
      <c r="R367" s="171" t="s">
        <v>6981</v>
      </c>
      <c r="S367" s="28" t="str">
        <f t="shared" si="5"/>
        <v>lbt - lb/ton</v>
      </c>
    </row>
    <row r="368" ht="15.75" customHeight="1">
      <c r="Q368" s="171" t="s">
        <v>6982</v>
      </c>
      <c r="R368" s="171" t="s">
        <v>6983</v>
      </c>
      <c r="S368" s="28" t="str">
        <f t="shared" si="5"/>
        <v>lcm - l/cm3</v>
      </c>
    </row>
    <row r="369" ht="15.75" customHeight="1">
      <c r="Q369" s="171" t="s">
        <v>6984</v>
      </c>
      <c r="R369" s="171" t="s">
        <v>6985</v>
      </c>
      <c r="S369" s="28" t="str">
        <f t="shared" si="5"/>
        <v>lhh - lb/Hph</v>
      </c>
    </row>
    <row r="370" ht="15.75" customHeight="1">
      <c r="Q370" s="171" t="s">
        <v>6986</v>
      </c>
      <c r="R370" s="171" t="s">
        <v>6987</v>
      </c>
      <c r="S370" s="28" t="str">
        <f t="shared" si="5"/>
        <v>lht - lb/HTHph</v>
      </c>
    </row>
    <row r="371" ht="15.75" customHeight="1">
      <c r="Q371" s="171" t="s">
        <v>6988</v>
      </c>
      <c r="R371" s="171" t="s">
        <v>6989</v>
      </c>
      <c r="S371" s="28" t="str">
        <f t="shared" si="5"/>
        <v>lmf - lb/Mft3</v>
      </c>
    </row>
    <row r="372" ht="15.75" customHeight="1">
      <c r="Q372" s="171" t="s">
        <v>6990</v>
      </c>
      <c r="R372" s="171" t="s">
        <v>6991</v>
      </c>
      <c r="S372" s="28" t="str">
        <f t="shared" si="5"/>
        <v>lmg - lb/Mgal</v>
      </c>
    </row>
    <row r="373" ht="15.75" customHeight="1">
      <c r="Q373" s="171" t="s">
        <v>6992</v>
      </c>
      <c r="R373" s="171" t="s">
        <v>6993</v>
      </c>
      <c r="S373" s="28" t="str">
        <f t="shared" si="5"/>
        <v>ltb - lb/Tbbl</v>
      </c>
    </row>
    <row r="374" ht="15.75" customHeight="1">
      <c r="Q374" s="171" t="s">
        <v>6994</v>
      </c>
      <c r="R374" s="171" t="s">
        <v>6995</v>
      </c>
      <c r="S374" s="28" t="str">
        <f t="shared" si="5"/>
        <v>ltf - lb/Tft3</v>
      </c>
    </row>
    <row r="375" ht="15.75" customHeight="1">
      <c r="Q375" s="171" t="s">
        <v>6996</v>
      </c>
      <c r="R375" s="171" t="s">
        <v>6997</v>
      </c>
      <c r="S375" s="28" t="str">
        <f t="shared" si="5"/>
        <v>ltg - lb/Tgal</v>
      </c>
    </row>
    <row r="376" ht="15.75" customHeight="1">
      <c r="Q376" s="171" t="s">
        <v>6998</v>
      </c>
      <c r="R376" s="171" t="s">
        <v>6999</v>
      </c>
      <c r="S376" s="28" t="str">
        <f t="shared" si="5"/>
        <v>lth - lb/THph</v>
      </c>
    </row>
    <row r="377" ht="15.75" customHeight="1">
      <c r="Q377" s="171" t="s">
        <v>7000</v>
      </c>
      <c r="R377" s="171" t="s">
        <v>7001</v>
      </c>
      <c r="S377" s="28" t="str">
        <f t="shared" si="5"/>
        <v>mGJ - mg/GJ</v>
      </c>
    </row>
    <row r="378" ht="15.75" customHeight="1">
      <c r="Q378" s="171" t="s">
        <v>7002</v>
      </c>
      <c r="R378" s="171" t="s">
        <v>7003</v>
      </c>
      <c r="S378" s="28" t="str">
        <f t="shared" si="5"/>
        <v>mHg - mmHg</v>
      </c>
    </row>
    <row r="379" ht="15.75" customHeight="1">
      <c r="Q379" s="171" t="s">
        <v>7004</v>
      </c>
      <c r="R379" s="171" t="s">
        <v>7005</v>
      </c>
      <c r="S379" s="28" t="str">
        <f t="shared" si="5"/>
        <v>mbb - MMBtu/bbl</v>
      </c>
    </row>
    <row r="380" ht="15.75" customHeight="1">
      <c r="Q380" s="171" t="s">
        <v>7006</v>
      </c>
      <c r="R380" s="171" t="s">
        <v>7007</v>
      </c>
      <c r="S380" s="28" t="str">
        <f t="shared" si="5"/>
        <v>mbg - MMBtu/gal</v>
      </c>
    </row>
    <row r="381" ht="15.75" customHeight="1">
      <c r="Q381" s="171" t="s">
        <v>7008</v>
      </c>
      <c r="R381" s="171" t="s">
        <v>7009</v>
      </c>
      <c r="S381" s="28" t="str">
        <f t="shared" si="5"/>
        <v>mbk - MMBtu/kg</v>
      </c>
    </row>
    <row r="382" ht="15.75" customHeight="1">
      <c r="Q382" s="171" t="s">
        <v>7010</v>
      </c>
      <c r="R382" s="171" t="s">
        <v>7011</v>
      </c>
      <c r="S382" s="28" t="str">
        <f t="shared" si="5"/>
        <v>mbl - MMBTU/lb</v>
      </c>
    </row>
    <row r="383" ht="15.75" customHeight="1">
      <c r="Q383" s="171" t="s">
        <v>7012</v>
      </c>
      <c r="R383" s="171" t="s">
        <v>7013</v>
      </c>
      <c r="S383" s="28" t="str">
        <f t="shared" si="5"/>
        <v>mbm - MMBtu/Mscf</v>
      </c>
    </row>
    <row r="384" ht="15.75" customHeight="1">
      <c r="Q384" s="171" t="s">
        <v>7014</v>
      </c>
      <c r="R384" s="171" t="s">
        <v>7015</v>
      </c>
      <c r="S384" s="28" t="str">
        <f t="shared" si="5"/>
        <v>mbs - MMBtu/scf</v>
      </c>
    </row>
    <row r="385" ht="15.75" customHeight="1">
      <c r="Q385" s="171" t="s">
        <v>7016</v>
      </c>
      <c r="R385" s="171" t="s">
        <v>7017</v>
      </c>
      <c r="S385" s="28" t="str">
        <f t="shared" si="5"/>
        <v>mbt - MMBtu/ton</v>
      </c>
    </row>
    <row r="386" ht="15.75" customHeight="1">
      <c r="Q386" s="171" t="s">
        <v>7018</v>
      </c>
      <c r="R386" s="171" t="s">
        <v>7019</v>
      </c>
      <c r="S386" s="28" t="str">
        <f t="shared" si="5"/>
        <v>mjm - MJ/m3</v>
      </c>
    </row>
    <row r="387" ht="15.75" customHeight="1">
      <c r="Q387" s="171" t="s">
        <v>7020</v>
      </c>
      <c r="R387" s="171" t="s">
        <v>7021</v>
      </c>
      <c r="S387" s="28" t="str">
        <f t="shared" si="5"/>
        <v>uGJ - mcg/GJ</v>
      </c>
    </row>
    <row r="388" ht="15.75" customHeight="1">
      <c r="Q388" s="171" t="s">
        <v>7022</v>
      </c>
      <c r="R388" s="171" t="s">
        <v>7023</v>
      </c>
      <c r="S388" s="28" t="str">
        <f t="shared" si="5"/>
        <v>mmB - Mill. BTU</v>
      </c>
    </row>
    <row r="389" ht="15.75" customHeight="1">
      <c r="Q389" s="171" t="s">
        <v>7024</v>
      </c>
      <c r="R389" s="171" t="s">
        <v>7025</v>
      </c>
      <c r="S389" s="28" t="str">
        <f t="shared" si="5"/>
        <v>nGJ - ng/GJ</v>
      </c>
    </row>
    <row r="390" ht="15.75" customHeight="1">
      <c r="Q390" s="171" t="s">
        <v>7026</v>
      </c>
      <c r="R390" s="171" t="s">
        <v>7027</v>
      </c>
      <c r="S390" s="28" t="str">
        <f t="shared" si="5"/>
        <v>nGQ - ng/m3</v>
      </c>
    </row>
    <row r="391" ht="15.75" customHeight="1">
      <c r="Q391" s="171" t="s">
        <v>7028</v>
      </c>
      <c r="R391" s="171" t="s">
        <v>7029</v>
      </c>
      <c r="S391" s="28" t="str">
        <f t="shared" si="5"/>
        <v>pGQ - pg/m3</v>
      </c>
    </row>
    <row r="392" ht="15.75" customHeight="1">
      <c r="Q392" s="171" t="s">
        <v>7030</v>
      </c>
      <c r="R392" s="171" t="s">
        <v>7031</v>
      </c>
      <c r="S392" s="28" t="str">
        <f t="shared" si="5"/>
        <v>sM3 - Spores/m3</v>
      </c>
    </row>
    <row r="393" ht="15.75" customHeight="1">
      <c r="Q393" s="171" t="s">
        <v>7032</v>
      </c>
      <c r="R393" s="171" t="s">
        <v>7033</v>
      </c>
      <c r="S393" s="28" t="str">
        <f t="shared" si="5"/>
        <v>sMb - scf/MMbbl</v>
      </c>
    </row>
    <row r="394" ht="15.75" customHeight="1">
      <c r="Q394" s="171" t="s">
        <v>7034</v>
      </c>
      <c r="R394" s="171" t="s">
        <v>7035</v>
      </c>
      <c r="S394" s="28" t="str">
        <f t="shared" si="5"/>
        <v>scf - SCF</v>
      </c>
    </row>
    <row r="395" ht="15.75" customHeight="1">
      <c r="Q395" s="171" t="s">
        <v>7036</v>
      </c>
      <c r="R395" s="171" t="s">
        <v>7037</v>
      </c>
      <c r="S395" s="28" t="str">
        <f t="shared" si="5"/>
        <v>sch - scf/h</v>
      </c>
    </row>
    <row r="396" ht="15.75" customHeight="1">
      <c r="Q396" s="171" t="s">
        <v>7038</v>
      </c>
      <c r="R396" s="171" t="s">
        <v>7039</v>
      </c>
      <c r="S396" s="28" t="str">
        <f t="shared" si="5"/>
        <v>scy - scf/y</v>
      </c>
    </row>
    <row r="397" ht="15.75" customHeight="1">
      <c r="Q397" s="171" t="s">
        <v>7040</v>
      </c>
      <c r="R397" s="171" t="s">
        <v>7041</v>
      </c>
      <c r="S397" s="28" t="str">
        <f t="shared" si="5"/>
        <v>TYr - Ton/Year</v>
      </c>
    </row>
    <row r="398" ht="15.75" customHeight="1">
      <c r="Q398" s="171" t="s">
        <v>7042</v>
      </c>
      <c r="R398" s="171" t="s">
        <v>7043</v>
      </c>
      <c r="S398" s="28" t="str">
        <f t="shared" si="5"/>
        <v>tMb - t/MMbbl</v>
      </c>
    </row>
    <row r="399" ht="15.75" customHeight="1">
      <c r="Q399" s="171" t="s">
        <v>7044</v>
      </c>
      <c r="R399" s="171" t="s">
        <v>7045</v>
      </c>
      <c r="S399" s="28" t="str">
        <f t="shared" si="5"/>
        <v>tMs - t/Mscf</v>
      </c>
    </row>
    <row r="400" ht="15.75" customHeight="1">
      <c r="Q400" s="171" t="s">
        <v>7046</v>
      </c>
      <c r="R400" s="171" t="s">
        <v>7047</v>
      </c>
      <c r="S400" s="28" t="str">
        <f t="shared" si="5"/>
        <v>tbl - t/bbl</v>
      </c>
    </row>
    <row r="401" ht="15.75" customHeight="1">
      <c r="Q401" s="171" t="s">
        <v>7048</v>
      </c>
      <c r="R401" s="171" t="s">
        <v>7049</v>
      </c>
      <c r="S401" s="28" t="str">
        <f t="shared" si="5"/>
        <v>tbt - t/Btu</v>
      </c>
    </row>
    <row r="402" ht="15.75" customHeight="1">
      <c r="Q402" s="171" t="s">
        <v>7050</v>
      </c>
      <c r="R402" s="171" t="s">
        <v>7051</v>
      </c>
      <c r="S402" s="28" t="str">
        <f t="shared" si="5"/>
        <v>tgl - ton/gal</v>
      </c>
    </row>
    <row r="403" ht="15.75" customHeight="1">
      <c r="Q403" s="171" t="s">
        <v>7052</v>
      </c>
      <c r="R403" s="171" t="s">
        <v>7053</v>
      </c>
      <c r="S403" s="28" t="str">
        <f t="shared" si="5"/>
        <v>Thm - Therm</v>
      </c>
    </row>
    <row r="404" ht="15.75" customHeight="1">
      <c r="Q404" s="171" t="s">
        <v>7054</v>
      </c>
      <c r="R404" s="171" t="s">
        <v>7055</v>
      </c>
      <c r="S404" s="28" t="str">
        <f t="shared" si="5"/>
        <v>tjl - t/Joule</v>
      </c>
    </row>
    <row r="405" ht="15.75" customHeight="1">
      <c r="Q405" s="171" t="s">
        <v>7056</v>
      </c>
      <c r="R405" s="171" t="s">
        <v>7057</v>
      </c>
      <c r="S405" s="28" t="str">
        <f t="shared" si="5"/>
        <v>tm3 - t/1000m3</v>
      </c>
    </row>
    <row r="406" ht="15.75" customHeight="1">
      <c r="Q406" s="171" t="s">
        <v>7058</v>
      </c>
      <c r="R406" s="171" t="s">
        <v>7059</v>
      </c>
      <c r="S406" s="28" t="str">
        <f t="shared" si="5"/>
        <v>T/M - Ton/Month</v>
      </c>
    </row>
    <row r="407" ht="15.75" customHeight="1">
      <c r="Q407" s="171" t="s">
        <v>7060</v>
      </c>
      <c r="R407" s="171" t="s">
        <v>7061</v>
      </c>
      <c r="S407" s="28" t="str">
        <f t="shared" si="5"/>
        <v>tph - Ton/Hour</v>
      </c>
    </row>
    <row r="408" ht="15.75" customHeight="1">
      <c r="Q408" s="171" t="s">
        <v>7062</v>
      </c>
      <c r="R408" s="171" t="s">
        <v>7063</v>
      </c>
      <c r="S408" s="28" t="str">
        <f t="shared" si="5"/>
        <v>tot - ton/ton</v>
      </c>
    </row>
    <row r="409" ht="15.75" customHeight="1">
      <c r="Q409" s="171" t="s">
        <v>7064</v>
      </c>
      <c r="R409" s="171" t="s">
        <v>7065</v>
      </c>
      <c r="S409" s="28" t="str">
        <f t="shared" si="5"/>
        <v>tt - t/t</v>
      </c>
    </row>
    <row r="410" ht="15.75" customHeight="1">
      <c r="Q410" s="171" t="s">
        <v>7066</v>
      </c>
      <c r="R410" s="171" t="s">
        <v>7067</v>
      </c>
      <c r="S410" s="28" t="str">
        <f t="shared" si="5"/>
        <v>ttj - t/TJ</v>
      </c>
    </row>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R244"/>
  </hyperlinks>
  <printOptions/>
  <pageMargins bottom="0.75" footer="0.0" header="0.0" left="0.7" right="0.7" top="0.75"/>
  <pageSetup orientation="landscape"/>
  <drawing r:id="rId2"/>
</worksheet>
</file>